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<sst xmlns="http://schemas.openxmlformats.org/spreadsheetml/2006/main" count="334" uniqueCount="231">
  <si>
    <t xml:space="preserve">CTS BONUS LEAVE TRACKER</t>
  </si>
  <si>
    <t xml:space="preserve">Accrual month = the month of the As-of date on Settings.  EARNED THIS MONTH = days whose milestone falls in that month.  HOURS TO ACCRUE = everything still missing in EH (this month + any earlier months not yet posted).  Post Hours to Accrue; the Action says how much is this month and how much is catch-up.</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</si>
  <si>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</si>
  <si>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</si>
  <si>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</si>
  <si>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</si>
  <si>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</si>
  <si>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</si>
  <si>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</si>
  <si>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</si>
  <si>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</si>
  <si>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</si>
  <si>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</si>
  <si>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</si>
  <si>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</si>
  <si>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</si>
  <si>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</si>
  <si>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</si>
  <si>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</si>
  <si>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</si>
  <si>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</si>
  <si>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</si>
  <si>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</si>
  <si>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</si>
  <si>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</si>
  <si>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</si>
  <si>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</si>
  <si>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</si>
  <si>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</si>
  <si>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</si>
  <si>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</si>
  <si>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</si>
  <si>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</si>
  <si>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</si>
  <si>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</si>
  <si>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</si>
  <si>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</si>
  <si>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</si>
  <si>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</si>
  <si>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</si>
  <si>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</si>
  <si>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</si>
  <si>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</si>
  <si>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</si>
  <si>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</si>
  <si>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</si>
  <si>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</si>
  <si>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</si>
  <si>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</si>
  <si>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</si>
  <si>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</si>
  <si>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</si>
  <si>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</si>
  <si>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</si>
  <si>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</si>
  <si>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</si>
  <si>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</si>
  <si>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</si>
  <si>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</si>
  <si>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</si>
  <si>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</si>
  <si>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</si>
  <si>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</si>
  <si>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</si>
  <si>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</si>
  <si>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</si>
  <si>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</si>
  <si>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</si>
  <si>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</si>
  <si>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</si>
  <si>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</si>
  <si>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</si>
  <si>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</si>
  <si>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</si>
  <si>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</si>
  <si>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</si>
  <si>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</si>
  <si>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</si>
  <si>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</si>
  <si>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</si>
  <si>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</si>
  <si>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</si>
  <si>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</si>
  <si>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</si>
  <si>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</si>
  <si>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</si>
  <si>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</si>
  <si>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</si>
  <si>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</si>
  <si>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</si>
  <si>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</si>
  <si>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</si>
  <si>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</si>
  <si>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</si>
  <si>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</si>
  <si>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</si>
  <si>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</si>
  <si>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</si>
  <si>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</si>
  <si>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</si>
  <si>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</si>
  <si>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</si>
  <si>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</si>
  <si>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</si>
  <si>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</si>
  <si>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</si>
  <si>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</si>
  <si>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</si>
  <si>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</si>
  <si>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</si>
  <si>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</si>
  <si>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</si>
  <si>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</si>
  <si>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</si>
  <si>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</si>
  <si>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</si>
  <si>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</si>
  <si>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</si>
  <si>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</si>
  <si>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</si>
  <si>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</si>
  <si>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</si>
  <si>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</si>
  <si>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</si>
  <si>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</si>
  <si>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</si>
  <si>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</si>
  <si>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</si>
  <si>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</si>
  <si>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</si>
  <si>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</si>
  <si>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</si>
  <si>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</si>
  <si>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</si>
  <si>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</si>
  <si>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</si>
  <si>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</si>
  <si>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</si>
  <si>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</si>
  <si>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</si>
  <si>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</si>
  <si>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</si>
  <si>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</si>
  <si>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</si>
  <si>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</si>
  <si>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last month.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</si>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</sst>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7" fontId="6" fillId="7"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J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2" min="32" style="0" width="11"/>
    <col collapsed="false" customWidth="true" hidden="true" outlineLevel="1" max="61" min="33" style="0" width="6"/>
    <col collapsed="false" customWidth="true" hidden="true" outlineLevel="0" max="62" min="62" style="0" width="13"/>
  </cols>
  <sheetData>
    <row r="1" customFormat="false" ht="17.35" hidden="false" customHeight="false" outlineLevel="0" collapsed="false">
      <c r="A1" s="1" t="s">
        <v>0</v>
      </c>
      <c r="D1" s="2" t="s">
        <v>1</v>
      </c>
    </row>
    <row r="2" customFormat="false" ht="15" hidden="false" customHeight="false" outlineLevel="0" collapsed="false">
      <c r="A2" s="3" t="str">
        <f aca="false">"ACCRUING FOR "&amp;UPPER(TEXT(AsOfDate,"mmmm yyyy"))&amp;"  |  As at "&amp;TEXT(AsOfDate,"dd/mm/yyyy")&amp;"  |  Report from "&amp;TEXT(PFYDate+1,"dd/mm/yyyy")&amp;"  |  Staff: "&amp;COUNTIF($AG$5:$AG$154,1)&amp;"  |  Accruing: "&amp;COUNTIF($R$5:$R$154,"Yes*")&amp;"  |  To accrue now: "&amp;ROUND(SUMIF($Y$5:$Y$154,"&gt;0"),2)&amp;""&amp;" hrs for "&amp;COUNTIF($Z$5:$Z$154,"Yes")&amp;" people  |  Earned this month: "&amp;ROUND(SUM($AE$5:$AE$154),2)&amp;" days"</f>
        <v>ACCRUING FOR OCTOBER 2026  |  As at 08/10/2026  |  Report from 01/07/2019  |  Staff: 0  |  Accruing: 0  |  To accrue now: 0 hrs for 0 people  |  Earned this month: 0 days</v>
      </c>
    </row>
    <row r="3" customFormat="false" ht="36" hidden="false" customHeight="true" outlineLevel="0" collapsed="false">
      <c r="A3" s="4" t="s">
        <v>2</v>
      </c>
      <c r="B3" s="4" t="s">
        <v>2</v>
      </c>
      <c r="C3" s="4" t="s">
        <v>3</v>
      </c>
      <c r="D3" s="4" t="s">
        <v>2</v>
      </c>
      <c r="E3" s="4" t="s">
        <v>4</v>
      </c>
      <c r="F3" s="4" t="s">
        <v>2</v>
      </c>
      <c r="G3" s="4" t="s">
        <v>5</v>
      </c>
      <c r="H3" s="4" t="s">
        <v>6</v>
      </c>
      <c r="I3" s="4" t="s">
        <v>7</v>
      </c>
      <c r="J3" s="4" t="s">
        <v>8</v>
      </c>
      <c r="K3" s="4" t="s">
        <v>9</v>
      </c>
      <c r="L3" s="4" t="s">
        <v>10</v>
      </c>
      <c r="M3" s="4" t="s">
        <v>11</v>
      </c>
      <c r="N3" s="4" t="s">
        <v>12</v>
      </c>
      <c r="O3" s="4" t="s">
        <v>13</v>
      </c>
      <c r="P3" s="4" t="s">
        <v>14</v>
      </c>
      <c r="Q3" s="4" t="s">
        <v>15</v>
      </c>
      <c r="R3" s="4"/>
      <c r="S3" s="4" t="s">
        <v>16</v>
      </c>
      <c r="T3" s="4" t="s">
        <v>17</v>
      </c>
      <c r="U3" s="4" t="s">
        <v>18</v>
      </c>
      <c r="V3" s="4" t="s">
        <v>19</v>
      </c>
      <c r="W3" s="4" t="s">
        <v>20</v>
      </c>
      <c r="X3" s="4" t="s">
        <v>21</v>
      </c>
      <c r="Y3" s="4" t="s">
        <v>22</v>
      </c>
      <c r="Z3" s="4" t="s">
        <v>23</v>
      </c>
      <c r="AA3" s="4"/>
      <c r="AB3" s="4" t="s">
        <v>24</v>
      </c>
      <c r="AC3" s="4" t="s">
        <v>25</v>
      </c>
      <c r="AD3" s="4"/>
      <c r="AE3" s="4" t="s">
        <v>26</v>
      </c>
      <c r="AF3" s="4" t="s">
        <v>27</v>
      </c>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row>
    <row r="4" customFormat="false" ht="42" hidden="false" customHeight="true" outlineLevel="0" collapsed="false">
      <c r="A4" s="5" t="s">
        <v>28</v>
      </c>
      <c r="B4" s="5" t="s">
        <v>29</v>
      </c>
      <c r="C4" s="5" t="s">
        <v>30</v>
      </c>
      <c r="D4" s="5" t="s">
        <v>31</v>
      </c>
      <c r="E4" s="6" t="s">
        <v>32</v>
      </c>
      <c r="F4" s="5" t="s">
        <v>33</v>
      </c>
      <c r="G4" s="5" t="s">
        <v>34</v>
      </c>
      <c r="H4" s="5" t="s">
        <v>35</v>
      </c>
      <c r="I4" s="5" t="s">
        <v>36</v>
      </c>
      <c r="J4" s="5" t="s">
        <v>37</v>
      </c>
      <c r="K4" s="6" t="s">
        <v>38</v>
      </c>
      <c r="L4" s="6" t="s">
        <v>39</v>
      </c>
      <c r="M4" s="6" t="s">
        <v>40</v>
      </c>
      <c r="N4" s="6" t="s">
        <v>41</v>
      </c>
      <c r="O4" s="6" t="s">
        <v>42</v>
      </c>
      <c r="P4" s="5" t="s">
        <v>43</v>
      </c>
      <c r="Q4" s="6" t="s">
        <v>44</v>
      </c>
      <c r="R4" s="6" t="s">
        <v>45</v>
      </c>
      <c r="S4" s="6" t="s">
        <v>46</v>
      </c>
      <c r="T4" s="7" t="s">
        <v>47</v>
      </c>
      <c r="U4" s="7" t="s">
        <v>48</v>
      </c>
      <c r="V4" s="7" t="s">
        <v>49</v>
      </c>
      <c r="W4" s="7" t="s">
        <v>50</v>
      </c>
      <c r="X4" s="7" t="s">
        <v>51</v>
      </c>
      <c r="Y4" s="7" t="s">
        <v>52</v>
      </c>
      <c r="Z4" s="7" t="s">
        <v>53</v>
      </c>
      <c r="AA4" s="7" t="s">
        <v>54</v>
      </c>
      <c r="AB4" s="7" t="s">
        <v>55</v>
      </c>
      <c r="AC4" s="7" t="s">
        <v>56</v>
      </c>
      <c r="AD4" s="6" t="s">
        <v>57</v>
      </c>
      <c r="AE4" s="7" t="s">
        <v>58</v>
      </c>
      <c r="AF4" s="7" t="s">
        <v>59</v>
      </c>
      <c r="AG4" s="8" t="s">
        <v>60</v>
      </c>
      <c r="AH4" s="8" t="s">
        <v>61</v>
      </c>
      <c r="AI4" s="8" t="s">
        <v>62</v>
      </c>
      <c r="AJ4" s="8" t="s">
        <v>63</v>
      </c>
      <c r="AK4" s="8" t="s">
        <v>64</v>
      </c>
      <c r="AL4" s="8" t="s">
        <v>65</v>
      </c>
      <c r="AM4" s="8" t="s">
        <v>66</v>
      </c>
      <c r="AN4" s="8" t="s">
        <v>67</v>
      </c>
      <c r="AO4" s="8" t="s">
        <v>68</v>
      </c>
      <c r="AP4" s="8" t="s">
        <v>69</v>
      </c>
      <c r="AQ4" s="8" t="s">
        <v>70</v>
      </c>
      <c r="AR4" s="8" t="s">
        <v>71</v>
      </c>
      <c r="AS4" s="8" t="s">
        <v>72</v>
      </c>
      <c r="AT4" s="8" t="s">
        <v>73</v>
      </c>
      <c r="AU4" s="8" t="s">
        <v>74</v>
      </c>
      <c r="AV4" s="8" t="s">
        <v>75</v>
      </c>
      <c r="AW4" s="8" t="s">
        <v>76</v>
      </c>
      <c r="AX4" s="8" t="s">
        <v>77</v>
      </c>
      <c r="AY4" s="8" t="s">
        <v>78</v>
      </c>
      <c r="AZ4" s="8" t="s">
        <v>79</v>
      </c>
      <c r="BA4" s="8" t="s">
        <v>80</v>
      </c>
      <c r="BB4" s="8" t="s">
        <v>81</v>
      </c>
      <c r="BC4" s="8" t="s">
        <v>82</v>
      </c>
      <c r="BD4" s="8" t="s">
        <v>83</v>
      </c>
      <c r="BE4" s="8" t="s">
        <v>84</v>
      </c>
      <c r="BF4" s="8" t="s">
        <v>85</v>
      </c>
      <c r="BG4" s="8" t="s">
        <v>86</v>
      </c>
      <c r="BH4" s="8" t="s">
        <v>87</v>
      </c>
      <c r="BI4" s="8" t="s">
        <v>88</v>
      </c>
      <c r="BJ4" s="9" t="s">
        <v>89</v>
      </c>
    </row>
    <row r="5" customFormat="false" ht="15" hidden="false" customHeight="false" outlineLevel="0" collapsed="false">
      <c r="A5" s="10"/>
      <c r="B5" s="10"/>
      <c r="C5" s="10"/>
      <c r="D5" s="11"/>
      <c r="E5" s="12" t="str">
        <f aca="false">IF(OR(AG5=0,$D5=""),"",DATE(YEAR(AsOfDate)+IF(DATE(YEAR(AsOfDate),MONTH($D5),DAY($D5))&lt;=AsOfDate,1,0),MONTH($D5),DAY($D5)))</f>
        <v/>
      </c>
      <c r="F5" s="11"/>
      <c r="G5" s="11"/>
      <c r="H5" s="11"/>
      <c r="I5" s="11"/>
      <c r="J5" s="11"/>
      <c r="K5" s="12" t="str">
        <f aca="false">IF(AG5=0,"",DATE(YEAR(AsOfDate)+IF(DATE(YEAR(AsOfDate),MONTH(AH5),DAY(AH5))&lt;=AsOfDate,1,0),MONTH(AH5),DAY(AH5)))</f>
        <v/>
      </c>
      <c r="L5" s="13" t="str">
        <f aca="false">IF(AG5=0,"",ROUND((AsOfDate-AH5)/365.25,1))</f>
        <v/>
      </c>
      <c r="M5" s="14" t="str">
        <f aca="false">IF(AG5=0,"",IF(AsOfDate&lt;AH5,"-",DATEDIF(AH5,AsOfDate,"y")&amp;"y "&amp;DATEDIF(AH5,AsOfDate,"ym")&amp;"m "&amp;DATEDIF(AH5,AsOfDate,"md")&amp;"d"))</f>
        <v/>
      </c>
      <c r="N5" s="15" t="str">
        <f aca="false">IF(AG5=0,"",O5*HoursPerDay)</f>
        <v/>
      </c>
      <c r="O5" s="15" t="str">
        <f aca="false">IF(AG5=0,"",AZ5)</f>
        <v/>
      </c>
      <c r="P5" s="16"/>
      <c r="Q5" s="14" t="str">
        <f aca="false">IF(AG5=0,"",IF(AI5&lt;2,"",AM5&amp;" to "&amp;AN5&amp;" on "&amp;TEXT(AK5,"dd/mm/yyyy")&amp;IF(AK5&gt;AsOfDate," (future)",IF(AP5=AQ5,"",IF(AQ5="None"," - STOPPED accruing",IF(AP5="None"," - commencement for Bonus Leave"," - pathway changed"))))&amp;IF(AI5&lt;3,"","; "&amp;AN5&amp;" to "&amp;AO5&amp;" on "&amp;TEXT(AL5,"dd/mm/yyyy")&amp;IF(AL5&gt;AsOfDate," (future)",IF(AQ5=AR5,"",IF(AR5="None"," - STOPPED accruing",IF(AQ5="None"," - commencement for Bonus Leave"," - pathway changed")))))))</f>
        <v/>
      </c>
      <c r="R5" s="14" t="str">
        <f aca="false">IF(AG5=0,"",IF(AS5="None",IF(O5&gt;0,"No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2" t="str">
        <f aca="false">IF(AG5=0,"",IF(AS5="None","",EDATE(AH5,BB5)))</f>
        <v/>
      </c>
      <c r="T5" s="15" t="str">
        <f aca="false">IF(AG5=0,"",IF(NOT(LH_Ready),"",IF(AH5&gt;PFYDate,0,IF(LH_ColPeriod=0,W5-U5+V5,SUMIFS(INDEX(LH_Data,0,LH_ColAcc),INDEX(LH_Data,0,LH_ColFirst),$A5,INDEX(LH_Data,0,LH_ColSur),$B5,INDEX(LH_Data,0,LH_ColCat),BonusCat,INDEX(LH_Data,0,LH_ColPeriod),LH_OpenLabel)*UnitFactor))))</f>
        <v/>
      </c>
      <c r="U5" s="15" t="str">
        <f aca="false">IF(AG5=0,"",IF(NOT(LH_Ready),"",SUMIFS(INDEX(LH_Data,0,LH_ColAcc),INDEX(LH_Data,0,LH_ColFirst),$A5,INDEX(LH_Data,0,LH_ColSur),$B5,INDEX(LH_Data,0,LH_ColCat),BonusCat,INDEX(LH_Data,0,LH_ColStart),"&gt;="&amp;AH5)*UnitFactor))</f>
        <v/>
      </c>
      <c r="V5" s="15" t="str">
        <f aca="false">IF(AG5=0,"",IF(NOT(LH_Ready),"",SUMIFS(INDEX(LH_Data,0,LH_ColTaken),INDEX(LH_Data,0,LH_ColFirst),$A5,INDEX(LH_Data,0,LH_ColSur),$B5,INDEX(LH_Data,0,LH_ColCat),BonusCat,INDEX(LH_Data,0,LH_ColStart),"&gt;="&amp;AH5)*UnitFactor))</f>
        <v/>
      </c>
      <c r="W5" s="15" t="str">
        <f aca="false">IF(AG5=0,"",IF(NOT(LH_Ready),"",IF(BD5=0,0,INDEX(INDEX(LH_Data,0,LH_ColClose),BD5-1)*UnitFactor)))</f>
        <v/>
      </c>
      <c r="X5" s="15" t="str">
        <f aca="false">IF(AG5=0,"",(AZ5-BA5)*HoursPerDay)</f>
        <v/>
      </c>
      <c r="Y5" s="15" t="str">
        <f aca="false">IF(AG5=0,"",IF(NOT(LH_Ready),"",IF(BC5=0,N5,IF(PFYDate&lt;$F5,N5-N(T5)-N(U5),X5-N(U5)))))</f>
        <v/>
      </c>
      <c r="Z5" s="14" t="str">
        <f aca="false">IF(OR(AG5=0,Y5=""),"",IF(Y5&gt;0,"Yes","No"))</f>
        <v/>
      </c>
      <c r="AA5" s="14" t="str">
        <f aca="false">IF(AG5=0,IF(LEN($A5&amp;$B5)=0,"","FIX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month")&amp;IF(BC5=0,";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EH)",""),IF(AS5="None",R5,"Not yet - first day on "&amp;TEXT(S5,"dd/mm/yyyy")))))))))</f>
        <v/>
      </c>
      <c r="AB5" s="15" t="str">
        <f aca="false">IF(OR(AG5=0,T5=""),"",BA5*HoursPerDay-T5)</f>
        <v/>
      </c>
      <c r="AC5" s="14" t="str">
        <f aca="false">IF(AG5=0,"",BC5)</f>
        <v/>
      </c>
      <c r="AD5" s="14" t="str">
        <f aca="false">IF(AG5=0,"",TRIM(IF(OR(ISTEXT($F5),ISTEXT($H5),ISTEXT($I5),ISTEXT($G5),ISTEXT($J5),ISTEXT($D5)),"A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I5&gt;=1,IF(AI5&gt;=3,AO5,IF(AI5=2,AN5,AM5))&lt;&gt;IF($C5="","",IF(OR(ISNUMBER(SEARCH("full",$C5)),UPPER(TRIM($C5))="FT",UPPER(TRIM($C5))="FTE"),"Full-Time",IF(OR(ISNUMBER(SEARCH("part",$C5)),UPPER(TRIM($C5))="PT",UPPER(TRIM($C5))="PTE"),"Part-Time",IF(OR(ISNUMBER(SEARCH("cas",$C5)),UPPER(TRIM($C5))="CAS"),"Casual","Unknown"))))),"EmploymentType does not match latest start date ("&amp;IF(AI5&gt;=3,AO5,IF(AI5=2,AN5,AM5))&amp;"). ","")&amp;IF(AND(AI5&gt;=1,AJ5&lt;&gt;$F5),"Earliest type date should equal StartDate. ","")&amp;IF(AND(AI5&gt;=2,AJ5=AK5),"Two types start on the same date. ","")&amp;IF(AND(OR(ISNUMBER(SEARCH("part",$C5)),UPPER(TRIM($C5))="PT",UPPER(TRIM($C5))="PTE"),$P5=""),"Part-time: enter PT Hrs/Week (blank = 24+). ","")))</f>
        <v/>
      </c>
      <c r="AE5" s="15" t="str">
        <f aca="false">IF(AG5=0,"",O5-BH5)</f>
        <v/>
      </c>
      <c r="AF5" s="12" t="str">
        <f aca="false">IF(OR(AG5=0,AE5="",N(AE5)=0,BI5=""),"",EDATE(AH5,BI5))</f>
        <v/>
      </c>
      <c r="AG5" s="14" t="n">
        <f aca="false">IF(OR(LEN($A5&amp;$B5)=0,$F5=""),0,1)</f>
        <v>0</v>
      </c>
      <c r="AH5" s="12" t="str">
        <f aca="false">IF(AG5=0,"",IF($J5&lt;&gt;"",$J5,IF(OR(CasualCounts="Yes",COUNT($G5:$I5)=0,COUNT($H5:$I5)=0),$F5,MIN($H5:$I5))))</f>
        <v/>
      </c>
      <c r="AI5" s="14" t="str">
        <f aca="false">IF(AG5=0,"",COUNT($G5:$I5))</f>
        <v/>
      </c>
      <c r="AJ5" s="12" t="str">
        <f aca="false">IF(AG5=0,"",IFERROR(SMALL($G5:$I5,1),""))</f>
        <v/>
      </c>
      <c r="AK5" s="12" t="str">
        <f aca="false">IF(AG5=0,"",IFERROR(SMALL($G5:$I5,2),""))</f>
        <v/>
      </c>
      <c r="AL5" s="12" t="str">
        <f aca="false">IF(AG5=0,"",IFERROR(SMALL($G5:$I5,3),""))</f>
        <v/>
      </c>
      <c r="AM5" s="14" t="str">
        <f aca="false">IF(AG5=0,"",IF(AJ5="","",IF(AJ5=$H5,"Part-Time",IF(AJ5=$I5,"Full-Time","Casual"))))</f>
        <v/>
      </c>
      <c r="AN5" s="14" t="str">
        <f aca="false">IF(AG5=0,"",IF(AK5="","",IF(AK5=$H5,"Part-Time",IF(AK5=$I5,"Full-Time","Casual"))))</f>
        <v/>
      </c>
      <c r="AO5" s="14" t="str">
        <f aca="false">IF(AG5=0,"",IF(AL5="","",IF(AL5=$H5,"Part-Time",IF(AL5=$I5,"Full-Time","Casual"))))</f>
        <v/>
      </c>
      <c r="AP5" s="14" t="str">
        <f aca="false">IF(AG5=0,"",IF(AI5=0,IF(OR(ISNUMBER(SEARCH("full",$C5)),UPPER(TRIM($C5))="FT",UPPER(TRIM($C5))="FTE"),"FT",IF(AND(OR(ISNUMBER(SEARCH("part",$C5)),UPPER(TRIM($C5))="PT",UPPER(TRIM($C5))="PTE"),OR($P5="",N($P5)&gt;=PT_MinHours)),"PT","None")),IF(OR(ISNUMBER(SEARCH("full",AM5)),UPPER(TRIM(AM5))="FT",UPPER(TRIM(AM5))="FTE"),"FT",IF(AND(OR(ISNUMBER(SEARCH("part",AM5)),UPPER(TRIM(AM5))="PT",UPPER(TRIM(AM5))="PTE"),OR($P5="",N($P5)&gt;=PT_MinHours)),"PT","None"))))</f>
        <v/>
      </c>
      <c r="AQ5" s="14" t="str">
        <f aca="false">IF(AG5=0,"",IF(AI5&lt;2,"",IF(OR(ISNUMBER(SEARCH("full",AN5)),UPPER(TRIM(AN5))="FT",UPPER(TRIM(AN5))="FTE"),"FT",IF(AND(OR(ISNUMBER(SEARCH("part",AN5)),UPPER(TRIM(AN5))="PT",UPPER(TRIM(AN5))="PTE"),OR($P5="",N($P5)&gt;=PT_MinHours)),"PT","None"))))</f>
        <v/>
      </c>
      <c r="AR5" s="14" t="str">
        <f aca="false">IF(AG5=0,"",IF(AI5&lt;3,"",IF(OR(ISNUMBER(SEARCH("full",AO5)),UPPER(TRIM(AO5))="FT",UPPER(TRIM(AO5))="FTE"),"FT",IF(AND(OR(ISNUMBER(SEARCH("part",AO5)),UPPER(TRIM(AO5))="PT",UPPER(TRIM(AO5))="PTE"),OR($P5="",N($P5)&gt;=PT_MinHours)),"PT","None"))))</f>
        <v/>
      </c>
      <c r="AS5" s="14" t="str">
        <f aca="false">IF(AG5=0,"",IF(AND(AI5&gt;=3,AL5&lt;=AsOfDate),AR5,IF(AND(AI5&gt;=2,AK5&lt;=AsOfDate),AQ5,AP5)))</f>
        <v/>
      </c>
      <c r="AT5" s="14" t="str">
        <f aca="false">IF(AG5=0,"",IF(AsOfDate&lt;AH5,-1,12*(YEAR(AsOfDate)-YEAR(AH5))+MONTH(AsOfDate)-MONTH(AH5)-IF(DAY(AsOfDate)&lt;MIN(DAY(AH5),DAY(EOMONTH(AsOfDate,0))),1,0)))</f>
        <v/>
      </c>
      <c r="AU5" s="14" t="str">
        <f aca="false">IF(AG5=0,"",IF(OR(AI5&lt;2,AK5&gt;AsOfDate),AT5,IF((AK5-1)&lt;AH5,-1,12*(YEAR((AK5-1))-YEAR(AH5))+MONTH((AK5-1))-MONTH(AH5)-IF(DAY((AK5-1))&lt;MIN(DAY(AH5),DAY(EOMONTH((AK5-1),0))),1,0))))</f>
        <v/>
      </c>
      <c r="AV5" s="14" t="str">
        <f aca="false">IF(AG5=0,"",IF(OR(AI5&lt;3,AL5&gt;AsOfDate),AT5,IF((AL5-1)&lt;AH5,-1,12*(YEAR((AL5-1))-YEAR(AH5))+MONTH((AL5-1))-MONTH(AH5)-IF(DAY((AL5-1))&lt;MIN(DAY(AH5),DAY(EOMONTH((AL5-1),0))),1,0))))</f>
        <v/>
      </c>
      <c r="AW5" s="14" t="str">
        <f aca="false">IF(AG5=0,"",IF(PFYDate&lt;AH5,-1,12*(YEAR(PFYDate)-YEAR(AH5))+MONTH(PFYDate)-MONTH(AH5)-IF(DAY(PFYDate)&lt;MIN(DAY(AH5),DAY(EOMONTH(PFYDate,0))),1,0)))</f>
        <v/>
      </c>
      <c r="AX5" s="14" t="str">
        <f aca="false">IF(AG5=0,"",IF(OR(AI5&lt;2,AK5&gt;PFYDate),AW5,IF((AK5-1)&lt;AH5,-1,12*(YEAR((AK5-1))-YEAR(AH5))+MONTH((AK5-1))-MONTH(AH5)-IF(DAY((AK5-1))&lt;MIN(DAY(AH5),DAY(EOMONTH((AK5-1),0))),1,0))))</f>
        <v/>
      </c>
      <c r="AY5" s="14" t="str">
        <f aca="false">IF(AG5=0,"",IF(OR(AI5&lt;3,AL5&gt;PFYDate),AW5,IF((AL5-1)&lt;AH5,-1,12*(YEAR((AL5-1))-YEAR(AH5))+MONTH((AL5-1))-MONTH(AH5)-IF(DAY((AL5-1))&lt;MIN(DAY(AH5),DAY(EOMONTH((AL5-1),0))),1,0))))</f>
        <v/>
      </c>
      <c r="AZ5" s="14" t="str">
        <f aca="false">IF(AG5=0,"",IF(AP5="FT",IF(AU5&lt;FT_First,0,IF(AU5&lt;FT_Y5,1+INT((AU5-FT_First)/FT_Int1),FT_PreY5+FT_PerYear*INT((AU5-FT_Y5)/12)+FT_AnnivDays+INT(MOD(AU5-FT_Y5,12)/FT_Int2))),IF(AP5="PT",IF(AU5&lt;PT_First,0,1+INT((AU5-PT_First)/PT_Int)),0))+IF(AND(AI5&gt;=2,AK5&lt;=AsOfDate),IF(AQ5="FT",IF(AV5&lt;FT_First,0,IF(AV5&lt;FT_Y5,1+INT((AV5-FT_First)/FT_Int1),FT_PreY5+FT_PerYear*INT((AV5-FT_Y5)/12)+FT_AnnivDays+INT(MOD(AV5-FT_Y5,12)/FT_Int2))),IF(AQ5="PT",IF(AV5&lt;PT_First,0,1+INT((AV5-PT_First)/PT_Int)),0))-IF(AQ5="FT",IF(AU5&lt;FT_First,0,IF(AU5&lt;FT_Y5,1+INT((AU5-FT_First)/FT_Int1),FT_PreY5+FT_PerYear*INT((AU5-FT_Y5)/12)+FT_AnnivDays+INT(MOD(AU5-FT_Y5,12)/FT_Int2))),IF(AQ5="PT",IF(AU5&lt;PT_First,0,1+INT((AU5-PT_First)/PT_Int)),0)),0)+IF(AND(AI5&gt;=3,AL5&lt;=AsOfDate),IF(AR5="FT",IF(AT5&lt;FT_First,0,IF(AT5&lt;FT_Y5,1+INT((AT5-FT_First)/FT_Int1),FT_PreY5+FT_PerYear*INT((AT5-FT_Y5)/12)+FT_AnnivDays+INT(MOD(AT5-FT_Y5,12)/FT_Int2))),IF(AR5="PT",IF(AT5&lt;PT_First,0,1+INT((AT5-PT_First)/PT_Int)),0))-IF(AR5="FT",IF(AV5&lt;FT_First,0,IF(AV5&lt;FT_Y5,1+INT((AV5-FT_First)/FT_Int1),FT_PreY5+FT_PerYear*INT((AV5-FT_Y5)/12)+FT_AnnivDays+INT(MOD(AV5-FT_Y5,12)/FT_Int2))),IF(AR5="PT",IF(AV5&lt;PT_First,0,1+INT((AV5-PT_First)/PT_Int)),0)),0))</f>
        <v/>
      </c>
      <c r="BA5" s="14" t="str">
        <f aca="false">IF(AG5=0,"",IF(AP5="FT",IF(AX5&lt;FT_First,0,IF(AX5&lt;FT_Y5,1+INT((AX5-FT_First)/FT_Int1),FT_PreY5+FT_PerYear*INT((AX5-FT_Y5)/12)+FT_AnnivDays+INT(MOD(AX5-FT_Y5,12)/FT_Int2))),IF(AP5="PT",IF(AX5&lt;PT_First,0,1+INT((AX5-PT_First)/PT_Int)),0))+IF(AND(AI5&gt;=2,AK5&lt;=PFYDate),IF(AQ5="FT",IF(AY5&lt;FT_First,0,IF(AY5&lt;FT_Y5,1+INT((AY5-FT_First)/FT_Int1),FT_PreY5+FT_PerYear*INT((AY5-FT_Y5)/12)+FT_AnnivDays+INT(MOD(AY5-FT_Y5,12)/FT_Int2))),IF(AQ5="PT",IF(AY5&lt;PT_First,0,1+INT((AY5-PT_First)/PT_Int)),0))-IF(AQ5="FT",IF(AX5&lt;FT_First,0,IF(AX5&lt;FT_Y5,1+INT((AX5-FT_First)/FT_Int1),FT_PreY5+FT_PerYear*INT((AX5-FT_Y5)/12)+FT_AnnivDays+INT(MOD(AX5-FT_Y5,12)/FT_Int2))),IF(AQ5="PT",IF(AX5&lt;PT_First,0,1+INT((AX5-PT_First)/PT_Int)),0)),0)+IF(AND(AI5&gt;=3,AL5&lt;=PFYDate),IF(AR5="FT",IF(AW5&lt;FT_First,0,IF(AW5&lt;FT_Y5,1+INT((AW5-FT_First)/FT_Int1),FT_PreY5+FT_PerYear*INT((AW5-FT_Y5)/12)+FT_AnnivDays+INT(MOD(AW5-FT_Y5,12)/FT_Int2))),IF(AR5="PT",IF(AW5&lt;PT_First,0,1+INT((AW5-PT_First)/PT_Int)),0))-IF(AR5="FT",IF(AY5&lt;FT_First,0,IF(AY5&lt;FT_Y5,1+INT((AY5-FT_First)/FT_Int1),FT_PreY5+FT_PerYear*INT((AY5-FT_Y5)/12)+FT_AnnivDays+INT(MOD(AY5-FT_Y5,12)/FT_Int2))),IF(AR5="PT",IF(AY5&lt;PT_First,0,1+INT((AY5-PT_First)/PT_Int)),0)),0))</f>
        <v/>
      </c>
      <c r="BB5" s="14" t="str">
        <f aca="false">IF(AG5=0,"",IF(AS5="FT",IF(AT5&lt;FT_First,FT_First,IF(AT5&lt;FT_Y5,MIN(FT_Y5,FT_First+FT_Int1*(INT((AT5-FT_First)/FT_Int1)+1)),FT_Y5+12*INT((AT5-FT_Y5)/12)+FT_Int2*(INT(MOD(AT5-FT_Y5,12)/FT_Int2)+1))),IF(AS5="PT",IF(AT5&lt;PT_First,PT_First,PT_First+PT_Int*(INT((AT5-PT_First)/PT_Int)+1)),"")))</f>
        <v/>
      </c>
      <c r="BC5" s="14" t="str">
        <f aca="false">IF(AG5=0,"",IF(NOT(LH_Ready),0,COUNTIFS(INDEX(LH_Data,0,LH_ColFirst),$A5,INDEX(LH_Data,0,LH_ColSur),$B5,INDEX(LH_Data,0,LH_ColCat),BonusCat)))</f>
        <v/>
      </c>
      <c r="BD5" s="14" t="str">
        <f aca="false">IF(AG5=0,"",IF(OR(NOT(LH_Ready),BC5=0),0,SUMPRODUCT(MAX((INDEX(LH_Data,0,LH_ColFirst)=$A5)*(INDEX(LH_Data,0,LH_ColSur)=$B5)*(INDEX(LH_Data,0,LH_ColCat)=BonusCat)*ROW(LH_Data)))))</f>
        <v/>
      </c>
      <c r="BE5" s="14" t="str">
        <f aca="false">IF(AG5=0,"",IF(EOMONTH(AsOfDate,-1)&lt;AH5,-1,12*(YEAR(EOMONTH(AsOfDate,-1))-YEAR(AH5))+MONTH(EOMONTH(AsOfDate,-1))-MONTH(AH5)-IF(DAY(EOMONTH(AsOfDate,-1))&lt;MIN(DAY(AH5),DAY(EOMONTH(EOMONTH(AsOfDate,-1),0))),1,0)))</f>
        <v/>
      </c>
      <c r="BF5" s="14" t="str">
        <f aca="false">IF(AG5=0,"",IF(OR(AI5&lt;2,AK5&gt;EOMONTH(AsOfDate,-1)),BE5,IF((AK5-1)&lt;AH5,-1,12*(YEAR((AK5-1))-YEAR(AH5))+MONTH((AK5-1))-MONTH(AH5)-IF(DAY((AK5-1))&lt;MIN(DAY(AH5),DAY(EOMONTH((AK5-1),0))),1,0))))</f>
        <v/>
      </c>
      <c r="BG5" s="14" t="str">
        <f aca="false">IF(AG5=0,"",IF(OR(AI5&lt;3,AL5&gt;EOMONTH(AsOfDate,-1)),BE5,IF((AL5-1)&lt;AH5,-1,12*(YEAR((AL5-1))-YEAR(AH5))+MONTH((AL5-1))-MONTH(AH5)-IF(DAY((AL5-1))&lt;MIN(DAY(AH5),DAY(EOMONTH((AL5-1),0))),1,0))))</f>
        <v/>
      </c>
      <c r="BH5" s="14" t="str">
        <f aca="false">IF(AG5=0,"",IF(AP5="FT",IF(BF5&lt;FT_First,0,IF(BF5&lt;FT_Y5,1+INT((BF5-FT_First)/FT_Int1),FT_PreY5+FT_PerYear*INT((BF5-FT_Y5)/12)+FT_AnnivDays+INT(MOD(BF5-FT_Y5,12)/FT_Int2))),IF(AP5="PT",IF(BF5&lt;PT_First,0,1+INT((BF5-PT_First)/PT_Int)),0))+IF(AND(AI5&gt;=2,AK5&lt;=EOMONTH(AsOfDate,-1)),IF(AQ5="FT",IF(BG5&lt;FT_First,0,IF(BG5&lt;FT_Y5,1+INT((BG5-FT_First)/FT_Int1),FT_PreY5+FT_PerYear*INT((BG5-FT_Y5)/12)+FT_AnnivDays+INT(MOD(BG5-FT_Y5,12)/FT_Int2))),IF(AQ5="PT",IF(BG5&lt;PT_First,0,1+INT((BG5-PT_First)/PT_Int)),0))-IF(AQ5="FT",IF(BF5&lt;FT_First,0,IF(BF5&lt;FT_Y5,1+INT((BF5-FT_First)/FT_Int1),FT_PreY5+FT_PerYear*INT((BF5-FT_Y5)/12)+FT_AnnivDays+INT(MOD(BF5-FT_Y5,12)/FT_Int2))),IF(AQ5="PT",IF(BF5&lt;PT_First,0,1+INT((BF5-PT_First)/PT_Int)),0)),0)+IF(AND(AI5&gt;=3,AL5&lt;=EOMONTH(AsOfDate,-1)),IF(AR5="FT",IF(BE5&lt;FT_First,0,IF(BE5&lt;FT_Y5,1+INT((BE5-FT_First)/FT_Int1),FT_PreY5+FT_PerYear*INT((BE5-FT_Y5)/12)+FT_AnnivDays+INT(MOD(BE5-FT_Y5,12)/FT_Int2))),IF(AR5="PT",IF(BE5&lt;PT_First,0,1+INT((BE5-PT_First)/PT_Int)),0))-IF(AR5="FT",IF(BG5&lt;FT_First,0,IF(BG5&lt;FT_Y5,1+INT((BG5-FT_First)/FT_Int1),FT_PreY5+FT_PerYear*INT((BG5-FT_Y5)/12)+FT_AnnivDays+INT(MOD(BG5-FT_Y5,12)/FT_Int2))),IF(AR5="PT",IF(BG5&lt;PT_First,0,1+INT((BG5-PT_First)/PT_Int)),0)),0))</f>
        <v/>
      </c>
      <c r="BI5" s="14" t="str">
        <f aca="false">IF(AG5=0,"",IF(AS5="FT",IF(AT5&lt;FT_First,"",IF(AT5&lt;FT_Y5,FT_First+FT_Int1*INT((AT5-FT_First)/FT_Int1),FT_Y5+FT_Int2*INT((AT5-FT_Y5)/FT_Int2))),IF(AS5="PT",IF(AT5&lt;PT_First,"",PT_First+PT_Int*INT((AT5-PT_First)/PT_Int)),"")))</f>
        <v/>
      </c>
      <c r="BJ5" s="0" t="str">
        <f aca="false">IF(LEN($A5&amp;$B5)=0,"",$A5&amp;" "&amp;$B5)</f>
        <v/>
      </c>
    </row>
    <row r="6" customFormat="false" ht="15" hidden="false" customHeight="false" outlineLevel="0" collapsed="false">
      <c r="A6" s="10"/>
      <c r="B6" s="10"/>
      <c r="C6" s="10"/>
      <c r="D6" s="11"/>
      <c r="E6" s="12" t="str">
        <f aca="false">IF(OR(AG6=0,$D6=""),"",DATE(YEAR(AsOfDate)+IF(DATE(YEAR(AsOfDate),MONTH($D6),DAY($D6))&lt;=AsOfDate,1,0),MONTH($D6),DAY($D6)))</f>
        <v/>
      </c>
      <c r="F6" s="11"/>
      <c r="G6" s="11"/>
      <c r="H6" s="11"/>
      <c r="I6" s="11"/>
      <c r="J6" s="11"/>
      <c r="K6" s="12" t="str">
        <f aca="false">IF(AG6=0,"",DATE(YEAR(AsOfDate)+IF(DATE(YEAR(AsOfDate),MONTH(AH6),DAY(AH6))&lt;=AsOfDate,1,0),MONTH(AH6),DAY(AH6)))</f>
        <v/>
      </c>
      <c r="L6" s="13" t="str">
        <f aca="false">IF(AG6=0,"",ROUND((AsOfDate-AH6)/365.25,1))</f>
        <v/>
      </c>
      <c r="M6" s="14" t="str">
        <f aca="false">IF(AG6=0,"",IF(AsOfDate&lt;AH6,"-",DATEDIF(AH6,AsOfDate,"y")&amp;"y "&amp;DATEDIF(AH6,AsOfDate,"ym")&amp;"m "&amp;DATEDIF(AH6,AsOfDate,"md")&amp;"d"))</f>
        <v/>
      </c>
      <c r="N6" s="15" t="str">
        <f aca="false">IF(AG6=0,"",O6*HoursPerDay)</f>
        <v/>
      </c>
      <c r="O6" s="15" t="str">
        <f aca="false">IF(AG6=0,"",AZ6)</f>
        <v/>
      </c>
      <c r="P6" s="16"/>
      <c r="Q6" s="14" t="str">
        <f aca="false">IF(AG6=0,"",IF(AI6&lt;2,"",AM6&amp;" to "&amp;AN6&amp;" on "&amp;TEXT(AK6,"dd/mm/yyyy")&amp;IF(AK6&gt;AsOfDate," (future)",IF(AP6=AQ6,"",IF(AQ6="None"," - STOPPED accruing",IF(AP6="None"," - commencement for Bonus Leave"," - pathway changed"))))&amp;IF(AI6&lt;3,"","; "&amp;AN6&amp;" to "&amp;AO6&amp;" on "&amp;TEXT(AL6,"dd/mm/yyyy")&amp;IF(AL6&gt;AsOfDate," (future)",IF(AQ6=AR6,"",IF(AR6="None"," - STOPPED accruing",IF(AQ6="None"," - commencement for Bonus Leave"," - pathway changed")))))))</f>
        <v/>
      </c>
      <c r="R6" s="14" t="str">
        <f aca="false">IF(AG6=0,"",IF(AS6="None",IF(O6&gt;0,"No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2" t="str">
        <f aca="false">IF(AG6=0,"",IF(AS6="None","",EDATE(AH6,BB6)))</f>
        <v/>
      </c>
      <c r="T6" s="15" t="str">
        <f aca="false">IF(AG6=0,"",IF(NOT(LH_Ready),"",IF(AH6&gt;PFYDate,0,IF(LH_ColPeriod=0,W6-U6+V6,SUMIFS(INDEX(LH_Data,0,LH_ColAcc),INDEX(LH_Data,0,LH_ColFirst),$A6,INDEX(LH_Data,0,LH_ColSur),$B6,INDEX(LH_Data,0,LH_ColCat),BonusCat,INDEX(LH_Data,0,LH_ColPeriod),LH_OpenLabel)*UnitFactor))))</f>
        <v/>
      </c>
      <c r="U6" s="15" t="str">
        <f aca="false">IF(AG6=0,"",IF(NOT(LH_Ready),"",SUMIFS(INDEX(LH_Data,0,LH_ColAcc),INDEX(LH_Data,0,LH_ColFirst),$A6,INDEX(LH_Data,0,LH_ColSur),$B6,INDEX(LH_Data,0,LH_ColCat),BonusCat,INDEX(LH_Data,0,LH_ColStart),"&gt;="&amp;AH6)*UnitFactor))</f>
        <v/>
      </c>
      <c r="V6" s="15" t="str">
        <f aca="false">IF(AG6=0,"",IF(NOT(LH_Ready),"",SUMIFS(INDEX(LH_Data,0,LH_ColTaken),INDEX(LH_Data,0,LH_ColFirst),$A6,INDEX(LH_Data,0,LH_ColSur),$B6,INDEX(LH_Data,0,LH_ColCat),BonusCat,INDEX(LH_Data,0,LH_ColStart),"&gt;="&amp;AH6)*UnitFactor))</f>
        <v/>
      </c>
      <c r="W6" s="15" t="str">
        <f aca="false">IF(AG6=0,"",IF(NOT(LH_Ready),"",IF(BD6=0,0,INDEX(INDEX(LH_Data,0,LH_ColClose),BD6-1)*UnitFactor)))</f>
        <v/>
      </c>
      <c r="X6" s="15" t="str">
        <f aca="false">IF(AG6=0,"",(AZ6-BA6)*HoursPerDay)</f>
        <v/>
      </c>
      <c r="Y6" s="15" t="str">
        <f aca="false">IF(AG6=0,"",IF(NOT(LH_Ready),"",IF(BC6=0,N6,IF(PFYDate&lt;$F6,N6-N(T6)-N(U6),X6-N(U6)))))</f>
        <v/>
      </c>
      <c r="Z6" s="14" t="str">
        <f aca="false">IF(OR(AG6=0,Y6=""),"",IF(Y6&gt;0,"Yes","No"))</f>
        <v/>
      </c>
      <c r="AA6" s="14" t="str">
        <f aca="false">IF(AG6=0,IF(LEN($A6&amp;$B6)=0,"","FIX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month")&amp;IF(BC6=0,";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EH)",""),IF(AS6="None",R6,"Not yet - first day on "&amp;TEXT(S6,"dd/mm/yyyy")))))))))</f>
        <v/>
      </c>
      <c r="AB6" s="15" t="str">
        <f aca="false">IF(OR(AG6=0,T6=""),"",BA6*HoursPerDay-T6)</f>
        <v/>
      </c>
      <c r="AC6" s="14" t="str">
        <f aca="false">IF(AG6=0,"",BC6)</f>
        <v/>
      </c>
      <c r="AD6" s="14" t="str">
        <f aca="false">IF(AG6=0,"",TRIM(IF(OR(ISTEXT($F6),ISTEXT($H6),ISTEXT($I6),ISTEXT($G6),ISTEXT($J6),ISTEXT($D6)),"A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I6&gt;=1,IF(AI6&gt;=3,AO6,IF(AI6=2,AN6,AM6))&lt;&gt;IF($C6="","",IF(OR(ISNUMBER(SEARCH("full",$C6)),UPPER(TRIM($C6))="FT",UPPER(TRIM($C6))="FTE"),"Full-Time",IF(OR(ISNUMBER(SEARCH("part",$C6)),UPPER(TRIM($C6))="PT",UPPER(TRIM($C6))="PTE"),"Part-Time",IF(OR(ISNUMBER(SEARCH("cas",$C6)),UPPER(TRIM($C6))="CAS"),"Casual","Unknown"))))),"EmploymentType does not match latest start date ("&amp;IF(AI6&gt;=3,AO6,IF(AI6=2,AN6,AM6))&amp;"). ","")&amp;IF(AND(AI6&gt;=1,AJ6&lt;&gt;$F6),"Earliest type date should equal StartDate. ","")&amp;IF(AND(AI6&gt;=2,AJ6=AK6),"Two types start on the same date. ","")&amp;IF(AND(OR(ISNUMBER(SEARCH("part",$C6)),UPPER(TRIM($C6))="PT",UPPER(TRIM($C6))="PTE"),$P6=""),"Part-time: enter PT Hrs/Week (blank = 24+). ","")))</f>
        <v/>
      </c>
      <c r="AE6" s="15" t="str">
        <f aca="false">IF(AG6=0,"",O6-BH6)</f>
        <v/>
      </c>
      <c r="AF6" s="12" t="str">
        <f aca="false">IF(OR(AG6=0,AE6="",N(AE6)=0,BI6=""),"",EDATE(AH6,BI6))</f>
        <v/>
      </c>
      <c r="AG6" s="14" t="n">
        <f aca="false">IF(OR(LEN($A6&amp;$B6)=0,$F6=""),0,1)</f>
        <v>0</v>
      </c>
      <c r="AH6" s="12" t="str">
        <f aca="false">IF(AG6=0,"",IF($J6&lt;&gt;"",$J6,IF(OR(CasualCounts="Yes",COUNT($G6:$I6)=0,COUNT($H6:$I6)=0),$F6,MIN($H6:$I6))))</f>
        <v/>
      </c>
      <c r="AI6" s="14" t="str">
        <f aca="false">IF(AG6=0,"",COUNT($G6:$I6))</f>
        <v/>
      </c>
      <c r="AJ6" s="12" t="str">
        <f aca="false">IF(AG6=0,"",IFERROR(SMALL($G6:$I6,1),""))</f>
        <v/>
      </c>
      <c r="AK6" s="12" t="str">
        <f aca="false">IF(AG6=0,"",IFERROR(SMALL($G6:$I6,2),""))</f>
        <v/>
      </c>
      <c r="AL6" s="12" t="str">
        <f aca="false">IF(AG6=0,"",IFERROR(SMALL($G6:$I6,3),""))</f>
        <v/>
      </c>
      <c r="AM6" s="14" t="str">
        <f aca="false">IF(AG6=0,"",IF(AJ6="","",IF(AJ6=$H6,"Part-Time",IF(AJ6=$I6,"Full-Time","Casual"))))</f>
        <v/>
      </c>
      <c r="AN6" s="14" t="str">
        <f aca="false">IF(AG6=0,"",IF(AK6="","",IF(AK6=$H6,"Part-Time",IF(AK6=$I6,"Full-Time","Casual"))))</f>
        <v/>
      </c>
      <c r="AO6" s="14" t="str">
        <f aca="false">IF(AG6=0,"",IF(AL6="","",IF(AL6=$H6,"Part-Time",IF(AL6=$I6,"Full-Time","Casual"))))</f>
        <v/>
      </c>
      <c r="AP6" s="14" t="str">
        <f aca="false">IF(AG6=0,"",IF(AI6=0,IF(OR(ISNUMBER(SEARCH("full",$C6)),UPPER(TRIM($C6))="FT",UPPER(TRIM($C6))="FTE"),"FT",IF(AND(OR(ISNUMBER(SEARCH("part",$C6)),UPPER(TRIM($C6))="PT",UPPER(TRIM($C6))="PTE"),OR($P6="",N($P6)&gt;=PT_MinHours)),"PT","None")),IF(OR(ISNUMBER(SEARCH("full",AM6)),UPPER(TRIM(AM6))="FT",UPPER(TRIM(AM6))="FTE"),"FT",IF(AND(OR(ISNUMBER(SEARCH("part",AM6)),UPPER(TRIM(AM6))="PT",UPPER(TRIM(AM6))="PTE"),OR($P6="",N($P6)&gt;=PT_MinHours)),"PT","None"))))</f>
        <v/>
      </c>
      <c r="AQ6" s="14" t="str">
        <f aca="false">IF(AG6=0,"",IF(AI6&lt;2,"",IF(OR(ISNUMBER(SEARCH("full",AN6)),UPPER(TRIM(AN6))="FT",UPPER(TRIM(AN6))="FTE"),"FT",IF(AND(OR(ISNUMBER(SEARCH("part",AN6)),UPPER(TRIM(AN6))="PT",UPPER(TRIM(AN6))="PTE"),OR($P6="",N($P6)&gt;=PT_MinHours)),"PT","None"))))</f>
        <v/>
      </c>
      <c r="AR6" s="14" t="str">
        <f aca="false">IF(AG6=0,"",IF(AI6&lt;3,"",IF(OR(ISNUMBER(SEARCH("full",AO6)),UPPER(TRIM(AO6))="FT",UPPER(TRIM(AO6))="FTE"),"FT",IF(AND(OR(ISNUMBER(SEARCH("part",AO6)),UPPER(TRIM(AO6))="PT",UPPER(TRIM(AO6))="PTE"),OR($P6="",N($P6)&gt;=PT_MinHours)),"PT","None"))))</f>
        <v/>
      </c>
      <c r="AS6" s="14" t="str">
        <f aca="false">IF(AG6=0,"",IF(AND(AI6&gt;=3,AL6&lt;=AsOfDate),AR6,IF(AND(AI6&gt;=2,AK6&lt;=AsOfDate),AQ6,AP6)))</f>
        <v/>
      </c>
      <c r="AT6" s="14" t="str">
        <f aca="false">IF(AG6=0,"",IF(AsOfDate&lt;AH6,-1,12*(YEAR(AsOfDate)-YEAR(AH6))+MONTH(AsOfDate)-MONTH(AH6)-IF(DAY(AsOfDate)&lt;MIN(DAY(AH6),DAY(EOMONTH(AsOfDate,0))),1,0)))</f>
        <v/>
      </c>
      <c r="AU6" s="14" t="str">
        <f aca="false">IF(AG6=0,"",IF(OR(AI6&lt;2,AK6&gt;AsOfDate),AT6,IF((AK6-1)&lt;AH6,-1,12*(YEAR((AK6-1))-YEAR(AH6))+MONTH((AK6-1))-MONTH(AH6)-IF(DAY((AK6-1))&lt;MIN(DAY(AH6),DAY(EOMONTH((AK6-1),0))),1,0))))</f>
        <v/>
      </c>
      <c r="AV6" s="14" t="str">
        <f aca="false">IF(AG6=0,"",IF(OR(AI6&lt;3,AL6&gt;AsOfDate),AT6,IF((AL6-1)&lt;AH6,-1,12*(YEAR((AL6-1))-YEAR(AH6))+MONTH((AL6-1))-MONTH(AH6)-IF(DAY((AL6-1))&lt;MIN(DAY(AH6),DAY(EOMONTH((AL6-1),0))),1,0))))</f>
        <v/>
      </c>
      <c r="AW6" s="14" t="str">
        <f aca="false">IF(AG6=0,"",IF(PFYDate&lt;AH6,-1,12*(YEAR(PFYDate)-YEAR(AH6))+MONTH(PFYDate)-MONTH(AH6)-IF(DAY(PFYDate)&lt;MIN(DAY(AH6),DAY(EOMONTH(PFYDate,0))),1,0)))</f>
        <v/>
      </c>
      <c r="AX6" s="14" t="str">
        <f aca="false">IF(AG6=0,"",IF(OR(AI6&lt;2,AK6&gt;PFYDate),AW6,IF((AK6-1)&lt;AH6,-1,12*(YEAR((AK6-1))-YEAR(AH6))+MONTH((AK6-1))-MONTH(AH6)-IF(DAY((AK6-1))&lt;MIN(DAY(AH6),DAY(EOMONTH((AK6-1),0))),1,0))))</f>
        <v/>
      </c>
      <c r="AY6" s="14" t="str">
        <f aca="false">IF(AG6=0,"",IF(OR(AI6&lt;3,AL6&gt;PFYDate),AW6,IF((AL6-1)&lt;AH6,-1,12*(YEAR((AL6-1))-YEAR(AH6))+MONTH((AL6-1))-MONTH(AH6)-IF(DAY((AL6-1))&lt;MIN(DAY(AH6),DAY(EOMONTH((AL6-1),0))),1,0))))</f>
        <v/>
      </c>
      <c r="AZ6" s="14" t="str">
        <f aca="false">IF(AG6=0,"",IF(AP6="FT",IF(AU6&lt;FT_First,0,IF(AU6&lt;FT_Y5,1+INT((AU6-FT_First)/FT_Int1),FT_PreY5+FT_PerYear*INT((AU6-FT_Y5)/12)+FT_AnnivDays+INT(MOD(AU6-FT_Y5,12)/FT_Int2))),IF(AP6="PT",IF(AU6&lt;PT_First,0,1+INT((AU6-PT_First)/PT_Int)),0))+IF(AND(AI6&gt;=2,AK6&lt;=AsOfDate),IF(AQ6="FT",IF(AV6&lt;FT_First,0,IF(AV6&lt;FT_Y5,1+INT((AV6-FT_First)/FT_Int1),FT_PreY5+FT_PerYear*INT((AV6-FT_Y5)/12)+FT_AnnivDays+INT(MOD(AV6-FT_Y5,12)/FT_Int2))),IF(AQ6="PT",IF(AV6&lt;PT_First,0,1+INT((AV6-PT_First)/PT_Int)),0))-IF(AQ6="FT",IF(AU6&lt;FT_First,0,IF(AU6&lt;FT_Y5,1+INT((AU6-FT_First)/FT_Int1),FT_PreY5+FT_PerYear*INT((AU6-FT_Y5)/12)+FT_AnnivDays+INT(MOD(AU6-FT_Y5,12)/FT_Int2))),IF(AQ6="PT",IF(AU6&lt;PT_First,0,1+INT((AU6-PT_First)/PT_Int)),0)),0)+IF(AND(AI6&gt;=3,AL6&lt;=AsOfDate),IF(AR6="FT",IF(AT6&lt;FT_First,0,IF(AT6&lt;FT_Y5,1+INT((AT6-FT_First)/FT_Int1),FT_PreY5+FT_PerYear*INT((AT6-FT_Y5)/12)+FT_AnnivDays+INT(MOD(AT6-FT_Y5,12)/FT_Int2))),IF(AR6="PT",IF(AT6&lt;PT_First,0,1+INT((AT6-PT_First)/PT_Int)),0))-IF(AR6="FT",IF(AV6&lt;FT_First,0,IF(AV6&lt;FT_Y5,1+INT((AV6-FT_First)/FT_Int1),FT_PreY5+FT_PerYear*INT((AV6-FT_Y5)/12)+FT_AnnivDays+INT(MOD(AV6-FT_Y5,12)/FT_Int2))),IF(AR6="PT",IF(AV6&lt;PT_First,0,1+INT((AV6-PT_First)/PT_Int)),0)),0))</f>
        <v/>
      </c>
      <c r="BA6" s="14" t="str">
        <f aca="false">IF(AG6=0,"",IF(AP6="FT",IF(AX6&lt;FT_First,0,IF(AX6&lt;FT_Y5,1+INT((AX6-FT_First)/FT_Int1),FT_PreY5+FT_PerYear*INT((AX6-FT_Y5)/12)+FT_AnnivDays+INT(MOD(AX6-FT_Y5,12)/FT_Int2))),IF(AP6="PT",IF(AX6&lt;PT_First,0,1+INT((AX6-PT_First)/PT_Int)),0))+IF(AND(AI6&gt;=2,AK6&lt;=PFYDate),IF(AQ6="FT",IF(AY6&lt;FT_First,0,IF(AY6&lt;FT_Y5,1+INT((AY6-FT_First)/FT_Int1),FT_PreY5+FT_PerYear*INT((AY6-FT_Y5)/12)+FT_AnnivDays+INT(MOD(AY6-FT_Y5,12)/FT_Int2))),IF(AQ6="PT",IF(AY6&lt;PT_First,0,1+INT((AY6-PT_First)/PT_Int)),0))-IF(AQ6="FT",IF(AX6&lt;FT_First,0,IF(AX6&lt;FT_Y5,1+INT((AX6-FT_First)/FT_Int1),FT_PreY5+FT_PerYear*INT((AX6-FT_Y5)/12)+FT_AnnivDays+INT(MOD(AX6-FT_Y5,12)/FT_Int2))),IF(AQ6="PT",IF(AX6&lt;PT_First,0,1+INT((AX6-PT_First)/PT_Int)),0)),0)+IF(AND(AI6&gt;=3,AL6&lt;=PFYDate),IF(AR6="FT",IF(AW6&lt;FT_First,0,IF(AW6&lt;FT_Y5,1+INT((AW6-FT_First)/FT_Int1),FT_PreY5+FT_PerYear*INT((AW6-FT_Y5)/12)+FT_AnnivDays+INT(MOD(AW6-FT_Y5,12)/FT_Int2))),IF(AR6="PT",IF(AW6&lt;PT_First,0,1+INT((AW6-PT_First)/PT_Int)),0))-IF(AR6="FT",IF(AY6&lt;FT_First,0,IF(AY6&lt;FT_Y5,1+INT((AY6-FT_First)/FT_Int1),FT_PreY5+FT_PerYear*INT((AY6-FT_Y5)/12)+FT_AnnivDays+INT(MOD(AY6-FT_Y5,12)/FT_Int2))),IF(AR6="PT",IF(AY6&lt;PT_First,0,1+INT((AY6-PT_First)/PT_Int)),0)),0))</f>
        <v/>
      </c>
      <c r="BB6" s="14" t="str">
        <f aca="false">IF(AG6=0,"",IF(AS6="FT",IF(AT6&lt;FT_First,FT_First,IF(AT6&lt;FT_Y5,MIN(FT_Y5,FT_First+FT_Int1*(INT((AT6-FT_First)/FT_Int1)+1)),FT_Y5+12*INT((AT6-FT_Y5)/12)+FT_Int2*(INT(MOD(AT6-FT_Y5,12)/FT_Int2)+1))),IF(AS6="PT",IF(AT6&lt;PT_First,PT_First,PT_First+PT_Int*(INT((AT6-PT_First)/PT_Int)+1)),"")))</f>
        <v/>
      </c>
      <c r="BC6" s="14" t="str">
        <f aca="false">IF(AG6=0,"",IF(NOT(LH_Ready),0,COUNTIFS(INDEX(LH_Data,0,LH_ColFirst),$A6,INDEX(LH_Data,0,LH_ColSur),$B6,INDEX(LH_Data,0,LH_ColCat),BonusCat)))</f>
        <v/>
      </c>
      <c r="BD6" s="14" t="str">
        <f aca="false">IF(AG6=0,"",IF(OR(NOT(LH_Ready),BC6=0),0,SUMPRODUCT(MAX((INDEX(LH_Data,0,LH_ColFirst)=$A6)*(INDEX(LH_Data,0,LH_ColSur)=$B6)*(INDEX(LH_Data,0,LH_ColCat)=BonusCat)*ROW(LH_Data)))))</f>
        <v/>
      </c>
      <c r="BE6" s="14" t="str">
        <f aca="false">IF(AG6=0,"",IF(EOMONTH(AsOfDate,-1)&lt;AH6,-1,12*(YEAR(EOMONTH(AsOfDate,-1))-YEAR(AH6))+MONTH(EOMONTH(AsOfDate,-1))-MONTH(AH6)-IF(DAY(EOMONTH(AsOfDate,-1))&lt;MIN(DAY(AH6),DAY(EOMONTH(EOMONTH(AsOfDate,-1),0))),1,0)))</f>
        <v/>
      </c>
      <c r="BF6" s="14" t="str">
        <f aca="false">IF(AG6=0,"",IF(OR(AI6&lt;2,AK6&gt;EOMONTH(AsOfDate,-1)),BE6,IF((AK6-1)&lt;AH6,-1,12*(YEAR((AK6-1))-YEAR(AH6))+MONTH((AK6-1))-MONTH(AH6)-IF(DAY((AK6-1))&lt;MIN(DAY(AH6),DAY(EOMONTH((AK6-1),0))),1,0))))</f>
        <v/>
      </c>
      <c r="BG6" s="14" t="str">
        <f aca="false">IF(AG6=0,"",IF(OR(AI6&lt;3,AL6&gt;EOMONTH(AsOfDate,-1)),BE6,IF((AL6-1)&lt;AH6,-1,12*(YEAR((AL6-1))-YEAR(AH6))+MONTH((AL6-1))-MONTH(AH6)-IF(DAY((AL6-1))&lt;MIN(DAY(AH6),DAY(EOMONTH((AL6-1),0))),1,0))))</f>
        <v/>
      </c>
      <c r="BH6" s="14" t="str">
        <f aca="false">IF(AG6=0,"",IF(AP6="FT",IF(BF6&lt;FT_First,0,IF(BF6&lt;FT_Y5,1+INT((BF6-FT_First)/FT_Int1),FT_PreY5+FT_PerYear*INT((BF6-FT_Y5)/12)+FT_AnnivDays+INT(MOD(BF6-FT_Y5,12)/FT_Int2))),IF(AP6="PT",IF(BF6&lt;PT_First,0,1+INT((BF6-PT_First)/PT_Int)),0))+IF(AND(AI6&gt;=2,AK6&lt;=EOMONTH(AsOfDate,-1)),IF(AQ6="FT",IF(BG6&lt;FT_First,0,IF(BG6&lt;FT_Y5,1+INT((BG6-FT_First)/FT_Int1),FT_PreY5+FT_PerYear*INT((BG6-FT_Y5)/12)+FT_AnnivDays+INT(MOD(BG6-FT_Y5,12)/FT_Int2))),IF(AQ6="PT",IF(BG6&lt;PT_First,0,1+INT((BG6-PT_First)/PT_Int)),0))-IF(AQ6="FT",IF(BF6&lt;FT_First,0,IF(BF6&lt;FT_Y5,1+INT((BF6-FT_First)/FT_Int1),FT_PreY5+FT_PerYear*INT((BF6-FT_Y5)/12)+FT_AnnivDays+INT(MOD(BF6-FT_Y5,12)/FT_Int2))),IF(AQ6="PT",IF(BF6&lt;PT_First,0,1+INT((BF6-PT_First)/PT_Int)),0)),0)+IF(AND(AI6&gt;=3,AL6&lt;=EOMONTH(AsOfDate,-1)),IF(AR6="FT",IF(BE6&lt;FT_First,0,IF(BE6&lt;FT_Y5,1+INT((BE6-FT_First)/FT_Int1),FT_PreY5+FT_PerYear*INT((BE6-FT_Y5)/12)+FT_AnnivDays+INT(MOD(BE6-FT_Y5,12)/FT_Int2))),IF(AR6="PT",IF(BE6&lt;PT_First,0,1+INT((BE6-PT_First)/PT_Int)),0))-IF(AR6="FT",IF(BG6&lt;FT_First,0,IF(BG6&lt;FT_Y5,1+INT((BG6-FT_First)/FT_Int1),FT_PreY5+FT_PerYear*INT((BG6-FT_Y5)/12)+FT_AnnivDays+INT(MOD(BG6-FT_Y5,12)/FT_Int2))),IF(AR6="PT",IF(BG6&lt;PT_First,0,1+INT((BG6-PT_First)/PT_Int)),0)),0))</f>
        <v/>
      </c>
      <c r="BI6" s="14" t="str">
        <f aca="false">IF(AG6=0,"",IF(AS6="FT",IF(AT6&lt;FT_First,"",IF(AT6&lt;FT_Y5,FT_First+FT_Int1*INT((AT6-FT_First)/FT_Int1),FT_Y5+FT_Int2*INT((AT6-FT_Y5)/FT_Int2))),IF(AS6="PT",IF(AT6&lt;PT_First,"",PT_First+PT_Int*INT((AT6-PT_First)/PT_Int)),"")))</f>
        <v/>
      </c>
      <c r="BJ6" s="0" t="str">
        <f aca="false">IF(LEN($A6&amp;$B6)=0,"",$A6&amp;" "&amp;$B6)</f>
        <v/>
      </c>
    </row>
    <row r="7" customFormat="false" ht="15" hidden="false" customHeight="false" outlineLevel="0" collapsed="false">
      <c r="A7" s="10"/>
      <c r="B7" s="10"/>
      <c r="C7" s="10"/>
      <c r="D7" s="11"/>
      <c r="E7" s="12" t="str">
        <f aca="false">IF(OR(AG7=0,$D7=""),"",DATE(YEAR(AsOfDate)+IF(DATE(YEAR(AsOfDate),MONTH($D7),DAY($D7))&lt;=AsOfDate,1,0),MONTH($D7),DAY($D7)))</f>
        <v/>
      </c>
      <c r="F7" s="11"/>
      <c r="G7" s="11"/>
      <c r="H7" s="11"/>
      <c r="I7" s="11"/>
      <c r="J7" s="11"/>
      <c r="K7" s="12" t="str">
        <f aca="false">IF(AG7=0,"",DATE(YEAR(AsOfDate)+IF(DATE(YEAR(AsOfDate),MONTH(AH7),DAY(AH7))&lt;=AsOfDate,1,0),MONTH(AH7),DAY(AH7)))</f>
        <v/>
      </c>
      <c r="L7" s="13" t="str">
        <f aca="false">IF(AG7=0,"",ROUND((AsOfDate-AH7)/365.25,1))</f>
        <v/>
      </c>
      <c r="M7" s="14" t="str">
        <f aca="false">IF(AG7=0,"",IF(AsOfDate&lt;AH7,"-",DATEDIF(AH7,AsOfDate,"y")&amp;"y "&amp;DATEDIF(AH7,AsOfDate,"ym")&amp;"m "&amp;DATEDIF(AH7,AsOfDate,"md")&amp;"d"))</f>
        <v/>
      </c>
      <c r="N7" s="15" t="str">
        <f aca="false">IF(AG7=0,"",O7*HoursPerDay)</f>
        <v/>
      </c>
      <c r="O7" s="15" t="str">
        <f aca="false">IF(AG7=0,"",AZ7)</f>
        <v/>
      </c>
      <c r="P7" s="16"/>
      <c r="Q7" s="14" t="str">
        <f aca="false">IF(AG7=0,"",IF(AI7&lt;2,"",AM7&amp;" to "&amp;AN7&amp;" on "&amp;TEXT(AK7,"dd/mm/yyyy")&amp;IF(AK7&gt;AsOfDate," (future)",IF(AP7=AQ7,"",IF(AQ7="None"," - STOPPED accruing",IF(AP7="None"," - commencement for Bonus Leave"," - pathway changed"))))&amp;IF(AI7&lt;3,"","; "&amp;AN7&amp;" to "&amp;AO7&amp;" on "&amp;TEXT(AL7,"dd/mm/yyyy")&amp;IF(AL7&gt;AsOfDate," (future)",IF(AQ7=AR7,"",IF(AR7="None"," - STOPPED accruing",IF(AQ7="None"," - commencement for Bonus Leave"," - pathway changed")))))))</f>
        <v/>
      </c>
      <c r="R7" s="14" t="str">
        <f aca="false">IF(AG7=0,"",IF(AS7="None",IF(O7&gt;0,"No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2" t="str">
        <f aca="false">IF(AG7=0,"",IF(AS7="None","",EDATE(AH7,BB7)))</f>
        <v/>
      </c>
      <c r="T7" s="15" t="str">
        <f aca="false">IF(AG7=0,"",IF(NOT(LH_Ready),"",IF(AH7&gt;PFYDate,0,IF(LH_ColPeriod=0,W7-U7+V7,SUMIFS(INDEX(LH_Data,0,LH_ColAcc),INDEX(LH_Data,0,LH_ColFirst),$A7,INDEX(LH_Data,0,LH_ColSur),$B7,INDEX(LH_Data,0,LH_ColCat),BonusCat,INDEX(LH_Data,0,LH_ColPeriod),LH_OpenLabel)*UnitFactor))))</f>
        <v/>
      </c>
      <c r="U7" s="15" t="str">
        <f aca="false">IF(AG7=0,"",IF(NOT(LH_Ready),"",SUMIFS(INDEX(LH_Data,0,LH_ColAcc),INDEX(LH_Data,0,LH_ColFirst),$A7,INDEX(LH_Data,0,LH_ColSur),$B7,INDEX(LH_Data,0,LH_ColCat),BonusCat,INDEX(LH_Data,0,LH_ColStart),"&gt;="&amp;AH7)*UnitFactor))</f>
        <v/>
      </c>
      <c r="V7" s="15" t="str">
        <f aca="false">IF(AG7=0,"",IF(NOT(LH_Ready),"",SUMIFS(INDEX(LH_Data,0,LH_ColTaken),INDEX(LH_Data,0,LH_ColFirst),$A7,INDEX(LH_Data,0,LH_ColSur),$B7,INDEX(LH_Data,0,LH_ColCat),BonusCat,INDEX(LH_Data,0,LH_ColStart),"&gt;="&amp;AH7)*UnitFactor))</f>
        <v/>
      </c>
      <c r="W7" s="15" t="str">
        <f aca="false">IF(AG7=0,"",IF(NOT(LH_Ready),"",IF(BD7=0,0,INDEX(INDEX(LH_Data,0,LH_ColClose),BD7-1)*UnitFactor)))</f>
        <v/>
      </c>
      <c r="X7" s="15" t="str">
        <f aca="false">IF(AG7=0,"",(AZ7-BA7)*HoursPerDay)</f>
        <v/>
      </c>
      <c r="Y7" s="15" t="str">
        <f aca="false">IF(AG7=0,"",IF(NOT(LH_Ready),"",IF(BC7=0,N7,IF(PFYDate&lt;$F7,N7-N(T7)-N(U7),X7-N(U7)))))</f>
        <v/>
      </c>
      <c r="Z7" s="14" t="str">
        <f aca="false">IF(OR(AG7=0,Y7=""),"",IF(Y7&gt;0,"Yes","No"))</f>
        <v/>
      </c>
      <c r="AA7" s="14" t="str">
        <f aca="false">IF(AG7=0,IF(LEN($A7&amp;$B7)=0,"","FIX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month")&amp;IF(BC7=0,";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EH)",""),IF(AS7="None",R7,"Not yet - first day on "&amp;TEXT(S7,"dd/mm/yyyy")))))))))</f>
        <v/>
      </c>
      <c r="AB7" s="15" t="str">
        <f aca="false">IF(OR(AG7=0,T7=""),"",BA7*HoursPerDay-T7)</f>
        <v/>
      </c>
      <c r="AC7" s="14" t="str">
        <f aca="false">IF(AG7=0,"",BC7)</f>
        <v/>
      </c>
      <c r="AD7" s="14" t="str">
        <f aca="false">IF(AG7=0,"",TRIM(IF(OR(ISTEXT($F7),ISTEXT($H7),ISTEXT($I7),ISTEXT($G7),ISTEXT($J7),ISTEXT($D7)),"A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I7&gt;=1,IF(AI7&gt;=3,AO7,IF(AI7=2,AN7,AM7))&lt;&gt;IF($C7="","",IF(OR(ISNUMBER(SEARCH("full",$C7)),UPPER(TRIM($C7))="FT",UPPER(TRIM($C7))="FTE"),"Full-Time",IF(OR(ISNUMBER(SEARCH("part",$C7)),UPPER(TRIM($C7))="PT",UPPER(TRIM($C7))="PTE"),"Part-Time",IF(OR(ISNUMBER(SEARCH("cas",$C7)),UPPER(TRIM($C7))="CAS"),"Casual","Unknown"))))),"EmploymentType does not match latest start date ("&amp;IF(AI7&gt;=3,AO7,IF(AI7=2,AN7,AM7))&amp;"). ","")&amp;IF(AND(AI7&gt;=1,AJ7&lt;&gt;$F7),"Earliest type date should equal StartDate. ","")&amp;IF(AND(AI7&gt;=2,AJ7=AK7),"Two types start on the same date. ","")&amp;IF(AND(OR(ISNUMBER(SEARCH("part",$C7)),UPPER(TRIM($C7))="PT",UPPER(TRIM($C7))="PTE"),$P7=""),"Part-time: enter PT Hrs/Week (blank = 24+). ","")))</f>
        <v/>
      </c>
      <c r="AE7" s="15" t="str">
        <f aca="false">IF(AG7=0,"",O7-BH7)</f>
        <v/>
      </c>
      <c r="AF7" s="12" t="str">
        <f aca="false">IF(OR(AG7=0,AE7="",N(AE7)=0,BI7=""),"",EDATE(AH7,BI7))</f>
        <v/>
      </c>
      <c r="AG7" s="14" t="n">
        <f aca="false">IF(OR(LEN($A7&amp;$B7)=0,$F7=""),0,1)</f>
        <v>0</v>
      </c>
      <c r="AH7" s="12" t="str">
        <f aca="false">IF(AG7=0,"",IF($J7&lt;&gt;"",$J7,IF(OR(CasualCounts="Yes",COUNT($G7:$I7)=0,COUNT($H7:$I7)=0),$F7,MIN($H7:$I7))))</f>
        <v/>
      </c>
      <c r="AI7" s="14" t="str">
        <f aca="false">IF(AG7=0,"",COUNT($G7:$I7))</f>
        <v/>
      </c>
      <c r="AJ7" s="12" t="str">
        <f aca="false">IF(AG7=0,"",IFERROR(SMALL($G7:$I7,1),""))</f>
        <v/>
      </c>
      <c r="AK7" s="12" t="str">
        <f aca="false">IF(AG7=0,"",IFERROR(SMALL($G7:$I7,2),""))</f>
        <v/>
      </c>
      <c r="AL7" s="12" t="str">
        <f aca="false">IF(AG7=0,"",IFERROR(SMALL($G7:$I7,3),""))</f>
        <v/>
      </c>
      <c r="AM7" s="14" t="str">
        <f aca="false">IF(AG7=0,"",IF(AJ7="","",IF(AJ7=$H7,"Part-Time",IF(AJ7=$I7,"Full-Time","Casual"))))</f>
        <v/>
      </c>
      <c r="AN7" s="14" t="str">
        <f aca="false">IF(AG7=0,"",IF(AK7="","",IF(AK7=$H7,"Part-Time",IF(AK7=$I7,"Full-Time","Casual"))))</f>
        <v/>
      </c>
      <c r="AO7" s="14" t="str">
        <f aca="false">IF(AG7=0,"",IF(AL7="","",IF(AL7=$H7,"Part-Time",IF(AL7=$I7,"Full-Time","Casual"))))</f>
        <v/>
      </c>
      <c r="AP7" s="14" t="str">
        <f aca="false">IF(AG7=0,"",IF(AI7=0,IF(OR(ISNUMBER(SEARCH("full",$C7)),UPPER(TRIM($C7))="FT",UPPER(TRIM($C7))="FTE"),"FT",IF(AND(OR(ISNUMBER(SEARCH("part",$C7)),UPPER(TRIM($C7))="PT",UPPER(TRIM($C7))="PTE"),OR($P7="",N($P7)&gt;=PT_MinHours)),"PT","None")),IF(OR(ISNUMBER(SEARCH("full",AM7)),UPPER(TRIM(AM7))="FT",UPPER(TRIM(AM7))="FTE"),"FT",IF(AND(OR(ISNUMBER(SEARCH("part",AM7)),UPPER(TRIM(AM7))="PT",UPPER(TRIM(AM7))="PTE"),OR($P7="",N($P7)&gt;=PT_MinHours)),"PT","None"))))</f>
        <v/>
      </c>
      <c r="AQ7" s="14" t="str">
        <f aca="false">IF(AG7=0,"",IF(AI7&lt;2,"",IF(OR(ISNUMBER(SEARCH("full",AN7)),UPPER(TRIM(AN7))="FT",UPPER(TRIM(AN7))="FTE"),"FT",IF(AND(OR(ISNUMBER(SEARCH("part",AN7)),UPPER(TRIM(AN7))="PT",UPPER(TRIM(AN7))="PTE"),OR($P7="",N($P7)&gt;=PT_MinHours)),"PT","None"))))</f>
        <v/>
      </c>
      <c r="AR7" s="14" t="str">
        <f aca="false">IF(AG7=0,"",IF(AI7&lt;3,"",IF(OR(ISNUMBER(SEARCH("full",AO7)),UPPER(TRIM(AO7))="FT",UPPER(TRIM(AO7))="FTE"),"FT",IF(AND(OR(ISNUMBER(SEARCH("part",AO7)),UPPER(TRIM(AO7))="PT",UPPER(TRIM(AO7))="PTE"),OR($P7="",N($P7)&gt;=PT_MinHours)),"PT","None"))))</f>
        <v/>
      </c>
      <c r="AS7" s="14" t="str">
        <f aca="false">IF(AG7=0,"",IF(AND(AI7&gt;=3,AL7&lt;=AsOfDate),AR7,IF(AND(AI7&gt;=2,AK7&lt;=AsOfDate),AQ7,AP7)))</f>
        <v/>
      </c>
      <c r="AT7" s="14" t="str">
        <f aca="false">IF(AG7=0,"",IF(AsOfDate&lt;AH7,-1,12*(YEAR(AsOfDate)-YEAR(AH7))+MONTH(AsOfDate)-MONTH(AH7)-IF(DAY(AsOfDate)&lt;MIN(DAY(AH7),DAY(EOMONTH(AsOfDate,0))),1,0)))</f>
        <v/>
      </c>
      <c r="AU7" s="14" t="str">
        <f aca="false">IF(AG7=0,"",IF(OR(AI7&lt;2,AK7&gt;AsOfDate),AT7,IF((AK7-1)&lt;AH7,-1,12*(YEAR((AK7-1))-YEAR(AH7))+MONTH((AK7-1))-MONTH(AH7)-IF(DAY((AK7-1))&lt;MIN(DAY(AH7),DAY(EOMONTH((AK7-1),0))),1,0))))</f>
        <v/>
      </c>
      <c r="AV7" s="14" t="str">
        <f aca="false">IF(AG7=0,"",IF(OR(AI7&lt;3,AL7&gt;AsOfDate),AT7,IF((AL7-1)&lt;AH7,-1,12*(YEAR((AL7-1))-YEAR(AH7))+MONTH((AL7-1))-MONTH(AH7)-IF(DAY((AL7-1))&lt;MIN(DAY(AH7),DAY(EOMONTH((AL7-1),0))),1,0))))</f>
        <v/>
      </c>
      <c r="AW7" s="14" t="str">
        <f aca="false">IF(AG7=0,"",IF(PFYDate&lt;AH7,-1,12*(YEAR(PFYDate)-YEAR(AH7))+MONTH(PFYDate)-MONTH(AH7)-IF(DAY(PFYDate)&lt;MIN(DAY(AH7),DAY(EOMONTH(PFYDate,0))),1,0)))</f>
        <v/>
      </c>
      <c r="AX7" s="14" t="str">
        <f aca="false">IF(AG7=0,"",IF(OR(AI7&lt;2,AK7&gt;PFYDate),AW7,IF((AK7-1)&lt;AH7,-1,12*(YEAR((AK7-1))-YEAR(AH7))+MONTH((AK7-1))-MONTH(AH7)-IF(DAY((AK7-1))&lt;MIN(DAY(AH7),DAY(EOMONTH((AK7-1),0))),1,0))))</f>
        <v/>
      </c>
      <c r="AY7" s="14" t="str">
        <f aca="false">IF(AG7=0,"",IF(OR(AI7&lt;3,AL7&gt;PFYDate),AW7,IF((AL7-1)&lt;AH7,-1,12*(YEAR((AL7-1))-YEAR(AH7))+MONTH((AL7-1))-MONTH(AH7)-IF(DAY((AL7-1))&lt;MIN(DAY(AH7),DAY(EOMONTH((AL7-1),0))),1,0))))</f>
        <v/>
      </c>
      <c r="AZ7" s="14" t="str">
        <f aca="false">IF(AG7=0,"",IF(AP7="FT",IF(AU7&lt;FT_First,0,IF(AU7&lt;FT_Y5,1+INT((AU7-FT_First)/FT_Int1),FT_PreY5+FT_PerYear*INT((AU7-FT_Y5)/12)+FT_AnnivDays+INT(MOD(AU7-FT_Y5,12)/FT_Int2))),IF(AP7="PT",IF(AU7&lt;PT_First,0,1+INT((AU7-PT_First)/PT_Int)),0))+IF(AND(AI7&gt;=2,AK7&lt;=AsOfDate),IF(AQ7="FT",IF(AV7&lt;FT_First,0,IF(AV7&lt;FT_Y5,1+INT((AV7-FT_First)/FT_Int1),FT_PreY5+FT_PerYear*INT((AV7-FT_Y5)/12)+FT_AnnivDays+INT(MOD(AV7-FT_Y5,12)/FT_Int2))),IF(AQ7="PT",IF(AV7&lt;PT_First,0,1+INT((AV7-PT_First)/PT_Int)),0))-IF(AQ7="FT",IF(AU7&lt;FT_First,0,IF(AU7&lt;FT_Y5,1+INT((AU7-FT_First)/FT_Int1),FT_PreY5+FT_PerYear*INT((AU7-FT_Y5)/12)+FT_AnnivDays+INT(MOD(AU7-FT_Y5,12)/FT_Int2))),IF(AQ7="PT",IF(AU7&lt;PT_First,0,1+INT((AU7-PT_First)/PT_Int)),0)),0)+IF(AND(AI7&gt;=3,AL7&lt;=AsOfDate),IF(AR7="FT",IF(AT7&lt;FT_First,0,IF(AT7&lt;FT_Y5,1+INT((AT7-FT_First)/FT_Int1),FT_PreY5+FT_PerYear*INT((AT7-FT_Y5)/12)+FT_AnnivDays+INT(MOD(AT7-FT_Y5,12)/FT_Int2))),IF(AR7="PT",IF(AT7&lt;PT_First,0,1+INT((AT7-PT_First)/PT_Int)),0))-IF(AR7="FT",IF(AV7&lt;FT_First,0,IF(AV7&lt;FT_Y5,1+INT((AV7-FT_First)/FT_Int1),FT_PreY5+FT_PerYear*INT((AV7-FT_Y5)/12)+FT_AnnivDays+INT(MOD(AV7-FT_Y5,12)/FT_Int2))),IF(AR7="PT",IF(AV7&lt;PT_First,0,1+INT((AV7-PT_First)/PT_Int)),0)),0))</f>
        <v/>
      </c>
      <c r="BA7" s="14" t="str">
        <f aca="false">IF(AG7=0,"",IF(AP7="FT",IF(AX7&lt;FT_First,0,IF(AX7&lt;FT_Y5,1+INT((AX7-FT_First)/FT_Int1),FT_PreY5+FT_PerYear*INT((AX7-FT_Y5)/12)+FT_AnnivDays+INT(MOD(AX7-FT_Y5,12)/FT_Int2))),IF(AP7="PT",IF(AX7&lt;PT_First,0,1+INT((AX7-PT_First)/PT_Int)),0))+IF(AND(AI7&gt;=2,AK7&lt;=PFYDate),IF(AQ7="FT",IF(AY7&lt;FT_First,0,IF(AY7&lt;FT_Y5,1+INT((AY7-FT_First)/FT_Int1),FT_PreY5+FT_PerYear*INT((AY7-FT_Y5)/12)+FT_AnnivDays+INT(MOD(AY7-FT_Y5,12)/FT_Int2))),IF(AQ7="PT",IF(AY7&lt;PT_First,0,1+INT((AY7-PT_First)/PT_Int)),0))-IF(AQ7="FT",IF(AX7&lt;FT_First,0,IF(AX7&lt;FT_Y5,1+INT((AX7-FT_First)/FT_Int1),FT_PreY5+FT_PerYear*INT((AX7-FT_Y5)/12)+FT_AnnivDays+INT(MOD(AX7-FT_Y5,12)/FT_Int2))),IF(AQ7="PT",IF(AX7&lt;PT_First,0,1+INT((AX7-PT_First)/PT_Int)),0)),0)+IF(AND(AI7&gt;=3,AL7&lt;=PFYDate),IF(AR7="FT",IF(AW7&lt;FT_First,0,IF(AW7&lt;FT_Y5,1+INT((AW7-FT_First)/FT_Int1),FT_PreY5+FT_PerYear*INT((AW7-FT_Y5)/12)+FT_AnnivDays+INT(MOD(AW7-FT_Y5,12)/FT_Int2))),IF(AR7="PT",IF(AW7&lt;PT_First,0,1+INT((AW7-PT_First)/PT_Int)),0))-IF(AR7="FT",IF(AY7&lt;FT_First,0,IF(AY7&lt;FT_Y5,1+INT((AY7-FT_First)/FT_Int1),FT_PreY5+FT_PerYear*INT((AY7-FT_Y5)/12)+FT_AnnivDays+INT(MOD(AY7-FT_Y5,12)/FT_Int2))),IF(AR7="PT",IF(AY7&lt;PT_First,0,1+INT((AY7-PT_First)/PT_Int)),0)),0))</f>
        <v/>
      </c>
      <c r="BB7" s="14" t="str">
        <f aca="false">IF(AG7=0,"",IF(AS7="FT",IF(AT7&lt;FT_First,FT_First,IF(AT7&lt;FT_Y5,MIN(FT_Y5,FT_First+FT_Int1*(INT((AT7-FT_First)/FT_Int1)+1)),FT_Y5+12*INT((AT7-FT_Y5)/12)+FT_Int2*(INT(MOD(AT7-FT_Y5,12)/FT_Int2)+1))),IF(AS7="PT",IF(AT7&lt;PT_First,PT_First,PT_First+PT_Int*(INT((AT7-PT_First)/PT_Int)+1)),"")))</f>
        <v/>
      </c>
      <c r="BC7" s="14" t="str">
        <f aca="false">IF(AG7=0,"",IF(NOT(LH_Ready),0,COUNTIFS(INDEX(LH_Data,0,LH_ColFirst),$A7,INDEX(LH_Data,0,LH_ColSur),$B7,INDEX(LH_Data,0,LH_ColCat),BonusCat)))</f>
        <v/>
      </c>
      <c r="BD7" s="14" t="str">
        <f aca="false">IF(AG7=0,"",IF(OR(NOT(LH_Ready),BC7=0),0,SUMPRODUCT(MAX((INDEX(LH_Data,0,LH_ColFirst)=$A7)*(INDEX(LH_Data,0,LH_ColSur)=$B7)*(INDEX(LH_Data,0,LH_ColCat)=BonusCat)*ROW(LH_Data)))))</f>
        <v/>
      </c>
      <c r="BE7" s="14" t="str">
        <f aca="false">IF(AG7=0,"",IF(EOMONTH(AsOfDate,-1)&lt;AH7,-1,12*(YEAR(EOMONTH(AsOfDate,-1))-YEAR(AH7))+MONTH(EOMONTH(AsOfDate,-1))-MONTH(AH7)-IF(DAY(EOMONTH(AsOfDate,-1))&lt;MIN(DAY(AH7),DAY(EOMONTH(EOMONTH(AsOfDate,-1),0))),1,0)))</f>
        <v/>
      </c>
      <c r="BF7" s="14" t="str">
        <f aca="false">IF(AG7=0,"",IF(OR(AI7&lt;2,AK7&gt;EOMONTH(AsOfDate,-1)),BE7,IF((AK7-1)&lt;AH7,-1,12*(YEAR((AK7-1))-YEAR(AH7))+MONTH((AK7-1))-MONTH(AH7)-IF(DAY((AK7-1))&lt;MIN(DAY(AH7),DAY(EOMONTH((AK7-1),0))),1,0))))</f>
        <v/>
      </c>
      <c r="BG7" s="14" t="str">
        <f aca="false">IF(AG7=0,"",IF(OR(AI7&lt;3,AL7&gt;EOMONTH(AsOfDate,-1)),BE7,IF((AL7-1)&lt;AH7,-1,12*(YEAR((AL7-1))-YEAR(AH7))+MONTH((AL7-1))-MONTH(AH7)-IF(DAY((AL7-1))&lt;MIN(DAY(AH7),DAY(EOMONTH((AL7-1),0))),1,0))))</f>
        <v/>
      </c>
      <c r="BH7" s="14" t="str">
        <f aca="false">IF(AG7=0,"",IF(AP7="FT",IF(BF7&lt;FT_First,0,IF(BF7&lt;FT_Y5,1+INT((BF7-FT_First)/FT_Int1),FT_PreY5+FT_PerYear*INT((BF7-FT_Y5)/12)+FT_AnnivDays+INT(MOD(BF7-FT_Y5,12)/FT_Int2))),IF(AP7="PT",IF(BF7&lt;PT_First,0,1+INT((BF7-PT_First)/PT_Int)),0))+IF(AND(AI7&gt;=2,AK7&lt;=EOMONTH(AsOfDate,-1)),IF(AQ7="FT",IF(BG7&lt;FT_First,0,IF(BG7&lt;FT_Y5,1+INT((BG7-FT_First)/FT_Int1),FT_PreY5+FT_PerYear*INT((BG7-FT_Y5)/12)+FT_AnnivDays+INT(MOD(BG7-FT_Y5,12)/FT_Int2))),IF(AQ7="PT",IF(BG7&lt;PT_First,0,1+INT((BG7-PT_First)/PT_Int)),0))-IF(AQ7="FT",IF(BF7&lt;FT_First,0,IF(BF7&lt;FT_Y5,1+INT((BF7-FT_First)/FT_Int1),FT_PreY5+FT_PerYear*INT((BF7-FT_Y5)/12)+FT_AnnivDays+INT(MOD(BF7-FT_Y5,12)/FT_Int2))),IF(AQ7="PT",IF(BF7&lt;PT_First,0,1+INT((BF7-PT_First)/PT_Int)),0)),0)+IF(AND(AI7&gt;=3,AL7&lt;=EOMONTH(AsOfDate,-1)),IF(AR7="FT",IF(BE7&lt;FT_First,0,IF(BE7&lt;FT_Y5,1+INT((BE7-FT_First)/FT_Int1),FT_PreY5+FT_PerYear*INT((BE7-FT_Y5)/12)+FT_AnnivDays+INT(MOD(BE7-FT_Y5,12)/FT_Int2))),IF(AR7="PT",IF(BE7&lt;PT_First,0,1+INT((BE7-PT_First)/PT_Int)),0))-IF(AR7="FT",IF(BG7&lt;FT_First,0,IF(BG7&lt;FT_Y5,1+INT((BG7-FT_First)/FT_Int1),FT_PreY5+FT_PerYear*INT((BG7-FT_Y5)/12)+FT_AnnivDays+INT(MOD(BG7-FT_Y5,12)/FT_Int2))),IF(AR7="PT",IF(BG7&lt;PT_First,0,1+INT((BG7-PT_First)/PT_Int)),0)),0))</f>
        <v/>
      </c>
      <c r="BI7" s="14" t="str">
        <f aca="false">IF(AG7=0,"",IF(AS7="FT",IF(AT7&lt;FT_First,"",IF(AT7&lt;FT_Y5,FT_First+FT_Int1*INT((AT7-FT_First)/FT_Int1),FT_Y5+FT_Int2*INT((AT7-FT_Y5)/FT_Int2))),IF(AS7="PT",IF(AT7&lt;PT_First,"",PT_First+PT_Int*INT((AT7-PT_First)/PT_Int)),"")))</f>
        <v/>
      </c>
      <c r="BJ7" s="0" t="str">
        <f aca="false">IF(LEN($A7&amp;$B7)=0,"",$A7&amp;" "&amp;$B7)</f>
        <v/>
      </c>
    </row>
    <row r="8" customFormat="false" ht="15" hidden="false" customHeight="false" outlineLevel="0" collapsed="false">
      <c r="A8" s="10"/>
      <c r="B8" s="10"/>
      <c r="C8" s="10"/>
      <c r="D8" s="11"/>
      <c r="E8" s="12" t="str">
        <f aca="false">IF(OR(AG8=0,$D8=""),"",DATE(YEAR(AsOfDate)+IF(DATE(YEAR(AsOfDate),MONTH($D8),DAY($D8))&lt;=AsOfDate,1,0),MONTH($D8),DAY($D8)))</f>
        <v/>
      </c>
      <c r="F8" s="11"/>
      <c r="G8" s="11"/>
      <c r="H8" s="11"/>
      <c r="I8" s="11"/>
      <c r="J8" s="11"/>
      <c r="K8" s="12" t="str">
        <f aca="false">IF(AG8=0,"",DATE(YEAR(AsOfDate)+IF(DATE(YEAR(AsOfDate),MONTH(AH8),DAY(AH8))&lt;=AsOfDate,1,0),MONTH(AH8),DAY(AH8)))</f>
        <v/>
      </c>
      <c r="L8" s="13" t="str">
        <f aca="false">IF(AG8=0,"",ROUND((AsOfDate-AH8)/365.25,1))</f>
        <v/>
      </c>
      <c r="M8" s="14" t="str">
        <f aca="false">IF(AG8=0,"",IF(AsOfDate&lt;AH8,"-",DATEDIF(AH8,AsOfDate,"y")&amp;"y "&amp;DATEDIF(AH8,AsOfDate,"ym")&amp;"m "&amp;DATEDIF(AH8,AsOfDate,"md")&amp;"d"))</f>
        <v/>
      </c>
      <c r="N8" s="15" t="str">
        <f aca="false">IF(AG8=0,"",O8*HoursPerDay)</f>
        <v/>
      </c>
      <c r="O8" s="15" t="str">
        <f aca="false">IF(AG8=0,"",AZ8)</f>
        <v/>
      </c>
      <c r="P8" s="16"/>
      <c r="Q8" s="14" t="str">
        <f aca="false">IF(AG8=0,"",IF(AI8&lt;2,"",AM8&amp;" to "&amp;AN8&amp;" on "&amp;TEXT(AK8,"dd/mm/yyyy")&amp;IF(AK8&gt;AsOfDate," (future)",IF(AP8=AQ8,"",IF(AQ8="None"," - STOPPED accruing",IF(AP8="None"," - commencement for Bonus Leave"," - pathway changed"))))&amp;IF(AI8&lt;3,"","; "&amp;AN8&amp;" to "&amp;AO8&amp;" on "&amp;TEXT(AL8,"dd/mm/yyyy")&amp;IF(AL8&gt;AsOfDate," (future)",IF(AQ8=AR8,"",IF(AR8="None"," - STOPPED accruing",IF(AQ8="None"," - commencement for Bonus Leave"," - pathway changed")))))))</f>
        <v/>
      </c>
      <c r="R8" s="14" t="str">
        <f aca="false">IF(AG8=0,"",IF(AS8="None",IF(O8&gt;0,"No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2" t="str">
        <f aca="false">IF(AG8=0,"",IF(AS8="None","",EDATE(AH8,BB8)))</f>
        <v/>
      </c>
      <c r="T8" s="15" t="str">
        <f aca="false">IF(AG8=0,"",IF(NOT(LH_Ready),"",IF(AH8&gt;PFYDate,0,IF(LH_ColPeriod=0,W8-U8+V8,SUMIFS(INDEX(LH_Data,0,LH_ColAcc),INDEX(LH_Data,0,LH_ColFirst),$A8,INDEX(LH_Data,0,LH_ColSur),$B8,INDEX(LH_Data,0,LH_ColCat),BonusCat,INDEX(LH_Data,0,LH_ColPeriod),LH_OpenLabel)*UnitFactor))))</f>
        <v/>
      </c>
      <c r="U8" s="15" t="str">
        <f aca="false">IF(AG8=0,"",IF(NOT(LH_Ready),"",SUMIFS(INDEX(LH_Data,0,LH_ColAcc),INDEX(LH_Data,0,LH_ColFirst),$A8,INDEX(LH_Data,0,LH_ColSur),$B8,INDEX(LH_Data,0,LH_ColCat),BonusCat,INDEX(LH_Data,0,LH_ColStart),"&gt;="&amp;AH8)*UnitFactor))</f>
        <v/>
      </c>
      <c r="V8" s="15" t="str">
        <f aca="false">IF(AG8=0,"",IF(NOT(LH_Ready),"",SUMIFS(INDEX(LH_Data,0,LH_ColTaken),INDEX(LH_Data,0,LH_ColFirst),$A8,INDEX(LH_Data,0,LH_ColSur),$B8,INDEX(LH_Data,0,LH_ColCat),BonusCat,INDEX(LH_Data,0,LH_ColStart),"&gt;="&amp;AH8)*UnitFactor))</f>
        <v/>
      </c>
      <c r="W8" s="15" t="str">
        <f aca="false">IF(AG8=0,"",IF(NOT(LH_Ready),"",IF(BD8=0,0,INDEX(INDEX(LH_Data,0,LH_ColClose),BD8-1)*UnitFactor)))</f>
        <v/>
      </c>
      <c r="X8" s="15" t="str">
        <f aca="false">IF(AG8=0,"",(AZ8-BA8)*HoursPerDay)</f>
        <v/>
      </c>
      <c r="Y8" s="15" t="str">
        <f aca="false">IF(AG8=0,"",IF(NOT(LH_Ready),"",IF(BC8=0,N8,IF(PFYDate&lt;$F8,N8-N(T8)-N(U8),X8-N(U8)))))</f>
        <v/>
      </c>
      <c r="Z8" s="14" t="str">
        <f aca="false">IF(OR(AG8=0,Y8=""),"",IF(Y8&gt;0,"Yes","No"))</f>
        <v/>
      </c>
      <c r="AA8" s="14" t="str">
        <f aca="false">IF(AG8=0,IF(LEN($A8&amp;$B8)=0,"","FIX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month")&amp;IF(BC8=0,";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EH)",""),IF(AS8="None",R8,"Not yet - first day on "&amp;TEXT(S8,"dd/mm/yyyy")))))))))</f>
        <v/>
      </c>
      <c r="AB8" s="15" t="str">
        <f aca="false">IF(OR(AG8=0,T8=""),"",BA8*HoursPerDay-T8)</f>
        <v/>
      </c>
      <c r="AC8" s="14" t="str">
        <f aca="false">IF(AG8=0,"",BC8)</f>
        <v/>
      </c>
      <c r="AD8" s="14" t="str">
        <f aca="false">IF(AG8=0,"",TRIM(IF(OR(ISTEXT($F8),ISTEXT($H8),ISTEXT($I8),ISTEXT($G8),ISTEXT($J8),ISTEXT($D8)),"A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I8&gt;=1,IF(AI8&gt;=3,AO8,IF(AI8=2,AN8,AM8))&lt;&gt;IF($C8="","",IF(OR(ISNUMBER(SEARCH("full",$C8)),UPPER(TRIM($C8))="FT",UPPER(TRIM($C8))="FTE"),"Full-Time",IF(OR(ISNUMBER(SEARCH("part",$C8)),UPPER(TRIM($C8))="PT",UPPER(TRIM($C8))="PTE"),"Part-Time",IF(OR(ISNUMBER(SEARCH("cas",$C8)),UPPER(TRIM($C8))="CAS"),"Casual","Unknown"))))),"EmploymentType does not match latest start date ("&amp;IF(AI8&gt;=3,AO8,IF(AI8=2,AN8,AM8))&amp;"). ","")&amp;IF(AND(AI8&gt;=1,AJ8&lt;&gt;$F8),"Earliest type date should equal StartDate. ","")&amp;IF(AND(AI8&gt;=2,AJ8=AK8),"Two types start on the same date. ","")&amp;IF(AND(OR(ISNUMBER(SEARCH("part",$C8)),UPPER(TRIM($C8))="PT",UPPER(TRIM($C8))="PTE"),$P8=""),"Part-time: enter PT Hrs/Week (blank = 24+). ","")))</f>
        <v/>
      </c>
      <c r="AE8" s="15" t="str">
        <f aca="false">IF(AG8=0,"",O8-BH8)</f>
        <v/>
      </c>
      <c r="AF8" s="12" t="str">
        <f aca="false">IF(OR(AG8=0,AE8="",N(AE8)=0,BI8=""),"",EDATE(AH8,BI8))</f>
        <v/>
      </c>
      <c r="AG8" s="14" t="n">
        <f aca="false">IF(OR(LEN($A8&amp;$B8)=0,$F8=""),0,1)</f>
        <v>0</v>
      </c>
      <c r="AH8" s="12" t="str">
        <f aca="false">IF(AG8=0,"",IF($J8&lt;&gt;"",$J8,IF(OR(CasualCounts="Yes",COUNT($G8:$I8)=0,COUNT($H8:$I8)=0),$F8,MIN($H8:$I8))))</f>
        <v/>
      </c>
      <c r="AI8" s="14" t="str">
        <f aca="false">IF(AG8=0,"",COUNT($G8:$I8))</f>
        <v/>
      </c>
      <c r="AJ8" s="12" t="str">
        <f aca="false">IF(AG8=0,"",IFERROR(SMALL($G8:$I8,1),""))</f>
        <v/>
      </c>
      <c r="AK8" s="12" t="str">
        <f aca="false">IF(AG8=0,"",IFERROR(SMALL($G8:$I8,2),""))</f>
        <v/>
      </c>
      <c r="AL8" s="12" t="str">
        <f aca="false">IF(AG8=0,"",IFERROR(SMALL($G8:$I8,3),""))</f>
        <v/>
      </c>
      <c r="AM8" s="14" t="str">
        <f aca="false">IF(AG8=0,"",IF(AJ8="","",IF(AJ8=$H8,"Part-Time",IF(AJ8=$I8,"Full-Time","Casual"))))</f>
        <v/>
      </c>
      <c r="AN8" s="14" t="str">
        <f aca="false">IF(AG8=0,"",IF(AK8="","",IF(AK8=$H8,"Part-Time",IF(AK8=$I8,"Full-Time","Casual"))))</f>
        <v/>
      </c>
      <c r="AO8" s="14" t="str">
        <f aca="false">IF(AG8=0,"",IF(AL8="","",IF(AL8=$H8,"Part-Time",IF(AL8=$I8,"Full-Time","Casual"))))</f>
        <v/>
      </c>
      <c r="AP8" s="14" t="str">
        <f aca="false">IF(AG8=0,"",IF(AI8=0,IF(OR(ISNUMBER(SEARCH("full",$C8)),UPPER(TRIM($C8))="FT",UPPER(TRIM($C8))="FTE"),"FT",IF(AND(OR(ISNUMBER(SEARCH("part",$C8)),UPPER(TRIM($C8))="PT",UPPER(TRIM($C8))="PTE"),OR($P8="",N($P8)&gt;=PT_MinHours)),"PT","None")),IF(OR(ISNUMBER(SEARCH("full",AM8)),UPPER(TRIM(AM8))="FT",UPPER(TRIM(AM8))="FTE"),"FT",IF(AND(OR(ISNUMBER(SEARCH("part",AM8)),UPPER(TRIM(AM8))="PT",UPPER(TRIM(AM8))="PTE"),OR($P8="",N($P8)&gt;=PT_MinHours)),"PT","None"))))</f>
        <v/>
      </c>
      <c r="AQ8" s="14" t="str">
        <f aca="false">IF(AG8=0,"",IF(AI8&lt;2,"",IF(OR(ISNUMBER(SEARCH("full",AN8)),UPPER(TRIM(AN8))="FT",UPPER(TRIM(AN8))="FTE"),"FT",IF(AND(OR(ISNUMBER(SEARCH("part",AN8)),UPPER(TRIM(AN8))="PT",UPPER(TRIM(AN8))="PTE"),OR($P8="",N($P8)&gt;=PT_MinHours)),"PT","None"))))</f>
        <v/>
      </c>
      <c r="AR8" s="14" t="str">
        <f aca="false">IF(AG8=0,"",IF(AI8&lt;3,"",IF(OR(ISNUMBER(SEARCH("full",AO8)),UPPER(TRIM(AO8))="FT",UPPER(TRIM(AO8))="FTE"),"FT",IF(AND(OR(ISNUMBER(SEARCH("part",AO8)),UPPER(TRIM(AO8))="PT",UPPER(TRIM(AO8))="PTE"),OR($P8="",N($P8)&gt;=PT_MinHours)),"PT","None"))))</f>
        <v/>
      </c>
      <c r="AS8" s="14" t="str">
        <f aca="false">IF(AG8=0,"",IF(AND(AI8&gt;=3,AL8&lt;=AsOfDate),AR8,IF(AND(AI8&gt;=2,AK8&lt;=AsOfDate),AQ8,AP8)))</f>
        <v/>
      </c>
      <c r="AT8" s="14" t="str">
        <f aca="false">IF(AG8=0,"",IF(AsOfDate&lt;AH8,-1,12*(YEAR(AsOfDate)-YEAR(AH8))+MONTH(AsOfDate)-MONTH(AH8)-IF(DAY(AsOfDate)&lt;MIN(DAY(AH8),DAY(EOMONTH(AsOfDate,0))),1,0)))</f>
        <v/>
      </c>
      <c r="AU8" s="14" t="str">
        <f aca="false">IF(AG8=0,"",IF(OR(AI8&lt;2,AK8&gt;AsOfDate),AT8,IF((AK8-1)&lt;AH8,-1,12*(YEAR((AK8-1))-YEAR(AH8))+MONTH((AK8-1))-MONTH(AH8)-IF(DAY((AK8-1))&lt;MIN(DAY(AH8),DAY(EOMONTH((AK8-1),0))),1,0))))</f>
        <v/>
      </c>
      <c r="AV8" s="14" t="str">
        <f aca="false">IF(AG8=0,"",IF(OR(AI8&lt;3,AL8&gt;AsOfDate),AT8,IF((AL8-1)&lt;AH8,-1,12*(YEAR((AL8-1))-YEAR(AH8))+MONTH((AL8-1))-MONTH(AH8)-IF(DAY((AL8-1))&lt;MIN(DAY(AH8),DAY(EOMONTH((AL8-1),0))),1,0))))</f>
        <v/>
      </c>
      <c r="AW8" s="14" t="str">
        <f aca="false">IF(AG8=0,"",IF(PFYDate&lt;AH8,-1,12*(YEAR(PFYDate)-YEAR(AH8))+MONTH(PFYDate)-MONTH(AH8)-IF(DAY(PFYDate)&lt;MIN(DAY(AH8),DAY(EOMONTH(PFYDate,0))),1,0)))</f>
        <v/>
      </c>
      <c r="AX8" s="14" t="str">
        <f aca="false">IF(AG8=0,"",IF(OR(AI8&lt;2,AK8&gt;PFYDate),AW8,IF((AK8-1)&lt;AH8,-1,12*(YEAR((AK8-1))-YEAR(AH8))+MONTH((AK8-1))-MONTH(AH8)-IF(DAY((AK8-1))&lt;MIN(DAY(AH8),DAY(EOMONTH((AK8-1),0))),1,0))))</f>
        <v/>
      </c>
      <c r="AY8" s="14" t="str">
        <f aca="false">IF(AG8=0,"",IF(OR(AI8&lt;3,AL8&gt;PFYDate),AW8,IF((AL8-1)&lt;AH8,-1,12*(YEAR((AL8-1))-YEAR(AH8))+MONTH((AL8-1))-MONTH(AH8)-IF(DAY((AL8-1))&lt;MIN(DAY(AH8),DAY(EOMONTH((AL8-1),0))),1,0))))</f>
        <v/>
      </c>
      <c r="AZ8" s="14" t="str">
        <f aca="false">IF(AG8=0,"",IF(AP8="FT",IF(AU8&lt;FT_First,0,IF(AU8&lt;FT_Y5,1+INT((AU8-FT_First)/FT_Int1),FT_PreY5+FT_PerYear*INT((AU8-FT_Y5)/12)+FT_AnnivDays+INT(MOD(AU8-FT_Y5,12)/FT_Int2))),IF(AP8="PT",IF(AU8&lt;PT_First,0,1+INT((AU8-PT_First)/PT_Int)),0))+IF(AND(AI8&gt;=2,AK8&lt;=AsOfDate),IF(AQ8="FT",IF(AV8&lt;FT_First,0,IF(AV8&lt;FT_Y5,1+INT((AV8-FT_First)/FT_Int1),FT_PreY5+FT_PerYear*INT((AV8-FT_Y5)/12)+FT_AnnivDays+INT(MOD(AV8-FT_Y5,12)/FT_Int2))),IF(AQ8="PT",IF(AV8&lt;PT_First,0,1+INT((AV8-PT_First)/PT_Int)),0))-IF(AQ8="FT",IF(AU8&lt;FT_First,0,IF(AU8&lt;FT_Y5,1+INT((AU8-FT_First)/FT_Int1),FT_PreY5+FT_PerYear*INT((AU8-FT_Y5)/12)+FT_AnnivDays+INT(MOD(AU8-FT_Y5,12)/FT_Int2))),IF(AQ8="PT",IF(AU8&lt;PT_First,0,1+INT((AU8-PT_First)/PT_Int)),0)),0)+IF(AND(AI8&gt;=3,AL8&lt;=AsOfDate),IF(AR8="FT",IF(AT8&lt;FT_First,0,IF(AT8&lt;FT_Y5,1+INT((AT8-FT_First)/FT_Int1),FT_PreY5+FT_PerYear*INT((AT8-FT_Y5)/12)+FT_AnnivDays+INT(MOD(AT8-FT_Y5,12)/FT_Int2))),IF(AR8="PT",IF(AT8&lt;PT_First,0,1+INT((AT8-PT_First)/PT_Int)),0))-IF(AR8="FT",IF(AV8&lt;FT_First,0,IF(AV8&lt;FT_Y5,1+INT((AV8-FT_First)/FT_Int1),FT_PreY5+FT_PerYear*INT((AV8-FT_Y5)/12)+FT_AnnivDays+INT(MOD(AV8-FT_Y5,12)/FT_Int2))),IF(AR8="PT",IF(AV8&lt;PT_First,0,1+INT((AV8-PT_First)/PT_Int)),0)),0))</f>
        <v/>
      </c>
      <c r="BA8" s="14" t="str">
        <f aca="false">IF(AG8=0,"",IF(AP8="FT",IF(AX8&lt;FT_First,0,IF(AX8&lt;FT_Y5,1+INT((AX8-FT_First)/FT_Int1),FT_PreY5+FT_PerYear*INT((AX8-FT_Y5)/12)+FT_AnnivDays+INT(MOD(AX8-FT_Y5,12)/FT_Int2))),IF(AP8="PT",IF(AX8&lt;PT_First,0,1+INT((AX8-PT_First)/PT_Int)),0))+IF(AND(AI8&gt;=2,AK8&lt;=PFYDate),IF(AQ8="FT",IF(AY8&lt;FT_First,0,IF(AY8&lt;FT_Y5,1+INT((AY8-FT_First)/FT_Int1),FT_PreY5+FT_PerYear*INT((AY8-FT_Y5)/12)+FT_AnnivDays+INT(MOD(AY8-FT_Y5,12)/FT_Int2))),IF(AQ8="PT",IF(AY8&lt;PT_First,0,1+INT((AY8-PT_First)/PT_Int)),0))-IF(AQ8="FT",IF(AX8&lt;FT_First,0,IF(AX8&lt;FT_Y5,1+INT((AX8-FT_First)/FT_Int1),FT_PreY5+FT_PerYear*INT((AX8-FT_Y5)/12)+FT_AnnivDays+INT(MOD(AX8-FT_Y5,12)/FT_Int2))),IF(AQ8="PT",IF(AX8&lt;PT_First,0,1+INT((AX8-PT_First)/PT_Int)),0)),0)+IF(AND(AI8&gt;=3,AL8&lt;=PFYDate),IF(AR8="FT",IF(AW8&lt;FT_First,0,IF(AW8&lt;FT_Y5,1+INT((AW8-FT_First)/FT_Int1),FT_PreY5+FT_PerYear*INT((AW8-FT_Y5)/12)+FT_AnnivDays+INT(MOD(AW8-FT_Y5,12)/FT_Int2))),IF(AR8="PT",IF(AW8&lt;PT_First,0,1+INT((AW8-PT_First)/PT_Int)),0))-IF(AR8="FT",IF(AY8&lt;FT_First,0,IF(AY8&lt;FT_Y5,1+INT((AY8-FT_First)/FT_Int1),FT_PreY5+FT_PerYear*INT((AY8-FT_Y5)/12)+FT_AnnivDays+INT(MOD(AY8-FT_Y5,12)/FT_Int2))),IF(AR8="PT",IF(AY8&lt;PT_First,0,1+INT((AY8-PT_First)/PT_Int)),0)),0))</f>
        <v/>
      </c>
      <c r="BB8" s="14" t="str">
        <f aca="false">IF(AG8=0,"",IF(AS8="FT",IF(AT8&lt;FT_First,FT_First,IF(AT8&lt;FT_Y5,MIN(FT_Y5,FT_First+FT_Int1*(INT((AT8-FT_First)/FT_Int1)+1)),FT_Y5+12*INT((AT8-FT_Y5)/12)+FT_Int2*(INT(MOD(AT8-FT_Y5,12)/FT_Int2)+1))),IF(AS8="PT",IF(AT8&lt;PT_First,PT_First,PT_First+PT_Int*(INT((AT8-PT_First)/PT_Int)+1)),"")))</f>
        <v/>
      </c>
      <c r="BC8" s="14" t="str">
        <f aca="false">IF(AG8=0,"",IF(NOT(LH_Ready),0,COUNTIFS(INDEX(LH_Data,0,LH_ColFirst),$A8,INDEX(LH_Data,0,LH_ColSur),$B8,INDEX(LH_Data,0,LH_ColCat),BonusCat)))</f>
        <v/>
      </c>
      <c r="BD8" s="14" t="str">
        <f aca="false">IF(AG8=0,"",IF(OR(NOT(LH_Ready),BC8=0),0,SUMPRODUCT(MAX((INDEX(LH_Data,0,LH_ColFirst)=$A8)*(INDEX(LH_Data,0,LH_ColSur)=$B8)*(INDEX(LH_Data,0,LH_ColCat)=BonusCat)*ROW(LH_Data)))))</f>
        <v/>
      </c>
      <c r="BE8" s="14" t="str">
        <f aca="false">IF(AG8=0,"",IF(EOMONTH(AsOfDate,-1)&lt;AH8,-1,12*(YEAR(EOMONTH(AsOfDate,-1))-YEAR(AH8))+MONTH(EOMONTH(AsOfDate,-1))-MONTH(AH8)-IF(DAY(EOMONTH(AsOfDate,-1))&lt;MIN(DAY(AH8),DAY(EOMONTH(EOMONTH(AsOfDate,-1),0))),1,0)))</f>
        <v/>
      </c>
      <c r="BF8" s="14" t="str">
        <f aca="false">IF(AG8=0,"",IF(OR(AI8&lt;2,AK8&gt;EOMONTH(AsOfDate,-1)),BE8,IF((AK8-1)&lt;AH8,-1,12*(YEAR((AK8-1))-YEAR(AH8))+MONTH((AK8-1))-MONTH(AH8)-IF(DAY((AK8-1))&lt;MIN(DAY(AH8),DAY(EOMONTH((AK8-1),0))),1,0))))</f>
        <v/>
      </c>
      <c r="BG8" s="14" t="str">
        <f aca="false">IF(AG8=0,"",IF(OR(AI8&lt;3,AL8&gt;EOMONTH(AsOfDate,-1)),BE8,IF((AL8-1)&lt;AH8,-1,12*(YEAR((AL8-1))-YEAR(AH8))+MONTH((AL8-1))-MONTH(AH8)-IF(DAY((AL8-1))&lt;MIN(DAY(AH8),DAY(EOMONTH((AL8-1),0))),1,0))))</f>
        <v/>
      </c>
      <c r="BH8" s="14" t="str">
        <f aca="false">IF(AG8=0,"",IF(AP8="FT",IF(BF8&lt;FT_First,0,IF(BF8&lt;FT_Y5,1+INT((BF8-FT_First)/FT_Int1),FT_PreY5+FT_PerYear*INT((BF8-FT_Y5)/12)+FT_AnnivDays+INT(MOD(BF8-FT_Y5,12)/FT_Int2))),IF(AP8="PT",IF(BF8&lt;PT_First,0,1+INT((BF8-PT_First)/PT_Int)),0))+IF(AND(AI8&gt;=2,AK8&lt;=EOMONTH(AsOfDate,-1)),IF(AQ8="FT",IF(BG8&lt;FT_First,0,IF(BG8&lt;FT_Y5,1+INT((BG8-FT_First)/FT_Int1),FT_PreY5+FT_PerYear*INT((BG8-FT_Y5)/12)+FT_AnnivDays+INT(MOD(BG8-FT_Y5,12)/FT_Int2))),IF(AQ8="PT",IF(BG8&lt;PT_First,0,1+INT((BG8-PT_First)/PT_Int)),0))-IF(AQ8="FT",IF(BF8&lt;FT_First,0,IF(BF8&lt;FT_Y5,1+INT((BF8-FT_First)/FT_Int1),FT_PreY5+FT_PerYear*INT((BF8-FT_Y5)/12)+FT_AnnivDays+INT(MOD(BF8-FT_Y5,12)/FT_Int2))),IF(AQ8="PT",IF(BF8&lt;PT_First,0,1+INT((BF8-PT_First)/PT_Int)),0)),0)+IF(AND(AI8&gt;=3,AL8&lt;=EOMONTH(AsOfDate,-1)),IF(AR8="FT",IF(BE8&lt;FT_First,0,IF(BE8&lt;FT_Y5,1+INT((BE8-FT_First)/FT_Int1),FT_PreY5+FT_PerYear*INT((BE8-FT_Y5)/12)+FT_AnnivDays+INT(MOD(BE8-FT_Y5,12)/FT_Int2))),IF(AR8="PT",IF(BE8&lt;PT_First,0,1+INT((BE8-PT_First)/PT_Int)),0))-IF(AR8="FT",IF(BG8&lt;FT_First,0,IF(BG8&lt;FT_Y5,1+INT((BG8-FT_First)/FT_Int1),FT_PreY5+FT_PerYear*INT((BG8-FT_Y5)/12)+FT_AnnivDays+INT(MOD(BG8-FT_Y5,12)/FT_Int2))),IF(AR8="PT",IF(BG8&lt;PT_First,0,1+INT((BG8-PT_First)/PT_Int)),0)),0))</f>
        <v/>
      </c>
      <c r="BI8" s="14" t="str">
        <f aca="false">IF(AG8=0,"",IF(AS8="FT",IF(AT8&lt;FT_First,"",IF(AT8&lt;FT_Y5,FT_First+FT_Int1*INT((AT8-FT_First)/FT_Int1),FT_Y5+FT_Int2*INT((AT8-FT_Y5)/FT_Int2))),IF(AS8="PT",IF(AT8&lt;PT_First,"",PT_First+PT_Int*INT((AT8-PT_First)/PT_Int)),"")))</f>
        <v/>
      </c>
      <c r="BJ8" s="0" t="str">
        <f aca="false">IF(LEN($A8&amp;$B8)=0,"",$A8&amp;" "&amp;$B8)</f>
        <v/>
      </c>
    </row>
    <row r="9" customFormat="false" ht="15" hidden="false" customHeight="false" outlineLevel="0" collapsed="false">
      <c r="A9" s="10"/>
      <c r="B9" s="10"/>
      <c r="C9" s="10"/>
      <c r="D9" s="11"/>
      <c r="E9" s="12" t="str">
        <f aca="false">IF(OR(AG9=0,$D9=""),"",DATE(YEAR(AsOfDate)+IF(DATE(YEAR(AsOfDate),MONTH($D9),DAY($D9))&lt;=AsOfDate,1,0),MONTH($D9),DAY($D9)))</f>
        <v/>
      </c>
      <c r="F9" s="11"/>
      <c r="G9" s="11"/>
      <c r="H9" s="11"/>
      <c r="I9" s="11"/>
      <c r="J9" s="11"/>
      <c r="K9" s="12" t="str">
        <f aca="false">IF(AG9=0,"",DATE(YEAR(AsOfDate)+IF(DATE(YEAR(AsOfDate),MONTH(AH9),DAY(AH9))&lt;=AsOfDate,1,0),MONTH(AH9),DAY(AH9)))</f>
        <v/>
      </c>
      <c r="L9" s="13" t="str">
        <f aca="false">IF(AG9=0,"",ROUND((AsOfDate-AH9)/365.25,1))</f>
        <v/>
      </c>
      <c r="M9" s="14" t="str">
        <f aca="false">IF(AG9=0,"",IF(AsOfDate&lt;AH9,"-",DATEDIF(AH9,AsOfDate,"y")&amp;"y "&amp;DATEDIF(AH9,AsOfDate,"ym")&amp;"m "&amp;DATEDIF(AH9,AsOfDate,"md")&amp;"d"))</f>
        <v/>
      </c>
      <c r="N9" s="15" t="str">
        <f aca="false">IF(AG9=0,"",O9*HoursPerDay)</f>
        <v/>
      </c>
      <c r="O9" s="15" t="str">
        <f aca="false">IF(AG9=0,"",AZ9)</f>
        <v/>
      </c>
      <c r="P9" s="16"/>
      <c r="Q9" s="14" t="str">
        <f aca="false">IF(AG9=0,"",IF(AI9&lt;2,"",AM9&amp;" to "&amp;AN9&amp;" on "&amp;TEXT(AK9,"dd/mm/yyyy")&amp;IF(AK9&gt;AsOfDate," (future)",IF(AP9=AQ9,"",IF(AQ9="None"," - STOPPED accruing",IF(AP9="None"," - commencement for Bonus Leave"," - pathway changed"))))&amp;IF(AI9&lt;3,"","; "&amp;AN9&amp;" to "&amp;AO9&amp;" on "&amp;TEXT(AL9,"dd/mm/yyyy")&amp;IF(AL9&gt;AsOfDate," (future)",IF(AQ9=AR9,"",IF(AR9="None"," - STOPPED accruing",IF(AQ9="None"," - commencement for Bonus Leave"," - pathway changed")))))))</f>
        <v/>
      </c>
      <c r="R9" s="14" t="str">
        <f aca="false">IF(AG9=0,"",IF(AS9="None",IF(O9&gt;0,"No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2" t="str">
        <f aca="false">IF(AG9=0,"",IF(AS9="None","",EDATE(AH9,BB9)))</f>
        <v/>
      </c>
      <c r="T9" s="15" t="str">
        <f aca="false">IF(AG9=0,"",IF(NOT(LH_Ready),"",IF(AH9&gt;PFYDate,0,IF(LH_ColPeriod=0,W9-U9+V9,SUMIFS(INDEX(LH_Data,0,LH_ColAcc),INDEX(LH_Data,0,LH_ColFirst),$A9,INDEX(LH_Data,0,LH_ColSur),$B9,INDEX(LH_Data,0,LH_ColCat),BonusCat,INDEX(LH_Data,0,LH_ColPeriod),LH_OpenLabel)*UnitFactor))))</f>
        <v/>
      </c>
      <c r="U9" s="15" t="str">
        <f aca="false">IF(AG9=0,"",IF(NOT(LH_Ready),"",SUMIFS(INDEX(LH_Data,0,LH_ColAcc),INDEX(LH_Data,0,LH_ColFirst),$A9,INDEX(LH_Data,0,LH_ColSur),$B9,INDEX(LH_Data,0,LH_ColCat),BonusCat,INDEX(LH_Data,0,LH_ColStart),"&gt;="&amp;AH9)*UnitFactor))</f>
        <v/>
      </c>
      <c r="V9" s="15" t="str">
        <f aca="false">IF(AG9=0,"",IF(NOT(LH_Ready),"",SUMIFS(INDEX(LH_Data,0,LH_ColTaken),INDEX(LH_Data,0,LH_ColFirst),$A9,INDEX(LH_Data,0,LH_ColSur),$B9,INDEX(LH_Data,0,LH_ColCat),BonusCat,INDEX(LH_Data,0,LH_ColStart),"&gt;="&amp;AH9)*UnitFactor))</f>
        <v/>
      </c>
      <c r="W9" s="15" t="str">
        <f aca="false">IF(AG9=0,"",IF(NOT(LH_Ready),"",IF(BD9=0,0,INDEX(INDEX(LH_Data,0,LH_ColClose),BD9-1)*UnitFactor)))</f>
        <v/>
      </c>
      <c r="X9" s="15" t="str">
        <f aca="false">IF(AG9=0,"",(AZ9-BA9)*HoursPerDay)</f>
        <v/>
      </c>
      <c r="Y9" s="15" t="str">
        <f aca="false">IF(AG9=0,"",IF(NOT(LH_Ready),"",IF(BC9=0,N9,IF(PFYDate&lt;$F9,N9-N(T9)-N(U9),X9-N(U9)))))</f>
        <v/>
      </c>
      <c r="Z9" s="14" t="str">
        <f aca="false">IF(OR(AG9=0,Y9=""),"",IF(Y9&gt;0,"Yes","No"))</f>
        <v/>
      </c>
      <c r="AA9" s="14" t="str">
        <f aca="false">IF(AG9=0,IF(LEN($A9&amp;$B9)=0,"","FIX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month")&amp;IF(BC9=0,";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EH)",""),IF(AS9="None",R9,"Not yet - first day on "&amp;TEXT(S9,"dd/mm/yyyy")))))))))</f>
        <v/>
      </c>
      <c r="AB9" s="15" t="str">
        <f aca="false">IF(OR(AG9=0,T9=""),"",BA9*HoursPerDay-T9)</f>
        <v/>
      </c>
      <c r="AC9" s="14" t="str">
        <f aca="false">IF(AG9=0,"",BC9)</f>
        <v/>
      </c>
      <c r="AD9" s="14" t="str">
        <f aca="false">IF(AG9=0,"",TRIM(IF(OR(ISTEXT($F9),ISTEXT($H9),ISTEXT($I9),ISTEXT($G9),ISTEXT($J9),ISTEXT($D9)),"A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I9&gt;=1,IF(AI9&gt;=3,AO9,IF(AI9=2,AN9,AM9))&lt;&gt;IF($C9="","",IF(OR(ISNUMBER(SEARCH("full",$C9)),UPPER(TRIM($C9))="FT",UPPER(TRIM($C9))="FTE"),"Full-Time",IF(OR(ISNUMBER(SEARCH("part",$C9)),UPPER(TRIM($C9))="PT",UPPER(TRIM($C9))="PTE"),"Part-Time",IF(OR(ISNUMBER(SEARCH("cas",$C9)),UPPER(TRIM($C9))="CAS"),"Casual","Unknown"))))),"EmploymentType does not match latest start date ("&amp;IF(AI9&gt;=3,AO9,IF(AI9=2,AN9,AM9))&amp;"). ","")&amp;IF(AND(AI9&gt;=1,AJ9&lt;&gt;$F9),"Earliest type date should equal StartDate. ","")&amp;IF(AND(AI9&gt;=2,AJ9=AK9),"Two types start on the same date. ","")&amp;IF(AND(OR(ISNUMBER(SEARCH("part",$C9)),UPPER(TRIM($C9))="PT",UPPER(TRIM($C9))="PTE"),$P9=""),"Part-time: enter PT Hrs/Week (blank = 24+). ","")))</f>
        <v/>
      </c>
      <c r="AE9" s="15" t="str">
        <f aca="false">IF(AG9=0,"",O9-BH9)</f>
        <v/>
      </c>
      <c r="AF9" s="12" t="str">
        <f aca="false">IF(OR(AG9=0,AE9="",N(AE9)=0,BI9=""),"",EDATE(AH9,BI9))</f>
        <v/>
      </c>
      <c r="AG9" s="14" t="n">
        <f aca="false">IF(OR(LEN($A9&amp;$B9)=0,$F9=""),0,1)</f>
        <v>0</v>
      </c>
      <c r="AH9" s="12" t="str">
        <f aca="false">IF(AG9=0,"",IF($J9&lt;&gt;"",$J9,IF(OR(CasualCounts="Yes",COUNT($G9:$I9)=0,COUNT($H9:$I9)=0),$F9,MIN($H9:$I9))))</f>
        <v/>
      </c>
      <c r="AI9" s="14" t="str">
        <f aca="false">IF(AG9=0,"",COUNT($G9:$I9))</f>
        <v/>
      </c>
      <c r="AJ9" s="12" t="str">
        <f aca="false">IF(AG9=0,"",IFERROR(SMALL($G9:$I9,1),""))</f>
        <v/>
      </c>
      <c r="AK9" s="12" t="str">
        <f aca="false">IF(AG9=0,"",IFERROR(SMALL($G9:$I9,2),""))</f>
        <v/>
      </c>
      <c r="AL9" s="12" t="str">
        <f aca="false">IF(AG9=0,"",IFERROR(SMALL($G9:$I9,3),""))</f>
        <v/>
      </c>
      <c r="AM9" s="14" t="str">
        <f aca="false">IF(AG9=0,"",IF(AJ9="","",IF(AJ9=$H9,"Part-Time",IF(AJ9=$I9,"Full-Time","Casual"))))</f>
        <v/>
      </c>
      <c r="AN9" s="14" t="str">
        <f aca="false">IF(AG9=0,"",IF(AK9="","",IF(AK9=$H9,"Part-Time",IF(AK9=$I9,"Full-Time","Casual"))))</f>
        <v/>
      </c>
      <c r="AO9" s="14" t="str">
        <f aca="false">IF(AG9=0,"",IF(AL9="","",IF(AL9=$H9,"Part-Time",IF(AL9=$I9,"Full-Time","Casual"))))</f>
        <v/>
      </c>
      <c r="AP9" s="14" t="str">
        <f aca="false">IF(AG9=0,"",IF(AI9=0,IF(OR(ISNUMBER(SEARCH("full",$C9)),UPPER(TRIM($C9))="FT",UPPER(TRIM($C9))="FTE"),"FT",IF(AND(OR(ISNUMBER(SEARCH("part",$C9)),UPPER(TRIM($C9))="PT",UPPER(TRIM($C9))="PTE"),OR($P9="",N($P9)&gt;=PT_MinHours)),"PT","None")),IF(OR(ISNUMBER(SEARCH("full",AM9)),UPPER(TRIM(AM9))="FT",UPPER(TRIM(AM9))="FTE"),"FT",IF(AND(OR(ISNUMBER(SEARCH("part",AM9)),UPPER(TRIM(AM9))="PT",UPPER(TRIM(AM9))="PTE"),OR($P9="",N($P9)&gt;=PT_MinHours)),"PT","None"))))</f>
        <v/>
      </c>
      <c r="AQ9" s="14" t="str">
        <f aca="false">IF(AG9=0,"",IF(AI9&lt;2,"",IF(OR(ISNUMBER(SEARCH("full",AN9)),UPPER(TRIM(AN9))="FT",UPPER(TRIM(AN9))="FTE"),"FT",IF(AND(OR(ISNUMBER(SEARCH("part",AN9)),UPPER(TRIM(AN9))="PT",UPPER(TRIM(AN9))="PTE"),OR($P9="",N($P9)&gt;=PT_MinHours)),"PT","None"))))</f>
        <v/>
      </c>
      <c r="AR9" s="14" t="str">
        <f aca="false">IF(AG9=0,"",IF(AI9&lt;3,"",IF(OR(ISNUMBER(SEARCH("full",AO9)),UPPER(TRIM(AO9))="FT",UPPER(TRIM(AO9))="FTE"),"FT",IF(AND(OR(ISNUMBER(SEARCH("part",AO9)),UPPER(TRIM(AO9))="PT",UPPER(TRIM(AO9))="PTE"),OR($P9="",N($P9)&gt;=PT_MinHours)),"PT","None"))))</f>
        <v/>
      </c>
      <c r="AS9" s="14" t="str">
        <f aca="false">IF(AG9=0,"",IF(AND(AI9&gt;=3,AL9&lt;=AsOfDate),AR9,IF(AND(AI9&gt;=2,AK9&lt;=AsOfDate),AQ9,AP9)))</f>
        <v/>
      </c>
      <c r="AT9" s="14" t="str">
        <f aca="false">IF(AG9=0,"",IF(AsOfDate&lt;AH9,-1,12*(YEAR(AsOfDate)-YEAR(AH9))+MONTH(AsOfDate)-MONTH(AH9)-IF(DAY(AsOfDate)&lt;MIN(DAY(AH9),DAY(EOMONTH(AsOfDate,0))),1,0)))</f>
        <v/>
      </c>
      <c r="AU9" s="14" t="str">
        <f aca="false">IF(AG9=0,"",IF(OR(AI9&lt;2,AK9&gt;AsOfDate),AT9,IF((AK9-1)&lt;AH9,-1,12*(YEAR((AK9-1))-YEAR(AH9))+MONTH((AK9-1))-MONTH(AH9)-IF(DAY((AK9-1))&lt;MIN(DAY(AH9),DAY(EOMONTH((AK9-1),0))),1,0))))</f>
        <v/>
      </c>
      <c r="AV9" s="14" t="str">
        <f aca="false">IF(AG9=0,"",IF(OR(AI9&lt;3,AL9&gt;AsOfDate),AT9,IF((AL9-1)&lt;AH9,-1,12*(YEAR((AL9-1))-YEAR(AH9))+MONTH((AL9-1))-MONTH(AH9)-IF(DAY((AL9-1))&lt;MIN(DAY(AH9),DAY(EOMONTH((AL9-1),0))),1,0))))</f>
        <v/>
      </c>
      <c r="AW9" s="14" t="str">
        <f aca="false">IF(AG9=0,"",IF(PFYDate&lt;AH9,-1,12*(YEAR(PFYDate)-YEAR(AH9))+MONTH(PFYDate)-MONTH(AH9)-IF(DAY(PFYDate)&lt;MIN(DAY(AH9),DAY(EOMONTH(PFYDate,0))),1,0)))</f>
        <v/>
      </c>
      <c r="AX9" s="14" t="str">
        <f aca="false">IF(AG9=0,"",IF(OR(AI9&lt;2,AK9&gt;PFYDate),AW9,IF((AK9-1)&lt;AH9,-1,12*(YEAR((AK9-1))-YEAR(AH9))+MONTH((AK9-1))-MONTH(AH9)-IF(DAY((AK9-1))&lt;MIN(DAY(AH9),DAY(EOMONTH((AK9-1),0))),1,0))))</f>
        <v/>
      </c>
      <c r="AY9" s="14" t="str">
        <f aca="false">IF(AG9=0,"",IF(OR(AI9&lt;3,AL9&gt;PFYDate),AW9,IF((AL9-1)&lt;AH9,-1,12*(YEAR((AL9-1))-YEAR(AH9))+MONTH((AL9-1))-MONTH(AH9)-IF(DAY((AL9-1))&lt;MIN(DAY(AH9),DAY(EOMONTH((AL9-1),0))),1,0))))</f>
        <v/>
      </c>
      <c r="AZ9" s="14" t="str">
        <f aca="false">IF(AG9=0,"",IF(AP9="FT",IF(AU9&lt;FT_First,0,IF(AU9&lt;FT_Y5,1+INT((AU9-FT_First)/FT_Int1),FT_PreY5+FT_PerYear*INT((AU9-FT_Y5)/12)+FT_AnnivDays+INT(MOD(AU9-FT_Y5,12)/FT_Int2))),IF(AP9="PT",IF(AU9&lt;PT_First,0,1+INT((AU9-PT_First)/PT_Int)),0))+IF(AND(AI9&gt;=2,AK9&lt;=AsOfDate),IF(AQ9="FT",IF(AV9&lt;FT_First,0,IF(AV9&lt;FT_Y5,1+INT((AV9-FT_First)/FT_Int1),FT_PreY5+FT_PerYear*INT((AV9-FT_Y5)/12)+FT_AnnivDays+INT(MOD(AV9-FT_Y5,12)/FT_Int2))),IF(AQ9="PT",IF(AV9&lt;PT_First,0,1+INT((AV9-PT_First)/PT_Int)),0))-IF(AQ9="FT",IF(AU9&lt;FT_First,0,IF(AU9&lt;FT_Y5,1+INT((AU9-FT_First)/FT_Int1),FT_PreY5+FT_PerYear*INT((AU9-FT_Y5)/12)+FT_AnnivDays+INT(MOD(AU9-FT_Y5,12)/FT_Int2))),IF(AQ9="PT",IF(AU9&lt;PT_First,0,1+INT((AU9-PT_First)/PT_Int)),0)),0)+IF(AND(AI9&gt;=3,AL9&lt;=AsOfDate),IF(AR9="FT",IF(AT9&lt;FT_First,0,IF(AT9&lt;FT_Y5,1+INT((AT9-FT_First)/FT_Int1),FT_PreY5+FT_PerYear*INT((AT9-FT_Y5)/12)+FT_AnnivDays+INT(MOD(AT9-FT_Y5,12)/FT_Int2))),IF(AR9="PT",IF(AT9&lt;PT_First,0,1+INT((AT9-PT_First)/PT_Int)),0))-IF(AR9="FT",IF(AV9&lt;FT_First,0,IF(AV9&lt;FT_Y5,1+INT((AV9-FT_First)/FT_Int1),FT_PreY5+FT_PerYear*INT((AV9-FT_Y5)/12)+FT_AnnivDays+INT(MOD(AV9-FT_Y5,12)/FT_Int2))),IF(AR9="PT",IF(AV9&lt;PT_First,0,1+INT((AV9-PT_First)/PT_Int)),0)),0))</f>
        <v/>
      </c>
      <c r="BA9" s="14" t="str">
        <f aca="false">IF(AG9=0,"",IF(AP9="FT",IF(AX9&lt;FT_First,0,IF(AX9&lt;FT_Y5,1+INT((AX9-FT_First)/FT_Int1),FT_PreY5+FT_PerYear*INT((AX9-FT_Y5)/12)+FT_AnnivDays+INT(MOD(AX9-FT_Y5,12)/FT_Int2))),IF(AP9="PT",IF(AX9&lt;PT_First,0,1+INT((AX9-PT_First)/PT_Int)),0))+IF(AND(AI9&gt;=2,AK9&lt;=PFYDate),IF(AQ9="FT",IF(AY9&lt;FT_First,0,IF(AY9&lt;FT_Y5,1+INT((AY9-FT_First)/FT_Int1),FT_PreY5+FT_PerYear*INT((AY9-FT_Y5)/12)+FT_AnnivDays+INT(MOD(AY9-FT_Y5,12)/FT_Int2))),IF(AQ9="PT",IF(AY9&lt;PT_First,0,1+INT((AY9-PT_First)/PT_Int)),0))-IF(AQ9="FT",IF(AX9&lt;FT_First,0,IF(AX9&lt;FT_Y5,1+INT((AX9-FT_First)/FT_Int1),FT_PreY5+FT_PerYear*INT((AX9-FT_Y5)/12)+FT_AnnivDays+INT(MOD(AX9-FT_Y5,12)/FT_Int2))),IF(AQ9="PT",IF(AX9&lt;PT_First,0,1+INT((AX9-PT_First)/PT_Int)),0)),0)+IF(AND(AI9&gt;=3,AL9&lt;=PFYDate),IF(AR9="FT",IF(AW9&lt;FT_First,0,IF(AW9&lt;FT_Y5,1+INT((AW9-FT_First)/FT_Int1),FT_PreY5+FT_PerYear*INT((AW9-FT_Y5)/12)+FT_AnnivDays+INT(MOD(AW9-FT_Y5,12)/FT_Int2))),IF(AR9="PT",IF(AW9&lt;PT_First,0,1+INT((AW9-PT_First)/PT_Int)),0))-IF(AR9="FT",IF(AY9&lt;FT_First,0,IF(AY9&lt;FT_Y5,1+INT((AY9-FT_First)/FT_Int1),FT_PreY5+FT_PerYear*INT((AY9-FT_Y5)/12)+FT_AnnivDays+INT(MOD(AY9-FT_Y5,12)/FT_Int2))),IF(AR9="PT",IF(AY9&lt;PT_First,0,1+INT((AY9-PT_First)/PT_Int)),0)),0))</f>
        <v/>
      </c>
      <c r="BB9" s="14" t="str">
        <f aca="false">IF(AG9=0,"",IF(AS9="FT",IF(AT9&lt;FT_First,FT_First,IF(AT9&lt;FT_Y5,MIN(FT_Y5,FT_First+FT_Int1*(INT((AT9-FT_First)/FT_Int1)+1)),FT_Y5+12*INT((AT9-FT_Y5)/12)+FT_Int2*(INT(MOD(AT9-FT_Y5,12)/FT_Int2)+1))),IF(AS9="PT",IF(AT9&lt;PT_First,PT_First,PT_First+PT_Int*(INT((AT9-PT_First)/PT_Int)+1)),"")))</f>
        <v/>
      </c>
      <c r="BC9" s="14" t="str">
        <f aca="false">IF(AG9=0,"",IF(NOT(LH_Ready),0,COUNTIFS(INDEX(LH_Data,0,LH_ColFirst),$A9,INDEX(LH_Data,0,LH_ColSur),$B9,INDEX(LH_Data,0,LH_ColCat),BonusCat)))</f>
        <v/>
      </c>
      <c r="BD9" s="14" t="str">
        <f aca="false">IF(AG9=0,"",IF(OR(NOT(LH_Ready),BC9=0),0,SUMPRODUCT(MAX((INDEX(LH_Data,0,LH_ColFirst)=$A9)*(INDEX(LH_Data,0,LH_ColSur)=$B9)*(INDEX(LH_Data,0,LH_ColCat)=BonusCat)*ROW(LH_Data)))))</f>
        <v/>
      </c>
      <c r="BE9" s="14" t="str">
        <f aca="false">IF(AG9=0,"",IF(EOMONTH(AsOfDate,-1)&lt;AH9,-1,12*(YEAR(EOMONTH(AsOfDate,-1))-YEAR(AH9))+MONTH(EOMONTH(AsOfDate,-1))-MONTH(AH9)-IF(DAY(EOMONTH(AsOfDate,-1))&lt;MIN(DAY(AH9),DAY(EOMONTH(EOMONTH(AsOfDate,-1),0))),1,0)))</f>
        <v/>
      </c>
      <c r="BF9" s="14" t="str">
        <f aca="false">IF(AG9=0,"",IF(OR(AI9&lt;2,AK9&gt;EOMONTH(AsOfDate,-1)),BE9,IF((AK9-1)&lt;AH9,-1,12*(YEAR((AK9-1))-YEAR(AH9))+MONTH((AK9-1))-MONTH(AH9)-IF(DAY((AK9-1))&lt;MIN(DAY(AH9),DAY(EOMONTH((AK9-1),0))),1,0))))</f>
        <v/>
      </c>
      <c r="BG9" s="14" t="str">
        <f aca="false">IF(AG9=0,"",IF(OR(AI9&lt;3,AL9&gt;EOMONTH(AsOfDate,-1)),BE9,IF((AL9-1)&lt;AH9,-1,12*(YEAR((AL9-1))-YEAR(AH9))+MONTH((AL9-1))-MONTH(AH9)-IF(DAY((AL9-1))&lt;MIN(DAY(AH9),DAY(EOMONTH((AL9-1),0))),1,0))))</f>
        <v/>
      </c>
      <c r="BH9" s="14" t="str">
        <f aca="false">IF(AG9=0,"",IF(AP9="FT",IF(BF9&lt;FT_First,0,IF(BF9&lt;FT_Y5,1+INT((BF9-FT_First)/FT_Int1),FT_PreY5+FT_PerYear*INT((BF9-FT_Y5)/12)+FT_AnnivDays+INT(MOD(BF9-FT_Y5,12)/FT_Int2))),IF(AP9="PT",IF(BF9&lt;PT_First,0,1+INT((BF9-PT_First)/PT_Int)),0))+IF(AND(AI9&gt;=2,AK9&lt;=EOMONTH(AsOfDate,-1)),IF(AQ9="FT",IF(BG9&lt;FT_First,0,IF(BG9&lt;FT_Y5,1+INT((BG9-FT_First)/FT_Int1),FT_PreY5+FT_PerYear*INT((BG9-FT_Y5)/12)+FT_AnnivDays+INT(MOD(BG9-FT_Y5,12)/FT_Int2))),IF(AQ9="PT",IF(BG9&lt;PT_First,0,1+INT((BG9-PT_First)/PT_Int)),0))-IF(AQ9="FT",IF(BF9&lt;FT_First,0,IF(BF9&lt;FT_Y5,1+INT((BF9-FT_First)/FT_Int1),FT_PreY5+FT_PerYear*INT((BF9-FT_Y5)/12)+FT_AnnivDays+INT(MOD(BF9-FT_Y5,12)/FT_Int2))),IF(AQ9="PT",IF(BF9&lt;PT_First,0,1+INT((BF9-PT_First)/PT_Int)),0)),0)+IF(AND(AI9&gt;=3,AL9&lt;=EOMONTH(AsOfDate,-1)),IF(AR9="FT",IF(BE9&lt;FT_First,0,IF(BE9&lt;FT_Y5,1+INT((BE9-FT_First)/FT_Int1),FT_PreY5+FT_PerYear*INT((BE9-FT_Y5)/12)+FT_AnnivDays+INT(MOD(BE9-FT_Y5,12)/FT_Int2))),IF(AR9="PT",IF(BE9&lt;PT_First,0,1+INT((BE9-PT_First)/PT_Int)),0))-IF(AR9="FT",IF(BG9&lt;FT_First,0,IF(BG9&lt;FT_Y5,1+INT((BG9-FT_First)/FT_Int1),FT_PreY5+FT_PerYear*INT((BG9-FT_Y5)/12)+FT_AnnivDays+INT(MOD(BG9-FT_Y5,12)/FT_Int2))),IF(AR9="PT",IF(BG9&lt;PT_First,0,1+INT((BG9-PT_First)/PT_Int)),0)),0))</f>
        <v/>
      </c>
      <c r="BI9" s="14" t="str">
        <f aca="false">IF(AG9=0,"",IF(AS9="FT",IF(AT9&lt;FT_First,"",IF(AT9&lt;FT_Y5,FT_First+FT_Int1*INT((AT9-FT_First)/FT_Int1),FT_Y5+FT_Int2*INT((AT9-FT_Y5)/FT_Int2))),IF(AS9="PT",IF(AT9&lt;PT_First,"",PT_First+PT_Int*INT((AT9-PT_First)/PT_Int)),"")))</f>
        <v/>
      </c>
      <c r="BJ9" s="0" t="str">
        <f aca="false">IF(LEN($A9&amp;$B9)=0,"",$A9&amp;" "&amp;$B9)</f>
        <v/>
      </c>
    </row>
    <row r="10" customFormat="false" ht="15" hidden="false" customHeight="false" outlineLevel="0" collapsed="false">
      <c r="A10" s="10"/>
      <c r="B10" s="10"/>
      <c r="C10" s="10"/>
      <c r="D10" s="11"/>
      <c r="E10" s="12" t="str">
        <f aca="false">IF(OR(AG10=0,$D10=""),"",DATE(YEAR(AsOfDate)+IF(DATE(YEAR(AsOfDate),MONTH($D10),DAY($D10))&lt;=AsOfDate,1,0),MONTH($D10),DAY($D10)))</f>
        <v/>
      </c>
      <c r="F10" s="11"/>
      <c r="G10" s="11"/>
      <c r="H10" s="11"/>
      <c r="I10" s="11"/>
      <c r="J10" s="11"/>
      <c r="K10" s="12" t="str">
        <f aca="false">IF(AG10=0,"",DATE(YEAR(AsOfDate)+IF(DATE(YEAR(AsOfDate),MONTH(AH10),DAY(AH10))&lt;=AsOfDate,1,0),MONTH(AH10),DAY(AH10)))</f>
        <v/>
      </c>
      <c r="L10" s="13" t="str">
        <f aca="false">IF(AG10=0,"",ROUND((AsOfDate-AH10)/365.25,1))</f>
        <v/>
      </c>
      <c r="M10" s="14" t="str">
        <f aca="false">IF(AG10=0,"",IF(AsOfDate&lt;AH10,"-",DATEDIF(AH10,AsOfDate,"y")&amp;"y "&amp;DATEDIF(AH10,AsOfDate,"ym")&amp;"m "&amp;DATEDIF(AH10,AsOfDate,"md")&amp;"d"))</f>
        <v/>
      </c>
      <c r="N10" s="15" t="str">
        <f aca="false">IF(AG10=0,"",O10*HoursPerDay)</f>
        <v/>
      </c>
      <c r="O10" s="15" t="str">
        <f aca="false">IF(AG10=0,"",AZ10)</f>
        <v/>
      </c>
      <c r="P10" s="16"/>
      <c r="Q10" s="14" t="str">
        <f aca="false">IF(AG10=0,"",IF(AI10&lt;2,"",AM10&amp;" to "&amp;AN10&amp;" on "&amp;TEXT(AK10,"dd/mm/yyyy")&amp;IF(AK10&gt;AsOfDate," (future)",IF(AP10=AQ10,"",IF(AQ10="None"," - STOPPED accruing",IF(AP10="None"," - commencement for Bonus Leave"," - pathway changed"))))&amp;IF(AI10&lt;3,"","; "&amp;AN10&amp;" to "&amp;AO10&amp;" on "&amp;TEXT(AL10,"dd/mm/yyyy")&amp;IF(AL10&gt;AsOfDate," (future)",IF(AQ10=AR10,"",IF(AR10="None"," - STOPPED accruing",IF(AQ10="None"," - commencement for Bonus Leave"," - pathway changed")))))))</f>
        <v/>
      </c>
      <c r="R10" s="14" t="str">
        <f aca="false">IF(AG10=0,"",IF(AS10="None",IF(O10&gt;0,"No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2" t="str">
        <f aca="false">IF(AG10=0,"",IF(AS10="None","",EDATE(AH10,BB10)))</f>
        <v/>
      </c>
      <c r="T10" s="15" t="str">
        <f aca="false">IF(AG10=0,"",IF(NOT(LH_Ready),"",IF(AH10&gt;PFYDate,0,IF(LH_ColPeriod=0,W10-U10+V10,SUMIFS(INDEX(LH_Data,0,LH_ColAcc),INDEX(LH_Data,0,LH_ColFirst),$A10,INDEX(LH_Data,0,LH_ColSur),$B10,INDEX(LH_Data,0,LH_ColCat),BonusCat,INDEX(LH_Data,0,LH_ColPeriod),LH_OpenLabel)*UnitFactor))))</f>
        <v/>
      </c>
      <c r="U10" s="15" t="str">
        <f aca="false">IF(AG10=0,"",IF(NOT(LH_Ready),"",SUMIFS(INDEX(LH_Data,0,LH_ColAcc),INDEX(LH_Data,0,LH_ColFirst),$A10,INDEX(LH_Data,0,LH_ColSur),$B10,INDEX(LH_Data,0,LH_ColCat),BonusCat,INDEX(LH_Data,0,LH_ColStart),"&gt;="&amp;AH10)*UnitFactor))</f>
        <v/>
      </c>
      <c r="V10" s="15" t="str">
        <f aca="false">IF(AG10=0,"",IF(NOT(LH_Ready),"",SUMIFS(INDEX(LH_Data,0,LH_ColTaken),INDEX(LH_Data,0,LH_ColFirst),$A10,INDEX(LH_Data,0,LH_ColSur),$B10,INDEX(LH_Data,0,LH_ColCat),BonusCat,INDEX(LH_Data,0,LH_ColStart),"&gt;="&amp;AH10)*UnitFactor))</f>
        <v/>
      </c>
      <c r="W10" s="15" t="str">
        <f aca="false">IF(AG10=0,"",IF(NOT(LH_Ready),"",IF(BD10=0,0,INDEX(INDEX(LH_Data,0,LH_ColClose),BD10-1)*UnitFactor)))</f>
        <v/>
      </c>
      <c r="X10" s="15" t="str">
        <f aca="false">IF(AG10=0,"",(AZ10-BA10)*HoursPerDay)</f>
        <v/>
      </c>
      <c r="Y10" s="15" t="str">
        <f aca="false">IF(AG10=0,"",IF(NOT(LH_Ready),"",IF(BC10=0,N10,IF(PFYDate&lt;$F10,N10-N(T10)-N(U10),X10-N(U10)))))</f>
        <v/>
      </c>
      <c r="Z10" s="14" t="str">
        <f aca="false">IF(OR(AG10=0,Y10=""),"",IF(Y10&gt;0,"Yes","No"))</f>
        <v/>
      </c>
      <c r="AA10" s="14" t="str">
        <f aca="false">IF(AG10=0,IF(LEN($A10&amp;$B10)=0,"","FIX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month")&amp;IF(BC10=0,";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EH)",""),IF(AS10="None",R10,"Not yet - first day on "&amp;TEXT(S10,"dd/mm/yyyy")))))))))</f>
        <v/>
      </c>
      <c r="AB10" s="15" t="str">
        <f aca="false">IF(OR(AG10=0,T10=""),"",BA10*HoursPerDay-T10)</f>
        <v/>
      </c>
      <c r="AC10" s="14" t="str">
        <f aca="false">IF(AG10=0,"",BC10)</f>
        <v/>
      </c>
      <c r="AD10" s="14" t="str">
        <f aca="false">IF(AG10=0,"",TRIM(IF(OR(ISTEXT($F10),ISTEXT($H10),ISTEXT($I10),ISTEXT($G10),ISTEXT($J10),ISTEXT($D10)),"A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I10&gt;=1,IF(AI10&gt;=3,AO10,IF(AI10=2,AN10,AM10))&lt;&gt;IF($C10="","",IF(OR(ISNUMBER(SEARCH("full",$C10)),UPPER(TRIM($C10))="FT",UPPER(TRIM($C10))="FTE"),"Full-Time",IF(OR(ISNUMBER(SEARCH("part",$C10)),UPPER(TRIM($C10))="PT",UPPER(TRIM($C10))="PTE"),"Part-Time",IF(OR(ISNUMBER(SEARCH("cas",$C10)),UPPER(TRIM($C10))="CAS"),"Casual","Unknown"))))),"EmploymentType does not match latest start date ("&amp;IF(AI10&gt;=3,AO10,IF(AI10=2,AN10,AM10))&amp;"). ","")&amp;IF(AND(AI10&gt;=1,AJ10&lt;&gt;$F10),"Earliest type date should equal StartDate. ","")&amp;IF(AND(AI10&gt;=2,AJ10=AK10),"Two types start on the same date. ","")&amp;IF(AND(OR(ISNUMBER(SEARCH("part",$C10)),UPPER(TRIM($C10))="PT",UPPER(TRIM($C10))="PTE"),$P10=""),"Part-time: enter PT Hrs/Week (blank = 24+). ","")))</f>
        <v/>
      </c>
      <c r="AE10" s="15" t="str">
        <f aca="false">IF(AG10=0,"",O10-BH10)</f>
        <v/>
      </c>
      <c r="AF10" s="12" t="str">
        <f aca="false">IF(OR(AG10=0,AE10="",N(AE10)=0,BI10=""),"",EDATE(AH10,BI10))</f>
        <v/>
      </c>
      <c r="AG10" s="14" t="n">
        <f aca="false">IF(OR(LEN($A10&amp;$B10)=0,$F10=""),0,1)</f>
        <v>0</v>
      </c>
      <c r="AH10" s="12" t="str">
        <f aca="false">IF(AG10=0,"",IF($J10&lt;&gt;"",$J10,IF(OR(CasualCounts="Yes",COUNT($G10:$I10)=0,COUNT($H10:$I10)=0),$F10,MIN($H10:$I10))))</f>
        <v/>
      </c>
      <c r="AI10" s="14" t="str">
        <f aca="false">IF(AG10=0,"",COUNT($G10:$I10))</f>
        <v/>
      </c>
      <c r="AJ10" s="12" t="str">
        <f aca="false">IF(AG10=0,"",IFERROR(SMALL($G10:$I10,1),""))</f>
        <v/>
      </c>
      <c r="AK10" s="12" t="str">
        <f aca="false">IF(AG10=0,"",IFERROR(SMALL($G10:$I10,2),""))</f>
        <v/>
      </c>
      <c r="AL10" s="12" t="str">
        <f aca="false">IF(AG10=0,"",IFERROR(SMALL($G10:$I10,3),""))</f>
        <v/>
      </c>
      <c r="AM10" s="14" t="str">
        <f aca="false">IF(AG10=0,"",IF(AJ10="","",IF(AJ10=$H10,"Part-Time",IF(AJ10=$I10,"Full-Time","Casual"))))</f>
        <v/>
      </c>
      <c r="AN10" s="14" t="str">
        <f aca="false">IF(AG10=0,"",IF(AK10="","",IF(AK10=$H10,"Part-Time",IF(AK10=$I10,"Full-Time","Casual"))))</f>
        <v/>
      </c>
      <c r="AO10" s="14" t="str">
        <f aca="false">IF(AG10=0,"",IF(AL10="","",IF(AL10=$H10,"Part-Time",IF(AL10=$I10,"Full-Time","Casual"))))</f>
        <v/>
      </c>
      <c r="AP10" s="14" t="str">
        <f aca="false">IF(AG10=0,"",IF(AI10=0,IF(OR(ISNUMBER(SEARCH("full",$C10)),UPPER(TRIM($C10))="FT",UPPER(TRIM($C10))="FTE"),"FT",IF(AND(OR(ISNUMBER(SEARCH("part",$C10)),UPPER(TRIM($C10))="PT",UPPER(TRIM($C10))="PTE"),OR($P10="",N($P10)&gt;=PT_MinHours)),"PT","None")),IF(OR(ISNUMBER(SEARCH("full",AM10)),UPPER(TRIM(AM10))="FT",UPPER(TRIM(AM10))="FTE"),"FT",IF(AND(OR(ISNUMBER(SEARCH("part",AM10)),UPPER(TRIM(AM10))="PT",UPPER(TRIM(AM10))="PTE"),OR($P10="",N($P10)&gt;=PT_MinHours)),"PT","None"))))</f>
        <v/>
      </c>
      <c r="AQ10" s="14" t="str">
        <f aca="false">IF(AG10=0,"",IF(AI10&lt;2,"",IF(OR(ISNUMBER(SEARCH("full",AN10)),UPPER(TRIM(AN10))="FT",UPPER(TRIM(AN10))="FTE"),"FT",IF(AND(OR(ISNUMBER(SEARCH("part",AN10)),UPPER(TRIM(AN10))="PT",UPPER(TRIM(AN10))="PTE"),OR($P10="",N($P10)&gt;=PT_MinHours)),"PT","None"))))</f>
        <v/>
      </c>
      <c r="AR10" s="14" t="str">
        <f aca="false">IF(AG10=0,"",IF(AI10&lt;3,"",IF(OR(ISNUMBER(SEARCH("full",AO10)),UPPER(TRIM(AO10))="FT",UPPER(TRIM(AO10))="FTE"),"FT",IF(AND(OR(ISNUMBER(SEARCH("part",AO10)),UPPER(TRIM(AO10))="PT",UPPER(TRIM(AO10))="PTE"),OR($P10="",N($P10)&gt;=PT_MinHours)),"PT","None"))))</f>
        <v/>
      </c>
      <c r="AS10" s="14" t="str">
        <f aca="false">IF(AG10=0,"",IF(AND(AI10&gt;=3,AL10&lt;=AsOfDate),AR10,IF(AND(AI10&gt;=2,AK10&lt;=AsOfDate),AQ10,AP10)))</f>
        <v/>
      </c>
      <c r="AT10" s="14" t="str">
        <f aca="false">IF(AG10=0,"",IF(AsOfDate&lt;AH10,-1,12*(YEAR(AsOfDate)-YEAR(AH10))+MONTH(AsOfDate)-MONTH(AH10)-IF(DAY(AsOfDate)&lt;MIN(DAY(AH10),DAY(EOMONTH(AsOfDate,0))),1,0)))</f>
        <v/>
      </c>
      <c r="AU10" s="14" t="str">
        <f aca="false">IF(AG10=0,"",IF(OR(AI10&lt;2,AK10&gt;AsOfDate),AT10,IF((AK10-1)&lt;AH10,-1,12*(YEAR((AK10-1))-YEAR(AH10))+MONTH((AK10-1))-MONTH(AH10)-IF(DAY((AK10-1))&lt;MIN(DAY(AH10),DAY(EOMONTH((AK10-1),0))),1,0))))</f>
        <v/>
      </c>
      <c r="AV10" s="14" t="str">
        <f aca="false">IF(AG10=0,"",IF(OR(AI10&lt;3,AL10&gt;AsOfDate),AT10,IF((AL10-1)&lt;AH10,-1,12*(YEAR((AL10-1))-YEAR(AH10))+MONTH((AL10-1))-MONTH(AH10)-IF(DAY((AL10-1))&lt;MIN(DAY(AH10),DAY(EOMONTH((AL10-1),0))),1,0))))</f>
        <v/>
      </c>
      <c r="AW10" s="14" t="str">
        <f aca="false">IF(AG10=0,"",IF(PFYDate&lt;AH10,-1,12*(YEAR(PFYDate)-YEAR(AH10))+MONTH(PFYDate)-MONTH(AH10)-IF(DAY(PFYDate)&lt;MIN(DAY(AH10),DAY(EOMONTH(PFYDate,0))),1,0)))</f>
        <v/>
      </c>
      <c r="AX10" s="14" t="str">
        <f aca="false">IF(AG10=0,"",IF(OR(AI10&lt;2,AK10&gt;PFYDate),AW10,IF((AK10-1)&lt;AH10,-1,12*(YEAR((AK10-1))-YEAR(AH10))+MONTH((AK10-1))-MONTH(AH10)-IF(DAY((AK10-1))&lt;MIN(DAY(AH10),DAY(EOMONTH((AK10-1),0))),1,0))))</f>
        <v/>
      </c>
      <c r="AY10" s="14" t="str">
        <f aca="false">IF(AG10=0,"",IF(OR(AI10&lt;3,AL10&gt;PFYDate),AW10,IF((AL10-1)&lt;AH10,-1,12*(YEAR((AL10-1))-YEAR(AH10))+MONTH((AL10-1))-MONTH(AH10)-IF(DAY((AL10-1))&lt;MIN(DAY(AH10),DAY(EOMONTH((AL10-1),0))),1,0))))</f>
        <v/>
      </c>
      <c r="AZ10" s="14" t="str">
        <f aca="false">IF(AG10=0,"",IF(AP10="FT",IF(AU10&lt;FT_First,0,IF(AU10&lt;FT_Y5,1+INT((AU10-FT_First)/FT_Int1),FT_PreY5+FT_PerYear*INT((AU10-FT_Y5)/12)+FT_AnnivDays+INT(MOD(AU10-FT_Y5,12)/FT_Int2))),IF(AP10="PT",IF(AU10&lt;PT_First,0,1+INT((AU10-PT_First)/PT_Int)),0))+IF(AND(AI10&gt;=2,AK10&lt;=AsOfDate),IF(AQ10="FT",IF(AV10&lt;FT_First,0,IF(AV10&lt;FT_Y5,1+INT((AV10-FT_First)/FT_Int1),FT_PreY5+FT_PerYear*INT((AV10-FT_Y5)/12)+FT_AnnivDays+INT(MOD(AV10-FT_Y5,12)/FT_Int2))),IF(AQ10="PT",IF(AV10&lt;PT_First,0,1+INT((AV10-PT_First)/PT_Int)),0))-IF(AQ10="FT",IF(AU10&lt;FT_First,0,IF(AU10&lt;FT_Y5,1+INT((AU10-FT_First)/FT_Int1),FT_PreY5+FT_PerYear*INT((AU10-FT_Y5)/12)+FT_AnnivDays+INT(MOD(AU10-FT_Y5,12)/FT_Int2))),IF(AQ10="PT",IF(AU10&lt;PT_First,0,1+INT((AU10-PT_First)/PT_Int)),0)),0)+IF(AND(AI10&gt;=3,AL10&lt;=AsOfDate),IF(AR10="FT",IF(AT10&lt;FT_First,0,IF(AT10&lt;FT_Y5,1+INT((AT10-FT_First)/FT_Int1),FT_PreY5+FT_PerYear*INT((AT10-FT_Y5)/12)+FT_AnnivDays+INT(MOD(AT10-FT_Y5,12)/FT_Int2))),IF(AR10="PT",IF(AT10&lt;PT_First,0,1+INT((AT10-PT_First)/PT_Int)),0))-IF(AR10="FT",IF(AV10&lt;FT_First,0,IF(AV10&lt;FT_Y5,1+INT((AV10-FT_First)/FT_Int1),FT_PreY5+FT_PerYear*INT((AV10-FT_Y5)/12)+FT_AnnivDays+INT(MOD(AV10-FT_Y5,12)/FT_Int2))),IF(AR10="PT",IF(AV10&lt;PT_First,0,1+INT((AV10-PT_First)/PT_Int)),0)),0))</f>
        <v/>
      </c>
      <c r="BA10" s="14" t="str">
        <f aca="false">IF(AG10=0,"",IF(AP10="FT",IF(AX10&lt;FT_First,0,IF(AX10&lt;FT_Y5,1+INT((AX10-FT_First)/FT_Int1),FT_PreY5+FT_PerYear*INT((AX10-FT_Y5)/12)+FT_AnnivDays+INT(MOD(AX10-FT_Y5,12)/FT_Int2))),IF(AP10="PT",IF(AX10&lt;PT_First,0,1+INT((AX10-PT_First)/PT_Int)),0))+IF(AND(AI10&gt;=2,AK10&lt;=PFYDate),IF(AQ10="FT",IF(AY10&lt;FT_First,0,IF(AY10&lt;FT_Y5,1+INT((AY10-FT_First)/FT_Int1),FT_PreY5+FT_PerYear*INT((AY10-FT_Y5)/12)+FT_AnnivDays+INT(MOD(AY10-FT_Y5,12)/FT_Int2))),IF(AQ10="PT",IF(AY10&lt;PT_First,0,1+INT((AY10-PT_First)/PT_Int)),0))-IF(AQ10="FT",IF(AX10&lt;FT_First,0,IF(AX10&lt;FT_Y5,1+INT((AX10-FT_First)/FT_Int1),FT_PreY5+FT_PerYear*INT((AX10-FT_Y5)/12)+FT_AnnivDays+INT(MOD(AX10-FT_Y5,12)/FT_Int2))),IF(AQ10="PT",IF(AX10&lt;PT_First,0,1+INT((AX10-PT_First)/PT_Int)),0)),0)+IF(AND(AI10&gt;=3,AL10&lt;=PFYDate),IF(AR10="FT",IF(AW10&lt;FT_First,0,IF(AW10&lt;FT_Y5,1+INT((AW10-FT_First)/FT_Int1),FT_PreY5+FT_PerYear*INT((AW10-FT_Y5)/12)+FT_AnnivDays+INT(MOD(AW10-FT_Y5,12)/FT_Int2))),IF(AR10="PT",IF(AW10&lt;PT_First,0,1+INT((AW10-PT_First)/PT_Int)),0))-IF(AR10="FT",IF(AY10&lt;FT_First,0,IF(AY10&lt;FT_Y5,1+INT((AY10-FT_First)/FT_Int1),FT_PreY5+FT_PerYear*INT((AY10-FT_Y5)/12)+FT_AnnivDays+INT(MOD(AY10-FT_Y5,12)/FT_Int2))),IF(AR10="PT",IF(AY10&lt;PT_First,0,1+INT((AY10-PT_First)/PT_Int)),0)),0))</f>
        <v/>
      </c>
      <c r="BB10" s="14" t="str">
        <f aca="false">IF(AG10=0,"",IF(AS10="FT",IF(AT10&lt;FT_First,FT_First,IF(AT10&lt;FT_Y5,MIN(FT_Y5,FT_First+FT_Int1*(INT((AT10-FT_First)/FT_Int1)+1)),FT_Y5+12*INT((AT10-FT_Y5)/12)+FT_Int2*(INT(MOD(AT10-FT_Y5,12)/FT_Int2)+1))),IF(AS10="PT",IF(AT10&lt;PT_First,PT_First,PT_First+PT_Int*(INT((AT10-PT_First)/PT_Int)+1)),"")))</f>
        <v/>
      </c>
      <c r="BC10" s="14" t="str">
        <f aca="false">IF(AG10=0,"",IF(NOT(LH_Ready),0,COUNTIFS(INDEX(LH_Data,0,LH_ColFirst),$A10,INDEX(LH_Data,0,LH_ColSur),$B10,INDEX(LH_Data,0,LH_ColCat),BonusCat)))</f>
        <v/>
      </c>
      <c r="BD10" s="14" t="str">
        <f aca="false">IF(AG10=0,"",IF(OR(NOT(LH_Ready),BC10=0),0,SUMPRODUCT(MAX((INDEX(LH_Data,0,LH_ColFirst)=$A10)*(INDEX(LH_Data,0,LH_ColSur)=$B10)*(INDEX(LH_Data,0,LH_ColCat)=BonusCat)*ROW(LH_Data)))))</f>
        <v/>
      </c>
      <c r="BE10" s="14" t="str">
        <f aca="false">IF(AG10=0,"",IF(EOMONTH(AsOfDate,-1)&lt;AH10,-1,12*(YEAR(EOMONTH(AsOfDate,-1))-YEAR(AH10))+MONTH(EOMONTH(AsOfDate,-1))-MONTH(AH10)-IF(DAY(EOMONTH(AsOfDate,-1))&lt;MIN(DAY(AH10),DAY(EOMONTH(EOMONTH(AsOfDate,-1),0))),1,0)))</f>
        <v/>
      </c>
      <c r="BF10" s="14" t="str">
        <f aca="false">IF(AG10=0,"",IF(OR(AI10&lt;2,AK10&gt;EOMONTH(AsOfDate,-1)),BE10,IF((AK10-1)&lt;AH10,-1,12*(YEAR((AK10-1))-YEAR(AH10))+MONTH((AK10-1))-MONTH(AH10)-IF(DAY((AK10-1))&lt;MIN(DAY(AH10),DAY(EOMONTH((AK10-1),0))),1,0))))</f>
        <v/>
      </c>
      <c r="BG10" s="14" t="str">
        <f aca="false">IF(AG10=0,"",IF(OR(AI10&lt;3,AL10&gt;EOMONTH(AsOfDate,-1)),BE10,IF((AL10-1)&lt;AH10,-1,12*(YEAR((AL10-1))-YEAR(AH10))+MONTH((AL10-1))-MONTH(AH10)-IF(DAY((AL10-1))&lt;MIN(DAY(AH10),DAY(EOMONTH((AL10-1),0))),1,0))))</f>
        <v/>
      </c>
      <c r="BH10" s="14" t="str">
        <f aca="false">IF(AG10=0,"",IF(AP10="FT",IF(BF10&lt;FT_First,0,IF(BF10&lt;FT_Y5,1+INT((BF10-FT_First)/FT_Int1),FT_PreY5+FT_PerYear*INT((BF10-FT_Y5)/12)+FT_AnnivDays+INT(MOD(BF10-FT_Y5,12)/FT_Int2))),IF(AP10="PT",IF(BF10&lt;PT_First,0,1+INT((BF10-PT_First)/PT_Int)),0))+IF(AND(AI10&gt;=2,AK10&lt;=EOMONTH(AsOfDate,-1)),IF(AQ10="FT",IF(BG10&lt;FT_First,0,IF(BG10&lt;FT_Y5,1+INT((BG10-FT_First)/FT_Int1),FT_PreY5+FT_PerYear*INT((BG10-FT_Y5)/12)+FT_AnnivDays+INT(MOD(BG10-FT_Y5,12)/FT_Int2))),IF(AQ10="PT",IF(BG10&lt;PT_First,0,1+INT((BG10-PT_First)/PT_Int)),0))-IF(AQ10="FT",IF(BF10&lt;FT_First,0,IF(BF10&lt;FT_Y5,1+INT((BF10-FT_First)/FT_Int1),FT_PreY5+FT_PerYear*INT((BF10-FT_Y5)/12)+FT_AnnivDays+INT(MOD(BF10-FT_Y5,12)/FT_Int2))),IF(AQ10="PT",IF(BF10&lt;PT_First,0,1+INT((BF10-PT_First)/PT_Int)),0)),0)+IF(AND(AI10&gt;=3,AL10&lt;=EOMONTH(AsOfDate,-1)),IF(AR10="FT",IF(BE10&lt;FT_First,0,IF(BE10&lt;FT_Y5,1+INT((BE10-FT_First)/FT_Int1),FT_PreY5+FT_PerYear*INT((BE10-FT_Y5)/12)+FT_AnnivDays+INT(MOD(BE10-FT_Y5,12)/FT_Int2))),IF(AR10="PT",IF(BE10&lt;PT_First,0,1+INT((BE10-PT_First)/PT_Int)),0))-IF(AR10="FT",IF(BG10&lt;FT_First,0,IF(BG10&lt;FT_Y5,1+INT((BG10-FT_First)/FT_Int1),FT_PreY5+FT_PerYear*INT((BG10-FT_Y5)/12)+FT_AnnivDays+INT(MOD(BG10-FT_Y5,12)/FT_Int2))),IF(AR10="PT",IF(BG10&lt;PT_First,0,1+INT((BG10-PT_First)/PT_Int)),0)),0))</f>
        <v/>
      </c>
      <c r="BI10" s="14" t="str">
        <f aca="false">IF(AG10=0,"",IF(AS10="FT",IF(AT10&lt;FT_First,"",IF(AT10&lt;FT_Y5,FT_First+FT_Int1*INT((AT10-FT_First)/FT_Int1),FT_Y5+FT_Int2*INT((AT10-FT_Y5)/FT_Int2))),IF(AS10="PT",IF(AT10&lt;PT_First,"",PT_First+PT_Int*INT((AT10-PT_First)/PT_Int)),"")))</f>
        <v/>
      </c>
      <c r="BJ10" s="0" t="str">
        <f aca="false">IF(LEN($A10&amp;$B10)=0,"",$A10&amp;" "&amp;$B10)</f>
        <v/>
      </c>
    </row>
    <row r="11" customFormat="false" ht="15" hidden="false" customHeight="false" outlineLevel="0" collapsed="false">
      <c r="A11" s="10"/>
      <c r="B11" s="10"/>
      <c r="C11" s="10"/>
      <c r="D11" s="11"/>
      <c r="E11" s="12" t="str">
        <f aca="false">IF(OR(AG11=0,$D11=""),"",DATE(YEAR(AsOfDate)+IF(DATE(YEAR(AsOfDate),MONTH($D11),DAY($D11))&lt;=AsOfDate,1,0),MONTH($D11),DAY($D11)))</f>
        <v/>
      </c>
      <c r="F11" s="11"/>
      <c r="G11" s="11"/>
      <c r="H11" s="11"/>
      <c r="I11" s="11"/>
      <c r="J11" s="11"/>
      <c r="K11" s="12" t="str">
        <f aca="false">IF(AG11=0,"",DATE(YEAR(AsOfDate)+IF(DATE(YEAR(AsOfDate),MONTH(AH11),DAY(AH11))&lt;=AsOfDate,1,0),MONTH(AH11),DAY(AH11)))</f>
        <v/>
      </c>
      <c r="L11" s="13" t="str">
        <f aca="false">IF(AG11=0,"",ROUND((AsOfDate-AH11)/365.25,1))</f>
        <v/>
      </c>
      <c r="M11" s="14" t="str">
        <f aca="false">IF(AG11=0,"",IF(AsOfDate&lt;AH11,"-",DATEDIF(AH11,AsOfDate,"y")&amp;"y "&amp;DATEDIF(AH11,AsOfDate,"ym")&amp;"m "&amp;DATEDIF(AH11,AsOfDate,"md")&amp;"d"))</f>
        <v/>
      </c>
      <c r="N11" s="15" t="str">
        <f aca="false">IF(AG11=0,"",O11*HoursPerDay)</f>
        <v/>
      </c>
      <c r="O11" s="15" t="str">
        <f aca="false">IF(AG11=0,"",AZ11)</f>
        <v/>
      </c>
      <c r="P11" s="16"/>
      <c r="Q11" s="14" t="str">
        <f aca="false">IF(AG11=0,"",IF(AI11&lt;2,"",AM11&amp;" to "&amp;AN11&amp;" on "&amp;TEXT(AK11,"dd/mm/yyyy")&amp;IF(AK11&gt;AsOfDate," (future)",IF(AP11=AQ11,"",IF(AQ11="None"," - STOPPED accruing",IF(AP11="None"," - commencement for Bonus Leave"," - pathway changed"))))&amp;IF(AI11&lt;3,"","; "&amp;AN11&amp;" to "&amp;AO11&amp;" on "&amp;TEXT(AL11,"dd/mm/yyyy")&amp;IF(AL11&gt;AsOfDate," (future)",IF(AQ11=AR11,"",IF(AR11="None"," - STOPPED accruing",IF(AQ11="None"," - commencement for Bonus Leave"," - pathway changed")))))))</f>
        <v/>
      </c>
      <c r="R11" s="14" t="str">
        <f aca="false">IF(AG11=0,"",IF(AS11="None",IF(O11&gt;0,"No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2" t="str">
        <f aca="false">IF(AG11=0,"",IF(AS11="None","",EDATE(AH11,BB11)))</f>
        <v/>
      </c>
      <c r="T11" s="15" t="str">
        <f aca="false">IF(AG11=0,"",IF(NOT(LH_Ready),"",IF(AH11&gt;PFYDate,0,IF(LH_ColPeriod=0,W11-U11+V11,SUMIFS(INDEX(LH_Data,0,LH_ColAcc),INDEX(LH_Data,0,LH_ColFirst),$A11,INDEX(LH_Data,0,LH_ColSur),$B11,INDEX(LH_Data,0,LH_ColCat),BonusCat,INDEX(LH_Data,0,LH_ColPeriod),LH_OpenLabel)*UnitFactor))))</f>
        <v/>
      </c>
      <c r="U11" s="15" t="str">
        <f aca="false">IF(AG11=0,"",IF(NOT(LH_Ready),"",SUMIFS(INDEX(LH_Data,0,LH_ColAcc),INDEX(LH_Data,0,LH_ColFirst),$A11,INDEX(LH_Data,0,LH_ColSur),$B11,INDEX(LH_Data,0,LH_ColCat),BonusCat,INDEX(LH_Data,0,LH_ColStart),"&gt;="&amp;AH11)*UnitFactor))</f>
        <v/>
      </c>
      <c r="V11" s="15" t="str">
        <f aca="false">IF(AG11=0,"",IF(NOT(LH_Ready),"",SUMIFS(INDEX(LH_Data,0,LH_ColTaken),INDEX(LH_Data,0,LH_ColFirst),$A11,INDEX(LH_Data,0,LH_ColSur),$B11,INDEX(LH_Data,0,LH_ColCat),BonusCat,INDEX(LH_Data,0,LH_ColStart),"&gt;="&amp;AH11)*UnitFactor))</f>
        <v/>
      </c>
      <c r="W11" s="15" t="str">
        <f aca="false">IF(AG11=0,"",IF(NOT(LH_Ready),"",IF(BD11=0,0,INDEX(INDEX(LH_Data,0,LH_ColClose),BD11-1)*UnitFactor)))</f>
        <v/>
      </c>
      <c r="X11" s="15" t="str">
        <f aca="false">IF(AG11=0,"",(AZ11-BA11)*HoursPerDay)</f>
        <v/>
      </c>
      <c r="Y11" s="15" t="str">
        <f aca="false">IF(AG11=0,"",IF(NOT(LH_Ready),"",IF(BC11=0,N11,IF(PFYDate&lt;$F11,N11-N(T11)-N(U11),X11-N(U11)))))</f>
        <v/>
      </c>
      <c r="Z11" s="14" t="str">
        <f aca="false">IF(OR(AG11=0,Y11=""),"",IF(Y11&gt;0,"Yes","No"))</f>
        <v/>
      </c>
      <c r="AA11" s="14" t="str">
        <f aca="false">IF(AG11=0,IF(LEN($A11&amp;$B11)=0,"","FIX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month")&amp;IF(BC11=0,";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EH)",""),IF(AS11="None",R11,"Not yet - first day on "&amp;TEXT(S11,"dd/mm/yyyy")))))))))</f>
        <v/>
      </c>
      <c r="AB11" s="15" t="str">
        <f aca="false">IF(OR(AG11=0,T11=""),"",BA11*HoursPerDay-T11)</f>
        <v/>
      </c>
      <c r="AC11" s="14" t="str">
        <f aca="false">IF(AG11=0,"",BC11)</f>
        <v/>
      </c>
      <c r="AD11" s="14" t="str">
        <f aca="false">IF(AG11=0,"",TRIM(IF(OR(ISTEXT($F11),ISTEXT($H11),ISTEXT($I11),ISTEXT($G11),ISTEXT($J11),ISTEXT($D11)),"A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I11&gt;=1,IF(AI11&gt;=3,AO11,IF(AI11=2,AN11,AM11))&lt;&gt;IF($C11="","",IF(OR(ISNUMBER(SEARCH("full",$C11)),UPPER(TRIM($C11))="FT",UPPER(TRIM($C11))="FTE"),"Full-Time",IF(OR(ISNUMBER(SEARCH("part",$C11)),UPPER(TRIM($C11))="PT",UPPER(TRIM($C11))="PTE"),"Part-Time",IF(OR(ISNUMBER(SEARCH("cas",$C11)),UPPER(TRIM($C11))="CAS"),"Casual","Unknown"))))),"EmploymentType does not match latest start date ("&amp;IF(AI11&gt;=3,AO11,IF(AI11=2,AN11,AM11))&amp;"). ","")&amp;IF(AND(AI11&gt;=1,AJ11&lt;&gt;$F11),"Earliest type date should equal StartDate. ","")&amp;IF(AND(AI11&gt;=2,AJ11=AK11),"Two types start on the same date. ","")&amp;IF(AND(OR(ISNUMBER(SEARCH("part",$C11)),UPPER(TRIM($C11))="PT",UPPER(TRIM($C11))="PTE"),$P11=""),"Part-time: enter PT Hrs/Week (blank = 24+). ","")))</f>
        <v/>
      </c>
      <c r="AE11" s="15" t="str">
        <f aca="false">IF(AG11=0,"",O11-BH11)</f>
        <v/>
      </c>
      <c r="AF11" s="12" t="str">
        <f aca="false">IF(OR(AG11=0,AE11="",N(AE11)=0,BI11=""),"",EDATE(AH11,BI11))</f>
        <v/>
      </c>
      <c r="AG11" s="14" t="n">
        <f aca="false">IF(OR(LEN($A11&amp;$B11)=0,$F11=""),0,1)</f>
        <v>0</v>
      </c>
      <c r="AH11" s="12" t="str">
        <f aca="false">IF(AG11=0,"",IF($J11&lt;&gt;"",$J11,IF(OR(CasualCounts="Yes",COUNT($G11:$I11)=0,COUNT($H11:$I11)=0),$F11,MIN($H11:$I11))))</f>
        <v/>
      </c>
      <c r="AI11" s="14" t="str">
        <f aca="false">IF(AG11=0,"",COUNT($G11:$I11))</f>
        <v/>
      </c>
      <c r="AJ11" s="12" t="str">
        <f aca="false">IF(AG11=0,"",IFERROR(SMALL($G11:$I11,1),""))</f>
        <v/>
      </c>
      <c r="AK11" s="12" t="str">
        <f aca="false">IF(AG11=0,"",IFERROR(SMALL($G11:$I11,2),""))</f>
        <v/>
      </c>
      <c r="AL11" s="12" t="str">
        <f aca="false">IF(AG11=0,"",IFERROR(SMALL($G11:$I11,3),""))</f>
        <v/>
      </c>
      <c r="AM11" s="14" t="str">
        <f aca="false">IF(AG11=0,"",IF(AJ11="","",IF(AJ11=$H11,"Part-Time",IF(AJ11=$I11,"Full-Time","Casual"))))</f>
        <v/>
      </c>
      <c r="AN11" s="14" t="str">
        <f aca="false">IF(AG11=0,"",IF(AK11="","",IF(AK11=$H11,"Part-Time",IF(AK11=$I11,"Full-Time","Casual"))))</f>
        <v/>
      </c>
      <c r="AO11" s="14" t="str">
        <f aca="false">IF(AG11=0,"",IF(AL11="","",IF(AL11=$H11,"Part-Time",IF(AL11=$I11,"Full-Time","Casual"))))</f>
        <v/>
      </c>
      <c r="AP11" s="14" t="str">
        <f aca="false">IF(AG11=0,"",IF(AI11=0,IF(OR(ISNUMBER(SEARCH("full",$C11)),UPPER(TRIM($C11))="FT",UPPER(TRIM($C11))="FTE"),"FT",IF(AND(OR(ISNUMBER(SEARCH("part",$C11)),UPPER(TRIM($C11))="PT",UPPER(TRIM($C11))="PTE"),OR($P11="",N($P11)&gt;=PT_MinHours)),"PT","None")),IF(OR(ISNUMBER(SEARCH("full",AM11)),UPPER(TRIM(AM11))="FT",UPPER(TRIM(AM11))="FTE"),"FT",IF(AND(OR(ISNUMBER(SEARCH("part",AM11)),UPPER(TRIM(AM11))="PT",UPPER(TRIM(AM11))="PTE"),OR($P11="",N($P11)&gt;=PT_MinHours)),"PT","None"))))</f>
        <v/>
      </c>
      <c r="AQ11" s="14" t="str">
        <f aca="false">IF(AG11=0,"",IF(AI11&lt;2,"",IF(OR(ISNUMBER(SEARCH("full",AN11)),UPPER(TRIM(AN11))="FT",UPPER(TRIM(AN11))="FTE"),"FT",IF(AND(OR(ISNUMBER(SEARCH("part",AN11)),UPPER(TRIM(AN11))="PT",UPPER(TRIM(AN11))="PTE"),OR($P11="",N($P11)&gt;=PT_MinHours)),"PT","None"))))</f>
        <v/>
      </c>
      <c r="AR11" s="14" t="str">
        <f aca="false">IF(AG11=0,"",IF(AI11&lt;3,"",IF(OR(ISNUMBER(SEARCH("full",AO11)),UPPER(TRIM(AO11))="FT",UPPER(TRIM(AO11))="FTE"),"FT",IF(AND(OR(ISNUMBER(SEARCH("part",AO11)),UPPER(TRIM(AO11))="PT",UPPER(TRIM(AO11))="PTE"),OR($P11="",N($P11)&gt;=PT_MinHours)),"PT","None"))))</f>
        <v/>
      </c>
      <c r="AS11" s="14" t="str">
        <f aca="false">IF(AG11=0,"",IF(AND(AI11&gt;=3,AL11&lt;=AsOfDate),AR11,IF(AND(AI11&gt;=2,AK11&lt;=AsOfDate),AQ11,AP11)))</f>
        <v/>
      </c>
      <c r="AT11" s="14" t="str">
        <f aca="false">IF(AG11=0,"",IF(AsOfDate&lt;AH11,-1,12*(YEAR(AsOfDate)-YEAR(AH11))+MONTH(AsOfDate)-MONTH(AH11)-IF(DAY(AsOfDate)&lt;MIN(DAY(AH11),DAY(EOMONTH(AsOfDate,0))),1,0)))</f>
        <v/>
      </c>
      <c r="AU11" s="14" t="str">
        <f aca="false">IF(AG11=0,"",IF(OR(AI11&lt;2,AK11&gt;AsOfDate),AT11,IF((AK11-1)&lt;AH11,-1,12*(YEAR((AK11-1))-YEAR(AH11))+MONTH((AK11-1))-MONTH(AH11)-IF(DAY((AK11-1))&lt;MIN(DAY(AH11),DAY(EOMONTH((AK11-1),0))),1,0))))</f>
        <v/>
      </c>
      <c r="AV11" s="14" t="str">
        <f aca="false">IF(AG11=0,"",IF(OR(AI11&lt;3,AL11&gt;AsOfDate),AT11,IF((AL11-1)&lt;AH11,-1,12*(YEAR((AL11-1))-YEAR(AH11))+MONTH((AL11-1))-MONTH(AH11)-IF(DAY((AL11-1))&lt;MIN(DAY(AH11),DAY(EOMONTH((AL11-1),0))),1,0))))</f>
        <v/>
      </c>
      <c r="AW11" s="14" t="str">
        <f aca="false">IF(AG11=0,"",IF(PFYDate&lt;AH11,-1,12*(YEAR(PFYDate)-YEAR(AH11))+MONTH(PFYDate)-MONTH(AH11)-IF(DAY(PFYDate)&lt;MIN(DAY(AH11),DAY(EOMONTH(PFYDate,0))),1,0)))</f>
        <v/>
      </c>
      <c r="AX11" s="14" t="str">
        <f aca="false">IF(AG11=0,"",IF(OR(AI11&lt;2,AK11&gt;PFYDate),AW11,IF((AK11-1)&lt;AH11,-1,12*(YEAR((AK11-1))-YEAR(AH11))+MONTH((AK11-1))-MONTH(AH11)-IF(DAY((AK11-1))&lt;MIN(DAY(AH11),DAY(EOMONTH((AK11-1),0))),1,0))))</f>
        <v/>
      </c>
      <c r="AY11" s="14" t="str">
        <f aca="false">IF(AG11=0,"",IF(OR(AI11&lt;3,AL11&gt;PFYDate),AW11,IF((AL11-1)&lt;AH11,-1,12*(YEAR((AL11-1))-YEAR(AH11))+MONTH((AL11-1))-MONTH(AH11)-IF(DAY((AL11-1))&lt;MIN(DAY(AH11),DAY(EOMONTH((AL11-1),0))),1,0))))</f>
        <v/>
      </c>
      <c r="AZ11" s="14" t="str">
        <f aca="false">IF(AG11=0,"",IF(AP11="FT",IF(AU11&lt;FT_First,0,IF(AU11&lt;FT_Y5,1+INT((AU11-FT_First)/FT_Int1),FT_PreY5+FT_PerYear*INT((AU11-FT_Y5)/12)+FT_AnnivDays+INT(MOD(AU11-FT_Y5,12)/FT_Int2))),IF(AP11="PT",IF(AU11&lt;PT_First,0,1+INT((AU11-PT_First)/PT_Int)),0))+IF(AND(AI11&gt;=2,AK11&lt;=AsOfDate),IF(AQ11="FT",IF(AV11&lt;FT_First,0,IF(AV11&lt;FT_Y5,1+INT((AV11-FT_First)/FT_Int1),FT_PreY5+FT_PerYear*INT((AV11-FT_Y5)/12)+FT_AnnivDays+INT(MOD(AV11-FT_Y5,12)/FT_Int2))),IF(AQ11="PT",IF(AV11&lt;PT_First,0,1+INT((AV11-PT_First)/PT_Int)),0))-IF(AQ11="FT",IF(AU11&lt;FT_First,0,IF(AU11&lt;FT_Y5,1+INT((AU11-FT_First)/FT_Int1),FT_PreY5+FT_PerYear*INT((AU11-FT_Y5)/12)+FT_AnnivDays+INT(MOD(AU11-FT_Y5,12)/FT_Int2))),IF(AQ11="PT",IF(AU11&lt;PT_First,0,1+INT((AU11-PT_First)/PT_Int)),0)),0)+IF(AND(AI11&gt;=3,AL11&lt;=AsOfDate),IF(AR11="FT",IF(AT11&lt;FT_First,0,IF(AT11&lt;FT_Y5,1+INT((AT11-FT_First)/FT_Int1),FT_PreY5+FT_PerYear*INT((AT11-FT_Y5)/12)+FT_AnnivDays+INT(MOD(AT11-FT_Y5,12)/FT_Int2))),IF(AR11="PT",IF(AT11&lt;PT_First,0,1+INT((AT11-PT_First)/PT_Int)),0))-IF(AR11="FT",IF(AV11&lt;FT_First,0,IF(AV11&lt;FT_Y5,1+INT((AV11-FT_First)/FT_Int1),FT_PreY5+FT_PerYear*INT((AV11-FT_Y5)/12)+FT_AnnivDays+INT(MOD(AV11-FT_Y5,12)/FT_Int2))),IF(AR11="PT",IF(AV11&lt;PT_First,0,1+INT((AV11-PT_First)/PT_Int)),0)),0))</f>
        <v/>
      </c>
      <c r="BA11" s="14" t="str">
        <f aca="false">IF(AG11=0,"",IF(AP11="FT",IF(AX11&lt;FT_First,0,IF(AX11&lt;FT_Y5,1+INT((AX11-FT_First)/FT_Int1),FT_PreY5+FT_PerYear*INT((AX11-FT_Y5)/12)+FT_AnnivDays+INT(MOD(AX11-FT_Y5,12)/FT_Int2))),IF(AP11="PT",IF(AX11&lt;PT_First,0,1+INT((AX11-PT_First)/PT_Int)),0))+IF(AND(AI11&gt;=2,AK11&lt;=PFYDate),IF(AQ11="FT",IF(AY11&lt;FT_First,0,IF(AY11&lt;FT_Y5,1+INT((AY11-FT_First)/FT_Int1),FT_PreY5+FT_PerYear*INT((AY11-FT_Y5)/12)+FT_AnnivDays+INT(MOD(AY11-FT_Y5,12)/FT_Int2))),IF(AQ11="PT",IF(AY11&lt;PT_First,0,1+INT((AY11-PT_First)/PT_Int)),0))-IF(AQ11="FT",IF(AX11&lt;FT_First,0,IF(AX11&lt;FT_Y5,1+INT((AX11-FT_First)/FT_Int1),FT_PreY5+FT_PerYear*INT((AX11-FT_Y5)/12)+FT_AnnivDays+INT(MOD(AX11-FT_Y5,12)/FT_Int2))),IF(AQ11="PT",IF(AX11&lt;PT_First,0,1+INT((AX11-PT_First)/PT_Int)),0)),0)+IF(AND(AI11&gt;=3,AL11&lt;=PFYDate),IF(AR11="FT",IF(AW11&lt;FT_First,0,IF(AW11&lt;FT_Y5,1+INT((AW11-FT_First)/FT_Int1),FT_PreY5+FT_PerYear*INT((AW11-FT_Y5)/12)+FT_AnnivDays+INT(MOD(AW11-FT_Y5,12)/FT_Int2))),IF(AR11="PT",IF(AW11&lt;PT_First,0,1+INT((AW11-PT_First)/PT_Int)),0))-IF(AR11="FT",IF(AY11&lt;FT_First,0,IF(AY11&lt;FT_Y5,1+INT((AY11-FT_First)/FT_Int1),FT_PreY5+FT_PerYear*INT((AY11-FT_Y5)/12)+FT_AnnivDays+INT(MOD(AY11-FT_Y5,12)/FT_Int2))),IF(AR11="PT",IF(AY11&lt;PT_First,0,1+INT((AY11-PT_First)/PT_Int)),0)),0))</f>
        <v/>
      </c>
      <c r="BB11" s="14" t="str">
        <f aca="false">IF(AG11=0,"",IF(AS11="FT",IF(AT11&lt;FT_First,FT_First,IF(AT11&lt;FT_Y5,MIN(FT_Y5,FT_First+FT_Int1*(INT((AT11-FT_First)/FT_Int1)+1)),FT_Y5+12*INT((AT11-FT_Y5)/12)+FT_Int2*(INT(MOD(AT11-FT_Y5,12)/FT_Int2)+1))),IF(AS11="PT",IF(AT11&lt;PT_First,PT_First,PT_First+PT_Int*(INT((AT11-PT_First)/PT_Int)+1)),"")))</f>
        <v/>
      </c>
      <c r="BC11" s="14" t="str">
        <f aca="false">IF(AG11=0,"",IF(NOT(LH_Ready),0,COUNTIFS(INDEX(LH_Data,0,LH_ColFirst),$A11,INDEX(LH_Data,0,LH_ColSur),$B11,INDEX(LH_Data,0,LH_ColCat),BonusCat)))</f>
        <v/>
      </c>
      <c r="BD11" s="14" t="str">
        <f aca="false">IF(AG11=0,"",IF(OR(NOT(LH_Ready),BC11=0),0,SUMPRODUCT(MAX((INDEX(LH_Data,0,LH_ColFirst)=$A11)*(INDEX(LH_Data,0,LH_ColSur)=$B11)*(INDEX(LH_Data,0,LH_ColCat)=BonusCat)*ROW(LH_Data)))))</f>
        <v/>
      </c>
      <c r="BE11" s="14" t="str">
        <f aca="false">IF(AG11=0,"",IF(EOMONTH(AsOfDate,-1)&lt;AH11,-1,12*(YEAR(EOMONTH(AsOfDate,-1))-YEAR(AH11))+MONTH(EOMONTH(AsOfDate,-1))-MONTH(AH11)-IF(DAY(EOMONTH(AsOfDate,-1))&lt;MIN(DAY(AH11),DAY(EOMONTH(EOMONTH(AsOfDate,-1),0))),1,0)))</f>
        <v/>
      </c>
      <c r="BF11" s="14" t="str">
        <f aca="false">IF(AG11=0,"",IF(OR(AI11&lt;2,AK11&gt;EOMONTH(AsOfDate,-1)),BE11,IF((AK11-1)&lt;AH11,-1,12*(YEAR((AK11-1))-YEAR(AH11))+MONTH((AK11-1))-MONTH(AH11)-IF(DAY((AK11-1))&lt;MIN(DAY(AH11),DAY(EOMONTH((AK11-1),0))),1,0))))</f>
        <v/>
      </c>
      <c r="BG11" s="14" t="str">
        <f aca="false">IF(AG11=0,"",IF(OR(AI11&lt;3,AL11&gt;EOMONTH(AsOfDate,-1)),BE11,IF((AL11-1)&lt;AH11,-1,12*(YEAR((AL11-1))-YEAR(AH11))+MONTH((AL11-1))-MONTH(AH11)-IF(DAY((AL11-1))&lt;MIN(DAY(AH11),DAY(EOMONTH((AL11-1),0))),1,0))))</f>
        <v/>
      </c>
      <c r="BH11" s="14" t="str">
        <f aca="false">IF(AG11=0,"",IF(AP11="FT",IF(BF11&lt;FT_First,0,IF(BF11&lt;FT_Y5,1+INT((BF11-FT_First)/FT_Int1),FT_PreY5+FT_PerYear*INT((BF11-FT_Y5)/12)+FT_AnnivDays+INT(MOD(BF11-FT_Y5,12)/FT_Int2))),IF(AP11="PT",IF(BF11&lt;PT_First,0,1+INT((BF11-PT_First)/PT_Int)),0))+IF(AND(AI11&gt;=2,AK11&lt;=EOMONTH(AsOfDate,-1)),IF(AQ11="FT",IF(BG11&lt;FT_First,0,IF(BG11&lt;FT_Y5,1+INT((BG11-FT_First)/FT_Int1),FT_PreY5+FT_PerYear*INT((BG11-FT_Y5)/12)+FT_AnnivDays+INT(MOD(BG11-FT_Y5,12)/FT_Int2))),IF(AQ11="PT",IF(BG11&lt;PT_First,0,1+INT((BG11-PT_First)/PT_Int)),0))-IF(AQ11="FT",IF(BF11&lt;FT_First,0,IF(BF11&lt;FT_Y5,1+INT((BF11-FT_First)/FT_Int1),FT_PreY5+FT_PerYear*INT((BF11-FT_Y5)/12)+FT_AnnivDays+INT(MOD(BF11-FT_Y5,12)/FT_Int2))),IF(AQ11="PT",IF(BF11&lt;PT_First,0,1+INT((BF11-PT_First)/PT_Int)),0)),0)+IF(AND(AI11&gt;=3,AL11&lt;=EOMONTH(AsOfDate,-1)),IF(AR11="FT",IF(BE11&lt;FT_First,0,IF(BE11&lt;FT_Y5,1+INT((BE11-FT_First)/FT_Int1),FT_PreY5+FT_PerYear*INT((BE11-FT_Y5)/12)+FT_AnnivDays+INT(MOD(BE11-FT_Y5,12)/FT_Int2))),IF(AR11="PT",IF(BE11&lt;PT_First,0,1+INT((BE11-PT_First)/PT_Int)),0))-IF(AR11="FT",IF(BG11&lt;FT_First,0,IF(BG11&lt;FT_Y5,1+INT((BG11-FT_First)/FT_Int1),FT_PreY5+FT_PerYear*INT((BG11-FT_Y5)/12)+FT_AnnivDays+INT(MOD(BG11-FT_Y5,12)/FT_Int2))),IF(AR11="PT",IF(BG11&lt;PT_First,0,1+INT((BG11-PT_First)/PT_Int)),0)),0))</f>
        <v/>
      </c>
      <c r="BI11" s="14" t="str">
        <f aca="false">IF(AG11=0,"",IF(AS11="FT",IF(AT11&lt;FT_First,"",IF(AT11&lt;FT_Y5,FT_First+FT_Int1*INT((AT11-FT_First)/FT_Int1),FT_Y5+FT_Int2*INT((AT11-FT_Y5)/FT_Int2))),IF(AS11="PT",IF(AT11&lt;PT_First,"",PT_First+PT_Int*INT((AT11-PT_First)/PT_Int)),"")))</f>
        <v/>
      </c>
      <c r="BJ11" s="0" t="str">
        <f aca="false">IF(LEN($A11&amp;$B11)=0,"",$A11&amp;" "&amp;$B11)</f>
        <v/>
      </c>
    </row>
    <row r="12" customFormat="false" ht="15" hidden="false" customHeight="false" outlineLevel="0" collapsed="false">
      <c r="A12" s="10"/>
      <c r="B12" s="10"/>
      <c r="C12" s="10"/>
      <c r="D12" s="11"/>
      <c r="E12" s="12" t="str">
        <f aca="false">IF(OR(AG12=0,$D12=""),"",DATE(YEAR(AsOfDate)+IF(DATE(YEAR(AsOfDate),MONTH($D12),DAY($D12))&lt;=AsOfDate,1,0),MONTH($D12),DAY($D12)))</f>
        <v/>
      </c>
      <c r="F12" s="11"/>
      <c r="G12" s="11"/>
      <c r="H12" s="11"/>
      <c r="I12" s="11"/>
      <c r="J12" s="11"/>
      <c r="K12" s="12" t="str">
        <f aca="false">IF(AG12=0,"",DATE(YEAR(AsOfDate)+IF(DATE(YEAR(AsOfDate),MONTH(AH12),DAY(AH12))&lt;=AsOfDate,1,0),MONTH(AH12),DAY(AH12)))</f>
        <v/>
      </c>
      <c r="L12" s="13" t="str">
        <f aca="false">IF(AG12=0,"",ROUND((AsOfDate-AH12)/365.25,1))</f>
        <v/>
      </c>
      <c r="M12" s="14" t="str">
        <f aca="false">IF(AG12=0,"",IF(AsOfDate&lt;AH12,"-",DATEDIF(AH12,AsOfDate,"y")&amp;"y "&amp;DATEDIF(AH12,AsOfDate,"ym")&amp;"m "&amp;DATEDIF(AH12,AsOfDate,"md")&amp;"d"))</f>
        <v/>
      </c>
      <c r="N12" s="15" t="str">
        <f aca="false">IF(AG12=0,"",O12*HoursPerDay)</f>
        <v/>
      </c>
      <c r="O12" s="15" t="str">
        <f aca="false">IF(AG12=0,"",AZ12)</f>
        <v/>
      </c>
      <c r="P12" s="16"/>
      <c r="Q12" s="14" t="str">
        <f aca="false">IF(AG12=0,"",IF(AI12&lt;2,"",AM12&amp;" to "&amp;AN12&amp;" on "&amp;TEXT(AK12,"dd/mm/yyyy")&amp;IF(AK12&gt;AsOfDate," (future)",IF(AP12=AQ12,"",IF(AQ12="None"," - STOPPED accruing",IF(AP12="None"," - commencement for Bonus Leave"," - pathway changed"))))&amp;IF(AI12&lt;3,"","; "&amp;AN12&amp;" to "&amp;AO12&amp;" on "&amp;TEXT(AL12,"dd/mm/yyyy")&amp;IF(AL12&gt;AsOfDate," (future)",IF(AQ12=AR12,"",IF(AR12="None"," - STOPPED accruing",IF(AQ12="None"," - commencement for Bonus Leave"," - pathway changed")))))))</f>
        <v/>
      </c>
      <c r="R12" s="14" t="str">
        <f aca="false">IF(AG12=0,"",IF(AS12="None",IF(O12&gt;0,"No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2" t="str">
        <f aca="false">IF(AG12=0,"",IF(AS12="None","",EDATE(AH12,BB12)))</f>
        <v/>
      </c>
      <c r="T12" s="15" t="str">
        <f aca="false">IF(AG12=0,"",IF(NOT(LH_Ready),"",IF(AH12&gt;PFYDate,0,IF(LH_ColPeriod=0,W12-U12+V12,SUMIFS(INDEX(LH_Data,0,LH_ColAcc),INDEX(LH_Data,0,LH_ColFirst),$A12,INDEX(LH_Data,0,LH_ColSur),$B12,INDEX(LH_Data,0,LH_ColCat),BonusCat,INDEX(LH_Data,0,LH_ColPeriod),LH_OpenLabel)*UnitFactor))))</f>
        <v/>
      </c>
      <c r="U12" s="15" t="str">
        <f aca="false">IF(AG12=0,"",IF(NOT(LH_Ready),"",SUMIFS(INDEX(LH_Data,0,LH_ColAcc),INDEX(LH_Data,0,LH_ColFirst),$A12,INDEX(LH_Data,0,LH_ColSur),$B12,INDEX(LH_Data,0,LH_ColCat),BonusCat,INDEX(LH_Data,0,LH_ColStart),"&gt;="&amp;AH12)*UnitFactor))</f>
        <v/>
      </c>
      <c r="V12" s="15" t="str">
        <f aca="false">IF(AG12=0,"",IF(NOT(LH_Ready),"",SUMIFS(INDEX(LH_Data,0,LH_ColTaken),INDEX(LH_Data,0,LH_ColFirst),$A12,INDEX(LH_Data,0,LH_ColSur),$B12,INDEX(LH_Data,0,LH_ColCat),BonusCat,INDEX(LH_Data,0,LH_ColStart),"&gt;="&amp;AH12)*UnitFactor))</f>
        <v/>
      </c>
      <c r="W12" s="15" t="str">
        <f aca="false">IF(AG12=0,"",IF(NOT(LH_Ready),"",IF(BD12=0,0,INDEX(INDEX(LH_Data,0,LH_ColClose),BD12-1)*UnitFactor)))</f>
        <v/>
      </c>
      <c r="X12" s="15" t="str">
        <f aca="false">IF(AG12=0,"",(AZ12-BA12)*HoursPerDay)</f>
        <v/>
      </c>
      <c r="Y12" s="15" t="str">
        <f aca="false">IF(AG12=0,"",IF(NOT(LH_Ready),"",IF(BC12=0,N12,IF(PFYDate&lt;$F12,N12-N(T12)-N(U12),X12-N(U12)))))</f>
        <v/>
      </c>
      <c r="Z12" s="14" t="str">
        <f aca="false">IF(OR(AG12=0,Y12=""),"",IF(Y12&gt;0,"Yes","No"))</f>
        <v/>
      </c>
      <c r="AA12" s="14" t="str">
        <f aca="false">IF(AG12=0,IF(LEN($A12&amp;$B12)=0,"","FIX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month")&amp;IF(BC12=0,";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EH)",""),IF(AS12="None",R12,"Not yet - first day on "&amp;TEXT(S12,"dd/mm/yyyy")))))))))</f>
        <v/>
      </c>
      <c r="AB12" s="15" t="str">
        <f aca="false">IF(OR(AG12=0,T12=""),"",BA12*HoursPerDay-T12)</f>
        <v/>
      </c>
      <c r="AC12" s="14" t="str">
        <f aca="false">IF(AG12=0,"",BC12)</f>
        <v/>
      </c>
      <c r="AD12" s="14" t="str">
        <f aca="false">IF(AG12=0,"",TRIM(IF(OR(ISTEXT($F12),ISTEXT($H12),ISTEXT($I12),ISTEXT($G12),ISTEXT($J12),ISTEXT($D12)),"A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I12&gt;=1,IF(AI12&gt;=3,AO12,IF(AI12=2,AN12,AM12))&lt;&gt;IF($C12="","",IF(OR(ISNUMBER(SEARCH("full",$C12)),UPPER(TRIM($C12))="FT",UPPER(TRIM($C12))="FTE"),"Full-Time",IF(OR(ISNUMBER(SEARCH("part",$C12)),UPPER(TRIM($C12))="PT",UPPER(TRIM($C12))="PTE"),"Part-Time",IF(OR(ISNUMBER(SEARCH("cas",$C12)),UPPER(TRIM($C12))="CAS"),"Casual","Unknown"))))),"EmploymentType does not match latest start date ("&amp;IF(AI12&gt;=3,AO12,IF(AI12=2,AN12,AM12))&amp;"). ","")&amp;IF(AND(AI12&gt;=1,AJ12&lt;&gt;$F12),"Earliest type date should equal StartDate. ","")&amp;IF(AND(AI12&gt;=2,AJ12=AK12),"Two types start on the same date. ","")&amp;IF(AND(OR(ISNUMBER(SEARCH("part",$C12)),UPPER(TRIM($C12))="PT",UPPER(TRIM($C12))="PTE"),$P12=""),"Part-time: enter PT Hrs/Week (blank = 24+). ","")))</f>
        <v/>
      </c>
      <c r="AE12" s="15" t="str">
        <f aca="false">IF(AG12=0,"",O12-BH12)</f>
        <v/>
      </c>
      <c r="AF12" s="12" t="str">
        <f aca="false">IF(OR(AG12=0,AE12="",N(AE12)=0,BI12=""),"",EDATE(AH12,BI12))</f>
        <v/>
      </c>
      <c r="AG12" s="14" t="n">
        <f aca="false">IF(OR(LEN($A12&amp;$B12)=0,$F12=""),0,1)</f>
        <v>0</v>
      </c>
      <c r="AH12" s="12" t="str">
        <f aca="false">IF(AG12=0,"",IF($J12&lt;&gt;"",$J12,IF(OR(CasualCounts="Yes",COUNT($G12:$I12)=0,COUNT($H12:$I12)=0),$F12,MIN($H12:$I12))))</f>
        <v/>
      </c>
      <c r="AI12" s="14" t="str">
        <f aca="false">IF(AG12=0,"",COUNT($G12:$I12))</f>
        <v/>
      </c>
      <c r="AJ12" s="12" t="str">
        <f aca="false">IF(AG12=0,"",IFERROR(SMALL($G12:$I12,1),""))</f>
        <v/>
      </c>
      <c r="AK12" s="12" t="str">
        <f aca="false">IF(AG12=0,"",IFERROR(SMALL($G12:$I12,2),""))</f>
        <v/>
      </c>
      <c r="AL12" s="12" t="str">
        <f aca="false">IF(AG12=0,"",IFERROR(SMALL($G12:$I12,3),""))</f>
        <v/>
      </c>
      <c r="AM12" s="14" t="str">
        <f aca="false">IF(AG12=0,"",IF(AJ12="","",IF(AJ12=$H12,"Part-Time",IF(AJ12=$I12,"Full-Time","Casual"))))</f>
        <v/>
      </c>
      <c r="AN12" s="14" t="str">
        <f aca="false">IF(AG12=0,"",IF(AK12="","",IF(AK12=$H12,"Part-Time",IF(AK12=$I12,"Full-Time","Casual"))))</f>
        <v/>
      </c>
      <c r="AO12" s="14" t="str">
        <f aca="false">IF(AG12=0,"",IF(AL12="","",IF(AL12=$H12,"Part-Time",IF(AL12=$I12,"Full-Time","Casual"))))</f>
        <v/>
      </c>
      <c r="AP12" s="14" t="str">
        <f aca="false">IF(AG12=0,"",IF(AI12=0,IF(OR(ISNUMBER(SEARCH("full",$C12)),UPPER(TRIM($C12))="FT",UPPER(TRIM($C12))="FTE"),"FT",IF(AND(OR(ISNUMBER(SEARCH("part",$C12)),UPPER(TRIM($C12))="PT",UPPER(TRIM($C12))="PTE"),OR($P12="",N($P12)&gt;=PT_MinHours)),"PT","None")),IF(OR(ISNUMBER(SEARCH("full",AM12)),UPPER(TRIM(AM12))="FT",UPPER(TRIM(AM12))="FTE"),"FT",IF(AND(OR(ISNUMBER(SEARCH("part",AM12)),UPPER(TRIM(AM12))="PT",UPPER(TRIM(AM12))="PTE"),OR($P12="",N($P12)&gt;=PT_MinHours)),"PT","None"))))</f>
        <v/>
      </c>
      <c r="AQ12" s="14" t="str">
        <f aca="false">IF(AG12=0,"",IF(AI12&lt;2,"",IF(OR(ISNUMBER(SEARCH("full",AN12)),UPPER(TRIM(AN12))="FT",UPPER(TRIM(AN12))="FTE"),"FT",IF(AND(OR(ISNUMBER(SEARCH("part",AN12)),UPPER(TRIM(AN12))="PT",UPPER(TRIM(AN12))="PTE"),OR($P12="",N($P12)&gt;=PT_MinHours)),"PT","None"))))</f>
        <v/>
      </c>
      <c r="AR12" s="14" t="str">
        <f aca="false">IF(AG12=0,"",IF(AI12&lt;3,"",IF(OR(ISNUMBER(SEARCH("full",AO12)),UPPER(TRIM(AO12))="FT",UPPER(TRIM(AO12))="FTE"),"FT",IF(AND(OR(ISNUMBER(SEARCH("part",AO12)),UPPER(TRIM(AO12))="PT",UPPER(TRIM(AO12))="PTE"),OR($P12="",N($P12)&gt;=PT_MinHours)),"PT","None"))))</f>
        <v/>
      </c>
      <c r="AS12" s="14" t="str">
        <f aca="false">IF(AG12=0,"",IF(AND(AI12&gt;=3,AL12&lt;=AsOfDate),AR12,IF(AND(AI12&gt;=2,AK12&lt;=AsOfDate),AQ12,AP12)))</f>
        <v/>
      </c>
      <c r="AT12" s="14" t="str">
        <f aca="false">IF(AG12=0,"",IF(AsOfDate&lt;AH12,-1,12*(YEAR(AsOfDate)-YEAR(AH12))+MONTH(AsOfDate)-MONTH(AH12)-IF(DAY(AsOfDate)&lt;MIN(DAY(AH12),DAY(EOMONTH(AsOfDate,0))),1,0)))</f>
        <v/>
      </c>
      <c r="AU12" s="14" t="str">
        <f aca="false">IF(AG12=0,"",IF(OR(AI12&lt;2,AK12&gt;AsOfDate),AT12,IF((AK12-1)&lt;AH12,-1,12*(YEAR((AK12-1))-YEAR(AH12))+MONTH((AK12-1))-MONTH(AH12)-IF(DAY((AK12-1))&lt;MIN(DAY(AH12),DAY(EOMONTH((AK12-1),0))),1,0))))</f>
        <v/>
      </c>
      <c r="AV12" s="14" t="str">
        <f aca="false">IF(AG12=0,"",IF(OR(AI12&lt;3,AL12&gt;AsOfDate),AT12,IF((AL12-1)&lt;AH12,-1,12*(YEAR((AL12-1))-YEAR(AH12))+MONTH((AL12-1))-MONTH(AH12)-IF(DAY((AL12-1))&lt;MIN(DAY(AH12),DAY(EOMONTH((AL12-1),0))),1,0))))</f>
        <v/>
      </c>
      <c r="AW12" s="14" t="str">
        <f aca="false">IF(AG12=0,"",IF(PFYDate&lt;AH12,-1,12*(YEAR(PFYDate)-YEAR(AH12))+MONTH(PFYDate)-MONTH(AH12)-IF(DAY(PFYDate)&lt;MIN(DAY(AH12),DAY(EOMONTH(PFYDate,0))),1,0)))</f>
        <v/>
      </c>
      <c r="AX12" s="14" t="str">
        <f aca="false">IF(AG12=0,"",IF(OR(AI12&lt;2,AK12&gt;PFYDate),AW12,IF((AK12-1)&lt;AH12,-1,12*(YEAR((AK12-1))-YEAR(AH12))+MONTH((AK12-1))-MONTH(AH12)-IF(DAY((AK12-1))&lt;MIN(DAY(AH12),DAY(EOMONTH((AK12-1),0))),1,0))))</f>
        <v/>
      </c>
      <c r="AY12" s="14" t="str">
        <f aca="false">IF(AG12=0,"",IF(OR(AI12&lt;3,AL12&gt;PFYDate),AW12,IF((AL12-1)&lt;AH12,-1,12*(YEAR((AL12-1))-YEAR(AH12))+MONTH((AL12-1))-MONTH(AH12)-IF(DAY((AL12-1))&lt;MIN(DAY(AH12),DAY(EOMONTH((AL12-1),0))),1,0))))</f>
        <v/>
      </c>
      <c r="AZ12" s="14" t="str">
        <f aca="false">IF(AG12=0,"",IF(AP12="FT",IF(AU12&lt;FT_First,0,IF(AU12&lt;FT_Y5,1+INT((AU12-FT_First)/FT_Int1),FT_PreY5+FT_PerYear*INT((AU12-FT_Y5)/12)+FT_AnnivDays+INT(MOD(AU12-FT_Y5,12)/FT_Int2))),IF(AP12="PT",IF(AU12&lt;PT_First,0,1+INT((AU12-PT_First)/PT_Int)),0))+IF(AND(AI12&gt;=2,AK12&lt;=AsOfDate),IF(AQ12="FT",IF(AV12&lt;FT_First,0,IF(AV12&lt;FT_Y5,1+INT((AV12-FT_First)/FT_Int1),FT_PreY5+FT_PerYear*INT((AV12-FT_Y5)/12)+FT_AnnivDays+INT(MOD(AV12-FT_Y5,12)/FT_Int2))),IF(AQ12="PT",IF(AV12&lt;PT_First,0,1+INT((AV12-PT_First)/PT_Int)),0))-IF(AQ12="FT",IF(AU12&lt;FT_First,0,IF(AU12&lt;FT_Y5,1+INT((AU12-FT_First)/FT_Int1),FT_PreY5+FT_PerYear*INT((AU12-FT_Y5)/12)+FT_AnnivDays+INT(MOD(AU12-FT_Y5,12)/FT_Int2))),IF(AQ12="PT",IF(AU12&lt;PT_First,0,1+INT((AU12-PT_First)/PT_Int)),0)),0)+IF(AND(AI12&gt;=3,AL12&lt;=AsOfDate),IF(AR12="FT",IF(AT12&lt;FT_First,0,IF(AT12&lt;FT_Y5,1+INT((AT12-FT_First)/FT_Int1),FT_PreY5+FT_PerYear*INT((AT12-FT_Y5)/12)+FT_AnnivDays+INT(MOD(AT12-FT_Y5,12)/FT_Int2))),IF(AR12="PT",IF(AT12&lt;PT_First,0,1+INT((AT12-PT_First)/PT_Int)),0))-IF(AR12="FT",IF(AV12&lt;FT_First,0,IF(AV12&lt;FT_Y5,1+INT((AV12-FT_First)/FT_Int1),FT_PreY5+FT_PerYear*INT((AV12-FT_Y5)/12)+FT_AnnivDays+INT(MOD(AV12-FT_Y5,12)/FT_Int2))),IF(AR12="PT",IF(AV12&lt;PT_First,0,1+INT((AV12-PT_First)/PT_Int)),0)),0))</f>
        <v/>
      </c>
      <c r="BA12" s="14" t="str">
        <f aca="false">IF(AG12=0,"",IF(AP12="FT",IF(AX12&lt;FT_First,0,IF(AX12&lt;FT_Y5,1+INT((AX12-FT_First)/FT_Int1),FT_PreY5+FT_PerYear*INT((AX12-FT_Y5)/12)+FT_AnnivDays+INT(MOD(AX12-FT_Y5,12)/FT_Int2))),IF(AP12="PT",IF(AX12&lt;PT_First,0,1+INT((AX12-PT_First)/PT_Int)),0))+IF(AND(AI12&gt;=2,AK12&lt;=PFYDate),IF(AQ12="FT",IF(AY12&lt;FT_First,0,IF(AY12&lt;FT_Y5,1+INT((AY12-FT_First)/FT_Int1),FT_PreY5+FT_PerYear*INT((AY12-FT_Y5)/12)+FT_AnnivDays+INT(MOD(AY12-FT_Y5,12)/FT_Int2))),IF(AQ12="PT",IF(AY12&lt;PT_First,0,1+INT((AY12-PT_First)/PT_Int)),0))-IF(AQ12="FT",IF(AX12&lt;FT_First,0,IF(AX12&lt;FT_Y5,1+INT((AX12-FT_First)/FT_Int1),FT_PreY5+FT_PerYear*INT((AX12-FT_Y5)/12)+FT_AnnivDays+INT(MOD(AX12-FT_Y5,12)/FT_Int2))),IF(AQ12="PT",IF(AX12&lt;PT_First,0,1+INT((AX12-PT_First)/PT_Int)),0)),0)+IF(AND(AI12&gt;=3,AL12&lt;=PFYDate),IF(AR12="FT",IF(AW12&lt;FT_First,0,IF(AW12&lt;FT_Y5,1+INT((AW12-FT_First)/FT_Int1),FT_PreY5+FT_PerYear*INT((AW12-FT_Y5)/12)+FT_AnnivDays+INT(MOD(AW12-FT_Y5,12)/FT_Int2))),IF(AR12="PT",IF(AW12&lt;PT_First,0,1+INT((AW12-PT_First)/PT_Int)),0))-IF(AR12="FT",IF(AY12&lt;FT_First,0,IF(AY12&lt;FT_Y5,1+INT((AY12-FT_First)/FT_Int1),FT_PreY5+FT_PerYear*INT((AY12-FT_Y5)/12)+FT_AnnivDays+INT(MOD(AY12-FT_Y5,12)/FT_Int2))),IF(AR12="PT",IF(AY12&lt;PT_First,0,1+INT((AY12-PT_First)/PT_Int)),0)),0))</f>
        <v/>
      </c>
      <c r="BB12" s="14" t="str">
        <f aca="false">IF(AG12=0,"",IF(AS12="FT",IF(AT12&lt;FT_First,FT_First,IF(AT12&lt;FT_Y5,MIN(FT_Y5,FT_First+FT_Int1*(INT((AT12-FT_First)/FT_Int1)+1)),FT_Y5+12*INT((AT12-FT_Y5)/12)+FT_Int2*(INT(MOD(AT12-FT_Y5,12)/FT_Int2)+1))),IF(AS12="PT",IF(AT12&lt;PT_First,PT_First,PT_First+PT_Int*(INT((AT12-PT_First)/PT_Int)+1)),"")))</f>
        <v/>
      </c>
      <c r="BC12" s="14" t="str">
        <f aca="false">IF(AG12=0,"",IF(NOT(LH_Ready),0,COUNTIFS(INDEX(LH_Data,0,LH_ColFirst),$A12,INDEX(LH_Data,0,LH_ColSur),$B12,INDEX(LH_Data,0,LH_ColCat),BonusCat)))</f>
        <v/>
      </c>
      <c r="BD12" s="14" t="str">
        <f aca="false">IF(AG12=0,"",IF(OR(NOT(LH_Ready),BC12=0),0,SUMPRODUCT(MAX((INDEX(LH_Data,0,LH_ColFirst)=$A12)*(INDEX(LH_Data,0,LH_ColSur)=$B12)*(INDEX(LH_Data,0,LH_ColCat)=BonusCat)*ROW(LH_Data)))))</f>
        <v/>
      </c>
      <c r="BE12" s="14" t="str">
        <f aca="false">IF(AG12=0,"",IF(EOMONTH(AsOfDate,-1)&lt;AH12,-1,12*(YEAR(EOMONTH(AsOfDate,-1))-YEAR(AH12))+MONTH(EOMONTH(AsOfDate,-1))-MONTH(AH12)-IF(DAY(EOMONTH(AsOfDate,-1))&lt;MIN(DAY(AH12),DAY(EOMONTH(EOMONTH(AsOfDate,-1),0))),1,0)))</f>
        <v/>
      </c>
      <c r="BF12" s="14" t="str">
        <f aca="false">IF(AG12=0,"",IF(OR(AI12&lt;2,AK12&gt;EOMONTH(AsOfDate,-1)),BE12,IF((AK12-1)&lt;AH12,-1,12*(YEAR((AK12-1))-YEAR(AH12))+MONTH((AK12-1))-MONTH(AH12)-IF(DAY((AK12-1))&lt;MIN(DAY(AH12),DAY(EOMONTH((AK12-1),0))),1,0))))</f>
        <v/>
      </c>
      <c r="BG12" s="14" t="str">
        <f aca="false">IF(AG12=0,"",IF(OR(AI12&lt;3,AL12&gt;EOMONTH(AsOfDate,-1)),BE12,IF((AL12-1)&lt;AH12,-1,12*(YEAR((AL12-1))-YEAR(AH12))+MONTH((AL12-1))-MONTH(AH12)-IF(DAY((AL12-1))&lt;MIN(DAY(AH12),DAY(EOMONTH((AL12-1),0))),1,0))))</f>
        <v/>
      </c>
      <c r="BH12" s="14" t="str">
        <f aca="false">IF(AG12=0,"",IF(AP12="FT",IF(BF12&lt;FT_First,0,IF(BF12&lt;FT_Y5,1+INT((BF12-FT_First)/FT_Int1),FT_PreY5+FT_PerYear*INT((BF12-FT_Y5)/12)+FT_AnnivDays+INT(MOD(BF12-FT_Y5,12)/FT_Int2))),IF(AP12="PT",IF(BF12&lt;PT_First,0,1+INT((BF12-PT_First)/PT_Int)),0))+IF(AND(AI12&gt;=2,AK12&lt;=EOMONTH(AsOfDate,-1)),IF(AQ12="FT",IF(BG12&lt;FT_First,0,IF(BG12&lt;FT_Y5,1+INT((BG12-FT_First)/FT_Int1),FT_PreY5+FT_PerYear*INT((BG12-FT_Y5)/12)+FT_AnnivDays+INT(MOD(BG12-FT_Y5,12)/FT_Int2))),IF(AQ12="PT",IF(BG12&lt;PT_First,0,1+INT((BG12-PT_First)/PT_Int)),0))-IF(AQ12="FT",IF(BF12&lt;FT_First,0,IF(BF12&lt;FT_Y5,1+INT((BF12-FT_First)/FT_Int1),FT_PreY5+FT_PerYear*INT((BF12-FT_Y5)/12)+FT_AnnivDays+INT(MOD(BF12-FT_Y5,12)/FT_Int2))),IF(AQ12="PT",IF(BF12&lt;PT_First,0,1+INT((BF12-PT_First)/PT_Int)),0)),0)+IF(AND(AI12&gt;=3,AL12&lt;=EOMONTH(AsOfDate,-1)),IF(AR12="FT",IF(BE12&lt;FT_First,0,IF(BE12&lt;FT_Y5,1+INT((BE12-FT_First)/FT_Int1),FT_PreY5+FT_PerYear*INT((BE12-FT_Y5)/12)+FT_AnnivDays+INT(MOD(BE12-FT_Y5,12)/FT_Int2))),IF(AR12="PT",IF(BE12&lt;PT_First,0,1+INT((BE12-PT_First)/PT_Int)),0))-IF(AR12="FT",IF(BG12&lt;FT_First,0,IF(BG12&lt;FT_Y5,1+INT((BG12-FT_First)/FT_Int1),FT_PreY5+FT_PerYear*INT((BG12-FT_Y5)/12)+FT_AnnivDays+INT(MOD(BG12-FT_Y5,12)/FT_Int2))),IF(AR12="PT",IF(BG12&lt;PT_First,0,1+INT((BG12-PT_First)/PT_Int)),0)),0))</f>
        <v/>
      </c>
      <c r="BI12" s="14" t="str">
        <f aca="false">IF(AG12=0,"",IF(AS12="FT",IF(AT12&lt;FT_First,"",IF(AT12&lt;FT_Y5,FT_First+FT_Int1*INT((AT12-FT_First)/FT_Int1),FT_Y5+FT_Int2*INT((AT12-FT_Y5)/FT_Int2))),IF(AS12="PT",IF(AT12&lt;PT_First,"",PT_First+PT_Int*INT((AT12-PT_First)/PT_Int)),"")))</f>
        <v/>
      </c>
      <c r="BJ12" s="0" t="str">
        <f aca="false">IF(LEN($A12&amp;$B12)=0,"",$A12&amp;" "&amp;$B12)</f>
        <v/>
      </c>
    </row>
    <row r="13" customFormat="false" ht="15" hidden="false" customHeight="false" outlineLevel="0" collapsed="false">
      <c r="A13" s="10"/>
      <c r="B13" s="10"/>
      <c r="C13" s="10"/>
      <c r="D13" s="11"/>
      <c r="E13" s="12" t="str">
        <f aca="false">IF(OR(AG13=0,$D13=""),"",DATE(YEAR(AsOfDate)+IF(DATE(YEAR(AsOfDate),MONTH($D13),DAY($D13))&lt;=AsOfDate,1,0),MONTH($D13),DAY($D13)))</f>
        <v/>
      </c>
      <c r="F13" s="11"/>
      <c r="G13" s="11"/>
      <c r="H13" s="11"/>
      <c r="I13" s="11"/>
      <c r="J13" s="11"/>
      <c r="K13" s="12" t="str">
        <f aca="false">IF(AG13=0,"",DATE(YEAR(AsOfDate)+IF(DATE(YEAR(AsOfDate),MONTH(AH13),DAY(AH13))&lt;=AsOfDate,1,0),MONTH(AH13),DAY(AH13)))</f>
        <v/>
      </c>
      <c r="L13" s="13" t="str">
        <f aca="false">IF(AG13=0,"",ROUND((AsOfDate-AH13)/365.25,1))</f>
        <v/>
      </c>
      <c r="M13" s="14" t="str">
        <f aca="false">IF(AG13=0,"",IF(AsOfDate&lt;AH13,"-",DATEDIF(AH13,AsOfDate,"y")&amp;"y "&amp;DATEDIF(AH13,AsOfDate,"ym")&amp;"m "&amp;DATEDIF(AH13,AsOfDate,"md")&amp;"d"))</f>
        <v/>
      </c>
      <c r="N13" s="15" t="str">
        <f aca="false">IF(AG13=0,"",O13*HoursPerDay)</f>
        <v/>
      </c>
      <c r="O13" s="15" t="str">
        <f aca="false">IF(AG13=0,"",AZ13)</f>
        <v/>
      </c>
      <c r="P13" s="16"/>
      <c r="Q13" s="14" t="str">
        <f aca="false">IF(AG13=0,"",IF(AI13&lt;2,"",AM13&amp;" to "&amp;AN13&amp;" on "&amp;TEXT(AK13,"dd/mm/yyyy")&amp;IF(AK13&gt;AsOfDate," (future)",IF(AP13=AQ13,"",IF(AQ13="None"," - STOPPED accruing",IF(AP13="None"," - commencement for Bonus Leave"," - pathway changed"))))&amp;IF(AI13&lt;3,"","; "&amp;AN13&amp;" to "&amp;AO13&amp;" on "&amp;TEXT(AL13,"dd/mm/yyyy")&amp;IF(AL13&gt;AsOfDate," (future)",IF(AQ13=AR13,"",IF(AR13="None"," - STOPPED accruing",IF(AQ13="None"," - commencement for Bonus Leave"," - pathway changed")))))))</f>
        <v/>
      </c>
      <c r="R13" s="14" t="str">
        <f aca="false">IF(AG13=0,"",IF(AS13="None",IF(O13&gt;0,"No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2" t="str">
        <f aca="false">IF(AG13=0,"",IF(AS13="None","",EDATE(AH13,BB13)))</f>
        <v/>
      </c>
      <c r="T13" s="15" t="str">
        <f aca="false">IF(AG13=0,"",IF(NOT(LH_Ready),"",IF(AH13&gt;PFYDate,0,IF(LH_ColPeriod=0,W13-U13+V13,SUMIFS(INDEX(LH_Data,0,LH_ColAcc),INDEX(LH_Data,0,LH_ColFirst),$A13,INDEX(LH_Data,0,LH_ColSur),$B13,INDEX(LH_Data,0,LH_ColCat),BonusCat,INDEX(LH_Data,0,LH_ColPeriod),LH_OpenLabel)*UnitFactor))))</f>
        <v/>
      </c>
      <c r="U13" s="15" t="str">
        <f aca="false">IF(AG13=0,"",IF(NOT(LH_Ready),"",SUMIFS(INDEX(LH_Data,0,LH_ColAcc),INDEX(LH_Data,0,LH_ColFirst),$A13,INDEX(LH_Data,0,LH_ColSur),$B13,INDEX(LH_Data,0,LH_ColCat),BonusCat,INDEX(LH_Data,0,LH_ColStart),"&gt;="&amp;AH13)*UnitFactor))</f>
        <v/>
      </c>
      <c r="V13" s="15" t="str">
        <f aca="false">IF(AG13=0,"",IF(NOT(LH_Ready),"",SUMIFS(INDEX(LH_Data,0,LH_ColTaken),INDEX(LH_Data,0,LH_ColFirst),$A13,INDEX(LH_Data,0,LH_ColSur),$B13,INDEX(LH_Data,0,LH_ColCat),BonusCat,INDEX(LH_Data,0,LH_ColStart),"&gt;="&amp;AH13)*UnitFactor))</f>
        <v/>
      </c>
      <c r="W13" s="15" t="str">
        <f aca="false">IF(AG13=0,"",IF(NOT(LH_Ready),"",IF(BD13=0,0,INDEX(INDEX(LH_Data,0,LH_ColClose),BD13-1)*UnitFactor)))</f>
        <v/>
      </c>
      <c r="X13" s="15" t="str">
        <f aca="false">IF(AG13=0,"",(AZ13-BA13)*HoursPerDay)</f>
        <v/>
      </c>
      <c r="Y13" s="15" t="str">
        <f aca="false">IF(AG13=0,"",IF(NOT(LH_Ready),"",IF(BC13=0,N13,IF(PFYDate&lt;$F13,N13-N(T13)-N(U13),X13-N(U13)))))</f>
        <v/>
      </c>
      <c r="Z13" s="14" t="str">
        <f aca="false">IF(OR(AG13=0,Y13=""),"",IF(Y13&gt;0,"Yes","No"))</f>
        <v/>
      </c>
      <c r="AA13" s="14" t="str">
        <f aca="false">IF(AG13=0,IF(LEN($A13&amp;$B13)=0,"","FIX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month")&amp;IF(BC13=0,";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EH)",""),IF(AS13="None",R13,"Not yet - first day on "&amp;TEXT(S13,"dd/mm/yyyy")))))))))</f>
        <v/>
      </c>
      <c r="AB13" s="15" t="str">
        <f aca="false">IF(OR(AG13=0,T13=""),"",BA13*HoursPerDay-T13)</f>
        <v/>
      </c>
      <c r="AC13" s="14" t="str">
        <f aca="false">IF(AG13=0,"",BC13)</f>
        <v/>
      </c>
      <c r="AD13" s="14" t="str">
        <f aca="false">IF(AG13=0,"",TRIM(IF(OR(ISTEXT($F13),ISTEXT($H13),ISTEXT($I13),ISTEXT($G13),ISTEXT($J13),ISTEXT($D13)),"A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I13&gt;=1,IF(AI13&gt;=3,AO13,IF(AI13=2,AN13,AM13))&lt;&gt;IF($C13="","",IF(OR(ISNUMBER(SEARCH("full",$C13)),UPPER(TRIM($C13))="FT",UPPER(TRIM($C13))="FTE"),"Full-Time",IF(OR(ISNUMBER(SEARCH("part",$C13)),UPPER(TRIM($C13))="PT",UPPER(TRIM($C13))="PTE"),"Part-Time",IF(OR(ISNUMBER(SEARCH("cas",$C13)),UPPER(TRIM($C13))="CAS"),"Casual","Unknown"))))),"EmploymentType does not match latest start date ("&amp;IF(AI13&gt;=3,AO13,IF(AI13=2,AN13,AM13))&amp;"). ","")&amp;IF(AND(AI13&gt;=1,AJ13&lt;&gt;$F13),"Earliest type date should equal StartDate. ","")&amp;IF(AND(AI13&gt;=2,AJ13=AK13),"Two types start on the same date. ","")&amp;IF(AND(OR(ISNUMBER(SEARCH("part",$C13)),UPPER(TRIM($C13))="PT",UPPER(TRIM($C13))="PTE"),$P13=""),"Part-time: enter PT Hrs/Week (blank = 24+). ","")))</f>
        <v/>
      </c>
      <c r="AE13" s="15" t="str">
        <f aca="false">IF(AG13=0,"",O13-BH13)</f>
        <v/>
      </c>
      <c r="AF13" s="12" t="str">
        <f aca="false">IF(OR(AG13=0,AE13="",N(AE13)=0,BI13=""),"",EDATE(AH13,BI13))</f>
        <v/>
      </c>
      <c r="AG13" s="14" t="n">
        <f aca="false">IF(OR(LEN($A13&amp;$B13)=0,$F13=""),0,1)</f>
        <v>0</v>
      </c>
      <c r="AH13" s="12" t="str">
        <f aca="false">IF(AG13=0,"",IF($J13&lt;&gt;"",$J13,IF(OR(CasualCounts="Yes",COUNT($G13:$I13)=0,COUNT($H13:$I13)=0),$F13,MIN($H13:$I13))))</f>
        <v/>
      </c>
      <c r="AI13" s="14" t="str">
        <f aca="false">IF(AG13=0,"",COUNT($G13:$I13))</f>
        <v/>
      </c>
      <c r="AJ13" s="12" t="str">
        <f aca="false">IF(AG13=0,"",IFERROR(SMALL($G13:$I13,1),""))</f>
        <v/>
      </c>
      <c r="AK13" s="12" t="str">
        <f aca="false">IF(AG13=0,"",IFERROR(SMALL($G13:$I13,2),""))</f>
        <v/>
      </c>
      <c r="AL13" s="12" t="str">
        <f aca="false">IF(AG13=0,"",IFERROR(SMALL($G13:$I13,3),""))</f>
        <v/>
      </c>
      <c r="AM13" s="14" t="str">
        <f aca="false">IF(AG13=0,"",IF(AJ13="","",IF(AJ13=$H13,"Part-Time",IF(AJ13=$I13,"Full-Time","Casual"))))</f>
        <v/>
      </c>
      <c r="AN13" s="14" t="str">
        <f aca="false">IF(AG13=0,"",IF(AK13="","",IF(AK13=$H13,"Part-Time",IF(AK13=$I13,"Full-Time","Casual"))))</f>
        <v/>
      </c>
      <c r="AO13" s="14" t="str">
        <f aca="false">IF(AG13=0,"",IF(AL13="","",IF(AL13=$H13,"Part-Time",IF(AL13=$I13,"Full-Time","Casual"))))</f>
        <v/>
      </c>
      <c r="AP13" s="14" t="str">
        <f aca="false">IF(AG13=0,"",IF(AI13=0,IF(OR(ISNUMBER(SEARCH("full",$C13)),UPPER(TRIM($C13))="FT",UPPER(TRIM($C13))="FTE"),"FT",IF(AND(OR(ISNUMBER(SEARCH("part",$C13)),UPPER(TRIM($C13))="PT",UPPER(TRIM($C13))="PTE"),OR($P13="",N($P13)&gt;=PT_MinHours)),"PT","None")),IF(OR(ISNUMBER(SEARCH("full",AM13)),UPPER(TRIM(AM13))="FT",UPPER(TRIM(AM13))="FTE"),"FT",IF(AND(OR(ISNUMBER(SEARCH("part",AM13)),UPPER(TRIM(AM13))="PT",UPPER(TRIM(AM13))="PTE"),OR($P13="",N($P13)&gt;=PT_MinHours)),"PT","None"))))</f>
        <v/>
      </c>
      <c r="AQ13" s="14" t="str">
        <f aca="false">IF(AG13=0,"",IF(AI13&lt;2,"",IF(OR(ISNUMBER(SEARCH("full",AN13)),UPPER(TRIM(AN13))="FT",UPPER(TRIM(AN13))="FTE"),"FT",IF(AND(OR(ISNUMBER(SEARCH("part",AN13)),UPPER(TRIM(AN13))="PT",UPPER(TRIM(AN13))="PTE"),OR($P13="",N($P13)&gt;=PT_MinHours)),"PT","None"))))</f>
        <v/>
      </c>
      <c r="AR13" s="14" t="str">
        <f aca="false">IF(AG13=0,"",IF(AI13&lt;3,"",IF(OR(ISNUMBER(SEARCH("full",AO13)),UPPER(TRIM(AO13))="FT",UPPER(TRIM(AO13))="FTE"),"FT",IF(AND(OR(ISNUMBER(SEARCH("part",AO13)),UPPER(TRIM(AO13))="PT",UPPER(TRIM(AO13))="PTE"),OR($P13="",N($P13)&gt;=PT_MinHours)),"PT","None"))))</f>
        <v/>
      </c>
      <c r="AS13" s="14" t="str">
        <f aca="false">IF(AG13=0,"",IF(AND(AI13&gt;=3,AL13&lt;=AsOfDate),AR13,IF(AND(AI13&gt;=2,AK13&lt;=AsOfDate),AQ13,AP13)))</f>
        <v/>
      </c>
      <c r="AT13" s="14" t="str">
        <f aca="false">IF(AG13=0,"",IF(AsOfDate&lt;AH13,-1,12*(YEAR(AsOfDate)-YEAR(AH13))+MONTH(AsOfDate)-MONTH(AH13)-IF(DAY(AsOfDate)&lt;MIN(DAY(AH13),DAY(EOMONTH(AsOfDate,0))),1,0)))</f>
        <v/>
      </c>
      <c r="AU13" s="14" t="str">
        <f aca="false">IF(AG13=0,"",IF(OR(AI13&lt;2,AK13&gt;AsOfDate),AT13,IF((AK13-1)&lt;AH13,-1,12*(YEAR((AK13-1))-YEAR(AH13))+MONTH((AK13-1))-MONTH(AH13)-IF(DAY((AK13-1))&lt;MIN(DAY(AH13),DAY(EOMONTH((AK13-1),0))),1,0))))</f>
        <v/>
      </c>
      <c r="AV13" s="14" t="str">
        <f aca="false">IF(AG13=0,"",IF(OR(AI13&lt;3,AL13&gt;AsOfDate),AT13,IF((AL13-1)&lt;AH13,-1,12*(YEAR((AL13-1))-YEAR(AH13))+MONTH((AL13-1))-MONTH(AH13)-IF(DAY((AL13-1))&lt;MIN(DAY(AH13),DAY(EOMONTH((AL13-1),0))),1,0))))</f>
        <v/>
      </c>
      <c r="AW13" s="14" t="str">
        <f aca="false">IF(AG13=0,"",IF(PFYDate&lt;AH13,-1,12*(YEAR(PFYDate)-YEAR(AH13))+MONTH(PFYDate)-MONTH(AH13)-IF(DAY(PFYDate)&lt;MIN(DAY(AH13),DAY(EOMONTH(PFYDate,0))),1,0)))</f>
        <v/>
      </c>
      <c r="AX13" s="14" t="str">
        <f aca="false">IF(AG13=0,"",IF(OR(AI13&lt;2,AK13&gt;PFYDate),AW13,IF((AK13-1)&lt;AH13,-1,12*(YEAR((AK13-1))-YEAR(AH13))+MONTH((AK13-1))-MONTH(AH13)-IF(DAY((AK13-1))&lt;MIN(DAY(AH13),DAY(EOMONTH((AK13-1),0))),1,0))))</f>
        <v/>
      </c>
      <c r="AY13" s="14" t="str">
        <f aca="false">IF(AG13=0,"",IF(OR(AI13&lt;3,AL13&gt;PFYDate),AW13,IF((AL13-1)&lt;AH13,-1,12*(YEAR((AL13-1))-YEAR(AH13))+MONTH((AL13-1))-MONTH(AH13)-IF(DAY((AL13-1))&lt;MIN(DAY(AH13),DAY(EOMONTH((AL13-1),0))),1,0))))</f>
        <v/>
      </c>
      <c r="AZ13" s="14" t="str">
        <f aca="false">IF(AG13=0,"",IF(AP13="FT",IF(AU13&lt;FT_First,0,IF(AU13&lt;FT_Y5,1+INT((AU13-FT_First)/FT_Int1),FT_PreY5+FT_PerYear*INT((AU13-FT_Y5)/12)+FT_AnnivDays+INT(MOD(AU13-FT_Y5,12)/FT_Int2))),IF(AP13="PT",IF(AU13&lt;PT_First,0,1+INT((AU13-PT_First)/PT_Int)),0))+IF(AND(AI13&gt;=2,AK13&lt;=AsOfDate),IF(AQ13="FT",IF(AV13&lt;FT_First,0,IF(AV13&lt;FT_Y5,1+INT((AV13-FT_First)/FT_Int1),FT_PreY5+FT_PerYear*INT((AV13-FT_Y5)/12)+FT_AnnivDays+INT(MOD(AV13-FT_Y5,12)/FT_Int2))),IF(AQ13="PT",IF(AV13&lt;PT_First,0,1+INT((AV13-PT_First)/PT_Int)),0))-IF(AQ13="FT",IF(AU13&lt;FT_First,0,IF(AU13&lt;FT_Y5,1+INT((AU13-FT_First)/FT_Int1),FT_PreY5+FT_PerYear*INT((AU13-FT_Y5)/12)+FT_AnnivDays+INT(MOD(AU13-FT_Y5,12)/FT_Int2))),IF(AQ13="PT",IF(AU13&lt;PT_First,0,1+INT((AU13-PT_First)/PT_Int)),0)),0)+IF(AND(AI13&gt;=3,AL13&lt;=AsOfDate),IF(AR13="FT",IF(AT13&lt;FT_First,0,IF(AT13&lt;FT_Y5,1+INT((AT13-FT_First)/FT_Int1),FT_PreY5+FT_PerYear*INT((AT13-FT_Y5)/12)+FT_AnnivDays+INT(MOD(AT13-FT_Y5,12)/FT_Int2))),IF(AR13="PT",IF(AT13&lt;PT_First,0,1+INT((AT13-PT_First)/PT_Int)),0))-IF(AR13="FT",IF(AV13&lt;FT_First,0,IF(AV13&lt;FT_Y5,1+INT((AV13-FT_First)/FT_Int1),FT_PreY5+FT_PerYear*INT((AV13-FT_Y5)/12)+FT_AnnivDays+INT(MOD(AV13-FT_Y5,12)/FT_Int2))),IF(AR13="PT",IF(AV13&lt;PT_First,0,1+INT((AV13-PT_First)/PT_Int)),0)),0))</f>
        <v/>
      </c>
      <c r="BA13" s="14" t="str">
        <f aca="false">IF(AG13=0,"",IF(AP13="FT",IF(AX13&lt;FT_First,0,IF(AX13&lt;FT_Y5,1+INT((AX13-FT_First)/FT_Int1),FT_PreY5+FT_PerYear*INT((AX13-FT_Y5)/12)+FT_AnnivDays+INT(MOD(AX13-FT_Y5,12)/FT_Int2))),IF(AP13="PT",IF(AX13&lt;PT_First,0,1+INT((AX13-PT_First)/PT_Int)),0))+IF(AND(AI13&gt;=2,AK13&lt;=PFYDate),IF(AQ13="FT",IF(AY13&lt;FT_First,0,IF(AY13&lt;FT_Y5,1+INT((AY13-FT_First)/FT_Int1),FT_PreY5+FT_PerYear*INT((AY13-FT_Y5)/12)+FT_AnnivDays+INT(MOD(AY13-FT_Y5,12)/FT_Int2))),IF(AQ13="PT",IF(AY13&lt;PT_First,0,1+INT((AY13-PT_First)/PT_Int)),0))-IF(AQ13="FT",IF(AX13&lt;FT_First,0,IF(AX13&lt;FT_Y5,1+INT((AX13-FT_First)/FT_Int1),FT_PreY5+FT_PerYear*INT((AX13-FT_Y5)/12)+FT_AnnivDays+INT(MOD(AX13-FT_Y5,12)/FT_Int2))),IF(AQ13="PT",IF(AX13&lt;PT_First,0,1+INT((AX13-PT_First)/PT_Int)),0)),0)+IF(AND(AI13&gt;=3,AL13&lt;=PFYDate),IF(AR13="FT",IF(AW13&lt;FT_First,0,IF(AW13&lt;FT_Y5,1+INT((AW13-FT_First)/FT_Int1),FT_PreY5+FT_PerYear*INT((AW13-FT_Y5)/12)+FT_AnnivDays+INT(MOD(AW13-FT_Y5,12)/FT_Int2))),IF(AR13="PT",IF(AW13&lt;PT_First,0,1+INT((AW13-PT_First)/PT_Int)),0))-IF(AR13="FT",IF(AY13&lt;FT_First,0,IF(AY13&lt;FT_Y5,1+INT((AY13-FT_First)/FT_Int1),FT_PreY5+FT_PerYear*INT((AY13-FT_Y5)/12)+FT_AnnivDays+INT(MOD(AY13-FT_Y5,12)/FT_Int2))),IF(AR13="PT",IF(AY13&lt;PT_First,0,1+INT((AY13-PT_First)/PT_Int)),0)),0))</f>
        <v/>
      </c>
      <c r="BB13" s="14" t="str">
        <f aca="false">IF(AG13=0,"",IF(AS13="FT",IF(AT13&lt;FT_First,FT_First,IF(AT13&lt;FT_Y5,MIN(FT_Y5,FT_First+FT_Int1*(INT((AT13-FT_First)/FT_Int1)+1)),FT_Y5+12*INT((AT13-FT_Y5)/12)+FT_Int2*(INT(MOD(AT13-FT_Y5,12)/FT_Int2)+1))),IF(AS13="PT",IF(AT13&lt;PT_First,PT_First,PT_First+PT_Int*(INT((AT13-PT_First)/PT_Int)+1)),"")))</f>
        <v/>
      </c>
      <c r="BC13" s="14" t="str">
        <f aca="false">IF(AG13=0,"",IF(NOT(LH_Ready),0,COUNTIFS(INDEX(LH_Data,0,LH_ColFirst),$A13,INDEX(LH_Data,0,LH_ColSur),$B13,INDEX(LH_Data,0,LH_ColCat),BonusCat)))</f>
        <v/>
      </c>
      <c r="BD13" s="14" t="str">
        <f aca="false">IF(AG13=0,"",IF(OR(NOT(LH_Ready),BC13=0),0,SUMPRODUCT(MAX((INDEX(LH_Data,0,LH_ColFirst)=$A13)*(INDEX(LH_Data,0,LH_ColSur)=$B13)*(INDEX(LH_Data,0,LH_ColCat)=BonusCat)*ROW(LH_Data)))))</f>
        <v/>
      </c>
      <c r="BE13" s="14" t="str">
        <f aca="false">IF(AG13=0,"",IF(EOMONTH(AsOfDate,-1)&lt;AH13,-1,12*(YEAR(EOMONTH(AsOfDate,-1))-YEAR(AH13))+MONTH(EOMONTH(AsOfDate,-1))-MONTH(AH13)-IF(DAY(EOMONTH(AsOfDate,-1))&lt;MIN(DAY(AH13),DAY(EOMONTH(EOMONTH(AsOfDate,-1),0))),1,0)))</f>
        <v/>
      </c>
      <c r="BF13" s="14" t="str">
        <f aca="false">IF(AG13=0,"",IF(OR(AI13&lt;2,AK13&gt;EOMONTH(AsOfDate,-1)),BE13,IF((AK13-1)&lt;AH13,-1,12*(YEAR((AK13-1))-YEAR(AH13))+MONTH((AK13-1))-MONTH(AH13)-IF(DAY((AK13-1))&lt;MIN(DAY(AH13),DAY(EOMONTH((AK13-1),0))),1,0))))</f>
        <v/>
      </c>
      <c r="BG13" s="14" t="str">
        <f aca="false">IF(AG13=0,"",IF(OR(AI13&lt;3,AL13&gt;EOMONTH(AsOfDate,-1)),BE13,IF((AL13-1)&lt;AH13,-1,12*(YEAR((AL13-1))-YEAR(AH13))+MONTH((AL13-1))-MONTH(AH13)-IF(DAY((AL13-1))&lt;MIN(DAY(AH13),DAY(EOMONTH((AL13-1),0))),1,0))))</f>
        <v/>
      </c>
      <c r="BH13" s="14" t="str">
        <f aca="false">IF(AG13=0,"",IF(AP13="FT",IF(BF13&lt;FT_First,0,IF(BF13&lt;FT_Y5,1+INT((BF13-FT_First)/FT_Int1),FT_PreY5+FT_PerYear*INT((BF13-FT_Y5)/12)+FT_AnnivDays+INT(MOD(BF13-FT_Y5,12)/FT_Int2))),IF(AP13="PT",IF(BF13&lt;PT_First,0,1+INT((BF13-PT_First)/PT_Int)),0))+IF(AND(AI13&gt;=2,AK13&lt;=EOMONTH(AsOfDate,-1)),IF(AQ13="FT",IF(BG13&lt;FT_First,0,IF(BG13&lt;FT_Y5,1+INT((BG13-FT_First)/FT_Int1),FT_PreY5+FT_PerYear*INT((BG13-FT_Y5)/12)+FT_AnnivDays+INT(MOD(BG13-FT_Y5,12)/FT_Int2))),IF(AQ13="PT",IF(BG13&lt;PT_First,0,1+INT((BG13-PT_First)/PT_Int)),0))-IF(AQ13="FT",IF(BF13&lt;FT_First,0,IF(BF13&lt;FT_Y5,1+INT((BF13-FT_First)/FT_Int1),FT_PreY5+FT_PerYear*INT((BF13-FT_Y5)/12)+FT_AnnivDays+INT(MOD(BF13-FT_Y5,12)/FT_Int2))),IF(AQ13="PT",IF(BF13&lt;PT_First,0,1+INT((BF13-PT_First)/PT_Int)),0)),0)+IF(AND(AI13&gt;=3,AL13&lt;=EOMONTH(AsOfDate,-1)),IF(AR13="FT",IF(BE13&lt;FT_First,0,IF(BE13&lt;FT_Y5,1+INT((BE13-FT_First)/FT_Int1),FT_PreY5+FT_PerYear*INT((BE13-FT_Y5)/12)+FT_AnnivDays+INT(MOD(BE13-FT_Y5,12)/FT_Int2))),IF(AR13="PT",IF(BE13&lt;PT_First,0,1+INT((BE13-PT_First)/PT_Int)),0))-IF(AR13="FT",IF(BG13&lt;FT_First,0,IF(BG13&lt;FT_Y5,1+INT((BG13-FT_First)/FT_Int1),FT_PreY5+FT_PerYear*INT((BG13-FT_Y5)/12)+FT_AnnivDays+INT(MOD(BG13-FT_Y5,12)/FT_Int2))),IF(AR13="PT",IF(BG13&lt;PT_First,0,1+INT((BG13-PT_First)/PT_Int)),0)),0))</f>
        <v/>
      </c>
      <c r="BI13" s="14" t="str">
        <f aca="false">IF(AG13=0,"",IF(AS13="FT",IF(AT13&lt;FT_First,"",IF(AT13&lt;FT_Y5,FT_First+FT_Int1*INT((AT13-FT_First)/FT_Int1),FT_Y5+FT_Int2*INT((AT13-FT_Y5)/FT_Int2))),IF(AS13="PT",IF(AT13&lt;PT_First,"",PT_First+PT_Int*INT((AT13-PT_First)/PT_Int)),"")))</f>
        <v/>
      </c>
      <c r="BJ13" s="0" t="str">
        <f aca="false">IF(LEN($A13&amp;$B13)=0,"",$A13&amp;" "&amp;$B13)</f>
        <v/>
      </c>
    </row>
    <row r="14" customFormat="false" ht="15" hidden="false" customHeight="false" outlineLevel="0" collapsed="false">
      <c r="A14" s="10"/>
      <c r="B14" s="10"/>
      <c r="C14" s="10"/>
      <c r="D14" s="11"/>
      <c r="E14" s="12" t="str">
        <f aca="false">IF(OR(AG14=0,$D14=""),"",DATE(YEAR(AsOfDate)+IF(DATE(YEAR(AsOfDate),MONTH($D14),DAY($D14))&lt;=AsOfDate,1,0),MONTH($D14),DAY($D14)))</f>
        <v/>
      </c>
      <c r="F14" s="11"/>
      <c r="G14" s="11"/>
      <c r="H14" s="11"/>
      <c r="I14" s="11"/>
      <c r="J14" s="11"/>
      <c r="K14" s="12" t="str">
        <f aca="false">IF(AG14=0,"",DATE(YEAR(AsOfDate)+IF(DATE(YEAR(AsOfDate),MONTH(AH14),DAY(AH14))&lt;=AsOfDate,1,0),MONTH(AH14),DAY(AH14)))</f>
        <v/>
      </c>
      <c r="L14" s="13" t="str">
        <f aca="false">IF(AG14=0,"",ROUND((AsOfDate-AH14)/365.25,1))</f>
        <v/>
      </c>
      <c r="M14" s="14" t="str">
        <f aca="false">IF(AG14=0,"",IF(AsOfDate&lt;AH14,"-",DATEDIF(AH14,AsOfDate,"y")&amp;"y "&amp;DATEDIF(AH14,AsOfDate,"ym")&amp;"m "&amp;DATEDIF(AH14,AsOfDate,"md")&amp;"d"))</f>
        <v/>
      </c>
      <c r="N14" s="15" t="str">
        <f aca="false">IF(AG14=0,"",O14*HoursPerDay)</f>
        <v/>
      </c>
      <c r="O14" s="15" t="str">
        <f aca="false">IF(AG14=0,"",AZ14)</f>
        <v/>
      </c>
      <c r="P14" s="16"/>
      <c r="Q14" s="14" t="str">
        <f aca="false">IF(AG14=0,"",IF(AI14&lt;2,"",AM14&amp;" to "&amp;AN14&amp;" on "&amp;TEXT(AK14,"dd/mm/yyyy")&amp;IF(AK14&gt;AsOfDate," (future)",IF(AP14=AQ14,"",IF(AQ14="None"," - STOPPED accruing",IF(AP14="None"," - commencement for Bonus Leave"," - pathway changed"))))&amp;IF(AI14&lt;3,"","; "&amp;AN14&amp;" to "&amp;AO14&amp;" on "&amp;TEXT(AL14,"dd/mm/yyyy")&amp;IF(AL14&gt;AsOfDate," (future)",IF(AQ14=AR14,"",IF(AR14="None"," - STOPPED accruing",IF(AQ14="None"," - commencement for Bonus Leave"," - pathway changed")))))))</f>
        <v/>
      </c>
      <c r="R14" s="14" t="str">
        <f aca="false">IF(AG14=0,"",IF(AS14="None",IF(O14&gt;0,"No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2" t="str">
        <f aca="false">IF(AG14=0,"",IF(AS14="None","",EDATE(AH14,BB14)))</f>
        <v/>
      </c>
      <c r="T14" s="15" t="str">
        <f aca="false">IF(AG14=0,"",IF(NOT(LH_Ready),"",IF(AH14&gt;PFYDate,0,IF(LH_ColPeriod=0,W14-U14+V14,SUMIFS(INDEX(LH_Data,0,LH_ColAcc),INDEX(LH_Data,0,LH_ColFirst),$A14,INDEX(LH_Data,0,LH_ColSur),$B14,INDEX(LH_Data,0,LH_ColCat),BonusCat,INDEX(LH_Data,0,LH_ColPeriod),LH_OpenLabel)*UnitFactor))))</f>
        <v/>
      </c>
      <c r="U14" s="15" t="str">
        <f aca="false">IF(AG14=0,"",IF(NOT(LH_Ready),"",SUMIFS(INDEX(LH_Data,0,LH_ColAcc),INDEX(LH_Data,0,LH_ColFirst),$A14,INDEX(LH_Data,0,LH_ColSur),$B14,INDEX(LH_Data,0,LH_ColCat),BonusCat,INDEX(LH_Data,0,LH_ColStart),"&gt;="&amp;AH14)*UnitFactor))</f>
        <v/>
      </c>
      <c r="V14" s="15" t="str">
        <f aca="false">IF(AG14=0,"",IF(NOT(LH_Ready),"",SUMIFS(INDEX(LH_Data,0,LH_ColTaken),INDEX(LH_Data,0,LH_ColFirst),$A14,INDEX(LH_Data,0,LH_ColSur),$B14,INDEX(LH_Data,0,LH_ColCat),BonusCat,INDEX(LH_Data,0,LH_ColStart),"&gt;="&amp;AH14)*UnitFactor))</f>
        <v/>
      </c>
      <c r="W14" s="15" t="str">
        <f aca="false">IF(AG14=0,"",IF(NOT(LH_Ready),"",IF(BD14=0,0,INDEX(INDEX(LH_Data,0,LH_ColClose),BD14-1)*UnitFactor)))</f>
        <v/>
      </c>
      <c r="X14" s="15" t="str">
        <f aca="false">IF(AG14=0,"",(AZ14-BA14)*HoursPerDay)</f>
        <v/>
      </c>
      <c r="Y14" s="15" t="str">
        <f aca="false">IF(AG14=0,"",IF(NOT(LH_Ready),"",IF(BC14=0,N14,IF(PFYDate&lt;$F14,N14-N(T14)-N(U14),X14-N(U14)))))</f>
        <v/>
      </c>
      <c r="Z14" s="14" t="str">
        <f aca="false">IF(OR(AG14=0,Y14=""),"",IF(Y14&gt;0,"Yes","No"))</f>
        <v/>
      </c>
      <c r="AA14" s="14" t="str">
        <f aca="false">IF(AG14=0,IF(LEN($A14&amp;$B14)=0,"","FIX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month")&amp;IF(BC14=0,";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EH)",""),IF(AS14="None",R14,"Not yet - first day on "&amp;TEXT(S14,"dd/mm/yyyy")))))))))</f>
        <v/>
      </c>
      <c r="AB14" s="15" t="str">
        <f aca="false">IF(OR(AG14=0,T14=""),"",BA14*HoursPerDay-T14)</f>
        <v/>
      </c>
      <c r="AC14" s="14" t="str">
        <f aca="false">IF(AG14=0,"",BC14)</f>
        <v/>
      </c>
      <c r="AD14" s="14" t="str">
        <f aca="false">IF(AG14=0,"",TRIM(IF(OR(ISTEXT($F14),ISTEXT($H14),ISTEXT($I14),ISTEXT($G14),ISTEXT($J14),ISTEXT($D14)),"A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I14&gt;=1,IF(AI14&gt;=3,AO14,IF(AI14=2,AN14,AM14))&lt;&gt;IF($C14="","",IF(OR(ISNUMBER(SEARCH("full",$C14)),UPPER(TRIM($C14))="FT",UPPER(TRIM($C14))="FTE"),"Full-Time",IF(OR(ISNUMBER(SEARCH("part",$C14)),UPPER(TRIM($C14))="PT",UPPER(TRIM($C14))="PTE"),"Part-Time",IF(OR(ISNUMBER(SEARCH("cas",$C14)),UPPER(TRIM($C14))="CAS"),"Casual","Unknown"))))),"EmploymentType does not match latest start date ("&amp;IF(AI14&gt;=3,AO14,IF(AI14=2,AN14,AM14))&amp;"). ","")&amp;IF(AND(AI14&gt;=1,AJ14&lt;&gt;$F14),"Earliest type date should equal StartDate. ","")&amp;IF(AND(AI14&gt;=2,AJ14=AK14),"Two types start on the same date. ","")&amp;IF(AND(OR(ISNUMBER(SEARCH("part",$C14)),UPPER(TRIM($C14))="PT",UPPER(TRIM($C14))="PTE"),$P14=""),"Part-time: enter PT Hrs/Week (blank = 24+). ","")))</f>
        <v/>
      </c>
      <c r="AE14" s="15" t="str">
        <f aca="false">IF(AG14=0,"",O14-BH14)</f>
        <v/>
      </c>
      <c r="AF14" s="12" t="str">
        <f aca="false">IF(OR(AG14=0,AE14="",N(AE14)=0,BI14=""),"",EDATE(AH14,BI14))</f>
        <v/>
      </c>
      <c r="AG14" s="14" t="n">
        <f aca="false">IF(OR(LEN($A14&amp;$B14)=0,$F14=""),0,1)</f>
        <v>0</v>
      </c>
      <c r="AH14" s="12" t="str">
        <f aca="false">IF(AG14=0,"",IF($J14&lt;&gt;"",$J14,IF(OR(CasualCounts="Yes",COUNT($G14:$I14)=0,COUNT($H14:$I14)=0),$F14,MIN($H14:$I14))))</f>
        <v/>
      </c>
      <c r="AI14" s="14" t="str">
        <f aca="false">IF(AG14=0,"",COUNT($G14:$I14))</f>
        <v/>
      </c>
      <c r="AJ14" s="12" t="str">
        <f aca="false">IF(AG14=0,"",IFERROR(SMALL($G14:$I14,1),""))</f>
        <v/>
      </c>
      <c r="AK14" s="12" t="str">
        <f aca="false">IF(AG14=0,"",IFERROR(SMALL($G14:$I14,2),""))</f>
        <v/>
      </c>
      <c r="AL14" s="12" t="str">
        <f aca="false">IF(AG14=0,"",IFERROR(SMALL($G14:$I14,3),""))</f>
        <v/>
      </c>
      <c r="AM14" s="14" t="str">
        <f aca="false">IF(AG14=0,"",IF(AJ14="","",IF(AJ14=$H14,"Part-Time",IF(AJ14=$I14,"Full-Time","Casual"))))</f>
        <v/>
      </c>
      <c r="AN14" s="14" t="str">
        <f aca="false">IF(AG14=0,"",IF(AK14="","",IF(AK14=$H14,"Part-Time",IF(AK14=$I14,"Full-Time","Casual"))))</f>
        <v/>
      </c>
      <c r="AO14" s="14" t="str">
        <f aca="false">IF(AG14=0,"",IF(AL14="","",IF(AL14=$H14,"Part-Time",IF(AL14=$I14,"Full-Time","Casual"))))</f>
        <v/>
      </c>
      <c r="AP14" s="14" t="str">
        <f aca="false">IF(AG14=0,"",IF(AI14=0,IF(OR(ISNUMBER(SEARCH("full",$C14)),UPPER(TRIM($C14))="FT",UPPER(TRIM($C14))="FTE"),"FT",IF(AND(OR(ISNUMBER(SEARCH("part",$C14)),UPPER(TRIM($C14))="PT",UPPER(TRIM($C14))="PTE"),OR($P14="",N($P14)&gt;=PT_MinHours)),"PT","None")),IF(OR(ISNUMBER(SEARCH("full",AM14)),UPPER(TRIM(AM14))="FT",UPPER(TRIM(AM14))="FTE"),"FT",IF(AND(OR(ISNUMBER(SEARCH("part",AM14)),UPPER(TRIM(AM14))="PT",UPPER(TRIM(AM14))="PTE"),OR($P14="",N($P14)&gt;=PT_MinHours)),"PT","None"))))</f>
        <v/>
      </c>
      <c r="AQ14" s="14" t="str">
        <f aca="false">IF(AG14=0,"",IF(AI14&lt;2,"",IF(OR(ISNUMBER(SEARCH("full",AN14)),UPPER(TRIM(AN14))="FT",UPPER(TRIM(AN14))="FTE"),"FT",IF(AND(OR(ISNUMBER(SEARCH("part",AN14)),UPPER(TRIM(AN14))="PT",UPPER(TRIM(AN14))="PTE"),OR($P14="",N($P14)&gt;=PT_MinHours)),"PT","None"))))</f>
        <v/>
      </c>
      <c r="AR14" s="14" t="str">
        <f aca="false">IF(AG14=0,"",IF(AI14&lt;3,"",IF(OR(ISNUMBER(SEARCH("full",AO14)),UPPER(TRIM(AO14))="FT",UPPER(TRIM(AO14))="FTE"),"FT",IF(AND(OR(ISNUMBER(SEARCH("part",AO14)),UPPER(TRIM(AO14))="PT",UPPER(TRIM(AO14))="PTE"),OR($P14="",N($P14)&gt;=PT_MinHours)),"PT","None"))))</f>
        <v/>
      </c>
      <c r="AS14" s="14" t="str">
        <f aca="false">IF(AG14=0,"",IF(AND(AI14&gt;=3,AL14&lt;=AsOfDate),AR14,IF(AND(AI14&gt;=2,AK14&lt;=AsOfDate),AQ14,AP14)))</f>
        <v/>
      </c>
      <c r="AT14" s="14" t="str">
        <f aca="false">IF(AG14=0,"",IF(AsOfDate&lt;AH14,-1,12*(YEAR(AsOfDate)-YEAR(AH14))+MONTH(AsOfDate)-MONTH(AH14)-IF(DAY(AsOfDate)&lt;MIN(DAY(AH14),DAY(EOMONTH(AsOfDate,0))),1,0)))</f>
        <v/>
      </c>
      <c r="AU14" s="14" t="str">
        <f aca="false">IF(AG14=0,"",IF(OR(AI14&lt;2,AK14&gt;AsOfDate),AT14,IF((AK14-1)&lt;AH14,-1,12*(YEAR((AK14-1))-YEAR(AH14))+MONTH((AK14-1))-MONTH(AH14)-IF(DAY((AK14-1))&lt;MIN(DAY(AH14),DAY(EOMONTH((AK14-1),0))),1,0))))</f>
        <v/>
      </c>
      <c r="AV14" s="14" t="str">
        <f aca="false">IF(AG14=0,"",IF(OR(AI14&lt;3,AL14&gt;AsOfDate),AT14,IF((AL14-1)&lt;AH14,-1,12*(YEAR((AL14-1))-YEAR(AH14))+MONTH((AL14-1))-MONTH(AH14)-IF(DAY((AL14-1))&lt;MIN(DAY(AH14),DAY(EOMONTH((AL14-1),0))),1,0))))</f>
        <v/>
      </c>
      <c r="AW14" s="14" t="str">
        <f aca="false">IF(AG14=0,"",IF(PFYDate&lt;AH14,-1,12*(YEAR(PFYDate)-YEAR(AH14))+MONTH(PFYDate)-MONTH(AH14)-IF(DAY(PFYDate)&lt;MIN(DAY(AH14),DAY(EOMONTH(PFYDate,0))),1,0)))</f>
        <v/>
      </c>
      <c r="AX14" s="14" t="str">
        <f aca="false">IF(AG14=0,"",IF(OR(AI14&lt;2,AK14&gt;PFYDate),AW14,IF((AK14-1)&lt;AH14,-1,12*(YEAR((AK14-1))-YEAR(AH14))+MONTH((AK14-1))-MONTH(AH14)-IF(DAY((AK14-1))&lt;MIN(DAY(AH14),DAY(EOMONTH((AK14-1),0))),1,0))))</f>
        <v/>
      </c>
      <c r="AY14" s="14" t="str">
        <f aca="false">IF(AG14=0,"",IF(OR(AI14&lt;3,AL14&gt;PFYDate),AW14,IF((AL14-1)&lt;AH14,-1,12*(YEAR((AL14-1))-YEAR(AH14))+MONTH((AL14-1))-MONTH(AH14)-IF(DAY((AL14-1))&lt;MIN(DAY(AH14),DAY(EOMONTH((AL14-1),0))),1,0))))</f>
        <v/>
      </c>
      <c r="AZ14" s="14" t="str">
        <f aca="false">IF(AG14=0,"",IF(AP14="FT",IF(AU14&lt;FT_First,0,IF(AU14&lt;FT_Y5,1+INT((AU14-FT_First)/FT_Int1),FT_PreY5+FT_PerYear*INT((AU14-FT_Y5)/12)+FT_AnnivDays+INT(MOD(AU14-FT_Y5,12)/FT_Int2))),IF(AP14="PT",IF(AU14&lt;PT_First,0,1+INT((AU14-PT_First)/PT_Int)),0))+IF(AND(AI14&gt;=2,AK14&lt;=AsOfDate),IF(AQ14="FT",IF(AV14&lt;FT_First,0,IF(AV14&lt;FT_Y5,1+INT((AV14-FT_First)/FT_Int1),FT_PreY5+FT_PerYear*INT((AV14-FT_Y5)/12)+FT_AnnivDays+INT(MOD(AV14-FT_Y5,12)/FT_Int2))),IF(AQ14="PT",IF(AV14&lt;PT_First,0,1+INT((AV14-PT_First)/PT_Int)),0))-IF(AQ14="FT",IF(AU14&lt;FT_First,0,IF(AU14&lt;FT_Y5,1+INT((AU14-FT_First)/FT_Int1),FT_PreY5+FT_PerYear*INT((AU14-FT_Y5)/12)+FT_AnnivDays+INT(MOD(AU14-FT_Y5,12)/FT_Int2))),IF(AQ14="PT",IF(AU14&lt;PT_First,0,1+INT((AU14-PT_First)/PT_Int)),0)),0)+IF(AND(AI14&gt;=3,AL14&lt;=AsOfDate),IF(AR14="FT",IF(AT14&lt;FT_First,0,IF(AT14&lt;FT_Y5,1+INT((AT14-FT_First)/FT_Int1),FT_PreY5+FT_PerYear*INT((AT14-FT_Y5)/12)+FT_AnnivDays+INT(MOD(AT14-FT_Y5,12)/FT_Int2))),IF(AR14="PT",IF(AT14&lt;PT_First,0,1+INT((AT14-PT_First)/PT_Int)),0))-IF(AR14="FT",IF(AV14&lt;FT_First,0,IF(AV14&lt;FT_Y5,1+INT((AV14-FT_First)/FT_Int1),FT_PreY5+FT_PerYear*INT((AV14-FT_Y5)/12)+FT_AnnivDays+INT(MOD(AV14-FT_Y5,12)/FT_Int2))),IF(AR14="PT",IF(AV14&lt;PT_First,0,1+INT((AV14-PT_First)/PT_Int)),0)),0))</f>
        <v/>
      </c>
      <c r="BA14" s="14" t="str">
        <f aca="false">IF(AG14=0,"",IF(AP14="FT",IF(AX14&lt;FT_First,0,IF(AX14&lt;FT_Y5,1+INT((AX14-FT_First)/FT_Int1),FT_PreY5+FT_PerYear*INT((AX14-FT_Y5)/12)+FT_AnnivDays+INT(MOD(AX14-FT_Y5,12)/FT_Int2))),IF(AP14="PT",IF(AX14&lt;PT_First,0,1+INT((AX14-PT_First)/PT_Int)),0))+IF(AND(AI14&gt;=2,AK14&lt;=PFYDate),IF(AQ14="FT",IF(AY14&lt;FT_First,0,IF(AY14&lt;FT_Y5,1+INT((AY14-FT_First)/FT_Int1),FT_PreY5+FT_PerYear*INT((AY14-FT_Y5)/12)+FT_AnnivDays+INT(MOD(AY14-FT_Y5,12)/FT_Int2))),IF(AQ14="PT",IF(AY14&lt;PT_First,0,1+INT((AY14-PT_First)/PT_Int)),0))-IF(AQ14="FT",IF(AX14&lt;FT_First,0,IF(AX14&lt;FT_Y5,1+INT((AX14-FT_First)/FT_Int1),FT_PreY5+FT_PerYear*INT((AX14-FT_Y5)/12)+FT_AnnivDays+INT(MOD(AX14-FT_Y5,12)/FT_Int2))),IF(AQ14="PT",IF(AX14&lt;PT_First,0,1+INT((AX14-PT_First)/PT_Int)),0)),0)+IF(AND(AI14&gt;=3,AL14&lt;=PFYDate),IF(AR14="FT",IF(AW14&lt;FT_First,0,IF(AW14&lt;FT_Y5,1+INT((AW14-FT_First)/FT_Int1),FT_PreY5+FT_PerYear*INT((AW14-FT_Y5)/12)+FT_AnnivDays+INT(MOD(AW14-FT_Y5,12)/FT_Int2))),IF(AR14="PT",IF(AW14&lt;PT_First,0,1+INT((AW14-PT_First)/PT_Int)),0))-IF(AR14="FT",IF(AY14&lt;FT_First,0,IF(AY14&lt;FT_Y5,1+INT((AY14-FT_First)/FT_Int1),FT_PreY5+FT_PerYear*INT((AY14-FT_Y5)/12)+FT_AnnivDays+INT(MOD(AY14-FT_Y5,12)/FT_Int2))),IF(AR14="PT",IF(AY14&lt;PT_First,0,1+INT((AY14-PT_First)/PT_Int)),0)),0))</f>
        <v/>
      </c>
      <c r="BB14" s="14" t="str">
        <f aca="false">IF(AG14=0,"",IF(AS14="FT",IF(AT14&lt;FT_First,FT_First,IF(AT14&lt;FT_Y5,MIN(FT_Y5,FT_First+FT_Int1*(INT((AT14-FT_First)/FT_Int1)+1)),FT_Y5+12*INT((AT14-FT_Y5)/12)+FT_Int2*(INT(MOD(AT14-FT_Y5,12)/FT_Int2)+1))),IF(AS14="PT",IF(AT14&lt;PT_First,PT_First,PT_First+PT_Int*(INT((AT14-PT_First)/PT_Int)+1)),"")))</f>
        <v/>
      </c>
      <c r="BC14" s="14" t="str">
        <f aca="false">IF(AG14=0,"",IF(NOT(LH_Ready),0,COUNTIFS(INDEX(LH_Data,0,LH_ColFirst),$A14,INDEX(LH_Data,0,LH_ColSur),$B14,INDEX(LH_Data,0,LH_ColCat),BonusCat)))</f>
        <v/>
      </c>
      <c r="BD14" s="14" t="str">
        <f aca="false">IF(AG14=0,"",IF(OR(NOT(LH_Ready),BC14=0),0,SUMPRODUCT(MAX((INDEX(LH_Data,0,LH_ColFirst)=$A14)*(INDEX(LH_Data,0,LH_ColSur)=$B14)*(INDEX(LH_Data,0,LH_ColCat)=BonusCat)*ROW(LH_Data)))))</f>
        <v/>
      </c>
      <c r="BE14" s="14" t="str">
        <f aca="false">IF(AG14=0,"",IF(EOMONTH(AsOfDate,-1)&lt;AH14,-1,12*(YEAR(EOMONTH(AsOfDate,-1))-YEAR(AH14))+MONTH(EOMONTH(AsOfDate,-1))-MONTH(AH14)-IF(DAY(EOMONTH(AsOfDate,-1))&lt;MIN(DAY(AH14),DAY(EOMONTH(EOMONTH(AsOfDate,-1),0))),1,0)))</f>
        <v/>
      </c>
      <c r="BF14" s="14" t="str">
        <f aca="false">IF(AG14=0,"",IF(OR(AI14&lt;2,AK14&gt;EOMONTH(AsOfDate,-1)),BE14,IF((AK14-1)&lt;AH14,-1,12*(YEAR((AK14-1))-YEAR(AH14))+MONTH((AK14-1))-MONTH(AH14)-IF(DAY((AK14-1))&lt;MIN(DAY(AH14),DAY(EOMONTH((AK14-1),0))),1,0))))</f>
        <v/>
      </c>
      <c r="BG14" s="14" t="str">
        <f aca="false">IF(AG14=0,"",IF(OR(AI14&lt;3,AL14&gt;EOMONTH(AsOfDate,-1)),BE14,IF((AL14-1)&lt;AH14,-1,12*(YEAR((AL14-1))-YEAR(AH14))+MONTH((AL14-1))-MONTH(AH14)-IF(DAY((AL14-1))&lt;MIN(DAY(AH14),DAY(EOMONTH((AL14-1),0))),1,0))))</f>
        <v/>
      </c>
      <c r="BH14" s="14" t="str">
        <f aca="false">IF(AG14=0,"",IF(AP14="FT",IF(BF14&lt;FT_First,0,IF(BF14&lt;FT_Y5,1+INT((BF14-FT_First)/FT_Int1),FT_PreY5+FT_PerYear*INT((BF14-FT_Y5)/12)+FT_AnnivDays+INT(MOD(BF14-FT_Y5,12)/FT_Int2))),IF(AP14="PT",IF(BF14&lt;PT_First,0,1+INT((BF14-PT_First)/PT_Int)),0))+IF(AND(AI14&gt;=2,AK14&lt;=EOMONTH(AsOfDate,-1)),IF(AQ14="FT",IF(BG14&lt;FT_First,0,IF(BG14&lt;FT_Y5,1+INT((BG14-FT_First)/FT_Int1),FT_PreY5+FT_PerYear*INT((BG14-FT_Y5)/12)+FT_AnnivDays+INT(MOD(BG14-FT_Y5,12)/FT_Int2))),IF(AQ14="PT",IF(BG14&lt;PT_First,0,1+INT((BG14-PT_First)/PT_Int)),0))-IF(AQ14="FT",IF(BF14&lt;FT_First,0,IF(BF14&lt;FT_Y5,1+INT((BF14-FT_First)/FT_Int1),FT_PreY5+FT_PerYear*INT((BF14-FT_Y5)/12)+FT_AnnivDays+INT(MOD(BF14-FT_Y5,12)/FT_Int2))),IF(AQ14="PT",IF(BF14&lt;PT_First,0,1+INT((BF14-PT_First)/PT_Int)),0)),0)+IF(AND(AI14&gt;=3,AL14&lt;=EOMONTH(AsOfDate,-1)),IF(AR14="FT",IF(BE14&lt;FT_First,0,IF(BE14&lt;FT_Y5,1+INT((BE14-FT_First)/FT_Int1),FT_PreY5+FT_PerYear*INT((BE14-FT_Y5)/12)+FT_AnnivDays+INT(MOD(BE14-FT_Y5,12)/FT_Int2))),IF(AR14="PT",IF(BE14&lt;PT_First,0,1+INT((BE14-PT_First)/PT_Int)),0))-IF(AR14="FT",IF(BG14&lt;FT_First,0,IF(BG14&lt;FT_Y5,1+INT((BG14-FT_First)/FT_Int1),FT_PreY5+FT_PerYear*INT((BG14-FT_Y5)/12)+FT_AnnivDays+INT(MOD(BG14-FT_Y5,12)/FT_Int2))),IF(AR14="PT",IF(BG14&lt;PT_First,0,1+INT((BG14-PT_First)/PT_Int)),0)),0))</f>
        <v/>
      </c>
      <c r="BI14" s="14" t="str">
        <f aca="false">IF(AG14=0,"",IF(AS14="FT",IF(AT14&lt;FT_First,"",IF(AT14&lt;FT_Y5,FT_First+FT_Int1*INT((AT14-FT_First)/FT_Int1),FT_Y5+FT_Int2*INT((AT14-FT_Y5)/FT_Int2))),IF(AS14="PT",IF(AT14&lt;PT_First,"",PT_First+PT_Int*INT((AT14-PT_First)/PT_Int)),"")))</f>
        <v/>
      </c>
      <c r="BJ14" s="0" t="str">
        <f aca="false">IF(LEN($A14&amp;$B14)=0,"",$A14&amp;" "&amp;$B14)</f>
        <v/>
      </c>
    </row>
    <row r="15" customFormat="false" ht="15" hidden="false" customHeight="false" outlineLevel="0" collapsed="false">
      <c r="A15" s="10"/>
      <c r="B15" s="10"/>
      <c r="C15" s="10"/>
      <c r="D15" s="11"/>
      <c r="E15" s="12" t="str">
        <f aca="false">IF(OR(AG15=0,$D15=""),"",DATE(YEAR(AsOfDate)+IF(DATE(YEAR(AsOfDate),MONTH($D15),DAY($D15))&lt;=AsOfDate,1,0),MONTH($D15),DAY($D15)))</f>
        <v/>
      </c>
      <c r="F15" s="11"/>
      <c r="G15" s="11"/>
      <c r="H15" s="11"/>
      <c r="I15" s="11"/>
      <c r="J15" s="11"/>
      <c r="K15" s="12" t="str">
        <f aca="false">IF(AG15=0,"",DATE(YEAR(AsOfDate)+IF(DATE(YEAR(AsOfDate),MONTH(AH15),DAY(AH15))&lt;=AsOfDate,1,0),MONTH(AH15),DAY(AH15)))</f>
        <v/>
      </c>
      <c r="L15" s="13" t="str">
        <f aca="false">IF(AG15=0,"",ROUND((AsOfDate-AH15)/365.25,1))</f>
        <v/>
      </c>
      <c r="M15" s="14" t="str">
        <f aca="false">IF(AG15=0,"",IF(AsOfDate&lt;AH15,"-",DATEDIF(AH15,AsOfDate,"y")&amp;"y "&amp;DATEDIF(AH15,AsOfDate,"ym")&amp;"m "&amp;DATEDIF(AH15,AsOfDate,"md")&amp;"d"))</f>
        <v/>
      </c>
      <c r="N15" s="15" t="str">
        <f aca="false">IF(AG15=0,"",O15*HoursPerDay)</f>
        <v/>
      </c>
      <c r="O15" s="15" t="str">
        <f aca="false">IF(AG15=0,"",AZ15)</f>
        <v/>
      </c>
      <c r="P15" s="16"/>
      <c r="Q15" s="14" t="str">
        <f aca="false">IF(AG15=0,"",IF(AI15&lt;2,"",AM15&amp;" to "&amp;AN15&amp;" on "&amp;TEXT(AK15,"dd/mm/yyyy")&amp;IF(AK15&gt;AsOfDate," (future)",IF(AP15=AQ15,"",IF(AQ15="None"," - STOPPED accruing",IF(AP15="None"," - commencement for Bonus Leave"," - pathway changed"))))&amp;IF(AI15&lt;3,"","; "&amp;AN15&amp;" to "&amp;AO15&amp;" on "&amp;TEXT(AL15,"dd/mm/yyyy")&amp;IF(AL15&gt;AsOfDate," (future)",IF(AQ15=AR15,"",IF(AR15="None"," - STOPPED accruing",IF(AQ15="None"," - commencement for Bonus Leave"," - pathway changed")))))))</f>
        <v/>
      </c>
      <c r="R15" s="14" t="str">
        <f aca="false">IF(AG15=0,"",IF(AS15="None",IF(O15&gt;0,"No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2" t="str">
        <f aca="false">IF(AG15=0,"",IF(AS15="None","",EDATE(AH15,BB15)))</f>
        <v/>
      </c>
      <c r="T15" s="15" t="str">
        <f aca="false">IF(AG15=0,"",IF(NOT(LH_Ready),"",IF(AH15&gt;PFYDate,0,IF(LH_ColPeriod=0,W15-U15+V15,SUMIFS(INDEX(LH_Data,0,LH_ColAcc),INDEX(LH_Data,0,LH_ColFirst),$A15,INDEX(LH_Data,0,LH_ColSur),$B15,INDEX(LH_Data,0,LH_ColCat),BonusCat,INDEX(LH_Data,0,LH_ColPeriod),LH_OpenLabel)*UnitFactor))))</f>
        <v/>
      </c>
      <c r="U15" s="15" t="str">
        <f aca="false">IF(AG15=0,"",IF(NOT(LH_Ready),"",SUMIFS(INDEX(LH_Data,0,LH_ColAcc),INDEX(LH_Data,0,LH_ColFirst),$A15,INDEX(LH_Data,0,LH_ColSur),$B15,INDEX(LH_Data,0,LH_ColCat),BonusCat,INDEX(LH_Data,0,LH_ColStart),"&gt;="&amp;AH15)*UnitFactor))</f>
        <v/>
      </c>
      <c r="V15" s="15" t="str">
        <f aca="false">IF(AG15=0,"",IF(NOT(LH_Ready),"",SUMIFS(INDEX(LH_Data,0,LH_ColTaken),INDEX(LH_Data,0,LH_ColFirst),$A15,INDEX(LH_Data,0,LH_ColSur),$B15,INDEX(LH_Data,0,LH_ColCat),BonusCat,INDEX(LH_Data,0,LH_ColStart),"&gt;="&amp;AH15)*UnitFactor))</f>
        <v/>
      </c>
      <c r="W15" s="15" t="str">
        <f aca="false">IF(AG15=0,"",IF(NOT(LH_Ready),"",IF(BD15=0,0,INDEX(INDEX(LH_Data,0,LH_ColClose),BD15-1)*UnitFactor)))</f>
        <v/>
      </c>
      <c r="X15" s="15" t="str">
        <f aca="false">IF(AG15=0,"",(AZ15-BA15)*HoursPerDay)</f>
        <v/>
      </c>
      <c r="Y15" s="15" t="str">
        <f aca="false">IF(AG15=0,"",IF(NOT(LH_Ready),"",IF(BC15=0,N15,IF(PFYDate&lt;$F15,N15-N(T15)-N(U15),X15-N(U15)))))</f>
        <v/>
      </c>
      <c r="Z15" s="14" t="str">
        <f aca="false">IF(OR(AG15=0,Y15=""),"",IF(Y15&gt;0,"Yes","No"))</f>
        <v/>
      </c>
      <c r="AA15" s="14" t="str">
        <f aca="false">IF(AG15=0,IF(LEN($A15&amp;$B15)=0,"","FIX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month")&amp;IF(BC15=0,";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EH)",""),IF(AS15="None",R15,"Not yet - first day on "&amp;TEXT(S15,"dd/mm/yyyy")))))))))</f>
        <v/>
      </c>
      <c r="AB15" s="15" t="str">
        <f aca="false">IF(OR(AG15=0,T15=""),"",BA15*HoursPerDay-T15)</f>
        <v/>
      </c>
      <c r="AC15" s="14" t="str">
        <f aca="false">IF(AG15=0,"",BC15)</f>
        <v/>
      </c>
      <c r="AD15" s="14" t="str">
        <f aca="false">IF(AG15=0,"",TRIM(IF(OR(ISTEXT($F15),ISTEXT($H15),ISTEXT($I15),ISTEXT($G15),ISTEXT($J15),ISTEXT($D15)),"A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I15&gt;=1,IF(AI15&gt;=3,AO15,IF(AI15=2,AN15,AM15))&lt;&gt;IF($C15="","",IF(OR(ISNUMBER(SEARCH("full",$C15)),UPPER(TRIM($C15))="FT",UPPER(TRIM($C15))="FTE"),"Full-Time",IF(OR(ISNUMBER(SEARCH("part",$C15)),UPPER(TRIM($C15))="PT",UPPER(TRIM($C15))="PTE"),"Part-Time",IF(OR(ISNUMBER(SEARCH("cas",$C15)),UPPER(TRIM($C15))="CAS"),"Casual","Unknown"))))),"EmploymentType does not match latest start date ("&amp;IF(AI15&gt;=3,AO15,IF(AI15=2,AN15,AM15))&amp;"). ","")&amp;IF(AND(AI15&gt;=1,AJ15&lt;&gt;$F15),"Earliest type date should equal StartDate. ","")&amp;IF(AND(AI15&gt;=2,AJ15=AK15),"Two types start on the same date. ","")&amp;IF(AND(OR(ISNUMBER(SEARCH("part",$C15)),UPPER(TRIM($C15))="PT",UPPER(TRIM($C15))="PTE"),$P15=""),"Part-time: enter PT Hrs/Week (blank = 24+). ","")))</f>
        <v/>
      </c>
      <c r="AE15" s="15" t="str">
        <f aca="false">IF(AG15=0,"",O15-BH15)</f>
        <v/>
      </c>
      <c r="AF15" s="12" t="str">
        <f aca="false">IF(OR(AG15=0,AE15="",N(AE15)=0,BI15=""),"",EDATE(AH15,BI15))</f>
        <v/>
      </c>
      <c r="AG15" s="14" t="n">
        <f aca="false">IF(OR(LEN($A15&amp;$B15)=0,$F15=""),0,1)</f>
        <v>0</v>
      </c>
      <c r="AH15" s="12" t="str">
        <f aca="false">IF(AG15=0,"",IF($J15&lt;&gt;"",$J15,IF(OR(CasualCounts="Yes",COUNT($G15:$I15)=0,COUNT($H15:$I15)=0),$F15,MIN($H15:$I15))))</f>
        <v/>
      </c>
      <c r="AI15" s="14" t="str">
        <f aca="false">IF(AG15=0,"",COUNT($G15:$I15))</f>
        <v/>
      </c>
      <c r="AJ15" s="12" t="str">
        <f aca="false">IF(AG15=0,"",IFERROR(SMALL($G15:$I15,1),""))</f>
        <v/>
      </c>
      <c r="AK15" s="12" t="str">
        <f aca="false">IF(AG15=0,"",IFERROR(SMALL($G15:$I15,2),""))</f>
        <v/>
      </c>
      <c r="AL15" s="12" t="str">
        <f aca="false">IF(AG15=0,"",IFERROR(SMALL($G15:$I15,3),""))</f>
        <v/>
      </c>
      <c r="AM15" s="14" t="str">
        <f aca="false">IF(AG15=0,"",IF(AJ15="","",IF(AJ15=$H15,"Part-Time",IF(AJ15=$I15,"Full-Time","Casual"))))</f>
        <v/>
      </c>
      <c r="AN15" s="14" t="str">
        <f aca="false">IF(AG15=0,"",IF(AK15="","",IF(AK15=$H15,"Part-Time",IF(AK15=$I15,"Full-Time","Casual"))))</f>
        <v/>
      </c>
      <c r="AO15" s="14" t="str">
        <f aca="false">IF(AG15=0,"",IF(AL15="","",IF(AL15=$H15,"Part-Time",IF(AL15=$I15,"Full-Time","Casual"))))</f>
        <v/>
      </c>
      <c r="AP15" s="14" t="str">
        <f aca="false">IF(AG15=0,"",IF(AI15=0,IF(OR(ISNUMBER(SEARCH("full",$C15)),UPPER(TRIM($C15))="FT",UPPER(TRIM($C15))="FTE"),"FT",IF(AND(OR(ISNUMBER(SEARCH("part",$C15)),UPPER(TRIM($C15))="PT",UPPER(TRIM($C15))="PTE"),OR($P15="",N($P15)&gt;=PT_MinHours)),"PT","None")),IF(OR(ISNUMBER(SEARCH("full",AM15)),UPPER(TRIM(AM15))="FT",UPPER(TRIM(AM15))="FTE"),"FT",IF(AND(OR(ISNUMBER(SEARCH("part",AM15)),UPPER(TRIM(AM15))="PT",UPPER(TRIM(AM15))="PTE"),OR($P15="",N($P15)&gt;=PT_MinHours)),"PT","None"))))</f>
        <v/>
      </c>
      <c r="AQ15" s="14" t="str">
        <f aca="false">IF(AG15=0,"",IF(AI15&lt;2,"",IF(OR(ISNUMBER(SEARCH("full",AN15)),UPPER(TRIM(AN15))="FT",UPPER(TRIM(AN15))="FTE"),"FT",IF(AND(OR(ISNUMBER(SEARCH("part",AN15)),UPPER(TRIM(AN15))="PT",UPPER(TRIM(AN15))="PTE"),OR($P15="",N($P15)&gt;=PT_MinHours)),"PT","None"))))</f>
        <v/>
      </c>
      <c r="AR15" s="14" t="str">
        <f aca="false">IF(AG15=0,"",IF(AI15&lt;3,"",IF(OR(ISNUMBER(SEARCH("full",AO15)),UPPER(TRIM(AO15))="FT",UPPER(TRIM(AO15))="FTE"),"FT",IF(AND(OR(ISNUMBER(SEARCH("part",AO15)),UPPER(TRIM(AO15))="PT",UPPER(TRIM(AO15))="PTE"),OR($P15="",N($P15)&gt;=PT_MinHours)),"PT","None"))))</f>
        <v/>
      </c>
      <c r="AS15" s="14" t="str">
        <f aca="false">IF(AG15=0,"",IF(AND(AI15&gt;=3,AL15&lt;=AsOfDate),AR15,IF(AND(AI15&gt;=2,AK15&lt;=AsOfDate),AQ15,AP15)))</f>
        <v/>
      </c>
      <c r="AT15" s="14" t="str">
        <f aca="false">IF(AG15=0,"",IF(AsOfDate&lt;AH15,-1,12*(YEAR(AsOfDate)-YEAR(AH15))+MONTH(AsOfDate)-MONTH(AH15)-IF(DAY(AsOfDate)&lt;MIN(DAY(AH15),DAY(EOMONTH(AsOfDate,0))),1,0)))</f>
        <v/>
      </c>
      <c r="AU15" s="14" t="str">
        <f aca="false">IF(AG15=0,"",IF(OR(AI15&lt;2,AK15&gt;AsOfDate),AT15,IF((AK15-1)&lt;AH15,-1,12*(YEAR((AK15-1))-YEAR(AH15))+MONTH((AK15-1))-MONTH(AH15)-IF(DAY((AK15-1))&lt;MIN(DAY(AH15),DAY(EOMONTH((AK15-1),0))),1,0))))</f>
        <v/>
      </c>
      <c r="AV15" s="14" t="str">
        <f aca="false">IF(AG15=0,"",IF(OR(AI15&lt;3,AL15&gt;AsOfDate),AT15,IF((AL15-1)&lt;AH15,-1,12*(YEAR((AL15-1))-YEAR(AH15))+MONTH((AL15-1))-MONTH(AH15)-IF(DAY((AL15-1))&lt;MIN(DAY(AH15),DAY(EOMONTH((AL15-1),0))),1,0))))</f>
        <v/>
      </c>
      <c r="AW15" s="14" t="str">
        <f aca="false">IF(AG15=0,"",IF(PFYDate&lt;AH15,-1,12*(YEAR(PFYDate)-YEAR(AH15))+MONTH(PFYDate)-MONTH(AH15)-IF(DAY(PFYDate)&lt;MIN(DAY(AH15),DAY(EOMONTH(PFYDate,0))),1,0)))</f>
        <v/>
      </c>
      <c r="AX15" s="14" t="str">
        <f aca="false">IF(AG15=0,"",IF(OR(AI15&lt;2,AK15&gt;PFYDate),AW15,IF((AK15-1)&lt;AH15,-1,12*(YEAR((AK15-1))-YEAR(AH15))+MONTH((AK15-1))-MONTH(AH15)-IF(DAY((AK15-1))&lt;MIN(DAY(AH15),DAY(EOMONTH((AK15-1),0))),1,0))))</f>
        <v/>
      </c>
      <c r="AY15" s="14" t="str">
        <f aca="false">IF(AG15=0,"",IF(OR(AI15&lt;3,AL15&gt;PFYDate),AW15,IF((AL15-1)&lt;AH15,-1,12*(YEAR((AL15-1))-YEAR(AH15))+MONTH((AL15-1))-MONTH(AH15)-IF(DAY((AL15-1))&lt;MIN(DAY(AH15),DAY(EOMONTH((AL15-1),0))),1,0))))</f>
        <v/>
      </c>
      <c r="AZ15" s="14" t="str">
        <f aca="false">IF(AG15=0,"",IF(AP15="FT",IF(AU15&lt;FT_First,0,IF(AU15&lt;FT_Y5,1+INT((AU15-FT_First)/FT_Int1),FT_PreY5+FT_PerYear*INT((AU15-FT_Y5)/12)+FT_AnnivDays+INT(MOD(AU15-FT_Y5,12)/FT_Int2))),IF(AP15="PT",IF(AU15&lt;PT_First,0,1+INT((AU15-PT_First)/PT_Int)),0))+IF(AND(AI15&gt;=2,AK15&lt;=AsOfDate),IF(AQ15="FT",IF(AV15&lt;FT_First,0,IF(AV15&lt;FT_Y5,1+INT((AV15-FT_First)/FT_Int1),FT_PreY5+FT_PerYear*INT((AV15-FT_Y5)/12)+FT_AnnivDays+INT(MOD(AV15-FT_Y5,12)/FT_Int2))),IF(AQ15="PT",IF(AV15&lt;PT_First,0,1+INT((AV15-PT_First)/PT_Int)),0))-IF(AQ15="FT",IF(AU15&lt;FT_First,0,IF(AU15&lt;FT_Y5,1+INT((AU15-FT_First)/FT_Int1),FT_PreY5+FT_PerYear*INT((AU15-FT_Y5)/12)+FT_AnnivDays+INT(MOD(AU15-FT_Y5,12)/FT_Int2))),IF(AQ15="PT",IF(AU15&lt;PT_First,0,1+INT((AU15-PT_First)/PT_Int)),0)),0)+IF(AND(AI15&gt;=3,AL15&lt;=AsOfDate),IF(AR15="FT",IF(AT15&lt;FT_First,0,IF(AT15&lt;FT_Y5,1+INT((AT15-FT_First)/FT_Int1),FT_PreY5+FT_PerYear*INT((AT15-FT_Y5)/12)+FT_AnnivDays+INT(MOD(AT15-FT_Y5,12)/FT_Int2))),IF(AR15="PT",IF(AT15&lt;PT_First,0,1+INT((AT15-PT_First)/PT_Int)),0))-IF(AR15="FT",IF(AV15&lt;FT_First,0,IF(AV15&lt;FT_Y5,1+INT((AV15-FT_First)/FT_Int1),FT_PreY5+FT_PerYear*INT((AV15-FT_Y5)/12)+FT_AnnivDays+INT(MOD(AV15-FT_Y5,12)/FT_Int2))),IF(AR15="PT",IF(AV15&lt;PT_First,0,1+INT((AV15-PT_First)/PT_Int)),0)),0))</f>
        <v/>
      </c>
      <c r="BA15" s="14" t="str">
        <f aca="false">IF(AG15=0,"",IF(AP15="FT",IF(AX15&lt;FT_First,0,IF(AX15&lt;FT_Y5,1+INT((AX15-FT_First)/FT_Int1),FT_PreY5+FT_PerYear*INT((AX15-FT_Y5)/12)+FT_AnnivDays+INT(MOD(AX15-FT_Y5,12)/FT_Int2))),IF(AP15="PT",IF(AX15&lt;PT_First,0,1+INT((AX15-PT_First)/PT_Int)),0))+IF(AND(AI15&gt;=2,AK15&lt;=PFYDate),IF(AQ15="FT",IF(AY15&lt;FT_First,0,IF(AY15&lt;FT_Y5,1+INT((AY15-FT_First)/FT_Int1),FT_PreY5+FT_PerYear*INT((AY15-FT_Y5)/12)+FT_AnnivDays+INT(MOD(AY15-FT_Y5,12)/FT_Int2))),IF(AQ15="PT",IF(AY15&lt;PT_First,0,1+INT((AY15-PT_First)/PT_Int)),0))-IF(AQ15="FT",IF(AX15&lt;FT_First,0,IF(AX15&lt;FT_Y5,1+INT((AX15-FT_First)/FT_Int1),FT_PreY5+FT_PerYear*INT((AX15-FT_Y5)/12)+FT_AnnivDays+INT(MOD(AX15-FT_Y5,12)/FT_Int2))),IF(AQ15="PT",IF(AX15&lt;PT_First,0,1+INT((AX15-PT_First)/PT_Int)),0)),0)+IF(AND(AI15&gt;=3,AL15&lt;=PFYDate),IF(AR15="FT",IF(AW15&lt;FT_First,0,IF(AW15&lt;FT_Y5,1+INT((AW15-FT_First)/FT_Int1),FT_PreY5+FT_PerYear*INT((AW15-FT_Y5)/12)+FT_AnnivDays+INT(MOD(AW15-FT_Y5,12)/FT_Int2))),IF(AR15="PT",IF(AW15&lt;PT_First,0,1+INT((AW15-PT_First)/PT_Int)),0))-IF(AR15="FT",IF(AY15&lt;FT_First,0,IF(AY15&lt;FT_Y5,1+INT((AY15-FT_First)/FT_Int1),FT_PreY5+FT_PerYear*INT((AY15-FT_Y5)/12)+FT_AnnivDays+INT(MOD(AY15-FT_Y5,12)/FT_Int2))),IF(AR15="PT",IF(AY15&lt;PT_First,0,1+INT((AY15-PT_First)/PT_Int)),0)),0))</f>
        <v/>
      </c>
      <c r="BB15" s="14" t="str">
        <f aca="false">IF(AG15=0,"",IF(AS15="FT",IF(AT15&lt;FT_First,FT_First,IF(AT15&lt;FT_Y5,MIN(FT_Y5,FT_First+FT_Int1*(INT((AT15-FT_First)/FT_Int1)+1)),FT_Y5+12*INT((AT15-FT_Y5)/12)+FT_Int2*(INT(MOD(AT15-FT_Y5,12)/FT_Int2)+1))),IF(AS15="PT",IF(AT15&lt;PT_First,PT_First,PT_First+PT_Int*(INT((AT15-PT_First)/PT_Int)+1)),"")))</f>
        <v/>
      </c>
      <c r="BC15" s="14" t="str">
        <f aca="false">IF(AG15=0,"",IF(NOT(LH_Ready),0,COUNTIFS(INDEX(LH_Data,0,LH_ColFirst),$A15,INDEX(LH_Data,0,LH_ColSur),$B15,INDEX(LH_Data,0,LH_ColCat),BonusCat)))</f>
        <v/>
      </c>
      <c r="BD15" s="14" t="str">
        <f aca="false">IF(AG15=0,"",IF(OR(NOT(LH_Ready),BC15=0),0,SUMPRODUCT(MAX((INDEX(LH_Data,0,LH_ColFirst)=$A15)*(INDEX(LH_Data,0,LH_ColSur)=$B15)*(INDEX(LH_Data,0,LH_ColCat)=BonusCat)*ROW(LH_Data)))))</f>
        <v/>
      </c>
      <c r="BE15" s="14" t="str">
        <f aca="false">IF(AG15=0,"",IF(EOMONTH(AsOfDate,-1)&lt;AH15,-1,12*(YEAR(EOMONTH(AsOfDate,-1))-YEAR(AH15))+MONTH(EOMONTH(AsOfDate,-1))-MONTH(AH15)-IF(DAY(EOMONTH(AsOfDate,-1))&lt;MIN(DAY(AH15),DAY(EOMONTH(EOMONTH(AsOfDate,-1),0))),1,0)))</f>
        <v/>
      </c>
      <c r="BF15" s="14" t="str">
        <f aca="false">IF(AG15=0,"",IF(OR(AI15&lt;2,AK15&gt;EOMONTH(AsOfDate,-1)),BE15,IF((AK15-1)&lt;AH15,-1,12*(YEAR((AK15-1))-YEAR(AH15))+MONTH((AK15-1))-MONTH(AH15)-IF(DAY((AK15-1))&lt;MIN(DAY(AH15),DAY(EOMONTH((AK15-1),0))),1,0))))</f>
        <v/>
      </c>
      <c r="BG15" s="14" t="str">
        <f aca="false">IF(AG15=0,"",IF(OR(AI15&lt;3,AL15&gt;EOMONTH(AsOfDate,-1)),BE15,IF((AL15-1)&lt;AH15,-1,12*(YEAR((AL15-1))-YEAR(AH15))+MONTH((AL15-1))-MONTH(AH15)-IF(DAY((AL15-1))&lt;MIN(DAY(AH15),DAY(EOMONTH((AL15-1),0))),1,0))))</f>
        <v/>
      </c>
      <c r="BH15" s="14" t="str">
        <f aca="false">IF(AG15=0,"",IF(AP15="FT",IF(BF15&lt;FT_First,0,IF(BF15&lt;FT_Y5,1+INT((BF15-FT_First)/FT_Int1),FT_PreY5+FT_PerYear*INT((BF15-FT_Y5)/12)+FT_AnnivDays+INT(MOD(BF15-FT_Y5,12)/FT_Int2))),IF(AP15="PT",IF(BF15&lt;PT_First,0,1+INT((BF15-PT_First)/PT_Int)),0))+IF(AND(AI15&gt;=2,AK15&lt;=EOMONTH(AsOfDate,-1)),IF(AQ15="FT",IF(BG15&lt;FT_First,0,IF(BG15&lt;FT_Y5,1+INT((BG15-FT_First)/FT_Int1),FT_PreY5+FT_PerYear*INT((BG15-FT_Y5)/12)+FT_AnnivDays+INT(MOD(BG15-FT_Y5,12)/FT_Int2))),IF(AQ15="PT",IF(BG15&lt;PT_First,0,1+INT((BG15-PT_First)/PT_Int)),0))-IF(AQ15="FT",IF(BF15&lt;FT_First,0,IF(BF15&lt;FT_Y5,1+INT((BF15-FT_First)/FT_Int1),FT_PreY5+FT_PerYear*INT((BF15-FT_Y5)/12)+FT_AnnivDays+INT(MOD(BF15-FT_Y5,12)/FT_Int2))),IF(AQ15="PT",IF(BF15&lt;PT_First,0,1+INT((BF15-PT_First)/PT_Int)),0)),0)+IF(AND(AI15&gt;=3,AL15&lt;=EOMONTH(AsOfDate,-1)),IF(AR15="FT",IF(BE15&lt;FT_First,0,IF(BE15&lt;FT_Y5,1+INT((BE15-FT_First)/FT_Int1),FT_PreY5+FT_PerYear*INT((BE15-FT_Y5)/12)+FT_AnnivDays+INT(MOD(BE15-FT_Y5,12)/FT_Int2))),IF(AR15="PT",IF(BE15&lt;PT_First,0,1+INT((BE15-PT_First)/PT_Int)),0))-IF(AR15="FT",IF(BG15&lt;FT_First,0,IF(BG15&lt;FT_Y5,1+INT((BG15-FT_First)/FT_Int1),FT_PreY5+FT_PerYear*INT((BG15-FT_Y5)/12)+FT_AnnivDays+INT(MOD(BG15-FT_Y5,12)/FT_Int2))),IF(AR15="PT",IF(BG15&lt;PT_First,0,1+INT((BG15-PT_First)/PT_Int)),0)),0))</f>
        <v/>
      </c>
      <c r="BI15" s="14" t="str">
        <f aca="false">IF(AG15=0,"",IF(AS15="FT",IF(AT15&lt;FT_First,"",IF(AT15&lt;FT_Y5,FT_First+FT_Int1*INT((AT15-FT_First)/FT_Int1),FT_Y5+FT_Int2*INT((AT15-FT_Y5)/FT_Int2))),IF(AS15="PT",IF(AT15&lt;PT_First,"",PT_First+PT_Int*INT((AT15-PT_First)/PT_Int)),"")))</f>
        <v/>
      </c>
      <c r="BJ15" s="0" t="str">
        <f aca="false">IF(LEN($A15&amp;$B15)=0,"",$A15&amp;" "&amp;$B15)</f>
        <v/>
      </c>
    </row>
    <row r="16" customFormat="false" ht="15" hidden="false" customHeight="false" outlineLevel="0" collapsed="false">
      <c r="A16" s="10"/>
      <c r="B16" s="10"/>
      <c r="C16" s="10"/>
      <c r="D16" s="11"/>
      <c r="E16" s="12" t="str">
        <f aca="false">IF(OR(AG16=0,$D16=""),"",DATE(YEAR(AsOfDate)+IF(DATE(YEAR(AsOfDate),MONTH($D16),DAY($D16))&lt;=AsOfDate,1,0),MONTH($D16),DAY($D16)))</f>
        <v/>
      </c>
      <c r="F16" s="11"/>
      <c r="G16" s="11"/>
      <c r="H16" s="11"/>
      <c r="I16" s="11"/>
      <c r="J16" s="11"/>
      <c r="K16" s="12" t="str">
        <f aca="false">IF(AG16=0,"",DATE(YEAR(AsOfDate)+IF(DATE(YEAR(AsOfDate),MONTH(AH16),DAY(AH16))&lt;=AsOfDate,1,0),MONTH(AH16),DAY(AH16)))</f>
        <v/>
      </c>
      <c r="L16" s="13" t="str">
        <f aca="false">IF(AG16=0,"",ROUND((AsOfDate-AH16)/365.25,1))</f>
        <v/>
      </c>
      <c r="M16" s="14" t="str">
        <f aca="false">IF(AG16=0,"",IF(AsOfDate&lt;AH16,"-",DATEDIF(AH16,AsOfDate,"y")&amp;"y "&amp;DATEDIF(AH16,AsOfDate,"ym")&amp;"m "&amp;DATEDIF(AH16,AsOfDate,"md")&amp;"d"))</f>
        <v/>
      </c>
      <c r="N16" s="15" t="str">
        <f aca="false">IF(AG16=0,"",O16*HoursPerDay)</f>
        <v/>
      </c>
      <c r="O16" s="15" t="str">
        <f aca="false">IF(AG16=0,"",AZ16)</f>
        <v/>
      </c>
      <c r="P16" s="16"/>
      <c r="Q16" s="14" t="str">
        <f aca="false">IF(AG16=0,"",IF(AI16&lt;2,"",AM16&amp;" to "&amp;AN16&amp;" on "&amp;TEXT(AK16,"dd/mm/yyyy")&amp;IF(AK16&gt;AsOfDate," (future)",IF(AP16=AQ16,"",IF(AQ16="None"," - STOPPED accruing",IF(AP16="None"," - commencement for Bonus Leave"," - pathway changed"))))&amp;IF(AI16&lt;3,"","; "&amp;AN16&amp;" to "&amp;AO16&amp;" on "&amp;TEXT(AL16,"dd/mm/yyyy")&amp;IF(AL16&gt;AsOfDate," (future)",IF(AQ16=AR16,"",IF(AR16="None"," - STOPPED accruing",IF(AQ16="None"," - commencement for Bonus Leave"," - pathway changed")))))))</f>
        <v/>
      </c>
      <c r="R16" s="14" t="str">
        <f aca="false">IF(AG16=0,"",IF(AS16="None",IF(O16&gt;0,"No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2" t="str">
        <f aca="false">IF(AG16=0,"",IF(AS16="None","",EDATE(AH16,BB16)))</f>
        <v/>
      </c>
      <c r="T16" s="15" t="str">
        <f aca="false">IF(AG16=0,"",IF(NOT(LH_Ready),"",IF(AH16&gt;PFYDate,0,IF(LH_ColPeriod=0,W16-U16+V16,SUMIFS(INDEX(LH_Data,0,LH_ColAcc),INDEX(LH_Data,0,LH_ColFirst),$A16,INDEX(LH_Data,0,LH_ColSur),$B16,INDEX(LH_Data,0,LH_ColCat),BonusCat,INDEX(LH_Data,0,LH_ColPeriod),LH_OpenLabel)*UnitFactor))))</f>
        <v/>
      </c>
      <c r="U16" s="15" t="str">
        <f aca="false">IF(AG16=0,"",IF(NOT(LH_Ready),"",SUMIFS(INDEX(LH_Data,0,LH_ColAcc),INDEX(LH_Data,0,LH_ColFirst),$A16,INDEX(LH_Data,0,LH_ColSur),$B16,INDEX(LH_Data,0,LH_ColCat),BonusCat,INDEX(LH_Data,0,LH_ColStart),"&gt;="&amp;AH16)*UnitFactor))</f>
        <v/>
      </c>
      <c r="V16" s="15" t="str">
        <f aca="false">IF(AG16=0,"",IF(NOT(LH_Ready),"",SUMIFS(INDEX(LH_Data,0,LH_ColTaken),INDEX(LH_Data,0,LH_ColFirst),$A16,INDEX(LH_Data,0,LH_ColSur),$B16,INDEX(LH_Data,0,LH_ColCat),BonusCat,INDEX(LH_Data,0,LH_ColStart),"&gt;="&amp;AH16)*UnitFactor))</f>
        <v/>
      </c>
      <c r="W16" s="15" t="str">
        <f aca="false">IF(AG16=0,"",IF(NOT(LH_Ready),"",IF(BD16=0,0,INDEX(INDEX(LH_Data,0,LH_ColClose),BD16-1)*UnitFactor)))</f>
        <v/>
      </c>
      <c r="X16" s="15" t="str">
        <f aca="false">IF(AG16=0,"",(AZ16-BA16)*HoursPerDay)</f>
        <v/>
      </c>
      <c r="Y16" s="15" t="str">
        <f aca="false">IF(AG16=0,"",IF(NOT(LH_Ready),"",IF(BC16=0,N16,IF(PFYDate&lt;$F16,N16-N(T16)-N(U16),X16-N(U16)))))</f>
        <v/>
      </c>
      <c r="Z16" s="14" t="str">
        <f aca="false">IF(OR(AG16=0,Y16=""),"",IF(Y16&gt;0,"Yes","No"))</f>
        <v/>
      </c>
      <c r="AA16" s="14" t="str">
        <f aca="false">IF(AG16=0,IF(LEN($A16&amp;$B16)=0,"","FIX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month")&amp;IF(BC16=0,";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EH)",""),IF(AS16="None",R16,"Not yet - first day on "&amp;TEXT(S16,"dd/mm/yyyy")))))))))</f>
        <v/>
      </c>
      <c r="AB16" s="15" t="str">
        <f aca="false">IF(OR(AG16=0,T16=""),"",BA16*HoursPerDay-T16)</f>
        <v/>
      </c>
      <c r="AC16" s="14" t="str">
        <f aca="false">IF(AG16=0,"",BC16)</f>
        <v/>
      </c>
      <c r="AD16" s="14" t="str">
        <f aca="false">IF(AG16=0,"",TRIM(IF(OR(ISTEXT($F16),ISTEXT($H16),ISTEXT($I16),ISTEXT($G16),ISTEXT($J16),ISTEXT($D16)),"A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I16&gt;=1,IF(AI16&gt;=3,AO16,IF(AI16=2,AN16,AM16))&lt;&gt;IF($C16="","",IF(OR(ISNUMBER(SEARCH("full",$C16)),UPPER(TRIM($C16))="FT",UPPER(TRIM($C16))="FTE"),"Full-Time",IF(OR(ISNUMBER(SEARCH("part",$C16)),UPPER(TRIM($C16))="PT",UPPER(TRIM($C16))="PTE"),"Part-Time",IF(OR(ISNUMBER(SEARCH("cas",$C16)),UPPER(TRIM($C16))="CAS"),"Casual","Unknown"))))),"EmploymentType does not match latest start date ("&amp;IF(AI16&gt;=3,AO16,IF(AI16=2,AN16,AM16))&amp;"). ","")&amp;IF(AND(AI16&gt;=1,AJ16&lt;&gt;$F16),"Earliest type date should equal StartDate. ","")&amp;IF(AND(AI16&gt;=2,AJ16=AK16),"Two types start on the same date. ","")&amp;IF(AND(OR(ISNUMBER(SEARCH("part",$C16)),UPPER(TRIM($C16))="PT",UPPER(TRIM($C16))="PTE"),$P16=""),"Part-time: enter PT Hrs/Week (blank = 24+). ","")))</f>
        <v/>
      </c>
      <c r="AE16" s="15" t="str">
        <f aca="false">IF(AG16=0,"",O16-BH16)</f>
        <v/>
      </c>
      <c r="AF16" s="12" t="str">
        <f aca="false">IF(OR(AG16=0,AE16="",N(AE16)=0,BI16=""),"",EDATE(AH16,BI16))</f>
        <v/>
      </c>
      <c r="AG16" s="14" t="n">
        <f aca="false">IF(OR(LEN($A16&amp;$B16)=0,$F16=""),0,1)</f>
        <v>0</v>
      </c>
      <c r="AH16" s="12" t="str">
        <f aca="false">IF(AG16=0,"",IF($J16&lt;&gt;"",$J16,IF(OR(CasualCounts="Yes",COUNT($G16:$I16)=0,COUNT($H16:$I16)=0),$F16,MIN($H16:$I16))))</f>
        <v/>
      </c>
      <c r="AI16" s="14" t="str">
        <f aca="false">IF(AG16=0,"",COUNT($G16:$I16))</f>
        <v/>
      </c>
      <c r="AJ16" s="12" t="str">
        <f aca="false">IF(AG16=0,"",IFERROR(SMALL($G16:$I16,1),""))</f>
        <v/>
      </c>
      <c r="AK16" s="12" t="str">
        <f aca="false">IF(AG16=0,"",IFERROR(SMALL($G16:$I16,2),""))</f>
        <v/>
      </c>
      <c r="AL16" s="12" t="str">
        <f aca="false">IF(AG16=0,"",IFERROR(SMALL($G16:$I16,3),""))</f>
        <v/>
      </c>
      <c r="AM16" s="14" t="str">
        <f aca="false">IF(AG16=0,"",IF(AJ16="","",IF(AJ16=$H16,"Part-Time",IF(AJ16=$I16,"Full-Time","Casual"))))</f>
        <v/>
      </c>
      <c r="AN16" s="14" t="str">
        <f aca="false">IF(AG16=0,"",IF(AK16="","",IF(AK16=$H16,"Part-Time",IF(AK16=$I16,"Full-Time","Casual"))))</f>
        <v/>
      </c>
      <c r="AO16" s="14" t="str">
        <f aca="false">IF(AG16=0,"",IF(AL16="","",IF(AL16=$H16,"Part-Time",IF(AL16=$I16,"Full-Time","Casual"))))</f>
        <v/>
      </c>
      <c r="AP16" s="14" t="str">
        <f aca="false">IF(AG16=0,"",IF(AI16=0,IF(OR(ISNUMBER(SEARCH("full",$C16)),UPPER(TRIM($C16))="FT",UPPER(TRIM($C16))="FTE"),"FT",IF(AND(OR(ISNUMBER(SEARCH("part",$C16)),UPPER(TRIM($C16))="PT",UPPER(TRIM($C16))="PTE"),OR($P16="",N($P16)&gt;=PT_MinHours)),"PT","None")),IF(OR(ISNUMBER(SEARCH("full",AM16)),UPPER(TRIM(AM16))="FT",UPPER(TRIM(AM16))="FTE"),"FT",IF(AND(OR(ISNUMBER(SEARCH("part",AM16)),UPPER(TRIM(AM16))="PT",UPPER(TRIM(AM16))="PTE"),OR($P16="",N($P16)&gt;=PT_MinHours)),"PT","None"))))</f>
        <v/>
      </c>
      <c r="AQ16" s="14" t="str">
        <f aca="false">IF(AG16=0,"",IF(AI16&lt;2,"",IF(OR(ISNUMBER(SEARCH("full",AN16)),UPPER(TRIM(AN16))="FT",UPPER(TRIM(AN16))="FTE"),"FT",IF(AND(OR(ISNUMBER(SEARCH("part",AN16)),UPPER(TRIM(AN16))="PT",UPPER(TRIM(AN16))="PTE"),OR($P16="",N($P16)&gt;=PT_MinHours)),"PT","None"))))</f>
        <v/>
      </c>
      <c r="AR16" s="14" t="str">
        <f aca="false">IF(AG16=0,"",IF(AI16&lt;3,"",IF(OR(ISNUMBER(SEARCH("full",AO16)),UPPER(TRIM(AO16))="FT",UPPER(TRIM(AO16))="FTE"),"FT",IF(AND(OR(ISNUMBER(SEARCH("part",AO16)),UPPER(TRIM(AO16))="PT",UPPER(TRIM(AO16))="PTE"),OR($P16="",N($P16)&gt;=PT_MinHours)),"PT","None"))))</f>
        <v/>
      </c>
      <c r="AS16" s="14" t="str">
        <f aca="false">IF(AG16=0,"",IF(AND(AI16&gt;=3,AL16&lt;=AsOfDate),AR16,IF(AND(AI16&gt;=2,AK16&lt;=AsOfDate),AQ16,AP16)))</f>
        <v/>
      </c>
      <c r="AT16" s="14" t="str">
        <f aca="false">IF(AG16=0,"",IF(AsOfDate&lt;AH16,-1,12*(YEAR(AsOfDate)-YEAR(AH16))+MONTH(AsOfDate)-MONTH(AH16)-IF(DAY(AsOfDate)&lt;MIN(DAY(AH16),DAY(EOMONTH(AsOfDate,0))),1,0)))</f>
        <v/>
      </c>
      <c r="AU16" s="14" t="str">
        <f aca="false">IF(AG16=0,"",IF(OR(AI16&lt;2,AK16&gt;AsOfDate),AT16,IF((AK16-1)&lt;AH16,-1,12*(YEAR((AK16-1))-YEAR(AH16))+MONTH((AK16-1))-MONTH(AH16)-IF(DAY((AK16-1))&lt;MIN(DAY(AH16),DAY(EOMONTH((AK16-1),0))),1,0))))</f>
        <v/>
      </c>
      <c r="AV16" s="14" t="str">
        <f aca="false">IF(AG16=0,"",IF(OR(AI16&lt;3,AL16&gt;AsOfDate),AT16,IF((AL16-1)&lt;AH16,-1,12*(YEAR((AL16-1))-YEAR(AH16))+MONTH((AL16-1))-MONTH(AH16)-IF(DAY((AL16-1))&lt;MIN(DAY(AH16),DAY(EOMONTH((AL16-1),0))),1,0))))</f>
        <v/>
      </c>
      <c r="AW16" s="14" t="str">
        <f aca="false">IF(AG16=0,"",IF(PFYDate&lt;AH16,-1,12*(YEAR(PFYDate)-YEAR(AH16))+MONTH(PFYDate)-MONTH(AH16)-IF(DAY(PFYDate)&lt;MIN(DAY(AH16),DAY(EOMONTH(PFYDate,0))),1,0)))</f>
        <v/>
      </c>
      <c r="AX16" s="14" t="str">
        <f aca="false">IF(AG16=0,"",IF(OR(AI16&lt;2,AK16&gt;PFYDate),AW16,IF((AK16-1)&lt;AH16,-1,12*(YEAR((AK16-1))-YEAR(AH16))+MONTH((AK16-1))-MONTH(AH16)-IF(DAY((AK16-1))&lt;MIN(DAY(AH16),DAY(EOMONTH((AK16-1),0))),1,0))))</f>
        <v/>
      </c>
      <c r="AY16" s="14" t="str">
        <f aca="false">IF(AG16=0,"",IF(OR(AI16&lt;3,AL16&gt;PFYDate),AW16,IF((AL16-1)&lt;AH16,-1,12*(YEAR((AL16-1))-YEAR(AH16))+MONTH((AL16-1))-MONTH(AH16)-IF(DAY((AL16-1))&lt;MIN(DAY(AH16),DAY(EOMONTH((AL16-1),0))),1,0))))</f>
        <v/>
      </c>
      <c r="AZ16" s="14" t="str">
        <f aca="false">IF(AG16=0,"",IF(AP16="FT",IF(AU16&lt;FT_First,0,IF(AU16&lt;FT_Y5,1+INT((AU16-FT_First)/FT_Int1),FT_PreY5+FT_PerYear*INT((AU16-FT_Y5)/12)+FT_AnnivDays+INT(MOD(AU16-FT_Y5,12)/FT_Int2))),IF(AP16="PT",IF(AU16&lt;PT_First,0,1+INT((AU16-PT_First)/PT_Int)),0))+IF(AND(AI16&gt;=2,AK16&lt;=AsOfDate),IF(AQ16="FT",IF(AV16&lt;FT_First,0,IF(AV16&lt;FT_Y5,1+INT((AV16-FT_First)/FT_Int1),FT_PreY5+FT_PerYear*INT((AV16-FT_Y5)/12)+FT_AnnivDays+INT(MOD(AV16-FT_Y5,12)/FT_Int2))),IF(AQ16="PT",IF(AV16&lt;PT_First,0,1+INT((AV16-PT_First)/PT_Int)),0))-IF(AQ16="FT",IF(AU16&lt;FT_First,0,IF(AU16&lt;FT_Y5,1+INT((AU16-FT_First)/FT_Int1),FT_PreY5+FT_PerYear*INT((AU16-FT_Y5)/12)+FT_AnnivDays+INT(MOD(AU16-FT_Y5,12)/FT_Int2))),IF(AQ16="PT",IF(AU16&lt;PT_First,0,1+INT((AU16-PT_First)/PT_Int)),0)),0)+IF(AND(AI16&gt;=3,AL16&lt;=AsOfDate),IF(AR16="FT",IF(AT16&lt;FT_First,0,IF(AT16&lt;FT_Y5,1+INT((AT16-FT_First)/FT_Int1),FT_PreY5+FT_PerYear*INT((AT16-FT_Y5)/12)+FT_AnnivDays+INT(MOD(AT16-FT_Y5,12)/FT_Int2))),IF(AR16="PT",IF(AT16&lt;PT_First,0,1+INT((AT16-PT_First)/PT_Int)),0))-IF(AR16="FT",IF(AV16&lt;FT_First,0,IF(AV16&lt;FT_Y5,1+INT((AV16-FT_First)/FT_Int1),FT_PreY5+FT_PerYear*INT((AV16-FT_Y5)/12)+FT_AnnivDays+INT(MOD(AV16-FT_Y5,12)/FT_Int2))),IF(AR16="PT",IF(AV16&lt;PT_First,0,1+INT((AV16-PT_First)/PT_Int)),0)),0))</f>
        <v/>
      </c>
      <c r="BA16" s="14" t="str">
        <f aca="false">IF(AG16=0,"",IF(AP16="FT",IF(AX16&lt;FT_First,0,IF(AX16&lt;FT_Y5,1+INT((AX16-FT_First)/FT_Int1),FT_PreY5+FT_PerYear*INT((AX16-FT_Y5)/12)+FT_AnnivDays+INT(MOD(AX16-FT_Y5,12)/FT_Int2))),IF(AP16="PT",IF(AX16&lt;PT_First,0,1+INT((AX16-PT_First)/PT_Int)),0))+IF(AND(AI16&gt;=2,AK16&lt;=PFYDate),IF(AQ16="FT",IF(AY16&lt;FT_First,0,IF(AY16&lt;FT_Y5,1+INT((AY16-FT_First)/FT_Int1),FT_PreY5+FT_PerYear*INT((AY16-FT_Y5)/12)+FT_AnnivDays+INT(MOD(AY16-FT_Y5,12)/FT_Int2))),IF(AQ16="PT",IF(AY16&lt;PT_First,0,1+INT((AY16-PT_First)/PT_Int)),0))-IF(AQ16="FT",IF(AX16&lt;FT_First,0,IF(AX16&lt;FT_Y5,1+INT((AX16-FT_First)/FT_Int1),FT_PreY5+FT_PerYear*INT((AX16-FT_Y5)/12)+FT_AnnivDays+INT(MOD(AX16-FT_Y5,12)/FT_Int2))),IF(AQ16="PT",IF(AX16&lt;PT_First,0,1+INT((AX16-PT_First)/PT_Int)),0)),0)+IF(AND(AI16&gt;=3,AL16&lt;=PFYDate),IF(AR16="FT",IF(AW16&lt;FT_First,0,IF(AW16&lt;FT_Y5,1+INT((AW16-FT_First)/FT_Int1),FT_PreY5+FT_PerYear*INT((AW16-FT_Y5)/12)+FT_AnnivDays+INT(MOD(AW16-FT_Y5,12)/FT_Int2))),IF(AR16="PT",IF(AW16&lt;PT_First,0,1+INT((AW16-PT_First)/PT_Int)),0))-IF(AR16="FT",IF(AY16&lt;FT_First,0,IF(AY16&lt;FT_Y5,1+INT((AY16-FT_First)/FT_Int1),FT_PreY5+FT_PerYear*INT((AY16-FT_Y5)/12)+FT_AnnivDays+INT(MOD(AY16-FT_Y5,12)/FT_Int2))),IF(AR16="PT",IF(AY16&lt;PT_First,0,1+INT((AY16-PT_First)/PT_Int)),0)),0))</f>
        <v/>
      </c>
      <c r="BB16" s="14" t="str">
        <f aca="false">IF(AG16=0,"",IF(AS16="FT",IF(AT16&lt;FT_First,FT_First,IF(AT16&lt;FT_Y5,MIN(FT_Y5,FT_First+FT_Int1*(INT((AT16-FT_First)/FT_Int1)+1)),FT_Y5+12*INT((AT16-FT_Y5)/12)+FT_Int2*(INT(MOD(AT16-FT_Y5,12)/FT_Int2)+1))),IF(AS16="PT",IF(AT16&lt;PT_First,PT_First,PT_First+PT_Int*(INT((AT16-PT_First)/PT_Int)+1)),"")))</f>
        <v/>
      </c>
      <c r="BC16" s="14" t="str">
        <f aca="false">IF(AG16=0,"",IF(NOT(LH_Ready),0,COUNTIFS(INDEX(LH_Data,0,LH_ColFirst),$A16,INDEX(LH_Data,0,LH_ColSur),$B16,INDEX(LH_Data,0,LH_ColCat),BonusCat)))</f>
        <v/>
      </c>
      <c r="BD16" s="14" t="str">
        <f aca="false">IF(AG16=0,"",IF(OR(NOT(LH_Ready),BC16=0),0,SUMPRODUCT(MAX((INDEX(LH_Data,0,LH_ColFirst)=$A16)*(INDEX(LH_Data,0,LH_ColSur)=$B16)*(INDEX(LH_Data,0,LH_ColCat)=BonusCat)*ROW(LH_Data)))))</f>
        <v/>
      </c>
      <c r="BE16" s="14" t="str">
        <f aca="false">IF(AG16=0,"",IF(EOMONTH(AsOfDate,-1)&lt;AH16,-1,12*(YEAR(EOMONTH(AsOfDate,-1))-YEAR(AH16))+MONTH(EOMONTH(AsOfDate,-1))-MONTH(AH16)-IF(DAY(EOMONTH(AsOfDate,-1))&lt;MIN(DAY(AH16),DAY(EOMONTH(EOMONTH(AsOfDate,-1),0))),1,0)))</f>
        <v/>
      </c>
      <c r="BF16" s="14" t="str">
        <f aca="false">IF(AG16=0,"",IF(OR(AI16&lt;2,AK16&gt;EOMONTH(AsOfDate,-1)),BE16,IF((AK16-1)&lt;AH16,-1,12*(YEAR((AK16-1))-YEAR(AH16))+MONTH((AK16-1))-MONTH(AH16)-IF(DAY((AK16-1))&lt;MIN(DAY(AH16),DAY(EOMONTH((AK16-1),0))),1,0))))</f>
        <v/>
      </c>
      <c r="BG16" s="14" t="str">
        <f aca="false">IF(AG16=0,"",IF(OR(AI16&lt;3,AL16&gt;EOMONTH(AsOfDate,-1)),BE16,IF((AL16-1)&lt;AH16,-1,12*(YEAR((AL16-1))-YEAR(AH16))+MONTH((AL16-1))-MONTH(AH16)-IF(DAY((AL16-1))&lt;MIN(DAY(AH16),DAY(EOMONTH((AL16-1),0))),1,0))))</f>
        <v/>
      </c>
      <c r="BH16" s="14" t="str">
        <f aca="false">IF(AG16=0,"",IF(AP16="FT",IF(BF16&lt;FT_First,0,IF(BF16&lt;FT_Y5,1+INT((BF16-FT_First)/FT_Int1),FT_PreY5+FT_PerYear*INT((BF16-FT_Y5)/12)+FT_AnnivDays+INT(MOD(BF16-FT_Y5,12)/FT_Int2))),IF(AP16="PT",IF(BF16&lt;PT_First,0,1+INT((BF16-PT_First)/PT_Int)),0))+IF(AND(AI16&gt;=2,AK16&lt;=EOMONTH(AsOfDate,-1)),IF(AQ16="FT",IF(BG16&lt;FT_First,0,IF(BG16&lt;FT_Y5,1+INT((BG16-FT_First)/FT_Int1),FT_PreY5+FT_PerYear*INT((BG16-FT_Y5)/12)+FT_AnnivDays+INT(MOD(BG16-FT_Y5,12)/FT_Int2))),IF(AQ16="PT",IF(BG16&lt;PT_First,0,1+INT((BG16-PT_First)/PT_Int)),0))-IF(AQ16="FT",IF(BF16&lt;FT_First,0,IF(BF16&lt;FT_Y5,1+INT((BF16-FT_First)/FT_Int1),FT_PreY5+FT_PerYear*INT((BF16-FT_Y5)/12)+FT_AnnivDays+INT(MOD(BF16-FT_Y5,12)/FT_Int2))),IF(AQ16="PT",IF(BF16&lt;PT_First,0,1+INT((BF16-PT_First)/PT_Int)),0)),0)+IF(AND(AI16&gt;=3,AL16&lt;=EOMONTH(AsOfDate,-1)),IF(AR16="FT",IF(BE16&lt;FT_First,0,IF(BE16&lt;FT_Y5,1+INT((BE16-FT_First)/FT_Int1),FT_PreY5+FT_PerYear*INT((BE16-FT_Y5)/12)+FT_AnnivDays+INT(MOD(BE16-FT_Y5,12)/FT_Int2))),IF(AR16="PT",IF(BE16&lt;PT_First,0,1+INT((BE16-PT_First)/PT_Int)),0))-IF(AR16="FT",IF(BG16&lt;FT_First,0,IF(BG16&lt;FT_Y5,1+INT((BG16-FT_First)/FT_Int1),FT_PreY5+FT_PerYear*INT((BG16-FT_Y5)/12)+FT_AnnivDays+INT(MOD(BG16-FT_Y5,12)/FT_Int2))),IF(AR16="PT",IF(BG16&lt;PT_First,0,1+INT((BG16-PT_First)/PT_Int)),0)),0))</f>
        <v/>
      </c>
      <c r="BI16" s="14" t="str">
        <f aca="false">IF(AG16=0,"",IF(AS16="FT",IF(AT16&lt;FT_First,"",IF(AT16&lt;FT_Y5,FT_First+FT_Int1*INT((AT16-FT_First)/FT_Int1),FT_Y5+FT_Int2*INT((AT16-FT_Y5)/FT_Int2))),IF(AS16="PT",IF(AT16&lt;PT_First,"",PT_First+PT_Int*INT((AT16-PT_First)/PT_Int)),"")))</f>
        <v/>
      </c>
      <c r="BJ16" s="0" t="str">
        <f aca="false">IF(LEN($A16&amp;$B16)=0,"",$A16&amp;" "&amp;$B16)</f>
        <v/>
      </c>
    </row>
    <row r="17" customFormat="false" ht="15" hidden="false" customHeight="false" outlineLevel="0" collapsed="false">
      <c r="A17" s="10"/>
      <c r="B17" s="10"/>
      <c r="C17" s="10"/>
      <c r="D17" s="11"/>
      <c r="E17" s="12" t="str">
        <f aca="false">IF(OR(AG17=0,$D17=""),"",DATE(YEAR(AsOfDate)+IF(DATE(YEAR(AsOfDate),MONTH($D17),DAY($D17))&lt;=AsOfDate,1,0),MONTH($D17),DAY($D17)))</f>
        <v/>
      </c>
      <c r="F17" s="11"/>
      <c r="G17" s="11"/>
      <c r="H17" s="11"/>
      <c r="I17" s="11"/>
      <c r="J17" s="11"/>
      <c r="K17" s="12" t="str">
        <f aca="false">IF(AG17=0,"",DATE(YEAR(AsOfDate)+IF(DATE(YEAR(AsOfDate),MONTH(AH17),DAY(AH17))&lt;=AsOfDate,1,0),MONTH(AH17),DAY(AH17)))</f>
        <v/>
      </c>
      <c r="L17" s="13" t="str">
        <f aca="false">IF(AG17=0,"",ROUND((AsOfDate-AH17)/365.25,1))</f>
        <v/>
      </c>
      <c r="M17" s="14" t="str">
        <f aca="false">IF(AG17=0,"",IF(AsOfDate&lt;AH17,"-",DATEDIF(AH17,AsOfDate,"y")&amp;"y "&amp;DATEDIF(AH17,AsOfDate,"ym")&amp;"m "&amp;DATEDIF(AH17,AsOfDate,"md")&amp;"d"))</f>
        <v/>
      </c>
      <c r="N17" s="15" t="str">
        <f aca="false">IF(AG17=0,"",O17*HoursPerDay)</f>
        <v/>
      </c>
      <c r="O17" s="15" t="str">
        <f aca="false">IF(AG17=0,"",AZ17)</f>
        <v/>
      </c>
      <c r="P17" s="16"/>
      <c r="Q17" s="14" t="str">
        <f aca="false">IF(AG17=0,"",IF(AI17&lt;2,"",AM17&amp;" to "&amp;AN17&amp;" on "&amp;TEXT(AK17,"dd/mm/yyyy")&amp;IF(AK17&gt;AsOfDate," (future)",IF(AP17=AQ17,"",IF(AQ17="None"," - STOPPED accruing",IF(AP17="None"," - commencement for Bonus Leave"," - pathway changed"))))&amp;IF(AI17&lt;3,"","; "&amp;AN17&amp;" to "&amp;AO17&amp;" on "&amp;TEXT(AL17,"dd/mm/yyyy")&amp;IF(AL17&gt;AsOfDate," (future)",IF(AQ17=AR17,"",IF(AR17="None"," - STOPPED accruing",IF(AQ17="None"," - commencement for Bonus Leave"," - pathway changed")))))))</f>
        <v/>
      </c>
      <c r="R17" s="14" t="str">
        <f aca="false">IF(AG17=0,"",IF(AS17="None",IF(O17&gt;0,"No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2" t="str">
        <f aca="false">IF(AG17=0,"",IF(AS17="None","",EDATE(AH17,BB17)))</f>
        <v/>
      </c>
      <c r="T17" s="15" t="str">
        <f aca="false">IF(AG17=0,"",IF(NOT(LH_Ready),"",IF(AH17&gt;PFYDate,0,IF(LH_ColPeriod=0,W17-U17+V17,SUMIFS(INDEX(LH_Data,0,LH_ColAcc),INDEX(LH_Data,0,LH_ColFirst),$A17,INDEX(LH_Data,0,LH_ColSur),$B17,INDEX(LH_Data,0,LH_ColCat),BonusCat,INDEX(LH_Data,0,LH_ColPeriod),LH_OpenLabel)*UnitFactor))))</f>
        <v/>
      </c>
      <c r="U17" s="15" t="str">
        <f aca="false">IF(AG17=0,"",IF(NOT(LH_Ready),"",SUMIFS(INDEX(LH_Data,0,LH_ColAcc),INDEX(LH_Data,0,LH_ColFirst),$A17,INDEX(LH_Data,0,LH_ColSur),$B17,INDEX(LH_Data,0,LH_ColCat),BonusCat,INDEX(LH_Data,0,LH_ColStart),"&gt;="&amp;AH17)*UnitFactor))</f>
        <v/>
      </c>
      <c r="V17" s="15" t="str">
        <f aca="false">IF(AG17=0,"",IF(NOT(LH_Ready),"",SUMIFS(INDEX(LH_Data,0,LH_ColTaken),INDEX(LH_Data,0,LH_ColFirst),$A17,INDEX(LH_Data,0,LH_ColSur),$B17,INDEX(LH_Data,0,LH_ColCat),BonusCat,INDEX(LH_Data,0,LH_ColStart),"&gt;="&amp;AH17)*UnitFactor))</f>
        <v/>
      </c>
      <c r="W17" s="15" t="str">
        <f aca="false">IF(AG17=0,"",IF(NOT(LH_Ready),"",IF(BD17=0,0,INDEX(INDEX(LH_Data,0,LH_ColClose),BD17-1)*UnitFactor)))</f>
        <v/>
      </c>
      <c r="X17" s="15" t="str">
        <f aca="false">IF(AG17=0,"",(AZ17-BA17)*HoursPerDay)</f>
        <v/>
      </c>
      <c r="Y17" s="15" t="str">
        <f aca="false">IF(AG17=0,"",IF(NOT(LH_Ready),"",IF(BC17=0,N17,IF(PFYDate&lt;$F17,N17-N(T17)-N(U17),X17-N(U17)))))</f>
        <v/>
      </c>
      <c r="Z17" s="14" t="str">
        <f aca="false">IF(OR(AG17=0,Y17=""),"",IF(Y17&gt;0,"Yes","No"))</f>
        <v/>
      </c>
      <c r="AA17" s="14" t="str">
        <f aca="false">IF(AG17=0,IF(LEN($A17&amp;$B17)=0,"","FIX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month")&amp;IF(BC17=0,";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EH)",""),IF(AS17="None",R17,"Not yet - first day on "&amp;TEXT(S17,"dd/mm/yyyy")))))))))</f>
        <v/>
      </c>
      <c r="AB17" s="15" t="str">
        <f aca="false">IF(OR(AG17=0,T17=""),"",BA17*HoursPerDay-T17)</f>
        <v/>
      </c>
      <c r="AC17" s="14" t="str">
        <f aca="false">IF(AG17=0,"",BC17)</f>
        <v/>
      </c>
      <c r="AD17" s="14" t="str">
        <f aca="false">IF(AG17=0,"",TRIM(IF(OR(ISTEXT($F17),ISTEXT($H17),ISTEXT($I17),ISTEXT($G17),ISTEXT($J17),ISTEXT($D17)),"A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I17&gt;=1,IF(AI17&gt;=3,AO17,IF(AI17=2,AN17,AM17))&lt;&gt;IF($C17="","",IF(OR(ISNUMBER(SEARCH("full",$C17)),UPPER(TRIM($C17))="FT",UPPER(TRIM($C17))="FTE"),"Full-Time",IF(OR(ISNUMBER(SEARCH("part",$C17)),UPPER(TRIM($C17))="PT",UPPER(TRIM($C17))="PTE"),"Part-Time",IF(OR(ISNUMBER(SEARCH("cas",$C17)),UPPER(TRIM($C17))="CAS"),"Casual","Unknown"))))),"EmploymentType does not match latest start date ("&amp;IF(AI17&gt;=3,AO17,IF(AI17=2,AN17,AM17))&amp;"). ","")&amp;IF(AND(AI17&gt;=1,AJ17&lt;&gt;$F17),"Earliest type date should equal StartDate. ","")&amp;IF(AND(AI17&gt;=2,AJ17=AK17),"Two types start on the same date. ","")&amp;IF(AND(OR(ISNUMBER(SEARCH("part",$C17)),UPPER(TRIM($C17))="PT",UPPER(TRIM($C17))="PTE"),$P17=""),"Part-time: enter PT Hrs/Week (blank = 24+). ","")))</f>
        <v/>
      </c>
      <c r="AE17" s="15" t="str">
        <f aca="false">IF(AG17=0,"",O17-BH17)</f>
        <v/>
      </c>
      <c r="AF17" s="12" t="str">
        <f aca="false">IF(OR(AG17=0,AE17="",N(AE17)=0,BI17=""),"",EDATE(AH17,BI17))</f>
        <v/>
      </c>
      <c r="AG17" s="14" t="n">
        <f aca="false">IF(OR(LEN($A17&amp;$B17)=0,$F17=""),0,1)</f>
        <v>0</v>
      </c>
      <c r="AH17" s="12" t="str">
        <f aca="false">IF(AG17=0,"",IF($J17&lt;&gt;"",$J17,IF(OR(CasualCounts="Yes",COUNT($G17:$I17)=0,COUNT($H17:$I17)=0),$F17,MIN($H17:$I17))))</f>
        <v/>
      </c>
      <c r="AI17" s="14" t="str">
        <f aca="false">IF(AG17=0,"",COUNT($G17:$I17))</f>
        <v/>
      </c>
      <c r="AJ17" s="12" t="str">
        <f aca="false">IF(AG17=0,"",IFERROR(SMALL($G17:$I17,1),""))</f>
        <v/>
      </c>
      <c r="AK17" s="12" t="str">
        <f aca="false">IF(AG17=0,"",IFERROR(SMALL($G17:$I17,2),""))</f>
        <v/>
      </c>
      <c r="AL17" s="12" t="str">
        <f aca="false">IF(AG17=0,"",IFERROR(SMALL($G17:$I17,3),""))</f>
        <v/>
      </c>
      <c r="AM17" s="14" t="str">
        <f aca="false">IF(AG17=0,"",IF(AJ17="","",IF(AJ17=$H17,"Part-Time",IF(AJ17=$I17,"Full-Time","Casual"))))</f>
        <v/>
      </c>
      <c r="AN17" s="14" t="str">
        <f aca="false">IF(AG17=0,"",IF(AK17="","",IF(AK17=$H17,"Part-Time",IF(AK17=$I17,"Full-Time","Casual"))))</f>
        <v/>
      </c>
      <c r="AO17" s="14" t="str">
        <f aca="false">IF(AG17=0,"",IF(AL17="","",IF(AL17=$H17,"Part-Time",IF(AL17=$I17,"Full-Time","Casual"))))</f>
        <v/>
      </c>
      <c r="AP17" s="14" t="str">
        <f aca="false">IF(AG17=0,"",IF(AI17=0,IF(OR(ISNUMBER(SEARCH("full",$C17)),UPPER(TRIM($C17))="FT",UPPER(TRIM($C17))="FTE"),"FT",IF(AND(OR(ISNUMBER(SEARCH("part",$C17)),UPPER(TRIM($C17))="PT",UPPER(TRIM($C17))="PTE"),OR($P17="",N($P17)&gt;=PT_MinHours)),"PT","None")),IF(OR(ISNUMBER(SEARCH("full",AM17)),UPPER(TRIM(AM17))="FT",UPPER(TRIM(AM17))="FTE"),"FT",IF(AND(OR(ISNUMBER(SEARCH("part",AM17)),UPPER(TRIM(AM17))="PT",UPPER(TRIM(AM17))="PTE"),OR($P17="",N($P17)&gt;=PT_MinHours)),"PT","None"))))</f>
        <v/>
      </c>
      <c r="AQ17" s="14" t="str">
        <f aca="false">IF(AG17=0,"",IF(AI17&lt;2,"",IF(OR(ISNUMBER(SEARCH("full",AN17)),UPPER(TRIM(AN17))="FT",UPPER(TRIM(AN17))="FTE"),"FT",IF(AND(OR(ISNUMBER(SEARCH("part",AN17)),UPPER(TRIM(AN17))="PT",UPPER(TRIM(AN17))="PTE"),OR($P17="",N($P17)&gt;=PT_MinHours)),"PT","None"))))</f>
        <v/>
      </c>
      <c r="AR17" s="14" t="str">
        <f aca="false">IF(AG17=0,"",IF(AI17&lt;3,"",IF(OR(ISNUMBER(SEARCH("full",AO17)),UPPER(TRIM(AO17))="FT",UPPER(TRIM(AO17))="FTE"),"FT",IF(AND(OR(ISNUMBER(SEARCH("part",AO17)),UPPER(TRIM(AO17))="PT",UPPER(TRIM(AO17))="PTE"),OR($P17="",N($P17)&gt;=PT_MinHours)),"PT","None"))))</f>
        <v/>
      </c>
      <c r="AS17" s="14" t="str">
        <f aca="false">IF(AG17=0,"",IF(AND(AI17&gt;=3,AL17&lt;=AsOfDate),AR17,IF(AND(AI17&gt;=2,AK17&lt;=AsOfDate),AQ17,AP17)))</f>
        <v/>
      </c>
      <c r="AT17" s="14" t="str">
        <f aca="false">IF(AG17=0,"",IF(AsOfDate&lt;AH17,-1,12*(YEAR(AsOfDate)-YEAR(AH17))+MONTH(AsOfDate)-MONTH(AH17)-IF(DAY(AsOfDate)&lt;MIN(DAY(AH17),DAY(EOMONTH(AsOfDate,0))),1,0)))</f>
        <v/>
      </c>
      <c r="AU17" s="14" t="str">
        <f aca="false">IF(AG17=0,"",IF(OR(AI17&lt;2,AK17&gt;AsOfDate),AT17,IF((AK17-1)&lt;AH17,-1,12*(YEAR((AK17-1))-YEAR(AH17))+MONTH((AK17-1))-MONTH(AH17)-IF(DAY((AK17-1))&lt;MIN(DAY(AH17),DAY(EOMONTH((AK17-1),0))),1,0))))</f>
        <v/>
      </c>
      <c r="AV17" s="14" t="str">
        <f aca="false">IF(AG17=0,"",IF(OR(AI17&lt;3,AL17&gt;AsOfDate),AT17,IF((AL17-1)&lt;AH17,-1,12*(YEAR((AL17-1))-YEAR(AH17))+MONTH((AL17-1))-MONTH(AH17)-IF(DAY((AL17-1))&lt;MIN(DAY(AH17),DAY(EOMONTH((AL17-1),0))),1,0))))</f>
        <v/>
      </c>
      <c r="AW17" s="14" t="str">
        <f aca="false">IF(AG17=0,"",IF(PFYDate&lt;AH17,-1,12*(YEAR(PFYDate)-YEAR(AH17))+MONTH(PFYDate)-MONTH(AH17)-IF(DAY(PFYDate)&lt;MIN(DAY(AH17),DAY(EOMONTH(PFYDate,0))),1,0)))</f>
        <v/>
      </c>
      <c r="AX17" s="14" t="str">
        <f aca="false">IF(AG17=0,"",IF(OR(AI17&lt;2,AK17&gt;PFYDate),AW17,IF((AK17-1)&lt;AH17,-1,12*(YEAR((AK17-1))-YEAR(AH17))+MONTH((AK17-1))-MONTH(AH17)-IF(DAY((AK17-1))&lt;MIN(DAY(AH17),DAY(EOMONTH((AK17-1),0))),1,0))))</f>
        <v/>
      </c>
      <c r="AY17" s="14" t="str">
        <f aca="false">IF(AG17=0,"",IF(OR(AI17&lt;3,AL17&gt;PFYDate),AW17,IF((AL17-1)&lt;AH17,-1,12*(YEAR((AL17-1))-YEAR(AH17))+MONTH((AL17-1))-MONTH(AH17)-IF(DAY((AL17-1))&lt;MIN(DAY(AH17),DAY(EOMONTH((AL17-1),0))),1,0))))</f>
        <v/>
      </c>
      <c r="AZ17" s="14" t="str">
        <f aca="false">IF(AG17=0,"",IF(AP17="FT",IF(AU17&lt;FT_First,0,IF(AU17&lt;FT_Y5,1+INT((AU17-FT_First)/FT_Int1),FT_PreY5+FT_PerYear*INT((AU17-FT_Y5)/12)+FT_AnnivDays+INT(MOD(AU17-FT_Y5,12)/FT_Int2))),IF(AP17="PT",IF(AU17&lt;PT_First,0,1+INT((AU17-PT_First)/PT_Int)),0))+IF(AND(AI17&gt;=2,AK17&lt;=AsOfDate),IF(AQ17="FT",IF(AV17&lt;FT_First,0,IF(AV17&lt;FT_Y5,1+INT((AV17-FT_First)/FT_Int1),FT_PreY5+FT_PerYear*INT((AV17-FT_Y5)/12)+FT_AnnivDays+INT(MOD(AV17-FT_Y5,12)/FT_Int2))),IF(AQ17="PT",IF(AV17&lt;PT_First,0,1+INT((AV17-PT_First)/PT_Int)),0))-IF(AQ17="FT",IF(AU17&lt;FT_First,0,IF(AU17&lt;FT_Y5,1+INT((AU17-FT_First)/FT_Int1),FT_PreY5+FT_PerYear*INT((AU17-FT_Y5)/12)+FT_AnnivDays+INT(MOD(AU17-FT_Y5,12)/FT_Int2))),IF(AQ17="PT",IF(AU17&lt;PT_First,0,1+INT((AU17-PT_First)/PT_Int)),0)),0)+IF(AND(AI17&gt;=3,AL17&lt;=AsOfDate),IF(AR17="FT",IF(AT17&lt;FT_First,0,IF(AT17&lt;FT_Y5,1+INT((AT17-FT_First)/FT_Int1),FT_PreY5+FT_PerYear*INT((AT17-FT_Y5)/12)+FT_AnnivDays+INT(MOD(AT17-FT_Y5,12)/FT_Int2))),IF(AR17="PT",IF(AT17&lt;PT_First,0,1+INT((AT17-PT_First)/PT_Int)),0))-IF(AR17="FT",IF(AV17&lt;FT_First,0,IF(AV17&lt;FT_Y5,1+INT((AV17-FT_First)/FT_Int1),FT_PreY5+FT_PerYear*INT((AV17-FT_Y5)/12)+FT_AnnivDays+INT(MOD(AV17-FT_Y5,12)/FT_Int2))),IF(AR17="PT",IF(AV17&lt;PT_First,0,1+INT((AV17-PT_First)/PT_Int)),0)),0))</f>
        <v/>
      </c>
      <c r="BA17" s="14" t="str">
        <f aca="false">IF(AG17=0,"",IF(AP17="FT",IF(AX17&lt;FT_First,0,IF(AX17&lt;FT_Y5,1+INT((AX17-FT_First)/FT_Int1),FT_PreY5+FT_PerYear*INT((AX17-FT_Y5)/12)+FT_AnnivDays+INT(MOD(AX17-FT_Y5,12)/FT_Int2))),IF(AP17="PT",IF(AX17&lt;PT_First,0,1+INT((AX17-PT_First)/PT_Int)),0))+IF(AND(AI17&gt;=2,AK17&lt;=PFYDate),IF(AQ17="FT",IF(AY17&lt;FT_First,0,IF(AY17&lt;FT_Y5,1+INT((AY17-FT_First)/FT_Int1),FT_PreY5+FT_PerYear*INT((AY17-FT_Y5)/12)+FT_AnnivDays+INT(MOD(AY17-FT_Y5,12)/FT_Int2))),IF(AQ17="PT",IF(AY17&lt;PT_First,0,1+INT((AY17-PT_First)/PT_Int)),0))-IF(AQ17="FT",IF(AX17&lt;FT_First,0,IF(AX17&lt;FT_Y5,1+INT((AX17-FT_First)/FT_Int1),FT_PreY5+FT_PerYear*INT((AX17-FT_Y5)/12)+FT_AnnivDays+INT(MOD(AX17-FT_Y5,12)/FT_Int2))),IF(AQ17="PT",IF(AX17&lt;PT_First,0,1+INT((AX17-PT_First)/PT_Int)),0)),0)+IF(AND(AI17&gt;=3,AL17&lt;=PFYDate),IF(AR17="FT",IF(AW17&lt;FT_First,0,IF(AW17&lt;FT_Y5,1+INT((AW17-FT_First)/FT_Int1),FT_PreY5+FT_PerYear*INT((AW17-FT_Y5)/12)+FT_AnnivDays+INT(MOD(AW17-FT_Y5,12)/FT_Int2))),IF(AR17="PT",IF(AW17&lt;PT_First,0,1+INT((AW17-PT_First)/PT_Int)),0))-IF(AR17="FT",IF(AY17&lt;FT_First,0,IF(AY17&lt;FT_Y5,1+INT((AY17-FT_First)/FT_Int1),FT_PreY5+FT_PerYear*INT((AY17-FT_Y5)/12)+FT_AnnivDays+INT(MOD(AY17-FT_Y5,12)/FT_Int2))),IF(AR17="PT",IF(AY17&lt;PT_First,0,1+INT((AY17-PT_First)/PT_Int)),0)),0))</f>
        <v/>
      </c>
      <c r="BB17" s="14" t="str">
        <f aca="false">IF(AG17=0,"",IF(AS17="FT",IF(AT17&lt;FT_First,FT_First,IF(AT17&lt;FT_Y5,MIN(FT_Y5,FT_First+FT_Int1*(INT((AT17-FT_First)/FT_Int1)+1)),FT_Y5+12*INT((AT17-FT_Y5)/12)+FT_Int2*(INT(MOD(AT17-FT_Y5,12)/FT_Int2)+1))),IF(AS17="PT",IF(AT17&lt;PT_First,PT_First,PT_First+PT_Int*(INT((AT17-PT_First)/PT_Int)+1)),"")))</f>
        <v/>
      </c>
      <c r="BC17" s="14" t="str">
        <f aca="false">IF(AG17=0,"",IF(NOT(LH_Ready),0,COUNTIFS(INDEX(LH_Data,0,LH_ColFirst),$A17,INDEX(LH_Data,0,LH_ColSur),$B17,INDEX(LH_Data,0,LH_ColCat),BonusCat)))</f>
        <v/>
      </c>
      <c r="BD17" s="14" t="str">
        <f aca="false">IF(AG17=0,"",IF(OR(NOT(LH_Ready),BC17=0),0,SUMPRODUCT(MAX((INDEX(LH_Data,0,LH_ColFirst)=$A17)*(INDEX(LH_Data,0,LH_ColSur)=$B17)*(INDEX(LH_Data,0,LH_ColCat)=BonusCat)*ROW(LH_Data)))))</f>
        <v/>
      </c>
      <c r="BE17" s="14" t="str">
        <f aca="false">IF(AG17=0,"",IF(EOMONTH(AsOfDate,-1)&lt;AH17,-1,12*(YEAR(EOMONTH(AsOfDate,-1))-YEAR(AH17))+MONTH(EOMONTH(AsOfDate,-1))-MONTH(AH17)-IF(DAY(EOMONTH(AsOfDate,-1))&lt;MIN(DAY(AH17),DAY(EOMONTH(EOMONTH(AsOfDate,-1),0))),1,0)))</f>
        <v/>
      </c>
      <c r="BF17" s="14" t="str">
        <f aca="false">IF(AG17=0,"",IF(OR(AI17&lt;2,AK17&gt;EOMONTH(AsOfDate,-1)),BE17,IF((AK17-1)&lt;AH17,-1,12*(YEAR((AK17-1))-YEAR(AH17))+MONTH((AK17-1))-MONTH(AH17)-IF(DAY((AK17-1))&lt;MIN(DAY(AH17),DAY(EOMONTH((AK17-1),0))),1,0))))</f>
        <v/>
      </c>
      <c r="BG17" s="14" t="str">
        <f aca="false">IF(AG17=0,"",IF(OR(AI17&lt;3,AL17&gt;EOMONTH(AsOfDate,-1)),BE17,IF((AL17-1)&lt;AH17,-1,12*(YEAR((AL17-1))-YEAR(AH17))+MONTH((AL17-1))-MONTH(AH17)-IF(DAY((AL17-1))&lt;MIN(DAY(AH17),DAY(EOMONTH((AL17-1),0))),1,0))))</f>
        <v/>
      </c>
      <c r="BH17" s="14" t="str">
        <f aca="false">IF(AG17=0,"",IF(AP17="FT",IF(BF17&lt;FT_First,0,IF(BF17&lt;FT_Y5,1+INT((BF17-FT_First)/FT_Int1),FT_PreY5+FT_PerYear*INT((BF17-FT_Y5)/12)+FT_AnnivDays+INT(MOD(BF17-FT_Y5,12)/FT_Int2))),IF(AP17="PT",IF(BF17&lt;PT_First,0,1+INT((BF17-PT_First)/PT_Int)),0))+IF(AND(AI17&gt;=2,AK17&lt;=EOMONTH(AsOfDate,-1)),IF(AQ17="FT",IF(BG17&lt;FT_First,0,IF(BG17&lt;FT_Y5,1+INT((BG17-FT_First)/FT_Int1),FT_PreY5+FT_PerYear*INT((BG17-FT_Y5)/12)+FT_AnnivDays+INT(MOD(BG17-FT_Y5,12)/FT_Int2))),IF(AQ17="PT",IF(BG17&lt;PT_First,0,1+INT((BG17-PT_First)/PT_Int)),0))-IF(AQ17="FT",IF(BF17&lt;FT_First,0,IF(BF17&lt;FT_Y5,1+INT((BF17-FT_First)/FT_Int1),FT_PreY5+FT_PerYear*INT((BF17-FT_Y5)/12)+FT_AnnivDays+INT(MOD(BF17-FT_Y5,12)/FT_Int2))),IF(AQ17="PT",IF(BF17&lt;PT_First,0,1+INT((BF17-PT_First)/PT_Int)),0)),0)+IF(AND(AI17&gt;=3,AL17&lt;=EOMONTH(AsOfDate,-1)),IF(AR17="FT",IF(BE17&lt;FT_First,0,IF(BE17&lt;FT_Y5,1+INT((BE17-FT_First)/FT_Int1),FT_PreY5+FT_PerYear*INT((BE17-FT_Y5)/12)+FT_AnnivDays+INT(MOD(BE17-FT_Y5,12)/FT_Int2))),IF(AR17="PT",IF(BE17&lt;PT_First,0,1+INT((BE17-PT_First)/PT_Int)),0))-IF(AR17="FT",IF(BG17&lt;FT_First,0,IF(BG17&lt;FT_Y5,1+INT((BG17-FT_First)/FT_Int1),FT_PreY5+FT_PerYear*INT((BG17-FT_Y5)/12)+FT_AnnivDays+INT(MOD(BG17-FT_Y5,12)/FT_Int2))),IF(AR17="PT",IF(BG17&lt;PT_First,0,1+INT((BG17-PT_First)/PT_Int)),0)),0))</f>
        <v/>
      </c>
      <c r="BI17" s="14" t="str">
        <f aca="false">IF(AG17=0,"",IF(AS17="FT",IF(AT17&lt;FT_First,"",IF(AT17&lt;FT_Y5,FT_First+FT_Int1*INT((AT17-FT_First)/FT_Int1),FT_Y5+FT_Int2*INT((AT17-FT_Y5)/FT_Int2))),IF(AS17="PT",IF(AT17&lt;PT_First,"",PT_First+PT_Int*INT((AT17-PT_First)/PT_Int)),"")))</f>
        <v/>
      </c>
      <c r="BJ17" s="0" t="str">
        <f aca="false">IF(LEN($A17&amp;$B17)=0,"",$A17&amp;" "&amp;$B17)</f>
        <v/>
      </c>
    </row>
    <row r="18" customFormat="false" ht="15" hidden="false" customHeight="false" outlineLevel="0" collapsed="false">
      <c r="A18" s="10"/>
      <c r="B18" s="10"/>
      <c r="C18" s="10"/>
      <c r="D18" s="11"/>
      <c r="E18" s="12" t="str">
        <f aca="false">IF(OR(AG18=0,$D18=""),"",DATE(YEAR(AsOfDate)+IF(DATE(YEAR(AsOfDate),MONTH($D18),DAY($D18))&lt;=AsOfDate,1,0),MONTH($D18),DAY($D18)))</f>
        <v/>
      </c>
      <c r="F18" s="11"/>
      <c r="G18" s="11"/>
      <c r="H18" s="11"/>
      <c r="I18" s="11"/>
      <c r="J18" s="11"/>
      <c r="K18" s="12" t="str">
        <f aca="false">IF(AG18=0,"",DATE(YEAR(AsOfDate)+IF(DATE(YEAR(AsOfDate),MONTH(AH18),DAY(AH18))&lt;=AsOfDate,1,0),MONTH(AH18),DAY(AH18)))</f>
        <v/>
      </c>
      <c r="L18" s="13" t="str">
        <f aca="false">IF(AG18=0,"",ROUND((AsOfDate-AH18)/365.25,1))</f>
        <v/>
      </c>
      <c r="M18" s="14" t="str">
        <f aca="false">IF(AG18=0,"",IF(AsOfDate&lt;AH18,"-",DATEDIF(AH18,AsOfDate,"y")&amp;"y "&amp;DATEDIF(AH18,AsOfDate,"ym")&amp;"m "&amp;DATEDIF(AH18,AsOfDate,"md")&amp;"d"))</f>
        <v/>
      </c>
      <c r="N18" s="15" t="str">
        <f aca="false">IF(AG18=0,"",O18*HoursPerDay)</f>
        <v/>
      </c>
      <c r="O18" s="15" t="str">
        <f aca="false">IF(AG18=0,"",AZ18)</f>
        <v/>
      </c>
      <c r="P18" s="16"/>
      <c r="Q18" s="14" t="str">
        <f aca="false">IF(AG18=0,"",IF(AI18&lt;2,"",AM18&amp;" to "&amp;AN18&amp;" on "&amp;TEXT(AK18,"dd/mm/yyyy")&amp;IF(AK18&gt;AsOfDate," (future)",IF(AP18=AQ18,"",IF(AQ18="None"," - STOPPED accruing",IF(AP18="None"," - commencement for Bonus Leave"," - pathway changed"))))&amp;IF(AI18&lt;3,"","; "&amp;AN18&amp;" to "&amp;AO18&amp;" on "&amp;TEXT(AL18,"dd/mm/yyyy")&amp;IF(AL18&gt;AsOfDate," (future)",IF(AQ18=AR18,"",IF(AR18="None"," - STOPPED accruing",IF(AQ18="None"," - commencement for Bonus Leave"," - pathway changed")))))))</f>
        <v/>
      </c>
      <c r="R18" s="14" t="str">
        <f aca="false">IF(AG18=0,"",IF(AS18="None",IF(O18&gt;0,"No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2" t="str">
        <f aca="false">IF(AG18=0,"",IF(AS18="None","",EDATE(AH18,BB18)))</f>
        <v/>
      </c>
      <c r="T18" s="15" t="str">
        <f aca="false">IF(AG18=0,"",IF(NOT(LH_Ready),"",IF(AH18&gt;PFYDate,0,IF(LH_ColPeriod=0,W18-U18+V18,SUMIFS(INDEX(LH_Data,0,LH_ColAcc),INDEX(LH_Data,0,LH_ColFirst),$A18,INDEX(LH_Data,0,LH_ColSur),$B18,INDEX(LH_Data,0,LH_ColCat),BonusCat,INDEX(LH_Data,0,LH_ColPeriod),LH_OpenLabel)*UnitFactor))))</f>
        <v/>
      </c>
      <c r="U18" s="15" t="str">
        <f aca="false">IF(AG18=0,"",IF(NOT(LH_Ready),"",SUMIFS(INDEX(LH_Data,0,LH_ColAcc),INDEX(LH_Data,0,LH_ColFirst),$A18,INDEX(LH_Data,0,LH_ColSur),$B18,INDEX(LH_Data,0,LH_ColCat),BonusCat,INDEX(LH_Data,0,LH_ColStart),"&gt;="&amp;AH18)*UnitFactor))</f>
        <v/>
      </c>
      <c r="V18" s="15" t="str">
        <f aca="false">IF(AG18=0,"",IF(NOT(LH_Ready),"",SUMIFS(INDEX(LH_Data,0,LH_ColTaken),INDEX(LH_Data,0,LH_ColFirst),$A18,INDEX(LH_Data,0,LH_ColSur),$B18,INDEX(LH_Data,0,LH_ColCat),BonusCat,INDEX(LH_Data,0,LH_ColStart),"&gt;="&amp;AH18)*UnitFactor))</f>
        <v/>
      </c>
      <c r="W18" s="15" t="str">
        <f aca="false">IF(AG18=0,"",IF(NOT(LH_Ready),"",IF(BD18=0,0,INDEX(INDEX(LH_Data,0,LH_ColClose),BD18-1)*UnitFactor)))</f>
        <v/>
      </c>
      <c r="X18" s="15" t="str">
        <f aca="false">IF(AG18=0,"",(AZ18-BA18)*HoursPerDay)</f>
        <v/>
      </c>
      <c r="Y18" s="15" t="str">
        <f aca="false">IF(AG18=0,"",IF(NOT(LH_Ready),"",IF(BC18=0,N18,IF(PFYDate&lt;$F18,N18-N(T18)-N(U18),X18-N(U18)))))</f>
        <v/>
      </c>
      <c r="Z18" s="14" t="str">
        <f aca="false">IF(OR(AG18=0,Y18=""),"",IF(Y18&gt;0,"Yes","No"))</f>
        <v/>
      </c>
      <c r="AA18" s="14" t="str">
        <f aca="false">IF(AG18=0,IF(LEN($A18&amp;$B18)=0,"","FIX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month")&amp;IF(BC18=0,";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EH)",""),IF(AS18="None",R18,"Not yet - first day on "&amp;TEXT(S18,"dd/mm/yyyy")))))))))</f>
        <v/>
      </c>
      <c r="AB18" s="15" t="str">
        <f aca="false">IF(OR(AG18=0,T18=""),"",BA18*HoursPerDay-T18)</f>
        <v/>
      </c>
      <c r="AC18" s="14" t="str">
        <f aca="false">IF(AG18=0,"",BC18)</f>
        <v/>
      </c>
      <c r="AD18" s="14" t="str">
        <f aca="false">IF(AG18=0,"",TRIM(IF(OR(ISTEXT($F18),ISTEXT($H18),ISTEXT($I18),ISTEXT($G18),ISTEXT($J18),ISTEXT($D18)),"A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I18&gt;=1,IF(AI18&gt;=3,AO18,IF(AI18=2,AN18,AM18))&lt;&gt;IF($C18="","",IF(OR(ISNUMBER(SEARCH("full",$C18)),UPPER(TRIM($C18))="FT",UPPER(TRIM($C18))="FTE"),"Full-Time",IF(OR(ISNUMBER(SEARCH("part",$C18)),UPPER(TRIM($C18))="PT",UPPER(TRIM($C18))="PTE"),"Part-Time",IF(OR(ISNUMBER(SEARCH("cas",$C18)),UPPER(TRIM($C18))="CAS"),"Casual","Unknown"))))),"EmploymentType does not match latest start date ("&amp;IF(AI18&gt;=3,AO18,IF(AI18=2,AN18,AM18))&amp;"). ","")&amp;IF(AND(AI18&gt;=1,AJ18&lt;&gt;$F18),"Earliest type date should equal StartDate. ","")&amp;IF(AND(AI18&gt;=2,AJ18=AK18),"Two types start on the same date. ","")&amp;IF(AND(OR(ISNUMBER(SEARCH("part",$C18)),UPPER(TRIM($C18))="PT",UPPER(TRIM($C18))="PTE"),$P18=""),"Part-time: enter PT Hrs/Week (blank = 24+). ","")))</f>
        <v/>
      </c>
      <c r="AE18" s="15" t="str">
        <f aca="false">IF(AG18=0,"",O18-BH18)</f>
        <v/>
      </c>
      <c r="AF18" s="12" t="str">
        <f aca="false">IF(OR(AG18=0,AE18="",N(AE18)=0,BI18=""),"",EDATE(AH18,BI18))</f>
        <v/>
      </c>
      <c r="AG18" s="14" t="n">
        <f aca="false">IF(OR(LEN($A18&amp;$B18)=0,$F18=""),0,1)</f>
        <v>0</v>
      </c>
      <c r="AH18" s="12" t="str">
        <f aca="false">IF(AG18=0,"",IF($J18&lt;&gt;"",$J18,IF(OR(CasualCounts="Yes",COUNT($G18:$I18)=0,COUNT($H18:$I18)=0),$F18,MIN($H18:$I18))))</f>
        <v/>
      </c>
      <c r="AI18" s="14" t="str">
        <f aca="false">IF(AG18=0,"",COUNT($G18:$I18))</f>
        <v/>
      </c>
      <c r="AJ18" s="12" t="str">
        <f aca="false">IF(AG18=0,"",IFERROR(SMALL($G18:$I18,1),""))</f>
        <v/>
      </c>
      <c r="AK18" s="12" t="str">
        <f aca="false">IF(AG18=0,"",IFERROR(SMALL($G18:$I18,2),""))</f>
        <v/>
      </c>
      <c r="AL18" s="12" t="str">
        <f aca="false">IF(AG18=0,"",IFERROR(SMALL($G18:$I18,3),""))</f>
        <v/>
      </c>
      <c r="AM18" s="14" t="str">
        <f aca="false">IF(AG18=0,"",IF(AJ18="","",IF(AJ18=$H18,"Part-Time",IF(AJ18=$I18,"Full-Time","Casual"))))</f>
        <v/>
      </c>
      <c r="AN18" s="14" t="str">
        <f aca="false">IF(AG18=0,"",IF(AK18="","",IF(AK18=$H18,"Part-Time",IF(AK18=$I18,"Full-Time","Casual"))))</f>
        <v/>
      </c>
      <c r="AO18" s="14" t="str">
        <f aca="false">IF(AG18=0,"",IF(AL18="","",IF(AL18=$H18,"Part-Time",IF(AL18=$I18,"Full-Time","Casual"))))</f>
        <v/>
      </c>
      <c r="AP18" s="14" t="str">
        <f aca="false">IF(AG18=0,"",IF(AI18=0,IF(OR(ISNUMBER(SEARCH("full",$C18)),UPPER(TRIM($C18))="FT",UPPER(TRIM($C18))="FTE"),"FT",IF(AND(OR(ISNUMBER(SEARCH("part",$C18)),UPPER(TRIM($C18))="PT",UPPER(TRIM($C18))="PTE"),OR($P18="",N($P18)&gt;=PT_MinHours)),"PT","None")),IF(OR(ISNUMBER(SEARCH("full",AM18)),UPPER(TRIM(AM18))="FT",UPPER(TRIM(AM18))="FTE"),"FT",IF(AND(OR(ISNUMBER(SEARCH("part",AM18)),UPPER(TRIM(AM18))="PT",UPPER(TRIM(AM18))="PTE"),OR($P18="",N($P18)&gt;=PT_MinHours)),"PT","None"))))</f>
        <v/>
      </c>
      <c r="AQ18" s="14" t="str">
        <f aca="false">IF(AG18=0,"",IF(AI18&lt;2,"",IF(OR(ISNUMBER(SEARCH("full",AN18)),UPPER(TRIM(AN18))="FT",UPPER(TRIM(AN18))="FTE"),"FT",IF(AND(OR(ISNUMBER(SEARCH("part",AN18)),UPPER(TRIM(AN18))="PT",UPPER(TRIM(AN18))="PTE"),OR($P18="",N($P18)&gt;=PT_MinHours)),"PT","None"))))</f>
        <v/>
      </c>
      <c r="AR18" s="14" t="str">
        <f aca="false">IF(AG18=0,"",IF(AI18&lt;3,"",IF(OR(ISNUMBER(SEARCH("full",AO18)),UPPER(TRIM(AO18))="FT",UPPER(TRIM(AO18))="FTE"),"FT",IF(AND(OR(ISNUMBER(SEARCH("part",AO18)),UPPER(TRIM(AO18))="PT",UPPER(TRIM(AO18))="PTE"),OR($P18="",N($P18)&gt;=PT_MinHours)),"PT","None"))))</f>
        <v/>
      </c>
      <c r="AS18" s="14" t="str">
        <f aca="false">IF(AG18=0,"",IF(AND(AI18&gt;=3,AL18&lt;=AsOfDate),AR18,IF(AND(AI18&gt;=2,AK18&lt;=AsOfDate),AQ18,AP18)))</f>
        <v/>
      </c>
      <c r="AT18" s="14" t="str">
        <f aca="false">IF(AG18=0,"",IF(AsOfDate&lt;AH18,-1,12*(YEAR(AsOfDate)-YEAR(AH18))+MONTH(AsOfDate)-MONTH(AH18)-IF(DAY(AsOfDate)&lt;MIN(DAY(AH18),DAY(EOMONTH(AsOfDate,0))),1,0)))</f>
        <v/>
      </c>
      <c r="AU18" s="14" t="str">
        <f aca="false">IF(AG18=0,"",IF(OR(AI18&lt;2,AK18&gt;AsOfDate),AT18,IF((AK18-1)&lt;AH18,-1,12*(YEAR((AK18-1))-YEAR(AH18))+MONTH((AK18-1))-MONTH(AH18)-IF(DAY((AK18-1))&lt;MIN(DAY(AH18),DAY(EOMONTH((AK18-1),0))),1,0))))</f>
        <v/>
      </c>
      <c r="AV18" s="14" t="str">
        <f aca="false">IF(AG18=0,"",IF(OR(AI18&lt;3,AL18&gt;AsOfDate),AT18,IF((AL18-1)&lt;AH18,-1,12*(YEAR((AL18-1))-YEAR(AH18))+MONTH((AL18-1))-MONTH(AH18)-IF(DAY((AL18-1))&lt;MIN(DAY(AH18),DAY(EOMONTH((AL18-1),0))),1,0))))</f>
        <v/>
      </c>
      <c r="AW18" s="14" t="str">
        <f aca="false">IF(AG18=0,"",IF(PFYDate&lt;AH18,-1,12*(YEAR(PFYDate)-YEAR(AH18))+MONTH(PFYDate)-MONTH(AH18)-IF(DAY(PFYDate)&lt;MIN(DAY(AH18),DAY(EOMONTH(PFYDate,0))),1,0)))</f>
        <v/>
      </c>
      <c r="AX18" s="14" t="str">
        <f aca="false">IF(AG18=0,"",IF(OR(AI18&lt;2,AK18&gt;PFYDate),AW18,IF((AK18-1)&lt;AH18,-1,12*(YEAR((AK18-1))-YEAR(AH18))+MONTH((AK18-1))-MONTH(AH18)-IF(DAY((AK18-1))&lt;MIN(DAY(AH18),DAY(EOMONTH((AK18-1),0))),1,0))))</f>
        <v/>
      </c>
      <c r="AY18" s="14" t="str">
        <f aca="false">IF(AG18=0,"",IF(OR(AI18&lt;3,AL18&gt;PFYDate),AW18,IF((AL18-1)&lt;AH18,-1,12*(YEAR((AL18-1))-YEAR(AH18))+MONTH((AL18-1))-MONTH(AH18)-IF(DAY((AL18-1))&lt;MIN(DAY(AH18),DAY(EOMONTH((AL18-1),0))),1,0))))</f>
        <v/>
      </c>
      <c r="AZ18" s="14" t="str">
        <f aca="false">IF(AG18=0,"",IF(AP18="FT",IF(AU18&lt;FT_First,0,IF(AU18&lt;FT_Y5,1+INT((AU18-FT_First)/FT_Int1),FT_PreY5+FT_PerYear*INT((AU18-FT_Y5)/12)+FT_AnnivDays+INT(MOD(AU18-FT_Y5,12)/FT_Int2))),IF(AP18="PT",IF(AU18&lt;PT_First,0,1+INT((AU18-PT_First)/PT_Int)),0))+IF(AND(AI18&gt;=2,AK18&lt;=AsOfDate),IF(AQ18="FT",IF(AV18&lt;FT_First,0,IF(AV18&lt;FT_Y5,1+INT((AV18-FT_First)/FT_Int1),FT_PreY5+FT_PerYear*INT((AV18-FT_Y5)/12)+FT_AnnivDays+INT(MOD(AV18-FT_Y5,12)/FT_Int2))),IF(AQ18="PT",IF(AV18&lt;PT_First,0,1+INT((AV18-PT_First)/PT_Int)),0))-IF(AQ18="FT",IF(AU18&lt;FT_First,0,IF(AU18&lt;FT_Y5,1+INT((AU18-FT_First)/FT_Int1),FT_PreY5+FT_PerYear*INT((AU18-FT_Y5)/12)+FT_AnnivDays+INT(MOD(AU18-FT_Y5,12)/FT_Int2))),IF(AQ18="PT",IF(AU18&lt;PT_First,0,1+INT((AU18-PT_First)/PT_Int)),0)),0)+IF(AND(AI18&gt;=3,AL18&lt;=AsOfDate),IF(AR18="FT",IF(AT18&lt;FT_First,0,IF(AT18&lt;FT_Y5,1+INT((AT18-FT_First)/FT_Int1),FT_PreY5+FT_PerYear*INT((AT18-FT_Y5)/12)+FT_AnnivDays+INT(MOD(AT18-FT_Y5,12)/FT_Int2))),IF(AR18="PT",IF(AT18&lt;PT_First,0,1+INT((AT18-PT_First)/PT_Int)),0))-IF(AR18="FT",IF(AV18&lt;FT_First,0,IF(AV18&lt;FT_Y5,1+INT((AV18-FT_First)/FT_Int1),FT_PreY5+FT_PerYear*INT((AV18-FT_Y5)/12)+FT_AnnivDays+INT(MOD(AV18-FT_Y5,12)/FT_Int2))),IF(AR18="PT",IF(AV18&lt;PT_First,0,1+INT((AV18-PT_First)/PT_Int)),0)),0))</f>
        <v/>
      </c>
      <c r="BA18" s="14" t="str">
        <f aca="false">IF(AG18=0,"",IF(AP18="FT",IF(AX18&lt;FT_First,0,IF(AX18&lt;FT_Y5,1+INT((AX18-FT_First)/FT_Int1),FT_PreY5+FT_PerYear*INT((AX18-FT_Y5)/12)+FT_AnnivDays+INT(MOD(AX18-FT_Y5,12)/FT_Int2))),IF(AP18="PT",IF(AX18&lt;PT_First,0,1+INT((AX18-PT_First)/PT_Int)),0))+IF(AND(AI18&gt;=2,AK18&lt;=PFYDate),IF(AQ18="FT",IF(AY18&lt;FT_First,0,IF(AY18&lt;FT_Y5,1+INT((AY18-FT_First)/FT_Int1),FT_PreY5+FT_PerYear*INT((AY18-FT_Y5)/12)+FT_AnnivDays+INT(MOD(AY18-FT_Y5,12)/FT_Int2))),IF(AQ18="PT",IF(AY18&lt;PT_First,0,1+INT((AY18-PT_First)/PT_Int)),0))-IF(AQ18="FT",IF(AX18&lt;FT_First,0,IF(AX18&lt;FT_Y5,1+INT((AX18-FT_First)/FT_Int1),FT_PreY5+FT_PerYear*INT((AX18-FT_Y5)/12)+FT_AnnivDays+INT(MOD(AX18-FT_Y5,12)/FT_Int2))),IF(AQ18="PT",IF(AX18&lt;PT_First,0,1+INT((AX18-PT_First)/PT_Int)),0)),0)+IF(AND(AI18&gt;=3,AL18&lt;=PFYDate),IF(AR18="FT",IF(AW18&lt;FT_First,0,IF(AW18&lt;FT_Y5,1+INT((AW18-FT_First)/FT_Int1),FT_PreY5+FT_PerYear*INT((AW18-FT_Y5)/12)+FT_AnnivDays+INT(MOD(AW18-FT_Y5,12)/FT_Int2))),IF(AR18="PT",IF(AW18&lt;PT_First,0,1+INT((AW18-PT_First)/PT_Int)),0))-IF(AR18="FT",IF(AY18&lt;FT_First,0,IF(AY18&lt;FT_Y5,1+INT((AY18-FT_First)/FT_Int1),FT_PreY5+FT_PerYear*INT((AY18-FT_Y5)/12)+FT_AnnivDays+INT(MOD(AY18-FT_Y5,12)/FT_Int2))),IF(AR18="PT",IF(AY18&lt;PT_First,0,1+INT((AY18-PT_First)/PT_Int)),0)),0))</f>
        <v/>
      </c>
      <c r="BB18" s="14" t="str">
        <f aca="false">IF(AG18=0,"",IF(AS18="FT",IF(AT18&lt;FT_First,FT_First,IF(AT18&lt;FT_Y5,MIN(FT_Y5,FT_First+FT_Int1*(INT((AT18-FT_First)/FT_Int1)+1)),FT_Y5+12*INT((AT18-FT_Y5)/12)+FT_Int2*(INT(MOD(AT18-FT_Y5,12)/FT_Int2)+1))),IF(AS18="PT",IF(AT18&lt;PT_First,PT_First,PT_First+PT_Int*(INT((AT18-PT_First)/PT_Int)+1)),"")))</f>
        <v/>
      </c>
      <c r="BC18" s="14" t="str">
        <f aca="false">IF(AG18=0,"",IF(NOT(LH_Ready),0,COUNTIFS(INDEX(LH_Data,0,LH_ColFirst),$A18,INDEX(LH_Data,0,LH_ColSur),$B18,INDEX(LH_Data,0,LH_ColCat),BonusCat)))</f>
        <v/>
      </c>
      <c r="BD18" s="14" t="str">
        <f aca="false">IF(AG18=0,"",IF(OR(NOT(LH_Ready),BC18=0),0,SUMPRODUCT(MAX((INDEX(LH_Data,0,LH_ColFirst)=$A18)*(INDEX(LH_Data,0,LH_ColSur)=$B18)*(INDEX(LH_Data,0,LH_ColCat)=BonusCat)*ROW(LH_Data)))))</f>
        <v/>
      </c>
      <c r="BE18" s="14" t="str">
        <f aca="false">IF(AG18=0,"",IF(EOMONTH(AsOfDate,-1)&lt;AH18,-1,12*(YEAR(EOMONTH(AsOfDate,-1))-YEAR(AH18))+MONTH(EOMONTH(AsOfDate,-1))-MONTH(AH18)-IF(DAY(EOMONTH(AsOfDate,-1))&lt;MIN(DAY(AH18),DAY(EOMONTH(EOMONTH(AsOfDate,-1),0))),1,0)))</f>
        <v/>
      </c>
      <c r="BF18" s="14" t="str">
        <f aca="false">IF(AG18=0,"",IF(OR(AI18&lt;2,AK18&gt;EOMONTH(AsOfDate,-1)),BE18,IF((AK18-1)&lt;AH18,-1,12*(YEAR((AK18-1))-YEAR(AH18))+MONTH((AK18-1))-MONTH(AH18)-IF(DAY((AK18-1))&lt;MIN(DAY(AH18),DAY(EOMONTH((AK18-1),0))),1,0))))</f>
        <v/>
      </c>
      <c r="BG18" s="14" t="str">
        <f aca="false">IF(AG18=0,"",IF(OR(AI18&lt;3,AL18&gt;EOMONTH(AsOfDate,-1)),BE18,IF((AL18-1)&lt;AH18,-1,12*(YEAR((AL18-1))-YEAR(AH18))+MONTH((AL18-1))-MONTH(AH18)-IF(DAY((AL18-1))&lt;MIN(DAY(AH18),DAY(EOMONTH((AL18-1),0))),1,0))))</f>
        <v/>
      </c>
      <c r="BH18" s="14" t="str">
        <f aca="false">IF(AG18=0,"",IF(AP18="FT",IF(BF18&lt;FT_First,0,IF(BF18&lt;FT_Y5,1+INT((BF18-FT_First)/FT_Int1),FT_PreY5+FT_PerYear*INT((BF18-FT_Y5)/12)+FT_AnnivDays+INT(MOD(BF18-FT_Y5,12)/FT_Int2))),IF(AP18="PT",IF(BF18&lt;PT_First,0,1+INT((BF18-PT_First)/PT_Int)),0))+IF(AND(AI18&gt;=2,AK18&lt;=EOMONTH(AsOfDate,-1)),IF(AQ18="FT",IF(BG18&lt;FT_First,0,IF(BG18&lt;FT_Y5,1+INT((BG18-FT_First)/FT_Int1),FT_PreY5+FT_PerYear*INT((BG18-FT_Y5)/12)+FT_AnnivDays+INT(MOD(BG18-FT_Y5,12)/FT_Int2))),IF(AQ18="PT",IF(BG18&lt;PT_First,0,1+INT((BG18-PT_First)/PT_Int)),0))-IF(AQ18="FT",IF(BF18&lt;FT_First,0,IF(BF18&lt;FT_Y5,1+INT((BF18-FT_First)/FT_Int1),FT_PreY5+FT_PerYear*INT((BF18-FT_Y5)/12)+FT_AnnivDays+INT(MOD(BF18-FT_Y5,12)/FT_Int2))),IF(AQ18="PT",IF(BF18&lt;PT_First,0,1+INT((BF18-PT_First)/PT_Int)),0)),0)+IF(AND(AI18&gt;=3,AL18&lt;=EOMONTH(AsOfDate,-1)),IF(AR18="FT",IF(BE18&lt;FT_First,0,IF(BE18&lt;FT_Y5,1+INT((BE18-FT_First)/FT_Int1),FT_PreY5+FT_PerYear*INT((BE18-FT_Y5)/12)+FT_AnnivDays+INT(MOD(BE18-FT_Y5,12)/FT_Int2))),IF(AR18="PT",IF(BE18&lt;PT_First,0,1+INT((BE18-PT_First)/PT_Int)),0))-IF(AR18="FT",IF(BG18&lt;FT_First,0,IF(BG18&lt;FT_Y5,1+INT((BG18-FT_First)/FT_Int1),FT_PreY5+FT_PerYear*INT((BG18-FT_Y5)/12)+FT_AnnivDays+INT(MOD(BG18-FT_Y5,12)/FT_Int2))),IF(AR18="PT",IF(BG18&lt;PT_First,0,1+INT((BG18-PT_First)/PT_Int)),0)),0))</f>
        <v/>
      </c>
      <c r="BI18" s="14" t="str">
        <f aca="false">IF(AG18=0,"",IF(AS18="FT",IF(AT18&lt;FT_First,"",IF(AT18&lt;FT_Y5,FT_First+FT_Int1*INT((AT18-FT_First)/FT_Int1),FT_Y5+FT_Int2*INT((AT18-FT_Y5)/FT_Int2))),IF(AS18="PT",IF(AT18&lt;PT_First,"",PT_First+PT_Int*INT((AT18-PT_First)/PT_Int)),"")))</f>
        <v/>
      </c>
      <c r="BJ18" s="0" t="str">
        <f aca="false">IF(LEN($A18&amp;$B18)=0,"",$A18&amp;" "&amp;$B18)</f>
        <v/>
      </c>
    </row>
    <row r="19" customFormat="false" ht="15" hidden="false" customHeight="false" outlineLevel="0" collapsed="false">
      <c r="A19" s="10"/>
      <c r="B19" s="10"/>
      <c r="C19" s="10"/>
      <c r="D19" s="11"/>
      <c r="E19" s="12" t="str">
        <f aca="false">IF(OR(AG19=0,$D19=""),"",DATE(YEAR(AsOfDate)+IF(DATE(YEAR(AsOfDate),MONTH($D19),DAY($D19))&lt;=AsOfDate,1,0),MONTH($D19),DAY($D19)))</f>
        <v/>
      </c>
      <c r="F19" s="11"/>
      <c r="G19" s="11"/>
      <c r="H19" s="11"/>
      <c r="I19" s="11"/>
      <c r="J19" s="11"/>
      <c r="K19" s="12" t="str">
        <f aca="false">IF(AG19=0,"",DATE(YEAR(AsOfDate)+IF(DATE(YEAR(AsOfDate),MONTH(AH19),DAY(AH19))&lt;=AsOfDate,1,0),MONTH(AH19),DAY(AH19)))</f>
        <v/>
      </c>
      <c r="L19" s="13" t="str">
        <f aca="false">IF(AG19=0,"",ROUND((AsOfDate-AH19)/365.25,1))</f>
        <v/>
      </c>
      <c r="M19" s="14" t="str">
        <f aca="false">IF(AG19=0,"",IF(AsOfDate&lt;AH19,"-",DATEDIF(AH19,AsOfDate,"y")&amp;"y "&amp;DATEDIF(AH19,AsOfDate,"ym")&amp;"m "&amp;DATEDIF(AH19,AsOfDate,"md")&amp;"d"))</f>
        <v/>
      </c>
      <c r="N19" s="15" t="str">
        <f aca="false">IF(AG19=0,"",O19*HoursPerDay)</f>
        <v/>
      </c>
      <c r="O19" s="15" t="str">
        <f aca="false">IF(AG19=0,"",AZ19)</f>
        <v/>
      </c>
      <c r="P19" s="16"/>
      <c r="Q19" s="14" t="str">
        <f aca="false">IF(AG19=0,"",IF(AI19&lt;2,"",AM19&amp;" to "&amp;AN19&amp;" on "&amp;TEXT(AK19,"dd/mm/yyyy")&amp;IF(AK19&gt;AsOfDate," (future)",IF(AP19=AQ19,"",IF(AQ19="None"," - STOPPED accruing",IF(AP19="None"," - commencement for Bonus Leave"," - pathway changed"))))&amp;IF(AI19&lt;3,"","; "&amp;AN19&amp;" to "&amp;AO19&amp;" on "&amp;TEXT(AL19,"dd/mm/yyyy")&amp;IF(AL19&gt;AsOfDate," (future)",IF(AQ19=AR19,"",IF(AR19="None"," - STOPPED accruing",IF(AQ19="None"," - commencement for Bonus Leave"," - pathway changed")))))))</f>
        <v/>
      </c>
      <c r="R19" s="14" t="str">
        <f aca="false">IF(AG19=0,"",IF(AS19="None",IF(O19&gt;0,"No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2" t="str">
        <f aca="false">IF(AG19=0,"",IF(AS19="None","",EDATE(AH19,BB19)))</f>
        <v/>
      </c>
      <c r="T19" s="15" t="str">
        <f aca="false">IF(AG19=0,"",IF(NOT(LH_Ready),"",IF(AH19&gt;PFYDate,0,IF(LH_ColPeriod=0,W19-U19+V19,SUMIFS(INDEX(LH_Data,0,LH_ColAcc),INDEX(LH_Data,0,LH_ColFirst),$A19,INDEX(LH_Data,0,LH_ColSur),$B19,INDEX(LH_Data,0,LH_ColCat),BonusCat,INDEX(LH_Data,0,LH_ColPeriod),LH_OpenLabel)*UnitFactor))))</f>
        <v/>
      </c>
      <c r="U19" s="15" t="str">
        <f aca="false">IF(AG19=0,"",IF(NOT(LH_Ready),"",SUMIFS(INDEX(LH_Data,0,LH_ColAcc),INDEX(LH_Data,0,LH_ColFirst),$A19,INDEX(LH_Data,0,LH_ColSur),$B19,INDEX(LH_Data,0,LH_ColCat),BonusCat,INDEX(LH_Data,0,LH_ColStart),"&gt;="&amp;AH19)*UnitFactor))</f>
        <v/>
      </c>
      <c r="V19" s="15" t="str">
        <f aca="false">IF(AG19=0,"",IF(NOT(LH_Ready),"",SUMIFS(INDEX(LH_Data,0,LH_ColTaken),INDEX(LH_Data,0,LH_ColFirst),$A19,INDEX(LH_Data,0,LH_ColSur),$B19,INDEX(LH_Data,0,LH_ColCat),BonusCat,INDEX(LH_Data,0,LH_ColStart),"&gt;="&amp;AH19)*UnitFactor))</f>
        <v/>
      </c>
      <c r="W19" s="15" t="str">
        <f aca="false">IF(AG19=0,"",IF(NOT(LH_Ready),"",IF(BD19=0,0,INDEX(INDEX(LH_Data,0,LH_ColClose),BD19-1)*UnitFactor)))</f>
        <v/>
      </c>
      <c r="X19" s="15" t="str">
        <f aca="false">IF(AG19=0,"",(AZ19-BA19)*HoursPerDay)</f>
        <v/>
      </c>
      <c r="Y19" s="15" t="str">
        <f aca="false">IF(AG19=0,"",IF(NOT(LH_Ready),"",IF(BC19=0,N19,IF(PFYDate&lt;$F19,N19-N(T19)-N(U19),X19-N(U19)))))</f>
        <v/>
      </c>
      <c r="Z19" s="14" t="str">
        <f aca="false">IF(OR(AG19=0,Y19=""),"",IF(Y19&gt;0,"Yes","No"))</f>
        <v/>
      </c>
      <c r="AA19" s="14" t="str">
        <f aca="false">IF(AG19=0,IF(LEN($A19&amp;$B19)=0,"","FIX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month")&amp;IF(BC19=0,";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EH)",""),IF(AS19="None",R19,"Not yet - first day on "&amp;TEXT(S19,"dd/mm/yyyy")))))))))</f>
        <v/>
      </c>
      <c r="AB19" s="15" t="str">
        <f aca="false">IF(OR(AG19=0,T19=""),"",BA19*HoursPerDay-T19)</f>
        <v/>
      </c>
      <c r="AC19" s="14" t="str">
        <f aca="false">IF(AG19=0,"",BC19)</f>
        <v/>
      </c>
      <c r="AD19" s="14" t="str">
        <f aca="false">IF(AG19=0,"",TRIM(IF(OR(ISTEXT($F19),ISTEXT($H19),ISTEXT($I19),ISTEXT($G19),ISTEXT($J19),ISTEXT($D19)),"A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I19&gt;=1,IF(AI19&gt;=3,AO19,IF(AI19=2,AN19,AM19))&lt;&gt;IF($C19="","",IF(OR(ISNUMBER(SEARCH("full",$C19)),UPPER(TRIM($C19))="FT",UPPER(TRIM($C19))="FTE"),"Full-Time",IF(OR(ISNUMBER(SEARCH("part",$C19)),UPPER(TRIM($C19))="PT",UPPER(TRIM($C19))="PTE"),"Part-Time",IF(OR(ISNUMBER(SEARCH("cas",$C19)),UPPER(TRIM($C19))="CAS"),"Casual","Unknown"))))),"EmploymentType does not match latest start date ("&amp;IF(AI19&gt;=3,AO19,IF(AI19=2,AN19,AM19))&amp;"). ","")&amp;IF(AND(AI19&gt;=1,AJ19&lt;&gt;$F19),"Earliest type date should equal StartDate. ","")&amp;IF(AND(AI19&gt;=2,AJ19=AK19),"Two types start on the same date. ","")&amp;IF(AND(OR(ISNUMBER(SEARCH("part",$C19)),UPPER(TRIM($C19))="PT",UPPER(TRIM($C19))="PTE"),$P19=""),"Part-time: enter PT Hrs/Week (blank = 24+). ","")))</f>
        <v/>
      </c>
      <c r="AE19" s="15" t="str">
        <f aca="false">IF(AG19=0,"",O19-BH19)</f>
        <v/>
      </c>
      <c r="AF19" s="12" t="str">
        <f aca="false">IF(OR(AG19=0,AE19="",N(AE19)=0,BI19=""),"",EDATE(AH19,BI19))</f>
        <v/>
      </c>
      <c r="AG19" s="14" t="n">
        <f aca="false">IF(OR(LEN($A19&amp;$B19)=0,$F19=""),0,1)</f>
        <v>0</v>
      </c>
      <c r="AH19" s="12" t="str">
        <f aca="false">IF(AG19=0,"",IF($J19&lt;&gt;"",$J19,IF(OR(CasualCounts="Yes",COUNT($G19:$I19)=0,COUNT($H19:$I19)=0),$F19,MIN($H19:$I19))))</f>
        <v/>
      </c>
      <c r="AI19" s="14" t="str">
        <f aca="false">IF(AG19=0,"",COUNT($G19:$I19))</f>
        <v/>
      </c>
      <c r="AJ19" s="12" t="str">
        <f aca="false">IF(AG19=0,"",IFERROR(SMALL($G19:$I19,1),""))</f>
        <v/>
      </c>
      <c r="AK19" s="12" t="str">
        <f aca="false">IF(AG19=0,"",IFERROR(SMALL($G19:$I19,2),""))</f>
        <v/>
      </c>
      <c r="AL19" s="12" t="str">
        <f aca="false">IF(AG19=0,"",IFERROR(SMALL($G19:$I19,3),""))</f>
        <v/>
      </c>
      <c r="AM19" s="14" t="str">
        <f aca="false">IF(AG19=0,"",IF(AJ19="","",IF(AJ19=$H19,"Part-Time",IF(AJ19=$I19,"Full-Time","Casual"))))</f>
        <v/>
      </c>
      <c r="AN19" s="14" t="str">
        <f aca="false">IF(AG19=0,"",IF(AK19="","",IF(AK19=$H19,"Part-Time",IF(AK19=$I19,"Full-Time","Casual"))))</f>
        <v/>
      </c>
      <c r="AO19" s="14" t="str">
        <f aca="false">IF(AG19=0,"",IF(AL19="","",IF(AL19=$H19,"Part-Time",IF(AL19=$I19,"Full-Time","Casual"))))</f>
        <v/>
      </c>
      <c r="AP19" s="14" t="str">
        <f aca="false">IF(AG19=0,"",IF(AI19=0,IF(OR(ISNUMBER(SEARCH("full",$C19)),UPPER(TRIM($C19))="FT",UPPER(TRIM($C19))="FTE"),"FT",IF(AND(OR(ISNUMBER(SEARCH("part",$C19)),UPPER(TRIM($C19))="PT",UPPER(TRIM($C19))="PTE"),OR($P19="",N($P19)&gt;=PT_MinHours)),"PT","None")),IF(OR(ISNUMBER(SEARCH("full",AM19)),UPPER(TRIM(AM19))="FT",UPPER(TRIM(AM19))="FTE"),"FT",IF(AND(OR(ISNUMBER(SEARCH("part",AM19)),UPPER(TRIM(AM19))="PT",UPPER(TRIM(AM19))="PTE"),OR($P19="",N($P19)&gt;=PT_MinHours)),"PT","None"))))</f>
        <v/>
      </c>
      <c r="AQ19" s="14" t="str">
        <f aca="false">IF(AG19=0,"",IF(AI19&lt;2,"",IF(OR(ISNUMBER(SEARCH("full",AN19)),UPPER(TRIM(AN19))="FT",UPPER(TRIM(AN19))="FTE"),"FT",IF(AND(OR(ISNUMBER(SEARCH("part",AN19)),UPPER(TRIM(AN19))="PT",UPPER(TRIM(AN19))="PTE"),OR($P19="",N($P19)&gt;=PT_MinHours)),"PT","None"))))</f>
        <v/>
      </c>
      <c r="AR19" s="14" t="str">
        <f aca="false">IF(AG19=0,"",IF(AI19&lt;3,"",IF(OR(ISNUMBER(SEARCH("full",AO19)),UPPER(TRIM(AO19))="FT",UPPER(TRIM(AO19))="FTE"),"FT",IF(AND(OR(ISNUMBER(SEARCH("part",AO19)),UPPER(TRIM(AO19))="PT",UPPER(TRIM(AO19))="PTE"),OR($P19="",N($P19)&gt;=PT_MinHours)),"PT","None"))))</f>
        <v/>
      </c>
      <c r="AS19" s="14" t="str">
        <f aca="false">IF(AG19=0,"",IF(AND(AI19&gt;=3,AL19&lt;=AsOfDate),AR19,IF(AND(AI19&gt;=2,AK19&lt;=AsOfDate),AQ19,AP19)))</f>
        <v/>
      </c>
      <c r="AT19" s="14" t="str">
        <f aca="false">IF(AG19=0,"",IF(AsOfDate&lt;AH19,-1,12*(YEAR(AsOfDate)-YEAR(AH19))+MONTH(AsOfDate)-MONTH(AH19)-IF(DAY(AsOfDate)&lt;MIN(DAY(AH19),DAY(EOMONTH(AsOfDate,0))),1,0)))</f>
        <v/>
      </c>
      <c r="AU19" s="14" t="str">
        <f aca="false">IF(AG19=0,"",IF(OR(AI19&lt;2,AK19&gt;AsOfDate),AT19,IF((AK19-1)&lt;AH19,-1,12*(YEAR((AK19-1))-YEAR(AH19))+MONTH((AK19-1))-MONTH(AH19)-IF(DAY((AK19-1))&lt;MIN(DAY(AH19),DAY(EOMONTH((AK19-1),0))),1,0))))</f>
        <v/>
      </c>
      <c r="AV19" s="14" t="str">
        <f aca="false">IF(AG19=0,"",IF(OR(AI19&lt;3,AL19&gt;AsOfDate),AT19,IF((AL19-1)&lt;AH19,-1,12*(YEAR((AL19-1))-YEAR(AH19))+MONTH((AL19-1))-MONTH(AH19)-IF(DAY((AL19-1))&lt;MIN(DAY(AH19),DAY(EOMONTH((AL19-1),0))),1,0))))</f>
        <v/>
      </c>
      <c r="AW19" s="14" t="str">
        <f aca="false">IF(AG19=0,"",IF(PFYDate&lt;AH19,-1,12*(YEAR(PFYDate)-YEAR(AH19))+MONTH(PFYDate)-MONTH(AH19)-IF(DAY(PFYDate)&lt;MIN(DAY(AH19),DAY(EOMONTH(PFYDate,0))),1,0)))</f>
        <v/>
      </c>
      <c r="AX19" s="14" t="str">
        <f aca="false">IF(AG19=0,"",IF(OR(AI19&lt;2,AK19&gt;PFYDate),AW19,IF((AK19-1)&lt;AH19,-1,12*(YEAR((AK19-1))-YEAR(AH19))+MONTH((AK19-1))-MONTH(AH19)-IF(DAY((AK19-1))&lt;MIN(DAY(AH19),DAY(EOMONTH((AK19-1),0))),1,0))))</f>
        <v/>
      </c>
      <c r="AY19" s="14" t="str">
        <f aca="false">IF(AG19=0,"",IF(OR(AI19&lt;3,AL19&gt;PFYDate),AW19,IF((AL19-1)&lt;AH19,-1,12*(YEAR((AL19-1))-YEAR(AH19))+MONTH((AL19-1))-MONTH(AH19)-IF(DAY((AL19-1))&lt;MIN(DAY(AH19),DAY(EOMONTH((AL19-1),0))),1,0))))</f>
        <v/>
      </c>
      <c r="AZ19" s="14" t="str">
        <f aca="false">IF(AG19=0,"",IF(AP19="FT",IF(AU19&lt;FT_First,0,IF(AU19&lt;FT_Y5,1+INT((AU19-FT_First)/FT_Int1),FT_PreY5+FT_PerYear*INT((AU19-FT_Y5)/12)+FT_AnnivDays+INT(MOD(AU19-FT_Y5,12)/FT_Int2))),IF(AP19="PT",IF(AU19&lt;PT_First,0,1+INT((AU19-PT_First)/PT_Int)),0))+IF(AND(AI19&gt;=2,AK19&lt;=AsOfDate),IF(AQ19="FT",IF(AV19&lt;FT_First,0,IF(AV19&lt;FT_Y5,1+INT((AV19-FT_First)/FT_Int1),FT_PreY5+FT_PerYear*INT((AV19-FT_Y5)/12)+FT_AnnivDays+INT(MOD(AV19-FT_Y5,12)/FT_Int2))),IF(AQ19="PT",IF(AV19&lt;PT_First,0,1+INT((AV19-PT_First)/PT_Int)),0))-IF(AQ19="FT",IF(AU19&lt;FT_First,0,IF(AU19&lt;FT_Y5,1+INT((AU19-FT_First)/FT_Int1),FT_PreY5+FT_PerYear*INT((AU19-FT_Y5)/12)+FT_AnnivDays+INT(MOD(AU19-FT_Y5,12)/FT_Int2))),IF(AQ19="PT",IF(AU19&lt;PT_First,0,1+INT((AU19-PT_First)/PT_Int)),0)),0)+IF(AND(AI19&gt;=3,AL19&lt;=AsOfDate),IF(AR19="FT",IF(AT19&lt;FT_First,0,IF(AT19&lt;FT_Y5,1+INT((AT19-FT_First)/FT_Int1),FT_PreY5+FT_PerYear*INT((AT19-FT_Y5)/12)+FT_AnnivDays+INT(MOD(AT19-FT_Y5,12)/FT_Int2))),IF(AR19="PT",IF(AT19&lt;PT_First,0,1+INT((AT19-PT_First)/PT_Int)),0))-IF(AR19="FT",IF(AV19&lt;FT_First,0,IF(AV19&lt;FT_Y5,1+INT((AV19-FT_First)/FT_Int1),FT_PreY5+FT_PerYear*INT((AV19-FT_Y5)/12)+FT_AnnivDays+INT(MOD(AV19-FT_Y5,12)/FT_Int2))),IF(AR19="PT",IF(AV19&lt;PT_First,0,1+INT((AV19-PT_First)/PT_Int)),0)),0))</f>
        <v/>
      </c>
      <c r="BA19" s="14" t="str">
        <f aca="false">IF(AG19=0,"",IF(AP19="FT",IF(AX19&lt;FT_First,0,IF(AX19&lt;FT_Y5,1+INT((AX19-FT_First)/FT_Int1),FT_PreY5+FT_PerYear*INT((AX19-FT_Y5)/12)+FT_AnnivDays+INT(MOD(AX19-FT_Y5,12)/FT_Int2))),IF(AP19="PT",IF(AX19&lt;PT_First,0,1+INT((AX19-PT_First)/PT_Int)),0))+IF(AND(AI19&gt;=2,AK19&lt;=PFYDate),IF(AQ19="FT",IF(AY19&lt;FT_First,0,IF(AY19&lt;FT_Y5,1+INT((AY19-FT_First)/FT_Int1),FT_PreY5+FT_PerYear*INT((AY19-FT_Y5)/12)+FT_AnnivDays+INT(MOD(AY19-FT_Y5,12)/FT_Int2))),IF(AQ19="PT",IF(AY19&lt;PT_First,0,1+INT((AY19-PT_First)/PT_Int)),0))-IF(AQ19="FT",IF(AX19&lt;FT_First,0,IF(AX19&lt;FT_Y5,1+INT((AX19-FT_First)/FT_Int1),FT_PreY5+FT_PerYear*INT((AX19-FT_Y5)/12)+FT_AnnivDays+INT(MOD(AX19-FT_Y5,12)/FT_Int2))),IF(AQ19="PT",IF(AX19&lt;PT_First,0,1+INT((AX19-PT_First)/PT_Int)),0)),0)+IF(AND(AI19&gt;=3,AL19&lt;=PFYDate),IF(AR19="FT",IF(AW19&lt;FT_First,0,IF(AW19&lt;FT_Y5,1+INT((AW19-FT_First)/FT_Int1),FT_PreY5+FT_PerYear*INT((AW19-FT_Y5)/12)+FT_AnnivDays+INT(MOD(AW19-FT_Y5,12)/FT_Int2))),IF(AR19="PT",IF(AW19&lt;PT_First,0,1+INT((AW19-PT_First)/PT_Int)),0))-IF(AR19="FT",IF(AY19&lt;FT_First,0,IF(AY19&lt;FT_Y5,1+INT((AY19-FT_First)/FT_Int1),FT_PreY5+FT_PerYear*INT((AY19-FT_Y5)/12)+FT_AnnivDays+INT(MOD(AY19-FT_Y5,12)/FT_Int2))),IF(AR19="PT",IF(AY19&lt;PT_First,0,1+INT((AY19-PT_First)/PT_Int)),0)),0))</f>
        <v/>
      </c>
      <c r="BB19" s="14" t="str">
        <f aca="false">IF(AG19=0,"",IF(AS19="FT",IF(AT19&lt;FT_First,FT_First,IF(AT19&lt;FT_Y5,MIN(FT_Y5,FT_First+FT_Int1*(INT((AT19-FT_First)/FT_Int1)+1)),FT_Y5+12*INT((AT19-FT_Y5)/12)+FT_Int2*(INT(MOD(AT19-FT_Y5,12)/FT_Int2)+1))),IF(AS19="PT",IF(AT19&lt;PT_First,PT_First,PT_First+PT_Int*(INT((AT19-PT_First)/PT_Int)+1)),"")))</f>
        <v/>
      </c>
      <c r="BC19" s="14" t="str">
        <f aca="false">IF(AG19=0,"",IF(NOT(LH_Ready),0,COUNTIFS(INDEX(LH_Data,0,LH_ColFirst),$A19,INDEX(LH_Data,0,LH_ColSur),$B19,INDEX(LH_Data,0,LH_ColCat),BonusCat)))</f>
        <v/>
      </c>
      <c r="BD19" s="14" t="str">
        <f aca="false">IF(AG19=0,"",IF(OR(NOT(LH_Ready),BC19=0),0,SUMPRODUCT(MAX((INDEX(LH_Data,0,LH_ColFirst)=$A19)*(INDEX(LH_Data,0,LH_ColSur)=$B19)*(INDEX(LH_Data,0,LH_ColCat)=BonusCat)*ROW(LH_Data)))))</f>
        <v/>
      </c>
      <c r="BE19" s="14" t="str">
        <f aca="false">IF(AG19=0,"",IF(EOMONTH(AsOfDate,-1)&lt;AH19,-1,12*(YEAR(EOMONTH(AsOfDate,-1))-YEAR(AH19))+MONTH(EOMONTH(AsOfDate,-1))-MONTH(AH19)-IF(DAY(EOMONTH(AsOfDate,-1))&lt;MIN(DAY(AH19),DAY(EOMONTH(EOMONTH(AsOfDate,-1),0))),1,0)))</f>
        <v/>
      </c>
      <c r="BF19" s="14" t="str">
        <f aca="false">IF(AG19=0,"",IF(OR(AI19&lt;2,AK19&gt;EOMONTH(AsOfDate,-1)),BE19,IF((AK19-1)&lt;AH19,-1,12*(YEAR((AK19-1))-YEAR(AH19))+MONTH((AK19-1))-MONTH(AH19)-IF(DAY((AK19-1))&lt;MIN(DAY(AH19),DAY(EOMONTH((AK19-1),0))),1,0))))</f>
        <v/>
      </c>
      <c r="BG19" s="14" t="str">
        <f aca="false">IF(AG19=0,"",IF(OR(AI19&lt;3,AL19&gt;EOMONTH(AsOfDate,-1)),BE19,IF((AL19-1)&lt;AH19,-1,12*(YEAR((AL19-1))-YEAR(AH19))+MONTH((AL19-1))-MONTH(AH19)-IF(DAY((AL19-1))&lt;MIN(DAY(AH19),DAY(EOMONTH((AL19-1),0))),1,0))))</f>
        <v/>
      </c>
      <c r="BH19" s="14" t="str">
        <f aca="false">IF(AG19=0,"",IF(AP19="FT",IF(BF19&lt;FT_First,0,IF(BF19&lt;FT_Y5,1+INT((BF19-FT_First)/FT_Int1),FT_PreY5+FT_PerYear*INT((BF19-FT_Y5)/12)+FT_AnnivDays+INT(MOD(BF19-FT_Y5,12)/FT_Int2))),IF(AP19="PT",IF(BF19&lt;PT_First,0,1+INT((BF19-PT_First)/PT_Int)),0))+IF(AND(AI19&gt;=2,AK19&lt;=EOMONTH(AsOfDate,-1)),IF(AQ19="FT",IF(BG19&lt;FT_First,0,IF(BG19&lt;FT_Y5,1+INT((BG19-FT_First)/FT_Int1),FT_PreY5+FT_PerYear*INT((BG19-FT_Y5)/12)+FT_AnnivDays+INT(MOD(BG19-FT_Y5,12)/FT_Int2))),IF(AQ19="PT",IF(BG19&lt;PT_First,0,1+INT((BG19-PT_First)/PT_Int)),0))-IF(AQ19="FT",IF(BF19&lt;FT_First,0,IF(BF19&lt;FT_Y5,1+INT((BF19-FT_First)/FT_Int1),FT_PreY5+FT_PerYear*INT((BF19-FT_Y5)/12)+FT_AnnivDays+INT(MOD(BF19-FT_Y5,12)/FT_Int2))),IF(AQ19="PT",IF(BF19&lt;PT_First,0,1+INT((BF19-PT_First)/PT_Int)),0)),0)+IF(AND(AI19&gt;=3,AL19&lt;=EOMONTH(AsOfDate,-1)),IF(AR19="FT",IF(BE19&lt;FT_First,0,IF(BE19&lt;FT_Y5,1+INT((BE19-FT_First)/FT_Int1),FT_PreY5+FT_PerYear*INT((BE19-FT_Y5)/12)+FT_AnnivDays+INT(MOD(BE19-FT_Y5,12)/FT_Int2))),IF(AR19="PT",IF(BE19&lt;PT_First,0,1+INT((BE19-PT_First)/PT_Int)),0))-IF(AR19="FT",IF(BG19&lt;FT_First,0,IF(BG19&lt;FT_Y5,1+INT((BG19-FT_First)/FT_Int1),FT_PreY5+FT_PerYear*INT((BG19-FT_Y5)/12)+FT_AnnivDays+INT(MOD(BG19-FT_Y5,12)/FT_Int2))),IF(AR19="PT",IF(BG19&lt;PT_First,0,1+INT((BG19-PT_First)/PT_Int)),0)),0))</f>
        <v/>
      </c>
      <c r="BI19" s="14" t="str">
        <f aca="false">IF(AG19=0,"",IF(AS19="FT",IF(AT19&lt;FT_First,"",IF(AT19&lt;FT_Y5,FT_First+FT_Int1*INT((AT19-FT_First)/FT_Int1),FT_Y5+FT_Int2*INT((AT19-FT_Y5)/FT_Int2))),IF(AS19="PT",IF(AT19&lt;PT_First,"",PT_First+PT_Int*INT((AT19-PT_First)/PT_Int)),"")))</f>
        <v/>
      </c>
      <c r="BJ19" s="0" t="str">
        <f aca="false">IF(LEN($A19&amp;$B19)=0,"",$A19&amp;" "&amp;$B19)</f>
        <v/>
      </c>
    </row>
    <row r="20" customFormat="false" ht="15" hidden="false" customHeight="false" outlineLevel="0" collapsed="false">
      <c r="A20" s="10"/>
      <c r="B20" s="10"/>
      <c r="C20" s="10"/>
      <c r="D20" s="11"/>
      <c r="E20" s="12" t="str">
        <f aca="false">IF(OR(AG20=0,$D20=""),"",DATE(YEAR(AsOfDate)+IF(DATE(YEAR(AsOfDate),MONTH($D20),DAY($D20))&lt;=AsOfDate,1,0),MONTH($D20),DAY($D20)))</f>
        <v/>
      </c>
      <c r="F20" s="11"/>
      <c r="G20" s="11"/>
      <c r="H20" s="11"/>
      <c r="I20" s="11"/>
      <c r="J20" s="11"/>
      <c r="K20" s="12" t="str">
        <f aca="false">IF(AG20=0,"",DATE(YEAR(AsOfDate)+IF(DATE(YEAR(AsOfDate),MONTH(AH20),DAY(AH20))&lt;=AsOfDate,1,0),MONTH(AH20),DAY(AH20)))</f>
        <v/>
      </c>
      <c r="L20" s="13" t="str">
        <f aca="false">IF(AG20=0,"",ROUND((AsOfDate-AH20)/365.25,1))</f>
        <v/>
      </c>
      <c r="M20" s="14" t="str">
        <f aca="false">IF(AG20=0,"",IF(AsOfDate&lt;AH20,"-",DATEDIF(AH20,AsOfDate,"y")&amp;"y "&amp;DATEDIF(AH20,AsOfDate,"ym")&amp;"m "&amp;DATEDIF(AH20,AsOfDate,"md")&amp;"d"))</f>
        <v/>
      </c>
      <c r="N20" s="15" t="str">
        <f aca="false">IF(AG20=0,"",O20*HoursPerDay)</f>
        <v/>
      </c>
      <c r="O20" s="15" t="str">
        <f aca="false">IF(AG20=0,"",AZ20)</f>
        <v/>
      </c>
      <c r="P20" s="16"/>
      <c r="Q20" s="14" t="str">
        <f aca="false">IF(AG20=0,"",IF(AI20&lt;2,"",AM20&amp;" to "&amp;AN20&amp;" on "&amp;TEXT(AK20,"dd/mm/yyyy")&amp;IF(AK20&gt;AsOfDate," (future)",IF(AP20=AQ20,"",IF(AQ20="None"," - STOPPED accruing",IF(AP20="None"," - commencement for Bonus Leave"," - pathway changed"))))&amp;IF(AI20&lt;3,"","; "&amp;AN20&amp;" to "&amp;AO20&amp;" on "&amp;TEXT(AL20,"dd/mm/yyyy")&amp;IF(AL20&gt;AsOfDate," (future)",IF(AQ20=AR20,"",IF(AR20="None"," - STOPPED accruing",IF(AQ20="None"," - commencement for Bonus Leave"," - pathway changed")))))))</f>
        <v/>
      </c>
      <c r="R20" s="14" t="str">
        <f aca="false">IF(AG20=0,"",IF(AS20="None",IF(O20&gt;0,"No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2" t="str">
        <f aca="false">IF(AG20=0,"",IF(AS20="None","",EDATE(AH20,BB20)))</f>
        <v/>
      </c>
      <c r="T20" s="15" t="str">
        <f aca="false">IF(AG20=0,"",IF(NOT(LH_Ready),"",IF(AH20&gt;PFYDate,0,IF(LH_ColPeriod=0,W20-U20+V20,SUMIFS(INDEX(LH_Data,0,LH_ColAcc),INDEX(LH_Data,0,LH_ColFirst),$A20,INDEX(LH_Data,0,LH_ColSur),$B20,INDEX(LH_Data,0,LH_ColCat),BonusCat,INDEX(LH_Data,0,LH_ColPeriod),LH_OpenLabel)*UnitFactor))))</f>
        <v/>
      </c>
      <c r="U20" s="15" t="str">
        <f aca="false">IF(AG20=0,"",IF(NOT(LH_Ready),"",SUMIFS(INDEX(LH_Data,0,LH_ColAcc),INDEX(LH_Data,0,LH_ColFirst),$A20,INDEX(LH_Data,0,LH_ColSur),$B20,INDEX(LH_Data,0,LH_ColCat),BonusCat,INDEX(LH_Data,0,LH_ColStart),"&gt;="&amp;AH20)*UnitFactor))</f>
        <v/>
      </c>
      <c r="V20" s="15" t="str">
        <f aca="false">IF(AG20=0,"",IF(NOT(LH_Ready),"",SUMIFS(INDEX(LH_Data,0,LH_ColTaken),INDEX(LH_Data,0,LH_ColFirst),$A20,INDEX(LH_Data,0,LH_ColSur),$B20,INDEX(LH_Data,0,LH_ColCat),BonusCat,INDEX(LH_Data,0,LH_ColStart),"&gt;="&amp;AH20)*UnitFactor))</f>
        <v/>
      </c>
      <c r="W20" s="15" t="str">
        <f aca="false">IF(AG20=0,"",IF(NOT(LH_Ready),"",IF(BD20=0,0,INDEX(INDEX(LH_Data,0,LH_ColClose),BD20-1)*UnitFactor)))</f>
        <v/>
      </c>
      <c r="X20" s="15" t="str">
        <f aca="false">IF(AG20=0,"",(AZ20-BA20)*HoursPerDay)</f>
        <v/>
      </c>
      <c r="Y20" s="15" t="str">
        <f aca="false">IF(AG20=0,"",IF(NOT(LH_Ready),"",IF(BC20=0,N20,IF(PFYDate&lt;$F20,N20-N(T20)-N(U20),X20-N(U20)))))</f>
        <v/>
      </c>
      <c r="Z20" s="14" t="str">
        <f aca="false">IF(OR(AG20=0,Y20=""),"",IF(Y20&gt;0,"Yes","No"))</f>
        <v/>
      </c>
      <c r="AA20" s="14" t="str">
        <f aca="false">IF(AG20=0,IF(LEN($A20&amp;$B20)=0,"","FIX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month")&amp;IF(BC20=0,";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EH)",""),IF(AS20="None",R20,"Not yet - first day on "&amp;TEXT(S20,"dd/mm/yyyy")))))))))</f>
        <v/>
      </c>
      <c r="AB20" s="15" t="str">
        <f aca="false">IF(OR(AG20=0,T20=""),"",BA20*HoursPerDay-T20)</f>
        <v/>
      </c>
      <c r="AC20" s="14" t="str">
        <f aca="false">IF(AG20=0,"",BC20)</f>
        <v/>
      </c>
      <c r="AD20" s="14" t="str">
        <f aca="false">IF(AG20=0,"",TRIM(IF(OR(ISTEXT($F20),ISTEXT($H20),ISTEXT($I20),ISTEXT($G20),ISTEXT($J20),ISTEXT($D20)),"A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I20&gt;=1,IF(AI20&gt;=3,AO20,IF(AI20=2,AN20,AM20))&lt;&gt;IF($C20="","",IF(OR(ISNUMBER(SEARCH("full",$C20)),UPPER(TRIM($C20))="FT",UPPER(TRIM($C20))="FTE"),"Full-Time",IF(OR(ISNUMBER(SEARCH("part",$C20)),UPPER(TRIM($C20))="PT",UPPER(TRIM($C20))="PTE"),"Part-Time",IF(OR(ISNUMBER(SEARCH("cas",$C20)),UPPER(TRIM($C20))="CAS"),"Casual","Unknown"))))),"EmploymentType does not match latest start date ("&amp;IF(AI20&gt;=3,AO20,IF(AI20=2,AN20,AM20))&amp;"). ","")&amp;IF(AND(AI20&gt;=1,AJ20&lt;&gt;$F20),"Earliest type date should equal StartDate. ","")&amp;IF(AND(AI20&gt;=2,AJ20=AK20),"Two types start on the same date. ","")&amp;IF(AND(OR(ISNUMBER(SEARCH("part",$C20)),UPPER(TRIM($C20))="PT",UPPER(TRIM($C20))="PTE"),$P20=""),"Part-time: enter PT Hrs/Week (blank = 24+). ","")))</f>
        <v/>
      </c>
      <c r="AE20" s="15" t="str">
        <f aca="false">IF(AG20=0,"",O20-BH20)</f>
        <v/>
      </c>
      <c r="AF20" s="12" t="str">
        <f aca="false">IF(OR(AG20=0,AE20="",N(AE20)=0,BI20=""),"",EDATE(AH20,BI20))</f>
        <v/>
      </c>
      <c r="AG20" s="14" t="n">
        <f aca="false">IF(OR(LEN($A20&amp;$B20)=0,$F20=""),0,1)</f>
        <v>0</v>
      </c>
      <c r="AH20" s="12" t="str">
        <f aca="false">IF(AG20=0,"",IF($J20&lt;&gt;"",$J20,IF(OR(CasualCounts="Yes",COUNT($G20:$I20)=0,COUNT($H20:$I20)=0),$F20,MIN($H20:$I20))))</f>
        <v/>
      </c>
      <c r="AI20" s="14" t="str">
        <f aca="false">IF(AG20=0,"",COUNT($G20:$I20))</f>
        <v/>
      </c>
      <c r="AJ20" s="12" t="str">
        <f aca="false">IF(AG20=0,"",IFERROR(SMALL($G20:$I20,1),""))</f>
        <v/>
      </c>
      <c r="AK20" s="12" t="str">
        <f aca="false">IF(AG20=0,"",IFERROR(SMALL($G20:$I20,2),""))</f>
        <v/>
      </c>
      <c r="AL20" s="12" t="str">
        <f aca="false">IF(AG20=0,"",IFERROR(SMALL($G20:$I20,3),""))</f>
        <v/>
      </c>
      <c r="AM20" s="14" t="str">
        <f aca="false">IF(AG20=0,"",IF(AJ20="","",IF(AJ20=$H20,"Part-Time",IF(AJ20=$I20,"Full-Time","Casual"))))</f>
        <v/>
      </c>
      <c r="AN20" s="14" t="str">
        <f aca="false">IF(AG20=0,"",IF(AK20="","",IF(AK20=$H20,"Part-Time",IF(AK20=$I20,"Full-Time","Casual"))))</f>
        <v/>
      </c>
      <c r="AO20" s="14" t="str">
        <f aca="false">IF(AG20=0,"",IF(AL20="","",IF(AL20=$H20,"Part-Time",IF(AL20=$I20,"Full-Time","Casual"))))</f>
        <v/>
      </c>
      <c r="AP20" s="14" t="str">
        <f aca="false">IF(AG20=0,"",IF(AI20=0,IF(OR(ISNUMBER(SEARCH("full",$C20)),UPPER(TRIM($C20))="FT",UPPER(TRIM($C20))="FTE"),"FT",IF(AND(OR(ISNUMBER(SEARCH("part",$C20)),UPPER(TRIM($C20))="PT",UPPER(TRIM($C20))="PTE"),OR($P20="",N($P20)&gt;=PT_MinHours)),"PT","None")),IF(OR(ISNUMBER(SEARCH("full",AM20)),UPPER(TRIM(AM20))="FT",UPPER(TRIM(AM20))="FTE"),"FT",IF(AND(OR(ISNUMBER(SEARCH("part",AM20)),UPPER(TRIM(AM20))="PT",UPPER(TRIM(AM20))="PTE"),OR($P20="",N($P20)&gt;=PT_MinHours)),"PT","None"))))</f>
        <v/>
      </c>
      <c r="AQ20" s="14" t="str">
        <f aca="false">IF(AG20=0,"",IF(AI20&lt;2,"",IF(OR(ISNUMBER(SEARCH("full",AN20)),UPPER(TRIM(AN20))="FT",UPPER(TRIM(AN20))="FTE"),"FT",IF(AND(OR(ISNUMBER(SEARCH("part",AN20)),UPPER(TRIM(AN20))="PT",UPPER(TRIM(AN20))="PTE"),OR($P20="",N($P20)&gt;=PT_MinHours)),"PT","None"))))</f>
        <v/>
      </c>
      <c r="AR20" s="14" t="str">
        <f aca="false">IF(AG20=0,"",IF(AI20&lt;3,"",IF(OR(ISNUMBER(SEARCH("full",AO20)),UPPER(TRIM(AO20))="FT",UPPER(TRIM(AO20))="FTE"),"FT",IF(AND(OR(ISNUMBER(SEARCH("part",AO20)),UPPER(TRIM(AO20))="PT",UPPER(TRIM(AO20))="PTE"),OR($P20="",N($P20)&gt;=PT_MinHours)),"PT","None"))))</f>
        <v/>
      </c>
      <c r="AS20" s="14" t="str">
        <f aca="false">IF(AG20=0,"",IF(AND(AI20&gt;=3,AL20&lt;=AsOfDate),AR20,IF(AND(AI20&gt;=2,AK20&lt;=AsOfDate),AQ20,AP20)))</f>
        <v/>
      </c>
      <c r="AT20" s="14" t="str">
        <f aca="false">IF(AG20=0,"",IF(AsOfDate&lt;AH20,-1,12*(YEAR(AsOfDate)-YEAR(AH20))+MONTH(AsOfDate)-MONTH(AH20)-IF(DAY(AsOfDate)&lt;MIN(DAY(AH20),DAY(EOMONTH(AsOfDate,0))),1,0)))</f>
        <v/>
      </c>
      <c r="AU20" s="14" t="str">
        <f aca="false">IF(AG20=0,"",IF(OR(AI20&lt;2,AK20&gt;AsOfDate),AT20,IF((AK20-1)&lt;AH20,-1,12*(YEAR((AK20-1))-YEAR(AH20))+MONTH((AK20-1))-MONTH(AH20)-IF(DAY((AK20-1))&lt;MIN(DAY(AH20),DAY(EOMONTH((AK20-1),0))),1,0))))</f>
        <v/>
      </c>
      <c r="AV20" s="14" t="str">
        <f aca="false">IF(AG20=0,"",IF(OR(AI20&lt;3,AL20&gt;AsOfDate),AT20,IF((AL20-1)&lt;AH20,-1,12*(YEAR((AL20-1))-YEAR(AH20))+MONTH((AL20-1))-MONTH(AH20)-IF(DAY((AL20-1))&lt;MIN(DAY(AH20),DAY(EOMONTH((AL20-1),0))),1,0))))</f>
        <v/>
      </c>
      <c r="AW20" s="14" t="str">
        <f aca="false">IF(AG20=0,"",IF(PFYDate&lt;AH20,-1,12*(YEAR(PFYDate)-YEAR(AH20))+MONTH(PFYDate)-MONTH(AH20)-IF(DAY(PFYDate)&lt;MIN(DAY(AH20),DAY(EOMONTH(PFYDate,0))),1,0)))</f>
        <v/>
      </c>
      <c r="AX20" s="14" t="str">
        <f aca="false">IF(AG20=0,"",IF(OR(AI20&lt;2,AK20&gt;PFYDate),AW20,IF((AK20-1)&lt;AH20,-1,12*(YEAR((AK20-1))-YEAR(AH20))+MONTH((AK20-1))-MONTH(AH20)-IF(DAY((AK20-1))&lt;MIN(DAY(AH20),DAY(EOMONTH((AK20-1),0))),1,0))))</f>
        <v/>
      </c>
      <c r="AY20" s="14" t="str">
        <f aca="false">IF(AG20=0,"",IF(OR(AI20&lt;3,AL20&gt;PFYDate),AW20,IF((AL20-1)&lt;AH20,-1,12*(YEAR((AL20-1))-YEAR(AH20))+MONTH((AL20-1))-MONTH(AH20)-IF(DAY((AL20-1))&lt;MIN(DAY(AH20),DAY(EOMONTH((AL20-1),0))),1,0))))</f>
        <v/>
      </c>
      <c r="AZ20" s="14" t="str">
        <f aca="false">IF(AG20=0,"",IF(AP20="FT",IF(AU20&lt;FT_First,0,IF(AU20&lt;FT_Y5,1+INT((AU20-FT_First)/FT_Int1),FT_PreY5+FT_PerYear*INT((AU20-FT_Y5)/12)+FT_AnnivDays+INT(MOD(AU20-FT_Y5,12)/FT_Int2))),IF(AP20="PT",IF(AU20&lt;PT_First,0,1+INT((AU20-PT_First)/PT_Int)),0))+IF(AND(AI20&gt;=2,AK20&lt;=AsOfDate),IF(AQ20="FT",IF(AV20&lt;FT_First,0,IF(AV20&lt;FT_Y5,1+INT((AV20-FT_First)/FT_Int1),FT_PreY5+FT_PerYear*INT((AV20-FT_Y5)/12)+FT_AnnivDays+INT(MOD(AV20-FT_Y5,12)/FT_Int2))),IF(AQ20="PT",IF(AV20&lt;PT_First,0,1+INT((AV20-PT_First)/PT_Int)),0))-IF(AQ20="FT",IF(AU20&lt;FT_First,0,IF(AU20&lt;FT_Y5,1+INT((AU20-FT_First)/FT_Int1),FT_PreY5+FT_PerYear*INT((AU20-FT_Y5)/12)+FT_AnnivDays+INT(MOD(AU20-FT_Y5,12)/FT_Int2))),IF(AQ20="PT",IF(AU20&lt;PT_First,0,1+INT((AU20-PT_First)/PT_Int)),0)),0)+IF(AND(AI20&gt;=3,AL20&lt;=AsOfDate),IF(AR20="FT",IF(AT20&lt;FT_First,0,IF(AT20&lt;FT_Y5,1+INT((AT20-FT_First)/FT_Int1),FT_PreY5+FT_PerYear*INT((AT20-FT_Y5)/12)+FT_AnnivDays+INT(MOD(AT20-FT_Y5,12)/FT_Int2))),IF(AR20="PT",IF(AT20&lt;PT_First,0,1+INT((AT20-PT_First)/PT_Int)),0))-IF(AR20="FT",IF(AV20&lt;FT_First,0,IF(AV20&lt;FT_Y5,1+INT((AV20-FT_First)/FT_Int1),FT_PreY5+FT_PerYear*INT((AV20-FT_Y5)/12)+FT_AnnivDays+INT(MOD(AV20-FT_Y5,12)/FT_Int2))),IF(AR20="PT",IF(AV20&lt;PT_First,0,1+INT((AV20-PT_First)/PT_Int)),0)),0))</f>
        <v/>
      </c>
      <c r="BA20" s="14" t="str">
        <f aca="false">IF(AG20=0,"",IF(AP20="FT",IF(AX20&lt;FT_First,0,IF(AX20&lt;FT_Y5,1+INT((AX20-FT_First)/FT_Int1),FT_PreY5+FT_PerYear*INT((AX20-FT_Y5)/12)+FT_AnnivDays+INT(MOD(AX20-FT_Y5,12)/FT_Int2))),IF(AP20="PT",IF(AX20&lt;PT_First,0,1+INT((AX20-PT_First)/PT_Int)),0))+IF(AND(AI20&gt;=2,AK20&lt;=PFYDate),IF(AQ20="FT",IF(AY20&lt;FT_First,0,IF(AY20&lt;FT_Y5,1+INT((AY20-FT_First)/FT_Int1),FT_PreY5+FT_PerYear*INT((AY20-FT_Y5)/12)+FT_AnnivDays+INT(MOD(AY20-FT_Y5,12)/FT_Int2))),IF(AQ20="PT",IF(AY20&lt;PT_First,0,1+INT((AY20-PT_First)/PT_Int)),0))-IF(AQ20="FT",IF(AX20&lt;FT_First,0,IF(AX20&lt;FT_Y5,1+INT((AX20-FT_First)/FT_Int1),FT_PreY5+FT_PerYear*INT((AX20-FT_Y5)/12)+FT_AnnivDays+INT(MOD(AX20-FT_Y5,12)/FT_Int2))),IF(AQ20="PT",IF(AX20&lt;PT_First,0,1+INT((AX20-PT_First)/PT_Int)),0)),0)+IF(AND(AI20&gt;=3,AL20&lt;=PFYDate),IF(AR20="FT",IF(AW20&lt;FT_First,0,IF(AW20&lt;FT_Y5,1+INT((AW20-FT_First)/FT_Int1),FT_PreY5+FT_PerYear*INT((AW20-FT_Y5)/12)+FT_AnnivDays+INT(MOD(AW20-FT_Y5,12)/FT_Int2))),IF(AR20="PT",IF(AW20&lt;PT_First,0,1+INT((AW20-PT_First)/PT_Int)),0))-IF(AR20="FT",IF(AY20&lt;FT_First,0,IF(AY20&lt;FT_Y5,1+INT((AY20-FT_First)/FT_Int1),FT_PreY5+FT_PerYear*INT((AY20-FT_Y5)/12)+FT_AnnivDays+INT(MOD(AY20-FT_Y5,12)/FT_Int2))),IF(AR20="PT",IF(AY20&lt;PT_First,0,1+INT((AY20-PT_First)/PT_Int)),0)),0))</f>
        <v/>
      </c>
      <c r="BB20" s="14" t="str">
        <f aca="false">IF(AG20=0,"",IF(AS20="FT",IF(AT20&lt;FT_First,FT_First,IF(AT20&lt;FT_Y5,MIN(FT_Y5,FT_First+FT_Int1*(INT((AT20-FT_First)/FT_Int1)+1)),FT_Y5+12*INT((AT20-FT_Y5)/12)+FT_Int2*(INT(MOD(AT20-FT_Y5,12)/FT_Int2)+1))),IF(AS20="PT",IF(AT20&lt;PT_First,PT_First,PT_First+PT_Int*(INT((AT20-PT_First)/PT_Int)+1)),"")))</f>
        <v/>
      </c>
      <c r="BC20" s="14" t="str">
        <f aca="false">IF(AG20=0,"",IF(NOT(LH_Ready),0,COUNTIFS(INDEX(LH_Data,0,LH_ColFirst),$A20,INDEX(LH_Data,0,LH_ColSur),$B20,INDEX(LH_Data,0,LH_ColCat),BonusCat)))</f>
        <v/>
      </c>
      <c r="BD20" s="14" t="str">
        <f aca="false">IF(AG20=0,"",IF(OR(NOT(LH_Ready),BC20=0),0,SUMPRODUCT(MAX((INDEX(LH_Data,0,LH_ColFirst)=$A20)*(INDEX(LH_Data,0,LH_ColSur)=$B20)*(INDEX(LH_Data,0,LH_ColCat)=BonusCat)*ROW(LH_Data)))))</f>
        <v/>
      </c>
      <c r="BE20" s="14" t="str">
        <f aca="false">IF(AG20=0,"",IF(EOMONTH(AsOfDate,-1)&lt;AH20,-1,12*(YEAR(EOMONTH(AsOfDate,-1))-YEAR(AH20))+MONTH(EOMONTH(AsOfDate,-1))-MONTH(AH20)-IF(DAY(EOMONTH(AsOfDate,-1))&lt;MIN(DAY(AH20),DAY(EOMONTH(EOMONTH(AsOfDate,-1),0))),1,0)))</f>
        <v/>
      </c>
      <c r="BF20" s="14" t="str">
        <f aca="false">IF(AG20=0,"",IF(OR(AI20&lt;2,AK20&gt;EOMONTH(AsOfDate,-1)),BE20,IF((AK20-1)&lt;AH20,-1,12*(YEAR((AK20-1))-YEAR(AH20))+MONTH((AK20-1))-MONTH(AH20)-IF(DAY((AK20-1))&lt;MIN(DAY(AH20),DAY(EOMONTH((AK20-1),0))),1,0))))</f>
        <v/>
      </c>
      <c r="BG20" s="14" t="str">
        <f aca="false">IF(AG20=0,"",IF(OR(AI20&lt;3,AL20&gt;EOMONTH(AsOfDate,-1)),BE20,IF((AL20-1)&lt;AH20,-1,12*(YEAR((AL20-1))-YEAR(AH20))+MONTH((AL20-1))-MONTH(AH20)-IF(DAY((AL20-1))&lt;MIN(DAY(AH20),DAY(EOMONTH((AL20-1),0))),1,0))))</f>
        <v/>
      </c>
      <c r="BH20" s="14" t="str">
        <f aca="false">IF(AG20=0,"",IF(AP20="FT",IF(BF20&lt;FT_First,0,IF(BF20&lt;FT_Y5,1+INT((BF20-FT_First)/FT_Int1),FT_PreY5+FT_PerYear*INT((BF20-FT_Y5)/12)+FT_AnnivDays+INT(MOD(BF20-FT_Y5,12)/FT_Int2))),IF(AP20="PT",IF(BF20&lt;PT_First,0,1+INT((BF20-PT_First)/PT_Int)),0))+IF(AND(AI20&gt;=2,AK20&lt;=EOMONTH(AsOfDate,-1)),IF(AQ20="FT",IF(BG20&lt;FT_First,0,IF(BG20&lt;FT_Y5,1+INT((BG20-FT_First)/FT_Int1),FT_PreY5+FT_PerYear*INT((BG20-FT_Y5)/12)+FT_AnnivDays+INT(MOD(BG20-FT_Y5,12)/FT_Int2))),IF(AQ20="PT",IF(BG20&lt;PT_First,0,1+INT((BG20-PT_First)/PT_Int)),0))-IF(AQ20="FT",IF(BF20&lt;FT_First,0,IF(BF20&lt;FT_Y5,1+INT((BF20-FT_First)/FT_Int1),FT_PreY5+FT_PerYear*INT((BF20-FT_Y5)/12)+FT_AnnivDays+INT(MOD(BF20-FT_Y5,12)/FT_Int2))),IF(AQ20="PT",IF(BF20&lt;PT_First,0,1+INT((BF20-PT_First)/PT_Int)),0)),0)+IF(AND(AI20&gt;=3,AL20&lt;=EOMONTH(AsOfDate,-1)),IF(AR20="FT",IF(BE20&lt;FT_First,0,IF(BE20&lt;FT_Y5,1+INT((BE20-FT_First)/FT_Int1),FT_PreY5+FT_PerYear*INT((BE20-FT_Y5)/12)+FT_AnnivDays+INT(MOD(BE20-FT_Y5,12)/FT_Int2))),IF(AR20="PT",IF(BE20&lt;PT_First,0,1+INT((BE20-PT_First)/PT_Int)),0))-IF(AR20="FT",IF(BG20&lt;FT_First,0,IF(BG20&lt;FT_Y5,1+INT((BG20-FT_First)/FT_Int1),FT_PreY5+FT_PerYear*INT((BG20-FT_Y5)/12)+FT_AnnivDays+INT(MOD(BG20-FT_Y5,12)/FT_Int2))),IF(AR20="PT",IF(BG20&lt;PT_First,0,1+INT((BG20-PT_First)/PT_Int)),0)),0))</f>
        <v/>
      </c>
      <c r="BI20" s="14" t="str">
        <f aca="false">IF(AG20=0,"",IF(AS20="FT",IF(AT20&lt;FT_First,"",IF(AT20&lt;FT_Y5,FT_First+FT_Int1*INT((AT20-FT_First)/FT_Int1),FT_Y5+FT_Int2*INT((AT20-FT_Y5)/FT_Int2))),IF(AS20="PT",IF(AT20&lt;PT_First,"",PT_First+PT_Int*INT((AT20-PT_First)/PT_Int)),"")))</f>
        <v/>
      </c>
      <c r="BJ20" s="0" t="str">
        <f aca="false">IF(LEN($A20&amp;$B20)=0,"",$A20&amp;" "&amp;$B20)</f>
        <v/>
      </c>
    </row>
    <row r="21" customFormat="false" ht="15" hidden="false" customHeight="false" outlineLevel="0" collapsed="false">
      <c r="A21" s="10"/>
      <c r="B21" s="10"/>
      <c r="C21" s="10"/>
      <c r="D21" s="11"/>
      <c r="E21" s="12" t="str">
        <f aca="false">IF(OR(AG21=0,$D21=""),"",DATE(YEAR(AsOfDate)+IF(DATE(YEAR(AsOfDate),MONTH($D21),DAY($D21))&lt;=AsOfDate,1,0),MONTH($D21),DAY($D21)))</f>
        <v/>
      </c>
      <c r="F21" s="11"/>
      <c r="G21" s="11"/>
      <c r="H21" s="11"/>
      <c r="I21" s="11"/>
      <c r="J21" s="11"/>
      <c r="K21" s="12" t="str">
        <f aca="false">IF(AG21=0,"",DATE(YEAR(AsOfDate)+IF(DATE(YEAR(AsOfDate),MONTH(AH21),DAY(AH21))&lt;=AsOfDate,1,0),MONTH(AH21),DAY(AH21)))</f>
        <v/>
      </c>
      <c r="L21" s="13" t="str">
        <f aca="false">IF(AG21=0,"",ROUND((AsOfDate-AH21)/365.25,1))</f>
        <v/>
      </c>
      <c r="M21" s="14" t="str">
        <f aca="false">IF(AG21=0,"",IF(AsOfDate&lt;AH21,"-",DATEDIF(AH21,AsOfDate,"y")&amp;"y "&amp;DATEDIF(AH21,AsOfDate,"ym")&amp;"m "&amp;DATEDIF(AH21,AsOfDate,"md")&amp;"d"))</f>
        <v/>
      </c>
      <c r="N21" s="15" t="str">
        <f aca="false">IF(AG21=0,"",O21*HoursPerDay)</f>
        <v/>
      </c>
      <c r="O21" s="15" t="str">
        <f aca="false">IF(AG21=0,"",AZ21)</f>
        <v/>
      </c>
      <c r="P21" s="16"/>
      <c r="Q21" s="14" t="str">
        <f aca="false">IF(AG21=0,"",IF(AI21&lt;2,"",AM21&amp;" to "&amp;AN21&amp;" on "&amp;TEXT(AK21,"dd/mm/yyyy")&amp;IF(AK21&gt;AsOfDate," (future)",IF(AP21=AQ21,"",IF(AQ21="None"," - STOPPED accruing",IF(AP21="None"," - commencement for Bonus Leave"," - pathway changed"))))&amp;IF(AI21&lt;3,"","; "&amp;AN21&amp;" to "&amp;AO21&amp;" on "&amp;TEXT(AL21,"dd/mm/yyyy")&amp;IF(AL21&gt;AsOfDate," (future)",IF(AQ21=AR21,"",IF(AR21="None"," - STOPPED accruing",IF(AQ21="None"," - commencement for Bonus Leave"," - pathway changed")))))))</f>
        <v/>
      </c>
      <c r="R21" s="14" t="str">
        <f aca="false">IF(AG21=0,"",IF(AS21="None",IF(O21&gt;0,"No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2" t="str">
        <f aca="false">IF(AG21=0,"",IF(AS21="None","",EDATE(AH21,BB21)))</f>
        <v/>
      </c>
      <c r="T21" s="15" t="str">
        <f aca="false">IF(AG21=0,"",IF(NOT(LH_Ready),"",IF(AH21&gt;PFYDate,0,IF(LH_ColPeriod=0,W21-U21+V21,SUMIFS(INDEX(LH_Data,0,LH_ColAcc),INDEX(LH_Data,0,LH_ColFirst),$A21,INDEX(LH_Data,0,LH_ColSur),$B21,INDEX(LH_Data,0,LH_ColCat),BonusCat,INDEX(LH_Data,0,LH_ColPeriod),LH_OpenLabel)*UnitFactor))))</f>
        <v/>
      </c>
      <c r="U21" s="15" t="str">
        <f aca="false">IF(AG21=0,"",IF(NOT(LH_Ready),"",SUMIFS(INDEX(LH_Data,0,LH_ColAcc),INDEX(LH_Data,0,LH_ColFirst),$A21,INDEX(LH_Data,0,LH_ColSur),$B21,INDEX(LH_Data,0,LH_ColCat),BonusCat,INDEX(LH_Data,0,LH_ColStart),"&gt;="&amp;AH21)*UnitFactor))</f>
        <v/>
      </c>
      <c r="V21" s="15" t="str">
        <f aca="false">IF(AG21=0,"",IF(NOT(LH_Ready),"",SUMIFS(INDEX(LH_Data,0,LH_ColTaken),INDEX(LH_Data,0,LH_ColFirst),$A21,INDEX(LH_Data,0,LH_ColSur),$B21,INDEX(LH_Data,0,LH_ColCat),BonusCat,INDEX(LH_Data,0,LH_ColStart),"&gt;="&amp;AH21)*UnitFactor))</f>
        <v/>
      </c>
      <c r="W21" s="15" t="str">
        <f aca="false">IF(AG21=0,"",IF(NOT(LH_Ready),"",IF(BD21=0,0,INDEX(INDEX(LH_Data,0,LH_ColClose),BD21-1)*UnitFactor)))</f>
        <v/>
      </c>
      <c r="X21" s="15" t="str">
        <f aca="false">IF(AG21=0,"",(AZ21-BA21)*HoursPerDay)</f>
        <v/>
      </c>
      <c r="Y21" s="15" t="str">
        <f aca="false">IF(AG21=0,"",IF(NOT(LH_Ready),"",IF(BC21=0,N21,IF(PFYDate&lt;$F21,N21-N(T21)-N(U21),X21-N(U21)))))</f>
        <v/>
      </c>
      <c r="Z21" s="14" t="str">
        <f aca="false">IF(OR(AG21=0,Y21=""),"",IF(Y21&gt;0,"Yes","No"))</f>
        <v/>
      </c>
      <c r="AA21" s="14" t="str">
        <f aca="false">IF(AG21=0,IF(LEN($A21&amp;$B21)=0,"","FIX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month")&amp;IF(BC21=0,";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EH)",""),IF(AS21="None",R21,"Not yet - first day on "&amp;TEXT(S21,"dd/mm/yyyy")))))))))</f>
        <v/>
      </c>
      <c r="AB21" s="15" t="str">
        <f aca="false">IF(OR(AG21=0,T21=""),"",BA21*HoursPerDay-T21)</f>
        <v/>
      </c>
      <c r="AC21" s="14" t="str">
        <f aca="false">IF(AG21=0,"",BC21)</f>
        <v/>
      </c>
      <c r="AD21" s="14" t="str">
        <f aca="false">IF(AG21=0,"",TRIM(IF(OR(ISTEXT($F21),ISTEXT($H21),ISTEXT($I21),ISTEXT($G21),ISTEXT($J21),ISTEXT($D21)),"A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I21&gt;=1,IF(AI21&gt;=3,AO21,IF(AI21=2,AN21,AM21))&lt;&gt;IF($C21="","",IF(OR(ISNUMBER(SEARCH("full",$C21)),UPPER(TRIM($C21))="FT",UPPER(TRIM($C21))="FTE"),"Full-Time",IF(OR(ISNUMBER(SEARCH("part",$C21)),UPPER(TRIM($C21))="PT",UPPER(TRIM($C21))="PTE"),"Part-Time",IF(OR(ISNUMBER(SEARCH("cas",$C21)),UPPER(TRIM($C21))="CAS"),"Casual","Unknown"))))),"EmploymentType does not match latest start date ("&amp;IF(AI21&gt;=3,AO21,IF(AI21=2,AN21,AM21))&amp;"). ","")&amp;IF(AND(AI21&gt;=1,AJ21&lt;&gt;$F21),"Earliest type date should equal StartDate. ","")&amp;IF(AND(AI21&gt;=2,AJ21=AK21),"Two types start on the same date. ","")&amp;IF(AND(OR(ISNUMBER(SEARCH("part",$C21)),UPPER(TRIM($C21))="PT",UPPER(TRIM($C21))="PTE"),$P21=""),"Part-time: enter PT Hrs/Week (blank = 24+). ","")))</f>
        <v/>
      </c>
      <c r="AE21" s="15" t="str">
        <f aca="false">IF(AG21=0,"",O21-BH21)</f>
        <v/>
      </c>
      <c r="AF21" s="12" t="str">
        <f aca="false">IF(OR(AG21=0,AE21="",N(AE21)=0,BI21=""),"",EDATE(AH21,BI21))</f>
        <v/>
      </c>
      <c r="AG21" s="14" t="n">
        <f aca="false">IF(OR(LEN($A21&amp;$B21)=0,$F21=""),0,1)</f>
        <v>0</v>
      </c>
      <c r="AH21" s="12" t="str">
        <f aca="false">IF(AG21=0,"",IF($J21&lt;&gt;"",$J21,IF(OR(CasualCounts="Yes",COUNT($G21:$I21)=0,COUNT($H21:$I21)=0),$F21,MIN($H21:$I21))))</f>
        <v/>
      </c>
      <c r="AI21" s="14" t="str">
        <f aca="false">IF(AG21=0,"",COUNT($G21:$I21))</f>
        <v/>
      </c>
      <c r="AJ21" s="12" t="str">
        <f aca="false">IF(AG21=0,"",IFERROR(SMALL($G21:$I21,1),""))</f>
        <v/>
      </c>
      <c r="AK21" s="12" t="str">
        <f aca="false">IF(AG21=0,"",IFERROR(SMALL($G21:$I21,2),""))</f>
        <v/>
      </c>
      <c r="AL21" s="12" t="str">
        <f aca="false">IF(AG21=0,"",IFERROR(SMALL($G21:$I21,3),""))</f>
        <v/>
      </c>
      <c r="AM21" s="14" t="str">
        <f aca="false">IF(AG21=0,"",IF(AJ21="","",IF(AJ21=$H21,"Part-Time",IF(AJ21=$I21,"Full-Time","Casual"))))</f>
        <v/>
      </c>
      <c r="AN21" s="14" t="str">
        <f aca="false">IF(AG21=0,"",IF(AK21="","",IF(AK21=$H21,"Part-Time",IF(AK21=$I21,"Full-Time","Casual"))))</f>
        <v/>
      </c>
      <c r="AO21" s="14" t="str">
        <f aca="false">IF(AG21=0,"",IF(AL21="","",IF(AL21=$H21,"Part-Time",IF(AL21=$I21,"Full-Time","Casual"))))</f>
        <v/>
      </c>
      <c r="AP21" s="14" t="str">
        <f aca="false">IF(AG21=0,"",IF(AI21=0,IF(OR(ISNUMBER(SEARCH("full",$C21)),UPPER(TRIM($C21))="FT",UPPER(TRIM($C21))="FTE"),"FT",IF(AND(OR(ISNUMBER(SEARCH("part",$C21)),UPPER(TRIM($C21))="PT",UPPER(TRIM($C21))="PTE"),OR($P21="",N($P21)&gt;=PT_MinHours)),"PT","None")),IF(OR(ISNUMBER(SEARCH("full",AM21)),UPPER(TRIM(AM21))="FT",UPPER(TRIM(AM21))="FTE"),"FT",IF(AND(OR(ISNUMBER(SEARCH("part",AM21)),UPPER(TRIM(AM21))="PT",UPPER(TRIM(AM21))="PTE"),OR($P21="",N($P21)&gt;=PT_MinHours)),"PT","None"))))</f>
        <v/>
      </c>
      <c r="AQ21" s="14" t="str">
        <f aca="false">IF(AG21=0,"",IF(AI21&lt;2,"",IF(OR(ISNUMBER(SEARCH("full",AN21)),UPPER(TRIM(AN21))="FT",UPPER(TRIM(AN21))="FTE"),"FT",IF(AND(OR(ISNUMBER(SEARCH("part",AN21)),UPPER(TRIM(AN21))="PT",UPPER(TRIM(AN21))="PTE"),OR($P21="",N($P21)&gt;=PT_MinHours)),"PT","None"))))</f>
        <v/>
      </c>
      <c r="AR21" s="14" t="str">
        <f aca="false">IF(AG21=0,"",IF(AI21&lt;3,"",IF(OR(ISNUMBER(SEARCH("full",AO21)),UPPER(TRIM(AO21))="FT",UPPER(TRIM(AO21))="FTE"),"FT",IF(AND(OR(ISNUMBER(SEARCH("part",AO21)),UPPER(TRIM(AO21))="PT",UPPER(TRIM(AO21))="PTE"),OR($P21="",N($P21)&gt;=PT_MinHours)),"PT","None"))))</f>
        <v/>
      </c>
      <c r="AS21" s="14" t="str">
        <f aca="false">IF(AG21=0,"",IF(AND(AI21&gt;=3,AL21&lt;=AsOfDate),AR21,IF(AND(AI21&gt;=2,AK21&lt;=AsOfDate),AQ21,AP21)))</f>
        <v/>
      </c>
      <c r="AT21" s="14" t="str">
        <f aca="false">IF(AG21=0,"",IF(AsOfDate&lt;AH21,-1,12*(YEAR(AsOfDate)-YEAR(AH21))+MONTH(AsOfDate)-MONTH(AH21)-IF(DAY(AsOfDate)&lt;MIN(DAY(AH21),DAY(EOMONTH(AsOfDate,0))),1,0)))</f>
        <v/>
      </c>
      <c r="AU21" s="14" t="str">
        <f aca="false">IF(AG21=0,"",IF(OR(AI21&lt;2,AK21&gt;AsOfDate),AT21,IF((AK21-1)&lt;AH21,-1,12*(YEAR((AK21-1))-YEAR(AH21))+MONTH((AK21-1))-MONTH(AH21)-IF(DAY((AK21-1))&lt;MIN(DAY(AH21),DAY(EOMONTH((AK21-1),0))),1,0))))</f>
        <v/>
      </c>
      <c r="AV21" s="14" t="str">
        <f aca="false">IF(AG21=0,"",IF(OR(AI21&lt;3,AL21&gt;AsOfDate),AT21,IF((AL21-1)&lt;AH21,-1,12*(YEAR((AL21-1))-YEAR(AH21))+MONTH((AL21-1))-MONTH(AH21)-IF(DAY((AL21-1))&lt;MIN(DAY(AH21),DAY(EOMONTH((AL21-1),0))),1,0))))</f>
        <v/>
      </c>
      <c r="AW21" s="14" t="str">
        <f aca="false">IF(AG21=0,"",IF(PFYDate&lt;AH21,-1,12*(YEAR(PFYDate)-YEAR(AH21))+MONTH(PFYDate)-MONTH(AH21)-IF(DAY(PFYDate)&lt;MIN(DAY(AH21),DAY(EOMONTH(PFYDate,0))),1,0)))</f>
        <v/>
      </c>
      <c r="AX21" s="14" t="str">
        <f aca="false">IF(AG21=0,"",IF(OR(AI21&lt;2,AK21&gt;PFYDate),AW21,IF((AK21-1)&lt;AH21,-1,12*(YEAR((AK21-1))-YEAR(AH21))+MONTH((AK21-1))-MONTH(AH21)-IF(DAY((AK21-1))&lt;MIN(DAY(AH21),DAY(EOMONTH((AK21-1),0))),1,0))))</f>
        <v/>
      </c>
      <c r="AY21" s="14" t="str">
        <f aca="false">IF(AG21=0,"",IF(OR(AI21&lt;3,AL21&gt;PFYDate),AW21,IF((AL21-1)&lt;AH21,-1,12*(YEAR((AL21-1))-YEAR(AH21))+MONTH((AL21-1))-MONTH(AH21)-IF(DAY((AL21-1))&lt;MIN(DAY(AH21),DAY(EOMONTH((AL21-1),0))),1,0))))</f>
        <v/>
      </c>
      <c r="AZ21" s="14" t="str">
        <f aca="false">IF(AG21=0,"",IF(AP21="FT",IF(AU21&lt;FT_First,0,IF(AU21&lt;FT_Y5,1+INT((AU21-FT_First)/FT_Int1),FT_PreY5+FT_PerYear*INT((AU21-FT_Y5)/12)+FT_AnnivDays+INT(MOD(AU21-FT_Y5,12)/FT_Int2))),IF(AP21="PT",IF(AU21&lt;PT_First,0,1+INT((AU21-PT_First)/PT_Int)),0))+IF(AND(AI21&gt;=2,AK21&lt;=AsOfDate),IF(AQ21="FT",IF(AV21&lt;FT_First,0,IF(AV21&lt;FT_Y5,1+INT((AV21-FT_First)/FT_Int1),FT_PreY5+FT_PerYear*INT((AV21-FT_Y5)/12)+FT_AnnivDays+INT(MOD(AV21-FT_Y5,12)/FT_Int2))),IF(AQ21="PT",IF(AV21&lt;PT_First,0,1+INT((AV21-PT_First)/PT_Int)),0))-IF(AQ21="FT",IF(AU21&lt;FT_First,0,IF(AU21&lt;FT_Y5,1+INT((AU21-FT_First)/FT_Int1),FT_PreY5+FT_PerYear*INT((AU21-FT_Y5)/12)+FT_AnnivDays+INT(MOD(AU21-FT_Y5,12)/FT_Int2))),IF(AQ21="PT",IF(AU21&lt;PT_First,0,1+INT((AU21-PT_First)/PT_Int)),0)),0)+IF(AND(AI21&gt;=3,AL21&lt;=AsOfDate),IF(AR21="FT",IF(AT21&lt;FT_First,0,IF(AT21&lt;FT_Y5,1+INT((AT21-FT_First)/FT_Int1),FT_PreY5+FT_PerYear*INT((AT21-FT_Y5)/12)+FT_AnnivDays+INT(MOD(AT21-FT_Y5,12)/FT_Int2))),IF(AR21="PT",IF(AT21&lt;PT_First,0,1+INT((AT21-PT_First)/PT_Int)),0))-IF(AR21="FT",IF(AV21&lt;FT_First,0,IF(AV21&lt;FT_Y5,1+INT((AV21-FT_First)/FT_Int1),FT_PreY5+FT_PerYear*INT((AV21-FT_Y5)/12)+FT_AnnivDays+INT(MOD(AV21-FT_Y5,12)/FT_Int2))),IF(AR21="PT",IF(AV21&lt;PT_First,0,1+INT((AV21-PT_First)/PT_Int)),0)),0))</f>
        <v/>
      </c>
      <c r="BA21" s="14" t="str">
        <f aca="false">IF(AG21=0,"",IF(AP21="FT",IF(AX21&lt;FT_First,0,IF(AX21&lt;FT_Y5,1+INT((AX21-FT_First)/FT_Int1),FT_PreY5+FT_PerYear*INT((AX21-FT_Y5)/12)+FT_AnnivDays+INT(MOD(AX21-FT_Y5,12)/FT_Int2))),IF(AP21="PT",IF(AX21&lt;PT_First,0,1+INT((AX21-PT_First)/PT_Int)),0))+IF(AND(AI21&gt;=2,AK21&lt;=PFYDate),IF(AQ21="FT",IF(AY21&lt;FT_First,0,IF(AY21&lt;FT_Y5,1+INT((AY21-FT_First)/FT_Int1),FT_PreY5+FT_PerYear*INT((AY21-FT_Y5)/12)+FT_AnnivDays+INT(MOD(AY21-FT_Y5,12)/FT_Int2))),IF(AQ21="PT",IF(AY21&lt;PT_First,0,1+INT((AY21-PT_First)/PT_Int)),0))-IF(AQ21="FT",IF(AX21&lt;FT_First,0,IF(AX21&lt;FT_Y5,1+INT((AX21-FT_First)/FT_Int1),FT_PreY5+FT_PerYear*INT((AX21-FT_Y5)/12)+FT_AnnivDays+INT(MOD(AX21-FT_Y5,12)/FT_Int2))),IF(AQ21="PT",IF(AX21&lt;PT_First,0,1+INT((AX21-PT_First)/PT_Int)),0)),0)+IF(AND(AI21&gt;=3,AL21&lt;=PFYDate),IF(AR21="FT",IF(AW21&lt;FT_First,0,IF(AW21&lt;FT_Y5,1+INT((AW21-FT_First)/FT_Int1),FT_PreY5+FT_PerYear*INT((AW21-FT_Y5)/12)+FT_AnnivDays+INT(MOD(AW21-FT_Y5,12)/FT_Int2))),IF(AR21="PT",IF(AW21&lt;PT_First,0,1+INT((AW21-PT_First)/PT_Int)),0))-IF(AR21="FT",IF(AY21&lt;FT_First,0,IF(AY21&lt;FT_Y5,1+INT((AY21-FT_First)/FT_Int1),FT_PreY5+FT_PerYear*INT((AY21-FT_Y5)/12)+FT_AnnivDays+INT(MOD(AY21-FT_Y5,12)/FT_Int2))),IF(AR21="PT",IF(AY21&lt;PT_First,0,1+INT((AY21-PT_First)/PT_Int)),0)),0))</f>
        <v/>
      </c>
      <c r="BB21" s="14" t="str">
        <f aca="false">IF(AG21=0,"",IF(AS21="FT",IF(AT21&lt;FT_First,FT_First,IF(AT21&lt;FT_Y5,MIN(FT_Y5,FT_First+FT_Int1*(INT((AT21-FT_First)/FT_Int1)+1)),FT_Y5+12*INT((AT21-FT_Y5)/12)+FT_Int2*(INT(MOD(AT21-FT_Y5,12)/FT_Int2)+1))),IF(AS21="PT",IF(AT21&lt;PT_First,PT_First,PT_First+PT_Int*(INT((AT21-PT_First)/PT_Int)+1)),"")))</f>
        <v/>
      </c>
      <c r="BC21" s="14" t="str">
        <f aca="false">IF(AG21=0,"",IF(NOT(LH_Ready),0,COUNTIFS(INDEX(LH_Data,0,LH_ColFirst),$A21,INDEX(LH_Data,0,LH_ColSur),$B21,INDEX(LH_Data,0,LH_ColCat),BonusCat)))</f>
        <v/>
      </c>
      <c r="BD21" s="14" t="str">
        <f aca="false">IF(AG21=0,"",IF(OR(NOT(LH_Ready),BC21=0),0,SUMPRODUCT(MAX((INDEX(LH_Data,0,LH_ColFirst)=$A21)*(INDEX(LH_Data,0,LH_ColSur)=$B21)*(INDEX(LH_Data,0,LH_ColCat)=BonusCat)*ROW(LH_Data)))))</f>
        <v/>
      </c>
      <c r="BE21" s="14" t="str">
        <f aca="false">IF(AG21=0,"",IF(EOMONTH(AsOfDate,-1)&lt;AH21,-1,12*(YEAR(EOMONTH(AsOfDate,-1))-YEAR(AH21))+MONTH(EOMONTH(AsOfDate,-1))-MONTH(AH21)-IF(DAY(EOMONTH(AsOfDate,-1))&lt;MIN(DAY(AH21),DAY(EOMONTH(EOMONTH(AsOfDate,-1),0))),1,0)))</f>
        <v/>
      </c>
      <c r="BF21" s="14" t="str">
        <f aca="false">IF(AG21=0,"",IF(OR(AI21&lt;2,AK21&gt;EOMONTH(AsOfDate,-1)),BE21,IF((AK21-1)&lt;AH21,-1,12*(YEAR((AK21-1))-YEAR(AH21))+MONTH((AK21-1))-MONTH(AH21)-IF(DAY((AK21-1))&lt;MIN(DAY(AH21),DAY(EOMONTH((AK21-1),0))),1,0))))</f>
        <v/>
      </c>
      <c r="BG21" s="14" t="str">
        <f aca="false">IF(AG21=0,"",IF(OR(AI21&lt;3,AL21&gt;EOMONTH(AsOfDate,-1)),BE21,IF((AL21-1)&lt;AH21,-1,12*(YEAR((AL21-1))-YEAR(AH21))+MONTH((AL21-1))-MONTH(AH21)-IF(DAY((AL21-1))&lt;MIN(DAY(AH21),DAY(EOMONTH((AL21-1),0))),1,0))))</f>
        <v/>
      </c>
      <c r="BH21" s="14" t="str">
        <f aca="false">IF(AG21=0,"",IF(AP21="FT",IF(BF21&lt;FT_First,0,IF(BF21&lt;FT_Y5,1+INT((BF21-FT_First)/FT_Int1),FT_PreY5+FT_PerYear*INT((BF21-FT_Y5)/12)+FT_AnnivDays+INT(MOD(BF21-FT_Y5,12)/FT_Int2))),IF(AP21="PT",IF(BF21&lt;PT_First,0,1+INT((BF21-PT_First)/PT_Int)),0))+IF(AND(AI21&gt;=2,AK21&lt;=EOMONTH(AsOfDate,-1)),IF(AQ21="FT",IF(BG21&lt;FT_First,0,IF(BG21&lt;FT_Y5,1+INT((BG21-FT_First)/FT_Int1),FT_PreY5+FT_PerYear*INT((BG21-FT_Y5)/12)+FT_AnnivDays+INT(MOD(BG21-FT_Y5,12)/FT_Int2))),IF(AQ21="PT",IF(BG21&lt;PT_First,0,1+INT((BG21-PT_First)/PT_Int)),0))-IF(AQ21="FT",IF(BF21&lt;FT_First,0,IF(BF21&lt;FT_Y5,1+INT((BF21-FT_First)/FT_Int1),FT_PreY5+FT_PerYear*INT((BF21-FT_Y5)/12)+FT_AnnivDays+INT(MOD(BF21-FT_Y5,12)/FT_Int2))),IF(AQ21="PT",IF(BF21&lt;PT_First,0,1+INT((BF21-PT_First)/PT_Int)),0)),0)+IF(AND(AI21&gt;=3,AL21&lt;=EOMONTH(AsOfDate,-1)),IF(AR21="FT",IF(BE21&lt;FT_First,0,IF(BE21&lt;FT_Y5,1+INT((BE21-FT_First)/FT_Int1),FT_PreY5+FT_PerYear*INT((BE21-FT_Y5)/12)+FT_AnnivDays+INT(MOD(BE21-FT_Y5,12)/FT_Int2))),IF(AR21="PT",IF(BE21&lt;PT_First,0,1+INT((BE21-PT_First)/PT_Int)),0))-IF(AR21="FT",IF(BG21&lt;FT_First,0,IF(BG21&lt;FT_Y5,1+INT((BG21-FT_First)/FT_Int1),FT_PreY5+FT_PerYear*INT((BG21-FT_Y5)/12)+FT_AnnivDays+INT(MOD(BG21-FT_Y5,12)/FT_Int2))),IF(AR21="PT",IF(BG21&lt;PT_First,0,1+INT((BG21-PT_First)/PT_Int)),0)),0))</f>
        <v/>
      </c>
      <c r="BI21" s="14" t="str">
        <f aca="false">IF(AG21=0,"",IF(AS21="FT",IF(AT21&lt;FT_First,"",IF(AT21&lt;FT_Y5,FT_First+FT_Int1*INT((AT21-FT_First)/FT_Int1),FT_Y5+FT_Int2*INT((AT21-FT_Y5)/FT_Int2))),IF(AS21="PT",IF(AT21&lt;PT_First,"",PT_First+PT_Int*INT((AT21-PT_First)/PT_Int)),"")))</f>
        <v/>
      </c>
      <c r="BJ21" s="0" t="str">
        <f aca="false">IF(LEN($A21&amp;$B21)=0,"",$A21&amp;" "&amp;$B21)</f>
        <v/>
      </c>
    </row>
    <row r="22" customFormat="false" ht="15" hidden="false" customHeight="false" outlineLevel="0" collapsed="false">
      <c r="A22" s="10"/>
      <c r="B22" s="10"/>
      <c r="C22" s="10"/>
      <c r="D22" s="11"/>
      <c r="E22" s="12" t="str">
        <f aca="false">IF(OR(AG22=0,$D22=""),"",DATE(YEAR(AsOfDate)+IF(DATE(YEAR(AsOfDate),MONTH($D22),DAY($D22))&lt;=AsOfDate,1,0),MONTH($D22),DAY($D22)))</f>
        <v/>
      </c>
      <c r="F22" s="11"/>
      <c r="G22" s="11"/>
      <c r="H22" s="11"/>
      <c r="I22" s="11"/>
      <c r="J22" s="11"/>
      <c r="K22" s="12" t="str">
        <f aca="false">IF(AG22=0,"",DATE(YEAR(AsOfDate)+IF(DATE(YEAR(AsOfDate),MONTH(AH22),DAY(AH22))&lt;=AsOfDate,1,0),MONTH(AH22),DAY(AH22)))</f>
        <v/>
      </c>
      <c r="L22" s="13" t="str">
        <f aca="false">IF(AG22=0,"",ROUND((AsOfDate-AH22)/365.25,1))</f>
        <v/>
      </c>
      <c r="M22" s="14" t="str">
        <f aca="false">IF(AG22=0,"",IF(AsOfDate&lt;AH22,"-",DATEDIF(AH22,AsOfDate,"y")&amp;"y "&amp;DATEDIF(AH22,AsOfDate,"ym")&amp;"m "&amp;DATEDIF(AH22,AsOfDate,"md")&amp;"d"))</f>
        <v/>
      </c>
      <c r="N22" s="15" t="str">
        <f aca="false">IF(AG22=0,"",O22*HoursPerDay)</f>
        <v/>
      </c>
      <c r="O22" s="15" t="str">
        <f aca="false">IF(AG22=0,"",AZ22)</f>
        <v/>
      </c>
      <c r="P22" s="16"/>
      <c r="Q22" s="14" t="str">
        <f aca="false">IF(AG22=0,"",IF(AI22&lt;2,"",AM22&amp;" to "&amp;AN22&amp;" on "&amp;TEXT(AK22,"dd/mm/yyyy")&amp;IF(AK22&gt;AsOfDate," (future)",IF(AP22=AQ22,"",IF(AQ22="None"," - STOPPED accruing",IF(AP22="None"," - commencement for Bonus Leave"," - pathway changed"))))&amp;IF(AI22&lt;3,"","; "&amp;AN22&amp;" to "&amp;AO22&amp;" on "&amp;TEXT(AL22,"dd/mm/yyyy")&amp;IF(AL22&gt;AsOfDate," (future)",IF(AQ22=AR22,"",IF(AR22="None"," - STOPPED accruing",IF(AQ22="None"," - commencement for Bonus Leave"," - pathway changed")))))))</f>
        <v/>
      </c>
      <c r="R22" s="14" t="str">
        <f aca="false">IF(AG22=0,"",IF(AS22="None",IF(O22&gt;0,"No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2" t="str">
        <f aca="false">IF(AG22=0,"",IF(AS22="None","",EDATE(AH22,BB22)))</f>
        <v/>
      </c>
      <c r="T22" s="15" t="str">
        <f aca="false">IF(AG22=0,"",IF(NOT(LH_Ready),"",IF(AH22&gt;PFYDate,0,IF(LH_ColPeriod=0,W22-U22+V22,SUMIFS(INDEX(LH_Data,0,LH_ColAcc),INDEX(LH_Data,0,LH_ColFirst),$A22,INDEX(LH_Data,0,LH_ColSur),$B22,INDEX(LH_Data,0,LH_ColCat),BonusCat,INDEX(LH_Data,0,LH_ColPeriod),LH_OpenLabel)*UnitFactor))))</f>
        <v/>
      </c>
      <c r="U22" s="15" t="str">
        <f aca="false">IF(AG22=0,"",IF(NOT(LH_Ready),"",SUMIFS(INDEX(LH_Data,0,LH_ColAcc),INDEX(LH_Data,0,LH_ColFirst),$A22,INDEX(LH_Data,0,LH_ColSur),$B22,INDEX(LH_Data,0,LH_ColCat),BonusCat,INDEX(LH_Data,0,LH_ColStart),"&gt;="&amp;AH22)*UnitFactor))</f>
        <v/>
      </c>
      <c r="V22" s="15" t="str">
        <f aca="false">IF(AG22=0,"",IF(NOT(LH_Ready),"",SUMIFS(INDEX(LH_Data,0,LH_ColTaken),INDEX(LH_Data,0,LH_ColFirst),$A22,INDEX(LH_Data,0,LH_ColSur),$B22,INDEX(LH_Data,0,LH_ColCat),BonusCat,INDEX(LH_Data,0,LH_ColStart),"&gt;="&amp;AH22)*UnitFactor))</f>
        <v/>
      </c>
      <c r="W22" s="15" t="str">
        <f aca="false">IF(AG22=0,"",IF(NOT(LH_Ready),"",IF(BD22=0,0,INDEX(INDEX(LH_Data,0,LH_ColClose),BD22-1)*UnitFactor)))</f>
        <v/>
      </c>
      <c r="X22" s="15" t="str">
        <f aca="false">IF(AG22=0,"",(AZ22-BA22)*HoursPerDay)</f>
        <v/>
      </c>
      <c r="Y22" s="15" t="str">
        <f aca="false">IF(AG22=0,"",IF(NOT(LH_Ready),"",IF(BC22=0,N22,IF(PFYDate&lt;$F22,N22-N(T22)-N(U22),X22-N(U22)))))</f>
        <v/>
      </c>
      <c r="Z22" s="14" t="str">
        <f aca="false">IF(OR(AG22=0,Y22=""),"",IF(Y22&gt;0,"Yes","No"))</f>
        <v/>
      </c>
      <c r="AA22" s="14" t="str">
        <f aca="false">IF(AG22=0,IF(LEN($A22&amp;$B22)=0,"","FIX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month")&amp;IF(BC22=0,";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EH)",""),IF(AS22="None",R22,"Not yet - first day on "&amp;TEXT(S22,"dd/mm/yyyy")))))))))</f>
        <v/>
      </c>
      <c r="AB22" s="15" t="str">
        <f aca="false">IF(OR(AG22=0,T22=""),"",BA22*HoursPerDay-T22)</f>
        <v/>
      </c>
      <c r="AC22" s="14" t="str">
        <f aca="false">IF(AG22=0,"",BC22)</f>
        <v/>
      </c>
      <c r="AD22" s="14" t="str">
        <f aca="false">IF(AG22=0,"",TRIM(IF(OR(ISTEXT($F22),ISTEXT($H22),ISTEXT($I22),ISTEXT($G22),ISTEXT($J22),ISTEXT($D22)),"A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I22&gt;=1,IF(AI22&gt;=3,AO22,IF(AI22=2,AN22,AM22))&lt;&gt;IF($C22="","",IF(OR(ISNUMBER(SEARCH("full",$C22)),UPPER(TRIM($C22))="FT",UPPER(TRIM($C22))="FTE"),"Full-Time",IF(OR(ISNUMBER(SEARCH("part",$C22)),UPPER(TRIM($C22))="PT",UPPER(TRIM($C22))="PTE"),"Part-Time",IF(OR(ISNUMBER(SEARCH("cas",$C22)),UPPER(TRIM($C22))="CAS"),"Casual","Unknown"))))),"EmploymentType does not match latest start date ("&amp;IF(AI22&gt;=3,AO22,IF(AI22=2,AN22,AM22))&amp;"). ","")&amp;IF(AND(AI22&gt;=1,AJ22&lt;&gt;$F22),"Earliest type date should equal StartDate. ","")&amp;IF(AND(AI22&gt;=2,AJ22=AK22),"Two types start on the same date. ","")&amp;IF(AND(OR(ISNUMBER(SEARCH("part",$C22)),UPPER(TRIM($C22))="PT",UPPER(TRIM($C22))="PTE"),$P22=""),"Part-time: enter PT Hrs/Week (blank = 24+). ","")))</f>
        <v/>
      </c>
      <c r="AE22" s="15" t="str">
        <f aca="false">IF(AG22=0,"",O22-BH22)</f>
        <v/>
      </c>
      <c r="AF22" s="12" t="str">
        <f aca="false">IF(OR(AG22=0,AE22="",N(AE22)=0,BI22=""),"",EDATE(AH22,BI22))</f>
        <v/>
      </c>
      <c r="AG22" s="14" t="n">
        <f aca="false">IF(OR(LEN($A22&amp;$B22)=0,$F22=""),0,1)</f>
        <v>0</v>
      </c>
      <c r="AH22" s="12" t="str">
        <f aca="false">IF(AG22=0,"",IF($J22&lt;&gt;"",$J22,IF(OR(CasualCounts="Yes",COUNT($G22:$I22)=0,COUNT($H22:$I22)=0),$F22,MIN($H22:$I22))))</f>
        <v/>
      </c>
      <c r="AI22" s="14" t="str">
        <f aca="false">IF(AG22=0,"",COUNT($G22:$I22))</f>
        <v/>
      </c>
      <c r="AJ22" s="12" t="str">
        <f aca="false">IF(AG22=0,"",IFERROR(SMALL($G22:$I22,1),""))</f>
        <v/>
      </c>
      <c r="AK22" s="12" t="str">
        <f aca="false">IF(AG22=0,"",IFERROR(SMALL($G22:$I22,2),""))</f>
        <v/>
      </c>
      <c r="AL22" s="12" t="str">
        <f aca="false">IF(AG22=0,"",IFERROR(SMALL($G22:$I22,3),""))</f>
        <v/>
      </c>
      <c r="AM22" s="14" t="str">
        <f aca="false">IF(AG22=0,"",IF(AJ22="","",IF(AJ22=$H22,"Part-Time",IF(AJ22=$I22,"Full-Time","Casual"))))</f>
        <v/>
      </c>
      <c r="AN22" s="14" t="str">
        <f aca="false">IF(AG22=0,"",IF(AK22="","",IF(AK22=$H22,"Part-Time",IF(AK22=$I22,"Full-Time","Casual"))))</f>
        <v/>
      </c>
      <c r="AO22" s="14" t="str">
        <f aca="false">IF(AG22=0,"",IF(AL22="","",IF(AL22=$H22,"Part-Time",IF(AL22=$I22,"Full-Time","Casual"))))</f>
        <v/>
      </c>
      <c r="AP22" s="14" t="str">
        <f aca="false">IF(AG22=0,"",IF(AI22=0,IF(OR(ISNUMBER(SEARCH("full",$C22)),UPPER(TRIM($C22))="FT",UPPER(TRIM($C22))="FTE"),"FT",IF(AND(OR(ISNUMBER(SEARCH("part",$C22)),UPPER(TRIM($C22))="PT",UPPER(TRIM($C22))="PTE"),OR($P22="",N($P22)&gt;=PT_MinHours)),"PT","None")),IF(OR(ISNUMBER(SEARCH("full",AM22)),UPPER(TRIM(AM22))="FT",UPPER(TRIM(AM22))="FTE"),"FT",IF(AND(OR(ISNUMBER(SEARCH("part",AM22)),UPPER(TRIM(AM22))="PT",UPPER(TRIM(AM22))="PTE"),OR($P22="",N($P22)&gt;=PT_MinHours)),"PT","None"))))</f>
        <v/>
      </c>
      <c r="AQ22" s="14" t="str">
        <f aca="false">IF(AG22=0,"",IF(AI22&lt;2,"",IF(OR(ISNUMBER(SEARCH("full",AN22)),UPPER(TRIM(AN22))="FT",UPPER(TRIM(AN22))="FTE"),"FT",IF(AND(OR(ISNUMBER(SEARCH("part",AN22)),UPPER(TRIM(AN22))="PT",UPPER(TRIM(AN22))="PTE"),OR($P22="",N($P22)&gt;=PT_MinHours)),"PT","None"))))</f>
        <v/>
      </c>
      <c r="AR22" s="14" t="str">
        <f aca="false">IF(AG22=0,"",IF(AI22&lt;3,"",IF(OR(ISNUMBER(SEARCH("full",AO22)),UPPER(TRIM(AO22))="FT",UPPER(TRIM(AO22))="FTE"),"FT",IF(AND(OR(ISNUMBER(SEARCH("part",AO22)),UPPER(TRIM(AO22))="PT",UPPER(TRIM(AO22))="PTE"),OR($P22="",N($P22)&gt;=PT_MinHours)),"PT","None"))))</f>
        <v/>
      </c>
      <c r="AS22" s="14" t="str">
        <f aca="false">IF(AG22=0,"",IF(AND(AI22&gt;=3,AL22&lt;=AsOfDate),AR22,IF(AND(AI22&gt;=2,AK22&lt;=AsOfDate),AQ22,AP22)))</f>
        <v/>
      </c>
      <c r="AT22" s="14" t="str">
        <f aca="false">IF(AG22=0,"",IF(AsOfDate&lt;AH22,-1,12*(YEAR(AsOfDate)-YEAR(AH22))+MONTH(AsOfDate)-MONTH(AH22)-IF(DAY(AsOfDate)&lt;MIN(DAY(AH22),DAY(EOMONTH(AsOfDate,0))),1,0)))</f>
        <v/>
      </c>
      <c r="AU22" s="14" t="str">
        <f aca="false">IF(AG22=0,"",IF(OR(AI22&lt;2,AK22&gt;AsOfDate),AT22,IF((AK22-1)&lt;AH22,-1,12*(YEAR((AK22-1))-YEAR(AH22))+MONTH((AK22-1))-MONTH(AH22)-IF(DAY((AK22-1))&lt;MIN(DAY(AH22),DAY(EOMONTH((AK22-1),0))),1,0))))</f>
        <v/>
      </c>
      <c r="AV22" s="14" t="str">
        <f aca="false">IF(AG22=0,"",IF(OR(AI22&lt;3,AL22&gt;AsOfDate),AT22,IF((AL22-1)&lt;AH22,-1,12*(YEAR((AL22-1))-YEAR(AH22))+MONTH((AL22-1))-MONTH(AH22)-IF(DAY((AL22-1))&lt;MIN(DAY(AH22),DAY(EOMONTH((AL22-1),0))),1,0))))</f>
        <v/>
      </c>
      <c r="AW22" s="14" t="str">
        <f aca="false">IF(AG22=0,"",IF(PFYDate&lt;AH22,-1,12*(YEAR(PFYDate)-YEAR(AH22))+MONTH(PFYDate)-MONTH(AH22)-IF(DAY(PFYDate)&lt;MIN(DAY(AH22),DAY(EOMONTH(PFYDate,0))),1,0)))</f>
        <v/>
      </c>
      <c r="AX22" s="14" t="str">
        <f aca="false">IF(AG22=0,"",IF(OR(AI22&lt;2,AK22&gt;PFYDate),AW22,IF((AK22-1)&lt;AH22,-1,12*(YEAR((AK22-1))-YEAR(AH22))+MONTH((AK22-1))-MONTH(AH22)-IF(DAY((AK22-1))&lt;MIN(DAY(AH22),DAY(EOMONTH((AK22-1),0))),1,0))))</f>
        <v/>
      </c>
      <c r="AY22" s="14" t="str">
        <f aca="false">IF(AG22=0,"",IF(OR(AI22&lt;3,AL22&gt;PFYDate),AW22,IF((AL22-1)&lt;AH22,-1,12*(YEAR((AL22-1))-YEAR(AH22))+MONTH((AL22-1))-MONTH(AH22)-IF(DAY((AL22-1))&lt;MIN(DAY(AH22),DAY(EOMONTH((AL22-1),0))),1,0))))</f>
        <v/>
      </c>
      <c r="AZ22" s="14" t="str">
        <f aca="false">IF(AG22=0,"",IF(AP22="FT",IF(AU22&lt;FT_First,0,IF(AU22&lt;FT_Y5,1+INT((AU22-FT_First)/FT_Int1),FT_PreY5+FT_PerYear*INT((AU22-FT_Y5)/12)+FT_AnnivDays+INT(MOD(AU22-FT_Y5,12)/FT_Int2))),IF(AP22="PT",IF(AU22&lt;PT_First,0,1+INT((AU22-PT_First)/PT_Int)),0))+IF(AND(AI22&gt;=2,AK22&lt;=AsOfDate),IF(AQ22="FT",IF(AV22&lt;FT_First,0,IF(AV22&lt;FT_Y5,1+INT((AV22-FT_First)/FT_Int1),FT_PreY5+FT_PerYear*INT((AV22-FT_Y5)/12)+FT_AnnivDays+INT(MOD(AV22-FT_Y5,12)/FT_Int2))),IF(AQ22="PT",IF(AV22&lt;PT_First,0,1+INT((AV22-PT_First)/PT_Int)),0))-IF(AQ22="FT",IF(AU22&lt;FT_First,0,IF(AU22&lt;FT_Y5,1+INT((AU22-FT_First)/FT_Int1),FT_PreY5+FT_PerYear*INT((AU22-FT_Y5)/12)+FT_AnnivDays+INT(MOD(AU22-FT_Y5,12)/FT_Int2))),IF(AQ22="PT",IF(AU22&lt;PT_First,0,1+INT((AU22-PT_First)/PT_Int)),0)),0)+IF(AND(AI22&gt;=3,AL22&lt;=AsOfDate),IF(AR22="FT",IF(AT22&lt;FT_First,0,IF(AT22&lt;FT_Y5,1+INT((AT22-FT_First)/FT_Int1),FT_PreY5+FT_PerYear*INT((AT22-FT_Y5)/12)+FT_AnnivDays+INT(MOD(AT22-FT_Y5,12)/FT_Int2))),IF(AR22="PT",IF(AT22&lt;PT_First,0,1+INT((AT22-PT_First)/PT_Int)),0))-IF(AR22="FT",IF(AV22&lt;FT_First,0,IF(AV22&lt;FT_Y5,1+INT((AV22-FT_First)/FT_Int1),FT_PreY5+FT_PerYear*INT((AV22-FT_Y5)/12)+FT_AnnivDays+INT(MOD(AV22-FT_Y5,12)/FT_Int2))),IF(AR22="PT",IF(AV22&lt;PT_First,0,1+INT((AV22-PT_First)/PT_Int)),0)),0))</f>
        <v/>
      </c>
      <c r="BA22" s="14" t="str">
        <f aca="false">IF(AG22=0,"",IF(AP22="FT",IF(AX22&lt;FT_First,0,IF(AX22&lt;FT_Y5,1+INT((AX22-FT_First)/FT_Int1),FT_PreY5+FT_PerYear*INT((AX22-FT_Y5)/12)+FT_AnnivDays+INT(MOD(AX22-FT_Y5,12)/FT_Int2))),IF(AP22="PT",IF(AX22&lt;PT_First,0,1+INT((AX22-PT_First)/PT_Int)),0))+IF(AND(AI22&gt;=2,AK22&lt;=PFYDate),IF(AQ22="FT",IF(AY22&lt;FT_First,0,IF(AY22&lt;FT_Y5,1+INT((AY22-FT_First)/FT_Int1),FT_PreY5+FT_PerYear*INT((AY22-FT_Y5)/12)+FT_AnnivDays+INT(MOD(AY22-FT_Y5,12)/FT_Int2))),IF(AQ22="PT",IF(AY22&lt;PT_First,0,1+INT((AY22-PT_First)/PT_Int)),0))-IF(AQ22="FT",IF(AX22&lt;FT_First,0,IF(AX22&lt;FT_Y5,1+INT((AX22-FT_First)/FT_Int1),FT_PreY5+FT_PerYear*INT((AX22-FT_Y5)/12)+FT_AnnivDays+INT(MOD(AX22-FT_Y5,12)/FT_Int2))),IF(AQ22="PT",IF(AX22&lt;PT_First,0,1+INT((AX22-PT_First)/PT_Int)),0)),0)+IF(AND(AI22&gt;=3,AL22&lt;=PFYDate),IF(AR22="FT",IF(AW22&lt;FT_First,0,IF(AW22&lt;FT_Y5,1+INT((AW22-FT_First)/FT_Int1),FT_PreY5+FT_PerYear*INT((AW22-FT_Y5)/12)+FT_AnnivDays+INT(MOD(AW22-FT_Y5,12)/FT_Int2))),IF(AR22="PT",IF(AW22&lt;PT_First,0,1+INT((AW22-PT_First)/PT_Int)),0))-IF(AR22="FT",IF(AY22&lt;FT_First,0,IF(AY22&lt;FT_Y5,1+INT((AY22-FT_First)/FT_Int1),FT_PreY5+FT_PerYear*INT((AY22-FT_Y5)/12)+FT_AnnivDays+INT(MOD(AY22-FT_Y5,12)/FT_Int2))),IF(AR22="PT",IF(AY22&lt;PT_First,0,1+INT((AY22-PT_First)/PT_Int)),0)),0))</f>
        <v/>
      </c>
      <c r="BB22" s="14" t="str">
        <f aca="false">IF(AG22=0,"",IF(AS22="FT",IF(AT22&lt;FT_First,FT_First,IF(AT22&lt;FT_Y5,MIN(FT_Y5,FT_First+FT_Int1*(INT((AT22-FT_First)/FT_Int1)+1)),FT_Y5+12*INT((AT22-FT_Y5)/12)+FT_Int2*(INT(MOD(AT22-FT_Y5,12)/FT_Int2)+1))),IF(AS22="PT",IF(AT22&lt;PT_First,PT_First,PT_First+PT_Int*(INT((AT22-PT_First)/PT_Int)+1)),"")))</f>
        <v/>
      </c>
      <c r="BC22" s="14" t="str">
        <f aca="false">IF(AG22=0,"",IF(NOT(LH_Ready),0,COUNTIFS(INDEX(LH_Data,0,LH_ColFirst),$A22,INDEX(LH_Data,0,LH_ColSur),$B22,INDEX(LH_Data,0,LH_ColCat),BonusCat)))</f>
        <v/>
      </c>
      <c r="BD22" s="14" t="str">
        <f aca="false">IF(AG22=0,"",IF(OR(NOT(LH_Ready),BC22=0),0,SUMPRODUCT(MAX((INDEX(LH_Data,0,LH_ColFirst)=$A22)*(INDEX(LH_Data,0,LH_ColSur)=$B22)*(INDEX(LH_Data,0,LH_ColCat)=BonusCat)*ROW(LH_Data)))))</f>
        <v/>
      </c>
      <c r="BE22" s="14" t="str">
        <f aca="false">IF(AG22=0,"",IF(EOMONTH(AsOfDate,-1)&lt;AH22,-1,12*(YEAR(EOMONTH(AsOfDate,-1))-YEAR(AH22))+MONTH(EOMONTH(AsOfDate,-1))-MONTH(AH22)-IF(DAY(EOMONTH(AsOfDate,-1))&lt;MIN(DAY(AH22),DAY(EOMONTH(EOMONTH(AsOfDate,-1),0))),1,0)))</f>
        <v/>
      </c>
      <c r="BF22" s="14" t="str">
        <f aca="false">IF(AG22=0,"",IF(OR(AI22&lt;2,AK22&gt;EOMONTH(AsOfDate,-1)),BE22,IF((AK22-1)&lt;AH22,-1,12*(YEAR((AK22-1))-YEAR(AH22))+MONTH((AK22-1))-MONTH(AH22)-IF(DAY((AK22-1))&lt;MIN(DAY(AH22),DAY(EOMONTH((AK22-1),0))),1,0))))</f>
        <v/>
      </c>
      <c r="BG22" s="14" t="str">
        <f aca="false">IF(AG22=0,"",IF(OR(AI22&lt;3,AL22&gt;EOMONTH(AsOfDate,-1)),BE22,IF((AL22-1)&lt;AH22,-1,12*(YEAR((AL22-1))-YEAR(AH22))+MONTH((AL22-1))-MONTH(AH22)-IF(DAY((AL22-1))&lt;MIN(DAY(AH22),DAY(EOMONTH((AL22-1),0))),1,0))))</f>
        <v/>
      </c>
      <c r="BH22" s="14" t="str">
        <f aca="false">IF(AG22=0,"",IF(AP22="FT",IF(BF22&lt;FT_First,0,IF(BF22&lt;FT_Y5,1+INT((BF22-FT_First)/FT_Int1),FT_PreY5+FT_PerYear*INT((BF22-FT_Y5)/12)+FT_AnnivDays+INT(MOD(BF22-FT_Y5,12)/FT_Int2))),IF(AP22="PT",IF(BF22&lt;PT_First,0,1+INT((BF22-PT_First)/PT_Int)),0))+IF(AND(AI22&gt;=2,AK22&lt;=EOMONTH(AsOfDate,-1)),IF(AQ22="FT",IF(BG22&lt;FT_First,0,IF(BG22&lt;FT_Y5,1+INT((BG22-FT_First)/FT_Int1),FT_PreY5+FT_PerYear*INT((BG22-FT_Y5)/12)+FT_AnnivDays+INT(MOD(BG22-FT_Y5,12)/FT_Int2))),IF(AQ22="PT",IF(BG22&lt;PT_First,0,1+INT((BG22-PT_First)/PT_Int)),0))-IF(AQ22="FT",IF(BF22&lt;FT_First,0,IF(BF22&lt;FT_Y5,1+INT((BF22-FT_First)/FT_Int1),FT_PreY5+FT_PerYear*INT((BF22-FT_Y5)/12)+FT_AnnivDays+INT(MOD(BF22-FT_Y5,12)/FT_Int2))),IF(AQ22="PT",IF(BF22&lt;PT_First,0,1+INT((BF22-PT_First)/PT_Int)),0)),0)+IF(AND(AI22&gt;=3,AL22&lt;=EOMONTH(AsOfDate,-1)),IF(AR22="FT",IF(BE22&lt;FT_First,0,IF(BE22&lt;FT_Y5,1+INT((BE22-FT_First)/FT_Int1),FT_PreY5+FT_PerYear*INT((BE22-FT_Y5)/12)+FT_AnnivDays+INT(MOD(BE22-FT_Y5,12)/FT_Int2))),IF(AR22="PT",IF(BE22&lt;PT_First,0,1+INT((BE22-PT_First)/PT_Int)),0))-IF(AR22="FT",IF(BG22&lt;FT_First,0,IF(BG22&lt;FT_Y5,1+INT((BG22-FT_First)/FT_Int1),FT_PreY5+FT_PerYear*INT((BG22-FT_Y5)/12)+FT_AnnivDays+INT(MOD(BG22-FT_Y5,12)/FT_Int2))),IF(AR22="PT",IF(BG22&lt;PT_First,0,1+INT((BG22-PT_First)/PT_Int)),0)),0))</f>
        <v/>
      </c>
      <c r="BI22" s="14" t="str">
        <f aca="false">IF(AG22=0,"",IF(AS22="FT",IF(AT22&lt;FT_First,"",IF(AT22&lt;FT_Y5,FT_First+FT_Int1*INT((AT22-FT_First)/FT_Int1),FT_Y5+FT_Int2*INT((AT22-FT_Y5)/FT_Int2))),IF(AS22="PT",IF(AT22&lt;PT_First,"",PT_First+PT_Int*INT((AT22-PT_First)/PT_Int)),"")))</f>
        <v/>
      </c>
      <c r="BJ22" s="0" t="str">
        <f aca="false">IF(LEN($A22&amp;$B22)=0,"",$A22&amp;" "&amp;$B22)</f>
        <v/>
      </c>
    </row>
    <row r="23" customFormat="false" ht="15" hidden="false" customHeight="false" outlineLevel="0" collapsed="false">
      <c r="A23" s="10"/>
      <c r="B23" s="10"/>
      <c r="C23" s="10"/>
      <c r="D23" s="11"/>
      <c r="E23" s="12" t="str">
        <f aca="false">IF(OR(AG23=0,$D23=""),"",DATE(YEAR(AsOfDate)+IF(DATE(YEAR(AsOfDate),MONTH($D23),DAY($D23))&lt;=AsOfDate,1,0),MONTH($D23),DAY($D23)))</f>
        <v/>
      </c>
      <c r="F23" s="11"/>
      <c r="G23" s="11"/>
      <c r="H23" s="11"/>
      <c r="I23" s="11"/>
      <c r="J23" s="11"/>
      <c r="K23" s="12" t="str">
        <f aca="false">IF(AG23=0,"",DATE(YEAR(AsOfDate)+IF(DATE(YEAR(AsOfDate),MONTH(AH23),DAY(AH23))&lt;=AsOfDate,1,0),MONTH(AH23),DAY(AH23)))</f>
        <v/>
      </c>
      <c r="L23" s="13" t="str">
        <f aca="false">IF(AG23=0,"",ROUND((AsOfDate-AH23)/365.25,1))</f>
        <v/>
      </c>
      <c r="M23" s="14" t="str">
        <f aca="false">IF(AG23=0,"",IF(AsOfDate&lt;AH23,"-",DATEDIF(AH23,AsOfDate,"y")&amp;"y "&amp;DATEDIF(AH23,AsOfDate,"ym")&amp;"m "&amp;DATEDIF(AH23,AsOfDate,"md")&amp;"d"))</f>
        <v/>
      </c>
      <c r="N23" s="15" t="str">
        <f aca="false">IF(AG23=0,"",O23*HoursPerDay)</f>
        <v/>
      </c>
      <c r="O23" s="15" t="str">
        <f aca="false">IF(AG23=0,"",AZ23)</f>
        <v/>
      </c>
      <c r="P23" s="16"/>
      <c r="Q23" s="14" t="str">
        <f aca="false">IF(AG23=0,"",IF(AI23&lt;2,"",AM23&amp;" to "&amp;AN23&amp;" on "&amp;TEXT(AK23,"dd/mm/yyyy")&amp;IF(AK23&gt;AsOfDate," (future)",IF(AP23=AQ23,"",IF(AQ23="None"," - STOPPED accruing",IF(AP23="None"," - commencement for Bonus Leave"," - pathway changed"))))&amp;IF(AI23&lt;3,"","; "&amp;AN23&amp;" to "&amp;AO23&amp;" on "&amp;TEXT(AL23,"dd/mm/yyyy")&amp;IF(AL23&gt;AsOfDate," (future)",IF(AQ23=AR23,"",IF(AR23="None"," - STOPPED accruing",IF(AQ23="None"," - commencement for Bonus Leave"," - pathway changed")))))))</f>
        <v/>
      </c>
      <c r="R23" s="14" t="str">
        <f aca="false">IF(AG23=0,"",IF(AS23="None",IF(O23&gt;0,"No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2" t="str">
        <f aca="false">IF(AG23=0,"",IF(AS23="None","",EDATE(AH23,BB23)))</f>
        <v/>
      </c>
      <c r="T23" s="15" t="str">
        <f aca="false">IF(AG23=0,"",IF(NOT(LH_Ready),"",IF(AH23&gt;PFYDate,0,IF(LH_ColPeriod=0,W23-U23+V23,SUMIFS(INDEX(LH_Data,0,LH_ColAcc),INDEX(LH_Data,0,LH_ColFirst),$A23,INDEX(LH_Data,0,LH_ColSur),$B23,INDEX(LH_Data,0,LH_ColCat),BonusCat,INDEX(LH_Data,0,LH_ColPeriod),LH_OpenLabel)*UnitFactor))))</f>
        <v/>
      </c>
      <c r="U23" s="15" t="str">
        <f aca="false">IF(AG23=0,"",IF(NOT(LH_Ready),"",SUMIFS(INDEX(LH_Data,0,LH_ColAcc),INDEX(LH_Data,0,LH_ColFirst),$A23,INDEX(LH_Data,0,LH_ColSur),$B23,INDEX(LH_Data,0,LH_ColCat),BonusCat,INDEX(LH_Data,0,LH_ColStart),"&gt;="&amp;AH23)*UnitFactor))</f>
        <v/>
      </c>
      <c r="V23" s="15" t="str">
        <f aca="false">IF(AG23=0,"",IF(NOT(LH_Ready),"",SUMIFS(INDEX(LH_Data,0,LH_ColTaken),INDEX(LH_Data,0,LH_ColFirst),$A23,INDEX(LH_Data,0,LH_ColSur),$B23,INDEX(LH_Data,0,LH_ColCat),BonusCat,INDEX(LH_Data,0,LH_ColStart),"&gt;="&amp;AH23)*UnitFactor))</f>
        <v/>
      </c>
      <c r="W23" s="15" t="str">
        <f aca="false">IF(AG23=0,"",IF(NOT(LH_Ready),"",IF(BD23=0,0,INDEX(INDEX(LH_Data,0,LH_ColClose),BD23-1)*UnitFactor)))</f>
        <v/>
      </c>
      <c r="X23" s="15" t="str">
        <f aca="false">IF(AG23=0,"",(AZ23-BA23)*HoursPerDay)</f>
        <v/>
      </c>
      <c r="Y23" s="15" t="str">
        <f aca="false">IF(AG23=0,"",IF(NOT(LH_Ready),"",IF(BC23=0,N23,IF(PFYDate&lt;$F23,N23-N(T23)-N(U23),X23-N(U23)))))</f>
        <v/>
      </c>
      <c r="Z23" s="14" t="str">
        <f aca="false">IF(OR(AG23=0,Y23=""),"",IF(Y23&gt;0,"Yes","No"))</f>
        <v/>
      </c>
      <c r="AA23" s="14" t="str">
        <f aca="false">IF(AG23=0,IF(LEN($A23&amp;$B23)=0,"","FIX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month")&amp;IF(BC23=0,";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EH)",""),IF(AS23="None",R23,"Not yet - first day on "&amp;TEXT(S23,"dd/mm/yyyy")))))))))</f>
        <v/>
      </c>
      <c r="AB23" s="15" t="str">
        <f aca="false">IF(OR(AG23=0,T23=""),"",BA23*HoursPerDay-T23)</f>
        <v/>
      </c>
      <c r="AC23" s="14" t="str">
        <f aca="false">IF(AG23=0,"",BC23)</f>
        <v/>
      </c>
      <c r="AD23" s="14" t="str">
        <f aca="false">IF(AG23=0,"",TRIM(IF(OR(ISTEXT($F23),ISTEXT($H23),ISTEXT($I23),ISTEXT($G23),ISTEXT($J23),ISTEXT($D23)),"A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I23&gt;=1,IF(AI23&gt;=3,AO23,IF(AI23=2,AN23,AM23))&lt;&gt;IF($C23="","",IF(OR(ISNUMBER(SEARCH("full",$C23)),UPPER(TRIM($C23))="FT",UPPER(TRIM($C23))="FTE"),"Full-Time",IF(OR(ISNUMBER(SEARCH("part",$C23)),UPPER(TRIM($C23))="PT",UPPER(TRIM($C23))="PTE"),"Part-Time",IF(OR(ISNUMBER(SEARCH("cas",$C23)),UPPER(TRIM($C23))="CAS"),"Casual","Unknown"))))),"EmploymentType does not match latest start date ("&amp;IF(AI23&gt;=3,AO23,IF(AI23=2,AN23,AM23))&amp;"). ","")&amp;IF(AND(AI23&gt;=1,AJ23&lt;&gt;$F23),"Earliest type date should equal StartDate. ","")&amp;IF(AND(AI23&gt;=2,AJ23=AK23),"Two types start on the same date. ","")&amp;IF(AND(OR(ISNUMBER(SEARCH("part",$C23)),UPPER(TRIM($C23))="PT",UPPER(TRIM($C23))="PTE"),$P23=""),"Part-time: enter PT Hrs/Week (blank = 24+). ","")))</f>
        <v/>
      </c>
      <c r="AE23" s="15" t="str">
        <f aca="false">IF(AG23=0,"",O23-BH23)</f>
        <v/>
      </c>
      <c r="AF23" s="12" t="str">
        <f aca="false">IF(OR(AG23=0,AE23="",N(AE23)=0,BI23=""),"",EDATE(AH23,BI23))</f>
        <v/>
      </c>
      <c r="AG23" s="14" t="n">
        <f aca="false">IF(OR(LEN($A23&amp;$B23)=0,$F23=""),0,1)</f>
        <v>0</v>
      </c>
      <c r="AH23" s="12" t="str">
        <f aca="false">IF(AG23=0,"",IF($J23&lt;&gt;"",$J23,IF(OR(CasualCounts="Yes",COUNT($G23:$I23)=0,COUNT($H23:$I23)=0),$F23,MIN($H23:$I23))))</f>
        <v/>
      </c>
      <c r="AI23" s="14" t="str">
        <f aca="false">IF(AG23=0,"",COUNT($G23:$I23))</f>
        <v/>
      </c>
      <c r="AJ23" s="12" t="str">
        <f aca="false">IF(AG23=0,"",IFERROR(SMALL($G23:$I23,1),""))</f>
        <v/>
      </c>
      <c r="AK23" s="12" t="str">
        <f aca="false">IF(AG23=0,"",IFERROR(SMALL($G23:$I23,2),""))</f>
        <v/>
      </c>
      <c r="AL23" s="12" t="str">
        <f aca="false">IF(AG23=0,"",IFERROR(SMALL($G23:$I23,3),""))</f>
        <v/>
      </c>
      <c r="AM23" s="14" t="str">
        <f aca="false">IF(AG23=0,"",IF(AJ23="","",IF(AJ23=$H23,"Part-Time",IF(AJ23=$I23,"Full-Time","Casual"))))</f>
        <v/>
      </c>
      <c r="AN23" s="14" t="str">
        <f aca="false">IF(AG23=0,"",IF(AK23="","",IF(AK23=$H23,"Part-Time",IF(AK23=$I23,"Full-Time","Casual"))))</f>
        <v/>
      </c>
      <c r="AO23" s="14" t="str">
        <f aca="false">IF(AG23=0,"",IF(AL23="","",IF(AL23=$H23,"Part-Time",IF(AL23=$I23,"Full-Time","Casual"))))</f>
        <v/>
      </c>
      <c r="AP23" s="14" t="str">
        <f aca="false">IF(AG23=0,"",IF(AI23=0,IF(OR(ISNUMBER(SEARCH("full",$C23)),UPPER(TRIM($C23))="FT",UPPER(TRIM($C23))="FTE"),"FT",IF(AND(OR(ISNUMBER(SEARCH("part",$C23)),UPPER(TRIM($C23))="PT",UPPER(TRIM($C23))="PTE"),OR($P23="",N($P23)&gt;=PT_MinHours)),"PT","None")),IF(OR(ISNUMBER(SEARCH("full",AM23)),UPPER(TRIM(AM23))="FT",UPPER(TRIM(AM23))="FTE"),"FT",IF(AND(OR(ISNUMBER(SEARCH("part",AM23)),UPPER(TRIM(AM23))="PT",UPPER(TRIM(AM23))="PTE"),OR($P23="",N($P23)&gt;=PT_MinHours)),"PT","None"))))</f>
        <v/>
      </c>
      <c r="AQ23" s="14" t="str">
        <f aca="false">IF(AG23=0,"",IF(AI23&lt;2,"",IF(OR(ISNUMBER(SEARCH("full",AN23)),UPPER(TRIM(AN23))="FT",UPPER(TRIM(AN23))="FTE"),"FT",IF(AND(OR(ISNUMBER(SEARCH("part",AN23)),UPPER(TRIM(AN23))="PT",UPPER(TRIM(AN23))="PTE"),OR($P23="",N($P23)&gt;=PT_MinHours)),"PT","None"))))</f>
        <v/>
      </c>
      <c r="AR23" s="14" t="str">
        <f aca="false">IF(AG23=0,"",IF(AI23&lt;3,"",IF(OR(ISNUMBER(SEARCH("full",AO23)),UPPER(TRIM(AO23))="FT",UPPER(TRIM(AO23))="FTE"),"FT",IF(AND(OR(ISNUMBER(SEARCH("part",AO23)),UPPER(TRIM(AO23))="PT",UPPER(TRIM(AO23))="PTE"),OR($P23="",N($P23)&gt;=PT_MinHours)),"PT","None"))))</f>
        <v/>
      </c>
      <c r="AS23" s="14" t="str">
        <f aca="false">IF(AG23=0,"",IF(AND(AI23&gt;=3,AL23&lt;=AsOfDate),AR23,IF(AND(AI23&gt;=2,AK23&lt;=AsOfDate),AQ23,AP23)))</f>
        <v/>
      </c>
      <c r="AT23" s="14" t="str">
        <f aca="false">IF(AG23=0,"",IF(AsOfDate&lt;AH23,-1,12*(YEAR(AsOfDate)-YEAR(AH23))+MONTH(AsOfDate)-MONTH(AH23)-IF(DAY(AsOfDate)&lt;MIN(DAY(AH23),DAY(EOMONTH(AsOfDate,0))),1,0)))</f>
        <v/>
      </c>
      <c r="AU23" s="14" t="str">
        <f aca="false">IF(AG23=0,"",IF(OR(AI23&lt;2,AK23&gt;AsOfDate),AT23,IF((AK23-1)&lt;AH23,-1,12*(YEAR((AK23-1))-YEAR(AH23))+MONTH((AK23-1))-MONTH(AH23)-IF(DAY((AK23-1))&lt;MIN(DAY(AH23),DAY(EOMONTH((AK23-1),0))),1,0))))</f>
        <v/>
      </c>
      <c r="AV23" s="14" t="str">
        <f aca="false">IF(AG23=0,"",IF(OR(AI23&lt;3,AL23&gt;AsOfDate),AT23,IF((AL23-1)&lt;AH23,-1,12*(YEAR((AL23-1))-YEAR(AH23))+MONTH((AL23-1))-MONTH(AH23)-IF(DAY((AL23-1))&lt;MIN(DAY(AH23),DAY(EOMONTH((AL23-1),0))),1,0))))</f>
        <v/>
      </c>
      <c r="AW23" s="14" t="str">
        <f aca="false">IF(AG23=0,"",IF(PFYDate&lt;AH23,-1,12*(YEAR(PFYDate)-YEAR(AH23))+MONTH(PFYDate)-MONTH(AH23)-IF(DAY(PFYDate)&lt;MIN(DAY(AH23),DAY(EOMONTH(PFYDate,0))),1,0)))</f>
        <v/>
      </c>
      <c r="AX23" s="14" t="str">
        <f aca="false">IF(AG23=0,"",IF(OR(AI23&lt;2,AK23&gt;PFYDate),AW23,IF((AK23-1)&lt;AH23,-1,12*(YEAR((AK23-1))-YEAR(AH23))+MONTH((AK23-1))-MONTH(AH23)-IF(DAY((AK23-1))&lt;MIN(DAY(AH23),DAY(EOMONTH((AK23-1),0))),1,0))))</f>
        <v/>
      </c>
      <c r="AY23" s="14" t="str">
        <f aca="false">IF(AG23=0,"",IF(OR(AI23&lt;3,AL23&gt;PFYDate),AW23,IF((AL23-1)&lt;AH23,-1,12*(YEAR((AL23-1))-YEAR(AH23))+MONTH((AL23-1))-MONTH(AH23)-IF(DAY((AL23-1))&lt;MIN(DAY(AH23),DAY(EOMONTH((AL23-1),0))),1,0))))</f>
        <v/>
      </c>
      <c r="AZ23" s="14" t="str">
        <f aca="false">IF(AG23=0,"",IF(AP23="FT",IF(AU23&lt;FT_First,0,IF(AU23&lt;FT_Y5,1+INT((AU23-FT_First)/FT_Int1),FT_PreY5+FT_PerYear*INT((AU23-FT_Y5)/12)+FT_AnnivDays+INT(MOD(AU23-FT_Y5,12)/FT_Int2))),IF(AP23="PT",IF(AU23&lt;PT_First,0,1+INT((AU23-PT_First)/PT_Int)),0))+IF(AND(AI23&gt;=2,AK23&lt;=AsOfDate),IF(AQ23="FT",IF(AV23&lt;FT_First,0,IF(AV23&lt;FT_Y5,1+INT((AV23-FT_First)/FT_Int1),FT_PreY5+FT_PerYear*INT((AV23-FT_Y5)/12)+FT_AnnivDays+INT(MOD(AV23-FT_Y5,12)/FT_Int2))),IF(AQ23="PT",IF(AV23&lt;PT_First,0,1+INT((AV23-PT_First)/PT_Int)),0))-IF(AQ23="FT",IF(AU23&lt;FT_First,0,IF(AU23&lt;FT_Y5,1+INT((AU23-FT_First)/FT_Int1),FT_PreY5+FT_PerYear*INT((AU23-FT_Y5)/12)+FT_AnnivDays+INT(MOD(AU23-FT_Y5,12)/FT_Int2))),IF(AQ23="PT",IF(AU23&lt;PT_First,0,1+INT((AU23-PT_First)/PT_Int)),0)),0)+IF(AND(AI23&gt;=3,AL23&lt;=AsOfDate),IF(AR23="FT",IF(AT23&lt;FT_First,0,IF(AT23&lt;FT_Y5,1+INT((AT23-FT_First)/FT_Int1),FT_PreY5+FT_PerYear*INT((AT23-FT_Y5)/12)+FT_AnnivDays+INT(MOD(AT23-FT_Y5,12)/FT_Int2))),IF(AR23="PT",IF(AT23&lt;PT_First,0,1+INT((AT23-PT_First)/PT_Int)),0))-IF(AR23="FT",IF(AV23&lt;FT_First,0,IF(AV23&lt;FT_Y5,1+INT((AV23-FT_First)/FT_Int1),FT_PreY5+FT_PerYear*INT((AV23-FT_Y5)/12)+FT_AnnivDays+INT(MOD(AV23-FT_Y5,12)/FT_Int2))),IF(AR23="PT",IF(AV23&lt;PT_First,0,1+INT((AV23-PT_First)/PT_Int)),0)),0))</f>
        <v/>
      </c>
      <c r="BA23" s="14" t="str">
        <f aca="false">IF(AG23=0,"",IF(AP23="FT",IF(AX23&lt;FT_First,0,IF(AX23&lt;FT_Y5,1+INT((AX23-FT_First)/FT_Int1),FT_PreY5+FT_PerYear*INT((AX23-FT_Y5)/12)+FT_AnnivDays+INT(MOD(AX23-FT_Y5,12)/FT_Int2))),IF(AP23="PT",IF(AX23&lt;PT_First,0,1+INT((AX23-PT_First)/PT_Int)),0))+IF(AND(AI23&gt;=2,AK23&lt;=PFYDate),IF(AQ23="FT",IF(AY23&lt;FT_First,0,IF(AY23&lt;FT_Y5,1+INT((AY23-FT_First)/FT_Int1),FT_PreY5+FT_PerYear*INT((AY23-FT_Y5)/12)+FT_AnnivDays+INT(MOD(AY23-FT_Y5,12)/FT_Int2))),IF(AQ23="PT",IF(AY23&lt;PT_First,0,1+INT((AY23-PT_First)/PT_Int)),0))-IF(AQ23="FT",IF(AX23&lt;FT_First,0,IF(AX23&lt;FT_Y5,1+INT((AX23-FT_First)/FT_Int1),FT_PreY5+FT_PerYear*INT((AX23-FT_Y5)/12)+FT_AnnivDays+INT(MOD(AX23-FT_Y5,12)/FT_Int2))),IF(AQ23="PT",IF(AX23&lt;PT_First,0,1+INT((AX23-PT_First)/PT_Int)),0)),0)+IF(AND(AI23&gt;=3,AL23&lt;=PFYDate),IF(AR23="FT",IF(AW23&lt;FT_First,0,IF(AW23&lt;FT_Y5,1+INT((AW23-FT_First)/FT_Int1),FT_PreY5+FT_PerYear*INT((AW23-FT_Y5)/12)+FT_AnnivDays+INT(MOD(AW23-FT_Y5,12)/FT_Int2))),IF(AR23="PT",IF(AW23&lt;PT_First,0,1+INT((AW23-PT_First)/PT_Int)),0))-IF(AR23="FT",IF(AY23&lt;FT_First,0,IF(AY23&lt;FT_Y5,1+INT((AY23-FT_First)/FT_Int1),FT_PreY5+FT_PerYear*INT((AY23-FT_Y5)/12)+FT_AnnivDays+INT(MOD(AY23-FT_Y5,12)/FT_Int2))),IF(AR23="PT",IF(AY23&lt;PT_First,0,1+INT((AY23-PT_First)/PT_Int)),0)),0))</f>
        <v/>
      </c>
      <c r="BB23" s="14" t="str">
        <f aca="false">IF(AG23=0,"",IF(AS23="FT",IF(AT23&lt;FT_First,FT_First,IF(AT23&lt;FT_Y5,MIN(FT_Y5,FT_First+FT_Int1*(INT((AT23-FT_First)/FT_Int1)+1)),FT_Y5+12*INT((AT23-FT_Y5)/12)+FT_Int2*(INT(MOD(AT23-FT_Y5,12)/FT_Int2)+1))),IF(AS23="PT",IF(AT23&lt;PT_First,PT_First,PT_First+PT_Int*(INT((AT23-PT_First)/PT_Int)+1)),"")))</f>
        <v/>
      </c>
      <c r="BC23" s="14" t="str">
        <f aca="false">IF(AG23=0,"",IF(NOT(LH_Ready),0,COUNTIFS(INDEX(LH_Data,0,LH_ColFirst),$A23,INDEX(LH_Data,0,LH_ColSur),$B23,INDEX(LH_Data,0,LH_ColCat),BonusCat)))</f>
        <v/>
      </c>
      <c r="BD23" s="14" t="str">
        <f aca="false">IF(AG23=0,"",IF(OR(NOT(LH_Ready),BC23=0),0,SUMPRODUCT(MAX((INDEX(LH_Data,0,LH_ColFirst)=$A23)*(INDEX(LH_Data,0,LH_ColSur)=$B23)*(INDEX(LH_Data,0,LH_ColCat)=BonusCat)*ROW(LH_Data)))))</f>
        <v/>
      </c>
      <c r="BE23" s="14" t="str">
        <f aca="false">IF(AG23=0,"",IF(EOMONTH(AsOfDate,-1)&lt;AH23,-1,12*(YEAR(EOMONTH(AsOfDate,-1))-YEAR(AH23))+MONTH(EOMONTH(AsOfDate,-1))-MONTH(AH23)-IF(DAY(EOMONTH(AsOfDate,-1))&lt;MIN(DAY(AH23),DAY(EOMONTH(EOMONTH(AsOfDate,-1),0))),1,0)))</f>
        <v/>
      </c>
      <c r="BF23" s="14" t="str">
        <f aca="false">IF(AG23=0,"",IF(OR(AI23&lt;2,AK23&gt;EOMONTH(AsOfDate,-1)),BE23,IF((AK23-1)&lt;AH23,-1,12*(YEAR((AK23-1))-YEAR(AH23))+MONTH((AK23-1))-MONTH(AH23)-IF(DAY((AK23-1))&lt;MIN(DAY(AH23),DAY(EOMONTH((AK23-1),0))),1,0))))</f>
        <v/>
      </c>
      <c r="BG23" s="14" t="str">
        <f aca="false">IF(AG23=0,"",IF(OR(AI23&lt;3,AL23&gt;EOMONTH(AsOfDate,-1)),BE23,IF((AL23-1)&lt;AH23,-1,12*(YEAR((AL23-1))-YEAR(AH23))+MONTH((AL23-1))-MONTH(AH23)-IF(DAY((AL23-1))&lt;MIN(DAY(AH23),DAY(EOMONTH((AL23-1),0))),1,0))))</f>
        <v/>
      </c>
      <c r="BH23" s="14" t="str">
        <f aca="false">IF(AG23=0,"",IF(AP23="FT",IF(BF23&lt;FT_First,0,IF(BF23&lt;FT_Y5,1+INT((BF23-FT_First)/FT_Int1),FT_PreY5+FT_PerYear*INT((BF23-FT_Y5)/12)+FT_AnnivDays+INT(MOD(BF23-FT_Y5,12)/FT_Int2))),IF(AP23="PT",IF(BF23&lt;PT_First,0,1+INT((BF23-PT_First)/PT_Int)),0))+IF(AND(AI23&gt;=2,AK23&lt;=EOMONTH(AsOfDate,-1)),IF(AQ23="FT",IF(BG23&lt;FT_First,0,IF(BG23&lt;FT_Y5,1+INT((BG23-FT_First)/FT_Int1),FT_PreY5+FT_PerYear*INT((BG23-FT_Y5)/12)+FT_AnnivDays+INT(MOD(BG23-FT_Y5,12)/FT_Int2))),IF(AQ23="PT",IF(BG23&lt;PT_First,0,1+INT((BG23-PT_First)/PT_Int)),0))-IF(AQ23="FT",IF(BF23&lt;FT_First,0,IF(BF23&lt;FT_Y5,1+INT((BF23-FT_First)/FT_Int1),FT_PreY5+FT_PerYear*INT((BF23-FT_Y5)/12)+FT_AnnivDays+INT(MOD(BF23-FT_Y5,12)/FT_Int2))),IF(AQ23="PT",IF(BF23&lt;PT_First,0,1+INT((BF23-PT_First)/PT_Int)),0)),0)+IF(AND(AI23&gt;=3,AL23&lt;=EOMONTH(AsOfDate,-1)),IF(AR23="FT",IF(BE23&lt;FT_First,0,IF(BE23&lt;FT_Y5,1+INT((BE23-FT_First)/FT_Int1),FT_PreY5+FT_PerYear*INT((BE23-FT_Y5)/12)+FT_AnnivDays+INT(MOD(BE23-FT_Y5,12)/FT_Int2))),IF(AR23="PT",IF(BE23&lt;PT_First,0,1+INT((BE23-PT_First)/PT_Int)),0))-IF(AR23="FT",IF(BG23&lt;FT_First,0,IF(BG23&lt;FT_Y5,1+INT((BG23-FT_First)/FT_Int1),FT_PreY5+FT_PerYear*INT((BG23-FT_Y5)/12)+FT_AnnivDays+INT(MOD(BG23-FT_Y5,12)/FT_Int2))),IF(AR23="PT",IF(BG23&lt;PT_First,0,1+INT((BG23-PT_First)/PT_Int)),0)),0))</f>
        <v/>
      </c>
      <c r="BI23" s="14" t="str">
        <f aca="false">IF(AG23=0,"",IF(AS23="FT",IF(AT23&lt;FT_First,"",IF(AT23&lt;FT_Y5,FT_First+FT_Int1*INT((AT23-FT_First)/FT_Int1),FT_Y5+FT_Int2*INT((AT23-FT_Y5)/FT_Int2))),IF(AS23="PT",IF(AT23&lt;PT_First,"",PT_First+PT_Int*INT((AT23-PT_First)/PT_Int)),"")))</f>
        <v/>
      </c>
      <c r="BJ23" s="0" t="str">
        <f aca="false">IF(LEN($A23&amp;$B23)=0,"",$A23&amp;" "&amp;$B23)</f>
        <v/>
      </c>
    </row>
    <row r="24" customFormat="false" ht="15" hidden="false" customHeight="false" outlineLevel="0" collapsed="false">
      <c r="A24" s="10"/>
      <c r="B24" s="10"/>
      <c r="C24" s="10"/>
      <c r="D24" s="11"/>
      <c r="E24" s="12" t="str">
        <f aca="false">IF(OR(AG24=0,$D24=""),"",DATE(YEAR(AsOfDate)+IF(DATE(YEAR(AsOfDate),MONTH($D24),DAY($D24))&lt;=AsOfDate,1,0),MONTH($D24),DAY($D24)))</f>
        <v/>
      </c>
      <c r="F24" s="11"/>
      <c r="G24" s="11"/>
      <c r="H24" s="11"/>
      <c r="I24" s="11"/>
      <c r="J24" s="11"/>
      <c r="K24" s="12" t="str">
        <f aca="false">IF(AG24=0,"",DATE(YEAR(AsOfDate)+IF(DATE(YEAR(AsOfDate),MONTH(AH24),DAY(AH24))&lt;=AsOfDate,1,0),MONTH(AH24),DAY(AH24)))</f>
        <v/>
      </c>
      <c r="L24" s="13" t="str">
        <f aca="false">IF(AG24=0,"",ROUND((AsOfDate-AH24)/365.25,1))</f>
        <v/>
      </c>
      <c r="M24" s="14" t="str">
        <f aca="false">IF(AG24=0,"",IF(AsOfDate&lt;AH24,"-",DATEDIF(AH24,AsOfDate,"y")&amp;"y "&amp;DATEDIF(AH24,AsOfDate,"ym")&amp;"m "&amp;DATEDIF(AH24,AsOfDate,"md")&amp;"d"))</f>
        <v/>
      </c>
      <c r="N24" s="15" t="str">
        <f aca="false">IF(AG24=0,"",O24*HoursPerDay)</f>
        <v/>
      </c>
      <c r="O24" s="15" t="str">
        <f aca="false">IF(AG24=0,"",AZ24)</f>
        <v/>
      </c>
      <c r="P24" s="16"/>
      <c r="Q24" s="14" t="str">
        <f aca="false">IF(AG24=0,"",IF(AI24&lt;2,"",AM24&amp;" to "&amp;AN24&amp;" on "&amp;TEXT(AK24,"dd/mm/yyyy")&amp;IF(AK24&gt;AsOfDate," (future)",IF(AP24=AQ24,"",IF(AQ24="None"," - STOPPED accruing",IF(AP24="None"," - commencement for Bonus Leave"," - pathway changed"))))&amp;IF(AI24&lt;3,"","; "&amp;AN24&amp;" to "&amp;AO24&amp;" on "&amp;TEXT(AL24,"dd/mm/yyyy")&amp;IF(AL24&gt;AsOfDate," (future)",IF(AQ24=AR24,"",IF(AR24="None"," - STOPPED accruing",IF(AQ24="None"," - commencement for Bonus Leave"," - pathway changed")))))))</f>
        <v/>
      </c>
      <c r="R24" s="14" t="str">
        <f aca="false">IF(AG24=0,"",IF(AS24="None",IF(O24&gt;0,"No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2" t="str">
        <f aca="false">IF(AG24=0,"",IF(AS24="None","",EDATE(AH24,BB24)))</f>
        <v/>
      </c>
      <c r="T24" s="15" t="str">
        <f aca="false">IF(AG24=0,"",IF(NOT(LH_Ready),"",IF(AH24&gt;PFYDate,0,IF(LH_ColPeriod=0,W24-U24+V24,SUMIFS(INDEX(LH_Data,0,LH_ColAcc),INDEX(LH_Data,0,LH_ColFirst),$A24,INDEX(LH_Data,0,LH_ColSur),$B24,INDEX(LH_Data,0,LH_ColCat),BonusCat,INDEX(LH_Data,0,LH_ColPeriod),LH_OpenLabel)*UnitFactor))))</f>
        <v/>
      </c>
      <c r="U24" s="15" t="str">
        <f aca="false">IF(AG24=0,"",IF(NOT(LH_Ready),"",SUMIFS(INDEX(LH_Data,0,LH_ColAcc),INDEX(LH_Data,0,LH_ColFirst),$A24,INDEX(LH_Data,0,LH_ColSur),$B24,INDEX(LH_Data,0,LH_ColCat),BonusCat,INDEX(LH_Data,0,LH_ColStart),"&gt;="&amp;AH24)*UnitFactor))</f>
        <v/>
      </c>
      <c r="V24" s="15" t="str">
        <f aca="false">IF(AG24=0,"",IF(NOT(LH_Ready),"",SUMIFS(INDEX(LH_Data,0,LH_ColTaken),INDEX(LH_Data,0,LH_ColFirst),$A24,INDEX(LH_Data,0,LH_ColSur),$B24,INDEX(LH_Data,0,LH_ColCat),BonusCat,INDEX(LH_Data,0,LH_ColStart),"&gt;="&amp;AH24)*UnitFactor))</f>
        <v/>
      </c>
      <c r="W24" s="15" t="str">
        <f aca="false">IF(AG24=0,"",IF(NOT(LH_Ready),"",IF(BD24=0,0,INDEX(INDEX(LH_Data,0,LH_ColClose),BD24-1)*UnitFactor)))</f>
        <v/>
      </c>
      <c r="X24" s="15" t="str">
        <f aca="false">IF(AG24=0,"",(AZ24-BA24)*HoursPerDay)</f>
        <v/>
      </c>
      <c r="Y24" s="15" t="str">
        <f aca="false">IF(AG24=0,"",IF(NOT(LH_Ready),"",IF(BC24=0,N24,IF(PFYDate&lt;$F24,N24-N(T24)-N(U24),X24-N(U24)))))</f>
        <v/>
      </c>
      <c r="Z24" s="14" t="str">
        <f aca="false">IF(OR(AG24=0,Y24=""),"",IF(Y24&gt;0,"Yes","No"))</f>
        <v/>
      </c>
      <c r="AA24" s="14" t="str">
        <f aca="false">IF(AG24=0,IF(LEN($A24&amp;$B24)=0,"","FIX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month")&amp;IF(BC24=0,";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EH)",""),IF(AS24="None",R24,"Not yet - first day on "&amp;TEXT(S24,"dd/mm/yyyy")))))))))</f>
        <v/>
      </c>
      <c r="AB24" s="15" t="str">
        <f aca="false">IF(OR(AG24=0,T24=""),"",BA24*HoursPerDay-T24)</f>
        <v/>
      </c>
      <c r="AC24" s="14" t="str">
        <f aca="false">IF(AG24=0,"",BC24)</f>
        <v/>
      </c>
      <c r="AD24" s="14" t="str">
        <f aca="false">IF(AG24=0,"",TRIM(IF(OR(ISTEXT($F24),ISTEXT($H24),ISTEXT($I24),ISTEXT($G24),ISTEXT($J24),ISTEXT($D24)),"A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I24&gt;=1,IF(AI24&gt;=3,AO24,IF(AI24=2,AN24,AM24))&lt;&gt;IF($C24="","",IF(OR(ISNUMBER(SEARCH("full",$C24)),UPPER(TRIM($C24))="FT",UPPER(TRIM($C24))="FTE"),"Full-Time",IF(OR(ISNUMBER(SEARCH("part",$C24)),UPPER(TRIM($C24))="PT",UPPER(TRIM($C24))="PTE"),"Part-Time",IF(OR(ISNUMBER(SEARCH("cas",$C24)),UPPER(TRIM($C24))="CAS"),"Casual","Unknown"))))),"EmploymentType does not match latest start date ("&amp;IF(AI24&gt;=3,AO24,IF(AI24=2,AN24,AM24))&amp;"). ","")&amp;IF(AND(AI24&gt;=1,AJ24&lt;&gt;$F24),"Earliest type date should equal StartDate. ","")&amp;IF(AND(AI24&gt;=2,AJ24=AK24),"Two types start on the same date. ","")&amp;IF(AND(OR(ISNUMBER(SEARCH("part",$C24)),UPPER(TRIM($C24))="PT",UPPER(TRIM($C24))="PTE"),$P24=""),"Part-time: enter PT Hrs/Week (blank = 24+). ","")))</f>
        <v/>
      </c>
      <c r="AE24" s="15" t="str">
        <f aca="false">IF(AG24=0,"",O24-BH24)</f>
        <v/>
      </c>
      <c r="AF24" s="12" t="str">
        <f aca="false">IF(OR(AG24=0,AE24="",N(AE24)=0,BI24=""),"",EDATE(AH24,BI24))</f>
        <v/>
      </c>
      <c r="AG24" s="14" t="n">
        <f aca="false">IF(OR(LEN($A24&amp;$B24)=0,$F24=""),0,1)</f>
        <v>0</v>
      </c>
      <c r="AH24" s="12" t="str">
        <f aca="false">IF(AG24=0,"",IF($J24&lt;&gt;"",$J24,IF(OR(CasualCounts="Yes",COUNT($G24:$I24)=0,COUNT($H24:$I24)=0),$F24,MIN($H24:$I24))))</f>
        <v/>
      </c>
      <c r="AI24" s="14" t="str">
        <f aca="false">IF(AG24=0,"",COUNT($G24:$I24))</f>
        <v/>
      </c>
      <c r="AJ24" s="12" t="str">
        <f aca="false">IF(AG24=0,"",IFERROR(SMALL($G24:$I24,1),""))</f>
        <v/>
      </c>
      <c r="AK24" s="12" t="str">
        <f aca="false">IF(AG24=0,"",IFERROR(SMALL($G24:$I24,2),""))</f>
        <v/>
      </c>
      <c r="AL24" s="12" t="str">
        <f aca="false">IF(AG24=0,"",IFERROR(SMALL($G24:$I24,3),""))</f>
        <v/>
      </c>
      <c r="AM24" s="14" t="str">
        <f aca="false">IF(AG24=0,"",IF(AJ24="","",IF(AJ24=$H24,"Part-Time",IF(AJ24=$I24,"Full-Time","Casual"))))</f>
        <v/>
      </c>
      <c r="AN24" s="14" t="str">
        <f aca="false">IF(AG24=0,"",IF(AK24="","",IF(AK24=$H24,"Part-Time",IF(AK24=$I24,"Full-Time","Casual"))))</f>
        <v/>
      </c>
      <c r="AO24" s="14" t="str">
        <f aca="false">IF(AG24=0,"",IF(AL24="","",IF(AL24=$H24,"Part-Time",IF(AL24=$I24,"Full-Time","Casual"))))</f>
        <v/>
      </c>
      <c r="AP24" s="14" t="str">
        <f aca="false">IF(AG24=0,"",IF(AI24=0,IF(OR(ISNUMBER(SEARCH("full",$C24)),UPPER(TRIM($C24))="FT",UPPER(TRIM($C24))="FTE"),"FT",IF(AND(OR(ISNUMBER(SEARCH("part",$C24)),UPPER(TRIM($C24))="PT",UPPER(TRIM($C24))="PTE"),OR($P24="",N($P24)&gt;=PT_MinHours)),"PT","None")),IF(OR(ISNUMBER(SEARCH("full",AM24)),UPPER(TRIM(AM24))="FT",UPPER(TRIM(AM24))="FTE"),"FT",IF(AND(OR(ISNUMBER(SEARCH("part",AM24)),UPPER(TRIM(AM24))="PT",UPPER(TRIM(AM24))="PTE"),OR($P24="",N($P24)&gt;=PT_MinHours)),"PT","None"))))</f>
        <v/>
      </c>
      <c r="AQ24" s="14" t="str">
        <f aca="false">IF(AG24=0,"",IF(AI24&lt;2,"",IF(OR(ISNUMBER(SEARCH("full",AN24)),UPPER(TRIM(AN24))="FT",UPPER(TRIM(AN24))="FTE"),"FT",IF(AND(OR(ISNUMBER(SEARCH("part",AN24)),UPPER(TRIM(AN24))="PT",UPPER(TRIM(AN24))="PTE"),OR($P24="",N($P24)&gt;=PT_MinHours)),"PT","None"))))</f>
        <v/>
      </c>
      <c r="AR24" s="14" t="str">
        <f aca="false">IF(AG24=0,"",IF(AI24&lt;3,"",IF(OR(ISNUMBER(SEARCH("full",AO24)),UPPER(TRIM(AO24))="FT",UPPER(TRIM(AO24))="FTE"),"FT",IF(AND(OR(ISNUMBER(SEARCH("part",AO24)),UPPER(TRIM(AO24))="PT",UPPER(TRIM(AO24))="PTE"),OR($P24="",N($P24)&gt;=PT_MinHours)),"PT","None"))))</f>
        <v/>
      </c>
      <c r="AS24" s="14" t="str">
        <f aca="false">IF(AG24=0,"",IF(AND(AI24&gt;=3,AL24&lt;=AsOfDate),AR24,IF(AND(AI24&gt;=2,AK24&lt;=AsOfDate),AQ24,AP24)))</f>
        <v/>
      </c>
      <c r="AT24" s="14" t="str">
        <f aca="false">IF(AG24=0,"",IF(AsOfDate&lt;AH24,-1,12*(YEAR(AsOfDate)-YEAR(AH24))+MONTH(AsOfDate)-MONTH(AH24)-IF(DAY(AsOfDate)&lt;MIN(DAY(AH24),DAY(EOMONTH(AsOfDate,0))),1,0)))</f>
        <v/>
      </c>
      <c r="AU24" s="14" t="str">
        <f aca="false">IF(AG24=0,"",IF(OR(AI24&lt;2,AK24&gt;AsOfDate),AT24,IF((AK24-1)&lt;AH24,-1,12*(YEAR((AK24-1))-YEAR(AH24))+MONTH((AK24-1))-MONTH(AH24)-IF(DAY((AK24-1))&lt;MIN(DAY(AH24),DAY(EOMONTH((AK24-1),0))),1,0))))</f>
        <v/>
      </c>
      <c r="AV24" s="14" t="str">
        <f aca="false">IF(AG24=0,"",IF(OR(AI24&lt;3,AL24&gt;AsOfDate),AT24,IF((AL24-1)&lt;AH24,-1,12*(YEAR((AL24-1))-YEAR(AH24))+MONTH((AL24-1))-MONTH(AH24)-IF(DAY((AL24-1))&lt;MIN(DAY(AH24),DAY(EOMONTH((AL24-1),0))),1,0))))</f>
        <v/>
      </c>
      <c r="AW24" s="14" t="str">
        <f aca="false">IF(AG24=0,"",IF(PFYDate&lt;AH24,-1,12*(YEAR(PFYDate)-YEAR(AH24))+MONTH(PFYDate)-MONTH(AH24)-IF(DAY(PFYDate)&lt;MIN(DAY(AH24),DAY(EOMONTH(PFYDate,0))),1,0)))</f>
        <v/>
      </c>
      <c r="AX24" s="14" t="str">
        <f aca="false">IF(AG24=0,"",IF(OR(AI24&lt;2,AK24&gt;PFYDate),AW24,IF((AK24-1)&lt;AH24,-1,12*(YEAR((AK24-1))-YEAR(AH24))+MONTH((AK24-1))-MONTH(AH24)-IF(DAY((AK24-1))&lt;MIN(DAY(AH24),DAY(EOMONTH((AK24-1),0))),1,0))))</f>
        <v/>
      </c>
      <c r="AY24" s="14" t="str">
        <f aca="false">IF(AG24=0,"",IF(OR(AI24&lt;3,AL24&gt;PFYDate),AW24,IF((AL24-1)&lt;AH24,-1,12*(YEAR((AL24-1))-YEAR(AH24))+MONTH((AL24-1))-MONTH(AH24)-IF(DAY((AL24-1))&lt;MIN(DAY(AH24),DAY(EOMONTH((AL24-1),0))),1,0))))</f>
        <v/>
      </c>
      <c r="AZ24" s="14" t="str">
        <f aca="false">IF(AG24=0,"",IF(AP24="FT",IF(AU24&lt;FT_First,0,IF(AU24&lt;FT_Y5,1+INT((AU24-FT_First)/FT_Int1),FT_PreY5+FT_PerYear*INT((AU24-FT_Y5)/12)+FT_AnnivDays+INT(MOD(AU24-FT_Y5,12)/FT_Int2))),IF(AP24="PT",IF(AU24&lt;PT_First,0,1+INT((AU24-PT_First)/PT_Int)),0))+IF(AND(AI24&gt;=2,AK24&lt;=AsOfDate),IF(AQ24="FT",IF(AV24&lt;FT_First,0,IF(AV24&lt;FT_Y5,1+INT((AV24-FT_First)/FT_Int1),FT_PreY5+FT_PerYear*INT((AV24-FT_Y5)/12)+FT_AnnivDays+INT(MOD(AV24-FT_Y5,12)/FT_Int2))),IF(AQ24="PT",IF(AV24&lt;PT_First,0,1+INT((AV24-PT_First)/PT_Int)),0))-IF(AQ24="FT",IF(AU24&lt;FT_First,0,IF(AU24&lt;FT_Y5,1+INT((AU24-FT_First)/FT_Int1),FT_PreY5+FT_PerYear*INT((AU24-FT_Y5)/12)+FT_AnnivDays+INT(MOD(AU24-FT_Y5,12)/FT_Int2))),IF(AQ24="PT",IF(AU24&lt;PT_First,0,1+INT((AU24-PT_First)/PT_Int)),0)),0)+IF(AND(AI24&gt;=3,AL24&lt;=AsOfDate),IF(AR24="FT",IF(AT24&lt;FT_First,0,IF(AT24&lt;FT_Y5,1+INT((AT24-FT_First)/FT_Int1),FT_PreY5+FT_PerYear*INT((AT24-FT_Y5)/12)+FT_AnnivDays+INT(MOD(AT24-FT_Y5,12)/FT_Int2))),IF(AR24="PT",IF(AT24&lt;PT_First,0,1+INT((AT24-PT_First)/PT_Int)),0))-IF(AR24="FT",IF(AV24&lt;FT_First,0,IF(AV24&lt;FT_Y5,1+INT((AV24-FT_First)/FT_Int1),FT_PreY5+FT_PerYear*INT((AV24-FT_Y5)/12)+FT_AnnivDays+INT(MOD(AV24-FT_Y5,12)/FT_Int2))),IF(AR24="PT",IF(AV24&lt;PT_First,0,1+INT((AV24-PT_First)/PT_Int)),0)),0))</f>
        <v/>
      </c>
      <c r="BA24" s="14" t="str">
        <f aca="false">IF(AG24=0,"",IF(AP24="FT",IF(AX24&lt;FT_First,0,IF(AX24&lt;FT_Y5,1+INT((AX24-FT_First)/FT_Int1),FT_PreY5+FT_PerYear*INT((AX24-FT_Y5)/12)+FT_AnnivDays+INT(MOD(AX24-FT_Y5,12)/FT_Int2))),IF(AP24="PT",IF(AX24&lt;PT_First,0,1+INT((AX24-PT_First)/PT_Int)),0))+IF(AND(AI24&gt;=2,AK24&lt;=PFYDate),IF(AQ24="FT",IF(AY24&lt;FT_First,0,IF(AY24&lt;FT_Y5,1+INT((AY24-FT_First)/FT_Int1),FT_PreY5+FT_PerYear*INT((AY24-FT_Y5)/12)+FT_AnnivDays+INT(MOD(AY24-FT_Y5,12)/FT_Int2))),IF(AQ24="PT",IF(AY24&lt;PT_First,0,1+INT((AY24-PT_First)/PT_Int)),0))-IF(AQ24="FT",IF(AX24&lt;FT_First,0,IF(AX24&lt;FT_Y5,1+INT((AX24-FT_First)/FT_Int1),FT_PreY5+FT_PerYear*INT((AX24-FT_Y5)/12)+FT_AnnivDays+INT(MOD(AX24-FT_Y5,12)/FT_Int2))),IF(AQ24="PT",IF(AX24&lt;PT_First,0,1+INT((AX24-PT_First)/PT_Int)),0)),0)+IF(AND(AI24&gt;=3,AL24&lt;=PFYDate),IF(AR24="FT",IF(AW24&lt;FT_First,0,IF(AW24&lt;FT_Y5,1+INT((AW24-FT_First)/FT_Int1),FT_PreY5+FT_PerYear*INT((AW24-FT_Y5)/12)+FT_AnnivDays+INT(MOD(AW24-FT_Y5,12)/FT_Int2))),IF(AR24="PT",IF(AW24&lt;PT_First,0,1+INT((AW24-PT_First)/PT_Int)),0))-IF(AR24="FT",IF(AY24&lt;FT_First,0,IF(AY24&lt;FT_Y5,1+INT((AY24-FT_First)/FT_Int1),FT_PreY5+FT_PerYear*INT((AY24-FT_Y5)/12)+FT_AnnivDays+INT(MOD(AY24-FT_Y5,12)/FT_Int2))),IF(AR24="PT",IF(AY24&lt;PT_First,0,1+INT((AY24-PT_First)/PT_Int)),0)),0))</f>
        <v/>
      </c>
      <c r="BB24" s="14" t="str">
        <f aca="false">IF(AG24=0,"",IF(AS24="FT",IF(AT24&lt;FT_First,FT_First,IF(AT24&lt;FT_Y5,MIN(FT_Y5,FT_First+FT_Int1*(INT((AT24-FT_First)/FT_Int1)+1)),FT_Y5+12*INT((AT24-FT_Y5)/12)+FT_Int2*(INT(MOD(AT24-FT_Y5,12)/FT_Int2)+1))),IF(AS24="PT",IF(AT24&lt;PT_First,PT_First,PT_First+PT_Int*(INT((AT24-PT_First)/PT_Int)+1)),"")))</f>
        <v/>
      </c>
      <c r="BC24" s="14" t="str">
        <f aca="false">IF(AG24=0,"",IF(NOT(LH_Ready),0,COUNTIFS(INDEX(LH_Data,0,LH_ColFirst),$A24,INDEX(LH_Data,0,LH_ColSur),$B24,INDEX(LH_Data,0,LH_ColCat),BonusCat)))</f>
        <v/>
      </c>
      <c r="BD24" s="14" t="str">
        <f aca="false">IF(AG24=0,"",IF(OR(NOT(LH_Ready),BC24=0),0,SUMPRODUCT(MAX((INDEX(LH_Data,0,LH_ColFirst)=$A24)*(INDEX(LH_Data,0,LH_ColSur)=$B24)*(INDEX(LH_Data,0,LH_ColCat)=BonusCat)*ROW(LH_Data)))))</f>
        <v/>
      </c>
      <c r="BE24" s="14" t="str">
        <f aca="false">IF(AG24=0,"",IF(EOMONTH(AsOfDate,-1)&lt;AH24,-1,12*(YEAR(EOMONTH(AsOfDate,-1))-YEAR(AH24))+MONTH(EOMONTH(AsOfDate,-1))-MONTH(AH24)-IF(DAY(EOMONTH(AsOfDate,-1))&lt;MIN(DAY(AH24),DAY(EOMONTH(EOMONTH(AsOfDate,-1),0))),1,0)))</f>
        <v/>
      </c>
      <c r="BF24" s="14" t="str">
        <f aca="false">IF(AG24=0,"",IF(OR(AI24&lt;2,AK24&gt;EOMONTH(AsOfDate,-1)),BE24,IF((AK24-1)&lt;AH24,-1,12*(YEAR((AK24-1))-YEAR(AH24))+MONTH((AK24-1))-MONTH(AH24)-IF(DAY((AK24-1))&lt;MIN(DAY(AH24),DAY(EOMONTH((AK24-1),0))),1,0))))</f>
        <v/>
      </c>
      <c r="BG24" s="14" t="str">
        <f aca="false">IF(AG24=0,"",IF(OR(AI24&lt;3,AL24&gt;EOMONTH(AsOfDate,-1)),BE24,IF((AL24-1)&lt;AH24,-1,12*(YEAR((AL24-1))-YEAR(AH24))+MONTH((AL24-1))-MONTH(AH24)-IF(DAY((AL24-1))&lt;MIN(DAY(AH24),DAY(EOMONTH((AL24-1),0))),1,0))))</f>
        <v/>
      </c>
      <c r="BH24" s="14" t="str">
        <f aca="false">IF(AG24=0,"",IF(AP24="FT",IF(BF24&lt;FT_First,0,IF(BF24&lt;FT_Y5,1+INT((BF24-FT_First)/FT_Int1),FT_PreY5+FT_PerYear*INT((BF24-FT_Y5)/12)+FT_AnnivDays+INT(MOD(BF24-FT_Y5,12)/FT_Int2))),IF(AP24="PT",IF(BF24&lt;PT_First,0,1+INT((BF24-PT_First)/PT_Int)),0))+IF(AND(AI24&gt;=2,AK24&lt;=EOMONTH(AsOfDate,-1)),IF(AQ24="FT",IF(BG24&lt;FT_First,0,IF(BG24&lt;FT_Y5,1+INT((BG24-FT_First)/FT_Int1),FT_PreY5+FT_PerYear*INT((BG24-FT_Y5)/12)+FT_AnnivDays+INT(MOD(BG24-FT_Y5,12)/FT_Int2))),IF(AQ24="PT",IF(BG24&lt;PT_First,0,1+INT((BG24-PT_First)/PT_Int)),0))-IF(AQ24="FT",IF(BF24&lt;FT_First,0,IF(BF24&lt;FT_Y5,1+INT((BF24-FT_First)/FT_Int1),FT_PreY5+FT_PerYear*INT((BF24-FT_Y5)/12)+FT_AnnivDays+INT(MOD(BF24-FT_Y5,12)/FT_Int2))),IF(AQ24="PT",IF(BF24&lt;PT_First,0,1+INT((BF24-PT_First)/PT_Int)),0)),0)+IF(AND(AI24&gt;=3,AL24&lt;=EOMONTH(AsOfDate,-1)),IF(AR24="FT",IF(BE24&lt;FT_First,0,IF(BE24&lt;FT_Y5,1+INT((BE24-FT_First)/FT_Int1),FT_PreY5+FT_PerYear*INT((BE24-FT_Y5)/12)+FT_AnnivDays+INT(MOD(BE24-FT_Y5,12)/FT_Int2))),IF(AR24="PT",IF(BE24&lt;PT_First,0,1+INT((BE24-PT_First)/PT_Int)),0))-IF(AR24="FT",IF(BG24&lt;FT_First,0,IF(BG24&lt;FT_Y5,1+INT((BG24-FT_First)/FT_Int1),FT_PreY5+FT_PerYear*INT((BG24-FT_Y5)/12)+FT_AnnivDays+INT(MOD(BG24-FT_Y5,12)/FT_Int2))),IF(AR24="PT",IF(BG24&lt;PT_First,0,1+INT((BG24-PT_First)/PT_Int)),0)),0))</f>
        <v/>
      </c>
      <c r="BI24" s="14" t="str">
        <f aca="false">IF(AG24=0,"",IF(AS24="FT",IF(AT24&lt;FT_First,"",IF(AT24&lt;FT_Y5,FT_First+FT_Int1*INT((AT24-FT_First)/FT_Int1),FT_Y5+FT_Int2*INT((AT24-FT_Y5)/FT_Int2))),IF(AS24="PT",IF(AT24&lt;PT_First,"",PT_First+PT_Int*INT((AT24-PT_First)/PT_Int)),"")))</f>
        <v/>
      </c>
      <c r="BJ24" s="0" t="str">
        <f aca="false">IF(LEN($A24&amp;$B24)=0,"",$A24&amp;" "&amp;$B24)</f>
        <v/>
      </c>
    </row>
    <row r="25" customFormat="false" ht="15" hidden="false" customHeight="false" outlineLevel="0" collapsed="false">
      <c r="A25" s="10"/>
      <c r="B25" s="10"/>
      <c r="C25" s="10"/>
      <c r="D25" s="11"/>
      <c r="E25" s="12" t="str">
        <f aca="false">IF(OR(AG25=0,$D25=""),"",DATE(YEAR(AsOfDate)+IF(DATE(YEAR(AsOfDate),MONTH($D25),DAY($D25))&lt;=AsOfDate,1,0),MONTH($D25),DAY($D25)))</f>
        <v/>
      </c>
      <c r="F25" s="11"/>
      <c r="G25" s="11"/>
      <c r="H25" s="11"/>
      <c r="I25" s="11"/>
      <c r="J25" s="11"/>
      <c r="K25" s="12" t="str">
        <f aca="false">IF(AG25=0,"",DATE(YEAR(AsOfDate)+IF(DATE(YEAR(AsOfDate),MONTH(AH25),DAY(AH25))&lt;=AsOfDate,1,0),MONTH(AH25),DAY(AH25)))</f>
        <v/>
      </c>
      <c r="L25" s="13" t="str">
        <f aca="false">IF(AG25=0,"",ROUND((AsOfDate-AH25)/365.25,1))</f>
        <v/>
      </c>
      <c r="M25" s="14" t="str">
        <f aca="false">IF(AG25=0,"",IF(AsOfDate&lt;AH25,"-",DATEDIF(AH25,AsOfDate,"y")&amp;"y "&amp;DATEDIF(AH25,AsOfDate,"ym")&amp;"m "&amp;DATEDIF(AH25,AsOfDate,"md")&amp;"d"))</f>
        <v/>
      </c>
      <c r="N25" s="15" t="str">
        <f aca="false">IF(AG25=0,"",O25*HoursPerDay)</f>
        <v/>
      </c>
      <c r="O25" s="15" t="str">
        <f aca="false">IF(AG25=0,"",AZ25)</f>
        <v/>
      </c>
      <c r="P25" s="16"/>
      <c r="Q25" s="14" t="str">
        <f aca="false">IF(AG25=0,"",IF(AI25&lt;2,"",AM25&amp;" to "&amp;AN25&amp;" on "&amp;TEXT(AK25,"dd/mm/yyyy")&amp;IF(AK25&gt;AsOfDate," (future)",IF(AP25=AQ25,"",IF(AQ25="None"," - STOPPED accruing",IF(AP25="None"," - commencement for Bonus Leave"," - pathway changed"))))&amp;IF(AI25&lt;3,"","; "&amp;AN25&amp;" to "&amp;AO25&amp;" on "&amp;TEXT(AL25,"dd/mm/yyyy")&amp;IF(AL25&gt;AsOfDate," (future)",IF(AQ25=AR25,"",IF(AR25="None"," - STOPPED accruing",IF(AQ25="None"," - commencement for Bonus Leave"," - pathway changed")))))))</f>
        <v/>
      </c>
      <c r="R25" s="14" t="str">
        <f aca="false">IF(AG25=0,"",IF(AS25="None",IF(O25&gt;0,"No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2" t="str">
        <f aca="false">IF(AG25=0,"",IF(AS25="None","",EDATE(AH25,BB25)))</f>
        <v/>
      </c>
      <c r="T25" s="15" t="str">
        <f aca="false">IF(AG25=0,"",IF(NOT(LH_Ready),"",IF(AH25&gt;PFYDate,0,IF(LH_ColPeriod=0,W25-U25+V25,SUMIFS(INDEX(LH_Data,0,LH_ColAcc),INDEX(LH_Data,0,LH_ColFirst),$A25,INDEX(LH_Data,0,LH_ColSur),$B25,INDEX(LH_Data,0,LH_ColCat),BonusCat,INDEX(LH_Data,0,LH_ColPeriod),LH_OpenLabel)*UnitFactor))))</f>
        <v/>
      </c>
      <c r="U25" s="15" t="str">
        <f aca="false">IF(AG25=0,"",IF(NOT(LH_Ready),"",SUMIFS(INDEX(LH_Data,0,LH_ColAcc),INDEX(LH_Data,0,LH_ColFirst),$A25,INDEX(LH_Data,0,LH_ColSur),$B25,INDEX(LH_Data,0,LH_ColCat),BonusCat,INDEX(LH_Data,0,LH_ColStart),"&gt;="&amp;AH25)*UnitFactor))</f>
        <v/>
      </c>
      <c r="V25" s="15" t="str">
        <f aca="false">IF(AG25=0,"",IF(NOT(LH_Ready),"",SUMIFS(INDEX(LH_Data,0,LH_ColTaken),INDEX(LH_Data,0,LH_ColFirst),$A25,INDEX(LH_Data,0,LH_ColSur),$B25,INDEX(LH_Data,0,LH_ColCat),BonusCat,INDEX(LH_Data,0,LH_ColStart),"&gt;="&amp;AH25)*UnitFactor))</f>
        <v/>
      </c>
      <c r="W25" s="15" t="str">
        <f aca="false">IF(AG25=0,"",IF(NOT(LH_Ready),"",IF(BD25=0,0,INDEX(INDEX(LH_Data,0,LH_ColClose),BD25-1)*UnitFactor)))</f>
        <v/>
      </c>
      <c r="X25" s="15" t="str">
        <f aca="false">IF(AG25=0,"",(AZ25-BA25)*HoursPerDay)</f>
        <v/>
      </c>
      <c r="Y25" s="15" t="str">
        <f aca="false">IF(AG25=0,"",IF(NOT(LH_Ready),"",IF(BC25=0,N25,IF(PFYDate&lt;$F25,N25-N(T25)-N(U25),X25-N(U25)))))</f>
        <v/>
      </c>
      <c r="Z25" s="14" t="str">
        <f aca="false">IF(OR(AG25=0,Y25=""),"",IF(Y25&gt;0,"Yes","No"))</f>
        <v/>
      </c>
      <c r="AA25" s="14" t="str">
        <f aca="false">IF(AG25=0,IF(LEN($A25&amp;$B25)=0,"","FIX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month")&amp;IF(BC25=0,";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EH)",""),IF(AS25="None",R25,"Not yet - first day on "&amp;TEXT(S25,"dd/mm/yyyy")))))))))</f>
        <v/>
      </c>
      <c r="AB25" s="15" t="str">
        <f aca="false">IF(OR(AG25=0,T25=""),"",BA25*HoursPerDay-T25)</f>
        <v/>
      </c>
      <c r="AC25" s="14" t="str">
        <f aca="false">IF(AG25=0,"",BC25)</f>
        <v/>
      </c>
      <c r="AD25" s="14" t="str">
        <f aca="false">IF(AG25=0,"",TRIM(IF(OR(ISTEXT($F25),ISTEXT($H25),ISTEXT($I25),ISTEXT($G25),ISTEXT($J25),ISTEXT($D25)),"A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I25&gt;=1,IF(AI25&gt;=3,AO25,IF(AI25=2,AN25,AM25))&lt;&gt;IF($C25="","",IF(OR(ISNUMBER(SEARCH("full",$C25)),UPPER(TRIM($C25))="FT",UPPER(TRIM($C25))="FTE"),"Full-Time",IF(OR(ISNUMBER(SEARCH("part",$C25)),UPPER(TRIM($C25))="PT",UPPER(TRIM($C25))="PTE"),"Part-Time",IF(OR(ISNUMBER(SEARCH("cas",$C25)),UPPER(TRIM($C25))="CAS"),"Casual","Unknown"))))),"EmploymentType does not match latest start date ("&amp;IF(AI25&gt;=3,AO25,IF(AI25=2,AN25,AM25))&amp;"). ","")&amp;IF(AND(AI25&gt;=1,AJ25&lt;&gt;$F25),"Earliest type date should equal StartDate. ","")&amp;IF(AND(AI25&gt;=2,AJ25=AK25),"Two types start on the same date. ","")&amp;IF(AND(OR(ISNUMBER(SEARCH("part",$C25)),UPPER(TRIM($C25))="PT",UPPER(TRIM($C25))="PTE"),$P25=""),"Part-time: enter PT Hrs/Week (blank = 24+). ","")))</f>
        <v/>
      </c>
      <c r="AE25" s="15" t="str">
        <f aca="false">IF(AG25=0,"",O25-BH25)</f>
        <v/>
      </c>
      <c r="AF25" s="12" t="str">
        <f aca="false">IF(OR(AG25=0,AE25="",N(AE25)=0,BI25=""),"",EDATE(AH25,BI25))</f>
        <v/>
      </c>
      <c r="AG25" s="14" t="n">
        <f aca="false">IF(OR(LEN($A25&amp;$B25)=0,$F25=""),0,1)</f>
        <v>0</v>
      </c>
      <c r="AH25" s="12" t="str">
        <f aca="false">IF(AG25=0,"",IF($J25&lt;&gt;"",$J25,IF(OR(CasualCounts="Yes",COUNT($G25:$I25)=0,COUNT($H25:$I25)=0),$F25,MIN($H25:$I25))))</f>
        <v/>
      </c>
      <c r="AI25" s="14" t="str">
        <f aca="false">IF(AG25=0,"",COUNT($G25:$I25))</f>
        <v/>
      </c>
      <c r="AJ25" s="12" t="str">
        <f aca="false">IF(AG25=0,"",IFERROR(SMALL($G25:$I25,1),""))</f>
        <v/>
      </c>
      <c r="AK25" s="12" t="str">
        <f aca="false">IF(AG25=0,"",IFERROR(SMALL($G25:$I25,2),""))</f>
        <v/>
      </c>
      <c r="AL25" s="12" t="str">
        <f aca="false">IF(AG25=0,"",IFERROR(SMALL($G25:$I25,3),""))</f>
        <v/>
      </c>
      <c r="AM25" s="14" t="str">
        <f aca="false">IF(AG25=0,"",IF(AJ25="","",IF(AJ25=$H25,"Part-Time",IF(AJ25=$I25,"Full-Time","Casual"))))</f>
        <v/>
      </c>
      <c r="AN25" s="14" t="str">
        <f aca="false">IF(AG25=0,"",IF(AK25="","",IF(AK25=$H25,"Part-Time",IF(AK25=$I25,"Full-Time","Casual"))))</f>
        <v/>
      </c>
      <c r="AO25" s="14" t="str">
        <f aca="false">IF(AG25=0,"",IF(AL25="","",IF(AL25=$H25,"Part-Time",IF(AL25=$I25,"Full-Time","Casual"))))</f>
        <v/>
      </c>
      <c r="AP25" s="14" t="str">
        <f aca="false">IF(AG25=0,"",IF(AI25=0,IF(OR(ISNUMBER(SEARCH("full",$C25)),UPPER(TRIM($C25))="FT",UPPER(TRIM($C25))="FTE"),"FT",IF(AND(OR(ISNUMBER(SEARCH("part",$C25)),UPPER(TRIM($C25))="PT",UPPER(TRIM($C25))="PTE"),OR($P25="",N($P25)&gt;=PT_MinHours)),"PT","None")),IF(OR(ISNUMBER(SEARCH("full",AM25)),UPPER(TRIM(AM25))="FT",UPPER(TRIM(AM25))="FTE"),"FT",IF(AND(OR(ISNUMBER(SEARCH("part",AM25)),UPPER(TRIM(AM25))="PT",UPPER(TRIM(AM25))="PTE"),OR($P25="",N($P25)&gt;=PT_MinHours)),"PT","None"))))</f>
        <v/>
      </c>
      <c r="AQ25" s="14" t="str">
        <f aca="false">IF(AG25=0,"",IF(AI25&lt;2,"",IF(OR(ISNUMBER(SEARCH("full",AN25)),UPPER(TRIM(AN25))="FT",UPPER(TRIM(AN25))="FTE"),"FT",IF(AND(OR(ISNUMBER(SEARCH("part",AN25)),UPPER(TRIM(AN25))="PT",UPPER(TRIM(AN25))="PTE"),OR($P25="",N($P25)&gt;=PT_MinHours)),"PT","None"))))</f>
        <v/>
      </c>
      <c r="AR25" s="14" t="str">
        <f aca="false">IF(AG25=0,"",IF(AI25&lt;3,"",IF(OR(ISNUMBER(SEARCH("full",AO25)),UPPER(TRIM(AO25))="FT",UPPER(TRIM(AO25))="FTE"),"FT",IF(AND(OR(ISNUMBER(SEARCH("part",AO25)),UPPER(TRIM(AO25))="PT",UPPER(TRIM(AO25))="PTE"),OR($P25="",N($P25)&gt;=PT_MinHours)),"PT","None"))))</f>
        <v/>
      </c>
      <c r="AS25" s="14" t="str">
        <f aca="false">IF(AG25=0,"",IF(AND(AI25&gt;=3,AL25&lt;=AsOfDate),AR25,IF(AND(AI25&gt;=2,AK25&lt;=AsOfDate),AQ25,AP25)))</f>
        <v/>
      </c>
      <c r="AT25" s="14" t="str">
        <f aca="false">IF(AG25=0,"",IF(AsOfDate&lt;AH25,-1,12*(YEAR(AsOfDate)-YEAR(AH25))+MONTH(AsOfDate)-MONTH(AH25)-IF(DAY(AsOfDate)&lt;MIN(DAY(AH25),DAY(EOMONTH(AsOfDate,0))),1,0)))</f>
        <v/>
      </c>
      <c r="AU25" s="14" t="str">
        <f aca="false">IF(AG25=0,"",IF(OR(AI25&lt;2,AK25&gt;AsOfDate),AT25,IF((AK25-1)&lt;AH25,-1,12*(YEAR((AK25-1))-YEAR(AH25))+MONTH((AK25-1))-MONTH(AH25)-IF(DAY((AK25-1))&lt;MIN(DAY(AH25),DAY(EOMONTH((AK25-1),0))),1,0))))</f>
        <v/>
      </c>
      <c r="AV25" s="14" t="str">
        <f aca="false">IF(AG25=0,"",IF(OR(AI25&lt;3,AL25&gt;AsOfDate),AT25,IF((AL25-1)&lt;AH25,-1,12*(YEAR((AL25-1))-YEAR(AH25))+MONTH((AL25-1))-MONTH(AH25)-IF(DAY((AL25-1))&lt;MIN(DAY(AH25),DAY(EOMONTH((AL25-1),0))),1,0))))</f>
        <v/>
      </c>
      <c r="AW25" s="14" t="str">
        <f aca="false">IF(AG25=0,"",IF(PFYDate&lt;AH25,-1,12*(YEAR(PFYDate)-YEAR(AH25))+MONTH(PFYDate)-MONTH(AH25)-IF(DAY(PFYDate)&lt;MIN(DAY(AH25),DAY(EOMONTH(PFYDate,0))),1,0)))</f>
        <v/>
      </c>
      <c r="AX25" s="14" t="str">
        <f aca="false">IF(AG25=0,"",IF(OR(AI25&lt;2,AK25&gt;PFYDate),AW25,IF((AK25-1)&lt;AH25,-1,12*(YEAR((AK25-1))-YEAR(AH25))+MONTH((AK25-1))-MONTH(AH25)-IF(DAY((AK25-1))&lt;MIN(DAY(AH25),DAY(EOMONTH((AK25-1),0))),1,0))))</f>
        <v/>
      </c>
      <c r="AY25" s="14" t="str">
        <f aca="false">IF(AG25=0,"",IF(OR(AI25&lt;3,AL25&gt;PFYDate),AW25,IF((AL25-1)&lt;AH25,-1,12*(YEAR((AL25-1))-YEAR(AH25))+MONTH((AL25-1))-MONTH(AH25)-IF(DAY((AL25-1))&lt;MIN(DAY(AH25),DAY(EOMONTH((AL25-1),0))),1,0))))</f>
        <v/>
      </c>
      <c r="AZ25" s="14" t="str">
        <f aca="false">IF(AG25=0,"",IF(AP25="FT",IF(AU25&lt;FT_First,0,IF(AU25&lt;FT_Y5,1+INT((AU25-FT_First)/FT_Int1),FT_PreY5+FT_PerYear*INT((AU25-FT_Y5)/12)+FT_AnnivDays+INT(MOD(AU25-FT_Y5,12)/FT_Int2))),IF(AP25="PT",IF(AU25&lt;PT_First,0,1+INT((AU25-PT_First)/PT_Int)),0))+IF(AND(AI25&gt;=2,AK25&lt;=AsOfDate),IF(AQ25="FT",IF(AV25&lt;FT_First,0,IF(AV25&lt;FT_Y5,1+INT((AV25-FT_First)/FT_Int1),FT_PreY5+FT_PerYear*INT((AV25-FT_Y5)/12)+FT_AnnivDays+INT(MOD(AV25-FT_Y5,12)/FT_Int2))),IF(AQ25="PT",IF(AV25&lt;PT_First,0,1+INT((AV25-PT_First)/PT_Int)),0))-IF(AQ25="FT",IF(AU25&lt;FT_First,0,IF(AU25&lt;FT_Y5,1+INT((AU25-FT_First)/FT_Int1),FT_PreY5+FT_PerYear*INT((AU25-FT_Y5)/12)+FT_AnnivDays+INT(MOD(AU25-FT_Y5,12)/FT_Int2))),IF(AQ25="PT",IF(AU25&lt;PT_First,0,1+INT((AU25-PT_First)/PT_Int)),0)),0)+IF(AND(AI25&gt;=3,AL25&lt;=AsOfDate),IF(AR25="FT",IF(AT25&lt;FT_First,0,IF(AT25&lt;FT_Y5,1+INT((AT25-FT_First)/FT_Int1),FT_PreY5+FT_PerYear*INT((AT25-FT_Y5)/12)+FT_AnnivDays+INT(MOD(AT25-FT_Y5,12)/FT_Int2))),IF(AR25="PT",IF(AT25&lt;PT_First,0,1+INT((AT25-PT_First)/PT_Int)),0))-IF(AR25="FT",IF(AV25&lt;FT_First,0,IF(AV25&lt;FT_Y5,1+INT((AV25-FT_First)/FT_Int1),FT_PreY5+FT_PerYear*INT((AV25-FT_Y5)/12)+FT_AnnivDays+INT(MOD(AV25-FT_Y5,12)/FT_Int2))),IF(AR25="PT",IF(AV25&lt;PT_First,0,1+INT((AV25-PT_First)/PT_Int)),0)),0))</f>
        <v/>
      </c>
      <c r="BA25" s="14" t="str">
        <f aca="false">IF(AG25=0,"",IF(AP25="FT",IF(AX25&lt;FT_First,0,IF(AX25&lt;FT_Y5,1+INT((AX25-FT_First)/FT_Int1),FT_PreY5+FT_PerYear*INT((AX25-FT_Y5)/12)+FT_AnnivDays+INT(MOD(AX25-FT_Y5,12)/FT_Int2))),IF(AP25="PT",IF(AX25&lt;PT_First,0,1+INT((AX25-PT_First)/PT_Int)),0))+IF(AND(AI25&gt;=2,AK25&lt;=PFYDate),IF(AQ25="FT",IF(AY25&lt;FT_First,0,IF(AY25&lt;FT_Y5,1+INT((AY25-FT_First)/FT_Int1),FT_PreY5+FT_PerYear*INT((AY25-FT_Y5)/12)+FT_AnnivDays+INT(MOD(AY25-FT_Y5,12)/FT_Int2))),IF(AQ25="PT",IF(AY25&lt;PT_First,0,1+INT((AY25-PT_First)/PT_Int)),0))-IF(AQ25="FT",IF(AX25&lt;FT_First,0,IF(AX25&lt;FT_Y5,1+INT((AX25-FT_First)/FT_Int1),FT_PreY5+FT_PerYear*INT((AX25-FT_Y5)/12)+FT_AnnivDays+INT(MOD(AX25-FT_Y5,12)/FT_Int2))),IF(AQ25="PT",IF(AX25&lt;PT_First,0,1+INT((AX25-PT_First)/PT_Int)),0)),0)+IF(AND(AI25&gt;=3,AL25&lt;=PFYDate),IF(AR25="FT",IF(AW25&lt;FT_First,0,IF(AW25&lt;FT_Y5,1+INT((AW25-FT_First)/FT_Int1),FT_PreY5+FT_PerYear*INT((AW25-FT_Y5)/12)+FT_AnnivDays+INT(MOD(AW25-FT_Y5,12)/FT_Int2))),IF(AR25="PT",IF(AW25&lt;PT_First,0,1+INT((AW25-PT_First)/PT_Int)),0))-IF(AR25="FT",IF(AY25&lt;FT_First,0,IF(AY25&lt;FT_Y5,1+INT((AY25-FT_First)/FT_Int1),FT_PreY5+FT_PerYear*INT((AY25-FT_Y5)/12)+FT_AnnivDays+INT(MOD(AY25-FT_Y5,12)/FT_Int2))),IF(AR25="PT",IF(AY25&lt;PT_First,0,1+INT((AY25-PT_First)/PT_Int)),0)),0))</f>
        <v/>
      </c>
      <c r="BB25" s="14" t="str">
        <f aca="false">IF(AG25=0,"",IF(AS25="FT",IF(AT25&lt;FT_First,FT_First,IF(AT25&lt;FT_Y5,MIN(FT_Y5,FT_First+FT_Int1*(INT((AT25-FT_First)/FT_Int1)+1)),FT_Y5+12*INT((AT25-FT_Y5)/12)+FT_Int2*(INT(MOD(AT25-FT_Y5,12)/FT_Int2)+1))),IF(AS25="PT",IF(AT25&lt;PT_First,PT_First,PT_First+PT_Int*(INT((AT25-PT_First)/PT_Int)+1)),"")))</f>
        <v/>
      </c>
      <c r="BC25" s="14" t="str">
        <f aca="false">IF(AG25=0,"",IF(NOT(LH_Ready),0,COUNTIFS(INDEX(LH_Data,0,LH_ColFirst),$A25,INDEX(LH_Data,0,LH_ColSur),$B25,INDEX(LH_Data,0,LH_ColCat),BonusCat)))</f>
        <v/>
      </c>
      <c r="BD25" s="14" t="str">
        <f aca="false">IF(AG25=0,"",IF(OR(NOT(LH_Ready),BC25=0),0,SUMPRODUCT(MAX((INDEX(LH_Data,0,LH_ColFirst)=$A25)*(INDEX(LH_Data,0,LH_ColSur)=$B25)*(INDEX(LH_Data,0,LH_ColCat)=BonusCat)*ROW(LH_Data)))))</f>
        <v/>
      </c>
      <c r="BE25" s="14" t="str">
        <f aca="false">IF(AG25=0,"",IF(EOMONTH(AsOfDate,-1)&lt;AH25,-1,12*(YEAR(EOMONTH(AsOfDate,-1))-YEAR(AH25))+MONTH(EOMONTH(AsOfDate,-1))-MONTH(AH25)-IF(DAY(EOMONTH(AsOfDate,-1))&lt;MIN(DAY(AH25),DAY(EOMONTH(EOMONTH(AsOfDate,-1),0))),1,0)))</f>
        <v/>
      </c>
      <c r="BF25" s="14" t="str">
        <f aca="false">IF(AG25=0,"",IF(OR(AI25&lt;2,AK25&gt;EOMONTH(AsOfDate,-1)),BE25,IF((AK25-1)&lt;AH25,-1,12*(YEAR((AK25-1))-YEAR(AH25))+MONTH((AK25-1))-MONTH(AH25)-IF(DAY((AK25-1))&lt;MIN(DAY(AH25),DAY(EOMONTH((AK25-1),0))),1,0))))</f>
        <v/>
      </c>
      <c r="BG25" s="14" t="str">
        <f aca="false">IF(AG25=0,"",IF(OR(AI25&lt;3,AL25&gt;EOMONTH(AsOfDate,-1)),BE25,IF((AL25-1)&lt;AH25,-1,12*(YEAR((AL25-1))-YEAR(AH25))+MONTH((AL25-1))-MONTH(AH25)-IF(DAY((AL25-1))&lt;MIN(DAY(AH25),DAY(EOMONTH((AL25-1),0))),1,0))))</f>
        <v/>
      </c>
      <c r="BH25" s="14" t="str">
        <f aca="false">IF(AG25=0,"",IF(AP25="FT",IF(BF25&lt;FT_First,0,IF(BF25&lt;FT_Y5,1+INT((BF25-FT_First)/FT_Int1),FT_PreY5+FT_PerYear*INT((BF25-FT_Y5)/12)+FT_AnnivDays+INT(MOD(BF25-FT_Y5,12)/FT_Int2))),IF(AP25="PT",IF(BF25&lt;PT_First,0,1+INT((BF25-PT_First)/PT_Int)),0))+IF(AND(AI25&gt;=2,AK25&lt;=EOMONTH(AsOfDate,-1)),IF(AQ25="FT",IF(BG25&lt;FT_First,0,IF(BG25&lt;FT_Y5,1+INT((BG25-FT_First)/FT_Int1),FT_PreY5+FT_PerYear*INT((BG25-FT_Y5)/12)+FT_AnnivDays+INT(MOD(BG25-FT_Y5,12)/FT_Int2))),IF(AQ25="PT",IF(BG25&lt;PT_First,0,1+INT((BG25-PT_First)/PT_Int)),0))-IF(AQ25="FT",IF(BF25&lt;FT_First,0,IF(BF25&lt;FT_Y5,1+INT((BF25-FT_First)/FT_Int1),FT_PreY5+FT_PerYear*INT((BF25-FT_Y5)/12)+FT_AnnivDays+INT(MOD(BF25-FT_Y5,12)/FT_Int2))),IF(AQ25="PT",IF(BF25&lt;PT_First,0,1+INT((BF25-PT_First)/PT_Int)),0)),0)+IF(AND(AI25&gt;=3,AL25&lt;=EOMONTH(AsOfDate,-1)),IF(AR25="FT",IF(BE25&lt;FT_First,0,IF(BE25&lt;FT_Y5,1+INT((BE25-FT_First)/FT_Int1),FT_PreY5+FT_PerYear*INT((BE25-FT_Y5)/12)+FT_AnnivDays+INT(MOD(BE25-FT_Y5,12)/FT_Int2))),IF(AR25="PT",IF(BE25&lt;PT_First,0,1+INT((BE25-PT_First)/PT_Int)),0))-IF(AR25="FT",IF(BG25&lt;FT_First,0,IF(BG25&lt;FT_Y5,1+INT((BG25-FT_First)/FT_Int1),FT_PreY5+FT_PerYear*INT((BG25-FT_Y5)/12)+FT_AnnivDays+INT(MOD(BG25-FT_Y5,12)/FT_Int2))),IF(AR25="PT",IF(BG25&lt;PT_First,0,1+INT((BG25-PT_First)/PT_Int)),0)),0))</f>
        <v/>
      </c>
      <c r="BI25" s="14" t="str">
        <f aca="false">IF(AG25=0,"",IF(AS25="FT",IF(AT25&lt;FT_First,"",IF(AT25&lt;FT_Y5,FT_First+FT_Int1*INT((AT25-FT_First)/FT_Int1),FT_Y5+FT_Int2*INT((AT25-FT_Y5)/FT_Int2))),IF(AS25="PT",IF(AT25&lt;PT_First,"",PT_First+PT_Int*INT((AT25-PT_First)/PT_Int)),"")))</f>
        <v/>
      </c>
      <c r="BJ25" s="0" t="str">
        <f aca="false">IF(LEN($A25&amp;$B25)=0,"",$A25&amp;" "&amp;$B25)</f>
        <v/>
      </c>
    </row>
    <row r="26" customFormat="false" ht="15" hidden="false" customHeight="false" outlineLevel="0" collapsed="false">
      <c r="A26" s="10"/>
      <c r="B26" s="10"/>
      <c r="C26" s="10"/>
      <c r="D26" s="11"/>
      <c r="E26" s="12" t="str">
        <f aca="false">IF(OR(AG26=0,$D26=""),"",DATE(YEAR(AsOfDate)+IF(DATE(YEAR(AsOfDate),MONTH($D26),DAY($D26))&lt;=AsOfDate,1,0),MONTH($D26),DAY($D26)))</f>
        <v/>
      </c>
      <c r="F26" s="11"/>
      <c r="G26" s="11"/>
      <c r="H26" s="11"/>
      <c r="I26" s="11"/>
      <c r="J26" s="11"/>
      <c r="K26" s="12" t="str">
        <f aca="false">IF(AG26=0,"",DATE(YEAR(AsOfDate)+IF(DATE(YEAR(AsOfDate),MONTH(AH26),DAY(AH26))&lt;=AsOfDate,1,0),MONTH(AH26),DAY(AH26)))</f>
        <v/>
      </c>
      <c r="L26" s="13" t="str">
        <f aca="false">IF(AG26=0,"",ROUND((AsOfDate-AH26)/365.25,1))</f>
        <v/>
      </c>
      <c r="M26" s="14" t="str">
        <f aca="false">IF(AG26=0,"",IF(AsOfDate&lt;AH26,"-",DATEDIF(AH26,AsOfDate,"y")&amp;"y "&amp;DATEDIF(AH26,AsOfDate,"ym")&amp;"m "&amp;DATEDIF(AH26,AsOfDate,"md")&amp;"d"))</f>
        <v/>
      </c>
      <c r="N26" s="15" t="str">
        <f aca="false">IF(AG26=0,"",O26*HoursPerDay)</f>
        <v/>
      </c>
      <c r="O26" s="15" t="str">
        <f aca="false">IF(AG26=0,"",AZ26)</f>
        <v/>
      </c>
      <c r="P26" s="16"/>
      <c r="Q26" s="14" t="str">
        <f aca="false">IF(AG26=0,"",IF(AI26&lt;2,"",AM26&amp;" to "&amp;AN26&amp;" on "&amp;TEXT(AK26,"dd/mm/yyyy")&amp;IF(AK26&gt;AsOfDate," (future)",IF(AP26=AQ26,"",IF(AQ26="None"," - STOPPED accruing",IF(AP26="None"," - commencement for Bonus Leave"," - pathway changed"))))&amp;IF(AI26&lt;3,"","; "&amp;AN26&amp;" to "&amp;AO26&amp;" on "&amp;TEXT(AL26,"dd/mm/yyyy")&amp;IF(AL26&gt;AsOfDate," (future)",IF(AQ26=AR26,"",IF(AR26="None"," - STOPPED accruing",IF(AQ26="None"," - commencement for Bonus Leave"," - pathway changed")))))))</f>
        <v/>
      </c>
      <c r="R26" s="14" t="str">
        <f aca="false">IF(AG26=0,"",IF(AS26="None",IF(O26&gt;0,"No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2" t="str">
        <f aca="false">IF(AG26=0,"",IF(AS26="None","",EDATE(AH26,BB26)))</f>
        <v/>
      </c>
      <c r="T26" s="15" t="str">
        <f aca="false">IF(AG26=0,"",IF(NOT(LH_Ready),"",IF(AH26&gt;PFYDate,0,IF(LH_ColPeriod=0,W26-U26+V26,SUMIFS(INDEX(LH_Data,0,LH_ColAcc),INDEX(LH_Data,0,LH_ColFirst),$A26,INDEX(LH_Data,0,LH_ColSur),$B26,INDEX(LH_Data,0,LH_ColCat),BonusCat,INDEX(LH_Data,0,LH_ColPeriod),LH_OpenLabel)*UnitFactor))))</f>
        <v/>
      </c>
      <c r="U26" s="15" t="str">
        <f aca="false">IF(AG26=0,"",IF(NOT(LH_Ready),"",SUMIFS(INDEX(LH_Data,0,LH_ColAcc),INDEX(LH_Data,0,LH_ColFirst),$A26,INDEX(LH_Data,0,LH_ColSur),$B26,INDEX(LH_Data,0,LH_ColCat),BonusCat,INDEX(LH_Data,0,LH_ColStart),"&gt;="&amp;AH26)*UnitFactor))</f>
        <v/>
      </c>
      <c r="V26" s="15" t="str">
        <f aca="false">IF(AG26=0,"",IF(NOT(LH_Ready),"",SUMIFS(INDEX(LH_Data,0,LH_ColTaken),INDEX(LH_Data,0,LH_ColFirst),$A26,INDEX(LH_Data,0,LH_ColSur),$B26,INDEX(LH_Data,0,LH_ColCat),BonusCat,INDEX(LH_Data,0,LH_ColStart),"&gt;="&amp;AH26)*UnitFactor))</f>
        <v/>
      </c>
      <c r="W26" s="15" t="str">
        <f aca="false">IF(AG26=0,"",IF(NOT(LH_Ready),"",IF(BD26=0,0,INDEX(INDEX(LH_Data,0,LH_ColClose),BD26-1)*UnitFactor)))</f>
        <v/>
      </c>
      <c r="X26" s="15" t="str">
        <f aca="false">IF(AG26=0,"",(AZ26-BA26)*HoursPerDay)</f>
        <v/>
      </c>
      <c r="Y26" s="15" t="str">
        <f aca="false">IF(AG26=0,"",IF(NOT(LH_Ready),"",IF(BC26=0,N26,IF(PFYDate&lt;$F26,N26-N(T26)-N(U26),X26-N(U26)))))</f>
        <v/>
      </c>
      <c r="Z26" s="14" t="str">
        <f aca="false">IF(OR(AG26=0,Y26=""),"",IF(Y26&gt;0,"Yes","No"))</f>
        <v/>
      </c>
      <c r="AA26" s="14" t="str">
        <f aca="false">IF(AG26=0,IF(LEN($A26&amp;$B26)=0,"","FIX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month")&amp;IF(BC26=0,";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EH)",""),IF(AS26="None",R26,"Not yet - first day on "&amp;TEXT(S26,"dd/mm/yyyy")))))))))</f>
        <v/>
      </c>
      <c r="AB26" s="15" t="str">
        <f aca="false">IF(OR(AG26=0,T26=""),"",BA26*HoursPerDay-T26)</f>
        <v/>
      </c>
      <c r="AC26" s="14" t="str">
        <f aca="false">IF(AG26=0,"",BC26)</f>
        <v/>
      </c>
      <c r="AD26" s="14" t="str">
        <f aca="false">IF(AG26=0,"",TRIM(IF(OR(ISTEXT($F26),ISTEXT($H26),ISTEXT($I26),ISTEXT($G26),ISTEXT($J26),ISTEXT($D26)),"A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I26&gt;=1,IF(AI26&gt;=3,AO26,IF(AI26=2,AN26,AM26))&lt;&gt;IF($C26="","",IF(OR(ISNUMBER(SEARCH("full",$C26)),UPPER(TRIM($C26))="FT",UPPER(TRIM($C26))="FTE"),"Full-Time",IF(OR(ISNUMBER(SEARCH("part",$C26)),UPPER(TRIM($C26))="PT",UPPER(TRIM($C26))="PTE"),"Part-Time",IF(OR(ISNUMBER(SEARCH("cas",$C26)),UPPER(TRIM($C26))="CAS"),"Casual","Unknown"))))),"EmploymentType does not match latest start date ("&amp;IF(AI26&gt;=3,AO26,IF(AI26=2,AN26,AM26))&amp;"). ","")&amp;IF(AND(AI26&gt;=1,AJ26&lt;&gt;$F26),"Earliest type date should equal StartDate. ","")&amp;IF(AND(AI26&gt;=2,AJ26=AK26),"Two types start on the same date. ","")&amp;IF(AND(OR(ISNUMBER(SEARCH("part",$C26)),UPPER(TRIM($C26))="PT",UPPER(TRIM($C26))="PTE"),$P26=""),"Part-time: enter PT Hrs/Week (blank = 24+). ","")))</f>
        <v/>
      </c>
      <c r="AE26" s="15" t="str">
        <f aca="false">IF(AG26=0,"",O26-BH26)</f>
        <v/>
      </c>
      <c r="AF26" s="12" t="str">
        <f aca="false">IF(OR(AG26=0,AE26="",N(AE26)=0,BI26=""),"",EDATE(AH26,BI26))</f>
        <v/>
      </c>
      <c r="AG26" s="14" t="n">
        <f aca="false">IF(OR(LEN($A26&amp;$B26)=0,$F26=""),0,1)</f>
        <v>0</v>
      </c>
      <c r="AH26" s="12" t="str">
        <f aca="false">IF(AG26=0,"",IF($J26&lt;&gt;"",$J26,IF(OR(CasualCounts="Yes",COUNT($G26:$I26)=0,COUNT($H26:$I26)=0),$F26,MIN($H26:$I26))))</f>
        <v/>
      </c>
      <c r="AI26" s="14" t="str">
        <f aca="false">IF(AG26=0,"",COUNT($G26:$I26))</f>
        <v/>
      </c>
      <c r="AJ26" s="12" t="str">
        <f aca="false">IF(AG26=0,"",IFERROR(SMALL($G26:$I26,1),""))</f>
        <v/>
      </c>
      <c r="AK26" s="12" t="str">
        <f aca="false">IF(AG26=0,"",IFERROR(SMALL($G26:$I26,2),""))</f>
        <v/>
      </c>
      <c r="AL26" s="12" t="str">
        <f aca="false">IF(AG26=0,"",IFERROR(SMALL($G26:$I26,3),""))</f>
        <v/>
      </c>
      <c r="AM26" s="14" t="str">
        <f aca="false">IF(AG26=0,"",IF(AJ26="","",IF(AJ26=$H26,"Part-Time",IF(AJ26=$I26,"Full-Time","Casual"))))</f>
        <v/>
      </c>
      <c r="AN26" s="14" t="str">
        <f aca="false">IF(AG26=0,"",IF(AK26="","",IF(AK26=$H26,"Part-Time",IF(AK26=$I26,"Full-Time","Casual"))))</f>
        <v/>
      </c>
      <c r="AO26" s="14" t="str">
        <f aca="false">IF(AG26=0,"",IF(AL26="","",IF(AL26=$H26,"Part-Time",IF(AL26=$I26,"Full-Time","Casual"))))</f>
        <v/>
      </c>
      <c r="AP26" s="14" t="str">
        <f aca="false">IF(AG26=0,"",IF(AI26=0,IF(OR(ISNUMBER(SEARCH("full",$C26)),UPPER(TRIM($C26))="FT",UPPER(TRIM($C26))="FTE"),"FT",IF(AND(OR(ISNUMBER(SEARCH("part",$C26)),UPPER(TRIM($C26))="PT",UPPER(TRIM($C26))="PTE"),OR($P26="",N($P26)&gt;=PT_MinHours)),"PT","None")),IF(OR(ISNUMBER(SEARCH("full",AM26)),UPPER(TRIM(AM26))="FT",UPPER(TRIM(AM26))="FTE"),"FT",IF(AND(OR(ISNUMBER(SEARCH("part",AM26)),UPPER(TRIM(AM26))="PT",UPPER(TRIM(AM26))="PTE"),OR($P26="",N($P26)&gt;=PT_MinHours)),"PT","None"))))</f>
        <v/>
      </c>
      <c r="AQ26" s="14" t="str">
        <f aca="false">IF(AG26=0,"",IF(AI26&lt;2,"",IF(OR(ISNUMBER(SEARCH("full",AN26)),UPPER(TRIM(AN26))="FT",UPPER(TRIM(AN26))="FTE"),"FT",IF(AND(OR(ISNUMBER(SEARCH("part",AN26)),UPPER(TRIM(AN26))="PT",UPPER(TRIM(AN26))="PTE"),OR($P26="",N($P26)&gt;=PT_MinHours)),"PT","None"))))</f>
        <v/>
      </c>
      <c r="AR26" s="14" t="str">
        <f aca="false">IF(AG26=0,"",IF(AI26&lt;3,"",IF(OR(ISNUMBER(SEARCH("full",AO26)),UPPER(TRIM(AO26))="FT",UPPER(TRIM(AO26))="FTE"),"FT",IF(AND(OR(ISNUMBER(SEARCH("part",AO26)),UPPER(TRIM(AO26))="PT",UPPER(TRIM(AO26))="PTE"),OR($P26="",N($P26)&gt;=PT_MinHours)),"PT","None"))))</f>
        <v/>
      </c>
      <c r="AS26" s="14" t="str">
        <f aca="false">IF(AG26=0,"",IF(AND(AI26&gt;=3,AL26&lt;=AsOfDate),AR26,IF(AND(AI26&gt;=2,AK26&lt;=AsOfDate),AQ26,AP26)))</f>
        <v/>
      </c>
      <c r="AT26" s="14" t="str">
        <f aca="false">IF(AG26=0,"",IF(AsOfDate&lt;AH26,-1,12*(YEAR(AsOfDate)-YEAR(AH26))+MONTH(AsOfDate)-MONTH(AH26)-IF(DAY(AsOfDate)&lt;MIN(DAY(AH26),DAY(EOMONTH(AsOfDate,0))),1,0)))</f>
        <v/>
      </c>
      <c r="AU26" s="14" t="str">
        <f aca="false">IF(AG26=0,"",IF(OR(AI26&lt;2,AK26&gt;AsOfDate),AT26,IF((AK26-1)&lt;AH26,-1,12*(YEAR((AK26-1))-YEAR(AH26))+MONTH((AK26-1))-MONTH(AH26)-IF(DAY((AK26-1))&lt;MIN(DAY(AH26),DAY(EOMONTH((AK26-1),0))),1,0))))</f>
        <v/>
      </c>
      <c r="AV26" s="14" t="str">
        <f aca="false">IF(AG26=0,"",IF(OR(AI26&lt;3,AL26&gt;AsOfDate),AT26,IF((AL26-1)&lt;AH26,-1,12*(YEAR((AL26-1))-YEAR(AH26))+MONTH((AL26-1))-MONTH(AH26)-IF(DAY((AL26-1))&lt;MIN(DAY(AH26),DAY(EOMONTH((AL26-1),0))),1,0))))</f>
        <v/>
      </c>
      <c r="AW26" s="14" t="str">
        <f aca="false">IF(AG26=0,"",IF(PFYDate&lt;AH26,-1,12*(YEAR(PFYDate)-YEAR(AH26))+MONTH(PFYDate)-MONTH(AH26)-IF(DAY(PFYDate)&lt;MIN(DAY(AH26),DAY(EOMONTH(PFYDate,0))),1,0)))</f>
        <v/>
      </c>
      <c r="AX26" s="14" t="str">
        <f aca="false">IF(AG26=0,"",IF(OR(AI26&lt;2,AK26&gt;PFYDate),AW26,IF((AK26-1)&lt;AH26,-1,12*(YEAR((AK26-1))-YEAR(AH26))+MONTH((AK26-1))-MONTH(AH26)-IF(DAY((AK26-1))&lt;MIN(DAY(AH26),DAY(EOMONTH((AK26-1),0))),1,0))))</f>
        <v/>
      </c>
      <c r="AY26" s="14" t="str">
        <f aca="false">IF(AG26=0,"",IF(OR(AI26&lt;3,AL26&gt;PFYDate),AW26,IF((AL26-1)&lt;AH26,-1,12*(YEAR((AL26-1))-YEAR(AH26))+MONTH((AL26-1))-MONTH(AH26)-IF(DAY((AL26-1))&lt;MIN(DAY(AH26),DAY(EOMONTH((AL26-1),0))),1,0))))</f>
        <v/>
      </c>
      <c r="AZ26" s="14" t="str">
        <f aca="false">IF(AG26=0,"",IF(AP26="FT",IF(AU26&lt;FT_First,0,IF(AU26&lt;FT_Y5,1+INT((AU26-FT_First)/FT_Int1),FT_PreY5+FT_PerYear*INT((AU26-FT_Y5)/12)+FT_AnnivDays+INT(MOD(AU26-FT_Y5,12)/FT_Int2))),IF(AP26="PT",IF(AU26&lt;PT_First,0,1+INT((AU26-PT_First)/PT_Int)),0))+IF(AND(AI26&gt;=2,AK26&lt;=AsOfDate),IF(AQ26="FT",IF(AV26&lt;FT_First,0,IF(AV26&lt;FT_Y5,1+INT((AV26-FT_First)/FT_Int1),FT_PreY5+FT_PerYear*INT((AV26-FT_Y5)/12)+FT_AnnivDays+INT(MOD(AV26-FT_Y5,12)/FT_Int2))),IF(AQ26="PT",IF(AV26&lt;PT_First,0,1+INT((AV26-PT_First)/PT_Int)),0))-IF(AQ26="FT",IF(AU26&lt;FT_First,0,IF(AU26&lt;FT_Y5,1+INT((AU26-FT_First)/FT_Int1),FT_PreY5+FT_PerYear*INT((AU26-FT_Y5)/12)+FT_AnnivDays+INT(MOD(AU26-FT_Y5,12)/FT_Int2))),IF(AQ26="PT",IF(AU26&lt;PT_First,0,1+INT((AU26-PT_First)/PT_Int)),0)),0)+IF(AND(AI26&gt;=3,AL26&lt;=AsOfDate),IF(AR26="FT",IF(AT26&lt;FT_First,0,IF(AT26&lt;FT_Y5,1+INT((AT26-FT_First)/FT_Int1),FT_PreY5+FT_PerYear*INT((AT26-FT_Y5)/12)+FT_AnnivDays+INT(MOD(AT26-FT_Y5,12)/FT_Int2))),IF(AR26="PT",IF(AT26&lt;PT_First,0,1+INT((AT26-PT_First)/PT_Int)),0))-IF(AR26="FT",IF(AV26&lt;FT_First,0,IF(AV26&lt;FT_Y5,1+INT((AV26-FT_First)/FT_Int1),FT_PreY5+FT_PerYear*INT((AV26-FT_Y5)/12)+FT_AnnivDays+INT(MOD(AV26-FT_Y5,12)/FT_Int2))),IF(AR26="PT",IF(AV26&lt;PT_First,0,1+INT((AV26-PT_First)/PT_Int)),0)),0))</f>
        <v/>
      </c>
      <c r="BA26" s="14" t="str">
        <f aca="false">IF(AG26=0,"",IF(AP26="FT",IF(AX26&lt;FT_First,0,IF(AX26&lt;FT_Y5,1+INT((AX26-FT_First)/FT_Int1),FT_PreY5+FT_PerYear*INT((AX26-FT_Y5)/12)+FT_AnnivDays+INT(MOD(AX26-FT_Y5,12)/FT_Int2))),IF(AP26="PT",IF(AX26&lt;PT_First,0,1+INT((AX26-PT_First)/PT_Int)),0))+IF(AND(AI26&gt;=2,AK26&lt;=PFYDate),IF(AQ26="FT",IF(AY26&lt;FT_First,0,IF(AY26&lt;FT_Y5,1+INT((AY26-FT_First)/FT_Int1),FT_PreY5+FT_PerYear*INT((AY26-FT_Y5)/12)+FT_AnnivDays+INT(MOD(AY26-FT_Y5,12)/FT_Int2))),IF(AQ26="PT",IF(AY26&lt;PT_First,0,1+INT((AY26-PT_First)/PT_Int)),0))-IF(AQ26="FT",IF(AX26&lt;FT_First,0,IF(AX26&lt;FT_Y5,1+INT((AX26-FT_First)/FT_Int1),FT_PreY5+FT_PerYear*INT((AX26-FT_Y5)/12)+FT_AnnivDays+INT(MOD(AX26-FT_Y5,12)/FT_Int2))),IF(AQ26="PT",IF(AX26&lt;PT_First,0,1+INT((AX26-PT_First)/PT_Int)),0)),0)+IF(AND(AI26&gt;=3,AL26&lt;=PFYDate),IF(AR26="FT",IF(AW26&lt;FT_First,0,IF(AW26&lt;FT_Y5,1+INT((AW26-FT_First)/FT_Int1),FT_PreY5+FT_PerYear*INT((AW26-FT_Y5)/12)+FT_AnnivDays+INT(MOD(AW26-FT_Y5,12)/FT_Int2))),IF(AR26="PT",IF(AW26&lt;PT_First,0,1+INT((AW26-PT_First)/PT_Int)),0))-IF(AR26="FT",IF(AY26&lt;FT_First,0,IF(AY26&lt;FT_Y5,1+INT((AY26-FT_First)/FT_Int1),FT_PreY5+FT_PerYear*INT((AY26-FT_Y5)/12)+FT_AnnivDays+INT(MOD(AY26-FT_Y5,12)/FT_Int2))),IF(AR26="PT",IF(AY26&lt;PT_First,0,1+INT((AY26-PT_First)/PT_Int)),0)),0))</f>
        <v/>
      </c>
      <c r="BB26" s="14" t="str">
        <f aca="false">IF(AG26=0,"",IF(AS26="FT",IF(AT26&lt;FT_First,FT_First,IF(AT26&lt;FT_Y5,MIN(FT_Y5,FT_First+FT_Int1*(INT((AT26-FT_First)/FT_Int1)+1)),FT_Y5+12*INT((AT26-FT_Y5)/12)+FT_Int2*(INT(MOD(AT26-FT_Y5,12)/FT_Int2)+1))),IF(AS26="PT",IF(AT26&lt;PT_First,PT_First,PT_First+PT_Int*(INT((AT26-PT_First)/PT_Int)+1)),"")))</f>
        <v/>
      </c>
      <c r="BC26" s="14" t="str">
        <f aca="false">IF(AG26=0,"",IF(NOT(LH_Ready),0,COUNTIFS(INDEX(LH_Data,0,LH_ColFirst),$A26,INDEX(LH_Data,0,LH_ColSur),$B26,INDEX(LH_Data,0,LH_ColCat),BonusCat)))</f>
        <v/>
      </c>
      <c r="BD26" s="14" t="str">
        <f aca="false">IF(AG26=0,"",IF(OR(NOT(LH_Ready),BC26=0),0,SUMPRODUCT(MAX((INDEX(LH_Data,0,LH_ColFirst)=$A26)*(INDEX(LH_Data,0,LH_ColSur)=$B26)*(INDEX(LH_Data,0,LH_ColCat)=BonusCat)*ROW(LH_Data)))))</f>
        <v/>
      </c>
      <c r="BE26" s="14" t="str">
        <f aca="false">IF(AG26=0,"",IF(EOMONTH(AsOfDate,-1)&lt;AH26,-1,12*(YEAR(EOMONTH(AsOfDate,-1))-YEAR(AH26))+MONTH(EOMONTH(AsOfDate,-1))-MONTH(AH26)-IF(DAY(EOMONTH(AsOfDate,-1))&lt;MIN(DAY(AH26),DAY(EOMONTH(EOMONTH(AsOfDate,-1),0))),1,0)))</f>
        <v/>
      </c>
      <c r="BF26" s="14" t="str">
        <f aca="false">IF(AG26=0,"",IF(OR(AI26&lt;2,AK26&gt;EOMONTH(AsOfDate,-1)),BE26,IF((AK26-1)&lt;AH26,-1,12*(YEAR((AK26-1))-YEAR(AH26))+MONTH((AK26-1))-MONTH(AH26)-IF(DAY((AK26-1))&lt;MIN(DAY(AH26),DAY(EOMONTH((AK26-1),0))),1,0))))</f>
        <v/>
      </c>
      <c r="BG26" s="14" t="str">
        <f aca="false">IF(AG26=0,"",IF(OR(AI26&lt;3,AL26&gt;EOMONTH(AsOfDate,-1)),BE26,IF((AL26-1)&lt;AH26,-1,12*(YEAR((AL26-1))-YEAR(AH26))+MONTH((AL26-1))-MONTH(AH26)-IF(DAY((AL26-1))&lt;MIN(DAY(AH26),DAY(EOMONTH((AL26-1),0))),1,0))))</f>
        <v/>
      </c>
      <c r="BH26" s="14" t="str">
        <f aca="false">IF(AG26=0,"",IF(AP26="FT",IF(BF26&lt;FT_First,0,IF(BF26&lt;FT_Y5,1+INT((BF26-FT_First)/FT_Int1),FT_PreY5+FT_PerYear*INT((BF26-FT_Y5)/12)+FT_AnnivDays+INT(MOD(BF26-FT_Y5,12)/FT_Int2))),IF(AP26="PT",IF(BF26&lt;PT_First,0,1+INT((BF26-PT_First)/PT_Int)),0))+IF(AND(AI26&gt;=2,AK26&lt;=EOMONTH(AsOfDate,-1)),IF(AQ26="FT",IF(BG26&lt;FT_First,0,IF(BG26&lt;FT_Y5,1+INT((BG26-FT_First)/FT_Int1),FT_PreY5+FT_PerYear*INT((BG26-FT_Y5)/12)+FT_AnnivDays+INT(MOD(BG26-FT_Y5,12)/FT_Int2))),IF(AQ26="PT",IF(BG26&lt;PT_First,0,1+INT((BG26-PT_First)/PT_Int)),0))-IF(AQ26="FT",IF(BF26&lt;FT_First,0,IF(BF26&lt;FT_Y5,1+INT((BF26-FT_First)/FT_Int1),FT_PreY5+FT_PerYear*INT((BF26-FT_Y5)/12)+FT_AnnivDays+INT(MOD(BF26-FT_Y5,12)/FT_Int2))),IF(AQ26="PT",IF(BF26&lt;PT_First,0,1+INT((BF26-PT_First)/PT_Int)),0)),0)+IF(AND(AI26&gt;=3,AL26&lt;=EOMONTH(AsOfDate,-1)),IF(AR26="FT",IF(BE26&lt;FT_First,0,IF(BE26&lt;FT_Y5,1+INT((BE26-FT_First)/FT_Int1),FT_PreY5+FT_PerYear*INT((BE26-FT_Y5)/12)+FT_AnnivDays+INT(MOD(BE26-FT_Y5,12)/FT_Int2))),IF(AR26="PT",IF(BE26&lt;PT_First,0,1+INT((BE26-PT_First)/PT_Int)),0))-IF(AR26="FT",IF(BG26&lt;FT_First,0,IF(BG26&lt;FT_Y5,1+INT((BG26-FT_First)/FT_Int1),FT_PreY5+FT_PerYear*INT((BG26-FT_Y5)/12)+FT_AnnivDays+INT(MOD(BG26-FT_Y5,12)/FT_Int2))),IF(AR26="PT",IF(BG26&lt;PT_First,0,1+INT((BG26-PT_First)/PT_Int)),0)),0))</f>
        <v/>
      </c>
      <c r="BI26" s="14" t="str">
        <f aca="false">IF(AG26=0,"",IF(AS26="FT",IF(AT26&lt;FT_First,"",IF(AT26&lt;FT_Y5,FT_First+FT_Int1*INT((AT26-FT_First)/FT_Int1),FT_Y5+FT_Int2*INT((AT26-FT_Y5)/FT_Int2))),IF(AS26="PT",IF(AT26&lt;PT_First,"",PT_First+PT_Int*INT((AT26-PT_First)/PT_Int)),"")))</f>
        <v/>
      </c>
      <c r="BJ26" s="0" t="str">
        <f aca="false">IF(LEN($A26&amp;$B26)=0,"",$A26&amp;" "&amp;$B26)</f>
        <v/>
      </c>
    </row>
    <row r="27" customFormat="false" ht="15" hidden="false" customHeight="false" outlineLevel="0" collapsed="false">
      <c r="A27" s="10"/>
      <c r="B27" s="10"/>
      <c r="C27" s="10"/>
      <c r="D27" s="11"/>
      <c r="E27" s="12" t="str">
        <f aca="false">IF(OR(AG27=0,$D27=""),"",DATE(YEAR(AsOfDate)+IF(DATE(YEAR(AsOfDate),MONTH($D27),DAY($D27))&lt;=AsOfDate,1,0),MONTH($D27),DAY($D27)))</f>
        <v/>
      </c>
      <c r="F27" s="11"/>
      <c r="G27" s="11"/>
      <c r="H27" s="11"/>
      <c r="I27" s="11"/>
      <c r="J27" s="11"/>
      <c r="K27" s="12" t="str">
        <f aca="false">IF(AG27=0,"",DATE(YEAR(AsOfDate)+IF(DATE(YEAR(AsOfDate),MONTH(AH27),DAY(AH27))&lt;=AsOfDate,1,0),MONTH(AH27),DAY(AH27)))</f>
        <v/>
      </c>
      <c r="L27" s="13" t="str">
        <f aca="false">IF(AG27=0,"",ROUND((AsOfDate-AH27)/365.25,1))</f>
        <v/>
      </c>
      <c r="M27" s="14" t="str">
        <f aca="false">IF(AG27=0,"",IF(AsOfDate&lt;AH27,"-",DATEDIF(AH27,AsOfDate,"y")&amp;"y "&amp;DATEDIF(AH27,AsOfDate,"ym")&amp;"m "&amp;DATEDIF(AH27,AsOfDate,"md")&amp;"d"))</f>
        <v/>
      </c>
      <c r="N27" s="15" t="str">
        <f aca="false">IF(AG27=0,"",O27*HoursPerDay)</f>
        <v/>
      </c>
      <c r="O27" s="15" t="str">
        <f aca="false">IF(AG27=0,"",AZ27)</f>
        <v/>
      </c>
      <c r="P27" s="16"/>
      <c r="Q27" s="14" t="str">
        <f aca="false">IF(AG27=0,"",IF(AI27&lt;2,"",AM27&amp;" to "&amp;AN27&amp;" on "&amp;TEXT(AK27,"dd/mm/yyyy")&amp;IF(AK27&gt;AsOfDate," (future)",IF(AP27=AQ27,"",IF(AQ27="None"," - STOPPED accruing",IF(AP27="None"," - commencement for Bonus Leave"," - pathway changed"))))&amp;IF(AI27&lt;3,"","; "&amp;AN27&amp;" to "&amp;AO27&amp;" on "&amp;TEXT(AL27,"dd/mm/yyyy")&amp;IF(AL27&gt;AsOfDate," (future)",IF(AQ27=AR27,"",IF(AR27="None"," - STOPPED accruing",IF(AQ27="None"," - commencement for Bonus Leave"," - pathway changed")))))))</f>
        <v/>
      </c>
      <c r="R27" s="14" t="str">
        <f aca="false">IF(AG27=0,"",IF(AS27="None",IF(O27&gt;0,"No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2" t="str">
        <f aca="false">IF(AG27=0,"",IF(AS27="None","",EDATE(AH27,BB27)))</f>
        <v/>
      </c>
      <c r="T27" s="15" t="str">
        <f aca="false">IF(AG27=0,"",IF(NOT(LH_Ready),"",IF(AH27&gt;PFYDate,0,IF(LH_ColPeriod=0,W27-U27+V27,SUMIFS(INDEX(LH_Data,0,LH_ColAcc),INDEX(LH_Data,0,LH_ColFirst),$A27,INDEX(LH_Data,0,LH_ColSur),$B27,INDEX(LH_Data,0,LH_ColCat),BonusCat,INDEX(LH_Data,0,LH_ColPeriod),LH_OpenLabel)*UnitFactor))))</f>
        <v/>
      </c>
      <c r="U27" s="15" t="str">
        <f aca="false">IF(AG27=0,"",IF(NOT(LH_Ready),"",SUMIFS(INDEX(LH_Data,0,LH_ColAcc),INDEX(LH_Data,0,LH_ColFirst),$A27,INDEX(LH_Data,0,LH_ColSur),$B27,INDEX(LH_Data,0,LH_ColCat),BonusCat,INDEX(LH_Data,0,LH_ColStart),"&gt;="&amp;AH27)*UnitFactor))</f>
        <v/>
      </c>
      <c r="V27" s="15" t="str">
        <f aca="false">IF(AG27=0,"",IF(NOT(LH_Ready),"",SUMIFS(INDEX(LH_Data,0,LH_ColTaken),INDEX(LH_Data,0,LH_ColFirst),$A27,INDEX(LH_Data,0,LH_ColSur),$B27,INDEX(LH_Data,0,LH_ColCat),BonusCat,INDEX(LH_Data,0,LH_ColStart),"&gt;="&amp;AH27)*UnitFactor))</f>
        <v/>
      </c>
      <c r="W27" s="15" t="str">
        <f aca="false">IF(AG27=0,"",IF(NOT(LH_Ready),"",IF(BD27=0,0,INDEX(INDEX(LH_Data,0,LH_ColClose),BD27-1)*UnitFactor)))</f>
        <v/>
      </c>
      <c r="X27" s="15" t="str">
        <f aca="false">IF(AG27=0,"",(AZ27-BA27)*HoursPerDay)</f>
        <v/>
      </c>
      <c r="Y27" s="15" t="str">
        <f aca="false">IF(AG27=0,"",IF(NOT(LH_Ready),"",IF(BC27=0,N27,IF(PFYDate&lt;$F27,N27-N(T27)-N(U27),X27-N(U27)))))</f>
        <v/>
      </c>
      <c r="Z27" s="14" t="str">
        <f aca="false">IF(OR(AG27=0,Y27=""),"",IF(Y27&gt;0,"Yes","No"))</f>
        <v/>
      </c>
      <c r="AA27" s="14" t="str">
        <f aca="false">IF(AG27=0,IF(LEN($A27&amp;$B27)=0,"","FIX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month")&amp;IF(BC27=0,";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EH)",""),IF(AS27="None",R27,"Not yet - first day on "&amp;TEXT(S27,"dd/mm/yyyy")))))))))</f>
        <v/>
      </c>
      <c r="AB27" s="15" t="str">
        <f aca="false">IF(OR(AG27=0,T27=""),"",BA27*HoursPerDay-T27)</f>
        <v/>
      </c>
      <c r="AC27" s="14" t="str">
        <f aca="false">IF(AG27=0,"",BC27)</f>
        <v/>
      </c>
      <c r="AD27" s="14" t="str">
        <f aca="false">IF(AG27=0,"",TRIM(IF(OR(ISTEXT($F27),ISTEXT($H27),ISTEXT($I27),ISTEXT($G27),ISTEXT($J27),ISTEXT($D27)),"A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I27&gt;=1,IF(AI27&gt;=3,AO27,IF(AI27=2,AN27,AM27))&lt;&gt;IF($C27="","",IF(OR(ISNUMBER(SEARCH("full",$C27)),UPPER(TRIM($C27))="FT",UPPER(TRIM($C27))="FTE"),"Full-Time",IF(OR(ISNUMBER(SEARCH("part",$C27)),UPPER(TRIM($C27))="PT",UPPER(TRIM($C27))="PTE"),"Part-Time",IF(OR(ISNUMBER(SEARCH("cas",$C27)),UPPER(TRIM($C27))="CAS"),"Casual","Unknown"))))),"EmploymentType does not match latest start date ("&amp;IF(AI27&gt;=3,AO27,IF(AI27=2,AN27,AM27))&amp;"). ","")&amp;IF(AND(AI27&gt;=1,AJ27&lt;&gt;$F27),"Earliest type date should equal StartDate. ","")&amp;IF(AND(AI27&gt;=2,AJ27=AK27),"Two types start on the same date. ","")&amp;IF(AND(OR(ISNUMBER(SEARCH("part",$C27)),UPPER(TRIM($C27))="PT",UPPER(TRIM($C27))="PTE"),$P27=""),"Part-time: enter PT Hrs/Week (blank = 24+). ","")))</f>
        <v/>
      </c>
      <c r="AE27" s="15" t="str">
        <f aca="false">IF(AG27=0,"",O27-BH27)</f>
        <v/>
      </c>
      <c r="AF27" s="12" t="str">
        <f aca="false">IF(OR(AG27=0,AE27="",N(AE27)=0,BI27=""),"",EDATE(AH27,BI27))</f>
        <v/>
      </c>
      <c r="AG27" s="14" t="n">
        <f aca="false">IF(OR(LEN($A27&amp;$B27)=0,$F27=""),0,1)</f>
        <v>0</v>
      </c>
      <c r="AH27" s="12" t="str">
        <f aca="false">IF(AG27=0,"",IF($J27&lt;&gt;"",$J27,IF(OR(CasualCounts="Yes",COUNT($G27:$I27)=0,COUNT($H27:$I27)=0),$F27,MIN($H27:$I27))))</f>
        <v/>
      </c>
      <c r="AI27" s="14" t="str">
        <f aca="false">IF(AG27=0,"",COUNT($G27:$I27))</f>
        <v/>
      </c>
      <c r="AJ27" s="12" t="str">
        <f aca="false">IF(AG27=0,"",IFERROR(SMALL($G27:$I27,1),""))</f>
        <v/>
      </c>
      <c r="AK27" s="12" t="str">
        <f aca="false">IF(AG27=0,"",IFERROR(SMALL($G27:$I27,2),""))</f>
        <v/>
      </c>
      <c r="AL27" s="12" t="str">
        <f aca="false">IF(AG27=0,"",IFERROR(SMALL($G27:$I27,3),""))</f>
        <v/>
      </c>
      <c r="AM27" s="14" t="str">
        <f aca="false">IF(AG27=0,"",IF(AJ27="","",IF(AJ27=$H27,"Part-Time",IF(AJ27=$I27,"Full-Time","Casual"))))</f>
        <v/>
      </c>
      <c r="AN27" s="14" t="str">
        <f aca="false">IF(AG27=0,"",IF(AK27="","",IF(AK27=$H27,"Part-Time",IF(AK27=$I27,"Full-Time","Casual"))))</f>
        <v/>
      </c>
      <c r="AO27" s="14" t="str">
        <f aca="false">IF(AG27=0,"",IF(AL27="","",IF(AL27=$H27,"Part-Time",IF(AL27=$I27,"Full-Time","Casual"))))</f>
        <v/>
      </c>
      <c r="AP27" s="14" t="str">
        <f aca="false">IF(AG27=0,"",IF(AI27=0,IF(OR(ISNUMBER(SEARCH("full",$C27)),UPPER(TRIM($C27))="FT",UPPER(TRIM($C27))="FTE"),"FT",IF(AND(OR(ISNUMBER(SEARCH("part",$C27)),UPPER(TRIM($C27))="PT",UPPER(TRIM($C27))="PTE"),OR($P27="",N($P27)&gt;=PT_MinHours)),"PT","None")),IF(OR(ISNUMBER(SEARCH("full",AM27)),UPPER(TRIM(AM27))="FT",UPPER(TRIM(AM27))="FTE"),"FT",IF(AND(OR(ISNUMBER(SEARCH("part",AM27)),UPPER(TRIM(AM27))="PT",UPPER(TRIM(AM27))="PTE"),OR($P27="",N($P27)&gt;=PT_MinHours)),"PT","None"))))</f>
        <v/>
      </c>
      <c r="AQ27" s="14" t="str">
        <f aca="false">IF(AG27=0,"",IF(AI27&lt;2,"",IF(OR(ISNUMBER(SEARCH("full",AN27)),UPPER(TRIM(AN27))="FT",UPPER(TRIM(AN27))="FTE"),"FT",IF(AND(OR(ISNUMBER(SEARCH("part",AN27)),UPPER(TRIM(AN27))="PT",UPPER(TRIM(AN27))="PTE"),OR($P27="",N($P27)&gt;=PT_MinHours)),"PT","None"))))</f>
        <v/>
      </c>
      <c r="AR27" s="14" t="str">
        <f aca="false">IF(AG27=0,"",IF(AI27&lt;3,"",IF(OR(ISNUMBER(SEARCH("full",AO27)),UPPER(TRIM(AO27))="FT",UPPER(TRIM(AO27))="FTE"),"FT",IF(AND(OR(ISNUMBER(SEARCH("part",AO27)),UPPER(TRIM(AO27))="PT",UPPER(TRIM(AO27))="PTE"),OR($P27="",N($P27)&gt;=PT_MinHours)),"PT","None"))))</f>
        <v/>
      </c>
      <c r="AS27" s="14" t="str">
        <f aca="false">IF(AG27=0,"",IF(AND(AI27&gt;=3,AL27&lt;=AsOfDate),AR27,IF(AND(AI27&gt;=2,AK27&lt;=AsOfDate),AQ27,AP27)))</f>
        <v/>
      </c>
      <c r="AT27" s="14" t="str">
        <f aca="false">IF(AG27=0,"",IF(AsOfDate&lt;AH27,-1,12*(YEAR(AsOfDate)-YEAR(AH27))+MONTH(AsOfDate)-MONTH(AH27)-IF(DAY(AsOfDate)&lt;MIN(DAY(AH27),DAY(EOMONTH(AsOfDate,0))),1,0)))</f>
        <v/>
      </c>
      <c r="AU27" s="14" t="str">
        <f aca="false">IF(AG27=0,"",IF(OR(AI27&lt;2,AK27&gt;AsOfDate),AT27,IF((AK27-1)&lt;AH27,-1,12*(YEAR((AK27-1))-YEAR(AH27))+MONTH((AK27-1))-MONTH(AH27)-IF(DAY((AK27-1))&lt;MIN(DAY(AH27),DAY(EOMONTH((AK27-1),0))),1,0))))</f>
        <v/>
      </c>
      <c r="AV27" s="14" t="str">
        <f aca="false">IF(AG27=0,"",IF(OR(AI27&lt;3,AL27&gt;AsOfDate),AT27,IF((AL27-1)&lt;AH27,-1,12*(YEAR((AL27-1))-YEAR(AH27))+MONTH((AL27-1))-MONTH(AH27)-IF(DAY((AL27-1))&lt;MIN(DAY(AH27),DAY(EOMONTH((AL27-1),0))),1,0))))</f>
        <v/>
      </c>
      <c r="AW27" s="14" t="str">
        <f aca="false">IF(AG27=0,"",IF(PFYDate&lt;AH27,-1,12*(YEAR(PFYDate)-YEAR(AH27))+MONTH(PFYDate)-MONTH(AH27)-IF(DAY(PFYDate)&lt;MIN(DAY(AH27),DAY(EOMONTH(PFYDate,0))),1,0)))</f>
        <v/>
      </c>
      <c r="AX27" s="14" t="str">
        <f aca="false">IF(AG27=0,"",IF(OR(AI27&lt;2,AK27&gt;PFYDate),AW27,IF((AK27-1)&lt;AH27,-1,12*(YEAR((AK27-1))-YEAR(AH27))+MONTH((AK27-1))-MONTH(AH27)-IF(DAY((AK27-1))&lt;MIN(DAY(AH27),DAY(EOMONTH((AK27-1),0))),1,0))))</f>
        <v/>
      </c>
      <c r="AY27" s="14" t="str">
        <f aca="false">IF(AG27=0,"",IF(OR(AI27&lt;3,AL27&gt;PFYDate),AW27,IF((AL27-1)&lt;AH27,-1,12*(YEAR((AL27-1))-YEAR(AH27))+MONTH((AL27-1))-MONTH(AH27)-IF(DAY((AL27-1))&lt;MIN(DAY(AH27),DAY(EOMONTH((AL27-1),0))),1,0))))</f>
        <v/>
      </c>
      <c r="AZ27" s="14" t="str">
        <f aca="false">IF(AG27=0,"",IF(AP27="FT",IF(AU27&lt;FT_First,0,IF(AU27&lt;FT_Y5,1+INT((AU27-FT_First)/FT_Int1),FT_PreY5+FT_PerYear*INT((AU27-FT_Y5)/12)+FT_AnnivDays+INT(MOD(AU27-FT_Y5,12)/FT_Int2))),IF(AP27="PT",IF(AU27&lt;PT_First,0,1+INT((AU27-PT_First)/PT_Int)),0))+IF(AND(AI27&gt;=2,AK27&lt;=AsOfDate),IF(AQ27="FT",IF(AV27&lt;FT_First,0,IF(AV27&lt;FT_Y5,1+INT((AV27-FT_First)/FT_Int1),FT_PreY5+FT_PerYear*INT((AV27-FT_Y5)/12)+FT_AnnivDays+INT(MOD(AV27-FT_Y5,12)/FT_Int2))),IF(AQ27="PT",IF(AV27&lt;PT_First,0,1+INT((AV27-PT_First)/PT_Int)),0))-IF(AQ27="FT",IF(AU27&lt;FT_First,0,IF(AU27&lt;FT_Y5,1+INT((AU27-FT_First)/FT_Int1),FT_PreY5+FT_PerYear*INT((AU27-FT_Y5)/12)+FT_AnnivDays+INT(MOD(AU27-FT_Y5,12)/FT_Int2))),IF(AQ27="PT",IF(AU27&lt;PT_First,0,1+INT((AU27-PT_First)/PT_Int)),0)),0)+IF(AND(AI27&gt;=3,AL27&lt;=AsOfDate),IF(AR27="FT",IF(AT27&lt;FT_First,0,IF(AT27&lt;FT_Y5,1+INT((AT27-FT_First)/FT_Int1),FT_PreY5+FT_PerYear*INT((AT27-FT_Y5)/12)+FT_AnnivDays+INT(MOD(AT27-FT_Y5,12)/FT_Int2))),IF(AR27="PT",IF(AT27&lt;PT_First,0,1+INT((AT27-PT_First)/PT_Int)),0))-IF(AR27="FT",IF(AV27&lt;FT_First,0,IF(AV27&lt;FT_Y5,1+INT((AV27-FT_First)/FT_Int1),FT_PreY5+FT_PerYear*INT((AV27-FT_Y5)/12)+FT_AnnivDays+INT(MOD(AV27-FT_Y5,12)/FT_Int2))),IF(AR27="PT",IF(AV27&lt;PT_First,0,1+INT((AV27-PT_First)/PT_Int)),0)),0))</f>
        <v/>
      </c>
      <c r="BA27" s="14" t="str">
        <f aca="false">IF(AG27=0,"",IF(AP27="FT",IF(AX27&lt;FT_First,0,IF(AX27&lt;FT_Y5,1+INT((AX27-FT_First)/FT_Int1),FT_PreY5+FT_PerYear*INT((AX27-FT_Y5)/12)+FT_AnnivDays+INT(MOD(AX27-FT_Y5,12)/FT_Int2))),IF(AP27="PT",IF(AX27&lt;PT_First,0,1+INT((AX27-PT_First)/PT_Int)),0))+IF(AND(AI27&gt;=2,AK27&lt;=PFYDate),IF(AQ27="FT",IF(AY27&lt;FT_First,0,IF(AY27&lt;FT_Y5,1+INT((AY27-FT_First)/FT_Int1),FT_PreY5+FT_PerYear*INT((AY27-FT_Y5)/12)+FT_AnnivDays+INT(MOD(AY27-FT_Y5,12)/FT_Int2))),IF(AQ27="PT",IF(AY27&lt;PT_First,0,1+INT((AY27-PT_First)/PT_Int)),0))-IF(AQ27="FT",IF(AX27&lt;FT_First,0,IF(AX27&lt;FT_Y5,1+INT((AX27-FT_First)/FT_Int1),FT_PreY5+FT_PerYear*INT((AX27-FT_Y5)/12)+FT_AnnivDays+INT(MOD(AX27-FT_Y5,12)/FT_Int2))),IF(AQ27="PT",IF(AX27&lt;PT_First,0,1+INT((AX27-PT_First)/PT_Int)),0)),0)+IF(AND(AI27&gt;=3,AL27&lt;=PFYDate),IF(AR27="FT",IF(AW27&lt;FT_First,0,IF(AW27&lt;FT_Y5,1+INT((AW27-FT_First)/FT_Int1),FT_PreY5+FT_PerYear*INT((AW27-FT_Y5)/12)+FT_AnnivDays+INT(MOD(AW27-FT_Y5,12)/FT_Int2))),IF(AR27="PT",IF(AW27&lt;PT_First,0,1+INT((AW27-PT_First)/PT_Int)),0))-IF(AR27="FT",IF(AY27&lt;FT_First,0,IF(AY27&lt;FT_Y5,1+INT((AY27-FT_First)/FT_Int1),FT_PreY5+FT_PerYear*INT((AY27-FT_Y5)/12)+FT_AnnivDays+INT(MOD(AY27-FT_Y5,12)/FT_Int2))),IF(AR27="PT",IF(AY27&lt;PT_First,0,1+INT((AY27-PT_First)/PT_Int)),0)),0))</f>
        <v/>
      </c>
      <c r="BB27" s="14" t="str">
        <f aca="false">IF(AG27=0,"",IF(AS27="FT",IF(AT27&lt;FT_First,FT_First,IF(AT27&lt;FT_Y5,MIN(FT_Y5,FT_First+FT_Int1*(INT((AT27-FT_First)/FT_Int1)+1)),FT_Y5+12*INT((AT27-FT_Y5)/12)+FT_Int2*(INT(MOD(AT27-FT_Y5,12)/FT_Int2)+1))),IF(AS27="PT",IF(AT27&lt;PT_First,PT_First,PT_First+PT_Int*(INT((AT27-PT_First)/PT_Int)+1)),"")))</f>
        <v/>
      </c>
      <c r="BC27" s="14" t="str">
        <f aca="false">IF(AG27=0,"",IF(NOT(LH_Ready),0,COUNTIFS(INDEX(LH_Data,0,LH_ColFirst),$A27,INDEX(LH_Data,0,LH_ColSur),$B27,INDEX(LH_Data,0,LH_ColCat),BonusCat)))</f>
        <v/>
      </c>
      <c r="BD27" s="14" t="str">
        <f aca="false">IF(AG27=0,"",IF(OR(NOT(LH_Ready),BC27=0),0,SUMPRODUCT(MAX((INDEX(LH_Data,0,LH_ColFirst)=$A27)*(INDEX(LH_Data,0,LH_ColSur)=$B27)*(INDEX(LH_Data,0,LH_ColCat)=BonusCat)*ROW(LH_Data)))))</f>
        <v/>
      </c>
      <c r="BE27" s="14" t="str">
        <f aca="false">IF(AG27=0,"",IF(EOMONTH(AsOfDate,-1)&lt;AH27,-1,12*(YEAR(EOMONTH(AsOfDate,-1))-YEAR(AH27))+MONTH(EOMONTH(AsOfDate,-1))-MONTH(AH27)-IF(DAY(EOMONTH(AsOfDate,-1))&lt;MIN(DAY(AH27),DAY(EOMONTH(EOMONTH(AsOfDate,-1),0))),1,0)))</f>
        <v/>
      </c>
      <c r="BF27" s="14" t="str">
        <f aca="false">IF(AG27=0,"",IF(OR(AI27&lt;2,AK27&gt;EOMONTH(AsOfDate,-1)),BE27,IF((AK27-1)&lt;AH27,-1,12*(YEAR((AK27-1))-YEAR(AH27))+MONTH((AK27-1))-MONTH(AH27)-IF(DAY((AK27-1))&lt;MIN(DAY(AH27),DAY(EOMONTH((AK27-1),0))),1,0))))</f>
        <v/>
      </c>
      <c r="BG27" s="14" t="str">
        <f aca="false">IF(AG27=0,"",IF(OR(AI27&lt;3,AL27&gt;EOMONTH(AsOfDate,-1)),BE27,IF((AL27-1)&lt;AH27,-1,12*(YEAR((AL27-1))-YEAR(AH27))+MONTH((AL27-1))-MONTH(AH27)-IF(DAY((AL27-1))&lt;MIN(DAY(AH27),DAY(EOMONTH((AL27-1),0))),1,0))))</f>
        <v/>
      </c>
      <c r="BH27" s="14" t="str">
        <f aca="false">IF(AG27=0,"",IF(AP27="FT",IF(BF27&lt;FT_First,0,IF(BF27&lt;FT_Y5,1+INT((BF27-FT_First)/FT_Int1),FT_PreY5+FT_PerYear*INT((BF27-FT_Y5)/12)+FT_AnnivDays+INT(MOD(BF27-FT_Y5,12)/FT_Int2))),IF(AP27="PT",IF(BF27&lt;PT_First,0,1+INT((BF27-PT_First)/PT_Int)),0))+IF(AND(AI27&gt;=2,AK27&lt;=EOMONTH(AsOfDate,-1)),IF(AQ27="FT",IF(BG27&lt;FT_First,0,IF(BG27&lt;FT_Y5,1+INT((BG27-FT_First)/FT_Int1),FT_PreY5+FT_PerYear*INT((BG27-FT_Y5)/12)+FT_AnnivDays+INT(MOD(BG27-FT_Y5,12)/FT_Int2))),IF(AQ27="PT",IF(BG27&lt;PT_First,0,1+INT((BG27-PT_First)/PT_Int)),0))-IF(AQ27="FT",IF(BF27&lt;FT_First,0,IF(BF27&lt;FT_Y5,1+INT((BF27-FT_First)/FT_Int1),FT_PreY5+FT_PerYear*INT((BF27-FT_Y5)/12)+FT_AnnivDays+INT(MOD(BF27-FT_Y5,12)/FT_Int2))),IF(AQ27="PT",IF(BF27&lt;PT_First,0,1+INT((BF27-PT_First)/PT_Int)),0)),0)+IF(AND(AI27&gt;=3,AL27&lt;=EOMONTH(AsOfDate,-1)),IF(AR27="FT",IF(BE27&lt;FT_First,0,IF(BE27&lt;FT_Y5,1+INT((BE27-FT_First)/FT_Int1),FT_PreY5+FT_PerYear*INT((BE27-FT_Y5)/12)+FT_AnnivDays+INT(MOD(BE27-FT_Y5,12)/FT_Int2))),IF(AR27="PT",IF(BE27&lt;PT_First,0,1+INT((BE27-PT_First)/PT_Int)),0))-IF(AR27="FT",IF(BG27&lt;FT_First,0,IF(BG27&lt;FT_Y5,1+INT((BG27-FT_First)/FT_Int1),FT_PreY5+FT_PerYear*INT((BG27-FT_Y5)/12)+FT_AnnivDays+INT(MOD(BG27-FT_Y5,12)/FT_Int2))),IF(AR27="PT",IF(BG27&lt;PT_First,0,1+INT((BG27-PT_First)/PT_Int)),0)),0))</f>
        <v/>
      </c>
      <c r="BI27" s="14" t="str">
        <f aca="false">IF(AG27=0,"",IF(AS27="FT",IF(AT27&lt;FT_First,"",IF(AT27&lt;FT_Y5,FT_First+FT_Int1*INT((AT27-FT_First)/FT_Int1),FT_Y5+FT_Int2*INT((AT27-FT_Y5)/FT_Int2))),IF(AS27="PT",IF(AT27&lt;PT_First,"",PT_First+PT_Int*INT((AT27-PT_First)/PT_Int)),"")))</f>
        <v/>
      </c>
      <c r="BJ27" s="0" t="str">
        <f aca="false">IF(LEN($A27&amp;$B27)=0,"",$A27&amp;" "&amp;$B27)</f>
        <v/>
      </c>
    </row>
    <row r="28" customFormat="false" ht="15" hidden="false" customHeight="false" outlineLevel="0" collapsed="false">
      <c r="A28" s="10"/>
      <c r="B28" s="10"/>
      <c r="C28" s="10"/>
      <c r="D28" s="11"/>
      <c r="E28" s="12" t="str">
        <f aca="false">IF(OR(AG28=0,$D28=""),"",DATE(YEAR(AsOfDate)+IF(DATE(YEAR(AsOfDate),MONTH($D28),DAY($D28))&lt;=AsOfDate,1,0),MONTH($D28),DAY($D28)))</f>
        <v/>
      </c>
      <c r="F28" s="11"/>
      <c r="G28" s="11"/>
      <c r="H28" s="11"/>
      <c r="I28" s="11"/>
      <c r="J28" s="11"/>
      <c r="K28" s="12" t="str">
        <f aca="false">IF(AG28=0,"",DATE(YEAR(AsOfDate)+IF(DATE(YEAR(AsOfDate),MONTH(AH28),DAY(AH28))&lt;=AsOfDate,1,0),MONTH(AH28),DAY(AH28)))</f>
        <v/>
      </c>
      <c r="L28" s="13" t="str">
        <f aca="false">IF(AG28=0,"",ROUND((AsOfDate-AH28)/365.25,1))</f>
        <v/>
      </c>
      <c r="M28" s="14" t="str">
        <f aca="false">IF(AG28=0,"",IF(AsOfDate&lt;AH28,"-",DATEDIF(AH28,AsOfDate,"y")&amp;"y "&amp;DATEDIF(AH28,AsOfDate,"ym")&amp;"m "&amp;DATEDIF(AH28,AsOfDate,"md")&amp;"d"))</f>
        <v/>
      </c>
      <c r="N28" s="15" t="str">
        <f aca="false">IF(AG28=0,"",O28*HoursPerDay)</f>
        <v/>
      </c>
      <c r="O28" s="15" t="str">
        <f aca="false">IF(AG28=0,"",AZ28)</f>
        <v/>
      </c>
      <c r="P28" s="16"/>
      <c r="Q28" s="14" t="str">
        <f aca="false">IF(AG28=0,"",IF(AI28&lt;2,"",AM28&amp;" to "&amp;AN28&amp;" on "&amp;TEXT(AK28,"dd/mm/yyyy")&amp;IF(AK28&gt;AsOfDate," (future)",IF(AP28=AQ28,"",IF(AQ28="None"," - STOPPED accruing",IF(AP28="None"," - commencement for Bonus Leave"," - pathway changed"))))&amp;IF(AI28&lt;3,"","; "&amp;AN28&amp;" to "&amp;AO28&amp;" on "&amp;TEXT(AL28,"dd/mm/yyyy")&amp;IF(AL28&gt;AsOfDate," (future)",IF(AQ28=AR28,"",IF(AR28="None"," - STOPPED accruing",IF(AQ28="None"," - commencement for Bonus Leave"," - pathway changed")))))))</f>
        <v/>
      </c>
      <c r="R28" s="14" t="str">
        <f aca="false">IF(AG28=0,"",IF(AS28="None",IF(O28&gt;0,"No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2" t="str">
        <f aca="false">IF(AG28=0,"",IF(AS28="None","",EDATE(AH28,BB28)))</f>
        <v/>
      </c>
      <c r="T28" s="15" t="str">
        <f aca="false">IF(AG28=0,"",IF(NOT(LH_Ready),"",IF(AH28&gt;PFYDate,0,IF(LH_ColPeriod=0,W28-U28+V28,SUMIFS(INDEX(LH_Data,0,LH_ColAcc),INDEX(LH_Data,0,LH_ColFirst),$A28,INDEX(LH_Data,0,LH_ColSur),$B28,INDEX(LH_Data,0,LH_ColCat),BonusCat,INDEX(LH_Data,0,LH_ColPeriod),LH_OpenLabel)*UnitFactor))))</f>
        <v/>
      </c>
      <c r="U28" s="15" t="str">
        <f aca="false">IF(AG28=0,"",IF(NOT(LH_Ready),"",SUMIFS(INDEX(LH_Data,0,LH_ColAcc),INDEX(LH_Data,0,LH_ColFirst),$A28,INDEX(LH_Data,0,LH_ColSur),$B28,INDEX(LH_Data,0,LH_ColCat),BonusCat,INDEX(LH_Data,0,LH_ColStart),"&gt;="&amp;AH28)*UnitFactor))</f>
        <v/>
      </c>
      <c r="V28" s="15" t="str">
        <f aca="false">IF(AG28=0,"",IF(NOT(LH_Ready),"",SUMIFS(INDEX(LH_Data,0,LH_ColTaken),INDEX(LH_Data,0,LH_ColFirst),$A28,INDEX(LH_Data,0,LH_ColSur),$B28,INDEX(LH_Data,0,LH_ColCat),BonusCat,INDEX(LH_Data,0,LH_ColStart),"&gt;="&amp;AH28)*UnitFactor))</f>
        <v/>
      </c>
      <c r="W28" s="15" t="str">
        <f aca="false">IF(AG28=0,"",IF(NOT(LH_Ready),"",IF(BD28=0,0,INDEX(INDEX(LH_Data,0,LH_ColClose),BD28-1)*UnitFactor)))</f>
        <v/>
      </c>
      <c r="X28" s="15" t="str">
        <f aca="false">IF(AG28=0,"",(AZ28-BA28)*HoursPerDay)</f>
        <v/>
      </c>
      <c r="Y28" s="15" t="str">
        <f aca="false">IF(AG28=0,"",IF(NOT(LH_Ready),"",IF(BC28=0,N28,IF(PFYDate&lt;$F28,N28-N(T28)-N(U28),X28-N(U28)))))</f>
        <v/>
      </c>
      <c r="Z28" s="14" t="str">
        <f aca="false">IF(OR(AG28=0,Y28=""),"",IF(Y28&gt;0,"Yes","No"))</f>
        <v/>
      </c>
      <c r="AA28" s="14" t="str">
        <f aca="false">IF(AG28=0,IF(LEN($A28&amp;$B28)=0,"","FIX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month")&amp;IF(BC28=0,";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EH)",""),IF(AS28="None",R28,"Not yet - first day on "&amp;TEXT(S28,"dd/mm/yyyy")))))))))</f>
        <v/>
      </c>
      <c r="AB28" s="15" t="str">
        <f aca="false">IF(OR(AG28=0,T28=""),"",BA28*HoursPerDay-T28)</f>
        <v/>
      </c>
      <c r="AC28" s="14" t="str">
        <f aca="false">IF(AG28=0,"",BC28)</f>
        <v/>
      </c>
      <c r="AD28" s="14" t="str">
        <f aca="false">IF(AG28=0,"",TRIM(IF(OR(ISTEXT($F28),ISTEXT($H28),ISTEXT($I28),ISTEXT($G28),ISTEXT($J28),ISTEXT($D28)),"A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I28&gt;=1,IF(AI28&gt;=3,AO28,IF(AI28=2,AN28,AM28))&lt;&gt;IF($C28="","",IF(OR(ISNUMBER(SEARCH("full",$C28)),UPPER(TRIM($C28))="FT",UPPER(TRIM($C28))="FTE"),"Full-Time",IF(OR(ISNUMBER(SEARCH("part",$C28)),UPPER(TRIM($C28))="PT",UPPER(TRIM($C28))="PTE"),"Part-Time",IF(OR(ISNUMBER(SEARCH("cas",$C28)),UPPER(TRIM($C28))="CAS"),"Casual","Unknown"))))),"EmploymentType does not match latest start date ("&amp;IF(AI28&gt;=3,AO28,IF(AI28=2,AN28,AM28))&amp;"). ","")&amp;IF(AND(AI28&gt;=1,AJ28&lt;&gt;$F28),"Earliest type date should equal StartDate. ","")&amp;IF(AND(AI28&gt;=2,AJ28=AK28),"Two types start on the same date. ","")&amp;IF(AND(OR(ISNUMBER(SEARCH("part",$C28)),UPPER(TRIM($C28))="PT",UPPER(TRIM($C28))="PTE"),$P28=""),"Part-time: enter PT Hrs/Week (blank = 24+). ","")))</f>
        <v/>
      </c>
      <c r="AE28" s="15" t="str">
        <f aca="false">IF(AG28=0,"",O28-BH28)</f>
        <v/>
      </c>
      <c r="AF28" s="12" t="str">
        <f aca="false">IF(OR(AG28=0,AE28="",N(AE28)=0,BI28=""),"",EDATE(AH28,BI28))</f>
        <v/>
      </c>
      <c r="AG28" s="14" t="n">
        <f aca="false">IF(OR(LEN($A28&amp;$B28)=0,$F28=""),0,1)</f>
        <v>0</v>
      </c>
      <c r="AH28" s="12" t="str">
        <f aca="false">IF(AG28=0,"",IF($J28&lt;&gt;"",$J28,IF(OR(CasualCounts="Yes",COUNT($G28:$I28)=0,COUNT($H28:$I28)=0),$F28,MIN($H28:$I28))))</f>
        <v/>
      </c>
      <c r="AI28" s="14" t="str">
        <f aca="false">IF(AG28=0,"",COUNT($G28:$I28))</f>
        <v/>
      </c>
      <c r="AJ28" s="12" t="str">
        <f aca="false">IF(AG28=0,"",IFERROR(SMALL($G28:$I28,1),""))</f>
        <v/>
      </c>
      <c r="AK28" s="12" t="str">
        <f aca="false">IF(AG28=0,"",IFERROR(SMALL($G28:$I28,2),""))</f>
        <v/>
      </c>
      <c r="AL28" s="12" t="str">
        <f aca="false">IF(AG28=0,"",IFERROR(SMALL($G28:$I28,3),""))</f>
        <v/>
      </c>
      <c r="AM28" s="14" t="str">
        <f aca="false">IF(AG28=0,"",IF(AJ28="","",IF(AJ28=$H28,"Part-Time",IF(AJ28=$I28,"Full-Time","Casual"))))</f>
        <v/>
      </c>
      <c r="AN28" s="14" t="str">
        <f aca="false">IF(AG28=0,"",IF(AK28="","",IF(AK28=$H28,"Part-Time",IF(AK28=$I28,"Full-Time","Casual"))))</f>
        <v/>
      </c>
      <c r="AO28" s="14" t="str">
        <f aca="false">IF(AG28=0,"",IF(AL28="","",IF(AL28=$H28,"Part-Time",IF(AL28=$I28,"Full-Time","Casual"))))</f>
        <v/>
      </c>
      <c r="AP28" s="14" t="str">
        <f aca="false">IF(AG28=0,"",IF(AI28=0,IF(OR(ISNUMBER(SEARCH("full",$C28)),UPPER(TRIM($C28))="FT",UPPER(TRIM($C28))="FTE"),"FT",IF(AND(OR(ISNUMBER(SEARCH("part",$C28)),UPPER(TRIM($C28))="PT",UPPER(TRIM($C28))="PTE"),OR($P28="",N($P28)&gt;=PT_MinHours)),"PT","None")),IF(OR(ISNUMBER(SEARCH("full",AM28)),UPPER(TRIM(AM28))="FT",UPPER(TRIM(AM28))="FTE"),"FT",IF(AND(OR(ISNUMBER(SEARCH("part",AM28)),UPPER(TRIM(AM28))="PT",UPPER(TRIM(AM28))="PTE"),OR($P28="",N($P28)&gt;=PT_MinHours)),"PT","None"))))</f>
        <v/>
      </c>
      <c r="AQ28" s="14" t="str">
        <f aca="false">IF(AG28=0,"",IF(AI28&lt;2,"",IF(OR(ISNUMBER(SEARCH("full",AN28)),UPPER(TRIM(AN28))="FT",UPPER(TRIM(AN28))="FTE"),"FT",IF(AND(OR(ISNUMBER(SEARCH("part",AN28)),UPPER(TRIM(AN28))="PT",UPPER(TRIM(AN28))="PTE"),OR($P28="",N($P28)&gt;=PT_MinHours)),"PT","None"))))</f>
        <v/>
      </c>
      <c r="AR28" s="14" t="str">
        <f aca="false">IF(AG28=0,"",IF(AI28&lt;3,"",IF(OR(ISNUMBER(SEARCH("full",AO28)),UPPER(TRIM(AO28))="FT",UPPER(TRIM(AO28))="FTE"),"FT",IF(AND(OR(ISNUMBER(SEARCH("part",AO28)),UPPER(TRIM(AO28))="PT",UPPER(TRIM(AO28))="PTE"),OR($P28="",N($P28)&gt;=PT_MinHours)),"PT","None"))))</f>
        <v/>
      </c>
      <c r="AS28" s="14" t="str">
        <f aca="false">IF(AG28=0,"",IF(AND(AI28&gt;=3,AL28&lt;=AsOfDate),AR28,IF(AND(AI28&gt;=2,AK28&lt;=AsOfDate),AQ28,AP28)))</f>
        <v/>
      </c>
      <c r="AT28" s="14" t="str">
        <f aca="false">IF(AG28=0,"",IF(AsOfDate&lt;AH28,-1,12*(YEAR(AsOfDate)-YEAR(AH28))+MONTH(AsOfDate)-MONTH(AH28)-IF(DAY(AsOfDate)&lt;MIN(DAY(AH28),DAY(EOMONTH(AsOfDate,0))),1,0)))</f>
        <v/>
      </c>
      <c r="AU28" s="14" t="str">
        <f aca="false">IF(AG28=0,"",IF(OR(AI28&lt;2,AK28&gt;AsOfDate),AT28,IF((AK28-1)&lt;AH28,-1,12*(YEAR((AK28-1))-YEAR(AH28))+MONTH((AK28-1))-MONTH(AH28)-IF(DAY((AK28-1))&lt;MIN(DAY(AH28),DAY(EOMONTH((AK28-1),0))),1,0))))</f>
        <v/>
      </c>
      <c r="AV28" s="14" t="str">
        <f aca="false">IF(AG28=0,"",IF(OR(AI28&lt;3,AL28&gt;AsOfDate),AT28,IF((AL28-1)&lt;AH28,-1,12*(YEAR((AL28-1))-YEAR(AH28))+MONTH((AL28-1))-MONTH(AH28)-IF(DAY((AL28-1))&lt;MIN(DAY(AH28),DAY(EOMONTH((AL28-1),0))),1,0))))</f>
        <v/>
      </c>
      <c r="AW28" s="14" t="str">
        <f aca="false">IF(AG28=0,"",IF(PFYDate&lt;AH28,-1,12*(YEAR(PFYDate)-YEAR(AH28))+MONTH(PFYDate)-MONTH(AH28)-IF(DAY(PFYDate)&lt;MIN(DAY(AH28),DAY(EOMONTH(PFYDate,0))),1,0)))</f>
        <v/>
      </c>
      <c r="AX28" s="14" t="str">
        <f aca="false">IF(AG28=0,"",IF(OR(AI28&lt;2,AK28&gt;PFYDate),AW28,IF((AK28-1)&lt;AH28,-1,12*(YEAR((AK28-1))-YEAR(AH28))+MONTH((AK28-1))-MONTH(AH28)-IF(DAY((AK28-1))&lt;MIN(DAY(AH28),DAY(EOMONTH((AK28-1),0))),1,0))))</f>
        <v/>
      </c>
      <c r="AY28" s="14" t="str">
        <f aca="false">IF(AG28=0,"",IF(OR(AI28&lt;3,AL28&gt;PFYDate),AW28,IF((AL28-1)&lt;AH28,-1,12*(YEAR((AL28-1))-YEAR(AH28))+MONTH((AL28-1))-MONTH(AH28)-IF(DAY((AL28-1))&lt;MIN(DAY(AH28),DAY(EOMONTH((AL28-1),0))),1,0))))</f>
        <v/>
      </c>
      <c r="AZ28" s="14" t="str">
        <f aca="false">IF(AG28=0,"",IF(AP28="FT",IF(AU28&lt;FT_First,0,IF(AU28&lt;FT_Y5,1+INT((AU28-FT_First)/FT_Int1),FT_PreY5+FT_PerYear*INT((AU28-FT_Y5)/12)+FT_AnnivDays+INT(MOD(AU28-FT_Y5,12)/FT_Int2))),IF(AP28="PT",IF(AU28&lt;PT_First,0,1+INT((AU28-PT_First)/PT_Int)),0))+IF(AND(AI28&gt;=2,AK28&lt;=AsOfDate),IF(AQ28="FT",IF(AV28&lt;FT_First,0,IF(AV28&lt;FT_Y5,1+INT((AV28-FT_First)/FT_Int1),FT_PreY5+FT_PerYear*INT((AV28-FT_Y5)/12)+FT_AnnivDays+INT(MOD(AV28-FT_Y5,12)/FT_Int2))),IF(AQ28="PT",IF(AV28&lt;PT_First,0,1+INT((AV28-PT_First)/PT_Int)),0))-IF(AQ28="FT",IF(AU28&lt;FT_First,0,IF(AU28&lt;FT_Y5,1+INT((AU28-FT_First)/FT_Int1),FT_PreY5+FT_PerYear*INT((AU28-FT_Y5)/12)+FT_AnnivDays+INT(MOD(AU28-FT_Y5,12)/FT_Int2))),IF(AQ28="PT",IF(AU28&lt;PT_First,0,1+INT((AU28-PT_First)/PT_Int)),0)),0)+IF(AND(AI28&gt;=3,AL28&lt;=AsOfDate),IF(AR28="FT",IF(AT28&lt;FT_First,0,IF(AT28&lt;FT_Y5,1+INT((AT28-FT_First)/FT_Int1),FT_PreY5+FT_PerYear*INT((AT28-FT_Y5)/12)+FT_AnnivDays+INT(MOD(AT28-FT_Y5,12)/FT_Int2))),IF(AR28="PT",IF(AT28&lt;PT_First,0,1+INT((AT28-PT_First)/PT_Int)),0))-IF(AR28="FT",IF(AV28&lt;FT_First,0,IF(AV28&lt;FT_Y5,1+INT((AV28-FT_First)/FT_Int1),FT_PreY5+FT_PerYear*INT((AV28-FT_Y5)/12)+FT_AnnivDays+INT(MOD(AV28-FT_Y5,12)/FT_Int2))),IF(AR28="PT",IF(AV28&lt;PT_First,0,1+INT((AV28-PT_First)/PT_Int)),0)),0))</f>
        <v/>
      </c>
      <c r="BA28" s="14" t="str">
        <f aca="false">IF(AG28=0,"",IF(AP28="FT",IF(AX28&lt;FT_First,0,IF(AX28&lt;FT_Y5,1+INT((AX28-FT_First)/FT_Int1),FT_PreY5+FT_PerYear*INT((AX28-FT_Y5)/12)+FT_AnnivDays+INT(MOD(AX28-FT_Y5,12)/FT_Int2))),IF(AP28="PT",IF(AX28&lt;PT_First,0,1+INT((AX28-PT_First)/PT_Int)),0))+IF(AND(AI28&gt;=2,AK28&lt;=PFYDate),IF(AQ28="FT",IF(AY28&lt;FT_First,0,IF(AY28&lt;FT_Y5,1+INT((AY28-FT_First)/FT_Int1),FT_PreY5+FT_PerYear*INT((AY28-FT_Y5)/12)+FT_AnnivDays+INT(MOD(AY28-FT_Y5,12)/FT_Int2))),IF(AQ28="PT",IF(AY28&lt;PT_First,0,1+INT((AY28-PT_First)/PT_Int)),0))-IF(AQ28="FT",IF(AX28&lt;FT_First,0,IF(AX28&lt;FT_Y5,1+INT((AX28-FT_First)/FT_Int1),FT_PreY5+FT_PerYear*INT((AX28-FT_Y5)/12)+FT_AnnivDays+INT(MOD(AX28-FT_Y5,12)/FT_Int2))),IF(AQ28="PT",IF(AX28&lt;PT_First,0,1+INT((AX28-PT_First)/PT_Int)),0)),0)+IF(AND(AI28&gt;=3,AL28&lt;=PFYDate),IF(AR28="FT",IF(AW28&lt;FT_First,0,IF(AW28&lt;FT_Y5,1+INT((AW28-FT_First)/FT_Int1),FT_PreY5+FT_PerYear*INT((AW28-FT_Y5)/12)+FT_AnnivDays+INT(MOD(AW28-FT_Y5,12)/FT_Int2))),IF(AR28="PT",IF(AW28&lt;PT_First,0,1+INT((AW28-PT_First)/PT_Int)),0))-IF(AR28="FT",IF(AY28&lt;FT_First,0,IF(AY28&lt;FT_Y5,1+INT((AY28-FT_First)/FT_Int1),FT_PreY5+FT_PerYear*INT((AY28-FT_Y5)/12)+FT_AnnivDays+INT(MOD(AY28-FT_Y5,12)/FT_Int2))),IF(AR28="PT",IF(AY28&lt;PT_First,0,1+INT((AY28-PT_First)/PT_Int)),0)),0))</f>
        <v/>
      </c>
      <c r="BB28" s="14" t="str">
        <f aca="false">IF(AG28=0,"",IF(AS28="FT",IF(AT28&lt;FT_First,FT_First,IF(AT28&lt;FT_Y5,MIN(FT_Y5,FT_First+FT_Int1*(INT((AT28-FT_First)/FT_Int1)+1)),FT_Y5+12*INT((AT28-FT_Y5)/12)+FT_Int2*(INT(MOD(AT28-FT_Y5,12)/FT_Int2)+1))),IF(AS28="PT",IF(AT28&lt;PT_First,PT_First,PT_First+PT_Int*(INT((AT28-PT_First)/PT_Int)+1)),"")))</f>
        <v/>
      </c>
      <c r="BC28" s="14" t="str">
        <f aca="false">IF(AG28=0,"",IF(NOT(LH_Ready),0,COUNTIFS(INDEX(LH_Data,0,LH_ColFirst),$A28,INDEX(LH_Data,0,LH_ColSur),$B28,INDEX(LH_Data,0,LH_ColCat),BonusCat)))</f>
        <v/>
      </c>
      <c r="BD28" s="14" t="str">
        <f aca="false">IF(AG28=0,"",IF(OR(NOT(LH_Ready),BC28=0),0,SUMPRODUCT(MAX((INDEX(LH_Data,0,LH_ColFirst)=$A28)*(INDEX(LH_Data,0,LH_ColSur)=$B28)*(INDEX(LH_Data,0,LH_ColCat)=BonusCat)*ROW(LH_Data)))))</f>
        <v/>
      </c>
      <c r="BE28" s="14" t="str">
        <f aca="false">IF(AG28=0,"",IF(EOMONTH(AsOfDate,-1)&lt;AH28,-1,12*(YEAR(EOMONTH(AsOfDate,-1))-YEAR(AH28))+MONTH(EOMONTH(AsOfDate,-1))-MONTH(AH28)-IF(DAY(EOMONTH(AsOfDate,-1))&lt;MIN(DAY(AH28),DAY(EOMONTH(EOMONTH(AsOfDate,-1),0))),1,0)))</f>
        <v/>
      </c>
      <c r="BF28" s="14" t="str">
        <f aca="false">IF(AG28=0,"",IF(OR(AI28&lt;2,AK28&gt;EOMONTH(AsOfDate,-1)),BE28,IF((AK28-1)&lt;AH28,-1,12*(YEAR((AK28-1))-YEAR(AH28))+MONTH((AK28-1))-MONTH(AH28)-IF(DAY((AK28-1))&lt;MIN(DAY(AH28),DAY(EOMONTH((AK28-1),0))),1,0))))</f>
        <v/>
      </c>
      <c r="BG28" s="14" t="str">
        <f aca="false">IF(AG28=0,"",IF(OR(AI28&lt;3,AL28&gt;EOMONTH(AsOfDate,-1)),BE28,IF((AL28-1)&lt;AH28,-1,12*(YEAR((AL28-1))-YEAR(AH28))+MONTH((AL28-1))-MONTH(AH28)-IF(DAY((AL28-1))&lt;MIN(DAY(AH28),DAY(EOMONTH((AL28-1),0))),1,0))))</f>
        <v/>
      </c>
      <c r="BH28" s="14" t="str">
        <f aca="false">IF(AG28=0,"",IF(AP28="FT",IF(BF28&lt;FT_First,0,IF(BF28&lt;FT_Y5,1+INT((BF28-FT_First)/FT_Int1),FT_PreY5+FT_PerYear*INT((BF28-FT_Y5)/12)+FT_AnnivDays+INT(MOD(BF28-FT_Y5,12)/FT_Int2))),IF(AP28="PT",IF(BF28&lt;PT_First,0,1+INT((BF28-PT_First)/PT_Int)),0))+IF(AND(AI28&gt;=2,AK28&lt;=EOMONTH(AsOfDate,-1)),IF(AQ28="FT",IF(BG28&lt;FT_First,0,IF(BG28&lt;FT_Y5,1+INT((BG28-FT_First)/FT_Int1),FT_PreY5+FT_PerYear*INT((BG28-FT_Y5)/12)+FT_AnnivDays+INT(MOD(BG28-FT_Y5,12)/FT_Int2))),IF(AQ28="PT",IF(BG28&lt;PT_First,0,1+INT((BG28-PT_First)/PT_Int)),0))-IF(AQ28="FT",IF(BF28&lt;FT_First,0,IF(BF28&lt;FT_Y5,1+INT((BF28-FT_First)/FT_Int1),FT_PreY5+FT_PerYear*INT((BF28-FT_Y5)/12)+FT_AnnivDays+INT(MOD(BF28-FT_Y5,12)/FT_Int2))),IF(AQ28="PT",IF(BF28&lt;PT_First,0,1+INT((BF28-PT_First)/PT_Int)),0)),0)+IF(AND(AI28&gt;=3,AL28&lt;=EOMONTH(AsOfDate,-1)),IF(AR28="FT",IF(BE28&lt;FT_First,0,IF(BE28&lt;FT_Y5,1+INT((BE28-FT_First)/FT_Int1),FT_PreY5+FT_PerYear*INT((BE28-FT_Y5)/12)+FT_AnnivDays+INT(MOD(BE28-FT_Y5,12)/FT_Int2))),IF(AR28="PT",IF(BE28&lt;PT_First,0,1+INT((BE28-PT_First)/PT_Int)),0))-IF(AR28="FT",IF(BG28&lt;FT_First,0,IF(BG28&lt;FT_Y5,1+INT((BG28-FT_First)/FT_Int1),FT_PreY5+FT_PerYear*INT((BG28-FT_Y5)/12)+FT_AnnivDays+INT(MOD(BG28-FT_Y5,12)/FT_Int2))),IF(AR28="PT",IF(BG28&lt;PT_First,0,1+INT((BG28-PT_First)/PT_Int)),0)),0))</f>
        <v/>
      </c>
      <c r="BI28" s="14" t="str">
        <f aca="false">IF(AG28=0,"",IF(AS28="FT",IF(AT28&lt;FT_First,"",IF(AT28&lt;FT_Y5,FT_First+FT_Int1*INT((AT28-FT_First)/FT_Int1),FT_Y5+FT_Int2*INT((AT28-FT_Y5)/FT_Int2))),IF(AS28="PT",IF(AT28&lt;PT_First,"",PT_First+PT_Int*INT((AT28-PT_First)/PT_Int)),"")))</f>
        <v/>
      </c>
      <c r="BJ28" s="0" t="str">
        <f aca="false">IF(LEN($A28&amp;$B28)=0,"",$A28&amp;" "&amp;$B28)</f>
        <v/>
      </c>
    </row>
    <row r="29" customFormat="false" ht="15" hidden="false" customHeight="false" outlineLevel="0" collapsed="false">
      <c r="A29" s="10"/>
      <c r="B29" s="10"/>
      <c r="C29" s="10"/>
      <c r="D29" s="11"/>
      <c r="E29" s="12" t="str">
        <f aca="false">IF(OR(AG29=0,$D29=""),"",DATE(YEAR(AsOfDate)+IF(DATE(YEAR(AsOfDate),MONTH($D29),DAY($D29))&lt;=AsOfDate,1,0),MONTH($D29),DAY($D29)))</f>
        <v/>
      </c>
      <c r="F29" s="11"/>
      <c r="G29" s="11"/>
      <c r="H29" s="11"/>
      <c r="I29" s="11"/>
      <c r="J29" s="11"/>
      <c r="K29" s="12" t="str">
        <f aca="false">IF(AG29=0,"",DATE(YEAR(AsOfDate)+IF(DATE(YEAR(AsOfDate),MONTH(AH29),DAY(AH29))&lt;=AsOfDate,1,0),MONTH(AH29),DAY(AH29)))</f>
        <v/>
      </c>
      <c r="L29" s="13" t="str">
        <f aca="false">IF(AG29=0,"",ROUND((AsOfDate-AH29)/365.25,1))</f>
        <v/>
      </c>
      <c r="M29" s="14" t="str">
        <f aca="false">IF(AG29=0,"",IF(AsOfDate&lt;AH29,"-",DATEDIF(AH29,AsOfDate,"y")&amp;"y "&amp;DATEDIF(AH29,AsOfDate,"ym")&amp;"m "&amp;DATEDIF(AH29,AsOfDate,"md")&amp;"d"))</f>
        <v/>
      </c>
      <c r="N29" s="15" t="str">
        <f aca="false">IF(AG29=0,"",O29*HoursPerDay)</f>
        <v/>
      </c>
      <c r="O29" s="15" t="str">
        <f aca="false">IF(AG29=0,"",AZ29)</f>
        <v/>
      </c>
      <c r="P29" s="16"/>
      <c r="Q29" s="14" t="str">
        <f aca="false">IF(AG29=0,"",IF(AI29&lt;2,"",AM29&amp;" to "&amp;AN29&amp;" on "&amp;TEXT(AK29,"dd/mm/yyyy")&amp;IF(AK29&gt;AsOfDate," (future)",IF(AP29=AQ29,"",IF(AQ29="None"," - STOPPED accruing",IF(AP29="None"," - commencement for Bonus Leave"," - pathway changed"))))&amp;IF(AI29&lt;3,"","; "&amp;AN29&amp;" to "&amp;AO29&amp;" on "&amp;TEXT(AL29,"dd/mm/yyyy")&amp;IF(AL29&gt;AsOfDate," (future)",IF(AQ29=AR29,"",IF(AR29="None"," - STOPPED accruing",IF(AQ29="None"," - commencement for Bonus Leave"," - pathway changed")))))))</f>
        <v/>
      </c>
      <c r="R29" s="14" t="str">
        <f aca="false">IF(AG29=0,"",IF(AS29="None",IF(O29&gt;0,"No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2" t="str">
        <f aca="false">IF(AG29=0,"",IF(AS29="None","",EDATE(AH29,BB29)))</f>
        <v/>
      </c>
      <c r="T29" s="15" t="str">
        <f aca="false">IF(AG29=0,"",IF(NOT(LH_Ready),"",IF(AH29&gt;PFYDate,0,IF(LH_ColPeriod=0,W29-U29+V29,SUMIFS(INDEX(LH_Data,0,LH_ColAcc),INDEX(LH_Data,0,LH_ColFirst),$A29,INDEX(LH_Data,0,LH_ColSur),$B29,INDEX(LH_Data,0,LH_ColCat),BonusCat,INDEX(LH_Data,0,LH_ColPeriod),LH_OpenLabel)*UnitFactor))))</f>
        <v/>
      </c>
      <c r="U29" s="15" t="str">
        <f aca="false">IF(AG29=0,"",IF(NOT(LH_Ready),"",SUMIFS(INDEX(LH_Data,0,LH_ColAcc),INDEX(LH_Data,0,LH_ColFirst),$A29,INDEX(LH_Data,0,LH_ColSur),$B29,INDEX(LH_Data,0,LH_ColCat),BonusCat,INDEX(LH_Data,0,LH_ColStart),"&gt;="&amp;AH29)*UnitFactor))</f>
        <v/>
      </c>
      <c r="V29" s="15" t="str">
        <f aca="false">IF(AG29=0,"",IF(NOT(LH_Ready),"",SUMIFS(INDEX(LH_Data,0,LH_ColTaken),INDEX(LH_Data,0,LH_ColFirst),$A29,INDEX(LH_Data,0,LH_ColSur),$B29,INDEX(LH_Data,0,LH_ColCat),BonusCat,INDEX(LH_Data,0,LH_ColStart),"&gt;="&amp;AH29)*UnitFactor))</f>
        <v/>
      </c>
      <c r="W29" s="15" t="str">
        <f aca="false">IF(AG29=0,"",IF(NOT(LH_Ready),"",IF(BD29=0,0,INDEX(INDEX(LH_Data,0,LH_ColClose),BD29-1)*UnitFactor)))</f>
        <v/>
      </c>
      <c r="X29" s="15" t="str">
        <f aca="false">IF(AG29=0,"",(AZ29-BA29)*HoursPerDay)</f>
        <v/>
      </c>
      <c r="Y29" s="15" t="str">
        <f aca="false">IF(AG29=0,"",IF(NOT(LH_Ready),"",IF(BC29=0,N29,IF(PFYDate&lt;$F29,N29-N(T29)-N(U29),X29-N(U29)))))</f>
        <v/>
      </c>
      <c r="Z29" s="14" t="str">
        <f aca="false">IF(OR(AG29=0,Y29=""),"",IF(Y29&gt;0,"Yes","No"))</f>
        <v/>
      </c>
      <c r="AA29" s="14" t="str">
        <f aca="false">IF(AG29=0,IF(LEN($A29&amp;$B29)=0,"","FIX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month")&amp;IF(BC29=0,";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EH)",""),IF(AS29="None",R29,"Not yet - first day on "&amp;TEXT(S29,"dd/mm/yyyy")))))))))</f>
        <v/>
      </c>
      <c r="AB29" s="15" t="str">
        <f aca="false">IF(OR(AG29=0,T29=""),"",BA29*HoursPerDay-T29)</f>
        <v/>
      </c>
      <c r="AC29" s="14" t="str">
        <f aca="false">IF(AG29=0,"",BC29)</f>
        <v/>
      </c>
      <c r="AD29" s="14" t="str">
        <f aca="false">IF(AG29=0,"",TRIM(IF(OR(ISTEXT($F29),ISTEXT($H29),ISTEXT($I29),ISTEXT($G29),ISTEXT($J29),ISTEXT($D29)),"A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I29&gt;=1,IF(AI29&gt;=3,AO29,IF(AI29=2,AN29,AM29))&lt;&gt;IF($C29="","",IF(OR(ISNUMBER(SEARCH("full",$C29)),UPPER(TRIM($C29))="FT",UPPER(TRIM($C29))="FTE"),"Full-Time",IF(OR(ISNUMBER(SEARCH("part",$C29)),UPPER(TRIM($C29))="PT",UPPER(TRIM($C29))="PTE"),"Part-Time",IF(OR(ISNUMBER(SEARCH("cas",$C29)),UPPER(TRIM($C29))="CAS"),"Casual","Unknown"))))),"EmploymentType does not match latest start date ("&amp;IF(AI29&gt;=3,AO29,IF(AI29=2,AN29,AM29))&amp;"). ","")&amp;IF(AND(AI29&gt;=1,AJ29&lt;&gt;$F29),"Earliest type date should equal StartDate. ","")&amp;IF(AND(AI29&gt;=2,AJ29=AK29),"Two types start on the same date. ","")&amp;IF(AND(OR(ISNUMBER(SEARCH("part",$C29)),UPPER(TRIM($C29))="PT",UPPER(TRIM($C29))="PTE"),$P29=""),"Part-time: enter PT Hrs/Week (blank = 24+). ","")))</f>
        <v/>
      </c>
      <c r="AE29" s="15" t="str">
        <f aca="false">IF(AG29=0,"",O29-BH29)</f>
        <v/>
      </c>
      <c r="AF29" s="12" t="str">
        <f aca="false">IF(OR(AG29=0,AE29="",N(AE29)=0,BI29=""),"",EDATE(AH29,BI29))</f>
        <v/>
      </c>
      <c r="AG29" s="14" t="n">
        <f aca="false">IF(OR(LEN($A29&amp;$B29)=0,$F29=""),0,1)</f>
        <v>0</v>
      </c>
      <c r="AH29" s="12" t="str">
        <f aca="false">IF(AG29=0,"",IF($J29&lt;&gt;"",$J29,IF(OR(CasualCounts="Yes",COUNT($G29:$I29)=0,COUNT($H29:$I29)=0),$F29,MIN($H29:$I29))))</f>
        <v/>
      </c>
      <c r="AI29" s="14" t="str">
        <f aca="false">IF(AG29=0,"",COUNT($G29:$I29))</f>
        <v/>
      </c>
      <c r="AJ29" s="12" t="str">
        <f aca="false">IF(AG29=0,"",IFERROR(SMALL($G29:$I29,1),""))</f>
        <v/>
      </c>
      <c r="AK29" s="12" t="str">
        <f aca="false">IF(AG29=0,"",IFERROR(SMALL($G29:$I29,2),""))</f>
        <v/>
      </c>
      <c r="AL29" s="12" t="str">
        <f aca="false">IF(AG29=0,"",IFERROR(SMALL($G29:$I29,3),""))</f>
        <v/>
      </c>
      <c r="AM29" s="14" t="str">
        <f aca="false">IF(AG29=0,"",IF(AJ29="","",IF(AJ29=$H29,"Part-Time",IF(AJ29=$I29,"Full-Time","Casual"))))</f>
        <v/>
      </c>
      <c r="AN29" s="14" t="str">
        <f aca="false">IF(AG29=0,"",IF(AK29="","",IF(AK29=$H29,"Part-Time",IF(AK29=$I29,"Full-Time","Casual"))))</f>
        <v/>
      </c>
      <c r="AO29" s="14" t="str">
        <f aca="false">IF(AG29=0,"",IF(AL29="","",IF(AL29=$H29,"Part-Time",IF(AL29=$I29,"Full-Time","Casual"))))</f>
        <v/>
      </c>
      <c r="AP29" s="14" t="str">
        <f aca="false">IF(AG29=0,"",IF(AI29=0,IF(OR(ISNUMBER(SEARCH("full",$C29)),UPPER(TRIM($C29))="FT",UPPER(TRIM($C29))="FTE"),"FT",IF(AND(OR(ISNUMBER(SEARCH("part",$C29)),UPPER(TRIM($C29))="PT",UPPER(TRIM($C29))="PTE"),OR($P29="",N($P29)&gt;=PT_MinHours)),"PT","None")),IF(OR(ISNUMBER(SEARCH("full",AM29)),UPPER(TRIM(AM29))="FT",UPPER(TRIM(AM29))="FTE"),"FT",IF(AND(OR(ISNUMBER(SEARCH("part",AM29)),UPPER(TRIM(AM29))="PT",UPPER(TRIM(AM29))="PTE"),OR($P29="",N($P29)&gt;=PT_MinHours)),"PT","None"))))</f>
        <v/>
      </c>
      <c r="AQ29" s="14" t="str">
        <f aca="false">IF(AG29=0,"",IF(AI29&lt;2,"",IF(OR(ISNUMBER(SEARCH("full",AN29)),UPPER(TRIM(AN29))="FT",UPPER(TRIM(AN29))="FTE"),"FT",IF(AND(OR(ISNUMBER(SEARCH("part",AN29)),UPPER(TRIM(AN29))="PT",UPPER(TRIM(AN29))="PTE"),OR($P29="",N($P29)&gt;=PT_MinHours)),"PT","None"))))</f>
        <v/>
      </c>
      <c r="AR29" s="14" t="str">
        <f aca="false">IF(AG29=0,"",IF(AI29&lt;3,"",IF(OR(ISNUMBER(SEARCH("full",AO29)),UPPER(TRIM(AO29))="FT",UPPER(TRIM(AO29))="FTE"),"FT",IF(AND(OR(ISNUMBER(SEARCH("part",AO29)),UPPER(TRIM(AO29))="PT",UPPER(TRIM(AO29))="PTE"),OR($P29="",N($P29)&gt;=PT_MinHours)),"PT","None"))))</f>
        <v/>
      </c>
      <c r="AS29" s="14" t="str">
        <f aca="false">IF(AG29=0,"",IF(AND(AI29&gt;=3,AL29&lt;=AsOfDate),AR29,IF(AND(AI29&gt;=2,AK29&lt;=AsOfDate),AQ29,AP29)))</f>
        <v/>
      </c>
      <c r="AT29" s="14" t="str">
        <f aca="false">IF(AG29=0,"",IF(AsOfDate&lt;AH29,-1,12*(YEAR(AsOfDate)-YEAR(AH29))+MONTH(AsOfDate)-MONTH(AH29)-IF(DAY(AsOfDate)&lt;MIN(DAY(AH29),DAY(EOMONTH(AsOfDate,0))),1,0)))</f>
        <v/>
      </c>
      <c r="AU29" s="14" t="str">
        <f aca="false">IF(AG29=0,"",IF(OR(AI29&lt;2,AK29&gt;AsOfDate),AT29,IF((AK29-1)&lt;AH29,-1,12*(YEAR((AK29-1))-YEAR(AH29))+MONTH((AK29-1))-MONTH(AH29)-IF(DAY((AK29-1))&lt;MIN(DAY(AH29),DAY(EOMONTH((AK29-1),0))),1,0))))</f>
        <v/>
      </c>
      <c r="AV29" s="14" t="str">
        <f aca="false">IF(AG29=0,"",IF(OR(AI29&lt;3,AL29&gt;AsOfDate),AT29,IF((AL29-1)&lt;AH29,-1,12*(YEAR((AL29-1))-YEAR(AH29))+MONTH((AL29-1))-MONTH(AH29)-IF(DAY((AL29-1))&lt;MIN(DAY(AH29),DAY(EOMONTH((AL29-1),0))),1,0))))</f>
        <v/>
      </c>
      <c r="AW29" s="14" t="str">
        <f aca="false">IF(AG29=0,"",IF(PFYDate&lt;AH29,-1,12*(YEAR(PFYDate)-YEAR(AH29))+MONTH(PFYDate)-MONTH(AH29)-IF(DAY(PFYDate)&lt;MIN(DAY(AH29),DAY(EOMONTH(PFYDate,0))),1,0)))</f>
        <v/>
      </c>
      <c r="AX29" s="14" t="str">
        <f aca="false">IF(AG29=0,"",IF(OR(AI29&lt;2,AK29&gt;PFYDate),AW29,IF((AK29-1)&lt;AH29,-1,12*(YEAR((AK29-1))-YEAR(AH29))+MONTH((AK29-1))-MONTH(AH29)-IF(DAY((AK29-1))&lt;MIN(DAY(AH29),DAY(EOMONTH((AK29-1),0))),1,0))))</f>
        <v/>
      </c>
      <c r="AY29" s="14" t="str">
        <f aca="false">IF(AG29=0,"",IF(OR(AI29&lt;3,AL29&gt;PFYDate),AW29,IF((AL29-1)&lt;AH29,-1,12*(YEAR((AL29-1))-YEAR(AH29))+MONTH((AL29-1))-MONTH(AH29)-IF(DAY((AL29-1))&lt;MIN(DAY(AH29),DAY(EOMONTH((AL29-1),0))),1,0))))</f>
        <v/>
      </c>
      <c r="AZ29" s="14" t="str">
        <f aca="false">IF(AG29=0,"",IF(AP29="FT",IF(AU29&lt;FT_First,0,IF(AU29&lt;FT_Y5,1+INT((AU29-FT_First)/FT_Int1),FT_PreY5+FT_PerYear*INT((AU29-FT_Y5)/12)+FT_AnnivDays+INT(MOD(AU29-FT_Y5,12)/FT_Int2))),IF(AP29="PT",IF(AU29&lt;PT_First,0,1+INT((AU29-PT_First)/PT_Int)),0))+IF(AND(AI29&gt;=2,AK29&lt;=AsOfDate),IF(AQ29="FT",IF(AV29&lt;FT_First,0,IF(AV29&lt;FT_Y5,1+INT((AV29-FT_First)/FT_Int1),FT_PreY5+FT_PerYear*INT((AV29-FT_Y5)/12)+FT_AnnivDays+INT(MOD(AV29-FT_Y5,12)/FT_Int2))),IF(AQ29="PT",IF(AV29&lt;PT_First,0,1+INT((AV29-PT_First)/PT_Int)),0))-IF(AQ29="FT",IF(AU29&lt;FT_First,0,IF(AU29&lt;FT_Y5,1+INT((AU29-FT_First)/FT_Int1),FT_PreY5+FT_PerYear*INT((AU29-FT_Y5)/12)+FT_AnnivDays+INT(MOD(AU29-FT_Y5,12)/FT_Int2))),IF(AQ29="PT",IF(AU29&lt;PT_First,0,1+INT((AU29-PT_First)/PT_Int)),0)),0)+IF(AND(AI29&gt;=3,AL29&lt;=AsOfDate),IF(AR29="FT",IF(AT29&lt;FT_First,0,IF(AT29&lt;FT_Y5,1+INT((AT29-FT_First)/FT_Int1),FT_PreY5+FT_PerYear*INT((AT29-FT_Y5)/12)+FT_AnnivDays+INT(MOD(AT29-FT_Y5,12)/FT_Int2))),IF(AR29="PT",IF(AT29&lt;PT_First,0,1+INT((AT29-PT_First)/PT_Int)),0))-IF(AR29="FT",IF(AV29&lt;FT_First,0,IF(AV29&lt;FT_Y5,1+INT((AV29-FT_First)/FT_Int1),FT_PreY5+FT_PerYear*INT((AV29-FT_Y5)/12)+FT_AnnivDays+INT(MOD(AV29-FT_Y5,12)/FT_Int2))),IF(AR29="PT",IF(AV29&lt;PT_First,0,1+INT((AV29-PT_First)/PT_Int)),0)),0))</f>
        <v/>
      </c>
      <c r="BA29" s="14" t="str">
        <f aca="false">IF(AG29=0,"",IF(AP29="FT",IF(AX29&lt;FT_First,0,IF(AX29&lt;FT_Y5,1+INT((AX29-FT_First)/FT_Int1),FT_PreY5+FT_PerYear*INT((AX29-FT_Y5)/12)+FT_AnnivDays+INT(MOD(AX29-FT_Y5,12)/FT_Int2))),IF(AP29="PT",IF(AX29&lt;PT_First,0,1+INT((AX29-PT_First)/PT_Int)),0))+IF(AND(AI29&gt;=2,AK29&lt;=PFYDate),IF(AQ29="FT",IF(AY29&lt;FT_First,0,IF(AY29&lt;FT_Y5,1+INT((AY29-FT_First)/FT_Int1),FT_PreY5+FT_PerYear*INT((AY29-FT_Y5)/12)+FT_AnnivDays+INT(MOD(AY29-FT_Y5,12)/FT_Int2))),IF(AQ29="PT",IF(AY29&lt;PT_First,0,1+INT((AY29-PT_First)/PT_Int)),0))-IF(AQ29="FT",IF(AX29&lt;FT_First,0,IF(AX29&lt;FT_Y5,1+INT((AX29-FT_First)/FT_Int1),FT_PreY5+FT_PerYear*INT((AX29-FT_Y5)/12)+FT_AnnivDays+INT(MOD(AX29-FT_Y5,12)/FT_Int2))),IF(AQ29="PT",IF(AX29&lt;PT_First,0,1+INT((AX29-PT_First)/PT_Int)),0)),0)+IF(AND(AI29&gt;=3,AL29&lt;=PFYDate),IF(AR29="FT",IF(AW29&lt;FT_First,0,IF(AW29&lt;FT_Y5,1+INT((AW29-FT_First)/FT_Int1),FT_PreY5+FT_PerYear*INT((AW29-FT_Y5)/12)+FT_AnnivDays+INT(MOD(AW29-FT_Y5,12)/FT_Int2))),IF(AR29="PT",IF(AW29&lt;PT_First,0,1+INT((AW29-PT_First)/PT_Int)),0))-IF(AR29="FT",IF(AY29&lt;FT_First,0,IF(AY29&lt;FT_Y5,1+INT((AY29-FT_First)/FT_Int1),FT_PreY5+FT_PerYear*INT((AY29-FT_Y5)/12)+FT_AnnivDays+INT(MOD(AY29-FT_Y5,12)/FT_Int2))),IF(AR29="PT",IF(AY29&lt;PT_First,0,1+INT((AY29-PT_First)/PT_Int)),0)),0))</f>
        <v/>
      </c>
      <c r="BB29" s="14" t="str">
        <f aca="false">IF(AG29=0,"",IF(AS29="FT",IF(AT29&lt;FT_First,FT_First,IF(AT29&lt;FT_Y5,MIN(FT_Y5,FT_First+FT_Int1*(INT((AT29-FT_First)/FT_Int1)+1)),FT_Y5+12*INT((AT29-FT_Y5)/12)+FT_Int2*(INT(MOD(AT29-FT_Y5,12)/FT_Int2)+1))),IF(AS29="PT",IF(AT29&lt;PT_First,PT_First,PT_First+PT_Int*(INT((AT29-PT_First)/PT_Int)+1)),"")))</f>
        <v/>
      </c>
      <c r="BC29" s="14" t="str">
        <f aca="false">IF(AG29=0,"",IF(NOT(LH_Ready),0,COUNTIFS(INDEX(LH_Data,0,LH_ColFirst),$A29,INDEX(LH_Data,0,LH_ColSur),$B29,INDEX(LH_Data,0,LH_ColCat),BonusCat)))</f>
        <v/>
      </c>
      <c r="BD29" s="14" t="str">
        <f aca="false">IF(AG29=0,"",IF(OR(NOT(LH_Ready),BC29=0),0,SUMPRODUCT(MAX((INDEX(LH_Data,0,LH_ColFirst)=$A29)*(INDEX(LH_Data,0,LH_ColSur)=$B29)*(INDEX(LH_Data,0,LH_ColCat)=BonusCat)*ROW(LH_Data)))))</f>
        <v/>
      </c>
      <c r="BE29" s="14" t="str">
        <f aca="false">IF(AG29=0,"",IF(EOMONTH(AsOfDate,-1)&lt;AH29,-1,12*(YEAR(EOMONTH(AsOfDate,-1))-YEAR(AH29))+MONTH(EOMONTH(AsOfDate,-1))-MONTH(AH29)-IF(DAY(EOMONTH(AsOfDate,-1))&lt;MIN(DAY(AH29),DAY(EOMONTH(EOMONTH(AsOfDate,-1),0))),1,0)))</f>
        <v/>
      </c>
      <c r="BF29" s="14" t="str">
        <f aca="false">IF(AG29=0,"",IF(OR(AI29&lt;2,AK29&gt;EOMONTH(AsOfDate,-1)),BE29,IF((AK29-1)&lt;AH29,-1,12*(YEAR((AK29-1))-YEAR(AH29))+MONTH((AK29-1))-MONTH(AH29)-IF(DAY((AK29-1))&lt;MIN(DAY(AH29),DAY(EOMONTH((AK29-1),0))),1,0))))</f>
        <v/>
      </c>
      <c r="BG29" s="14" t="str">
        <f aca="false">IF(AG29=0,"",IF(OR(AI29&lt;3,AL29&gt;EOMONTH(AsOfDate,-1)),BE29,IF((AL29-1)&lt;AH29,-1,12*(YEAR((AL29-1))-YEAR(AH29))+MONTH((AL29-1))-MONTH(AH29)-IF(DAY((AL29-1))&lt;MIN(DAY(AH29),DAY(EOMONTH((AL29-1),0))),1,0))))</f>
        <v/>
      </c>
      <c r="BH29" s="14" t="str">
        <f aca="false">IF(AG29=0,"",IF(AP29="FT",IF(BF29&lt;FT_First,0,IF(BF29&lt;FT_Y5,1+INT((BF29-FT_First)/FT_Int1),FT_PreY5+FT_PerYear*INT((BF29-FT_Y5)/12)+FT_AnnivDays+INT(MOD(BF29-FT_Y5,12)/FT_Int2))),IF(AP29="PT",IF(BF29&lt;PT_First,0,1+INT((BF29-PT_First)/PT_Int)),0))+IF(AND(AI29&gt;=2,AK29&lt;=EOMONTH(AsOfDate,-1)),IF(AQ29="FT",IF(BG29&lt;FT_First,0,IF(BG29&lt;FT_Y5,1+INT((BG29-FT_First)/FT_Int1),FT_PreY5+FT_PerYear*INT((BG29-FT_Y5)/12)+FT_AnnivDays+INT(MOD(BG29-FT_Y5,12)/FT_Int2))),IF(AQ29="PT",IF(BG29&lt;PT_First,0,1+INT((BG29-PT_First)/PT_Int)),0))-IF(AQ29="FT",IF(BF29&lt;FT_First,0,IF(BF29&lt;FT_Y5,1+INT((BF29-FT_First)/FT_Int1),FT_PreY5+FT_PerYear*INT((BF29-FT_Y5)/12)+FT_AnnivDays+INT(MOD(BF29-FT_Y5,12)/FT_Int2))),IF(AQ29="PT",IF(BF29&lt;PT_First,0,1+INT((BF29-PT_First)/PT_Int)),0)),0)+IF(AND(AI29&gt;=3,AL29&lt;=EOMONTH(AsOfDate,-1)),IF(AR29="FT",IF(BE29&lt;FT_First,0,IF(BE29&lt;FT_Y5,1+INT((BE29-FT_First)/FT_Int1),FT_PreY5+FT_PerYear*INT((BE29-FT_Y5)/12)+FT_AnnivDays+INT(MOD(BE29-FT_Y5,12)/FT_Int2))),IF(AR29="PT",IF(BE29&lt;PT_First,0,1+INT((BE29-PT_First)/PT_Int)),0))-IF(AR29="FT",IF(BG29&lt;FT_First,0,IF(BG29&lt;FT_Y5,1+INT((BG29-FT_First)/FT_Int1),FT_PreY5+FT_PerYear*INT((BG29-FT_Y5)/12)+FT_AnnivDays+INT(MOD(BG29-FT_Y5,12)/FT_Int2))),IF(AR29="PT",IF(BG29&lt;PT_First,0,1+INT((BG29-PT_First)/PT_Int)),0)),0))</f>
        <v/>
      </c>
      <c r="BI29" s="14" t="str">
        <f aca="false">IF(AG29=0,"",IF(AS29="FT",IF(AT29&lt;FT_First,"",IF(AT29&lt;FT_Y5,FT_First+FT_Int1*INT((AT29-FT_First)/FT_Int1),FT_Y5+FT_Int2*INT((AT29-FT_Y5)/FT_Int2))),IF(AS29="PT",IF(AT29&lt;PT_First,"",PT_First+PT_Int*INT((AT29-PT_First)/PT_Int)),"")))</f>
        <v/>
      </c>
      <c r="BJ29" s="0" t="str">
        <f aca="false">IF(LEN($A29&amp;$B29)=0,"",$A29&amp;" "&amp;$B29)</f>
        <v/>
      </c>
    </row>
    <row r="30" customFormat="false" ht="15" hidden="false" customHeight="false" outlineLevel="0" collapsed="false">
      <c r="A30" s="10"/>
      <c r="B30" s="10"/>
      <c r="C30" s="10"/>
      <c r="D30" s="11"/>
      <c r="E30" s="12" t="str">
        <f aca="false">IF(OR(AG30=0,$D30=""),"",DATE(YEAR(AsOfDate)+IF(DATE(YEAR(AsOfDate),MONTH($D30),DAY($D30))&lt;=AsOfDate,1,0),MONTH($D30),DAY($D30)))</f>
        <v/>
      </c>
      <c r="F30" s="11"/>
      <c r="G30" s="11"/>
      <c r="H30" s="11"/>
      <c r="I30" s="11"/>
      <c r="J30" s="11"/>
      <c r="K30" s="12" t="str">
        <f aca="false">IF(AG30=0,"",DATE(YEAR(AsOfDate)+IF(DATE(YEAR(AsOfDate),MONTH(AH30),DAY(AH30))&lt;=AsOfDate,1,0),MONTH(AH30),DAY(AH30)))</f>
        <v/>
      </c>
      <c r="L30" s="13" t="str">
        <f aca="false">IF(AG30=0,"",ROUND((AsOfDate-AH30)/365.25,1))</f>
        <v/>
      </c>
      <c r="M30" s="14" t="str">
        <f aca="false">IF(AG30=0,"",IF(AsOfDate&lt;AH30,"-",DATEDIF(AH30,AsOfDate,"y")&amp;"y "&amp;DATEDIF(AH30,AsOfDate,"ym")&amp;"m "&amp;DATEDIF(AH30,AsOfDate,"md")&amp;"d"))</f>
        <v/>
      </c>
      <c r="N30" s="15" t="str">
        <f aca="false">IF(AG30=0,"",O30*HoursPerDay)</f>
        <v/>
      </c>
      <c r="O30" s="15" t="str">
        <f aca="false">IF(AG30=0,"",AZ30)</f>
        <v/>
      </c>
      <c r="P30" s="16"/>
      <c r="Q30" s="14" t="str">
        <f aca="false">IF(AG30=0,"",IF(AI30&lt;2,"",AM30&amp;" to "&amp;AN30&amp;" on "&amp;TEXT(AK30,"dd/mm/yyyy")&amp;IF(AK30&gt;AsOfDate," (future)",IF(AP30=AQ30,"",IF(AQ30="None"," - STOPPED accruing",IF(AP30="None"," - commencement for Bonus Leave"," - pathway changed"))))&amp;IF(AI30&lt;3,"","; "&amp;AN30&amp;" to "&amp;AO30&amp;" on "&amp;TEXT(AL30,"dd/mm/yyyy")&amp;IF(AL30&gt;AsOfDate," (future)",IF(AQ30=AR30,"",IF(AR30="None"," - STOPPED accruing",IF(AQ30="None"," - commencement for Bonus Leave"," - pathway changed")))))))</f>
        <v/>
      </c>
      <c r="R30" s="14" t="str">
        <f aca="false">IF(AG30=0,"",IF(AS30="None",IF(O30&gt;0,"No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2" t="str">
        <f aca="false">IF(AG30=0,"",IF(AS30="None","",EDATE(AH30,BB30)))</f>
        <v/>
      </c>
      <c r="T30" s="15" t="str">
        <f aca="false">IF(AG30=0,"",IF(NOT(LH_Ready),"",IF(AH30&gt;PFYDate,0,IF(LH_ColPeriod=0,W30-U30+V30,SUMIFS(INDEX(LH_Data,0,LH_ColAcc),INDEX(LH_Data,0,LH_ColFirst),$A30,INDEX(LH_Data,0,LH_ColSur),$B30,INDEX(LH_Data,0,LH_ColCat),BonusCat,INDEX(LH_Data,0,LH_ColPeriod),LH_OpenLabel)*UnitFactor))))</f>
        <v/>
      </c>
      <c r="U30" s="15" t="str">
        <f aca="false">IF(AG30=0,"",IF(NOT(LH_Ready),"",SUMIFS(INDEX(LH_Data,0,LH_ColAcc),INDEX(LH_Data,0,LH_ColFirst),$A30,INDEX(LH_Data,0,LH_ColSur),$B30,INDEX(LH_Data,0,LH_ColCat),BonusCat,INDEX(LH_Data,0,LH_ColStart),"&gt;="&amp;AH30)*UnitFactor))</f>
        <v/>
      </c>
      <c r="V30" s="15" t="str">
        <f aca="false">IF(AG30=0,"",IF(NOT(LH_Ready),"",SUMIFS(INDEX(LH_Data,0,LH_ColTaken),INDEX(LH_Data,0,LH_ColFirst),$A30,INDEX(LH_Data,0,LH_ColSur),$B30,INDEX(LH_Data,0,LH_ColCat),BonusCat,INDEX(LH_Data,0,LH_ColStart),"&gt;="&amp;AH30)*UnitFactor))</f>
        <v/>
      </c>
      <c r="W30" s="15" t="str">
        <f aca="false">IF(AG30=0,"",IF(NOT(LH_Ready),"",IF(BD30=0,0,INDEX(INDEX(LH_Data,0,LH_ColClose),BD30-1)*UnitFactor)))</f>
        <v/>
      </c>
      <c r="X30" s="15" t="str">
        <f aca="false">IF(AG30=0,"",(AZ30-BA30)*HoursPerDay)</f>
        <v/>
      </c>
      <c r="Y30" s="15" t="str">
        <f aca="false">IF(AG30=0,"",IF(NOT(LH_Ready),"",IF(BC30=0,N30,IF(PFYDate&lt;$F30,N30-N(T30)-N(U30),X30-N(U30)))))</f>
        <v/>
      </c>
      <c r="Z30" s="14" t="str">
        <f aca="false">IF(OR(AG30=0,Y30=""),"",IF(Y30&gt;0,"Yes","No"))</f>
        <v/>
      </c>
      <c r="AA30" s="14" t="str">
        <f aca="false">IF(AG30=0,IF(LEN($A30&amp;$B30)=0,"","FIX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month")&amp;IF(BC30=0,";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EH)",""),IF(AS30="None",R30,"Not yet - first day on "&amp;TEXT(S30,"dd/mm/yyyy")))))))))</f>
        <v/>
      </c>
      <c r="AB30" s="15" t="str">
        <f aca="false">IF(OR(AG30=0,T30=""),"",BA30*HoursPerDay-T30)</f>
        <v/>
      </c>
      <c r="AC30" s="14" t="str">
        <f aca="false">IF(AG30=0,"",BC30)</f>
        <v/>
      </c>
      <c r="AD30" s="14" t="str">
        <f aca="false">IF(AG30=0,"",TRIM(IF(OR(ISTEXT($F30),ISTEXT($H30),ISTEXT($I30),ISTEXT($G30),ISTEXT($J30),ISTEXT($D30)),"A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I30&gt;=1,IF(AI30&gt;=3,AO30,IF(AI30=2,AN30,AM30))&lt;&gt;IF($C30="","",IF(OR(ISNUMBER(SEARCH("full",$C30)),UPPER(TRIM($C30))="FT",UPPER(TRIM($C30))="FTE"),"Full-Time",IF(OR(ISNUMBER(SEARCH("part",$C30)),UPPER(TRIM($C30))="PT",UPPER(TRIM($C30))="PTE"),"Part-Time",IF(OR(ISNUMBER(SEARCH("cas",$C30)),UPPER(TRIM($C30))="CAS"),"Casual","Unknown"))))),"EmploymentType does not match latest start date ("&amp;IF(AI30&gt;=3,AO30,IF(AI30=2,AN30,AM30))&amp;"). ","")&amp;IF(AND(AI30&gt;=1,AJ30&lt;&gt;$F30),"Earliest type date should equal StartDate. ","")&amp;IF(AND(AI30&gt;=2,AJ30=AK30),"Two types start on the same date. ","")&amp;IF(AND(OR(ISNUMBER(SEARCH("part",$C30)),UPPER(TRIM($C30))="PT",UPPER(TRIM($C30))="PTE"),$P30=""),"Part-time: enter PT Hrs/Week (blank = 24+). ","")))</f>
        <v/>
      </c>
      <c r="AE30" s="15" t="str">
        <f aca="false">IF(AG30=0,"",O30-BH30)</f>
        <v/>
      </c>
      <c r="AF30" s="12" t="str">
        <f aca="false">IF(OR(AG30=0,AE30="",N(AE30)=0,BI30=""),"",EDATE(AH30,BI30))</f>
        <v/>
      </c>
      <c r="AG30" s="14" t="n">
        <f aca="false">IF(OR(LEN($A30&amp;$B30)=0,$F30=""),0,1)</f>
        <v>0</v>
      </c>
      <c r="AH30" s="12" t="str">
        <f aca="false">IF(AG30=0,"",IF($J30&lt;&gt;"",$J30,IF(OR(CasualCounts="Yes",COUNT($G30:$I30)=0,COUNT($H30:$I30)=0),$F30,MIN($H30:$I30))))</f>
        <v/>
      </c>
      <c r="AI30" s="14" t="str">
        <f aca="false">IF(AG30=0,"",COUNT($G30:$I30))</f>
        <v/>
      </c>
      <c r="AJ30" s="12" t="str">
        <f aca="false">IF(AG30=0,"",IFERROR(SMALL($G30:$I30,1),""))</f>
        <v/>
      </c>
      <c r="AK30" s="12" t="str">
        <f aca="false">IF(AG30=0,"",IFERROR(SMALL($G30:$I30,2),""))</f>
        <v/>
      </c>
      <c r="AL30" s="12" t="str">
        <f aca="false">IF(AG30=0,"",IFERROR(SMALL($G30:$I30,3),""))</f>
        <v/>
      </c>
      <c r="AM30" s="14" t="str">
        <f aca="false">IF(AG30=0,"",IF(AJ30="","",IF(AJ30=$H30,"Part-Time",IF(AJ30=$I30,"Full-Time","Casual"))))</f>
        <v/>
      </c>
      <c r="AN30" s="14" t="str">
        <f aca="false">IF(AG30=0,"",IF(AK30="","",IF(AK30=$H30,"Part-Time",IF(AK30=$I30,"Full-Time","Casual"))))</f>
        <v/>
      </c>
      <c r="AO30" s="14" t="str">
        <f aca="false">IF(AG30=0,"",IF(AL30="","",IF(AL30=$H30,"Part-Time",IF(AL30=$I30,"Full-Time","Casual"))))</f>
        <v/>
      </c>
      <c r="AP30" s="14" t="str">
        <f aca="false">IF(AG30=0,"",IF(AI30=0,IF(OR(ISNUMBER(SEARCH("full",$C30)),UPPER(TRIM($C30))="FT",UPPER(TRIM($C30))="FTE"),"FT",IF(AND(OR(ISNUMBER(SEARCH("part",$C30)),UPPER(TRIM($C30))="PT",UPPER(TRIM($C30))="PTE"),OR($P30="",N($P30)&gt;=PT_MinHours)),"PT","None")),IF(OR(ISNUMBER(SEARCH("full",AM30)),UPPER(TRIM(AM30))="FT",UPPER(TRIM(AM30))="FTE"),"FT",IF(AND(OR(ISNUMBER(SEARCH("part",AM30)),UPPER(TRIM(AM30))="PT",UPPER(TRIM(AM30))="PTE"),OR($P30="",N($P30)&gt;=PT_MinHours)),"PT","None"))))</f>
        <v/>
      </c>
      <c r="AQ30" s="14" t="str">
        <f aca="false">IF(AG30=0,"",IF(AI30&lt;2,"",IF(OR(ISNUMBER(SEARCH("full",AN30)),UPPER(TRIM(AN30))="FT",UPPER(TRIM(AN30))="FTE"),"FT",IF(AND(OR(ISNUMBER(SEARCH("part",AN30)),UPPER(TRIM(AN30))="PT",UPPER(TRIM(AN30))="PTE"),OR($P30="",N($P30)&gt;=PT_MinHours)),"PT","None"))))</f>
        <v/>
      </c>
      <c r="AR30" s="14" t="str">
        <f aca="false">IF(AG30=0,"",IF(AI30&lt;3,"",IF(OR(ISNUMBER(SEARCH("full",AO30)),UPPER(TRIM(AO30))="FT",UPPER(TRIM(AO30))="FTE"),"FT",IF(AND(OR(ISNUMBER(SEARCH("part",AO30)),UPPER(TRIM(AO30))="PT",UPPER(TRIM(AO30))="PTE"),OR($P30="",N($P30)&gt;=PT_MinHours)),"PT","None"))))</f>
        <v/>
      </c>
      <c r="AS30" s="14" t="str">
        <f aca="false">IF(AG30=0,"",IF(AND(AI30&gt;=3,AL30&lt;=AsOfDate),AR30,IF(AND(AI30&gt;=2,AK30&lt;=AsOfDate),AQ30,AP30)))</f>
        <v/>
      </c>
      <c r="AT30" s="14" t="str">
        <f aca="false">IF(AG30=0,"",IF(AsOfDate&lt;AH30,-1,12*(YEAR(AsOfDate)-YEAR(AH30))+MONTH(AsOfDate)-MONTH(AH30)-IF(DAY(AsOfDate)&lt;MIN(DAY(AH30),DAY(EOMONTH(AsOfDate,0))),1,0)))</f>
        <v/>
      </c>
      <c r="AU30" s="14" t="str">
        <f aca="false">IF(AG30=0,"",IF(OR(AI30&lt;2,AK30&gt;AsOfDate),AT30,IF((AK30-1)&lt;AH30,-1,12*(YEAR((AK30-1))-YEAR(AH30))+MONTH((AK30-1))-MONTH(AH30)-IF(DAY((AK30-1))&lt;MIN(DAY(AH30),DAY(EOMONTH((AK30-1),0))),1,0))))</f>
        <v/>
      </c>
      <c r="AV30" s="14" t="str">
        <f aca="false">IF(AG30=0,"",IF(OR(AI30&lt;3,AL30&gt;AsOfDate),AT30,IF((AL30-1)&lt;AH30,-1,12*(YEAR((AL30-1))-YEAR(AH30))+MONTH((AL30-1))-MONTH(AH30)-IF(DAY((AL30-1))&lt;MIN(DAY(AH30),DAY(EOMONTH((AL30-1),0))),1,0))))</f>
        <v/>
      </c>
      <c r="AW30" s="14" t="str">
        <f aca="false">IF(AG30=0,"",IF(PFYDate&lt;AH30,-1,12*(YEAR(PFYDate)-YEAR(AH30))+MONTH(PFYDate)-MONTH(AH30)-IF(DAY(PFYDate)&lt;MIN(DAY(AH30),DAY(EOMONTH(PFYDate,0))),1,0)))</f>
        <v/>
      </c>
      <c r="AX30" s="14" t="str">
        <f aca="false">IF(AG30=0,"",IF(OR(AI30&lt;2,AK30&gt;PFYDate),AW30,IF((AK30-1)&lt;AH30,-1,12*(YEAR((AK30-1))-YEAR(AH30))+MONTH((AK30-1))-MONTH(AH30)-IF(DAY((AK30-1))&lt;MIN(DAY(AH30),DAY(EOMONTH((AK30-1),0))),1,0))))</f>
        <v/>
      </c>
      <c r="AY30" s="14" t="str">
        <f aca="false">IF(AG30=0,"",IF(OR(AI30&lt;3,AL30&gt;PFYDate),AW30,IF((AL30-1)&lt;AH30,-1,12*(YEAR((AL30-1))-YEAR(AH30))+MONTH((AL30-1))-MONTH(AH30)-IF(DAY((AL30-1))&lt;MIN(DAY(AH30),DAY(EOMONTH((AL30-1),0))),1,0))))</f>
        <v/>
      </c>
      <c r="AZ30" s="14" t="str">
        <f aca="false">IF(AG30=0,"",IF(AP30="FT",IF(AU30&lt;FT_First,0,IF(AU30&lt;FT_Y5,1+INT((AU30-FT_First)/FT_Int1),FT_PreY5+FT_PerYear*INT((AU30-FT_Y5)/12)+FT_AnnivDays+INT(MOD(AU30-FT_Y5,12)/FT_Int2))),IF(AP30="PT",IF(AU30&lt;PT_First,0,1+INT((AU30-PT_First)/PT_Int)),0))+IF(AND(AI30&gt;=2,AK30&lt;=AsOfDate),IF(AQ30="FT",IF(AV30&lt;FT_First,0,IF(AV30&lt;FT_Y5,1+INT((AV30-FT_First)/FT_Int1),FT_PreY5+FT_PerYear*INT((AV30-FT_Y5)/12)+FT_AnnivDays+INT(MOD(AV30-FT_Y5,12)/FT_Int2))),IF(AQ30="PT",IF(AV30&lt;PT_First,0,1+INT((AV30-PT_First)/PT_Int)),0))-IF(AQ30="FT",IF(AU30&lt;FT_First,0,IF(AU30&lt;FT_Y5,1+INT((AU30-FT_First)/FT_Int1),FT_PreY5+FT_PerYear*INT((AU30-FT_Y5)/12)+FT_AnnivDays+INT(MOD(AU30-FT_Y5,12)/FT_Int2))),IF(AQ30="PT",IF(AU30&lt;PT_First,0,1+INT((AU30-PT_First)/PT_Int)),0)),0)+IF(AND(AI30&gt;=3,AL30&lt;=AsOfDate),IF(AR30="FT",IF(AT30&lt;FT_First,0,IF(AT30&lt;FT_Y5,1+INT((AT30-FT_First)/FT_Int1),FT_PreY5+FT_PerYear*INT((AT30-FT_Y5)/12)+FT_AnnivDays+INT(MOD(AT30-FT_Y5,12)/FT_Int2))),IF(AR30="PT",IF(AT30&lt;PT_First,0,1+INT((AT30-PT_First)/PT_Int)),0))-IF(AR30="FT",IF(AV30&lt;FT_First,0,IF(AV30&lt;FT_Y5,1+INT((AV30-FT_First)/FT_Int1),FT_PreY5+FT_PerYear*INT((AV30-FT_Y5)/12)+FT_AnnivDays+INT(MOD(AV30-FT_Y5,12)/FT_Int2))),IF(AR30="PT",IF(AV30&lt;PT_First,0,1+INT((AV30-PT_First)/PT_Int)),0)),0))</f>
        <v/>
      </c>
      <c r="BA30" s="14" t="str">
        <f aca="false">IF(AG30=0,"",IF(AP30="FT",IF(AX30&lt;FT_First,0,IF(AX30&lt;FT_Y5,1+INT((AX30-FT_First)/FT_Int1),FT_PreY5+FT_PerYear*INT((AX30-FT_Y5)/12)+FT_AnnivDays+INT(MOD(AX30-FT_Y5,12)/FT_Int2))),IF(AP30="PT",IF(AX30&lt;PT_First,0,1+INT((AX30-PT_First)/PT_Int)),0))+IF(AND(AI30&gt;=2,AK30&lt;=PFYDate),IF(AQ30="FT",IF(AY30&lt;FT_First,0,IF(AY30&lt;FT_Y5,1+INT((AY30-FT_First)/FT_Int1),FT_PreY5+FT_PerYear*INT((AY30-FT_Y5)/12)+FT_AnnivDays+INT(MOD(AY30-FT_Y5,12)/FT_Int2))),IF(AQ30="PT",IF(AY30&lt;PT_First,0,1+INT((AY30-PT_First)/PT_Int)),0))-IF(AQ30="FT",IF(AX30&lt;FT_First,0,IF(AX30&lt;FT_Y5,1+INT((AX30-FT_First)/FT_Int1),FT_PreY5+FT_PerYear*INT((AX30-FT_Y5)/12)+FT_AnnivDays+INT(MOD(AX30-FT_Y5,12)/FT_Int2))),IF(AQ30="PT",IF(AX30&lt;PT_First,0,1+INT((AX30-PT_First)/PT_Int)),0)),0)+IF(AND(AI30&gt;=3,AL30&lt;=PFYDate),IF(AR30="FT",IF(AW30&lt;FT_First,0,IF(AW30&lt;FT_Y5,1+INT((AW30-FT_First)/FT_Int1),FT_PreY5+FT_PerYear*INT((AW30-FT_Y5)/12)+FT_AnnivDays+INT(MOD(AW30-FT_Y5,12)/FT_Int2))),IF(AR30="PT",IF(AW30&lt;PT_First,0,1+INT((AW30-PT_First)/PT_Int)),0))-IF(AR30="FT",IF(AY30&lt;FT_First,0,IF(AY30&lt;FT_Y5,1+INT((AY30-FT_First)/FT_Int1),FT_PreY5+FT_PerYear*INT((AY30-FT_Y5)/12)+FT_AnnivDays+INT(MOD(AY30-FT_Y5,12)/FT_Int2))),IF(AR30="PT",IF(AY30&lt;PT_First,0,1+INT((AY30-PT_First)/PT_Int)),0)),0))</f>
        <v/>
      </c>
      <c r="BB30" s="14" t="str">
        <f aca="false">IF(AG30=0,"",IF(AS30="FT",IF(AT30&lt;FT_First,FT_First,IF(AT30&lt;FT_Y5,MIN(FT_Y5,FT_First+FT_Int1*(INT((AT30-FT_First)/FT_Int1)+1)),FT_Y5+12*INT((AT30-FT_Y5)/12)+FT_Int2*(INT(MOD(AT30-FT_Y5,12)/FT_Int2)+1))),IF(AS30="PT",IF(AT30&lt;PT_First,PT_First,PT_First+PT_Int*(INT((AT30-PT_First)/PT_Int)+1)),"")))</f>
        <v/>
      </c>
      <c r="BC30" s="14" t="str">
        <f aca="false">IF(AG30=0,"",IF(NOT(LH_Ready),0,COUNTIFS(INDEX(LH_Data,0,LH_ColFirst),$A30,INDEX(LH_Data,0,LH_ColSur),$B30,INDEX(LH_Data,0,LH_ColCat),BonusCat)))</f>
        <v/>
      </c>
      <c r="BD30" s="14" t="str">
        <f aca="false">IF(AG30=0,"",IF(OR(NOT(LH_Ready),BC30=0),0,SUMPRODUCT(MAX((INDEX(LH_Data,0,LH_ColFirst)=$A30)*(INDEX(LH_Data,0,LH_ColSur)=$B30)*(INDEX(LH_Data,0,LH_ColCat)=BonusCat)*ROW(LH_Data)))))</f>
        <v/>
      </c>
      <c r="BE30" s="14" t="str">
        <f aca="false">IF(AG30=0,"",IF(EOMONTH(AsOfDate,-1)&lt;AH30,-1,12*(YEAR(EOMONTH(AsOfDate,-1))-YEAR(AH30))+MONTH(EOMONTH(AsOfDate,-1))-MONTH(AH30)-IF(DAY(EOMONTH(AsOfDate,-1))&lt;MIN(DAY(AH30),DAY(EOMONTH(EOMONTH(AsOfDate,-1),0))),1,0)))</f>
        <v/>
      </c>
      <c r="BF30" s="14" t="str">
        <f aca="false">IF(AG30=0,"",IF(OR(AI30&lt;2,AK30&gt;EOMONTH(AsOfDate,-1)),BE30,IF((AK30-1)&lt;AH30,-1,12*(YEAR((AK30-1))-YEAR(AH30))+MONTH((AK30-1))-MONTH(AH30)-IF(DAY((AK30-1))&lt;MIN(DAY(AH30),DAY(EOMONTH((AK30-1),0))),1,0))))</f>
        <v/>
      </c>
      <c r="BG30" s="14" t="str">
        <f aca="false">IF(AG30=0,"",IF(OR(AI30&lt;3,AL30&gt;EOMONTH(AsOfDate,-1)),BE30,IF((AL30-1)&lt;AH30,-1,12*(YEAR((AL30-1))-YEAR(AH30))+MONTH((AL30-1))-MONTH(AH30)-IF(DAY((AL30-1))&lt;MIN(DAY(AH30),DAY(EOMONTH((AL30-1),0))),1,0))))</f>
        <v/>
      </c>
      <c r="BH30" s="14" t="str">
        <f aca="false">IF(AG30=0,"",IF(AP30="FT",IF(BF30&lt;FT_First,0,IF(BF30&lt;FT_Y5,1+INT((BF30-FT_First)/FT_Int1),FT_PreY5+FT_PerYear*INT((BF30-FT_Y5)/12)+FT_AnnivDays+INT(MOD(BF30-FT_Y5,12)/FT_Int2))),IF(AP30="PT",IF(BF30&lt;PT_First,0,1+INT((BF30-PT_First)/PT_Int)),0))+IF(AND(AI30&gt;=2,AK30&lt;=EOMONTH(AsOfDate,-1)),IF(AQ30="FT",IF(BG30&lt;FT_First,0,IF(BG30&lt;FT_Y5,1+INT((BG30-FT_First)/FT_Int1),FT_PreY5+FT_PerYear*INT((BG30-FT_Y5)/12)+FT_AnnivDays+INT(MOD(BG30-FT_Y5,12)/FT_Int2))),IF(AQ30="PT",IF(BG30&lt;PT_First,0,1+INT((BG30-PT_First)/PT_Int)),0))-IF(AQ30="FT",IF(BF30&lt;FT_First,0,IF(BF30&lt;FT_Y5,1+INT((BF30-FT_First)/FT_Int1),FT_PreY5+FT_PerYear*INT((BF30-FT_Y5)/12)+FT_AnnivDays+INT(MOD(BF30-FT_Y5,12)/FT_Int2))),IF(AQ30="PT",IF(BF30&lt;PT_First,0,1+INT((BF30-PT_First)/PT_Int)),0)),0)+IF(AND(AI30&gt;=3,AL30&lt;=EOMONTH(AsOfDate,-1)),IF(AR30="FT",IF(BE30&lt;FT_First,0,IF(BE30&lt;FT_Y5,1+INT((BE30-FT_First)/FT_Int1),FT_PreY5+FT_PerYear*INT((BE30-FT_Y5)/12)+FT_AnnivDays+INT(MOD(BE30-FT_Y5,12)/FT_Int2))),IF(AR30="PT",IF(BE30&lt;PT_First,0,1+INT((BE30-PT_First)/PT_Int)),0))-IF(AR30="FT",IF(BG30&lt;FT_First,0,IF(BG30&lt;FT_Y5,1+INT((BG30-FT_First)/FT_Int1),FT_PreY5+FT_PerYear*INT((BG30-FT_Y5)/12)+FT_AnnivDays+INT(MOD(BG30-FT_Y5,12)/FT_Int2))),IF(AR30="PT",IF(BG30&lt;PT_First,0,1+INT((BG30-PT_First)/PT_Int)),0)),0))</f>
        <v/>
      </c>
      <c r="BI30" s="14" t="str">
        <f aca="false">IF(AG30=0,"",IF(AS30="FT",IF(AT30&lt;FT_First,"",IF(AT30&lt;FT_Y5,FT_First+FT_Int1*INT((AT30-FT_First)/FT_Int1),FT_Y5+FT_Int2*INT((AT30-FT_Y5)/FT_Int2))),IF(AS30="PT",IF(AT30&lt;PT_First,"",PT_First+PT_Int*INT((AT30-PT_First)/PT_Int)),"")))</f>
        <v/>
      </c>
      <c r="BJ30" s="0" t="str">
        <f aca="false">IF(LEN($A30&amp;$B30)=0,"",$A30&amp;" "&amp;$B30)</f>
        <v/>
      </c>
    </row>
    <row r="31" customFormat="false" ht="15" hidden="false" customHeight="false" outlineLevel="0" collapsed="false">
      <c r="A31" s="10"/>
      <c r="B31" s="10"/>
      <c r="C31" s="10"/>
      <c r="D31" s="11"/>
      <c r="E31" s="12" t="str">
        <f aca="false">IF(OR(AG31=0,$D31=""),"",DATE(YEAR(AsOfDate)+IF(DATE(YEAR(AsOfDate),MONTH($D31),DAY($D31))&lt;=AsOfDate,1,0),MONTH($D31),DAY($D31)))</f>
        <v/>
      </c>
      <c r="F31" s="11"/>
      <c r="G31" s="11"/>
      <c r="H31" s="11"/>
      <c r="I31" s="11"/>
      <c r="J31" s="11"/>
      <c r="K31" s="12" t="str">
        <f aca="false">IF(AG31=0,"",DATE(YEAR(AsOfDate)+IF(DATE(YEAR(AsOfDate),MONTH(AH31),DAY(AH31))&lt;=AsOfDate,1,0),MONTH(AH31),DAY(AH31)))</f>
        <v/>
      </c>
      <c r="L31" s="13" t="str">
        <f aca="false">IF(AG31=0,"",ROUND((AsOfDate-AH31)/365.25,1))</f>
        <v/>
      </c>
      <c r="M31" s="14" t="str">
        <f aca="false">IF(AG31=0,"",IF(AsOfDate&lt;AH31,"-",DATEDIF(AH31,AsOfDate,"y")&amp;"y "&amp;DATEDIF(AH31,AsOfDate,"ym")&amp;"m "&amp;DATEDIF(AH31,AsOfDate,"md")&amp;"d"))</f>
        <v/>
      </c>
      <c r="N31" s="15" t="str">
        <f aca="false">IF(AG31=0,"",O31*HoursPerDay)</f>
        <v/>
      </c>
      <c r="O31" s="15" t="str">
        <f aca="false">IF(AG31=0,"",AZ31)</f>
        <v/>
      </c>
      <c r="P31" s="16"/>
      <c r="Q31" s="14" t="str">
        <f aca="false">IF(AG31=0,"",IF(AI31&lt;2,"",AM31&amp;" to "&amp;AN31&amp;" on "&amp;TEXT(AK31,"dd/mm/yyyy")&amp;IF(AK31&gt;AsOfDate," (future)",IF(AP31=AQ31,"",IF(AQ31="None"," - STOPPED accruing",IF(AP31="None"," - commencement for Bonus Leave"," - pathway changed"))))&amp;IF(AI31&lt;3,"","; "&amp;AN31&amp;" to "&amp;AO31&amp;" on "&amp;TEXT(AL31,"dd/mm/yyyy")&amp;IF(AL31&gt;AsOfDate," (future)",IF(AQ31=AR31,"",IF(AR31="None"," - STOPPED accruing",IF(AQ31="None"," - commencement for Bonus Leave"," - pathway changed")))))))</f>
        <v/>
      </c>
      <c r="R31" s="14" t="str">
        <f aca="false">IF(AG31=0,"",IF(AS31="None",IF(O31&gt;0,"No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2" t="str">
        <f aca="false">IF(AG31=0,"",IF(AS31="None","",EDATE(AH31,BB31)))</f>
        <v/>
      </c>
      <c r="T31" s="15" t="str">
        <f aca="false">IF(AG31=0,"",IF(NOT(LH_Ready),"",IF(AH31&gt;PFYDate,0,IF(LH_ColPeriod=0,W31-U31+V31,SUMIFS(INDEX(LH_Data,0,LH_ColAcc),INDEX(LH_Data,0,LH_ColFirst),$A31,INDEX(LH_Data,0,LH_ColSur),$B31,INDEX(LH_Data,0,LH_ColCat),BonusCat,INDEX(LH_Data,0,LH_ColPeriod),LH_OpenLabel)*UnitFactor))))</f>
        <v/>
      </c>
      <c r="U31" s="15" t="str">
        <f aca="false">IF(AG31=0,"",IF(NOT(LH_Ready),"",SUMIFS(INDEX(LH_Data,0,LH_ColAcc),INDEX(LH_Data,0,LH_ColFirst),$A31,INDEX(LH_Data,0,LH_ColSur),$B31,INDEX(LH_Data,0,LH_ColCat),BonusCat,INDEX(LH_Data,0,LH_ColStart),"&gt;="&amp;AH31)*UnitFactor))</f>
        <v/>
      </c>
      <c r="V31" s="15" t="str">
        <f aca="false">IF(AG31=0,"",IF(NOT(LH_Ready),"",SUMIFS(INDEX(LH_Data,0,LH_ColTaken),INDEX(LH_Data,0,LH_ColFirst),$A31,INDEX(LH_Data,0,LH_ColSur),$B31,INDEX(LH_Data,0,LH_ColCat),BonusCat,INDEX(LH_Data,0,LH_ColStart),"&gt;="&amp;AH31)*UnitFactor))</f>
        <v/>
      </c>
      <c r="W31" s="15" t="str">
        <f aca="false">IF(AG31=0,"",IF(NOT(LH_Ready),"",IF(BD31=0,0,INDEX(INDEX(LH_Data,0,LH_ColClose),BD31-1)*UnitFactor)))</f>
        <v/>
      </c>
      <c r="X31" s="15" t="str">
        <f aca="false">IF(AG31=0,"",(AZ31-BA31)*HoursPerDay)</f>
        <v/>
      </c>
      <c r="Y31" s="15" t="str">
        <f aca="false">IF(AG31=0,"",IF(NOT(LH_Ready),"",IF(BC31=0,N31,IF(PFYDate&lt;$F31,N31-N(T31)-N(U31),X31-N(U31)))))</f>
        <v/>
      </c>
      <c r="Z31" s="14" t="str">
        <f aca="false">IF(OR(AG31=0,Y31=""),"",IF(Y31&gt;0,"Yes","No"))</f>
        <v/>
      </c>
      <c r="AA31" s="14" t="str">
        <f aca="false">IF(AG31=0,IF(LEN($A31&amp;$B31)=0,"","FIX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month")&amp;IF(BC31=0,";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EH)",""),IF(AS31="None",R31,"Not yet - first day on "&amp;TEXT(S31,"dd/mm/yyyy")))))))))</f>
        <v/>
      </c>
      <c r="AB31" s="15" t="str">
        <f aca="false">IF(OR(AG31=0,T31=""),"",BA31*HoursPerDay-T31)</f>
        <v/>
      </c>
      <c r="AC31" s="14" t="str">
        <f aca="false">IF(AG31=0,"",BC31)</f>
        <v/>
      </c>
      <c r="AD31" s="14" t="str">
        <f aca="false">IF(AG31=0,"",TRIM(IF(OR(ISTEXT($F31),ISTEXT($H31),ISTEXT($I31),ISTEXT($G31),ISTEXT($J31),ISTEXT($D31)),"A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I31&gt;=1,IF(AI31&gt;=3,AO31,IF(AI31=2,AN31,AM31))&lt;&gt;IF($C31="","",IF(OR(ISNUMBER(SEARCH("full",$C31)),UPPER(TRIM($C31))="FT",UPPER(TRIM($C31))="FTE"),"Full-Time",IF(OR(ISNUMBER(SEARCH("part",$C31)),UPPER(TRIM($C31))="PT",UPPER(TRIM($C31))="PTE"),"Part-Time",IF(OR(ISNUMBER(SEARCH("cas",$C31)),UPPER(TRIM($C31))="CAS"),"Casual","Unknown"))))),"EmploymentType does not match latest start date ("&amp;IF(AI31&gt;=3,AO31,IF(AI31=2,AN31,AM31))&amp;"). ","")&amp;IF(AND(AI31&gt;=1,AJ31&lt;&gt;$F31),"Earliest type date should equal StartDate. ","")&amp;IF(AND(AI31&gt;=2,AJ31=AK31),"Two types start on the same date. ","")&amp;IF(AND(OR(ISNUMBER(SEARCH("part",$C31)),UPPER(TRIM($C31))="PT",UPPER(TRIM($C31))="PTE"),$P31=""),"Part-time: enter PT Hrs/Week (blank = 24+). ","")))</f>
        <v/>
      </c>
      <c r="AE31" s="15" t="str">
        <f aca="false">IF(AG31=0,"",O31-BH31)</f>
        <v/>
      </c>
      <c r="AF31" s="12" t="str">
        <f aca="false">IF(OR(AG31=0,AE31="",N(AE31)=0,BI31=""),"",EDATE(AH31,BI31))</f>
        <v/>
      </c>
      <c r="AG31" s="14" t="n">
        <f aca="false">IF(OR(LEN($A31&amp;$B31)=0,$F31=""),0,1)</f>
        <v>0</v>
      </c>
      <c r="AH31" s="12" t="str">
        <f aca="false">IF(AG31=0,"",IF($J31&lt;&gt;"",$J31,IF(OR(CasualCounts="Yes",COUNT($G31:$I31)=0,COUNT($H31:$I31)=0),$F31,MIN($H31:$I31))))</f>
        <v/>
      </c>
      <c r="AI31" s="14" t="str">
        <f aca="false">IF(AG31=0,"",COUNT($G31:$I31))</f>
        <v/>
      </c>
      <c r="AJ31" s="12" t="str">
        <f aca="false">IF(AG31=0,"",IFERROR(SMALL($G31:$I31,1),""))</f>
        <v/>
      </c>
      <c r="AK31" s="12" t="str">
        <f aca="false">IF(AG31=0,"",IFERROR(SMALL($G31:$I31,2),""))</f>
        <v/>
      </c>
      <c r="AL31" s="12" t="str">
        <f aca="false">IF(AG31=0,"",IFERROR(SMALL($G31:$I31,3),""))</f>
        <v/>
      </c>
      <c r="AM31" s="14" t="str">
        <f aca="false">IF(AG31=0,"",IF(AJ31="","",IF(AJ31=$H31,"Part-Time",IF(AJ31=$I31,"Full-Time","Casual"))))</f>
        <v/>
      </c>
      <c r="AN31" s="14" t="str">
        <f aca="false">IF(AG31=0,"",IF(AK31="","",IF(AK31=$H31,"Part-Time",IF(AK31=$I31,"Full-Time","Casual"))))</f>
        <v/>
      </c>
      <c r="AO31" s="14" t="str">
        <f aca="false">IF(AG31=0,"",IF(AL31="","",IF(AL31=$H31,"Part-Time",IF(AL31=$I31,"Full-Time","Casual"))))</f>
        <v/>
      </c>
      <c r="AP31" s="14" t="str">
        <f aca="false">IF(AG31=0,"",IF(AI31=0,IF(OR(ISNUMBER(SEARCH("full",$C31)),UPPER(TRIM($C31))="FT",UPPER(TRIM($C31))="FTE"),"FT",IF(AND(OR(ISNUMBER(SEARCH("part",$C31)),UPPER(TRIM($C31))="PT",UPPER(TRIM($C31))="PTE"),OR($P31="",N($P31)&gt;=PT_MinHours)),"PT","None")),IF(OR(ISNUMBER(SEARCH("full",AM31)),UPPER(TRIM(AM31))="FT",UPPER(TRIM(AM31))="FTE"),"FT",IF(AND(OR(ISNUMBER(SEARCH("part",AM31)),UPPER(TRIM(AM31))="PT",UPPER(TRIM(AM31))="PTE"),OR($P31="",N($P31)&gt;=PT_MinHours)),"PT","None"))))</f>
        <v/>
      </c>
      <c r="AQ31" s="14" t="str">
        <f aca="false">IF(AG31=0,"",IF(AI31&lt;2,"",IF(OR(ISNUMBER(SEARCH("full",AN31)),UPPER(TRIM(AN31))="FT",UPPER(TRIM(AN31))="FTE"),"FT",IF(AND(OR(ISNUMBER(SEARCH("part",AN31)),UPPER(TRIM(AN31))="PT",UPPER(TRIM(AN31))="PTE"),OR($P31="",N($P31)&gt;=PT_MinHours)),"PT","None"))))</f>
        <v/>
      </c>
      <c r="AR31" s="14" t="str">
        <f aca="false">IF(AG31=0,"",IF(AI31&lt;3,"",IF(OR(ISNUMBER(SEARCH("full",AO31)),UPPER(TRIM(AO31))="FT",UPPER(TRIM(AO31))="FTE"),"FT",IF(AND(OR(ISNUMBER(SEARCH("part",AO31)),UPPER(TRIM(AO31))="PT",UPPER(TRIM(AO31))="PTE"),OR($P31="",N($P31)&gt;=PT_MinHours)),"PT","None"))))</f>
        <v/>
      </c>
      <c r="AS31" s="14" t="str">
        <f aca="false">IF(AG31=0,"",IF(AND(AI31&gt;=3,AL31&lt;=AsOfDate),AR31,IF(AND(AI31&gt;=2,AK31&lt;=AsOfDate),AQ31,AP31)))</f>
        <v/>
      </c>
      <c r="AT31" s="14" t="str">
        <f aca="false">IF(AG31=0,"",IF(AsOfDate&lt;AH31,-1,12*(YEAR(AsOfDate)-YEAR(AH31))+MONTH(AsOfDate)-MONTH(AH31)-IF(DAY(AsOfDate)&lt;MIN(DAY(AH31),DAY(EOMONTH(AsOfDate,0))),1,0)))</f>
        <v/>
      </c>
      <c r="AU31" s="14" t="str">
        <f aca="false">IF(AG31=0,"",IF(OR(AI31&lt;2,AK31&gt;AsOfDate),AT31,IF((AK31-1)&lt;AH31,-1,12*(YEAR((AK31-1))-YEAR(AH31))+MONTH((AK31-1))-MONTH(AH31)-IF(DAY((AK31-1))&lt;MIN(DAY(AH31),DAY(EOMONTH((AK31-1),0))),1,0))))</f>
        <v/>
      </c>
      <c r="AV31" s="14" t="str">
        <f aca="false">IF(AG31=0,"",IF(OR(AI31&lt;3,AL31&gt;AsOfDate),AT31,IF((AL31-1)&lt;AH31,-1,12*(YEAR((AL31-1))-YEAR(AH31))+MONTH((AL31-1))-MONTH(AH31)-IF(DAY((AL31-1))&lt;MIN(DAY(AH31),DAY(EOMONTH((AL31-1),0))),1,0))))</f>
        <v/>
      </c>
      <c r="AW31" s="14" t="str">
        <f aca="false">IF(AG31=0,"",IF(PFYDate&lt;AH31,-1,12*(YEAR(PFYDate)-YEAR(AH31))+MONTH(PFYDate)-MONTH(AH31)-IF(DAY(PFYDate)&lt;MIN(DAY(AH31),DAY(EOMONTH(PFYDate,0))),1,0)))</f>
        <v/>
      </c>
      <c r="AX31" s="14" t="str">
        <f aca="false">IF(AG31=0,"",IF(OR(AI31&lt;2,AK31&gt;PFYDate),AW31,IF((AK31-1)&lt;AH31,-1,12*(YEAR((AK31-1))-YEAR(AH31))+MONTH((AK31-1))-MONTH(AH31)-IF(DAY((AK31-1))&lt;MIN(DAY(AH31),DAY(EOMONTH((AK31-1),0))),1,0))))</f>
        <v/>
      </c>
      <c r="AY31" s="14" t="str">
        <f aca="false">IF(AG31=0,"",IF(OR(AI31&lt;3,AL31&gt;PFYDate),AW31,IF((AL31-1)&lt;AH31,-1,12*(YEAR((AL31-1))-YEAR(AH31))+MONTH((AL31-1))-MONTH(AH31)-IF(DAY((AL31-1))&lt;MIN(DAY(AH31),DAY(EOMONTH((AL31-1),0))),1,0))))</f>
        <v/>
      </c>
      <c r="AZ31" s="14" t="str">
        <f aca="false">IF(AG31=0,"",IF(AP31="FT",IF(AU31&lt;FT_First,0,IF(AU31&lt;FT_Y5,1+INT((AU31-FT_First)/FT_Int1),FT_PreY5+FT_PerYear*INT((AU31-FT_Y5)/12)+FT_AnnivDays+INT(MOD(AU31-FT_Y5,12)/FT_Int2))),IF(AP31="PT",IF(AU31&lt;PT_First,0,1+INT((AU31-PT_First)/PT_Int)),0))+IF(AND(AI31&gt;=2,AK31&lt;=AsOfDate),IF(AQ31="FT",IF(AV31&lt;FT_First,0,IF(AV31&lt;FT_Y5,1+INT((AV31-FT_First)/FT_Int1),FT_PreY5+FT_PerYear*INT((AV31-FT_Y5)/12)+FT_AnnivDays+INT(MOD(AV31-FT_Y5,12)/FT_Int2))),IF(AQ31="PT",IF(AV31&lt;PT_First,0,1+INT((AV31-PT_First)/PT_Int)),0))-IF(AQ31="FT",IF(AU31&lt;FT_First,0,IF(AU31&lt;FT_Y5,1+INT((AU31-FT_First)/FT_Int1),FT_PreY5+FT_PerYear*INT((AU31-FT_Y5)/12)+FT_AnnivDays+INT(MOD(AU31-FT_Y5,12)/FT_Int2))),IF(AQ31="PT",IF(AU31&lt;PT_First,0,1+INT((AU31-PT_First)/PT_Int)),0)),0)+IF(AND(AI31&gt;=3,AL31&lt;=AsOfDate),IF(AR31="FT",IF(AT31&lt;FT_First,0,IF(AT31&lt;FT_Y5,1+INT((AT31-FT_First)/FT_Int1),FT_PreY5+FT_PerYear*INT((AT31-FT_Y5)/12)+FT_AnnivDays+INT(MOD(AT31-FT_Y5,12)/FT_Int2))),IF(AR31="PT",IF(AT31&lt;PT_First,0,1+INT((AT31-PT_First)/PT_Int)),0))-IF(AR31="FT",IF(AV31&lt;FT_First,0,IF(AV31&lt;FT_Y5,1+INT((AV31-FT_First)/FT_Int1),FT_PreY5+FT_PerYear*INT((AV31-FT_Y5)/12)+FT_AnnivDays+INT(MOD(AV31-FT_Y5,12)/FT_Int2))),IF(AR31="PT",IF(AV31&lt;PT_First,0,1+INT((AV31-PT_First)/PT_Int)),0)),0))</f>
        <v/>
      </c>
      <c r="BA31" s="14" t="str">
        <f aca="false">IF(AG31=0,"",IF(AP31="FT",IF(AX31&lt;FT_First,0,IF(AX31&lt;FT_Y5,1+INT((AX31-FT_First)/FT_Int1),FT_PreY5+FT_PerYear*INT((AX31-FT_Y5)/12)+FT_AnnivDays+INT(MOD(AX31-FT_Y5,12)/FT_Int2))),IF(AP31="PT",IF(AX31&lt;PT_First,0,1+INT((AX31-PT_First)/PT_Int)),0))+IF(AND(AI31&gt;=2,AK31&lt;=PFYDate),IF(AQ31="FT",IF(AY31&lt;FT_First,0,IF(AY31&lt;FT_Y5,1+INT((AY31-FT_First)/FT_Int1),FT_PreY5+FT_PerYear*INT((AY31-FT_Y5)/12)+FT_AnnivDays+INT(MOD(AY31-FT_Y5,12)/FT_Int2))),IF(AQ31="PT",IF(AY31&lt;PT_First,0,1+INT((AY31-PT_First)/PT_Int)),0))-IF(AQ31="FT",IF(AX31&lt;FT_First,0,IF(AX31&lt;FT_Y5,1+INT((AX31-FT_First)/FT_Int1),FT_PreY5+FT_PerYear*INT((AX31-FT_Y5)/12)+FT_AnnivDays+INT(MOD(AX31-FT_Y5,12)/FT_Int2))),IF(AQ31="PT",IF(AX31&lt;PT_First,0,1+INT((AX31-PT_First)/PT_Int)),0)),0)+IF(AND(AI31&gt;=3,AL31&lt;=PFYDate),IF(AR31="FT",IF(AW31&lt;FT_First,0,IF(AW31&lt;FT_Y5,1+INT((AW31-FT_First)/FT_Int1),FT_PreY5+FT_PerYear*INT((AW31-FT_Y5)/12)+FT_AnnivDays+INT(MOD(AW31-FT_Y5,12)/FT_Int2))),IF(AR31="PT",IF(AW31&lt;PT_First,0,1+INT((AW31-PT_First)/PT_Int)),0))-IF(AR31="FT",IF(AY31&lt;FT_First,0,IF(AY31&lt;FT_Y5,1+INT((AY31-FT_First)/FT_Int1),FT_PreY5+FT_PerYear*INT((AY31-FT_Y5)/12)+FT_AnnivDays+INT(MOD(AY31-FT_Y5,12)/FT_Int2))),IF(AR31="PT",IF(AY31&lt;PT_First,0,1+INT((AY31-PT_First)/PT_Int)),0)),0))</f>
        <v/>
      </c>
      <c r="BB31" s="14" t="str">
        <f aca="false">IF(AG31=0,"",IF(AS31="FT",IF(AT31&lt;FT_First,FT_First,IF(AT31&lt;FT_Y5,MIN(FT_Y5,FT_First+FT_Int1*(INT((AT31-FT_First)/FT_Int1)+1)),FT_Y5+12*INT((AT31-FT_Y5)/12)+FT_Int2*(INT(MOD(AT31-FT_Y5,12)/FT_Int2)+1))),IF(AS31="PT",IF(AT31&lt;PT_First,PT_First,PT_First+PT_Int*(INT((AT31-PT_First)/PT_Int)+1)),"")))</f>
        <v/>
      </c>
      <c r="BC31" s="14" t="str">
        <f aca="false">IF(AG31=0,"",IF(NOT(LH_Ready),0,COUNTIFS(INDEX(LH_Data,0,LH_ColFirst),$A31,INDEX(LH_Data,0,LH_ColSur),$B31,INDEX(LH_Data,0,LH_ColCat),BonusCat)))</f>
        <v/>
      </c>
      <c r="BD31" s="14" t="str">
        <f aca="false">IF(AG31=0,"",IF(OR(NOT(LH_Ready),BC31=0),0,SUMPRODUCT(MAX((INDEX(LH_Data,0,LH_ColFirst)=$A31)*(INDEX(LH_Data,0,LH_ColSur)=$B31)*(INDEX(LH_Data,0,LH_ColCat)=BonusCat)*ROW(LH_Data)))))</f>
        <v/>
      </c>
      <c r="BE31" s="14" t="str">
        <f aca="false">IF(AG31=0,"",IF(EOMONTH(AsOfDate,-1)&lt;AH31,-1,12*(YEAR(EOMONTH(AsOfDate,-1))-YEAR(AH31))+MONTH(EOMONTH(AsOfDate,-1))-MONTH(AH31)-IF(DAY(EOMONTH(AsOfDate,-1))&lt;MIN(DAY(AH31),DAY(EOMONTH(EOMONTH(AsOfDate,-1),0))),1,0)))</f>
        <v/>
      </c>
      <c r="BF31" s="14" t="str">
        <f aca="false">IF(AG31=0,"",IF(OR(AI31&lt;2,AK31&gt;EOMONTH(AsOfDate,-1)),BE31,IF((AK31-1)&lt;AH31,-1,12*(YEAR((AK31-1))-YEAR(AH31))+MONTH((AK31-1))-MONTH(AH31)-IF(DAY((AK31-1))&lt;MIN(DAY(AH31),DAY(EOMONTH((AK31-1),0))),1,0))))</f>
        <v/>
      </c>
      <c r="BG31" s="14" t="str">
        <f aca="false">IF(AG31=0,"",IF(OR(AI31&lt;3,AL31&gt;EOMONTH(AsOfDate,-1)),BE31,IF((AL31-1)&lt;AH31,-1,12*(YEAR((AL31-1))-YEAR(AH31))+MONTH((AL31-1))-MONTH(AH31)-IF(DAY((AL31-1))&lt;MIN(DAY(AH31),DAY(EOMONTH((AL31-1),0))),1,0))))</f>
        <v/>
      </c>
      <c r="BH31" s="14" t="str">
        <f aca="false">IF(AG31=0,"",IF(AP31="FT",IF(BF31&lt;FT_First,0,IF(BF31&lt;FT_Y5,1+INT((BF31-FT_First)/FT_Int1),FT_PreY5+FT_PerYear*INT((BF31-FT_Y5)/12)+FT_AnnivDays+INT(MOD(BF31-FT_Y5,12)/FT_Int2))),IF(AP31="PT",IF(BF31&lt;PT_First,0,1+INT((BF31-PT_First)/PT_Int)),0))+IF(AND(AI31&gt;=2,AK31&lt;=EOMONTH(AsOfDate,-1)),IF(AQ31="FT",IF(BG31&lt;FT_First,0,IF(BG31&lt;FT_Y5,1+INT((BG31-FT_First)/FT_Int1),FT_PreY5+FT_PerYear*INT((BG31-FT_Y5)/12)+FT_AnnivDays+INT(MOD(BG31-FT_Y5,12)/FT_Int2))),IF(AQ31="PT",IF(BG31&lt;PT_First,0,1+INT((BG31-PT_First)/PT_Int)),0))-IF(AQ31="FT",IF(BF31&lt;FT_First,0,IF(BF31&lt;FT_Y5,1+INT((BF31-FT_First)/FT_Int1),FT_PreY5+FT_PerYear*INT((BF31-FT_Y5)/12)+FT_AnnivDays+INT(MOD(BF31-FT_Y5,12)/FT_Int2))),IF(AQ31="PT",IF(BF31&lt;PT_First,0,1+INT((BF31-PT_First)/PT_Int)),0)),0)+IF(AND(AI31&gt;=3,AL31&lt;=EOMONTH(AsOfDate,-1)),IF(AR31="FT",IF(BE31&lt;FT_First,0,IF(BE31&lt;FT_Y5,1+INT((BE31-FT_First)/FT_Int1),FT_PreY5+FT_PerYear*INT((BE31-FT_Y5)/12)+FT_AnnivDays+INT(MOD(BE31-FT_Y5,12)/FT_Int2))),IF(AR31="PT",IF(BE31&lt;PT_First,0,1+INT((BE31-PT_First)/PT_Int)),0))-IF(AR31="FT",IF(BG31&lt;FT_First,0,IF(BG31&lt;FT_Y5,1+INT((BG31-FT_First)/FT_Int1),FT_PreY5+FT_PerYear*INT((BG31-FT_Y5)/12)+FT_AnnivDays+INT(MOD(BG31-FT_Y5,12)/FT_Int2))),IF(AR31="PT",IF(BG31&lt;PT_First,0,1+INT((BG31-PT_First)/PT_Int)),0)),0))</f>
        <v/>
      </c>
      <c r="BI31" s="14" t="str">
        <f aca="false">IF(AG31=0,"",IF(AS31="FT",IF(AT31&lt;FT_First,"",IF(AT31&lt;FT_Y5,FT_First+FT_Int1*INT((AT31-FT_First)/FT_Int1),FT_Y5+FT_Int2*INT((AT31-FT_Y5)/FT_Int2))),IF(AS31="PT",IF(AT31&lt;PT_First,"",PT_First+PT_Int*INT((AT31-PT_First)/PT_Int)),"")))</f>
        <v/>
      </c>
      <c r="BJ31" s="0" t="str">
        <f aca="false">IF(LEN($A31&amp;$B31)=0,"",$A31&amp;" "&amp;$B31)</f>
        <v/>
      </c>
    </row>
    <row r="32" customFormat="false" ht="15" hidden="false" customHeight="false" outlineLevel="0" collapsed="false">
      <c r="A32" s="10"/>
      <c r="B32" s="10"/>
      <c r="C32" s="10"/>
      <c r="D32" s="11"/>
      <c r="E32" s="12" t="str">
        <f aca="false">IF(OR(AG32=0,$D32=""),"",DATE(YEAR(AsOfDate)+IF(DATE(YEAR(AsOfDate),MONTH($D32),DAY($D32))&lt;=AsOfDate,1,0),MONTH($D32),DAY($D32)))</f>
        <v/>
      </c>
      <c r="F32" s="11"/>
      <c r="G32" s="11"/>
      <c r="H32" s="11"/>
      <c r="I32" s="11"/>
      <c r="J32" s="11"/>
      <c r="K32" s="12" t="str">
        <f aca="false">IF(AG32=0,"",DATE(YEAR(AsOfDate)+IF(DATE(YEAR(AsOfDate),MONTH(AH32),DAY(AH32))&lt;=AsOfDate,1,0),MONTH(AH32),DAY(AH32)))</f>
        <v/>
      </c>
      <c r="L32" s="13" t="str">
        <f aca="false">IF(AG32=0,"",ROUND((AsOfDate-AH32)/365.25,1))</f>
        <v/>
      </c>
      <c r="M32" s="14" t="str">
        <f aca="false">IF(AG32=0,"",IF(AsOfDate&lt;AH32,"-",DATEDIF(AH32,AsOfDate,"y")&amp;"y "&amp;DATEDIF(AH32,AsOfDate,"ym")&amp;"m "&amp;DATEDIF(AH32,AsOfDate,"md")&amp;"d"))</f>
        <v/>
      </c>
      <c r="N32" s="15" t="str">
        <f aca="false">IF(AG32=0,"",O32*HoursPerDay)</f>
        <v/>
      </c>
      <c r="O32" s="15" t="str">
        <f aca="false">IF(AG32=0,"",AZ32)</f>
        <v/>
      </c>
      <c r="P32" s="16"/>
      <c r="Q32" s="14" t="str">
        <f aca="false">IF(AG32=0,"",IF(AI32&lt;2,"",AM32&amp;" to "&amp;AN32&amp;" on "&amp;TEXT(AK32,"dd/mm/yyyy")&amp;IF(AK32&gt;AsOfDate," (future)",IF(AP32=AQ32,"",IF(AQ32="None"," - STOPPED accruing",IF(AP32="None"," - commencement for Bonus Leave"," - pathway changed"))))&amp;IF(AI32&lt;3,"","; "&amp;AN32&amp;" to "&amp;AO32&amp;" on "&amp;TEXT(AL32,"dd/mm/yyyy")&amp;IF(AL32&gt;AsOfDate," (future)",IF(AQ32=AR32,"",IF(AR32="None"," - STOPPED accruing",IF(AQ32="None"," - commencement for Bonus Leave"," - pathway changed")))))))</f>
        <v/>
      </c>
      <c r="R32" s="14" t="str">
        <f aca="false">IF(AG32=0,"",IF(AS32="None",IF(O32&gt;0,"No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2" t="str">
        <f aca="false">IF(AG32=0,"",IF(AS32="None","",EDATE(AH32,BB32)))</f>
        <v/>
      </c>
      <c r="T32" s="15" t="str">
        <f aca="false">IF(AG32=0,"",IF(NOT(LH_Ready),"",IF(AH32&gt;PFYDate,0,IF(LH_ColPeriod=0,W32-U32+V32,SUMIFS(INDEX(LH_Data,0,LH_ColAcc),INDEX(LH_Data,0,LH_ColFirst),$A32,INDEX(LH_Data,0,LH_ColSur),$B32,INDEX(LH_Data,0,LH_ColCat),BonusCat,INDEX(LH_Data,0,LH_ColPeriod),LH_OpenLabel)*UnitFactor))))</f>
        <v/>
      </c>
      <c r="U32" s="15" t="str">
        <f aca="false">IF(AG32=0,"",IF(NOT(LH_Ready),"",SUMIFS(INDEX(LH_Data,0,LH_ColAcc),INDEX(LH_Data,0,LH_ColFirst),$A32,INDEX(LH_Data,0,LH_ColSur),$B32,INDEX(LH_Data,0,LH_ColCat),BonusCat,INDEX(LH_Data,0,LH_ColStart),"&gt;="&amp;AH32)*UnitFactor))</f>
        <v/>
      </c>
      <c r="V32" s="15" t="str">
        <f aca="false">IF(AG32=0,"",IF(NOT(LH_Ready),"",SUMIFS(INDEX(LH_Data,0,LH_ColTaken),INDEX(LH_Data,0,LH_ColFirst),$A32,INDEX(LH_Data,0,LH_ColSur),$B32,INDEX(LH_Data,0,LH_ColCat),BonusCat,INDEX(LH_Data,0,LH_ColStart),"&gt;="&amp;AH32)*UnitFactor))</f>
        <v/>
      </c>
      <c r="W32" s="15" t="str">
        <f aca="false">IF(AG32=0,"",IF(NOT(LH_Ready),"",IF(BD32=0,0,INDEX(INDEX(LH_Data,0,LH_ColClose),BD32-1)*UnitFactor)))</f>
        <v/>
      </c>
      <c r="X32" s="15" t="str">
        <f aca="false">IF(AG32=0,"",(AZ32-BA32)*HoursPerDay)</f>
        <v/>
      </c>
      <c r="Y32" s="15" t="str">
        <f aca="false">IF(AG32=0,"",IF(NOT(LH_Ready),"",IF(BC32=0,N32,IF(PFYDate&lt;$F32,N32-N(T32)-N(U32),X32-N(U32)))))</f>
        <v/>
      </c>
      <c r="Z32" s="14" t="str">
        <f aca="false">IF(OR(AG32=0,Y32=""),"",IF(Y32&gt;0,"Yes","No"))</f>
        <v/>
      </c>
      <c r="AA32" s="14" t="str">
        <f aca="false">IF(AG32=0,IF(LEN($A32&amp;$B32)=0,"","FIX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month")&amp;IF(BC32=0,";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EH)",""),IF(AS32="None",R32,"Not yet - first day on "&amp;TEXT(S32,"dd/mm/yyyy")))))))))</f>
        <v/>
      </c>
      <c r="AB32" s="15" t="str">
        <f aca="false">IF(OR(AG32=0,T32=""),"",BA32*HoursPerDay-T32)</f>
        <v/>
      </c>
      <c r="AC32" s="14" t="str">
        <f aca="false">IF(AG32=0,"",BC32)</f>
        <v/>
      </c>
      <c r="AD32" s="14" t="str">
        <f aca="false">IF(AG32=0,"",TRIM(IF(OR(ISTEXT($F32),ISTEXT($H32),ISTEXT($I32),ISTEXT($G32),ISTEXT($J32),ISTEXT($D32)),"A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I32&gt;=1,IF(AI32&gt;=3,AO32,IF(AI32=2,AN32,AM32))&lt;&gt;IF($C32="","",IF(OR(ISNUMBER(SEARCH("full",$C32)),UPPER(TRIM($C32))="FT",UPPER(TRIM($C32))="FTE"),"Full-Time",IF(OR(ISNUMBER(SEARCH("part",$C32)),UPPER(TRIM($C32))="PT",UPPER(TRIM($C32))="PTE"),"Part-Time",IF(OR(ISNUMBER(SEARCH("cas",$C32)),UPPER(TRIM($C32))="CAS"),"Casual","Unknown"))))),"EmploymentType does not match latest start date ("&amp;IF(AI32&gt;=3,AO32,IF(AI32=2,AN32,AM32))&amp;"). ","")&amp;IF(AND(AI32&gt;=1,AJ32&lt;&gt;$F32),"Earliest type date should equal StartDate. ","")&amp;IF(AND(AI32&gt;=2,AJ32=AK32),"Two types start on the same date. ","")&amp;IF(AND(OR(ISNUMBER(SEARCH("part",$C32)),UPPER(TRIM($C32))="PT",UPPER(TRIM($C32))="PTE"),$P32=""),"Part-time: enter PT Hrs/Week (blank = 24+). ","")))</f>
        <v/>
      </c>
      <c r="AE32" s="15" t="str">
        <f aca="false">IF(AG32=0,"",O32-BH32)</f>
        <v/>
      </c>
      <c r="AF32" s="12" t="str">
        <f aca="false">IF(OR(AG32=0,AE32="",N(AE32)=0,BI32=""),"",EDATE(AH32,BI32))</f>
        <v/>
      </c>
      <c r="AG32" s="14" t="n">
        <f aca="false">IF(OR(LEN($A32&amp;$B32)=0,$F32=""),0,1)</f>
        <v>0</v>
      </c>
      <c r="AH32" s="12" t="str">
        <f aca="false">IF(AG32=0,"",IF($J32&lt;&gt;"",$J32,IF(OR(CasualCounts="Yes",COUNT($G32:$I32)=0,COUNT($H32:$I32)=0),$F32,MIN($H32:$I32))))</f>
        <v/>
      </c>
      <c r="AI32" s="14" t="str">
        <f aca="false">IF(AG32=0,"",COUNT($G32:$I32))</f>
        <v/>
      </c>
      <c r="AJ32" s="12" t="str">
        <f aca="false">IF(AG32=0,"",IFERROR(SMALL($G32:$I32,1),""))</f>
        <v/>
      </c>
      <c r="AK32" s="12" t="str">
        <f aca="false">IF(AG32=0,"",IFERROR(SMALL($G32:$I32,2),""))</f>
        <v/>
      </c>
      <c r="AL32" s="12" t="str">
        <f aca="false">IF(AG32=0,"",IFERROR(SMALL($G32:$I32,3),""))</f>
        <v/>
      </c>
      <c r="AM32" s="14" t="str">
        <f aca="false">IF(AG32=0,"",IF(AJ32="","",IF(AJ32=$H32,"Part-Time",IF(AJ32=$I32,"Full-Time","Casual"))))</f>
        <v/>
      </c>
      <c r="AN32" s="14" t="str">
        <f aca="false">IF(AG32=0,"",IF(AK32="","",IF(AK32=$H32,"Part-Time",IF(AK32=$I32,"Full-Time","Casual"))))</f>
        <v/>
      </c>
      <c r="AO32" s="14" t="str">
        <f aca="false">IF(AG32=0,"",IF(AL32="","",IF(AL32=$H32,"Part-Time",IF(AL32=$I32,"Full-Time","Casual"))))</f>
        <v/>
      </c>
      <c r="AP32" s="14" t="str">
        <f aca="false">IF(AG32=0,"",IF(AI32=0,IF(OR(ISNUMBER(SEARCH("full",$C32)),UPPER(TRIM($C32))="FT",UPPER(TRIM($C32))="FTE"),"FT",IF(AND(OR(ISNUMBER(SEARCH("part",$C32)),UPPER(TRIM($C32))="PT",UPPER(TRIM($C32))="PTE"),OR($P32="",N($P32)&gt;=PT_MinHours)),"PT","None")),IF(OR(ISNUMBER(SEARCH("full",AM32)),UPPER(TRIM(AM32))="FT",UPPER(TRIM(AM32))="FTE"),"FT",IF(AND(OR(ISNUMBER(SEARCH("part",AM32)),UPPER(TRIM(AM32))="PT",UPPER(TRIM(AM32))="PTE"),OR($P32="",N($P32)&gt;=PT_MinHours)),"PT","None"))))</f>
        <v/>
      </c>
      <c r="AQ32" s="14" t="str">
        <f aca="false">IF(AG32=0,"",IF(AI32&lt;2,"",IF(OR(ISNUMBER(SEARCH("full",AN32)),UPPER(TRIM(AN32))="FT",UPPER(TRIM(AN32))="FTE"),"FT",IF(AND(OR(ISNUMBER(SEARCH("part",AN32)),UPPER(TRIM(AN32))="PT",UPPER(TRIM(AN32))="PTE"),OR($P32="",N($P32)&gt;=PT_MinHours)),"PT","None"))))</f>
        <v/>
      </c>
      <c r="AR32" s="14" t="str">
        <f aca="false">IF(AG32=0,"",IF(AI32&lt;3,"",IF(OR(ISNUMBER(SEARCH("full",AO32)),UPPER(TRIM(AO32))="FT",UPPER(TRIM(AO32))="FTE"),"FT",IF(AND(OR(ISNUMBER(SEARCH("part",AO32)),UPPER(TRIM(AO32))="PT",UPPER(TRIM(AO32))="PTE"),OR($P32="",N($P32)&gt;=PT_MinHours)),"PT","None"))))</f>
        <v/>
      </c>
      <c r="AS32" s="14" t="str">
        <f aca="false">IF(AG32=0,"",IF(AND(AI32&gt;=3,AL32&lt;=AsOfDate),AR32,IF(AND(AI32&gt;=2,AK32&lt;=AsOfDate),AQ32,AP32)))</f>
        <v/>
      </c>
      <c r="AT32" s="14" t="str">
        <f aca="false">IF(AG32=0,"",IF(AsOfDate&lt;AH32,-1,12*(YEAR(AsOfDate)-YEAR(AH32))+MONTH(AsOfDate)-MONTH(AH32)-IF(DAY(AsOfDate)&lt;MIN(DAY(AH32),DAY(EOMONTH(AsOfDate,0))),1,0)))</f>
        <v/>
      </c>
      <c r="AU32" s="14" t="str">
        <f aca="false">IF(AG32=0,"",IF(OR(AI32&lt;2,AK32&gt;AsOfDate),AT32,IF((AK32-1)&lt;AH32,-1,12*(YEAR((AK32-1))-YEAR(AH32))+MONTH((AK32-1))-MONTH(AH32)-IF(DAY((AK32-1))&lt;MIN(DAY(AH32),DAY(EOMONTH((AK32-1),0))),1,0))))</f>
        <v/>
      </c>
      <c r="AV32" s="14" t="str">
        <f aca="false">IF(AG32=0,"",IF(OR(AI32&lt;3,AL32&gt;AsOfDate),AT32,IF((AL32-1)&lt;AH32,-1,12*(YEAR((AL32-1))-YEAR(AH32))+MONTH((AL32-1))-MONTH(AH32)-IF(DAY((AL32-1))&lt;MIN(DAY(AH32),DAY(EOMONTH((AL32-1),0))),1,0))))</f>
        <v/>
      </c>
      <c r="AW32" s="14" t="str">
        <f aca="false">IF(AG32=0,"",IF(PFYDate&lt;AH32,-1,12*(YEAR(PFYDate)-YEAR(AH32))+MONTH(PFYDate)-MONTH(AH32)-IF(DAY(PFYDate)&lt;MIN(DAY(AH32),DAY(EOMONTH(PFYDate,0))),1,0)))</f>
        <v/>
      </c>
      <c r="AX32" s="14" t="str">
        <f aca="false">IF(AG32=0,"",IF(OR(AI32&lt;2,AK32&gt;PFYDate),AW32,IF((AK32-1)&lt;AH32,-1,12*(YEAR((AK32-1))-YEAR(AH32))+MONTH((AK32-1))-MONTH(AH32)-IF(DAY((AK32-1))&lt;MIN(DAY(AH32),DAY(EOMONTH((AK32-1),0))),1,0))))</f>
        <v/>
      </c>
      <c r="AY32" s="14" t="str">
        <f aca="false">IF(AG32=0,"",IF(OR(AI32&lt;3,AL32&gt;PFYDate),AW32,IF((AL32-1)&lt;AH32,-1,12*(YEAR((AL32-1))-YEAR(AH32))+MONTH((AL32-1))-MONTH(AH32)-IF(DAY((AL32-1))&lt;MIN(DAY(AH32),DAY(EOMONTH((AL32-1),0))),1,0))))</f>
        <v/>
      </c>
      <c r="AZ32" s="14" t="str">
        <f aca="false">IF(AG32=0,"",IF(AP32="FT",IF(AU32&lt;FT_First,0,IF(AU32&lt;FT_Y5,1+INT((AU32-FT_First)/FT_Int1),FT_PreY5+FT_PerYear*INT((AU32-FT_Y5)/12)+FT_AnnivDays+INT(MOD(AU32-FT_Y5,12)/FT_Int2))),IF(AP32="PT",IF(AU32&lt;PT_First,0,1+INT((AU32-PT_First)/PT_Int)),0))+IF(AND(AI32&gt;=2,AK32&lt;=AsOfDate),IF(AQ32="FT",IF(AV32&lt;FT_First,0,IF(AV32&lt;FT_Y5,1+INT((AV32-FT_First)/FT_Int1),FT_PreY5+FT_PerYear*INT((AV32-FT_Y5)/12)+FT_AnnivDays+INT(MOD(AV32-FT_Y5,12)/FT_Int2))),IF(AQ32="PT",IF(AV32&lt;PT_First,0,1+INT((AV32-PT_First)/PT_Int)),0))-IF(AQ32="FT",IF(AU32&lt;FT_First,0,IF(AU32&lt;FT_Y5,1+INT((AU32-FT_First)/FT_Int1),FT_PreY5+FT_PerYear*INT((AU32-FT_Y5)/12)+FT_AnnivDays+INT(MOD(AU32-FT_Y5,12)/FT_Int2))),IF(AQ32="PT",IF(AU32&lt;PT_First,0,1+INT((AU32-PT_First)/PT_Int)),0)),0)+IF(AND(AI32&gt;=3,AL32&lt;=AsOfDate),IF(AR32="FT",IF(AT32&lt;FT_First,0,IF(AT32&lt;FT_Y5,1+INT((AT32-FT_First)/FT_Int1),FT_PreY5+FT_PerYear*INT((AT32-FT_Y5)/12)+FT_AnnivDays+INT(MOD(AT32-FT_Y5,12)/FT_Int2))),IF(AR32="PT",IF(AT32&lt;PT_First,0,1+INT((AT32-PT_First)/PT_Int)),0))-IF(AR32="FT",IF(AV32&lt;FT_First,0,IF(AV32&lt;FT_Y5,1+INT((AV32-FT_First)/FT_Int1),FT_PreY5+FT_PerYear*INT((AV32-FT_Y5)/12)+FT_AnnivDays+INT(MOD(AV32-FT_Y5,12)/FT_Int2))),IF(AR32="PT",IF(AV32&lt;PT_First,0,1+INT((AV32-PT_First)/PT_Int)),0)),0))</f>
        <v/>
      </c>
      <c r="BA32" s="14" t="str">
        <f aca="false">IF(AG32=0,"",IF(AP32="FT",IF(AX32&lt;FT_First,0,IF(AX32&lt;FT_Y5,1+INT((AX32-FT_First)/FT_Int1),FT_PreY5+FT_PerYear*INT((AX32-FT_Y5)/12)+FT_AnnivDays+INT(MOD(AX32-FT_Y5,12)/FT_Int2))),IF(AP32="PT",IF(AX32&lt;PT_First,0,1+INT((AX32-PT_First)/PT_Int)),0))+IF(AND(AI32&gt;=2,AK32&lt;=PFYDate),IF(AQ32="FT",IF(AY32&lt;FT_First,0,IF(AY32&lt;FT_Y5,1+INT((AY32-FT_First)/FT_Int1),FT_PreY5+FT_PerYear*INT((AY32-FT_Y5)/12)+FT_AnnivDays+INT(MOD(AY32-FT_Y5,12)/FT_Int2))),IF(AQ32="PT",IF(AY32&lt;PT_First,0,1+INT((AY32-PT_First)/PT_Int)),0))-IF(AQ32="FT",IF(AX32&lt;FT_First,0,IF(AX32&lt;FT_Y5,1+INT((AX32-FT_First)/FT_Int1),FT_PreY5+FT_PerYear*INT((AX32-FT_Y5)/12)+FT_AnnivDays+INT(MOD(AX32-FT_Y5,12)/FT_Int2))),IF(AQ32="PT",IF(AX32&lt;PT_First,0,1+INT((AX32-PT_First)/PT_Int)),0)),0)+IF(AND(AI32&gt;=3,AL32&lt;=PFYDate),IF(AR32="FT",IF(AW32&lt;FT_First,0,IF(AW32&lt;FT_Y5,1+INT((AW32-FT_First)/FT_Int1),FT_PreY5+FT_PerYear*INT((AW32-FT_Y5)/12)+FT_AnnivDays+INT(MOD(AW32-FT_Y5,12)/FT_Int2))),IF(AR32="PT",IF(AW32&lt;PT_First,0,1+INT((AW32-PT_First)/PT_Int)),0))-IF(AR32="FT",IF(AY32&lt;FT_First,0,IF(AY32&lt;FT_Y5,1+INT((AY32-FT_First)/FT_Int1),FT_PreY5+FT_PerYear*INT((AY32-FT_Y5)/12)+FT_AnnivDays+INT(MOD(AY32-FT_Y5,12)/FT_Int2))),IF(AR32="PT",IF(AY32&lt;PT_First,0,1+INT((AY32-PT_First)/PT_Int)),0)),0))</f>
        <v/>
      </c>
      <c r="BB32" s="14" t="str">
        <f aca="false">IF(AG32=0,"",IF(AS32="FT",IF(AT32&lt;FT_First,FT_First,IF(AT32&lt;FT_Y5,MIN(FT_Y5,FT_First+FT_Int1*(INT((AT32-FT_First)/FT_Int1)+1)),FT_Y5+12*INT((AT32-FT_Y5)/12)+FT_Int2*(INT(MOD(AT32-FT_Y5,12)/FT_Int2)+1))),IF(AS32="PT",IF(AT32&lt;PT_First,PT_First,PT_First+PT_Int*(INT((AT32-PT_First)/PT_Int)+1)),"")))</f>
        <v/>
      </c>
      <c r="BC32" s="14" t="str">
        <f aca="false">IF(AG32=0,"",IF(NOT(LH_Ready),0,COUNTIFS(INDEX(LH_Data,0,LH_ColFirst),$A32,INDEX(LH_Data,0,LH_ColSur),$B32,INDEX(LH_Data,0,LH_ColCat),BonusCat)))</f>
        <v/>
      </c>
      <c r="BD32" s="14" t="str">
        <f aca="false">IF(AG32=0,"",IF(OR(NOT(LH_Ready),BC32=0),0,SUMPRODUCT(MAX((INDEX(LH_Data,0,LH_ColFirst)=$A32)*(INDEX(LH_Data,0,LH_ColSur)=$B32)*(INDEX(LH_Data,0,LH_ColCat)=BonusCat)*ROW(LH_Data)))))</f>
        <v/>
      </c>
      <c r="BE32" s="14" t="str">
        <f aca="false">IF(AG32=0,"",IF(EOMONTH(AsOfDate,-1)&lt;AH32,-1,12*(YEAR(EOMONTH(AsOfDate,-1))-YEAR(AH32))+MONTH(EOMONTH(AsOfDate,-1))-MONTH(AH32)-IF(DAY(EOMONTH(AsOfDate,-1))&lt;MIN(DAY(AH32),DAY(EOMONTH(EOMONTH(AsOfDate,-1),0))),1,0)))</f>
        <v/>
      </c>
      <c r="BF32" s="14" t="str">
        <f aca="false">IF(AG32=0,"",IF(OR(AI32&lt;2,AK32&gt;EOMONTH(AsOfDate,-1)),BE32,IF((AK32-1)&lt;AH32,-1,12*(YEAR((AK32-1))-YEAR(AH32))+MONTH((AK32-1))-MONTH(AH32)-IF(DAY((AK32-1))&lt;MIN(DAY(AH32),DAY(EOMONTH((AK32-1),0))),1,0))))</f>
        <v/>
      </c>
      <c r="BG32" s="14" t="str">
        <f aca="false">IF(AG32=0,"",IF(OR(AI32&lt;3,AL32&gt;EOMONTH(AsOfDate,-1)),BE32,IF((AL32-1)&lt;AH32,-1,12*(YEAR((AL32-1))-YEAR(AH32))+MONTH((AL32-1))-MONTH(AH32)-IF(DAY((AL32-1))&lt;MIN(DAY(AH32),DAY(EOMONTH((AL32-1),0))),1,0))))</f>
        <v/>
      </c>
      <c r="BH32" s="14" t="str">
        <f aca="false">IF(AG32=0,"",IF(AP32="FT",IF(BF32&lt;FT_First,0,IF(BF32&lt;FT_Y5,1+INT((BF32-FT_First)/FT_Int1),FT_PreY5+FT_PerYear*INT((BF32-FT_Y5)/12)+FT_AnnivDays+INT(MOD(BF32-FT_Y5,12)/FT_Int2))),IF(AP32="PT",IF(BF32&lt;PT_First,0,1+INT((BF32-PT_First)/PT_Int)),0))+IF(AND(AI32&gt;=2,AK32&lt;=EOMONTH(AsOfDate,-1)),IF(AQ32="FT",IF(BG32&lt;FT_First,0,IF(BG32&lt;FT_Y5,1+INT((BG32-FT_First)/FT_Int1),FT_PreY5+FT_PerYear*INT((BG32-FT_Y5)/12)+FT_AnnivDays+INT(MOD(BG32-FT_Y5,12)/FT_Int2))),IF(AQ32="PT",IF(BG32&lt;PT_First,0,1+INT((BG32-PT_First)/PT_Int)),0))-IF(AQ32="FT",IF(BF32&lt;FT_First,0,IF(BF32&lt;FT_Y5,1+INT((BF32-FT_First)/FT_Int1),FT_PreY5+FT_PerYear*INT((BF32-FT_Y5)/12)+FT_AnnivDays+INT(MOD(BF32-FT_Y5,12)/FT_Int2))),IF(AQ32="PT",IF(BF32&lt;PT_First,0,1+INT((BF32-PT_First)/PT_Int)),0)),0)+IF(AND(AI32&gt;=3,AL32&lt;=EOMONTH(AsOfDate,-1)),IF(AR32="FT",IF(BE32&lt;FT_First,0,IF(BE32&lt;FT_Y5,1+INT((BE32-FT_First)/FT_Int1),FT_PreY5+FT_PerYear*INT((BE32-FT_Y5)/12)+FT_AnnivDays+INT(MOD(BE32-FT_Y5,12)/FT_Int2))),IF(AR32="PT",IF(BE32&lt;PT_First,0,1+INT((BE32-PT_First)/PT_Int)),0))-IF(AR32="FT",IF(BG32&lt;FT_First,0,IF(BG32&lt;FT_Y5,1+INT((BG32-FT_First)/FT_Int1),FT_PreY5+FT_PerYear*INT((BG32-FT_Y5)/12)+FT_AnnivDays+INT(MOD(BG32-FT_Y5,12)/FT_Int2))),IF(AR32="PT",IF(BG32&lt;PT_First,0,1+INT((BG32-PT_First)/PT_Int)),0)),0))</f>
        <v/>
      </c>
      <c r="BI32" s="14" t="str">
        <f aca="false">IF(AG32=0,"",IF(AS32="FT",IF(AT32&lt;FT_First,"",IF(AT32&lt;FT_Y5,FT_First+FT_Int1*INT((AT32-FT_First)/FT_Int1),FT_Y5+FT_Int2*INT((AT32-FT_Y5)/FT_Int2))),IF(AS32="PT",IF(AT32&lt;PT_First,"",PT_First+PT_Int*INT((AT32-PT_First)/PT_Int)),"")))</f>
        <v/>
      </c>
      <c r="BJ32" s="0" t="str">
        <f aca="false">IF(LEN($A32&amp;$B32)=0,"",$A32&amp;" "&amp;$B32)</f>
        <v/>
      </c>
    </row>
    <row r="33" customFormat="false" ht="15" hidden="false" customHeight="false" outlineLevel="0" collapsed="false">
      <c r="A33" s="10"/>
      <c r="B33" s="10"/>
      <c r="C33" s="10"/>
      <c r="D33" s="11"/>
      <c r="E33" s="12" t="str">
        <f aca="false">IF(OR(AG33=0,$D33=""),"",DATE(YEAR(AsOfDate)+IF(DATE(YEAR(AsOfDate),MONTH($D33),DAY($D33))&lt;=AsOfDate,1,0),MONTH($D33),DAY($D33)))</f>
        <v/>
      </c>
      <c r="F33" s="11"/>
      <c r="G33" s="11"/>
      <c r="H33" s="11"/>
      <c r="I33" s="11"/>
      <c r="J33" s="11"/>
      <c r="K33" s="12" t="str">
        <f aca="false">IF(AG33=0,"",DATE(YEAR(AsOfDate)+IF(DATE(YEAR(AsOfDate),MONTH(AH33),DAY(AH33))&lt;=AsOfDate,1,0),MONTH(AH33),DAY(AH33)))</f>
        <v/>
      </c>
      <c r="L33" s="13" t="str">
        <f aca="false">IF(AG33=0,"",ROUND((AsOfDate-AH33)/365.25,1))</f>
        <v/>
      </c>
      <c r="M33" s="14" t="str">
        <f aca="false">IF(AG33=0,"",IF(AsOfDate&lt;AH33,"-",DATEDIF(AH33,AsOfDate,"y")&amp;"y "&amp;DATEDIF(AH33,AsOfDate,"ym")&amp;"m "&amp;DATEDIF(AH33,AsOfDate,"md")&amp;"d"))</f>
        <v/>
      </c>
      <c r="N33" s="15" t="str">
        <f aca="false">IF(AG33=0,"",O33*HoursPerDay)</f>
        <v/>
      </c>
      <c r="O33" s="15" t="str">
        <f aca="false">IF(AG33=0,"",AZ33)</f>
        <v/>
      </c>
      <c r="P33" s="16"/>
      <c r="Q33" s="14" t="str">
        <f aca="false">IF(AG33=0,"",IF(AI33&lt;2,"",AM33&amp;" to "&amp;AN33&amp;" on "&amp;TEXT(AK33,"dd/mm/yyyy")&amp;IF(AK33&gt;AsOfDate," (future)",IF(AP33=AQ33,"",IF(AQ33="None"," - STOPPED accruing",IF(AP33="None"," - commencement for Bonus Leave"," - pathway changed"))))&amp;IF(AI33&lt;3,"","; "&amp;AN33&amp;" to "&amp;AO33&amp;" on "&amp;TEXT(AL33,"dd/mm/yyyy")&amp;IF(AL33&gt;AsOfDate," (future)",IF(AQ33=AR33,"",IF(AR33="None"," - STOPPED accruing",IF(AQ33="None"," - commencement for Bonus Leave"," - pathway changed")))))))</f>
        <v/>
      </c>
      <c r="R33" s="14" t="str">
        <f aca="false">IF(AG33=0,"",IF(AS33="None",IF(O33&gt;0,"No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2" t="str">
        <f aca="false">IF(AG33=0,"",IF(AS33="None","",EDATE(AH33,BB33)))</f>
        <v/>
      </c>
      <c r="T33" s="15" t="str">
        <f aca="false">IF(AG33=0,"",IF(NOT(LH_Ready),"",IF(AH33&gt;PFYDate,0,IF(LH_ColPeriod=0,W33-U33+V33,SUMIFS(INDEX(LH_Data,0,LH_ColAcc),INDEX(LH_Data,0,LH_ColFirst),$A33,INDEX(LH_Data,0,LH_ColSur),$B33,INDEX(LH_Data,0,LH_ColCat),BonusCat,INDEX(LH_Data,0,LH_ColPeriod),LH_OpenLabel)*UnitFactor))))</f>
        <v/>
      </c>
      <c r="U33" s="15" t="str">
        <f aca="false">IF(AG33=0,"",IF(NOT(LH_Ready),"",SUMIFS(INDEX(LH_Data,0,LH_ColAcc),INDEX(LH_Data,0,LH_ColFirst),$A33,INDEX(LH_Data,0,LH_ColSur),$B33,INDEX(LH_Data,0,LH_ColCat),BonusCat,INDEX(LH_Data,0,LH_ColStart),"&gt;="&amp;AH33)*UnitFactor))</f>
        <v/>
      </c>
      <c r="V33" s="15" t="str">
        <f aca="false">IF(AG33=0,"",IF(NOT(LH_Ready),"",SUMIFS(INDEX(LH_Data,0,LH_ColTaken),INDEX(LH_Data,0,LH_ColFirst),$A33,INDEX(LH_Data,0,LH_ColSur),$B33,INDEX(LH_Data,0,LH_ColCat),BonusCat,INDEX(LH_Data,0,LH_ColStart),"&gt;="&amp;AH33)*UnitFactor))</f>
        <v/>
      </c>
      <c r="W33" s="15" t="str">
        <f aca="false">IF(AG33=0,"",IF(NOT(LH_Ready),"",IF(BD33=0,0,INDEX(INDEX(LH_Data,0,LH_ColClose),BD33-1)*UnitFactor)))</f>
        <v/>
      </c>
      <c r="X33" s="15" t="str">
        <f aca="false">IF(AG33=0,"",(AZ33-BA33)*HoursPerDay)</f>
        <v/>
      </c>
      <c r="Y33" s="15" t="str">
        <f aca="false">IF(AG33=0,"",IF(NOT(LH_Ready),"",IF(BC33=0,N33,IF(PFYDate&lt;$F33,N33-N(T33)-N(U33),X33-N(U33)))))</f>
        <v/>
      </c>
      <c r="Z33" s="14" t="str">
        <f aca="false">IF(OR(AG33=0,Y33=""),"",IF(Y33&gt;0,"Yes","No"))</f>
        <v/>
      </c>
      <c r="AA33" s="14" t="str">
        <f aca="false">IF(AG33=0,IF(LEN($A33&amp;$B33)=0,"","FIX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month")&amp;IF(BC33=0,";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EH)",""),IF(AS33="None",R33,"Not yet - first day on "&amp;TEXT(S33,"dd/mm/yyyy")))))))))</f>
        <v/>
      </c>
      <c r="AB33" s="15" t="str">
        <f aca="false">IF(OR(AG33=0,T33=""),"",BA33*HoursPerDay-T33)</f>
        <v/>
      </c>
      <c r="AC33" s="14" t="str">
        <f aca="false">IF(AG33=0,"",BC33)</f>
        <v/>
      </c>
      <c r="AD33" s="14" t="str">
        <f aca="false">IF(AG33=0,"",TRIM(IF(OR(ISTEXT($F33),ISTEXT($H33),ISTEXT($I33),ISTEXT($G33),ISTEXT($J33),ISTEXT($D33)),"A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I33&gt;=1,IF(AI33&gt;=3,AO33,IF(AI33=2,AN33,AM33))&lt;&gt;IF($C33="","",IF(OR(ISNUMBER(SEARCH("full",$C33)),UPPER(TRIM($C33))="FT",UPPER(TRIM($C33))="FTE"),"Full-Time",IF(OR(ISNUMBER(SEARCH("part",$C33)),UPPER(TRIM($C33))="PT",UPPER(TRIM($C33))="PTE"),"Part-Time",IF(OR(ISNUMBER(SEARCH("cas",$C33)),UPPER(TRIM($C33))="CAS"),"Casual","Unknown"))))),"EmploymentType does not match latest start date ("&amp;IF(AI33&gt;=3,AO33,IF(AI33=2,AN33,AM33))&amp;"). ","")&amp;IF(AND(AI33&gt;=1,AJ33&lt;&gt;$F33),"Earliest type date should equal StartDate. ","")&amp;IF(AND(AI33&gt;=2,AJ33=AK33),"Two types start on the same date. ","")&amp;IF(AND(OR(ISNUMBER(SEARCH("part",$C33)),UPPER(TRIM($C33))="PT",UPPER(TRIM($C33))="PTE"),$P33=""),"Part-time: enter PT Hrs/Week (blank = 24+). ","")))</f>
        <v/>
      </c>
      <c r="AE33" s="15" t="str">
        <f aca="false">IF(AG33=0,"",O33-BH33)</f>
        <v/>
      </c>
      <c r="AF33" s="12" t="str">
        <f aca="false">IF(OR(AG33=0,AE33="",N(AE33)=0,BI33=""),"",EDATE(AH33,BI33))</f>
        <v/>
      </c>
      <c r="AG33" s="14" t="n">
        <f aca="false">IF(OR(LEN($A33&amp;$B33)=0,$F33=""),0,1)</f>
        <v>0</v>
      </c>
      <c r="AH33" s="12" t="str">
        <f aca="false">IF(AG33=0,"",IF($J33&lt;&gt;"",$J33,IF(OR(CasualCounts="Yes",COUNT($G33:$I33)=0,COUNT($H33:$I33)=0),$F33,MIN($H33:$I33))))</f>
        <v/>
      </c>
      <c r="AI33" s="14" t="str">
        <f aca="false">IF(AG33=0,"",COUNT($G33:$I33))</f>
        <v/>
      </c>
      <c r="AJ33" s="12" t="str">
        <f aca="false">IF(AG33=0,"",IFERROR(SMALL($G33:$I33,1),""))</f>
        <v/>
      </c>
      <c r="AK33" s="12" t="str">
        <f aca="false">IF(AG33=0,"",IFERROR(SMALL($G33:$I33,2),""))</f>
        <v/>
      </c>
      <c r="AL33" s="12" t="str">
        <f aca="false">IF(AG33=0,"",IFERROR(SMALL($G33:$I33,3),""))</f>
        <v/>
      </c>
      <c r="AM33" s="14" t="str">
        <f aca="false">IF(AG33=0,"",IF(AJ33="","",IF(AJ33=$H33,"Part-Time",IF(AJ33=$I33,"Full-Time","Casual"))))</f>
        <v/>
      </c>
      <c r="AN33" s="14" t="str">
        <f aca="false">IF(AG33=0,"",IF(AK33="","",IF(AK33=$H33,"Part-Time",IF(AK33=$I33,"Full-Time","Casual"))))</f>
        <v/>
      </c>
      <c r="AO33" s="14" t="str">
        <f aca="false">IF(AG33=0,"",IF(AL33="","",IF(AL33=$H33,"Part-Time",IF(AL33=$I33,"Full-Time","Casual"))))</f>
        <v/>
      </c>
      <c r="AP33" s="14" t="str">
        <f aca="false">IF(AG33=0,"",IF(AI33=0,IF(OR(ISNUMBER(SEARCH("full",$C33)),UPPER(TRIM($C33))="FT",UPPER(TRIM($C33))="FTE"),"FT",IF(AND(OR(ISNUMBER(SEARCH("part",$C33)),UPPER(TRIM($C33))="PT",UPPER(TRIM($C33))="PTE"),OR($P33="",N($P33)&gt;=PT_MinHours)),"PT","None")),IF(OR(ISNUMBER(SEARCH("full",AM33)),UPPER(TRIM(AM33))="FT",UPPER(TRIM(AM33))="FTE"),"FT",IF(AND(OR(ISNUMBER(SEARCH("part",AM33)),UPPER(TRIM(AM33))="PT",UPPER(TRIM(AM33))="PTE"),OR($P33="",N($P33)&gt;=PT_MinHours)),"PT","None"))))</f>
        <v/>
      </c>
      <c r="AQ33" s="14" t="str">
        <f aca="false">IF(AG33=0,"",IF(AI33&lt;2,"",IF(OR(ISNUMBER(SEARCH("full",AN33)),UPPER(TRIM(AN33))="FT",UPPER(TRIM(AN33))="FTE"),"FT",IF(AND(OR(ISNUMBER(SEARCH("part",AN33)),UPPER(TRIM(AN33))="PT",UPPER(TRIM(AN33))="PTE"),OR($P33="",N($P33)&gt;=PT_MinHours)),"PT","None"))))</f>
        <v/>
      </c>
      <c r="AR33" s="14" t="str">
        <f aca="false">IF(AG33=0,"",IF(AI33&lt;3,"",IF(OR(ISNUMBER(SEARCH("full",AO33)),UPPER(TRIM(AO33))="FT",UPPER(TRIM(AO33))="FTE"),"FT",IF(AND(OR(ISNUMBER(SEARCH("part",AO33)),UPPER(TRIM(AO33))="PT",UPPER(TRIM(AO33))="PTE"),OR($P33="",N($P33)&gt;=PT_MinHours)),"PT","None"))))</f>
        <v/>
      </c>
      <c r="AS33" s="14" t="str">
        <f aca="false">IF(AG33=0,"",IF(AND(AI33&gt;=3,AL33&lt;=AsOfDate),AR33,IF(AND(AI33&gt;=2,AK33&lt;=AsOfDate),AQ33,AP33)))</f>
        <v/>
      </c>
      <c r="AT33" s="14" t="str">
        <f aca="false">IF(AG33=0,"",IF(AsOfDate&lt;AH33,-1,12*(YEAR(AsOfDate)-YEAR(AH33))+MONTH(AsOfDate)-MONTH(AH33)-IF(DAY(AsOfDate)&lt;MIN(DAY(AH33),DAY(EOMONTH(AsOfDate,0))),1,0)))</f>
        <v/>
      </c>
      <c r="AU33" s="14" t="str">
        <f aca="false">IF(AG33=0,"",IF(OR(AI33&lt;2,AK33&gt;AsOfDate),AT33,IF((AK33-1)&lt;AH33,-1,12*(YEAR((AK33-1))-YEAR(AH33))+MONTH((AK33-1))-MONTH(AH33)-IF(DAY((AK33-1))&lt;MIN(DAY(AH33),DAY(EOMONTH((AK33-1),0))),1,0))))</f>
        <v/>
      </c>
      <c r="AV33" s="14" t="str">
        <f aca="false">IF(AG33=0,"",IF(OR(AI33&lt;3,AL33&gt;AsOfDate),AT33,IF((AL33-1)&lt;AH33,-1,12*(YEAR((AL33-1))-YEAR(AH33))+MONTH((AL33-1))-MONTH(AH33)-IF(DAY((AL33-1))&lt;MIN(DAY(AH33),DAY(EOMONTH((AL33-1),0))),1,0))))</f>
        <v/>
      </c>
      <c r="AW33" s="14" t="str">
        <f aca="false">IF(AG33=0,"",IF(PFYDate&lt;AH33,-1,12*(YEAR(PFYDate)-YEAR(AH33))+MONTH(PFYDate)-MONTH(AH33)-IF(DAY(PFYDate)&lt;MIN(DAY(AH33),DAY(EOMONTH(PFYDate,0))),1,0)))</f>
        <v/>
      </c>
      <c r="AX33" s="14" t="str">
        <f aca="false">IF(AG33=0,"",IF(OR(AI33&lt;2,AK33&gt;PFYDate),AW33,IF((AK33-1)&lt;AH33,-1,12*(YEAR((AK33-1))-YEAR(AH33))+MONTH((AK33-1))-MONTH(AH33)-IF(DAY((AK33-1))&lt;MIN(DAY(AH33),DAY(EOMONTH((AK33-1),0))),1,0))))</f>
        <v/>
      </c>
      <c r="AY33" s="14" t="str">
        <f aca="false">IF(AG33=0,"",IF(OR(AI33&lt;3,AL33&gt;PFYDate),AW33,IF((AL33-1)&lt;AH33,-1,12*(YEAR((AL33-1))-YEAR(AH33))+MONTH((AL33-1))-MONTH(AH33)-IF(DAY((AL33-1))&lt;MIN(DAY(AH33),DAY(EOMONTH((AL33-1),0))),1,0))))</f>
        <v/>
      </c>
      <c r="AZ33" s="14" t="str">
        <f aca="false">IF(AG33=0,"",IF(AP33="FT",IF(AU33&lt;FT_First,0,IF(AU33&lt;FT_Y5,1+INT((AU33-FT_First)/FT_Int1),FT_PreY5+FT_PerYear*INT((AU33-FT_Y5)/12)+FT_AnnivDays+INT(MOD(AU33-FT_Y5,12)/FT_Int2))),IF(AP33="PT",IF(AU33&lt;PT_First,0,1+INT((AU33-PT_First)/PT_Int)),0))+IF(AND(AI33&gt;=2,AK33&lt;=AsOfDate),IF(AQ33="FT",IF(AV33&lt;FT_First,0,IF(AV33&lt;FT_Y5,1+INT((AV33-FT_First)/FT_Int1),FT_PreY5+FT_PerYear*INT((AV33-FT_Y5)/12)+FT_AnnivDays+INT(MOD(AV33-FT_Y5,12)/FT_Int2))),IF(AQ33="PT",IF(AV33&lt;PT_First,0,1+INT((AV33-PT_First)/PT_Int)),0))-IF(AQ33="FT",IF(AU33&lt;FT_First,0,IF(AU33&lt;FT_Y5,1+INT((AU33-FT_First)/FT_Int1),FT_PreY5+FT_PerYear*INT((AU33-FT_Y5)/12)+FT_AnnivDays+INT(MOD(AU33-FT_Y5,12)/FT_Int2))),IF(AQ33="PT",IF(AU33&lt;PT_First,0,1+INT((AU33-PT_First)/PT_Int)),0)),0)+IF(AND(AI33&gt;=3,AL33&lt;=AsOfDate),IF(AR33="FT",IF(AT33&lt;FT_First,0,IF(AT33&lt;FT_Y5,1+INT((AT33-FT_First)/FT_Int1),FT_PreY5+FT_PerYear*INT((AT33-FT_Y5)/12)+FT_AnnivDays+INT(MOD(AT33-FT_Y5,12)/FT_Int2))),IF(AR33="PT",IF(AT33&lt;PT_First,0,1+INT((AT33-PT_First)/PT_Int)),0))-IF(AR33="FT",IF(AV33&lt;FT_First,0,IF(AV33&lt;FT_Y5,1+INT((AV33-FT_First)/FT_Int1),FT_PreY5+FT_PerYear*INT((AV33-FT_Y5)/12)+FT_AnnivDays+INT(MOD(AV33-FT_Y5,12)/FT_Int2))),IF(AR33="PT",IF(AV33&lt;PT_First,0,1+INT((AV33-PT_First)/PT_Int)),0)),0))</f>
        <v/>
      </c>
      <c r="BA33" s="14" t="str">
        <f aca="false">IF(AG33=0,"",IF(AP33="FT",IF(AX33&lt;FT_First,0,IF(AX33&lt;FT_Y5,1+INT((AX33-FT_First)/FT_Int1),FT_PreY5+FT_PerYear*INT((AX33-FT_Y5)/12)+FT_AnnivDays+INT(MOD(AX33-FT_Y5,12)/FT_Int2))),IF(AP33="PT",IF(AX33&lt;PT_First,0,1+INT((AX33-PT_First)/PT_Int)),0))+IF(AND(AI33&gt;=2,AK33&lt;=PFYDate),IF(AQ33="FT",IF(AY33&lt;FT_First,0,IF(AY33&lt;FT_Y5,1+INT((AY33-FT_First)/FT_Int1),FT_PreY5+FT_PerYear*INT((AY33-FT_Y5)/12)+FT_AnnivDays+INT(MOD(AY33-FT_Y5,12)/FT_Int2))),IF(AQ33="PT",IF(AY33&lt;PT_First,0,1+INT((AY33-PT_First)/PT_Int)),0))-IF(AQ33="FT",IF(AX33&lt;FT_First,0,IF(AX33&lt;FT_Y5,1+INT((AX33-FT_First)/FT_Int1),FT_PreY5+FT_PerYear*INT((AX33-FT_Y5)/12)+FT_AnnivDays+INT(MOD(AX33-FT_Y5,12)/FT_Int2))),IF(AQ33="PT",IF(AX33&lt;PT_First,0,1+INT((AX33-PT_First)/PT_Int)),0)),0)+IF(AND(AI33&gt;=3,AL33&lt;=PFYDate),IF(AR33="FT",IF(AW33&lt;FT_First,0,IF(AW33&lt;FT_Y5,1+INT((AW33-FT_First)/FT_Int1),FT_PreY5+FT_PerYear*INT((AW33-FT_Y5)/12)+FT_AnnivDays+INT(MOD(AW33-FT_Y5,12)/FT_Int2))),IF(AR33="PT",IF(AW33&lt;PT_First,0,1+INT((AW33-PT_First)/PT_Int)),0))-IF(AR33="FT",IF(AY33&lt;FT_First,0,IF(AY33&lt;FT_Y5,1+INT((AY33-FT_First)/FT_Int1),FT_PreY5+FT_PerYear*INT((AY33-FT_Y5)/12)+FT_AnnivDays+INT(MOD(AY33-FT_Y5,12)/FT_Int2))),IF(AR33="PT",IF(AY33&lt;PT_First,0,1+INT((AY33-PT_First)/PT_Int)),0)),0))</f>
        <v/>
      </c>
      <c r="BB33" s="14" t="str">
        <f aca="false">IF(AG33=0,"",IF(AS33="FT",IF(AT33&lt;FT_First,FT_First,IF(AT33&lt;FT_Y5,MIN(FT_Y5,FT_First+FT_Int1*(INT((AT33-FT_First)/FT_Int1)+1)),FT_Y5+12*INT((AT33-FT_Y5)/12)+FT_Int2*(INT(MOD(AT33-FT_Y5,12)/FT_Int2)+1))),IF(AS33="PT",IF(AT33&lt;PT_First,PT_First,PT_First+PT_Int*(INT((AT33-PT_First)/PT_Int)+1)),"")))</f>
        <v/>
      </c>
      <c r="BC33" s="14" t="str">
        <f aca="false">IF(AG33=0,"",IF(NOT(LH_Ready),0,COUNTIFS(INDEX(LH_Data,0,LH_ColFirst),$A33,INDEX(LH_Data,0,LH_ColSur),$B33,INDEX(LH_Data,0,LH_ColCat),BonusCat)))</f>
        <v/>
      </c>
      <c r="BD33" s="14" t="str">
        <f aca="false">IF(AG33=0,"",IF(OR(NOT(LH_Ready),BC33=0),0,SUMPRODUCT(MAX((INDEX(LH_Data,0,LH_ColFirst)=$A33)*(INDEX(LH_Data,0,LH_ColSur)=$B33)*(INDEX(LH_Data,0,LH_ColCat)=BonusCat)*ROW(LH_Data)))))</f>
        <v/>
      </c>
      <c r="BE33" s="14" t="str">
        <f aca="false">IF(AG33=0,"",IF(EOMONTH(AsOfDate,-1)&lt;AH33,-1,12*(YEAR(EOMONTH(AsOfDate,-1))-YEAR(AH33))+MONTH(EOMONTH(AsOfDate,-1))-MONTH(AH33)-IF(DAY(EOMONTH(AsOfDate,-1))&lt;MIN(DAY(AH33),DAY(EOMONTH(EOMONTH(AsOfDate,-1),0))),1,0)))</f>
        <v/>
      </c>
      <c r="BF33" s="14" t="str">
        <f aca="false">IF(AG33=0,"",IF(OR(AI33&lt;2,AK33&gt;EOMONTH(AsOfDate,-1)),BE33,IF((AK33-1)&lt;AH33,-1,12*(YEAR((AK33-1))-YEAR(AH33))+MONTH((AK33-1))-MONTH(AH33)-IF(DAY((AK33-1))&lt;MIN(DAY(AH33),DAY(EOMONTH((AK33-1),0))),1,0))))</f>
        <v/>
      </c>
      <c r="BG33" s="14" t="str">
        <f aca="false">IF(AG33=0,"",IF(OR(AI33&lt;3,AL33&gt;EOMONTH(AsOfDate,-1)),BE33,IF((AL33-1)&lt;AH33,-1,12*(YEAR((AL33-1))-YEAR(AH33))+MONTH((AL33-1))-MONTH(AH33)-IF(DAY((AL33-1))&lt;MIN(DAY(AH33),DAY(EOMONTH((AL33-1),0))),1,0))))</f>
        <v/>
      </c>
      <c r="BH33" s="14" t="str">
        <f aca="false">IF(AG33=0,"",IF(AP33="FT",IF(BF33&lt;FT_First,0,IF(BF33&lt;FT_Y5,1+INT((BF33-FT_First)/FT_Int1),FT_PreY5+FT_PerYear*INT((BF33-FT_Y5)/12)+FT_AnnivDays+INT(MOD(BF33-FT_Y5,12)/FT_Int2))),IF(AP33="PT",IF(BF33&lt;PT_First,0,1+INT((BF33-PT_First)/PT_Int)),0))+IF(AND(AI33&gt;=2,AK33&lt;=EOMONTH(AsOfDate,-1)),IF(AQ33="FT",IF(BG33&lt;FT_First,0,IF(BG33&lt;FT_Y5,1+INT((BG33-FT_First)/FT_Int1),FT_PreY5+FT_PerYear*INT((BG33-FT_Y5)/12)+FT_AnnivDays+INT(MOD(BG33-FT_Y5,12)/FT_Int2))),IF(AQ33="PT",IF(BG33&lt;PT_First,0,1+INT((BG33-PT_First)/PT_Int)),0))-IF(AQ33="FT",IF(BF33&lt;FT_First,0,IF(BF33&lt;FT_Y5,1+INT((BF33-FT_First)/FT_Int1),FT_PreY5+FT_PerYear*INT((BF33-FT_Y5)/12)+FT_AnnivDays+INT(MOD(BF33-FT_Y5,12)/FT_Int2))),IF(AQ33="PT",IF(BF33&lt;PT_First,0,1+INT((BF33-PT_First)/PT_Int)),0)),0)+IF(AND(AI33&gt;=3,AL33&lt;=EOMONTH(AsOfDate,-1)),IF(AR33="FT",IF(BE33&lt;FT_First,0,IF(BE33&lt;FT_Y5,1+INT((BE33-FT_First)/FT_Int1),FT_PreY5+FT_PerYear*INT((BE33-FT_Y5)/12)+FT_AnnivDays+INT(MOD(BE33-FT_Y5,12)/FT_Int2))),IF(AR33="PT",IF(BE33&lt;PT_First,0,1+INT((BE33-PT_First)/PT_Int)),0))-IF(AR33="FT",IF(BG33&lt;FT_First,0,IF(BG33&lt;FT_Y5,1+INT((BG33-FT_First)/FT_Int1),FT_PreY5+FT_PerYear*INT((BG33-FT_Y5)/12)+FT_AnnivDays+INT(MOD(BG33-FT_Y5,12)/FT_Int2))),IF(AR33="PT",IF(BG33&lt;PT_First,0,1+INT((BG33-PT_First)/PT_Int)),0)),0))</f>
        <v/>
      </c>
      <c r="BI33" s="14" t="str">
        <f aca="false">IF(AG33=0,"",IF(AS33="FT",IF(AT33&lt;FT_First,"",IF(AT33&lt;FT_Y5,FT_First+FT_Int1*INT((AT33-FT_First)/FT_Int1),FT_Y5+FT_Int2*INT((AT33-FT_Y5)/FT_Int2))),IF(AS33="PT",IF(AT33&lt;PT_First,"",PT_First+PT_Int*INT((AT33-PT_First)/PT_Int)),"")))</f>
        <v/>
      </c>
      <c r="BJ33" s="0" t="str">
        <f aca="false">IF(LEN($A33&amp;$B33)=0,"",$A33&amp;" "&amp;$B33)</f>
        <v/>
      </c>
    </row>
    <row r="34" customFormat="false" ht="15" hidden="false" customHeight="false" outlineLevel="0" collapsed="false">
      <c r="A34" s="10"/>
      <c r="B34" s="10"/>
      <c r="C34" s="10"/>
      <c r="D34" s="11"/>
      <c r="E34" s="12" t="str">
        <f aca="false">IF(OR(AG34=0,$D34=""),"",DATE(YEAR(AsOfDate)+IF(DATE(YEAR(AsOfDate),MONTH($D34),DAY($D34))&lt;=AsOfDate,1,0),MONTH($D34),DAY($D34)))</f>
        <v/>
      </c>
      <c r="F34" s="11"/>
      <c r="G34" s="11"/>
      <c r="H34" s="11"/>
      <c r="I34" s="11"/>
      <c r="J34" s="11"/>
      <c r="K34" s="12" t="str">
        <f aca="false">IF(AG34=0,"",DATE(YEAR(AsOfDate)+IF(DATE(YEAR(AsOfDate),MONTH(AH34),DAY(AH34))&lt;=AsOfDate,1,0),MONTH(AH34),DAY(AH34)))</f>
        <v/>
      </c>
      <c r="L34" s="13" t="str">
        <f aca="false">IF(AG34=0,"",ROUND((AsOfDate-AH34)/365.25,1))</f>
        <v/>
      </c>
      <c r="M34" s="14" t="str">
        <f aca="false">IF(AG34=0,"",IF(AsOfDate&lt;AH34,"-",DATEDIF(AH34,AsOfDate,"y")&amp;"y "&amp;DATEDIF(AH34,AsOfDate,"ym")&amp;"m "&amp;DATEDIF(AH34,AsOfDate,"md")&amp;"d"))</f>
        <v/>
      </c>
      <c r="N34" s="15" t="str">
        <f aca="false">IF(AG34=0,"",O34*HoursPerDay)</f>
        <v/>
      </c>
      <c r="O34" s="15" t="str">
        <f aca="false">IF(AG34=0,"",AZ34)</f>
        <v/>
      </c>
      <c r="P34" s="16"/>
      <c r="Q34" s="14" t="str">
        <f aca="false">IF(AG34=0,"",IF(AI34&lt;2,"",AM34&amp;" to "&amp;AN34&amp;" on "&amp;TEXT(AK34,"dd/mm/yyyy")&amp;IF(AK34&gt;AsOfDate," (future)",IF(AP34=AQ34,"",IF(AQ34="None"," - STOPPED accruing",IF(AP34="None"," - commencement for Bonus Leave"," - pathway changed"))))&amp;IF(AI34&lt;3,"","; "&amp;AN34&amp;" to "&amp;AO34&amp;" on "&amp;TEXT(AL34,"dd/mm/yyyy")&amp;IF(AL34&gt;AsOfDate," (future)",IF(AQ34=AR34,"",IF(AR34="None"," - STOPPED accruing",IF(AQ34="None"," - commencement for Bonus Leave"," - pathway changed")))))))</f>
        <v/>
      </c>
      <c r="R34" s="14" t="str">
        <f aca="false">IF(AG34=0,"",IF(AS34="None",IF(O34&gt;0,"No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2" t="str">
        <f aca="false">IF(AG34=0,"",IF(AS34="None","",EDATE(AH34,BB34)))</f>
        <v/>
      </c>
      <c r="T34" s="15" t="str">
        <f aca="false">IF(AG34=0,"",IF(NOT(LH_Ready),"",IF(AH34&gt;PFYDate,0,IF(LH_ColPeriod=0,W34-U34+V34,SUMIFS(INDEX(LH_Data,0,LH_ColAcc),INDEX(LH_Data,0,LH_ColFirst),$A34,INDEX(LH_Data,0,LH_ColSur),$B34,INDEX(LH_Data,0,LH_ColCat),BonusCat,INDEX(LH_Data,0,LH_ColPeriod),LH_OpenLabel)*UnitFactor))))</f>
        <v/>
      </c>
      <c r="U34" s="15" t="str">
        <f aca="false">IF(AG34=0,"",IF(NOT(LH_Ready),"",SUMIFS(INDEX(LH_Data,0,LH_ColAcc),INDEX(LH_Data,0,LH_ColFirst),$A34,INDEX(LH_Data,0,LH_ColSur),$B34,INDEX(LH_Data,0,LH_ColCat),BonusCat,INDEX(LH_Data,0,LH_ColStart),"&gt;="&amp;AH34)*UnitFactor))</f>
        <v/>
      </c>
      <c r="V34" s="15" t="str">
        <f aca="false">IF(AG34=0,"",IF(NOT(LH_Ready),"",SUMIFS(INDEX(LH_Data,0,LH_ColTaken),INDEX(LH_Data,0,LH_ColFirst),$A34,INDEX(LH_Data,0,LH_ColSur),$B34,INDEX(LH_Data,0,LH_ColCat),BonusCat,INDEX(LH_Data,0,LH_ColStart),"&gt;="&amp;AH34)*UnitFactor))</f>
        <v/>
      </c>
      <c r="W34" s="15" t="str">
        <f aca="false">IF(AG34=0,"",IF(NOT(LH_Ready),"",IF(BD34=0,0,INDEX(INDEX(LH_Data,0,LH_ColClose),BD34-1)*UnitFactor)))</f>
        <v/>
      </c>
      <c r="X34" s="15" t="str">
        <f aca="false">IF(AG34=0,"",(AZ34-BA34)*HoursPerDay)</f>
        <v/>
      </c>
      <c r="Y34" s="15" t="str">
        <f aca="false">IF(AG34=0,"",IF(NOT(LH_Ready),"",IF(BC34=0,N34,IF(PFYDate&lt;$F34,N34-N(T34)-N(U34),X34-N(U34)))))</f>
        <v/>
      </c>
      <c r="Z34" s="14" t="str">
        <f aca="false">IF(OR(AG34=0,Y34=""),"",IF(Y34&gt;0,"Yes","No"))</f>
        <v/>
      </c>
      <c r="AA34" s="14" t="str">
        <f aca="false">IF(AG34=0,IF(LEN($A34&amp;$B34)=0,"","FIX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month")&amp;IF(BC34=0,";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EH)",""),IF(AS34="None",R34,"Not yet - first day on "&amp;TEXT(S34,"dd/mm/yyyy")))))))))</f>
        <v/>
      </c>
      <c r="AB34" s="15" t="str">
        <f aca="false">IF(OR(AG34=0,T34=""),"",BA34*HoursPerDay-T34)</f>
        <v/>
      </c>
      <c r="AC34" s="14" t="str">
        <f aca="false">IF(AG34=0,"",BC34)</f>
        <v/>
      </c>
      <c r="AD34" s="14" t="str">
        <f aca="false">IF(AG34=0,"",TRIM(IF(OR(ISTEXT($F34),ISTEXT($H34),ISTEXT($I34),ISTEXT($G34),ISTEXT($J34),ISTEXT($D34)),"A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I34&gt;=1,IF(AI34&gt;=3,AO34,IF(AI34=2,AN34,AM34))&lt;&gt;IF($C34="","",IF(OR(ISNUMBER(SEARCH("full",$C34)),UPPER(TRIM($C34))="FT",UPPER(TRIM($C34))="FTE"),"Full-Time",IF(OR(ISNUMBER(SEARCH("part",$C34)),UPPER(TRIM($C34))="PT",UPPER(TRIM($C34))="PTE"),"Part-Time",IF(OR(ISNUMBER(SEARCH("cas",$C34)),UPPER(TRIM($C34))="CAS"),"Casual","Unknown"))))),"EmploymentType does not match latest start date ("&amp;IF(AI34&gt;=3,AO34,IF(AI34=2,AN34,AM34))&amp;"). ","")&amp;IF(AND(AI34&gt;=1,AJ34&lt;&gt;$F34),"Earliest type date should equal StartDate. ","")&amp;IF(AND(AI34&gt;=2,AJ34=AK34),"Two types start on the same date. ","")&amp;IF(AND(OR(ISNUMBER(SEARCH("part",$C34)),UPPER(TRIM($C34))="PT",UPPER(TRIM($C34))="PTE"),$P34=""),"Part-time: enter PT Hrs/Week (blank = 24+). ","")))</f>
        <v/>
      </c>
      <c r="AE34" s="15" t="str">
        <f aca="false">IF(AG34=0,"",O34-BH34)</f>
        <v/>
      </c>
      <c r="AF34" s="12" t="str">
        <f aca="false">IF(OR(AG34=0,AE34="",N(AE34)=0,BI34=""),"",EDATE(AH34,BI34))</f>
        <v/>
      </c>
      <c r="AG34" s="14" t="n">
        <f aca="false">IF(OR(LEN($A34&amp;$B34)=0,$F34=""),0,1)</f>
        <v>0</v>
      </c>
      <c r="AH34" s="12" t="str">
        <f aca="false">IF(AG34=0,"",IF($J34&lt;&gt;"",$J34,IF(OR(CasualCounts="Yes",COUNT($G34:$I34)=0,COUNT($H34:$I34)=0),$F34,MIN($H34:$I34))))</f>
        <v/>
      </c>
      <c r="AI34" s="14" t="str">
        <f aca="false">IF(AG34=0,"",COUNT($G34:$I34))</f>
        <v/>
      </c>
      <c r="AJ34" s="12" t="str">
        <f aca="false">IF(AG34=0,"",IFERROR(SMALL($G34:$I34,1),""))</f>
        <v/>
      </c>
      <c r="AK34" s="12" t="str">
        <f aca="false">IF(AG34=0,"",IFERROR(SMALL($G34:$I34,2),""))</f>
        <v/>
      </c>
      <c r="AL34" s="12" t="str">
        <f aca="false">IF(AG34=0,"",IFERROR(SMALL($G34:$I34,3),""))</f>
        <v/>
      </c>
      <c r="AM34" s="14" t="str">
        <f aca="false">IF(AG34=0,"",IF(AJ34="","",IF(AJ34=$H34,"Part-Time",IF(AJ34=$I34,"Full-Time","Casual"))))</f>
        <v/>
      </c>
      <c r="AN34" s="14" t="str">
        <f aca="false">IF(AG34=0,"",IF(AK34="","",IF(AK34=$H34,"Part-Time",IF(AK34=$I34,"Full-Time","Casual"))))</f>
        <v/>
      </c>
      <c r="AO34" s="14" t="str">
        <f aca="false">IF(AG34=0,"",IF(AL34="","",IF(AL34=$H34,"Part-Time",IF(AL34=$I34,"Full-Time","Casual"))))</f>
        <v/>
      </c>
      <c r="AP34" s="14" t="str">
        <f aca="false">IF(AG34=0,"",IF(AI34=0,IF(OR(ISNUMBER(SEARCH("full",$C34)),UPPER(TRIM($C34))="FT",UPPER(TRIM($C34))="FTE"),"FT",IF(AND(OR(ISNUMBER(SEARCH("part",$C34)),UPPER(TRIM($C34))="PT",UPPER(TRIM($C34))="PTE"),OR($P34="",N($P34)&gt;=PT_MinHours)),"PT","None")),IF(OR(ISNUMBER(SEARCH("full",AM34)),UPPER(TRIM(AM34))="FT",UPPER(TRIM(AM34))="FTE"),"FT",IF(AND(OR(ISNUMBER(SEARCH("part",AM34)),UPPER(TRIM(AM34))="PT",UPPER(TRIM(AM34))="PTE"),OR($P34="",N($P34)&gt;=PT_MinHours)),"PT","None"))))</f>
        <v/>
      </c>
      <c r="AQ34" s="14" t="str">
        <f aca="false">IF(AG34=0,"",IF(AI34&lt;2,"",IF(OR(ISNUMBER(SEARCH("full",AN34)),UPPER(TRIM(AN34))="FT",UPPER(TRIM(AN34))="FTE"),"FT",IF(AND(OR(ISNUMBER(SEARCH("part",AN34)),UPPER(TRIM(AN34))="PT",UPPER(TRIM(AN34))="PTE"),OR($P34="",N($P34)&gt;=PT_MinHours)),"PT","None"))))</f>
        <v/>
      </c>
      <c r="AR34" s="14" t="str">
        <f aca="false">IF(AG34=0,"",IF(AI34&lt;3,"",IF(OR(ISNUMBER(SEARCH("full",AO34)),UPPER(TRIM(AO34))="FT",UPPER(TRIM(AO34))="FTE"),"FT",IF(AND(OR(ISNUMBER(SEARCH("part",AO34)),UPPER(TRIM(AO34))="PT",UPPER(TRIM(AO34))="PTE"),OR($P34="",N($P34)&gt;=PT_MinHours)),"PT","None"))))</f>
        <v/>
      </c>
      <c r="AS34" s="14" t="str">
        <f aca="false">IF(AG34=0,"",IF(AND(AI34&gt;=3,AL34&lt;=AsOfDate),AR34,IF(AND(AI34&gt;=2,AK34&lt;=AsOfDate),AQ34,AP34)))</f>
        <v/>
      </c>
      <c r="AT34" s="14" t="str">
        <f aca="false">IF(AG34=0,"",IF(AsOfDate&lt;AH34,-1,12*(YEAR(AsOfDate)-YEAR(AH34))+MONTH(AsOfDate)-MONTH(AH34)-IF(DAY(AsOfDate)&lt;MIN(DAY(AH34),DAY(EOMONTH(AsOfDate,0))),1,0)))</f>
        <v/>
      </c>
      <c r="AU34" s="14" t="str">
        <f aca="false">IF(AG34=0,"",IF(OR(AI34&lt;2,AK34&gt;AsOfDate),AT34,IF((AK34-1)&lt;AH34,-1,12*(YEAR((AK34-1))-YEAR(AH34))+MONTH((AK34-1))-MONTH(AH34)-IF(DAY((AK34-1))&lt;MIN(DAY(AH34),DAY(EOMONTH((AK34-1),0))),1,0))))</f>
        <v/>
      </c>
      <c r="AV34" s="14" t="str">
        <f aca="false">IF(AG34=0,"",IF(OR(AI34&lt;3,AL34&gt;AsOfDate),AT34,IF((AL34-1)&lt;AH34,-1,12*(YEAR((AL34-1))-YEAR(AH34))+MONTH((AL34-1))-MONTH(AH34)-IF(DAY((AL34-1))&lt;MIN(DAY(AH34),DAY(EOMONTH((AL34-1),0))),1,0))))</f>
        <v/>
      </c>
      <c r="AW34" s="14" t="str">
        <f aca="false">IF(AG34=0,"",IF(PFYDate&lt;AH34,-1,12*(YEAR(PFYDate)-YEAR(AH34))+MONTH(PFYDate)-MONTH(AH34)-IF(DAY(PFYDate)&lt;MIN(DAY(AH34),DAY(EOMONTH(PFYDate,0))),1,0)))</f>
        <v/>
      </c>
      <c r="AX34" s="14" t="str">
        <f aca="false">IF(AG34=0,"",IF(OR(AI34&lt;2,AK34&gt;PFYDate),AW34,IF((AK34-1)&lt;AH34,-1,12*(YEAR((AK34-1))-YEAR(AH34))+MONTH((AK34-1))-MONTH(AH34)-IF(DAY((AK34-1))&lt;MIN(DAY(AH34),DAY(EOMONTH((AK34-1),0))),1,0))))</f>
        <v/>
      </c>
      <c r="AY34" s="14" t="str">
        <f aca="false">IF(AG34=0,"",IF(OR(AI34&lt;3,AL34&gt;PFYDate),AW34,IF((AL34-1)&lt;AH34,-1,12*(YEAR((AL34-1))-YEAR(AH34))+MONTH((AL34-1))-MONTH(AH34)-IF(DAY((AL34-1))&lt;MIN(DAY(AH34),DAY(EOMONTH((AL34-1),0))),1,0))))</f>
        <v/>
      </c>
      <c r="AZ34" s="14" t="str">
        <f aca="false">IF(AG34=0,"",IF(AP34="FT",IF(AU34&lt;FT_First,0,IF(AU34&lt;FT_Y5,1+INT((AU34-FT_First)/FT_Int1),FT_PreY5+FT_PerYear*INT((AU34-FT_Y5)/12)+FT_AnnivDays+INT(MOD(AU34-FT_Y5,12)/FT_Int2))),IF(AP34="PT",IF(AU34&lt;PT_First,0,1+INT((AU34-PT_First)/PT_Int)),0))+IF(AND(AI34&gt;=2,AK34&lt;=AsOfDate),IF(AQ34="FT",IF(AV34&lt;FT_First,0,IF(AV34&lt;FT_Y5,1+INT((AV34-FT_First)/FT_Int1),FT_PreY5+FT_PerYear*INT((AV34-FT_Y5)/12)+FT_AnnivDays+INT(MOD(AV34-FT_Y5,12)/FT_Int2))),IF(AQ34="PT",IF(AV34&lt;PT_First,0,1+INT((AV34-PT_First)/PT_Int)),0))-IF(AQ34="FT",IF(AU34&lt;FT_First,0,IF(AU34&lt;FT_Y5,1+INT((AU34-FT_First)/FT_Int1),FT_PreY5+FT_PerYear*INT((AU34-FT_Y5)/12)+FT_AnnivDays+INT(MOD(AU34-FT_Y5,12)/FT_Int2))),IF(AQ34="PT",IF(AU34&lt;PT_First,0,1+INT((AU34-PT_First)/PT_Int)),0)),0)+IF(AND(AI34&gt;=3,AL34&lt;=AsOfDate),IF(AR34="FT",IF(AT34&lt;FT_First,0,IF(AT34&lt;FT_Y5,1+INT((AT34-FT_First)/FT_Int1),FT_PreY5+FT_PerYear*INT((AT34-FT_Y5)/12)+FT_AnnivDays+INT(MOD(AT34-FT_Y5,12)/FT_Int2))),IF(AR34="PT",IF(AT34&lt;PT_First,0,1+INT((AT34-PT_First)/PT_Int)),0))-IF(AR34="FT",IF(AV34&lt;FT_First,0,IF(AV34&lt;FT_Y5,1+INT((AV34-FT_First)/FT_Int1),FT_PreY5+FT_PerYear*INT((AV34-FT_Y5)/12)+FT_AnnivDays+INT(MOD(AV34-FT_Y5,12)/FT_Int2))),IF(AR34="PT",IF(AV34&lt;PT_First,0,1+INT((AV34-PT_First)/PT_Int)),0)),0))</f>
        <v/>
      </c>
      <c r="BA34" s="14" t="str">
        <f aca="false">IF(AG34=0,"",IF(AP34="FT",IF(AX34&lt;FT_First,0,IF(AX34&lt;FT_Y5,1+INT((AX34-FT_First)/FT_Int1),FT_PreY5+FT_PerYear*INT((AX34-FT_Y5)/12)+FT_AnnivDays+INT(MOD(AX34-FT_Y5,12)/FT_Int2))),IF(AP34="PT",IF(AX34&lt;PT_First,0,1+INT((AX34-PT_First)/PT_Int)),0))+IF(AND(AI34&gt;=2,AK34&lt;=PFYDate),IF(AQ34="FT",IF(AY34&lt;FT_First,0,IF(AY34&lt;FT_Y5,1+INT((AY34-FT_First)/FT_Int1),FT_PreY5+FT_PerYear*INT((AY34-FT_Y5)/12)+FT_AnnivDays+INT(MOD(AY34-FT_Y5,12)/FT_Int2))),IF(AQ34="PT",IF(AY34&lt;PT_First,0,1+INT((AY34-PT_First)/PT_Int)),0))-IF(AQ34="FT",IF(AX34&lt;FT_First,0,IF(AX34&lt;FT_Y5,1+INT((AX34-FT_First)/FT_Int1),FT_PreY5+FT_PerYear*INT((AX34-FT_Y5)/12)+FT_AnnivDays+INT(MOD(AX34-FT_Y5,12)/FT_Int2))),IF(AQ34="PT",IF(AX34&lt;PT_First,0,1+INT((AX34-PT_First)/PT_Int)),0)),0)+IF(AND(AI34&gt;=3,AL34&lt;=PFYDate),IF(AR34="FT",IF(AW34&lt;FT_First,0,IF(AW34&lt;FT_Y5,1+INT((AW34-FT_First)/FT_Int1),FT_PreY5+FT_PerYear*INT((AW34-FT_Y5)/12)+FT_AnnivDays+INT(MOD(AW34-FT_Y5,12)/FT_Int2))),IF(AR34="PT",IF(AW34&lt;PT_First,0,1+INT((AW34-PT_First)/PT_Int)),0))-IF(AR34="FT",IF(AY34&lt;FT_First,0,IF(AY34&lt;FT_Y5,1+INT((AY34-FT_First)/FT_Int1),FT_PreY5+FT_PerYear*INT((AY34-FT_Y5)/12)+FT_AnnivDays+INT(MOD(AY34-FT_Y5,12)/FT_Int2))),IF(AR34="PT",IF(AY34&lt;PT_First,0,1+INT((AY34-PT_First)/PT_Int)),0)),0))</f>
        <v/>
      </c>
      <c r="BB34" s="14" t="str">
        <f aca="false">IF(AG34=0,"",IF(AS34="FT",IF(AT34&lt;FT_First,FT_First,IF(AT34&lt;FT_Y5,MIN(FT_Y5,FT_First+FT_Int1*(INT((AT34-FT_First)/FT_Int1)+1)),FT_Y5+12*INT((AT34-FT_Y5)/12)+FT_Int2*(INT(MOD(AT34-FT_Y5,12)/FT_Int2)+1))),IF(AS34="PT",IF(AT34&lt;PT_First,PT_First,PT_First+PT_Int*(INT((AT34-PT_First)/PT_Int)+1)),"")))</f>
        <v/>
      </c>
      <c r="BC34" s="14" t="str">
        <f aca="false">IF(AG34=0,"",IF(NOT(LH_Ready),0,COUNTIFS(INDEX(LH_Data,0,LH_ColFirst),$A34,INDEX(LH_Data,0,LH_ColSur),$B34,INDEX(LH_Data,0,LH_ColCat),BonusCat)))</f>
        <v/>
      </c>
      <c r="BD34" s="14" t="str">
        <f aca="false">IF(AG34=0,"",IF(OR(NOT(LH_Ready),BC34=0),0,SUMPRODUCT(MAX((INDEX(LH_Data,0,LH_ColFirst)=$A34)*(INDEX(LH_Data,0,LH_ColSur)=$B34)*(INDEX(LH_Data,0,LH_ColCat)=BonusCat)*ROW(LH_Data)))))</f>
        <v/>
      </c>
      <c r="BE34" s="14" t="str">
        <f aca="false">IF(AG34=0,"",IF(EOMONTH(AsOfDate,-1)&lt;AH34,-1,12*(YEAR(EOMONTH(AsOfDate,-1))-YEAR(AH34))+MONTH(EOMONTH(AsOfDate,-1))-MONTH(AH34)-IF(DAY(EOMONTH(AsOfDate,-1))&lt;MIN(DAY(AH34),DAY(EOMONTH(EOMONTH(AsOfDate,-1),0))),1,0)))</f>
        <v/>
      </c>
      <c r="BF34" s="14" t="str">
        <f aca="false">IF(AG34=0,"",IF(OR(AI34&lt;2,AK34&gt;EOMONTH(AsOfDate,-1)),BE34,IF((AK34-1)&lt;AH34,-1,12*(YEAR((AK34-1))-YEAR(AH34))+MONTH((AK34-1))-MONTH(AH34)-IF(DAY((AK34-1))&lt;MIN(DAY(AH34),DAY(EOMONTH((AK34-1),0))),1,0))))</f>
        <v/>
      </c>
      <c r="BG34" s="14" t="str">
        <f aca="false">IF(AG34=0,"",IF(OR(AI34&lt;3,AL34&gt;EOMONTH(AsOfDate,-1)),BE34,IF((AL34-1)&lt;AH34,-1,12*(YEAR((AL34-1))-YEAR(AH34))+MONTH((AL34-1))-MONTH(AH34)-IF(DAY((AL34-1))&lt;MIN(DAY(AH34),DAY(EOMONTH((AL34-1),0))),1,0))))</f>
        <v/>
      </c>
      <c r="BH34" s="14" t="str">
        <f aca="false">IF(AG34=0,"",IF(AP34="FT",IF(BF34&lt;FT_First,0,IF(BF34&lt;FT_Y5,1+INT((BF34-FT_First)/FT_Int1),FT_PreY5+FT_PerYear*INT((BF34-FT_Y5)/12)+FT_AnnivDays+INT(MOD(BF34-FT_Y5,12)/FT_Int2))),IF(AP34="PT",IF(BF34&lt;PT_First,0,1+INT((BF34-PT_First)/PT_Int)),0))+IF(AND(AI34&gt;=2,AK34&lt;=EOMONTH(AsOfDate,-1)),IF(AQ34="FT",IF(BG34&lt;FT_First,0,IF(BG34&lt;FT_Y5,1+INT((BG34-FT_First)/FT_Int1),FT_PreY5+FT_PerYear*INT((BG34-FT_Y5)/12)+FT_AnnivDays+INT(MOD(BG34-FT_Y5,12)/FT_Int2))),IF(AQ34="PT",IF(BG34&lt;PT_First,0,1+INT((BG34-PT_First)/PT_Int)),0))-IF(AQ34="FT",IF(BF34&lt;FT_First,0,IF(BF34&lt;FT_Y5,1+INT((BF34-FT_First)/FT_Int1),FT_PreY5+FT_PerYear*INT((BF34-FT_Y5)/12)+FT_AnnivDays+INT(MOD(BF34-FT_Y5,12)/FT_Int2))),IF(AQ34="PT",IF(BF34&lt;PT_First,0,1+INT((BF34-PT_First)/PT_Int)),0)),0)+IF(AND(AI34&gt;=3,AL34&lt;=EOMONTH(AsOfDate,-1)),IF(AR34="FT",IF(BE34&lt;FT_First,0,IF(BE34&lt;FT_Y5,1+INT((BE34-FT_First)/FT_Int1),FT_PreY5+FT_PerYear*INT((BE34-FT_Y5)/12)+FT_AnnivDays+INT(MOD(BE34-FT_Y5,12)/FT_Int2))),IF(AR34="PT",IF(BE34&lt;PT_First,0,1+INT((BE34-PT_First)/PT_Int)),0))-IF(AR34="FT",IF(BG34&lt;FT_First,0,IF(BG34&lt;FT_Y5,1+INT((BG34-FT_First)/FT_Int1),FT_PreY5+FT_PerYear*INT((BG34-FT_Y5)/12)+FT_AnnivDays+INT(MOD(BG34-FT_Y5,12)/FT_Int2))),IF(AR34="PT",IF(BG34&lt;PT_First,0,1+INT((BG34-PT_First)/PT_Int)),0)),0))</f>
        <v/>
      </c>
      <c r="BI34" s="14" t="str">
        <f aca="false">IF(AG34=0,"",IF(AS34="FT",IF(AT34&lt;FT_First,"",IF(AT34&lt;FT_Y5,FT_First+FT_Int1*INT((AT34-FT_First)/FT_Int1),FT_Y5+FT_Int2*INT((AT34-FT_Y5)/FT_Int2))),IF(AS34="PT",IF(AT34&lt;PT_First,"",PT_First+PT_Int*INT((AT34-PT_First)/PT_Int)),"")))</f>
        <v/>
      </c>
      <c r="BJ34" s="0" t="str">
        <f aca="false">IF(LEN($A34&amp;$B34)=0,"",$A34&amp;" "&amp;$B34)</f>
        <v/>
      </c>
    </row>
    <row r="35" customFormat="false" ht="15" hidden="false" customHeight="false" outlineLevel="0" collapsed="false">
      <c r="A35" s="10"/>
      <c r="B35" s="10"/>
      <c r="C35" s="10"/>
      <c r="D35" s="11"/>
      <c r="E35" s="12" t="str">
        <f aca="false">IF(OR(AG35=0,$D35=""),"",DATE(YEAR(AsOfDate)+IF(DATE(YEAR(AsOfDate),MONTH($D35),DAY($D35))&lt;=AsOfDate,1,0),MONTH($D35),DAY($D35)))</f>
        <v/>
      </c>
      <c r="F35" s="11"/>
      <c r="G35" s="11"/>
      <c r="H35" s="11"/>
      <c r="I35" s="11"/>
      <c r="J35" s="11"/>
      <c r="K35" s="12" t="str">
        <f aca="false">IF(AG35=0,"",DATE(YEAR(AsOfDate)+IF(DATE(YEAR(AsOfDate),MONTH(AH35),DAY(AH35))&lt;=AsOfDate,1,0),MONTH(AH35),DAY(AH35)))</f>
        <v/>
      </c>
      <c r="L35" s="13" t="str">
        <f aca="false">IF(AG35=0,"",ROUND((AsOfDate-AH35)/365.25,1))</f>
        <v/>
      </c>
      <c r="M35" s="14" t="str">
        <f aca="false">IF(AG35=0,"",IF(AsOfDate&lt;AH35,"-",DATEDIF(AH35,AsOfDate,"y")&amp;"y "&amp;DATEDIF(AH35,AsOfDate,"ym")&amp;"m "&amp;DATEDIF(AH35,AsOfDate,"md")&amp;"d"))</f>
        <v/>
      </c>
      <c r="N35" s="15" t="str">
        <f aca="false">IF(AG35=0,"",O35*HoursPerDay)</f>
        <v/>
      </c>
      <c r="O35" s="15" t="str">
        <f aca="false">IF(AG35=0,"",AZ35)</f>
        <v/>
      </c>
      <c r="P35" s="16"/>
      <c r="Q35" s="14" t="str">
        <f aca="false">IF(AG35=0,"",IF(AI35&lt;2,"",AM35&amp;" to "&amp;AN35&amp;" on "&amp;TEXT(AK35,"dd/mm/yyyy")&amp;IF(AK35&gt;AsOfDate," (future)",IF(AP35=AQ35,"",IF(AQ35="None"," - STOPPED accruing",IF(AP35="None"," - commencement for Bonus Leave"," - pathway changed"))))&amp;IF(AI35&lt;3,"","; "&amp;AN35&amp;" to "&amp;AO35&amp;" on "&amp;TEXT(AL35,"dd/mm/yyyy")&amp;IF(AL35&gt;AsOfDate," (future)",IF(AQ35=AR35,"",IF(AR35="None"," - STOPPED accruing",IF(AQ35="None"," - commencement for Bonus Leave"," - pathway changed")))))))</f>
        <v/>
      </c>
      <c r="R35" s="14" t="str">
        <f aca="false">IF(AG35=0,"",IF(AS35="None",IF(O35&gt;0,"No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2" t="str">
        <f aca="false">IF(AG35=0,"",IF(AS35="None","",EDATE(AH35,BB35)))</f>
        <v/>
      </c>
      <c r="T35" s="15" t="str">
        <f aca="false">IF(AG35=0,"",IF(NOT(LH_Ready),"",IF(AH35&gt;PFYDate,0,IF(LH_ColPeriod=0,W35-U35+V35,SUMIFS(INDEX(LH_Data,0,LH_ColAcc),INDEX(LH_Data,0,LH_ColFirst),$A35,INDEX(LH_Data,0,LH_ColSur),$B35,INDEX(LH_Data,0,LH_ColCat),BonusCat,INDEX(LH_Data,0,LH_ColPeriod),LH_OpenLabel)*UnitFactor))))</f>
        <v/>
      </c>
      <c r="U35" s="15" t="str">
        <f aca="false">IF(AG35=0,"",IF(NOT(LH_Ready),"",SUMIFS(INDEX(LH_Data,0,LH_ColAcc),INDEX(LH_Data,0,LH_ColFirst),$A35,INDEX(LH_Data,0,LH_ColSur),$B35,INDEX(LH_Data,0,LH_ColCat),BonusCat,INDEX(LH_Data,0,LH_ColStart),"&gt;="&amp;AH35)*UnitFactor))</f>
        <v/>
      </c>
      <c r="V35" s="15" t="str">
        <f aca="false">IF(AG35=0,"",IF(NOT(LH_Ready),"",SUMIFS(INDEX(LH_Data,0,LH_ColTaken),INDEX(LH_Data,0,LH_ColFirst),$A35,INDEX(LH_Data,0,LH_ColSur),$B35,INDEX(LH_Data,0,LH_ColCat),BonusCat,INDEX(LH_Data,0,LH_ColStart),"&gt;="&amp;AH35)*UnitFactor))</f>
        <v/>
      </c>
      <c r="W35" s="15" t="str">
        <f aca="false">IF(AG35=0,"",IF(NOT(LH_Ready),"",IF(BD35=0,0,INDEX(INDEX(LH_Data,0,LH_ColClose),BD35-1)*UnitFactor)))</f>
        <v/>
      </c>
      <c r="X35" s="15" t="str">
        <f aca="false">IF(AG35=0,"",(AZ35-BA35)*HoursPerDay)</f>
        <v/>
      </c>
      <c r="Y35" s="15" t="str">
        <f aca="false">IF(AG35=0,"",IF(NOT(LH_Ready),"",IF(BC35=0,N35,IF(PFYDate&lt;$F35,N35-N(T35)-N(U35),X35-N(U35)))))</f>
        <v/>
      </c>
      <c r="Z35" s="14" t="str">
        <f aca="false">IF(OR(AG35=0,Y35=""),"",IF(Y35&gt;0,"Yes","No"))</f>
        <v/>
      </c>
      <c r="AA35" s="14" t="str">
        <f aca="false">IF(AG35=0,IF(LEN($A35&amp;$B35)=0,"","FIX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month")&amp;IF(BC35=0,";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EH)",""),IF(AS35="None",R35,"Not yet - first day on "&amp;TEXT(S35,"dd/mm/yyyy")))))))))</f>
        <v/>
      </c>
      <c r="AB35" s="15" t="str">
        <f aca="false">IF(OR(AG35=0,T35=""),"",BA35*HoursPerDay-T35)</f>
        <v/>
      </c>
      <c r="AC35" s="14" t="str">
        <f aca="false">IF(AG35=0,"",BC35)</f>
        <v/>
      </c>
      <c r="AD35" s="14" t="str">
        <f aca="false">IF(AG35=0,"",TRIM(IF(OR(ISTEXT($F35),ISTEXT($H35),ISTEXT($I35),ISTEXT($G35),ISTEXT($J35),ISTEXT($D35)),"A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I35&gt;=1,IF(AI35&gt;=3,AO35,IF(AI35=2,AN35,AM35))&lt;&gt;IF($C35="","",IF(OR(ISNUMBER(SEARCH("full",$C35)),UPPER(TRIM($C35))="FT",UPPER(TRIM($C35))="FTE"),"Full-Time",IF(OR(ISNUMBER(SEARCH("part",$C35)),UPPER(TRIM($C35))="PT",UPPER(TRIM($C35))="PTE"),"Part-Time",IF(OR(ISNUMBER(SEARCH("cas",$C35)),UPPER(TRIM($C35))="CAS"),"Casual","Unknown"))))),"EmploymentType does not match latest start date ("&amp;IF(AI35&gt;=3,AO35,IF(AI35=2,AN35,AM35))&amp;"). ","")&amp;IF(AND(AI35&gt;=1,AJ35&lt;&gt;$F35),"Earliest type date should equal StartDate. ","")&amp;IF(AND(AI35&gt;=2,AJ35=AK35),"Two types start on the same date. ","")&amp;IF(AND(OR(ISNUMBER(SEARCH("part",$C35)),UPPER(TRIM($C35))="PT",UPPER(TRIM($C35))="PTE"),$P35=""),"Part-time: enter PT Hrs/Week (blank = 24+). ","")))</f>
        <v/>
      </c>
      <c r="AE35" s="15" t="str">
        <f aca="false">IF(AG35=0,"",O35-BH35)</f>
        <v/>
      </c>
      <c r="AF35" s="12" t="str">
        <f aca="false">IF(OR(AG35=0,AE35="",N(AE35)=0,BI35=""),"",EDATE(AH35,BI35))</f>
        <v/>
      </c>
      <c r="AG35" s="14" t="n">
        <f aca="false">IF(OR(LEN($A35&amp;$B35)=0,$F35=""),0,1)</f>
        <v>0</v>
      </c>
      <c r="AH35" s="12" t="str">
        <f aca="false">IF(AG35=0,"",IF($J35&lt;&gt;"",$J35,IF(OR(CasualCounts="Yes",COUNT($G35:$I35)=0,COUNT($H35:$I35)=0),$F35,MIN($H35:$I35))))</f>
        <v/>
      </c>
      <c r="AI35" s="14" t="str">
        <f aca="false">IF(AG35=0,"",COUNT($G35:$I35))</f>
        <v/>
      </c>
      <c r="AJ35" s="12" t="str">
        <f aca="false">IF(AG35=0,"",IFERROR(SMALL($G35:$I35,1),""))</f>
        <v/>
      </c>
      <c r="AK35" s="12" t="str">
        <f aca="false">IF(AG35=0,"",IFERROR(SMALL($G35:$I35,2),""))</f>
        <v/>
      </c>
      <c r="AL35" s="12" t="str">
        <f aca="false">IF(AG35=0,"",IFERROR(SMALL($G35:$I35,3),""))</f>
        <v/>
      </c>
      <c r="AM35" s="14" t="str">
        <f aca="false">IF(AG35=0,"",IF(AJ35="","",IF(AJ35=$H35,"Part-Time",IF(AJ35=$I35,"Full-Time","Casual"))))</f>
        <v/>
      </c>
      <c r="AN35" s="14" t="str">
        <f aca="false">IF(AG35=0,"",IF(AK35="","",IF(AK35=$H35,"Part-Time",IF(AK35=$I35,"Full-Time","Casual"))))</f>
        <v/>
      </c>
      <c r="AO35" s="14" t="str">
        <f aca="false">IF(AG35=0,"",IF(AL35="","",IF(AL35=$H35,"Part-Time",IF(AL35=$I35,"Full-Time","Casual"))))</f>
        <v/>
      </c>
      <c r="AP35" s="14" t="str">
        <f aca="false">IF(AG35=0,"",IF(AI35=0,IF(OR(ISNUMBER(SEARCH("full",$C35)),UPPER(TRIM($C35))="FT",UPPER(TRIM($C35))="FTE"),"FT",IF(AND(OR(ISNUMBER(SEARCH("part",$C35)),UPPER(TRIM($C35))="PT",UPPER(TRIM($C35))="PTE"),OR($P35="",N($P35)&gt;=PT_MinHours)),"PT","None")),IF(OR(ISNUMBER(SEARCH("full",AM35)),UPPER(TRIM(AM35))="FT",UPPER(TRIM(AM35))="FTE"),"FT",IF(AND(OR(ISNUMBER(SEARCH("part",AM35)),UPPER(TRIM(AM35))="PT",UPPER(TRIM(AM35))="PTE"),OR($P35="",N($P35)&gt;=PT_MinHours)),"PT","None"))))</f>
        <v/>
      </c>
      <c r="AQ35" s="14" t="str">
        <f aca="false">IF(AG35=0,"",IF(AI35&lt;2,"",IF(OR(ISNUMBER(SEARCH("full",AN35)),UPPER(TRIM(AN35))="FT",UPPER(TRIM(AN35))="FTE"),"FT",IF(AND(OR(ISNUMBER(SEARCH("part",AN35)),UPPER(TRIM(AN35))="PT",UPPER(TRIM(AN35))="PTE"),OR($P35="",N($P35)&gt;=PT_MinHours)),"PT","None"))))</f>
        <v/>
      </c>
      <c r="AR35" s="14" t="str">
        <f aca="false">IF(AG35=0,"",IF(AI35&lt;3,"",IF(OR(ISNUMBER(SEARCH("full",AO35)),UPPER(TRIM(AO35))="FT",UPPER(TRIM(AO35))="FTE"),"FT",IF(AND(OR(ISNUMBER(SEARCH("part",AO35)),UPPER(TRIM(AO35))="PT",UPPER(TRIM(AO35))="PTE"),OR($P35="",N($P35)&gt;=PT_MinHours)),"PT","None"))))</f>
        <v/>
      </c>
      <c r="AS35" s="14" t="str">
        <f aca="false">IF(AG35=0,"",IF(AND(AI35&gt;=3,AL35&lt;=AsOfDate),AR35,IF(AND(AI35&gt;=2,AK35&lt;=AsOfDate),AQ35,AP35)))</f>
        <v/>
      </c>
      <c r="AT35" s="14" t="str">
        <f aca="false">IF(AG35=0,"",IF(AsOfDate&lt;AH35,-1,12*(YEAR(AsOfDate)-YEAR(AH35))+MONTH(AsOfDate)-MONTH(AH35)-IF(DAY(AsOfDate)&lt;MIN(DAY(AH35),DAY(EOMONTH(AsOfDate,0))),1,0)))</f>
        <v/>
      </c>
      <c r="AU35" s="14" t="str">
        <f aca="false">IF(AG35=0,"",IF(OR(AI35&lt;2,AK35&gt;AsOfDate),AT35,IF((AK35-1)&lt;AH35,-1,12*(YEAR((AK35-1))-YEAR(AH35))+MONTH((AK35-1))-MONTH(AH35)-IF(DAY((AK35-1))&lt;MIN(DAY(AH35),DAY(EOMONTH((AK35-1),0))),1,0))))</f>
        <v/>
      </c>
      <c r="AV35" s="14" t="str">
        <f aca="false">IF(AG35=0,"",IF(OR(AI35&lt;3,AL35&gt;AsOfDate),AT35,IF((AL35-1)&lt;AH35,-1,12*(YEAR((AL35-1))-YEAR(AH35))+MONTH((AL35-1))-MONTH(AH35)-IF(DAY((AL35-1))&lt;MIN(DAY(AH35),DAY(EOMONTH((AL35-1),0))),1,0))))</f>
        <v/>
      </c>
      <c r="AW35" s="14" t="str">
        <f aca="false">IF(AG35=0,"",IF(PFYDate&lt;AH35,-1,12*(YEAR(PFYDate)-YEAR(AH35))+MONTH(PFYDate)-MONTH(AH35)-IF(DAY(PFYDate)&lt;MIN(DAY(AH35),DAY(EOMONTH(PFYDate,0))),1,0)))</f>
        <v/>
      </c>
      <c r="AX35" s="14" t="str">
        <f aca="false">IF(AG35=0,"",IF(OR(AI35&lt;2,AK35&gt;PFYDate),AW35,IF((AK35-1)&lt;AH35,-1,12*(YEAR((AK35-1))-YEAR(AH35))+MONTH((AK35-1))-MONTH(AH35)-IF(DAY((AK35-1))&lt;MIN(DAY(AH35),DAY(EOMONTH((AK35-1),0))),1,0))))</f>
        <v/>
      </c>
      <c r="AY35" s="14" t="str">
        <f aca="false">IF(AG35=0,"",IF(OR(AI35&lt;3,AL35&gt;PFYDate),AW35,IF((AL35-1)&lt;AH35,-1,12*(YEAR((AL35-1))-YEAR(AH35))+MONTH((AL35-1))-MONTH(AH35)-IF(DAY((AL35-1))&lt;MIN(DAY(AH35),DAY(EOMONTH((AL35-1),0))),1,0))))</f>
        <v/>
      </c>
      <c r="AZ35" s="14" t="str">
        <f aca="false">IF(AG35=0,"",IF(AP35="FT",IF(AU35&lt;FT_First,0,IF(AU35&lt;FT_Y5,1+INT((AU35-FT_First)/FT_Int1),FT_PreY5+FT_PerYear*INT((AU35-FT_Y5)/12)+FT_AnnivDays+INT(MOD(AU35-FT_Y5,12)/FT_Int2))),IF(AP35="PT",IF(AU35&lt;PT_First,0,1+INT((AU35-PT_First)/PT_Int)),0))+IF(AND(AI35&gt;=2,AK35&lt;=AsOfDate),IF(AQ35="FT",IF(AV35&lt;FT_First,0,IF(AV35&lt;FT_Y5,1+INT((AV35-FT_First)/FT_Int1),FT_PreY5+FT_PerYear*INT((AV35-FT_Y5)/12)+FT_AnnivDays+INT(MOD(AV35-FT_Y5,12)/FT_Int2))),IF(AQ35="PT",IF(AV35&lt;PT_First,0,1+INT((AV35-PT_First)/PT_Int)),0))-IF(AQ35="FT",IF(AU35&lt;FT_First,0,IF(AU35&lt;FT_Y5,1+INT((AU35-FT_First)/FT_Int1),FT_PreY5+FT_PerYear*INT((AU35-FT_Y5)/12)+FT_AnnivDays+INT(MOD(AU35-FT_Y5,12)/FT_Int2))),IF(AQ35="PT",IF(AU35&lt;PT_First,0,1+INT((AU35-PT_First)/PT_Int)),0)),0)+IF(AND(AI35&gt;=3,AL35&lt;=AsOfDate),IF(AR35="FT",IF(AT35&lt;FT_First,0,IF(AT35&lt;FT_Y5,1+INT((AT35-FT_First)/FT_Int1),FT_PreY5+FT_PerYear*INT((AT35-FT_Y5)/12)+FT_AnnivDays+INT(MOD(AT35-FT_Y5,12)/FT_Int2))),IF(AR35="PT",IF(AT35&lt;PT_First,0,1+INT((AT35-PT_First)/PT_Int)),0))-IF(AR35="FT",IF(AV35&lt;FT_First,0,IF(AV35&lt;FT_Y5,1+INT((AV35-FT_First)/FT_Int1),FT_PreY5+FT_PerYear*INT((AV35-FT_Y5)/12)+FT_AnnivDays+INT(MOD(AV35-FT_Y5,12)/FT_Int2))),IF(AR35="PT",IF(AV35&lt;PT_First,0,1+INT((AV35-PT_First)/PT_Int)),0)),0))</f>
        <v/>
      </c>
      <c r="BA35" s="14" t="str">
        <f aca="false">IF(AG35=0,"",IF(AP35="FT",IF(AX35&lt;FT_First,0,IF(AX35&lt;FT_Y5,1+INT((AX35-FT_First)/FT_Int1),FT_PreY5+FT_PerYear*INT((AX35-FT_Y5)/12)+FT_AnnivDays+INT(MOD(AX35-FT_Y5,12)/FT_Int2))),IF(AP35="PT",IF(AX35&lt;PT_First,0,1+INT((AX35-PT_First)/PT_Int)),0))+IF(AND(AI35&gt;=2,AK35&lt;=PFYDate),IF(AQ35="FT",IF(AY35&lt;FT_First,0,IF(AY35&lt;FT_Y5,1+INT((AY35-FT_First)/FT_Int1),FT_PreY5+FT_PerYear*INT((AY35-FT_Y5)/12)+FT_AnnivDays+INT(MOD(AY35-FT_Y5,12)/FT_Int2))),IF(AQ35="PT",IF(AY35&lt;PT_First,0,1+INT((AY35-PT_First)/PT_Int)),0))-IF(AQ35="FT",IF(AX35&lt;FT_First,0,IF(AX35&lt;FT_Y5,1+INT((AX35-FT_First)/FT_Int1),FT_PreY5+FT_PerYear*INT((AX35-FT_Y5)/12)+FT_AnnivDays+INT(MOD(AX35-FT_Y5,12)/FT_Int2))),IF(AQ35="PT",IF(AX35&lt;PT_First,0,1+INT((AX35-PT_First)/PT_Int)),0)),0)+IF(AND(AI35&gt;=3,AL35&lt;=PFYDate),IF(AR35="FT",IF(AW35&lt;FT_First,0,IF(AW35&lt;FT_Y5,1+INT((AW35-FT_First)/FT_Int1),FT_PreY5+FT_PerYear*INT((AW35-FT_Y5)/12)+FT_AnnivDays+INT(MOD(AW35-FT_Y5,12)/FT_Int2))),IF(AR35="PT",IF(AW35&lt;PT_First,0,1+INT((AW35-PT_First)/PT_Int)),0))-IF(AR35="FT",IF(AY35&lt;FT_First,0,IF(AY35&lt;FT_Y5,1+INT((AY35-FT_First)/FT_Int1),FT_PreY5+FT_PerYear*INT((AY35-FT_Y5)/12)+FT_AnnivDays+INT(MOD(AY35-FT_Y5,12)/FT_Int2))),IF(AR35="PT",IF(AY35&lt;PT_First,0,1+INT((AY35-PT_First)/PT_Int)),0)),0))</f>
        <v/>
      </c>
      <c r="BB35" s="14" t="str">
        <f aca="false">IF(AG35=0,"",IF(AS35="FT",IF(AT35&lt;FT_First,FT_First,IF(AT35&lt;FT_Y5,MIN(FT_Y5,FT_First+FT_Int1*(INT((AT35-FT_First)/FT_Int1)+1)),FT_Y5+12*INT((AT35-FT_Y5)/12)+FT_Int2*(INT(MOD(AT35-FT_Y5,12)/FT_Int2)+1))),IF(AS35="PT",IF(AT35&lt;PT_First,PT_First,PT_First+PT_Int*(INT((AT35-PT_First)/PT_Int)+1)),"")))</f>
        <v/>
      </c>
      <c r="BC35" s="14" t="str">
        <f aca="false">IF(AG35=0,"",IF(NOT(LH_Ready),0,COUNTIFS(INDEX(LH_Data,0,LH_ColFirst),$A35,INDEX(LH_Data,0,LH_ColSur),$B35,INDEX(LH_Data,0,LH_ColCat),BonusCat)))</f>
        <v/>
      </c>
      <c r="BD35" s="14" t="str">
        <f aca="false">IF(AG35=0,"",IF(OR(NOT(LH_Ready),BC35=0),0,SUMPRODUCT(MAX((INDEX(LH_Data,0,LH_ColFirst)=$A35)*(INDEX(LH_Data,0,LH_ColSur)=$B35)*(INDEX(LH_Data,0,LH_ColCat)=BonusCat)*ROW(LH_Data)))))</f>
        <v/>
      </c>
      <c r="BE35" s="14" t="str">
        <f aca="false">IF(AG35=0,"",IF(EOMONTH(AsOfDate,-1)&lt;AH35,-1,12*(YEAR(EOMONTH(AsOfDate,-1))-YEAR(AH35))+MONTH(EOMONTH(AsOfDate,-1))-MONTH(AH35)-IF(DAY(EOMONTH(AsOfDate,-1))&lt;MIN(DAY(AH35),DAY(EOMONTH(EOMONTH(AsOfDate,-1),0))),1,0)))</f>
        <v/>
      </c>
      <c r="BF35" s="14" t="str">
        <f aca="false">IF(AG35=0,"",IF(OR(AI35&lt;2,AK35&gt;EOMONTH(AsOfDate,-1)),BE35,IF((AK35-1)&lt;AH35,-1,12*(YEAR((AK35-1))-YEAR(AH35))+MONTH((AK35-1))-MONTH(AH35)-IF(DAY((AK35-1))&lt;MIN(DAY(AH35),DAY(EOMONTH((AK35-1),0))),1,0))))</f>
        <v/>
      </c>
      <c r="BG35" s="14" t="str">
        <f aca="false">IF(AG35=0,"",IF(OR(AI35&lt;3,AL35&gt;EOMONTH(AsOfDate,-1)),BE35,IF((AL35-1)&lt;AH35,-1,12*(YEAR((AL35-1))-YEAR(AH35))+MONTH((AL35-1))-MONTH(AH35)-IF(DAY((AL35-1))&lt;MIN(DAY(AH35),DAY(EOMONTH((AL35-1),0))),1,0))))</f>
        <v/>
      </c>
      <c r="BH35" s="14" t="str">
        <f aca="false">IF(AG35=0,"",IF(AP35="FT",IF(BF35&lt;FT_First,0,IF(BF35&lt;FT_Y5,1+INT((BF35-FT_First)/FT_Int1),FT_PreY5+FT_PerYear*INT((BF35-FT_Y5)/12)+FT_AnnivDays+INT(MOD(BF35-FT_Y5,12)/FT_Int2))),IF(AP35="PT",IF(BF35&lt;PT_First,0,1+INT((BF35-PT_First)/PT_Int)),0))+IF(AND(AI35&gt;=2,AK35&lt;=EOMONTH(AsOfDate,-1)),IF(AQ35="FT",IF(BG35&lt;FT_First,0,IF(BG35&lt;FT_Y5,1+INT((BG35-FT_First)/FT_Int1),FT_PreY5+FT_PerYear*INT((BG35-FT_Y5)/12)+FT_AnnivDays+INT(MOD(BG35-FT_Y5,12)/FT_Int2))),IF(AQ35="PT",IF(BG35&lt;PT_First,0,1+INT((BG35-PT_First)/PT_Int)),0))-IF(AQ35="FT",IF(BF35&lt;FT_First,0,IF(BF35&lt;FT_Y5,1+INT((BF35-FT_First)/FT_Int1),FT_PreY5+FT_PerYear*INT((BF35-FT_Y5)/12)+FT_AnnivDays+INT(MOD(BF35-FT_Y5,12)/FT_Int2))),IF(AQ35="PT",IF(BF35&lt;PT_First,0,1+INT((BF35-PT_First)/PT_Int)),0)),0)+IF(AND(AI35&gt;=3,AL35&lt;=EOMONTH(AsOfDate,-1)),IF(AR35="FT",IF(BE35&lt;FT_First,0,IF(BE35&lt;FT_Y5,1+INT((BE35-FT_First)/FT_Int1),FT_PreY5+FT_PerYear*INT((BE35-FT_Y5)/12)+FT_AnnivDays+INT(MOD(BE35-FT_Y5,12)/FT_Int2))),IF(AR35="PT",IF(BE35&lt;PT_First,0,1+INT((BE35-PT_First)/PT_Int)),0))-IF(AR35="FT",IF(BG35&lt;FT_First,0,IF(BG35&lt;FT_Y5,1+INT((BG35-FT_First)/FT_Int1),FT_PreY5+FT_PerYear*INT((BG35-FT_Y5)/12)+FT_AnnivDays+INT(MOD(BG35-FT_Y5,12)/FT_Int2))),IF(AR35="PT",IF(BG35&lt;PT_First,0,1+INT((BG35-PT_First)/PT_Int)),0)),0))</f>
        <v/>
      </c>
      <c r="BI35" s="14" t="str">
        <f aca="false">IF(AG35=0,"",IF(AS35="FT",IF(AT35&lt;FT_First,"",IF(AT35&lt;FT_Y5,FT_First+FT_Int1*INT((AT35-FT_First)/FT_Int1),FT_Y5+FT_Int2*INT((AT35-FT_Y5)/FT_Int2))),IF(AS35="PT",IF(AT35&lt;PT_First,"",PT_First+PT_Int*INT((AT35-PT_First)/PT_Int)),"")))</f>
        <v/>
      </c>
      <c r="BJ35" s="0" t="str">
        <f aca="false">IF(LEN($A35&amp;$B35)=0,"",$A35&amp;" "&amp;$B35)</f>
        <v/>
      </c>
    </row>
    <row r="36" customFormat="false" ht="15" hidden="false" customHeight="false" outlineLevel="0" collapsed="false">
      <c r="A36" s="10"/>
      <c r="B36" s="10"/>
      <c r="C36" s="10"/>
      <c r="D36" s="11"/>
      <c r="E36" s="12" t="str">
        <f aca="false">IF(OR(AG36=0,$D36=""),"",DATE(YEAR(AsOfDate)+IF(DATE(YEAR(AsOfDate),MONTH($D36),DAY($D36))&lt;=AsOfDate,1,0),MONTH($D36),DAY($D36)))</f>
        <v/>
      </c>
      <c r="F36" s="11"/>
      <c r="G36" s="11"/>
      <c r="H36" s="11"/>
      <c r="I36" s="11"/>
      <c r="J36" s="11"/>
      <c r="K36" s="12" t="str">
        <f aca="false">IF(AG36=0,"",DATE(YEAR(AsOfDate)+IF(DATE(YEAR(AsOfDate),MONTH(AH36),DAY(AH36))&lt;=AsOfDate,1,0),MONTH(AH36),DAY(AH36)))</f>
        <v/>
      </c>
      <c r="L36" s="13" t="str">
        <f aca="false">IF(AG36=0,"",ROUND((AsOfDate-AH36)/365.25,1))</f>
        <v/>
      </c>
      <c r="M36" s="14" t="str">
        <f aca="false">IF(AG36=0,"",IF(AsOfDate&lt;AH36,"-",DATEDIF(AH36,AsOfDate,"y")&amp;"y "&amp;DATEDIF(AH36,AsOfDate,"ym")&amp;"m "&amp;DATEDIF(AH36,AsOfDate,"md")&amp;"d"))</f>
        <v/>
      </c>
      <c r="N36" s="15" t="str">
        <f aca="false">IF(AG36=0,"",O36*HoursPerDay)</f>
        <v/>
      </c>
      <c r="O36" s="15" t="str">
        <f aca="false">IF(AG36=0,"",AZ36)</f>
        <v/>
      </c>
      <c r="P36" s="16"/>
      <c r="Q36" s="14" t="str">
        <f aca="false">IF(AG36=0,"",IF(AI36&lt;2,"",AM36&amp;" to "&amp;AN36&amp;" on "&amp;TEXT(AK36,"dd/mm/yyyy")&amp;IF(AK36&gt;AsOfDate," (future)",IF(AP36=AQ36,"",IF(AQ36="None"," - STOPPED accruing",IF(AP36="None"," - commencement for Bonus Leave"," - pathway changed"))))&amp;IF(AI36&lt;3,"","; "&amp;AN36&amp;" to "&amp;AO36&amp;" on "&amp;TEXT(AL36,"dd/mm/yyyy")&amp;IF(AL36&gt;AsOfDate," (future)",IF(AQ36=AR36,"",IF(AR36="None"," - STOPPED accruing",IF(AQ36="None"," - commencement for Bonus Leave"," - pathway changed")))))))</f>
        <v/>
      </c>
      <c r="R36" s="14" t="str">
        <f aca="false">IF(AG36=0,"",IF(AS36="None",IF(O36&gt;0,"No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2" t="str">
        <f aca="false">IF(AG36=0,"",IF(AS36="None","",EDATE(AH36,BB36)))</f>
        <v/>
      </c>
      <c r="T36" s="15" t="str">
        <f aca="false">IF(AG36=0,"",IF(NOT(LH_Ready),"",IF(AH36&gt;PFYDate,0,IF(LH_ColPeriod=0,W36-U36+V36,SUMIFS(INDEX(LH_Data,0,LH_ColAcc),INDEX(LH_Data,0,LH_ColFirst),$A36,INDEX(LH_Data,0,LH_ColSur),$B36,INDEX(LH_Data,0,LH_ColCat),BonusCat,INDEX(LH_Data,0,LH_ColPeriod),LH_OpenLabel)*UnitFactor))))</f>
        <v/>
      </c>
      <c r="U36" s="15" t="str">
        <f aca="false">IF(AG36=0,"",IF(NOT(LH_Ready),"",SUMIFS(INDEX(LH_Data,0,LH_ColAcc),INDEX(LH_Data,0,LH_ColFirst),$A36,INDEX(LH_Data,0,LH_ColSur),$B36,INDEX(LH_Data,0,LH_ColCat),BonusCat,INDEX(LH_Data,0,LH_ColStart),"&gt;="&amp;AH36)*UnitFactor))</f>
        <v/>
      </c>
      <c r="V36" s="15" t="str">
        <f aca="false">IF(AG36=0,"",IF(NOT(LH_Ready),"",SUMIFS(INDEX(LH_Data,0,LH_ColTaken),INDEX(LH_Data,0,LH_ColFirst),$A36,INDEX(LH_Data,0,LH_ColSur),$B36,INDEX(LH_Data,0,LH_ColCat),BonusCat,INDEX(LH_Data,0,LH_ColStart),"&gt;="&amp;AH36)*UnitFactor))</f>
        <v/>
      </c>
      <c r="W36" s="15" t="str">
        <f aca="false">IF(AG36=0,"",IF(NOT(LH_Ready),"",IF(BD36=0,0,INDEX(INDEX(LH_Data,0,LH_ColClose),BD36-1)*UnitFactor)))</f>
        <v/>
      </c>
      <c r="X36" s="15" t="str">
        <f aca="false">IF(AG36=0,"",(AZ36-BA36)*HoursPerDay)</f>
        <v/>
      </c>
      <c r="Y36" s="15" t="str">
        <f aca="false">IF(AG36=0,"",IF(NOT(LH_Ready),"",IF(BC36=0,N36,IF(PFYDate&lt;$F36,N36-N(T36)-N(U36),X36-N(U36)))))</f>
        <v/>
      </c>
      <c r="Z36" s="14" t="str">
        <f aca="false">IF(OR(AG36=0,Y36=""),"",IF(Y36&gt;0,"Yes","No"))</f>
        <v/>
      </c>
      <c r="AA36" s="14" t="str">
        <f aca="false">IF(AG36=0,IF(LEN($A36&amp;$B36)=0,"","FIX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month")&amp;IF(BC36=0,";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EH)",""),IF(AS36="None",R36,"Not yet - first day on "&amp;TEXT(S36,"dd/mm/yyyy")))))))))</f>
        <v/>
      </c>
      <c r="AB36" s="15" t="str">
        <f aca="false">IF(OR(AG36=0,T36=""),"",BA36*HoursPerDay-T36)</f>
        <v/>
      </c>
      <c r="AC36" s="14" t="str">
        <f aca="false">IF(AG36=0,"",BC36)</f>
        <v/>
      </c>
      <c r="AD36" s="14" t="str">
        <f aca="false">IF(AG36=0,"",TRIM(IF(OR(ISTEXT($F36),ISTEXT($H36),ISTEXT($I36),ISTEXT($G36),ISTEXT($J36),ISTEXT($D36)),"A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I36&gt;=1,IF(AI36&gt;=3,AO36,IF(AI36=2,AN36,AM36))&lt;&gt;IF($C36="","",IF(OR(ISNUMBER(SEARCH("full",$C36)),UPPER(TRIM($C36))="FT",UPPER(TRIM($C36))="FTE"),"Full-Time",IF(OR(ISNUMBER(SEARCH("part",$C36)),UPPER(TRIM($C36))="PT",UPPER(TRIM($C36))="PTE"),"Part-Time",IF(OR(ISNUMBER(SEARCH("cas",$C36)),UPPER(TRIM($C36))="CAS"),"Casual","Unknown"))))),"EmploymentType does not match latest start date ("&amp;IF(AI36&gt;=3,AO36,IF(AI36=2,AN36,AM36))&amp;"). ","")&amp;IF(AND(AI36&gt;=1,AJ36&lt;&gt;$F36),"Earliest type date should equal StartDate. ","")&amp;IF(AND(AI36&gt;=2,AJ36=AK36),"Two types start on the same date. ","")&amp;IF(AND(OR(ISNUMBER(SEARCH("part",$C36)),UPPER(TRIM($C36))="PT",UPPER(TRIM($C36))="PTE"),$P36=""),"Part-time: enter PT Hrs/Week (blank = 24+). ","")))</f>
        <v/>
      </c>
      <c r="AE36" s="15" t="str">
        <f aca="false">IF(AG36=0,"",O36-BH36)</f>
        <v/>
      </c>
      <c r="AF36" s="12" t="str">
        <f aca="false">IF(OR(AG36=0,AE36="",N(AE36)=0,BI36=""),"",EDATE(AH36,BI36))</f>
        <v/>
      </c>
      <c r="AG36" s="14" t="n">
        <f aca="false">IF(OR(LEN($A36&amp;$B36)=0,$F36=""),0,1)</f>
        <v>0</v>
      </c>
      <c r="AH36" s="12" t="str">
        <f aca="false">IF(AG36=0,"",IF($J36&lt;&gt;"",$J36,IF(OR(CasualCounts="Yes",COUNT($G36:$I36)=0,COUNT($H36:$I36)=0),$F36,MIN($H36:$I36))))</f>
        <v/>
      </c>
      <c r="AI36" s="14" t="str">
        <f aca="false">IF(AG36=0,"",COUNT($G36:$I36))</f>
        <v/>
      </c>
      <c r="AJ36" s="12" t="str">
        <f aca="false">IF(AG36=0,"",IFERROR(SMALL($G36:$I36,1),""))</f>
        <v/>
      </c>
      <c r="AK36" s="12" t="str">
        <f aca="false">IF(AG36=0,"",IFERROR(SMALL($G36:$I36,2),""))</f>
        <v/>
      </c>
      <c r="AL36" s="12" t="str">
        <f aca="false">IF(AG36=0,"",IFERROR(SMALL($G36:$I36,3),""))</f>
        <v/>
      </c>
      <c r="AM36" s="14" t="str">
        <f aca="false">IF(AG36=0,"",IF(AJ36="","",IF(AJ36=$H36,"Part-Time",IF(AJ36=$I36,"Full-Time","Casual"))))</f>
        <v/>
      </c>
      <c r="AN36" s="14" t="str">
        <f aca="false">IF(AG36=0,"",IF(AK36="","",IF(AK36=$H36,"Part-Time",IF(AK36=$I36,"Full-Time","Casual"))))</f>
        <v/>
      </c>
      <c r="AO36" s="14" t="str">
        <f aca="false">IF(AG36=0,"",IF(AL36="","",IF(AL36=$H36,"Part-Time",IF(AL36=$I36,"Full-Time","Casual"))))</f>
        <v/>
      </c>
      <c r="AP36" s="14" t="str">
        <f aca="false">IF(AG36=0,"",IF(AI36=0,IF(OR(ISNUMBER(SEARCH("full",$C36)),UPPER(TRIM($C36))="FT",UPPER(TRIM($C36))="FTE"),"FT",IF(AND(OR(ISNUMBER(SEARCH("part",$C36)),UPPER(TRIM($C36))="PT",UPPER(TRIM($C36))="PTE"),OR($P36="",N($P36)&gt;=PT_MinHours)),"PT","None")),IF(OR(ISNUMBER(SEARCH("full",AM36)),UPPER(TRIM(AM36))="FT",UPPER(TRIM(AM36))="FTE"),"FT",IF(AND(OR(ISNUMBER(SEARCH("part",AM36)),UPPER(TRIM(AM36))="PT",UPPER(TRIM(AM36))="PTE"),OR($P36="",N($P36)&gt;=PT_MinHours)),"PT","None"))))</f>
        <v/>
      </c>
      <c r="AQ36" s="14" t="str">
        <f aca="false">IF(AG36=0,"",IF(AI36&lt;2,"",IF(OR(ISNUMBER(SEARCH("full",AN36)),UPPER(TRIM(AN36))="FT",UPPER(TRIM(AN36))="FTE"),"FT",IF(AND(OR(ISNUMBER(SEARCH("part",AN36)),UPPER(TRIM(AN36))="PT",UPPER(TRIM(AN36))="PTE"),OR($P36="",N($P36)&gt;=PT_MinHours)),"PT","None"))))</f>
        <v/>
      </c>
      <c r="AR36" s="14" t="str">
        <f aca="false">IF(AG36=0,"",IF(AI36&lt;3,"",IF(OR(ISNUMBER(SEARCH("full",AO36)),UPPER(TRIM(AO36))="FT",UPPER(TRIM(AO36))="FTE"),"FT",IF(AND(OR(ISNUMBER(SEARCH("part",AO36)),UPPER(TRIM(AO36))="PT",UPPER(TRIM(AO36))="PTE"),OR($P36="",N($P36)&gt;=PT_MinHours)),"PT","None"))))</f>
        <v/>
      </c>
      <c r="AS36" s="14" t="str">
        <f aca="false">IF(AG36=0,"",IF(AND(AI36&gt;=3,AL36&lt;=AsOfDate),AR36,IF(AND(AI36&gt;=2,AK36&lt;=AsOfDate),AQ36,AP36)))</f>
        <v/>
      </c>
      <c r="AT36" s="14" t="str">
        <f aca="false">IF(AG36=0,"",IF(AsOfDate&lt;AH36,-1,12*(YEAR(AsOfDate)-YEAR(AH36))+MONTH(AsOfDate)-MONTH(AH36)-IF(DAY(AsOfDate)&lt;MIN(DAY(AH36),DAY(EOMONTH(AsOfDate,0))),1,0)))</f>
        <v/>
      </c>
      <c r="AU36" s="14" t="str">
        <f aca="false">IF(AG36=0,"",IF(OR(AI36&lt;2,AK36&gt;AsOfDate),AT36,IF((AK36-1)&lt;AH36,-1,12*(YEAR((AK36-1))-YEAR(AH36))+MONTH((AK36-1))-MONTH(AH36)-IF(DAY((AK36-1))&lt;MIN(DAY(AH36),DAY(EOMONTH((AK36-1),0))),1,0))))</f>
        <v/>
      </c>
      <c r="AV36" s="14" t="str">
        <f aca="false">IF(AG36=0,"",IF(OR(AI36&lt;3,AL36&gt;AsOfDate),AT36,IF((AL36-1)&lt;AH36,-1,12*(YEAR((AL36-1))-YEAR(AH36))+MONTH((AL36-1))-MONTH(AH36)-IF(DAY((AL36-1))&lt;MIN(DAY(AH36),DAY(EOMONTH((AL36-1),0))),1,0))))</f>
        <v/>
      </c>
      <c r="AW36" s="14" t="str">
        <f aca="false">IF(AG36=0,"",IF(PFYDate&lt;AH36,-1,12*(YEAR(PFYDate)-YEAR(AH36))+MONTH(PFYDate)-MONTH(AH36)-IF(DAY(PFYDate)&lt;MIN(DAY(AH36),DAY(EOMONTH(PFYDate,0))),1,0)))</f>
        <v/>
      </c>
      <c r="AX36" s="14" t="str">
        <f aca="false">IF(AG36=0,"",IF(OR(AI36&lt;2,AK36&gt;PFYDate),AW36,IF((AK36-1)&lt;AH36,-1,12*(YEAR((AK36-1))-YEAR(AH36))+MONTH((AK36-1))-MONTH(AH36)-IF(DAY((AK36-1))&lt;MIN(DAY(AH36),DAY(EOMONTH((AK36-1),0))),1,0))))</f>
        <v/>
      </c>
      <c r="AY36" s="14" t="str">
        <f aca="false">IF(AG36=0,"",IF(OR(AI36&lt;3,AL36&gt;PFYDate),AW36,IF((AL36-1)&lt;AH36,-1,12*(YEAR((AL36-1))-YEAR(AH36))+MONTH((AL36-1))-MONTH(AH36)-IF(DAY((AL36-1))&lt;MIN(DAY(AH36),DAY(EOMONTH((AL36-1),0))),1,0))))</f>
        <v/>
      </c>
      <c r="AZ36" s="14" t="str">
        <f aca="false">IF(AG36=0,"",IF(AP36="FT",IF(AU36&lt;FT_First,0,IF(AU36&lt;FT_Y5,1+INT((AU36-FT_First)/FT_Int1),FT_PreY5+FT_PerYear*INT((AU36-FT_Y5)/12)+FT_AnnivDays+INT(MOD(AU36-FT_Y5,12)/FT_Int2))),IF(AP36="PT",IF(AU36&lt;PT_First,0,1+INT((AU36-PT_First)/PT_Int)),0))+IF(AND(AI36&gt;=2,AK36&lt;=AsOfDate),IF(AQ36="FT",IF(AV36&lt;FT_First,0,IF(AV36&lt;FT_Y5,1+INT((AV36-FT_First)/FT_Int1),FT_PreY5+FT_PerYear*INT((AV36-FT_Y5)/12)+FT_AnnivDays+INT(MOD(AV36-FT_Y5,12)/FT_Int2))),IF(AQ36="PT",IF(AV36&lt;PT_First,0,1+INT((AV36-PT_First)/PT_Int)),0))-IF(AQ36="FT",IF(AU36&lt;FT_First,0,IF(AU36&lt;FT_Y5,1+INT((AU36-FT_First)/FT_Int1),FT_PreY5+FT_PerYear*INT((AU36-FT_Y5)/12)+FT_AnnivDays+INT(MOD(AU36-FT_Y5,12)/FT_Int2))),IF(AQ36="PT",IF(AU36&lt;PT_First,0,1+INT((AU36-PT_First)/PT_Int)),0)),0)+IF(AND(AI36&gt;=3,AL36&lt;=AsOfDate),IF(AR36="FT",IF(AT36&lt;FT_First,0,IF(AT36&lt;FT_Y5,1+INT((AT36-FT_First)/FT_Int1),FT_PreY5+FT_PerYear*INT((AT36-FT_Y5)/12)+FT_AnnivDays+INT(MOD(AT36-FT_Y5,12)/FT_Int2))),IF(AR36="PT",IF(AT36&lt;PT_First,0,1+INT((AT36-PT_First)/PT_Int)),0))-IF(AR36="FT",IF(AV36&lt;FT_First,0,IF(AV36&lt;FT_Y5,1+INT((AV36-FT_First)/FT_Int1),FT_PreY5+FT_PerYear*INT((AV36-FT_Y5)/12)+FT_AnnivDays+INT(MOD(AV36-FT_Y5,12)/FT_Int2))),IF(AR36="PT",IF(AV36&lt;PT_First,0,1+INT((AV36-PT_First)/PT_Int)),0)),0))</f>
        <v/>
      </c>
      <c r="BA36" s="14" t="str">
        <f aca="false">IF(AG36=0,"",IF(AP36="FT",IF(AX36&lt;FT_First,0,IF(AX36&lt;FT_Y5,1+INT((AX36-FT_First)/FT_Int1),FT_PreY5+FT_PerYear*INT((AX36-FT_Y5)/12)+FT_AnnivDays+INT(MOD(AX36-FT_Y5,12)/FT_Int2))),IF(AP36="PT",IF(AX36&lt;PT_First,0,1+INT((AX36-PT_First)/PT_Int)),0))+IF(AND(AI36&gt;=2,AK36&lt;=PFYDate),IF(AQ36="FT",IF(AY36&lt;FT_First,0,IF(AY36&lt;FT_Y5,1+INT((AY36-FT_First)/FT_Int1),FT_PreY5+FT_PerYear*INT((AY36-FT_Y5)/12)+FT_AnnivDays+INT(MOD(AY36-FT_Y5,12)/FT_Int2))),IF(AQ36="PT",IF(AY36&lt;PT_First,0,1+INT((AY36-PT_First)/PT_Int)),0))-IF(AQ36="FT",IF(AX36&lt;FT_First,0,IF(AX36&lt;FT_Y5,1+INT((AX36-FT_First)/FT_Int1),FT_PreY5+FT_PerYear*INT((AX36-FT_Y5)/12)+FT_AnnivDays+INT(MOD(AX36-FT_Y5,12)/FT_Int2))),IF(AQ36="PT",IF(AX36&lt;PT_First,0,1+INT((AX36-PT_First)/PT_Int)),0)),0)+IF(AND(AI36&gt;=3,AL36&lt;=PFYDate),IF(AR36="FT",IF(AW36&lt;FT_First,0,IF(AW36&lt;FT_Y5,1+INT((AW36-FT_First)/FT_Int1),FT_PreY5+FT_PerYear*INT((AW36-FT_Y5)/12)+FT_AnnivDays+INT(MOD(AW36-FT_Y5,12)/FT_Int2))),IF(AR36="PT",IF(AW36&lt;PT_First,0,1+INT((AW36-PT_First)/PT_Int)),0))-IF(AR36="FT",IF(AY36&lt;FT_First,0,IF(AY36&lt;FT_Y5,1+INT((AY36-FT_First)/FT_Int1),FT_PreY5+FT_PerYear*INT((AY36-FT_Y5)/12)+FT_AnnivDays+INT(MOD(AY36-FT_Y5,12)/FT_Int2))),IF(AR36="PT",IF(AY36&lt;PT_First,0,1+INT((AY36-PT_First)/PT_Int)),0)),0))</f>
        <v/>
      </c>
      <c r="BB36" s="14" t="str">
        <f aca="false">IF(AG36=0,"",IF(AS36="FT",IF(AT36&lt;FT_First,FT_First,IF(AT36&lt;FT_Y5,MIN(FT_Y5,FT_First+FT_Int1*(INT((AT36-FT_First)/FT_Int1)+1)),FT_Y5+12*INT((AT36-FT_Y5)/12)+FT_Int2*(INT(MOD(AT36-FT_Y5,12)/FT_Int2)+1))),IF(AS36="PT",IF(AT36&lt;PT_First,PT_First,PT_First+PT_Int*(INT((AT36-PT_First)/PT_Int)+1)),"")))</f>
        <v/>
      </c>
      <c r="BC36" s="14" t="str">
        <f aca="false">IF(AG36=0,"",IF(NOT(LH_Ready),0,COUNTIFS(INDEX(LH_Data,0,LH_ColFirst),$A36,INDEX(LH_Data,0,LH_ColSur),$B36,INDEX(LH_Data,0,LH_ColCat),BonusCat)))</f>
        <v/>
      </c>
      <c r="BD36" s="14" t="str">
        <f aca="false">IF(AG36=0,"",IF(OR(NOT(LH_Ready),BC36=0),0,SUMPRODUCT(MAX((INDEX(LH_Data,0,LH_ColFirst)=$A36)*(INDEX(LH_Data,0,LH_ColSur)=$B36)*(INDEX(LH_Data,0,LH_ColCat)=BonusCat)*ROW(LH_Data)))))</f>
        <v/>
      </c>
      <c r="BE36" s="14" t="str">
        <f aca="false">IF(AG36=0,"",IF(EOMONTH(AsOfDate,-1)&lt;AH36,-1,12*(YEAR(EOMONTH(AsOfDate,-1))-YEAR(AH36))+MONTH(EOMONTH(AsOfDate,-1))-MONTH(AH36)-IF(DAY(EOMONTH(AsOfDate,-1))&lt;MIN(DAY(AH36),DAY(EOMONTH(EOMONTH(AsOfDate,-1),0))),1,0)))</f>
        <v/>
      </c>
      <c r="BF36" s="14" t="str">
        <f aca="false">IF(AG36=0,"",IF(OR(AI36&lt;2,AK36&gt;EOMONTH(AsOfDate,-1)),BE36,IF((AK36-1)&lt;AH36,-1,12*(YEAR((AK36-1))-YEAR(AH36))+MONTH((AK36-1))-MONTH(AH36)-IF(DAY((AK36-1))&lt;MIN(DAY(AH36),DAY(EOMONTH((AK36-1),0))),1,0))))</f>
        <v/>
      </c>
      <c r="BG36" s="14" t="str">
        <f aca="false">IF(AG36=0,"",IF(OR(AI36&lt;3,AL36&gt;EOMONTH(AsOfDate,-1)),BE36,IF((AL36-1)&lt;AH36,-1,12*(YEAR((AL36-1))-YEAR(AH36))+MONTH((AL36-1))-MONTH(AH36)-IF(DAY((AL36-1))&lt;MIN(DAY(AH36),DAY(EOMONTH((AL36-1),0))),1,0))))</f>
        <v/>
      </c>
      <c r="BH36" s="14" t="str">
        <f aca="false">IF(AG36=0,"",IF(AP36="FT",IF(BF36&lt;FT_First,0,IF(BF36&lt;FT_Y5,1+INT((BF36-FT_First)/FT_Int1),FT_PreY5+FT_PerYear*INT((BF36-FT_Y5)/12)+FT_AnnivDays+INT(MOD(BF36-FT_Y5,12)/FT_Int2))),IF(AP36="PT",IF(BF36&lt;PT_First,0,1+INT((BF36-PT_First)/PT_Int)),0))+IF(AND(AI36&gt;=2,AK36&lt;=EOMONTH(AsOfDate,-1)),IF(AQ36="FT",IF(BG36&lt;FT_First,0,IF(BG36&lt;FT_Y5,1+INT((BG36-FT_First)/FT_Int1),FT_PreY5+FT_PerYear*INT((BG36-FT_Y5)/12)+FT_AnnivDays+INT(MOD(BG36-FT_Y5,12)/FT_Int2))),IF(AQ36="PT",IF(BG36&lt;PT_First,0,1+INT((BG36-PT_First)/PT_Int)),0))-IF(AQ36="FT",IF(BF36&lt;FT_First,0,IF(BF36&lt;FT_Y5,1+INT((BF36-FT_First)/FT_Int1),FT_PreY5+FT_PerYear*INT((BF36-FT_Y5)/12)+FT_AnnivDays+INT(MOD(BF36-FT_Y5,12)/FT_Int2))),IF(AQ36="PT",IF(BF36&lt;PT_First,0,1+INT((BF36-PT_First)/PT_Int)),0)),0)+IF(AND(AI36&gt;=3,AL36&lt;=EOMONTH(AsOfDate,-1)),IF(AR36="FT",IF(BE36&lt;FT_First,0,IF(BE36&lt;FT_Y5,1+INT((BE36-FT_First)/FT_Int1),FT_PreY5+FT_PerYear*INT((BE36-FT_Y5)/12)+FT_AnnivDays+INT(MOD(BE36-FT_Y5,12)/FT_Int2))),IF(AR36="PT",IF(BE36&lt;PT_First,0,1+INT((BE36-PT_First)/PT_Int)),0))-IF(AR36="FT",IF(BG36&lt;FT_First,0,IF(BG36&lt;FT_Y5,1+INT((BG36-FT_First)/FT_Int1),FT_PreY5+FT_PerYear*INT((BG36-FT_Y5)/12)+FT_AnnivDays+INT(MOD(BG36-FT_Y5,12)/FT_Int2))),IF(AR36="PT",IF(BG36&lt;PT_First,0,1+INT((BG36-PT_First)/PT_Int)),0)),0))</f>
        <v/>
      </c>
      <c r="BI36" s="14" t="str">
        <f aca="false">IF(AG36=0,"",IF(AS36="FT",IF(AT36&lt;FT_First,"",IF(AT36&lt;FT_Y5,FT_First+FT_Int1*INT((AT36-FT_First)/FT_Int1),FT_Y5+FT_Int2*INT((AT36-FT_Y5)/FT_Int2))),IF(AS36="PT",IF(AT36&lt;PT_First,"",PT_First+PT_Int*INT((AT36-PT_First)/PT_Int)),"")))</f>
        <v/>
      </c>
      <c r="BJ36" s="0" t="str">
        <f aca="false">IF(LEN($A36&amp;$B36)=0,"",$A36&amp;" "&amp;$B36)</f>
        <v/>
      </c>
    </row>
    <row r="37" customFormat="false" ht="15" hidden="false" customHeight="false" outlineLevel="0" collapsed="false">
      <c r="A37" s="10"/>
      <c r="B37" s="10"/>
      <c r="C37" s="10"/>
      <c r="D37" s="11"/>
      <c r="E37" s="12" t="str">
        <f aca="false">IF(OR(AG37=0,$D37=""),"",DATE(YEAR(AsOfDate)+IF(DATE(YEAR(AsOfDate),MONTH($D37),DAY($D37))&lt;=AsOfDate,1,0),MONTH($D37),DAY($D37)))</f>
        <v/>
      </c>
      <c r="F37" s="11"/>
      <c r="G37" s="11"/>
      <c r="H37" s="11"/>
      <c r="I37" s="11"/>
      <c r="J37" s="11"/>
      <c r="K37" s="12" t="str">
        <f aca="false">IF(AG37=0,"",DATE(YEAR(AsOfDate)+IF(DATE(YEAR(AsOfDate),MONTH(AH37),DAY(AH37))&lt;=AsOfDate,1,0),MONTH(AH37),DAY(AH37)))</f>
        <v/>
      </c>
      <c r="L37" s="13" t="str">
        <f aca="false">IF(AG37=0,"",ROUND((AsOfDate-AH37)/365.25,1))</f>
        <v/>
      </c>
      <c r="M37" s="14" t="str">
        <f aca="false">IF(AG37=0,"",IF(AsOfDate&lt;AH37,"-",DATEDIF(AH37,AsOfDate,"y")&amp;"y "&amp;DATEDIF(AH37,AsOfDate,"ym")&amp;"m "&amp;DATEDIF(AH37,AsOfDate,"md")&amp;"d"))</f>
        <v/>
      </c>
      <c r="N37" s="15" t="str">
        <f aca="false">IF(AG37=0,"",O37*HoursPerDay)</f>
        <v/>
      </c>
      <c r="O37" s="15" t="str">
        <f aca="false">IF(AG37=0,"",AZ37)</f>
        <v/>
      </c>
      <c r="P37" s="16"/>
      <c r="Q37" s="14" t="str">
        <f aca="false">IF(AG37=0,"",IF(AI37&lt;2,"",AM37&amp;" to "&amp;AN37&amp;" on "&amp;TEXT(AK37,"dd/mm/yyyy")&amp;IF(AK37&gt;AsOfDate," (future)",IF(AP37=AQ37,"",IF(AQ37="None"," - STOPPED accruing",IF(AP37="None"," - commencement for Bonus Leave"," - pathway changed"))))&amp;IF(AI37&lt;3,"","; "&amp;AN37&amp;" to "&amp;AO37&amp;" on "&amp;TEXT(AL37,"dd/mm/yyyy")&amp;IF(AL37&gt;AsOfDate," (future)",IF(AQ37=AR37,"",IF(AR37="None"," - STOPPED accruing",IF(AQ37="None"," - commencement for Bonus Leave"," - pathway changed")))))))</f>
        <v/>
      </c>
      <c r="R37" s="14" t="str">
        <f aca="false">IF(AG37=0,"",IF(AS37="None",IF(O37&gt;0,"No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2" t="str">
        <f aca="false">IF(AG37=0,"",IF(AS37="None","",EDATE(AH37,BB37)))</f>
        <v/>
      </c>
      <c r="T37" s="15" t="str">
        <f aca="false">IF(AG37=0,"",IF(NOT(LH_Ready),"",IF(AH37&gt;PFYDate,0,IF(LH_ColPeriod=0,W37-U37+V37,SUMIFS(INDEX(LH_Data,0,LH_ColAcc),INDEX(LH_Data,0,LH_ColFirst),$A37,INDEX(LH_Data,0,LH_ColSur),$B37,INDEX(LH_Data,0,LH_ColCat),BonusCat,INDEX(LH_Data,0,LH_ColPeriod),LH_OpenLabel)*UnitFactor))))</f>
        <v/>
      </c>
      <c r="U37" s="15" t="str">
        <f aca="false">IF(AG37=0,"",IF(NOT(LH_Ready),"",SUMIFS(INDEX(LH_Data,0,LH_ColAcc),INDEX(LH_Data,0,LH_ColFirst),$A37,INDEX(LH_Data,0,LH_ColSur),$B37,INDEX(LH_Data,0,LH_ColCat),BonusCat,INDEX(LH_Data,0,LH_ColStart),"&gt;="&amp;AH37)*UnitFactor))</f>
        <v/>
      </c>
      <c r="V37" s="15" t="str">
        <f aca="false">IF(AG37=0,"",IF(NOT(LH_Ready),"",SUMIFS(INDEX(LH_Data,0,LH_ColTaken),INDEX(LH_Data,0,LH_ColFirst),$A37,INDEX(LH_Data,0,LH_ColSur),$B37,INDEX(LH_Data,0,LH_ColCat),BonusCat,INDEX(LH_Data,0,LH_ColStart),"&gt;="&amp;AH37)*UnitFactor))</f>
        <v/>
      </c>
      <c r="W37" s="15" t="str">
        <f aca="false">IF(AG37=0,"",IF(NOT(LH_Ready),"",IF(BD37=0,0,INDEX(INDEX(LH_Data,0,LH_ColClose),BD37-1)*UnitFactor)))</f>
        <v/>
      </c>
      <c r="X37" s="15" t="str">
        <f aca="false">IF(AG37=0,"",(AZ37-BA37)*HoursPerDay)</f>
        <v/>
      </c>
      <c r="Y37" s="15" t="str">
        <f aca="false">IF(AG37=0,"",IF(NOT(LH_Ready),"",IF(BC37=0,N37,IF(PFYDate&lt;$F37,N37-N(T37)-N(U37),X37-N(U37)))))</f>
        <v/>
      </c>
      <c r="Z37" s="14" t="str">
        <f aca="false">IF(OR(AG37=0,Y37=""),"",IF(Y37&gt;0,"Yes","No"))</f>
        <v/>
      </c>
      <c r="AA37" s="14" t="str">
        <f aca="false">IF(AG37=0,IF(LEN($A37&amp;$B37)=0,"","FIX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month")&amp;IF(BC37=0,";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EH)",""),IF(AS37="None",R37,"Not yet - first day on "&amp;TEXT(S37,"dd/mm/yyyy")))))))))</f>
        <v/>
      </c>
      <c r="AB37" s="15" t="str">
        <f aca="false">IF(OR(AG37=0,T37=""),"",BA37*HoursPerDay-T37)</f>
        <v/>
      </c>
      <c r="AC37" s="14" t="str">
        <f aca="false">IF(AG37=0,"",BC37)</f>
        <v/>
      </c>
      <c r="AD37" s="14" t="str">
        <f aca="false">IF(AG37=0,"",TRIM(IF(OR(ISTEXT($F37),ISTEXT($H37),ISTEXT($I37),ISTEXT($G37),ISTEXT($J37),ISTEXT($D37)),"A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I37&gt;=1,IF(AI37&gt;=3,AO37,IF(AI37=2,AN37,AM37))&lt;&gt;IF($C37="","",IF(OR(ISNUMBER(SEARCH("full",$C37)),UPPER(TRIM($C37))="FT",UPPER(TRIM($C37))="FTE"),"Full-Time",IF(OR(ISNUMBER(SEARCH("part",$C37)),UPPER(TRIM($C37))="PT",UPPER(TRIM($C37))="PTE"),"Part-Time",IF(OR(ISNUMBER(SEARCH("cas",$C37)),UPPER(TRIM($C37))="CAS"),"Casual","Unknown"))))),"EmploymentType does not match latest start date ("&amp;IF(AI37&gt;=3,AO37,IF(AI37=2,AN37,AM37))&amp;"). ","")&amp;IF(AND(AI37&gt;=1,AJ37&lt;&gt;$F37),"Earliest type date should equal StartDate. ","")&amp;IF(AND(AI37&gt;=2,AJ37=AK37),"Two types start on the same date. ","")&amp;IF(AND(OR(ISNUMBER(SEARCH("part",$C37)),UPPER(TRIM($C37))="PT",UPPER(TRIM($C37))="PTE"),$P37=""),"Part-time: enter PT Hrs/Week (blank = 24+). ","")))</f>
        <v/>
      </c>
      <c r="AE37" s="15" t="str">
        <f aca="false">IF(AG37=0,"",O37-BH37)</f>
        <v/>
      </c>
      <c r="AF37" s="12" t="str">
        <f aca="false">IF(OR(AG37=0,AE37="",N(AE37)=0,BI37=""),"",EDATE(AH37,BI37))</f>
        <v/>
      </c>
      <c r="AG37" s="14" t="n">
        <f aca="false">IF(OR(LEN($A37&amp;$B37)=0,$F37=""),0,1)</f>
        <v>0</v>
      </c>
      <c r="AH37" s="12" t="str">
        <f aca="false">IF(AG37=0,"",IF($J37&lt;&gt;"",$J37,IF(OR(CasualCounts="Yes",COUNT($G37:$I37)=0,COUNT($H37:$I37)=0),$F37,MIN($H37:$I37))))</f>
        <v/>
      </c>
      <c r="AI37" s="14" t="str">
        <f aca="false">IF(AG37=0,"",COUNT($G37:$I37))</f>
        <v/>
      </c>
      <c r="AJ37" s="12" t="str">
        <f aca="false">IF(AG37=0,"",IFERROR(SMALL($G37:$I37,1),""))</f>
        <v/>
      </c>
      <c r="AK37" s="12" t="str">
        <f aca="false">IF(AG37=0,"",IFERROR(SMALL($G37:$I37,2),""))</f>
        <v/>
      </c>
      <c r="AL37" s="12" t="str">
        <f aca="false">IF(AG37=0,"",IFERROR(SMALL($G37:$I37,3),""))</f>
        <v/>
      </c>
      <c r="AM37" s="14" t="str">
        <f aca="false">IF(AG37=0,"",IF(AJ37="","",IF(AJ37=$H37,"Part-Time",IF(AJ37=$I37,"Full-Time","Casual"))))</f>
        <v/>
      </c>
      <c r="AN37" s="14" t="str">
        <f aca="false">IF(AG37=0,"",IF(AK37="","",IF(AK37=$H37,"Part-Time",IF(AK37=$I37,"Full-Time","Casual"))))</f>
        <v/>
      </c>
      <c r="AO37" s="14" t="str">
        <f aca="false">IF(AG37=0,"",IF(AL37="","",IF(AL37=$H37,"Part-Time",IF(AL37=$I37,"Full-Time","Casual"))))</f>
        <v/>
      </c>
      <c r="AP37" s="14" t="str">
        <f aca="false">IF(AG37=0,"",IF(AI37=0,IF(OR(ISNUMBER(SEARCH("full",$C37)),UPPER(TRIM($C37))="FT",UPPER(TRIM($C37))="FTE"),"FT",IF(AND(OR(ISNUMBER(SEARCH("part",$C37)),UPPER(TRIM($C37))="PT",UPPER(TRIM($C37))="PTE"),OR($P37="",N($P37)&gt;=PT_MinHours)),"PT","None")),IF(OR(ISNUMBER(SEARCH("full",AM37)),UPPER(TRIM(AM37))="FT",UPPER(TRIM(AM37))="FTE"),"FT",IF(AND(OR(ISNUMBER(SEARCH("part",AM37)),UPPER(TRIM(AM37))="PT",UPPER(TRIM(AM37))="PTE"),OR($P37="",N($P37)&gt;=PT_MinHours)),"PT","None"))))</f>
        <v/>
      </c>
      <c r="AQ37" s="14" t="str">
        <f aca="false">IF(AG37=0,"",IF(AI37&lt;2,"",IF(OR(ISNUMBER(SEARCH("full",AN37)),UPPER(TRIM(AN37))="FT",UPPER(TRIM(AN37))="FTE"),"FT",IF(AND(OR(ISNUMBER(SEARCH("part",AN37)),UPPER(TRIM(AN37))="PT",UPPER(TRIM(AN37))="PTE"),OR($P37="",N($P37)&gt;=PT_MinHours)),"PT","None"))))</f>
        <v/>
      </c>
      <c r="AR37" s="14" t="str">
        <f aca="false">IF(AG37=0,"",IF(AI37&lt;3,"",IF(OR(ISNUMBER(SEARCH("full",AO37)),UPPER(TRIM(AO37))="FT",UPPER(TRIM(AO37))="FTE"),"FT",IF(AND(OR(ISNUMBER(SEARCH("part",AO37)),UPPER(TRIM(AO37))="PT",UPPER(TRIM(AO37))="PTE"),OR($P37="",N($P37)&gt;=PT_MinHours)),"PT","None"))))</f>
        <v/>
      </c>
      <c r="AS37" s="14" t="str">
        <f aca="false">IF(AG37=0,"",IF(AND(AI37&gt;=3,AL37&lt;=AsOfDate),AR37,IF(AND(AI37&gt;=2,AK37&lt;=AsOfDate),AQ37,AP37)))</f>
        <v/>
      </c>
      <c r="AT37" s="14" t="str">
        <f aca="false">IF(AG37=0,"",IF(AsOfDate&lt;AH37,-1,12*(YEAR(AsOfDate)-YEAR(AH37))+MONTH(AsOfDate)-MONTH(AH37)-IF(DAY(AsOfDate)&lt;MIN(DAY(AH37),DAY(EOMONTH(AsOfDate,0))),1,0)))</f>
        <v/>
      </c>
      <c r="AU37" s="14" t="str">
        <f aca="false">IF(AG37=0,"",IF(OR(AI37&lt;2,AK37&gt;AsOfDate),AT37,IF((AK37-1)&lt;AH37,-1,12*(YEAR((AK37-1))-YEAR(AH37))+MONTH((AK37-1))-MONTH(AH37)-IF(DAY((AK37-1))&lt;MIN(DAY(AH37),DAY(EOMONTH((AK37-1),0))),1,0))))</f>
        <v/>
      </c>
      <c r="AV37" s="14" t="str">
        <f aca="false">IF(AG37=0,"",IF(OR(AI37&lt;3,AL37&gt;AsOfDate),AT37,IF((AL37-1)&lt;AH37,-1,12*(YEAR((AL37-1))-YEAR(AH37))+MONTH((AL37-1))-MONTH(AH37)-IF(DAY((AL37-1))&lt;MIN(DAY(AH37),DAY(EOMONTH((AL37-1),0))),1,0))))</f>
        <v/>
      </c>
      <c r="AW37" s="14" t="str">
        <f aca="false">IF(AG37=0,"",IF(PFYDate&lt;AH37,-1,12*(YEAR(PFYDate)-YEAR(AH37))+MONTH(PFYDate)-MONTH(AH37)-IF(DAY(PFYDate)&lt;MIN(DAY(AH37),DAY(EOMONTH(PFYDate,0))),1,0)))</f>
        <v/>
      </c>
      <c r="AX37" s="14" t="str">
        <f aca="false">IF(AG37=0,"",IF(OR(AI37&lt;2,AK37&gt;PFYDate),AW37,IF((AK37-1)&lt;AH37,-1,12*(YEAR((AK37-1))-YEAR(AH37))+MONTH((AK37-1))-MONTH(AH37)-IF(DAY((AK37-1))&lt;MIN(DAY(AH37),DAY(EOMONTH((AK37-1),0))),1,0))))</f>
        <v/>
      </c>
      <c r="AY37" s="14" t="str">
        <f aca="false">IF(AG37=0,"",IF(OR(AI37&lt;3,AL37&gt;PFYDate),AW37,IF((AL37-1)&lt;AH37,-1,12*(YEAR((AL37-1))-YEAR(AH37))+MONTH((AL37-1))-MONTH(AH37)-IF(DAY((AL37-1))&lt;MIN(DAY(AH37),DAY(EOMONTH((AL37-1),0))),1,0))))</f>
        <v/>
      </c>
      <c r="AZ37" s="14" t="str">
        <f aca="false">IF(AG37=0,"",IF(AP37="FT",IF(AU37&lt;FT_First,0,IF(AU37&lt;FT_Y5,1+INT((AU37-FT_First)/FT_Int1),FT_PreY5+FT_PerYear*INT((AU37-FT_Y5)/12)+FT_AnnivDays+INT(MOD(AU37-FT_Y5,12)/FT_Int2))),IF(AP37="PT",IF(AU37&lt;PT_First,0,1+INT((AU37-PT_First)/PT_Int)),0))+IF(AND(AI37&gt;=2,AK37&lt;=AsOfDate),IF(AQ37="FT",IF(AV37&lt;FT_First,0,IF(AV37&lt;FT_Y5,1+INT((AV37-FT_First)/FT_Int1),FT_PreY5+FT_PerYear*INT((AV37-FT_Y5)/12)+FT_AnnivDays+INT(MOD(AV37-FT_Y5,12)/FT_Int2))),IF(AQ37="PT",IF(AV37&lt;PT_First,0,1+INT((AV37-PT_First)/PT_Int)),0))-IF(AQ37="FT",IF(AU37&lt;FT_First,0,IF(AU37&lt;FT_Y5,1+INT((AU37-FT_First)/FT_Int1),FT_PreY5+FT_PerYear*INT((AU37-FT_Y5)/12)+FT_AnnivDays+INT(MOD(AU37-FT_Y5,12)/FT_Int2))),IF(AQ37="PT",IF(AU37&lt;PT_First,0,1+INT((AU37-PT_First)/PT_Int)),0)),0)+IF(AND(AI37&gt;=3,AL37&lt;=AsOfDate),IF(AR37="FT",IF(AT37&lt;FT_First,0,IF(AT37&lt;FT_Y5,1+INT((AT37-FT_First)/FT_Int1),FT_PreY5+FT_PerYear*INT((AT37-FT_Y5)/12)+FT_AnnivDays+INT(MOD(AT37-FT_Y5,12)/FT_Int2))),IF(AR37="PT",IF(AT37&lt;PT_First,0,1+INT((AT37-PT_First)/PT_Int)),0))-IF(AR37="FT",IF(AV37&lt;FT_First,0,IF(AV37&lt;FT_Y5,1+INT((AV37-FT_First)/FT_Int1),FT_PreY5+FT_PerYear*INT((AV37-FT_Y5)/12)+FT_AnnivDays+INT(MOD(AV37-FT_Y5,12)/FT_Int2))),IF(AR37="PT",IF(AV37&lt;PT_First,0,1+INT((AV37-PT_First)/PT_Int)),0)),0))</f>
        <v/>
      </c>
      <c r="BA37" s="14" t="str">
        <f aca="false">IF(AG37=0,"",IF(AP37="FT",IF(AX37&lt;FT_First,0,IF(AX37&lt;FT_Y5,1+INT((AX37-FT_First)/FT_Int1),FT_PreY5+FT_PerYear*INT((AX37-FT_Y5)/12)+FT_AnnivDays+INT(MOD(AX37-FT_Y5,12)/FT_Int2))),IF(AP37="PT",IF(AX37&lt;PT_First,0,1+INT((AX37-PT_First)/PT_Int)),0))+IF(AND(AI37&gt;=2,AK37&lt;=PFYDate),IF(AQ37="FT",IF(AY37&lt;FT_First,0,IF(AY37&lt;FT_Y5,1+INT((AY37-FT_First)/FT_Int1),FT_PreY5+FT_PerYear*INT((AY37-FT_Y5)/12)+FT_AnnivDays+INT(MOD(AY37-FT_Y5,12)/FT_Int2))),IF(AQ37="PT",IF(AY37&lt;PT_First,0,1+INT((AY37-PT_First)/PT_Int)),0))-IF(AQ37="FT",IF(AX37&lt;FT_First,0,IF(AX37&lt;FT_Y5,1+INT((AX37-FT_First)/FT_Int1),FT_PreY5+FT_PerYear*INT((AX37-FT_Y5)/12)+FT_AnnivDays+INT(MOD(AX37-FT_Y5,12)/FT_Int2))),IF(AQ37="PT",IF(AX37&lt;PT_First,0,1+INT((AX37-PT_First)/PT_Int)),0)),0)+IF(AND(AI37&gt;=3,AL37&lt;=PFYDate),IF(AR37="FT",IF(AW37&lt;FT_First,0,IF(AW37&lt;FT_Y5,1+INT((AW37-FT_First)/FT_Int1),FT_PreY5+FT_PerYear*INT((AW37-FT_Y5)/12)+FT_AnnivDays+INT(MOD(AW37-FT_Y5,12)/FT_Int2))),IF(AR37="PT",IF(AW37&lt;PT_First,0,1+INT((AW37-PT_First)/PT_Int)),0))-IF(AR37="FT",IF(AY37&lt;FT_First,0,IF(AY37&lt;FT_Y5,1+INT((AY37-FT_First)/FT_Int1),FT_PreY5+FT_PerYear*INT((AY37-FT_Y5)/12)+FT_AnnivDays+INT(MOD(AY37-FT_Y5,12)/FT_Int2))),IF(AR37="PT",IF(AY37&lt;PT_First,0,1+INT((AY37-PT_First)/PT_Int)),0)),0))</f>
        <v/>
      </c>
      <c r="BB37" s="14" t="str">
        <f aca="false">IF(AG37=0,"",IF(AS37="FT",IF(AT37&lt;FT_First,FT_First,IF(AT37&lt;FT_Y5,MIN(FT_Y5,FT_First+FT_Int1*(INT((AT37-FT_First)/FT_Int1)+1)),FT_Y5+12*INT((AT37-FT_Y5)/12)+FT_Int2*(INT(MOD(AT37-FT_Y5,12)/FT_Int2)+1))),IF(AS37="PT",IF(AT37&lt;PT_First,PT_First,PT_First+PT_Int*(INT((AT37-PT_First)/PT_Int)+1)),"")))</f>
        <v/>
      </c>
      <c r="BC37" s="14" t="str">
        <f aca="false">IF(AG37=0,"",IF(NOT(LH_Ready),0,COUNTIFS(INDEX(LH_Data,0,LH_ColFirst),$A37,INDEX(LH_Data,0,LH_ColSur),$B37,INDEX(LH_Data,0,LH_ColCat),BonusCat)))</f>
        <v/>
      </c>
      <c r="BD37" s="14" t="str">
        <f aca="false">IF(AG37=0,"",IF(OR(NOT(LH_Ready),BC37=0),0,SUMPRODUCT(MAX((INDEX(LH_Data,0,LH_ColFirst)=$A37)*(INDEX(LH_Data,0,LH_ColSur)=$B37)*(INDEX(LH_Data,0,LH_ColCat)=BonusCat)*ROW(LH_Data)))))</f>
        <v/>
      </c>
      <c r="BE37" s="14" t="str">
        <f aca="false">IF(AG37=0,"",IF(EOMONTH(AsOfDate,-1)&lt;AH37,-1,12*(YEAR(EOMONTH(AsOfDate,-1))-YEAR(AH37))+MONTH(EOMONTH(AsOfDate,-1))-MONTH(AH37)-IF(DAY(EOMONTH(AsOfDate,-1))&lt;MIN(DAY(AH37),DAY(EOMONTH(EOMONTH(AsOfDate,-1),0))),1,0)))</f>
        <v/>
      </c>
      <c r="BF37" s="14" t="str">
        <f aca="false">IF(AG37=0,"",IF(OR(AI37&lt;2,AK37&gt;EOMONTH(AsOfDate,-1)),BE37,IF((AK37-1)&lt;AH37,-1,12*(YEAR((AK37-1))-YEAR(AH37))+MONTH((AK37-1))-MONTH(AH37)-IF(DAY((AK37-1))&lt;MIN(DAY(AH37),DAY(EOMONTH((AK37-1),0))),1,0))))</f>
        <v/>
      </c>
      <c r="BG37" s="14" t="str">
        <f aca="false">IF(AG37=0,"",IF(OR(AI37&lt;3,AL37&gt;EOMONTH(AsOfDate,-1)),BE37,IF((AL37-1)&lt;AH37,-1,12*(YEAR((AL37-1))-YEAR(AH37))+MONTH((AL37-1))-MONTH(AH37)-IF(DAY((AL37-1))&lt;MIN(DAY(AH37),DAY(EOMONTH((AL37-1),0))),1,0))))</f>
        <v/>
      </c>
      <c r="BH37" s="14" t="str">
        <f aca="false">IF(AG37=0,"",IF(AP37="FT",IF(BF37&lt;FT_First,0,IF(BF37&lt;FT_Y5,1+INT((BF37-FT_First)/FT_Int1),FT_PreY5+FT_PerYear*INT((BF37-FT_Y5)/12)+FT_AnnivDays+INT(MOD(BF37-FT_Y5,12)/FT_Int2))),IF(AP37="PT",IF(BF37&lt;PT_First,0,1+INT((BF37-PT_First)/PT_Int)),0))+IF(AND(AI37&gt;=2,AK37&lt;=EOMONTH(AsOfDate,-1)),IF(AQ37="FT",IF(BG37&lt;FT_First,0,IF(BG37&lt;FT_Y5,1+INT((BG37-FT_First)/FT_Int1),FT_PreY5+FT_PerYear*INT((BG37-FT_Y5)/12)+FT_AnnivDays+INT(MOD(BG37-FT_Y5,12)/FT_Int2))),IF(AQ37="PT",IF(BG37&lt;PT_First,0,1+INT((BG37-PT_First)/PT_Int)),0))-IF(AQ37="FT",IF(BF37&lt;FT_First,0,IF(BF37&lt;FT_Y5,1+INT((BF37-FT_First)/FT_Int1),FT_PreY5+FT_PerYear*INT((BF37-FT_Y5)/12)+FT_AnnivDays+INT(MOD(BF37-FT_Y5,12)/FT_Int2))),IF(AQ37="PT",IF(BF37&lt;PT_First,0,1+INT((BF37-PT_First)/PT_Int)),0)),0)+IF(AND(AI37&gt;=3,AL37&lt;=EOMONTH(AsOfDate,-1)),IF(AR37="FT",IF(BE37&lt;FT_First,0,IF(BE37&lt;FT_Y5,1+INT((BE37-FT_First)/FT_Int1),FT_PreY5+FT_PerYear*INT((BE37-FT_Y5)/12)+FT_AnnivDays+INT(MOD(BE37-FT_Y5,12)/FT_Int2))),IF(AR37="PT",IF(BE37&lt;PT_First,0,1+INT((BE37-PT_First)/PT_Int)),0))-IF(AR37="FT",IF(BG37&lt;FT_First,0,IF(BG37&lt;FT_Y5,1+INT((BG37-FT_First)/FT_Int1),FT_PreY5+FT_PerYear*INT((BG37-FT_Y5)/12)+FT_AnnivDays+INT(MOD(BG37-FT_Y5,12)/FT_Int2))),IF(AR37="PT",IF(BG37&lt;PT_First,0,1+INT((BG37-PT_First)/PT_Int)),0)),0))</f>
        <v/>
      </c>
      <c r="BI37" s="14" t="str">
        <f aca="false">IF(AG37=0,"",IF(AS37="FT",IF(AT37&lt;FT_First,"",IF(AT37&lt;FT_Y5,FT_First+FT_Int1*INT((AT37-FT_First)/FT_Int1),FT_Y5+FT_Int2*INT((AT37-FT_Y5)/FT_Int2))),IF(AS37="PT",IF(AT37&lt;PT_First,"",PT_First+PT_Int*INT((AT37-PT_First)/PT_Int)),"")))</f>
        <v/>
      </c>
      <c r="BJ37" s="0" t="str">
        <f aca="false">IF(LEN($A37&amp;$B37)=0,"",$A37&amp;" "&amp;$B37)</f>
        <v/>
      </c>
    </row>
    <row r="38" customFormat="false" ht="15" hidden="false" customHeight="false" outlineLevel="0" collapsed="false">
      <c r="A38" s="10"/>
      <c r="B38" s="10"/>
      <c r="C38" s="10"/>
      <c r="D38" s="11"/>
      <c r="E38" s="12" t="str">
        <f aca="false">IF(OR(AG38=0,$D38=""),"",DATE(YEAR(AsOfDate)+IF(DATE(YEAR(AsOfDate),MONTH($D38),DAY($D38))&lt;=AsOfDate,1,0),MONTH($D38),DAY($D38)))</f>
        <v/>
      </c>
      <c r="F38" s="11"/>
      <c r="G38" s="11"/>
      <c r="H38" s="11"/>
      <c r="I38" s="11"/>
      <c r="J38" s="11"/>
      <c r="K38" s="12" t="str">
        <f aca="false">IF(AG38=0,"",DATE(YEAR(AsOfDate)+IF(DATE(YEAR(AsOfDate),MONTH(AH38),DAY(AH38))&lt;=AsOfDate,1,0),MONTH(AH38),DAY(AH38)))</f>
        <v/>
      </c>
      <c r="L38" s="13" t="str">
        <f aca="false">IF(AG38=0,"",ROUND((AsOfDate-AH38)/365.25,1))</f>
        <v/>
      </c>
      <c r="M38" s="14" t="str">
        <f aca="false">IF(AG38=0,"",IF(AsOfDate&lt;AH38,"-",DATEDIF(AH38,AsOfDate,"y")&amp;"y "&amp;DATEDIF(AH38,AsOfDate,"ym")&amp;"m "&amp;DATEDIF(AH38,AsOfDate,"md")&amp;"d"))</f>
        <v/>
      </c>
      <c r="N38" s="15" t="str">
        <f aca="false">IF(AG38=0,"",O38*HoursPerDay)</f>
        <v/>
      </c>
      <c r="O38" s="15" t="str">
        <f aca="false">IF(AG38=0,"",AZ38)</f>
        <v/>
      </c>
      <c r="P38" s="16"/>
      <c r="Q38" s="14" t="str">
        <f aca="false">IF(AG38=0,"",IF(AI38&lt;2,"",AM38&amp;" to "&amp;AN38&amp;" on "&amp;TEXT(AK38,"dd/mm/yyyy")&amp;IF(AK38&gt;AsOfDate," (future)",IF(AP38=AQ38,"",IF(AQ38="None"," - STOPPED accruing",IF(AP38="None"," - commencement for Bonus Leave"," - pathway changed"))))&amp;IF(AI38&lt;3,"","; "&amp;AN38&amp;" to "&amp;AO38&amp;" on "&amp;TEXT(AL38,"dd/mm/yyyy")&amp;IF(AL38&gt;AsOfDate," (future)",IF(AQ38=AR38,"",IF(AR38="None"," - STOPPED accruing",IF(AQ38="None"," - commencement for Bonus Leave"," - pathway changed")))))))</f>
        <v/>
      </c>
      <c r="R38" s="14" t="str">
        <f aca="false">IF(AG38=0,"",IF(AS38="None",IF(O38&gt;0,"No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2" t="str">
        <f aca="false">IF(AG38=0,"",IF(AS38="None","",EDATE(AH38,BB38)))</f>
        <v/>
      </c>
      <c r="T38" s="15" t="str">
        <f aca="false">IF(AG38=0,"",IF(NOT(LH_Ready),"",IF(AH38&gt;PFYDate,0,IF(LH_ColPeriod=0,W38-U38+V38,SUMIFS(INDEX(LH_Data,0,LH_ColAcc),INDEX(LH_Data,0,LH_ColFirst),$A38,INDEX(LH_Data,0,LH_ColSur),$B38,INDEX(LH_Data,0,LH_ColCat),BonusCat,INDEX(LH_Data,0,LH_ColPeriod),LH_OpenLabel)*UnitFactor))))</f>
        <v/>
      </c>
      <c r="U38" s="15" t="str">
        <f aca="false">IF(AG38=0,"",IF(NOT(LH_Ready),"",SUMIFS(INDEX(LH_Data,0,LH_ColAcc),INDEX(LH_Data,0,LH_ColFirst),$A38,INDEX(LH_Data,0,LH_ColSur),$B38,INDEX(LH_Data,0,LH_ColCat),BonusCat,INDEX(LH_Data,0,LH_ColStart),"&gt;="&amp;AH38)*UnitFactor))</f>
        <v/>
      </c>
      <c r="V38" s="15" t="str">
        <f aca="false">IF(AG38=0,"",IF(NOT(LH_Ready),"",SUMIFS(INDEX(LH_Data,0,LH_ColTaken),INDEX(LH_Data,0,LH_ColFirst),$A38,INDEX(LH_Data,0,LH_ColSur),$B38,INDEX(LH_Data,0,LH_ColCat),BonusCat,INDEX(LH_Data,0,LH_ColStart),"&gt;="&amp;AH38)*UnitFactor))</f>
        <v/>
      </c>
      <c r="W38" s="15" t="str">
        <f aca="false">IF(AG38=0,"",IF(NOT(LH_Ready),"",IF(BD38=0,0,INDEX(INDEX(LH_Data,0,LH_ColClose),BD38-1)*UnitFactor)))</f>
        <v/>
      </c>
      <c r="X38" s="15" t="str">
        <f aca="false">IF(AG38=0,"",(AZ38-BA38)*HoursPerDay)</f>
        <v/>
      </c>
      <c r="Y38" s="15" t="str">
        <f aca="false">IF(AG38=0,"",IF(NOT(LH_Ready),"",IF(BC38=0,N38,IF(PFYDate&lt;$F38,N38-N(T38)-N(U38),X38-N(U38)))))</f>
        <v/>
      </c>
      <c r="Z38" s="14" t="str">
        <f aca="false">IF(OR(AG38=0,Y38=""),"",IF(Y38&gt;0,"Yes","No"))</f>
        <v/>
      </c>
      <c r="AA38" s="14" t="str">
        <f aca="false">IF(AG38=0,IF(LEN($A38&amp;$B38)=0,"","FIX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month")&amp;IF(BC38=0,";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EH)",""),IF(AS38="None",R38,"Not yet - first day on "&amp;TEXT(S38,"dd/mm/yyyy")))))))))</f>
        <v/>
      </c>
      <c r="AB38" s="15" t="str">
        <f aca="false">IF(OR(AG38=0,T38=""),"",BA38*HoursPerDay-T38)</f>
        <v/>
      </c>
      <c r="AC38" s="14" t="str">
        <f aca="false">IF(AG38=0,"",BC38)</f>
        <v/>
      </c>
      <c r="AD38" s="14" t="str">
        <f aca="false">IF(AG38=0,"",TRIM(IF(OR(ISTEXT($F38),ISTEXT($H38),ISTEXT($I38),ISTEXT($G38),ISTEXT($J38),ISTEXT($D38)),"A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I38&gt;=1,IF(AI38&gt;=3,AO38,IF(AI38=2,AN38,AM38))&lt;&gt;IF($C38="","",IF(OR(ISNUMBER(SEARCH("full",$C38)),UPPER(TRIM($C38))="FT",UPPER(TRIM($C38))="FTE"),"Full-Time",IF(OR(ISNUMBER(SEARCH("part",$C38)),UPPER(TRIM($C38))="PT",UPPER(TRIM($C38))="PTE"),"Part-Time",IF(OR(ISNUMBER(SEARCH("cas",$C38)),UPPER(TRIM($C38))="CAS"),"Casual","Unknown"))))),"EmploymentType does not match latest start date ("&amp;IF(AI38&gt;=3,AO38,IF(AI38=2,AN38,AM38))&amp;"). ","")&amp;IF(AND(AI38&gt;=1,AJ38&lt;&gt;$F38),"Earliest type date should equal StartDate. ","")&amp;IF(AND(AI38&gt;=2,AJ38=AK38),"Two types start on the same date. ","")&amp;IF(AND(OR(ISNUMBER(SEARCH("part",$C38)),UPPER(TRIM($C38))="PT",UPPER(TRIM($C38))="PTE"),$P38=""),"Part-time: enter PT Hrs/Week (blank = 24+). ","")))</f>
        <v/>
      </c>
      <c r="AE38" s="15" t="str">
        <f aca="false">IF(AG38=0,"",O38-BH38)</f>
        <v/>
      </c>
      <c r="AF38" s="12" t="str">
        <f aca="false">IF(OR(AG38=0,AE38="",N(AE38)=0,BI38=""),"",EDATE(AH38,BI38))</f>
        <v/>
      </c>
      <c r="AG38" s="14" t="n">
        <f aca="false">IF(OR(LEN($A38&amp;$B38)=0,$F38=""),0,1)</f>
        <v>0</v>
      </c>
      <c r="AH38" s="12" t="str">
        <f aca="false">IF(AG38=0,"",IF($J38&lt;&gt;"",$J38,IF(OR(CasualCounts="Yes",COUNT($G38:$I38)=0,COUNT($H38:$I38)=0),$F38,MIN($H38:$I38))))</f>
        <v/>
      </c>
      <c r="AI38" s="14" t="str">
        <f aca="false">IF(AG38=0,"",COUNT($G38:$I38))</f>
        <v/>
      </c>
      <c r="AJ38" s="12" t="str">
        <f aca="false">IF(AG38=0,"",IFERROR(SMALL($G38:$I38,1),""))</f>
        <v/>
      </c>
      <c r="AK38" s="12" t="str">
        <f aca="false">IF(AG38=0,"",IFERROR(SMALL($G38:$I38,2),""))</f>
        <v/>
      </c>
      <c r="AL38" s="12" t="str">
        <f aca="false">IF(AG38=0,"",IFERROR(SMALL($G38:$I38,3),""))</f>
        <v/>
      </c>
      <c r="AM38" s="14" t="str">
        <f aca="false">IF(AG38=0,"",IF(AJ38="","",IF(AJ38=$H38,"Part-Time",IF(AJ38=$I38,"Full-Time","Casual"))))</f>
        <v/>
      </c>
      <c r="AN38" s="14" t="str">
        <f aca="false">IF(AG38=0,"",IF(AK38="","",IF(AK38=$H38,"Part-Time",IF(AK38=$I38,"Full-Time","Casual"))))</f>
        <v/>
      </c>
      <c r="AO38" s="14" t="str">
        <f aca="false">IF(AG38=0,"",IF(AL38="","",IF(AL38=$H38,"Part-Time",IF(AL38=$I38,"Full-Time","Casual"))))</f>
        <v/>
      </c>
      <c r="AP38" s="14" t="str">
        <f aca="false">IF(AG38=0,"",IF(AI38=0,IF(OR(ISNUMBER(SEARCH("full",$C38)),UPPER(TRIM($C38))="FT",UPPER(TRIM($C38))="FTE"),"FT",IF(AND(OR(ISNUMBER(SEARCH("part",$C38)),UPPER(TRIM($C38))="PT",UPPER(TRIM($C38))="PTE"),OR($P38="",N($P38)&gt;=PT_MinHours)),"PT","None")),IF(OR(ISNUMBER(SEARCH("full",AM38)),UPPER(TRIM(AM38))="FT",UPPER(TRIM(AM38))="FTE"),"FT",IF(AND(OR(ISNUMBER(SEARCH("part",AM38)),UPPER(TRIM(AM38))="PT",UPPER(TRIM(AM38))="PTE"),OR($P38="",N($P38)&gt;=PT_MinHours)),"PT","None"))))</f>
        <v/>
      </c>
      <c r="AQ38" s="14" t="str">
        <f aca="false">IF(AG38=0,"",IF(AI38&lt;2,"",IF(OR(ISNUMBER(SEARCH("full",AN38)),UPPER(TRIM(AN38))="FT",UPPER(TRIM(AN38))="FTE"),"FT",IF(AND(OR(ISNUMBER(SEARCH("part",AN38)),UPPER(TRIM(AN38))="PT",UPPER(TRIM(AN38))="PTE"),OR($P38="",N($P38)&gt;=PT_MinHours)),"PT","None"))))</f>
        <v/>
      </c>
      <c r="AR38" s="14" t="str">
        <f aca="false">IF(AG38=0,"",IF(AI38&lt;3,"",IF(OR(ISNUMBER(SEARCH("full",AO38)),UPPER(TRIM(AO38))="FT",UPPER(TRIM(AO38))="FTE"),"FT",IF(AND(OR(ISNUMBER(SEARCH("part",AO38)),UPPER(TRIM(AO38))="PT",UPPER(TRIM(AO38))="PTE"),OR($P38="",N($P38)&gt;=PT_MinHours)),"PT","None"))))</f>
        <v/>
      </c>
      <c r="AS38" s="14" t="str">
        <f aca="false">IF(AG38=0,"",IF(AND(AI38&gt;=3,AL38&lt;=AsOfDate),AR38,IF(AND(AI38&gt;=2,AK38&lt;=AsOfDate),AQ38,AP38)))</f>
        <v/>
      </c>
      <c r="AT38" s="14" t="str">
        <f aca="false">IF(AG38=0,"",IF(AsOfDate&lt;AH38,-1,12*(YEAR(AsOfDate)-YEAR(AH38))+MONTH(AsOfDate)-MONTH(AH38)-IF(DAY(AsOfDate)&lt;MIN(DAY(AH38),DAY(EOMONTH(AsOfDate,0))),1,0)))</f>
        <v/>
      </c>
      <c r="AU38" s="14" t="str">
        <f aca="false">IF(AG38=0,"",IF(OR(AI38&lt;2,AK38&gt;AsOfDate),AT38,IF((AK38-1)&lt;AH38,-1,12*(YEAR((AK38-1))-YEAR(AH38))+MONTH((AK38-1))-MONTH(AH38)-IF(DAY((AK38-1))&lt;MIN(DAY(AH38),DAY(EOMONTH((AK38-1),0))),1,0))))</f>
        <v/>
      </c>
      <c r="AV38" s="14" t="str">
        <f aca="false">IF(AG38=0,"",IF(OR(AI38&lt;3,AL38&gt;AsOfDate),AT38,IF((AL38-1)&lt;AH38,-1,12*(YEAR((AL38-1))-YEAR(AH38))+MONTH((AL38-1))-MONTH(AH38)-IF(DAY((AL38-1))&lt;MIN(DAY(AH38),DAY(EOMONTH((AL38-1),0))),1,0))))</f>
        <v/>
      </c>
      <c r="AW38" s="14" t="str">
        <f aca="false">IF(AG38=0,"",IF(PFYDate&lt;AH38,-1,12*(YEAR(PFYDate)-YEAR(AH38))+MONTH(PFYDate)-MONTH(AH38)-IF(DAY(PFYDate)&lt;MIN(DAY(AH38),DAY(EOMONTH(PFYDate,0))),1,0)))</f>
        <v/>
      </c>
      <c r="AX38" s="14" t="str">
        <f aca="false">IF(AG38=0,"",IF(OR(AI38&lt;2,AK38&gt;PFYDate),AW38,IF((AK38-1)&lt;AH38,-1,12*(YEAR((AK38-1))-YEAR(AH38))+MONTH((AK38-1))-MONTH(AH38)-IF(DAY((AK38-1))&lt;MIN(DAY(AH38),DAY(EOMONTH((AK38-1),0))),1,0))))</f>
        <v/>
      </c>
      <c r="AY38" s="14" t="str">
        <f aca="false">IF(AG38=0,"",IF(OR(AI38&lt;3,AL38&gt;PFYDate),AW38,IF((AL38-1)&lt;AH38,-1,12*(YEAR((AL38-1))-YEAR(AH38))+MONTH((AL38-1))-MONTH(AH38)-IF(DAY((AL38-1))&lt;MIN(DAY(AH38),DAY(EOMONTH((AL38-1),0))),1,0))))</f>
        <v/>
      </c>
      <c r="AZ38" s="14" t="str">
        <f aca="false">IF(AG38=0,"",IF(AP38="FT",IF(AU38&lt;FT_First,0,IF(AU38&lt;FT_Y5,1+INT((AU38-FT_First)/FT_Int1),FT_PreY5+FT_PerYear*INT((AU38-FT_Y5)/12)+FT_AnnivDays+INT(MOD(AU38-FT_Y5,12)/FT_Int2))),IF(AP38="PT",IF(AU38&lt;PT_First,0,1+INT((AU38-PT_First)/PT_Int)),0))+IF(AND(AI38&gt;=2,AK38&lt;=AsOfDate),IF(AQ38="FT",IF(AV38&lt;FT_First,0,IF(AV38&lt;FT_Y5,1+INT((AV38-FT_First)/FT_Int1),FT_PreY5+FT_PerYear*INT((AV38-FT_Y5)/12)+FT_AnnivDays+INT(MOD(AV38-FT_Y5,12)/FT_Int2))),IF(AQ38="PT",IF(AV38&lt;PT_First,0,1+INT((AV38-PT_First)/PT_Int)),0))-IF(AQ38="FT",IF(AU38&lt;FT_First,0,IF(AU38&lt;FT_Y5,1+INT((AU38-FT_First)/FT_Int1),FT_PreY5+FT_PerYear*INT((AU38-FT_Y5)/12)+FT_AnnivDays+INT(MOD(AU38-FT_Y5,12)/FT_Int2))),IF(AQ38="PT",IF(AU38&lt;PT_First,0,1+INT((AU38-PT_First)/PT_Int)),0)),0)+IF(AND(AI38&gt;=3,AL38&lt;=AsOfDate),IF(AR38="FT",IF(AT38&lt;FT_First,0,IF(AT38&lt;FT_Y5,1+INT((AT38-FT_First)/FT_Int1),FT_PreY5+FT_PerYear*INT((AT38-FT_Y5)/12)+FT_AnnivDays+INT(MOD(AT38-FT_Y5,12)/FT_Int2))),IF(AR38="PT",IF(AT38&lt;PT_First,0,1+INT((AT38-PT_First)/PT_Int)),0))-IF(AR38="FT",IF(AV38&lt;FT_First,0,IF(AV38&lt;FT_Y5,1+INT((AV38-FT_First)/FT_Int1),FT_PreY5+FT_PerYear*INT((AV38-FT_Y5)/12)+FT_AnnivDays+INT(MOD(AV38-FT_Y5,12)/FT_Int2))),IF(AR38="PT",IF(AV38&lt;PT_First,0,1+INT((AV38-PT_First)/PT_Int)),0)),0))</f>
        <v/>
      </c>
      <c r="BA38" s="14" t="str">
        <f aca="false">IF(AG38=0,"",IF(AP38="FT",IF(AX38&lt;FT_First,0,IF(AX38&lt;FT_Y5,1+INT((AX38-FT_First)/FT_Int1),FT_PreY5+FT_PerYear*INT((AX38-FT_Y5)/12)+FT_AnnivDays+INT(MOD(AX38-FT_Y5,12)/FT_Int2))),IF(AP38="PT",IF(AX38&lt;PT_First,0,1+INT((AX38-PT_First)/PT_Int)),0))+IF(AND(AI38&gt;=2,AK38&lt;=PFYDate),IF(AQ38="FT",IF(AY38&lt;FT_First,0,IF(AY38&lt;FT_Y5,1+INT((AY38-FT_First)/FT_Int1),FT_PreY5+FT_PerYear*INT((AY38-FT_Y5)/12)+FT_AnnivDays+INT(MOD(AY38-FT_Y5,12)/FT_Int2))),IF(AQ38="PT",IF(AY38&lt;PT_First,0,1+INT((AY38-PT_First)/PT_Int)),0))-IF(AQ38="FT",IF(AX38&lt;FT_First,0,IF(AX38&lt;FT_Y5,1+INT((AX38-FT_First)/FT_Int1),FT_PreY5+FT_PerYear*INT((AX38-FT_Y5)/12)+FT_AnnivDays+INT(MOD(AX38-FT_Y5,12)/FT_Int2))),IF(AQ38="PT",IF(AX38&lt;PT_First,0,1+INT((AX38-PT_First)/PT_Int)),0)),0)+IF(AND(AI38&gt;=3,AL38&lt;=PFYDate),IF(AR38="FT",IF(AW38&lt;FT_First,0,IF(AW38&lt;FT_Y5,1+INT((AW38-FT_First)/FT_Int1),FT_PreY5+FT_PerYear*INT((AW38-FT_Y5)/12)+FT_AnnivDays+INT(MOD(AW38-FT_Y5,12)/FT_Int2))),IF(AR38="PT",IF(AW38&lt;PT_First,0,1+INT((AW38-PT_First)/PT_Int)),0))-IF(AR38="FT",IF(AY38&lt;FT_First,0,IF(AY38&lt;FT_Y5,1+INT((AY38-FT_First)/FT_Int1),FT_PreY5+FT_PerYear*INT((AY38-FT_Y5)/12)+FT_AnnivDays+INT(MOD(AY38-FT_Y5,12)/FT_Int2))),IF(AR38="PT",IF(AY38&lt;PT_First,0,1+INT((AY38-PT_First)/PT_Int)),0)),0))</f>
        <v/>
      </c>
      <c r="BB38" s="14" t="str">
        <f aca="false">IF(AG38=0,"",IF(AS38="FT",IF(AT38&lt;FT_First,FT_First,IF(AT38&lt;FT_Y5,MIN(FT_Y5,FT_First+FT_Int1*(INT((AT38-FT_First)/FT_Int1)+1)),FT_Y5+12*INT((AT38-FT_Y5)/12)+FT_Int2*(INT(MOD(AT38-FT_Y5,12)/FT_Int2)+1))),IF(AS38="PT",IF(AT38&lt;PT_First,PT_First,PT_First+PT_Int*(INT((AT38-PT_First)/PT_Int)+1)),"")))</f>
        <v/>
      </c>
      <c r="BC38" s="14" t="str">
        <f aca="false">IF(AG38=0,"",IF(NOT(LH_Ready),0,COUNTIFS(INDEX(LH_Data,0,LH_ColFirst),$A38,INDEX(LH_Data,0,LH_ColSur),$B38,INDEX(LH_Data,0,LH_ColCat),BonusCat)))</f>
        <v/>
      </c>
      <c r="BD38" s="14" t="str">
        <f aca="false">IF(AG38=0,"",IF(OR(NOT(LH_Ready),BC38=0),0,SUMPRODUCT(MAX((INDEX(LH_Data,0,LH_ColFirst)=$A38)*(INDEX(LH_Data,0,LH_ColSur)=$B38)*(INDEX(LH_Data,0,LH_ColCat)=BonusCat)*ROW(LH_Data)))))</f>
        <v/>
      </c>
      <c r="BE38" s="14" t="str">
        <f aca="false">IF(AG38=0,"",IF(EOMONTH(AsOfDate,-1)&lt;AH38,-1,12*(YEAR(EOMONTH(AsOfDate,-1))-YEAR(AH38))+MONTH(EOMONTH(AsOfDate,-1))-MONTH(AH38)-IF(DAY(EOMONTH(AsOfDate,-1))&lt;MIN(DAY(AH38),DAY(EOMONTH(EOMONTH(AsOfDate,-1),0))),1,0)))</f>
        <v/>
      </c>
      <c r="BF38" s="14" t="str">
        <f aca="false">IF(AG38=0,"",IF(OR(AI38&lt;2,AK38&gt;EOMONTH(AsOfDate,-1)),BE38,IF((AK38-1)&lt;AH38,-1,12*(YEAR((AK38-1))-YEAR(AH38))+MONTH((AK38-1))-MONTH(AH38)-IF(DAY((AK38-1))&lt;MIN(DAY(AH38),DAY(EOMONTH((AK38-1),0))),1,0))))</f>
        <v/>
      </c>
      <c r="BG38" s="14" t="str">
        <f aca="false">IF(AG38=0,"",IF(OR(AI38&lt;3,AL38&gt;EOMONTH(AsOfDate,-1)),BE38,IF((AL38-1)&lt;AH38,-1,12*(YEAR((AL38-1))-YEAR(AH38))+MONTH((AL38-1))-MONTH(AH38)-IF(DAY((AL38-1))&lt;MIN(DAY(AH38),DAY(EOMONTH((AL38-1),0))),1,0))))</f>
        <v/>
      </c>
      <c r="BH38" s="14" t="str">
        <f aca="false">IF(AG38=0,"",IF(AP38="FT",IF(BF38&lt;FT_First,0,IF(BF38&lt;FT_Y5,1+INT((BF38-FT_First)/FT_Int1),FT_PreY5+FT_PerYear*INT((BF38-FT_Y5)/12)+FT_AnnivDays+INT(MOD(BF38-FT_Y5,12)/FT_Int2))),IF(AP38="PT",IF(BF38&lt;PT_First,0,1+INT((BF38-PT_First)/PT_Int)),0))+IF(AND(AI38&gt;=2,AK38&lt;=EOMONTH(AsOfDate,-1)),IF(AQ38="FT",IF(BG38&lt;FT_First,0,IF(BG38&lt;FT_Y5,1+INT((BG38-FT_First)/FT_Int1),FT_PreY5+FT_PerYear*INT((BG38-FT_Y5)/12)+FT_AnnivDays+INT(MOD(BG38-FT_Y5,12)/FT_Int2))),IF(AQ38="PT",IF(BG38&lt;PT_First,0,1+INT((BG38-PT_First)/PT_Int)),0))-IF(AQ38="FT",IF(BF38&lt;FT_First,0,IF(BF38&lt;FT_Y5,1+INT((BF38-FT_First)/FT_Int1),FT_PreY5+FT_PerYear*INT((BF38-FT_Y5)/12)+FT_AnnivDays+INT(MOD(BF38-FT_Y5,12)/FT_Int2))),IF(AQ38="PT",IF(BF38&lt;PT_First,0,1+INT((BF38-PT_First)/PT_Int)),0)),0)+IF(AND(AI38&gt;=3,AL38&lt;=EOMONTH(AsOfDate,-1)),IF(AR38="FT",IF(BE38&lt;FT_First,0,IF(BE38&lt;FT_Y5,1+INT((BE38-FT_First)/FT_Int1),FT_PreY5+FT_PerYear*INT((BE38-FT_Y5)/12)+FT_AnnivDays+INT(MOD(BE38-FT_Y5,12)/FT_Int2))),IF(AR38="PT",IF(BE38&lt;PT_First,0,1+INT((BE38-PT_First)/PT_Int)),0))-IF(AR38="FT",IF(BG38&lt;FT_First,0,IF(BG38&lt;FT_Y5,1+INT((BG38-FT_First)/FT_Int1),FT_PreY5+FT_PerYear*INT((BG38-FT_Y5)/12)+FT_AnnivDays+INT(MOD(BG38-FT_Y5,12)/FT_Int2))),IF(AR38="PT",IF(BG38&lt;PT_First,0,1+INT((BG38-PT_First)/PT_Int)),0)),0))</f>
        <v/>
      </c>
      <c r="BI38" s="14" t="str">
        <f aca="false">IF(AG38=0,"",IF(AS38="FT",IF(AT38&lt;FT_First,"",IF(AT38&lt;FT_Y5,FT_First+FT_Int1*INT((AT38-FT_First)/FT_Int1),FT_Y5+FT_Int2*INT((AT38-FT_Y5)/FT_Int2))),IF(AS38="PT",IF(AT38&lt;PT_First,"",PT_First+PT_Int*INT((AT38-PT_First)/PT_Int)),"")))</f>
        <v/>
      </c>
      <c r="BJ38" s="0" t="str">
        <f aca="false">IF(LEN($A38&amp;$B38)=0,"",$A38&amp;" "&amp;$B38)</f>
        <v/>
      </c>
    </row>
    <row r="39" customFormat="false" ht="15" hidden="false" customHeight="false" outlineLevel="0" collapsed="false">
      <c r="A39" s="10"/>
      <c r="B39" s="10"/>
      <c r="C39" s="10"/>
      <c r="D39" s="11"/>
      <c r="E39" s="12" t="str">
        <f aca="false">IF(OR(AG39=0,$D39=""),"",DATE(YEAR(AsOfDate)+IF(DATE(YEAR(AsOfDate),MONTH($D39),DAY($D39))&lt;=AsOfDate,1,0),MONTH($D39),DAY($D39)))</f>
        <v/>
      </c>
      <c r="F39" s="11"/>
      <c r="G39" s="11"/>
      <c r="H39" s="11"/>
      <c r="I39" s="11"/>
      <c r="J39" s="11"/>
      <c r="K39" s="12" t="str">
        <f aca="false">IF(AG39=0,"",DATE(YEAR(AsOfDate)+IF(DATE(YEAR(AsOfDate),MONTH(AH39),DAY(AH39))&lt;=AsOfDate,1,0),MONTH(AH39),DAY(AH39)))</f>
        <v/>
      </c>
      <c r="L39" s="13" t="str">
        <f aca="false">IF(AG39=0,"",ROUND((AsOfDate-AH39)/365.25,1))</f>
        <v/>
      </c>
      <c r="M39" s="14" t="str">
        <f aca="false">IF(AG39=0,"",IF(AsOfDate&lt;AH39,"-",DATEDIF(AH39,AsOfDate,"y")&amp;"y "&amp;DATEDIF(AH39,AsOfDate,"ym")&amp;"m "&amp;DATEDIF(AH39,AsOfDate,"md")&amp;"d"))</f>
        <v/>
      </c>
      <c r="N39" s="15" t="str">
        <f aca="false">IF(AG39=0,"",O39*HoursPerDay)</f>
        <v/>
      </c>
      <c r="O39" s="15" t="str">
        <f aca="false">IF(AG39=0,"",AZ39)</f>
        <v/>
      </c>
      <c r="P39" s="16"/>
      <c r="Q39" s="14" t="str">
        <f aca="false">IF(AG39=0,"",IF(AI39&lt;2,"",AM39&amp;" to "&amp;AN39&amp;" on "&amp;TEXT(AK39,"dd/mm/yyyy")&amp;IF(AK39&gt;AsOfDate," (future)",IF(AP39=AQ39,"",IF(AQ39="None"," - STOPPED accruing",IF(AP39="None"," - commencement for Bonus Leave"," - pathway changed"))))&amp;IF(AI39&lt;3,"","; "&amp;AN39&amp;" to "&amp;AO39&amp;" on "&amp;TEXT(AL39,"dd/mm/yyyy")&amp;IF(AL39&gt;AsOfDate," (future)",IF(AQ39=AR39,"",IF(AR39="None"," - STOPPED accruing",IF(AQ39="None"," - commencement for Bonus Leave"," - pathway changed")))))))</f>
        <v/>
      </c>
      <c r="R39" s="14" t="str">
        <f aca="false">IF(AG39=0,"",IF(AS39="None",IF(O39&gt;0,"No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2" t="str">
        <f aca="false">IF(AG39=0,"",IF(AS39="None","",EDATE(AH39,BB39)))</f>
        <v/>
      </c>
      <c r="T39" s="15" t="str">
        <f aca="false">IF(AG39=0,"",IF(NOT(LH_Ready),"",IF(AH39&gt;PFYDate,0,IF(LH_ColPeriod=0,W39-U39+V39,SUMIFS(INDEX(LH_Data,0,LH_ColAcc),INDEX(LH_Data,0,LH_ColFirst),$A39,INDEX(LH_Data,0,LH_ColSur),$B39,INDEX(LH_Data,0,LH_ColCat),BonusCat,INDEX(LH_Data,0,LH_ColPeriod),LH_OpenLabel)*UnitFactor))))</f>
        <v/>
      </c>
      <c r="U39" s="15" t="str">
        <f aca="false">IF(AG39=0,"",IF(NOT(LH_Ready),"",SUMIFS(INDEX(LH_Data,0,LH_ColAcc),INDEX(LH_Data,0,LH_ColFirst),$A39,INDEX(LH_Data,0,LH_ColSur),$B39,INDEX(LH_Data,0,LH_ColCat),BonusCat,INDEX(LH_Data,0,LH_ColStart),"&gt;="&amp;AH39)*UnitFactor))</f>
        <v/>
      </c>
      <c r="V39" s="15" t="str">
        <f aca="false">IF(AG39=0,"",IF(NOT(LH_Ready),"",SUMIFS(INDEX(LH_Data,0,LH_ColTaken),INDEX(LH_Data,0,LH_ColFirst),$A39,INDEX(LH_Data,0,LH_ColSur),$B39,INDEX(LH_Data,0,LH_ColCat),BonusCat,INDEX(LH_Data,0,LH_ColStart),"&gt;="&amp;AH39)*UnitFactor))</f>
        <v/>
      </c>
      <c r="W39" s="15" t="str">
        <f aca="false">IF(AG39=0,"",IF(NOT(LH_Ready),"",IF(BD39=0,0,INDEX(INDEX(LH_Data,0,LH_ColClose),BD39-1)*UnitFactor)))</f>
        <v/>
      </c>
      <c r="X39" s="15" t="str">
        <f aca="false">IF(AG39=0,"",(AZ39-BA39)*HoursPerDay)</f>
        <v/>
      </c>
      <c r="Y39" s="15" t="str">
        <f aca="false">IF(AG39=0,"",IF(NOT(LH_Ready),"",IF(BC39=0,N39,IF(PFYDate&lt;$F39,N39-N(T39)-N(U39),X39-N(U39)))))</f>
        <v/>
      </c>
      <c r="Z39" s="14" t="str">
        <f aca="false">IF(OR(AG39=0,Y39=""),"",IF(Y39&gt;0,"Yes","No"))</f>
        <v/>
      </c>
      <c r="AA39" s="14" t="str">
        <f aca="false">IF(AG39=0,IF(LEN($A39&amp;$B39)=0,"","FIX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month")&amp;IF(BC39=0,";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EH)",""),IF(AS39="None",R39,"Not yet - first day on "&amp;TEXT(S39,"dd/mm/yyyy")))))))))</f>
        <v/>
      </c>
      <c r="AB39" s="15" t="str">
        <f aca="false">IF(OR(AG39=0,T39=""),"",BA39*HoursPerDay-T39)</f>
        <v/>
      </c>
      <c r="AC39" s="14" t="str">
        <f aca="false">IF(AG39=0,"",BC39)</f>
        <v/>
      </c>
      <c r="AD39" s="14" t="str">
        <f aca="false">IF(AG39=0,"",TRIM(IF(OR(ISTEXT($F39),ISTEXT($H39),ISTEXT($I39),ISTEXT($G39),ISTEXT($J39),ISTEXT($D39)),"A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I39&gt;=1,IF(AI39&gt;=3,AO39,IF(AI39=2,AN39,AM39))&lt;&gt;IF($C39="","",IF(OR(ISNUMBER(SEARCH("full",$C39)),UPPER(TRIM($C39))="FT",UPPER(TRIM($C39))="FTE"),"Full-Time",IF(OR(ISNUMBER(SEARCH("part",$C39)),UPPER(TRIM($C39))="PT",UPPER(TRIM($C39))="PTE"),"Part-Time",IF(OR(ISNUMBER(SEARCH("cas",$C39)),UPPER(TRIM($C39))="CAS"),"Casual","Unknown"))))),"EmploymentType does not match latest start date ("&amp;IF(AI39&gt;=3,AO39,IF(AI39=2,AN39,AM39))&amp;"). ","")&amp;IF(AND(AI39&gt;=1,AJ39&lt;&gt;$F39),"Earliest type date should equal StartDate. ","")&amp;IF(AND(AI39&gt;=2,AJ39=AK39),"Two types start on the same date. ","")&amp;IF(AND(OR(ISNUMBER(SEARCH("part",$C39)),UPPER(TRIM($C39))="PT",UPPER(TRIM($C39))="PTE"),$P39=""),"Part-time: enter PT Hrs/Week (blank = 24+). ","")))</f>
        <v/>
      </c>
      <c r="AE39" s="15" t="str">
        <f aca="false">IF(AG39=0,"",O39-BH39)</f>
        <v/>
      </c>
      <c r="AF39" s="12" t="str">
        <f aca="false">IF(OR(AG39=0,AE39="",N(AE39)=0,BI39=""),"",EDATE(AH39,BI39))</f>
        <v/>
      </c>
      <c r="AG39" s="14" t="n">
        <f aca="false">IF(OR(LEN($A39&amp;$B39)=0,$F39=""),0,1)</f>
        <v>0</v>
      </c>
      <c r="AH39" s="12" t="str">
        <f aca="false">IF(AG39=0,"",IF($J39&lt;&gt;"",$J39,IF(OR(CasualCounts="Yes",COUNT($G39:$I39)=0,COUNT($H39:$I39)=0),$F39,MIN($H39:$I39))))</f>
        <v/>
      </c>
      <c r="AI39" s="14" t="str">
        <f aca="false">IF(AG39=0,"",COUNT($G39:$I39))</f>
        <v/>
      </c>
      <c r="AJ39" s="12" t="str">
        <f aca="false">IF(AG39=0,"",IFERROR(SMALL($G39:$I39,1),""))</f>
        <v/>
      </c>
      <c r="AK39" s="12" t="str">
        <f aca="false">IF(AG39=0,"",IFERROR(SMALL($G39:$I39,2),""))</f>
        <v/>
      </c>
      <c r="AL39" s="12" t="str">
        <f aca="false">IF(AG39=0,"",IFERROR(SMALL($G39:$I39,3),""))</f>
        <v/>
      </c>
      <c r="AM39" s="14" t="str">
        <f aca="false">IF(AG39=0,"",IF(AJ39="","",IF(AJ39=$H39,"Part-Time",IF(AJ39=$I39,"Full-Time","Casual"))))</f>
        <v/>
      </c>
      <c r="AN39" s="14" t="str">
        <f aca="false">IF(AG39=0,"",IF(AK39="","",IF(AK39=$H39,"Part-Time",IF(AK39=$I39,"Full-Time","Casual"))))</f>
        <v/>
      </c>
      <c r="AO39" s="14" t="str">
        <f aca="false">IF(AG39=0,"",IF(AL39="","",IF(AL39=$H39,"Part-Time",IF(AL39=$I39,"Full-Time","Casual"))))</f>
        <v/>
      </c>
      <c r="AP39" s="14" t="str">
        <f aca="false">IF(AG39=0,"",IF(AI39=0,IF(OR(ISNUMBER(SEARCH("full",$C39)),UPPER(TRIM($C39))="FT",UPPER(TRIM($C39))="FTE"),"FT",IF(AND(OR(ISNUMBER(SEARCH("part",$C39)),UPPER(TRIM($C39))="PT",UPPER(TRIM($C39))="PTE"),OR($P39="",N($P39)&gt;=PT_MinHours)),"PT","None")),IF(OR(ISNUMBER(SEARCH("full",AM39)),UPPER(TRIM(AM39))="FT",UPPER(TRIM(AM39))="FTE"),"FT",IF(AND(OR(ISNUMBER(SEARCH("part",AM39)),UPPER(TRIM(AM39))="PT",UPPER(TRIM(AM39))="PTE"),OR($P39="",N($P39)&gt;=PT_MinHours)),"PT","None"))))</f>
        <v/>
      </c>
      <c r="AQ39" s="14" t="str">
        <f aca="false">IF(AG39=0,"",IF(AI39&lt;2,"",IF(OR(ISNUMBER(SEARCH("full",AN39)),UPPER(TRIM(AN39))="FT",UPPER(TRIM(AN39))="FTE"),"FT",IF(AND(OR(ISNUMBER(SEARCH("part",AN39)),UPPER(TRIM(AN39))="PT",UPPER(TRIM(AN39))="PTE"),OR($P39="",N($P39)&gt;=PT_MinHours)),"PT","None"))))</f>
        <v/>
      </c>
      <c r="AR39" s="14" t="str">
        <f aca="false">IF(AG39=0,"",IF(AI39&lt;3,"",IF(OR(ISNUMBER(SEARCH("full",AO39)),UPPER(TRIM(AO39))="FT",UPPER(TRIM(AO39))="FTE"),"FT",IF(AND(OR(ISNUMBER(SEARCH("part",AO39)),UPPER(TRIM(AO39))="PT",UPPER(TRIM(AO39))="PTE"),OR($P39="",N($P39)&gt;=PT_MinHours)),"PT","None"))))</f>
        <v/>
      </c>
      <c r="AS39" s="14" t="str">
        <f aca="false">IF(AG39=0,"",IF(AND(AI39&gt;=3,AL39&lt;=AsOfDate),AR39,IF(AND(AI39&gt;=2,AK39&lt;=AsOfDate),AQ39,AP39)))</f>
        <v/>
      </c>
      <c r="AT39" s="14" t="str">
        <f aca="false">IF(AG39=0,"",IF(AsOfDate&lt;AH39,-1,12*(YEAR(AsOfDate)-YEAR(AH39))+MONTH(AsOfDate)-MONTH(AH39)-IF(DAY(AsOfDate)&lt;MIN(DAY(AH39),DAY(EOMONTH(AsOfDate,0))),1,0)))</f>
        <v/>
      </c>
      <c r="AU39" s="14" t="str">
        <f aca="false">IF(AG39=0,"",IF(OR(AI39&lt;2,AK39&gt;AsOfDate),AT39,IF((AK39-1)&lt;AH39,-1,12*(YEAR((AK39-1))-YEAR(AH39))+MONTH((AK39-1))-MONTH(AH39)-IF(DAY((AK39-1))&lt;MIN(DAY(AH39),DAY(EOMONTH((AK39-1),0))),1,0))))</f>
        <v/>
      </c>
      <c r="AV39" s="14" t="str">
        <f aca="false">IF(AG39=0,"",IF(OR(AI39&lt;3,AL39&gt;AsOfDate),AT39,IF((AL39-1)&lt;AH39,-1,12*(YEAR((AL39-1))-YEAR(AH39))+MONTH((AL39-1))-MONTH(AH39)-IF(DAY((AL39-1))&lt;MIN(DAY(AH39),DAY(EOMONTH((AL39-1),0))),1,0))))</f>
        <v/>
      </c>
      <c r="AW39" s="14" t="str">
        <f aca="false">IF(AG39=0,"",IF(PFYDate&lt;AH39,-1,12*(YEAR(PFYDate)-YEAR(AH39))+MONTH(PFYDate)-MONTH(AH39)-IF(DAY(PFYDate)&lt;MIN(DAY(AH39),DAY(EOMONTH(PFYDate,0))),1,0)))</f>
        <v/>
      </c>
      <c r="AX39" s="14" t="str">
        <f aca="false">IF(AG39=0,"",IF(OR(AI39&lt;2,AK39&gt;PFYDate),AW39,IF((AK39-1)&lt;AH39,-1,12*(YEAR((AK39-1))-YEAR(AH39))+MONTH((AK39-1))-MONTH(AH39)-IF(DAY((AK39-1))&lt;MIN(DAY(AH39),DAY(EOMONTH((AK39-1),0))),1,0))))</f>
        <v/>
      </c>
      <c r="AY39" s="14" t="str">
        <f aca="false">IF(AG39=0,"",IF(OR(AI39&lt;3,AL39&gt;PFYDate),AW39,IF((AL39-1)&lt;AH39,-1,12*(YEAR((AL39-1))-YEAR(AH39))+MONTH((AL39-1))-MONTH(AH39)-IF(DAY((AL39-1))&lt;MIN(DAY(AH39),DAY(EOMONTH((AL39-1),0))),1,0))))</f>
        <v/>
      </c>
      <c r="AZ39" s="14" t="str">
        <f aca="false">IF(AG39=0,"",IF(AP39="FT",IF(AU39&lt;FT_First,0,IF(AU39&lt;FT_Y5,1+INT((AU39-FT_First)/FT_Int1),FT_PreY5+FT_PerYear*INT((AU39-FT_Y5)/12)+FT_AnnivDays+INT(MOD(AU39-FT_Y5,12)/FT_Int2))),IF(AP39="PT",IF(AU39&lt;PT_First,0,1+INT((AU39-PT_First)/PT_Int)),0))+IF(AND(AI39&gt;=2,AK39&lt;=AsOfDate),IF(AQ39="FT",IF(AV39&lt;FT_First,0,IF(AV39&lt;FT_Y5,1+INT((AV39-FT_First)/FT_Int1),FT_PreY5+FT_PerYear*INT((AV39-FT_Y5)/12)+FT_AnnivDays+INT(MOD(AV39-FT_Y5,12)/FT_Int2))),IF(AQ39="PT",IF(AV39&lt;PT_First,0,1+INT((AV39-PT_First)/PT_Int)),0))-IF(AQ39="FT",IF(AU39&lt;FT_First,0,IF(AU39&lt;FT_Y5,1+INT((AU39-FT_First)/FT_Int1),FT_PreY5+FT_PerYear*INT((AU39-FT_Y5)/12)+FT_AnnivDays+INT(MOD(AU39-FT_Y5,12)/FT_Int2))),IF(AQ39="PT",IF(AU39&lt;PT_First,0,1+INT((AU39-PT_First)/PT_Int)),0)),0)+IF(AND(AI39&gt;=3,AL39&lt;=AsOfDate),IF(AR39="FT",IF(AT39&lt;FT_First,0,IF(AT39&lt;FT_Y5,1+INT((AT39-FT_First)/FT_Int1),FT_PreY5+FT_PerYear*INT((AT39-FT_Y5)/12)+FT_AnnivDays+INT(MOD(AT39-FT_Y5,12)/FT_Int2))),IF(AR39="PT",IF(AT39&lt;PT_First,0,1+INT((AT39-PT_First)/PT_Int)),0))-IF(AR39="FT",IF(AV39&lt;FT_First,0,IF(AV39&lt;FT_Y5,1+INT((AV39-FT_First)/FT_Int1),FT_PreY5+FT_PerYear*INT((AV39-FT_Y5)/12)+FT_AnnivDays+INT(MOD(AV39-FT_Y5,12)/FT_Int2))),IF(AR39="PT",IF(AV39&lt;PT_First,0,1+INT((AV39-PT_First)/PT_Int)),0)),0))</f>
        <v/>
      </c>
      <c r="BA39" s="14" t="str">
        <f aca="false">IF(AG39=0,"",IF(AP39="FT",IF(AX39&lt;FT_First,0,IF(AX39&lt;FT_Y5,1+INT((AX39-FT_First)/FT_Int1),FT_PreY5+FT_PerYear*INT((AX39-FT_Y5)/12)+FT_AnnivDays+INT(MOD(AX39-FT_Y5,12)/FT_Int2))),IF(AP39="PT",IF(AX39&lt;PT_First,0,1+INT((AX39-PT_First)/PT_Int)),0))+IF(AND(AI39&gt;=2,AK39&lt;=PFYDate),IF(AQ39="FT",IF(AY39&lt;FT_First,0,IF(AY39&lt;FT_Y5,1+INT((AY39-FT_First)/FT_Int1),FT_PreY5+FT_PerYear*INT((AY39-FT_Y5)/12)+FT_AnnivDays+INT(MOD(AY39-FT_Y5,12)/FT_Int2))),IF(AQ39="PT",IF(AY39&lt;PT_First,0,1+INT((AY39-PT_First)/PT_Int)),0))-IF(AQ39="FT",IF(AX39&lt;FT_First,0,IF(AX39&lt;FT_Y5,1+INT((AX39-FT_First)/FT_Int1),FT_PreY5+FT_PerYear*INT((AX39-FT_Y5)/12)+FT_AnnivDays+INT(MOD(AX39-FT_Y5,12)/FT_Int2))),IF(AQ39="PT",IF(AX39&lt;PT_First,0,1+INT((AX39-PT_First)/PT_Int)),0)),0)+IF(AND(AI39&gt;=3,AL39&lt;=PFYDate),IF(AR39="FT",IF(AW39&lt;FT_First,0,IF(AW39&lt;FT_Y5,1+INT((AW39-FT_First)/FT_Int1),FT_PreY5+FT_PerYear*INT((AW39-FT_Y5)/12)+FT_AnnivDays+INT(MOD(AW39-FT_Y5,12)/FT_Int2))),IF(AR39="PT",IF(AW39&lt;PT_First,0,1+INT((AW39-PT_First)/PT_Int)),0))-IF(AR39="FT",IF(AY39&lt;FT_First,0,IF(AY39&lt;FT_Y5,1+INT((AY39-FT_First)/FT_Int1),FT_PreY5+FT_PerYear*INT((AY39-FT_Y5)/12)+FT_AnnivDays+INT(MOD(AY39-FT_Y5,12)/FT_Int2))),IF(AR39="PT",IF(AY39&lt;PT_First,0,1+INT((AY39-PT_First)/PT_Int)),0)),0))</f>
        <v/>
      </c>
      <c r="BB39" s="14" t="str">
        <f aca="false">IF(AG39=0,"",IF(AS39="FT",IF(AT39&lt;FT_First,FT_First,IF(AT39&lt;FT_Y5,MIN(FT_Y5,FT_First+FT_Int1*(INT((AT39-FT_First)/FT_Int1)+1)),FT_Y5+12*INT((AT39-FT_Y5)/12)+FT_Int2*(INT(MOD(AT39-FT_Y5,12)/FT_Int2)+1))),IF(AS39="PT",IF(AT39&lt;PT_First,PT_First,PT_First+PT_Int*(INT((AT39-PT_First)/PT_Int)+1)),"")))</f>
        <v/>
      </c>
      <c r="BC39" s="14" t="str">
        <f aca="false">IF(AG39=0,"",IF(NOT(LH_Ready),0,COUNTIFS(INDEX(LH_Data,0,LH_ColFirst),$A39,INDEX(LH_Data,0,LH_ColSur),$B39,INDEX(LH_Data,0,LH_ColCat),BonusCat)))</f>
        <v/>
      </c>
      <c r="BD39" s="14" t="str">
        <f aca="false">IF(AG39=0,"",IF(OR(NOT(LH_Ready),BC39=0),0,SUMPRODUCT(MAX((INDEX(LH_Data,0,LH_ColFirst)=$A39)*(INDEX(LH_Data,0,LH_ColSur)=$B39)*(INDEX(LH_Data,0,LH_ColCat)=BonusCat)*ROW(LH_Data)))))</f>
        <v/>
      </c>
      <c r="BE39" s="14" t="str">
        <f aca="false">IF(AG39=0,"",IF(EOMONTH(AsOfDate,-1)&lt;AH39,-1,12*(YEAR(EOMONTH(AsOfDate,-1))-YEAR(AH39))+MONTH(EOMONTH(AsOfDate,-1))-MONTH(AH39)-IF(DAY(EOMONTH(AsOfDate,-1))&lt;MIN(DAY(AH39),DAY(EOMONTH(EOMONTH(AsOfDate,-1),0))),1,0)))</f>
        <v/>
      </c>
      <c r="BF39" s="14" t="str">
        <f aca="false">IF(AG39=0,"",IF(OR(AI39&lt;2,AK39&gt;EOMONTH(AsOfDate,-1)),BE39,IF((AK39-1)&lt;AH39,-1,12*(YEAR((AK39-1))-YEAR(AH39))+MONTH((AK39-1))-MONTH(AH39)-IF(DAY((AK39-1))&lt;MIN(DAY(AH39),DAY(EOMONTH((AK39-1),0))),1,0))))</f>
        <v/>
      </c>
      <c r="BG39" s="14" t="str">
        <f aca="false">IF(AG39=0,"",IF(OR(AI39&lt;3,AL39&gt;EOMONTH(AsOfDate,-1)),BE39,IF((AL39-1)&lt;AH39,-1,12*(YEAR((AL39-1))-YEAR(AH39))+MONTH((AL39-1))-MONTH(AH39)-IF(DAY((AL39-1))&lt;MIN(DAY(AH39),DAY(EOMONTH((AL39-1),0))),1,0))))</f>
        <v/>
      </c>
      <c r="BH39" s="14" t="str">
        <f aca="false">IF(AG39=0,"",IF(AP39="FT",IF(BF39&lt;FT_First,0,IF(BF39&lt;FT_Y5,1+INT((BF39-FT_First)/FT_Int1),FT_PreY5+FT_PerYear*INT((BF39-FT_Y5)/12)+FT_AnnivDays+INT(MOD(BF39-FT_Y5,12)/FT_Int2))),IF(AP39="PT",IF(BF39&lt;PT_First,0,1+INT((BF39-PT_First)/PT_Int)),0))+IF(AND(AI39&gt;=2,AK39&lt;=EOMONTH(AsOfDate,-1)),IF(AQ39="FT",IF(BG39&lt;FT_First,0,IF(BG39&lt;FT_Y5,1+INT((BG39-FT_First)/FT_Int1),FT_PreY5+FT_PerYear*INT((BG39-FT_Y5)/12)+FT_AnnivDays+INT(MOD(BG39-FT_Y5,12)/FT_Int2))),IF(AQ39="PT",IF(BG39&lt;PT_First,0,1+INT((BG39-PT_First)/PT_Int)),0))-IF(AQ39="FT",IF(BF39&lt;FT_First,0,IF(BF39&lt;FT_Y5,1+INT((BF39-FT_First)/FT_Int1),FT_PreY5+FT_PerYear*INT((BF39-FT_Y5)/12)+FT_AnnivDays+INT(MOD(BF39-FT_Y5,12)/FT_Int2))),IF(AQ39="PT",IF(BF39&lt;PT_First,0,1+INT((BF39-PT_First)/PT_Int)),0)),0)+IF(AND(AI39&gt;=3,AL39&lt;=EOMONTH(AsOfDate,-1)),IF(AR39="FT",IF(BE39&lt;FT_First,0,IF(BE39&lt;FT_Y5,1+INT((BE39-FT_First)/FT_Int1),FT_PreY5+FT_PerYear*INT((BE39-FT_Y5)/12)+FT_AnnivDays+INT(MOD(BE39-FT_Y5,12)/FT_Int2))),IF(AR39="PT",IF(BE39&lt;PT_First,0,1+INT((BE39-PT_First)/PT_Int)),0))-IF(AR39="FT",IF(BG39&lt;FT_First,0,IF(BG39&lt;FT_Y5,1+INT((BG39-FT_First)/FT_Int1),FT_PreY5+FT_PerYear*INT((BG39-FT_Y5)/12)+FT_AnnivDays+INT(MOD(BG39-FT_Y5,12)/FT_Int2))),IF(AR39="PT",IF(BG39&lt;PT_First,0,1+INT((BG39-PT_First)/PT_Int)),0)),0))</f>
        <v/>
      </c>
      <c r="BI39" s="14" t="str">
        <f aca="false">IF(AG39=0,"",IF(AS39="FT",IF(AT39&lt;FT_First,"",IF(AT39&lt;FT_Y5,FT_First+FT_Int1*INT((AT39-FT_First)/FT_Int1),FT_Y5+FT_Int2*INT((AT39-FT_Y5)/FT_Int2))),IF(AS39="PT",IF(AT39&lt;PT_First,"",PT_First+PT_Int*INT((AT39-PT_First)/PT_Int)),"")))</f>
        <v/>
      </c>
      <c r="BJ39" s="0" t="str">
        <f aca="false">IF(LEN($A39&amp;$B39)=0,"",$A39&amp;" "&amp;$B39)</f>
        <v/>
      </c>
    </row>
    <row r="40" customFormat="false" ht="15" hidden="false" customHeight="false" outlineLevel="0" collapsed="false">
      <c r="A40" s="10"/>
      <c r="B40" s="10"/>
      <c r="C40" s="10"/>
      <c r="D40" s="11"/>
      <c r="E40" s="12" t="str">
        <f aca="false">IF(OR(AG40=0,$D40=""),"",DATE(YEAR(AsOfDate)+IF(DATE(YEAR(AsOfDate),MONTH($D40),DAY($D40))&lt;=AsOfDate,1,0),MONTH($D40),DAY($D40)))</f>
        <v/>
      </c>
      <c r="F40" s="11"/>
      <c r="G40" s="11"/>
      <c r="H40" s="11"/>
      <c r="I40" s="11"/>
      <c r="J40" s="11"/>
      <c r="K40" s="12" t="str">
        <f aca="false">IF(AG40=0,"",DATE(YEAR(AsOfDate)+IF(DATE(YEAR(AsOfDate),MONTH(AH40),DAY(AH40))&lt;=AsOfDate,1,0),MONTH(AH40),DAY(AH40)))</f>
        <v/>
      </c>
      <c r="L40" s="13" t="str">
        <f aca="false">IF(AG40=0,"",ROUND((AsOfDate-AH40)/365.25,1))</f>
        <v/>
      </c>
      <c r="M40" s="14" t="str">
        <f aca="false">IF(AG40=0,"",IF(AsOfDate&lt;AH40,"-",DATEDIF(AH40,AsOfDate,"y")&amp;"y "&amp;DATEDIF(AH40,AsOfDate,"ym")&amp;"m "&amp;DATEDIF(AH40,AsOfDate,"md")&amp;"d"))</f>
        <v/>
      </c>
      <c r="N40" s="15" t="str">
        <f aca="false">IF(AG40=0,"",O40*HoursPerDay)</f>
        <v/>
      </c>
      <c r="O40" s="15" t="str">
        <f aca="false">IF(AG40=0,"",AZ40)</f>
        <v/>
      </c>
      <c r="P40" s="16"/>
      <c r="Q40" s="14" t="str">
        <f aca="false">IF(AG40=0,"",IF(AI40&lt;2,"",AM40&amp;" to "&amp;AN40&amp;" on "&amp;TEXT(AK40,"dd/mm/yyyy")&amp;IF(AK40&gt;AsOfDate," (future)",IF(AP40=AQ40,"",IF(AQ40="None"," - STOPPED accruing",IF(AP40="None"," - commencement for Bonus Leave"," - pathway changed"))))&amp;IF(AI40&lt;3,"","; "&amp;AN40&amp;" to "&amp;AO40&amp;" on "&amp;TEXT(AL40,"dd/mm/yyyy")&amp;IF(AL40&gt;AsOfDate," (future)",IF(AQ40=AR40,"",IF(AR40="None"," - STOPPED accruing",IF(AQ40="None"," - commencement for Bonus Leave"," - pathway changed")))))))</f>
        <v/>
      </c>
      <c r="R40" s="14" t="str">
        <f aca="false">IF(AG40=0,"",IF(AS40="None",IF(O40&gt;0,"No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2" t="str">
        <f aca="false">IF(AG40=0,"",IF(AS40="None","",EDATE(AH40,BB40)))</f>
        <v/>
      </c>
      <c r="T40" s="15" t="str">
        <f aca="false">IF(AG40=0,"",IF(NOT(LH_Ready),"",IF(AH40&gt;PFYDate,0,IF(LH_ColPeriod=0,W40-U40+V40,SUMIFS(INDEX(LH_Data,0,LH_ColAcc),INDEX(LH_Data,0,LH_ColFirst),$A40,INDEX(LH_Data,0,LH_ColSur),$B40,INDEX(LH_Data,0,LH_ColCat),BonusCat,INDEX(LH_Data,0,LH_ColPeriod),LH_OpenLabel)*UnitFactor))))</f>
        <v/>
      </c>
      <c r="U40" s="15" t="str">
        <f aca="false">IF(AG40=0,"",IF(NOT(LH_Ready),"",SUMIFS(INDEX(LH_Data,0,LH_ColAcc),INDEX(LH_Data,0,LH_ColFirst),$A40,INDEX(LH_Data,0,LH_ColSur),$B40,INDEX(LH_Data,0,LH_ColCat),BonusCat,INDEX(LH_Data,0,LH_ColStart),"&gt;="&amp;AH40)*UnitFactor))</f>
        <v/>
      </c>
      <c r="V40" s="15" t="str">
        <f aca="false">IF(AG40=0,"",IF(NOT(LH_Ready),"",SUMIFS(INDEX(LH_Data,0,LH_ColTaken),INDEX(LH_Data,0,LH_ColFirst),$A40,INDEX(LH_Data,0,LH_ColSur),$B40,INDEX(LH_Data,0,LH_ColCat),BonusCat,INDEX(LH_Data,0,LH_ColStart),"&gt;="&amp;AH40)*UnitFactor))</f>
        <v/>
      </c>
      <c r="W40" s="15" t="str">
        <f aca="false">IF(AG40=0,"",IF(NOT(LH_Ready),"",IF(BD40=0,0,INDEX(INDEX(LH_Data,0,LH_ColClose),BD40-1)*UnitFactor)))</f>
        <v/>
      </c>
      <c r="X40" s="15" t="str">
        <f aca="false">IF(AG40=0,"",(AZ40-BA40)*HoursPerDay)</f>
        <v/>
      </c>
      <c r="Y40" s="15" t="str">
        <f aca="false">IF(AG40=0,"",IF(NOT(LH_Ready),"",IF(BC40=0,N40,IF(PFYDate&lt;$F40,N40-N(T40)-N(U40),X40-N(U40)))))</f>
        <v/>
      </c>
      <c r="Z40" s="14" t="str">
        <f aca="false">IF(OR(AG40=0,Y40=""),"",IF(Y40&gt;0,"Yes","No"))</f>
        <v/>
      </c>
      <c r="AA40" s="14" t="str">
        <f aca="false">IF(AG40=0,IF(LEN($A40&amp;$B40)=0,"","FIX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month")&amp;IF(BC40=0,";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EH)",""),IF(AS40="None",R40,"Not yet - first day on "&amp;TEXT(S40,"dd/mm/yyyy")))))))))</f>
        <v/>
      </c>
      <c r="AB40" s="15" t="str">
        <f aca="false">IF(OR(AG40=0,T40=""),"",BA40*HoursPerDay-T40)</f>
        <v/>
      </c>
      <c r="AC40" s="14" t="str">
        <f aca="false">IF(AG40=0,"",BC40)</f>
        <v/>
      </c>
      <c r="AD40" s="14" t="str">
        <f aca="false">IF(AG40=0,"",TRIM(IF(OR(ISTEXT($F40),ISTEXT($H40),ISTEXT($I40),ISTEXT($G40),ISTEXT($J40),ISTEXT($D40)),"A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I40&gt;=1,IF(AI40&gt;=3,AO40,IF(AI40=2,AN40,AM40))&lt;&gt;IF($C40="","",IF(OR(ISNUMBER(SEARCH("full",$C40)),UPPER(TRIM($C40))="FT",UPPER(TRIM($C40))="FTE"),"Full-Time",IF(OR(ISNUMBER(SEARCH("part",$C40)),UPPER(TRIM($C40))="PT",UPPER(TRIM($C40))="PTE"),"Part-Time",IF(OR(ISNUMBER(SEARCH("cas",$C40)),UPPER(TRIM($C40))="CAS"),"Casual","Unknown"))))),"EmploymentType does not match latest start date ("&amp;IF(AI40&gt;=3,AO40,IF(AI40=2,AN40,AM40))&amp;"). ","")&amp;IF(AND(AI40&gt;=1,AJ40&lt;&gt;$F40),"Earliest type date should equal StartDate. ","")&amp;IF(AND(AI40&gt;=2,AJ40=AK40),"Two types start on the same date. ","")&amp;IF(AND(OR(ISNUMBER(SEARCH("part",$C40)),UPPER(TRIM($C40))="PT",UPPER(TRIM($C40))="PTE"),$P40=""),"Part-time: enter PT Hrs/Week (blank = 24+). ","")))</f>
        <v/>
      </c>
      <c r="AE40" s="15" t="str">
        <f aca="false">IF(AG40=0,"",O40-BH40)</f>
        <v/>
      </c>
      <c r="AF40" s="12" t="str">
        <f aca="false">IF(OR(AG40=0,AE40="",N(AE40)=0,BI40=""),"",EDATE(AH40,BI40))</f>
        <v/>
      </c>
      <c r="AG40" s="14" t="n">
        <f aca="false">IF(OR(LEN($A40&amp;$B40)=0,$F40=""),0,1)</f>
        <v>0</v>
      </c>
      <c r="AH40" s="12" t="str">
        <f aca="false">IF(AG40=0,"",IF($J40&lt;&gt;"",$J40,IF(OR(CasualCounts="Yes",COUNT($G40:$I40)=0,COUNT($H40:$I40)=0),$F40,MIN($H40:$I40))))</f>
        <v/>
      </c>
      <c r="AI40" s="14" t="str">
        <f aca="false">IF(AG40=0,"",COUNT($G40:$I40))</f>
        <v/>
      </c>
      <c r="AJ40" s="12" t="str">
        <f aca="false">IF(AG40=0,"",IFERROR(SMALL($G40:$I40,1),""))</f>
        <v/>
      </c>
      <c r="AK40" s="12" t="str">
        <f aca="false">IF(AG40=0,"",IFERROR(SMALL($G40:$I40,2),""))</f>
        <v/>
      </c>
      <c r="AL40" s="12" t="str">
        <f aca="false">IF(AG40=0,"",IFERROR(SMALL($G40:$I40,3),""))</f>
        <v/>
      </c>
      <c r="AM40" s="14" t="str">
        <f aca="false">IF(AG40=0,"",IF(AJ40="","",IF(AJ40=$H40,"Part-Time",IF(AJ40=$I40,"Full-Time","Casual"))))</f>
        <v/>
      </c>
      <c r="AN40" s="14" t="str">
        <f aca="false">IF(AG40=0,"",IF(AK40="","",IF(AK40=$H40,"Part-Time",IF(AK40=$I40,"Full-Time","Casual"))))</f>
        <v/>
      </c>
      <c r="AO40" s="14" t="str">
        <f aca="false">IF(AG40=0,"",IF(AL40="","",IF(AL40=$H40,"Part-Time",IF(AL40=$I40,"Full-Time","Casual"))))</f>
        <v/>
      </c>
      <c r="AP40" s="14" t="str">
        <f aca="false">IF(AG40=0,"",IF(AI40=0,IF(OR(ISNUMBER(SEARCH("full",$C40)),UPPER(TRIM($C40))="FT",UPPER(TRIM($C40))="FTE"),"FT",IF(AND(OR(ISNUMBER(SEARCH("part",$C40)),UPPER(TRIM($C40))="PT",UPPER(TRIM($C40))="PTE"),OR($P40="",N($P40)&gt;=PT_MinHours)),"PT","None")),IF(OR(ISNUMBER(SEARCH("full",AM40)),UPPER(TRIM(AM40))="FT",UPPER(TRIM(AM40))="FTE"),"FT",IF(AND(OR(ISNUMBER(SEARCH("part",AM40)),UPPER(TRIM(AM40))="PT",UPPER(TRIM(AM40))="PTE"),OR($P40="",N($P40)&gt;=PT_MinHours)),"PT","None"))))</f>
        <v/>
      </c>
      <c r="AQ40" s="14" t="str">
        <f aca="false">IF(AG40=0,"",IF(AI40&lt;2,"",IF(OR(ISNUMBER(SEARCH("full",AN40)),UPPER(TRIM(AN40))="FT",UPPER(TRIM(AN40))="FTE"),"FT",IF(AND(OR(ISNUMBER(SEARCH("part",AN40)),UPPER(TRIM(AN40))="PT",UPPER(TRIM(AN40))="PTE"),OR($P40="",N($P40)&gt;=PT_MinHours)),"PT","None"))))</f>
        <v/>
      </c>
      <c r="AR40" s="14" t="str">
        <f aca="false">IF(AG40=0,"",IF(AI40&lt;3,"",IF(OR(ISNUMBER(SEARCH("full",AO40)),UPPER(TRIM(AO40))="FT",UPPER(TRIM(AO40))="FTE"),"FT",IF(AND(OR(ISNUMBER(SEARCH("part",AO40)),UPPER(TRIM(AO40))="PT",UPPER(TRIM(AO40))="PTE"),OR($P40="",N($P40)&gt;=PT_MinHours)),"PT","None"))))</f>
        <v/>
      </c>
      <c r="AS40" s="14" t="str">
        <f aca="false">IF(AG40=0,"",IF(AND(AI40&gt;=3,AL40&lt;=AsOfDate),AR40,IF(AND(AI40&gt;=2,AK40&lt;=AsOfDate),AQ40,AP40)))</f>
        <v/>
      </c>
      <c r="AT40" s="14" t="str">
        <f aca="false">IF(AG40=0,"",IF(AsOfDate&lt;AH40,-1,12*(YEAR(AsOfDate)-YEAR(AH40))+MONTH(AsOfDate)-MONTH(AH40)-IF(DAY(AsOfDate)&lt;MIN(DAY(AH40),DAY(EOMONTH(AsOfDate,0))),1,0)))</f>
        <v/>
      </c>
      <c r="AU40" s="14" t="str">
        <f aca="false">IF(AG40=0,"",IF(OR(AI40&lt;2,AK40&gt;AsOfDate),AT40,IF((AK40-1)&lt;AH40,-1,12*(YEAR((AK40-1))-YEAR(AH40))+MONTH((AK40-1))-MONTH(AH40)-IF(DAY((AK40-1))&lt;MIN(DAY(AH40),DAY(EOMONTH((AK40-1),0))),1,0))))</f>
        <v/>
      </c>
      <c r="AV40" s="14" t="str">
        <f aca="false">IF(AG40=0,"",IF(OR(AI40&lt;3,AL40&gt;AsOfDate),AT40,IF((AL40-1)&lt;AH40,-1,12*(YEAR((AL40-1))-YEAR(AH40))+MONTH((AL40-1))-MONTH(AH40)-IF(DAY((AL40-1))&lt;MIN(DAY(AH40),DAY(EOMONTH((AL40-1),0))),1,0))))</f>
        <v/>
      </c>
      <c r="AW40" s="14" t="str">
        <f aca="false">IF(AG40=0,"",IF(PFYDate&lt;AH40,-1,12*(YEAR(PFYDate)-YEAR(AH40))+MONTH(PFYDate)-MONTH(AH40)-IF(DAY(PFYDate)&lt;MIN(DAY(AH40),DAY(EOMONTH(PFYDate,0))),1,0)))</f>
        <v/>
      </c>
      <c r="AX40" s="14" t="str">
        <f aca="false">IF(AG40=0,"",IF(OR(AI40&lt;2,AK40&gt;PFYDate),AW40,IF((AK40-1)&lt;AH40,-1,12*(YEAR((AK40-1))-YEAR(AH40))+MONTH((AK40-1))-MONTH(AH40)-IF(DAY((AK40-1))&lt;MIN(DAY(AH40),DAY(EOMONTH((AK40-1),0))),1,0))))</f>
        <v/>
      </c>
      <c r="AY40" s="14" t="str">
        <f aca="false">IF(AG40=0,"",IF(OR(AI40&lt;3,AL40&gt;PFYDate),AW40,IF((AL40-1)&lt;AH40,-1,12*(YEAR((AL40-1))-YEAR(AH40))+MONTH((AL40-1))-MONTH(AH40)-IF(DAY((AL40-1))&lt;MIN(DAY(AH40),DAY(EOMONTH((AL40-1),0))),1,0))))</f>
        <v/>
      </c>
      <c r="AZ40" s="14" t="str">
        <f aca="false">IF(AG40=0,"",IF(AP40="FT",IF(AU40&lt;FT_First,0,IF(AU40&lt;FT_Y5,1+INT((AU40-FT_First)/FT_Int1),FT_PreY5+FT_PerYear*INT((AU40-FT_Y5)/12)+FT_AnnivDays+INT(MOD(AU40-FT_Y5,12)/FT_Int2))),IF(AP40="PT",IF(AU40&lt;PT_First,0,1+INT((AU40-PT_First)/PT_Int)),0))+IF(AND(AI40&gt;=2,AK40&lt;=AsOfDate),IF(AQ40="FT",IF(AV40&lt;FT_First,0,IF(AV40&lt;FT_Y5,1+INT((AV40-FT_First)/FT_Int1),FT_PreY5+FT_PerYear*INT((AV40-FT_Y5)/12)+FT_AnnivDays+INT(MOD(AV40-FT_Y5,12)/FT_Int2))),IF(AQ40="PT",IF(AV40&lt;PT_First,0,1+INT((AV40-PT_First)/PT_Int)),0))-IF(AQ40="FT",IF(AU40&lt;FT_First,0,IF(AU40&lt;FT_Y5,1+INT((AU40-FT_First)/FT_Int1),FT_PreY5+FT_PerYear*INT((AU40-FT_Y5)/12)+FT_AnnivDays+INT(MOD(AU40-FT_Y5,12)/FT_Int2))),IF(AQ40="PT",IF(AU40&lt;PT_First,0,1+INT((AU40-PT_First)/PT_Int)),0)),0)+IF(AND(AI40&gt;=3,AL40&lt;=AsOfDate),IF(AR40="FT",IF(AT40&lt;FT_First,0,IF(AT40&lt;FT_Y5,1+INT((AT40-FT_First)/FT_Int1),FT_PreY5+FT_PerYear*INT((AT40-FT_Y5)/12)+FT_AnnivDays+INT(MOD(AT40-FT_Y5,12)/FT_Int2))),IF(AR40="PT",IF(AT40&lt;PT_First,0,1+INT((AT40-PT_First)/PT_Int)),0))-IF(AR40="FT",IF(AV40&lt;FT_First,0,IF(AV40&lt;FT_Y5,1+INT((AV40-FT_First)/FT_Int1),FT_PreY5+FT_PerYear*INT((AV40-FT_Y5)/12)+FT_AnnivDays+INT(MOD(AV40-FT_Y5,12)/FT_Int2))),IF(AR40="PT",IF(AV40&lt;PT_First,0,1+INT((AV40-PT_First)/PT_Int)),0)),0))</f>
        <v/>
      </c>
      <c r="BA40" s="14" t="str">
        <f aca="false">IF(AG40=0,"",IF(AP40="FT",IF(AX40&lt;FT_First,0,IF(AX40&lt;FT_Y5,1+INT((AX40-FT_First)/FT_Int1),FT_PreY5+FT_PerYear*INT((AX40-FT_Y5)/12)+FT_AnnivDays+INT(MOD(AX40-FT_Y5,12)/FT_Int2))),IF(AP40="PT",IF(AX40&lt;PT_First,0,1+INT((AX40-PT_First)/PT_Int)),0))+IF(AND(AI40&gt;=2,AK40&lt;=PFYDate),IF(AQ40="FT",IF(AY40&lt;FT_First,0,IF(AY40&lt;FT_Y5,1+INT((AY40-FT_First)/FT_Int1),FT_PreY5+FT_PerYear*INT((AY40-FT_Y5)/12)+FT_AnnivDays+INT(MOD(AY40-FT_Y5,12)/FT_Int2))),IF(AQ40="PT",IF(AY40&lt;PT_First,0,1+INT((AY40-PT_First)/PT_Int)),0))-IF(AQ40="FT",IF(AX40&lt;FT_First,0,IF(AX40&lt;FT_Y5,1+INT((AX40-FT_First)/FT_Int1),FT_PreY5+FT_PerYear*INT((AX40-FT_Y5)/12)+FT_AnnivDays+INT(MOD(AX40-FT_Y5,12)/FT_Int2))),IF(AQ40="PT",IF(AX40&lt;PT_First,0,1+INT((AX40-PT_First)/PT_Int)),0)),0)+IF(AND(AI40&gt;=3,AL40&lt;=PFYDate),IF(AR40="FT",IF(AW40&lt;FT_First,0,IF(AW40&lt;FT_Y5,1+INT((AW40-FT_First)/FT_Int1),FT_PreY5+FT_PerYear*INT((AW40-FT_Y5)/12)+FT_AnnivDays+INT(MOD(AW40-FT_Y5,12)/FT_Int2))),IF(AR40="PT",IF(AW40&lt;PT_First,0,1+INT((AW40-PT_First)/PT_Int)),0))-IF(AR40="FT",IF(AY40&lt;FT_First,0,IF(AY40&lt;FT_Y5,1+INT((AY40-FT_First)/FT_Int1),FT_PreY5+FT_PerYear*INT((AY40-FT_Y5)/12)+FT_AnnivDays+INT(MOD(AY40-FT_Y5,12)/FT_Int2))),IF(AR40="PT",IF(AY40&lt;PT_First,0,1+INT((AY40-PT_First)/PT_Int)),0)),0))</f>
        <v/>
      </c>
      <c r="BB40" s="14" t="str">
        <f aca="false">IF(AG40=0,"",IF(AS40="FT",IF(AT40&lt;FT_First,FT_First,IF(AT40&lt;FT_Y5,MIN(FT_Y5,FT_First+FT_Int1*(INT((AT40-FT_First)/FT_Int1)+1)),FT_Y5+12*INT((AT40-FT_Y5)/12)+FT_Int2*(INT(MOD(AT40-FT_Y5,12)/FT_Int2)+1))),IF(AS40="PT",IF(AT40&lt;PT_First,PT_First,PT_First+PT_Int*(INT((AT40-PT_First)/PT_Int)+1)),"")))</f>
        <v/>
      </c>
      <c r="BC40" s="14" t="str">
        <f aca="false">IF(AG40=0,"",IF(NOT(LH_Ready),0,COUNTIFS(INDEX(LH_Data,0,LH_ColFirst),$A40,INDEX(LH_Data,0,LH_ColSur),$B40,INDEX(LH_Data,0,LH_ColCat),BonusCat)))</f>
        <v/>
      </c>
      <c r="BD40" s="14" t="str">
        <f aca="false">IF(AG40=0,"",IF(OR(NOT(LH_Ready),BC40=0),0,SUMPRODUCT(MAX((INDEX(LH_Data,0,LH_ColFirst)=$A40)*(INDEX(LH_Data,0,LH_ColSur)=$B40)*(INDEX(LH_Data,0,LH_ColCat)=BonusCat)*ROW(LH_Data)))))</f>
        <v/>
      </c>
      <c r="BE40" s="14" t="str">
        <f aca="false">IF(AG40=0,"",IF(EOMONTH(AsOfDate,-1)&lt;AH40,-1,12*(YEAR(EOMONTH(AsOfDate,-1))-YEAR(AH40))+MONTH(EOMONTH(AsOfDate,-1))-MONTH(AH40)-IF(DAY(EOMONTH(AsOfDate,-1))&lt;MIN(DAY(AH40),DAY(EOMONTH(EOMONTH(AsOfDate,-1),0))),1,0)))</f>
        <v/>
      </c>
      <c r="BF40" s="14" t="str">
        <f aca="false">IF(AG40=0,"",IF(OR(AI40&lt;2,AK40&gt;EOMONTH(AsOfDate,-1)),BE40,IF((AK40-1)&lt;AH40,-1,12*(YEAR((AK40-1))-YEAR(AH40))+MONTH((AK40-1))-MONTH(AH40)-IF(DAY((AK40-1))&lt;MIN(DAY(AH40),DAY(EOMONTH((AK40-1),0))),1,0))))</f>
        <v/>
      </c>
      <c r="BG40" s="14" t="str">
        <f aca="false">IF(AG40=0,"",IF(OR(AI40&lt;3,AL40&gt;EOMONTH(AsOfDate,-1)),BE40,IF((AL40-1)&lt;AH40,-1,12*(YEAR((AL40-1))-YEAR(AH40))+MONTH((AL40-1))-MONTH(AH40)-IF(DAY((AL40-1))&lt;MIN(DAY(AH40),DAY(EOMONTH((AL40-1),0))),1,0))))</f>
        <v/>
      </c>
      <c r="BH40" s="14" t="str">
        <f aca="false">IF(AG40=0,"",IF(AP40="FT",IF(BF40&lt;FT_First,0,IF(BF40&lt;FT_Y5,1+INT((BF40-FT_First)/FT_Int1),FT_PreY5+FT_PerYear*INT((BF40-FT_Y5)/12)+FT_AnnivDays+INT(MOD(BF40-FT_Y5,12)/FT_Int2))),IF(AP40="PT",IF(BF40&lt;PT_First,0,1+INT((BF40-PT_First)/PT_Int)),0))+IF(AND(AI40&gt;=2,AK40&lt;=EOMONTH(AsOfDate,-1)),IF(AQ40="FT",IF(BG40&lt;FT_First,0,IF(BG40&lt;FT_Y5,1+INT((BG40-FT_First)/FT_Int1),FT_PreY5+FT_PerYear*INT((BG40-FT_Y5)/12)+FT_AnnivDays+INT(MOD(BG40-FT_Y5,12)/FT_Int2))),IF(AQ40="PT",IF(BG40&lt;PT_First,0,1+INT((BG40-PT_First)/PT_Int)),0))-IF(AQ40="FT",IF(BF40&lt;FT_First,0,IF(BF40&lt;FT_Y5,1+INT((BF40-FT_First)/FT_Int1),FT_PreY5+FT_PerYear*INT((BF40-FT_Y5)/12)+FT_AnnivDays+INT(MOD(BF40-FT_Y5,12)/FT_Int2))),IF(AQ40="PT",IF(BF40&lt;PT_First,0,1+INT((BF40-PT_First)/PT_Int)),0)),0)+IF(AND(AI40&gt;=3,AL40&lt;=EOMONTH(AsOfDate,-1)),IF(AR40="FT",IF(BE40&lt;FT_First,0,IF(BE40&lt;FT_Y5,1+INT((BE40-FT_First)/FT_Int1),FT_PreY5+FT_PerYear*INT((BE40-FT_Y5)/12)+FT_AnnivDays+INT(MOD(BE40-FT_Y5,12)/FT_Int2))),IF(AR40="PT",IF(BE40&lt;PT_First,0,1+INT((BE40-PT_First)/PT_Int)),0))-IF(AR40="FT",IF(BG40&lt;FT_First,0,IF(BG40&lt;FT_Y5,1+INT((BG40-FT_First)/FT_Int1),FT_PreY5+FT_PerYear*INT((BG40-FT_Y5)/12)+FT_AnnivDays+INT(MOD(BG40-FT_Y5,12)/FT_Int2))),IF(AR40="PT",IF(BG40&lt;PT_First,0,1+INT((BG40-PT_First)/PT_Int)),0)),0))</f>
        <v/>
      </c>
      <c r="BI40" s="14" t="str">
        <f aca="false">IF(AG40=0,"",IF(AS40="FT",IF(AT40&lt;FT_First,"",IF(AT40&lt;FT_Y5,FT_First+FT_Int1*INT((AT40-FT_First)/FT_Int1),FT_Y5+FT_Int2*INT((AT40-FT_Y5)/FT_Int2))),IF(AS40="PT",IF(AT40&lt;PT_First,"",PT_First+PT_Int*INT((AT40-PT_First)/PT_Int)),"")))</f>
        <v/>
      </c>
      <c r="BJ40" s="0" t="str">
        <f aca="false">IF(LEN($A40&amp;$B40)=0,"",$A40&amp;" "&amp;$B40)</f>
        <v/>
      </c>
    </row>
    <row r="41" customFormat="false" ht="15" hidden="false" customHeight="false" outlineLevel="0" collapsed="false">
      <c r="A41" s="10"/>
      <c r="B41" s="10"/>
      <c r="C41" s="10"/>
      <c r="D41" s="11"/>
      <c r="E41" s="12" t="str">
        <f aca="false">IF(OR(AG41=0,$D41=""),"",DATE(YEAR(AsOfDate)+IF(DATE(YEAR(AsOfDate),MONTH($D41),DAY($D41))&lt;=AsOfDate,1,0),MONTH($D41),DAY($D41)))</f>
        <v/>
      </c>
      <c r="F41" s="11"/>
      <c r="G41" s="11"/>
      <c r="H41" s="11"/>
      <c r="I41" s="11"/>
      <c r="J41" s="11"/>
      <c r="K41" s="12" t="str">
        <f aca="false">IF(AG41=0,"",DATE(YEAR(AsOfDate)+IF(DATE(YEAR(AsOfDate),MONTH(AH41),DAY(AH41))&lt;=AsOfDate,1,0),MONTH(AH41),DAY(AH41)))</f>
        <v/>
      </c>
      <c r="L41" s="13" t="str">
        <f aca="false">IF(AG41=0,"",ROUND((AsOfDate-AH41)/365.25,1))</f>
        <v/>
      </c>
      <c r="M41" s="14" t="str">
        <f aca="false">IF(AG41=0,"",IF(AsOfDate&lt;AH41,"-",DATEDIF(AH41,AsOfDate,"y")&amp;"y "&amp;DATEDIF(AH41,AsOfDate,"ym")&amp;"m "&amp;DATEDIF(AH41,AsOfDate,"md")&amp;"d"))</f>
        <v/>
      </c>
      <c r="N41" s="15" t="str">
        <f aca="false">IF(AG41=0,"",O41*HoursPerDay)</f>
        <v/>
      </c>
      <c r="O41" s="15" t="str">
        <f aca="false">IF(AG41=0,"",AZ41)</f>
        <v/>
      </c>
      <c r="P41" s="16"/>
      <c r="Q41" s="14" t="str">
        <f aca="false">IF(AG41=0,"",IF(AI41&lt;2,"",AM41&amp;" to "&amp;AN41&amp;" on "&amp;TEXT(AK41,"dd/mm/yyyy")&amp;IF(AK41&gt;AsOfDate," (future)",IF(AP41=AQ41,"",IF(AQ41="None"," - STOPPED accruing",IF(AP41="None"," - commencement for Bonus Leave"," - pathway changed"))))&amp;IF(AI41&lt;3,"","; "&amp;AN41&amp;" to "&amp;AO41&amp;" on "&amp;TEXT(AL41,"dd/mm/yyyy")&amp;IF(AL41&gt;AsOfDate," (future)",IF(AQ41=AR41,"",IF(AR41="None"," - STOPPED accruing",IF(AQ41="None"," - commencement for Bonus Leave"," - pathway changed")))))))</f>
        <v/>
      </c>
      <c r="R41" s="14" t="str">
        <f aca="false">IF(AG41=0,"",IF(AS41="None",IF(O41&gt;0,"No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2" t="str">
        <f aca="false">IF(AG41=0,"",IF(AS41="None","",EDATE(AH41,BB41)))</f>
        <v/>
      </c>
      <c r="T41" s="15" t="str">
        <f aca="false">IF(AG41=0,"",IF(NOT(LH_Ready),"",IF(AH41&gt;PFYDate,0,IF(LH_ColPeriod=0,W41-U41+V41,SUMIFS(INDEX(LH_Data,0,LH_ColAcc),INDEX(LH_Data,0,LH_ColFirst),$A41,INDEX(LH_Data,0,LH_ColSur),$B41,INDEX(LH_Data,0,LH_ColCat),BonusCat,INDEX(LH_Data,0,LH_ColPeriod),LH_OpenLabel)*UnitFactor))))</f>
        <v/>
      </c>
      <c r="U41" s="15" t="str">
        <f aca="false">IF(AG41=0,"",IF(NOT(LH_Ready),"",SUMIFS(INDEX(LH_Data,0,LH_ColAcc),INDEX(LH_Data,0,LH_ColFirst),$A41,INDEX(LH_Data,0,LH_ColSur),$B41,INDEX(LH_Data,0,LH_ColCat),BonusCat,INDEX(LH_Data,0,LH_ColStart),"&gt;="&amp;AH41)*UnitFactor))</f>
        <v/>
      </c>
      <c r="V41" s="15" t="str">
        <f aca="false">IF(AG41=0,"",IF(NOT(LH_Ready),"",SUMIFS(INDEX(LH_Data,0,LH_ColTaken),INDEX(LH_Data,0,LH_ColFirst),$A41,INDEX(LH_Data,0,LH_ColSur),$B41,INDEX(LH_Data,0,LH_ColCat),BonusCat,INDEX(LH_Data,0,LH_ColStart),"&gt;="&amp;AH41)*UnitFactor))</f>
        <v/>
      </c>
      <c r="W41" s="15" t="str">
        <f aca="false">IF(AG41=0,"",IF(NOT(LH_Ready),"",IF(BD41=0,0,INDEX(INDEX(LH_Data,0,LH_ColClose),BD41-1)*UnitFactor)))</f>
        <v/>
      </c>
      <c r="X41" s="15" t="str">
        <f aca="false">IF(AG41=0,"",(AZ41-BA41)*HoursPerDay)</f>
        <v/>
      </c>
      <c r="Y41" s="15" t="str">
        <f aca="false">IF(AG41=0,"",IF(NOT(LH_Ready),"",IF(BC41=0,N41,IF(PFYDate&lt;$F41,N41-N(T41)-N(U41),X41-N(U41)))))</f>
        <v/>
      </c>
      <c r="Z41" s="14" t="str">
        <f aca="false">IF(OR(AG41=0,Y41=""),"",IF(Y41&gt;0,"Yes","No"))</f>
        <v/>
      </c>
      <c r="AA41" s="14" t="str">
        <f aca="false">IF(AG41=0,IF(LEN($A41&amp;$B41)=0,"","FIX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month")&amp;IF(BC41=0,";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EH)",""),IF(AS41="None",R41,"Not yet - first day on "&amp;TEXT(S41,"dd/mm/yyyy")))))))))</f>
        <v/>
      </c>
      <c r="AB41" s="15" t="str">
        <f aca="false">IF(OR(AG41=0,T41=""),"",BA41*HoursPerDay-T41)</f>
        <v/>
      </c>
      <c r="AC41" s="14" t="str">
        <f aca="false">IF(AG41=0,"",BC41)</f>
        <v/>
      </c>
      <c r="AD41" s="14" t="str">
        <f aca="false">IF(AG41=0,"",TRIM(IF(OR(ISTEXT($F41),ISTEXT($H41),ISTEXT($I41),ISTEXT($G41),ISTEXT($J41),ISTEXT($D41)),"A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I41&gt;=1,IF(AI41&gt;=3,AO41,IF(AI41=2,AN41,AM41))&lt;&gt;IF($C41="","",IF(OR(ISNUMBER(SEARCH("full",$C41)),UPPER(TRIM($C41))="FT",UPPER(TRIM($C41))="FTE"),"Full-Time",IF(OR(ISNUMBER(SEARCH("part",$C41)),UPPER(TRIM($C41))="PT",UPPER(TRIM($C41))="PTE"),"Part-Time",IF(OR(ISNUMBER(SEARCH("cas",$C41)),UPPER(TRIM($C41))="CAS"),"Casual","Unknown"))))),"EmploymentType does not match latest start date ("&amp;IF(AI41&gt;=3,AO41,IF(AI41=2,AN41,AM41))&amp;"). ","")&amp;IF(AND(AI41&gt;=1,AJ41&lt;&gt;$F41),"Earliest type date should equal StartDate. ","")&amp;IF(AND(AI41&gt;=2,AJ41=AK41),"Two types start on the same date. ","")&amp;IF(AND(OR(ISNUMBER(SEARCH("part",$C41)),UPPER(TRIM($C41))="PT",UPPER(TRIM($C41))="PTE"),$P41=""),"Part-time: enter PT Hrs/Week (blank = 24+). ","")))</f>
        <v/>
      </c>
      <c r="AE41" s="15" t="str">
        <f aca="false">IF(AG41=0,"",O41-BH41)</f>
        <v/>
      </c>
      <c r="AF41" s="12" t="str">
        <f aca="false">IF(OR(AG41=0,AE41="",N(AE41)=0,BI41=""),"",EDATE(AH41,BI41))</f>
        <v/>
      </c>
      <c r="AG41" s="14" t="n">
        <f aca="false">IF(OR(LEN($A41&amp;$B41)=0,$F41=""),0,1)</f>
        <v>0</v>
      </c>
      <c r="AH41" s="12" t="str">
        <f aca="false">IF(AG41=0,"",IF($J41&lt;&gt;"",$J41,IF(OR(CasualCounts="Yes",COUNT($G41:$I41)=0,COUNT($H41:$I41)=0),$F41,MIN($H41:$I41))))</f>
        <v/>
      </c>
      <c r="AI41" s="14" t="str">
        <f aca="false">IF(AG41=0,"",COUNT($G41:$I41))</f>
        <v/>
      </c>
      <c r="AJ41" s="12" t="str">
        <f aca="false">IF(AG41=0,"",IFERROR(SMALL($G41:$I41,1),""))</f>
        <v/>
      </c>
      <c r="AK41" s="12" t="str">
        <f aca="false">IF(AG41=0,"",IFERROR(SMALL($G41:$I41,2),""))</f>
        <v/>
      </c>
      <c r="AL41" s="12" t="str">
        <f aca="false">IF(AG41=0,"",IFERROR(SMALL($G41:$I41,3),""))</f>
        <v/>
      </c>
      <c r="AM41" s="14" t="str">
        <f aca="false">IF(AG41=0,"",IF(AJ41="","",IF(AJ41=$H41,"Part-Time",IF(AJ41=$I41,"Full-Time","Casual"))))</f>
        <v/>
      </c>
      <c r="AN41" s="14" t="str">
        <f aca="false">IF(AG41=0,"",IF(AK41="","",IF(AK41=$H41,"Part-Time",IF(AK41=$I41,"Full-Time","Casual"))))</f>
        <v/>
      </c>
      <c r="AO41" s="14" t="str">
        <f aca="false">IF(AG41=0,"",IF(AL41="","",IF(AL41=$H41,"Part-Time",IF(AL41=$I41,"Full-Time","Casual"))))</f>
        <v/>
      </c>
      <c r="AP41" s="14" t="str">
        <f aca="false">IF(AG41=0,"",IF(AI41=0,IF(OR(ISNUMBER(SEARCH("full",$C41)),UPPER(TRIM($C41))="FT",UPPER(TRIM($C41))="FTE"),"FT",IF(AND(OR(ISNUMBER(SEARCH("part",$C41)),UPPER(TRIM($C41))="PT",UPPER(TRIM($C41))="PTE"),OR($P41="",N($P41)&gt;=PT_MinHours)),"PT","None")),IF(OR(ISNUMBER(SEARCH("full",AM41)),UPPER(TRIM(AM41))="FT",UPPER(TRIM(AM41))="FTE"),"FT",IF(AND(OR(ISNUMBER(SEARCH("part",AM41)),UPPER(TRIM(AM41))="PT",UPPER(TRIM(AM41))="PTE"),OR($P41="",N($P41)&gt;=PT_MinHours)),"PT","None"))))</f>
        <v/>
      </c>
      <c r="AQ41" s="14" t="str">
        <f aca="false">IF(AG41=0,"",IF(AI41&lt;2,"",IF(OR(ISNUMBER(SEARCH("full",AN41)),UPPER(TRIM(AN41))="FT",UPPER(TRIM(AN41))="FTE"),"FT",IF(AND(OR(ISNUMBER(SEARCH("part",AN41)),UPPER(TRIM(AN41))="PT",UPPER(TRIM(AN41))="PTE"),OR($P41="",N($P41)&gt;=PT_MinHours)),"PT","None"))))</f>
        <v/>
      </c>
      <c r="AR41" s="14" t="str">
        <f aca="false">IF(AG41=0,"",IF(AI41&lt;3,"",IF(OR(ISNUMBER(SEARCH("full",AO41)),UPPER(TRIM(AO41))="FT",UPPER(TRIM(AO41))="FTE"),"FT",IF(AND(OR(ISNUMBER(SEARCH("part",AO41)),UPPER(TRIM(AO41))="PT",UPPER(TRIM(AO41))="PTE"),OR($P41="",N($P41)&gt;=PT_MinHours)),"PT","None"))))</f>
        <v/>
      </c>
      <c r="AS41" s="14" t="str">
        <f aca="false">IF(AG41=0,"",IF(AND(AI41&gt;=3,AL41&lt;=AsOfDate),AR41,IF(AND(AI41&gt;=2,AK41&lt;=AsOfDate),AQ41,AP41)))</f>
        <v/>
      </c>
      <c r="AT41" s="14" t="str">
        <f aca="false">IF(AG41=0,"",IF(AsOfDate&lt;AH41,-1,12*(YEAR(AsOfDate)-YEAR(AH41))+MONTH(AsOfDate)-MONTH(AH41)-IF(DAY(AsOfDate)&lt;MIN(DAY(AH41),DAY(EOMONTH(AsOfDate,0))),1,0)))</f>
        <v/>
      </c>
      <c r="AU41" s="14" t="str">
        <f aca="false">IF(AG41=0,"",IF(OR(AI41&lt;2,AK41&gt;AsOfDate),AT41,IF((AK41-1)&lt;AH41,-1,12*(YEAR((AK41-1))-YEAR(AH41))+MONTH((AK41-1))-MONTH(AH41)-IF(DAY((AK41-1))&lt;MIN(DAY(AH41),DAY(EOMONTH((AK41-1),0))),1,0))))</f>
        <v/>
      </c>
      <c r="AV41" s="14" t="str">
        <f aca="false">IF(AG41=0,"",IF(OR(AI41&lt;3,AL41&gt;AsOfDate),AT41,IF((AL41-1)&lt;AH41,-1,12*(YEAR((AL41-1))-YEAR(AH41))+MONTH((AL41-1))-MONTH(AH41)-IF(DAY((AL41-1))&lt;MIN(DAY(AH41),DAY(EOMONTH((AL41-1),0))),1,0))))</f>
        <v/>
      </c>
      <c r="AW41" s="14" t="str">
        <f aca="false">IF(AG41=0,"",IF(PFYDate&lt;AH41,-1,12*(YEAR(PFYDate)-YEAR(AH41))+MONTH(PFYDate)-MONTH(AH41)-IF(DAY(PFYDate)&lt;MIN(DAY(AH41),DAY(EOMONTH(PFYDate,0))),1,0)))</f>
        <v/>
      </c>
      <c r="AX41" s="14" t="str">
        <f aca="false">IF(AG41=0,"",IF(OR(AI41&lt;2,AK41&gt;PFYDate),AW41,IF((AK41-1)&lt;AH41,-1,12*(YEAR((AK41-1))-YEAR(AH41))+MONTH((AK41-1))-MONTH(AH41)-IF(DAY((AK41-1))&lt;MIN(DAY(AH41),DAY(EOMONTH((AK41-1),0))),1,0))))</f>
        <v/>
      </c>
      <c r="AY41" s="14" t="str">
        <f aca="false">IF(AG41=0,"",IF(OR(AI41&lt;3,AL41&gt;PFYDate),AW41,IF((AL41-1)&lt;AH41,-1,12*(YEAR((AL41-1))-YEAR(AH41))+MONTH((AL41-1))-MONTH(AH41)-IF(DAY((AL41-1))&lt;MIN(DAY(AH41),DAY(EOMONTH((AL41-1),0))),1,0))))</f>
        <v/>
      </c>
      <c r="AZ41" s="14" t="str">
        <f aca="false">IF(AG41=0,"",IF(AP41="FT",IF(AU41&lt;FT_First,0,IF(AU41&lt;FT_Y5,1+INT((AU41-FT_First)/FT_Int1),FT_PreY5+FT_PerYear*INT((AU41-FT_Y5)/12)+FT_AnnivDays+INT(MOD(AU41-FT_Y5,12)/FT_Int2))),IF(AP41="PT",IF(AU41&lt;PT_First,0,1+INT((AU41-PT_First)/PT_Int)),0))+IF(AND(AI41&gt;=2,AK41&lt;=AsOfDate),IF(AQ41="FT",IF(AV41&lt;FT_First,0,IF(AV41&lt;FT_Y5,1+INT((AV41-FT_First)/FT_Int1),FT_PreY5+FT_PerYear*INT((AV41-FT_Y5)/12)+FT_AnnivDays+INT(MOD(AV41-FT_Y5,12)/FT_Int2))),IF(AQ41="PT",IF(AV41&lt;PT_First,0,1+INT((AV41-PT_First)/PT_Int)),0))-IF(AQ41="FT",IF(AU41&lt;FT_First,0,IF(AU41&lt;FT_Y5,1+INT((AU41-FT_First)/FT_Int1),FT_PreY5+FT_PerYear*INT((AU41-FT_Y5)/12)+FT_AnnivDays+INT(MOD(AU41-FT_Y5,12)/FT_Int2))),IF(AQ41="PT",IF(AU41&lt;PT_First,0,1+INT((AU41-PT_First)/PT_Int)),0)),0)+IF(AND(AI41&gt;=3,AL41&lt;=AsOfDate),IF(AR41="FT",IF(AT41&lt;FT_First,0,IF(AT41&lt;FT_Y5,1+INT((AT41-FT_First)/FT_Int1),FT_PreY5+FT_PerYear*INT((AT41-FT_Y5)/12)+FT_AnnivDays+INT(MOD(AT41-FT_Y5,12)/FT_Int2))),IF(AR41="PT",IF(AT41&lt;PT_First,0,1+INT((AT41-PT_First)/PT_Int)),0))-IF(AR41="FT",IF(AV41&lt;FT_First,0,IF(AV41&lt;FT_Y5,1+INT((AV41-FT_First)/FT_Int1),FT_PreY5+FT_PerYear*INT((AV41-FT_Y5)/12)+FT_AnnivDays+INT(MOD(AV41-FT_Y5,12)/FT_Int2))),IF(AR41="PT",IF(AV41&lt;PT_First,0,1+INT((AV41-PT_First)/PT_Int)),0)),0))</f>
        <v/>
      </c>
      <c r="BA41" s="14" t="str">
        <f aca="false">IF(AG41=0,"",IF(AP41="FT",IF(AX41&lt;FT_First,0,IF(AX41&lt;FT_Y5,1+INT((AX41-FT_First)/FT_Int1),FT_PreY5+FT_PerYear*INT((AX41-FT_Y5)/12)+FT_AnnivDays+INT(MOD(AX41-FT_Y5,12)/FT_Int2))),IF(AP41="PT",IF(AX41&lt;PT_First,0,1+INT((AX41-PT_First)/PT_Int)),0))+IF(AND(AI41&gt;=2,AK41&lt;=PFYDate),IF(AQ41="FT",IF(AY41&lt;FT_First,0,IF(AY41&lt;FT_Y5,1+INT((AY41-FT_First)/FT_Int1),FT_PreY5+FT_PerYear*INT((AY41-FT_Y5)/12)+FT_AnnivDays+INT(MOD(AY41-FT_Y5,12)/FT_Int2))),IF(AQ41="PT",IF(AY41&lt;PT_First,0,1+INT((AY41-PT_First)/PT_Int)),0))-IF(AQ41="FT",IF(AX41&lt;FT_First,0,IF(AX41&lt;FT_Y5,1+INT((AX41-FT_First)/FT_Int1),FT_PreY5+FT_PerYear*INT((AX41-FT_Y5)/12)+FT_AnnivDays+INT(MOD(AX41-FT_Y5,12)/FT_Int2))),IF(AQ41="PT",IF(AX41&lt;PT_First,0,1+INT((AX41-PT_First)/PT_Int)),0)),0)+IF(AND(AI41&gt;=3,AL41&lt;=PFYDate),IF(AR41="FT",IF(AW41&lt;FT_First,0,IF(AW41&lt;FT_Y5,1+INT((AW41-FT_First)/FT_Int1),FT_PreY5+FT_PerYear*INT((AW41-FT_Y5)/12)+FT_AnnivDays+INT(MOD(AW41-FT_Y5,12)/FT_Int2))),IF(AR41="PT",IF(AW41&lt;PT_First,0,1+INT((AW41-PT_First)/PT_Int)),0))-IF(AR41="FT",IF(AY41&lt;FT_First,0,IF(AY41&lt;FT_Y5,1+INT((AY41-FT_First)/FT_Int1),FT_PreY5+FT_PerYear*INT((AY41-FT_Y5)/12)+FT_AnnivDays+INT(MOD(AY41-FT_Y5,12)/FT_Int2))),IF(AR41="PT",IF(AY41&lt;PT_First,0,1+INT((AY41-PT_First)/PT_Int)),0)),0))</f>
        <v/>
      </c>
      <c r="BB41" s="14" t="str">
        <f aca="false">IF(AG41=0,"",IF(AS41="FT",IF(AT41&lt;FT_First,FT_First,IF(AT41&lt;FT_Y5,MIN(FT_Y5,FT_First+FT_Int1*(INT((AT41-FT_First)/FT_Int1)+1)),FT_Y5+12*INT((AT41-FT_Y5)/12)+FT_Int2*(INT(MOD(AT41-FT_Y5,12)/FT_Int2)+1))),IF(AS41="PT",IF(AT41&lt;PT_First,PT_First,PT_First+PT_Int*(INT((AT41-PT_First)/PT_Int)+1)),"")))</f>
        <v/>
      </c>
      <c r="BC41" s="14" t="str">
        <f aca="false">IF(AG41=0,"",IF(NOT(LH_Ready),0,COUNTIFS(INDEX(LH_Data,0,LH_ColFirst),$A41,INDEX(LH_Data,0,LH_ColSur),$B41,INDEX(LH_Data,0,LH_ColCat),BonusCat)))</f>
        <v/>
      </c>
      <c r="BD41" s="14" t="str">
        <f aca="false">IF(AG41=0,"",IF(OR(NOT(LH_Ready),BC41=0),0,SUMPRODUCT(MAX((INDEX(LH_Data,0,LH_ColFirst)=$A41)*(INDEX(LH_Data,0,LH_ColSur)=$B41)*(INDEX(LH_Data,0,LH_ColCat)=BonusCat)*ROW(LH_Data)))))</f>
        <v/>
      </c>
      <c r="BE41" s="14" t="str">
        <f aca="false">IF(AG41=0,"",IF(EOMONTH(AsOfDate,-1)&lt;AH41,-1,12*(YEAR(EOMONTH(AsOfDate,-1))-YEAR(AH41))+MONTH(EOMONTH(AsOfDate,-1))-MONTH(AH41)-IF(DAY(EOMONTH(AsOfDate,-1))&lt;MIN(DAY(AH41),DAY(EOMONTH(EOMONTH(AsOfDate,-1),0))),1,0)))</f>
        <v/>
      </c>
      <c r="BF41" s="14" t="str">
        <f aca="false">IF(AG41=0,"",IF(OR(AI41&lt;2,AK41&gt;EOMONTH(AsOfDate,-1)),BE41,IF((AK41-1)&lt;AH41,-1,12*(YEAR((AK41-1))-YEAR(AH41))+MONTH((AK41-1))-MONTH(AH41)-IF(DAY((AK41-1))&lt;MIN(DAY(AH41),DAY(EOMONTH((AK41-1),0))),1,0))))</f>
        <v/>
      </c>
      <c r="BG41" s="14" t="str">
        <f aca="false">IF(AG41=0,"",IF(OR(AI41&lt;3,AL41&gt;EOMONTH(AsOfDate,-1)),BE41,IF((AL41-1)&lt;AH41,-1,12*(YEAR((AL41-1))-YEAR(AH41))+MONTH((AL41-1))-MONTH(AH41)-IF(DAY((AL41-1))&lt;MIN(DAY(AH41),DAY(EOMONTH((AL41-1),0))),1,0))))</f>
        <v/>
      </c>
      <c r="BH41" s="14" t="str">
        <f aca="false">IF(AG41=0,"",IF(AP41="FT",IF(BF41&lt;FT_First,0,IF(BF41&lt;FT_Y5,1+INT((BF41-FT_First)/FT_Int1),FT_PreY5+FT_PerYear*INT((BF41-FT_Y5)/12)+FT_AnnivDays+INT(MOD(BF41-FT_Y5,12)/FT_Int2))),IF(AP41="PT",IF(BF41&lt;PT_First,0,1+INT((BF41-PT_First)/PT_Int)),0))+IF(AND(AI41&gt;=2,AK41&lt;=EOMONTH(AsOfDate,-1)),IF(AQ41="FT",IF(BG41&lt;FT_First,0,IF(BG41&lt;FT_Y5,1+INT((BG41-FT_First)/FT_Int1),FT_PreY5+FT_PerYear*INT((BG41-FT_Y5)/12)+FT_AnnivDays+INT(MOD(BG41-FT_Y5,12)/FT_Int2))),IF(AQ41="PT",IF(BG41&lt;PT_First,0,1+INT((BG41-PT_First)/PT_Int)),0))-IF(AQ41="FT",IF(BF41&lt;FT_First,0,IF(BF41&lt;FT_Y5,1+INT((BF41-FT_First)/FT_Int1),FT_PreY5+FT_PerYear*INT((BF41-FT_Y5)/12)+FT_AnnivDays+INT(MOD(BF41-FT_Y5,12)/FT_Int2))),IF(AQ41="PT",IF(BF41&lt;PT_First,0,1+INT((BF41-PT_First)/PT_Int)),0)),0)+IF(AND(AI41&gt;=3,AL41&lt;=EOMONTH(AsOfDate,-1)),IF(AR41="FT",IF(BE41&lt;FT_First,0,IF(BE41&lt;FT_Y5,1+INT((BE41-FT_First)/FT_Int1),FT_PreY5+FT_PerYear*INT((BE41-FT_Y5)/12)+FT_AnnivDays+INT(MOD(BE41-FT_Y5,12)/FT_Int2))),IF(AR41="PT",IF(BE41&lt;PT_First,0,1+INT((BE41-PT_First)/PT_Int)),0))-IF(AR41="FT",IF(BG41&lt;FT_First,0,IF(BG41&lt;FT_Y5,1+INT((BG41-FT_First)/FT_Int1),FT_PreY5+FT_PerYear*INT((BG41-FT_Y5)/12)+FT_AnnivDays+INT(MOD(BG41-FT_Y5,12)/FT_Int2))),IF(AR41="PT",IF(BG41&lt;PT_First,0,1+INT((BG41-PT_First)/PT_Int)),0)),0))</f>
        <v/>
      </c>
      <c r="BI41" s="14" t="str">
        <f aca="false">IF(AG41=0,"",IF(AS41="FT",IF(AT41&lt;FT_First,"",IF(AT41&lt;FT_Y5,FT_First+FT_Int1*INT((AT41-FT_First)/FT_Int1),FT_Y5+FT_Int2*INT((AT41-FT_Y5)/FT_Int2))),IF(AS41="PT",IF(AT41&lt;PT_First,"",PT_First+PT_Int*INT((AT41-PT_First)/PT_Int)),"")))</f>
        <v/>
      </c>
      <c r="BJ41" s="0" t="str">
        <f aca="false">IF(LEN($A41&amp;$B41)=0,"",$A41&amp;" "&amp;$B41)</f>
        <v/>
      </c>
    </row>
    <row r="42" customFormat="false" ht="15" hidden="false" customHeight="false" outlineLevel="0" collapsed="false">
      <c r="A42" s="10"/>
      <c r="B42" s="10"/>
      <c r="C42" s="10"/>
      <c r="D42" s="11"/>
      <c r="E42" s="12" t="str">
        <f aca="false">IF(OR(AG42=0,$D42=""),"",DATE(YEAR(AsOfDate)+IF(DATE(YEAR(AsOfDate),MONTH($D42),DAY($D42))&lt;=AsOfDate,1,0),MONTH($D42),DAY($D42)))</f>
        <v/>
      </c>
      <c r="F42" s="11"/>
      <c r="G42" s="11"/>
      <c r="H42" s="11"/>
      <c r="I42" s="11"/>
      <c r="J42" s="11"/>
      <c r="K42" s="12" t="str">
        <f aca="false">IF(AG42=0,"",DATE(YEAR(AsOfDate)+IF(DATE(YEAR(AsOfDate),MONTH(AH42),DAY(AH42))&lt;=AsOfDate,1,0),MONTH(AH42),DAY(AH42)))</f>
        <v/>
      </c>
      <c r="L42" s="13" t="str">
        <f aca="false">IF(AG42=0,"",ROUND((AsOfDate-AH42)/365.25,1))</f>
        <v/>
      </c>
      <c r="M42" s="14" t="str">
        <f aca="false">IF(AG42=0,"",IF(AsOfDate&lt;AH42,"-",DATEDIF(AH42,AsOfDate,"y")&amp;"y "&amp;DATEDIF(AH42,AsOfDate,"ym")&amp;"m "&amp;DATEDIF(AH42,AsOfDate,"md")&amp;"d"))</f>
        <v/>
      </c>
      <c r="N42" s="15" t="str">
        <f aca="false">IF(AG42=0,"",O42*HoursPerDay)</f>
        <v/>
      </c>
      <c r="O42" s="15" t="str">
        <f aca="false">IF(AG42=0,"",AZ42)</f>
        <v/>
      </c>
      <c r="P42" s="16"/>
      <c r="Q42" s="14" t="str">
        <f aca="false">IF(AG42=0,"",IF(AI42&lt;2,"",AM42&amp;" to "&amp;AN42&amp;" on "&amp;TEXT(AK42,"dd/mm/yyyy")&amp;IF(AK42&gt;AsOfDate," (future)",IF(AP42=AQ42,"",IF(AQ42="None"," - STOPPED accruing",IF(AP42="None"," - commencement for Bonus Leave"," - pathway changed"))))&amp;IF(AI42&lt;3,"","; "&amp;AN42&amp;" to "&amp;AO42&amp;" on "&amp;TEXT(AL42,"dd/mm/yyyy")&amp;IF(AL42&gt;AsOfDate," (future)",IF(AQ42=AR42,"",IF(AR42="None"," - STOPPED accruing",IF(AQ42="None"," - commencement for Bonus Leave"," - pathway changed")))))))</f>
        <v/>
      </c>
      <c r="R42" s="14" t="str">
        <f aca="false">IF(AG42=0,"",IF(AS42="None",IF(O42&gt;0,"No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2" t="str">
        <f aca="false">IF(AG42=0,"",IF(AS42="None","",EDATE(AH42,BB42)))</f>
        <v/>
      </c>
      <c r="T42" s="15" t="str">
        <f aca="false">IF(AG42=0,"",IF(NOT(LH_Ready),"",IF(AH42&gt;PFYDate,0,IF(LH_ColPeriod=0,W42-U42+V42,SUMIFS(INDEX(LH_Data,0,LH_ColAcc),INDEX(LH_Data,0,LH_ColFirst),$A42,INDEX(LH_Data,0,LH_ColSur),$B42,INDEX(LH_Data,0,LH_ColCat),BonusCat,INDEX(LH_Data,0,LH_ColPeriod),LH_OpenLabel)*UnitFactor))))</f>
        <v/>
      </c>
      <c r="U42" s="15" t="str">
        <f aca="false">IF(AG42=0,"",IF(NOT(LH_Ready),"",SUMIFS(INDEX(LH_Data,0,LH_ColAcc),INDEX(LH_Data,0,LH_ColFirst),$A42,INDEX(LH_Data,0,LH_ColSur),$B42,INDEX(LH_Data,0,LH_ColCat),BonusCat,INDEX(LH_Data,0,LH_ColStart),"&gt;="&amp;AH42)*UnitFactor))</f>
        <v/>
      </c>
      <c r="V42" s="15" t="str">
        <f aca="false">IF(AG42=0,"",IF(NOT(LH_Ready),"",SUMIFS(INDEX(LH_Data,0,LH_ColTaken),INDEX(LH_Data,0,LH_ColFirst),$A42,INDEX(LH_Data,0,LH_ColSur),$B42,INDEX(LH_Data,0,LH_ColCat),BonusCat,INDEX(LH_Data,0,LH_ColStart),"&gt;="&amp;AH42)*UnitFactor))</f>
        <v/>
      </c>
      <c r="W42" s="15" t="str">
        <f aca="false">IF(AG42=0,"",IF(NOT(LH_Ready),"",IF(BD42=0,0,INDEX(INDEX(LH_Data,0,LH_ColClose),BD42-1)*UnitFactor)))</f>
        <v/>
      </c>
      <c r="X42" s="15" t="str">
        <f aca="false">IF(AG42=0,"",(AZ42-BA42)*HoursPerDay)</f>
        <v/>
      </c>
      <c r="Y42" s="15" t="str">
        <f aca="false">IF(AG42=0,"",IF(NOT(LH_Ready),"",IF(BC42=0,N42,IF(PFYDate&lt;$F42,N42-N(T42)-N(U42),X42-N(U42)))))</f>
        <v/>
      </c>
      <c r="Z42" s="14" t="str">
        <f aca="false">IF(OR(AG42=0,Y42=""),"",IF(Y42&gt;0,"Yes","No"))</f>
        <v/>
      </c>
      <c r="AA42" s="14" t="str">
        <f aca="false">IF(AG42=0,IF(LEN($A42&amp;$B42)=0,"","FIX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month")&amp;IF(BC42=0,";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EH)",""),IF(AS42="None",R42,"Not yet - first day on "&amp;TEXT(S42,"dd/mm/yyyy")))))))))</f>
        <v/>
      </c>
      <c r="AB42" s="15" t="str">
        <f aca="false">IF(OR(AG42=0,T42=""),"",BA42*HoursPerDay-T42)</f>
        <v/>
      </c>
      <c r="AC42" s="14" t="str">
        <f aca="false">IF(AG42=0,"",BC42)</f>
        <v/>
      </c>
      <c r="AD42" s="14" t="str">
        <f aca="false">IF(AG42=0,"",TRIM(IF(OR(ISTEXT($F42),ISTEXT($H42),ISTEXT($I42),ISTEXT($G42),ISTEXT($J42),ISTEXT($D42)),"A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I42&gt;=1,IF(AI42&gt;=3,AO42,IF(AI42=2,AN42,AM42))&lt;&gt;IF($C42="","",IF(OR(ISNUMBER(SEARCH("full",$C42)),UPPER(TRIM($C42))="FT",UPPER(TRIM($C42))="FTE"),"Full-Time",IF(OR(ISNUMBER(SEARCH("part",$C42)),UPPER(TRIM($C42))="PT",UPPER(TRIM($C42))="PTE"),"Part-Time",IF(OR(ISNUMBER(SEARCH("cas",$C42)),UPPER(TRIM($C42))="CAS"),"Casual","Unknown"))))),"EmploymentType does not match latest start date ("&amp;IF(AI42&gt;=3,AO42,IF(AI42=2,AN42,AM42))&amp;"). ","")&amp;IF(AND(AI42&gt;=1,AJ42&lt;&gt;$F42),"Earliest type date should equal StartDate. ","")&amp;IF(AND(AI42&gt;=2,AJ42=AK42),"Two types start on the same date. ","")&amp;IF(AND(OR(ISNUMBER(SEARCH("part",$C42)),UPPER(TRIM($C42))="PT",UPPER(TRIM($C42))="PTE"),$P42=""),"Part-time: enter PT Hrs/Week (blank = 24+). ","")))</f>
        <v/>
      </c>
      <c r="AE42" s="15" t="str">
        <f aca="false">IF(AG42=0,"",O42-BH42)</f>
        <v/>
      </c>
      <c r="AF42" s="12" t="str">
        <f aca="false">IF(OR(AG42=0,AE42="",N(AE42)=0,BI42=""),"",EDATE(AH42,BI42))</f>
        <v/>
      </c>
      <c r="AG42" s="14" t="n">
        <f aca="false">IF(OR(LEN($A42&amp;$B42)=0,$F42=""),0,1)</f>
        <v>0</v>
      </c>
      <c r="AH42" s="12" t="str">
        <f aca="false">IF(AG42=0,"",IF($J42&lt;&gt;"",$J42,IF(OR(CasualCounts="Yes",COUNT($G42:$I42)=0,COUNT($H42:$I42)=0),$F42,MIN($H42:$I42))))</f>
        <v/>
      </c>
      <c r="AI42" s="14" t="str">
        <f aca="false">IF(AG42=0,"",COUNT($G42:$I42))</f>
        <v/>
      </c>
      <c r="AJ42" s="12" t="str">
        <f aca="false">IF(AG42=0,"",IFERROR(SMALL($G42:$I42,1),""))</f>
        <v/>
      </c>
      <c r="AK42" s="12" t="str">
        <f aca="false">IF(AG42=0,"",IFERROR(SMALL($G42:$I42,2),""))</f>
        <v/>
      </c>
      <c r="AL42" s="12" t="str">
        <f aca="false">IF(AG42=0,"",IFERROR(SMALL($G42:$I42,3),""))</f>
        <v/>
      </c>
      <c r="AM42" s="14" t="str">
        <f aca="false">IF(AG42=0,"",IF(AJ42="","",IF(AJ42=$H42,"Part-Time",IF(AJ42=$I42,"Full-Time","Casual"))))</f>
        <v/>
      </c>
      <c r="AN42" s="14" t="str">
        <f aca="false">IF(AG42=0,"",IF(AK42="","",IF(AK42=$H42,"Part-Time",IF(AK42=$I42,"Full-Time","Casual"))))</f>
        <v/>
      </c>
      <c r="AO42" s="14" t="str">
        <f aca="false">IF(AG42=0,"",IF(AL42="","",IF(AL42=$H42,"Part-Time",IF(AL42=$I42,"Full-Time","Casual"))))</f>
        <v/>
      </c>
      <c r="AP42" s="14" t="str">
        <f aca="false">IF(AG42=0,"",IF(AI42=0,IF(OR(ISNUMBER(SEARCH("full",$C42)),UPPER(TRIM($C42))="FT",UPPER(TRIM($C42))="FTE"),"FT",IF(AND(OR(ISNUMBER(SEARCH("part",$C42)),UPPER(TRIM($C42))="PT",UPPER(TRIM($C42))="PTE"),OR($P42="",N($P42)&gt;=PT_MinHours)),"PT","None")),IF(OR(ISNUMBER(SEARCH("full",AM42)),UPPER(TRIM(AM42))="FT",UPPER(TRIM(AM42))="FTE"),"FT",IF(AND(OR(ISNUMBER(SEARCH("part",AM42)),UPPER(TRIM(AM42))="PT",UPPER(TRIM(AM42))="PTE"),OR($P42="",N($P42)&gt;=PT_MinHours)),"PT","None"))))</f>
        <v/>
      </c>
      <c r="AQ42" s="14" t="str">
        <f aca="false">IF(AG42=0,"",IF(AI42&lt;2,"",IF(OR(ISNUMBER(SEARCH("full",AN42)),UPPER(TRIM(AN42))="FT",UPPER(TRIM(AN42))="FTE"),"FT",IF(AND(OR(ISNUMBER(SEARCH("part",AN42)),UPPER(TRIM(AN42))="PT",UPPER(TRIM(AN42))="PTE"),OR($P42="",N($P42)&gt;=PT_MinHours)),"PT","None"))))</f>
        <v/>
      </c>
      <c r="AR42" s="14" t="str">
        <f aca="false">IF(AG42=0,"",IF(AI42&lt;3,"",IF(OR(ISNUMBER(SEARCH("full",AO42)),UPPER(TRIM(AO42))="FT",UPPER(TRIM(AO42))="FTE"),"FT",IF(AND(OR(ISNUMBER(SEARCH("part",AO42)),UPPER(TRIM(AO42))="PT",UPPER(TRIM(AO42))="PTE"),OR($P42="",N($P42)&gt;=PT_MinHours)),"PT","None"))))</f>
        <v/>
      </c>
      <c r="AS42" s="14" t="str">
        <f aca="false">IF(AG42=0,"",IF(AND(AI42&gt;=3,AL42&lt;=AsOfDate),AR42,IF(AND(AI42&gt;=2,AK42&lt;=AsOfDate),AQ42,AP42)))</f>
        <v/>
      </c>
      <c r="AT42" s="14" t="str">
        <f aca="false">IF(AG42=0,"",IF(AsOfDate&lt;AH42,-1,12*(YEAR(AsOfDate)-YEAR(AH42))+MONTH(AsOfDate)-MONTH(AH42)-IF(DAY(AsOfDate)&lt;MIN(DAY(AH42),DAY(EOMONTH(AsOfDate,0))),1,0)))</f>
        <v/>
      </c>
      <c r="AU42" s="14" t="str">
        <f aca="false">IF(AG42=0,"",IF(OR(AI42&lt;2,AK42&gt;AsOfDate),AT42,IF((AK42-1)&lt;AH42,-1,12*(YEAR((AK42-1))-YEAR(AH42))+MONTH((AK42-1))-MONTH(AH42)-IF(DAY((AK42-1))&lt;MIN(DAY(AH42),DAY(EOMONTH((AK42-1),0))),1,0))))</f>
        <v/>
      </c>
      <c r="AV42" s="14" t="str">
        <f aca="false">IF(AG42=0,"",IF(OR(AI42&lt;3,AL42&gt;AsOfDate),AT42,IF((AL42-1)&lt;AH42,-1,12*(YEAR((AL42-1))-YEAR(AH42))+MONTH((AL42-1))-MONTH(AH42)-IF(DAY((AL42-1))&lt;MIN(DAY(AH42),DAY(EOMONTH((AL42-1),0))),1,0))))</f>
        <v/>
      </c>
      <c r="AW42" s="14" t="str">
        <f aca="false">IF(AG42=0,"",IF(PFYDate&lt;AH42,-1,12*(YEAR(PFYDate)-YEAR(AH42))+MONTH(PFYDate)-MONTH(AH42)-IF(DAY(PFYDate)&lt;MIN(DAY(AH42),DAY(EOMONTH(PFYDate,0))),1,0)))</f>
        <v/>
      </c>
      <c r="AX42" s="14" t="str">
        <f aca="false">IF(AG42=0,"",IF(OR(AI42&lt;2,AK42&gt;PFYDate),AW42,IF((AK42-1)&lt;AH42,-1,12*(YEAR((AK42-1))-YEAR(AH42))+MONTH((AK42-1))-MONTH(AH42)-IF(DAY((AK42-1))&lt;MIN(DAY(AH42),DAY(EOMONTH((AK42-1),0))),1,0))))</f>
        <v/>
      </c>
      <c r="AY42" s="14" t="str">
        <f aca="false">IF(AG42=0,"",IF(OR(AI42&lt;3,AL42&gt;PFYDate),AW42,IF((AL42-1)&lt;AH42,-1,12*(YEAR((AL42-1))-YEAR(AH42))+MONTH((AL42-1))-MONTH(AH42)-IF(DAY((AL42-1))&lt;MIN(DAY(AH42),DAY(EOMONTH((AL42-1),0))),1,0))))</f>
        <v/>
      </c>
      <c r="AZ42" s="14" t="str">
        <f aca="false">IF(AG42=0,"",IF(AP42="FT",IF(AU42&lt;FT_First,0,IF(AU42&lt;FT_Y5,1+INT((AU42-FT_First)/FT_Int1),FT_PreY5+FT_PerYear*INT((AU42-FT_Y5)/12)+FT_AnnivDays+INT(MOD(AU42-FT_Y5,12)/FT_Int2))),IF(AP42="PT",IF(AU42&lt;PT_First,0,1+INT((AU42-PT_First)/PT_Int)),0))+IF(AND(AI42&gt;=2,AK42&lt;=AsOfDate),IF(AQ42="FT",IF(AV42&lt;FT_First,0,IF(AV42&lt;FT_Y5,1+INT((AV42-FT_First)/FT_Int1),FT_PreY5+FT_PerYear*INT((AV42-FT_Y5)/12)+FT_AnnivDays+INT(MOD(AV42-FT_Y5,12)/FT_Int2))),IF(AQ42="PT",IF(AV42&lt;PT_First,0,1+INT((AV42-PT_First)/PT_Int)),0))-IF(AQ42="FT",IF(AU42&lt;FT_First,0,IF(AU42&lt;FT_Y5,1+INT((AU42-FT_First)/FT_Int1),FT_PreY5+FT_PerYear*INT((AU42-FT_Y5)/12)+FT_AnnivDays+INT(MOD(AU42-FT_Y5,12)/FT_Int2))),IF(AQ42="PT",IF(AU42&lt;PT_First,0,1+INT((AU42-PT_First)/PT_Int)),0)),0)+IF(AND(AI42&gt;=3,AL42&lt;=AsOfDate),IF(AR42="FT",IF(AT42&lt;FT_First,0,IF(AT42&lt;FT_Y5,1+INT((AT42-FT_First)/FT_Int1),FT_PreY5+FT_PerYear*INT((AT42-FT_Y5)/12)+FT_AnnivDays+INT(MOD(AT42-FT_Y5,12)/FT_Int2))),IF(AR42="PT",IF(AT42&lt;PT_First,0,1+INT((AT42-PT_First)/PT_Int)),0))-IF(AR42="FT",IF(AV42&lt;FT_First,0,IF(AV42&lt;FT_Y5,1+INT((AV42-FT_First)/FT_Int1),FT_PreY5+FT_PerYear*INT((AV42-FT_Y5)/12)+FT_AnnivDays+INT(MOD(AV42-FT_Y5,12)/FT_Int2))),IF(AR42="PT",IF(AV42&lt;PT_First,0,1+INT((AV42-PT_First)/PT_Int)),0)),0))</f>
        <v/>
      </c>
      <c r="BA42" s="14" t="str">
        <f aca="false">IF(AG42=0,"",IF(AP42="FT",IF(AX42&lt;FT_First,0,IF(AX42&lt;FT_Y5,1+INT((AX42-FT_First)/FT_Int1),FT_PreY5+FT_PerYear*INT((AX42-FT_Y5)/12)+FT_AnnivDays+INT(MOD(AX42-FT_Y5,12)/FT_Int2))),IF(AP42="PT",IF(AX42&lt;PT_First,0,1+INT((AX42-PT_First)/PT_Int)),0))+IF(AND(AI42&gt;=2,AK42&lt;=PFYDate),IF(AQ42="FT",IF(AY42&lt;FT_First,0,IF(AY42&lt;FT_Y5,1+INT((AY42-FT_First)/FT_Int1),FT_PreY5+FT_PerYear*INT((AY42-FT_Y5)/12)+FT_AnnivDays+INT(MOD(AY42-FT_Y5,12)/FT_Int2))),IF(AQ42="PT",IF(AY42&lt;PT_First,0,1+INT((AY42-PT_First)/PT_Int)),0))-IF(AQ42="FT",IF(AX42&lt;FT_First,0,IF(AX42&lt;FT_Y5,1+INT((AX42-FT_First)/FT_Int1),FT_PreY5+FT_PerYear*INT((AX42-FT_Y5)/12)+FT_AnnivDays+INT(MOD(AX42-FT_Y5,12)/FT_Int2))),IF(AQ42="PT",IF(AX42&lt;PT_First,0,1+INT((AX42-PT_First)/PT_Int)),0)),0)+IF(AND(AI42&gt;=3,AL42&lt;=PFYDate),IF(AR42="FT",IF(AW42&lt;FT_First,0,IF(AW42&lt;FT_Y5,1+INT((AW42-FT_First)/FT_Int1),FT_PreY5+FT_PerYear*INT((AW42-FT_Y5)/12)+FT_AnnivDays+INT(MOD(AW42-FT_Y5,12)/FT_Int2))),IF(AR42="PT",IF(AW42&lt;PT_First,0,1+INT((AW42-PT_First)/PT_Int)),0))-IF(AR42="FT",IF(AY42&lt;FT_First,0,IF(AY42&lt;FT_Y5,1+INT((AY42-FT_First)/FT_Int1),FT_PreY5+FT_PerYear*INT((AY42-FT_Y5)/12)+FT_AnnivDays+INT(MOD(AY42-FT_Y5,12)/FT_Int2))),IF(AR42="PT",IF(AY42&lt;PT_First,0,1+INT((AY42-PT_First)/PT_Int)),0)),0))</f>
        <v/>
      </c>
      <c r="BB42" s="14" t="str">
        <f aca="false">IF(AG42=0,"",IF(AS42="FT",IF(AT42&lt;FT_First,FT_First,IF(AT42&lt;FT_Y5,MIN(FT_Y5,FT_First+FT_Int1*(INT((AT42-FT_First)/FT_Int1)+1)),FT_Y5+12*INT((AT42-FT_Y5)/12)+FT_Int2*(INT(MOD(AT42-FT_Y5,12)/FT_Int2)+1))),IF(AS42="PT",IF(AT42&lt;PT_First,PT_First,PT_First+PT_Int*(INT((AT42-PT_First)/PT_Int)+1)),"")))</f>
        <v/>
      </c>
      <c r="BC42" s="14" t="str">
        <f aca="false">IF(AG42=0,"",IF(NOT(LH_Ready),0,COUNTIFS(INDEX(LH_Data,0,LH_ColFirst),$A42,INDEX(LH_Data,0,LH_ColSur),$B42,INDEX(LH_Data,0,LH_ColCat),BonusCat)))</f>
        <v/>
      </c>
      <c r="BD42" s="14" t="str">
        <f aca="false">IF(AG42=0,"",IF(OR(NOT(LH_Ready),BC42=0),0,SUMPRODUCT(MAX((INDEX(LH_Data,0,LH_ColFirst)=$A42)*(INDEX(LH_Data,0,LH_ColSur)=$B42)*(INDEX(LH_Data,0,LH_ColCat)=BonusCat)*ROW(LH_Data)))))</f>
        <v/>
      </c>
      <c r="BE42" s="14" t="str">
        <f aca="false">IF(AG42=0,"",IF(EOMONTH(AsOfDate,-1)&lt;AH42,-1,12*(YEAR(EOMONTH(AsOfDate,-1))-YEAR(AH42))+MONTH(EOMONTH(AsOfDate,-1))-MONTH(AH42)-IF(DAY(EOMONTH(AsOfDate,-1))&lt;MIN(DAY(AH42),DAY(EOMONTH(EOMONTH(AsOfDate,-1),0))),1,0)))</f>
        <v/>
      </c>
      <c r="BF42" s="14" t="str">
        <f aca="false">IF(AG42=0,"",IF(OR(AI42&lt;2,AK42&gt;EOMONTH(AsOfDate,-1)),BE42,IF((AK42-1)&lt;AH42,-1,12*(YEAR((AK42-1))-YEAR(AH42))+MONTH((AK42-1))-MONTH(AH42)-IF(DAY((AK42-1))&lt;MIN(DAY(AH42),DAY(EOMONTH((AK42-1),0))),1,0))))</f>
        <v/>
      </c>
      <c r="BG42" s="14" t="str">
        <f aca="false">IF(AG42=0,"",IF(OR(AI42&lt;3,AL42&gt;EOMONTH(AsOfDate,-1)),BE42,IF((AL42-1)&lt;AH42,-1,12*(YEAR((AL42-1))-YEAR(AH42))+MONTH((AL42-1))-MONTH(AH42)-IF(DAY((AL42-1))&lt;MIN(DAY(AH42),DAY(EOMONTH((AL42-1),0))),1,0))))</f>
        <v/>
      </c>
      <c r="BH42" s="14" t="str">
        <f aca="false">IF(AG42=0,"",IF(AP42="FT",IF(BF42&lt;FT_First,0,IF(BF42&lt;FT_Y5,1+INT((BF42-FT_First)/FT_Int1),FT_PreY5+FT_PerYear*INT((BF42-FT_Y5)/12)+FT_AnnivDays+INT(MOD(BF42-FT_Y5,12)/FT_Int2))),IF(AP42="PT",IF(BF42&lt;PT_First,0,1+INT((BF42-PT_First)/PT_Int)),0))+IF(AND(AI42&gt;=2,AK42&lt;=EOMONTH(AsOfDate,-1)),IF(AQ42="FT",IF(BG42&lt;FT_First,0,IF(BG42&lt;FT_Y5,1+INT((BG42-FT_First)/FT_Int1),FT_PreY5+FT_PerYear*INT((BG42-FT_Y5)/12)+FT_AnnivDays+INT(MOD(BG42-FT_Y5,12)/FT_Int2))),IF(AQ42="PT",IF(BG42&lt;PT_First,0,1+INT((BG42-PT_First)/PT_Int)),0))-IF(AQ42="FT",IF(BF42&lt;FT_First,0,IF(BF42&lt;FT_Y5,1+INT((BF42-FT_First)/FT_Int1),FT_PreY5+FT_PerYear*INT((BF42-FT_Y5)/12)+FT_AnnivDays+INT(MOD(BF42-FT_Y5,12)/FT_Int2))),IF(AQ42="PT",IF(BF42&lt;PT_First,0,1+INT((BF42-PT_First)/PT_Int)),0)),0)+IF(AND(AI42&gt;=3,AL42&lt;=EOMONTH(AsOfDate,-1)),IF(AR42="FT",IF(BE42&lt;FT_First,0,IF(BE42&lt;FT_Y5,1+INT((BE42-FT_First)/FT_Int1),FT_PreY5+FT_PerYear*INT((BE42-FT_Y5)/12)+FT_AnnivDays+INT(MOD(BE42-FT_Y5,12)/FT_Int2))),IF(AR42="PT",IF(BE42&lt;PT_First,0,1+INT((BE42-PT_First)/PT_Int)),0))-IF(AR42="FT",IF(BG42&lt;FT_First,0,IF(BG42&lt;FT_Y5,1+INT((BG42-FT_First)/FT_Int1),FT_PreY5+FT_PerYear*INT((BG42-FT_Y5)/12)+FT_AnnivDays+INT(MOD(BG42-FT_Y5,12)/FT_Int2))),IF(AR42="PT",IF(BG42&lt;PT_First,0,1+INT((BG42-PT_First)/PT_Int)),0)),0))</f>
        <v/>
      </c>
      <c r="BI42" s="14" t="str">
        <f aca="false">IF(AG42=0,"",IF(AS42="FT",IF(AT42&lt;FT_First,"",IF(AT42&lt;FT_Y5,FT_First+FT_Int1*INT((AT42-FT_First)/FT_Int1),FT_Y5+FT_Int2*INT((AT42-FT_Y5)/FT_Int2))),IF(AS42="PT",IF(AT42&lt;PT_First,"",PT_First+PT_Int*INT((AT42-PT_First)/PT_Int)),"")))</f>
        <v/>
      </c>
      <c r="BJ42" s="0" t="str">
        <f aca="false">IF(LEN($A42&amp;$B42)=0,"",$A42&amp;" "&amp;$B42)</f>
        <v/>
      </c>
    </row>
    <row r="43" customFormat="false" ht="15" hidden="false" customHeight="false" outlineLevel="0" collapsed="false">
      <c r="A43" s="10"/>
      <c r="B43" s="10"/>
      <c r="C43" s="10"/>
      <c r="D43" s="11"/>
      <c r="E43" s="12" t="str">
        <f aca="false">IF(OR(AG43=0,$D43=""),"",DATE(YEAR(AsOfDate)+IF(DATE(YEAR(AsOfDate),MONTH($D43),DAY($D43))&lt;=AsOfDate,1,0),MONTH($D43),DAY($D43)))</f>
        <v/>
      </c>
      <c r="F43" s="11"/>
      <c r="G43" s="11"/>
      <c r="H43" s="11"/>
      <c r="I43" s="11"/>
      <c r="J43" s="11"/>
      <c r="K43" s="12" t="str">
        <f aca="false">IF(AG43=0,"",DATE(YEAR(AsOfDate)+IF(DATE(YEAR(AsOfDate),MONTH(AH43),DAY(AH43))&lt;=AsOfDate,1,0),MONTH(AH43),DAY(AH43)))</f>
        <v/>
      </c>
      <c r="L43" s="13" t="str">
        <f aca="false">IF(AG43=0,"",ROUND((AsOfDate-AH43)/365.25,1))</f>
        <v/>
      </c>
      <c r="M43" s="14" t="str">
        <f aca="false">IF(AG43=0,"",IF(AsOfDate&lt;AH43,"-",DATEDIF(AH43,AsOfDate,"y")&amp;"y "&amp;DATEDIF(AH43,AsOfDate,"ym")&amp;"m "&amp;DATEDIF(AH43,AsOfDate,"md")&amp;"d"))</f>
        <v/>
      </c>
      <c r="N43" s="15" t="str">
        <f aca="false">IF(AG43=0,"",O43*HoursPerDay)</f>
        <v/>
      </c>
      <c r="O43" s="15" t="str">
        <f aca="false">IF(AG43=0,"",AZ43)</f>
        <v/>
      </c>
      <c r="P43" s="16"/>
      <c r="Q43" s="14" t="str">
        <f aca="false">IF(AG43=0,"",IF(AI43&lt;2,"",AM43&amp;" to "&amp;AN43&amp;" on "&amp;TEXT(AK43,"dd/mm/yyyy")&amp;IF(AK43&gt;AsOfDate," (future)",IF(AP43=AQ43,"",IF(AQ43="None"," - STOPPED accruing",IF(AP43="None"," - commencement for Bonus Leave"," - pathway changed"))))&amp;IF(AI43&lt;3,"","; "&amp;AN43&amp;" to "&amp;AO43&amp;" on "&amp;TEXT(AL43,"dd/mm/yyyy")&amp;IF(AL43&gt;AsOfDate," (future)",IF(AQ43=AR43,"",IF(AR43="None"," - STOPPED accruing",IF(AQ43="None"," - commencement for Bonus Leave"," - pathway changed")))))))</f>
        <v/>
      </c>
      <c r="R43" s="14" t="str">
        <f aca="false">IF(AG43=0,"",IF(AS43="None",IF(O43&gt;0,"No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2" t="str">
        <f aca="false">IF(AG43=0,"",IF(AS43="None","",EDATE(AH43,BB43)))</f>
        <v/>
      </c>
      <c r="T43" s="15" t="str">
        <f aca="false">IF(AG43=0,"",IF(NOT(LH_Ready),"",IF(AH43&gt;PFYDate,0,IF(LH_ColPeriod=0,W43-U43+V43,SUMIFS(INDEX(LH_Data,0,LH_ColAcc),INDEX(LH_Data,0,LH_ColFirst),$A43,INDEX(LH_Data,0,LH_ColSur),$B43,INDEX(LH_Data,0,LH_ColCat),BonusCat,INDEX(LH_Data,0,LH_ColPeriod),LH_OpenLabel)*UnitFactor))))</f>
        <v/>
      </c>
      <c r="U43" s="15" t="str">
        <f aca="false">IF(AG43=0,"",IF(NOT(LH_Ready),"",SUMIFS(INDEX(LH_Data,0,LH_ColAcc),INDEX(LH_Data,0,LH_ColFirst),$A43,INDEX(LH_Data,0,LH_ColSur),$B43,INDEX(LH_Data,0,LH_ColCat),BonusCat,INDEX(LH_Data,0,LH_ColStart),"&gt;="&amp;AH43)*UnitFactor))</f>
        <v/>
      </c>
      <c r="V43" s="15" t="str">
        <f aca="false">IF(AG43=0,"",IF(NOT(LH_Ready),"",SUMIFS(INDEX(LH_Data,0,LH_ColTaken),INDEX(LH_Data,0,LH_ColFirst),$A43,INDEX(LH_Data,0,LH_ColSur),$B43,INDEX(LH_Data,0,LH_ColCat),BonusCat,INDEX(LH_Data,0,LH_ColStart),"&gt;="&amp;AH43)*UnitFactor))</f>
        <v/>
      </c>
      <c r="W43" s="15" t="str">
        <f aca="false">IF(AG43=0,"",IF(NOT(LH_Ready),"",IF(BD43=0,0,INDEX(INDEX(LH_Data,0,LH_ColClose),BD43-1)*UnitFactor)))</f>
        <v/>
      </c>
      <c r="X43" s="15" t="str">
        <f aca="false">IF(AG43=0,"",(AZ43-BA43)*HoursPerDay)</f>
        <v/>
      </c>
      <c r="Y43" s="15" t="str">
        <f aca="false">IF(AG43=0,"",IF(NOT(LH_Ready),"",IF(BC43=0,N43,IF(PFYDate&lt;$F43,N43-N(T43)-N(U43),X43-N(U43)))))</f>
        <v/>
      </c>
      <c r="Z43" s="14" t="str">
        <f aca="false">IF(OR(AG43=0,Y43=""),"",IF(Y43&gt;0,"Yes","No"))</f>
        <v/>
      </c>
      <c r="AA43" s="14" t="str">
        <f aca="false">IF(AG43=0,IF(LEN($A43&amp;$B43)=0,"","FIX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month")&amp;IF(BC43=0,";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EH)",""),IF(AS43="None",R43,"Not yet - first day on "&amp;TEXT(S43,"dd/mm/yyyy")))))))))</f>
        <v/>
      </c>
      <c r="AB43" s="15" t="str">
        <f aca="false">IF(OR(AG43=0,T43=""),"",BA43*HoursPerDay-T43)</f>
        <v/>
      </c>
      <c r="AC43" s="14" t="str">
        <f aca="false">IF(AG43=0,"",BC43)</f>
        <v/>
      </c>
      <c r="AD43" s="14" t="str">
        <f aca="false">IF(AG43=0,"",TRIM(IF(OR(ISTEXT($F43),ISTEXT($H43),ISTEXT($I43),ISTEXT($G43),ISTEXT($J43),ISTEXT($D43)),"A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I43&gt;=1,IF(AI43&gt;=3,AO43,IF(AI43=2,AN43,AM43))&lt;&gt;IF($C43="","",IF(OR(ISNUMBER(SEARCH("full",$C43)),UPPER(TRIM($C43))="FT",UPPER(TRIM($C43))="FTE"),"Full-Time",IF(OR(ISNUMBER(SEARCH("part",$C43)),UPPER(TRIM($C43))="PT",UPPER(TRIM($C43))="PTE"),"Part-Time",IF(OR(ISNUMBER(SEARCH("cas",$C43)),UPPER(TRIM($C43))="CAS"),"Casual","Unknown"))))),"EmploymentType does not match latest start date ("&amp;IF(AI43&gt;=3,AO43,IF(AI43=2,AN43,AM43))&amp;"). ","")&amp;IF(AND(AI43&gt;=1,AJ43&lt;&gt;$F43),"Earliest type date should equal StartDate. ","")&amp;IF(AND(AI43&gt;=2,AJ43=AK43),"Two types start on the same date. ","")&amp;IF(AND(OR(ISNUMBER(SEARCH("part",$C43)),UPPER(TRIM($C43))="PT",UPPER(TRIM($C43))="PTE"),$P43=""),"Part-time: enter PT Hrs/Week (blank = 24+). ","")))</f>
        <v/>
      </c>
      <c r="AE43" s="15" t="str">
        <f aca="false">IF(AG43=0,"",O43-BH43)</f>
        <v/>
      </c>
      <c r="AF43" s="12" t="str">
        <f aca="false">IF(OR(AG43=0,AE43="",N(AE43)=0,BI43=""),"",EDATE(AH43,BI43))</f>
        <v/>
      </c>
      <c r="AG43" s="14" t="n">
        <f aca="false">IF(OR(LEN($A43&amp;$B43)=0,$F43=""),0,1)</f>
        <v>0</v>
      </c>
      <c r="AH43" s="12" t="str">
        <f aca="false">IF(AG43=0,"",IF($J43&lt;&gt;"",$J43,IF(OR(CasualCounts="Yes",COUNT($G43:$I43)=0,COUNT($H43:$I43)=0),$F43,MIN($H43:$I43))))</f>
        <v/>
      </c>
      <c r="AI43" s="14" t="str">
        <f aca="false">IF(AG43=0,"",COUNT($G43:$I43))</f>
        <v/>
      </c>
      <c r="AJ43" s="12" t="str">
        <f aca="false">IF(AG43=0,"",IFERROR(SMALL($G43:$I43,1),""))</f>
        <v/>
      </c>
      <c r="AK43" s="12" t="str">
        <f aca="false">IF(AG43=0,"",IFERROR(SMALL($G43:$I43,2),""))</f>
        <v/>
      </c>
      <c r="AL43" s="12" t="str">
        <f aca="false">IF(AG43=0,"",IFERROR(SMALL($G43:$I43,3),""))</f>
        <v/>
      </c>
      <c r="AM43" s="14" t="str">
        <f aca="false">IF(AG43=0,"",IF(AJ43="","",IF(AJ43=$H43,"Part-Time",IF(AJ43=$I43,"Full-Time","Casual"))))</f>
        <v/>
      </c>
      <c r="AN43" s="14" t="str">
        <f aca="false">IF(AG43=0,"",IF(AK43="","",IF(AK43=$H43,"Part-Time",IF(AK43=$I43,"Full-Time","Casual"))))</f>
        <v/>
      </c>
      <c r="AO43" s="14" t="str">
        <f aca="false">IF(AG43=0,"",IF(AL43="","",IF(AL43=$H43,"Part-Time",IF(AL43=$I43,"Full-Time","Casual"))))</f>
        <v/>
      </c>
      <c r="AP43" s="14" t="str">
        <f aca="false">IF(AG43=0,"",IF(AI43=0,IF(OR(ISNUMBER(SEARCH("full",$C43)),UPPER(TRIM($C43))="FT",UPPER(TRIM($C43))="FTE"),"FT",IF(AND(OR(ISNUMBER(SEARCH("part",$C43)),UPPER(TRIM($C43))="PT",UPPER(TRIM($C43))="PTE"),OR($P43="",N($P43)&gt;=PT_MinHours)),"PT","None")),IF(OR(ISNUMBER(SEARCH("full",AM43)),UPPER(TRIM(AM43))="FT",UPPER(TRIM(AM43))="FTE"),"FT",IF(AND(OR(ISNUMBER(SEARCH("part",AM43)),UPPER(TRIM(AM43))="PT",UPPER(TRIM(AM43))="PTE"),OR($P43="",N($P43)&gt;=PT_MinHours)),"PT","None"))))</f>
        <v/>
      </c>
      <c r="AQ43" s="14" t="str">
        <f aca="false">IF(AG43=0,"",IF(AI43&lt;2,"",IF(OR(ISNUMBER(SEARCH("full",AN43)),UPPER(TRIM(AN43))="FT",UPPER(TRIM(AN43))="FTE"),"FT",IF(AND(OR(ISNUMBER(SEARCH("part",AN43)),UPPER(TRIM(AN43))="PT",UPPER(TRIM(AN43))="PTE"),OR($P43="",N($P43)&gt;=PT_MinHours)),"PT","None"))))</f>
        <v/>
      </c>
      <c r="AR43" s="14" t="str">
        <f aca="false">IF(AG43=0,"",IF(AI43&lt;3,"",IF(OR(ISNUMBER(SEARCH("full",AO43)),UPPER(TRIM(AO43))="FT",UPPER(TRIM(AO43))="FTE"),"FT",IF(AND(OR(ISNUMBER(SEARCH("part",AO43)),UPPER(TRIM(AO43))="PT",UPPER(TRIM(AO43))="PTE"),OR($P43="",N($P43)&gt;=PT_MinHours)),"PT","None"))))</f>
        <v/>
      </c>
      <c r="AS43" s="14" t="str">
        <f aca="false">IF(AG43=0,"",IF(AND(AI43&gt;=3,AL43&lt;=AsOfDate),AR43,IF(AND(AI43&gt;=2,AK43&lt;=AsOfDate),AQ43,AP43)))</f>
        <v/>
      </c>
      <c r="AT43" s="14" t="str">
        <f aca="false">IF(AG43=0,"",IF(AsOfDate&lt;AH43,-1,12*(YEAR(AsOfDate)-YEAR(AH43))+MONTH(AsOfDate)-MONTH(AH43)-IF(DAY(AsOfDate)&lt;MIN(DAY(AH43),DAY(EOMONTH(AsOfDate,0))),1,0)))</f>
        <v/>
      </c>
      <c r="AU43" s="14" t="str">
        <f aca="false">IF(AG43=0,"",IF(OR(AI43&lt;2,AK43&gt;AsOfDate),AT43,IF((AK43-1)&lt;AH43,-1,12*(YEAR((AK43-1))-YEAR(AH43))+MONTH((AK43-1))-MONTH(AH43)-IF(DAY((AK43-1))&lt;MIN(DAY(AH43),DAY(EOMONTH((AK43-1),0))),1,0))))</f>
        <v/>
      </c>
      <c r="AV43" s="14" t="str">
        <f aca="false">IF(AG43=0,"",IF(OR(AI43&lt;3,AL43&gt;AsOfDate),AT43,IF((AL43-1)&lt;AH43,-1,12*(YEAR((AL43-1))-YEAR(AH43))+MONTH((AL43-1))-MONTH(AH43)-IF(DAY((AL43-1))&lt;MIN(DAY(AH43),DAY(EOMONTH((AL43-1),0))),1,0))))</f>
        <v/>
      </c>
      <c r="AW43" s="14" t="str">
        <f aca="false">IF(AG43=0,"",IF(PFYDate&lt;AH43,-1,12*(YEAR(PFYDate)-YEAR(AH43))+MONTH(PFYDate)-MONTH(AH43)-IF(DAY(PFYDate)&lt;MIN(DAY(AH43),DAY(EOMONTH(PFYDate,0))),1,0)))</f>
        <v/>
      </c>
      <c r="AX43" s="14" t="str">
        <f aca="false">IF(AG43=0,"",IF(OR(AI43&lt;2,AK43&gt;PFYDate),AW43,IF((AK43-1)&lt;AH43,-1,12*(YEAR((AK43-1))-YEAR(AH43))+MONTH((AK43-1))-MONTH(AH43)-IF(DAY((AK43-1))&lt;MIN(DAY(AH43),DAY(EOMONTH((AK43-1),0))),1,0))))</f>
        <v/>
      </c>
      <c r="AY43" s="14" t="str">
        <f aca="false">IF(AG43=0,"",IF(OR(AI43&lt;3,AL43&gt;PFYDate),AW43,IF((AL43-1)&lt;AH43,-1,12*(YEAR((AL43-1))-YEAR(AH43))+MONTH((AL43-1))-MONTH(AH43)-IF(DAY((AL43-1))&lt;MIN(DAY(AH43),DAY(EOMONTH((AL43-1),0))),1,0))))</f>
        <v/>
      </c>
      <c r="AZ43" s="14" t="str">
        <f aca="false">IF(AG43=0,"",IF(AP43="FT",IF(AU43&lt;FT_First,0,IF(AU43&lt;FT_Y5,1+INT((AU43-FT_First)/FT_Int1),FT_PreY5+FT_PerYear*INT((AU43-FT_Y5)/12)+FT_AnnivDays+INT(MOD(AU43-FT_Y5,12)/FT_Int2))),IF(AP43="PT",IF(AU43&lt;PT_First,0,1+INT((AU43-PT_First)/PT_Int)),0))+IF(AND(AI43&gt;=2,AK43&lt;=AsOfDate),IF(AQ43="FT",IF(AV43&lt;FT_First,0,IF(AV43&lt;FT_Y5,1+INT((AV43-FT_First)/FT_Int1),FT_PreY5+FT_PerYear*INT((AV43-FT_Y5)/12)+FT_AnnivDays+INT(MOD(AV43-FT_Y5,12)/FT_Int2))),IF(AQ43="PT",IF(AV43&lt;PT_First,0,1+INT((AV43-PT_First)/PT_Int)),0))-IF(AQ43="FT",IF(AU43&lt;FT_First,0,IF(AU43&lt;FT_Y5,1+INT((AU43-FT_First)/FT_Int1),FT_PreY5+FT_PerYear*INT((AU43-FT_Y5)/12)+FT_AnnivDays+INT(MOD(AU43-FT_Y5,12)/FT_Int2))),IF(AQ43="PT",IF(AU43&lt;PT_First,0,1+INT((AU43-PT_First)/PT_Int)),0)),0)+IF(AND(AI43&gt;=3,AL43&lt;=AsOfDate),IF(AR43="FT",IF(AT43&lt;FT_First,0,IF(AT43&lt;FT_Y5,1+INT((AT43-FT_First)/FT_Int1),FT_PreY5+FT_PerYear*INT((AT43-FT_Y5)/12)+FT_AnnivDays+INT(MOD(AT43-FT_Y5,12)/FT_Int2))),IF(AR43="PT",IF(AT43&lt;PT_First,0,1+INT((AT43-PT_First)/PT_Int)),0))-IF(AR43="FT",IF(AV43&lt;FT_First,0,IF(AV43&lt;FT_Y5,1+INT((AV43-FT_First)/FT_Int1),FT_PreY5+FT_PerYear*INT((AV43-FT_Y5)/12)+FT_AnnivDays+INT(MOD(AV43-FT_Y5,12)/FT_Int2))),IF(AR43="PT",IF(AV43&lt;PT_First,0,1+INT((AV43-PT_First)/PT_Int)),0)),0))</f>
        <v/>
      </c>
      <c r="BA43" s="14" t="str">
        <f aca="false">IF(AG43=0,"",IF(AP43="FT",IF(AX43&lt;FT_First,0,IF(AX43&lt;FT_Y5,1+INT((AX43-FT_First)/FT_Int1),FT_PreY5+FT_PerYear*INT((AX43-FT_Y5)/12)+FT_AnnivDays+INT(MOD(AX43-FT_Y5,12)/FT_Int2))),IF(AP43="PT",IF(AX43&lt;PT_First,0,1+INT((AX43-PT_First)/PT_Int)),0))+IF(AND(AI43&gt;=2,AK43&lt;=PFYDate),IF(AQ43="FT",IF(AY43&lt;FT_First,0,IF(AY43&lt;FT_Y5,1+INT((AY43-FT_First)/FT_Int1),FT_PreY5+FT_PerYear*INT((AY43-FT_Y5)/12)+FT_AnnivDays+INT(MOD(AY43-FT_Y5,12)/FT_Int2))),IF(AQ43="PT",IF(AY43&lt;PT_First,0,1+INT((AY43-PT_First)/PT_Int)),0))-IF(AQ43="FT",IF(AX43&lt;FT_First,0,IF(AX43&lt;FT_Y5,1+INT((AX43-FT_First)/FT_Int1),FT_PreY5+FT_PerYear*INT((AX43-FT_Y5)/12)+FT_AnnivDays+INT(MOD(AX43-FT_Y5,12)/FT_Int2))),IF(AQ43="PT",IF(AX43&lt;PT_First,0,1+INT((AX43-PT_First)/PT_Int)),0)),0)+IF(AND(AI43&gt;=3,AL43&lt;=PFYDate),IF(AR43="FT",IF(AW43&lt;FT_First,0,IF(AW43&lt;FT_Y5,1+INT((AW43-FT_First)/FT_Int1),FT_PreY5+FT_PerYear*INT((AW43-FT_Y5)/12)+FT_AnnivDays+INT(MOD(AW43-FT_Y5,12)/FT_Int2))),IF(AR43="PT",IF(AW43&lt;PT_First,0,1+INT((AW43-PT_First)/PT_Int)),0))-IF(AR43="FT",IF(AY43&lt;FT_First,0,IF(AY43&lt;FT_Y5,1+INT((AY43-FT_First)/FT_Int1),FT_PreY5+FT_PerYear*INT((AY43-FT_Y5)/12)+FT_AnnivDays+INT(MOD(AY43-FT_Y5,12)/FT_Int2))),IF(AR43="PT",IF(AY43&lt;PT_First,0,1+INT((AY43-PT_First)/PT_Int)),0)),0))</f>
        <v/>
      </c>
      <c r="BB43" s="14" t="str">
        <f aca="false">IF(AG43=0,"",IF(AS43="FT",IF(AT43&lt;FT_First,FT_First,IF(AT43&lt;FT_Y5,MIN(FT_Y5,FT_First+FT_Int1*(INT((AT43-FT_First)/FT_Int1)+1)),FT_Y5+12*INT((AT43-FT_Y5)/12)+FT_Int2*(INT(MOD(AT43-FT_Y5,12)/FT_Int2)+1))),IF(AS43="PT",IF(AT43&lt;PT_First,PT_First,PT_First+PT_Int*(INT((AT43-PT_First)/PT_Int)+1)),"")))</f>
        <v/>
      </c>
      <c r="BC43" s="14" t="str">
        <f aca="false">IF(AG43=0,"",IF(NOT(LH_Ready),0,COUNTIFS(INDEX(LH_Data,0,LH_ColFirst),$A43,INDEX(LH_Data,0,LH_ColSur),$B43,INDEX(LH_Data,0,LH_ColCat),BonusCat)))</f>
        <v/>
      </c>
      <c r="BD43" s="14" t="str">
        <f aca="false">IF(AG43=0,"",IF(OR(NOT(LH_Ready),BC43=0),0,SUMPRODUCT(MAX((INDEX(LH_Data,0,LH_ColFirst)=$A43)*(INDEX(LH_Data,0,LH_ColSur)=$B43)*(INDEX(LH_Data,0,LH_ColCat)=BonusCat)*ROW(LH_Data)))))</f>
        <v/>
      </c>
      <c r="BE43" s="14" t="str">
        <f aca="false">IF(AG43=0,"",IF(EOMONTH(AsOfDate,-1)&lt;AH43,-1,12*(YEAR(EOMONTH(AsOfDate,-1))-YEAR(AH43))+MONTH(EOMONTH(AsOfDate,-1))-MONTH(AH43)-IF(DAY(EOMONTH(AsOfDate,-1))&lt;MIN(DAY(AH43),DAY(EOMONTH(EOMONTH(AsOfDate,-1),0))),1,0)))</f>
        <v/>
      </c>
      <c r="BF43" s="14" t="str">
        <f aca="false">IF(AG43=0,"",IF(OR(AI43&lt;2,AK43&gt;EOMONTH(AsOfDate,-1)),BE43,IF((AK43-1)&lt;AH43,-1,12*(YEAR((AK43-1))-YEAR(AH43))+MONTH((AK43-1))-MONTH(AH43)-IF(DAY((AK43-1))&lt;MIN(DAY(AH43),DAY(EOMONTH((AK43-1),0))),1,0))))</f>
        <v/>
      </c>
      <c r="BG43" s="14" t="str">
        <f aca="false">IF(AG43=0,"",IF(OR(AI43&lt;3,AL43&gt;EOMONTH(AsOfDate,-1)),BE43,IF((AL43-1)&lt;AH43,-1,12*(YEAR((AL43-1))-YEAR(AH43))+MONTH((AL43-1))-MONTH(AH43)-IF(DAY((AL43-1))&lt;MIN(DAY(AH43),DAY(EOMONTH((AL43-1),0))),1,0))))</f>
        <v/>
      </c>
      <c r="BH43" s="14" t="str">
        <f aca="false">IF(AG43=0,"",IF(AP43="FT",IF(BF43&lt;FT_First,0,IF(BF43&lt;FT_Y5,1+INT((BF43-FT_First)/FT_Int1),FT_PreY5+FT_PerYear*INT((BF43-FT_Y5)/12)+FT_AnnivDays+INT(MOD(BF43-FT_Y5,12)/FT_Int2))),IF(AP43="PT",IF(BF43&lt;PT_First,0,1+INT((BF43-PT_First)/PT_Int)),0))+IF(AND(AI43&gt;=2,AK43&lt;=EOMONTH(AsOfDate,-1)),IF(AQ43="FT",IF(BG43&lt;FT_First,0,IF(BG43&lt;FT_Y5,1+INT((BG43-FT_First)/FT_Int1),FT_PreY5+FT_PerYear*INT((BG43-FT_Y5)/12)+FT_AnnivDays+INT(MOD(BG43-FT_Y5,12)/FT_Int2))),IF(AQ43="PT",IF(BG43&lt;PT_First,0,1+INT((BG43-PT_First)/PT_Int)),0))-IF(AQ43="FT",IF(BF43&lt;FT_First,0,IF(BF43&lt;FT_Y5,1+INT((BF43-FT_First)/FT_Int1),FT_PreY5+FT_PerYear*INT((BF43-FT_Y5)/12)+FT_AnnivDays+INT(MOD(BF43-FT_Y5,12)/FT_Int2))),IF(AQ43="PT",IF(BF43&lt;PT_First,0,1+INT((BF43-PT_First)/PT_Int)),0)),0)+IF(AND(AI43&gt;=3,AL43&lt;=EOMONTH(AsOfDate,-1)),IF(AR43="FT",IF(BE43&lt;FT_First,0,IF(BE43&lt;FT_Y5,1+INT((BE43-FT_First)/FT_Int1),FT_PreY5+FT_PerYear*INT((BE43-FT_Y5)/12)+FT_AnnivDays+INT(MOD(BE43-FT_Y5,12)/FT_Int2))),IF(AR43="PT",IF(BE43&lt;PT_First,0,1+INT((BE43-PT_First)/PT_Int)),0))-IF(AR43="FT",IF(BG43&lt;FT_First,0,IF(BG43&lt;FT_Y5,1+INT((BG43-FT_First)/FT_Int1),FT_PreY5+FT_PerYear*INT((BG43-FT_Y5)/12)+FT_AnnivDays+INT(MOD(BG43-FT_Y5,12)/FT_Int2))),IF(AR43="PT",IF(BG43&lt;PT_First,0,1+INT((BG43-PT_First)/PT_Int)),0)),0))</f>
        <v/>
      </c>
      <c r="BI43" s="14" t="str">
        <f aca="false">IF(AG43=0,"",IF(AS43="FT",IF(AT43&lt;FT_First,"",IF(AT43&lt;FT_Y5,FT_First+FT_Int1*INT((AT43-FT_First)/FT_Int1),FT_Y5+FT_Int2*INT((AT43-FT_Y5)/FT_Int2))),IF(AS43="PT",IF(AT43&lt;PT_First,"",PT_First+PT_Int*INT((AT43-PT_First)/PT_Int)),"")))</f>
        <v/>
      </c>
      <c r="BJ43" s="0" t="str">
        <f aca="false">IF(LEN($A43&amp;$B43)=0,"",$A43&amp;" "&amp;$B43)</f>
        <v/>
      </c>
    </row>
    <row r="44" customFormat="false" ht="15" hidden="false" customHeight="false" outlineLevel="0" collapsed="false">
      <c r="A44" s="10"/>
      <c r="B44" s="10"/>
      <c r="C44" s="10"/>
      <c r="D44" s="11"/>
      <c r="E44" s="12" t="str">
        <f aca="false">IF(OR(AG44=0,$D44=""),"",DATE(YEAR(AsOfDate)+IF(DATE(YEAR(AsOfDate),MONTH($D44),DAY($D44))&lt;=AsOfDate,1,0),MONTH($D44),DAY($D44)))</f>
        <v/>
      </c>
      <c r="F44" s="11"/>
      <c r="G44" s="11"/>
      <c r="H44" s="11"/>
      <c r="I44" s="11"/>
      <c r="J44" s="11"/>
      <c r="K44" s="12" t="str">
        <f aca="false">IF(AG44=0,"",DATE(YEAR(AsOfDate)+IF(DATE(YEAR(AsOfDate),MONTH(AH44),DAY(AH44))&lt;=AsOfDate,1,0),MONTH(AH44),DAY(AH44)))</f>
        <v/>
      </c>
      <c r="L44" s="13" t="str">
        <f aca="false">IF(AG44=0,"",ROUND((AsOfDate-AH44)/365.25,1))</f>
        <v/>
      </c>
      <c r="M44" s="14" t="str">
        <f aca="false">IF(AG44=0,"",IF(AsOfDate&lt;AH44,"-",DATEDIF(AH44,AsOfDate,"y")&amp;"y "&amp;DATEDIF(AH44,AsOfDate,"ym")&amp;"m "&amp;DATEDIF(AH44,AsOfDate,"md")&amp;"d"))</f>
        <v/>
      </c>
      <c r="N44" s="15" t="str">
        <f aca="false">IF(AG44=0,"",O44*HoursPerDay)</f>
        <v/>
      </c>
      <c r="O44" s="15" t="str">
        <f aca="false">IF(AG44=0,"",AZ44)</f>
        <v/>
      </c>
      <c r="P44" s="16"/>
      <c r="Q44" s="14" t="str">
        <f aca="false">IF(AG44=0,"",IF(AI44&lt;2,"",AM44&amp;" to "&amp;AN44&amp;" on "&amp;TEXT(AK44,"dd/mm/yyyy")&amp;IF(AK44&gt;AsOfDate," (future)",IF(AP44=AQ44,"",IF(AQ44="None"," - STOPPED accruing",IF(AP44="None"," - commencement for Bonus Leave"," - pathway changed"))))&amp;IF(AI44&lt;3,"","; "&amp;AN44&amp;" to "&amp;AO44&amp;" on "&amp;TEXT(AL44,"dd/mm/yyyy")&amp;IF(AL44&gt;AsOfDate," (future)",IF(AQ44=AR44,"",IF(AR44="None"," - STOPPED accruing",IF(AQ44="None"," - commencement for Bonus Leave"," - pathway changed")))))))</f>
        <v/>
      </c>
      <c r="R44" s="14" t="str">
        <f aca="false">IF(AG44=0,"",IF(AS44="None",IF(O44&gt;0,"No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2" t="str">
        <f aca="false">IF(AG44=0,"",IF(AS44="None","",EDATE(AH44,BB44)))</f>
        <v/>
      </c>
      <c r="T44" s="15" t="str">
        <f aca="false">IF(AG44=0,"",IF(NOT(LH_Ready),"",IF(AH44&gt;PFYDate,0,IF(LH_ColPeriod=0,W44-U44+V44,SUMIFS(INDEX(LH_Data,0,LH_ColAcc),INDEX(LH_Data,0,LH_ColFirst),$A44,INDEX(LH_Data,0,LH_ColSur),$B44,INDEX(LH_Data,0,LH_ColCat),BonusCat,INDEX(LH_Data,0,LH_ColPeriod),LH_OpenLabel)*UnitFactor))))</f>
        <v/>
      </c>
      <c r="U44" s="15" t="str">
        <f aca="false">IF(AG44=0,"",IF(NOT(LH_Ready),"",SUMIFS(INDEX(LH_Data,0,LH_ColAcc),INDEX(LH_Data,0,LH_ColFirst),$A44,INDEX(LH_Data,0,LH_ColSur),$B44,INDEX(LH_Data,0,LH_ColCat),BonusCat,INDEX(LH_Data,0,LH_ColStart),"&gt;="&amp;AH44)*UnitFactor))</f>
        <v/>
      </c>
      <c r="V44" s="15" t="str">
        <f aca="false">IF(AG44=0,"",IF(NOT(LH_Ready),"",SUMIFS(INDEX(LH_Data,0,LH_ColTaken),INDEX(LH_Data,0,LH_ColFirst),$A44,INDEX(LH_Data,0,LH_ColSur),$B44,INDEX(LH_Data,0,LH_ColCat),BonusCat,INDEX(LH_Data,0,LH_ColStart),"&gt;="&amp;AH44)*UnitFactor))</f>
        <v/>
      </c>
      <c r="W44" s="15" t="str">
        <f aca="false">IF(AG44=0,"",IF(NOT(LH_Ready),"",IF(BD44=0,0,INDEX(INDEX(LH_Data,0,LH_ColClose),BD44-1)*UnitFactor)))</f>
        <v/>
      </c>
      <c r="X44" s="15" t="str">
        <f aca="false">IF(AG44=0,"",(AZ44-BA44)*HoursPerDay)</f>
        <v/>
      </c>
      <c r="Y44" s="15" t="str">
        <f aca="false">IF(AG44=0,"",IF(NOT(LH_Ready),"",IF(BC44=0,N44,IF(PFYDate&lt;$F44,N44-N(T44)-N(U44),X44-N(U44)))))</f>
        <v/>
      </c>
      <c r="Z44" s="14" t="str">
        <f aca="false">IF(OR(AG44=0,Y44=""),"",IF(Y44&gt;0,"Yes","No"))</f>
        <v/>
      </c>
      <c r="AA44" s="14" t="str">
        <f aca="false">IF(AG44=0,IF(LEN($A44&amp;$B44)=0,"","FIX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month")&amp;IF(BC44=0,";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EH)",""),IF(AS44="None",R44,"Not yet - first day on "&amp;TEXT(S44,"dd/mm/yyyy")))))))))</f>
        <v/>
      </c>
      <c r="AB44" s="15" t="str">
        <f aca="false">IF(OR(AG44=0,T44=""),"",BA44*HoursPerDay-T44)</f>
        <v/>
      </c>
      <c r="AC44" s="14" t="str">
        <f aca="false">IF(AG44=0,"",BC44)</f>
        <v/>
      </c>
      <c r="AD44" s="14" t="str">
        <f aca="false">IF(AG44=0,"",TRIM(IF(OR(ISTEXT($F44),ISTEXT($H44),ISTEXT($I44),ISTEXT($G44),ISTEXT($J44),ISTEXT($D44)),"A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I44&gt;=1,IF(AI44&gt;=3,AO44,IF(AI44=2,AN44,AM44))&lt;&gt;IF($C44="","",IF(OR(ISNUMBER(SEARCH("full",$C44)),UPPER(TRIM($C44))="FT",UPPER(TRIM($C44))="FTE"),"Full-Time",IF(OR(ISNUMBER(SEARCH("part",$C44)),UPPER(TRIM($C44))="PT",UPPER(TRIM($C44))="PTE"),"Part-Time",IF(OR(ISNUMBER(SEARCH("cas",$C44)),UPPER(TRIM($C44))="CAS"),"Casual","Unknown"))))),"EmploymentType does not match latest start date ("&amp;IF(AI44&gt;=3,AO44,IF(AI44=2,AN44,AM44))&amp;"). ","")&amp;IF(AND(AI44&gt;=1,AJ44&lt;&gt;$F44),"Earliest type date should equal StartDate. ","")&amp;IF(AND(AI44&gt;=2,AJ44=AK44),"Two types start on the same date. ","")&amp;IF(AND(OR(ISNUMBER(SEARCH("part",$C44)),UPPER(TRIM($C44))="PT",UPPER(TRIM($C44))="PTE"),$P44=""),"Part-time: enter PT Hrs/Week (blank = 24+). ","")))</f>
        <v/>
      </c>
      <c r="AE44" s="15" t="str">
        <f aca="false">IF(AG44=0,"",O44-BH44)</f>
        <v/>
      </c>
      <c r="AF44" s="12" t="str">
        <f aca="false">IF(OR(AG44=0,AE44="",N(AE44)=0,BI44=""),"",EDATE(AH44,BI44))</f>
        <v/>
      </c>
      <c r="AG44" s="14" t="n">
        <f aca="false">IF(OR(LEN($A44&amp;$B44)=0,$F44=""),0,1)</f>
        <v>0</v>
      </c>
      <c r="AH44" s="12" t="str">
        <f aca="false">IF(AG44=0,"",IF($J44&lt;&gt;"",$J44,IF(OR(CasualCounts="Yes",COUNT($G44:$I44)=0,COUNT($H44:$I44)=0),$F44,MIN($H44:$I44))))</f>
        <v/>
      </c>
      <c r="AI44" s="14" t="str">
        <f aca="false">IF(AG44=0,"",COUNT($G44:$I44))</f>
        <v/>
      </c>
      <c r="AJ44" s="12" t="str">
        <f aca="false">IF(AG44=0,"",IFERROR(SMALL($G44:$I44,1),""))</f>
        <v/>
      </c>
      <c r="AK44" s="12" t="str">
        <f aca="false">IF(AG44=0,"",IFERROR(SMALL($G44:$I44,2),""))</f>
        <v/>
      </c>
      <c r="AL44" s="12" t="str">
        <f aca="false">IF(AG44=0,"",IFERROR(SMALL($G44:$I44,3),""))</f>
        <v/>
      </c>
      <c r="AM44" s="14" t="str">
        <f aca="false">IF(AG44=0,"",IF(AJ44="","",IF(AJ44=$H44,"Part-Time",IF(AJ44=$I44,"Full-Time","Casual"))))</f>
        <v/>
      </c>
      <c r="AN44" s="14" t="str">
        <f aca="false">IF(AG44=0,"",IF(AK44="","",IF(AK44=$H44,"Part-Time",IF(AK44=$I44,"Full-Time","Casual"))))</f>
        <v/>
      </c>
      <c r="AO44" s="14" t="str">
        <f aca="false">IF(AG44=0,"",IF(AL44="","",IF(AL44=$H44,"Part-Time",IF(AL44=$I44,"Full-Time","Casual"))))</f>
        <v/>
      </c>
      <c r="AP44" s="14" t="str">
        <f aca="false">IF(AG44=0,"",IF(AI44=0,IF(OR(ISNUMBER(SEARCH("full",$C44)),UPPER(TRIM($C44))="FT",UPPER(TRIM($C44))="FTE"),"FT",IF(AND(OR(ISNUMBER(SEARCH("part",$C44)),UPPER(TRIM($C44))="PT",UPPER(TRIM($C44))="PTE"),OR($P44="",N($P44)&gt;=PT_MinHours)),"PT","None")),IF(OR(ISNUMBER(SEARCH("full",AM44)),UPPER(TRIM(AM44))="FT",UPPER(TRIM(AM44))="FTE"),"FT",IF(AND(OR(ISNUMBER(SEARCH("part",AM44)),UPPER(TRIM(AM44))="PT",UPPER(TRIM(AM44))="PTE"),OR($P44="",N($P44)&gt;=PT_MinHours)),"PT","None"))))</f>
        <v/>
      </c>
      <c r="AQ44" s="14" t="str">
        <f aca="false">IF(AG44=0,"",IF(AI44&lt;2,"",IF(OR(ISNUMBER(SEARCH("full",AN44)),UPPER(TRIM(AN44))="FT",UPPER(TRIM(AN44))="FTE"),"FT",IF(AND(OR(ISNUMBER(SEARCH("part",AN44)),UPPER(TRIM(AN44))="PT",UPPER(TRIM(AN44))="PTE"),OR($P44="",N($P44)&gt;=PT_MinHours)),"PT","None"))))</f>
        <v/>
      </c>
      <c r="AR44" s="14" t="str">
        <f aca="false">IF(AG44=0,"",IF(AI44&lt;3,"",IF(OR(ISNUMBER(SEARCH("full",AO44)),UPPER(TRIM(AO44))="FT",UPPER(TRIM(AO44))="FTE"),"FT",IF(AND(OR(ISNUMBER(SEARCH("part",AO44)),UPPER(TRIM(AO44))="PT",UPPER(TRIM(AO44))="PTE"),OR($P44="",N($P44)&gt;=PT_MinHours)),"PT","None"))))</f>
        <v/>
      </c>
      <c r="AS44" s="14" t="str">
        <f aca="false">IF(AG44=0,"",IF(AND(AI44&gt;=3,AL44&lt;=AsOfDate),AR44,IF(AND(AI44&gt;=2,AK44&lt;=AsOfDate),AQ44,AP44)))</f>
        <v/>
      </c>
      <c r="AT44" s="14" t="str">
        <f aca="false">IF(AG44=0,"",IF(AsOfDate&lt;AH44,-1,12*(YEAR(AsOfDate)-YEAR(AH44))+MONTH(AsOfDate)-MONTH(AH44)-IF(DAY(AsOfDate)&lt;MIN(DAY(AH44),DAY(EOMONTH(AsOfDate,0))),1,0)))</f>
        <v/>
      </c>
      <c r="AU44" s="14" t="str">
        <f aca="false">IF(AG44=0,"",IF(OR(AI44&lt;2,AK44&gt;AsOfDate),AT44,IF((AK44-1)&lt;AH44,-1,12*(YEAR((AK44-1))-YEAR(AH44))+MONTH((AK44-1))-MONTH(AH44)-IF(DAY((AK44-1))&lt;MIN(DAY(AH44),DAY(EOMONTH((AK44-1),0))),1,0))))</f>
        <v/>
      </c>
      <c r="AV44" s="14" t="str">
        <f aca="false">IF(AG44=0,"",IF(OR(AI44&lt;3,AL44&gt;AsOfDate),AT44,IF((AL44-1)&lt;AH44,-1,12*(YEAR((AL44-1))-YEAR(AH44))+MONTH((AL44-1))-MONTH(AH44)-IF(DAY((AL44-1))&lt;MIN(DAY(AH44),DAY(EOMONTH((AL44-1),0))),1,0))))</f>
        <v/>
      </c>
      <c r="AW44" s="14" t="str">
        <f aca="false">IF(AG44=0,"",IF(PFYDate&lt;AH44,-1,12*(YEAR(PFYDate)-YEAR(AH44))+MONTH(PFYDate)-MONTH(AH44)-IF(DAY(PFYDate)&lt;MIN(DAY(AH44),DAY(EOMONTH(PFYDate,0))),1,0)))</f>
        <v/>
      </c>
      <c r="AX44" s="14" t="str">
        <f aca="false">IF(AG44=0,"",IF(OR(AI44&lt;2,AK44&gt;PFYDate),AW44,IF((AK44-1)&lt;AH44,-1,12*(YEAR((AK44-1))-YEAR(AH44))+MONTH((AK44-1))-MONTH(AH44)-IF(DAY((AK44-1))&lt;MIN(DAY(AH44),DAY(EOMONTH((AK44-1),0))),1,0))))</f>
        <v/>
      </c>
      <c r="AY44" s="14" t="str">
        <f aca="false">IF(AG44=0,"",IF(OR(AI44&lt;3,AL44&gt;PFYDate),AW44,IF((AL44-1)&lt;AH44,-1,12*(YEAR((AL44-1))-YEAR(AH44))+MONTH((AL44-1))-MONTH(AH44)-IF(DAY((AL44-1))&lt;MIN(DAY(AH44),DAY(EOMONTH((AL44-1),0))),1,0))))</f>
        <v/>
      </c>
      <c r="AZ44" s="14" t="str">
        <f aca="false">IF(AG44=0,"",IF(AP44="FT",IF(AU44&lt;FT_First,0,IF(AU44&lt;FT_Y5,1+INT((AU44-FT_First)/FT_Int1),FT_PreY5+FT_PerYear*INT((AU44-FT_Y5)/12)+FT_AnnivDays+INT(MOD(AU44-FT_Y5,12)/FT_Int2))),IF(AP44="PT",IF(AU44&lt;PT_First,0,1+INT((AU44-PT_First)/PT_Int)),0))+IF(AND(AI44&gt;=2,AK44&lt;=AsOfDate),IF(AQ44="FT",IF(AV44&lt;FT_First,0,IF(AV44&lt;FT_Y5,1+INT((AV44-FT_First)/FT_Int1),FT_PreY5+FT_PerYear*INT((AV44-FT_Y5)/12)+FT_AnnivDays+INT(MOD(AV44-FT_Y5,12)/FT_Int2))),IF(AQ44="PT",IF(AV44&lt;PT_First,0,1+INT((AV44-PT_First)/PT_Int)),0))-IF(AQ44="FT",IF(AU44&lt;FT_First,0,IF(AU44&lt;FT_Y5,1+INT((AU44-FT_First)/FT_Int1),FT_PreY5+FT_PerYear*INT((AU44-FT_Y5)/12)+FT_AnnivDays+INT(MOD(AU44-FT_Y5,12)/FT_Int2))),IF(AQ44="PT",IF(AU44&lt;PT_First,0,1+INT((AU44-PT_First)/PT_Int)),0)),0)+IF(AND(AI44&gt;=3,AL44&lt;=AsOfDate),IF(AR44="FT",IF(AT44&lt;FT_First,0,IF(AT44&lt;FT_Y5,1+INT((AT44-FT_First)/FT_Int1),FT_PreY5+FT_PerYear*INT((AT44-FT_Y5)/12)+FT_AnnivDays+INT(MOD(AT44-FT_Y5,12)/FT_Int2))),IF(AR44="PT",IF(AT44&lt;PT_First,0,1+INT((AT44-PT_First)/PT_Int)),0))-IF(AR44="FT",IF(AV44&lt;FT_First,0,IF(AV44&lt;FT_Y5,1+INT((AV44-FT_First)/FT_Int1),FT_PreY5+FT_PerYear*INT((AV44-FT_Y5)/12)+FT_AnnivDays+INT(MOD(AV44-FT_Y5,12)/FT_Int2))),IF(AR44="PT",IF(AV44&lt;PT_First,0,1+INT((AV44-PT_First)/PT_Int)),0)),0))</f>
        <v/>
      </c>
      <c r="BA44" s="14" t="str">
        <f aca="false">IF(AG44=0,"",IF(AP44="FT",IF(AX44&lt;FT_First,0,IF(AX44&lt;FT_Y5,1+INT((AX44-FT_First)/FT_Int1),FT_PreY5+FT_PerYear*INT((AX44-FT_Y5)/12)+FT_AnnivDays+INT(MOD(AX44-FT_Y5,12)/FT_Int2))),IF(AP44="PT",IF(AX44&lt;PT_First,0,1+INT((AX44-PT_First)/PT_Int)),0))+IF(AND(AI44&gt;=2,AK44&lt;=PFYDate),IF(AQ44="FT",IF(AY44&lt;FT_First,0,IF(AY44&lt;FT_Y5,1+INT((AY44-FT_First)/FT_Int1),FT_PreY5+FT_PerYear*INT((AY44-FT_Y5)/12)+FT_AnnivDays+INT(MOD(AY44-FT_Y5,12)/FT_Int2))),IF(AQ44="PT",IF(AY44&lt;PT_First,0,1+INT((AY44-PT_First)/PT_Int)),0))-IF(AQ44="FT",IF(AX44&lt;FT_First,0,IF(AX44&lt;FT_Y5,1+INT((AX44-FT_First)/FT_Int1),FT_PreY5+FT_PerYear*INT((AX44-FT_Y5)/12)+FT_AnnivDays+INT(MOD(AX44-FT_Y5,12)/FT_Int2))),IF(AQ44="PT",IF(AX44&lt;PT_First,0,1+INT((AX44-PT_First)/PT_Int)),0)),0)+IF(AND(AI44&gt;=3,AL44&lt;=PFYDate),IF(AR44="FT",IF(AW44&lt;FT_First,0,IF(AW44&lt;FT_Y5,1+INT((AW44-FT_First)/FT_Int1),FT_PreY5+FT_PerYear*INT((AW44-FT_Y5)/12)+FT_AnnivDays+INT(MOD(AW44-FT_Y5,12)/FT_Int2))),IF(AR44="PT",IF(AW44&lt;PT_First,0,1+INT((AW44-PT_First)/PT_Int)),0))-IF(AR44="FT",IF(AY44&lt;FT_First,0,IF(AY44&lt;FT_Y5,1+INT((AY44-FT_First)/FT_Int1),FT_PreY5+FT_PerYear*INT((AY44-FT_Y5)/12)+FT_AnnivDays+INT(MOD(AY44-FT_Y5,12)/FT_Int2))),IF(AR44="PT",IF(AY44&lt;PT_First,0,1+INT((AY44-PT_First)/PT_Int)),0)),0))</f>
        <v/>
      </c>
      <c r="BB44" s="14" t="str">
        <f aca="false">IF(AG44=0,"",IF(AS44="FT",IF(AT44&lt;FT_First,FT_First,IF(AT44&lt;FT_Y5,MIN(FT_Y5,FT_First+FT_Int1*(INT((AT44-FT_First)/FT_Int1)+1)),FT_Y5+12*INT((AT44-FT_Y5)/12)+FT_Int2*(INT(MOD(AT44-FT_Y5,12)/FT_Int2)+1))),IF(AS44="PT",IF(AT44&lt;PT_First,PT_First,PT_First+PT_Int*(INT((AT44-PT_First)/PT_Int)+1)),"")))</f>
        <v/>
      </c>
      <c r="BC44" s="14" t="str">
        <f aca="false">IF(AG44=0,"",IF(NOT(LH_Ready),0,COUNTIFS(INDEX(LH_Data,0,LH_ColFirst),$A44,INDEX(LH_Data,0,LH_ColSur),$B44,INDEX(LH_Data,0,LH_ColCat),BonusCat)))</f>
        <v/>
      </c>
      <c r="BD44" s="14" t="str">
        <f aca="false">IF(AG44=0,"",IF(OR(NOT(LH_Ready),BC44=0),0,SUMPRODUCT(MAX((INDEX(LH_Data,0,LH_ColFirst)=$A44)*(INDEX(LH_Data,0,LH_ColSur)=$B44)*(INDEX(LH_Data,0,LH_ColCat)=BonusCat)*ROW(LH_Data)))))</f>
        <v/>
      </c>
      <c r="BE44" s="14" t="str">
        <f aca="false">IF(AG44=0,"",IF(EOMONTH(AsOfDate,-1)&lt;AH44,-1,12*(YEAR(EOMONTH(AsOfDate,-1))-YEAR(AH44))+MONTH(EOMONTH(AsOfDate,-1))-MONTH(AH44)-IF(DAY(EOMONTH(AsOfDate,-1))&lt;MIN(DAY(AH44),DAY(EOMONTH(EOMONTH(AsOfDate,-1),0))),1,0)))</f>
        <v/>
      </c>
      <c r="BF44" s="14" t="str">
        <f aca="false">IF(AG44=0,"",IF(OR(AI44&lt;2,AK44&gt;EOMONTH(AsOfDate,-1)),BE44,IF((AK44-1)&lt;AH44,-1,12*(YEAR((AK44-1))-YEAR(AH44))+MONTH((AK44-1))-MONTH(AH44)-IF(DAY((AK44-1))&lt;MIN(DAY(AH44),DAY(EOMONTH((AK44-1),0))),1,0))))</f>
        <v/>
      </c>
      <c r="BG44" s="14" t="str">
        <f aca="false">IF(AG44=0,"",IF(OR(AI44&lt;3,AL44&gt;EOMONTH(AsOfDate,-1)),BE44,IF((AL44-1)&lt;AH44,-1,12*(YEAR((AL44-1))-YEAR(AH44))+MONTH((AL44-1))-MONTH(AH44)-IF(DAY((AL44-1))&lt;MIN(DAY(AH44),DAY(EOMONTH((AL44-1),0))),1,0))))</f>
        <v/>
      </c>
      <c r="BH44" s="14" t="str">
        <f aca="false">IF(AG44=0,"",IF(AP44="FT",IF(BF44&lt;FT_First,0,IF(BF44&lt;FT_Y5,1+INT((BF44-FT_First)/FT_Int1),FT_PreY5+FT_PerYear*INT((BF44-FT_Y5)/12)+FT_AnnivDays+INT(MOD(BF44-FT_Y5,12)/FT_Int2))),IF(AP44="PT",IF(BF44&lt;PT_First,0,1+INT((BF44-PT_First)/PT_Int)),0))+IF(AND(AI44&gt;=2,AK44&lt;=EOMONTH(AsOfDate,-1)),IF(AQ44="FT",IF(BG44&lt;FT_First,0,IF(BG44&lt;FT_Y5,1+INT((BG44-FT_First)/FT_Int1),FT_PreY5+FT_PerYear*INT((BG44-FT_Y5)/12)+FT_AnnivDays+INT(MOD(BG44-FT_Y5,12)/FT_Int2))),IF(AQ44="PT",IF(BG44&lt;PT_First,0,1+INT((BG44-PT_First)/PT_Int)),0))-IF(AQ44="FT",IF(BF44&lt;FT_First,0,IF(BF44&lt;FT_Y5,1+INT((BF44-FT_First)/FT_Int1),FT_PreY5+FT_PerYear*INT((BF44-FT_Y5)/12)+FT_AnnivDays+INT(MOD(BF44-FT_Y5,12)/FT_Int2))),IF(AQ44="PT",IF(BF44&lt;PT_First,0,1+INT((BF44-PT_First)/PT_Int)),0)),0)+IF(AND(AI44&gt;=3,AL44&lt;=EOMONTH(AsOfDate,-1)),IF(AR44="FT",IF(BE44&lt;FT_First,0,IF(BE44&lt;FT_Y5,1+INT((BE44-FT_First)/FT_Int1),FT_PreY5+FT_PerYear*INT((BE44-FT_Y5)/12)+FT_AnnivDays+INT(MOD(BE44-FT_Y5,12)/FT_Int2))),IF(AR44="PT",IF(BE44&lt;PT_First,0,1+INT((BE44-PT_First)/PT_Int)),0))-IF(AR44="FT",IF(BG44&lt;FT_First,0,IF(BG44&lt;FT_Y5,1+INT((BG44-FT_First)/FT_Int1),FT_PreY5+FT_PerYear*INT((BG44-FT_Y5)/12)+FT_AnnivDays+INT(MOD(BG44-FT_Y5,12)/FT_Int2))),IF(AR44="PT",IF(BG44&lt;PT_First,0,1+INT((BG44-PT_First)/PT_Int)),0)),0))</f>
        <v/>
      </c>
      <c r="BI44" s="14" t="str">
        <f aca="false">IF(AG44=0,"",IF(AS44="FT",IF(AT44&lt;FT_First,"",IF(AT44&lt;FT_Y5,FT_First+FT_Int1*INT((AT44-FT_First)/FT_Int1),FT_Y5+FT_Int2*INT((AT44-FT_Y5)/FT_Int2))),IF(AS44="PT",IF(AT44&lt;PT_First,"",PT_First+PT_Int*INT((AT44-PT_First)/PT_Int)),"")))</f>
        <v/>
      </c>
      <c r="BJ44" s="0" t="str">
        <f aca="false">IF(LEN($A44&amp;$B44)=0,"",$A44&amp;" "&amp;$B44)</f>
        <v/>
      </c>
    </row>
    <row r="45" customFormat="false" ht="15" hidden="false" customHeight="false" outlineLevel="0" collapsed="false">
      <c r="A45" s="10"/>
      <c r="B45" s="10"/>
      <c r="C45" s="10"/>
      <c r="D45" s="11"/>
      <c r="E45" s="12" t="str">
        <f aca="false">IF(OR(AG45=0,$D45=""),"",DATE(YEAR(AsOfDate)+IF(DATE(YEAR(AsOfDate),MONTH($D45),DAY($D45))&lt;=AsOfDate,1,0),MONTH($D45),DAY($D45)))</f>
        <v/>
      </c>
      <c r="F45" s="11"/>
      <c r="G45" s="11"/>
      <c r="H45" s="11"/>
      <c r="I45" s="11"/>
      <c r="J45" s="11"/>
      <c r="K45" s="12" t="str">
        <f aca="false">IF(AG45=0,"",DATE(YEAR(AsOfDate)+IF(DATE(YEAR(AsOfDate),MONTH(AH45),DAY(AH45))&lt;=AsOfDate,1,0),MONTH(AH45),DAY(AH45)))</f>
        <v/>
      </c>
      <c r="L45" s="13" t="str">
        <f aca="false">IF(AG45=0,"",ROUND((AsOfDate-AH45)/365.25,1))</f>
        <v/>
      </c>
      <c r="M45" s="14" t="str">
        <f aca="false">IF(AG45=0,"",IF(AsOfDate&lt;AH45,"-",DATEDIF(AH45,AsOfDate,"y")&amp;"y "&amp;DATEDIF(AH45,AsOfDate,"ym")&amp;"m "&amp;DATEDIF(AH45,AsOfDate,"md")&amp;"d"))</f>
        <v/>
      </c>
      <c r="N45" s="15" t="str">
        <f aca="false">IF(AG45=0,"",O45*HoursPerDay)</f>
        <v/>
      </c>
      <c r="O45" s="15" t="str">
        <f aca="false">IF(AG45=0,"",AZ45)</f>
        <v/>
      </c>
      <c r="P45" s="16"/>
      <c r="Q45" s="14" t="str">
        <f aca="false">IF(AG45=0,"",IF(AI45&lt;2,"",AM45&amp;" to "&amp;AN45&amp;" on "&amp;TEXT(AK45,"dd/mm/yyyy")&amp;IF(AK45&gt;AsOfDate," (future)",IF(AP45=AQ45,"",IF(AQ45="None"," - STOPPED accruing",IF(AP45="None"," - commencement for Bonus Leave"," - pathway changed"))))&amp;IF(AI45&lt;3,"","; "&amp;AN45&amp;" to "&amp;AO45&amp;" on "&amp;TEXT(AL45,"dd/mm/yyyy")&amp;IF(AL45&gt;AsOfDate," (future)",IF(AQ45=AR45,"",IF(AR45="None"," - STOPPED accruing",IF(AQ45="None"," - commencement for Bonus Leave"," - pathway changed")))))))</f>
        <v/>
      </c>
      <c r="R45" s="14" t="str">
        <f aca="false">IF(AG45=0,"",IF(AS45="None",IF(O45&gt;0,"No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2" t="str">
        <f aca="false">IF(AG45=0,"",IF(AS45="None","",EDATE(AH45,BB45)))</f>
        <v/>
      </c>
      <c r="T45" s="15" t="str">
        <f aca="false">IF(AG45=0,"",IF(NOT(LH_Ready),"",IF(AH45&gt;PFYDate,0,IF(LH_ColPeriod=0,W45-U45+V45,SUMIFS(INDEX(LH_Data,0,LH_ColAcc),INDEX(LH_Data,0,LH_ColFirst),$A45,INDEX(LH_Data,0,LH_ColSur),$B45,INDEX(LH_Data,0,LH_ColCat),BonusCat,INDEX(LH_Data,0,LH_ColPeriod),LH_OpenLabel)*UnitFactor))))</f>
        <v/>
      </c>
      <c r="U45" s="15" t="str">
        <f aca="false">IF(AG45=0,"",IF(NOT(LH_Ready),"",SUMIFS(INDEX(LH_Data,0,LH_ColAcc),INDEX(LH_Data,0,LH_ColFirst),$A45,INDEX(LH_Data,0,LH_ColSur),$B45,INDEX(LH_Data,0,LH_ColCat),BonusCat,INDEX(LH_Data,0,LH_ColStart),"&gt;="&amp;AH45)*UnitFactor))</f>
        <v/>
      </c>
      <c r="V45" s="15" t="str">
        <f aca="false">IF(AG45=0,"",IF(NOT(LH_Ready),"",SUMIFS(INDEX(LH_Data,0,LH_ColTaken),INDEX(LH_Data,0,LH_ColFirst),$A45,INDEX(LH_Data,0,LH_ColSur),$B45,INDEX(LH_Data,0,LH_ColCat),BonusCat,INDEX(LH_Data,0,LH_ColStart),"&gt;="&amp;AH45)*UnitFactor))</f>
        <v/>
      </c>
      <c r="W45" s="15" t="str">
        <f aca="false">IF(AG45=0,"",IF(NOT(LH_Ready),"",IF(BD45=0,0,INDEX(INDEX(LH_Data,0,LH_ColClose),BD45-1)*UnitFactor)))</f>
        <v/>
      </c>
      <c r="X45" s="15" t="str">
        <f aca="false">IF(AG45=0,"",(AZ45-BA45)*HoursPerDay)</f>
        <v/>
      </c>
      <c r="Y45" s="15" t="str">
        <f aca="false">IF(AG45=0,"",IF(NOT(LH_Ready),"",IF(BC45=0,N45,IF(PFYDate&lt;$F45,N45-N(T45)-N(U45),X45-N(U45)))))</f>
        <v/>
      </c>
      <c r="Z45" s="14" t="str">
        <f aca="false">IF(OR(AG45=0,Y45=""),"",IF(Y45&gt;0,"Yes","No"))</f>
        <v/>
      </c>
      <c r="AA45" s="14" t="str">
        <f aca="false">IF(AG45=0,IF(LEN($A45&amp;$B45)=0,"","FIX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month")&amp;IF(BC45=0,";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EH)",""),IF(AS45="None",R45,"Not yet - first day on "&amp;TEXT(S45,"dd/mm/yyyy")))))))))</f>
        <v/>
      </c>
      <c r="AB45" s="15" t="str">
        <f aca="false">IF(OR(AG45=0,T45=""),"",BA45*HoursPerDay-T45)</f>
        <v/>
      </c>
      <c r="AC45" s="14" t="str">
        <f aca="false">IF(AG45=0,"",BC45)</f>
        <v/>
      </c>
      <c r="AD45" s="14" t="str">
        <f aca="false">IF(AG45=0,"",TRIM(IF(OR(ISTEXT($F45),ISTEXT($H45),ISTEXT($I45),ISTEXT($G45),ISTEXT($J45),ISTEXT($D45)),"A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I45&gt;=1,IF(AI45&gt;=3,AO45,IF(AI45=2,AN45,AM45))&lt;&gt;IF($C45="","",IF(OR(ISNUMBER(SEARCH("full",$C45)),UPPER(TRIM($C45))="FT",UPPER(TRIM($C45))="FTE"),"Full-Time",IF(OR(ISNUMBER(SEARCH("part",$C45)),UPPER(TRIM($C45))="PT",UPPER(TRIM($C45))="PTE"),"Part-Time",IF(OR(ISNUMBER(SEARCH("cas",$C45)),UPPER(TRIM($C45))="CAS"),"Casual","Unknown"))))),"EmploymentType does not match latest start date ("&amp;IF(AI45&gt;=3,AO45,IF(AI45=2,AN45,AM45))&amp;"). ","")&amp;IF(AND(AI45&gt;=1,AJ45&lt;&gt;$F45),"Earliest type date should equal StartDate. ","")&amp;IF(AND(AI45&gt;=2,AJ45=AK45),"Two types start on the same date. ","")&amp;IF(AND(OR(ISNUMBER(SEARCH("part",$C45)),UPPER(TRIM($C45))="PT",UPPER(TRIM($C45))="PTE"),$P45=""),"Part-time: enter PT Hrs/Week (blank = 24+). ","")))</f>
        <v/>
      </c>
      <c r="AE45" s="15" t="str">
        <f aca="false">IF(AG45=0,"",O45-BH45)</f>
        <v/>
      </c>
      <c r="AF45" s="12" t="str">
        <f aca="false">IF(OR(AG45=0,AE45="",N(AE45)=0,BI45=""),"",EDATE(AH45,BI45))</f>
        <v/>
      </c>
      <c r="AG45" s="14" t="n">
        <f aca="false">IF(OR(LEN($A45&amp;$B45)=0,$F45=""),0,1)</f>
        <v>0</v>
      </c>
      <c r="AH45" s="12" t="str">
        <f aca="false">IF(AG45=0,"",IF($J45&lt;&gt;"",$J45,IF(OR(CasualCounts="Yes",COUNT($G45:$I45)=0,COUNT($H45:$I45)=0),$F45,MIN($H45:$I45))))</f>
        <v/>
      </c>
      <c r="AI45" s="14" t="str">
        <f aca="false">IF(AG45=0,"",COUNT($G45:$I45))</f>
        <v/>
      </c>
      <c r="AJ45" s="12" t="str">
        <f aca="false">IF(AG45=0,"",IFERROR(SMALL($G45:$I45,1),""))</f>
        <v/>
      </c>
      <c r="AK45" s="12" t="str">
        <f aca="false">IF(AG45=0,"",IFERROR(SMALL($G45:$I45,2),""))</f>
        <v/>
      </c>
      <c r="AL45" s="12" t="str">
        <f aca="false">IF(AG45=0,"",IFERROR(SMALL($G45:$I45,3),""))</f>
        <v/>
      </c>
      <c r="AM45" s="14" t="str">
        <f aca="false">IF(AG45=0,"",IF(AJ45="","",IF(AJ45=$H45,"Part-Time",IF(AJ45=$I45,"Full-Time","Casual"))))</f>
        <v/>
      </c>
      <c r="AN45" s="14" t="str">
        <f aca="false">IF(AG45=0,"",IF(AK45="","",IF(AK45=$H45,"Part-Time",IF(AK45=$I45,"Full-Time","Casual"))))</f>
        <v/>
      </c>
      <c r="AO45" s="14" t="str">
        <f aca="false">IF(AG45=0,"",IF(AL45="","",IF(AL45=$H45,"Part-Time",IF(AL45=$I45,"Full-Time","Casual"))))</f>
        <v/>
      </c>
      <c r="AP45" s="14" t="str">
        <f aca="false">IF(AG45=0,"",IF(AI45=0,IF(OR(ISNUMBER(SEARCH("full",$C45)),UPPER(TRIM($C45))="FT",UPPER(TRIM($C45))="FTE"),"FT",IF(AND(OR(ISNUMBER(SEARCH("part",$C45)),UPPER(TRIM($C45))="PT",UPPER(TRIM($C45))="PTE"),OR($P45="",N($P45)&gt;=PT_MinHours)),"PT","None")),IF(OR(ISNUMBER(SEARCH("full",AM45)),UPPER(TRIM(AM45))="FT",UPPER(TRIM(AM45))="FTE"),"FT",IF(AND(OR(ISNUMBER(SEARCH("part",AM45)),UPPER(TRIM(AM45))="PT",UPPER(TRIM(AM45))="PTE"),OR($P45="",N($P45)&gt;=PT_MinHours)),"PT","None"))))</f>
        <v/>
      </c>
      <c r="AQ45" s="14" t="str">
        <f aca="false">IF(AG45=0,"",IF(AI45&lt;2,"",IF(OR(ISNUMBER(SEARCH("full",AN45)),UPPER(TRIM(AN45))="FT",UPPER(TRIM(AN45))="FTE"),"FT",IF(AND(OR(ISNUMBER(SEARCH("part",AN45)),UPPER(TRIM(AN45))="PT",UPPER(TRIM(AN45))="PTE"),OR($P45="",N($P45)&gt;=PT_MinHours)),"PT","None"))))</f>
        <v/>
      </c>
      <c r="AR45" s="14" t="str">
        <f aca="false">IF(AG45=0,"",IF(AI45&lt;3,"",IF(OR(ISNUMBER(SEARCH("full",AO45)),UPPER(TRIM(AO45))="FT",UPPER(TRIM(AO45))="FTE"),"FT",IF(AND(OR(ISNUMBER(SEARCH("part",AO45)),UPPER(TRIM(AO45))="PT",UPPER(TRIM(AO45))="PTE"),OR($P45="",N($P45)&gt;=PT_MinHours)),"PT","None"))))</f>
        <v/>
      </c>
      <c r="AS45" s="14" t="str">
        <f aca="false">IF(AG45=0,"",IF(AND(AI45&gt;=3,AL45&lt;=AsOfDate),AR45,IF(AND(AI45&gt;=2,AK45&lt;=AsOfDate),AQ45,AP45)))</f>
        <v/>
      </c>
      <c r="AT45" s="14" t="str">
        <f aca="false">IF(AG45=0,"",IF(AsOfDate&lt;AH45,-1,12*(YEAR(AsOfDate)-YEAR(AH45))+MONTH(AsOfDate)-MONTH(AH45)-IF(DAY(AsOfDate)&lt;MIN(DAY(AH45),DAY(EOMONTH(AsOfDate,0))),1,0)))</f>
        <v/>
      </c>
      <c r="AU45" s="14" t="str">
        <f aca="false">IF(AG45=0,"",IF(OR(AI45&lt;2,AK45&gt;AsOfDate),AT45,IF((AK45-1)&lt;AH45,-1,12*(YEAR((AK45-1))-YEAR(AH45))+MONTH((AK45-1))-MONTH(AH45)-IF(DAY((AK45-1))&lt;MIN(DAY(AH45),DAY(EOMONTH((AK45-1),0))),1,0))))</f>
        <v/>
      </c>
      <c r="AV45" s="14" t="str">
        <f aca="false">IF(AG45=0,"",IF(OR(AI45&lt;3,AL45&gt;AsOfDate),AT45,IF((AL45-1)&lt;AH45,-1,12*(YEAR((AL45-1))-YEAR(AH45))+MONTH((AL45-1))-MONTH(AH45)-IF(DAY((AL45-1))&lt;MIN(DAY(AH45),DAY(EOMONTH((AL45-1),0))),1,0))))</f>
        <v/>
      </c>
      <c r="AW45" s="14" t="str">
        <f aca="false">IF(AG45=0,"",IF(PFYDate&lt;AH45,-1,12*(YEAR(PFYDate)-YEAR(AH45))+MONTH(PFYDate)-MONTH(AH45)-IF(DAY(PFYDate)&lt;MIN(DAY(AH45),DAY(EOMONTH(PFYDate,0))),1,0)))</f>
        <v/>
      </c>
      <c r="AX45" s="14" t="str">
        <f aca="false">IF(AG45=0,"",IF(OR(AI45&lt;2,AK45&gt;PFYDate),AW45,IF((AK45-1)&lt;AH45,-1,12*(YEAR((AK45-1))-YEAR(AH45))+MONTH((AK45-1))-MONTH(AH45)-IF(DAY((AK45-1))&lt;MIN(DAY(AH45),DAY(EOMONTH((AK45-1),0))),1,0))))</f>
        <v/>
      </c>
      <c r="AY45" s="14" t="str">
        <f aca="false">IF(AG45=0,"",IF(OR(AI45&lt;3,AL45&gt;PFYDate),AW45,IF((AL45-1)&lt;AH45,-1,12*(YEAR((AL45-1))-YEAR(AH45))+MONTH((AL45-1))-MONTH(AH45)-IF(DAY((AL45-1))&lt;MIN(DAY(AH45),DAY(EOMONTH((AL45-1),0))),1,0))))</f>
        <v/>
      </c>
      <c r="AZ45" s="14" t="str">
        <f aca="false">IF(AG45=0,"",IF(AP45="FT",IF(AU45&lt;FT_First,0,IF(AU45&lt;FT_Y5,1+INT((AU45-FT_First)/FT_Int1),FT_PreY5+FT_PerYear*INT((AU45-FT_Y5)/12)+FT_AnnivDays+INT(MOD(AU45-FT_Y5,12)/FT_Int2))),IF(AP45="PT",IF(AU45&lt;PT_First,0,1+INT((AU45-PT_First)/PT_Int)),0))+IF(AND(AI45&gt;=2,AK45&lt;=AsOfDate),IF(AQ45="FT",IF(AV45&lt;FT_First,0,IF(AV45&lt;FT_Y5,1+INT((AV45-FT_First)/FT_Int1),FT_PreY5+FT_PerYear*INT((AV45-FT_Y5)/12)+FT_AnnivDays+INT(MOD(AV45-FT_Y5,12)/FT_Int2))),IF(AQ45="PT",IF(AV45&lt;PT_First,0,1+INT((AV45-PT_First)/PT_Int)),0))-IF(AQ45="FT",IF(AU45&lt;FT_First,0,IF(AU45&lt;FT_Y5,1+INT((AU45-FT_First)/FT_Int1),FT_PreY5+FT_PerYear*INT((AU45-FT_Y5)/12)+FT_AnnivDays+INT(MOD(AU45-FT_Y5,12)/FT_Int2))),IF(AQ45="PT",IF(AU45&lt;PT_First,0,1+INT((AU45-PT_First)/PT_Int)),0)),0)+IF(AND(AI45&gt;=3,AL45&lt;=AsOfDate),IF(AR45="FT",IF(AT45&lt;FT_First,0,IF(AT45&lt;FT_Y5,1+INT((AT45-FT_First)/FT_Int1),FT_PreY5+FT_PerYear*INT((AT45-FT_Y5)/12)+FT_AnnivDays+INT(MOD(AT45-FT_Y5,12)/FT_Int2))),IF(AR45="PT",IF(AT45&lt;PT_First,0,1+INT((AT45-PT_First)/PT_Int)),0))-IF(AR45="FT",IF(AV45&lt;FT_First,0,IF(AV45&lt;FT_Y5,1+INT((AV45-FT_First)/FT_Int1),FT_PreY5+FT_PerYear*INT((AV45-FT_Y5)/12)+FT_AnnivDays+INT(MOD(AV45-FT_Y5,12)/FT_Int2))),IF(AR45="PT",IF(AV45&lt;PT_First,0,1+INT((AV45-PT_First)/PT_Int)),0)),0))</f>
        <v/>
      </c>
      <c r="BA45" s="14" t="str">
        <f aca="false">IF(AG45=0,"",IF(AP45="FT",IF(AX45&lt;FT_First,0,IF(AX45&lt;FT_Y5,1+INT((AX45-FT_First)/FT_Int1),FT_PreY5+FT_PerYear*INT((AX45-FT_Y5)/12)+FT_AnnivDays+INT(MOD(AX45-FT_Y5,12)/FT_Int2))),IF(AP45="PT",IF(AX45&lt;PT_First,0,1+INT((AX45-PT_First)/PT_Int)),0))+IF(AND(AI45&gt;=2,AK45&lt;=PFYDate),IF(AQ45="FT",IF(AY45&lt;FT_First,0,IF(AY45&lt;FT_Y5,1+INT((AY45-FT_First)/FT_Int1),FT_PreY5+FT_PerYear*INT((AY45-FT_Y5)/12)+FT_AnnivDays+INT(MOD(AY45-FT_Y5,12)/FT_Int2))),IF(AQ45="PT",IF(AY45&lt;PT_First,0,1+INT((AY45-PT_First)/PT_Int)),0))-IF(AQ45="FT",IF(AX45&lt;FT_First,0,IF(AX45&lt;FT_Y5,1+INT((AX45-FT_First)/FT_Int1),FT_PreY5+FT_PerYear*INT((AX45-FT_Y5)/12)+FT_AnnivDays+INT(MOD(AX45-FT_Y5,12)/FT_Int2))),IF(AQ45="PT",IF(AX45&lt;PT_First,0,1+INT((AX45-PT_First)/PT_Int)),0)),0)+IF(AND(AI45&gt;=3,AL45&lt;=PFYDate),IF(AR45="FT",IF(AW45&lt;FT_First,0,IF(AW45&lt;FT_Y5,1+INT((AW45-FT_First)/FT_Int1),FT_PreY5+FT_PerYear*INT((AW45-FT_Y5)/12)+FT_AnnivDays+INT(MOD(AW45-FT_Y5,12)/FT_Int2))),IF(AR45="PT",IF(AW45&lt;PT_First,0,1+INT((AW45-PT_First)/PT_Int)),0))-IF(AR45="FT",IF(AY45&lt;FT_First,0,IF(AY45&lt;FT_Y5,1+INT((AY45-FT_First)/FT_Int1),FT_PreY5+FT_PerYear*INT((AY45-FT_Y5)/12)+FT_AnnivDays+INT(MOD(AY45-FT_Y5,12)/FT_Int2))),IF(AR45="PT",IF(AY45&lt;PT_First,0,1+INT((AY45-PT_First)/PT_Int)),0)),0))</f>
        <v/>
      </c>
      <c r="BB45" s="14" t="str">
        <f aca="false">IF(AG45=0,"",IF(AS45="FT",IF(AT45&lt;FT_First,FT_First,IF(AT45&lt;FT_Y5,MIN(FT_Y5,FT_First+FT_Int1*(INT((AT45-FT_First)/FT_Int1)+1)),FT_Y5+12*INT((AT45-FT_Y5)/12)+FT_Int2*(INT(MOD(AT45-FT_Y5,12)/FT_Int2)+1))),IF(AS45="PT",IF(AT45&lt;PT_First,PT_First,PT_First+PT_Int*(INT((AT45-PT_First)/PT_Int)+1)),"")))</f>
        <v/>
      </c>
      <c r="BC45" s="14" t="str">
        <f aca="false">IF(AG45=0,"",IF(NOT(LH_Ready),0,COUNTIFS(INDEX(LH_Data,0,LH_ColFirst),$A45,INDEX(LH_Data,0,LH_ColSur),$B45,INDEX(LH_Data,0,LH_ColCat),BonusCat)))</f>
        <v/>
      </c>
      <c r="BD45" s="14" t="str">
        <f aca="false">IF(AG45=0,"",IF(OR(NOT(LH_Ready),BC45=0),0,SUMPRODUCT(MAX((INDEX(LH_Data,0,LH_ColFirst)=$A45)*(INDEX(LH_Data,0,LH_ColSur)=$B45)*(INDEX(LH_Data,0,LH_ColCat)=BonusCat)*ROW(LH_Data)))))</f>
        <v/>
      </c>
      <c r="BE45" s="14" t="str">
        <f aca="false">IF(AG45=0,"",IF(EOMONTH(AsOfDate,-1)&lt;AH45,-1,12*(YEAR(EOMONTH(AsOfDate,-1))-YEAR(AH45))+MONTH(EOMONTH(AsOfDate,-1))-MONTH(AH45)-IF(DAY(EOMONTH(AsOfDate,-1))&lt;MIN(DAY(AH45),DAY(EOMONTH(EOMONTH(AsOfDate,-1),0))),1,0)))</f>
        <v/>
      </c>
      <c r="BF45" s="14" t="str">
        <f aca="false">IF(AG45=0,"",IF(OR(AI45&lt;2,AK45&gt;EOMONTH(AsOfDate,-1)),BE45,IF((AK45-1)&lt;AH45,-1,12*(YEAR((AK45-1))-YEAR(AH45))+MONTH((AK45-1))-MONTH(AH45)-IF(DAY((AK45-1))&lt;MIN(DAY(AH45),DAY(EOMONTH((AK45-1),0))),1,0))))</f>
        <v/>
      </c>
      <c r="BG45" s="14" t="str">
        <f aca="false">IF(AG45=0,"",IF(OR(AI45&lt;3,AL45&gt;EOMONTH(AsOfDate,-1)),BE45,IF((AL45-1)&lt;AH45,-1,12*(YEAR((AL45-1))-YEAR(AH45))+MONTH((AL45-1))-MONTH(AH45)-IF(DAY((AL45-1))&lt;MIN(DAY(AH45),DAY(EOMONTH((AL45-1),0))),1,0))))</f>
        <v/>
      </c>
      <c r="BH45" s="14" t="str">
        <f aca="false">IF(AG45=0,"",IF(AP45="FT",IF(BF45&lt;FT_First,0,IF(BF45&lt;FT_Y5,1+INT((BF45-FT_First)/FT_Int1),FT_PreY5+FT_PerYear*INT((BF45-FT_Y5)/12)+FT_AnnivDays+INT(MOD(BF45-FT_Y5,12)/FT_Int2))),IF(AP45="PT",IF(BF45&lt;PT_First,0,1+INT((BF45-PT_First)/PT_Int)),0))+IF(AND(AI45&gt;=2,AK45&lt;=EOMONTH(AsOfDate,-1)),IF(AQ45="FT",IF(BG45&lt;FT_First,0,IF(BG45&lt;FT_Y5,1+INT((BG45-FT_First)/FT_Int1),FT_PreY5+FT_PerYear*INT((BG45-FT_Y5)/12)+FT_AnnivDays+INT(MOD(BG45-FT_Y5,12)/FT_Int2))),IF(AQ45="PT",IF(BG45&lt;PT_First,0,1+INT((BG45-PT_First)/PT_Int)),0))-IF(AQ45="FT",IF(BF45&lt;FT_First,0,IF(BF45&lt;FT_Y5,1+INT((BF45-FT_First)/FT_Int1),FT_PreY5+FT_PerYear*INT((BF45-FT_Y5)/12)+FT_AnnivDays+INT(MOD(BF45-FT_Y5,12)/FT_Int2))),IF(AQ45="PT",IF(BF45&lt;PT_First,0,1+INT((BF45-PT_First)/PT_Int)),0)),0)+IF(AND(AI45&gt;=3,AL45&lt;=EOMONTH(AsOfDate,-1)),IF(AR45="FT",IF(BE45&lt;FT_First,0,IF(BE45&lt;FT_Y5,1+INT((BE45-FT_First)/FT_Int1),FT_PreY5+FT_PerYear*INT((BE45-FT_Y5)/12)+FT_AnnivDays+INT(MOD(BE45-FT_Y5,12)/FT_Int2))),IF(AR45="PT",IF(BE45&lt;PT_First,0,1+INT((BE45-PT_First)/PT_Int)),0))-IF(AR45="FT",IF(BG45&lt;FT_First,0,IF(BG45&lt;FT_Y5,1+INT((BG45-FT_First)/FT_Int1),FT_PreY5+FT_PerYear*INT((BG45-FT_Y5)/12)+FT_AnnivDays+INT(MOD(BG45-FT_Y5,12)/FT_Int2))),IF(AR45="PT",IF(BG45&lt;PT_First,0,1+INT((BG45-PT_First)/PT_Int)),0)),0))</f>
        <v/>
      </c>
      <c r="BI45" s="14" t="str">
        <f aca="false">IF(AG45=0,"",IF(AS45="FT",IF(AT45&lt;FT_First,"",IF(AT45&lt;FT_Y5,FT_First+FT_Int1*INT((AT45-FT_First)/FT_Int1),FT_Y5+FT_Int2*INT((AT45-FT_Y5)/FT_Int2))),IF(AS45="PT",IF(AT45&lt;PT_First,"",PT_First+PT_Int*INT((AT45-PT_First)/PT_Int)),"")))</f>
        <v/>
      </c>
      <c r="BJ45" s="0" t="str">
        <f aca="false">IF(LEN($A45&amp;$B45)=0,"",$A45&amp;" "&amp;$B45)</f>
        <v/>
      </c>
    </row>
    <row r="46" customFormat="false" ht="15" hidden="false" customHeight="false" outlineLevel="0" collapsed="false">
      <c r="A46" s="10"/>
      <c r="B46" s="10"/>
      <c r="C46" s="10"/>
      <c r="D46" s="11"/>
      <c r="E46" s="12" t="str">
        <f aca="false">IF(OR(AG46=0,$D46=""),"",DATE(YEAR(AsOfDate)+IF(DATE(YEAR(AsOfDate),MONTH($D46),DAY($D46))&lt;=AsOfDate,1,0),MONTH($D46),DAY($D46)))</f>
        <v/>
      </c>
      <c r="F46" s="11"/>
      <c r="G46" s="11"/>
      <c r="H46" s="11"/>
      <c r="I46" s="11"/>
      <c r="J46" s="11"/>
      <c r="K46" s="12" t="str">
        <f aca="false">IF(AG46=0,"",DATE(YEAR(AsOfDate)+IF(DATE(YEAR(AsOfDate),MONTH(AH46),DAY(AH46))&lt;=AsOfDate,1,0),MONTH(AH46),DAY(AH46)))</f>
        <v/>
      </c>
      <c r="L46" s="13" t="str">
        <f aca="false">IF(AG46=0,"",ROUND((AsOfDate-AH46)/365.25,1))</f>
        <v/>
      </c>
      <c r="M46" s="14" t="str">
        <f aca="false">IF(AG46=0,"",IF(AsOfDate&lt;AH46,"-",DATEDIF(AH46,AsOfDate,"y")&amp;"y "&amp;DATEDIF(AH46,AsOfDate,"ym")&amp;"m "&amp;DATEDIF(AH46,AsOfDate,"md")&amp;"d"))</f>
        <v/>
      </c>
      <c r="N46" s="15" t="str">
        <f aca="false">IF(AG46=0,"",O46*HoursPerDay)</f>
        <v/>
      </c>
      <c r="O46" s="15" t="str">
        <f aca="false">IF(AG46=0,"",AZ46)</f>
        <v/>
      </c>
      <c r="P46" s="16"/>
      <c r="Q46" s="14" t="str">
        <f aca="false">IF(AG46=0,"",IF(AI46&lt;2,"",AM46&amp;" to "&amp;AN46&amp;" on "&amp;TEXT(AK46,"dd/mm/yyyy")&amp;IF(AK46&gt;AsOfDate," (future)",IF(AP46=AQ46,"",IF(AQ46="None"," - STOPPED accruing",IF(AP46="None"," - commencement for Bonus Leave"," - pathway changed"))))&amp;IF(AI46&lt;3,"","; "&amp;AN46&amp;" to "&amp;AO46&amp;" on "&amp;TEXT(AL46,"dd/mm/yyyy")&amp;IF(AL46&gt;AsOfDate," (future)",IF(AQ46=AR46,"",IF(AR46="None"," - STOPPED accruing",IF(AQ46="None"," - commencement for Bonus Leave"," - pathway changed")))))))</f>
        <v/>
      </c>
      <c r="R46" s="14" t="str">
        <f aca="false">IF(AG46=0,"",IF(AS46="None",IF(O46&gt;0,"No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2" t="str">
        <f aca="false">IF(AG46=0,"",IF(AS46="None","",EDATE(AH46,BB46)))</f>
        <v/>
      </c>
      <c r="T46" s="15" t="str">
        <f aca="false">IF(AG46=0,"",IF(NOT(LH_Ready),"",IF(AH46&gt;PFYDate,0,IF(LH_ColPeriod=0,W46-U46+V46,SUMIFS(INDEX(LH_Data,0,LH_ColAcc),INDEX(LH_Data,0,LH_ColFirst),$A46,INDEX(LH_Data,0,LH_ColSur),$B46,INDEX(LH_Data,0,LH_ColCat),BonusCat,INDEX(LH_Data,0,LH_ColPeriod),LH_OpenLabel)*UnitFactor))))</f>
        <v/>
      </c>
      <c r="U46" s="15" t="str">
        <f aca="false">IF(AG46=0,"",IF(NOT(LH_Ready),"",SUMIFS(INDEX(LH_Data,0,LH_ColAcc),INDEX(LH_Data,0,LH_ColFirst),$A46,INDEX(LH_Data,0,LH_ColSur),$B46,INDEX(LH_Data,0,LH_ColCat),BonusCat,INDEX(LH_Data,0,LH_ColStart),"&gt;="&amp;AH46)*UnitFactor))</f>
        <v/>
      </c>
      <c r="V46" s="15" t="str">
        <f aca="false">IF(AG46=0,"",IF(NOT(LH_Ready),"",SUMIFS(INDEX(LH_Data,0,LH_ColTaken),INDEX(LH_Data,0,LH_ColFirst),$A46,INDEX(LH_Data,0,LH_ColSur),$B46,INDEX(LH_Data,0,LH_ColCat),BonusCat,INDEX(LH_Data,0,LH_ColStart),"&gt;="&amp;AH46)*UnitFactor))</f>
        <v/>
      </c>
      <c r="W46" s="15" t="str">
        <f aca="false">IF(AG46=0,"",IF(NOT(LH_Ready),"",IF(BD46=0,0,INDEX(INDEX(LH_Data,0,LH_ColClose),BD46-1)*UnitFactor)))</f>
        <v/>
      </c>
      <c r="X46" s="15" t="str">
        <f aca="false">IF(AG46=0,"",(AZ46-BA46)*HoursPerDay)</f>
        <v/>
      </c>
      <c r="Y46" s="15" t="str">
        <f aca="false">IF(AG46=0,"",IF(NOT(LH_Ready),"",IF(BC46=0,N46,IF(PFYDate&lt;$F46,N46-N(T46)-N(U46),X46-N(U46)))))</f>
        <v/>
      </c>
      <c r="Z46" s="14" t="str">
        <f aca="false">IF(OR(AG46=0,Y46=""),"",IF(Y46&gt;0,"Yes","No"))</f>
        <v/>
      </c>
      <c r="AA46" s="14" t="str">
        <f aca="false">IF(AG46=0,IF(LEN($A46&amp;$B46)=0,"","FIX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month")&amp;IF(BC46=0,";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EH)",""),IF(AS46="None",R46,"Not yet - first day on "&amp;TEXT(S46,"dd/mm/yyyy")))))))))</f>
        <v/>
      </c>
      <c r="AB46" s="15" t="str">
        <f aca="false">IF(OR(AG46=0,T46=""),"",BA46*HoursPerDay-T46)</f>
        <v/>
      </c>
      <c r="AC46" s="14" t="str">
        <f aca="false">IF(AG46=0,"",BC46)</f>
        <v/>
      </c>
      <c r="AD46" s="14" t="str">
        <f aca="false">IF(AG46=0,"",TRIM(IF(OR(ISTEXT($F46),ISTEXT($H46),ISTEXT($I46),ISTEXT($G46),ISTEXT($J46),ISTEXT($D46)),"A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I46&gt;=1,IF(AI46&gt;=3,AO46,IF(AI46=2,AN46,AM46))&lt;&gt;IF($C46="","",IF(OR(ISNUMBER(SEARCH("full",$C46)),UPPER(TRIM($C46))="FT",UPPER(TRIM($C46))="FTE"),"Full-Time",IF(OR(ISNUMBER(SEARCH("part",$C46)),UPPER(TRIM($C46))="PT",UPPER(TRIM($C46))="PTE"),"Part-Time",IF(OR(ISNUMBER(SEARCH("cas",$C46)),UPPER(TRIM($C46))="CAS"),"Casual","Unknown"))))),"EmploymentType does not match latest start date ("&amp;IF(AI46&gt;=3,AO46,IF(AI46=2,AN46,AM46))&amp;"). ","")&amp;IF(AND(AI46&gt;=1,AJ46&lt;&gt;$F46),"Earliest type date should equal StartDate. ","")&amp;IF(AND(AI46&gt;=2,AJ46=AK46),"Two types start on the same date. ","")&amp;IF(AND(OR(ISNUMBER(SEARCH("part",$C46)),UPPER(TRIM($C46))="PT",UPPER(TRIM($C46))="PTE"),$P46=""),"Part-time: enter PT Hrs/Week (blank = 24+). ","")))</f>
        <v/>
      </c>
      <c r="AE46" s="15" t="str">
        <f aca="false">IF(AG46=0,"",O46-BH46)</f>
        <v/>
      </c>
      <c r="AF46" s="12" t="str">
        <f aca="false">IF(OR(AG46=0,AE46="",N(AE46)=0,BI46=""),"",EDATE(AH46,BI46))</f>
        <v/>
      </c>
      <c r="AG46" s="14" t="n">
        <f aca="false">IF(OR(LEN($A46&amp;$B46)=0,$F46=""),0,1)</f>
        <v>0</v>
      </c>
      <c r="AH46" s="12" t="str">
        <f aca="false">IF(AG46=0,"",IF($J46&lt;&gt;"",$J46,IF(OR(CasualCounts="Yes",COUNT($G46:$I46)=0,COUNT($H46:$I46)=0),$F46,MIN($H46:$I46))))</f>
        <v/>
      </c>
      <c r="AI46" s="14" t="str">
        <f aca="false">IF(AG46=0,"",COUNT($G46:$I46))</f>
        <v/>
      </c>
      <c r="AJ46" s="12" t="str">
        <f aca="false">IF(AG46=0,"",IFERROR(SMALL($G46:$I46,1),""))</f>
        <v/>
      </c>
      <c r="AK46" s="12" t="str">
        <f aca="false">IF(AG46=0,"",IFERROR(SMALL($G46:$I46,2),""))</f>
        <v/>
      </c>
      <c r="AL46" s="12" t="str">
        <f aca="false">IF(AG46=0,"",IFERROR(SMALL($G46:$I46,3),""))</f>
        <v/>
      </c>
      <c r="AM46" s="14" t="str">
        <f aca="false">IF(AG46=0,"",IF(AJ46="","",IF(AJ46=$H46,"Part-Time",IF(AJ46=$I46,"Full-Time","Casual"))))</f>
        <v/>
      </c>
      <c r="AN46" s="14" t="str">
        <f aca="false">IF(AG46=0,"",IF(AK46="","",IF(AK46=$H46,"Part-Time",IF(AK46=$I46,"Full-Time","Casual"))))</f>
        <v/>
      </c>
      <c r="AO46" s="14" t="str">
        <f aca="false">IF(AG46=0,"",IF(AL46="","",IF(AL46=$H46,"Part-Time",IF(AL46=$I46,"Full-Time","Casual"))))</f>
        <v/>
      </c>
      <c r="AP46" s="14" t="str">
        <f aca="false">IF(AG46=0,"",IF(AI46=0,IF(OR(ISNUMBER(SEARCH("full",$C46)),UPPER(TRIM($C46))="FT",UPPER(TRIM($C46))="FTE"),"FT",IF(AND(OR(ISNUMBER(SEARCH("part",$C46)),UPPER(TRIM($C46))="PT",UPPER(TRIM($C46))="PTE"),OR($P46="",N($P46)&gt;=PT_MinHours)),"PT","None")),IF(OR(ISNUMBER(SEARCH("full",AM46)),UPPER(TRIM(AM46))="FT",UPPER(TRIM(AM46))="FTE"),"FT",IF(AND(OR(ISNUMBER(SEARCH("part",AM46)),UPPER(TRIM(AM46))="PT",UPPER(TRIM(AM46))="PTE"),OR($P46="",N($P46)&gt;=PT_MinHours)),"PT","None"))))</f>
        <v/>
      </c>
      <c r="AQ46" s="14" t="str">
        <f aca="false">IF(AG46=0,"",IF(AI46&lt;2,"",IF(OR(ISNUMBER(SEARCH("full",AN46)),UPPER(TRIM(AN46))="FT",UPPER(TRIM(AN46))="FTE"),"FT",IF(AND(OR(ISNUMBER(SEARCH("part",AN46)),UPPER(TRIM(AN46))="PT",UPPER(TRIM(AN46))="PTE"),OR($P46="",N($P46)&gt;=PT_MinHours)),"PT","None"))))</f>
        <v/>
      </c>
      <c r="AR46" s="14" t="str">
        <f aca="false">IF(AG46=0,"",IF(AI46&lt;3,"",IF(OR(ISNUMBER(SEARCH("full",AO46)),UPPER(TRIM(AO46))="FT",UPPER(TRIM(AO46))="FTE"),"FT",IF(AND(OR(ISNUMBER(SEARCH("part",AO46)),UPPER(TRIM(AO46))="PT",UPPER(TRIM(AO46))="PTE"),OR($P46="",N($P46)&gt;=PT_MinHours)),"PT","None"))))</f>
        <v/>
      </c>
      <c r="AS46" s="14" t="str">
        <f aca="false">IF(AG46=0,"",IF(AND(AI46&gt;=3,AL46&lt;=AsOfDate),AR46,IF(AND(AI46&gt;=2,AK46&lt;=AsOfDate),AQ46,AP46)))</f>
        <v/>
      </c>
      <c r="AT46" s="14" t="str">
        <f aca="false">IF(AG46=0,"",IF(AsOfDate&lt;AH46,-1,12*(YEAR(AsOfDate)-YEAR(AH46))+MONTH(AsOfDate)-MONTH(AH46)-IF(DAY(AsOfDate)&lt;MIN(DAY(AH46),DAY(EOMONTH(AsOfDate,0))),1,0)))</f>
        <v/>
      </c>
      <c r="AU46" s="14" t="str">
        <f aca="false">IF(AG46=0,"",IF(OR(AI46&lt;2,AK46&gt;AsOfDate),AT46,IF((AK46-1)&lt;AH46,-1,12*(YEAR((AK46-1))-YEAR(AH46))+MONTH((AK46-1))-MONTH(AH46)-IF(DAY((AK46-1))&lt;MIN(DAY(AH46),DAY(EOMONTH((AK46-1),0))),1,0))))</f>
        <v/>
      </c>
      <c r="AV46" s="14" t="str">
        <f aca="false">IF(AG46=0,"",IF(OR(AI46&lt;3,AL46&gt;AsOfDate),AT46,IF((AL46-1)&lt;AH46,-1,12*(YEAR((AL46-1))-YEAR(AH46))+MONTH((AL46-1))-MONTH(AH46)-IF(DAY((AL46-1))&lt;MIN(DAY(AH46),DAY(EOMONTH((AL46-1),0))),1,0))))</f>
        <v/>
      </c>
      <c r="AW46" s="14" t="str">
        <f aca="false">IF(AG46=0,"",IF(PFYDate&lt;AH46,-1,12*(YEAR(PFYDate)-YEAR(AH46))+MONTH(PFYDate)-MONTH(AH46)-IF(DAY(PFYDate)&lt;MIN(DAY(AH46),DAY(EOMONTH(PFYDate,0))),1,0)))</f>
        <v/>
      </c>
      <c r="AX46" s="14" t="str">
        <f aca="false">IF(AG46=0,"",IF(OR(AI46&lt;2,AK46&gt;PFYDate),AW46,IF((AK46-1)&lt;AH46,-1,12*(YEAR((AK46-1))-YEAR(AH46))+MONTH((AK46-1))-MONTH(AH46)-IF(DAY((AK46-1))&lt;MIN(DAY(AH46),DAY(EOMONTH((AK46-1),0))),1,0))))</f>
        <v/>
      </c>
      <c r="AY46" s="14" t="str">
        <f aca="false">IF(AG46=0,"",IF(OR(AI46&lt;3,AL46&gt;PFYDate),AW46,IF((AL46-1)&lt;AH46,-1,12*(YEAR((AL46-1))-YEAR(AH46))+MONTH((AL46-1))-MONTH(AH46)-IF(DAY((AL46-1))&lt;MIN(DAY(AH46),DAY(EOMONTH((AL46-1),0))),1,0))))</f>
        <v/>
      </c>
      <c r="AZ46" s="14" t="str">
        <f aca="false">IF(AG46=0,"",IF(AP46="FT",IF(AU46&lt;FT_First,0,IF(AU46&lt;FT_Y5,1+INT((AU46-FT_First)/FT_Int1),FT_PreY5+FT_PerYear*INT((AU46-FT_Y5)/12)+FT_AnnivDays+INT(MOD(AU46-FT_Y5,12)/FT_Int2))),IF(AP46="PT",IF(AU46&lt;PT_First,0,1+INT((AU46-PT_First)/PT_Int)),0))+IF(AND(AI46&gt;=2,AK46&lt;=AsOfDate),IF(AQ46="FT",IF(AV46&lt;FT_First,0,IF(AV46&lt;FT_Y5,1+INT((AV46-FT_First)/FT_Int1),FT_PreY5+FT_PerYear*INT((AV46-FT_Y5)/12)+FT_AnnivDays+INT(MOD(AV46-FT_Y5,12)/FT_Int2))),IF(AQ46="PT",IF(AV46&lt;PT_First,0,1+INT((AV46-PT_First)/PT_Int)),0))-IF(AQ46="FT",IF(AU46&lt;FT_First,0,IF(AU46&lt;FT_Y5,1+INT((AU46-FT_First)/FT_Int1),FT_PreY5+FT_PerYear*INT((AU46-FT_Y5)/12)+FT_AnnivDays+INT(MOD(AU46-FT_Y5,12)/FT_Int2))),IF(AQ46="PT",IF(AU46&lt;PT_First,0,1+INT((AU46-PT_First)/PT_Int)),0)),0)+IF(AND(AI46&gt;=3,AL46&lt;=AsOfDate),IF(AR46="FT",IF(AT46&lt;FT_First,0,IF(AT46&lt;FT_Y5,1+INT((AT46-FT_First)/FT_Int1),FT_PreY5+FT_PerYear*INT((AT46-FT_Y5)/12)+FT_AnnivDays+INT(MOD(AT46-FT_Y5,12)/FT_Int2))),IF(AR46="PT",IF(AT46&lt;PT_First,0,1+INT((AT46-PT_First)/PT_Int)),0))-IF(AR46="FT",IF(AV46&lt;FT_First,0,IF(AV46&lt;FT_Y5,1+INT((AV46-FT_First)/FT_Int1),FT_PreY5+FT_PerYear*INT((AV46-FT_Y5)/12)+FT_AnnivDays+INT(MOD(AV46-FT_Y5,12)/FT_Int2))),IF(AR46="PT",IF(AV46&lt;PT_First,0,1+INT((AV46-PT_First)/PT_Int)),0)),0))</f>
        <v/>
      </c>
      <c r="BA46" s="14" t="str">
        <f aca="false">IF(AG46=0,"",IF(AP46="FT",IF(AX46&lt;FT_First,0,IF(AX46&lt;FT_Y5,1+INT((AX46-FT_First)/FT_Int1),FT_PreY5+FT_PerYear*INT((AX46-FT_Y5)/12)+FT_AnnivDays+INT(MOD(AX46-FT_Y5,12)/FT_Int2))),IF(AP46="PT",IF(AX46&lt;PT_First,0,1+INT((AX46-PT_First)/PT_Int)),0))+IF(AND(AI46&gt;=2,AK46&lt;=PFYDate),IF(AQ46="FT",IF(AY46&lt;FT_First,0,IF(AY46&lt;FT_Y5,1+INT((AY46-FT_First)/FT_Int1),FT_PreY5+FT_PerYear*INT((AY46-FT_Y5)/12)+FT_AnnivDays+INT(MOD(AY46-FT_Y5,12)/FT_Int2))),IF(AQ46="PT",IF(AY46&lt;PT_First,0,1+INT((AY46-PT_First)/PT_Int)),0))-IF(AQ46="FT",IF(AX46&lt;FT_First,0,IF(AX46&lt;FT_Y5,1+INT((AX46-FT_First)/FT_Int1),FT_PreY5+FT_PerYear*INT((AX46-FT_Y5)/12)+FT_AnnivDays+INT(MOD(AX46-FT_Y5,12)/FT_Int2))),IF(AQ46="PT",IF(AX46&lt;PT_First,0,1+INT((AX46-PT_First)/PT_Int)),0)),0)+IF(AND(AI46&gt;=3,AL46&lt;=PFYDate),IF(AR46="FT",IF(AW46&lt;FT_First,0,IF(AW46&lt;FT_Y5,1+INT((AW46-FT_First)/FT_Int1),FT_PreY5+FT_PerYear*INT((AW46-FT_Y5)/12)+FT_AnnivDays+INT(MOD(AW46-FT_Y5,12)/FT_Int2))),IF(AR46="PT",IF(AW46&lt;PT_First,0,1+INT((AW46-PT_First)/PT_Int)),0))-IF(AR46="FT",IF(AY46&lt;FT_First,0,IF(AY46&lt;FT_Y5,1+INT((AY46-FT_First)/FT_Int1),FT_PreY5+FT_PerYear*INT((AY46-FT_Y5)/12)+FT_AnnivDays+INT(MOD(AY46-FT_Y5,12)/FT_Int2))),IF(AR46="PT",IF(AY46&lt;PT_First,0,1+INT((AY46-PT_First)/PT_Int)),0)),0))</f>
        <v/>
      </c>
      <c r="BB46" s="14" t="str">
        <f aca="false">IF(AG46=0,"",IF(AS46="FT",IF(AT46&lt;FT_First,FT_First,IF(AT46&lt;FT_Y5,MIN(FT_Y5,FT_First+FT_Int1*(INT((AT46-FT_First)/FT_Int1)+1)),FT_Y5+12*INT((AT46-FT_Y5)/12)+FT_Int2*(INT(MOD(AT46-FT_Y5,12)/FT_Int2)+1))),IF(AS46="PT",IF(AT46&lt;PT_First,PT_First,PT_First+PT_Int*(INT((AT46-PT_First)/PT_Int)+1)),"")))</f>
        <v/>
      </c>
      <c r="BC46" s="14" t="str">
        <f aca="false">IF(AG46=0,"",IF(NOT(LH_Ready),0,COUNTIFS(INDEX(LH_Data,0,LH_ColFirst),$A46,INDEX(LH_Data,0,LH_ColSur),$B46,INDEX(LH_Data,0,LH_ColCat),BonusCat)))</f>
        <v/>
      </c>
      <c r="BD46" s="14" t="str">
        <f aca="false">IF(AG46=0,"",IF(OR(NOT(LH_Ready),BC46=0),0,SUMPRODUCT(MAX((INDEX(LH_Data,0,LH_ColFirst)=$A46)*(INDEX(LH_Data,0,LH_ColSur)=$B46)*(INDEX(LH_Data,0,LH_ColCat)=BonusCat)*ROW(LH_Data)))))</f>
        <v/>
      </c>
      <c r="BE46" s="14" t="str">
        <f aca="false">IF(AG46=0,"",IF(EOMONTH(AsOfDate,-1)&lt;AH46,-1,12*(YEAR(EOMONTH(AsOfDate,-1))-YEAR(AH46))+MONTH(EOMONTH(AsOfDate,-1))-MONTH(AH46)-IF(DAY(EOMONTH(AsOfDate,-1))&lt;MIN(DAY(AH46),DAY(EOMONTH(EOMONTH(AsOfDate,-1),0))),1,0)))</f>
        <v/>
      </c>
      <c r="BF46" s="14" t="str">
        <f aca="false">IF(AG46=0,"",IF(OR(AI46&lt;2,AK46&gt;EOMONTH(AsOfDate,-1)),BE46,IF((AK46-1)&lt;AH46,-1,12*(YEAR((AK46-1))-YEAR(AH46))+MONTH((AK46-1))-MONTH(AH46)-IF(DAY((AK46-1))&lt;MIN(DAY(AH46),DAY(EOMONTH((AK46-1),0))),1,0))))</f>
        <v/>
      </c>
      <c r="BG46" s="14" t="str">
        <f aca="false">IF(AG46=0,"",IF(OR(AI46&lt;3,AL46&gt;EOMONTH(AsOfDate,-1)),BE46,IF((AL46-1)&lt;AH46,-1,12*(YEAR((AL46-1))-YEAR(AH46))+MONTH((AL46-1))-MONTH(AH46)-IF(DAY((AL46-1))&lt;MIN(DAY(AH46),DAY(EOMONTH((AL46-1),0))),1,0))))</f>
        <v/>
      </c>
      <c r="BH46" s="14" t="str">
        <f aca="false">IF(AG46=0,"",IF(AP46="FT",IF(BF46&lt;FT_First,0,IF(BF46&lt;FT_Y5,1+INT((BF46-FT_First)/FT_Int1),FT_PreY5+FT_PerYear*INT((BF46-FT_Y5)/12)+FT_AnnivDays+INT(MOD(BF46-FT_Y5,12)/FT_Int2))),IF(AP46="PT",IF(BF46&lt;PT_First,0,1+INT((BF46-PT_First)/PT_Int)),0))+IF(AND(AI46&gt;=2,AK46&lt;=EOMONTH(AsOfDate,-1)),IF(AQ46="FT",IF(BG46&lt;FT_First,0,IF(BG46&lt;FT_Y5,1+INT((BG46-FT_First)/FT_Int1),FT_PreY5+FT_PerYear*INT((BG46-FT_Y5)/12)+FT_AnnivDays+INT(MOD(BG46-FT_Y5,12)/FT_Int2))),IF(AQ46="PT",IF(BG46&lt;PT_First,0,1+INT((BG46-PT_First)/PT_Int)),0))-IF(AQ46="FT",IF(BF46&lt;FT_First,0,IF(BF46&lt;FT_Y5,1+INT((BF46-FT_First)/FT_Int1),FT_PreY5+FT_PerYear*INT((BF46-FT_Y5)/12)+FT_AnnivDays+INT(MOD(BF46-FT_Y5,12)/FT_Int2))),IF(AQ46="PT",IF(BF46&lt;PT_First,0,1+INT((BF46-PT_First)/PT_Int)),0)),0)+IF(AND(AI46&gt;=3,AL46&lt;=EOMONTH(AsOfDate,-1)),IF(AR46="FT",IF(BE46&lt;FT_First,0,IF(BE46&lt;FT_Y5,1+INT((BE46-FT_First)/FT_Int1),FT_PreY5+FT_PerYear*INT((BE46-FT_Y5)/12)+FT_AnnivDays+INT(MOD(BE46-FT_Y5,12)/FT_Int2))),IF(AR46="PT",IF(BE46&lt;PT_First,0,1+INT((BE46-PT_First)/PT_Int)),0))-IF(AR46="FT",IF(BG46&lt;FT_First,0,IF(BG46&lt;FT_Y5,1+INT((BG46-FT_First)/FT_Int1),FT_PreY5+FT_PerYear*INT((BG46-FT_Y5)/12)+FT_AnnivDays+INT(MOD(BG46-FT_Y5,12)/FT_Int2))),IF(AR46="PT",IF(BG46&lt;PT_First,0,1+INT((BG46-PT_First)/PT_Int)),0)),0))</f>
        <v/>
      </c>
      <c r="BI46" s="14" t="str">
        <f aca="false">IF(AG46=0,"",IF(AS46="FT",IF(AT46&lt;FT_First,"",IF(AT46&lt;FT_Y5,FT_First+FT_Int1*INT((AT46-FT_First)/FT_Int1),FT_Y5+FT_Int2*INT((AT46-FT_Y5)/FT_Int2))),IF(AS46="PT",IF(AT46&lt;PT_First,"",PT_First+PT_Int*INT((AT46-PT_First)/PT_Int)),"")))</f>
        <v/>
      </c>
      <c r="BJ46" s="0" t="str">
        <f aca="false">IF(LEN($A46&amp;$B46)=0,"",$A46&amp;" "&amp;$B46)</f>
        <v/>
      </c>
    </row>
    <row r="47" customFormat="false" ht="15" hidden="false" customHeight="false" outlineLevel="0" collapsed="false">
      <c r="A47" s="10"/>
      <c r="B47" s="10"/>
      <c r="C47" s="10"/>
      <c r="D47" s="11"/>
      <c r="E47" s="12" t="str">
        <f aca="false">IF(OR(AG47=0,$D47=""),"",DATE(YEAR(AsOfDate)+IF(DATE(YEAR(AsOfDate),MONTH($D47),DAY($D47))&lt;=AsOfDate,1,0),MONTH($D47),DAY($D47)))</f>
        <v/>
      </c>
      <c r="F47" s="11"/>
      <c r="G47" s="11"/>
      <c r="H47" s="11"/>
      <c r="I47" s="11"/>
      <c r="J47" s="11"/>
      <c r="K47" s="12" t="str">
        <f aca="false">IF(AG47=0,"",DATE(YEAR(AsOfDate)+IF(DATE(YEAR(AsOfDate),MONTH(AH47),DAY(AH47))&lt;=AsOfDate,1,0),MONTH(AH47),DAY(AH47)))</f>
        <v/>
      </c>
      <c r="L47" s="13" t="str">
        <f aca="false">IF(AG47=0,"",ROUND((AsOfDate-AH47)/365.25,1))</f>
        <v/>
      </c>
      <c r="M47" s="14" t="str">
        <f aca="false">IF(AG47=0,"",IF(AsOfDate&lt;AH47,"-",DATEDIF(AH47,AsOfDate,"y")&amp;"y "&amp;DATEDIF(AH47,AsOfDate,"ym")&amp;"m "&amp;DATEDIF(AH47,AsOfDate,"md")&amp;"d"))</f>
        <v/>
      </c>
      <c r="N47" s="15" t="str">
        <f aca="false">IF(AG47=0,"",O47*HoursPerDay)</f>
        <v/>
      </c>
      <c r="O47" s="15" t="str">
        <f aca="false">IF(AG47=0,"",AZ47)</f>
        <v/>
      </c>
      <c r="P47" s="16"/>
      <c r="Q47" s="14" t="str">
        <f aca="false">IF(AG47=0,"",IF(AI47&lt;2,"",AM47&amp;" to "&amp;AN47&amp;" on "&amp;TEXT(AK47,"dd/mm/yyyy")&amp;IF(AK47&gt;AsOfDate," (future)",IF(AP47=AQ47,"",IF(AQ47="None"," - STOPPED accruing",IF(AP47="None"," - commencement for Bonus Leave"," - pathway changed"))))&amp;IF(AI47&lt;3,"","; "&amp;AN47&amp;" to "&amp;AO47&amp;" on "&amp;TEXT(AL47,"dd/mm/yyyy")&amp;IF(AL47&gt;AsOfDate," (future)",IF(AQ47=AR47,"",IF(AR47="None"," - STOPPED accruing",IF(AQ47="None"," - commencement for Bonus Leave"," - pathway changed")))))))</f>
        <v/>
      </c>
      <c r="R47" s="14" t="str">
        <f aca="false">IF(AG47=0,"",IF(AS47="None",IF(O47&gt;0,"No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2" t="str">
        <f aca="false">IF(AG47=0,"",IF(AS47="None","",EDATE(AH47,BB47)))</f>
        <v/>
      </c>
      <c r="T47" s="15" t="str">
        <f aca="false">IF(AG47=0,"",IF(NOT(LH_Ready),"",IF(AH47&gt;PFYDate,0,IF(LH_ColPeriod=0,W47-U47+V47,SUMIFS(INDEX(LH_Data,0,LH_ColAcc),INDEX(LH_Data,0,LH_ColFirst),$A47,INDEX(LH_Data,0,LH_ColSur),$B47,INDEX(LH_Data,0,LH_ColCat),BonusCat,INDEX(LH_Data,0,LH_ColPeriod),LH_OpenLabel)*UnitFactor))))</f>
        <v/>
      </c>
      <c r="U47" s="15" t="str">
        <f aca="false">IF(AG47=0,"",IF(NOT(LH_Ready),"",SUMIFS(INDEX(LH_Data,0,LH_ColAcc),INDEX(LH_Data,0,LH_ColFirst),$A47,INDEX(LH_Data,0,LH_ColSur),$B47,INDEX(LH_Data,0,LH_ColCat),BonusCat,INDEX(LH_Data,0,LH_ColStart),"&gt;="&amp;AH47)*UnitFactor))</f>
        <v/>
      </c>
      <c r="V47" s="15" t="str">
        <f aca="false">IF(AG47=0,"",IF(NOT(LH_Ready),"",SUMIFS(INDEX(LH_Data,0,LH_ColTaken),INDEX(LH_Data,0,LH_ColFirst),$A47,INDEX(LH_Data,0,LH_ColSur),$B47,INDEX(LH_Data,0,LH_ColCat),BonusCat,INDEX(LH_Data,0,LH_ColStart),"&gt;="&amp;AH47)*UnitFactor))</f>
        <v/>
      </c>
      <c r="W47" s="15" t="str">
        <f aca="false">IF(AG47=0,"",IF(NOT(LH_Ready),"",IF(BD47=0,0,INDEX(INDEX(LH_Data,0,LH_ColClose),BD47-1)*UnitFactor)))</f>
        <v/>
      </c>
      <c r="X47" s="15" t="str">
        <f aca="false">IF(AG47=0,"",(AZ47-BA47)*HoursPerDay)</f>
        <v/>
      </c>
      <c r="Y47" s="15" t="str">
        <f aca="false">IF(AG47=0,"",IF(NOT(LH_Ready),"",IF(BC47=0,N47,IF(PFYDate&lt;$F47,N47-N(T47)-N(U47),X47-N(U47)))))</f>
        <v/>
      </c>
      <c r="Z47" s="14" t="str">
        <f aca="false">IF(OR(AG47=0,Y47=""),"",IF(Y47&gt;0,"Yes","No"))</f>
        <v/>
      </c>
      <c r="AA47" s="14" t="str">
        <f aca="false">IF(AG47=0,IF(LEN($A47&amp;$B47)=0,"","FIX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month")&amp;IF(BC47=0,";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EH)",""),IF(AS47="None",R47,"Not yet - first day on "&amp;TEXT(S47,"dd/mm/yyyy")))))))))</f>
        <v/>
      </c>
      <c r="AB47" s="15" t="str">
        <f aca="false">IF(OR(AG47=0,T47=""),"",BA47*HoursPerDay-T47)</f>
        <v/>
      </c>
      <c r="AC47" s="14" t="str">
        <f aca="false">IF(AG47=0,"",BC47)</f>
        <v/>
      </c>
      <c r="AD47" s="14" t="str">
        <f aca="false">IF(AG47=0,"",TRIM(IF(OR(ISTEXT($F47),ISTEXT($H47),ISTEXT($I47),ISTEXT($G47),ISTEXT($J47),ISTEXT($D47)),"A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I47&gt;=1,IF(AI47&gt;=3,AO47,IF(AI47=2,AN47,AM47))&lt;&gt;IF($C47="","",IF(OR(ISNUMBER(SEARCH("full",$C47)),UPPER(TRIM($C47))="FT",UPPER(TRIM($C47))="FTE"),"Full-Time",IF(OR(ISNUMBER(SEARCH("part",$C47)),UPPER(TRIM($C47))="PT",UPPER(TRIM($C47))="PTE"),"Part-Time",IF(OR(ISNUMBER(SEARCH("cas",$C47)),UPPER(TRIM($C47))="CAS"),"Casual","Unknown"))))),"EmploymentType does not match latest start date ("&amp;IF(AI47&gt;=3,AO47,IF(AI47=2,AN47,AM47))&amp;"). ","")&amp;IF(AND(AI47&gt;=1,AJ47&lt;&gt;$F47),"Earliest type date should equal StartDate. ","")&amp;IF(AND(AI47&gt;=2,AJ47=AK47),"Two types start on the same date. ","")&amp;IF(AND(OR(ISNUMBER(SEARCH("part",$C47)),UPPER(TRIM($C47))="PT",UPPER(TRIM($C47))="PTE"),$P47=""),"Part-time: enter PT Hrs/Week (blank = 24+). ","")))</f>
        <v/>
      </c>
      <c r="AE47" s="15" t="str">
        <f aca="false">IF(AG47=0,"",O47-BH47)</f>
        <v/>
      </c>
      <c r="AF47" s="12" t="str">
        <f aca="false">IF(OR(AG47=0,AE47="",N(AE47)=0,BI47=""),"",EDATE(AH47,BI47))</f>
        <v/>
      </c>
      <c r="AG47" s="14" t="n">
        <f aca="false">IF(OR(LEN($A47&amp;$B47)=0,$F47=""),0,1)</f>
        <v>0</v>
      </c>
      <c r="AH47" s="12" t="str">
        <f aca="false">IF(AG47=0,"",IF($J47&lt;&gt;"",$J47,IF(OR(CasualCounts="Yes",COUNT($G47:$I47)=0,COUNT($H47:$I47)=0),$F47,MIN($H47:$I47))))</f>
        <v/>
      </c>
      <c r="AI47" s="14" t="str">
        <f aca="false">IF(AG47=0,"",COUNT($G47:$I47))</f>
        <v/>
      </c>
      <c r="AJ47" s="12" t="str">
        <f aca="false">IF(AG47=0,"",IFERROR(SMALL($G47:$I47,1),""))</f>
        <v/>
      </c>
      <c r="AK47" s="12" t="str">
        <f aca="false">IF(AG47=0,"",IFERROR(SMALL($G47:$I47,2),""))</f>
        <v/>
      </c>
      <c r="AL47" s="12" t="str">
        <f aca="false">IF(AG47=0,"",IFERROR(SMALL($G47:$I47,3),""))</f>
        <v/>
      </c>
      <c r="AM47" s="14" t="str">
        <f aca="false">IF(AG47=0,"",IF(AJ47="","",IF(AJ47=$H47,"Part-Time",IF(AJ47=$I47,"Full-Time","Casual"))))</f>
        <v/>
      </c>
      <c r="AN47" s="14" t="str">
        <f aca="false">IF(AG47=0,"",IF(AK47="","",IF(AK47=$H47,"Part-Time",IF(AK47=$I47,"Full-Time","Casual"))))</f>
        <v/>
      </c>
      <c r="AO47" s="14" t="str">
        <f aca="false">IF(AG47=0,"",IF(AL47="","",IF(AL47=$H47,"Part-Time",IF(AL47=$I47,"Full-Time","Casual"))))</f>
        <v/>
      </c>
      <c r="AP47" s="14" t="str">
        <f aca="false">IF(AG47=0,"",IF(AI47=0,IF(OR(ISNUMBER(SEARCH("full",$C47)),UPPER(TRIM($C47))="FT",UPPER(TRIM($C47))="FTE"),"FT",IF(AND(OR(ISNUMBER(SEARCH("part",$C47)),UPPER(TRIM($C47))="PT",UPPER(TRIM($C47))="PTE"),OR($P47="",N($P47)&gt;=PT_MinHours)),"PT","None")),IF(OR(ISNUMBER(SEARCH("full",AM47)),UPPER(TRIM(AM47))="FT",UPPER(TRIM(AM47))="FTE"),"FT",IF(AND(OR(ISNUMBER(SEARCH("part",AM47)),UPPER(TRIM(AM47))="PT",UPPER(TRIM(AM47))="PTE"),OR($P47="",N($P47)&gt;=PT_MinHours)),"PT","None"))))</f>
        <v/>
      </c>
      <c r="AQ47" s="14" t="str">
        <f aca="false">IF(AG47=0,"",IF(AI47&lt;2,"",IF(OR(ISNUMBER(SEARCH("full",AN47)),UPPER(TRIM(AN47))="FT",UPPER(TRIM(AN47))="FTE"),"FT",IF(AND(OR(ISNUMBER(SEARCH("part",AN47)),UPPER(TRIM(AN47))="PT",UPPER(TRIM(AN47))="PTE"),OR($P47="",N($P47)&gt;=PT_MinHours)),"PT","None"))))</f>
        <v/>
      </c>
      <c r="AR47" s="14" t="str">
        <f aca="false">IF(AG47=0,"",IF(AI47&lt;3,"",IF(OR(ISNUMBER(SEARCH("full",AO47)),UPPER(TRIM(AO47))="FT",UPPER(TRIM(AO47))="FTE"),"FT",IF(AND(OR(ISNUMBER(SEARCH("part",AO47)),UPPER(TRIM(AO47))="PT",UPPER(TRIM(AO47))="PTE"),OR($P47="",N($P47)&gt;=PT_MinHours)),"PT","None"))))</f>
        <v/>
      </c>
      <c r="AS47" s="14" t="str">
        <f aca="false">IF(AG47=0,"",IF(AND(AI47&gt;=3,AL47&lt;=AsOfDate),AR47,IF(AND(AI47&gt;=2,AK47&lt;=AsOfDate),AQ47,AP47)))</f>
        <v/>
      </c>
      <c r="AT47" s="14" t="str">
        <f aca="false">IF(AG47=0,"",IF(AsOfDate&lt;AH47,-1,12*(YEAR(AsOfDate)-YEAR(AH47))+MONTH(AsOfDate)-MONTH(AH47)-IF(DAY(AsOfDate)&lt;MIN(DAY(AH47),DAY(EOMONTH(AsOfDate,0))),1,0)))</f>
        <v/>
      </c>
      <c r="AU47" s="14" t="str">
        <f aca="false">IF(AG47=0,"",IF(OR(AI47&lt;2,AK47&gt;AsOfDate),AT47,IF((AK47-1)&lt;AH47,-1,12*(YEAR((AK47-1))-YEAR(AH47))+MONTH((AK47-1))-MONTH(AH47)-IF(DAY((AK47-1))&lt;MIN(DAY(AH47),DAY(EOMONTH((AK47-1),0))),1,0))))</f>
        <v/>
      </c>
      <c r="AV47" s="14" t="str">
        <f aca="false">IF(AG47=0,"",IF(OR(AI47&lt;3,AL47&gt;AsOfDate),AT47,IF((AL47-1)&lt;AH47,-1,12*(YEAR((AL47-1))-YEAR(AH47))+MONTH((AL47-1))-MONTH(AH47)-IF(DAY((AL47-1))&lt;MIN(DAY(AH47),DAY(EOMONTH((AL47-1),0))),1,0))))</f>
        <v/>
      </c>
      <c r="AW47" s="14" t="str">
        <f aca="false">IF(AG47=0,"",IF(PFYDate&lt;AH47,-1,12*(YEAR(PFYDate)-YEAR(AH47))+MONTH(PFYDate)-MONTH(AH47)-IF(DAY(PFYDate)&lt;MIN(DAY(AH47),DAY(EOMONTH(PFYDate,0))),1,0)))</f>
        <v/>
      </c>
      <c r="AX47" s="14" t="str">
        <f aca="false">IF(AG47=0,"",IF(OR(AI47&lt;2,AK47&gt;PFYDate),AW47,IF((AK47-1)&lt;AH47,-1,12*(YEAR((AK47-1))-YEAR(AH47))+MONTH((AK47-1))-MONTH(AH47)-IF(DAY((AK47-1))&lt;MIN(DAY(AH47),DAY(EOMONTH((AK47-1),0))),1,0))))</f>
        <v/>
      </c>
      <c r="AY47" s="14" t="str">
        <f aca="false">IF(AG47=0,"",IF(OR(AI47&lt;3,AL47&gt;PFYDate),AW47,IF((AL47-1)&lt;AH47,-1,12*(YEAR((AL47-1))-YEAR(AH47))+MONTH((AL47-1))-MONTH(AH47)-IF(DAY((AL47-1))&lt;MIN(DAY(AH47),DAY(EOMONTH((AL47-1),0))),1,0))))</f>
        <v/>
      </c>
      <c r="AZ47" s="14" t="str">
        <f aca="false">IF(AG47=0,"",IF(AP47="FT",IF(AU47&lt;FT_First,0,IF(AU47&lt;FT_Y5,1+INT((AU47-FT_First)/FT_Int1),FT_PreY5+FT_PerYear*INT((AU47-FT_Y5)/12)+FT_AnnivDays+INT(MOD(AU47-FT_Y5,12)/FT_Int2))),IF(AP47="PT",IF(AU47&lt;PT_First,0,1+INT((AU47-PT_First)/PT_Int)),0))+IF(AND(AI47&gt;=2,AK47&lt;=AsOfDate),IF(AQ47="FT",IF(AV47&lt;FT_First,0,IF(AV47&lt;FT_Y5,1+INT((AV47-FT_First)/FT_Int1),FT_PreY5+FT_PerYear*INT((AV47-FT_Y5)/12)+FT_AnnivDays+INT(MOD(AV47-FT_Y5,12)/FT_Int2))),IF(AQ47="PT",IF(AV47&lt;PT_First,0,1+INT((AV47-PT_First)/PT_Int)),0))-IF(AQ47="FT",IF(AU47&lt;FT_First,0,IF(AU47&lt;FT_Y5,1+INT((AU47-FT_First)/FT_Int1),FT_PreY5+FT_PerYear*INT((AU47-FT_Y5)/12)+FT_AnnivDays+INT(MOD(AU47-FT_Y5,12)/FT_Int2))),IF(AQ47="PT",IF(AU47&lt;PT_First,0,1+INT((AU47-PT_First)/PT_Int)),0)),0)+IF(AND(AI47&gt;=3,AL47&lt;=AsOfDate),IF(AR47="FT",IF(AT47&lt;FT_First,0,IF(AT47&lt;FT_Y5,1+INT((AT47-FT_First)/FT_Int1),FT_PreY5+FT_PerYear*INT((AT47-FT_Y5)/12)+FT_AnnivDays+INT(MOD(AT47-FT_Y5,12)/FT_Int2))),IF(AR47="PT",IF(AT47&lt;PT_First,0,1+INT((AT47-PT_First)/PT_Int)),0))-IF(AR47="FT",IF(AV47&lt;FT_First,0,IF(AV47&lt;FT_Y5,1+INT((AV47-FT_First)/FT_Int1),FT_PreY5+FT_PerYear*INT((AV47-FT_Y5)/12)+FT_AnnivDays+INT(MOD(AV47-FT_Y5,12)/FT_Int2))),IF(AR47="PT",IF(AV47&lt;PT_First,0,1+INT((AV47-PT_First)/PT_Int)),0)),0))</f>
        <v/>
      </c>
      <c r="BA47" s="14" t="str">
        <f aca="false">IF(AG47=0,"",IF(AP47="FT",IF(AX47&lt;FT_First,0,IF(AX47&lt;FT_Y5,1+INT((AX47-FT_First)/FT_Int1),FT_PreY5+FT_PerYear*INT((AX47-FT_Y5)/12)+FT_AnnivDays+INT(MOD(AX47-FT_Y5,12)/FT_Int2))),IF(AP47="PT",IF(AX47&lt;PT_First,0,1+INT((AX47-PT_First)/PT_Int)),0))+IF(AND(AI47&gt;=2,AK47&lt;=PFYDate),IF(AQ47="FT",IF(AY47&lt;FT_First,0,IF(AY47&lt;FT_Y5,1+INT((AY47-FT_First)/FT_Int1),FT_PreY5+FT_PerYear*INT((AY47-FT_Y5)/12)+FT_AnnivDays+INT(MOD(AY47-FT_Y5,12)/FT_Int2))),IF(AQ47="PT",IF(AY47&lt;PT_First,0,1+INT((AY47-PT_First)/PT_Int)),0))-IF(AQ47="FT",IF(AX47&lt;FT_First,0,IF(AX47&lt;FT_Y5,1+INT((AX47-FT_First)/FT_Int1),FT_PreY5+FT_PerYear*INT((AX47-FT_Y5)/12)+FT_AnnivDays+INT(MOD(AX47-FT_Y5,12)/FT_Int2))),IF(AQ47="PT",IF(AX47&lt;PT_First,0,1+INT((AX47-PT_First)/PT_Int)),0)),0)+IF(AND(AI47&gt;=3,AL47&lt;=PFYDate),IF(AR47="FT",IF(AW47&lt;FT_First,0,IF(AW47&lt;FT_Y5,1+INT((AW47-FT_First)/FT_Int1),FT_PreY5+FT_PerYear*INT((AW47-FT_Y5)/12)+FT_AnnivDays+INT(MOD(AW47-FT_Y5,12)/FT_Int2))),IF(AR47="PT",IF(AW47&lt;PT_First,0,1+INT((AW47-PT_First)/PT_Int)),0))-IF(AR47="FT",IF(AY47&lt;FT_First,0,IF(AY47&lt;FT_Y5,1+INT((AY47-FT_First)/FT_Int1),FT_PreY5+FT_PerYear*INT((AY47-FT_Y5)/12)+FT_AnnivDays+INT(MOD(AY47-FT_Y5,12)/FT_Int2))),IF(AR47="PT",IF(AY47&lt;PT_First,0,1+INT((AY47-PT_First)/PT_Int)),0)),0))</f>
        <v/>
      </c>
      <c r="BB47" s="14" t="str">
        <f aca="false">IF(AG47=0,"",IF(AS47="FT",IF(AT47&lt;FT_First,FT_First,IF(AT47&lt;FT_Y5,MIN(FT_Y5,FT_First+FT_Int1*(INT((AT47-FT_First)/FT_Int1)+1)),FT_Y5+12*INT((AT47-FT_Y5)/12)+FT_Int2*(INT(MOD(AT47-FT_Y5,12)/FT_Int2)+1))),IF(AS47="PT",IF(AT47&lt;PT_First,PT_First,PT_First+PT_Int*(INT((AT47-PT_First)/PT_Int)+1)),"")))</f>
        <v/>
      </c>
      <c r="BC47" s="14" t="str">
        <f aca="false">IF(AG47=0,"",IF(NOT(LH_Ready),0,COUNTIFS(INDEX(LH_Data,0,LH_ColFirst),$A47,INDEX(LH_Data,0,LH_ColSur),$B47,INDEX(LH_Data,0,LH_ColCat),BonusCat)))</f>
        <v/>
      </c>
      <c r="BD47" s="14" t="str">
        <f aca="false">IF(AG47=0,"",IF(OR(NOT(LH_Ready),BC47=0),0,SUMPRODUCT(MAX((INDEX(LH_Data,0,LH_ColFirst)=$A47)*(INDEX(LH_Data,0,LH_ColSur)=$B47)*(INDEX(LH_Data,0,LH_ColCat)=BonusCat)*ROW(LH_Data)))))</f>
        <v/>
      </c>
      <c r="BE47" s="14" t="str">
        <f aca="false">IF(AG47=0,"",IF(EOMONTH(AsOfDate,-1)&lt;AH47,-1,12*(YEAR(EOMONTH(AsOfDate,-1))-YEAR(AH47))+MONTH(EOMONTH(AsOfDate,-1))-MONTH(AH47)-IF(DAY(EOMONTH(AsOfDate,-1))&lt;MIN(DAY(AH47),DAY(EOMONTH(EOMONTH(AsOfDate,-1),0))),1,0)))</f>
        <v/>
      </c>
      <c r="BF47" s="14" t="str">
        <f aca="false">IF(AG47=0,"",IF(OR(AI47&lt;2,AK47&gt;EOMONTH(AsOfDate,-1)),BE47,IF((AK47-1)&lt;AH47,-1,12*(YEAR((AK47-1))-YEAR(AH47))+MONTH((AK47-1))-MONTH(AH47)-IF(DAY((AK47-1))&lt;MIN(DAY(AH47),DAY(EOMONTH((AK47-1),0))),1,0))))</f>
        <v/>
      </c>
      <c r="BG47" s="14" t="str">
        <f aca="false">IF(AG47=0,"",IF(OR(AI47&lt;3,AL47&gt;EOMONTH(AsOfDate,-1)),BE47,IF((AL47-1)&lt;AH47,-1,12*(YEAR((AL47-1))-YEAR(AH47))+MONTH((AL47-1))-MONTH(AH47)-IF(DAY((AL47-1))&lt;MIN(DAY(AH47),DAY(EOMONTH((AL47-1),0))),1,0))))</f>
        <v/>
      </c>
      <c r="BH47" s="14" t="str">
        <f aca="false">IF(AG47=0,"",IF(AP47="FT",IF(BF47&lt;FT_First,0,IF(BF47&lt;FT_Y5,1+INT((BF47-FT_First)/FT_Int1),FT_PreY5+FT_PerYear*INT((BF47-FT_Y5)/12)+FT_AnnivDays+INT(MOD(BF47-FT_Y5,12)/FT_Int2))),IF(AP47="PT",IF(BF47&lt;PT_First,0,1+INT((BF47-PT_First)/PT_Int)),0))+IF(AND(AI47&gt;=2,AK47&lt;=EOMONTH(AsOfDate,-1)),IF(AQ47="FT",IF(BG47&lt;FT_First,0,IF(BG47&lt;FT_Y5,1+INT((BG47-FT_First)/FT_Int1),FT_PreY5+FT_PerYear*INT((BG47-FT_Y5)/12)+FT_AnnivDays+INT(MOD(BG47-FT_Y5,12)/FT_Int2))),IF(AQ47="PT",IF(BG47&lt;PT_First,0,1+INT((BG47-PT_First)/PT_Int)),0))-IF(AQ47="FT",IF(BF47&lt;FT_First,0,IF(BF47&lt;FT_Y5,1+INT((BF47-FT_First)/FT_Int1),FT_PreY5+FT_PerYear*INT((BF47-FT_Y5)/12)+FT_AnnivDays+INT(MOD(BF47-FT_Y5,12)/FT_Int2))),IF(AQ47="PT",IF(BF47&lt;PT_First,0,1+INT((BF47-PT_First)/PT_Int)),0)),0)+IF(AND(AI47&gt;=3,AL47&lt;=EOMONTH(AsOfDate,-1)),IF(AR47="FT",IF(BE47&lt;FT_First,0,IF(BE47&lt;FT_Y5,1+INT((BE47-FT_First)/FT_Int1),FT_PreY5+FT_PerYear*INT((BE47-FT_Y5)/12)+FT_AnnivDays+INT(MOD(BE47-FT_Y5,12)/FT_Int2))),IF(AR47="PT",IF(BE47&lt;PT_First,0,1+INT((BE47-PT_First)/PT_Int)),0))-IF(AR47="FT",IF(BG47&lt;FT_First,0,IF(BG47&lt;FT_Y5,1+INT((BG47-FT_First)/FT_Int1),FT_PreY5+FT_PerYear*INT((BG47-FT_Y5)/12)+FT_AnnivDays+INT(MOD(BG47-FT_Y5,12)/FT_Int2))),IF(AR47="PT",IF(BG47&lt;PT_First,0,1+INT((BG47-PT_First)/PT_Int)),0)),0))</f>
        <v/>
      </c>
      <c r="BI47" s="14" t="str">
        <f aca="false">IF(AG47=0,"",IF(AS47="FT",IF(AT47&lt;FT_First,"",IF(AT47&lt;FT_Y5,FT_First+FT_Int1*INT((AT47-FT_First)/FT_Int1),FT_Y5+FT_Int2*INT((AT47-FT_Y5)/FT_Int2))),IF(AS47="PT",IF(AT47&lt;PT_First,"",PT_First+PT_Int*INT((AT47-PT_First)/PT_Int)),"")))</f>
        <v/>
      </c>
      <c r="BJ47" s="0" t="str">
        <f aca="false">IF(LEN($A47&amp;$B47)=0,"",$A47&amp;" "&amp;$B47)</f>
        <v/>
      </c>
    </row>
    <row r="48" customFormat="false" ht="15" hidden="false" customHeight="false" outlineLevel="0" collapsed="false">
      <c r="A48" s="10"/>
      <c r="B48" s="10"/>
      <c r="C48" s="10"/>
      <c r="D48" s="11"/>
      <c r="E48" s="12" t="str">
        <f aca="false">IF(OR(AG48=0,$D48=""),"",DATE(YEAR(AsOfDate)+IF(DATE(YEAR(AsOfDate),MONTH($D48),DAY($D48))&lt;=AsOfDate,1,0),MONTH($D48),DAY($D48)))</f>
        <v/>
      </c>
      <c r="F48" s="11"/>
      <c r="G48" s="11"/>
      <c r="H48" s="11"/>
      <c r="I48" s="11"/>
      <c r="J48" s="11"/>
      <c r="K48" s="12" t="str">
        <f aca="false">IF(AG48=0,"",DATE(YEAR(AsOfDate)+IF(DATE(YEAR(AsOfDate),MONTH(AH48),DAY(AH48))&lt;=AsOfDate,1,0),MONTH(AH48),DAY(AH48)))</f>
        <v/>
      </c>
      <c r="L48" s="13" t="str">
        <f aca="false">IF(AG48=0,"",ROUND((AsOfDate-AH48)/365.25,1))</f>
        <v/>
      </c>
      <c r="M48" s="14" t="str">
        <f aca="false">IF(AG48=0,"",IF(AsOfDate&lt;AH48,"-",DATEDIF(AH48,AsOfDate,"y")&amp;"y "&amp;DATEDIF(AH48,AsOfDate,"ym")&amp;"m "&amp;DATEDIF(AH48,AsOfDate,"md")&amp;"d"))</f>
        <v/>
      </c>
      <c r="N48" s="15" t="str">
        <f aca="false">IF(AG48=0,"",O48*HoursPerDay)</f>
        <v/>
      </c>
      <c r="O48" s="15" t="str">
        <f aca="false">IF(AG48=0,"",AZ48)</f>
        <v/>
      </c>
      <c r="P48" s="16"/>
      <c r="Q48" s="14" t="str">
        <f aca="false">IF(AG48=0,"",IF(AI48&lt;2,"",AM48&amp;" to "&amp;AN48&amp;" on "&amp;TEXT(AK48,"dd/mm/yyyy")&amp;IF(AK48&gt;AsOfDate," (future)",IF(AP48=AQ48,"",IF(AQ48="None"," - STOPPED accruing",IF(AP48="None"," - commencement for Bonus Leave"," - pathway changed"))))&amp;IF(AI48&lt;3,"","; "&amp;AN48&amp;" to "&amp;AO48&amp;" on "&amp;TEXT(AL48,"dd/mm/yyyy")&amp;IF(AL48&gt;AsOfDate," (future)",IF(AQ48=AR48,"",IF(AR48="None"," - STOPPED accruing",IF(AQ48="None"," - commencement for Bonus Leave"," - pathway changed")))))))</f>
        <v/>
      </c>
      <c r="R48" s="14" t="str">
        <f aca="false">IF(AG48=0,"",IF(AS48="None",IF(O48&gt;0,"No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2" t="str">
        <f aca="false">IF(AG48=0,"",IF(AS48="None","",EDATE(AH48,BB48)))</f>
        <v/>
      </c>
      <c r="T48" s="15" t="str">
        <f aca="false">IF(AG48=0,"",IF(NOT(LH_Ready),"",IF(AH48&gt;PFYDate,0,IF(LH_ColPeriod=0,W48-U48+V48,SUMIFS(INDEX(LH_Data,0,LH_ColAcc),INDEX(LH_Data,0,LH_ColFirst),$A48,INDEX(LH_Data,0,LH_ColSur),$B48,INDEX(LH_Data,0,LH_ColCat),BonusCat,INDEX(LH_Data,0,LH_ColPeriod),LH_OpenLabel)*UnitFactor))))</f>
        <v/>
      </c>
      <c r="U48" s="15" t="str">
        <f aca="false">IF(AG48=0,"",IF(NOT(LH_Ready),"",SUMIFS(INDEX(LH_Data,0,LH_ColAcc),INDEX(LH_Data,0,LH_ColFirst),$A48,INDEX(LH_Data,0,LH_ColSur),$B48,INDEX(LH_Data,0,LH_ColCat),BonusCat,INDEX(LH_Data,0,LH_ColStart),"&gt;="&amp;AH48)*UnitFactor))</f>
        <v/>
      </c>
      <c r="V48" s="15" t="str">
        <f aca="false">IF(AG48=0,"",IF(NOT(LH_Ready),"",SUMIFS(INDEX(LH_Data,0,LH_ColTaken),INDEX(LH_Data,0,LH_ColFirst),$A48,INDEX(LH_Data,0,LH_ColSur),$B48,INDEX(LH_Data,0,LH_ColCat),BonusCat,INDEX(LH_Data,0,LH_ColStart),"&gt;="&amp;AH48)*UnitFactor))</f>
        <v/>
      </c>
      <c r="W48" s="15" t="str">
        <f aca="false">IF(AG48=0,"",IF(NOT(LH_Ready),"",IF(BD48=0,0,INDEX(INDEX(LH_Data,0,LH_ColClose),BD48-1)*UnitFactor)))</f>
        <v/>
      </c>
      <c r="X48" s="15" t="str">
        <f aca="false">IF(AG48=0,"",(AZ48-BA48)*HoursPerDay)</f>
        <v/>
      </c>
      <c r="Y48" s="15" t="str">
        <f aca="false">IF(AG48=0,"",IF(NOT(LH_Ready),"",IF(BC48=0,N48,IF(PFYDate&lt;$F48,N48-N(T48)-N(U48),X48-N(U48)))))</f>
        <v/>
      </c>
      <c r="Z48" s="14" t="str">
        <f aca="false">IF(OR(AG48=0,Y48=""),"",IF(Y48&gt;0,"Yes","No"))</f>
        <v/>
      </c>
      <c r="AA48" s="14" t="str">
        <f aca="false">IF(AG48=0,IF(LEN($A48&amp;$B48)=0,"","FIX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month")&amp;IF(BC48=0,";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EH)",""),IF(AS48="None",R48,"Not yet - first day on "&amp;TEXT(S48,"dd/mm/yyyy")))))))))</f>
        <v/>
      </c>
      <c r="AB48" s="15" t="str">
        <f aca="false">IF(OR(AG48=0,T48=""),"",BA48*HoursPerDay-T48)</f>
        <v/>
      </c>
      <c r="AC48" s="14" t="str">
        <f aca="false">IF(AG48=0,"",BC48)</f>
        <v/>
      </c>
      <c r="AD48" s="14" t="str">
        <f aca="false">IF(AG48=0,"",TRIM(IF(OR(ISTEXT($F48),ISTEXT($H48),ISTEXT($I48),ISTEXT($G48),ISTEXT($J48),ISTEXT($D48)),"A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I48&gt;=1,IF(AI48&gt;=3,AO48,IF(AI48=2,AN48,AM48))&lt;&gt;IF($C48="","",IF(OR(ISNUMBER(SEARCH("full",$C48)),UPPER(TRIM($C48))="FT",UPPER(TRIM($C48))="FTE"),"Full-Time",IF(OR(ISNUMBER(SEARCH("part",$C48)),UPPER(TRIM($C48))="PT",UPPER(TRIM($C48))="PTE"),"Part-Time",IF(OR(ISNUMBER(SEARCH("cas",$C48)),UPPER(TRIM($C48))="CAS"),"Casual","Unknown"))))),"EmploymentType does not match latest start date ("&amp;IF(AI48&gt;=3,AO48,IF(AI48=2,AN48,AM48))&amp;"). ","")&amp;IF(AND(AI48&gt;=1,AJ48&lt;&gt;$F48),"Earliest type date should equal StartDate. ","")&amp;IF(AND(AI48&gt;=2,AJ48=AK48),"Two types start on the same date. ","")&amp;IF(AND(OR(ISNUMBER(SEARCH("part",$C48)),UPPER(TRIM($C48))="PT",UPPER(TRIM($C48))="PTE"),$P48=""),"Part-time: enter PT Hrs/Week (blank = 24+). ","")))</f>
        <v/>
      </c>
      <c r="AE48" s="15" t="str">
        <f aca="false">IF(AG48=0,"",O48-BH48)</f>
        <v/>
      </c>
      <c r="AF48" s="12" t="str">
        <f aca="false">IF(OR(AG48=0,AE48="",N(AE48)=0,BI48=""),"",EDATE(AH48,BI48))</f>
        <v/>
      </c>
      <c r="AG48" s="14" t="n">
        <f aca="false">IF(OR(LEN($A48&amp;$B48)=0,$F48=""),0,1)</f>
        <v>0</v>
      </c>
      <c r="AH48" s="12" t="str">
        <f aca="false">IF(AG48=0,"",IF($J48&lt;&gt;"",$J48,IF(OR(CasualCounts="Yes",COUNT($G48:$I48)=0,COUNT($H48:$I48)=0),$F48,MIN($H48:$I48))))</f>
        <v/>
      </c>
      <c r="AI48" s="14" t="str">
        <f aca="false">IF(AG48=0,"",COUNT($G48:$I48))</f>
        <v/>
      </c>
      <c r="AJ48" s="12" t="str">
        <f aca="false">IF(AG48=0,"",IFERROR(SMALL($G48:$I48,1),""))</f>
        <v/>
      </c>
      <c r="AK48" s="12" t="str">
        <f aca="false">IF(AG48=0,"",IFERROR(SMALL($G48:$I48,2),""))</f>
        <v/>
      </c>
      <c r="AL48" s="12" t="str">
        <f aca="false">IF(AG48=0,"",IFERROR(SMALL($G48:$I48,3),""))</f>
        <v/>
      </c>
      <c r="AM48" s="14" t="str">
        <f aca="false">IF(AG48=0,"",IF(AJ48="","",IF(AJ48=$H48,"Part-Time",IF(AJ48=$I48,"Full-Time","Casual"))))</f>
        <v/>
      </c>
      <c r="AN48" s="14" t="str">
        <f aca="false">IF(AG48=0,"",IF(AK48="","",IF(AK48=$H48,"Part-Time",IF(AK48=$I48,"Full-Time","Casual"))))</f>
        <v/>
      </c>
      <c r="AO48" s="14" t="str">
        <f aca="false">IF(AG48=0,"",IF(AL48="","",IF(AL48=$H48,"Part-Time",IF(AL48=$I48,"Full-Time","Casual"))))</f>
        <v/>
      </c>
      <c r="AP48" s="14" t="str">
        <f aca="false">IF(AG48=0,"",IF(AI48=0,IF(OR(ISNUMBER(SEARCH("full",$C48)),UPPER(TRIM($C48))="FT",UPPER(TRIM($C48))="FTE"),"FT",IF(AND(OR(ISNUMBER(SEARCH("part",$C48)),UPPER(TRIM($C48))="PT",UPPER(TRIM($C48))="PTE"),OR($P48="",N($P48)&gt;=PT_MinHours)),"PT","None")),IF(OR(ISNUMBER(SEARCH("full",AM48)),UPPER(TRIM(AM48))="FT",UPPER(TRIM(AM48))="FTE"),"FT",IF(AND(OR(ISNUMBER(SEARCH("part",AM48)),UPPER(TRIM(AM48))="PT",UPPER(TRIM(AM48))="PTE"),OR($P48="",N($P48)&gt;=PT_MinHours)),"PT","None"))))</f>
        <v/>
      </c>
      <c r="AQ48" s="14" t="str">
        <f aca="false">IF(AG48=0,"",IF(AI48&lt;2,"",IF(OR(ISNUMBER(SEARCH("full",AN48)),UPPER(TRIM(AN48))="FT",UPPER(TRIM(AN48))="FTE"),"FT",IF(AND(OR(ISNUMBER(SEARCH("part",AN48)),UPPER(TRIM(AN48))="PT",UPPER(TRIM(AN48))="PTE"),OR($P48="",N($P48)&gt;=PT_MinHours)),"PT","None"))))</f>
        <v/>
      </c>
      <c r="AR48" s="14" t="str">
        <f aca="false">IF(AG48=0,"",IF(AI48&lt;3,"",IF(OR(ISNUMBER(SEARCH("full",AO48)),UPPER(TRIM(AO48))="FT",UPPER(TRIM(AO48))="FTE"),"FT",IF(AND(OR(ISNUMBER(SEARCH("part",AO48)),UPPER(TRIM(AO48))="PT",UPPER(TRIM(AO48))="PTE"),OR($P48="",N($P48)&gt;=PT_MinHours)),"PT","None"))))</f>
        <v/>
      </c>
      <c r="AS48" s="14" t="str">
        <f aca="false">IF(AG48=0,"",IF(AND(AI48&gt;=3,AL48&lt;=AsOfDate),AR48,IF(AND(AI48&gt;=2,AK48&lt;=AsOfDate),AQ48,AP48)))</f>
        <v/>
      </c>
      <c r="AT48" s="14" t="str">
        <f aca="false">IF(AG48=0,"",IF(AsOfDate&lt;AH48,-1,12*(YEAR(AsOfDate)-YEAR(AH48))+MONTH(AsOfDate)-MONTH(AH48)-IF(DAY(AsOfDate)&lt;MIN(DAY(AH48),DAY(EOMONTH(AsOfDate,0))),1,0)))</f>
        <v/>
      </c>
      <c r="AU48" s="14" t="str">
        <f aca="false">IF(AG48=0,"",IF(OR(AI48&lt;2,AK48&gt;AsOfDate),AT48,IF((AK48-1)&lt;AH48,-1,12*(YEAR((AK48-1))-YEAR(AH48))+MONTH((AK48-1))-MONTH(AH48)-IF(DAY((AK48-1))&lt;MIN(DAY(AH48),DAY(EOMONTH((AK48-1),0))),1,0))))</f>
        <v/>
      </c>
      <c r="AV48" s="14" t="str">
        <f aca="false">IF(AG48=0,"",IF(OR(AI48&lt;3,AL48&gt;AsOfDate),AT48,IF((AL48-1)&lt;AH48,-1,12*(YEAR((AL48-1))-YEAR(AH48))+MONTH((AL48-1))-MONTH(AH48)-IF(DAY((AL48-1))&lt;MIN(DAY(AH48),DAY(EOMONTH((AL48-1),0))),1,0))))</f>
        <v/>
      </c>
      <c r="AW48" s="14" t="str">
        <f aca="false">IF(AG48=0,"",IF(PFYDate&lt;AH48,-1,12*(YEAR(PFYDate)-YEAR(AH48))+MONTH(PFYDate)-MONTH(AH48)-IF(DAY(PFYDate)&lt;MIN(DAY(AH48),DAY(EOMONTH(PFYDate,0))),1,0)))</f>
        <v/>
      </c>
      <c r="AX48" s="14" t="str">
        <f aca="false">IF(AG48=0,"",IF(OR(AI48&lt;2,AK48&gt;PFYDate),AW48,IF((AK48-1)&lt;AH48,-1,12*(YEAR((AK48-1))-YEAR(AH48))+MONTH((AK48-1))-MONTH(AH48)-IF(DAY((AK48-1))&lt;MIN(DAY(AH48),DAY(EOMONTH((AK48-1),0))),1,0))))</f>
        <v/>
      </c>
      <c r="AY48" s="14" t="str">
        <f aca="false">IF(AG48=0,"",IF(OR(AI48&lt;3,AL48&gt;PFYDate),AW48,IF((AL48-1)&lt;AH48,-1,12*(YEAR((AL48-1))-YEAR(AH48))+MONTH((AL48-1))-MONTH(AH48)-IF(DAY((AL48-1))&lt;MIN(DAY(AH48),DAY(EOMONTH((AL48-1),0))),1,0))))</f>
        <v/>
      </c>
      <c r="AZ48" s="14" t="str">
        <f aca="false">IF(AG48=0,"",IF(AP48="FT",IF(AU48&lt;FT_First,0,IF(AU48&lt;FT_Y5,1+INT((AU48-FT_First)/FT_Int1),FT_PreY5+FT_PerYear*INT((AU48-FT_Y5)/12)+FT_AnnivDays+INT(MOD(AU48-FT_Y5,12)/FT_Int2))),IF(AP48="PT",IF(AU48&lt;PT_First,0,1+INT((AU48-PT_First)/PT_Int)),0))+IF(AND(AI48&gt;=2,AK48&lt;=AsOfDate),IF(AQ48="FT",IF(AV48&lt;FT_First,0,IF(AV48&lt;FT_Y5,1+INT((AV48-FT_First)/FT_Int1),FT_PreY5+FT_PerYear*INT((AV48-FT_Y5)/12)+FT_AnnivDays+INT(MOD(AV48-FT_Y5,12)/FT_Int2))),IF(AQ48="PT",IF(AV48&lt;PT_First,0,1+INT((AV48-PT_First)/PT_Int)),0))-IF(AQ48="FT",IF(AU48&lt;FT_First,0,IF(AU48&lt;FT_Y5,1+INT((AU48-FT_First)/FT_Int1),FT_PreY5+FT_PerYear*INT((AU48-FT_Y5)/12)+FT_AnnivDays+INT(MOD(AU48-FT_Y5,12)/FT_Int2))),IF(AQ48="PT",IF(AU48&lt;PT_First,0,1+INT((AU48-PT_First)/PT_Int)),0)),0)+IF(AND(AI48&gt;=3,AL48&lt;=AsOfDate),IF(AR48="FT",IF(AT48&lt;FT_First,0,IF(AT48&lt;FT_Y5,1+INT((AT48-FT_First)/FT_Int1),FT_PreY5+FT_PerYear*INT((AT48-FT_Y5)/12)+FT_AnnivDays+INT(MOD(AT48-FT_Y5,12)/FT_Int2))),IF(AR48="PT",IF(AT48&lt;PT_First,0,1+INT((AT48-PT_First)/PT_Int)),0))-IF(AR48="FT",IF(AV48&lt;FT_First,0,IF(AV48&lt;FT_Y5,1+INT((AV48-FT_First)/FT_Int1),FT_PreY5+FT_PerYear*INT((AV48-FT_Y5)/12)+FT_AnnivDays+INT(MOD(AV48-FT_Y5,12)/FT_Int2))),IF(AR48="PT",IF(AV48&lt;PT_First,0,1+INT((AV48-PT_First)/PT_Int)),0)),0))</f>
        <v/>
      </c>
      <c r="BA48" s="14" t="str">
        <f aca="false">IF(AG48=0,"",IF(AP48="FT",IF(AX48&lt;FT_First,0,IF(AX48&lt;FT_Y5,1+INT((AX48-FT_First)/FT_Int1),FT_PreY5+FT_PerYear*INT((AX48-FT_Y5)/12)+FT_AnnivDays+INT(MOD(AX48-FT_Y5,12)/FT_Int2))),IF(AP48="PT",IF(AX48&lt;PT_First,0,1+INT((AX48-PT_First)/PT_Int)),0))+IF(AND(AI48&gt;=2,AK48&lt;=PFYDate),IF(AQ48="FT",IF(AY48&lt;FT_First,0,IF(AY48&lt;FT_Y5,1+INT((AY48-FT_First)/FT_Int1),FT_PreY5+FT_PerYear*INT((AY48-FT_Y5)/12)+FT_AnnivDays+INT(MOD(AY48-FT_Y5,12)/FT_Int2))),IF(AQ48="PT",IF(AY48&lt;PT_First,0,1+INT((AY48-PT_First)/PT_Int)),0))-IF(AQ48="FT",IF(AX48&lt;FT_First,0,IF(AX48&lt;FT_Y5,1+INT((AX48-FT_First)/FT_Int1),FT_PreY5+FT_PerYear*INT((AX48-FT_Y5)/12)+FT_AnnivDays+INT(MOD(AX48-FT_Y5,12)/FT_Int2))),IF(AQ48="PT",IF(AX48&lt;PT_First,0,1+INT((AX48-PT_First)/PT_Int)),0)),0)+IF(AND(AI48&gt;=3,AL48&lt;=PFYDate),IF(AR48="FT",IF(AW48&lt;FT_First,0,IF(AW48&lt;FT_Y5,1+INT((AW48-FT_First)/FT_Int1),FT_PreY5+FT_PerYear*INT((AW48-FT_Y5)/12)+FT_AnnivDays+INT(MOD(AW48-FT_Y5,12)/FT_Int2))),IF(AR48="PT",IF(AW48&lt;PT_First,0,1+INT((AW48-PT_First)/PT_Int)),0))-IF(AR48="FT",IF(AY48&lt;FT_First,0,IF(AY48&lt;FT_Y5,1+INT((AY48-FT_First)/FT_Int1),FT_PreY5+FT_PerYear*INT((AY48-FT_Y5)/12)+FT_AnnivDays+INT(MOD(AY48-FT_Y5,12)/FT_Int2))),IF(AR48="PT",IF(AY48&lt;PT_First,0,1+INT((AY48-PT_First)/PT_Int)),0)),0))</f>
        <v/>
      </c>
      <c r="BB48" s="14" t="str">
        <f aca="false">IF(AG48=0,"",IF(AS48="FT",IF(AT48&lt;FT_First,FT_First,IF(AT48&lt;FT_Y5,MIN(FT_Y5,FT_First+FT_Int1*(INT((AT48-FT_First)/FT_Int1)+1)),FT_Y5+12*INT((AT48-FT_Y5)/12)+FT_Int2*(INT(MOD(AT48-FT_Y5,12)/FT_Int2)+1))),IF(AS48="PT",IF(AT48&lt;PT_First,PT_First,PT_First+PT_Int*(INT((AT48-PT_First)/PT_Int)+1)),"")))</f>
        <v/>
      </c>
      <c r="BC48" s="14" t="str">
        <f aca="false">IF(AG48=0,"",IF(NOT(LH_Ready),0,COUNTIFS(INDEX(LH_Data,0,LH_ColFirst),$A48,INDEX(LH_Data,0,LH_ColSur),$B48,INDEX(LH_Data,0,LH_ColCat),BonusCat)))</f>
        <v/>
      </c>
      <c r="BD48" s="14" t="str">
        <f aca="false">IF(AG48=0,"",IF(OR(NOT(LH_Ready),BC48=0),0,SUMPRODUCT(MAX((INDEX(LH_Data,0,LH_ColFirst)=$A48)*(INDEX(LH_Data,0,LH_ColSur)=$B48)*(INDEX(LH_Data,0,LH_ColCat)=BonusCat)*ROW(LH_Data)))))</f>
        <v/>
      </c>
      <c r="BE48" s="14" t="str">
        <f aca="false">IF(AG48=0,"",IF(EOMONTH(AsOfDate,-1)&lt;AH48,-1,12*(YEAR(EOMONTH(AsOfDate,-1))-YEAR(AH48))+MONTH(EOMONTH(AsOfDate,-1))-MONTH(AH48)-IF(DAY(EOMONTH(AsOfDate,-1))&lt;MIN(DAY(AH48),DAY(EOMONTH(EOMONTH(AsOfDate,-1),0))),1,0)))</f>
        <v/>
      </c>
      <c r="BF48" s="14" t="str">
        <f aca="false">IF(AG48=0,"",IF(OR(AI48&lt;2,AK48&gt;EOMONTH(AsOfDate,-1)),BE48,IF((AK48-1)&lt;AH48,-1,12*(YEAR((AK48-1))-YEAR(AH48))+MONTH((AK48-1))-MONTH(AH48)-IF(DAY((AK48-1))&lt;MIN(DAY(AH48),DAY(EOMONTH((AK48-1),0))),1,0))))</f>
        <v/>
      </c>
      <c r="BG48" s="14" t="str">
        <f aca="false">IF(AG48=0,"",IF(OR(AI48&lt;3,AL48&gt;EOMONTH(AsOfDate,-1)),BE48,IF((AL48-1)&lt;AH48,-1,12*(YEAR((AL48-1))-YEAR(AH48))+MONTH((AL48-1))-MONTH(AH48)-IF(DAY((AL48-1))&lt;MIN(DAY(AH48),DAY(EOMONTH((AL48-1),0))),1,0))))</f>
        <v/>
      </c>
      <c r="BH48" s="14" t="str">
        <f aca="false">IF(AG48=0,"",IF(AP48="FT",IF(BF48&lt;FT_First,0,IF(BF48&lt;FT_Y5,1+INT((BF48-FT_First)/FT_Int1),FT_PreY5+FT_PerYear*INT((BF48-FT_Y5)/12)+FT_AnnivDays+INT(MOD(BF48-FT_Y5,12)/FT_Int2))),IF(AP48="PT",IF(BF48&lt;PT_First,0,1+INT((BF48-PT_First)/PT_Int)),0))+IF(AND(AI48&gt;=2,AK48&lt;=EOMONTH(AsOfDate,-1)),IF(AQ48="FT",IF(BG48&lt;FT_First,0,IF(BG48&lt;FT_Y5,1+INT((BG48-FT_First)/FT_Int1),FT_PreY5+FT_PerYear*INT((BG48-FT_Y5)/12)+FT_AnnivDays+INT(MOD(BG48-FT_Y5,12)/FT_Int2))),IF(AQ48="PT",IF(BG48&lt;PT_First,0,1+INT((BG48-PT_First)/PT_Int)),0))-IF(AQ48="FT",IF(BF48&lt;FT_First,0,IF(BF48&lt;FT_Y5,1+INT((BF48-FT_First)/FT_Int1),FT_PreY5+FT_PerYear*INT((BF48-FT_Y5)/12)+FT_AnnivDays+INT(MOD(BF48-FT_Y5,12)/FT_Int2))),IF(AQ48="PT",IF(BF48&lt;PT_First,0,1+INT((BF48-PT_First)/PT_Int)),0)),0)+IF(AND(AI48&gt;=3,AL48&lt;=EOMONTH(AsOfDate,-1)),IF(AR48="FT",IF(BE48&lt;FT_First,0,IF(BE48&lt;FT_Y5,1+INT((BE48-FT_First)/FT_Int1),FT_PreY5+FT_PerYear*INT((BE48-FT_Y5)/12)+FT_AnnivDays+INT(MOD(BE48-FT_Y5,12)/FT_Int2))),IF(AR48="PT",IF(BE48&lt;PT_First,0,1+INT((BE48-PT_First)/PT_Int)),0))-IF(AR48="FT",IF(BG48&lt;FT_First,0,IF(BG48&lt;FT_Y5,1+INT((BG48-FT_First)/FT_Int1),FT_PreY5+FT_PerYear*INT((BG48-FT_Y5)/12)+FT_AnnivDays+INT(MOD(BG48-FT_Y5,12)/FT_Int2))),IF(AR48="PT",IF(BG48&lt;PT_First,0,1+INT((BG48-PT_First)/PT_Int)),0)),0))</f>
        <v/>
      </c>
      <c r="BI48" s="14" t="str">
        <f aca="false">IF(AG48=0,"",IF(AS48="FT",IF(AT48&lt;FT_First,"",IF(AT48&lt;FT_Y5,FT_First+FT_Int1*INT((AT48-FT_First)/FT_Int1),FT_Y5+FT_Int2*INT((AT48-FT_Y5)/FT_Int2))),IF(AS48="PT",IF(AT48&lt;PT_First,"",PT_First+PT_Int*INT((AT48-PT_First)/PT_Int)),"")))</f>
        <v/>
      </c>
      <c r="BJ48" s="0" t="str">
        <f aca="false">IF(LEN($A48&amp;$B48)=0,"",$A48&amp;" "&amp;$B48)</f>
        <v/>
      </c>
    </row>
    <row r="49" customFormat="false" ht="15" hidden="false" customHeight="false" outlineLevel="0" collapsed="false">
      <c r="A49" s="10"/>
      <c r="B49" s="10"/>
      <c r="C49" s="10"/>
      <c r="D49" s="11"/>
      <c r="E49" s="12" t="str">
        <f aca="false">IF(OR(AG49=0,$D49=""),"",DATE(YEAR(AsOfDate)+IF(DATE(YEAR(AsOfDate),MONTH($D49),DAY($D49))&lt;=AsOfDate,1,0),MONTH($D49),DAY($D49)))</f>
        <v/>
      </c>
      <c r="F49" s="11"/>
      <c r="G49" s="11"/>
      <c r="H49" s="11"/>
      <c r="I49" s="11"/>
      <c r="J49" s="11"/>
      <c r="K49" s="12" t="str">
        <f aca="false">IF(AG49=0,"",DATE(YEAR(AsOfDate)+IF(DATE(YEAR(AsOfDate),MONTH(AH49),DAY(AH49))&lt;=AsOfDate,1,0),MONTH(AH49),DAY(AH49)))</f>
        <v/>
      </c>
      <c r="L49" s="13" t="str">
        <f aca="false">IF(AG49=0,"",ROUND((AsOfDate-AH49)/365.25,1))</f>
        <v/>
      </c>
      <c r="M49" s="14" t="str">
        <f aca="false">IF(AG49=0,"",IF(AsOfDate&lt;AH49,"-",DATEDIF(AH49,AsOfDate,"y")&amp;"y "&amp;DATEDIF(AH49,AsOfDate,"ym")&amp;"m "&amp;DATEDIF(AH49,AsOfDate,"md")&amp;"d"))</f>
        <v/>
      </c>
      <c r="N49" s="15" t="str">
        <f aca="false">IF(AG49=0,"",O49*HoursPerDay)</f>
        <v/>
      </c>
      <c r="O49" s="15" t="str">
        <f aca="false">IF(AG49=0,"",AZ49)</f>
        <v/>
      </c>
      <c r="P49" s="16"/>
      <c r="Q49" s="14" t="str">
        <f aca="false">IF(AG49=0,"",IF(AI49&lt;2,"",AM49&amp;" to "&amp;AN49&amp;" on "&amp;TEXT(AK49,"dd/mm/yyyy")&amp;IF(AK49&gt;AsOfDate," (future)",IF(AP49=AQ49,"",IF(AQ49="None"," - STOPPED accruing",IF(AP49="None"," - commencement for Bonus Leave"," - pathway changed"))))&amp;IF(AI49&lt;3,"","; "&amp;AN49&amp;" to "&amp;AO49&amp;" on "&amp;TEXT(AL49,"dd/mm/yyyy")&amp;IF(AL49&gt;AsOfDate," (future)",IF(AQ49=AR49,"",IF(AR49="None"," - STOPPED accruing",IF(AQ49="None"," - commencement for Bonus Leave"," - pathway changed")))))))</f>
        <v/>
      </c>
      <c r="R49" s="14" t="str">
        <f aca="false">IF(AG49=0,"",IF(AS49="None",IF(O49&gt;0,"No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2" t="str">
        <f aca="false">IF(AG49=0,"",IF(AS49="None","",EDATE(AH49,BB49)))</f>
        <v/>
      </c>
      <c r="T49" s="15" t="str">
        <f aca="false">IF(AG49=0,"",IF(NOT(LH_Ready),"",IF(AH49&gt;PFYDate,0,IF(LH_ColPeriod=0,W49-U49+V49,SUMIFS(INDEX(LH_Data,0,LH_ColAcc),INDEX(LH_Data,0,LH_ColFirst),$A49,INDEX(LH_Data,0,LH_ColSur),$B49,INDEX(LH_Data,0,LH_ColCat),BonusCat,INDEX(LH_Data,0,LH_ColPeriod),LH_OpenLabel)*UnitFactor))))</f>
        <v/>
      </c>
      <c r="U49" s="15" t="str">
        <f aca="false">IF(AG49=0,"",IF(NOT(LH_Ready),"",SUMIFS(INDEX(LH_Data,0,LH_ColAcc),INDEX(LH_Data,0,LH_ColFirst),$A49,INDEX(LH_Data,0,LH_ColSur),$B49,INDEX(LH_Data,0,LH_ColCat),BonusCat,INDEX(LH_Data,0,LH_ColStart),"&gt;="&amp;AH49)*UnitFactor))</f>
        <v/>
      </c>
      <c r="V49" s="15" t="str">
        <f aca="false">IF(AG49=0,"",IF(NOT(LH_Ready),"",SUMIFS(INDEX(LH_Data,0,LH_ColTaken),INDEX(LH_Data,0,LH_ColFirst),$A49,INDEX(LH_Data,0,LH_ColSur),$B49,INDEX(LH_Data,0,LH_ColCat),BonusCat,INDEX(LH_Data,0,LH_ColStart),"&gt;="&amp;AH49)*UnitFactor))</f>
        <v/>
      </c>
      <c r="W49" s="15" t="str">
        <f aca="false">IF(AG49=0,"",IF(NOT(LH_Ready),"",IF(BD49=0,0,INDEX(INDEX(LH_Data,0,LH_ColClose),BD49-1)*UnitFactor)))</f>
        <v/>
      </c>
      <c r="X49" s="15" t="str">
        <f aca="false">IF(AG49=0,"",(AZ49-BA49)*HoursPerDay)</f>
        <v/>
      </c>
      <c r="Y49" s="15" t="str">
        <f aca="false">IF(AG49=0,"",IF(NOT(LH_Ready),"",IF(BC49=0,N49,IF(PFYDate&lt;$F49,N49-N(T49)-N(U49),X49-N(U49)))))</f>
        <v/>
      </c>
      <c r="Z49" s="14" t="str">
        <f aca="false">IF(OR(AG49=0,Y49=""),"",IF(Y49&gt;0,"Yes","No"))</f>
        <v/>
      </c>
      <c r="AA49" s="14" t="str">
        <f aca="false">IF(AG49=0,IF(LEN($A49&amp;$B49)=0,"","FIX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month")&amp;IF(BC49=0,";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EH)",""),IF(AS49="None",R49,"Not yet - first day on "&amp;TEXT(S49,"dd/mm/yyyy")))))))))</f>
        <v/>
      </c>
      <c r="AB49" s="15" t="str">
        <f aca="false">IF(OR(AG49=0,T49=""),"",BA49*HoursPerDay-T49)</f>
        <v/>
      </c>
      <c r="AC49" s="14" t="str">
        <f aca="false">IF(AG49=0,"",BC49)</f>
        <v/>
      </c>
      <c r="AD49" s="14" t="str">
        <f aca="false">IF(AG49=0,"",TRIM(IF(OR(ISTEXT($F49),ISTEXT($H49),ISTEXT($I49),ISTEXT($G49),ISTEXT($J49),ISTEXT($D49)),"A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I49&gt;=1,IF(AI49&gt;=3,AO49,IF(AI49=2,AN49,AM49))&lt;&gt;IF($C49="","",IF(OR(ISNUMBER(SEARCH("full",$C49)),UPPER(TRIM($C49))="FT",UPPER(TRIM($C49))="FTE"),"Full-Time",IF(OR(ISNUMBER(SEARCH("part",$C49)),UPPER(TRIM($C49))="PT",UPPER(TRIM($C49))="PTE"),"Part-Time",IF(OR(ISNUMBER(SEARCH("cas",$C49)),UPPER(TRIM($C49))="CAS"),"Casual","Unknown"))))),"EmploymentType does not match latest start date ("&amp;IF(AI49&gt;=3,AO49,IF(AI49=2,AN49,AM49))&amp;"). ","")&amp;IF(AND(AI49&gt;=1,AJ49&lt;&gt;$F49),"Earliest type date should equal StartDate. ","")&amp;IF(AND(AI49&gt;=2,AJ49=AK49),"Two types start on the same date. ","")&amp;IF(AND(OR(ISNUMBER(SEARCH("part",$C49)),UPPER(TRIM($C49))="PT",UPPER(TRIM($C49))="PTE"),$P49=""),"Part-time: enter PT Hrs/Week (blank = 24+). ","")))</f>
        <v/>
      </c>
      <c r="AE49" s="15" t="str">
        <f aca="false">IF(AG49=0,"",O49-BH49)</f>
        <v/>
      </c>
      <c r="AF49" s="12" t="str">
        <f aca="false">IF(OR(AG49=0,AE49="",N(AE49)=0,BI49=""),"",EDATE(AH49,BI49))</f>
        <v/>
      </c>
      <c r="AG49" s="14" t="n">
        <f aca="false">IF(OR(LEN($A49&amp;$B49)=0,$F49=""),0,1)</f>
        <v>0</v>
      </c>
      <c r="AH49" s="12" t="str">
        <f aca="false">IF(AG49=0,"",IF($J49&lt;&gt;"",$J49,IF(OR(CasualCounts="Yes",COUNT($G49:$I49)=0,COUNT($H49:$I49)=0),$F49,MIN($H49:$I49))))</f>
        <v/>
      </c>
      <c r="AI49" s="14" t="str">
        <f aca="false">IF(AG49=0,"",COUNT($G49:$I49))</f>
        <v/>
      </c>
      <c r="AJ49" s="12" t="str">
        <f aca="false">IF(AG49=0,"",IFERROR(SMALL($G49:$I49,1),""))</f>
        <v/>
      </c>
      <c r="AK49" s="12" t="str">
        <f aca="false">IF(AG49=0,"",IFERROR(SMALL($G49:$I49,2),""))</f>
        <v/>
      </c>
      <c r="AL49" s="12" t="str">
        <f aca="false">IF(AG49=0,"",IFERROR(SMALL($G49:$I49,3),""))</f>
        <v/>
      </c>
      <c r="AM49" s="14" t="str">
        <f aca="false">IF(AG49=0,"",IF(AJ49="","",IF(AJ49=$H49,"Part-Time",IF(AJ49=$I49,"Full-Time","Casual"))))</f>
        <v/>
      </c>
      <c r="AN49" s="14" t="str">
        <f aca="false">IF(AG49=0,"",IF(AK49="","",IF(AK49=$H49,"Part-Time",IF(AK49=$I49,"Full-Time","Casual"))))</f>
        <v/>
      </c>
      <c r="AO49" s="14" t="str">
        <f aca="false">IF(AG49=0,"",IF(AL49="","",IF(AL49=$H49,"Part-Time",IF(AL49=$I49,"Full-Time","Casual"))))</f>
        <v/>
      </c>
      <c r="AP49" s="14" t="str">
        <f aca="false">IF(AG49=0,"",IF(AI49=0,IF(OR(ISNUMBER(SEARCH("full",$C49)),UPPER(TRIM($C49))="FT",UPPER(TRIM($C49))="FTE"),"FT",IF(AND(OR(ISNUMBER(SEARCH("part",$C49)),UPPER(TRIM($C49))="PT",UPPER(TRIM($C49))="PTE"),OR($P49="",N($P49)&gt;=PT_MinHours)),"PT","None")),IF(OR(ISNUMBER(SEARCH("full",AM49)),UPPER(TRIM(AM49))="FT",UPPER(TRIM(AM49))="FTE"),"FT",IF(AND(OR(ISNUMBER(SEARCH("part",AM49)),UPPER(TRIM(AM49))="PT",UPPER(TRIM(AM49))="PTE"),OR($P49="",N($P49)&gt;=PT_MinHours)),"PT","None"))))</f>
        <v/>
      </c>
      <c r="AQ49" s="14" t="str">
        <f aca="false">IF(AG49=0,"",IF(AI49&lt;2,"",IF(OR(ISNUMBER(SEARCH("full",AN49)),UPPER(TRIM(AN49))="FT",UPPER(TRIM(AN49))="FTE"),"FT",IF(AND(OR(ISNUMBER(SEARCH("part",AN49)),UPPER(TRIM(AN49))="PT",UPPER(TRIM(AN49))="PTE"),OR($P49="",N($P49)&gt;=PT_MinHours)),"PT","None"))))</f>
        <v/>
      </c>
      <c r="AR49" s="14" t="str">
        <f aca="false">IF(AG49=0,"",IF(AI49&lt;3,"",IF(OR(ISNUMBER(SEARCH("full",AO49)),UPPER(TRIM(AO49))="FT",UPPER(TRIM(AO49))="FTE"),"FT",IF(AND(OR(ISNUMBER(SEARCH("part",AO49)),UPPER(TRIM(AO49))="PT",UPPER(TRIM(AO49))="PTE"),OR($P49="",N($P49)&gt;=PT_MinHours)),"PT","None"))))</f>
        <v/>
      </c>
      <c r="AS49" s="14" t="str">
        <f aca="false">IF(AG49=0,"",IF(AND(AI49&gt;=3,AL49&lt;=AsOfDate),AR49,IF(AND(AI49&gt;=2,AK49&lt;=AsOfDate),AQ49,AP49)))</f>
        <v/>
      </c>
      <c r="AT49" s="14" t="str">
        <f aca="false">IF(AG49=0,"",IF(AsOfDate&lt;AH49,-1,12*(YEAR(AsOfDate)-YEAR(AH49))+MONTH(AsOfDate)-MONTH(AH49)-IF(DAY(AsOfDate)&lt;MIN(DAY(AH49),DAY(EOMONTH(AsOfDate,0))),1,0)))</f>
        <v/>
      </c>
      <c r="AU49" s="14" t="str">
        <f aca="false">IF(AG49=0,"",IF(OR(AI49&lt;2,AK49&gt;AsOfDate),AT49,IF((AK49-1)&lt;AH49,-1,12*(YEAR((AK49-1))-YEAR(AH49))+MONTH((AK49-1))-MONTH(AH49)-IF(DAY((AK49-1))&lt;MIN(DAY(AH49),DAY(EOMONTH((AK49-1),0))),1,0))))</f>
        <v/>
      </c>
      <c r="AV49" s="14" t="str">
        <f aca="false">IF(AG49=0,"",IF(OR(AI49&lt;3,AL49&gt;AsOfDate),AT49,IF((AL49-1)&lt;AH49,-1,12*(YEAR((AL49-1))-YEAR(AH49))+MONTH((AL49-1))-MONTH(AH49)-IF(DAY((AL49-1))&lt;MIN(DAY(AH49),DAY(EOMONTH((AL49-1),0))),1,0))))</f>
        <v/>
      </c>
      <c r="AW49" s="14" t="str">
        <f aca="false">IF(AG49=0,"",IF(PFYDate&lt;AH49,-1,12*(YEAR(PFYDate)-YEAR(AH49))+MONTH(PFYDate)-MONTH(AH49)-IF(DAY(PFYDate)&lt;MIN(DAY(AH49),DAY(EOMONTH(PFYDate,0))),1,0)))</f>
        <v/>
      </c>
      <c r="AX49" s="14" t="str">
        <f aca="false">IF(AG49=0,"",IF(OR(AI49&lt;2,AK49&gt;PFYDate),AW49,IF((AK49-1)&lt;AH49,-1,12*(YEAR((AK49-1))-YEAR(AH49))+MONTH((AK49-1))-MONTH(AH49)-IF(DAY((AK49-1))&lt;MIN(DAY(AH49),DAY(EOMONTH((AK49-1),0))),1,0))))</f>
        <v/>
      </c>
      <c r="AY49" s="14" t="str">
        <f aca="false">IF(AG49=0,"",IF(OR(AI49&lt;3,AL49&gt;PFYDate),AW49,IF((AL49-1)&lt;AH49,-1,12*(YEAR((AL49-1))-YEAR(AH49))+MONTH((AL49-1))-MONTH(AH49)-IF(DAY((AL49-1))&lt;MIN(DAY(AH49),DAY(EOMONTH((AL49-1),0))),1,0))))</f>
        <v/>
      </c>
      <c r="AZ49" s="14" t="str">
        <f aca="false">IF(AG49=0,"",IF(AP49="FT",IF(AU49&lt;FT_First,0,IF(AU49&lt;FT_Y5,1+INT((AU49-FT_First)/FT_Int1),FT_PreY5+FT_PerYear*INT((AU49-FT_Y5)/12)+FT_AnnivDays+INT(MOD(AU49-FT_Y5,12)/FT_Int2))),IF(AP49="PT",IF(AU49&lt;PT_First,0,1+INT((AU49-PT_First)/PT_Int)),0))+IF(AND(AI49&gt;=2,AK49&lt;=AsOfDate),IF(AQ49="FT",IF(AV49&lt;FT_First,0,IF(AV49&lt;FT_Y5,1+INT((AV49-FT_First)/FT_Int1),FT_PreY5+FT_PerYear*INT((AV49-FT_Y5)/12)+FT_AnnivDays+INT(MOD(AV49-FT_Y5,12)/FT_Int2))),IF(AQ49="PT",IF(AV49&lt;PT_First,0,1+INT((AV49-PT_First)/PT_Int)),0))-IF(AQ49="FT",IF(AU49&lt;FT_First,0,IF(AU49&lt;FT_Y5,1+INT((AU49-FT_First)/FT_Int1),FT_PreY5+FT_PerYear*INT((AU49-FT_Y5)/12)+FT_AnnivDays+INT(MOD(AU49-FT_Y5,12)/FT_Int2))),IF(AQ49="PT",IF(AU49&lt;PT_First,0,1+INT((AU49-PT_First)/PT_Int)),0)),0)+IF(AND(AI49&gt;=3,AL49&lt;=AsOfDate),IF(AR49="FT",IF(AT49&lt;FT_First,0,IF(AT49&lt;FT_Y5,1+INT((AT49-FT_First)/FT_Int1),FT_PreY5+FT_PerYear*INT((AT49-FT_Y5)/12)+FT_AnnivDays+INT(MOD(AT49-FT_Y5,12)/FT_Int2))),IF(AR49="PT",IF(AT49&lt;PT_First,0,1+INT((AT49-PT_First)/PT_Int)),0))-IF(AR49="FT",IF(AV49&lt;FT_First,0,IF(AV49&lt;FT_Y5,1+INT((AV49-FT_First)/FT_Int1),FT_PreY5+FT_PerYear*INT((AV49-FT_Y5)/12)+FT_AnnivDays+INT(MOD(AV49-FT_Y5,12)/FT_Int2))),IF(AR49="PT",IF(AV49&lt;PT_First,0,1+INT((AV49-PT_First)/PT_Int)),0)),0))</f>
        <v/>
      </c>
      <c r="BA49" s="14" t="str">
        <f aca="false">IF(AG49=0,"",IF(AP49="FT",IF(AX49&lt;FT_First,0,IF(AX49&lt;FT_Y5,1+INT((AX49-FT_First)/FT_Int1),FT_PreY5+FT_PerYear*INT((AX49-FT_Y5)/12)+FT_AnnivDays+INT(MOD(AX49-FT_Y5,12)/FT_Int2))),IF(AP49="PT",IF(AX49&lt;PT_First,0,1+INT((AX49-PT_First)/PT_Int)),0))+IF(AND(AI49&gt;=2,AK49&lt;=PFYDate),IF(AQ49="FT",IF(AY49&lt;FT_First,0,IF(AY49&lt;FT_Y5,1+INT((AY49-FT_First)/FT_Int1),FT_PreY5+FT_PerYear*INT((AY49-FT_Y5)/12)+FT_AnnivDays+INT(MOD(AY49-FT_Y5,12)/FT_Int2))),IF(AQ49="PT",IF(AY49&lt;PT_First,0,1+INT((AY49-PT_First)/PT_Int)),0))-IF(AQ49="FT",IF(AX49&lt;FT_First,0,IF(AX49&lt;FT_Y5,1+INT((AX49-FT_First)/FT_Int1),FT_PreY5+FT_PerYear*INT((AX49-FT_Y5)/12)+FT_AnnivDays+INT(MOD(AX49-FT_Y5,12)/FT_Int2))),IF(AQ49="PT",IF(AX49&lt;PT_First,0,1+INT((AX49-PT_First)/PT_Int)),0)),0)+IF(AND(AI49&gt;=3,AL49&lt;=PFYDate),IF(AR49="FT",IF(AW49&lt;FT_First,0,IF(AW49&lt;FT_Y5,1+INT((AW49-FT_First)/FT_Int1),FT_PreY5+FT_PerYear*INT((AW49-FT_Y5)/12)+FT_AnnivDays+INT(MOD(AW49-FT_Y5,12)/FT_Int2))),IF(AR49="PT",IF(AW49&lt;PT_First,0,1+INT((AW49-PT_First)/PT_Int)),0))-IF(AR49="FT",IF(AY49&lt;FT_First,0,IF(AY49&lt;FT_Y5,1+INT((AY49-FT_First)/FT_Int1),FT_PreY5+FT_PerYear*INT((AY49-FT_Y5)/12)+FT_AnnivDays+INT(MOD(AY49-FT_Y5,12)/FT_Int2))),IF(AR49="PT",IF(AY49&lt;PT_First,0,1+INT((AY49-PT_First)/PT_Int)),0)),0))</f>
        <v/>
      </c>
      <c r="BB49" s="14" t="str">
        <f aca="false">IF(AG49=0,"",IF(AS49="FT",IF(AT49&lt;FT_First,FT_First,IF(AT49&lt;FT_Y5,MIN(FT_Y5,FT_First+FT_Int1*(INT((AT49-FT_First)/FT_Int1)+1)),FT_Y5+12*INT((AT49-FT_Y5)/12)+FT_Int2*(INT(MOD(AT49-FT_Y5,12)/FT_Int2)+1))),IF(AS49="PT",IF(AT49&lt;PT_First,PT_First,PT_First+PT_Int*(INT((AT49-PT_First)/PT_Int)+1)),"")))</f>
        <v/>
      </c>
      <c r="BC49" s="14" t="str">
        <f aca="false">IF(AG49=0,"",IF(NOT(LH_Ready),0,COUNTIFS(INDEX(LH_Data,0,LH_ColFirst),$A49,INDEX(LH_Data,0,LH_ColSur),$B49,INDEX(LH_Data,0,LH_ColCat),BonusCat)))</f>
        <v/>
      </c>
      <c r="BD49" s="14" t="str">
        <f aca="false">IF(AG49=0,"",IF(OR(NOT(LH_Ready),BC49=0),0,SUMPRODUCT(MAX((INDEX(LH_Data,0,LH_ColFirst)=$A49)*(INDEX(LH_Data,0,LH_ColSur)=$B49)*(INDEX(LH_Data,0,LH_ColCat)=BonusCat)*ROW(LH_Data)))))</f>
        <v/>
      </c>
      <c r="BE49" s="14" t="str">
        <f aca="false">IF(AG49=0,"",IF(EOMONTH(AsOfDate,-1)&lt;AH49,-1,12*(YEAR(EOMONTH(AsOfDate,-1))-YEAR(AH49))+MONTH(EOMONTH(AsOfDate,-1))-MONTH(AH49)-IF(DAY(EOMONTH(AsOfDate,-1))&lt;MIN(DAY(AH49),DAY(EOMONTH(EOMONTH(AsOfDate,-1),0))),1,0)))</f>
        <v/>
      </c>
      <c r="BF49" s="14" t="str">
        <f aca="false">IF(AG49=0,"",IF(OR(AI49&lt;2,AK49&gt;EOMONTH(AsOfDate,-1)),BE49,IF((AK49-1)&lt;AH49,-1,12*(YEAR((AK49-1))-YEAR(AH49))+MONTH((AK49-1))-MONTH(AH49)-IF(DAY((AK49-1))&lt;MIN(DAY(AH49),DAY(EOMONTH((AK49-1),0))),1,0))))</f>
        <v/>
      </c>
      <c r="BG49" s="14" t="str">
        <f aca="false">IF(AG49=0,"",IF(OR(AI49&lt;3,AL49&gt;EOMONTH(AsOfDate,-1)),BE49,IF((AL49-1)&lt;AH49,-1,12*(YEAR((AL49-1))-YEAR(AH49))+MONTH((AL49-1))-MONTH(AH49)-IF(DAY((AL49-1))&lt;MIN(DAY(AH49),DAY(EOMONTH((AL49-1),0))),1,0))))</f>
        <v/>
      </c>
      <c r="BH49" s="14" t="str">
        <f aca="false">IF(AG49=0,"",IF(AP49="FT",IF(BF49&lt;FT_First,0,IF(BF49&lt;FT_Y5,1+INT((BF49-FT_First)/FT_Int1),FT_PreY5+FT_PerYear*INT((BF49-FT_Y5)/12)+FT_AnnivDays+INT(MOD(BF49-FT_Y5,12)/FT_Int2))),IF(AP49="PT",IF(BF49&lt;PT_First,0,1+INT((BF49-PT_First)/PT_Int)),0))+IF(AND(AI49&gt;=2,AK49&lt;=EOMONTH(AsOfDate,-1)),IF(AQ49="FT",IF(BG49&lt;FT_First,0,IF(BG49&lt;FT_Y5,1+INT((BG49-FT_First)/FT_Int1),FT_PreY5+FT_PerYear*INT((BG49-FT_Y5)/12)+FT_AnnivDays+INT(MOD(BG49-FT_Y5,12)/FT_Int2))),IF(AQ49="PT",IF(BG49&lt;PT_First,0,1+INT((BG49-PT_First)/PT_Int)),0))-IF(AQ49="FT",IF(BF49&lt;FT_First,0,IF(BF49&lt;FT_Y5,1+INT((BF49-FT_First)/FT_Int1),FT_PreY5+FT_PerYear*INT((BF49-FT_Y5)/12)+FT_AnnivDays+INT(MOD(BF49-FT_Y5,12)/FT_Int2))),IF(AQ49="PT",IF(BF49&lt;PT_First,0,1+INT((BF49-PT_First)/PT_Int)),0)),0)+IF(AND(AI49&gt;=3,AL49&lt;=EOMONTH(AsOfDate,-1)),IF(AR49="FT",IF(BE49&lt;FT_First,0,IF(BE49&lt;FT_Y5,1+INT((BE49-FT_First)/FT_Int1),FT_PreY5+FT_PerYear*INT((BE49-FT_Y5)/12)+FT_AnnivDays+INT(MOD(BE49-FT_Y5,12)/FT_Int2))),IF(AR49="PT",IF(BE49&lt;PT_First,0,1+INT((BE49-PT_First)/PT_Int)),0))-IF(AR49="FT",IF(BG49&lt;FT_First,0,IF(BG49&lt;FT_Y5,1+INT((BG49-FT_First)/FT_Int1),FT_PreY5+FT_PerYear*INT((BG49-FT_Y5)/12)+FT_AnnivDays+INT(MOD(BG49-FT_Y5,12)/FT_Int2))),IF(AR49="PT",IF(BG49&lt;PT_First,0,1+INT((BG49-PT_First)/PT_Int)),0)),0))</f>
        <v/>
      </c>
      <c r="BI49" s="14" t="str">
        <f aca="false">IF(AG49=0,"",IF(AS49="FT",IF(AT49&lt;FT_First,"",IF(AT49&lt;FT_Y5,FT_First+FT_Int1*INT((AT49-FT_First)/FT_Int1),FT_Y5+FT_Int2*INT((AT49-FT_Y5)/FT_Int2))),IF(AS49="PT",IF(AT49&lt;PT_First,"",PT_First+PT_Int*INT((AT49-PT_First)/PT_Int)),"")))</f>
        <v/>
      </c>
      <c r="BJ49" s="0" t="str">
        <f aca="false">IF(LEN($A49&amp;$B49)=0,"",$A49&amp;" "&amp;$B49)</f>
        <v/>
      </c>
    </row>
    <row r="50" customFormat="false" ht="15" hidden="false" customHeight="false" outlineLevel="0" collapsed="false">
      <c r="A50" s="10"/>
      <c r="B50" s="10"/>
      <c r="C50" s="10"/>
      <c r="D50" s="11"/>
      <c r="E50" s="12" t="str">
        <f aca="false">IF(OR(AG50=0,$D50=""),"",DATE(YEAR(AsOfDate)+IF(DATE(YEAR(AsOfDate),MONTH($D50),DAY($D50))&lt;=AsOfDate,1,0),MONTH($D50),DAY($D50)))</f>
        <v/>
      </c>
      <c r="F50" s="11"/>
      <c r="G50" s="11"/>
      <c r="H50" s="11"/>
      <c r="I50" s="11"/>
      <c r="J50" s="11"/>
      <c r="K50" s="12" t="str">
        <f aca="false">IF(AG50=0,"",DATE(YEAR(AsOfDate)+IF(DATE(YEAR(AsOfDate),MONTH(AH50),DAY(AH50))&lt;=AsOfDate,1,0),MONTH(AH50),DAY(AH50)))</f>
        <v/>
      </c>
      <c r="L50" s="13" t="str">
        <f aca="false">IF(AG50=0,"",ROUND((AsOfDate-AH50)/365.25,1))</f>
        <v/>
      </c>
      <c r="M50" s="14" t="str">
        <f aca="false">IF(AG50=0,"",IF(AsOfDate&lt;AH50,"-",DATEDIF(AH50,AsOfDate,"y")&amp;"y "&amp;DATEDIF(AH50,AsOfDate,"ym")&amp;"m "&amp;DATEDIF(AH50,AsOfDate,"md")&amp;"d"))</f>
        <v/>
      </c>
      <c r="N50" s="15" t="str">
        <f aca="false">IF(AG50=0,"",O50*HoursPerDay)</f>
        <v/>
      </c>
      <c r="O50" s="15" t="str">
        <f aca="false">IF(AG50=0,"",AZ50)</f>
        <v/>
      </c>
      <c r="P50" s="16"/>
      <c r="Q50" s="14" t="str">
        <f aca="false">IF(AG50=0,"",IF(AI50&lt;2,"",AM50&amp;" to "&amp;AN50&amp;" on "&amp;TEXT(AK50,"dd/mm/yyyy")&amp;IF(AK50&gt;AsOfDate," (future)",IF(AP50=AQ50,"",IF(AQ50="None"," - STOPPED accruing",IF(AP50="None"," - commencement for Bonus Leave"," - pathway changed"))))&amp;IF(AI50&lt;3,"","; "&amp;AN50&amp;" to "&amp;AO50&amp;" on "&amp;TEXT(AL50,"dd/mm/yyyy")&amp;IF(AL50&gt;AsOfDate," (future)",IF(AQ50=AR50,"",IF(AR50="None"," - STOPPED accruing",IF(AQ50="None"," - commencement for Bonus Leave"," - pathway changed")))))))</f>
        <v/>
      </c>
      <c r="R50" s="14" t="str">
        <f aca="false">IF(AG50=0,"",IF(AS50="None",IF(O50&gt;0,"No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2" t="str">
        <f aca="false">IF(AG50=0,"",IF(AS50="None","",EDATE(AH50,BB50)))</f>
        <v/>
      </c>
      <c r="T50" s="15" t="str">
        <f aca="false">IF(AG50=0,"",IF(NOT(LH_Ready),"",IF(AH50&gt;PFYDate,0,IF(LH_ColPeriod=0,W50-U50+V50,SUMIFS(INDEX(LH_Data,0,LH_ColAcc),INDEX(LH_Data,0,LH_ColFirst),$A50,INDEX(LH_Data,0,LH_ColSur),$B50,INDEX(LH_Data,0,LH_ColCat),BonusCat,INDEX(LH_Data,0,LH_ColPeriod),LH_OpenLabel)*UnitFactor))))</f>
        <v/>
      </c>
      <c r="U50" s="15" t="str">
        <f aca="false">IF(AG50=0,"",IF(NOT(LH_Ready),"",SUMIFS(INDEX(LH_Data,0,LH_ColAcc),INDEX(LH_Data,0,LH_ColFirst),$A50,INDEX(LH_Data,0,LH_ColSur),$B50,INDEX(LH_Data,0,LH_ColCat),BonusCat,INDEX(LH_Data,0,LH_ColStart),"&gt;="&amp;AH50)*UnitFactor))</f>
        <v/>
      </c>
      <c r="V50" s="15" t="str">
        <f aca="false">IF(AG50=0,"",IF(NOT(LH_Ready),"",SUMIFS(INDEX(LH_Data,0,LH_ColTaken),INDEX(LH_Data,0,LH_ColFirst),$A50,INDEX(LH_Data,0,LH_ColSur),$B50,INDEX(LH_Data,0,LH_ColCat),BonusCat,INDEX(LH_Data,0,LH_ColStart),"&gt;="&amp;AH50)*UnitFactor))</f>
        <v/>
      </c>
      <c r="W50" s="15" t="str">
        <f aca="false">IF(AG50=0,"",IF(NOT(LH_Ready),"",IF(BD50=0,0,INDEX(INDEX(LH_Data,0,LH_ColClose),BD50-1)*UnitFactor)))</f>
        <v/>
      </c>
      <c r="X50" s="15" t="str">
        <f aca="false">IF(AG50=0,"",(AZ50-BA50)*HoursPerDay)</f>
        <v/>
      </c>
      <c r="Y50" s="15" t="str">
        <f aca="false">IF(AG50=0,"",IF(NOT(LH_Ready),"",IF(BC50=0,N50,IF(PFYDate&lt;$F50,N50-N(T50)-N(U50),X50-N(U50)))))</f>
        <v/>
      </c>
      <c r="Z50" s="14" t="str">
        <f aca="false">IF(OR(AG50=0,Y50=""),"",IF(Y50&gt;0,"Yes","No"))</f>
        <v/>
      </c>
      <c r="AA50" s="14" t="str">
        <f aca="false">IF(AG50=0,IF(LEN($A50&amp;$B50)=0,"","FIX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month")&amp;IF(BC50=0,";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EH)",""),IF(AS50="None",R50,"Not yet - first day on "&amp;TEXT(S50,"dd/mm/yyyy")))))))))</f>
        <v/>
      </c>
      <c r="AB50" s="15" t="str">
        <f aca="false">IF(OR(AG50=0,T50=""),"",BA50*HoursPerDay-T50)</f>
        <v/>
      </c>
      <c r="AC50" s="14" t="str">
        <f aca="false">IF(AG50=0,"",BC50)</f>
        <v/>
      </c>
      <c r="AD50" s="14" t="str">
        <f aca="false">IF(AG50=0,"",TRIM(IF(OR(ISTEXT($F50),ISTEXT($H50),ISTEXT($I50),ISTEXT($G50),ISTEXT($J50),ISTEXT($D50)),"A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I50&gt;=1,IF(AI50&gt;=3,AO50,IF(AI50=2,AN50,AM50))&lt;&gt;IF($C50="","",IF(OR(ISNUMBER(SEARCH("full",$C50)),UPPER(TRIM($C50))="FT",UPPER(TRIM($C50))="FTE"),"Full-Time",IF(OR(ISNUMBER(SEARCH("part",$C50)),UPPER(TRIM($C50))="PT",UPPER(TRIM($C50))="PTE"),"Part-Time",IF(OR(ISNUMBER(SEARCH("cas",$C50)),UPPER(TRIM($C50))="CAS"),"Casual","Unknown"))))),"EmploymentType does not match latest start date ("&amp;IF(AI50&gt;=3,AO50,IF(AI50=2,AN50,AM50))&amp;"). ","")&amp;IF(AND(AI50&gt;=1,AJ50&lt;&gt;$F50),"Earliest type date should equal StartDate. ","")&amp;IF(AND(AI50&gt;=2,AJ50=AK50),"Two types start on the same date. ","")&amp;IF(AND(OR(ISNUMBER(SEARCH("part",$C50)),UPPER(TRIM($C50))="PT",UPPER(TRIM($C50))="PTE"),$P50=""),"Part-time: enter PT Hrs/Week (blank = 24+). ","")))</f>
        <v/>
      </c>
      <c r="AE50" s="15" t="str">
        <f aca="false">IF(AG50=0,"",O50-BH50)</f>
        <v/>
      </c>
      <c r="AF50" s="12" t="str">
        <f aca="false">IF(OR(AG50=0,AE50="",N(AE50)=0,BI50=""),"",EDATE(AH50,BI50))</f>
        <v/>
      </c>
      <c r="AG50" s="14" t="n">
        <f aca="false">IF(OR(LEN($A50&amp;$B50)=0,$F50=""),0,1)</f>
        <v>0</v>
      </c>
      <c r="AH50" s="12" t="str">
        <f aca="false">IF(AG50=0,"",IF($J50&lt;&gt;"",$J50,IF(OR(CasualCounts="Yes",COUNT($G50:$I50)=0,COUNT($H50:$I50)=0),$F50,MIN($H50:$I50))))</f>
        <v/>
      </c>
      <c r="AI50" s="14" t="str">
        <f aca="false">IF(AG50=0,"",COUNT($G50:$I50))</f>
        <v/>
      </c>
      <c r="AJ50" s="12" t="str">
        <f aca="false">IF(AG50=0,"",IFERROR(SMALL($G50:$I50,1),""))</f>
        <v/>
      </c>
      <c r="AK50" s="12" t="str">
        <f aca="false">IF(AG50=0,"",IFERROR(SMALL($G50:$I50,2),""))</f>
        <v/>
      </c>
      <c r="AL50" s="12" t="str">
        <f aca="false">IF(AG50=0,"",IFERROR(SMALL($G50:$I50,3),""))</f>
        <v/>
      </c>
      <c r="AM50" s="14" t="str">
        <f aca="false">IF(AG50=0,"",IF(AJ50="","",IF(AJ50=$H50,"Part-Time",IF(AJ50=$I50,"Full-Time","Casual"))))</f>
        <v/>
      </c>
      <c r="AN50" s="14" t="str">
        <f aca="false">IF(AG50=0,"",IF(AK50="","",IF(AK50=$H50,"Part-Time",IF(AK50=$I50,"Full-Time","Casual"))))</f>
        <v/>
      </c>
      <c r="AO50" s="14" t="str">
        <f aca="false">IF(AG50=0,"",IF(AL50="","",IF(AL50=$H50,"Part-Time",IF(AL50=$I50,"Full-Time","Casual"))))</f>
        <v/>
      </c>
      <c r="AP50" s="14" t="str">
        <f aca="false">IF(AG50=0,"",IF(AI50=0,IF(OR(ISNUMBER(SEARCH("full",$C50)),UPPER(TRIM($C50))="FT",UPPER(TRIM($C50))="FTE"),"FT",IF(AND(OR(ISNUMBER(SEARCH("part",$C50)),UPPER(TRIM($C50))="PT",UPPER(TRIM($C50))="PTE"),OR($P50="",N($P50)&gt;=PT_MinHours)),"PT","None")),IF(OR(ISNUMBER(SEARCH("full",AM50)),UPPER(TRIM(AM50))="FT",UPPER(TRIM(AM50))="FTE"),"FT",IF(AND(OR(ISNUMBER(SEARCH("part",AM50)),UPPER(TRIM(AM50))="PT",UPPER(TRIM(AM50))="PTE"),OR($P50="",N($P50)&gt;=PT_MinHours)),"PT","None"))))</f>
        <v/>
      </c>
      <c r="AQ50" s="14" t="str">
        <f aca="false">IF(AG50=0,"",IF(AI50&lt;2,"",IF(OR(ISNUMBER(SEARCH("full",AN50)),UPPER(TRIM(AN50))="FT",UPPER(TRIM(AN50))="FTE"),"FT",IF(AND(OR(ISNUMBER(SEARCH("part",AN50)),UPPER(TRIM(AN50))="PT",UPPER(TRIM(AN50))="PTE"),OR($P50="",N($P50)&gt;=PT_MinHours)),"PT","None"))))</f>
        <v/>
      </c>
      <c r="AR50" s="14" t="str">
        <f aca="false">IF(AG50=0,"",IF(AI50&lt;3,"",IF(OR(ISNUMBER(SEARCH("full",AO50)),UPPER(TRIM(AO50))="FT",UPPER(TRIM(AO50))="FTE"),"FT",IF(AND(OR(ISNUMBER(SEARCH("part",AO50)),UPPER(TRIM(AO50))="PT",UPPER(TRIM(AO50))="PTE"),OR($P50="",N($P50)&gt;=PT_MinHours)),"PT","None"))))</f>
        <v/>
      </c>
      <c r="AS50" s="14" t="str">
        <f aca="false">IF(AG50=0,"",IF(AND(AI50&gt;=3,AL50&lt;=AsOfDate),AR50,IF(AND(AI50&gt;=2,AK50&lt;=AsOfDate),AQ50,AP50)))</f>
        <v/>
      </c>
      <c r="AT50" s="14" t="str">
        <f aca="false">IF(AG50=0,"",IF(AsOfDate&lt;AH50,-1,12*(YEAR(AsOfDate)-YEAR(AH50))+MONTH(AsOfDate)-MONTH(AH50)-IF(DAY(AsOfDate)&lt;MIN(DAY(AH50),DAY(EOMONTH(AsOfDate,0))),1,0)))</f>
        <v/>
      </c>
      <c r="AU50" s="14" t="str">
        <f aca="false">IF(AG50=0,"",IF(OR(AI50&lt;2,AK50&gt;AsOfDate),AT50,IF((AK50-1)&lt;AH50,-1,12*(YEAR((AK50-1))-YEAR(AH50))+MONTH((AK50-1))-MONTH(AH50)-IF(DAY((AK50-1))&lt;MIN(DAY(AH50),DAY(EOMONTH((AK50-1),0))),1,0))))</f>
        <v/>
      </c>
      <c r="AV50" s="14" t="str">
        <f aca="false">IF(AG50=0,"",IF(OR(AI50&lt;3,AL50&gt;AsOfDate),AT50,IF((AL50-1)&lt;AH50,-1,12*(YEAR((AL50-1))-YEAR(AH50))+MONTH((AL50-1))-MONTH(AH50)-IF(DAY((AL50-1))&lt;MIN(DAY(AH50),DAY(EOMONTH((AL50-1),0))),1,0))))</f>
        <v/>
      </c>
      <c r="AW50" s="14" t="str">
        <f aca="false">IF(AG50=0,"",IF(PFYDate&lt;AH50,-1,12*(YEAR(PFYDate)-YEAR(AH50))+MONTH(PFYDate)-MONTH(AH50)-IF(DAY(PFYDate)&lt;MIN(DAY(AH50),DAY(EOMONTH(PFYDate,0))),1,0)))</f>
        <v/>
      </c>
      <c r="AX50" s="14" t="str">
        <f aca="false">IF(AG50=0,"",IF(OR(AI50&lt;2,AK50&gt;PFYDate),AW50,IF((AK50-1)&lt;AH50,-1,12*(YEAR((AK50-1))-YEAR(AH50))+MONTH((AK50-1))-MONTH(AH50)-IF(DAY((AK50-1))&lt;MIN(DAY(AH50),DAY(EOMONTH((AK50-1),0))),1,0))))</f>
        <v/>
      </c>
      <c r="AY50" s="14" t="str">
        <f aca="false">IF(AG50=0,"",IF(OR(AI50&lt;3,AL50&gt;PFYDate),AW50,IF((AL50-1)&lt;AH50,-1,12*(YEAR((AL50-1))-YEAR(AH50))+MONTH((AL50-1))-MONTH(AH50)-IF(DAY((AL50-1))&lt;MIN(DAY(AH50),DAY(EOMONTH((AL50-1),0))),1,0))))</f>
        <v/>
      </c>
      <c r="AZ50" s="14" t="str">
        <f aca="false">IF(AG50=0,"",IF(AP50="FT",IF(AU50&lt;FT_First,0,IF(AU50&lt;FT_Y5,1+INT((AU50-FT_First)/FT_Int1),FT_PreY5+FT_PerYear*INT((AU50-FT_Y5)/12)+FT_AnnivDays+INT(MOD(AU50-FT_Y5,12)/FT_Int2))),IF(AP50="PT",IF(AU50&lt;PT_First,0,1+INT((AU50-PT_First)/PT_Int)),0))+IF(AND(AI50&gt;=2,AK50&lt;=AsOfDate),IF(AQ50="FT",IF(AV50&lt;FT_First,0,IF(AV50&lt;FT_Y5,1+INT((AV50-FT_First)/FT_Int1),FT_PreY5+FT_PerYear*INT((AV50-FT_Y5)/12)+FT_AnnivDays+INT(MOD(AV50-FT_Y5,12)/FT_Int2))),IF(AQ50="PT",IF(AV50&lt;PT_First,0,1+INT((AV50-PT_First)/PT_Int)),0))-IF(AQ50="FT",IF(AU50&lt;FT_First,0,IF(AU50&lt;FT_Y5,1+INT((AU50-FT_First)/FT_Int1),FT_PreY5+FT_PerYear*INT((AU50-FT_Y5)/12)+FT_AnnivDays+INT(MOD(AU50-FT_Y5,12)/FT_Int2))),IF(AQ50="PT",IF(AU50&lt;PT_First,0,1+INT((AU50-PT_First)/PT_Int)),0)),0)+IF(AND(AI50&gt;=3,AL50&lt;=AsOfDate),IF(AR50="FT",IF(AT50&lt;FT_First,0,IF(AT50&lt;FT_Y5,1+INT((AT50-FT_First)/FT_Int1),FT_PreY5+FT_PerYear*INT((AT50-FT_Y5)/12)+FT_AnnivDays+INT(MOD(AT50-FT_Y5,12)/FT_Int2))),IF(AR50="PT",IF(AT50&lt;PT_First,0,1+INT((AT50-PT_First)/PT_Int)),0))-IF(AR50="FT",IF(AV50&lt;FT_First,0,IF(AV50&lt;FT_Y5,1+INT((AV50-FT_First)/FT_Int1),FT_PreY5+FT_PerYear*INT((AV50-FT_Y5)/12)+FT_AnnivDays+INT(MOD(AV50-FT_Y5,12)/FT_Int2))),IF(AR50="PT",IF(AV50&lt;PT_First,0,1+INT((AV50-PT_First)/PT_Int)),0)),0))</f>
        <v/>
      </c>
      <c r="BA50" s="14" t="str">
        <f aca="false">IF(AG50=0,"",IF(AP50="FT",IF(AX50&lt;FT_First,0,IF(AX50&lt;FT_Y5,1+INT((AX50-FT_First)/FT_Int1),FT_PreY5+FT_PerYear*INT((AX50-FT_Y5)/12)+FT_AnnivDays+INT(MOD(AX50-FT_Y5,12)/FT_Int2))),IF(AP50="PT",IF(AX50&lt;PT_First,0,1+INT((AX50-PT_First)/PT_Int)),0))+IF(AND(AI50&gt;=2,AK50&lt;=PFYDate),IF(AQ50="FT",IF(AY50&lt;FT_First,0,IF(AY50&lt;FT_Y5,1+INT((AY50-FT_First)/FT_Int1),FT_PreY5+FT_PerYear*INT((AY50-FT_Y5)/12)+FT_AnnivDays+INT(MOD(AY50-FT_Y5,12)/FT_Int2))),IF(AQ50="PT",IF(AY50&lt;PT_First,0,1+INT((AY50-PT_First)/PT_Int)),0))-IF(AQ50="FT",IF(AX50&lt;FT_First,0,IF(AX50&lt;FT_Y5,1+INT((AX50-FT_First)/FT_Int1),FT_PreY5+FT_PerYear*INT((AX50-FT_Y5)/12)+FT_AnnivDays+INT(MOD(AX50-FT_Y5,12)/FT_Int2))),IF(AQ50="PT",IF(AX50&lt;PT_First,0,1+INT((AX50-PT_First)/PT_Int)),0)),0)+IF(AND(AI50&gt;=3,AL50&lt;=PFYDate),IF(AR50="FT",IF(AW50&lt;FT_First,0,IF(AW50&lt;FT_Y5,1+INT((AW50-FT_First)/FT_Int1),FT_PreY5+FT_PerYear*INT((AW50-FT_Y5)/12)+FT_AnnivDays+INT(MOD(AW50-FT_Y5,12)/FT_Int2))),IF(AR50="PT",IF(AW50&lt;PT_First,0,1+INT((AW50-PT_First)/PT_Int)),0))-IF(AR50="FT",IF(AY50&lt;FT_First,0,IF(AY50&lt;FT_Y5,1+INT((AY50-FT_First)/FT_Int1),FT_PreY5+FT_PerYear*INT((AY50-FT_Y5)/12)+FT_AnnivDays+INT(MOD(AY50-FT_Y5,12)/FT_Int2))),IF(AR50="PT",IF(AY50&lt;PT_First,0,1+INT((AY50-PT_First)/PT_Int)),0)),0))</f>
        <v/>
      </c>
      <c r="BB50" s="14" t="str">
        <f aca="false">IF(AG50=0,"",IF(AS50="FT",IF(AT50&lt;FT_First,FT_First,IF(AT50&lt;FT_Y5,MIN(FT_Y5,FT_First+FT_Int1*(INT((AT50-FT_First)/FT_Int1)+1)),FT_Y5+12*INT((AT50-FT_Y5)/12)+FT_Int2*(INT(MOD(AT50-FT_Y5,12)/FT_Int2)+1))),IF(AS50="PT",IF(AT50&lt;PT_First,PT_First,PT_First+PT_Int*(INT((AT50-PT_First)/PT_Int)+1)),"")))</f>
        <v/>
      </c>
      <c r="BC50" s="14" t="str">
        <f aca="false">IF(AG50=0,"",IF(NOT(LH_Ready),0,COUNTIFS(INDEX(LH_Data,0,LH_ColFirst),$A50,INDEX(LH_Data,0,LH_ColSur),$B50,INDEX(LH_Data,0,LH_ColCat),BonusCat)))</f>
        <v/>
      </c>
      <c r="BD50" s="14" t="str">
        <f aca="false">IF(AG50=0,"",IF(OR(NOT(LH_Ready),BC50=0),0,SUMPRODUCT(MAX((INDEX(LH_Data,0,LH_ColFirst)=$A50)*(INDEX(LH_Data,0,LH_ColSur)=$B50)*(INDEX(LH_Data,0,LH_ColCat)=BonusCat)*ROW(LH_Data)))))</f>
        <v/>
      </c>
      <c r="BE50" s="14" t="str">
        <f aca="false">IF(AG50=0,"",IF(EOMONTH(AsOfDate,-1)&lt;AH50,-1,12*(YEAR(EOMONTH(AsOfDate,-1))-YEAR(AH50))+MONTH(EOMONTH(AsOfDate,-1))-MONTH(AH50)-IF(DAY(EOMONTH(AsOfDate,-1))&lt;MIN(DAY(AH50),DAY(EOMONTH(EOMONTH(AsOfDate,-1),0))),1,0)))</f>
        <v/>
      </c>
      <c r="BF50" s="14" t="str">
        <f aca="false">IF(AG50=0,"",IF(OR(AI50&lt;2,AK50&gt;EOMONTH(AsOfDate,-1)),BE50,IF((AK50-1)&lt;AH50,-1,12*(YEAR((AK50-1))-YEAR(AH50))+MONTH((AK50-1))-MONTH(AH50)-IF(DAY((AK50-1))&lt;MIN(DAY(AH50),DAY(EOMONTH((AK50-1),0))),1,0))))</f>
        <v/>
      </c>
      <c r="BG50" s="14" t="str">
        <f aca="false">IF(AG50=0,"",IF(OR(AI50&lt;3,AL50&gt;EOMONTH(AsOfDate,-1)),BE50,IF((AL50-1)&lt;AH50,-1,12*(YEAR((AL50-1))-YEAR(AH50))+MONTH((AL50-1))-MONTH(AH50)-IF(DAY((AL50-1))&lt;MIN(DAY(AH50),DAY(EOMONTH((AL50-1),0))),1,0))))</f>
        <v/>
      </c>
      <c r="BH50" s="14" t="str">
        <f aca="false">IF(AG50=0,"",IF(AP50="FT",IF(BF50&lt;FT_First,0,IF(BF50&lt;FT_Y5,1+INT((BF50-FT_First)/FT_Int1),FT_PreY5+FT_PerYear*INT((BF50-FT_Y5)/12)+FT_AnnivDays+INT(MOD(BF50-FT_Y5,12)/FT_Int2))),IF(AP50="PT",IF(BF50&lt;PT_First,0,1+INT((BF50-PT_First)/PT_Int)),0))+IF(AND(AI50&gt;=2,AK50&lt;=EOMONTH(AsOfDate,-1)),IF(AQ50="FT",IF(BG50&lt;FT_First,0,IF(BG50&lt;FT_Y5,1+INT((BG50-FT_First)/FT_Int1),FT_PreY5+FT_PerYear*INT((BG50-FT_Y5)/12)+FT_AnnivDays+INT(MOD(BG50-FT_Y5,12)/FT_Int2))),IF(AQ50="PT",IF(BG50&lt;PT_First,0,1+INT((BG50-PT_First)/PT_Int)),0))-IF(AQ50="FT",IF(BF50&lt;FT_First,0,IF(BF50&lt;FT_Y5,1+INT((BF50-FT_First)/FT_Int1),FT_PreY5+FT_PerYear*INT((BF50-FT_Y5)/12)+FT_AnnivDays+INT(MOD(BF50-FT_Y5,12)/FT_Int2))),IF(AQ50="PT",IF(BF50&lt;PT_First,0,1+INT((BF50-PT_First)/PT_Int)),0)),0)+IF(AND(AI50&gt;=3,AL50&lt;=EOMONTH(AsOfDate,-1)),IF(AR50="FT",IF(BE50&lt;FT_First,0,IF(BE50&lt;FT_Y5,1+INT((BE50-FT_First)/FT_Int1),FT_PreY5+FT_PerYear*INT((BE50-FT_Y5)/12)+FT_AnnivDays+INT(MOD(BE50-FT_Y5,12)/FT_Int2))),IF(AR50="PT",IF(BE50&lt;PT_First,0,1+INT((BE50-PT_First)/PT_Int)),0))-IF(AR50="FT",IF(BG50&lt;FT_First,0,IF(BG50&lt;FT_Y5,1+INT((BG50-FT_First)/FT_Int1),FT_PreY5+FT_PerYear*INT((BG50-FT_Y5)/12)+FT_AnnivDays+INT(MOD(BG50-FT_Y5,12)/FT_Int2))),IF(AR50="PT",IF(BG50&lt;PT_First,0,1+INT((BG50-PT_First)/PT_Int)),0)),0))</f>
        <v/>
      </c>
      <c r="BI50" s="14" t="str">
        <f aca="false">IF(AG50=0,"",IF(AS50="FT",IF(AT50&lt;FT_First,"",IF(AT50&lt;FT_Y5,FT_First+FT_Int1*INT((AT50-FT_First)/FT_Int1),FT_Y5+FT_Int2*INT((AT50-FT_Y5)/FT_Int2))),IF(AS50="PT",IF(AT50&lt;PT_First,"",PT_First+PT_Int*INT((AT50-PT_First)/PT_Int)),"")))</f>
        <v/>
      </c>
      <c r="BJ50" s="0" t="str">
        <f aca="false">IF(LEN($A50&amp;$B50)=0,"",$A50&amp;" "&amp;$B50)</f>
        <v/>
      </c>
    </row>
    <row r="51" customFormat="false" ht="15" hidden="false" customHeight="false" outlineLevel="0" collapsed="false">
      <c r="A51" s="10"/>
      <c r="B51" s="10"/>
      <c r="C51" s="10"/>
      <c r="D51" s="11"/>
      <c r="E51" s="12" t="str">
        <f aca="false">IF(OR(AG51=0,$D51=""),"",DATE(YEAR(AsOfDate)+IF(DATE(YEAR(AsOfDate),MONTH($D51),DAY($D51))&lt;=AsOfDate,1,0),MONTH($D51),DAY($D51)))</f>
        <v/>
      </c>
      <c r="F51" s="11"/>
      <c r="G51" s="11"/>
      <c r="H51" s="11"/>
      <c r="I51" s="11"/>
      <c r="J51" s="11"/>
      <c r="K51" s="12" t="str">
        <f aca="false">IF(AG51=0,"",DATE(YEAR(AsOfDate)+IF(DATE(YEAR(AsOfDate),MONTH(AH51),DAY(AH51))&lt;=AsOfDate,1,0),MONTH(AH51),DAY(AH51)))</f>
        <v/>
      </c>
      <c r="L51" s="13" t="str">
        <f aca="false">IF(AG51=0,"",ROUND((AsOfDate-AH51)/365.25,1))</f>
        <v/>
      </c>
      <c r="M51" s="14" t="str">
        <f aca="false">IF(AG51=0,"",IF(AsOfDate&lt;AH51,"-",DATEDIF(AH51,AsOfDate,"y")&amp;"y "&amp;DATEDIF(AH51,AsOfDate,"ym")&amp;"m "&amp;DATEDIF(AH51,AsOfDate,"md")&amp;"d"))</f>
        <v/>
      </c>
      <c r="N51" s="15" t="str">
        <f aca="false">IF(AG51=0,"",O51*HoursPerDay)</f>
        <v/>
      </c>
      <c r="O51" s="15" t="str">
        <f aca="false">IF(AG51=0,"",AZ51)</f>
        <v/>
      </c>
      <c r="P51" s="16"/>
      <c r="Q51" s="14" t="str">
        <f aca="false">IF(AG51=0,"",IF(AI51&lt;2,"",AM51&amp;" to "&amp;AN51&amp;" on "&amp;TEXT(AK51,"dd/mm/yyyy")&amp;IF(AK51&gt;AsOfDate," (future)",IF(AP51=AQ51,"",IF(AQ51="None"," - STOPPED accruing",IF(AP51="None"," - commencement for Bonus Leave"," - pathway changed"))))&amp;IF(AI51&lt;3,"","; "&amp;AN51&amp;" to "&amp;AO51&amp;" on "&amp;TEXT(AL51,"dd/mm/yyyy")&amp;IF(AL51&gt;AsOfDate," (future)",IF(AQ51=AR51,"",IF(AR51="None"," - STOPPED accruing",IF(AQ51="None"," - commencement for Bonus Leave"," - pathway changed")))))))</f>
        <v/>
      </c>
      <c r="R51" s="14" t="str">
        <f aca="false">IF(AG51=0,"",IF(AS51="None",IF(O51&gt;0,"No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2" t="str">
        <f aca="false">IF(AG51=0,"",IF(AS51="None","",EDATE(AH51,BB51)))</f>
        <v/>
      </c>
      <c r="T51" s="15" t="str">
        <f aca="false">IF(AG51=0,"",IF(NOT(LH_Ready),"",IF(AH51&gt;PFYDate,0,IF(LH_ColPeriod=0,W51-U51+V51,SUMIFS(INDEX(LH_Data,0,LH_ColAcc),INDEX(LH_Data,0,LH_ColFirst),$A51,INDEX(LH_Data,0,LH_ColSur),$B51,INDEX(LH_Data,0,LH_ColCat),BonusCat,INDEX(LH_Data,0,LH_ColPeriod),LH_OpenLabel)*UnitFactor))))</f>
        <v/>
      </c>
      <c r="U51" s="15" t="str">
        <f aca="false">IF(AG51=0,"",IF(NOT(LH_Ready),"",SUMIFS(INDEX(LH_Data,0,LH_ColAcc),INDEX(LH_Data,0,LH_ColFirst),$A51,INDEX(LH_Data,0,LH_ColSur),$B51,INDEX(LH_Data,0,LH_ColCat),BonusCat,INDEX(LH_Data,0,LH_ColStart),"&gt;="&amp;AH51)*UnitFactor))</f>
        <v/>
      </c>
      <c r="V51" s="15" t="str">
        <f aca="false">IF(AG51=0,"",IF(NOT(LH_Ready),"",SUMIFS(INDEX(LH_Data,0,LH_ColTaken),INDEX(LH_Data,0,LH_ColFirst),$A51,INDEX(LH_Data,0,LH_ColSur),$B51,INDEX(LH_Data,0,LH_ColCat),BonusCat,INDEX(LH_Data,0,LH_ColStart),"&gt;="&amp;AH51)*UnitFactor))</f>
        <v/>
      </c>
      <c r="W51" s="15" t="str">
        <f aca="false">IF(AG51=0,"",IF(NOT(LH_Ready),"",IF(BD51=0,0,INDEX(INDEX(LH_Data,0,LH_ColClose),BD51-1)*UnitFactor)))</f>
        <v/>
      </c>
      <c r="X51" s="15" t="str">
        <f aca="false">IF(AG51=0,"",(AZ51-BA51)*HoursPerDay)</f>
        <v/>
      </c>
      <c r="Y51" s="15" t="str">
        <f aca="false">IF(AG51=0,"",IF(NOT(LH_Ready),"",IF(BC51=0,N51,IF(PFYDate&lt;$F51,N51-N(T51)-N(U51),X51-N(U51)))))</f>
        <v/>
      </c>
      <c r="Z51" s="14" t="str">
        <f aca="false">IF(OR(AG51=0,Y51=""),"",IF(Y51&gt;0,"Yes","No"))</f>
        <v/>
      </c>
      <c r="AA51" s="14" t="str">
        <f aca="false">IF(AG51=0,IF(LEN($A51&amp;$B51)=0,"","FIX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month")&amp;IF(BC51=0,";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EH)",""),IF(AS51="None",R51,"Not yet - first day on "&amp;TEXT(S51,"dd/mm/yyyy")))))))))</f>
        <v/>
      </c>
      <c r="AB51" s="15" t="str">
        <f aca="false">IF(OR(AG51=0,T51=""),"",BA51*HoursPerDay-T51)</f>
        <v/>
      </c>
      <c r="AC51" s="14" t="str">
        <f aca="false">IF(AG51=0,"",BC51)</f>
        <v/>
      </c>
      <c r="AD51" s="14" t="str">
        <f aca="false">IF(AG51=0,"",TRIM(IF(OR(ISTEXT($F51),ISTEXT($H51),ISTEXT($I51),ISTEXT($G51),ISTEXT($J51),ISTEXT($D51)),"A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I51&gt;=1,IF(AI51&gt;=3,AO51,IF(AI51=2,AN51,AM51))&lt;&gt;IF($C51="","",IF(OR(ISNUMBER(SEARCH("full",$C51)),UPPER(TRIM($C51))="FT",UPPER(TRIM($C51))="FTE"),"Full-Time",IF(OR(ISNUMBER(SEARCH("part",$C51)),UPPER(TRIM($C51))="PT",UPPER(TRIM($C51))="PTE"),"Part-Time",IF(OR(ISNUMBER(SEARCH("cas",$C51)),UPPER(TRIM($C51))="CAS"),"Casual","Unknown"))))),"EmploymentType does not match latest start date ("&amp;IF(AI51&gt;=3,AO51,IF(AI51=2,AN51,AM51))&amp;"). ","")&amp;IF(AND(AI51&gt;=1,AJ51&lt;&gt;$F51),"Earliest type date should equal StartDate. ","")&amp;IF(AND(AI51&gt;=2,AJ51=AK51),"Two types start on the same date. ","")&amp;IF(AND(OR(ISNUMBER(SEARCH("part",$C51)),UPPER(TRIM($C51))="PT",UPPER(TRIM($C51))="PTE"),$P51=""),"Part-time: enter PT Hrs/Week (blank = 24+). ","")))</f>
        <v/>
      </c>
      <c r="AE51" s="15" t="str">
        <f aca="false">IF(AG51=0,"",O51-BH51)</f>
        <v/>
      </c>
      <c r="AF51" s="12" t="str">
        <f aca="false">IF(OR(AG51=0,AE51="",N(AE51)=0,BI51=""),"",EDATE(AH51,BI51))</f>
        <v/>
      </c>
      <c r="AG51" s="14" t="n">
        <f aca="false">IF(OR(LEN($A51&amp;$B51)=0,$F51=""),0,1)</f>
        <v>0</v>
      </c>
      <c r="AH51" s="12" t="str">
        <f aca="false">IF(AG51=0,"",IF($J51&lt;&gt;"",$J51,IF(OR(CasualCounts="Yes",COUNT($G51:$I51)=0,COUNT($H51:$I51)=0),$F51,MIN($H51:$I51))))</f>
        <v/>
      </c>
      <c r="AI51" s="14" t="str">
        <f aca="false">IF(AG51=0,"",COUNT($G51:$I51))</f>
        <v/>
      </c>
      <c r="AJ51" s="12" t="str">
        <f aca="false">IF(AG51=0,"",IFERROR(SMALL($G51:$I51,1),""))</f>
        <v/>
      </c>
      <c r="AK51" s="12" t="str">
        <f aca="false">IF(AG51=0,"",IFERROR(SMALL($G51:$I51,2),""))</f>
        <v/>
      </c>
      <c r="AL51" s="12" t="str">
        <f aca="false">IF(AG51=0,"",IFERROR(SMALL($G51:$I51,3),""))</f>
        <v/>
      </c>
      <c r="AM51" s="14" t="str">
        <f aca="false">IF(AG51=0,"",IF(AJ51="","",IF(AJ51=$H51,"Part-Time",IF(AJ51=$I51,"Full-Time","Casual"))))</f>
        <v/>
      </c>
      <c r="AN51" s="14" t="str">
        <f aca="false">IF(AG51=0,"",IF(AK51="","",IF(AK51=$H51,"Part-Time",IF(AK51=$I51,"Full-Time","Casual"))))</f>
        <v/>
      </c>
      <c r="AO51" s="14" t="str">
        <f aca="false">IF(AG51=0,"",IF(AL51="","",IF(AL51=$H51,"Part-Time",IF(AL51=$I51,"Full-Time","Casual"))))</f>
        <v/>
      </c>
      <c r="AP51" s="14" t="str">
        <f aca="false">IF(AG51=0,"",IF(AI51=0,IF(OR(ISNUMBER(SEARCH("full",$C51)),UPPER(TRIM($C51))="FT",UPPER(TRIM($C51))="FTE"),"FT",IF(AND(OR(ISNUMBER(SEARCH("part",$C51)),UPPER(TRIM($C51))="PT",UPPER(TRIM($C51))="PTE"),OR($P51="",N($P51)&gt;=PT_MinHours)),"PT","None")),IF(OR(ISNUMBER(SEARCH("full",AM51)),UPPER(TRIM(AM51))="FT",UPPER(TRIM(AM51))="FTE"),"FT",IF(AND(OR(ISNUMBER(SEARCH("part",AM51)),UPPER(TRIM(AM51))="PT",UPPER(TRIM(AM51))="PTE"),OR($P51="",N($P51)&gt;=PT_MinHours)),"PT","None"))))</f>
        <v/>
      </c>
      <c r="AQ51" s="14" t="str">
        <f aca="false">IF(AG51=0,"",IF(AI51&lt;2,"",IF(OR(ISNUMBER(SEARCH("full",AN51)),UPPER(TRIM(AN51))="FT",UPPER(TRIM(AN51))="FTE"),"FT",IF(AND(OR(ISNUMBER(SEARCH("part",AN51)),UPPER(TRIM(AN51))="PT",UPPER(TRIM(AN51))="PTE"),OR($P51="",N($P51)&gt;=PT_MinHours)),"PT","None"))))</f>
        <v/>
      </c>
      <c r="AR51" s="14" t="str">
        <f aca="false">IF(AG51=0,"",IF(AI51&lt;3,"",IF(OR(ISNUMBER(SEARCH("full",AO51)),UPPER(TRIM(AO51))="FT",UPPER(TRIM(AO51))="FTE"),"FT",IF(AND(OR(ISNUMBER(SEARCH("part",AO51)),UPPER(TRIM(AO51))="PT",UPPER(TRIM(AO51))="PTE"),OR($P51="",N($P51)&gt;=PT_MinHours)),"PT","None"))))</f>
        <v/>
      </c>
      <c r="AS51" s="14" t="str">
        <f aca="false">IF(AG51=0,"",IF(AND(AI51&gt;=3,AL51&lt;=AsOfDate),AR51,IF(AND(AI51&gt;=2,AK51&lt;=AsOfDate),AQ51,AP51)))</f>
        <v/>
      </c>
      <c r="AT51" s="14" t="str">
        <f aca="false">IF(AG51=0,"",IF(AsOfDate&lt;AH51,-1,12*(YEAR(AsOfDate)-YEAR(AH51))+MONTH(AsOfDate)-MONTH(AH51)-IF(DAY(AsOfDate)&lt;MIN(DAY(AH51),DAY(EOMONTH(AsOfDate,0))),1,0)))</f>
        <v/>
      </c>
      <c r="AU51" s="14" t="str">
        <f aca="false">IF(AG51=0,"",IF(OR(AI51&lt;2,AK51&gt;AsOfDate),AT51,IF((AK51-1)&lt;AH51,-1,12*(YEAR((AK51-1))-YEAR(AH51))+MONTH((AK51-1))-MONTH(AH51)-IF(DAY((AK51-1))&lt;MIN(DAY(AH51),DAY(EOMONTH((AK51-1),0))),1,0))))</f>
        <v/>
      </c>
      <c r="AV51" s="14" t="str">
        <f aca="false">IF(AG51=0,"",IF(OR(AI51&lt;3,AL51&gt;AsOfDate),AT51,IF((AL51-1)&lt;AH51,-1,12*(YEAR((AL51-1))-YEAR(AH51))+MONTH((AL51-1))-MONTH(AH51)-IF(DAY((AL51-1))&lt;MIN(DAY(AH51),DAY(EOMONTH((AL51-1),0))),1,0))))</f>
        <v/>
      </c>
      <c r="AW51" s="14" t="str">
        <f aca="false">IF(AG51=0,"",IF(PFYDate&lt;AH51,-1,12*(YEAR(PFYDate)-YEAR(AH51))+MONTH(PFYDate)-MONTH(AH51)-IF(DAY(PFYDate)&lt;MIN(DAY(AH51),DAY(EOMONTH(PFYDate,0))),1,0)))</f>
        <v/>
      </c>
      <c r="AX51" s="14" t="str">
        <f aca="false">IF(AG51=0,"",IF(OR(AI51&lt;2,AK51&gt;PFYDate),AW51,IF((AK51-1)&lt;AH51,-1,12*(YEAR((AK51-1))-YEAR(AH51))+MONTH((AK51-1))-MONTH(AH51)-IF(DAY((AK51-1))&lt;MIN(DAY(AH51),DAY(EOMONTH((AK51-1),0))),1,0))))</f>
        <v/>
      </c>
      <c r="AY51" s="14" t="str">
        <f aca="false">IF(AG51=0,"",IF(OR(AI51&lt;3,AL51&gt;PFYDate),AW51,IF((AL51-1)&lt;AH51,-1,12*(YEAR((AL51-1))-YEAR(AH51))+MONTH((AL51-1))-MONTH(AH51)-IF(DAY((AL51-1))&lt;MIN(DAY(AH51),DAY(EOMONTH((AL51-1),0))),1,0))))</f>
        <v/>
      </c>
      <c r="AZ51" s="14" t="str">
        <f aca="false">IF(AG51=0,"",IF(AP51="FT",IF(AU51&lt;FT_First,0,IF(AU51&lt;FT_Y5,1+INT((AU51-FT_First)/FT_Int1),FT_PreY5+FT_PerYear*INT((AU51-FT_Y5)/12)+FT_AnnivDays+INT(MOD(AU51-FT_Y5,12)/FT_Int2))),IF(AP51="PT",IF(AU51&lt;PT_First,0,1+INT((AU51-PT_First)/PT_Int)),0))+IF(AND(AI51&gt;=2,AK51&lt;=AsOfDate),IF(AQ51="FT",IF(AV51&lt;FT_First,0,IF(AV51&lt;FT_Y5,1+INT((AV51-FT_First)/FT_Int1),FT_PreY5+FT_PerYear*INT((AV51-FT_Y5)/12)+FT_AnnivDays+INT(MOD(AV51-FT_Y5,12)/FT_Int2))),IF(AQ51="PT",IF(AV51&lt;PT_First,0,1+INT((AV51-PT_First)/PT_Int)),0))-IF(AQ51="FT",IF(AU51&lt;FT_First,0,IF(AU51&lt;FT_Y5,1+INT((AU51-FT_First)/FT_Int1),FT_PreY5+FT_PerYear*INT((AU51-FT_Y5)/12)+FT_AnnivDays+INT(MOD(AU51-FT_Y5,12)/FT_Int2))),IF(AQ51="PT",IF(AU51&lt;PT_First,0,1+INT((AU51-PT_First)/PT_Int)),0)),0)+IF(AND(AI51&gt;=3,AL51&lt;=AsOfDate),IF(AR51="FT",IF(AT51&lt;FT_First,0,IF(AT51&lt;FT_Y5,1+INT((AT51-FT_First)/FT_Int1),FT_PreY5+FT_PerYear*INT((AT51-FT_Y5)/12)+FT_AnnivDays+INT(MOD(AT51-FT_Y5,12)/FT_Int2))),IF(AR51="PT",IF(AT51&lt;PT_First,0,1+INT((AT51-PT_First)/PT_Int)),0))-IF(AR51="FT",IF(AV51&lt;FT_First,0,IF(AV51&lt;FT_Y5,1+INT((AV51-FT_First)/FT_Int1),FT_PreY5+FT_PerYear*INT((AV51-FT_Y5)/12)+FT_AnnivDays+INT(MOD(AV51-FT_Y5,12)/FT_Int2))),IF(AR51="PT",IF(AV51&lt;PT_First,0,1+INT((AV51-PT_First)/PT_Int)),0)),0))</f>
        <v/>
      </c>
      <c r="BA51" s="14" t="str">
        <f aca="false">IF(AG51=0,"",IF(AP51="FT",IF(AX51&lt;FT_First,0,IF(AX51&lt;FT_Y5,1+INT((AX51-FT_First)/FT_Int1),FT_PreY5+FT_PerYear*INT((AX51-FT_Y5)/12)+FT_AnnivDays+INT(MOD(AX51-FT_Y5,12)/FT_Int2))),IF(AP51="PT",IF(AX51&lt;PT_First,0,1+INT((AX51-PT_First)/PT_Int)),0))+IF(AND(AI51&gt;=2,AK51&lt;=PFYDate),IF(AQ51="FT",IF(AY51&lt;FT_First,0,IF(AY51&lt;FT_Y5,1+INT((AY51-FT_First)/FT_Int1),FT_PreY5+FT_PerYear*INT((AY51-FT_Y5)/12)+FT_AnnivDays+INT(MOD(AY51-FT_Y5,12)/FT_Int2))),IF(AQ51="PT",IF(AY51&lt;PT_First,0,1+INT((AY51-PT_First)/PT_Int)),0))-IF(AQ51="FT",IF(AX51&lt;FT_First,0,IF(AX51&lt;FT_Y5,1+INT((AX51-FT_First)/FT_Int1),FT_PreY5+FT_PerYear*INT((AX51-FT_Y5)/12)+FT_AnnivDays+INT(MOD(AX51-FT_Y5,12)/FT_Int2))),IF(AQ51="PT",IF(AX51&lt;PT_First,0,1+INT((AX51-PT_First)/PT_Int)),0)),0)+IF(AND(AI51&gt;=3,AL51&lt;=PFYDate),IF(AR51="FT",IF(AW51&lt;FT_First,0,IF(AW51&lt;FT_Y5,1+INT((AW51-FT_First)/FT_Int1),FT_PreY5+FT_PerYear*INT((AW51-FT_Y5)/12)+FT_AnnivDays+INT(MOD(AW51-FT_Y5,12)/FT_Int2))),IF(AR51="PT",IF(AW51&lt;PT_First,0,1+INT((AW51-PT_First)/PT_Int)),0))-IF(AR51="FT",IF(AY51&lt;FT_First,0,IF(AY51&lt;FT_Y5,1+INT((AY51-FT_First)/FT_Int1),FT_PreY5+FT_PerYear*INT((AY51-FT_Y5)/12)+FT_AnnivDays+INT(MOD(AY51-FT_Y5,12)/FT_Int2))),IF(AR51="PT",IF(AY51&lt;PT_First,0,1+INT((AY51-PT_First)/PT_Int)),0)),0))</f>
        <v/>
      </c>
      <c r="BB51" s="14" t="str">
        <f aca="false">IF(AG51=0,"",IF(AS51="FT",IF(AT51&lt;FT_First,FT_First,IF(AT51&lt;FT_Y5,MIN(FT_Y5,FT_First+FT_Int1*(INT((AT51-FT_First)/FT_Int1)+1)),FT_Y5+12*INT((AT51-FT_Y5)/12)+FT_Int2*(INT(MOD(AT51-FT_Y5,12)/FT_Int2)+1))),IF(AS51="PT",IF(AT51&lt;PT_First,PT_First,PT_First+PT_Int*(INT((AT51-PT_First)/PT_Int)+1)),"")))</f>
        <v/>
      </c>
      <c r="BC51" s="14" t="str">
        <f aca="false">IF(AG51=0,"",IF(NOT(LH_Ready),0,COUNTIFS(INDEX(LH_Data,0,LH_ColFirst),$A51,INDEX(LH_Data,0,LH_ColSur),$B51,INDEX(LH_Data,0,LH_ColCat),BonusCat)))</f>
        <v/>
      </c>
      <c r="BD51" s="14" t="str">
        <f aca="false">IF(AG51=0,"",IF(OR(NOT(LH_Ready),BC51=0),0,SUMPRODUCT(MAX((INDEX(LH_Data,0,LH_ColFirst)=$A51)*(INDEX(LH_Data,0,LH_ColSur)=$B51)*(INDEX(LH_Data,0,LH_ColCat)=BonusCat)*ROW(LH_Data)))))</f>
        <v/>
      </c>
      <c r="BE51" s="14" t="str">
        <f aca="false">IF(AG51=0,"",IF(EOMONTH(AsOfDate,-1)&lt;AH51,-1,12*(YEAR(EOMONTH(AsOfDate,-1))-YEAR(AH51))+MONTH(EOMONTH(AsOfDate,-1))-MONTH(AH51)-IF(DAY(EOMONTH(AsOfDate,-1))&lt;MIN(DAY(AH51),DAY(EOMONTH(EOMONTH(AsOfDate,-1),0))),1,0)))</f>
        <v/>
      </c>
      <c r="BF51" s="14" t="str">
        <f aca="false">IF(AG51=0,"",IF(OR(AI51&lt;2,AK51&gt;EOMONTH(AsOfDate,-1)),BE51,IF((AK51-1)&lt;AH51,-1,12*(YEAR((AK51-1))-YEAR(AH51))+MONTH((AK51-1))-MONTH(AH51)-IF(DAY((AK51-1))&lt;MIN(DAY(AH51),DAY(EOMONTH((AK51-1),0))),1,0))))</f>
        <v/>
      </c>
      <c r="BG51" s="14" t="str">
        <f aca="false">IF(AG51=0,"",IF(OR(AI51&lt;3,AL51&gt;EOMONTH(AsOfDate,-1)),BE51,IF((AL51-1)&lt;AH51,-1,12*(YEAR((AL51-1))-YEAR(AH51))+MONTH((AL51-1))-MONTH(AH51)-IF(DAY((AL51-1))&lt;MIN(DAY(AH51),DAY(EOMONTH((AL51-1),0))),1,0))))</f>
        <v/>
      </c>
      <c r="BH51" s="14" t="str">
        <f aca="false">IF(AG51=0,"",IF(AP51="FT",IF(BF51&lt;FT_First,0,IF(BF51&lt;FT_Y5,1+INT((BF51-FT_First)/FT_Int1),FT_PreY5+FT_PerYear*INT((BF51-FT_Y5)/12)+FT_AnnivDays+INT(MOD(BF51-FT_Y5,12)/FT_Int2))),IF(AP51="PT",IF(BF51&lt;PT_First,0,1+INT((BF51-PT_First)/PT_Int)),0))+IF(AND(AI51&gt;=2,AK51&lt;=EOMONTH(AsOfDate,-1)),IF(AQ51="FT",IF(BG51&lt;FT_First,0,IF(BG51&lt;FT_Y5,1+INT((BG51-FT_First)/FT_Int1),FT_PreY5+FT_PerYear*INT((BG51-FT_Y5)/12)+FT_AnnivDays+INT(MOD(BG51-FT_Y5,12)/FT_Int2))),IF(AQ51="PT",IF(BG51&lt;PT_First,0,1+INT((BG51-PT_First)/PT_Int)),0))-IF(AQ51="FT",IF(BF51&lt;FT_First,0,IF(BF51&lt;FT_Y5,1+INT((BF51-FT_First)/FT_Int1),FT_PreY5+FT_PerYear*INT((BF51-FT_Y5)/12)+FT_AnnivDays+INT(MOD(BF51-FT_Y5,12)/FT_Int2))),IF(AQ51="PT",IF(BF51&lt;PT_First,0,1+INT((BF51-PT_First)/PT_Int)),0)),0)+IF(AND(AI51&gt;=3,AL51&lt;=EOMONTH(AsOfDate,-1)),IF(AR51="FT",IF(BE51&lt;FT_First,0,IF(BE51&lt;FT_Y5,1+INT((BE51-FT_First)/FT_Int1),FT_PreY5+FT_PerYear*INT((BE51-FT_Y5)/12)+FT_AnnivDays+INT(MOD(BE51-FT_Y5,12)/FT_Int2))),IF(AR51="PT",IF(BE51&lt;PT_First,0,1+INT((BE51-PT_First)/PT_Int)),0))-IF(AR51="FT",IF(BG51&lt;FT_First,0,IF(BG51&lt;FT_Y5,1+INT((BG51-FT_First)/FT_Int1),FT_PreY5+FT_PerYear*INT((BG51-FT_Y5)/12)+FT_AnnivDays+INT(MOD(BG51-FT_Y5,12)/FT_Int2))),IF(AR51="PT",IF(BG51&lt;PT_First,0,1+INT((BG51-PT_First)/PT_Int)),0)),0))</f>
        <v/>
      </c>
      <c r="BI51" s="14" t="str">
        <f aca="false">IF(AG51=0,"",IF(AS51="FT",IF(AT51&lt;FT_First,"",IF(AT51&lt;FT_Y5,FT_First+FT_Int1*INT((AT51-FT_First)/FT_Int1),FT_Y5+FT_Int2*INT((AT51-FT_Y5)/FT_Int2))),IF(AS51="PT",IF(AT51&lt;PT_First,"",PT_First+PT_Int*INT((AT51-PT_First)/PT_Int)),"")))</f>
        <v/>
      </c>
      <c r="BJ51" s="0" t="str">
        <f aca="false">IF(LEN($A51&amp;$B51)=0,"",$A51&amp;" "&amp;$B51)</f>
        <v/>
      </c>
    </row>
    <row r="52" customFormat="false" ht="15" hidden="false" customHeight="false" outlineLevel="0" collapsed="false">
      <c r="A52" s="10"/>
      <c r="B52" s="10"/>
      <c r="C52" s="10"/>
      <c r="D52" s="11"/>
      <c r="E52" s="12" t="str">
        <f aca="false">IF(OR(AG52=0,$D52=""),"",DATE(YEAR(AsOfDate)+IF(DATE(YEAR(AsOfDate),MONTH($D52),DAY($D52))&lt;=AsOfDate,1,0),MONTH($D52),DAY($D52)))</f>
        <v/>
      </c>
      <c r="F52" s="11"/>
      <c r="G52" s="11"/>
      <c r="H52" s="11"/>
      <c r="I52" s="11"/>
      <c r="J52" s="11"/>
      <c r="K52" s="12" t="str">
        <f aca="false">IF(AG52=0,"",DATE(YEAR(AsOfDate)+IF(DATE(YEAR(AsOfDate),MONTH(AH52),DAY(AH52))&lt;=AsOfDate,1,0),MONTH(AH52),DAY(AH52)))</f>
        <v/>
      </c>
      <c r="L52" s="13" t="str">
        <f aca="false">IF(AG52=0,"",ROUND((AsOfDate-AH52)/365.25,1))</f>
        <v/>
      </c>
      <c r="M52" s="14" t="str">
        <f aca="false">IF(AG52=0,"",IF(AsOfDate&lt;AH52,"-",DATEDIF(AH52,AsOfDate,"y")&amp;"y "&amp;DATEDIF(AH52,AsOfDate,"ym")&amp;"m "&amp;DATEDIF(AH52,AsOfDate,"md")&amp;"d"))</f>
        <v/>
      </c>
      <c r="N52" s="15" t="str">
        <f aca="false">IF(AG52=0,"",O52*HoursPerDay)</f>
        <v/>
      </c>
      <c r="O52" s="15" t="str">
        <f aca="false">IF(AG52=0,"",AZ52)</f>
        <v/>
      </c>
      <c r="P52" s="16"/>
      <c r="Q52" s="14" t="str">
        <f aca="false">IF(AG52=0,"",IF(AI52&lt;2,"",AM52&amp;" to "&amp;AN52&amp;" on "&amp;TEXT(AK52,"dd/mm/yyyy")&amp;IF(AK52&gt;AsOfDate," (future)",IF(AP52=AQ52,"",IF(AQ52="None"," - STOPPED accruing",IF(AP52="None"," - commencement for Bonus Leave"," - pathway changed"))))&amp;IF(AI52&lt;3,"","; "&amp;AN52&amp;" to "&amp;AO52&amp;" on "&amp;TEXT(AL52,"dd/mm/yyyy")&amp;IF(AL52&gt;AsOfDate," (future)",IF(AQ52=AR52,"",IF(AR52="None"," - STOPPED accruing",IF(AQ52="None"," - commencement for Bonus Leave"," - pathway changed")))))))</f>
        <v/>
      </c>
      <c r="R52" s="14" t="str">
        <f aca="false">IF(AG52=0,"",IF(AS52="None",IF(O52&gt;0,"No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2" t="str">
        <f aca="false">IF(AG52=0,"",IF(AS52="None","",EDATE(AH52,BB52)))</f>
        <v/>
      </c>
      <c r="T52" s="15" t="str">
        <f aca="false">IF(AG52=0,"",IF(NOT(LH_Ready),"",IF(AH52&gt;PFYDate,0,IF(LH_ColPeriod=0,W52-U52+V52,SUMIFS(INDEX(LH_Data,0,LH_ColAcc),INDEX(LH_Data,0,LH_ColFirst),$A52,INDEX(LH_Data,0,LH_ColSur),$B52,INDEX(LH_Data,0,LH_ColCat),BonusCat,INDEX(LH_Data,0,LH_ColPeriod),LH_OpenLabel)*UnitFactor))))</f>
        <v/>
      </c>
      <c r="U52" s="15" t="str">
        <f aca="false">IF(AG52=0,"",IF(NOT(LH_Ready),"",SUMIFS(INDEX(LH_Data,0,LH_ColAcc),INDEX(LH_Data,0,LH_ColFirst),$A52,INDEX(LH_Data,0,LH_ColSur),$B52,INDEX(LH_Data,0,LH_ColCat),BonusCat,INDEX(LH_Data,0,LH_ColStart),"&gt;="&amp;AH52)*UnitFactor))</f>
        <v/>
      </c>
      <c r="V52" s="15" t="str">
        <f aca="false">IF(AG52=0,"",IF(NOT(LH_Ready),"",SUMIFS(INDEX(LH_Data,0,LH_ColTaken),INDEX(LH_Data,0,LH_ColFirst),$A52,INDEX(LH_Data,0,LH_ColSur),$B52,INDEX(LH_Data,0,LH_ColCat),BonusCat,INDEX(LH_Data,0,LH_ColStart),"&gt;="&amp;AH52)*UnitFactor))</f>
        <v/>
      </c>
      <c r="W52" s="15" t="str">
        <f aca="false">IF(AG52=0,"",IF(NOT(LH_Ready),"",IF(BD52=0,0,INDEX(INDEX(LH_Data,0,LH_ColClose),BD52-1)*UnitFactor)))</f>
        <v/>
      </c>
      <c r="X52" s="15" t="str">
        <f aca="false">IF(AG52=0,"",(AZ52-BA52)*HoursPerDay)</f>
        <v/>
      </c>
      <c r="Y52" s="15" t="str">
        <f aca="false">IF(AG52=0,"",IF(NOT(LH_Ready),"",IF(BC52=0,N52,IF(PFYDate&lt;$F52,N52-N(T52)-N(U52),X52-N(U52)))))</f>
        <v/>
      </c>
      <c r="Z52" s="14" t="str">
        <f aca="false">IF(OR(AG52=0,Y52=""),"",IF(Y52&gt;0,"Yes","No"))</f>
        <v/>
      </c>
      <c r="AA52" s="14" t="str">
        <f aca="false">IF(AG52=0,IF(LEN($A52&amp;$B52)=0,"","FIX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month")&amp;IF(BC52=0,";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EH)",""),IF(AS52="None",R52,"Not yet - first day on "&amp;TEXT(S52,"dd/mm/yyyy")))))))))</f>
        <v/>
      </c>
      <c r="AB52" s="15" t="str">
        <f aca="false">IF(OR(AG52=0,T52=""),"",BA52*HoursPerDay-T52)</f>
        <v/>
      </c>
      <c r="AC52" s="14" t="str">
        <f aca="false">IF(AG52=0,"",BC52)</f>
        <v/>
      </c>
      <c r="AD52" s="14" t="str">
        <f aca="false">IF(AG52=0,"",TRIM(IF(OR(ISTEXT($F52),ISTEXT($H52),ISTEXT($I52),ISTEXT($G52),ISTEXT($J52),ISTEXT($D52)),"A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I52&gt;=1,IF(AI52&gt;=3,AO52,IF(AI52=2,AN52,AM52))&lt;&gt;IF($C52="","",IF(OR(ISNUMBER(SEARCH("full",$C52)),UPPER(TRIM($C52))="FT",UPPER(TRIM($C52))="FTE"),"Full-Time",IF(OR(ISNUMBER(SEARCH("part",$C52)),UPPER(TRIM($C52))="PT",UPPER(TRIM($C52))="PTE"),"Part-Time",IF(OR(ISNUMBER(SEARCH("cas",$C52)),UPPER(TRIM($C52))="CAS"),"Casual","Unknown"))))),"EmploymentType does not match latest start date ("&amp;IF(AI52&gt;=3,AO52,IF(AI52=2,AN52,AM52))&amp;"). ","")&amp;IF(AND(AI52&gt;=1,AJ52&lt;&gt;$F52),"Earliest type date should equal StartDate. ","")&amp;IF(AND(AI52&gt;=2,AJ52=AK52),"Two types start on the same date. ","")&amp;IF(AND(OR(ISNUMBER(SEARCH("part",$C52)),UPPER(TRIM($C52))="PT",UPPER(TRIM($C52))="PTE"),$P52=""),"Part-time: enter PT Hrs/Week (blank = 24+). ","")))</f>
        <v/>
      </c>
      <c r="AE52" s="15" t="str">
        <f aca="false">IF(AG52=0,"",O52-BH52)</f>
        <v/>
      </c>
      <c r="AF52" s="12" t="str">
        <f aca="false">IF(OR(AG52=0,AE52="",N(AE52)=0,BI52=""),"",EDATE(AH52,BI52))</f>
        <v/>
      </c>
      <c r="AG52" s="14" t="n">
        <f aca="false">IF(OR(LEN($A52&amp;$B52)=0,$F52=""),0,1)</f>
        <v>0</v>
      </c>
      <c r="AH52" s="12" t="str">
        <f aca="false">IF(AG52=0,"",IF($J52&lt;&gt;"",$J52,IF(OR(CasualCounts="Yes",COUNT($G52:$I52)=0,COUNT($H52:$I52)=0),$F52,MIN($H52:$I52))))</f>
        <v/>
      </c>
      <c r="AI52" s="14" t="str">
        <f aca="false">IF(AG52=0,"",COUNT($G52:$I52))</f>
        <v/>
      </c>
      <c r="AJ52" s="12" t="str">
        <f aca="false">IF(AG52=0,"",IFERROR(SMALL($G52:$I52,1),""))</f>
        <v/>
      </c>
      <c r="AK52" s="12" t="str">
        <f aca="false">IF(AG52=0,"",IFERROR(SMALL($G52:$I52,2),""))</f>
        <v/>
      </c>
      <c r="AL52" s="12" t="str">
        <f aca="false">IF(AG52=0,"",IFERROR(SMALL($G52:$I52,3),""))</f>
        <v/>
      </c>
      <c r="AM52" s="14" t="str">
        <f aca="false">IF(AG52=0,"",IF(AJ52="","",IF(AJ52=$H52,"Part-Time",IF(AJ52=$I52,"Full-Time","Casual"))))</f>
        <v/>
      </c>
      <c r="AN52" s="14" t="str">
        <f aca="false">IF(AG52=0,"",IF(AK52="","",IF(AK52=$H52,"Part-Time",IF(AK52=$I52,"Full-Time","Casual"))))</f>
        <v/>
      </c>
      <c r="AO52" s="14" t="str">
        <f aca="false">IF(AG52=0,"",IF(AL52="","",IF(AL52=$H52,"Part-Time",IF(AL52=$I52,"Full-Time","Casual"))))</f>
        <v/>
      </c>
      <c r="AP52" s="14" t="str">
        <f aca="false">IF(AG52=0,"",IF(AI52=0,IF(OR(ISNUMBER(SEARCH("full",$C52)),UPPER(TRIM($C52))="FT",UPPER(TRIM($C52))="FTE"),"FT",IF(AND(OR(ISNUMBER(SEARCH("part",$C52)),UPPER(TRIM($C52))="PT",UPPER(TRIM($C52))="PTE"),OR($P52="",N($P52)&gt;=PT_MinHours)),"PT","None")),IF(OR(ISNUMBER(SEARCH("full",AM52)),UPPER(TRIM(AM52))="FT",UPPER(TRIM(AM52))="FTE"),"FT",IF(AND(OR(ISNUMBER(SEARCH("part",AM52)),UPPER(TRIM(AM52))="PT",UPPER(TRIM(AM52))="PTE"),OR($P52="",N($P52)&gt;=PT_MinHours)),"PT","None"))))</f>
        <v/>
      </c>
      <c r="AQ52" s="14" t="str">
        <f aca="false">IF(AG52=0,"",IF(AI52&lt;2,"",IF(OR(ISNUMBER(SEARCH("full",AN52)),UPPER(TRIM(AN52))="FT",UPPER(TRIM(AN52))="FTE"),"FT",IF(AND(OR(ISNUMBER(SEARCH("part",AN52)),UPPER(TRIM(AN52))="PT",UPPER(TRIM(AN52))="PTE"),OR($P52="",N($P52)&gt;=PT_MinHours)),"PT","None"))))</f>
        <v/>
      </c>
      <c r="AR52" s="14" t="str">
        <f aca="false">IF(AG52=0,"",IF(AI52&lt;3,"",IF(OR(ISNUMBER(SEARCH("full",AO52)),UPPER(TRIM(AO52))="FT",UPPER(TRIM(AO52))="FTE"),"FT",IF(AND(OR(ISNUMBER(SEARCH("part",AO52)),UPPER(TRIM(AO52))="PT",UPPER(TRIM(AO52))="PTE"),OR($P52="",N($P52)&gt;=PT_MinHours)),"PT","None"))))</f>
        <v/>
      </c>
      <c r="AS52" s="14" t="str">
        <f aca="false">IF(AG52=0,"",IF(AND(AI52&gt;=3,AL52&lt;=AsOfDate),AR52,IF(AND(AI52&gt;=2,AK52&lt;=AsOfDate),AQ52,AP52)))</f>
        <v/>
      </c>
      <c r="AT52" s="14" t="str">
        <f aca="false">IF(AG52=0,"",IF(AsOfDate&lt;AH52,-1,12*(YEAR(AsOfDate)-YEAR(AH52))+MONTH(AsOfDate)-MONTH(AH52)-IF(DAY(AsOfDate)&lt;MIN(DAY(AH52),DAY(EOMONTH(AsOfDate,0))),1,0)))</f>
        <v/>
      </c>
      <c r="AU52" s="14" t="str">
        <f aca="false">IF(AG52=0,"",IF(OR(AI52&lt;2,AK52&gt;AsOfDate),AT52,IF((AK52-1)&lt;AH52,-1,12*(YEAR((AK52-1))-YEAR(AH52))+MONTH((AK52-1))-MONTH(AH52)-IF(DAY((AK52-1))&lt;MIN(DAY(AH52),DAY(EOMONTH((AK52-1),0))),1,0))))</f>
        <v/>
      </c>
      <c r="AV52" s="14" t="str">
        <f aca="false">IF(AG52=0,"",IF(OR(AI52&lt;3,AL52&gt;AsOfDate),AT52,IF((AL52-1)&lt;AH52,-1,12*(YEAR((AL52-1))-YEAR(AH52))+MONTH((AL52-1))-MONTH(AH52)-IF(DAY((AL52-1))&lt;MIN(DAY(AH52),DAY(EOMONTH((AL52-1),0))),1,0))))</f>
        <v/>
      </c>
      <c r="AW52" s="14" t="str">
        <f aca="false">IF(AG52=0,"",IF(PFYDate&lt;AH52,-1,12*(YEAR(PFYDate)-YEAR(AH52))+MONTH(PFYDate)-MONTH(AH52)-IF(DAY(PFYDate)&lt;MIN(DAY(AH52),DAY(EOMONTH(PFYDate,0))),1,0)))</f>
        <v/>
      </c>
      <c r="AX52" s="14" t="str">
        <f aca="false">IF(AG52=0,"",IF(OR(AI52&lt;2,AK52&gt;PFYDate),AW52,IF((AK52-1)&lt;AH52,-1,12*(YEAR((AK52-1))-YEAR(AH52))+MONTH((AK52-1))-MONTH(AH52)-IF(DAY((AK52-1))&lt;MIN(DAY(AH52),DAY(EOMONTH((AK52-1),0))),1,0))))</f>
        <v/>
      </c>
      <c r="AY52" s="14" t="str">
        <f aca="false">IF(AG52=0,"",IF(OR(AI52&lt;3,AL52&gt;PFYDate),AW52,IF((AL52-1)&lt;AH52,-1,12*(YEAR((AL52-1))-YEAR(AH52))+MONTH((AL52-1))-MONTH(AH52)-IF(DAY((AL52-1))&lt;MIN(DAY(AH52),DAY(EOMONTH((AL52-1),0))),1,0))))</f>
        <v/>
      </c>
      <c r="AZ52" s="14" t="str">
        <f aca="false">IF(AG52=0,"",IF(AP52="FT",IF(AU52&lt;FT_First,0,IF(AU52&lt;FT_Y5,1+INT((AU52-FT_First)/FT_Int1),FT_PreY5+FT_PerYear*INT((AU52-FT_Y5)/12)+FT_AnnivDays+INT(MOD(AU52-FT_Y5,12)/FT_Int2))),IF(AP52="PT",IF(AU52&lt;PT_First,0,1+INT((AU52-PT_First)/PT_Int)),0))+IF(AND(AI52&gt;=2,AK52&lt;=AsOfDate),IF(AQ52="FT",IF(AV52&lt;FT_First,0,IF(AV52&lt;FT_Y5,1+INT((AV52-FT_First)/FT_Int1),FT_PreY5+FT_PerYear*INT((AV52-FT_Y5)/12)+FT_AnnivDays+INT(MOD(AV52-FT_Y5,12)/FT_Int2))),IF(AQ52="PT",IF(AV52&lt;PT_First,0,1+INT((AV52-PT_First)/PT_Int)),0))-IF(AQ52="FT",IF(AU52&lt;FT_First,0,IF(AU52&lt;FT_Y5,1+INT((AU52-FT_First)/FT_Int1),FT_PreY5+FT_PerYear*INT((AU52-FT_Y5)/12)+FT_AnnivDays+INT(MOD(AU52-FT_Y5,12)/FT_Int2))),IF(AQ52="PT",IF(AU52&lt;PT_First,0,1+INT((AU52-PT_First)/PT_Int)),0)),0)+IF(AND(AI52&gt;=3,AL52&lt;=AsOfDate),IF(AR52="FT",IF(AT52&lt;FT_First,0,IF(AT52&lt;FT_Y5,1+INT((AT52-FT_First)/FT_Int1),FT_PreY5+FT_PerYear*INT((AT52-FT_Y5)/12)+FT_AnnivDays+INT(MOD(AT52-FT_Y5,12)/FT_Int2))),IF(AR52="PT",IF(AT52&lt;PT_First,0,1+INT((AT52-PT_First)/PT_Int)),0))-IF(AR52="FT",IF(AV52&lt;FT_First,0,IF(AV52&lt;FT_Y5,1+INT((AV52-FT_First)/FT_Int1),FT_PreY5+FT_PerYear*INT((AV52-FT_Y5)/12)+FT_AnnivDays+INT(MOD(AV52-FT_Y5,12)/FT_Int2))),IF(AR52="PT",IF(AV52&lt;PT_First,0,1+INT((AV52-PT_First)/PT_Int)),0)),0))</f>
        <v/>
      </c>
      <c r="BA52" s="14" t="str">
        <f aca="false">IF(AG52=0,"",IF(AP52="FT",IF(AX52&lt;FT_First,0,IF(AX52&lt;FT_Y5,1+INT((AX52-FT_First)/FT_Int1),FT_PreY5+FT_PerYear*INT((AX52-FT_Y5)/12)+FT_AnnivDays+INT(MOD(AX52-FT_Y5,12)/FT_Int2))),IF(AP52="PT",IF(AX52&lt;PT_First,0,1+INT((AX52-PT_First)/PT_Int)),0))+IF(AND(AI52&gt;=2,AK52&lt;=PFYDate),IF(AQ52="FT",IF(AY52&lt;FT_First,0,IF(AY52&lt;FT_Y5,1+INT((AY52-FT_First)/FT_Int1),FT_PreY5+FT_PerYear*INT((AY52-FT_Y5)/12)+FT_AnnivDays+INT(MOD(AY52-FT_Y5,12)/FT_Int2))),IF(AQ52="PT",IF(AY52&lt;PT_First,0,1+INT((AY52-PT_First)/PT_Int)),0))-IF(AQ52="FT",IF(AX52&lt;FT_First,0,IF(AX52&lt;FT_Y5,1+INT((AX52-FT_First)/FT_Int1),FT_PreY5+FT_PerYear*INT((AX52-FT_Y5)/12)+FT_AnnivDays+INT(MOD(AX52-FT_Y5,12)/FT_Int2))),IF(AQ52="PT",IF(AX52&lt;PT_First,0,1+INT((AX52-PT_First)/PT_Int)),0)),0)+IF(AND(AI52&gt;=3,AL52&lt;=PFYDate),IF(AR52="FT",IF(AW52&lt;FT_First,0,IF(AW52&lt;FT_Y5,1+INT((AW52-FT_First)/FT_Int1),FT_PreY5+FT_PerYear*INT((AW52-FT_Y5)/12)+FT_AnnivDays+INT(MOD(AW52-FT_Y5,12)/FT_Int2))),IF(AR52="PT",IF(AW52&lt;PT_First,0,1+INT((AW52-PT_First)/PT_Int)),0))-IF(AR52="FT",IF(AY52&lt;FT_First,0,IF(AY52&lt;FT_Y5,1+INT((AY52-FT_First)/FT_Int1),FT_PreY5+FT_PerYear*INT((AY52-FT_Y5)/12)+FT_AnnivDays+INT(MOD(AY52-FT_Y5,12)/FT_Int2))),IF(AR52="PT",IF(AY52&lt;PT_First,0,1+INT((AY52-PT_First)/PT_Int)),0)),0))</f>
        <v/>
      </c>
      <c r="BB52" s="14" t="str">
        <f aca="false">IF(AG52=0,"",IF(AS52="FT",IF(AT52&lt;FT_First,FT_First,IF(AT52&lt;FT_Y5,MIN(FT_Y5,FT_First+FT_Int1*(INT((AT52-FT_First)/FT_Int1)+1)),FT_Y5+12*INT((AT52-FT_Y5)/12)+FT_Int2*(INT(MOD(AT52-FT_Y5,12)/FT_Int2)+1))),IF(AS52="PT",IF(AT52&lt;PT_First,PT_First,PT_First+PT_Int*(INT((AT52-PT_First)/PT_Int)+1)),"")))</f>
        <v/>
      </c>
      <c r="BC52" s="14" t="str">
        <f aca="false">IF(AG52=0,"",IF(NOT(LH_Ready),0,COUNTIFS(INDEX(LH_Data,0,LH_ColFirst),$A52,INDEX(LH_Data,0,LH_ColSur),$B52,INDEX(LH_Data,0,LH_ColCat),BonusCat)))</f>
        <v/>
      </c>
      <c r="BD52" s="14" t="str">
        <f aca="false">IF(AG52=0,"",IF(OR(NOT(LH_Ready),BC52=0),0,SUMPRODUCT(MAX((INDEX(LH_Data,0,LH_ColFirst)=$A52)*(INDEX(LH_Data,0,LH_ColSur)=$B52)*(INDEX(LH_Data,0,LH_ColCat)=BonusCat)*ROW(LH_Data)))))</f>
        <v/>
      </c>
      <c r="BE52" s="14" t="str">
        <f aca="false">IF(AG52=0,"",IF(EOMONTH(AsOfDate,-1)&lt;AH52,-1,12*(YEAR(EOMONTH(AsOfDate,-1))-YEAR(AH52))+MONTH(EOMONTH(AsOfDate,-1))-MONTH(AH52)-IF(DAY(EOMONTH(AsOfDate,-1))&lt;MIN(DAY(AH52),DAY(EOMONTH(EOMONTH(AsOfDate,-1),0))),1,0)))</f>
        <v/>
      </c>
      <c r="BF52" s="14" t="str">
        <f aca="false">IF(AG52=0,"",IF(OR(AI52&lt;2,AK52&gt;EOMONTH(AsOfDate,-1)),BE52,IF((AK52-1)&lt;AH52,-1,12*(YEAR((AK52-1))-YEAR(AH52))+MONTH((AK52-1))-MONTH(AH52)-IF(DAY((AK52-1))&lt;MIN(DAY(AH52),DAY(EOMONTH((AK52-1),0))),1,0))))</f>
        <v/>
      </c>
      <c r="BG52" s="14" t="str">
        <f aca="false">IF(AG52=0,"",IF(OR(AI52&lt;3,AL52&gt;EOMONTH(AsOfDate,-1)),BE52,IF((AL52-1)&lt;AH52,-1,12*(YEAR((AL52-1))-YEAR(AH52))+MONTH((AL52-1))-MONTH(AH52)-IF(DAY((AL52-1))&lt;MIN(DAY(AH52),DAY(EOMONTH((AL52-1),0))),1,0))))</f>
        <v/>
      </c>
      <c r="BH52" s="14" t="str">
        <f aca="false">IF(AG52=0,"",IF(AP52="FT",IF(BF52&lt;FT_First,0,IF(BF52&lt;FT_Y5,1+INT((BF52-FT_First)/FT_Int1),FT_PreY5+FT_PerYear*INT((BF52-FT_Y5)/12)+FT_AnnivDays+INT(MOD(BF52-FT_Y5,12)/FT_Int2))),IF(AP52="PT",IF(BF52&lt;PT_First,0,1+INT((BF52-PT_First)/PT_Int)),0))+IF(AND(AI52&gt;=2,AK52&lt;=EOMONTH(AsOfDate,-1)),IF(AQ52="FT",IF(BG52&lt;FT_First,0,IF(BG52&lt;FT_Y5,1+INT((BG52-FT_First)/FT_Int1),FT_PreY5+FT_PerYear*INT((BG52-FT_Y5)/12)+FT_AnnivDays+INT(MOD(BG52-FT_Y5,12)/FT_Int2))),IF(AQ52="PT",IF(BG52&lt;PT_First,0,1+INT((BG52-PT_First)/PT_Int)),0))-IF(AQ52="FT",IF(BF52&lt;FT_First,0,IF(BF52&lt;FT_Y5,1+INT((BF52-FT_First)/FT_Int1),FT_PreY5+FT_PerYear*INT((BF52-FT_Y5)/12)+FT_AnnivDays+INT(MOD(BF52-FT_Y5,12)/FT_Int2))),IF(AQ52="PT",IF(BF52&lt;PT_First,0,1+INT((BF52-PT_First)/PT_Int)),0)),0)+IF(AND(AI52&gt;=3,AL52&lt;=EOMONTH(AsOfDate,-1)),IF(AR52="FT",IF(BE52&lt;FT_First,0,IF(BE52&lt;FT_Y5,1+INT((BE52-FT_First)/FT_Int1),FT_PreY5+FT_PerYear*INT((BE52-FT_Y5)/12)+FT_AnnivDays+INT(MOD(BE52-FT_Y5,12)/FT_Int2))),IF(AR52="PT",IF(BE52&lt;PT_First,0,1+INT((BE52-PT_First)/PT_Int)),0))-IF(AR52="FT",IF(BG52&lt;FT_First,0,IF(BG52&lt;FT_Y5,1+INT((BG52-FT_First)/FT_Int1),FT_PreY5+FT_PerYear*INT((BG52-FT_Y5)/12)+FT_AnnivDays+INT(MOD(BG52-FT_Y5,12)/FT_Int2))),IF(AR52="PT",IF(BG52&lt;PT_First,0,1+INT((BG52-PT_First)/PT_Int)),0)),0))</f>
        <v/>
      </c>
      <c r="BI52" s="14" t="str">
        <f aca="false">IF(AG52=0,"",IF(AS52="FT",IF(AT52&lt;FT_First,"",IF(AT52&lt;FT_Y5,FT_First+FT_Int1*INT((AT52-FT_First)/FT_Int1),FT_Y5+FT_Int2*INT((AT52-FT_Y5)/FT_Int2))),IF(AS52="PT",IF(AT52&lt;PT_First,"",PT_First+PT_Int*INT((AT52-PT_First)/PT_Int)),"")))</f>
        <v/>
      </c>
      <c r="BJ52" s="0" t="str">
        <f aca="false">IF(LEN($A52&amp;$B52)=0,"",$A52&amp;" "&amp;$B52)</f>
        <v/>
      </c>
    </row>
    <row r="53" customFormat="false" ht="15" hidden="false" customHeight="false" outlineLevel="0" collapsed="false">
      <c r="A53" s="10"/>
      <c r="B53" s="10"/>
      <c r="C53" s="10"/>
      <c r="D53" s="11"/>
      <c r="E53" s="12" t="str">
        <f aca="false">IF(OR(AG53=0,$D53=""),"",DATE(YEAR(AsOfDate)+IF(DATE(YEAR(AsOfDate),MONTH($D53),DAY($D53))&lt;=AsOfDate,1,0),MONTH($D53),DAY($D53)))</f>
        <v/>
      </c>
      <c r="F53" s="11"/>
      <c r="G53" s="11"/>
      <c r="H53" s="11"/>
      <c r="I53" s="11"/>
      <c r="J53" s="11"/>
      <c r="K53" s="12" t="str">
        <f aca="false">IF(AG53=0,"",DATE(YEAR(AsOfDate)+IF(DATE(YEAR(AsOfDate),MONTH(AH53),DAY(AH53))&lt;=AsOfDate,1,0),MONTH(AH53),DAY(AH53)))</f>
        <v/>
      </c>
      <c r="L53" s="13" t="str">
        <f aca="false">IF(AG53=0,"",ROUND((AsOfDate-AH53)/365.25,1))</f>
        <v/>
      </c>
      <c r="M53" s="14" t="str">
        <f aca="false">IF(AG53=0,"",IF(AsOfDate&lt;AH53,"-",DATEDIF(AH53,AsOfDate,"y")&amp;"y "&amp;DATEDIF(AH53,AsOfDate,"ym")&amp;"m "&amp;DATEDIF(AH53,AsOfDate,"md")&amp;"d"))</f>
        <v/>
      </c>
      <c r="N53" s="15" t="str">
        <f aca="false">IF(AG53=0,"",O53*HoursPerDay)</f>
        <v/>
      </c>
      <c r="O53" s="15" t="str">
        <f aca="false">IF(AG53=0,"",AZ53)</f>
        <v/>
      </c>
      <c r="P53" s="16"/>
      <c r="Q53" s="14" t="str">
        <f aca="false">IF(AG53=0,"",IF(AI53&lt;2,"",AM53&amp;" to "&amp;AN53&amp;" on "&amp;TEXT(AK53,"dd/mm/yyyy")&amp;IF(AK53&gt;AsOfDate," (future)",IF(AP53=AQ53,"",IF(AQ53="None"," - STOPPED accruing",IF(AP53="None"," - commencement for Bonus Leave"," - pathway changed"))))&amp;IF(AI53&lt;3,"","; "&amp;AN53&amp;" to "&amp;AO53&amp;" on "&amp;TEXT(AL53,"dd/mm/yyyy")&amp;IF(AL53&gt;AsOfDate," (future)",IF(AQ53=AR53,"",IF(AR53="None"," - STOPPED accruing",IF(AQ53="None"," - commencement for Bonus Leave"," - pathway changed")))))))</f>
        <v/>
      </c>
      <c r="R53" s="14" t="str">
        <f aca="false">IF(AG53=0,"",IF(AS53="None",IF(O53&gt;0,"No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2" t="str">
        <f aca="false">IF(AG53=0,"",IF(AS53="None","",EDATE(AH53,BB53)))</f>
        <v/>
      </c>
      <c r="T53" s="15" t="str">
        <f aca="false">IF(AG53=0,"",IF(NOT(LH_Ready),"",IF(AH53&gt;PFYDate,0,IF(LH_ColPeriod=0,W53-U53+V53,SUMIFS(INDEX(LH_Data,0,LH_ColAcc),INDEX(LH_Data,0,LH_ColFirst),$A53,INDEX(LH_Data,0,LH_ColSur),$B53,INDEX(LH_Data,0,LH_ColCat),BonusCat,INDEX(LH_Data,0,LH_ColPeriod),LH_OpenLabel)*UnitFactor))))</f>
        <v/>
      </c>
      <c r="U53" s="15" t="str">
        <f aca="false">IF(AG53=0,"",IF(NOT(LH_Ready),"",SUMIFS(INDEX(LH_Data,0,LH_ColAcc),INDEX(LH_Data,0,LH_ColFirst),$A53,INDEX(LH_Data,0,LH_ColSur),$B53,INDEX(LH_Data,0,LH_ColCat),BonusCat,INDEX(LH_Data,0,LH_ColStart),"&gt;="&amp;AH53)*UnitFactor))</f>
        <v/>
      </c>
      <c r="V53" s="15" t="str">
        <f aca="false">IF(AG53=0,"",IF(NOT(LH_Ready),"",SUMIFS(INDEX(LH_Data,0,LH_ColTaken),INDEX(LH_Data,0,LH_ColFirst),$A53,INDEX(LH_Data,0,LH_ColSur),$B53,INDEX(LH_Data,0,LH_ColCat),BonusCat,INDEX(LH_Data,0,LH_ColStart),"&gt;="&amp;AH53)*UnitFactor))</f>
        <v/>
      </c>
      <c r="W53" s="15" t="str">
        <f aca="false">IF(AG53=0,"",IF(NOT(LH_Ready),"",IF(BD53=0,0,INDEX(INDEX(LH_Data,0,LH_ColClose),BD53-1)*UnitFactor)))</f>
        <v/>
      </c>
      <c r="X53" s="15" t="str">
        <f aca="false">IF(AG53=0,"",(AZ53-BA53)*HoursPerDay)</f>
        <v/>
      </c>
      <c r="Y53" s="15" t="str">
        <f aca="false">IF(AG53=0,"",IF(NOT(LH_Ready),"",IF(BC53=0,N53,IF(PFYDate&lt;$F53,N53-N(T53)-N(U53),X53-N(U53)))))</f>
        <v/>
      </c>
      <c r="Z53" s="14" t="str">
        <f aca="false">IF(OR(AG53=0,Y53=""),"",IF(Y53&gt;0,"Yes","No"))</f>
        <v/>
      </c>
      <c r="AA53" s="14" t="str">
        <f aca="false">IF(AG53=0,IF(LEN($A53&amp;$B53)=0,"","FIX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month")&amp;IF(BC53=0,";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EH)",""),IF(AS53="None",R53,"Not yet - first day on "&amp;TEXT(S53,"dd/mm/yyyy")))))))))</f>
        <v/>
      </c>
      <c r="AB53" s="15" t="str">
        <f aca="false">IF(OR(AG53=0,T53=""),"",BA53*HoursPerDay-T53)</f>
        <v/>
      </c>
      <c r="AC53" s="14" t="str">
        <f aca="false">IF(AG53=0,"",BC53)</f>
        <v/>
      </c>
      <c r="AD53" s="14" t="str">
        <f aca="false">IF(AG53=0,"",TRIM(IF(OR(ISTEXT($F53),ISTEXT($H53),ISTEXT($I53),ISTEXT($G53),ISTEXT($J53),ISTEXT($D53)),"A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I53&gt;=1,IF(AI53&gt;=3,AO53,IF(AI53=2,AN53,AM53))&lt;&gt;IF($C53="","",IF(OR(ISNUMBER(SEARCH("full",$C53)),UPPER(TRIM($C53))="FT",UPPER(TRIM($C53))="FTE"),"Full-Time",IF(OR(ISNUMBER(SEARCH("part",$C53)),UPPER(TRIM($C53))="PT",UPPER(TRIM($C53))="PTE"),"Part-Time",IF(OR(ISNUMBER(SEARCH("cas",$C53)),UPPER(TRIM($C53))="CAS"),"Casual","Unknown"))))),"EmploymentType does not match latest start date ("&amp;IF(AI53&gt;=3,AO53,IF(AI53=2,AN53,AM53))&amp;"). ","")&amp;IF(AND(AI53&gt;=1,AJ53&lt;&gt;$F53),"Earliest type date should equal StartDate. ","")&amp;IF(AND(AI53&gt;=2,AJ53=AK53),"Two types start on the same date. ","")&amp;IF(AND(OR(ISNUMBER(SEARCH("part",$C53)),UPPER(TRIM($C53))="PT",UPPER(TRIM($C53))="PTE"),$P53=""),"Part-time: enter PT Hrs/Week (blank = 24+). ","")))</f>
        <v/>
      </c>
      <c r="AE53" s="15" t="str">
        <f aca="false">IF(AG53=0,"",O53-BH53)</f>
        <v/>
      </c>
      <c r="AF53" s="12" t="str">
        <f aca="false">IF(OR(AG53=0,AE53="",N(AE53)=0,BI53=""),"",EDATE(AH53,BI53))</f>
        <v/>
      </c>
      <c r="AG53" s="14" t="n">
        <f aca="false">IF(OR(LEN($A53&amp;$B53)=0,$F53=""),0,1)</f>
        <v>0</v>
      </c>
      <c r="AH53" s="12" t="str">
        <f aca="false">IF(AG53=0,"",IF($J53&lt;&gt;"",$J53,IF(OR(CasualCounts="Yes",COUNT($G53:$I53)=0,COUNT($H53:$I53)=0),$F53,MIN($H53:$I53))))</f>
        <v/>
      </c>
      <c r="AI53" s="14" t="str">
        <f aca="false">IF(AG53=0,"",COUNT($G53:$I53))</f>
        <v/>
      </c>
      <c r="AJ53" s="12" t="str">
        <f aca="false">IF(AG53=0,"",IFERROR(SMALL($G53:$I53,1),""))</f>
        <v/>
      </c>
      <c r="AK53" s="12" t="str">
        <f aca="false">IF(AG53=0,"",IFERROR(SMALL($G53:$I53,2),""))</f>
        <v/>
      </c>
      <c r="AL53" s="12" t="str">
        <f aca="false">IF(AG53=0,"",IFERROR(SMALL($G53:$I53,3),""))</f>
        <v/>
      </c>
      <c r="AM53" s="14" t="str">
        <f aca="false">IF(AG53=0,"",IF(AJ53="","",IF(AJ53=$H53,"Part-Time",IF(AJ53=$I53,"Full-Time","Casual"))))</f>
        <v/>
      </c>
      <c r="AN53" s="14" t="str">
        <f aca="false">IF(AG53=0,"",IF(AK53="","",IF(AK53=$H53,"Part-Time",IF(AK53=$I53,"Full-Time","Casual"))))</f>
        <v/>
      </c>
      <c r="AO53" s="14" t="str">
        <f aca="false">IF(AG53=0,"",IF(AL53="","",IF(AL53=$H53,"Part-Time",IF(AL53=$I53,"Full-Time","Casual"))))</f>
        <v/>
      </c>
      <c r="AP53" s="14" t="str">
        <f aca="false">IF(AG53=0,"",IF(AI53=0,IF(OR(ISNUMBER(SEARCH("full",$C53)),UPPER(TRIM($C53))="FT",UPPER(TRIM($C53))="FTE"),"FT",IF(AND(OR(ISNUMBER(SEARCH("part",$C53)),UPPER(TRIM($C53))="PT",UPPER(TRIM($C53))="PTE"),OR($P53="",N($P53)&gt;=PT_MinHours)),"PT","None")),IF(OR(ISNUMBER(SEARCH("full",AM53)),UPPER(TRIM(AM53))="FT",UPPER(TRIM(AM53))="FTE"),"FT",IF(AND(OR(ISNUMBER(SEARCH("part",AM53)),UPPER(TRIM(AM53))="PT",UPPER(TRIM(AM53))="PTE"),OR($P53="",N($P53)&gt;=PT_MinHours)),"PT","None"))))</f>
        <v/>
      </c>
      <c r="AQ53" s="14" t="str">
        <f aca="false">IF(AG53=0,"",IF(AI53&lt;2,"",IF(OR(ISNUMBER(SEARCH("full",AN53)),UPPER(TRIM(AN53))="FT",UPPER(TRIM(AN53))="FTE"),"FT",IF(AND(OR(ISNUMBER(SEARCH("part",AN53)),UPPER(TRIM(AN53))="PT",UPPER(TRIM(AN53))="PTE"),OR($P53="",N($P53)&gt;=PT_MinHours)),"PT","None"))))</f>
        <v/>
      </c>
      <c r="AR53" s="14" t="str">
        <f aca="false">IF(AG53=0,"",IF(AI53&lt;3,"",IF(OR(ISNUMBER(SEARCH("full",AO53)),UPPER(TRIM(AO53))="FT",UPPER(TRIM(AO53))="FTE"),"FT",IF(AND(OR(ISNUMBER(SEARCH("part",AO53)),UPPER(TRIM(AO53))="PT",UPPER(TRIM(AO53))="PTE"),OR($P53="",N($P53)&gt;=PT_MinHours)),"PT","None"))))</f>
        <v/>
      </c>
      <c r="AS53" s="14" t="str">
        <f aca="false">IF(AG53=0,"",IF(AND(AI53&gt;=3,AL53&lt;=AsOfDate),AR53,IF(AND(AI53&gt;=2,AK53&lt;=AsOfDate),AQ53,AP53)))</f>
        <v/>
      </c>
      <c r="AT53" s="14" t="str">
        <f aca="false">IF(AG53=0,"",IF(AsOfDate&lt;AH53,-1,12*(YEAR(AsOfDate)-YEAR(AH53))+MONTH(AsOfDate)-MONTH(AH53)-IF(DAY(AsOfDate)&lt;MIN(DAY(AH53),DAY(EOMONTH(AsOfDate,0))),1,0)))</f>
        <v/>
      </c>
      <c r="AU53" s="14" t="str">
        <f aca="false">IF(AG53=0,"",IF(OR(AI53&lt;2,AK53&gt;AsOfDate),AT53,IF((AK53-1)&lt;AH53,-1,12*(YEAR((AK53-1))-YEAR(AH53))+MONTH((AK53-1))-MONTH(AH53)-IF(DAY((AK53-1))&lt;MIN(DAY(AH53),DAY(EOMONTH((AK53-1),0))),1,0))))</f>
        <v/>
      </c>
      <c r="AV53" s="14" t="str">
        <f aca="false">IF(AG53=0,"",IF(OR(AI53&lt;3,AL53&gt;AsOfDate),AT53,IF((AL53-1)&lt;AH53,-1,12*(YEAR((AL53-1))-YEAR(AH53))+MONTH((AL53-1))-MONTH(AH53)-IF(DAY((AL53-1))&lt;MIN(DAY(AH53),DAY(EOMONTH((AL53-1),0))),1,0))))</f>
        <v/>
      </c>
      <c r="AW53" s="14" t="str">
        <f aca="false">IF(AG53=0,"",IF(PFYDate&lt;AH53,-1,12*(YEAR(PFYDate)-YEAR(AH53))+MONTH(PFYDate)-MONTH(AH53)-IF(DAY(PFYDate)&lt;MIN(DAY(AH53),DAY(EOMONTH(PFYDate,0))),1,0)))</f>
        <v/>
      </c>
      <c r="AX53" s="14" t="str">
        <f aca="false">IF(AG53=0,"",IF(OR(AI53&lt;2,AK53&gt;PFYDate),AW53,IF((AK53-1)&lt;AH53,-1,12*(YEAR((AK53-1))-YEAR(AH53))+MONTH((AK53-1))-MONTH(AH53)-IF(DAY((AK53-1))&lt;MIN(DAY(AH53),DAY(EOMONTH((AK53-1),0))),1,0))))</f>
        <v/>
      </c>
      <c r="AY53" s="14" t="str">
        <f aca="false">IF(AG53=0,"",IF(OR(AI53&lt;3,AL53&gt;PFYDate),AW53,IF((AL53-1)&lt;AH53,-1,12*(YEAR((AL53-1))-YEAR(AH53))+MONTH((AL53-1))-MONTH(AH53)-IF(DAY((AL53-1))&lt;MIN(DAY(AH53),DAY(EOMONTH((AL53-1),0))),1,0))))</f>
        <v/>
      </c>
      <c r="AZ53" s="14" t="str">
        <f aca="false">IF(AG53=0,"",IF(AP53="FT",IF(AU53&lt;FT_First,0,IF(AU53&lt;FT_Y5,1+INT((AU53-FT_First)/FT_Int1),FT_PreY5+FT_PerYear*INT((AU53-FT_Y5)/12)+FT_AnnivDays+INT(MOD(AU53-FT_Y5,12)/FT_Int2))),IF(AP53="PT",IF(AU53&lt;PT_First,0,1+INT((AU53-PT_First)/PT_Int)),0))+IF(AND(AI53&gt;=2,AK53&lt;=AsOfDate),IF(AQ53="FT",IF(AV53&lt;FT_First,0,IF(AV53&lt;FT_Y5,1+INT((AV53-FT_First)/FT_Int1),FT_PreY5+FT_PerYear*INT((AV53-FT_Y5)/12)+FT_AnnivDays+INT(MOD(AV53-FT_Y5,12)/FT_Int2))),IF(AQ53="PT",IF(AV53&lt;PT_First,0,1+INT((AV53-PT_First)/PT_Int)),0))-IF(AQ53="FT",IF(AU53&lt;FT_First,0,IF(AU53&lt;FT_Y5,1+INT((AU53-FT_First)/FT_Int1),FT_PreY5+FT_PerYear*INT((AU53-FT_Y5)/12)+FT_AnnivDays+INT(MOD(AU53-FT_Y5,12)/FT_Int2))),IF(AQ53="PT",IF(AU53&lt;PT_First,0,1+INT((AU53-PT_First)/PT_Int)),0)),0)+IF(AND(AI53&gt;=3,AL53&lt;=AsOfDate),IF(AR53="FT",IF(AT53&lt;FT_First,0,IF(AT53&lt;FT_Y5,1+INT((AT53-FT_First)/FT_Int1),FT_PreY5+FT_PerYear*INT((AT53-FT_Y5)/12)+FT_AnnivDays+INT(MOD(AT53-FT_Y5,12)/FT_Int2))),IF(AR53="PT",IF(AT53&lt;PT_First,0,1+INT((AT53-PT_First)/PT_Int)),0))-IF(AR53="FT",IF(AV53&lt;FT_First,0,IF(AV53&lt;FT_Y5,1+INT((AV53-FT_First)/FT_Int1),FT_PreY5+FT_PerYear*INT((AV53-FT_Y5)/12)+FT_AnnivDays+INT(MOD(AV53-FT_Y5,12)/FT_Int2))),IF(AR53="PT",IF(AV53&lt;PT_First,0,1+INT((AV53-PT_First)/PT_Int)),0)),0))</f>
        <v/>
      </c>
      <c r="BA53" s="14" t="str">
        <f aca="false">IF(AG53=0,"",IF(AP53="FT",IF(AX53&lt;FT_First,0,IF(AX53&lt;FT_Y5,1+INT((AX53-FT_First)/FT_Int1),FT_PreY5+FT_PerYear*INT((AX53-FT_Y5)/12)+FT_AnnivDays+INT(MOD(AX53-FT_Y5,12)/FT_Int2))),IF(AP53="PT",IF(AX53&lt;PT_First,0,1+INT((AX53-PT_First)/PT_Int)),0))+IF(AND(AI53&gt;=2,AK53&lt;=PFYDate),IF(AQ53="FT",IF(AY53&lt;FT_First,0,IF(AY53&lt;FT_Y5,1+INT((AY53-FT_First)/FT_Int1),FT_PreY5+FT_PerYear*INT((AY53-FT_Y5)/12)+FT_AnnivDays+INT(MOD(AY53-FT_Y5,12)/FT_Int2))),IF(AQ53="PT",IF(AY53&lt;PT_First,0,1+INT((AY53-PT_First)/PT_Int)),0))-IF(AQ53="FT",IF(AX53&lt;FT_First,0,IF(AX53&lt;FT_Y5,1+INT((AX53-FT_First)/FT_Int1),FT_PreY5+FT_PerYear*INT((AX53-FT_Y5)/12)+FT_AnnivDays+INT(MOD(AX53-FT_Y5,12)/FT_Int2))),IF(AQ53="PT",IF(AX53&lt;PT_First,0,1+INT((AX53-PT_First)/PT_Int)),0)),0)+IF(AND(AI53&gt;=3,AL53&lt;=PFYDate),IF(AR53="FT",IF(AW53&lt;FT_First,0,IF(AW53&lt;FT_Y5,1+INT((AW53-FT_First)/FT_Int1),FT_PreY5+FT_PerYear*INT((AW53-FT_Y5)/12)+FT_AnnivDays+INT(MOD(AW53-FT_Y5,12)/FT_Int2))),IF(AR53="PT",IF(AW53&lt;PT_First,0,1+INT((AW53-PT_First)/PT_Int)),0))-IF(AR53="FT",IF(AY53&lt;FT_First,0,IF(AY53&lt;FT_Y5,1+INT((AY53-FT_First)/FT_Int1),FT_PreY5+FT_PerYear*INT((AY53-FT_Y5)/12)+FT_AnnivDays+INT(MOD(AY53-FT_Y5,12)/FT_Int2))),IF(AR53="PT",IF(AY53&lt;PT_First,0,1+INT((AY53-PT_First)/PT_Int)),0)),0))</f>
        <v/>
      </c>
      <c r="BB53" s="14" t="str">
        <f aca="false">IF(AG53=0,"",IF(AS53="FT",IF(AT53&lt;FT_First,FT_First,IF(AT53&lt;FT_Y5,MIN(FT_Y5,FT_First+FT_Int1*(INT((AT53-FT_First)/FT_Int1)+1)),FT_Y5+12*INT((AT53-FT_Y5)/12)+FT_Int2*(INT(MOD(AT53-FT_Y5,12)/FT_Int2)+1))),IF(AS53="PT",IF(AT53&lt;PT_First,PT_First,PT_First+PT_Int*(INT((AT53-PT_First)/PT_Int)+1)),"")))</f>
        <v/>
      </c>
      <c r="BC53" s="14" t="str">
        <f aca="false">IF(AG53=0,"",IF(NOT(LH_Ready),0,COUNTIFS(INDEX(LH_Data,0,LH_ColFirst),$A53,INDEX(LH_Data,0,LH_ColSur),$B53,INDEX(LH_Data,0,LH_ColCat),BonusCat)))</f>
        <v/>
      </c>
      <c r="BD53" s="14" t="str">
        <f aca="false">IF(AG53=0,"",IF(OR(NOT(LH_Ready),BC53=0),0,SUMPRODUCT(MAX((INDEX(LH_Data,0,LH_ColFirst)=$A53)*(INDEX(LH_Data,0,LH_ColSur)=$B53)*(INDEX(LH_Data,0,LH_ColCat)=BonusCat)*ROW(LH_Data)))))</f>
        <v/>
      </c>
      <c r="BE53" s="14" t="str">
        <f aca="false">IF(AG53=0,"",IF(EOMONTH(AsOfDate,-1)&lt;AH53,-1,12*(YEAR(EOMONTH(AsOfDate,-1))-YEAR(AH53))+MONTH(EOMONTH(AsOfDate,-1))-MONTH(AH53)-IF(DAY(EOMONTH(AsOfDate,-1))&lt;MIN(DAY(AH53),DAY(EOMONTH(EOMONTH(AsOfDate,-1),0))),1,0)))</f>
        <v/>
      </c>
      <c r="BF53" s="14" t="str">
        <f aca="false">IF(AG53=0,"",IF(OR(AI53&lt;2,AK53&gt;EOMONTH(AsOfDate,-1)),BE53,IF((AK53-1)&lt;AH53,-1,12*(YEAR((AK53-1))-YEAR(AH53))+MONTH((AK53-1))-MONTH(AH53)-IF(DAY((AK53-1))&lt;MIN(DAY(AH53),DAY(EOMONTH((AK53-1),0))),1,0))))</f>
        <v/>
      </c>
      <c r="BG53" s="14" t="str">
        <f aca="false">IF(AG53=0,"",IF(OR(AI53&lt;3,AL53&gt;EOMONTH(AsOfDate,-1)),BE53,IF((AL53-1)&lt;AH53,-1,12*(YEAR((AL53-1))-YEAR(AH53))+MONTH((AL53-1))-MONTH(AH53)-IF(DAY((AL53-1))&lt;MIN(DAY(AH53),DAY(EOMONTH((AL53-1),0))),1,0))))</f>
        <v/>
      </c>
      <c r="BH53" s="14" t="str">
        <f aca="false">IF(AG53=0,"",IF(AP53="FT",IF(BF53&lt;FT_First,0,IF(BF53&lt;FT_Y5,1+INT((BF53-FT_First)/FT_Int1),FT_PreY5+FT_PerYear*INT((BF53-FT_Y5)/12)+FT_AnnivDays+INT(MOD(BF53-FT_Y5,12)/FT_Int2))),IF(AP53="PT",IF(BF53&lt;PT_First,0,1+INT((BF53-PT_First)/PT_Int)),0))+IF(AND(AI53&gt;=2,AK53&lt;=EOMONTH(AsOfDate,-1)),IF(AQ53="FT",IF(BG53&lt;FT_First,0,IF(BG53&lt;FT_Y5,1+INT((BG53-FT_First)/FT_Int1),FT_PreY5+FT_PerYear*INT((BG53-FT_Y5)/12)+FT_AnnivDays+INT(MOD(BG53-FT_Y5,12)/FT_Int2))),IF(AQ53="PT",IF(BG53&lt;PT_First,0,1+INT((BG53-PT_First)/PT_Int)),0))-IF(AQ53="FT",IF(BF53&lt;FT_First,0,IF(BF53&lt;FT_Y5,1+INT((BF53-FT_First)/FT_Int1),FT_PreY5+FT_PerYear*INT((BF53-FT_Y5)/12)+FT_AnnivDays+INT(MOD(BF53-FT_Y5,12)/FT_Int2))),IF(AQ53="PT",IF(BF53&lt;PT_First,0,1+INT((BF53-PT_First)/PT_Int)),0)),0)+IF(AND(AI53&gt;=3,AL53&lt;=EOMONTH(AsOfDate,-1)),IF(AR53="FT",IF(BE53&lt;FT_First,0,IF(BE53&lt;FT_Y5,1+INT((BE53-FT_First)/FT_Int1),FT_PreY5+FT_PerYear*INT((BE53-FT_Y5)/12)+FT_AnnivDays+INT(MOD(BE53-FT_Y5,12)/FT_Int2))),IF(AR53="PT",IF(BE53&lt;PT_First,0,1+INT((BE53-PT_First)/PT_Int)),0))-IF(AR53="FT",IF(BG53&lt;FT_First,0,IF(BG53&lt;FT_Y5,1+INT((BG53-FT_First)/FT_Int1),FT_PreY5+FT_PerYear*INT((BG53-FT_Y5)/12)+FT_AnnivDays+INT(MOD(BG53-FT_Y5,12)/FT_Int2))),IF(AR53="PT",IF(BG53&lt;PT_First,0,1+INT((BG53-PT_First)/PT_Int)),0)),0))</f>
        <v/>
      </c>
      <c r="BI53" s="14" t="str">
        <f aca="false">IF(AG53=0,"",IF(AS53="FT",IF(AT53&lt;FT_First,"",IF(AT53&lt;FT_Y5,FT_First+FT_Int1*INT((AT53-FT_First)/FT_Int1),FT_Y5+FT_Int2*INT((AT53-FT_Y5)/FT_Int2))),IF(AS53="PT",IF(AT53&lt;PT_First,"",PT_First+PT_Int*INT((AT53-PT_First)/PT_Int)),"")))</f>
        <v/>
      </c>
      <c r="BJ53" s="0" t="str">
        <f aca="false">IF(LEN($A53&amp;$B53)=0,"",$A53&amp;" "&amp;$B53)</f>
        <v/>
      </c>
    </row>
    <row r="54" customFormat="false" ht="15" hidden="false" customHeight="false" outlineLevel="0" collapsed="false">
      <c r="A54" s="10"/>
      <c r="B54" s="10"/>
      <c r="C54" s="10"/>
      <c r="D54" s="11"/>
      <c r="E54" s="12" t="str">
        <f aca="false">IF(OR(AG54=0,$D54=""),"",DATE(YEAR(AsOfDate)+IF(DATE(YEAR(AsOfDate),MONTH($D54),DAY($D54))&lt;=AsOfDate,1,0),MONTH($D54),DAY($D54)))</f>
        <v/>
      </c>
      <c r="F54" s="11"/>
      <c r="G54" s="11"/>
      <c r="H54" s="11"/>
      <c r="I54" s="11"/>
      <c r="J54" s="11"/>
      <c r="K54" s="12" t="str">
        <f aca="false">IF(AG54=0,"",DATE(YEAR(AsOfDate)+IF(DATE(YEAR(AsOfDate),MONTH(AH54),DAY(AH54))&lt;=AsOfDate,1,0),MONTH(AH54),DAY(AH54)))</f>
        <v/>
      </c>
      <c r="L54" s="13" t="str">
        <f aca="false">IF(AG54=0,"",ROUND((AsOfDate-AH54)/365.25,1))</f>
        <v/>
      </c>
      <c r="M54" s="14" t="str">
        <f aca="false">IF(AG54=0,"",IF(AsOfDate&lt;AH54,"-",DATEDIF(AH54,AsOfDate,"y")&amp;"y "&amp;DATEDIF(AH54,AsOfDate,"ym")&amp;"m "&amp;DATEDIF(AH54,AsOfDate,"md")&amp;"d"))</f>
        <v/>
      </c>
      <c r="N54" s="15" t="str">
        <f aca="false">IF(AG54=0,"",O54*HoursPerDay)</f>
        <v/>
      </c>
      <c r="O54" s="15" t="str">
        <f aca="false">IF(AG54=0,"",AZ54)</f>
        <v/>
      </c>
      <c r="P54" s="16"/>
      <c r="Q54" s="14" t="str">
        <f aca="false">IF(AG54=0,"",IF(AI54&lt;2,"",AM54&amp;" to "&amp;AN54&amp;" on "&amp;TEXT(AK54,"dd/mm/yyyy")&amp;IF(AK54&gt;AsOfDate," (future)",IF(AP54=AQ54,"",IF(AQ54="None"," - STOPPED accruing",IF(AP54="None"," - commencement for Bonus Leave"," - pathway changed"))))&amp;IF(AI54&lt;3,"","; "&amp;AN54&amp;" to "&amp;AO54&amp;" on "&amp;TEXT(AL54,"dd/mm/yyyy")&amp;IF(AL54&gt;AsOfDate," (future)",IF(AQ54=AR54,"",IF(AR54="None"," - STOPPED accruing",IF(AQ54="None"," - commencement for Bonus Leave"," - pathway changed")))))))</f>
        <v/>
      </c>
      <c r="R54" s="14" t="str">
        <f aca="false">IF(AG54=0,"",IF(AS54="None",IF(O54&gt;0,"No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2" t="str">
        <f aca="false">IF(AG54=0,"",IF(AS54="None","",EDATE(AH54,BB54)))</f>
        <v/>
      </c>
      <c r="T54" s="15" t="str">
        <f aca="false">IF(AG54=0,"",IF(NOT(LH_Ready),"",IF(AH54&gt;PFYDate,0,IF(LH_ColPeriod=0,W54-U54+V54,SUMIFS(INDEX(LH_Data,0,LH_ColAcc),INDEX(LH_Data,0,LH_ColFirst),$A54,INDEX(LH_Data,0,LH_ColSur),$B54,INDEX(LH_Data,0,LH_ColCat),BonusCat,INDEX(LH_Data,0,LH_ColPeriod),LH_OpenLabel)*UnitFactor))))</f>
        <v/>
      </c>
      <c r="U54" s="15" t="str">
        <f aca="false">IF(AG54=0,"",IF(NOT(LH_Ready),"",SUMIFS(INDEX(LH_Data,0,LH_ColAcc),INDEX(LH_Data,0,LH_ColFirst),$A54,INDEX(LH_Data,0,LH_ColSur),$B54,INDEX(LH_Data,0,LH_ColCat),BonusCat,INDEX(LH_Data,0,LH_ColStart),"&gt;="&amp;AH54)*UnitFactor))</f>
        <v/>
      </c>
      <c r="V54" s="15" t="str">
        <f aca="false">IF(AG54=0,"",IF(NOT(LH_Ready),"",SUMIFS(INDEX(LH_Data,0,LH_ColTaken),INDEX(LH_Data,0,LH_ColFirst),$A54,INDEX(LH_Data,0,LH_ColSur),$B54,INDEX(LH_Data,0,LH_ColCat),BonusCat,INDEX(LH_Data,0,LH_ColStart),"&gt;="&amp;AH54)*UnitFactor))</f>
        <v/>
      </c>
      <c r="W54" s="15" t="str">
        <f aca="false">IF(AG54=0,"",IF(NOT(LH_Ready),"",IF(BD54=0,0,INDEX(INDEX(LH_Data,0,LH_ColClose),BD54-1)*UnitFactor)))</f>
        <v/>
      </c>
      <c r="X54" s="15" t="str">
        <f aca="false">IF(AG54=0,"",(AZ54-BA54)*HoursPerDay)</f>
        <v/>
      </c>
      <c r="Y54" s="15" t="str">
        <f aca="false">IF(AG54=0,"",IF(NOT(LH_Ready),"",IF(BC54=0,N54,IF(PFYDate&lt;$F54,N54-N(T54)-N(U54),X54-N(U54)))))</f>
        <v/>
      </c>
      <c r="Z54" s="14" t="str">
        <f aca="false">IF(OR(AG54=0,Y54=""),"",IF(Y54&gt;0,"Yes","No"))</f>
        <v/>
      </c>
      <c r="AA54" s="14" t="str">
        <f aca="false">IF(AG54=0,IF(LEN($A54&amp;$B54)=0,"","FIX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month")&amp;IF(BC54=0,";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EH)",""),IF(AS54="None",R54,"Not yet - first day on "&amp;TEXT(S54,"dd/mm/yyyy")))))))))</f>
        <v/>
      </c>
      <c r="AB54" s="15" t="str">
        <f aca="false">IF(OR(AG54=0,T54=""),"",BA54*HoursPerDay-T54)</f>
        <v/>
      </c>
      <c r="AC54" s="14" t="str">
        <f aca="false">IF(AG54=0,"",BC54)</f>
        <v/>
      </c>
      <c r="AD54" s="14" t="str">
        <f aca="false">IF(AG54=0,"",TRIM(IF(OR(ISTEXT($F54),ISTEXT($H54),ISTEXT($I54),ISTEXT($G54),ISTEXT($J54),ISTEXT($D54)),"A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I54&gt;=1,IF(AI54&gt;=3,AO54,IF(AI54=2,AN54,AM54))&lt;&gt;IF($C54="","",IF(OR(ISNUMBER(SEARCH("full",$C54)),UPPER(TRIM($C54))="FT",UPPER(TRIM($C54))="FTE"),"Full-Time",IF(OR(ISNUMBER(SEARCH("part",$C54)),UPPER(TRIM($C54))="PT",UPPER(TRIM($C54))="PTE"),"Part-Time",IF(OR(ISNUMBER(SEARCH("cas",$C54)),UPPER(TRIM($C54))="CAS"),"Casual","Unknown"))))),"EmploymentType does not match latest start date ("&amp;IF(AI54&gt;=3,AO54,IF(AI54=2,AN54,AM54))&amp;"). ","")&amp;IF(AND(AI54&gt;=1,AJ54&lt;&gt;$F54),"Earliest type date should equal StartDate. ","")&amp;IF(AND(AI54&gt;=2,AJ54=AK54),"Two types start on the same date. ","")&amp;IF(AND(OR(ISNUMBER(SEARCH("part",$C54)),UPPER(TRIM($C54))="PT",UPPER(TRIM($C54))="PTE"),$P54=""),"Part-time: enter PT Hrs/Week (blank = 24+). ","")))</f>
        <v/>
      </c>
      <c r="AE54" s="15" t="str">
        <f aca="false">IF(AG54=0,"",O54-BH54)</f>
        <v/>
      </c>
      <c r="AF54" s="12" t="str">
        <f aca="false">IF(OR(AG54=0,AE54="",N(AE54)=0,BI54=""),"",EDATE(AH54,BI54))</f>
        <v/>
      </c>
      <c r="AG54" s="14" t="n">
        <f aca="false">IF(OR(LEN($A54&amp;$B54)=0,$F54=""),0,1)</f>
        <v>0</v>
      </c>
      <c r="AH54" s="12" t="str">
        <f aca="false">IF(AG54=0,"",IF($J54&lt;&gt;"",$J54,IF(OR(CasualCounts="Yes",COUNT($G54:$I54)=0,COUNT($H54:$I54)=0),$F54,MIN($H54:$I54))))</f>
        <v/>
      </c>
      <c r="AI54" s="14" t="str">
        <f aca="false">IF(AG54=0,"",COUNT($G54:$I54))</f>
        <v/>
      </c>
      <c r="AJ54" s="12" t="str">
        <f aca="false">IF(AG54=0,"",IFERROR(SMALL($G54:$I54,1),""))</f>
        <v/>
      </c>
      <c r="AK54" s="12" t="str">
        <f aca="false">IF(AG54=0,"",IFERROR(SMALL($G54:$I54,2),""))</f>
        <v/>
      </c>
      <c r="AL54" s="12" t="str">
        <f aca="false">IF(AG54=0,"",IFERROR(SMALL($G54:$I54,3),""))</f>
        <v/>
      </c>
      <c r="AM54" s="14" t="str">
        <f aca="false">IF(AG54=0,"",IF(AJ54="","",IF(AJ54=$H54,"Part-Time",IF(AJ54=$I54,"Full-Time","Casual"))))</f>
        <v/>
      </c>
      <c r="AN54" s="14" t="str">
        <f aca="false">IF(AG54=0,"",IF(AK54="","",IF(AK54=$H54,"Part-Time",IF(AK54=$I54,"Full-Time","Casual"))))</f>
        <v/>
      </c>
      <c r="AO54" s="14" t="str">
        <f aca="false">IF(AG54=0,"",IF(AL54="","",IF(AL54=$H54,"Part-Time",IF(AL54=$I54,"Full-Time","Casual"))))</f>
        <v/>
      </c>
      <c r="AP54" s="14" t="str">
        <f aca="false">IF(AG54=0,"",IF(AI54=0,IF(OR(ISNUMBER(SEARCH("full",$C54)),UPPER(TRIM($C54))="FT",UPPER(TRIM($C54))="FTE"),"FT",IF(AND(OR(ISNUMBER(SEARCH("part",$C54)),UPPER(TRIM($C54))="PT",UPPER(TRIM($C54))="PTE"),OR($P54="",N($P54)&gt;=PT_MinHours)),"PT","None")),IF(OR(ISNUMBER(SEARCH("full",AM54)),UPPER(TRIM(AM54))="FT",UPPER(TRIM(AM54))="FTE"),"FT",IF(AND(OR(ISNUMBER(SEARCH("part",AM54)),UPPER(TRIM(AM54))="PT",UPPER(TRIM(AM54))="PTE"),OR($P54="",N($P54)&gt;=PT_MinHours)),"PT","None"))))</f>
        <v/>
      </c>
      <c r="AQ54" s="14" t="str">
        <f aca="false">IF(AG54=0,"",IF(AI54&lt;2,"",IF(OR(ISNUMBER(SEARCH("full",AN54)),UPPER(TRIM(AN54))="FT",UPPER(TRIM(AN54))="FTE"),"FT",IF(AND(OR(ISNUMBER(SEARCH("part",AN54)),UPPER(TRIM(AN54))="PT",UPPER(TRIM(AN54))="PTE"),OR($P54="",N($P54)&gt;=PT_MinHours)),"PT","None"))))</f>
        <v/>
      </c>
      <c r="AR54" s="14" t="str">
        <f aca="false">IF(AG54=0,"",IF(AI54&lt;3,"",IF(OR(ISNUMBER(SEARCH("full",AO54)),UPPER(TRIM(AO54))="FT",UPPER(TRIM(AO54))="FTE"),"FT",IF(AND(OR(ISNUMBER(SEARCH("part",AO54)),UPPER(TRIM(AO54))="PT",UPPER(TRIM(AO54))="PTE"),OR($P54="",N($P54)&gt;=PT_MinHours)),"PT","None"))))</f>
        <v/>
      </c>
      <c r="AS54" s="14" t="str">
        <f aca="false">IF(AG54=0,"",IF(AND(AI54&gt;=3,AL54&lt;=AsOfDate),AR54,IF(AND(AI54&gt;=2,AK54&lt;=AsOfDate),AQ54,AP54)))</f>
        <v/>
      </c>
      <c r="AT54" s="14" t="str">
        <f aca="false">IF(AG54=0,"",IF(AsOfDate&lt;AH54,-1,12*(YEAR(AsOfDate)-YEAR(AH54))+MONTH(AsOfDate)-MONTH(AH54)-IF(DAY(AsOfDate)&lt;MIN(DAY(AH54),DAY(EOMONTH(AsOfDate,0))),1,0)))</f>
        <v/>
      </c>
      <c r="AU54" s="14" t="str">
        <f aca="false">IF(AG54=0,"",IF(OR(AI54&lt;2,AK54&gt;AsOfDate),AT54,IF((AK54-1)&lt;AH54,-1,12*(YEAR((AK54-1))-YEAR(AH54))+MONTH((AK54-1))-MONTH(AH54)-IF(DAY((AK54-1))&lt;MIN(DAY(AH54),DAY(EOMONTH((AK54-1),0))),1,0))))</f>
        <v/>
      </c>
      <c r="AV54" s="14" t="str">
        <f aca="false">IF(AG54=0,"",IF(OR(AI54&lt;3,AL54&gt;AsOfDate),AT54,IF((AL54-1)&lt;AH54,-1,12*(YEAR((AL54-1))-YEAR(AH54))+MONTH((AL54-1))-MONTH(AH54)-IF(DAY((AL54-1))&lt;MIN(DAY(AH54),DAY(EOMONTH((AL54-1),0))),1,0))))</f>
        <v/>
      </c>
      <c r="AW54" s="14" t="str">
        <f aca="false">IF(AG54=0,"",IF(PFYDate&lt;AH54,-1,12*(YEAR(PFYDate)-YEAR(AH54))+MONTH(PFYDate)-MONTH(AH54)-IF(DAY(PFYDate)&lt;MIN(DAY(AH54),DAY(EOMONTH(PFYDate,0))),1,0)))</f>
        <v/>
      </c>
      <c r="AX54" s="14" t="str">
        <f aca="false">IF(AG54=0,"",IF(OR(AI54&lt;2,AK54&gt;PFYDate),AW54,IF((AK54-1)&lt;AH54,-1,12*(YEAR((AK54-1))-YEAR(AH54))+MONTH((AK54-1))-MONTH(AH54)-IF(DAY((AK54-1))&lt;MIN(DAY(AH54),DAY(EOMONTH((AK54-1),0))),1,0))))</f>
        <v/>
      </c>
      <c r="AY54" s="14" t="str">
        <f aca="false">IF(AG54=0,"",IF(OR(AI54&lt;3,AL54&gt;PFYDate),AW54,IF((AL54-1)&lt;AH54,-1,12*(YEAR((AL54-1))-YEAR(AH54))+MONTH((AL54-1))-MONTH(AH54)-IF(DAY((AL54-1))&lt;MIN(DAY(AH54),DAY(EOMONTH((AL54-1),0))),1,0))))</f>
        <v/>
      </c>
      <c r="AZ54" s="14" t="str">
        <f aca="false">IF(AG54=0,"",IF(AP54="FT",IF(AU54&lt;FT_First,0,IF(AU54&lt;FT_Y5,1+INT((AU54-FT_First)/FT_Int1),FT_PreY5+FT_PerYear*INT((AU54-FT_Y5)/12)+FT_AnnivDays+INT(MOD(AU54-FT_Y5,12)/FT_Int2))),IF(AP54="PT",IF(AU54&lt;PT_First,0,1+INT((AU54-PT_First)/PT_Int)),0))+IF(AND(AI54&gt;=2,AK54&lt;=AsOfDate),IF(AQ54="FT",IF(AV54&lt;FT_First,0,IF(AV54&lt;FT_Y5,1+INT((AV54-FT_First)/FT_Int1),FT_PreY5+FT_PerYear*INT((AV54-FT_Y5)/12)+FT_AnnivDays+INT(MOD(AV54-FT_Y5,12)/FT_Int2))),IF(AQ54="PT",IF(AV54&lt;PT_First,0,1+INT((AV54-PT_First)/PT_Int)),0))-IF(AQ54="FT",IF(AU54&lt;FT_First,0,IF(AU54&lt;FT_Y5,1+INT((AU54-FT_First)/FT_Int1),FT_PreY5+FT_PerYear*INT((AU54-FT_Y5)/12)+FT_AnnivDays+INT(MOD(AU54-FT_Y5,12)/FT_Int2))),IF(AQ54="PT",IF(AU54&lt;PT_First,0,1+INT((AU54-PT_First)/PT_Int)),0)),0)+IF(AND(AI54&gt;=3,AL54&lt;=AsOfDate),IF(AR54="FT",IF(AT54&lt;FT_First,0,IF(AT54&lt;FT_Y5,1+INT((AT54-FT_First)/FT_Int1),FT_PreY5+FT_PerYear*INT((AT54-FT_Y5)/12)+FT_AnnivDays+INT(MOD(AT54-FT_Y5,12)/FT_Int2))),IF(AR54="PT",IF(AT54&lt;PT_First,0,1+INT((AT54-PT_First)/PT_Int)),0))-IF(AR54="FT",IF(AV54&lt;FT_First,0,IF(AV54&lt;FT_Y5,1+INT((AV54-FT_First)/FT_Int1),FT_PreY5+FT_PerYear*INT((AV54-FT_Y5)/12)+FT_AnnivDays+INT(MOD(AV54-FT_Y5,12)/FT_Int2))),IF(AR54="PT",IF(AV54&lt;PT_First,0,1+INT((AV54-PT_First)/PT_Int)),0)),0))</f>
        <v/>
      </c>
      <c r="BA54" s="14" t="str">
        <f aca="false">IF(AG54=0,"",IF(AP54="FT",IF(AX54&lt;FT_First,0,IF(AX54&lt;FT_Y5,1+INT((AX54-FT_First)/FT_Int1),FT_PreY5+FT_PerYear*INT((AX54-FT_Y5)/12)+FT_AnnivDays+INT(MOD(AX54-FT_Y5,12)/FT_Int2))),IF(AP54="PT",IF(AX54&lt;PT_First,0,1+INT((AX54-PT_First)/PT_Int)),0))+IF(AND(AI54&gt;=2,AK54&lt;=PFYDate),IF(AQ54="FT",IF(AY54&lt;FT_First,0,IF(AY54&lt;FT_Y5,1+INT((AY54-FT_First)/FT_Int1),FT_PreY5+FT_PerYear*INT((AY54-FT_Y5)/12)+FT_AnnivDays+INT(MOD(AY54-FT_Y5,12)/FT_Int2))),IF(AQ54="PT",IF(AY54&lt;PT_First,0,1+INT((AY54-PT_First)/PT_Int)),0))-IF(AQ54="FT",IF(AX54&lt;FT_First,0,IF(AX54&lt;FT_Y5,1+INT((AX54-FT_First)/FT_Int1),FT_PreY5+FT_PerYear*INT((AX54-FT_Y5)/12)+FT_AnnivDays+INT(MOD(AX54-FT_Y5,12)/FT_Int2))),IF(AQ54="PT",IF(AX54&lt;PT_First,0,1+INT((AX54-PT_First)/PT_Int)),0)),0)+IF(AND(AI54&gt;=3,AL54&lt;=PFYDate),IF(AR54="FT",IF(AW54&lt;FT_First,0,IF(AW54&lt;FT_Y5,1+INT((AW54-FT_First)/FT_Int1),FT_PreY5+FT_PerYear*INT((AW54-FT_Y5)/12)+FT_AnnivDays+INT(MOD(AW54-FT_Y5,12)/FT_Int2))),IF(AR54="PT",IF(AW54&lt;PT_First,0,1+INT((AW54-PT_First)/PT_Int)),0))-IF(AR54="FT",IF(AY54&lt;FT_First,0,IF(AY54&lt;FT_Y5,1+INT((AY54-FT_First)/FT_Int1),FT_PreY5+FT_PerYear*INT((AY54-FT_Y5)/12)+FT_AnnivDays+INT(MOD(AY54-FT_Y5,12)/FT_Int2))),IF(AR54="PT",IF(AY54&lt;PT_First,0,1+INT((AY54-PT_First)/PT_Int)),0)),0))</f>
        <v/>
      </c>
      <c r="BB54" s="14" t="str">
        <f aca="false">IF(AG54=0,"",IF(AS54="FT",IF(AT54&lt;FT_First,FT_First,IF(AT54&lt;FT_Y5,MIN(FT_Y5,FT_First+FT_Int1*(INT((AT54-FT_First)/FT_Int1)+1)),FT_Y5+12*INT((AT54-FT_Y5)/12)+FT_Int2*(INT(MOD(AT54-FT_Y5,12)/FT_Int2)+1))),IF(AS54="PT",IF(AT54&lt;PT_First,PT_First,PT_First+PT_Int*(INT((AT54-PT_First)/PT_Int)+1)),"")))</f>
        <v/>
      </c>
      <c r="BC54" s="14" t="str">
        <f aca="false">IF(AG54=0,"",IF(NOT(LH_Ready),0,COUNTIFS(INDEX(LH_Data,0,LH_ColFirst),$A54,INDEX(LH_Data,0,LH_ColSur),$B54,INDEX(LH_Data,0,LH_ColCat),BonusCat)))</f>
        <v/>
      </c>
      <c r="BD54" s="14" t="str">
        <f aca="false">IF(AG54=0,"",IF(OR(NOT(LH_Ready),BC54=0),0,SUMPRODUCT(MAX((INDEX(LH_Data,0,LH_ColFirst)=$A54)*(INDEX(LH_Data,0,LH_ColSur)=$B54)*(INDEX(LH_Data,0,LH_ColCat)=BonusCat)*ROW(LH_Data)))))</f>
        <v/>
      </c>
      <c r="BE54" s="14" t="str">
        <f aca="false">IF(AG54=0,"",IF(EOMONTH(AsOfDate,-1)&lt;AH54,-1,12*(YEAR(EOMONTH(AsOfDate,-1))-YEAR(AH54))+MONTH(EOMONTH(AsOfDate,-1))-MONTH(AH54)-IF(DAY(EOMONTH(AsOfDate,-1))&lt;MIN(DAY(AH54),DAY(EOMONTH(EOMONTH(AsOfDate,-1),0))),1,0)))</f>
        <v/>
      </c>
      <c r="BF54" s="14" t="str">
        <f aca="false">IF(AG54=0,"",IF(OR(AI54&lt;2,AK54&gt;EOMONTH(AsOfDate,-1)),BE54,IF((AK54-1)&lt;AH54,-1,12*(YEAR((AK54-1))-YEAR(AH54))+MONTH((AK54-1))-MONTH(AH54)-IF(DAY((AK54-1))&lt;MIN(DAY(AH54),DAY(EOMONTH((AK54-1),0))),1,0))))</f>
        <v/>
      </c>
      <c r="BG54" s="14" t="str">
        <f aca="false">IF(AG54=0,"",IF(OR(AI54&lt;3,AL54&gt;EOMONTH(AsOfDate,-1)),BE54,IF((AL54-1)&lt;AH54,-1,12*(YEAR((AL54-1))-YEAR(AH54))+MONTH((AL54-1))-MONTH(AH54)-IF(DAY((AL54-1))&lt;MIN(DAY(AH54),DAY(EOMONTH((AL54-1),0))),1,0))))</f>
        <v/>
      </c>
      <c r="BH54" s="14" t="str">
        <f aca="false">IF(AG54=0,"",IF(AP54="FT",IF(BF54&lt;FT_First,0,IF(BF54&lt;FT_Y5,1+INT((BF54-FT_First)/FT_Int1),FT_PreY5+FT_PerYear*INT((BF54-FT_Y5)/12)+FT_AnnivDays+INT(MOD(BF54-FT_Y5,12)/FT_Int2))),IF(AP54="PT",IF(BF54&lt;PT_First,0,1+INT((BF54-PT_First)/PT_Int)),0))+IF(AND(AI54&gt;=2,AK54&lt;=EOMONTH(AsOfDate,-1)),IF(AQ54="FT",IF(BG54&lt;FT_First,0,IF(BG54&lt;FT_Y5,1+INT((BG54-FT_First)/FT_Int1),FT_PreY5+FT_PerYear*INT((BG54-FT_Y5)/12)+FT_AnnivDays+INT(MOD(BG54-FT_Y5,12)/FT_Int2))),IF(AQ54="PT",IF(BG54&lt;PT_First,0,1+INT((BG54-PT_First)/PT_Int)),0))-IF(AQ54="FT",IF(BF54&lt;FT_First,0,IF(BF54&lt;FT_Y5,1+INT((BF54-FT_First)/FT_Int1),FT_PreY5+FT_PerYear*INT((BF54-FT_Y5)/12)+FT_AnnivDays+INT(MOD(BF54-FT_Y5,12)/FT_Int2))),IF(AQ54="PT",IF(BF54&lt;PT_First,0,1+INT((BF54-PT_First)/PT_Int)),0)),0)+IF(AND(AI54&gt;=3,AL54&lt;=EOMONTH(AsOfDate,-1)),IF(AR54="FT",IF(BE54&lt;FT_First,0,IF(BE54&lt;FT_Y5,1+INT((BE54-FT_First)/FT_Int1),FT_PreY5+FT_PerYear*INT((BE54-FT_Y5)/12)+FT_AnnivDays+INT(MOD(BE54-FT_Y5,12)/FT_Int2))),IF(AR54="PT",IF(BE54&lt;PT_First,0,1+INT((BE54-PT_First)/PT_Int)),0))-IF(AR54="FT",IF(BG54&lt;FT_First,0,IF(BG54&lt;FT_Y5,1+INT((BG54-FT_First)/FT_Int1),FT_PreY5+FT_PerYear*INT((BG54-FT_Y5)/12)+FT_AnnivDays+INT(MOD(BG54-FT_Y5,12)/FT_Int2))),IF(AR54="PT",IF(BG54&lt;PT_First,0,1+INT((BG54-PT_First)/PT_Int)),0)),0))</f>
        <v/>
      </c>
      <c r="BI54" s="14" t="str">
        <f aca="false">IF(AG54=0,"",IF(AS54="FT",IF(AT54&lt;FT_First,"",IF(AT54&lt;FT_Y5,FT_First+FT_Int1*INT((AT54-FT_First)/FT_Int1),FT_Y5+FT_Int2*INT((AT54-FT_Y5)/FT_Int2))),IF(AS54="PT",IF(AT54&lt;PT_First,"",PT_First+PT_Int*INT((AT54-PT_First)/PT_Int)),"")))</f>
        <v/>
      </c>
      <c r="BJ54" s="0" t="str">
        <f aca="false">IF(LEN($A54&amp;$B54)=0,"",$A54&amp;" "&amp;$B54)</f>
        <v/>
      </c>
    </row>
    <row r="55" customFormat="false" ht="15" hidden="false" customHeight="false" outlineLevel="0" collapsed="false">
      <c r="A55" s="10"/>
      <c r="B55" s="10"/>
      <c r="C55" s="10"/>
      <c r="D55" s="11"/>
      <c r="E55" s="12" t="str">
        <f aca="false">IF(OR(AG55=0,$D55=""),"",DATE(YEAR(AsOfDate)+IF(DATE(YEAR(AsOfDate),MONTH($D55),DAY($D55))&lt;=AsOfDate,1,0),MONTH($D55),DAY($D55)))</f>
        <v/>
      </c>
      <c r="F55" s="11"/>
      <c r="G55" s="11"/>
      <c r="H55" s="11"/>
      <c r="I55" s="11"/>
      <c r="J55" s="11"/>
      <c r="K55" s="12" t="str">
        <f aca="false">IF(AG55=0,"",DATE(YEAR(AsOfDate)+IF(DATE(YEAR(AsOfDate),MONTH(AH55),DAY(AH55))&lt;=AsOfDate,1,0),MONTH(AH55),DAY(AH55)))</f>
        <v/>
      </c>
      <c r="L55" s="13" t="str">
        <f aca="false">IF(AG55=0,"",ROUND((AsOfDate-AH55)/365.25,1))</f>
        <v/>
      </c>
      <c r="M55" s="14" t="str">
        <f aca="false">IF(AG55=0,"",IF(AsOfDate&lt;AH55,"-",DATEDIF(AH55,AsOfDate,"y")&amp;"y "&amp;DATEDIF(AH55,AsOfDate,"ym")&amp;"m "&amp;DATEDIF(AH55,AsOfDate,"md")&amp;"d"))</f>
        <v/>
      </c>
      <c r="N55" s="15" t="str">
        <f aca="false">IF(AG55=0,"",O55*HoursPerDay)</f>
        <v/>
      </c>
      <c r="O55" s="15" t="str">
        <f aca="false">IF(AG55=0,"",AZ55)</f>
        <v/>
      </c>
      <c r="P55" s="16"/>
      <c r="Q55" s="14" t="str">
        <f aca="false">IF(AG55=0,"",IF(AI55&lt;2,"",AM55&amp;" to "&amp;AN55&amp;" on "&amp;TEXT(AK55,"dd/mm/yyyy")&amp;IF(AK55&gt;AsOfDate," (future)",IF(AP55=AQ55,"",IF(AQ55="None"," - STOPPED accruing",IF(AP55="None"," - commencement for Bonus Leave"," - pathway changed"))))&amp;IF(AI55&lt;3,"","; "&amp;AN55&amp;" to "&amp;AO55&amp;" on "&amp;TEXT(AL55,"dd/mm/yyyy")&amp;IF(AL55&gt;AsOfDate," (future)",IF(AQ55=AR55,"",IF(AR55="None"," - STOPPED accruing",IF(AQ55="None"," - commencement for Bonus Leave"," - pathway changed")))))))</f>
        <v/>
      </c>
      <c r="R55" s="14" t="str">
        <f aca="false">IF(AG55=0,"",IF(AS55="None",IF(O55&gt;0,"No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2" t="str">
        <f aca="false">IF(AG55=0,"",IF(AS55="None","",EDATE(AH55,BB55)))</f>
        <v/>
      </c>
      <c r="T55" s="15" t="str">
        <f aca="false">IF(AG55=0,"",IF(NOT(LH_Ready),"",IF(AH55&gt;PFYDate,0,IF(LH_ColPeriod=0,W55-U55+V55,SUMIFS(INDEX(LH_Data,0,LH_ColAcc),INDEX(LH_Data,0,LH_ColFirst),$A55,INDEX(LH_Data,0,LH_ColSur),$B55,INDEX(LH_Data,0,LH_ColCat),BonusCat,INDEX(LH_Data,0,LH_ColPeriod),LH_OpenLabel)*UnitFactor))))</f>
        <v/>
      </c>
      <c r="U55" s="15" t="str">
        <f aca="false">IF(AG55=0,"",IF(NOT(LH_Ready),"",SUMIFS(INDEX(LH_Data,0,LH_ColAcc),INDEX(LH_Data,0,LH_ColFirst),$A55,INDEX(LH_Data,0,LH_ColSur),$B55,INDEX(LH_Data,0,LH_ColCat),BonusCat,INDEX(LH_Data,0,LH_ColStart),"&gt;="&amp;AH55)*UnitFactor))</f>
        <v/>
      </c>
      <c r="V55" s="15" t="str">
        <f aca="false">IF(AG55=0,"",IF(NOT(LH_Ready),"",SUMIFS(INDEX(LH_Data,0,LH_ColTaken),INDEX(LH_Data,0,LH_ColFirst),$A55,INDEX(LH_Data,0,LH_ColSur),$B55,INDEX(LH_Data,0,LH_ColCat),BonusCat,INDEX(LH_Data,0,LH_ColStart),"&gt;="&amp;AH55)*UnitFactor))</f>
        <v/>
      </c>
      <c r="W55" s="15" t="str">
        <f aca="false">IF(AG55=0,"",IF(NOT(LH_Ready),"",IF(BD55=0,0,INDEX(INDEX(LH_Data,0,LH_ColClose),BD55-1)*UnitFactor)))</f>
        <v/>
      </c>
      <c r="X55" s="15" t="str">
        <f aca="false">IF(AG55=0,"",(AZ55-BA55)*HoursPerDay)</f>
        <v/>
      </c>
      <c r="Y55" s="15" t="str">
        <f aca="false">IF(AG55=0,"",IF(NOT(LH_Ready),"",IF(BC55=0,N55,IF(PFYDate&lt;$F55,N55-N(T55)-N(U55),X55-N(U55)))))</f>
        <v/>
      </c>
      <c r="Z55" s="14" t="str">
        <f aca="false">IF(OR(AG55=0,Y55=""),"",IF(Y55&gt;0,"Yes","No"))</f>
        <v/>
      </c>
      <c r="AA55" s="14" t="str">
        <f aca="false">IF(AG55=0,IF(LEN($A55&amp;$B55)=0,"","FIX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month")&amp;IF(BC55=0,";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EH)",""),IF(AS55="None",R55,"Not yet - first day on "&amp;TEXT(S55,"dd/mm/yyyy")))))))))</f>
        <v/>
      </c>
      <c r="AB55" s="15" t="str">
        <f aca="false">IF(OR(AG55=0,T55=""),"",BA55*HoursPerDay-T55)</f>
        <v/>
      </c>
      <c r="AC55" s="14" t="str">
        <f aca="false">IF(AG55=0,"",BC55)</f>
        <v/>
      </c>
      <c r="AD55" s="14" t="str">
        <f aca="false">IF(AG55=0,"",TRIM(IF(OR(ISTEXT($F55),ISTEXT($H55),ISTEXT($I55),ISTEXT($G55),ISTEXT($J55),ISTEXT($D55)),"A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I55&gt;=1,IF(AI55&gt;=3,AO55,IF(AI55=2,AN55,AM55))&lt;&gt;IF($C55="","",IF(OR(ISNUMBER(SEARCH("full",$C55)),UPPER(TRIM($C55))="FT",UPPER(TRIM($C55))="FTE"),"Full-Time",IF(OR(ISNUMBER(SEARCH("part",$C55)),UPPER(TRIM($C55))="PT",UPPER(TRIM($C55))="PTE"),"Part-Time",IF(OR(ISNUMBER(SEARCH("cas",$C55)),UPPER(TRIM($C55))="CAS"),"Casual","Unknown"))))),"EmploymentType does not match latest start date ("&amp;IF(AI55&gt;=3,AO55,IF(AI55=2,AN55,AM55))&amp;"). ","")&amp;IF(AND(AI55&gt;=1,AJ55&lt;&gt;$F55),"Earliest type date should equal StartDate. ","")&amp;IF(AND(AI55&gt;=2,AJ55=AK55),"Two types start on the same date. ","")&amp;IF(AND(OR(ISNUMBER(SEARCH("part",$C55)),UPPER(TRIM($C55))="PT",UPPER(TRIM($C55))="PTE"),$P55=""),"Part-time: enter PT Hrs/Week (blank = 24+). ","")))</f>
        <v/>
      </c>
      <c r="AE55" s="15" t="str">
        <f aca="false">IF(AG55=0,"",O55-BH55)</f>
        <v/>
      </c>
      <c r="AF55" s="12" t="str">
        <f aca="false">IF(OR(AG55=0,AE55="",N(AE55)=0,BI55=""),"",EDATE(AH55,BI55))</f>
        <v/>
      </c>
      <c r="AG55" s="14" t="n">
        <f aca="false">IF(OR(LEN($A55&amp;$B55)=0,$F55=""),0,1)</f>
        <v>0</v>
      </c>
      <c r="AH55" s="12" t="str">
        <f aca="false">IF(AG55=0,"",IF($J55&lt;&gt;"",$J55,IF(OR(CasualCounts="Yes",COUNT($G55:$I55)=0,COUNT($H55:$I55)=0),$F55,MIN($H55:$I55))))</f>
        <v/>
      </c>
      <c r="AI55" s="14" t="str">
        <f aca="false">IF(AG55=0,"",COUNT($G55:$I55))</f>
        <v/>
      </c>
      <c r="AJ55" s="12" t="str">
        <f aca="false">IF(AG55=0,"",IFERROR(SMALL($G55:$I55,1),""))</f>
        <v/>
      </c>
      <c r="AK55" s="12" t="str">
        <f aca="false">IF(AG55=0,"",IFERROR(SMALL($G55:$I55,2),""))</f>
        <v/>
      </c>
      <c r="AL55" s="12" t="str">
        <f aca="false">IF(AG55=0,"",IFERROR(SMALL($G55:$I55,3),""))</f>
        <v/>
      </c>
      <c r="AM55" s="14" t="str">
        <f aca="false">IF(AG55=0,"",IF(AJ55="","",IF(AJ55=$H55,"Part-Time",IF(AJ55=$I55,"Full-Time","Casual"))))</f>
        <v/>
      </c>
      <c r="AN55" s="14" t="str">
        <f aca="false">IF(AG55=0,"",IF(AK55="","",IF(AK55=$H55,"Part-Time",IF(AK55=$I55,"Full-Time","Casual"))))</f>
        <v/>
      </c>
      <c r="AO55" s="14" t="str">
        <f aca="false">IF(AG55=0,"",IF(AL55="","",IF(AL55=$H55,"Part-Time",IF(AL55=$I55,"Full-Time","Casual"))))</f>
        <v/>
      </c>
      <c r="AP55" s="14" t="str">
        <f aca="false">IF(AG55=0,"",IF(AI55=0,IF(OR(ISNUMBER(SEARCH("full",$C55)),UPPER(TRIM($C55))="FT",UPPER(TRIM($C55))="FTE"),"FT",IF(AND(OR(ISNUMBER(SEARCH("part",$C55)),UPPER(TRIM($C55))="PT",UPPER(TRIM($C55))="PTE"),OR($P55="",N($P55)&gt;=PT_MinHours)),"PT","None")),IF(OR(ISNUMBER(SEARCH("full",AM55)),UPPER(TRIM(AM55))="FT",UPPER(TRIM(AM55))="FTE"),"FT",IF(AND(OR(ISNUMBER(SEARCH("part",AM55)),UPPER(TRIM(AM55))="PT",UPPER(TRIM(AM55))="PTE"),OR($P55="",N($P55)&gt;=PT_MinHours)),"PT","None"))))</f>
        <v/>
      </c>
      <c r="AQ55" s="14" t="str">
        <f aca="false">IF(AG55=0,"",IF(AI55&lt;2,"",IF(OR(ISNUMBER(SEARCH("full",AN55)),UPPER(TRIM(AN55))="FT",UPPER(TRIM(AN55))="FTE"),"FT",IF(AND(OR(ISNUMBER(SEARCH("part",AN55)),UPPER(TRIM(AN55))="PT",UPPER(TRIM(AN55))="PTE"),OR($P55="",N($P55)&gt;=PT_MinHours)),"PT","None"))))</f>
        <v/>
      </c>
      <c r="AR55" s="14" t="str">
        <f aca="false">IF(AG55=0,"",IF(AI55&lt;3,"",IF(OR(ISNUMBER(SEARCH("full",AO55)),UPPER(TRIM(AO55))="FT",UPPER(TRIM(AO55))="FTE"),"FT",IF(AND(OR(ISNUMBER(SEARCH("part",AO55)),UPPER(TRIM(AO55))="PT",UPPER(TRIM(AO55))="PTE"),OR($P55="",N($P55)&gt;=PT_MinHours)),"PT","None"))))</f>
        <v/>
      </c>
      <c r="AS55" s="14" t="str">
        <f aca="false">IF(AG55=0,"",IF(AND(AI55&gt;=3,AL55&lt;=AsOfDate),AR55,IF(AND(AI55&gt;=2,AK55&lt;=AsOfDate),AQ55,AP55)))</f>
        <v/>
      </c>
      <c r="AT55" s="14" t="str">
        <f aca="false">IF(AG55=0,"",IF(AsOfDate&lt;AH55,-1,12*(YEAR(AsOfDate)-YEAR(AH55))+MONTH(AsOfDate)-MONTH(AH55)-IF(DAY(AsOfDate)&lt;MIN(DAY(AH55),DAY(EOMONTH(AsOfDate,0))),1,0)))</f>
        <v/>
      </c>
      <c r="AU55" s="14" t="str">
        <f aca="false">IF(AG55=0,"",IF(OR(AI55&lt;2,AK55&gt;AsOfDate),AT55,IF((AK55-1)&lt;AH55,-1,12*(YEAR((AK55-1))-YEAR(AH55))+MONTH((AK55-1))-MONTH(AH55)-IF(DAY((AK55-1))&lt;MIN(DAY(AH55),DAY(EOMONTH((AK55-1),0))),1,0))))</f>
        <v/>
      </c>
      <c r="AV55" s="14" t="str">
        <f aca="false">IF(AG55=0,"",IF(OR(AI55&lt;3,AL55&gt;AsOfDate),AT55,IF((AL55-1)&lt;AH55,-1,12*(YEAR((AL55-1))-YEAR(AH55))+MONTH((AL55-1))-MONTH(AH55)-IF(DAY((AL55-1))&lt;MIN(DAY(AH55),DAY(EOMONTH((AL55-1),0))),1,0))))</f>
        <v/>
      </c>
      <c r="AW55" s="14" t="str">
        <f aca="false">IF(AG55=0,"",IF(PFYDate&lt;AH55,-1,12*(YEAR(PFYDate)-YEAR(AH55))+MONTH(PFYDate)-MONTH(AH55)-IF(DAY(PFYDate)&lt;MIN(DAY(AH55),DAY(EOMONTH(PFYDate,0))),1,0)))</f>
        <v/>
      </c>
      <c r="AX55" s="14" t="str">
        <f aca="false">IF(AG55=0,"",IF(OR(AI55&lt;2,AK55&gt;PFYDate),AW55,IF((AK55-1)&lt;AH55,-1,12*(YEAR((AK55-1))-YEAR(AH55))+MONTH((AK55-1))-MONTH(AH55)-IF(DAY((AK55-1))&lt;MIN(DAY(AH55),DAY(EOMONTH((AK55-1),0))),1,0))))</f>
        <v/>
      </c>
      <c r="AY55" s="14" t="str">
        <f aca="false">IF(AG55=0,"",IF(OR(AI55&lt;3,AL55&gt;PFYDate),AW55,IF((AL55-1)&lt;AH55,-1,12*(YEAR((AL55-1))-YEAR(AH55))+MONTH((AL55-1))-MONTH(AH55)-IF(DAY((AL55-1))&lt;MIN(DAY(AH55),DAY(EOMONTH((AL55-1),0))),1,0))))</f>
        <v/>
      </c>
      <c r="AZ55" s="14" t="str">
        <f aca="false">IF(AG55=0,"",IF(AP55="FT",IF(AU55&lt;FT_First,0,IF(AU55&lt;FT_Y5,1+INT((AU55-FT_First)/FT_Int1),FT_PreY5+FT_PerYear*INT((AU55-FT_Y5)/12)+FT_AnnivDays+INT(MOD(AU55-FT_Y5,12)/FT_Int2))),IF(AP55="PT",IF(AU55&lt;PT_First,0,1+INT((AU55-PT_First)/PT_Int)),0))+IF(AND(AI55&gt;=2,AK55&lt;=AsOfDate),IF(AQ55="FT",IF(AV55&lt;FT_First,0,IF(AV55&lt;FT_Y5,1+INT((AV55-FT_First)/FT_Int1),FT_PreY5+FT_PerYear*INT((AV55-FT_Y5)/12)+FT_AnnivDays+INT(MOD(AV55-FT_Y5,12)/FT_Int2))),IF(AQ55="PT",IF(AV55&lt;PT_First,0,1+INT((AV55-PT_First)/PT_Int)),0))-IF(AQ55="FT",IF(AU55&lt;FT_First,0,IF(AU55&lt;FT_Y5,1+INT((AU55-FT_First)/FT_Int1),FT_PreY5+FT_PerYear*INT((AU55-FT_Y5)/12)+FT_AnnivDays+INT(MOD(AU55-FT_Y5,12)/FT_Int2))),IF(AQ55="PT",IF(AU55&lt;PT_First,0,1+INT((AU55-PT_First)/PT_Int)),0)),0)+IF(AND(AI55&gt;=3,AL55&lt;=AsOfDate),IF(AR55="FT",IF(AT55&lt;FT_First,0,IF(AT55&lt;FT_Y5,1+INT((AT55-FT_First)/FT_Int1),FT_PreY5+FT_PerYear*INT((AT55-FT_Y5)/12)+FT_AnnivDays+INT(MOD(AT55-FT_Y5,12)/FT_Int2))),IF(AR55="PT",IF(AT55&lt;PT_First,0,1+INT((AT55-PT_First)/PT_Int)),0))-IF(AR55="FT",IF(AV55&lt;FT_First,0,IF(AV55&lt;FT_Y5,1+INT((AV55-FT_First)/FT_Int1),FT_PreY5+FT_PerYear*INT((AV55-FT_Y5)/12)+FT_AnnivDays+INT(MOD(AV55-FT_Y5,12)/FT_Int2))),IF(AR55="PT",IF(AV55&lt;PT_First,0,1+INT((AV55-PT_First)/PT_Int)),0)),0))</f>
        <v/>
      </c>
      <c r="BA55" s="14" t="str">
        <f aca="false">IF(AG55=0,"",IF(AP55="FT",IF(AX55&lt;FT_First,0,IF(AX55&lt;FT_Y5,1+INT((AX55-FT_First)/FT_Int1),FT_PreY5+FT_PerYear*INT((AX55-FT_Y5)/12)+FT_AnnivDays+INT(MOD(AX55-FT_Y5,12)/FT_Int2))),IF(AP55="PT",IF(AX55&lt;PT_First,0,1+INT((AX55-PT_First)/PT_Int)),0))+IF(AND(AI55&gt;=2,AK55&lt;=PFYDate),IF(AQ55="FT",IF(AY55&lt;FT_First,0,IF(AY55&lt;FT_Y5,1+INT((AY55-FT_First)/FT_Int1),FT_PreY5+FT_PerYear*INT((AY55-FT_Y5)/12)+FT_AnnivDays+INT(MOD(AY55-FT_Y5,12)/FT_Int2))),IF(AQ55="PT",IF(AY55&lt;PT_First,0,1+INT((AY55-PT_First)/PT_Int)),0))-IF(AQ55="FT",IF(AX55&lt;FT_First,0,IF(AX55&lt;FT_Y5,1+INT((AX55-FT_First)/FT_Int1),FT_PreY5+FT_PerYear*INT((AX55-FT_Y5)/12)+FT_AnnivDays+INT(MOD(AX55-FT_Y5,12)/FT_Int2))),IF(AQ55="PT",IF(AX55&lt;PT_First,0,1+INT((AX55-PT_First)/PT_Int)),0)),0)+IF(AND(AI55&gt;=3,AL55&lt;=PFYDate),IF(AR55="FT",IF(AW55&lt;FT_First,0,IF(AW55&lt;FT_Y5,1+INT((AW55-FT_First)/FT_Int1),FT_PreY5+FT_PerYear*INT((AW55-FT_Y5)/12)+FT_AnnivDays+INT(MOD(AW55-FT_Y5,12)/FT_Int2))),IF(AR55="PT",IF(AW55&lt;PT_First,0,1+INT((AW55-PT_First)/PT_Int)),0))-IF(AR55="FT",IF(AY55&lt;FT_First,0,IF(AY55&lt;FT_Y5,1+INT((AY55-FT_First)/FT_Int1),FT_PreY5+FT_PerYear*INT((AY55-FT_Y5)/12)+FT_AnnivDays+INT(MOD(AY55-FT_Y5,12)/FT_Int2))),IF(AR55="PT",IF(AY55&lt;PT_First,0,1+INT((AY55-PT_First)/PT_Int)),0)),0))</f>
        <v/>
      </c>
      <c r="BB55" s="14" t="str">
        <f aca="false">IF(AG55=0,"",IF(AS55="FT",IF(AT55&lt;FT_First,FT_First,IF(AT55&lt;FT_Y5,MIN(FT_Y5,FT_First+FT_Int1*(INT((AT55-FT_First)/FT_Int1)+1)),FT_Y5+12*INT((AT55-FT_Y5)/12)+FT_Int2*(INT(MOD(AT55-FT_Y5,12)/FT_Int2)+1))),IF(AS55="PT",IF(AT55&lt;PT_First,PT_First,PT_First+PT_Int*(INT((AT55-PT_First)/PT_Int)+1)),"")))</f>
        <v/>
      </c>
      <c r="BC55" s="14" t="str">
        <f aca="false">IF(AG55=0,"",IF(NOT(LH_Ready),0,COUNTIFS(INDEX(LH_Data,0,LH_ColFirst),$A55,INDEX(LH_Data,0,LH_ColSur),$B55,INDEX(LH_Data,0,LH_ColCat),BonusCat)))</f>
        <v/>
      </c>
      <c r="BD55" s="14" t="str">
        <f aca="false">IF(AG55=0,"",IF(OR(NOT(LH_Ready),BC55=0),0,SUMPRODUCT(MAX((INDEX(LH_Data,0,LH_ColFirst)=$A55)*(INDEX(LH_Data,0,LH_ColSur)=$B55)*(INDEX(LH_Data,0,LH_ColCat)=BonusCat)*ROW(LH_Data)))))</f>
        <v/>
      </c>
      <c r="BE55" s="14" t="str">
        <f aca="false">IF(AG55=0,"",IF(EOMONTH(AsOfDate,-1)&lt;AH55,-1,12*(YEAR(EOMONTH(AsOfDate,-1))-YEAR(AH55))+MONTH(EOMONTH(AsOfDate,-1))-MONTH(AH55)-IF(DAY(EOMONTH(AsOfDate,-1))&lt;MIN(DAY(AH55),DAY(EOMONTH(EOMONTH(AsOfDate,-1),0))),1,0)))</f>
        <v/>
      </c>
      <c r="BF55" s="14" t="str">
        <f aca="false">IF(AG55=0,"",IF(OR(AI55&lt;2,AK55&gt;EOMONTH(AsOfDate,-1)),BE55,IF((AK55-1)&lt;AH55,-1,12*(YEAR((AK55-1))-YEAR(AH55))+MONTH((AK55-1))-MONTH(AH55)-IF(DAY((AK55-1))&lt;MIN(DAY(AH55),DAY(EOMONTH((AK55-1),0))),1,0))))</f>
        <v/>
      </c>
      <c r="BG55" s="14" t="str">
        <f aca="false">IF(AG55=0,"",IF(OR(AI55&lt;3,AL55&gt;EOMONTH(AsOfDate,-1)),BE55,IF((AL55-1)&lt;AH55,-1,12*(YEAR((AL55-1))-YEAR(AH55))+MONTH((AL55-1))-MONTH(AH55)-IF(DAY((AL55-1))&lt;MIN(DAY(AH55),DAY(EOMONTH((AL55-1),0))),1,0))))</f>
        <v/>
      </c>
      <c r="BH55" s="14" t="str">
        <f aca="false">IF(AG55=0,"",IF(AP55="FT",IF(BF55&lt;FT_First,0,IF(BF55&lt;FT_Y5,1+INT((BF55-FT_First)/FT_Int1),FT_PreY5+FT_PerYear*INT((BF55-FT_Y5)/12)+FT_AnnivDays+INT(MOD(BF55-FT_Y5,12)/FT_Int2))),IF(AP55="PT",IF(BF55&lt;PT_First,0,1+INT((BF55-PT_First)/PT_Int)),0))+IF(AND(AI55&gt;=2,AK55&lt;=EOMONTH(AsOfDate,-1)),IF(AQ55="FT",IF(BG55&lt;FT_First,0,IF(BG55&lt;FT_Y5,1+INT((BG55-FT_First)/FT_Int1),FT_PreY5+FT_PerYear*INT((BG55-FT_Y5)/12)+FT_AnnivDays+INT(MOD(BG55-FT_Y5,12)/FT_Int2))),IF(AQ55="PT",IF(BG55&lt;PT_First,0,1+INT((BG55-PT_First)/PT_Int)),0))-IF(AQ55="FT",IF(BF55&lt;FT_First,0,IF(BF55&lt;FT_Y5,1+INT((BF55-FT_First)/FT_Int1),FT_PreY5+FT_PerYear*INT((BF55-FT_Y5)/12)+FT_AnnivDays+INT(MOD(BF55-FT_Y5,12)/FT_Int2))),IF(AQ55="PT",IF(BF55&lt;PT_First,0,1+INT((BF55-PT_First)/PT_Int)),0)),0)+IF(AND(AI55&gt;=3,AL55&lt;=EOMONTH(AsOfDate,-1)),IF(AR55="FT",IF(BE55&lt;FT_First,0,IF(BE55&lt;FT_Y5,1+INT((BE55-FT_First)/FT_Int1),FT_PreY5+FT_PerYear*INT((BE55-FT_Y5)/12)+FT_AnnivDays+INT(MOD(BE55-FT_Y5,12)/FT_Int2))),IF(AR55="PT",IF(BE55&lt;PT_First,0,1+INT((BE55-PT_First)/PT_Int)),0))-IF(AR55="FT",IF(BG55&lt;FT_First,0,IF(BG55&lt;FT_Y5,1+INT((BG55-FT_First)/FT_Int1),FT_PreY5+FT_PerYear*INT((BG55-FT_Y5)/12)+FT_AnnivDays+INT(MOD(BG55-FT_Y5,12)/FT_Int2))),IF(AR55="PT",IF(BG55&lt;PT_First,0,1+INT((BG55-PT_First)/PT_Int)),0)),0))</f>
        <v/>
      </c>
      <c r="BI55" s="14" t="str">
        <f aca="false">IF(AG55=0,"",IF(AS55="FT",IF(AT55&lt;FT_First,"",IF(AT55&lt;FT_Y5,FT_First+FT_Int1*INT((AT55-FT_First)/FT_Int1),FT_Y5+FT_Int2*INT((AT55-FT_Y5)/FT_Int2))),IF(AS55="PT",IF(AT55&lt;PT_First,"",PT_First+PT_Int*INT((AT55-PT_First)/PT_Int)),"")))</f>
        <v/>
      </c>
      <c r="BJ55" s="0" t="str">
        <f aca="false">IF(LEN($A55&amp;$B55)=0,"",$A55&amp;" "&amp;$B55)</f>
        <v/>
      </c>
    </row>
    <row r="56" customFormat="false" ht="15" hidden="false" customHeight="false" outlineLevel="0" collapsed="false">
      <c r="A56" s="10"/>
      <c r="B56" s="10"/>
      <c r="C56" s="10"/>
      <c r="D56" s="11"/>
      <c r="E56" s="12" t="str">
        <f aca="false">IF(OR(AG56=0,$D56=""),"",DATE(YEAR(AsOfDate)+IF(DATE(YEAR(AsOfDate),MONTH($D56),DAY($D56))&lt;=AsOfDate,1,0),MONTH($D56),DAY($D56)))</f>
        <v/>
      </c>
      <c r="F56" s="11"/>
      <c r="G56" s="11"/>
      <c r="H56" s="11"/>
      <c r="I56" s="11"/>
      <c r="J56" s="11"/>
      <c r="K56" s="12" t="str">
        <f aca="false">IF(AG56=0,"",DATE(YEAR(AsOfDate)+IF(DATE(YEAR(AsOfDate),MONTH(AH56),DAY(AH56))&lt;=AsOfDate,1,0),MONTH(AH56),DAY(AH56)))</f>
        <v/>
      </c>
      <c r="L56" s="13" t="str">
        <f aca="false">IF(AG56=0,"",ROUND((AsOfDate-AH56)/365.25,1))</f>
        <v/>
      </c>
      <c r="M56" s="14" t="str">
        <f aca="false">IF(AG56=0,"",IF(AsOfDate&lt;AH56,"-",DATEDIF(AH56,AsOfDate,"y")&amp;"y "&amp;DATEDIF(AH56,AsOfDate,"ym")&amp;"m "&amp;DATEDIF(AH56,AsOfDate,"md")&amp;"d"))</f>
        <v/>
      </c>
      <c r="N56" s="15" t="str">
        <f aca="false">IF(AG56=0,"",O56*HoursPerDay)</f>
        <v/>
      </c>
      <c r="O56" s="15" t="str">
        <f aca="false">IF(AG56=0,"",AZ56)</f>
        <v/>
      </c>
      <c r="P56" s="16"/>
      <c r="Q56" s="14" t="str">
        <f aca="false">IF(AG56=0,"",IF(AI56&lt;2,"",AM56&amp;" to "&amp;AN56&amp;" on "&amp;TEXT(AK56,"dd/mm/yyyy")&amp;IF(AK56&gt;AsOfDate," (future)",IF(AP56=AQ56,"",IF(AQ56="None"," - STOPPED accruing",IF(AP56="None"," - commencement for Bonus Leave"," - pathway changed"))))&amp;IF(AI56&lt;3,"","; "&amp;AN56&amp;" to "&amp;AO56&amp;" on "&amp;TEXT(AL56,"dd/mm/yyyy")&amp;IF(AL56&gt;AsOfDate," (future)",IF(AQ56=AR56,"",IF(AR56="None"," - STOPPED accruing",IF(AQ56="None"," - commencement for Bonus Leave"," - pathway changed")))))))</f>
        <v/>
      </c>
      <c r="R56" s="14" t="str">
        <f aca="false">IF(AG56=0,"",IF(AS56="None",IF(O56&gt;0,"No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2" t="str">
        <f aca="false">IF(AG56=0,"",IF(AS56="None","",EDATE(AH56,BB56)))</f>
        <v/>
      </c>
      <c r="T56" s="15" t="str">
        <f aca="false">IF(AG56=0,"",IF(NOT(LH_Ready),"",IF(AH56&gt;PFYDate,0,IF(LH_ColPeriod=0,W56-U56+V56,SUMIFS(INDEX(LH_Data,0,LH_ColAcc),INDEX(LH_Data,0,LH_ColFirst),$A56,INDEX(LH_Data,0,LH_ColSur),$B56,INDEX(LH_Data,0,LH_ColCat),BonusCat,INDEX(LH_Data,0,LH_ColPeriod),LH_OpenLabel)*UnitFactor))))</f>
        <v/>
      </c>
      <c r="U56" s="15" t="str">
        <f aca="false">IF(AG56=0,"",IF(NOT(LH_Ready),"",SUMIFS(INDEX(LH_Data,0,LH_ColAcc),INDEX(LH_Data,0,LH_ColFirst),$A56,INDEX(LH_Data,0,LH_ColSur),$B56,INDEX(LH_Data,0,LH_ColCat),BonusCat,INDEX(LH_Data,0,LH_ColStart),"&gt;="&amp;AH56)*UnitFactor))</f>
        <v/>
      </c>
      <c r="V56" s="15" t="str">
        <f aca="false">IF(AG56=0,"",IF(NOT(LH_Ready),"",SUMIFS(INDEX(LH_Data,0,LH_ColTaken),INDEX(LH_Data,0,LH_ColFirst),$A56,INDEX(LH_Data,0,LH_ColSur),$B56,INDEX(LH_Data,0,LH_ColCat),BonusCat,INDEX(LH_Data,0,LH_ColStart),"&gt;="&amp;AH56)*UnitFactor))</f>
        <v/>
      </c>
      <c r="W56" s="15" t="str">
        <f aca="false">IF(AG56=0,"",IF(NOT(LH_Ready),"",IF(BD56=0,0,INDEX(INDEX(LH_Data,0,LH_ColClose),BD56-1)*UnitFactor)))</f>
        <v/>
      </c>
      <c r="X56" s="15" t="str">
        <f aca="false">IF(AG56=0,"",(AZ56-BA56)*HoursPerDay)</f>
        <v/>
      </c>
      <c r="Y56" s="15" t="str">
        <f aca="false">IF(AG56=0,"",IF(NOT(LH_Ready),"",IF(BC56=0,N56,IF(PFYDate&lt;$F56,N56-N(T56)-N(U56),X56-N(U56)))))</f>
        <v/>
      </c>
      <c r="Z56" s="14" t="str">
        <f aca="false">IF(OR(AG56=0,Y56=""),"",IF(Y56&gt;0,"Yes","No"))</f>
        <v/>
      </c>
      <c r="AA56" s="14" t="str">
        <f aca="false">IF(AG56=0,IF(LEN($A56&amp;$B56)=0,"","FIX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month")&amp;IF(BC56=0,";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EH)",""),IF(AS56="None",R56,"Not yet - first day on "&amp;TEXT(S56,"dd/mm/yyyy")))))))))</f>
        <v/>
      </c>
      <c r="AB56" s="15" t="str">
        <f aca="false">IF(OR(AG56=0,T56=""),"",BA56*HoursPerDay-T56)</f>
        <v/>
      </c>
      <c r="AC56" s="14" t="str">
        <f aca="false">IF(AG56=0,"",BC56)</f>
        <v/>
      </c>
      <c r="AD56" s="14" t="str">
        <f aca="false">IF(AG56=0,"",TRIM(IF(OR(ISTEXT($F56),ISTEXT($H56),ISTEXT($I56),ISTEXT($G56),ISTEXT($J56),ISTEXT($D56)),"A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I56&gt;=1,IF(AI56&gt;=3,AO56,IF(AI56=2,AN56,AM56))&lt;&gt;IF($C56="","",IF(OR(ISNUMBER(SEARCH("full",$C56)),UPPER(TRIM($C56))="FT",UPPER(TRIM($C56))="FTE"),"Full-Time",IF(OR(ISNUMBER(SEARCH("part",$C56)),UPPER(TRIM($C56))="PT",UPPER(TRIM($C56))="PTE"),"Part-Time",IF(OR(ISNUMBER(SEARCH("cas",$C56)),UPPER(TRIM($C56))="CAS"),"Casual","Unknown"))))),"EmploymentType does not match latest start date ("&amp;IF(AI56&gt;=3,AO56,IF(AI56=2,AN56,AM56))&amp;"). ","")&amp;IF(AND(AI56&gt;=1,AJ56&lt;&gt;$F56),"Earliest type date should equal StartDate. ","")&amp;IF(AND(AI56&gt;=2,AJ56=AK56),"Two types start on the same date. ","")&amp;IF(AND(OR(ISNUMBER(SEARCH("part",$C56)),UPPER(TRIM($C56))="PT",UPPER(TRIM($C56))="PTE"),$P56=""),"Part-time: enter PT Hrs/Week (blank = 24+). ","")))</f>
        <v/>
      </c>
      <c r="AE56" s="15" t="str">
        <f aca="false">IF(AG56=0,"",O56-BH56)</f>
        <v/>
      </c>
      <c r="AF56" s="12" t="str">
        <f aca="false">IF(OR(AG56=0,AE56="",N(AE56)=0,BI56=""),"",EDATE(AH56,BI56))</f>
        <v/>
      </c>
      <c r="AG56" s="14" t="n">
        <f aca="false">IF(OR(LEN($A56&amp;$B56)=0,$F56=""),0,1)</f>
        <v>0</v>
      </c>
      <c r="AH56" s="12" t="str">
        <f aca="false">IF(AG56=0,"",IF($J56&lt;&gt;"",$J56,IF(OR(CasualCounts="Yes",COUNT($G56:$I56)=0,COUNT($H56:$I56)=0),$F56,MIN($H56:$I56))))</f>
        <v/>
      </c>
      <c r="AI56" s="14" t="str">
        <f aca="false">IF(AG56=0,"",COUNT($G56:$I56))</f>
        <v/>
      </c>
      <c r="AJ56" s="12" t="str">
        <f aca="false">IF(AG56=0,"",IFERROR(SMALL($G56:$I56,1),""))</f>
        <v/>
      </c>
      <c r="AK56" s="12" t="str">
        <f aca="false">IF(AG56=0,"",IFERROR(SMALL($G56:$I56,2),""))</f>
        <v/>
      </c>
      <c r="AL56" s="12" t="str">
        <f aca="false">IF(AG56=0,"",IFERROR(SMALL($G56:$I56,3),""))</f>
        <v/>
      </c>
      <c r="AM56" s="14" t="str">
        <f aca="false">IF(AG56=0,"",IF(AJ56="","",IF(AJ56=$H56,"Part-Time",IF(AJ56=$I56,"Full-Time","Casual"))))</f>
        <v/>
      </c>
      <c r="AN56" s="14" t="str">
        <f aca="false">IF(AG56=0,"",IF(AK56="","",IF(AK56=$H56,"Part-Time",IF(AK56=$I56,"Full-Time","Casual"))))</f>
        <v/>
      </c>
      <c r="AO56" s="14" t="str">
        <f aca="false">IF(AG56=0,"",IF(AL56="","",IF(AL56=$H56,"Part-Time",IF(AL56=$I56,"Full-Time","Casual"))))</f>
        <v/>
      </c>
      <c r="AP56" s="14" t="str">
        <f aca="false">IF(AG56=0,"",IF(AI56=0,IF(OR(ISNUMBER(SEARCH("full",$C56)),UPPER(TRIM($C56))="FT",UPPER(TRIM($C56))="FTE"),"FT",IF(AND(OR(ISNUMBER(SEARCH("part",$C56)),UPPER(TRIM($C56))="PT",UPPER(TRIM($C56))="PTE"),OR($P56="",N($P56)&gt;=PT_MinHours)),"PT","None")),IF(OR(ISNUMBER(SEARCH("full",AM56)),UPPER(TRIM(AM56))="FT",UPPER(TRIM(AM56))="FTE"),"FT",IF(AND(OR(ISNUMBER(SEARCH("part",AM56)),UPPER(TRIM(AM56))="PT",UPPER(TRIM(AM56))="PTE"),OR($P56="",N($P56)&gt;=PT_MinHours)),"PT","None"))))</f>
        <v/>
      </c>
      <c r="AQ56" s="14" t="str">
        <f aca="false">IF(AG56=0,"",IF(AI56&lt;2,"",IF(OR(ISNUMBER(SEARCH("full",AN56)),UPPER(TRIM(AN56))="FT",UPPER(TRIM(AN56))="FTE"),"FT",IF(AND(OR(ISNUMBER(SEARCH("part",AN56)),UPPER(TRIM(AN56))="PT",UPPER(TRIM(AN56))="PTE"),OR($P56="",N($P56)&gt;=PT_MinHours)),"PT","None"))))</f>
        <v/>
      </c>
      <c r="AR56" s="14" t="str">
        <f aca="false">IF(AG56=0,"",IF(AI56&lt;3,"",IF(OR(ISNUMBER(SEARCH("full",AO56)),UPPER(TRIM(AO56))="FT",UPPER(TRIM(AO56))="FTE"),"FT",IF(AND(OR(ISNUMBER(SEARCH("part",AO56)),UPPER(TRIM(AO56))="PT",UPPER(TRIM(AO56))="PTE"),OR($P56="",N($P56)&gt;=PT_MinHours)),"PT","None"))))</f>
        <v/>
      </c>
      <c r="AS56" s="14" t="str">
        <f aca="false">IF(AG56=0,"",IF(AND(AI56&gt;=3,AL56&lt;=AsOfDate),AR56,IF(AND(AI56&gt;=2,AK56&lt;=AsOfDate),AQ56,AP56)))</f>
        <v/>
      </c>
      <c r="AT56" s="14" t="str">
        <f aca="false">IF(AG56=0,"",IF(AsOfDate&lt;AH56,-1,12*(YEAR(AsOfDate)-YEAR(AH56))+MONTH(AsOfDate)-MONTH(AH56)-IF(DAY(AsOfDate)&lt;MIN(DAY(AH56),DAY(EOMONTH(AsOfDate,0))),1,0)))</f>
        <v/>
      </c>
      <c r="AU56" s="14" t="str">
        <f aca="false">IF(AG56=0,"",IF(OR(AI56&lt;2,AK56&gt;AsOfDate),AT56,IF((AK56-1)&lt;AH56,-1,12*(YEAR((AK56-1))-YEAR(AH56))+MONTH((AK56-1))-MONTH(AH56)-IF(DAY((AK56-1))&lt;MIN(DAY(AH56),DAY(EOMONTH((AK56-1),0))),1,0))))</f>
        <v/>
      </c>
      <c r="AV56" s="14" t="str">
        <f aca="false">IF(AG56=0,"",IF(OR(AI56&lt;3,AL56&gt;AsOfDate),AT56,IF((AL56-1)&lt;AH56,-1,12*(YEAR((AL56-1))-YEAR(AH56))+MONTH((AL56-1))-MONTH(AH56)-IF(DAY((AL56-1))&lt;MIN(DAY(AH56),DAY(EOMONTH((AL56-1),0))),1,0))))</f>
        <v/>
      </c>
      <c r="AW56" s="14" t="str">
        <f aca="false">IF(AG56=0,"",IF(PFYDate&lt;AH56,-1,12*(YEAR(PFYDate)-YEAR(AH56))+MONTH(PFYDate)-MONTH(AH56)-IF(DAY(PFYDate)&lt;MIN(DAY(AH56),DAY(EOMONTH(PFYDate,0))),1,0)))</f>
        <v/>
      </c>
      <c r="AX56" s="14" t="str">
        <f aca="false">IF(AG56=0,"",IF(OR(AI56&lt;2,AK56&gt;PFYDate),AW56,IF((AK56-1)&lt;AH56,-1,12*(YEAR((AK56-1))-YEAR(AH56))+MONTH((AK56-1))-MONTH(AH56)-IF(DAY((AK56-1))&lt;MIN(DAY(AH56),DAY(EOMONTH((AK56-1),0))),1,0))))</f>
        <v/>
      </c>
      <c r="AY56" s="14" t="str">
        <f aca="false">IF(AG56=0,"",IF(OR(AI56&lt;3,AL56&gt;PFYDate),AW56,IF((AL56-1)&lt;AH56,-1,12*(YEAR((AL56-1))-YEAR(AH56))+MONTH((AL56-1))-MONTH(AH56)-IF(DAY((AL56-1))&lt;MIN(DAY(AH56),DAY(EOMONTH((AL56-1),0))),1,0))))</f>
        <v/>
      </c>
      <c r="AZ56" s="14" t="str">
        <f aca="false">IF(AG56=0,"",IF(AP56="FT",IF(AU56&lt;FT_First,0,IF(AU56&lt;FT_Y5,1+INT((AU56-FT_First)/FT_Int1),FT_PreY5+FT_PerYear*INT((AU56-FT_Y5)/12)+FT_AnnivDays+INT(MOD(AU56-FT_Y5,12)/FT_Int2))),IF(AP56="PT",IF(AU56&lt;PT_First,0,1+INT((AU56-PT_First)/PT_Int)),0))+IF(AND(AI56&gt;=2,AK56&lt;=AsOfDate),IF(AQ56="FT",IF(AV56&lt;FT_First,0,IF(AV56&lt;FT_Y5,1+INT((AV56-FT_First)/FT_Int1),FT_PreY5+FT_PerYear*INT((AV56-FT_Y5)/12)+FT_AnnivDays+INT(MOD(AV56-FT_Y5,12)/FT_Int2))),IF(AQ56="PT",IF(AV56&lt;PT_First,0,1+INT((AV56-PT_First)/PT_Int)),0))-IF(AQ56="FT",IF(AU56&lt;FT_First,0,IF(AU56&lt;FT_Y5,1+INT((AU56-FT_First)/FT_Int1),FT_PreY5+FT_PerYear*INT((AU56-FT_Y5)/12)+FT_AnnivDays+INT(MOD(AU56-FT_Y5,12)/FT_Int2))),IF(AQ56="PT",IF(AU56&lt;PT_First,0,1+INT((AU56-PT_First)/PT_Int)),0)),0)+IF(AND(AI56&gt;=3,AL56&lt;=AsOfDate),IF(AR56="FT",IF(AT56&lt;FT_First,0,IF(AT56&lt;FT_Y5,1+INT((AT56-FT_First)/FT_Int1),FT_PreY5+FT_PerYear*INT((AT56-FT_Y5)/12)+FT_AnnivDays+INT(MOD(AT56-FT_Y5,12)/FT_Int2))),IF(AR56="PT",IF(AT56&lt;PT_First,0,1+INT((AT56-PT_First)/PT_Int)),0))-IF(AR56="FT",IF(AV56&lt;FT_First,0,IF(AV56&lt;FT_Y5,1+INT((AV56-FT_First)/FT_Int1),FT_PreY5+FT_PerYear*INT((AV56-FT_Y5)/12)+FT_AnnivDays+INT(MOD(AV56-FT_Y5,12)/FT_Int2))),IF(AR56="PT",IF(AV56&lt;PT_First,0,1+INT((AV56-PT_First)/PT_Int)),0)),0))</f>
        <v/>
      </c>
      <c r="BA56" s="14" t="str">
        <f aca="false">IF(AG56=0,"",IF(AP56="FT",IF(AX56&lt;FT_First,0,IF(AX56&lt;FT_Y5,1+INT((AX56-FT_First)/FT_Int1),FT_PreY5+FT_PerYear*INT((AX56-FT_Y5)/12)+FT_AnnivDays+INT(MOD(AX56-FT_Y5,12)/FT_Int2))),IF(AP56="PT",IF(AX56&lt;PT_First,0,1+INT((AX56-PT_First)/PT_Int)),0))+IF(AND(AI56&gt;=2,AK56&lt;=PFYDate),IF(AQ56="FT",IF(AY56&lt;FT_First,0,IF(AY56&lt;FT_Y5,1+INT((AY56-FT_First)/FT_Int1),FT_PreY5+FT_PerYear*INT((AY56-FT_Y5)/12)+FT_AnnivDays+INT(MOD(AY56-FT_Y5,12)/FT_Int2))),IF(AQ56="PT",IF(AY56&lt;PT_First,0,1+INT((AY56-PT_First)/PT_Int)),0))-IF(AQ56="FT",IF(AX56&lt;FT_First,0,IF(AX56&lt;FT_Y5,1+INT((AX56-FT_First)/FT_Int1),FT_PreY5+FT_PerYear*INT((AX56-FT_Y5)/12)+FT_AnnivDays+INT(MOD(AX56-FT_Y5,12)/FT_Int2))),IF(AQ56="PT",IF(AX56&lt;PT_First,0,1+INT((AX56-PT_First)/PT_Int)),0)),0)+IF(AND(AI56&gt;=3,AL56&lt;=PFYDate),IF(AR56="FT",IF(AW56&lt;FT_First,0,IF(AW56&lt;FT_Y5,1+INT((AW56-FT_First)/FT_Int1),FT_PreY5+FT_PerYear*INT((AW56-FT_Y5)/12)+FT_AnnivDays+INT(MOD(AW56-FT_Y5,12)/FT_Int2))),IF(AR56="PT",IF(AW56&lt;PT_First,0,1+INT((AW56-PT_First)/PT_Int)),0))-IF(AR56="FT",IF(AY56&lt;FT_First,0,IF(AY56&lt;FT_Y5,1+INT((AY56-FT_First)/FT_Int1),FT_PreY5+FT_PerYear*INT((AY56-FT_Y5)/12)+FT_AnnivDays+INT(MOD(AY56-FT_Y5,12)/FT_Int2))),IF(AR56="PT",IF(AY56&lt;PT_First,0,1+INT((AY56-PT_First)/PT_Int)),0)),0))</f>
        <v/>
      </c>
      <c r="BB56" s="14" t="str">
        <f aca="false">IF(AG56=0,"",IF(AS56="FT",IF(AT56&lt;FT_First,FT_First,IF(AT56&lt;FT_Y5,MIN(FT_Y5,FT_First+FT_Int1*(INT((AT56-FT_First)/FT_Int1)+1)),FT_Y5+12*INT((AT56-FT_Y5)/12)+FT_Int2*(INT(MOD(AT56-FT_Y5,12)/FT_Int2)+1))),IF(AS56="PT",IF(AT56&lt;PT_First,PT_First,PT_First+PT_Int*(INT((AT56-PT_First)/PT_Int)+1)),"")))</f>
        <v/>
      </c>
      <c r="BC56" s="14" t="str">
        <f aca="false">IF(AG56=0,"",IF(NOT(LH_Ready),0,COUNTIFS(INDEX(LH_Data,0,LH_ColFirst),$A56,INDEX(LH_Data,0,LH_ColSur),$B56,INDEX(LH_Data,0,LH_ColCat),BonusCat)))</f>
        <v/>
      </c>
      <c r="BD56" s="14" t="str">
        <f aca="false">IF(AG56=0,"",IF(OR(NOT(LH_Ready),BC56=0),0,SUMPRODUCT(MAX((INDEX(LH_Data,0,LH_ColFirst)=$A56)*(INDEX(LH_Data,0,LH_ColSur)=$B56)*(INDEX(LH_Data,0,LH_ColCat)=BonusCat)*ROW(LH_Data)))))</f>
        <v/>
      </c>
      <c r="BE56" s="14" t="str">
        <f aca="false">IF(AG56=0,"",IF(EOMONTH(AsOfDate,-1)&lt;AH56,-1,12*(YEAR(EOMONTH(AsOfDate,-1))-YEAR(AH56))+MONTH(EOMONTH(AsOfDate,-1))-MONTH(AH56)-IF(DAY(EOMONTH(AsOfDate,-1))&lt;MIN(DAY(AH56),DAY(EOMONTH(EOMONTH(AsOfDate,-1),0))),1,0)))</f>
        <v/>
      </c>
      <c r="BF56" s="14" t="str">
        <f aca="false">IF(AG56=0,"",IF(OR(AI56&lt;2,AK56&gt;EOMONTH(AsOfDate,-1)),BE56,IF((AK56-1)&lt;AH56,-1,12*(YEAR((AK56-1))-YEAR(AH56))+MONTH((AK56-1))-MONTH(AH56)-IF(DAY((AK56-1))&lt;MIN(DAY(AH56),DAY(EOMONTH((AK56-1),0))),1,0))))</f>
        <v/>
      </c>
      <c r="BG56" s="14" t="str">
        <f aca="false">IF(AG56=0,"",IF(OR(AI56&lt;3,AL56&gt;EOMONTH(AsOfDate,-1)),BE56,IF((AL56-1)&lt;AH56,-1,12*(YEAR((AL56-1))-YEAR(AH56))+MONTH((AL56-1))-MONTH(AH56)-IF(DAY((AL56-1))&lt;MIN(DAY(AH56),DAY(EOMONTH((AL56-1),0))),1,0))))</f>
        <v/>
      </c>
      <c r="BH56" s="14" t="str">
        <f aca="false">IF(AG56=0,"",IF(AP56="FT",IF(BF56&lt;FT_First,0,IF(BF56&lt;FT_Y5,1+INT((BF56-FT_First)/FT_Int1),FT_PreY5+FT_PerYear*INT((BF56-FT_Y5)/12)+FT_AnnivDays+INT(MOD(BF56-FT_Y5,12)/FT_Int2))),IF(AP56="PT",IF(BF56&lt;PT_First,0,1+INT((BF56-PT_First)/PT_Int)),0))+IF(AND(AI56&gt;=2,AK56&lt;=EOMONTH(AsOfDate,-1)),IF(AQ56="FT",IF(BG56&lt;FT_First,0,IF(BG56&lt;FT_Y5,1+INT((BG56-FT_First)/FT_Int1),FT_PreY5+FT_PerYear*INT((BG56-FT_Y5)/12)+FT_AnnivDays+INT(MOD(BG56-FT_Y5,12)/FT_Int2))),IF(AQ56="PT",IF(BG56&lt;PT_First,0,1+INT((BG56-PT_First)/PT_Int)),0))-IF(AQ56="FT",IF(BF56&lt;FT_First,0,IF(BF56&lt;FT_Y5,1+INT((BF56-FT_First)/FT_Int1),FT_PreY5+FT_PerYear*INT((BF56-FT_Y5)/12)+FT_AnnivDays+INT(MOD(BF56-FT_Y5,12)/FT_Int2))),IF(AQ56="PT",IF(BF56&lt;PT_First,0,1+INT((BF56-PT_First)/PT_Int)),0)),0)+IF(AND(AI56&gt;=3,AL56&lt;=EOMONTH(AsOfDate,-1)),IF(AR56="FT",IF(BE56&lt;FT_First,0,IF(BE56&lt;FT_Y5,1+INT((BE56-FT_First)/FT_Int1),FT_PreY5+FT_PerYear*INT((BE56-FT_Y5)/12)+FT_AnnivDays+INT(MOD(BE56-FT_Y5,12)/FT_Int2))),IF(AR56="PT",IF(BE56&lt;PT_First,0,1+INT((BE56-PT_First)/PT_Int)),0))-IF(AR56="FT",IF(BG56&lt;FT_First,0,IF(BG56&lt;FT_Y5,1+INT((BG56-FT_First)/FT_Int1),FT_PreY5+FT_PerYear*INT((BG56-FT_Y5)/12)+FT_AnnivDays+INT(MOD(BG56-FT_Y5,12)/FT_Int2))),IF(AR56="PT",IF(BG56&lt;PT_First,0,1+INT((BG56-PT_First)/PT_Int)),0)),0))</f>
        <v/>
      </c>
      <c r="BI56" s="14" t="str">
        <f aca="false">IF(AG56=0,"",IF(AS56="FT",IF(AT56&lt;FT_First,"",IF(AT56&lt;FT_Y5,FT_First+FT_Int1*INT((AT56-FT_First)/FT_Int1),FT_Y5+FT_Int2*INT((AT56-FT_Y5)/FT_Int2))),IF(AS56="PT",IF(AT56&lt;PT_First,"",PT_First+PT_Int*INT((AT56-PT_First)/PT_Int)),"")))</f>
        <v/>
      </c>
      <c r="BJ56" s="0" t="str">
        <f aca="false">IF(LEN($A56&amp;$B56)=0,"",$A56&amp;" "&amp;$B56)</f>
        <v/>
      </c>
    </row>
    <row r="57" customFormat="false" ht="15" hidden="false" customHeight="false" outlineLevel="0" collapsed="false">
      <c r="A57" s="10"/>
      <c r="B57" s="10"/>
      <c r="C57" s="10"/>
      <c r="D57" s="11"/>
      <c r="E57" s="12" t="str">
        <f aca="false">IF(OR(AG57=0,$D57=""),"",DATE(YEAR(AsOfDate)+IF(DATE(YEAR(AsOfDate),MONTH($D57),DAY($D57))&lt;=AsOfDate,1,0),MONTH($D57),DAY($D57)))</f>
        <v/>
      </c>
      <c r="F57" s="11"/>
      <c r="G57" s="11"/>
      <c r="H57" s="11"/>
      <c r="I57" s="11"/>
      <c r="J57" s="11"/>
      <c r="K57" s="12" t="str">
        <f aca="false">IF(AG57=0,"",DATE(YEAR(AsOfDate)+IF(DATE(YEAR(AsOfDate),MONTH(AH57),DAY(AH57))&lt;=AsOfDate,1,0),MONTH(AH57),DAY(AH57)))</f>
        <v/>
      </c>
      <c r="L57" s="13" t="str">
        <f aca="false">IF(AG57=0,"",ROUND((AsOfDate-AH57)/365.25,1))</f>
        <v/>
      </c>
      <c r="M57" s="14" t="str">
        <f aca="false">IF(AG57=0,"",IF(AsOfDate&lt;AH57,"-",DATEDIF(AH57,AsOfDate,"y")&amp;"y "&amp;DATEDIF(AH57,AsOfDate,"ym")&amp;"m "&amp;DATEDIF(AH57,AsOfDate,"md")&amp;"d"))</f>
        <v/>
      </c>
      <c r="N57" s="15" t="str">
        <f aca="false">IF(AG57=0,"",O57*HoursPerDay)</f>
        <v/>
      </c>
      <c r="O57" s="15" t="str">
        <f aca="false">IF(AG57=0,"",AZ57)</f>
        <v/>
      </c>
      <c r="P57" s="16"/>
      <c r="Q57" s="14" t="str">
        <f aca="false">IF(AG57=0,"",IF(AI57&lt;2,"",AM57&amp;" to "&amp;AN57&amp;" on "&amp;TEXT(AK57,"dd/mm/yyyy")&amp;IF(AK57&gt;AsOfDate," (future)",IF(AP57=AQ57,"",IF(AQ57="None"," - STOPPED accruing",IF(AP57="None"," - commencement for Bonus Leave"," - pathway changed"))))&amp;IF(AI57&lt;3,"","; "&amp;AN57&amp;" to "&amp;AO57&amp;" on "&amp;TEXT(AL57,"dd/mm/yyyy")&amp;IF(AL57&gt;AsOfDate," (future)",IF(AQ57=AR57,"",IF(AR57="None"," - STOPPED accruing",IF(AQ57="None"," - commencement for Bonus Leave"," - pathway changed")))))))</f>
        <v/>
      </c>
      <c r="R57" s="14" t="str">
        <f aca="false">IF(AG57=0,"",IF(AS57="None",IF(O57&gt;0,"No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2" t="str">
        <f aca="false">IF(AG57=0,"",IF(AS57="None","",EDATE(AH57,BB57)))</f>
        <v/>
      </c>
      <c r="T57" s="15" t="str">
        <f aca="false">IF(AG57=0,"",IF(NOT(LH_Ready),"",IF(AH57&gt;PFYDate,0,IF(LH_ColPeriod=0,W57-U57+V57,SUMIFS(INDEX(LH_Data,0,LH_ColAcc),INDEX(LH_Data,0,LH_ColFirst),$A57,INDEX(LH_Data,0,LH_ColSur),$B57,INDEX(LH_Data,0,LH_ColCat),BonusCat,INDEX(LH_Data,0,LH_ColPeriod),LH_OpenLabel)*UnitFactor))))</f>
        <v/>
      </c>
      <c r="U57" s="15" t="str">
        <f aca="false">IF(AG57=0,"",IF(NOT(LH_Ready),"",SUMIFS(INDEX(LH_Data,0,LH_ColAcc),INDEX(LH_Data,0,LH_ColFirst),$A57,INDEX(LH_Data,0,LH_ColSur),$B57,INDEX(LH_Data,0,LH_ColCat),BonusCat,INDEX(LH_Data,0,LH_ColStart),"&gt;="&amp;AH57)*UnitFactor))</f>
        <v/>
      </c>
      <c r="V57" s="15" t="str">
        <f aca="false">IF(AG57=0,"",IF(NOT(LH_Ready),"",SUMIFS(INDEX(LH_Data,0,LH_ColTaken),INDEX(LH_Data,0,LH_ColFirst),$A57,INDEX(LH_Data,0,LH_ColSur),$B57,INDEX(LH_Data,0,LH_ColCat),BonusCat,INDEX(LH_Data,0,LH_ColStart),"&gt;="&amp;AH57)*UnitFactor))</f>
        <v/>
      </c>
      <c r="W57" s="15" t="str">
        <f aca="false">IF(AG57=0,"",IF(NOT(LH_Ready),"",IF(BD57=0,0,INDEX(INDEX(LH_Data,0,LH_ColClose),BD57-1)*UnitFactor)))</f>
        <v/>
      </c>
      <c r="X57" s="15" t="str">
        <f aca="false">IF(AG57=0,"",(AZ57-BA57)*HoursPerDay)</f>
        <v/>
      </c>
      <c r="Y57" s="15" t="str">
        <f aca="false">IF(AG57=0,"",IF(NOT(LH_Ready),"",IF(BC57=0,N57,IF(PFYDate&lt;$F57,N57-N(T57)-N(U57),X57-N(U57)))))</f>
        <v/>
      </c>
      <c r="Z57" s="14" t="str">
        <f aca="false">IF(OR(AG57=0,Y57=""),"",IF(Y57&gt;0,"Yes","No"))</f>
        <v/>
      </c>
      <c r="AA57" s="14" t="str">
        <f aca="false">IF(AG57=0,IF(LEN($A57&amp;$B57)=0,"","FIX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month")&amp;IF(BC57=0,";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EH)",""),IF(AS57="None",R57,"Not yet - first day on "&amp;TEXT(S57,"dd/mm/yyyy")))))))))</f>
        <v/>
      </c>
      <c r="AB57" s="15" t="str">
        <f aca="false">IF(OR(AG57=0,T57=""),"",BA57*HoursPerDay-T57)</f>
        <v/>
      </c>
      <c r="AC57" s="14" t="str">
        <f aca="false">IF(AG57=0,"",BC57)</f>
        <v/>
      </c>
      <c r="AD57" s="14" t="str">
        <f aca="false">IF(AG57=0,"",TRIM(IF(OR(ISTEXT($F57),ISTEXT($H57),ISTEXT($I57),ISTEXT($G57),ISTEXT($J57),ISTEXT($D57)),"A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I57&gt;=1,IF(AI57&gt;=3,AO57,IF(AI57=2,AN57,AM57))&lt;&gt;IF($C57="","",IF(OR(ISNUMBER(SEARCH("full",$C57)),UPPER(TRIM($C57))="FT",UPPER(TRIM($C57))="FTE"),"Full-Time",IF(OR(ISNUMBER(SEARCH("part",$C57)),UPPER(TRIM($C57))="PT",UPPER(TRIM($C57))="PTE"),"Part-Time",IF(OR(ISNUMBER(SEARCH("cas",$C57)),UPPER(TRIM($C57))="CAS"),"Casual","Unknown"))))),"EmploymentType does not match latest start date ("&amp;IF(AI57&gt;=3,AO57,IF(AI57=2,AN57,AM57))&amp;"). ","")&amp;IF(AND(AI57&gt;=1,AJ57&lt;&gt;$F57),"Earliest type date should equal StartDate. ","")&amp;IF(AND(AI57&gt;=2,AJ57=AK57),"Two types start on the same date. ","")&amp;IF(AND(OR(ISNUMBER(SEARCH("part",$C57)),UPPER(TRIM($C57))="PT",UPPER(TRIM($C57))="PTE"),$P57=""),"Part-time: enter PT Hrs/Week (blank = 24+). ","")))</f>
        <v/>
      </c>
      <c r="AE57" s="15" t="str">
        <f aca="false">IF(AG57=0,"",O57-BH57)</f>
        <v/>
      </c>
      <c r="AF57" s="12" t="str">
        <f aca="false">IF(OR(AG57=0,AE57="",N(AE57)=0,BI57=""),"",EDATE(AH57,BI57))</f>
        <v/>
      </c>
      <c r="AG57" s="14" t="n">
        <f aca="false">IF(OR(LEN($A57&amp;$B57)=0,$F57=""),0,1)</f>
        <v>0</v>
      </c>
      <c r="AH57" s="12" t="str">
        <f aca="false">IF(AG57=0,"",IF($J57&lt;&gt;"",$J57,IF(OR(CasualCounts="Yes",COUNT($G57:$I57)=0,COUNT($H57:$I57)=0),$F57,MIN($H57:$I57))))</f>
        <v/>
      </c>
      <c r="AI57" s="14" t="str">
        <f aca="false">IF(AG57=0,"",COUNT($G57:$I57))</f>
        <v/>
      </c>
      <c r="AJ57" s="12" t="str">
        <f aca="false">IF(AG57=0,"",IFERROR(SMALL($G57:$I57,1),""))</f>
        <v/>
      </c>
      <c r="AK57" s="12" t="str">
        <f aca="false">IF(AG57=0,"",IFERROR(SMALL($G57:$I57,2),""))</f>
        <v/>
      </c>
      <c r="AL57" s="12" t="str">
        <f aca="false">IF(AG57=0,"",IFERROR(SMALL($G57:$I57,3),""))</f>
        <v/>
      </c>
      <c r="AM57" s="14" t="str">
        <f aca="false">IF(AG57=0,"",IF(AJ57="","",IF(AJ57=$H57,"Part-Time",IF(AJ57=$I57,"Full-Time","Casual"))))</f>
        <v/>
      </c>
      <c r="AN57" s="14" t="str">
        <f aca="false">IF(AG57=0,"",IF(AK57="","",IF(AK57=$H57,"Part-Time",IF(AK57=$I57,"Full-Time","Casual"))))</f>
        <v/>
      </c>
      <c r="AO57" s="14" t="str">
        <f aca="false">IF(AG57=0,"",IF(AL57="","",IF(AL57=$H57,"Part-Time",IF(AL57=$I57,"Full-Time","Casual"))))</f>
        <v/>
      </c>
      <c r="AP57" s="14" t="str">
        <f aca="false">IF(AG57=0,"",IF(AI57=0,IF(OR(ISNUMBER(SEARCH("full",$C57)),UPPER(TRIM($C57))="FT",UPPER(TRIM($C57))="FTE"),"FT",IF(AND(OR(ISNUMBER(SEARCH("part",$C57)),UPPER(TRIM($C57))="PT",UPPER(TRIM($C57))="PTE"),OR($P57="",N($P57)&gt;=PT_MinHours)),"PT","None")),IF(OR(ISNUMBER(SEARCH("full",AM57)),UPPER(TRIM(AM57))="FT",UPPER(TRIM(AM57))="FTE"),"FT",IF(AND(OR(ISNUMBER(SEARCH("part",AM57)),UPPER(TRIM(AM57))="PT",UPPER(TRIM(AM57))="PTE"),OR($P57="",N($P57)&gt;=PT_MinHours)),"PT","None"))))</f>
        <v/>
      </c>
      <c r="AQ57" s="14" t="str">
        <f aca="false">IF(AG57=0,"",IF(AI57&lt;2,"",IF(OR(ISNUMBER(SEARCH("full",AN57)),UPPER(TRIM(AN57))="FT",UPPER(TRIM(AN57))="FTE"),"FT",IF(AND(OR(ISNUMBER(SEARCH("part",AN57)),UPPER(TRIM(AN57))="PT",UPPER(TRIM(AN57))="PTE"),OR($P57="",N($P57)&gt;=PT_MinHours)),"PT","None"))))</f>
        <v/>
      </c>
      <c r="AR57" s="14" t="str">
        <f aca="false">IF(AG57=0,"",IF(AI57&lt;3,"",IF(OR(ISNUMBER(SEARCH("full",AO57)),UPPER(TRIM(AO57))="FT",UPPER(TRIM(AO57))="FTE"),"FT",IF(AND(OR(ISNUMBER(SEARCH("part",AO57)),UPPER(TRIM(AO57))="PT",UPPER(TRIM(AO57))="PTE"),OR($P57="",N($P57)&gt;=PT_MinHours)),"PT","None"))))</f>
        <v/>
      </c>
      <c r="AS57" s="14" t="str">
        <f aca="false">IF(AG57=0,"",IF(AND(AI57&gt;=3,AL57&lt;=AsOfDate),AR57,IF(AND(AI57&gt;=2,AK57&lt;=AsOfDate),AQ57,AP57)))</f>
        <v/>
      </c>
      <c r="AT57" s="14" t="str">
        <f aca="false">IF(AG57=0,"",IF(AsOfDate&lt;AH57,-1,12*(YEAR(AsOfDate)-YEAR(AH57))+MONTH(AsOfDate)-MONTH(AH57)-IF(DAY(AsOfDate)&lt;MIN(DAY(AH57),DAY(EOMONTH(AsOfDate,0))),1,0)))</f>
        <v/>
      </c>
      <c r="AU57" s="14" t="str">
        <f aca="false">IF(AG57=0,"",IF(OR(AI57&lt;2,AK57&gt;AsOfDate),AT57,IF((AK57-1)&lt;AH57,-1,12*(YEAR((AK57-1))-YEAR(AH57))+MONTH((AK57-1))-MONTH(AH57)-IF(DAY((AK57-1))&lt;MIN(DAY(AH57),DAY(EOMONTH((AK57-1),0))),1,0))))</f>
        <v/>
      </c>
      <c r="AV57" s="14" t="str">
        <f aca="false">IF(AG57=0,"",IF(OR(AI57&lt;3,AL57&gt;AsOfDate),AT57,IF((AL57-1)&lt;AH57,-1,12*(YEAR((AL57-1))-YEAR(AH57))+MONTH((AL57-1))-MONTH(AH57)-IF(DAY((AL57-1))&lt;MIN(DAY(AH57),DAY(EOMONTH((AL57-1),0))),1,0))))</f>
        <v/>
      </c>
      <c r="AW57" s="14" t="str">
        <f aca="false">IF(AG57=0,"",IF(PFYDate&lt;AH57,-1,12*(YEAR(PFYDate)-YEAR(AH57))+MONTH(PFYDate)-MONTH(AH57)-IF(DAY(PFYDate)&lt;MIN(DAY(AH57),DAY(EOMONTH(PFYDate,0))),1,0)))</f>
        <v/>
      </c>
      <c r="AX57" s="14" t="str">
        <f aca="false">IF(AG57=0,"",IF(OR(AI57&lt;2,AK57&gt;PFYDate),AW57,IF((AK57-1)&lt;AH57,-1,12*(YEAR((AK57-1))-YEAR(AH57))+MONTH((AK57-1))-MONTH(AH57)-IF(DAY((AK57-1))&lt;MIN(DAY(AH57),DAY(EOMONTH((AK57-1),0))),1,0))))</f>
        <v/>
      </c>
      <c r="AY57" s="14" t="str">
        <f aca="false">IF(AG57=0,"",IF(OR(AI57&lt;3,AL57&gt;PFYDate),AW57,IF((AL57-1)&lt;AH57,-1,12*(YEAR((AL57-1))-YEAR(AH57))+MONTH((AL57-1))-MONTH(AH57)-IF(DAY((AL57-1))&lt;MIN(DAY(AH57),DAY(EOMONTH((AL57-1),0))),1,0))))</f>
        <v/>
      </c>
      <c r="AZ57" s="14" t="str">
        <f aca="false">IF(AG57=0,"",IF(AP57="FT",IF(AU57&lt;FT_First,0,IF(AU57&lt;FT_Y5,1+INT((AU57-FT_First)/FT_Int1),FT_PreY5+FT_PerYear*INT((AU57-FT_Y5)/12)+FT_AnnivDays+INT(MOD(AU57-FT_Y5,12)/FT_Int2))),IF(AP57="PT",IF(AU57&lt;PT_First,0,1+INT((AU57-PT_First)/PT_Int)),0))+IF(AND(AI57&gt;=2,AK57&lt;=AsOfDate),IF(AQ57="FT",IF(AV57&lt;FT_First,0,IF(AV57&lt;FT_Y5,1+INT((AV57-FT_First)/FT_Int1),FT_PreY5+FT_PerYear*INT((AV57-FT_Y5)/12)+FT_AnnivDays+INT(MOD(AV57-FT_Y5,12)/FT_Int2))),IF(AQ57="PT",IF(AV57&lt;PT_First,0,1+INT((AV57-PT_First)/PT_Int)),0))-IF(AQ57="FT",IF(AU57&lt;FT_First,0,IF(AU57&lt;FT_Y5,1+INT((AU57-FT_First)/FT_Int1),FT_PreY5+FT_PerYear*INT((AU57-FT_Y5)/12)+FT_AnnivDays+INT(MOD(AU57-FT_Y5,12)/FT_Int2))),IF(AQ57="PT",IF(AU57&lt;PT_First,0,1+INT((AU57-PT_First)/PT_Int)),0)),0)+IF(AND(AI57&gt;=3,AL57&lt;=AsOfDate),IF(AR57="FT",IF(AT57&lt;FT_First,0,IF(AT57&lt;FT_Y5,1+INT((AT57-FT_First)/FT_Int1),FT_PreY5+FT_PerYear*INT((AT57-FT_Y5)/12)+FT_AnnivDays+INT(MOD(AT57-FT_Y5,12)/FT_Int2))),IF(AR57="PT",IF(AT57&lt;PT_First,0,1+INT((AT57-PT_First)/PT_Int)),0))-IF(AR57="FT",IF(AV57&lt;FT_First,0,IF(AV57&lt;FT_Y5,1+INT((AV57-FT_First)/FT_Int1),FT_PreY5+FT_PerYear*INT((AV57-FT_Y5)/12)+FT_AnnivDays+INT(MOD(AV57-FT_Y5,12)/FT_Int2))),IF(AR57="PT",IF(AV57&lt;PT_First,0,1+INT((AV57-PT_First)/PT_Int)),0)),0))</f>
        <v/>
      </c>
      <c r="BA57" s="14" t="str">
        <f aca="false">IF(AG57=0,"",IF(AP57="FT",IF(AX57&lt;FT_First,0,IF(AX57&lt;FT_Y5,1+INT((AX57-FT_First)/FT_Int1),FT_PreY5+FT_PerYear*INT((AX57-FT_Y5)/12)+FT_AnnivDays+INT(MOD(AX57-FT_Y5,12)/FT_Int2))),IF(AP57="PT",IF(AX57&lt;PT_First,0,1+INT((AX57-PT_First)/PT_Int)),0))+IF(AND(AI57&gt;=2,AK57&lt;=PFYDate),IF(AQ57="FT",IF(AY57&lt;FT_First,0,IF(AY57&lt;FT_Y5,1+INT((AY57-FT_First)/FT_Int1),FT_PreY5+FT_PerYear*INT((AY57-FT_Y5)/12)+FT_AnnivDays+INT(MOD(AY57-FT_Y5,12)/FT_Int2))),IF(AQ57="PT",IF(AY57&lt;PT_First,0,1+INT((AY57-PT_First)/PT_Int)),0))-IF(AQ57="FT",IF(AX57&lt;FT_First,0,IF(AX57&lt;FT_Y5,1+INT((AX57-FT_First)/FT_Int1),FT_PreY5+FT_PerYear*INT((AX57-FT_Y5)/12)+FT_AnnivDays+INT(MOD(AX57-FT_Y5,12)/FT_Int2))),IF(AQ57="PT",IF(AX57&lt;PT_First,0,1+INT((AX57-PT_First)/PT_Int)),0)),0)+IF(AND(AI57&gt;=3,AL57&lt;=PFYDate),IF(AR57="FT",IF(AW57&lt;FT_First,0,IF(AW57&lt;FT_Y5,1+INT((AW57-FT_First)/FT_Int1),FT_PreY5+FT_PerYear*INT((AW57-FT_Y5)/12)+FT_AnnivDays+INT(MOD(AW57-FT_Y5,12)/FT_Int2))),IF(AR57="PT",IF(AW57&lt;PT_First,0,1+INT((AW57-PT_First)/PT_Int)),0))-IF(AR57="FT",IF(AY57&lt;FT_First,0,IF(AY57&lt;FT_Y5,1+INT((AY57-FT_First)/FT_Int1),FT_PreY5+FT_PerYear*INT((AY57-FT_Y5)/12)+FT_AnnivDays+INT(MOD(AY57-FT_Y5,12)/FT_Int2))),IF(AR57="PT",IF(AY57&lt;PT_First,0,1+INT((AY57-PT_First)/PT_Int)),0)),0))</f>
        <v/>
      </c>
      <c r="BB57" s="14" t="str">
        <f aca="false">IF(AG57=0,"",IF(AS57="FT",IF(AT57&lt;FT_First,FT_First,IF(AT57&lt;FT_Y5,MIN(FT_Y5,FT_First+FT_Int1*(INT((AT57-FT_First)/FT_Int1)+1)),FT_Y5+12*INT((AT57-FT_Y5)/12)+FT_Int2*(INT(MOD(AT57-FT_Y5,12)/FT_Int2)+1))),IF(AS57="PT",IF(AT57&lt;PT_First,PT_First,PT_First+PT_Int*(INT((AT57-PT_First)/PT_Int)+1)),"")))</f>
        <v/>
      </c>
      <c r="BC57" s="14" t="str">
        <f aca="false">IF(AG57=0,"",IF(NOT(LH_Ready),0,COUNTIFS(INDEX(LH_Data,0,LH_ColFirst),$A57,INDEX(LH_Data,0,LH_ColSur),$B57,INDEX(LH_Data,0,LH_ColCat),BonusCat)))</f>
        <v/>
      </c>
      <c r="BD57" s="14" t="str">
        <f aca="false">IF(AG57=0,"",IF(OR(NOT(LH_Ready),BC57=0),0,SUMPRODUCT(MAX((INDEX(LH_Data,0,LH_ColFirst)=$A57)*(INDEX(LH_Data,0,LH_ColSur)=$B57)*(INDEX(LH_Data,0,LH_ColCat)=BonusCat)*ROW(LH_Data)))))</f>
        <v/>
      </c>
      <c r="BE57" s="14" t="str">
        <f aca="false">IF(AG57=0,"",IF(EOMONTH(AsOfDate,-1)&lt;AH57,-1,12*(YEAR(EOMONTH(AsOfDate,-1))-YEAR(AH57))+MONTH(EOMONTH(AsOfDate,-1))-MONTH(AH57)-IF(DAY(EOMONTH(AsOfDate,-1))&lt;MIN(DAY(AH57),DAY(EOMONTH(EOMONTH(AsOfDate,-1),0))),1,0)))</f>
        <v/>
      </c>
      <c r="BF57" s="14" t="str">
        <f aca="false">IF(AG57=0,"",IF(OR(AI57&lt;2,AK57&gt;EOMONTH(AsOfDate,-1)),BE57,IF((AK57-1)&lt;AH57,-1,12*(YEAR((AK57-1))-YEAR(AH57))+MONTH((AK57-1))-MONTH(AH57)-IF(DAY((AK57-1))&lt;MIN(DAY(AH57),DAY(EOMONTH((AK57-1),0))),1,0))))</f>
        <v/>
      </c>
      <c r="BG57" s="14" t="str">
        <f aca="false">IF(AG57=0,"",IF(OR(AI57&lt;3,AL57&gt;EOMONTH(AsOfDate,-1)),BE57,IF((AL57-1)&lt;AH57,-1,12*(YEAR((AL57-1))-YEAR(AH57))+MONTH((AL57-1))-MONTH(AH57)-IF(DAY((AL57-1))&lt;MIN(DAY(AH57),DAY(EOMONTH((AL57-1),0))),1,0))))</f>
        <v/>
      </c>
      <c r="BH57" s="14" t="str">
        <f aca="false">IF(AG57=0,"",IF(AP57="FT",IF(BF57&lt;FT_First,0,IF(BF57&lt;FT_Y5,1+INT((BF57-FT_First)/FT_Int1),FT_PreY5+FT_PerYear*INT((BF57-FT_Y5)/12)+FT_AnnivDays+INT(MOD(BF57-FT_Y5,12)/FT_Int2))),IF(AP57="PT",IF(BF57&lt;PT_First,0,1+INT((BF57-PT_First)/PT_Int)),0))+IF(AND(AI57&gt;=2,AK57&lt;=EOMONTH(AsOfDate,-1)),IF(AQ57="FT",IF(BG57&lt;FT_First,0,IF(BG57&lt;FT_Y5,1+INT((BG57-FT_First)/FT_Int1),FT_PreY5+FT_PerYear*INT((BG57-FT_Y5)/12)+FT_AnnivDays+INT(MOD(BG57-FT_Y5,12)/FT_Int2))),IF(AQ57="PT",IF(BG57&lt;PT_First,0,1+INT((BG57-PT_First)/PT_Int)),0))-IF(AQ57="FT",IF(BF57&lt;FT_First,0,IF(BF57&lt;FT_Y5,1+INT((BF57-FT_First)/FT_Int1),FT_PreY5+FT_PerYear*INT((BF57-FT_Y5)/12)+FT_AnnivDays+INT(MOD(BF57-FT_Y5,12)/FT_Int2))),IF(AQ57="PT",IF(BF57&lt;PT_First,0,1+INT((BF57-PT_First)/PT_Int)),0)),0)+IF(AND(AI57&gt;=3,AL57&lt;=EOMONTH(AsOfDate,-1)),IF(AR57="FT",IF(BE57&lt;FT_First,0,IF(BE57&lt;FT_Y5,1+INT((BE57-FT_First)/FT_Int1),FT_PreY5+FT_PerYear*INT((BE57-FT_Y5)/12)+FT_AnnivDays+INT(MOD(BE57-FT_Y5,12)/FT_Int2))),IF(AR57="PT",IF(BE57&lt;PT_First,0,1+INT((BE57-PT_First)/PT_Int)),0))-IF(AR57="FT",IF(BG57&lt;FT_First,0,IF(BG57&lt;FT_Y5,1+INT((BG57-FT_First)/FT_Int1),FT_PreY5+FT_PerYear*INT((BG57-FT_Y5)/12)+FT_AnnivDays+INT(MOD(BG57-FT_Y5,12)/FT_Int2))),IF(AR57="PT",IF(BG57&lt;PT_First,0,1+INT((BG57-PT_First)/PT_Int)),0)),0))</f>
        <v/>
      </c>
      <c r="BI57" s="14" t="str">
        <f aca="false">IF(AG57=0,"",IF(AS57="FT",IF(AT57&lt;FT_First,"",IF(AT57&lt;FT_Y5,FT_First+FT_Int1*INT((AT57-FT_First)/FT_Int1),FT_Y5+FT_Int2*INT((AT57-FT_Y5)/FT_Int2))),IF(AS57="PT",IF(AT57&lt;PT_First,"",PT_First+PT_Int*INT((AT57-PT_First)/PT_Int)),"")))</f>
        <v/>
      </c>
      <c r="BJ57" s="0" t="str">
        <f aca="false">IF(LEN($A57&amp;$B57)=0,"",$A57&amp;" "&amp;$B57)</f>
        <v/>
      </c>
    </row>
    <row r="58" customFormat="false" ht="15" hidden="false" customHeight="false" outlineLevel="0" collapsed="false">
      <c r="A58" s="10"/>
      <c r="B58" s="10"/>
      <c r="C58" s="10"/>
      <c r="D58" s="11"/>
      <c r="E58" s="12" t="str">
        <f aca="false">IF(OR(AG58=0,$D58=""),"",DATE(YEAR(AsOfDate)+IF(DATE(YEAR(AsOfDate),MONTH($D58),DAY($D58))&lt;=AsOfDate,1,0),MONTH($D58),DAY($D58)))</f>
        <v/>
      </c>
      <c r="F58" s="11"/>
      <c r="G58" s="11"/>
      <c r="H58" s="11"/>
      <c r="I58" s="11"/>
      <c r="J58" s="11"/>
      <c r="K58" s="12" t="str">
        <f aca="false">IF(AG58=0,"",DATE(YEAR(AsOfDate)+IF(DATE(YEAR(AsOfDate),MONTH(AH58),DAY(AH58))&lt;=AsOfDate,1,0),MONTH(AH58),DAY(AH58)))</f>
        <v/>
      </c>
      <c r="L58" s="13" t="str">
        <f aca="false">IF(AG58=0,"",ROUND((AsOfDate-AH58)/365.25,1))</f>
        <v/>
      </c>
      <c r="M58" s="14" t="str">
        <f aca="false">IF(AG58=0,"",IF(AsOfDate&lt;AH58,"-",DATEDIF(AH58,AsOfDate,"y")&amp;"y "&amp;DATEDIF(AH58,AsOfDate,"ym")&amp;"m "&amp;DATEDIF(AH58,AsOfDate,"md")&amp;"d"))</f>
        <v/>
      </c>
      <c r="N58" s="15" t="str">
        <f aca="false">IF(AG58=0,"",O58*HoursPerDay)</f>
        <v/>
      </c>
      <c r="O58" s="15" t="str">
        <f aca="false">IF(AG58=0,"",AZ58)</f>
        <v/>
      </c>
      <c r="P58" s="16"/>
      <c r="Q58" s="14" t="str">
        <f aca="false">IF(AG58=0,"",IF(AI58&lt;2,"",AM58&amp;" to "&amp;AN58&amp;" on "&amp;TEXT(AK58,"dd/mm/yyyy")&amp;IF(AK58&gt;AsOfDate," (future)",IF(AP58=AQ58,"",IF(AQ58="None"," - STOPPED accruing",IF(AP58="None"," - commencement for Bonus Leave"," - pathway changed"))))&amp;IF(AI58&lt;3,"","; "&amp;AN58&amp;" to "&amp;AO58&amp;" on "&amp;TEXT(AL58,"dd/mm/yyyy")&amp;IF(AL58&gt;AsOfDate," (future)",IF(AQ58=AR58,"",IF(AR58="None"," - STOPPED accruing",IF(AQ58="None"," - commencement for Bonus Leave"," - pathway changed")))))))</f>
        <v/>
      </c>
      <c r="R58" s="14" t="str">
        <f aca="false">IF(AG58=0,"",IF(AS58="None",IF(O58&gt;0,"No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2" t="str">
        <f aca="false">IF(AG58=0,"",IF(AS58="None","",EDATE(AH58,BB58)))</f>
        <v/>
      </c>
      <c r="T58" s="15" t="str">
        <f aca="false">IF(AG58=0,"",IF(NOT(LH_Ready),"",IF(AH58&gt;PFYDate,0,IF(LH_ColPeriod=0,W58-U58+V58,SUMIFS(INDEX(LH_Data,0,LH_ColAcc),INDEX(LH_Data,0,LH_ColFirst),$A58,INDEX(LH_Data,0,LH_ColSur),$B58,INDEX(LH_Data,0,LH_ColCat),BonusCat,INDEX(LH_Data,0,LH_ColPeriod),LH_OpenLabel)*UnitFactor))))</f>
        <v/>
      </c>
      <c r="U58" s="15" t="str">
        <f aca="false">IF(AG58=0,"",IF(NOT(LH_Ready),"",SUMIFS(INDEX(LH_Data,0,LH_ColAcc),INDEX(LH_Data,0,LH_ColFirst),$A58,INDEX(LH_Data,0,LH_ColSur),$B58,INDEX(LH_Data,0,LH_ColCat),BonusCat,INDEX(LH_Data,0,LH_ColStart),"&gt;="&amp;AH58)*UnitFactor))</f>
        <v/>
      </c>
      <c r="V58" s="15" t="str">
        <f aca="false">IF(AG58=0,"",IF(NOT(LH_Ready),"",SUMIFS(INDEX(LH_Data,0,LH_ColTaken),INDEX(LH_Data,0,LH_ColFirst),$A58,INDEX(LH_Data,0,LH_ColSur),$B58,INDEX(LH_Data,0,LH_ColCat),BonusCat,INDEX(LH_Data,0,LH_ColStart),"&gt;="&amp;AH58)*UnitFactor))</f>
        <v/>
      </c>
      <c r="W58" s="15" t="str">
        <f aca="false">IF(AG58=0,"",IF(NOT(LH_Ready),"",IF(BD58=0,0,INDEX(INDEX(LH_Data,0,LH_ColClose),BD58-1)*UnitFactor)))</f>
        <v/>
      </c>
      <c r="X58" s="15" t="str">
        <f aca="false">IF(AG58=0,"",(AZ58-BA58)*HoursPerDay)</f>
        <v/>
      </c>
      <c r="Y58" s="15" t="str">
        <f aca="false">IF(AG58=0,"",IF(NOT(LH_Ready),"",IF(BC58=0,N58,IF(PFYDate&lt;$F58,N58-N(T58)-N(U58),X58-N(U58)))))</f>
        <v/>
      </c>
      <c r="Z58" s="14" t="str">
        <f aca="false">IF(OR(AG58=0,Y58=""),"",IF(Y58&gt;0,"Yes","No"))</f>
        <v/>
      </c>
      <c r="AA58" s="14" t="str">
        <f aca="false">IF(AG58=0,IF(LEN($A58&amp;$B58)=0,"","FIX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month")&amp;IF(BC58=0,";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EH)",""),IF(AS58="None",R58,"Not yet - first day on "&amp;TEXT(S58,"dd/mm/yyyy")))))))))</f>
        <v/>
      </c>
      <c r="AB58" s="15" t="str">
        <f aca="false">IF(OR(AG58=0,T58=""),"",BA58*HoursPerDay-T58)</f>
        <v/>
      </c>
      <c r="AC58" s="14" t="str">
        <f aca="false">IF(AG58=0,"",BC58)</f>
        <v/>
      </c>
      <c r="AD58" s="14" t="str">
        <f aca="false">IF(AG58=0,"",TRIM(IF(OR(ISTEXT($F58),ISTEXT($H58),ISTEXT($I58),ISTEXT($G58),ISTEXT($J58),ISTEXT($D58)),"A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I58&gt;=1,IF(AI58&gt;=3,AO58,IF(AI58=2,AN58,AM58))&lt;&gt;IF($C58="","",IF(OR(ISNUMBER(SEARCH("full",$C58)),UPPER(TRIM($C58))="FT",UPPER(TRIM($C58))="FTE"),"Full-Time",IF(OR(ISNUMBER(SEARCH("part",$C58)),UPPER(TRIM($C58))="PT",UPPER(TRIM($C58))="PTE"),"Part-Time",IF(OR(ISNUMBER(SEARCH("cas",$C58)),UPPER(TRIM($C58))="CAS"),"Casual","Unknown"))))),"EmploymentType does not match latest start date ("&amp;IF(AI58&gt;=3,AO58,IF(AI58=2,AN58,AM58))&amp;"). ","")&amp;IF(AND(AI58&gt;=1,AJ58&lt;&gt;$F58),"Earliest type date should equal StartDate. ","")&amp;IF(AND(AI58&gt;=2,AJ58=AK58),"Two types start on the same date. ","")&amp;IF(AND(OR(ISNUMBER(SEARCH("part",$C58)),UPPER(TRIM($C58))="PT",UPPER(TRIM($C58))="PTE"),$P58=""),"Part-time: enter PT Hrs/Week (blank = 24+). ","")))</f>
        <v/>
      </c>
      <c r="AE58" s="15" t="str">
        <f aca="false">IF(AG58=0,"",O58-BH58)</f>
        <v/>
      </c>
      <c r="AF58" s="12" t="str">
        <f aca="false">IF(OR(AG58=0,AE58="",N(AE58)=0,BI58=""),"",EDATE(AH58,BI58))</f>
        <v/>
      </c>
      <c r="AG58" s="14" t="n">
        <f aca="false">IF(OR(LEN($A58&amp;$B58)=0,$F58=""),0,1)</f>
        <v>0</v>
      </c>
      <c r="AH58" s="12" t="str">
        <f aca="false">IF(AG58=0,"",IF($J58&lt;&gt;"",$J58,IF(OR(CasualCounts="Yes",COUNT($G58:$I58)=0,COUNT($H58:$I58)=0),$F58,MIN($H58:$I58))))</f>
        <v/>
      </c>
      <c r="AI58" s="14" t="str">
        <f aca="false">IF(AG58=0,"",COUNT($G58:$I58))</f>
        <v/>
      </c>
      <c r="AJ58" s="12" t="str">
        <f aca="false">IF(AG58=0,"",IFERROR(SMALL($G58:$I58,1),""))</f>
        <v/>
      </c>
      <c r="AK58" s="12" t="str">
        <f aca="false">IF(AG58=0,"",IFERROR(SMALL($G58:$I58,2),""))</f>
        <v/>
      </c>
      <c r="AL58" s="12" t="str">
        <f aca="false">IF(AG58=0,"",IFERROR(SMALL($G58:$I58,3),""))</f>
        <v/>
      </c>
      <c r="AM58" s="14" t="str">
        <f aca="false">IF(AG58=0,"",IF(AJ58="","",IF(AJ58=$H58,"Part-Time",IF(AJ58=$I58,"Full-Time","Casual"))))</f>
        <v/>
      </c>
      <c r="AN58" s="14" t="str">
        <f aca="false">IF(AG58=0,"",IF(AK58="","",IF(AK58=$H58,"Part-Time",IF(AK58=$I58,"Full-Time","Casual"))))</f>
        <v/>
      </c>
      <c r="AO58" s="14" t="str">
        <f aca="false">IF(AG58=0,"",IF(AL58="","",IF(AL58=$H58,"Part-Time",IF(AL58=$I58,"Full-Time","Casual"))))</f>
        <v/>
      </c>
      <c r="AP58" s="14" t="str">
        <f aca="false">IF(AG58=0,"",IF(AI58=0,IF(OR(ISNUMBER(SEARCH("full",$C58)),UPPER(TRIM($C58))="FT",UPPER(TRIM($C58))="FTE"),"FT",IF(AND(OR(ISNUMBER(SEARCH("part",$C58)),UPPER(TRIM($C58))="PT",UPPER(TRIM($C58))="PTE"),OR($P58="",N($P58)&gt;=PT_MinHours)),"PT","None")),IF(OR(ISNUMBER(SEARCH("full",AM58)),UPPER(TRIM(AM58))="FT",UPPER(TRIM(AM58))="FTE"),"FT",IF(AND(OR(ISNUMBER(SEARCH("part",AM58)),UPPER(TRIM(AM58))="PT",UPPER(TRIM(AM58))="PTE"),OR($P58="",N($P58)&gt;=PT_MinHours)),"PT","None"))))</f>
        <v/>
      </c>
      <c r="AQ58" s="14" t="str">
        <f aca="false">IF(AG58=0,"",IF(AI58&lt;2,"",IF(OR(ISNUMBER(SEARCH("full",AN58)),UPPER(TRIM(AN58))="FT",UPPER(TRIM(AN58))="FTE"),"FT",IF(AND(OR(ISNUMBER(SEARCH("part",AN58)),UPPER(TRIM(AN58))="PT",UPPER(TRIM(AN58))="PTE"),OR($P58="",N($P58)&gt;=PT_MinHours)),"PT","None"))))</f>
        <v/>
      </c>
      <c r="AR58" s="14" t="str">
        <f aca="false">IF(AG58=0,"",IF(AI58&lt;3,"",IF(OR(ISNUMBER(SEARCH("full",AO58)),UPPER(TRIM(AO58))="FT",UPPER(TRIM(AO58))="FTE"),"FT",IF(AND(OR(ISNUMBER(SEARCH("part",AO58)),UPPER(TRIM(AO58))="PT",UPPER(TRIM(AO58))="PTE"),OR($P58="",N($P58)&gt;=PT_MinHours)),"PT","None"))))</f>
        <v/>
      </c>
      <c r="AS58" s="14" t="str">
        <f aca="false">IF(AG58=0,"",IF(AND(AI58&gt;=3,AL58&lt;=AsOfDate),AR58,IF(AND(AI58&gt;=2,AK58&lt;=AsOfDate),AQ58,AP58)))</f>
        <v/>
      </c>
      <c r="AT58" s="14" t="str">
        <f aca="false">IF(AG58=0,"",IF(AsOfDate&lt;AH58,-1,12*(YEAR(AsOfDate)-YEAR(AH58))+MONTH(AsOfDate)-MONTH(AH58)-IF(DAY(AsOfDate)&lt;MIN(DAY(AH58),DAY(EOMONTH(AsOfDate,0))),1,0)))</f>
        <v/>
      </c>
      <c r="AU58" s="14" t="str">
        <f aca="false">IF(AG58=0,"",IF(OR(AI58&lt;2,AK58&gt;AsOfDate),AT58,IF((AK58-1)&lt;AH58,-1,12*(YEAR((AK58-1))-YEAR(AH58))+MONTH((AK58-1))-MONTH(AH58)-IF(DAY((AK58-1))&lt;MIN(DAY(AH58),DAY(EOMONTH((AK58-1),0))),1,0))))</f>
        <v/>
      </c>
      <c r="AV58" s="14" t="str">
        <f aca="false">IF(AG58=0,"",IF(OR(AI58&lt;3,AL58&gt;AsOfDate),AT58,IF((AL58-1)&lt;AH58,-1,12*(YEAR((AL58-1))-YEAR(AH58))+MONTH((AL58-1))-MONTH(AH58)-IF(DAY((AL58-1))&lt;MIN(DAY(AH58),DAY(EOMONTH((AL58-1),0))),1,0))))</f>
        <v/>
      </c>
      <c r="AW58" s="14" t="str">
        <f aca="false">IF(AG58=0,"",IF(PFYDate&lt;AH58,-1,12*(YEAR(PFYDate)-YEAR(AH58))+MONTH(PFYDate)-MONTH(AH58)-IF(DAY(PFYDate)&lt;MIN(DAY(AH58),DAY(EOMONTH(PFYDate,0))),1,0)))</f>
        <v/>
      </c>
      <c r="AX58" s="14" t="str">
        <f aca="false">IF(AG58=0,"",IF(OR(AI58&lt;2,AK58&gt;PFYDate),AW58,IF((AK58-1)&lt;AH58,-1,12*(YEAR((AK58-1))-YEAR(AH58))+MONTH((AK58-1))-MONTH(AH58)-IF(DAY((AK58-1))&lt;MIN(DAY(AH58),DAY(EOMONTH((AK58-1),0))),1,0))))</f>
        <v/>
      </c>
      <c r="AY58" s="14" t="str">
        <f aca="false">IF(AG58=0,"",IF(OR(AI58&lt;3,AL58&gt;PFYDate),AW58,IF((AL58-1)&lt;AH58,-1,12*(YEAR((AL58-1))-YEAR(AH58))+MONTH((AL58-1))-MONTH(AH58)-IF(DAY((AL58-1))&lt;MIN(DAY(AH58),DAY(EOMONTH((AL58-1),0))),1,0))))</f>
        <v/>
      </c>
      <c r="AZ58" s="14" t="str">
        <f aca="false">IF(AG58=0,"",IF(AP58="FT",IF(AU58&lt;FT_First,0,IF(AU58&lt;FT_Y5,1+INT((AU58-FT_First)/FT_Int1),FT_PreY5+FT_PerYear*INT((AU58-FT_Y5)/12)+FT_AnnivDays+INT(MOD(AU58-FT_Y5,12)/FT_Int2))),IF(AP58="PT",IF(AU58&lt;PT_First,0,1+INT((AU58-PT_First)/PT_Int)),0))+IF(AND(AI58&gt;=2,AK58&lt;=AsOfDate),IF(AQ58="FT",IF(AV58&lt;FT_First,0,IF(AV58&lt;FT_Y5,1+INT((AV58-FT_First)/FT_Int1),FT_PreY5+FT_PerYear*INT((AV58-FT_Y5)/12)+FT_AnnivDays+INT(MOD(AV58-FT_Y5,12)/FT_Int2))),IF(AQ58="PT",IF(AV58&lt;PT_First,0,1+INT((AV58-PT_First)/PT_Int)),0))-IF(AQ58="FT",IF(AU58&lt;FT_First,0,IF(AU58&lt;FT_Y5,1+INT((AU58-FT_First)/FT_Int1),FT_PreY5+FT_PerYear*INT((AU58-FT_Y5)/12)+FT_AnnivDays+INT(MOD(AU58-FT_Y5,12)/FT_Int2))),IF(AQ58="PT",IF(AU58&lt;PT_First,0,1+INT((AU58-PT_First)/PT_Int)),0)),0)+IF(AND(AI58&gt;=3,AL58&lt;=AsOfDate),IF(AR58="FT",IF(AT58&lt;FT_First,0,IF(AT58&lt;FT_Y5,1+INT((AT58-FT_First)/FT_Int1),FT_PreY5+FT_PerYear*INT((AT58-FT_Y5)/12)+FT_AnnivDays+INT(MOD(AT58-FT_Y5,12)/FT_Int2))),IF(AR58="PT",IF(AT58&lt;PT_First,0,1+INT((AT58-PT_First)/PT_Int)),0))-IF(AR58="FT",IF(AV58&lt;FT_First,0,IF(AV58&lt;FT_Y5,1+INT((AV58-FT_First)/FT_Int1),FT_PreY5+FT_PerYear*INT((AV58-FT_Y5)/12)+FT_AnnivDays+INT(MOD(AV58-FT_Y5,12)/FT_Int2))),IF(AR58="PT",IF(AV58&lt;PT_First,0,1+INT((AV58-PT_First)/PT_Int)),0)),0))</f>
        <v/>
      </c>
      <c r="BA58" s="14" t="str">
        <f aca="false">IF(AG58=0,"",IF(AP58="FT",IF(AX58&lt;FT_First,0,IF(AX58&lt;FT_Y5,1+INT((AX58-FT_First)/FT_Int1),FT_PreY5+FT_PerYear*INT((AX58-FT_Y5)/12)+FT_AnnivDays+INT(MOD(AX58-FT_Y5,12)/FT_Int2))),IF(AP58="PT",IF(AX58&lt;PT_First,0,1+INT((AX58-PT_First)/PT_Int)),0))+IF(AND(AI58&gt;=2,AK58&lt;=PFYDate),IF(AQ58="FT",IF(AY58&lt;FT_First,0,IF(AY58&lt;FT_Y5,1+INT((AY58-FT_First)/FT_Int1),FT_PreY5+FT_PerYear*INT((AY58-FT_Y5)/12)+FT_AnnivDays+INT(MOD(AY58-FT_Y5,12)/FT_Int2))),IF(AQ58="PT",IF(AY58&lt;PT_First,0,1+INT((AY58-PT_First)/PT_Int)),0))-IF(AQ58="FT",IF(AX58&lt;FT_First,0,IF(AX58&lt;FT_Y5,1+INT((AX58-FT_First)/FT_Int1),FT_PreY5+FT_PerYear*INT((AX58-FT_Y5)/12)+FT_AnnivDays+INT(MOD(AX58-FT_Y5,12)/FT_Int2))),IF(AQ58="PT",IF(AX58&lt;PT_First,0,1+INT((AX58-PT_First)/PT_Int)),0)),0)+IF(AND(AI58&gt;=3,AL58&lt;=PFYDate),IF(AR58="FT",IF(AW58&lt;FT_First,0,IF(AW58&lt;FT_Y5,1+INT((AW58-FT_First)/FT_Int1),FT_PreY5+FT_PerYear*INT((AW58-FT_Y5)/12)+FT_AnnivDays+INT(MOD(AW58-FT_Y5,12)/FT_Int2))),IF(AR58="PT",IF(AW58&lt;PT_First,0,1+INT((AW58-PT_First)/PT_Int)),0))-IF(AR58="FT",IF(AY58&lt;FT_First,0,IF(AY58&lt;FT_Y5,1+INT((AY58-FT_First)/FT_Int1),FT_PreY5+FT_PerYear*INT((AY58-FT_Y5)/12)+FT_AnnivDays+INT(MOD(AY58-FT_Y5,12)/FT_Int2))),IF(AR58="PT",IF(AY58&lt;PT_First,0,1+INT((AY58-PT_First)/PT_Int)),0)),0))</f>
        <v/>
      </c>
      <c r="BB58" s="14" t="str">
        <f aca="false">IF(AG58=0,"",IF(AS58="FT",IF(AT58&lt;FT_First,FT_First,IF(AT58&lt;FT_Y5,MIN(FT_Y5,FT_First+FT_Int1*(INT((AT58-FT_First)/FT_Int1)+1)),FT_Y5+12*INT((AT58-FT_Y5)/12)+FT_Int2*(INT(MOD(AT58-FT_Y5,12)/FT_Int2)+1))),IF(AS58="PT",IF(AT58&lt;PT_First,PT_First,PT_First+PT_Int*(INT((AT58-PT_First)/PT_Int)+1)),"")))</f>
        <v/>
      </c>
      <c r="BC58" s="14" t="str">
        <f aca="false">IF(AG58=0,"",IF(NOT(LH_Ready),0,COUNTIFS(INDEX(LH_Data,0,LH_ColFirst),$A58,INDEX(LH_Data,0,LH_ColSur),$B58,INDEX(LH_Data,0,LH_ColCat),BonusCat)))</f>
        <v/>
      </c>
      <c r="BD58" s="14" t="str">
        <f aca="false">IF(AG58=0,"",IF(OR(NOT(LH_Ready),BC58=0),0,SUMPRODUCT(MAX((INDEX(LH_Data,0,LH_ColFirst)=$A58)*(INDEX(LH_Data,0,LH_ColSur)=$B58)*(INDEX(LH_Data,0,LH_ColCat)=BonusCat)*ROW(LH_Data)))))</f>
        <v/>
      </c>
      <c r="BE58" s="14" t="str">
        <f aca="false">IF(AG58=0,"",IF(EOMONTH(AsOfDate,-1)&lt;AH58,-1,12*(YEAR(EOMONTH(AsOfDate,-1))-YEAR(AH58))+MONTH(EOMONTH(AsOfDate,-1))-MONTH(AH58)-IF(DAY(EOMONTH(AsOfDate,-1))&lt;MIN(DAY(AH58),DAY(EOMONTH(EOMONTH(AsOfDate,-1),0))),1,0)))</f>
        <v/>
      </c>
      <c r="BF58" s="14" t="str">
        <f aca="false">IF(AG58=0,"",IF(OR(AI58&lt;2,AK58&gt;EOMONTH(AsOfDate,-1)),BE58,IF((AK58-1)&lt;AH58,-1,12*(YEAR((AK58-1))-YEAR(AH58))+MONTH((AK58-1))-MONTH(AH58)-IF(DAY((AK58-1))&lt;MIN(DAY(AH58),DAY(EOMONTH((AK58-1),0))),1,0))))</f>
        <v/>
      </c>
      <c r="BG58" s="14" t="str">
        <f aca="false">IF(AG58=0,"",IF(OR(AI58&lt;3,AL58&gt;EOMONTH(AsOfDate,-1)),BE58,IF((AL58-1)&lt;AH58,-1,12*(YEAR((AL58-1))-YEAR(AH58))+MONTH((AL58-1))-MONTH(AH58)-IF(DAY((AL58-1))&lt;MIN(DAY(AH58),DAY(EOMONTH((AL58-1),0))),1,0))))</f>
        <v/>
      </c>
      <c r="BH58" s="14" t="str">
        <f aca="false">IF(AG58=0,"",IF(AP58="FT",IF(BF58&lt;FT_First,0,IF(BF58&lt;FT_Y5,1+INT((BF58-FT_First)/FT_Int1),FT_PreY5+FT_PerYear*INT((BF58-FT_Y5)/12)+FT_AnnivDays+INT(MOD(BF58-FT_Y5,12)/FT_Int2))),IF(AP58="PT",IF(BF58&lt;PT_First,0,1+INT((BF58-PT_First)/PT_Int)),0))+IF(AND(AI58&gt;=2,AK58&lt;=EOMONTH(AsOfDate,-1)),IF(AQ58="FT",IF(BG58&lt;FT_First,0,IF(BG58&lt;FT_Y5,1+INT((BG58-FT_First)/FT_Int1),FT_PreY5+FT_PerYear*INT((BG58-FT_Y5)/12)+FT_AnnivDays+INT(MOD(BG58-FT_Y5,12)/FT_Int2))),IF(AQ58="PT",IF(BG58&lt;PT_First,0,1+INT((BG58-PT_First)/PT_Int)),0))-IF(AQ58="FT",IF(BF58&lt;FT_First,0,IF(BF58&lt;FT_Y5,1+INT((BF58-FT_First)/FT_Int1),FT_PreY5+FT_PerYear*INT((BF58-FT_Y5)/12)+FT_AnnivDays+INT(MOD(BF58-FT_Y5,12)/FT_Int2))),IF(AQ58="PT",IF(BF58&lt;PT_First,0,1+INT((BF58-PT_First)/PT_Int)),0)),0)+IF(AND(AI58&gt;=3,AL58&lt;=EOMONTH(AsOfDate,-1)),IF(AR58="FT",IF(BE58&lt;FT_First,0,IF(BE58&lt;FT_Y5,1+INT((BE58-FT_First)/FT_Int1),FT_PreY5+FT_PerYear*INT((BE58-FT_Y5)/12)+FT_AnnivDays+INT(MOD(BE58-FT_Y5,12)/FT_Int2))),IF(AR58="PT",IF(BE58&lt;PT_First,0,1+INT((BE58-PT_First)/PT_Int)),0))-IF(AR58="FT",IF(BG58&lt;FT_First,0,IF(BG58&lt;FT_Y5,1+INT((BG58-FT_First)/FT_Int1),FT_PreY5+FT_PerYear*INT((BG58-FT_Y5)/12)+FT_AnnivDays+INT(MOD(BG58-FT_Y5,12)/FT_Int2))),IF(AR58="PT",IF(BG58&lt;PT_First,0,1+INT((BG58-PT_First)/PT_Int)),0)),0))</f>
        <v/>
      </c>
      <c r="BI58" s="14" t="str">
        <f aca="false">IF(AG58=0,"",IF(AS58="FT",IF(AT58&lt;FT_First,"",IF(AT58&lt;FT_Y5,FT_First+FT_Int1*INT((AT58-FT_First)/FT_Int1),FT_Y5+FT_Int2*INT((AT58-FT_Y5)/FT_Int2))),IF(AS58="PT",IF(AT58&lt;PT_First,"",PT_First+PT_Int*INT((AT58-PT_First)/PT_Int)),"")))</f>
        <v/>
      </c>
      <c r="BJ58" s="0" t="str">
        <f aca="false">IF(LEN($A58&amp;$B58)=0,"",$A58&amp;" "&amp;$B58)</f>
        <v/>
      </c>
    </row>
    <row r="59" customFormat="false" ht="15" hidden="false" customHeight="false" outlineLevel="0" collapsed="false">
      <c r="A59" s="10"/>
      <c r="B59" s="10"/>
      <c r="C59" s="10"/>
      <c r="D59" s="11"/>
      <c r="E59" s="12" t="str">
        <f aca="false">IF(OR(AG59=0,$D59=""),"",DATE(YEAR(AsOfDate)+IF(DATE(YEAR(AsOfDate),MONTH($D59),DAY($D59))&lt;=AsOfDate,1,0),MONTH($D59),DAY($D59)))</f>
        <v/>
      </c>
      <c r="F59" s="11"/>
      <c r="G59" s="11"/>
      <c r="H59" s="11"/>
      <c r="I59" s="11"/>
      <c r="J59" s="11"/>
      <c r="K59" s="12" t="str">
        <f aca="false">IF(AG59=0,"",DATE(YEAR(AsOfDate)+IF(DATE(YEAR(AsOfDate),MONTH(AH59),DAY(AH59))&lt;=AsOfDate,1,0),MONTH(AH59),DAY(AH59)))</f>
        <v/>
      </c>
      <c r="L59" s="13" t="str">
        <f aca="false">IF(AG59=0,"",ROUND((AsOfDate-AH59)/365.25,1))</f>
        <v/>
      </c>
      <c r="M59" s="14" t="str">
        <f aca="false">IF(AG59=0,"",IF(AsOfDate&lt;AH59,"-",DATEDIF(AH59,AsOfDate,"y")&amp;"y "&amp;DATEDIF(AH59,AsOfDate,"ym")&amp;"m "&amp;DATEDIF(AH59,AsOfDate,"md")&amp;"d"))</f>
        <v/>
      </c>
      <c r="N59" s="15" t="str">
        <f aca="false">IF(AG59=0,"",O59*HoursPerDay)</f>
        <v/>
      </c>
      <c r="O59" s="15" t="str">
        <f aca="false">IF(AG59=0,"",AZ59)</f>
        <v/>
      </c>
      <c r="P59" s="16"/>
      <c r="Q59" s="14" t="str">
        <f aca="false">IF(AG59=0,"",IF(AI59&lt;2,"",AM59&amp;" to "&amp;AN59&amp;" on "&amp;TEXT(AK59,"dd/mm/yyyy")&amp;IF(AK59&gt;AsOfDate," (future)",IF(AP59=AQ59,"",IF(AQ59="None"," - STOPPED accruing",IF(AP59="None"," - commencement for Bonus Leave"," - pathway changed"))))&amp;IF(AI59&lt;3,"","; "&amp;AN59&amp;" to "&amp;AO59&amp;" on "&amp;TEXT(AL59,"dd/mm/yyyy")&amp;IF(AL59&gt;AsOfDate," (future)",IF(AQ59=AR59,"",IF(AR59="None"," - STOPPED accruing",IF(AQ59="None"," - commencement for Bonus Leave"," - pathway changed")))))))</f>
        <v/>
      </c>
      <c r="R59" s="14" t="str">
        <f aca="false">IF(AG59=0,"",IF(AS59="None",IF(O59&gt;0,"No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2" t="str">
        <f aca="false">IF(AG59=0,"",IF(AS59="None","",EDATE(AH59,BB59)))</f>
        <v/>
      </c>
      <c r="T59" s="15" t="str">
        <f aca="false">IF(AG59=0,"",IF(NOT(LH_Ready),"",IF(AH59&gt;PFYDate,0,IF(LH_ColPeriod=0,W59-U59+V59,SUMIFS(INDEX(LH_Data,0,LH_ColAcc),INDEX(LH_Data,0,LH_ColFirst),$A59,INDEX(LH_Data,0,LH_ColSur),$B59,INDEX(LH_Data,0,LH_ColCat),BonusCat,INDEX(LH_Data,0,LH_ColPeriod),LH_OpenLabel)*UnitFactor))))</f>
        <v/>
      </c>
      <c r="U59" s="15" t="str">
        <f aca="false">IF(AG59=0,"",IF(NOT(LH_Ready),"",SUMIFS(INDEX(LH_Data,0,LH_ColAcc),INDEX(LH_Data,0,LH_ColFirst),$A59,INDEX(LH_Data,0,LH_ColSur),$B59,INDEX(LH_Data,0,LH_ColCat),BonusCat,INDEX(LH_Data,0,LH_ColStart),"&gt;="&amp;AH59)*UnitFactor))</f>
        <v/>
      </c>
      <c r="V59" s="15" t="str">
        <f aca="false">IF(AG59=0,"",IF(NOT(LH_Ready),"",SUMIFS(INDEX(LH_Data,0,LH_ColTaken),INDEX(LH_Data,0,LH_ColFirst),$A59,INDEX(LH_Data,0,LH_ColSur),$B59,INDEX(LH_Data,0,LH_ColCat),BonusCat,INDEX(LH_Data,0,LH_ColStart),"&gt;="&amp;AH59)*UnitFactor))</f>
        <v/>
      </c>
      <c r="W59" s="15" t="str">
        <f aca="false">IF(AG59=0,"",IF(NOT(LH_Ready),"",IF(BD59=0,0,INDEX(INDEX(LH_Data,0,LH_ColClose),BD59-1)*UnitFactor)))</f>
        <v/>
      </c>
      <c r="X59" s="15" t="str">
        <f aca="false">IF(AG59=0,"",(AZ59-BA59)*HoursPerDay)</f>
        <v/>
      </c>
      <c r="Y59" s="15" t="str">
        <f aca="false">IF(AG59=0,"",IF(NOT(LH_Ready),"",IF(BC59=0,N59,IF(PFYDate&lt;$F59,N59-N(T59)-N(U59),X59-N(U59)))))</f>
        <v/>
      </c>
      <c r="Z59" s="14" t="str">
        <f aca="false">IF(OR(AG59=0,Y59=""),"",IF(Y59&gt;0,"Yes","No"))</f>
        <v/>
      </c>
      <c r="AA59" s="14" t="str">
        <f aca="false">IF(AG59=0,IF(LEN($A59&amp;$B59)=0,"","FIX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month")&amp;IF(BC59=0,";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EH)",""),IF(AS59="None",R59,"Not yet - first day on "&amp;TEXT(S59,"dd/mm/yyyy")))))))))</f>
        <v/>
      </c>
      <c r="AB59" s="15" t="str">
        <f aca="false">IF(OR(AG59=0,T59=""),"",BA59*HoursPerDay-T59)</f>
        <v/>
      </c>
      <c r="AC59" s="14" t="str">
        <f aca="false">IF(AG59=0,"",BC59)</f>
        <v/>
      </c>
      <c r="AD59" s="14" t="str">
        <f aca="false">IF(AG59=0,"",TRIM(IF(OR(ISTEXT($F59),ISTEXT($H59),ISTEXT($I59),ISTEXT($G59),ISTEXT($J59),ISTEXT($D59)),"A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I59&gt;=1,IF(AI59&gt;=3,AO59,IF(AI59=2,AN59,AM59))&lt;&gt;IF($C59="","",IF(OR(ISNUMBER(SEARCH("full",$C59)),UPPER(TRIM($C59))="FT",UPPER(TRIM($C59))="FTE"),"Full-Time",IF(OR(ISNUMBER(SEARCH("part",$C59)),UPPER(TRIM($C59))="PT",UPPER(TRIM($C59))="PTE"),"Part-Time",IF(OR(ISNUMBER(SEARCH("cas",$C59)),UPPER(TRIM($C59))="CAS"),"Casual","Unknown"))))),"EmploymentType does not match latest start date ("&amp;IF(AI59&gt;=3,AO59,IF(AI59=2,AN59,AM59))&amp;"). ","")&amp;IF(AND(AI59&gt;=1,AJ59&lt;&gt;$F59),"Earliest type date should equal StartDate. ","")&amp;IF(AND(AI59&gt;=2,AJ59=AK59),"Two types start on the same date. ","")&amp;IF(AND(OR(ISNUMBER(SEARCH("part",$C59)),UPPER(TRIM($C59))="PT",UPPER(TRIM($C59))="PTE"),$P59=""),"Part-time: enter PT Hrs/Week (blank = 24+). ","")))</f>
        <v/>
      </c>
      <c r="AE59" s="15" t="str">
        <f aca="false">IF(AG59=0,"",O59-BH59)</f>
        <v/>
      </c>
      <c r="AF59" s="12" t="str">
        <f aca="false">IF(OR(AG59=0,AE59="",N(AE59)=0,BI59=""),"",EDATE(AH59,BI59))</f>
        <v/>
      </c>
      <c r="AG59" s="14" t="n">
        <f aca="false">IF(OR(LEN($A59&amp;$B59)=0,$F59=""),0,1)</f>
        <v>0</v>
      </c>
      <c r="AH59" s="12" t="str">
        <f aca="false">IF(AG59=0,"",IF($J59&lt;&gt;"",$J59,IF(OR(CasualCounts="Yes",COUNT($G59:$I59)=0,COUNT($H59:$I59)=0),$F59,MIN($H59:$I59))))</f>
        <v/>
      </c>
      <c r="AI59" s="14" t="str">
        <f aca="false">IF(AG59=0,"",COUNT($G59:$I59))</f>
        <v/>
      </c>
      <c r="AJ59" s="12" t="str">
        <f aca="false">IF(AG59=0,"",IFERROR(SMALL($G59:$I59,1),""))</f>
        <v/>
      </c>
      <c r="AK59" s="12" t="str">
        <f aca="false">IF(AG59=0,"",IFERROR(SMALL($G59:$I59,2),""))</f>
        <v/>
      </c>
      <c r="AL59" s="12" t="str">
        <f aca="false">IF(AG59=0,"",IFERROR(SMALL($G59:$I59,3),""))</f>
        <v/>
      </c>
      <c r="AM59" s="14" t="str">
        <f aca="false">IF(AG59=0,"",IF(AJ59="","",IF(AJ59=$H59,"Part-Time",IF(AJ59=$I59,"Full-Time","Casual"))))</f>
        <v/>
      </c>
      <c r="AN59" s="14" t="str">
        <f aca="false">IF(AG59=0,"",IF(AK59="","",IF(AK59=$H59,"Part-Time",IF(AK59=$I59,"Full-Time","Casual"))))</f>
        <v/>
      </c>
      <c r="AO59" s="14" t="str">
        <f aca="false">IF(AG59=0,"",IF(AL59="","",IF(AL59=$H59,"Part-Time",IF(AL59=$I59,"Full-Time","Casual"))))</f>
        <v/>
      </c>
      <c r="AP59" s="14" t="str">
        <f aca="false">IF(AG59=0,"",IF(AI59=0,IF(OR(ISNUMBER(SEARCH("full",$C59)),UPPER(TRIM($C59))="FT",UPPER(TRIM($C59))="FTE"),"FT",IF(AND(OR(ISNUMBER(SEARCH("part",$C59)),UPPER(TRIM($C59))="PT",UPPER(TRIM($C59))="PTE"),OR($P59="",N($P59)&gt;=PT_MinHours)),"PT","None")),IF(OR(ISNUMBER(SEARCH("full",AM59)),UPPER(TRIM(AM59))="FT",UPPER(TRIM(AM59))="FTE"),"FT",IF(AND(OR(ISNUMBER(SEARCH("part",AM59)),UPPER(TRIM(AM59))="PT",UPPER(TRIM(AM59))="PTE"),OR($P59="",N($P59)&gt;=PT_MinHours)),"PT","None"))))</f>
        <v/>
      </c>
      <c r="AQ59" s="14" t="str">
        <f aca="false">IF(AG59=0,"",IF(AI59&lt;2,"",IF(OR(ISNUMBER(SEARCH("full",AN59)),UPPER(TRIM(AN59))="FT",UPPER(TRIM(AN59))="FTE"),"FT",IF(AND(OR(ISNUMBER(SEARCH("part",AN59)),UPPER(TRIM(AN59))="PT",UPPER(TRIM(AN59))="PTE"),OR($P59="",N($P59)&gt;=PT_MinHours)),"PT","None"))))</f>
        <v/>
      </c>
      <c r="AR59" s="14" t="str">
        <f aca="false">IF(AG59=0,"",IF(AI59&lt;3,"",IF(OR(ISNUMBER(SEARCH("full",AO59)),UPPER(TRIM(AO59))="FT",UPPER(TRIM(AO59))="FTE"),"FT",IF(AND(OR(ISNUMBER(SEARCH("part",AO59)),UPPER(TRIM(AO59))="PT",UPPER(TRIM(AO59))="PTE"),OR($P59="",N($P59)&gt;=PT_MinHours)),"PT","None"))))</f>
        <v/>
      </c>
      <c r="AS59" s="14" t="str">
        <f aca="false">IF(AG59=0,"",IF(AND(AI59&gt;=3,AL59&lt;=AsOfDate),AR59,IF(AND(AI59&gt;=2,AK59&lt;=AsOfDate),AQ59,AP59)))</f>
        <v/>
      </c>
      <c r="AT59" s="14" t="str">
        <f aca="false">IF(AG59=0,"",IF(AsOfDate&lt;AH59,-1,12*(YEAR(AsOfDate)-YEAR(AH59))+MONTH(AsOfDate)-MONTH(AH59)-IF(DAY(AsOfDate)&lt;MIN(DAY(AH59),DAY(EOMONTH(AsOfDate,0))),1,0)))</f>
        <v/>
      </c>
      <c r="AU59" s="14" t="str">
        <f aca="false">IF(AG59=0,"",IF(OR(AI59&lt;2,AK59&gt;AsOfDate),AT59,IF((AK59-1)&lt;AH59,-1,12*(YEAR((AK59-1))-YEAR(AH59))+MONTH((AK59-1))-MONTH(AH59)-IF(DAY((AK59-1))&lt;MIN(DAY(AH59),DAY(EOMONTH((AK59-1),0))),1,0))))</f>
        <v/>
      </c>
      <c r="AV59" s="14" t="str">
        <f aca="false">IF(AG59=0,"",IF(OR(AI59&lt;3,AL59&gt;AsOfDate),AT59,IF((AL59-1)&lt;AH59,-1,12*(YEAR((AL59-1))-YEAR(AH59))+MONTH((AL59-1))-MONTH(AH59)-IF(DAY((AL59-1))&lt;MIN(DAY(AH59),DAY(EOMONTH((AL59-1),0))),1,0))))</f>
        <v/>
      </c>
      <c r="AW59" s="14" t="str">
        <f aca="false">IF(AG59=0,"",IF(PFYDate&lt;AH59,-1,12*(YEAR(PFYDate)-YEAR(AH59))+MONTH(PFYDate)-MONTH(AH59)-IF(DAY(PFYDate)&lt;MIN(DAY(AH59),DAY(EOMONTH(PFYDate,0))),1,0)))</f>
        <v/>
      </c>
      <c r="AX59" s="14" t="str">
        <f aca="false">IF(AG59=0,"",IF(OR(AI59&lt;2,AK59&gt;PFYDate),AW59,IF((AK59-1)&lt;AH59,-1,12*(YEAR((AK59-1))-YEAR(AH59))+MONTH((AK59-1))-MONTH(AH59)-IF(DAY((AK59-1))&lt;MIN(DAY(AH59),DAY(EOMONTH((AK59-1),0))),1,0))))</f>
        <v/>
      </c>
      <c r="AY59" s="14" t="str">
        <f aca="false">IF(AG59=0,"",IF(OR(AI59&lt;3,AL59&gt;PFYDate),AW59,IF((AL59-1)&lt;AH59,-1,12*(YEAR((AL59-1))-YEAR(AH59))+MONTH((AL59-1))-MONTH(AH59)-IF(DAY((AL59-1))&lt;MIN(DAY(AH59),DAY(EOMONTH((AL59-1),0))),1,0))))</f>
        <v/>
      </c>
      <c r="AZ59" s="14" t="str">
        <f aca="false">IF(AG59=0,"",IF(AP59="FT",IF(AU59&lt;FT_First,0,IF(AU59&lt;FT_Y5,1+INT((AU59-FT_First)/FT_Int1),FT_PreY5+FT_PerYear*INT((AU59-FT_Y5)/12)+FT_AnnivDays+INT(MOD(AU59-FT_Y5,12)/FT_Int2))),IF(AP59="PT",IF(AU59&lt;PT_First,0,1+INT((AU59-PT_First)/PT_Int)),0))+IF(AND(AI59&gt;=2,AK59&lt;=AsOfDate),IF(AQ59="FT",IF(AV59&lt;FT_First,0,IF(AV59&lt;FT_Y5,1+INT((AV59-FT_First)/FT_Int1),FT_PreY5+FT_PerYear*INT((AV59-FT_Y5)/12)+FT_AnnivDays+INT(MOD(AV59-FT_Y5,12)/FT_Int2))),IF(AQ59="PT",IF(AV59&lt;PT_First,0,1+INT((AV59-PT_First)/PT_Int)),0))-IF(AQ59="FT",IF(AU59&lt;FT_First,0,IF(AU59&lt;FT_Y5,1+INT((AU59-FT_First)/FT_Int1),FT_PreY5+FT_PerYear*INT((AU59-FT_Y5)/12)+FT_AnnivDays+INT(MOD(AU59-FT_Y5,12)/FT_Int2))),IF(AQ59="PT",IF(AU59&lt;PT_First,0,1+INT((AU59-PT_First)/PT_Int)),0)),0)+IF(AND(AI59&gt;=3,AL59&lt;=AsOfDate),IF(AR59="FT",IF(AT59&lt;FT_First,0,IF(AT59&lt;FT_Y5,1+INT((AT59-FT_First)/FT_Int1),FT_PreY5+FT_PerYear*INT((AT59-FT_Y5)/12)+FT_AnnivDays+INT(MOD(AT59-FT_Y5,12)/FT_Int2))),IF(AR59="PT",IF(AT59&lt;PT_First,0,1+INT((AT59-PT_First)/PT_Int)),0))-IF(AR59="FT",IF(AV59&lt;FT_First,0,IF(AV59&lt;FT_Y5,1+INT((AV59-FT_First)/FT_Int1),FT_PreY5+FT_PerYear*INT((AV59-FT_Y5)/12)+FT_AnnivDays+INT(MOD(AV59-FT_Y5,12)/FT_Int2))),IF(AR59="PT",IF(AV59&lt;PT_First,0,1+INT((AV59-PT_First)/PT_Int)),0)),0))</f>
        <v/>
      </c>
      <c r="BA59" s="14" t="str">
        <f aca="false">IF(AG59=0,"",IF(AP59="FT",IF(AX59&lt;FT_First,0,IF(AX59&lt;FT_Y5,1+INT((AX59-FT_First)/FT_Int1),FT_PreY5+FT_PerYear*INT((AX59-FT_Y5)/12)+FT_AnnivDays+INT(MOD(AX59-FT_Y5,12)/FT_Int2))),IF(AP59="PT",IF(AX59&lt;PT_First,0,1+INT((AX59-PT_First)/PT_Int)),0))+IF(AND(AI59&gt;=2,AK59&lt;=PFYDate),IF(AQ59="FT",IF(AY59&lt;FT_First,0,IF(AY59&lt;FT_Y5,1+INT((AY59-FT_First)/FT_Int1),FT_PreY5+FT_PerYear*INT((AY59-FT_Y5)/12)+FT_AnnivDays+INT(MOD(AY59-FT_Y5,12)/FT_Int2))),IF(AQ59="PT",IF(AY59&lt;PT_First,0,1+INT((AY59-PT_First)/PT_Int)),0))-IF(AQ59="FT",IF(AX59&lt;FT_First,0,IF(AX59&lt;FT_Y5,1+INT((AX59-FT_First)/FT_Int1),FT_PreY5+FT_PerYear*INT((AX59-FT_Y5)/12)+FT_AnnivDays+INT(MOD(AX59-FT_Y5,12)/FT_Int2))),IF(AQ59="PT",IF(AX59&lt;PT_First,0,1+INT((AX59-PT_First)/PT_Int)),0)),0)+IF(AND(AI59&gt;=3,AL59&lt;=PFYDate),IF(AR59="FT",IF(AW59&lt;FT_First,0,IF(AW59&lt;FT_Y5,1+INT((AW59-FT_First)/FT_Int1),FT_PreY5+FT_PerYear*INT((AW59-FT_Y5)/12)+FT_AnnivDays+INT(MOD(AW59-FT_Y5,12)/FT_Int2))),IF(AR59="PT",IF(AW59&lt;PT_First,0,1+INT((AW59-PT_First)/PT_Int)),0))-IF(AR59="FT",IF(AY59&lt;FT_First,0,IF(AY59&lt;FT_Y5,1+INT((AY59-FT_First)/FT_Int1),FT_PreY5+FT_PerYear*INT((AY59-FT_Y5)/12)+FT_AnnivDays+INT(MOD(AY59-FT_Y5,12)/FT_Int2))),IF(AR59="PT",IF(AY59&lt;PT_First,0,1+INT((AY59-PT_First)/PT_Int)),0)),0))</f>
        <v/>
      </c>
      <c r="BB59" s="14" t="str">
        <f aca="false">IF(AG59=0,"",IF(AS59="FT",IF(AT59&lt;FT_First,FT_First,IF(AT59&lt;FT_Y5,MIN(FT_Y5,FT_First+FT_Int1*(INT((AT59-FT_First)/FT_Int1)+1)),FT_Y5+12*INT((AT59-FT_Y5)/12)+FT_Int2*(INT(MOD(AT59-FT_Y5,12)/FT_Int2)+1))),IF(AS59="PT",IF(AT59&lt;PT_First,PT_First,PT_First+PT_Int*(INT((AT59-PT_First)/PT_Int)+1)),"")))</f>
        <v/>
      </c>
      <c r="BC59" s="14" t="str">
        <f aca="false">IF(AG59=0,"",IF(NOT(LH_Ready),0,COUNTIFS(INDEX(LH_Data,0,LH_ColFirst),$A59,INDEX(LH_Data,0,LH_ColSur),$B59,INDEX(LH_Data,0,LH_ColCat),BonusCat)))</f>
        <v/>
      </c>
      <c r="BD59" s="14" t="str">
        <f aca="false">IF(AG59=0,"",IF(OR(NOT(LH_Ready),BC59=0),0,SUMPRODUCT(MAX((INDEX(LH_Data,0,LH_ColFirst)=$A59)*(INDEX(LH_Data,0,LH_ColSur)=$B59)*(INDEX(LH_Data,0,LH_ColCat)=BonusCat)*ROW(LH_Data)))))</f>
        <v/>
      </c>
      <c r="BE59" s="14" t="str">
        <f aca="false">IF(AG59=0,"",IF(EOMONTH(AsOfDate,-1)&lt;AH59,-1,12*(YEAR(EOMONTH(AsOfDate,-1))-YEAR(AH59))+MONTH(EOMONTH(AsOfDate,-1))-MONTH(AH59)-IF(DAY(EOMONTH(AsOfDate,-1))&lt;MIN(DAY(AH59),DAY(EOMONTH(EOMONTH(AsOfDate,-1),0))),1,0)))</f>
        <v/>
      </c>
      <c r="BF59" s="14" t="str">
        <f aca="false">IF(AG59=0,"",IF(OR(AI59&lt;2,AK59&gt;EOMONTH(AsOfDate,-1)),BE59,IF((AK59-1)&lt;AH59,-1,12*(YEAR((AK59-1))-YEAR(AH59))+MONTH((AK59-1))-MONTH(AH59)-IF(DAY((AK59-1))&lt;MIN(DAY(AH59),DAY(EOMONTH((AK59-1),0))),1,0))))</f>
        <v/>
      </c>
      <c r="BG59" s="14" t="str">
        <f aca="false">IF(AG59=0,"",IF(OR(AI59&lt;3,AL59&gt;EOMONTH(AsOfDate,-1)),BE59,IF((AL59-1)&lt;AH59,-1,12*(YEAR((AL59-1))-YEAR(AH59))+MONTH((AL59-1))-MONTH(AH59)-IF(DAY((AL59-1))&lt;MIN(DAY(AH59),DAY(EOMONTH((AL59-1),0))),1,0))))</f>
        <v/>
      </c>
      <c r="BH59" s="14" t="str">
        <f aca="false">IF(AG59=0,"",IF(AP59="FT",IF(BF59&lt;FT_First,0,IF(BF59&lt;FT_Y5,1+INT((BF59-FT_First)/FT_Int1),FT_PreY5+FT_PerYear*INT((BF59-FT_Y5)/12)+FT_AnnivDays+INT(MOD(BF59-FT_Y5,12)/FT_Int2))),IF(AP59="PT",IF(BF59&lt;PT_First,0,1+INT((BF59-PT_First)/PT_Int)),0))+IF(AND(AI59&gt;=2,AK59&lt;=EOMONTH(AsOfDate,-1)),IF(AQ59="FT",IF(BG59&lt;FT_First,0,IF(BG59&lt;FT_Y5,1+INT((BG59-FT_First)/FT_Int1),FT_PreY5+FT_PerYear*INT((BG59-FT_Y5)/12)+FT_AnnivDays+INT(MOD(BG59-FT_Y5,12)/FT_Int2))),IF(AQ59="PT",IF(BG59&lt;PT_First,0,1+INT((BG59-PT_First)/PT_Int)),0))-IF(AQ59="FT",IF(BF59&lt;FT_First,0,IF(BF59&lt;FT_Y5,1+INT((BF59-FT_First)/FT_Int1),FT_PreY5+FT_PerYear*INT((BF59-FT_Y5)/12)+FT_AnnivDays+INT(MOD(BF59-FT_Y5,12)/FT_Int2))),IF(AQ59="PT",IF(BF59&lt;PT_First,0,1+INT((BF59-PT_First)/PT_Int)),0)),0)+IF(AND(AI59&gt;=3,AL59&lt;=EOMONTH(AsOfDate,-1)),IF(AR59="FT",IF(BE59&lt;FT_First,0,IF(BE59&lt;FT_Y5,1+INT((BE59-FT_First)/FT_Int1),FT_PreY5+FT_PerYear*INT((BE59-FT_Y5)/12)+FT_AnnivDays+INT(MOD(BE59-FT_Y5,12)/FT_Int2))),IF(AR59="PT",IF(BE59&lt;PT_First,0,1+INT((BE59-PT_First)/PT_Int)),0))-IF(AR59="FT",IF(BG59&lt;FT_First,0,IF(BG59&lt;FT_Y5,1+INT((BG59-FT_First)/FT_Int1),FT_PreY5+FT_PerYear*INT((BG59-FT_Y5)/12)+FT_AnnivDays+INT(MOD(BG59-FT_Y5,12)/FT_Int2))),IF(AR59="PT",IF(BG59&lt;PT_First,0,1+INT((BG59-PT_First)/PT_Int)),0)),0))</f>
        <v/>
      </c>
      <c r="BI59" s="14" t="str">
        <f aca="false">IF(AG59=0,"",IF(AS59="FT",IF(AT59&lt;FT_First,"",IF(AT59&lt;FT_Y5,FT_First+FT_Int1*INT((AT59-FT_First)/FT_Int1),FT_Y5+FT_Int2*INT((AT59-FT_Y5)/FT_Int2))),IF(AS59="PT",IF(AT59&lt;PT_First,"",PT_First+PT_Int*INT((AT59-PT_First)/PT_Int)),"")))</f>
        <v/>
      </c>
      <c r="BJ59" s="0" t="str">
        <f aca="false">IF(LEN($A59&amp;$B59)=0,"",$A59&amp;" "&amp;$B59)</f>
        <v/>
      </c>
    </row>
    <row r="60" customFormat="false" ht="15" hidden="false" customHeight="false" outlineLevel="0" collapsed="false">
      <c r="A60" s="10"/>
      <c r="B60" s="10"/>
      <c r="C60" s="10"/>
      <c r="D60" s="11"/>
      <c r="E60" s="12" t="str">
        <f aca="false">IF(OR(AG60=0,$D60=""),"",DATE(YEAR(AsOfDate)+IF(DATE(YEAR(AsOfDate),MONTH($D60),DAY($D60))&lt;=AsOfDate,1,0),MONTH($D60),DAY($D60)))</f>
        <v/>
      </c>
      <c r="F60" s="11"/>
      <c r="G60" s="11"/>
      <c r="H60" s="11"/>
      <c r="I60" s="11"/>
      <c r="J60" s="11"/>
      <c r="K60" s="12" t="str">
        <f aca="false">IF(AG60=0,"",DATE(YEAR(AsOfDate)+IF(DATE(YEAR(AsOfDate),MONTH(AH60),DAY(AH60))&lt;=AsOfDate,1,0),MONTH(AH60),DAY(AH60)))</f>
        <v/>
      </c>
      <c r="L60" s="13" t="str">
        <f aca="false">IF(AG60=0,"",ROUND((AsOfDate-AH60)/365.25,1))</f>
        <v/>
      </c>
      <c r="M60" s="14" t="str">
        <f aca="false">IF(AG60=0,"",IF(AsOfDate&lt;AH60,"-",DATEDIF(AH60,AsOfDate,"y")&amp;"y "&amp;DATEDIF(AH60,AsOfDate,"ym")&amp;"m "&amp;DATEDIF(AH60,AsOfDate,"md")&amp;"d"))</f>
        <v/>
      </c>
      <c r="N60" s="15" t="str">
        <f aca="false">IF(AG60=0,"",O60*HoursPerDay)</f>
        <v/>
      </c>
      <c r="O60" s="15" t="str">
        <f aca="false">IF(AG60=0,"",AZ60)</f>
        <v/>
      </c>
      <c r="P60" s="16"/>
      <c r="Q60" s="14" t="str">
        <f aca="false">IF(AG60=0,"",IF(AI60&lt;2,"",AM60&amp;" to "&amp;AN60&amp;" on "&amp;TEXT(AK60,"dd/mm/yyyy")&amp;IF(AK60&gt;AsOfDate," (future)",IF(AP60=AQ60,"",IF(AQ60="None"," - STOPPED accruing",IF(AP60="None"," - commencement for Bonus Leave"," - pathway changed"))))&amp;IF(AI60&lt;3,"","; "&amp;AN60&amp;" to "&amp;AO60&amp;" on "&amp;TEXT(AL60,"dd/mm/yyyy")&amp;IF(AL60&gt;AsOfDate," (future)",IF(AQ60=AR60,"",IF(AR60="None"," - STOPPED accruing",IF(AQ60="None"," - commencement for Bonus Leave"," - pathway changed")))))))</f>
        <v/>
      </c>
      <c r="R60" s="14" t="str">
        <f aca="false">IF(AG60=0,"",IF(AS60="None",IF(O60&gt;0,"No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2" t="str">
        <f aca="false">IF(AG60=0,"",IF(AS60="None","",EDATE(AH60,BB60)))</f>
        <v/>
      </c>
      <c r="T60" s="15" t="str">
        <f aca="false">IF(AG60=0,"",IF(NOT(LH_Ready),"",IF(AH60&gt;PFYDate,0,IF(LH_ColPeriod=0,W60-U60+V60,SUMIFS(INDEX(LH_Data,0,LH_ColAcc),INDEX(LH_Data,0,LH_ColFirst),$A60,INDEX(LH_Data,0,LH_ColSur),$B60,INDEX(LH_Data,0,LH_ColCat),BonusCat,INDEX(LH_Data,0,LH_ColPeriod),LH_OpenLabel)*UnitFactor))))</f>
        <v/>
      </c>
      <c r="U60" s="15" t="str">
        <f aca="false">IF(AG60=0,"",IF(NOT(LH_Ready),"",SUMIFS(INDEX(LH_Data,0,LH_ColAcc),INDEX(LH_Data,0,LH_ColFirst),$A60,INDEX(LH_Data,0,LH_ColSur),$B60,INDEX(LH_Data,0,LH_ColCat),BonusCat,INDEX(LH_Data,0,LH_ColStart),"&gt;="&amp;AH60)*UnitFactor))</f>
        <v/>
      </c>
      <c r="V60" s="15" t="str">
        <f aca="false">IF(AG60=0,"",IF(NOT(LH_Ready),"",SUMIFS(INDEX(LH_Data,0,LH_ColTaken),INDEX(LH_Data,0,LH_ColFirst),$A60,INDEX(LH_Data,0,LH_ColSur),$B60,INDEX(LH_Data,0,LH_ColCat),BonusCat,INDEX(LH_Data,0,LH_ColStart),"&gt;="&amp;AH60)*UnitFactor))</f>
        <v/>
      </c>
      <c r="W60" s="15" t="str">
        <f aca="false">IF(AG60=0,"",IF(NOT(LH_Ready),"",IF(BD60=0,0,INDEX(INDEX(LH_Data,0,LH_ColClose),BD60-1)*UnitFactor)))</f>
        <v/>
      </c>
      <c r="X60" s="15" t="str">
        <f aca="false">IF(AG60=0,"",(AZ60-BA60)*HoursPerDay)</f>
        <v/>
      </c>
      <c r="Y60" s="15" t="str">
        <f aca="false">IF(AG60=0,"",IF(NOT(LH_Ready),"",IF(BC60=0,N60,IF(PFYDate&lt;$F60,N60-N(T60)-N(U60),X60-N(U60)))))</f>
        <v/>
      </c>
      <c r="Z60" s="14" t="str">
        <f aca="false">IF(OR(AG60=0,Y60=""),"",IF(Y60&gt;0,"Yes","No"))</f>
        <v/>
      </c>
      <c r="AA60" s="14" t="str">
        <f aca="false">IF(AG60=0,IF(LEN($A60&amp;$B60)=0,"","FIX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month")&amp;IF(BC60=0,";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EH)",""),IF(AS60="None",R60,"Not yet - first day on "&amp;TEXT(S60,"dd/mm/yyyy")))))))))</f>
        <v/>
      </c>
      <c r="AB60" s="15" t="str">
        <f aca="false">IF(OR(AG60=0,T60=""),"",BA60*HoursPerDay-T60)</f>
        <v/>
      </c>
      <c r="AC60" s="14" t="str">
        <f aca="false">IF(AG60=0,"",BC60)</f>
        <v/>
      </c>
      <c r="AD60" s="14" t="str">
        <f aca="false">IF(AG60=0,"",TRIM(IF(OR(ISTEXT($F60),ISTEXT($H60),ISTEXT($I60),ISTEXT($G60),ISTEXT($J60),ISTEXT($D60)),"A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I60&gt;=1,IF(AI60&gt;=3,AO60,IF(AI60=2,AN60,AM60))&lt;&gt;IF($C60="","",IF(OR(ISNUMBER(SEARCH("full",$C60)),UPPER(TRIM($C60))="FT",UPPER(TRIM($C60))="FTE"),"Full-Time",IF(OR(ISNUMBER(SEARCH("part",$C60)),UPPER(TRIM($C60))="PT",UPPER(TRIM($C60))="PTE"),"Part-Time",IF(OR(ISNUMBER(SEARCH("cas",$C60)),UPPER(TRIM($C60))="CAS"),"Casual","Unknown"))))),"EmploymentType does not match latest start date ("&amp;IF(AI60&gt;=3,AO60,IF(AI60=2,AN60,AM60))&amp;"). ","")&amp;IF(AND(AI60&gt;=1,AJ60&lt;&gt;$F60),"Earliest type date should equal StartDate. ","")&amp;IF(AND(AI60&gt;=2,AJ60=AK60),"Two types start on the same date. ","")&amp;IF(AND(OR(ISNUMBER(SEARCH("part",$C60)),UPPER(TRIM($C60))="PT",UPPER(TRIM($C60))="PTE"),$P60=""),"Part-time: enter PT Hrs/Week (blank = 24+). ","")))</f>
        <v/>
      </c>
      <c r="AE60" s="15" t="str">
        <f aca="false">IF(AG60=0,"",O60-BH60)</f>
        <v/>
      </c>
      <c r="AF60" s="12" t="str">
        <f aca="false">IF(OR(AG60=0,AE60="",N(AE60)=0,BI60=""),"",EDATE(AH60,BI60))</f>
        <v/>
      </c>
      <c r="AG60" s="14" t="n">
        <f aca="false">IF(OR(LEN($A60&amp;$B60)=0,$F60=""),0,1)</f>
        <v>0</v>
      </c>
      <c r="AH60" s="12" t="str">
        <f aca="false">IF(AG60=0,"",IF($J60&lt;&gt;"",$J60,IF(OR(CasualCounts="Yes",COUNT($G60:$I60)=0,COUNT($H60:$I60)=0),$F60,MIN($H60:$I60))))</f>
        <v/>
      </c>
      <c r="AI60" s="14" t="str">
        <f aca="false">IF(AG60=0,"",COUNT($G60:$I60))</f>
        <v/>
      </c>
      <c r="AJ60" s="12" t="str">
        <f aca="false">IF(AG60=0,"",IFERROR(SMALL($G60:$I60,1),""))</f>
        <v/>
      </c>
      <c r="AK60" s="12" t="str">
        <f aca="false">IF(AG60=0,"",IFERROR(SMALL($G60:$I60,2),""))</f>
        <v/>
      </c>
      <c r="AL60" s="12" t="str">
        <f aca="false">IF(AG60=0,"",IFERROR(SMALL($G60:$I60,3),""))</f>
        <v/>
      </c>
      <c r="AM60" s="14" t="str">
        <f aca="false">IF(AG60=0,"",IF(AJ60="","",IF(AJ60=$H60,"Part-Time",IF(AJ60=$I60,"Full-Time","Casual"))))</f>
        <v/>
      </c>
      <c r="AN60" s="14" t="str">
        <f aca="false">IF(AG60=0,"",IF(AK60="","",IF(AK60=$H60,"Part-Time",IF(AK60=$I60,"Full-Time","Casual"))))</f>
        <v/>
      </c>
      <c r="AO60" s="14" t="str">
        <f aca="false">IF(AG60=0,"",IF(AL60="","",IF(AL60=$H60,"Part-Time",IF(AL60=$I60,"Full-Time","Casual"))))</f>
        <v/>
      </c>
      <c r="AP60" s="14" t="str">
        <f aca="false">IF(AG60=0,"",IF(AI60=0,IF(OR(ISNUMBER(SEARCH("full",$C60)),UPPER(TRIM($C60))="FT",UPPER(TRIM($C60))="FTE"),"FT",IF(AND(OR(ISNUMBER(SEARCH("part",$C60)),UPPER(TRIM($C60))="PT",UPPER(TRIM($C60))="PTE"),OR($P60="",N($P60)&gt;=PT_MinHours)),"PT","None")),IF(OR(ISNUMBER(SEARCH("full",AM60)),UPPER(TRIM(AM60))="FT",UPPER(TRIM(AM60))="FTE"),"FT",IF(AND(OR(ISNUMBER(SEARCH("part",AM60)),UPPER(TRIM(AM60))="PT",UPPER(TRIM(AM60))="PTE"),OR($P60="",N($P60)&gt;=PT_MinHours)),"PT","None"))))</f>
        <v/>
      </c>
      <c r="AQ60" s="14" t="str">
        <f aca="false">IF(AG60=0,"",IF(AI60&lt;2,"",IF(OR(ISNUMBER(SEARCH("full",AN60)),UPPER(TRIM(AN60))="FT",UPPER(TRIM(AN60))="FTE"),"FT",IF(AND(OR(ISNUMBER(SEARCH("part",AN60)),UPPER(TRIM(AN60))="PT",UPPER(TRIM(AN60))="PTE"),OR($P60="",N($P60)&gt;=PT_MinHours)),"PT","None"))))</f>
        <v/>
      </c>
      <c r="AR60" s="14" t="str">
        <f aca="false">IF(AG60=0,"",IF(AI60&lt;3,"",IF(OR(ISNUMBER(SEARCH("full",AO60)),UPPER(TRIM(AO60))="FT",UPPER(TRIM(AO60))="FTE"),"FT",IF(AND(OR(ISNUMBER(SEARCH("part",AO60)),UPPER(TRIM(AO60))="PT",UPPER(TRIM(AO60))="PTE"),OR($P60="",N($P60)&gt;=PT_MinHours)),"PT","None"))))</f>
        <v/>
      </c>
      <c r="AS60" s="14" t="str">
        <f aca="false">IF(AG60=0,"",IF(AND(AI60&gt;=3,AL60&lt;=AsOfDate),AR60,IF(AND(AI60&gt;=2,AK60&lt;=AsOfDate),AQ60,AP60)))</f>
        <v/>
      </c>
      <c r="AT60" s="14" t="str">
        <f aca="false">IF(AG60=0,"",IF(AsOfDate&lt;AH60,-1,12*(YEAR(AsOfDate)-YEAR(AH60))+MONTH(AsOfDate)-MONTH(AH60)-IF(DAY(AsOfDate)&lt;MIN(DAY(AH60),DAY(EOMONTH(AsOfDate,0))),1,0)))</f>
        <v/>
      </c>
      <c r="AU60" s="14" t="str">
        <f aca="false">IF(AG60=0,"",IF(OR(AI60&lt;2,AK60&gt;AsOfDate),AT60,IF((AK60-1)&lt;AH60,-1,12*(YEAR((AK60-1))-YEAR(AH60))+MONTH((AK60-1))-MONTH(AH60)-IF(DAY((AK60-1))&lt;MIN(DAY(AH60),DAY(EOMONTH((AK60-1),0))),1,0))))</f>
        <v/>
      </c>
      <c r="AV60" s="14" t="str">
        <f aca="false">IF(AG60=0,"",IF(OR(AI60&lt;3,AL60&gt;AsOfDate),AT60,IF((AL60-1)&lt;AH60,-1,12*(YEAR((AL60-1))-YEAR(AH60))+MONTH((AL60-1))-MONTH(AH60)-IF(DAY((AL60-1))&lt;MIN(DAY(AH60),DAY(EOMONTH((AL60-1),0))),1,0))))</f>
        <v/>
      </c>
      <c r="AW60" s="14" t="str">
        <f aca="false">IF(AG60=0,"",IF(PFYDate&lt;AH60,-1,12*(YEAR(PFYDate)-YEAR(AH60))+MONTH(PFYDate)-MONTH(AH60)-IF(DAY(PFYDate)&lt;MIN(DAY(AH60),DAY(EOMONTH(PFYDate,0))),1,0)))</f>
        <v/>
      </c>
      <c r="AX60" s="14" t="str">
        <f aca="false">IF(AG60=0,"",IF(OR(AI60&lt;2,AK60&gt;PFYDate),AW60,IF((AK60-1)&lt;AH60,-1,12*(YEAR((AK60-1))-YEAR(AH60))+MONTH((AK60-1))-MONTH(AH60)-IF(DAY((AK60-1))&lt;MIN(DAY(AH60),DAY(EOMONTH((AK60-1),0))),1,0))))</f>
        <v/>
      </c>
      <c r="AY60" s="14" t="str">
        <f aca="false">IF(AG60=0,"",IF(OR(AI60&lt;3,AL60&gt;PFYDate),AW60,IF((AL60-1)&lt;AH60,-1,12*(YEAR((AL60-1))-YEAR(AH60))+MONTH((AL60-1))-MONTH(AH60)-IF(DAY((AL60-1))&lt;MIN(DAY(AH60),DAY(EOMONTH((AL60-1),0))),1,0))))</f>
        <v/>
      </c>
      <c r="AZ60" s="14" t="str">
        <f aca="false">IF(AG60=0,"",IF(AP60="FT",IF(AU60&lt;FT_First,0,IF(AU60&lt;FT_Y5,1+INT((AU60-FT_First)/FT_Int1),FT_PreY5+FT_PerYear*INT((AU60-FT_Y5)/12)+FT_AnnivDays+INT(MOD(AU60-FT_Y5,12)/FT_Int2))),IF(AP60="PT",IF(AU60&lt;PT_First,0,1+INT((AU60-PT_First)/PT_Int)),0))+IF(AND(AI60&gt;=2,AK60&lt;=AsOfDate),IF(AQ60="FT",IF(AV60&lt;FT_First,0,IF(AV60&lt;FT_Y5,1+INT((AV60-FT_First)/FT_Int1),FT_PreY5+FT_PerYear*INT((AV60-FT_Y5)/12)+FT_AnnivDays+INT(MOD(AV60-FT_Y5,12)/FT_Int2))),IF(AQ60="PT",IF(AV60&lt;PT_First,0,1+INT((AV60-PT_First)/PT_Int)),0))-IF(AQ60="FT",IF(AU60&lt;FT_First,0,IF(AU60&lt;FT_Y5,1+INT((AU60-FT_First)/FT_Int1),FT_PreY5+FT_PerYear*INT((AU60-FT_Y5)/12)+FT_AnnivDays+INT(MOD(AU60-FT_Y5,12)/FT_Int2))),IF(AQ60="PT",IF(AU60&lt;PT_First,0,1+INT((AU60-PT_First)/PT_Int)),0)),0)+IF(AND(AI60&gt;=3,AL60&lt;=AsOfDate),IF(AR60="FT",IF(AT60&lt;FT_First,0,IF(AT60&lt;FT_Y5,1+INT((AT60-FT_First)/FT_Int1),FT_PreY5+FT_PerYear*INT((AT60-FT_Y5)/12)+FT_AnnivDays+INT(MOD(AT60-FT_Y5,12)/FT_Int2))),IF(AR60="PT",IF(AT60&lt;PT_First,0,1+INT((AT60-PT_First)/PT_Int)),0))-IF(AR60="FT",IF(AV60&lt;FT_First,0,IF(AV60&lt;FT_Y5,1+INT((AV60-FT_First)/FT_Int1),FT_PreY5+FT_PerYear*INT((AV60-FT_Y5)/12)+FT_AnnivDays+INT(MOD(AV60-FT_Y5,12)/FT_Int2))),IF(AR60="PT",IF(AV60&lt;PT_First,0,1+INT((AV60-PT_First)/PT_Int)),0)),0))</f>
        <v/>
      </c>
      <c r="BA60" s="14" t="str">
        <f aca="false">IF(AG60=0,"",IF(AP60="FT",IF(AX60&lt;FT_First,0,IF(AX60&lt;FT_Y5,1+INT((AX60-FT_First)/FT_Int1),FT_PreY5+FT_PerYear*INT((AX60-FT_Y5)/12)+FT_AnnivDays+INT(MOD(AX60-FT_Y5,12)/FT_Int2))),IF(AP60="PT",IF(AX60&lt;PT_First,0,1+INT((AX60-PT_First)/PT_Int)),0))+IF(AND(AI60&gt;=2,AK60&lt;=PFYDate),IF(AQ60="FT",IF(AY60&lt;FT_First,0,IF(AY60&lt;FT_Y5,1+INT((AY60-FT_First)/FT_Int1),FT_PreY5+FT_PerYear*INT((AY60-FT_Y5)/12)+FT_AnnivDays+INT(MOD(AY60-FT_Y5,12)/FT_Int2))),IF(AQ60="PT",IF(AY60&lt;PT_First,0,1+INT((AY60-PT_First)/PT_Int)),0))-IF(AQ60="FT",IF(AX60&lt;FT_First,0,IF(AX60&lt;FT_Y5,1+INT((AX60-FT_First)/FT_Int1),FT_PreY5+FT_PerYear*INT((AX60-FT_Y5)/12)+FT_AnnivDays+INT(MOD(AX60-FT_Y5,12)/FT_Int2))),IF(AQ60="PT",IF(AX60&lt;PT_First,0,1+INT((AX60-PT_First)/PT_Int)),0)),0)+IF(AND(AI60&gt;=3,AL60&lt;=PFYDate),IF(AR60="FT",IF(AW60&lt;FT_First,0,IF(AW60&lt;FT_Y5,1+INT((AW60-FT_First)/FT_Int1),FT_PreY5+FT_PerYear*INT((AW60-FT_Y5)/12)+FT_AnnivDays+INT(MOD(AW60-FT_Y5,12)/FT_Int2))),IF(AR60="PT",IF(AW60&lt;PT_First,0,1+INT((AW60-PT_First)/PT_Int)),0))-IF(AR60="FT",IF(AY60&lt;FT_First,0,IF(AY60&lt;FT_Y5,1+INT((AY60-FT_First)/FT_Int1),FT_PreY5+FT_PerYear*INT((AY60-FT_Y5)/12)+FT_AnnivDays+INT(MOD(AY60-FT_Y5,12)/FT_Int2))),IF(AR60="PT",IF(AY60&lt;PT_First,0,1+INT((AY60-PT_First)/PT_Int)),0)),0))</f>
        <v/>
      </c>
      <c r="BB60" s="14" t="str">
        <f aca="false">IF(AG60=0,"",IF(AS60="FT",IF(AT60&lt;FT_First,FT_First,IF(AT60&lt;FT_Y5,MIN(FT_Y5,FT_First+FT_Int1*(INT((AT60-FT_First)/FT_Int1)+1)),FT_Y5+12*INT((AT60-FT_Y5)/12)+FT_Int2*(INT(MOD(AT60-FT_Y5,12)/FT_Int2)+1))),IF(AS60="PT",IF(AT60&lt;PT_First,PT_First,PT_First+PT_Int*(INT((AT60-PT_First)/PT_Int)+1)),"")))</f>
        <v/>
      </c>
      <c r="BC60" s="14" t="str">
        <f aca="false">IF(AG60=0,"",IF(NOT(LH_Ready),0,COUNTIFS(INDEX(LH_Data,0,LH_ColFirst),$A60,INDEX(LH_Data,0,LH_ColSur),$B60,INDEX(LH_Data,0,LH_ColCat),BonusCat)))</f>
        <v/>
      </c>
      <c r="BD60" s="14" t="str">
        <f aca="false">IF(AG60=0,"",IF(OR(NOT(LH_Ready),BC60=0),0,SUMPRODUCT(MAX((INDEX(LH_Data,0,LH_ColFirst)=$A60)*(INDEX(LH_Data,0,LH_ColSur)=$B60)*(INDEX(LH_Data,0,LH_ColCat)=BonusCat)*ROW(LH_Data)))))</f>
        <v/>
      </c>
      <c r="BE60" s="14" t="str">
        <f aca="false">IF(AG60=0,"",IF(EOMONTH(AsOfDate,-1)&lt;AH60,-1,12*(YEAR(EOMONTH(AsOfDate,-1))-YEAR(AH60))+MONTH(EOMONTH(AsOfDate,-1))-MONTH(AH60)-IF(DAY(EOMONTH(AsOfDate,-1))&lt;MIN(DAY(AH60),DAY(EOMONTH(EOMONTH(AsOfDate,-1),0))),1,0)))</f>
        <v/>
      </c>
      <c r="BF60" s="14" t="str">
        <f aca="false">IF(AG60=0,"",IF(OR(AI60&lt;2,AK60&gt;EOMONTH(AsOfDate,-1)),BE60,IF((AK60-1)&lt;AH60,-1,12*(YEAR((AK60-1))-YEAR(AH60))+MONTH((AK60-1))-MONTH(AH60)-IF(DAY((AK60-1))&lt;MIN(DAY(AH60),DAY(EOMONTH((AK60-1),0))),1,0))))</f>
        <v/>
      </c>
      <c r="BG60" s="14" t="str">
        <f aca="false">IF(AG60=0,"",IF(OR(AI60&lt;3,AL60&gt;EOMONTH(AsOfDate,-1)),BE60,IF((AL60-1)&lt;AH60,-1,12*(YEAR((AL60-1))-YEAR(AH60))+MONTH((AL60-1))-MONTH(AH60)-IF(DAY((AL60-1))&lt;MIN(DAY(AH60),DAY(EOMONTH((AL60-1),0))),1,0))))</f>
        <v/>
      </c>
      <c r="BH60" s="14" t="str">
        <f aca="false">IF(AG60=0,"",IF(AP60="FT",IF(BF60&lt;FT_First,0,IF(BF60&lt;FT_Y5,1+INT((BF60-FT_First)/FT_Int1),FT_PreY5+FT_PerYear*INT((BF60-FT_Y5)/12)+FT_AnnivDays+INT(MOD(BF60-FT_Y5,12)/FT_Int2))),IF(AP60="PT",IF(BF60&lt;PT_First,0,1+INT((BF60-PT_First)/PT_Int)),0))+IF(AND(AI60&gt;=2,AK60&lt;=EOMONTH(AsOfDate,-1)),IF(AQ60="FT",IF(BG60&lt;FT_First,0,IF(BG60&lt;FT_Y5,1+INT((BG60-FT_First)/FT_Int1),FT_PreY5+FT_PerYear*INT((BG60-FT_Y5)/12)+FT_AnnivDays+INT(MOD(BG60-FT_Y5,12)/FT_Int2))),IF(AQ60="PT",IF(BG60&lt;PT_First,0,1+INT((BG60-PT_First)/PT_Int)),0))-IF(AQ60="FT",IF(BF60&lt;FT_First,0,IF(BF60&lt;FT_Y5,1+INT((BF60-FT_First)/FT_Int1),FT_PreY5+FT_PerYear*INT((BF60-FT_Y5)/12)+FT_AnnivDays+INT(MOD(BF60-FT_Y5,12)/FT_Int2))),IF(AQ60="PT",IF(BF60&lt;PT_First,0,1+INT((BF60-PT_First)/PT_Int)),0)),0)+IF(AND(AI60&gt;=3,AL60&lt;=EOMONTH(AsOfDate,-1)),IF(AR60="FT",IF(BE60&lt;FT_First,0,IF(BE60&lt;FT_Y5,1+INT((BE60-FT_First)/FT_Int1),FT_PreY5+FT_PerYear*INT((BE60-FT_Y5)/12)+FT_AnnivDays+INT(MOD(BE60-FT_Y5,12)/FT_Int2))),IF(AR60="PT",IF(BE60&lt;PT_First,0,1+INT((BE60-PT_First)/PT_Int)),0))-IF(AR60="FT",IF(BG60&lt;FT_First,0,IF(BG60&lt;FT_Y5,1+INT((BG60-FT_First)/FT_Int1),FT_PreY5+FT_PerYear*INT((BG60-FT_Y5)/12)+FT_AnnivDays+INT(MOD(BG60-FT_Y5,12)/FT_Int2))),IF(AR60="PT",IF(BG60&lt;PT_First,0,1+INT((BG60-PT_First)/PT_Int)),0)),0))</f>
        <v/>
      </c>
      <c r="BI60" s="14" t="str">
        <f aca="false">IF(AG60=0,"",IF(AS60="FT",IF(AT60&lt;FT_First,"",IF(AT60&lt;FT_Y5,FT_First+FT_Int1*INT((AT60-FT_First)/FT_Int1),FT_Y5+FT_Int2*INT((AT60-FT_Y5)/FT_Int2))),IF(AS60="PT",IF(AT60&lt;PT_First,"",PT_First+PT_Int*INT((AT60-PT_First)/PT_Int)),"")))</f>
        <v/>
      </c>
      <c r="BJ60" s="0" t="str">
        <f aca="false">IF(LEN($A60&amp;$B60)=0,"",$A60&amp;" "&amp;$B60)</f>
        <v/>
      </c>
    </row>
    <row r="61" customFormat="false" ht="15" hidden="false" customHeight="false" outlineLevel="0" collapsed="false">
      <c r="A61" s="10"/>
      <c r="B61" s="10"/>
      <c r="C61" s="10"/>
      <c r="D61" s="11"/>
      <c r="E61" s="12" t="str">
        <f aca="false">IF(OR(AG61=0,$D61=""),"",DATE(YEAR(AsOfDate)+IF(DATE(YEAR(AsOfDate),MONTH($D61),DAY($D61))&lt;=AsOfDate,1,0),MONTH($D61),DAY($D61)))</f>
        <v/>
      </c>
      <c r="F61" s="11"/>
      <c r="G61" s="11"/>
      <c r="H61" s="11"/>
      <c r="I61" s="11"/>
      <c r="J61" s="11"/>
      <c r="K61" s="12" t="str">
        <f aca="false">IF(AG61=0,"",DATE(YEAR(AsOfDate)+IF(DATE(YEAR(AsOfDate),MONTH(AH61),DAY(AH61))&lt;=AsOfDate,1,0),MONTH(AH61),DAY(AH61)))</f>
        <v/>
      </c>
      <c r="L61" s="13" t="str">
        <f aca="false">IF(AG61=0,"",ROUND((AsOfDate-AH61)/365.25,1))</f>
        <v/>
      </c>
      <c r="M61" s="14" t="str">
        <f aca="false">IF(AG61=0,"",IF(AsOfDate&lt;AH61,"-",DATEDIF(AH61,AsOfDate,"y")&amp;"y "&amp;DATEDIF(AH61,AsOfDate,"ym")&amp;"m "&amp;DATEDIF(AH61,AsOfDate,"md")&amp;"d"))</f>
        <v/>
      </c>
      <c r="N61" s="15" t="str">
        <f aca="false">IF(AG61=0,"",O61*HoursPerDay)</f>
        <v/>
      </c>
      <c r="O61" s="15" t="str">
        <f aca="false">IF(AG61=0,"",AZ61)</f>
        <v/>
      </c>
      <c r="P61" s="16"/>
      <c r="Q61" s="14" t="str">
        <f aca="false">IF(AG61=0,"",IF(AI61&lt;2,"",AM61&amp;" to "&amp;AN61&amp;" on "&amp;TEXT(AK61,"dd/mm/yyyy")&amp;IF(AK61&gt;AsOfDate," (future)",IF(AP61=AQ61,"",IF(AQ61="None"," - STOPPED accruing",IF(AP61="None"," - commencement for Bonus Leave"," - pathway changed"))))&amp;IF(AI61&lt;3,"","; "&amp;AN61&amp;" to "&amp;AO61&amp;" on "&amp;TEXT(AL61,"dd/mm/yyyy")&amp;IF(AL61&gt;AsOfDate," (future)",IF(AQ61=AR61,"",IF(AR61="None"," - STOPPED accruing",IF(AQ61="None"," - commencement for Bonus Leave"," - pathway changed")))))))</f>
        <v/>
      </c>
      <c r="R61" s="14" t="str">
        <f aca="false">IF(AG61=0,"",IF(AS61="None",IF(O61&gt;0,"No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2" t="str">
        <f aca="false">IF(AG61=0,"",IF(AS61="None","",EDATE(AH61,BB61)))</f>
        <v/>
      </c>
      <c r="T61" s="15" t="str">
        <f aca="false">IF(AG61=0,"",IF(NOT(LH_Ready),"",IF(AH61&gt;PFYDate,0,IF(LH_ColPeriod=0,W61-U61+V61,SUMIFS(INDEX(LH_Data,0,LH_ColAcc),INDEX(LH_Data,0,LH_ColFirst),$A61,INDEX(LH_Data,0,LH_ColSur),$B61,INDEX(LH_Data,0,LH_ColCat),BonusCat,INDEX(LH_Data,0,LH_ColPeriod),LH_OpenLabel)*UnitFactor))))</f>
        <v/>
      </c>
      <c r="U61" s="15" t="str">
        <f aca="false">IF(AG61=0,"",IF(NOT(LH_Ready),"",SUMIFS(INDEX(LH_Data,0,LH_ColAcc),INDEX(LH_Data,0,LH_ColFirst),$A61,INDEX(LH_Data,0,LH_ColSur),$B61,INDEX(LH_Data,0,LH_ColCat),BonusCat,INDEX(LH_Data,0,LH_ColStart),"&gt;="&amp;AH61)*UnitFactor))</f>
        <v/>
      </c>
      <c r="V61" s="15" t="str">
        <f aca="false">IF(AG61=0,"",IF(NOT(LH_Ready),"",SUMIFS(INDEX(LH_Data,0,LH_ColTaken),INDEX(LH_Data,0,LH_ColFirst),$A61,INDEX(LH_Data,0,LH_ColSur),$B61,INDEX(LH_Data,0,LH_ColCat),BonusCat,INDEX(LH_Data,0,LH_ColStart),"&gt;="&amp;AH61)*UnitFactor))</f>
        <v/>
      </c>
      <c r="W61" s="15" t="str">
        <f aca="false">IF(AG61=0,"",IF(NOT(LH_Ready),"",IF(BD61=0,0,INDEX(INDEX(LH_Data,0,LH_ColClose),BD61-1)*UnitFactor)))</f>
        <v/>
      </c>
      <c r="X61" s="15" t="str">
        <f aca="false">IF(AG61=0,"",(AZ61-BA61)*HoursPerDay)</f>
        <v/>
      </c>
      <c r="Y61" s="15" t="str">
        <f aca="false">IF(AG61=0,"",IF(NOT(LH_Ready),"",IF(BC61=0,N61,IF(PFYDate&lt;$F61,N61-N(T61)-N(U61),X61-N(U61)))))</f>
        <v/>
      </c>
      <c r="Z61" s="14" t="str">
        <f aca="false">IF(OR(AG61=0,Y61=""),"",IF(Y61&gt;0,"Yes","No"))</f>
        <v/>
      </c>
      <c r="AA61" s="14" t="str">
        <f aca="false">IF(AG61=0,IF(LEN($A61&amp;$B61)=0,"","FIX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month")&amp;IF(BC61=0,";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EH)",""),IF(AS61="None",R61,"Not yet - first day on "&amp;TEXT(S61,"dd/mm/yyyy")))))))))</f>
        <v/>
      </c>
      <c r="AB61" s="15" t="str">
        <f aca="false">IF(OR(AG61=0,T61=""),"",BA61*HoursPerDay-T61)</f>
        <v/>
      </c>
      <c r="AC61" s="14" t="str">
        <f aca="false">IF(AG61=0,"",BC61)</f>
        <v/>
      </c>
      <c r="AD61" s="14" t="str">
        <f aca="false">IF(AG61=0,"",TRIM(IF(OR(ISTEXT($F61),ISTEXT($H61),ISTEXT($I61),ISTEXT($G61),ISTEXT($J61),ISTEXT($D61)),"A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I61&gt;=1,IF(AI61&gt;=3,AO61,IF(AI61=2,AN61,AM61))&lt;&gt;IF($C61="","",IF(OR(ISNUMBER(SEARCH("full",$C61)),UPPER(TRIM($C61))="FT",UPPER(TRIM($C61))="FTE"),"Full-Time",IF(OR(ISNUMBER(SEARCH("part",$C61)),UPPER(TRIM($C61))="PT",UPPER(TRIM($C61))="PTE"),"Part-Time",IF(OR(ISNUMBER(SEARCH("cas",$C61)),UPPER(TRIM($C61))="CAS"),"Casual","Unknown"))))),"EmploymentType does not match latest start date ("&amp;IF(AI61&gt;=3,AO61,IF(AI61=2,AN61,AM61))&amp;"). ","")&amp;IF(AND(AI61&gt;=1,AJ61&lt;&gt;$F61),"Earliest type date should equal StartDate. ","")&amp;IF(AND(AI61&gt;=2,AJ61=AK61),"Two types start on the same date. ","")&amp;IF(AND(OR(ISNUMBER(SEARCH("part",$C61)),UPPER(TRIM($C61))="PT",UPPER(TRIM($C61))="PTE"),$P61=""),"Part-time: enter PT Hrs/Week (blank = 24+). ","")))</f>
        <v/>
      </c>
      <c r="AE61" s="15" t="str">
        <f aca="false">IF(AG61=0,"",O61-BH61)</f>
        <v/>
      </c>
      <c r="AF61" s="12" t="str">
        <f aca="false">IF(OR(AG61=0,AE61="",N(AE61)=0,BI61=""),"",EDATE(AH61,BI61))</f>
        <v/>
      </c>
      <c r="AG61" s="14" t="n">
        <f aca="false">IF(OR(LEN($A61&amp;$B61)=0,$F61=""),0,1)</f>
        <v>0</v>
      </c>
      <c r="AH61" s="12" t="str">
        <f aca="false">IF(AG61=0,"",IF($J61&lt;&gt;"",$J61,IF(OR(CasualCounts="Yes",COUNT($G61:$I61)=0,COUNT($H61:$I61)=0),$F61,MIN($H61:$I61))))</f>
        <v/>
      </c>
      <c r="AI61" s="14" t="str">
        <f aca="false">IF(AG61=0,"",COUNT($G61:$I61))</f>
        <v/>
      </c>
      <c r="AJ61" s="12" t="str">
        <f aca="false">IF(AG61=0,"",IFERROR(SMALL($G61:$I61,1),""))</f>
        <v/>
      </c>
      <c r="AK61" s="12" t="str">
        <f aca="false">IF(AG61=0,"",IFERROR(SMALL($G61:$I61,2),""))</f>
        <v/>
      </c>
      <c r="AL61" s="12" t="str">
        <f aca="false">IF(AG61=0,"",IFERROR(SMALL($G61:$I61,3),""))</f>
        <v/>
      </c>
      <c r="AM61" s="14" t="str">
        <f aca="false">IF(AG61=0,"",IF(AJ61="","",IF(AJ61=$H61,"Part-Time",IF(AJ61=$I61,"Full-Time","Casual"))))</f>
        <v/>
      </c>
      <c r="AN61" s="14" t="str">
        <f aca="false">IF(AG61=0,"",IF(AK61="","",IF(AK61=$H61,"Part-Time",IF(AK61=$I61,"Full-Time","Casual"))))</f>
        <v/>
      </c>
      <c r="AO61" s="14" t="str">
        <f aca="false">IF(AG61=0,"",IF(AL61="","",IF(AL61=$H61,"Part-Time",IF(AL61=$I61,"Full-Time","Casual"))))</f>
        <v/>
      </c>
      <c r="AP61" s="14" t="str">
        <f aca="false">IF(AG61=0,"",IF(AI61=0,IF(OR(ISNUMBER(SEARCH("full",$C61)),UPPER(TRIM($C61))="FT",UPPER(TRIM($C61))="FTE"),"FT",IF(AND(OR(ISNUMBER(SEARCH("part",$C61)),UPPER(TRIM($C61))="PT",UPPER(TRIM($C61))="PTE"),OR($P61="",N($P61)&gt;=PT_MinHours)),"PT","None")),IF(OR(ISNUMBER(SEARCH("full",AM61)),UPPER(TRIM(AM61))="FT",UPPER(TRIM(AM61))="FTE"),"FT",IF(AND(OR(ISNUMBER(SEARCH("part",AM61)),UPPER(TRIM(AM61))="PT",UPPER(TRIM(AM61))="PTE"),OR($P61="",N($P61)&gt;=PT_MinHours)),"PT","None"))))</f>
        <v/>
      </c>
      <c r="AQ61" s="14" t="str">
        <f aca="false">IF(AG61=0,"",IF(AI61&lt;2,"",IF(OR(ISNUMBER(SEARCH("full",AN61)),UPPER(TRIM(AN61))="FT",UPPER(TRIM(AN61))="FTE"),"FT",IF(AND(OR(ISNUMBER(SEARCH("part",AN61)),UPPER(TRIM(AN61))="PT",UPPER(TRIM(AN61))="PTE"),OR($P61="",N($P61)&gt;=PT_MinHours)),"PT","None"))))</f>
        <v/>
      </c>
      <c r="AR61" s="14" t="str">
        <f aca="false">IF(AG61=0,"",IF(AI61&lt;3,"",IF(OR(ISNUMBER(SEARCH("full",AO61)),UPPER(TRIM(AO61))="FT",UPPER(TRIM(AO61))="FTE"),"FT",IF(AND(OR(ISNUMBER(SEARCH("part",AO61)),UPPER(TRIM(AO61))="PT",UPPER(TRIM(AO61))="PTE"),OR($P61="",N($P61)&gt;=PT_MinHours)),"PT","None"))))</f>
        <v/>
      </c>
      <c r="AS61" s="14" t="str">
        <f aca="false">IF(AG61=0,"",IF(AND(AI61&gt;=3,AL61&lt;=AsOfDate),AR61,IF(AND(AI61&gt;=2,AK61&lt;=AsOfDate),AQ61,AP61)))</f>
        <v/>
      </c>
      <c r="AT61" s="14" t="str">
        <f aca="false">IF(AG61=0,"",IF(AsOfDate&lt;AH61,-1,12*(YEAR(AsOfDate)-YEAR(AH61))+MONTH(AsOfDate)-MONTH(AH61)-IF(DAY(AsOfDate)&lt;MIN(DAY(AH61),DAY(EOMONTH(AsOfDate,0))),1,0)))</f>
        <v/>
      </c>
      <c r="AU61" s="14" t="str">
        <f aca="false">IF(AG61=0,"",IF(OR(AI61&lt;2,AK61&gt;AsOfDate),AT61,IF((AK61-1)&lt;AH61,-1,12*(YEAR((AK61-1))-YEAR(AH61))+MONTH((AK61-1))-MONTH(AH61)-IF(DAY((AK61-1))&lt;MIN(DAY(AH61),DAY(EOMONTH((AK61-1),0))),1,0))))</f>
        <v/>
      </c>
      <c r="AV61" s="14" t="str">
        <f aca="false">IF(AG61=0,"",IF(OR(AI61&lt;3,AL61&gt;AsOfDate),AT61,IF((AL61-1)&lt;AH61,-1,12*(YEAR((AL61-1))-YEAR(AH61))+MONTH((AL61-1))-MONTH(AH61)-IF(DAY((AL61-1))&lt;MIN(DAY(AH61),DAY(EOMONTH((AL61-1),0))),1,0))))</f>
        <v/>
      </c>
      <c r="AW61" s="14" t="str">
        <f aca="false">IF(AG61=0,"",IF(PFYDate&lt;AH61,-1,12*(YEAR(PFYDate)-YEAR(AH61))+MONTH(PFYDate)-MONTH(AH61)-IF(DAY(PFYDate)&lt;MIN(DAY(AH61),DAY(EOMONTH(PFYDate,0))),1,0)))</f>
        <v/>
      </c>
      <c r="AX61" s="14" t="str">
        <f aca="false">IF(AG61=0,"",IF(OR(AI61&lt;2,AK61&gt;PFYDate),AW61,IF((AK61-1)&lt;AH61,-1,12*(YEAR((AK61-1))-YEAR(AH61))+MONTH((AK61-1))-MONTH(AH61)-IF(DAY((AK61-1))&lt;MIN(DAY(AH61),DAY(EOMONTH((AK61-1),0))),1,0))))</f>
        <v/>
      </c>
      <c r="AY61" s="14" t="str">
        <f aca="false">IF(AG61=0,"",IF(OR(AI61&lt;3,AL61&gt;PFYDate),AW61,IF((AL61-1)&lt;AH61,-1,12*(YEAR((AL61-1))-YEAR(AH61))+MONTH((AL61-1))-MONTH(AH61)-IF(DAY((AL61-1))&lt;MIN(DAY(AH61),DAY(EOMONTH((AL61-1),0))),1,0))))</f>
        <v/>
      </c>
      <c r="AZ61" s="14" t="str">
        <f aca="false">IF(AG61=0,"",IF(AP61="FT",IF(AU61&lt;FT_First,0,IF(AU61&lt;FT_Y5,1+INT((AU61-FT_First)/FT_Int1),FT_PreY5+FT_PerYear*INT((AU61-FT_Y5)/12)+FT_AnnivDays+INT(MOD(AU61-FT_Y5,12)/FT_Int2))),IF(AP61="PT",IF(AU61&lt;PT_First,0,1+INT((AU61-PT_First)/PT_Int)),0))+IF(AND(AI61&gt;=2,AK61&lt;=AsOfDate),IF(AQ61="FT",IF(AV61&lt;FT_First,0,IF(AV61&lt;FT_Y5,1+INT((AV61-FT_First)/FT_Int1),FT_PreY5+FT_PerYear*INT((AV61-FT_Y5)/12)+FT_AnnivDays+INT(MOD(AV61-FT_Y5,12)/FT_Int2))),IF(AQ61="PT",IF(AV61&lt;PT_First,0,1+INT((AV61-PT_First)/PT_Int)),0))-IF(AQ61="FT",IF(AU61&lt;FT_First,0,IF(AU61&lt;FT_Y5,1+INT((AU61-FT_First)/FT_Int1),FT_PreY5+FT_PerYear*INT((AU61-FT_Y5)/12)+FT_AnnivDays+INT(MOD(AU61-FT_Y5,12)/FT_Int2))),IF(AQ61="PT",IF(AU61&lt;PT_First,0,1+INT((AU61-PT_First)/PT_Int)),0)),0)+IF(AND(AI61&gt;=3,AL61&lt;=AsOfDate),IF(AR61="FT",IF(AT61&lt;FT_First,0,IF(AT61&lt;FT_Y5,1+INT((AT61-FT_First)/FT_Int1),FT_PreY5+FT_PerYear*INT((AT61-FT_Y5)/12)+FT_AnnivDays+INT(MOD(AT61-FT_Y5,12)/FT_Int2))),IF(AR61="PT",IF(AT61&lt;PT_First,0,1+INT((AT61-PT_First)/PT_Int)),0))-IF(AR61="FT",IF(AV61&lt;FT_First,0,IF(AV61&lt;FT_Y5,1+INT((AV61-FT_First)/FT_Int1),FT_PreY5+FT_PerYear*INT((AV61-FT_Y5)/12)+FT_AnnivDays+INT(MOD(AV61-FT_Y5,12)/FT_Int2))),IF(AR61="PT",IF(AV61&lt;PT_First,0,1+INT((AV61-PT_First)/PT_Int)),0)),0))</f>
        <v/>
      </c>
      <c r="BA61" s="14" t="str">
        <f aca="false">IF(AG61=0,"",IF(AP61="FT",IF(AX61&lt;FT_First,0,IF(AX61&lt;FT_Y5,1+INT((AX61-FT_First)/FT_Int1),FT_PreY5+FT_PerYear*INT((AX61-FT_Y5)/12)+FT_AnnivDays+INT(MOD(AX61-FT_Y5,12)/FT_Int2))),IF(AP61="PT",IF(AX61&lt;PT_First,0,1+INT((AX61-PT_First)/PT_Int)),0))+IF(AND(AI61&gt;=2,AK61&lt;=PFYDate),IF(AQ61="FT",IF(AY61&lt;FT_First,0,IF(AY61&lt;FT_Y5,1+INT((AY61-FT_First)/FT_Int1),FT_PreY5+FT_PerYear*INT((AY61-FT_Y5)/12)+FT_AnnivDays+INT(MOD(AY61-FT_Y5,12)/FT_Int2))),IF(AQ61="PT",IF(AY61&lt;PT_First,0,1+INT((AY61-PT_First)/PT_Int)),0))-IF(AQ61="FT",IF(AX61&lt;FT_First,0,IF(AX61&lt;FT_Y5,1+INT((AX61-FT_First)/FT_Int1),FT_PreY5+FT_PerYear*INT((AX61-FT_Y5)/12)+FT_AnnivDays+INT(MOD(AX61-FT_Y5,12)/FT_Int2))),IF(AQ61="PT",IF(AX61&lt;PT_First,0,1+INT((AX61-PT_First)/PT_Int)),0)),0)+IF(AND(AI61&gt;=3,AL61&lt;=PFYDate),IF(AR61="FT",IF(AW61&lt;FT_First,0,IF(AW61&lt;FT_Y5,1+INT((AW61-FT_First)/FT_Int1),FT_PreY5+FT_PerYear*INT((AW61-FT_Y5)/12)+FT_AnnivDays+INT(MOD(AW61-FT_Y5,12)/FT_Int2))),IF(AR61="PT",IF(AW61&lt;PT_First,0,1+INT((AW61-PT_First)/PT_Int)),0))-IF(AR61="FT",IF(AY61&lt;FT_First,0,IF(AY61&lt;FT_Y5,1+INT((AY61-FT_First)/FT_Int1),FT_PreY5+FT_PerYear*INT((AY61-FT_Y5)/12)+FT_AnnivDays+INT(MOD(AY61-FT_Y5,12)/FT_Int2))),IF(AR61="PT",IF(AY61&lt;PT_First,0,1+INT((AY61-PT_First)/PT_Int)),0)),0))</f>
        <v/>
      </c>
      <c r="BB61" s="14" t="str">
        <f aca="false">IF(AG61=0,"",IF(AS61="FT",IF(AT61&lt;FT_First,FT_First,IF(AT61&lt;FT_Y5,MIN(FT_Y5,FT_First+FT_Int1*(INT((AT61-FT_First)/FT_Int1)+1)),FT_Y5+12*INT((AT61-FT_Y5)/12)+FT_Int2*(INT(MOD(AT61-FT_Y5,12)/FT_Int2)+1))),IF(AS61="PT",IF(AT61&lt;PT_First,PT_First,PT_First+PT_Int*(INT((AT61-PT_First)/PT_Int)+1)),"")))</f>
        <v/>
      </c>
      <c r="BC61" s="14" t="str">
        <f aca="false">IF(AG61=0,"",IF(NOT(LH_Ready),0,COUNTIFS(INDEX(LH_Data,0,LH_ColFirst),$A61,INDEX(LH_Data,0,LH_ColSur),$B61,INDEX(LH_Data,0,LH_ColCat),BonusCat)))</f>
        <v/>
      </c>
      <c r="BD61" s="14" t="str">
        <f aca="false">IF(AG61=0,"",IF(OR(NOT(LH_Ready),BC61=0),0,SUMPRODUCT(MAX((INDEX(LH_Data,0,LH_ColFirst)=$A61)*(INDEX(LH_Data,0,LH_ColSur)=$B61)*(INDEX(LH_Data,0,LH_ColCat)=BonusCat)*ROW(LH_Data)))))</f>
        <v/>
      </c>
      <c r="BE61" s="14" t="str">
        <f aca="false">IF(AG61=0,"",IF(EOMONTH(AsOfDate,-1)&lt;AH61,-1,12*(YEAR(EOMONTH(AsOfDate,-1))-YEAR(AH61))+MONTH(EOMONTH(AsOfDate,-1))-MONTH(AH61)-IF(DAY(EOMONTH(AsOfDate,-1))&lt;MIN(DAY(AH61),DAY(EOMONTH(EOMONTH(AsOfDate,-1),0))),1,0)))</f>
        <v/>
      </c>
      <c r="BF61" s="14" t="str">
        <f aca="false">IF(AG61=0,"",IF(OR(AI61&lt;2,AK61&gt;EOMONTH(AsOfDate,-1)),BE61,IF((AK61-1)&lt;AH61,-1,12*(YEAR((AK61-1))-YEAR(AH61))+MONTH((AK61-1))-MONTH(AH61)-IF(DAY((AK61-1))&lt;MIN(DAY(AH61),DAY(EOMONTH((AK61-1),0))),1,0))))</f>
        <v/>
      </c>
      <c r="BG61" s="14" t="str">
        <f aca="false">IF(AG61=0,"",IF(OR(AI61&lt;3,AL61&gt;EOMONTH(AsOfDate,-1)),BE61,IF((AL61-1)&lt;AH61,-1,12*(YEAR((AL61-1))-YEAR(AH61))+MONTH((AL61-1))-MONTH(AH61)-IF(DAY((AL61-1))&lt;MIN(DAY(AH61),DAY(EOMONTH((AL61-1),0))),1,0))))</f>
        <v/>
      </c>
      <c r="BH61" s="14" t="str">
        <f aca="false">IF(AG61=0,"",IF(AP61="FT",IF(BF61&lt;FT_First,0,IF(BF61&lt;FT_Y5,1+INT((BF61-FT_First)/FT_Int1),FT_PreY5+FT_PerYear*INT((BF61-FT_Y5)/12)+FT_AnnivDays+INT(MOD(BF61-FT_Y5,12)/FT_Int2))),IF(AP61="PT",IF(BF61&lt;PT_First,0,1+INT((BF61-PT_First)/PT_Int)),0))+IF(AND(AI61&gt;=2,AK61&lt;=EOMONTH(AsOfDate,-1)),IF(AQ61="FT",IF(BG61&lt;FT_First,0,IF(BG61&lt;FT_Y5,1+INT((BG61-FT_First)/FT_Int1),FT_PreY5+FT_PerYear*INT((BG61-FT_Y5)/12)+FT_AnnivDays+INT(MOD(BG61-FT_Y5,12)/FT_Int2))),IF(AQ61="PT",IF(BG61&lt;PT_First,0,1+INT((BG61-PT_First)/PT_Int)),0))-IF(AQ61="FT",IF(BF61&lt;FT_First,0,IF(BF61&lt;FT_Y5,1+INT((BF61-FT_First)/FT_Int1),FT_PreY5+FT_PerYear*INT((BF61-FT_Y5)/12)+FT_AnnivDays+INT(MOD(BF61-FT_Y5,12)/FT_Int2))),IF(AQ61="PT",IF(BF61&lt;PT_First,0,1+INT((BF61-PT_First)/PT_Int)),0)),0)+IF(AND(AI61&gt;=3,AL61&lt;=EOMONTH(AsOfDate,-1)),IF(AR61="FT",IF(BE61&lt;FT_First,0,IF(BE61&lt;FT_Y5,1+INT((BE61-FT_First)/FT_Int1),FT_PreY5+FT_PerYear*INT((BE61-FT_Y5)/12)+FT_AnnivDays+INT(MOD(BE61-FT_Y5,12)/FT_Int2))),IF(AR61="PT",IF(BE61&lt;PT_First,0,1+INT((BE61-PT_First)/PT_Int)),0))-IF(AR61="FT",IF(BG61&lt;FT_First,0,IF(BG61&lt;FT_Y5,1+INT((BG61-FT_First)/FT_Int1),FT_PreY5+FT_PerYear*INT((BG61-FT_Y5)/12)+FT_AnnivDays+INT(MOD(BG61-FT_Y5,12)/FT_Int2))),IF(AR61="PT",IF(BG61&lt;PT_First,0,1+INT((BG61-PT_First)/PT_Int)),0)),0))</f>
        <v/>
      </c>
      <c r="BI61" s="14" t="str">
        <f aca="false">IF(AG61=0,"",IF(AS61="FT",IF(AT61&lt;FT_First,"",IF(AT61&lt;FT_Y5,FT_First+FT_Int1*INT((AT61-FT_First)/FT_Int1),FT_Y5+FT_Int2*INT((AT61-FT_Y5)/FT_Int2))),IF(AS61="PT",IF(AT61&lt;PT_First,"",PT_First+PT_Int*INT((AT61-PT_First)/PT_Int)),"")))</f>
        <v/>
      </c>
      <c r="BJ61" s="0" t="str">
        <f aca="false">IF(LEN($A61&amp;$B61)=0,"",$A61&amp;" "&amp;$B61)</f>
        <v/>
      </c>
    </row>
    <row r="62" customFormat="false" ht="15" hidden="false" customHeight="false" outlineLevel="0" collapsed="false">
      <c r="A62" s="10"/>
      <c r="B62" s="10"/>
      <c r="C62" s="10"/>
      <c r="D62" s="11"/>
      <c r="E62" s="12" t="str">
        <f aca="false">IF(OR(AG62=0,$D62=""),"",DATE(YEAR(AsOfDate)+IF(DATE(YEAR(AsOfDate),MONTH($D62),DAY($D62))&lt;=AsOfDate,1,0),MONTH($D62),DAY($D62)))</f>
        <v/>
      </c>
      <c r="F62" s="11"/>
      <c r="G62" s="11"/>
      <c r="H62" s="11"/>
      <c r="I62" s="11"/>
      <c r="J62" s="11"/>
      <c r="K62" s="12" t="str">
        <f aca="false">IF(AG62=0,"",DATE(YEAR(AsOfDate)+IF(DATE(YEAR(AsOfDate),MONTH(AH62),DAY(AH62))&lt;=AsOfDate,1,0),MONTH(AH62),DAY(AH62)))</f>
        <v/>
      </c>
      <c r="L62" s="13" t="str">
        <f aca="false">IF(AG62=0,"",ROUND((AsOfDate-AH62)/365.25,1))</f>
        <v/>
      </c>
      <c r="M62" s="14" t="str">
        <f aca="false">IF(AG62=0,"",IF(AsOfDate&lt;AH62,"-",DATEDIF(AH62,AsOfDate,"y")&amp;"y "&amp;DATEDIF(AH62,AsOfDate,"ym")&amp;"m "&amp;DATEDIF(AH62,AsOfDate,"md")&amp;"d"))</f>
        <v/>
      </c>
      <c r="N62" s="15" t="str">
        <f aca="false">IF(AG62=0,"",O62*HoursPerDay)</f>
        <v/>
      </c>
      <c r="O62" s="15" t="str">
        <f aca="false">IF(AG62=0,"",AZ62)</f>
        <v/>
      </c>
      <c r="P62" s="16"/>
      <c r="Q62" s="14" t="str">
        <f aca="false">IF(AG62=0,"",IF(AI62&lt;2,"",AM62&amp;" to "&amp;AN62&amp;" on "&amp;TEXT(AK62,"dd/mm/yyyy")&amp;IF(AK62&gt;AsOfDate," (future)",IF(AP62=AQ62,"",IF(AQ62="None"," - STOPPED accruing",IF(AP62="None"," - commencement for Bonus Leave"," - pathway changed"))))&amp;IF(AI62&lt;3,"","; "&amp;AN62&amp;" to "&amp;AO62&amp;" on "&amp;TEXT(AL62,"dd/mm/yyyy")&amp;IF(AL62&gt;AsOfDate," (future)",IF(AQ62=AR62,"",IF(AR62="None"," - STOPPED accruing",IF(AQ62="None"," - commencement for Bonus Leave"," - pathway changed")))))))</f>
        <v/>
      </c>
      <c r="R62" s="14" t="str">
        <f aca="false">IF(AG62=0,"",IF(AS62="None",IF(O62&gt;0,"No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2" t="str">
        <f aca="false">IF(AG62=0,"",IF(AS62="None","",EDATE(AH62,BB62)))</f>
        <v/>
      </c>
      <c r="T62" s="15" t="str">
        <f aca="false">IF(AG62=0,"",IF(NOT(LH_Ready),"",IF(AH62&gt;PFYDate,0,IF(LH_ColPeriod=0,W62-U62+V62,SUMIFS(INDEX(LH_Data,0,LH_ColAcc),INDEX(LH_Data,0,LH_ColFirst),$A62,INDEX(LH_Data,0,LH_ColSur),$B62,INDEX(LH_Data,0,LH_ColCat),BonusCat,INDEX(LH_Data,0,LH_ColPeriod),LH_OpenLabel)*UnitFactor))))</f>
        <v/>
      </c>
      <c r="U62" s="15" t="str">
        <f aca="false">IF(AG62=0,"",IF(NOT(LH_Ready),"",SUMIFS(INDEX(LH_Data,0,LH_ColAcc),INDEX(LH_Data,0,LH_ColFirst),$A62,INDEX(LH_Data,0,LH_ColSur),$B62,INDEX(LH_Data,0,LH_ColCat),BonusCat,INDEX(LH_Data,0,LH_ColStart),"&gt;="&amp;AH62)*UnitFactor))</f>
        <v/>
      </c>
      <c r="V62" s="15" t="str">
        <f aca="false">IF(AG62=0,"",IF(NOT(LH_Ready),"",SUMIFS(INDEX(LH_Data,0,LH_ColTaken),INDEX(LH_Data,0,LH_ColFirst),$A62,INDEX(LH_Data,0,LH_ColSur),$B62,INDEX(LH_Data,0,LH_ColCat),BonusCat,INDEX(LH_Data,0,LH_ColStart),"&gt;="&amp;AH62)*UnitFactor))</f>
        <v/>
      </c>
      <c r="W62" s="15" t="str">
        <f aca="false">IF(AG62=0,"",IF(NOT(LH_Ready),"",IF(BD62=0,0,INDEX(INDEX(LH_Data,0,LH_ColClose),BD62-1)*UnitFactor)))</f>
        <v/>
      </c>
      <c r="X62" s="15" t="str">
        <f aca="false">IF(AG62=0,"",(AZ62-BA62)*HoursPerDay)</f>
        <v/>
      </c>
      <c r="Y62" s="15" t="str">
        <f aca="false">IF(AG62=0,"",IF(NOT(LH_Ready),"",IF(BC62=0,N62,IF(PFYDate&lt;$F62,N62-N(T62)-N(U62),X62-N(U62)))))</f>
        <v/>
      </c>
      <c r="Z62" s="14" t="str">
        <f aca="false">IF(OR(AG62=0,Y62=""),"",IF(Y62&gt;0,"Yes","No"))</f>
        <v/>
      </c>
      <c r="AA62" s="14" t="str">
        <f aca="false">IF(AG62=0,IF(LEN($A62&amp;$B62)=0,"","FIX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month")&amp;IF(BC62=0,";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EH)",""),IF(AS62="None",R62,"Not yet - first day on "&amp;TEXT(S62,"dd/mm/yyyy")))))))))</f>
        <v/>
      </c>
      <c r="AB62" s="15" t="str">
        <f aca="false">IF(OR(AG62=0,T62=""),"",BA62*HoursPerDay-T62)</f>
        <v/>
      </c>
      <c r="AC62" s="14" t="str">
        <f aca="false">IF(AG62=0,"",BC62)</f>
        <v/>
      </c>
      <c r="AD62" s="14" t="str">
        <f aca="false">IF(AG62=0,"",TRIM(IF(OR(ISTEXT($F62),ISTEXT($H62),ISTEXT($I62),ISTEXT($G62),ISTEXT($J62),ISTEXT($D62)),"A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I62&gt;=1,IF(AI62&gt;=3,AO62,IF(AI62=2,AN62,AM62))&lt;&gt;IF($C62="","",IF(OR(ISNUMBER(SEARCH("full",$C62)),UPPER(TRIM($C62))="FT",UPPER(TRIM($C62))="FTE"),"Full-Time",IF(OR(ISNUMBER(SEARCH("part",$C62)),UPPER(TRIM($C62))="PT",UPPER(TRIM($C62))="PTE"),"Part-Time",IF(OR(ISNUMBER(SEARCH("cas",$C62)),UPPER(TRIM($C62))="CAS"),"Casual","Unknown"))))),"EmploymentType does not match latest start date ("&amp;IF(AI62&gt;=3,AO62,IF(AI62=2,AN62,AM62))&amp;"). ","")&amp;IF(AND(AI62&gt;=1,AJ62&lt;&gt;$F62),"Earliest type date should equal StartDate. ","")&amp;IF(AND(AI62&gt;=2,AJ62=AK62),"Two types start on the same date. ","")&amp;IF(AND(OR(ISNUMBER(SEARCH("part",$C62)),UPPER(TRIM($C62))="PT",UPPER(TRIM($C62))="PTE"),$P62=""),"Part-time: enter PT Hrs/Week (blank = 24+). ","")))</f>
        <v/>
      </c>
      <c r="AE62" s="15" t="str">
        <f aca="false">IF(AG62=0,"",O62-BH62)</f>
        <v/>
      </c>
      <c r="AF62" s="12" t="str">
        <f aca="false">IF(OR(AG62=0,AE62="",N(AE62)=0,BI62=""),"",EDATE(AH62,BI62))</f>
        <v/>
      </c>
      <c r="AG62" s="14" t="n">
        <f aca="false">IF(OR(LEN($A62&amp;$B62)=0,$F62=""),0,1)</f>
        <v>0</v>
      </c>
      <c r="AH62" s="12" t="str">
        <f aca="false">IF(AG62=0,"",IF($J62&lt;&gt;"",$J62,IF(OR(CasualCounts="Yes",COUNT($G62:$I62)=0,COUNT($H62:$I62)=0),$F62,MIN($H62:$I62))))</f>
        <v/>
      </c>
      <c r="AI62" s="14" t="str">
        <f aca="false">IF(AG62=0,"",COUNT($G62:$I62))</f>
        <v/>
      </c>
      <c r="AJ62" s="12" t="str">
        <f aca="false">IF(AG62=0,"",IFERROR(SMALL($G62:$I62,1),""))</f>
        <v/>
      </c>
      <c r="AK62" s="12" t="str">
        <f aca="false">IF(AG62=0,"",IFERROR(SMALL($G62:$I62,2),""))</f>
        <v/>
      </c>
      <c r="AL62" s="12" t="str">
        <f aca="false">IF(AG62=0,"",IFERROR(SMALL($G62:$I62,3),""))</f>
        <v/>
      </c>
      <c r="AM62" s="14" t="str">
        <f aca="false">IF(AG62=0,"",IF(AJ62="","",IF(AJ62=$H62,"Part-Time",IF(AJ62=$I62,"Full-Time","Casual"))))</f>
        <v/>
      </c>
      <c r="AN62" s="14" t="str">
        <f aca="false">IF(AG62=0,"",IF(AK62="","",IF(AK62=$H62,"Part-Time",IF(AK62=$I62,"Full-Time","Casual"))))</f>
        <v/>
      </c>
      <c r="AO62" s="14" t="str">
        <f aca="false">IF(AG62=0,"",IF(AL62="","",IF(AL62=$H62,"Part-Time",IF(AL62=$I62,"Full-Time","Casual"))))</f>
        <v/>
      </c>
      <c r="AP62" s="14" t="str">
        <f aca="false">IF(AG62=0,"",IF(AI62=0,IF(OR(ISNUMBER(SEARCH("full",$C62)),UPPER(TRIM($C62))="FT",UPPER(TRIM($C62))="FTE"),"FT",IF(AND(OR(ISNUMBER(SEARCH("part",$C62)),UPPER(TRIM($C62))="PT",UPPER(TRIM($C62))="PTE"),OR($P62="",N($P62)&gt;=PT_MinHours)),"PT","None")),IF(OR(ISNUMBER(SEARCH("full",AM62)),UPPER(TRIM(AM62))="FT",UPPER(TRIM(AM62))="FTE"),"FT",IF(AND(OR(ISNUMBER(SEARCH("part",AM62)),UPPER(TRIM(AM62))="PT",UPPER(TRIM(AM62))="PTE"),OR($P62="",N($P62)&gt;=PT_MinHours)),"PT","None"))))</f>
        <v/>
      </c>
      <c r="AQ62" s="14" t="str">
        <f aca="false">IF(AG62=0,"",IF(AI62&lt;2,"",IF(OR(ISNUMBER(SEARCH("full",AN62)),UPPER(TRIM(AN62))="FT",UPPER(TRIM(AN62))="FTE"),"FT",IF(AND(OR(ISNUMBER(SEARCH("part",AN62)),UPPER(TRIM(AN62))="PT",UPPER(TRIM(AN62))="PTE"),OR($P62="",N($P62)&gt;=PT_MinHours)),"PT","None"))))</f>
        <v/>
      </c>
      <c r="AR62" s="14" t="str">
        <f aca="false">IF(AG62=0,"",IF(AI62&lt;3,"",IF(OR(ISNUMBER(SEARCH("full",AO62)),UPPER(TRIM(AO62))="FT",UPPER(TRIM(AO62))="FTE"),"FT",IF(AND(OR(ISNUMBER(SEARCH("part",AO62)),UPPER(TRIM(AO62))="PT",UPPER(TRIM(AO62))="PTE"),OR($P62="",N($P62)&gt;=PT_MinHours)),"PT","None"))))</f>
        <v/>
      </c>
      <c r="AS62" s="14" t="str">
        <f aca="false">IF(AG62=0,"",IF(AND(AI62&gt;=3,AL62&lt;=AsOfDate),AR62,IF(AND(AI62&gt;=2,AK62&lt;=AsOfDate),AQ62,AP62)))</f>
        <v/>
      </c>
      <c r="AT62" s="14" t="str">
        <f aca="false">IF(AG62=0,"",IF(AsOfDate&lt;AH62,-1,12*(YEAR(AsOfDate)-YEAR(AH62))+MONTH(AsOfDate)-MONTH(AH62)-IF(DAY(AsOfDate)&lt;MIN(DAY(AH62),DAY(EOMONTH(AsOfDate,0))),1,0)))</f>
        <v/>
      </c>
      <c r="AU62" s="14" t="str">
        <f aca="false">IF(AG62=0,"",IF(OR(AI62&lt;2,AK62&gt;AsOfDate),AT62,IF((AK62-1)&lt;AH62,-1,12*(YEAR((AK62-1))-YEAR(AH62))+MONTH((AK62-1))-MONTH(AH62)-IF(DAY((AK62-1))&lt;MIN(DAY(AH62),DAY(EOMONTH((AK62-1),0))),1,0))))</f>
        <v/>
      </c>
      <c r="AV62" s="14" t="str">
        <f aca="false">IF(AG62=0,"",IF(OR(AI62&lt;3,AL62&gt;AsOfDate),AT62,IF((AL62-1)&lt;AH62,-1,12*(YEAR((AL62-1))-YEAR(AH62))+MONTH((AL62-1))-MONTH(AH62)-IF(DAY((AL62-1))&lt;MIN(DAY(AH62),DAY(EOMONTH((AL62-1),0))),1,0))))</f>
        <v/>
      </c>
      <c r="AW62" s="14" t="str">
        <f aca="false">IF(AG62=0,"",IF(PFYDate&lt;AH62,-1,12*(YEAR(PFYDate)-YEAR(AH62))+MONTH(PFYDate)-MONTH(AH62)-IF(DAY(PFYDate)&lt;MIN(DAY(AH62),DAY(EOMONTH(PFYDate,0))),1,0)))</f>
        <v/>
      </c>
      <c r="AX62" s="14" t="str">
        <f aca="false">IF(AG62=0,"",IF(OR(AI62&lt;2,AK62&gt;PFYDate),AW62,IF((AK62-1)&lt;AH62,-1,12*(YEAR((AK62-1))-YEAR(AH62))+MONTH((AK62-1))-MONTH(AH62)-IF(DAY((AK62-1))&lt;MIN(DAY(AH62),DAY(EOMONTH((AK62-1),0))),1,0))))</f>
        <v/>
      </c>
      <c r="AY62" s="14" t="str">
        <f aca="false">IF(AG62=0,"",IF(OR(AI62&lt;3,AL62&gt;PFYDate),AW62,IF((AL62-1)&lt;AH62,-1,12*(YEAR((AL62-1))-YEAR(AH62))+MONTH((AL62-1))-MONTH(AH62)-IF(DAY((AL62-1))&lt;MIN(DAY(AH62),DAY(EOMONTH((AL62-1),0))),1,0))))</f>
        <v/>
      </c>
      <c r="AZ62" s="14" t="str">
        <f aca="false">IF(AG62=0,"",IF(AP62="FT",IF(AU62&lt;FT_First,0,IF(AU62&lt;FT_Y5,1+INT((AU62-FT_First)/FT_Int1),FT_PreY5+FT_PerYear*INT((AU62-FT_Y5)/12)+FT_AnnivDays+INT(MOD(AU62-FT_Y5,12)/FT_Int2))),IF(AP62="PT",IF(AU62&lt;PT_First,0,1+INT((AU62-PT_First)/PT_Int)),0))+IF(AND(AI62&gt;=2,AK62&lt;=AsOfDate),IF(AQ62="FT",IF(AV62&lt;FT_First,0,IF(AV62&lt;FT_Y5,1+INT((AV62-FT_First)/FT_Int1),FT_PreY5+FT_PerYear*INT((AV62-FT_Y5)/12)+FT_AnnivDays+INT(MOD(AV62-FT_Y5,12)/FT_Int2))),IF(AQ62="PT",IF(AV62&lt;PT_First,0,1+INT((AV62-PT_First)/PT_Int)),0))-IF(AQ62="FT",IF(AU62&lt;FT_First,0,IF(AU62&lt;FT_Y5,1+INT((AU62-FT_First)/FT_Int1),FT_PreY5+FT_PerYear*INT((AU62-FT_Y5)/12)+FT_AnnivDays+INT(MOD(AU62-FT_Y5,12)/FT_Int2))),IF(AQ62="PT",IF(AU62&lt;PT_First,0,1+INT((AU62-PT_First)/PT_Int)),0)),0)+IF(AND(AI62&gt;=3,AL62&lt;=AsOfDate),IF(AR62="FT",IF(AT62&lt;FT_First,0,IF(AT62&lt;FT_Y5,1+INT((AT62-FT_First)/FT_Int1),FT_PreY5+FT_PerYear*INT((AT62-FT_Y5)/12)+FT_AnnivDays+INT(MOD(AT62-FT_Y5,12)/FT_Int2))),IF(AR62="PT",IF(AT62&lt;PT_First,0,1+INT((AT62-PT_First)/PT_Int)),0))-IF(AR62="FT",IF(AV62&lt;FT_First,0,IF(AV62&lt;FT_Y5,1+INT((AV62-FT_First)/FT_Int1),FT_PreY5+FT_PerYear*INT((AV62-FT_Y5)/12)+FT_AnnivDays+INT(MOD(AV62-FT_Y5,12)/FT_Int2))),IF(AR62="PT",IF(AV62&lt;PT_First,0,1+INT((AV62-PT_First)/PT_Int)),0)),0))</f>
        <v/>
      </c>
      <c r="BA62" s="14" t="str">
        <f aca="false">IF(AG62=0,"",IF(AP62="FT",IF(AX62&lt;FT_First,0,IF(AX62&lt;FT_Y5,1+INT((AX62-FT_First)/FT_Int1),FT_PreY5+FT_PerYear*INT((AX62-FT_Y5)/12)+FT_AnnivDays+INT(MOD(AX62-FT_Y5,12)/FT_Int2))),IF(AP62="PT",IF(AX62&lt;PT_First,0,1+INT((AX62-PT_First)/PT_Int)),0))+IF(AND(AI62&gt;=2,AK62&lt;=PFYDate),IF(AQ62="FT",IF(AY62&lt;FT_First,0,IF(AY62&lt;FT_Y5,1+INT((AY62-FT_First)/FT_Int1),FT_PreY5+FT_PerYear*INT((AY62-FT_Y5)/12)+FT_AnnivDays+INT(MOD(AY62-FT_Y5,12)/FT_Int2))),IF(AQ62="PT",IF(AY62&lt;PT_First,0,1+INT((AY62-PT_First)/PT_Int)),0))-IF(AQ62="FT",IF(AX62&lt;FT_First,0,IF(AX62&lt;FT_Y5,1+INT((AX62-FT_First)/FT_Int1),FT_PreY5+FT_PerYear*INT((AX62-FT_Y5)/12)+FT_AnnivDays+INT(MOD(AX62-FT_Y5,12)/FT_Int2))),IF(AQ62="PT",IF(AX62&lt;PT_First,0,1+INT((AX62-PT_First)/PT_Int)),0)),0)+IF(AND(AI62&gt;=3,AL62&lt;=PFYDate),IF(AR62="FT",IF(AW62&lt;FT_First,0,IF(AW62&lt;FT_Y5,1+INT((AW62-FT_First)/FT_Int1),FT_PreY5+FT_PerYear*INT((AW62-FT_Y5)/12)+FT_AnnivDays+INT(MOD(AW62-FT_Y5,12)/FT_Int2))),IF(AR62="PT",IF(AW62&lt;PT_First,0,1+INT((AW62-PT_First)/PT_Int)),0))-IF(AR62="FT",IF(AY62&lt;FT_First,0,IF(AY62&lt;FT_Y5,1+INT((AY62-FT_First)/FT_Int1),FT_PreY5+FT_PerYear*INT((AY62-FT_Y5)/12)+FT_AnnivDays+INT(MOD(AY62-FT_Y5,12)/FT_Int2))),IF(AR62="PT",IF(AY62&lt;PT_First,0,1+INT((AY62-PT_First)/PT_Int)),0)),0))</f>
        <v/>
      </c>
      <c r="BB62" s="14" t="str">
        <f aca="false">IF(AG62=0,"",IF(AS62="FT",IF(AT62&lt;FT_First,FT_First,IF(AT62&lt;FT_Y5,MIN(FT_Y5,FT_First+FT_Int1*(INT((AT62-FT_First)/FT_Int1)+1)),FT_Y5+12*INT((AT62-FT_Y5)/12)+FT_Int2*(INT(MOD(AT62-FT_Y5,12)/FT_Int2)+1))),IF(AS62="PT",IF(AT62&lt;PT_First,PT_First,PT_First+PT_Int*(INT((AT62-PT_First)/PT_Int)+1)),"")))</f>
        <v/>
      </c>
      <c r="BC62" s="14" t="str">
        <f aca="false">IF(AG62=0,"",IF(NOT(LH_Ready),0,COUNTIFS(INDEX(LH_Data,0,LH_ColFirst),$A62,INDEX(LH_Data,0,LH_ColSur),$B62,INDEX(LH_Data,0,LH_ColCat),BonusCat)))</f>
        <v/>
      </c>
      <c r="BD62" s="14" t="str">
        <f aca="false">IF(AG62=0,"",IF(OR(NOT(LH_Ready),BC62=0),0,SUMPRODUCT(MAX((INDEX(LH_Data,0,LH_ColFirst)=$A62)*(INDEX(LH_Data,0,LH_ColSur)=$B62)*(INDEX(LH_Data,0,LH_ColCat)=BonusCat)*ROW(LH_Data)))))</f>
        <v/>
      </c>
      <c r="BE62" s="14" t="str">
        <f aca="false">IF(AG62=0,"",IF(EOMONTH(AsOfDate,-1)&lt;AH62,-1,12*(YEAR(EOMONTH(AsOfDate,-1))-YEAR(AH62))+MONTH(EOMONTH(AsOfDate,-1))-MONTH(AH62)-IF(DAY(EOMONTH(AsOfDate,-1))&lt;MIN(DAY(AH62),DAY(EOMONTH(EOMONTH(AsOfDate,-1),0))),1,0)))</f>
        <v/>
      </c>
      <c r="BF62" s="14" t="str">
        <f aca="false">IF(AG62=0,"",IF(OR(AI62&lt;2,AK62&gt;EOMONTH(AsOfDate,-1)),BE62,IF((AK62-1)&lt;AH62,-1,12*(YEAR((AK62-1))-YEAR(AH62))+MONTH((AK62-1))-MONTH(AH62)-IF(DAY((AK62-1))&lt;MIN(DAY(AH62),DAY(EOMONTH((AK62-1),0))),1,0))))</f>
        <v/>
      </c>
      <c r="BG62" s="14" t="str">
        <f aca="false">IF(AG62=0,"",IF(OR(AI62&lt;3,AL62&gt;EOMONTH(AsOfDate,-1)),BE62,IF((AL62-1)&lt;AH62,-1,12*(YEAR((AL62-1))-YEAR(AH62))+MONTH((AL62-1))-MONTH(AH62)-IF(DAY((AL62-1))&lt;MIN(DAY(AH62),DAY(EOMONTH((AL62-1),0))),1,0))))</f>
        <v/>
      </c>
      <c r="BH62" s="14" t="str">
        <f aca="false">IF(AG62=0,"",IF(AP62="FT",IF(BF62&lt;FT_First,0,IF(BF62&lt;FT_Y5,1+INT((BF62-FT_First)/FT_Int1),FT_PreY5+FT_PerYear*INT((BF62-FT_Y5)/12)+FT_AnnivDays+INT(MOD(BF62-FT_Y5,12)/FT_Int2))),IF(AP62="PT",IF(BF62&lt;PT_First,0,1+INT((BF62-PT_First)/PT_Int)),0))+IF(AND(AI62&gt;=2,AK62&lt;=EOMONTH(AsOfDate,-1)),IF(AQ62="FT",IF(BG62&lt;FT_First,0,IF(BG62&lt;FT_Y5,1+INT((BG62-FT_First)/FT_Int1),FT_PreY5+FT_PerYear*INT((BG62-FT_Y5)/12)+FT_AnnivDays+INT(MOD(BG62-FT_Y5,12)/FT_Int2))),IF(AQ62="PT",IF(BG62&lt;PT_First,0,1+INT((BG62-PT_First)/PT_Int)),0))-IF(AQ62="FT",IF(BF62&lt;FT_First,0,IF(BF62&lt;FT_Y5,1+INT((BF62-FT_First)/FT_Int1),FT_PreY5+FT_PerYear*INT((BF62-FT_Y5)/12)+FT_AnnivDays+INT(MOD(BF62-FT_Y5,12)/FT_Int2))),IF(AQ62="PT",IF(BF62&lt;PT_First,0,1+INT((BF62-PT_First)/PT_Int)),0)),0)+IF(AND(AI62&gt;=3,AL62&lt;=EOMONTH(AsOfDate,-1)),IF(AR62="FT",IF(BE62&lt;FT_First,0,IF(BE62&lt;FT_Y5,1+INT((BE62-FT_First)/FT_Int1),FT_PreY5+FT_PerYear*INT((BE62-FT_Y5)/12)+FT_AnnivDays+INT(MOD(BE62-FT_Y5,12)/FT_Int2))),IF(AR62="PT",IF(BE62&lt;PT_First,0,1+INT((BE62-PT_First)/PT_Int)),0))-IF(AR62="FT",IF(BG62&lt;FT_First,0,IF(BG62&lt;FT_Y5,1+INT((BG62-FT_First)/FT_Int1),FT_PreY5+FT_PerYear*INT((BG62-FT_Y5)/12)+FT_AnnivDays+INT(MOD(BG62-FT_Y5,12)/FT_Int2))),IF(AR62="PT",IF(BG62&lt;PT_First,0,1+INT((BG62-PT_First)/PT_Int)),0)),0))</f>
        <v/>
      </c>
      <c r="BI62" s="14" t="str">
        <f aca="false">IF(AG62=0,"",IF(AS62="FT",IF(AT62&lt;FT_First,"",IF(AT62&lt;FT_Y5,FT_First+FT_Int1*INT((AT62-FT_First)/FT_Int1),FT_Y5+FT_Int2*INT((AT62-FT_Y5)/FT_Int2))),IF(AS62="PT",IF(AT62&lt;PT_First,"",PT_First+PT_Int*INT((AT62-PT_First)/PT_Int)),"")))</f>
        <v/>
      </c>
      <c r="BJ62" s="0" t="str">
        <f aca="false">IF(LEN($A62&amp;$B62)=0,"",$A62&amp;" "&amp;$B62)</f>
        <v/>
      </c>
    </row>
    <row r="63" customFormat="false" ht="15" hidden="false" customHeight="false" outlineLevel="0" collapsed="false">
      <c r="A63" s="10"/>
      <c r="B63" s="10"/>
      <c r="C63" s="10"/>
      <c r="D63" s="11"/>
      <c r="E63" s="12" t="str">
        <f aca="false">IF(OR(AG63=0,$D63=""),"",DATE(YEAR(AsOfDate)+IF(DATE(YEAR(AsOfDate),MONTH($D63),DAY($D63))&lt;=AsOfDate,1,0),MONTH($D63),DAY($D63)))</f>
        <v/>
      </c>
      <c r="F63" s="11"/>
      <c r="G63" s="11"/>
      <c r="H63" s="11"/>
      <c r="I63" s="11"/>
      <c r="J63" s="11"/>
      <c r="K63" s="12" t="str">
        <f aca="false">IF(AG63=0,"",DATE(YEAR(AsOfDate)+IF(DATE(YEAR(AsOfDate),MONTH(AH63),DAY(AH63))&lt;=AsOfDate,1,0),MONTH(AH63),DAY(AH63)))</f>
        <v/>
      </c>
      <c r="L63" s="13" t="str">
        <f aca="false">IF(AG63=0,"",ROUND((AsOfDate-AH63)/365.25,1))</f>
        <v/>
      </c>
      <c r="M63" s="14" t="str">
        <f aca="false">IF(AG63=0,"",IF(AsOfDate&lt;AH63,"-",DATEDIF(AH63,AsOfDate,"y")&amp;"y "&amp;DATEDIF(AH63,AsOfDate,"ym")&amp;"m "&amp;DATEDIF(AH63,AsOfDate,"md")&amp;"d"))</f>
        <v/>
      </c>
      <c r="N63" s="15" t="str">
        <f aca="false">IF(AG63=0,"",O63*HoursPerDay)</f>
        <v/>
      </c>
      <c r="O63" s="15" t="str">
        <f aca="false">IF(AG63=0,"",AZ63)</f>
        <v/>
      </c>
      <c r="P63" s="16"/>
      <c r="Q63" s="14" t="str">
        <f aca="false">IF(AG63=0,"",IF(AI63&lt;2,"",AM63&amp;" to "&amp;AN63&amp;" on "&amp;TEXT(AK63,"dd/mm/yyyy")&amp;IF(AK63&gt;AsOfDate," (future)",IF(AP63=AQ63,"",IF(AQ63="None"," - STOPPED accruing",IF(AP63="None"," - commencement for Bonus Leave"," - pathway changed"))))&amp;IF(AI63&lt;3,"","; "&amp;AN63&amp;" to "&amp;AO63&amp;" on "&amp;TEXT(AL63,"dd/mm/yyyy")&amp;IF(AL63&gt;AsOfDate," (future)",IF(AQ63=AR63,"",IF(AR63="None"," - STOPPED accruing",IF(AQ63="None"," - commencement for Bonus Leave"," - pathway changed")))))))</f>
        <v/>
      </c>
      <c r="R63" s="14" t="str">
        <f aca="false">IF(AG63=0,"",IF(AS63="None",IF(O63&gt;0,"No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2" t="str">
        <f aca="false">IF(AG63=0,"",IF(AS63="None","",EDATE(AH63,BB63)))</f>
        <v/>
      </c>
      <c r="T63" s="15" t="str">
        <f aca="false">IF(AG63=0,"",IF(NOT(LH_Ready),"",IF(AH63&gt;PFYDate,0,IF(LH_ColPeriod=0,W63-U63+V63,SUMIFS(INDEX(LH_Data,0,LH_ColAcc),INDEX(LH_Data,0,LH_ColFirst),$A63,INDEX(LH_Data,0,LH_ColSur),$B63,INDEX(LH_Data,0,LH_ColCat),BonusCat,INDEX(LH_Data,0,LH_ColPeriod),LH_OpenLabel)*UnitFactor))))</f>
        <v/>
      </c>
      <c r="U63" s="15" t="str">
        <f aca="false">IF(AG63=0,"",IF(NOT(LH_Ready),"",SUMIFS(INDEX(LH_Data,0,LH_ColAcc),INDEX(LH_Data,0,LH_ColFirst),$A63,INDEX(LH_Data,0,LH_ColSur),$B63,INDEX(LH_Data,0,LH_ColCat),BonusCat,INDEX(LH_Data,0,LH_ColStart),"&gt;="&amp;AH63)*UnitFactor))</f>
        <v/>
      </c>
      <c r="V63" s="15" t="str">
        <f aca="false">IF(AG63=0,"",IF(NOT(LH_Ready),"",SUMIFS(INDEX(LH_Data,0,LH_ColTaken),INDEX(LH_Data,0,LH_ColFirst),$A63,INDEX(LH_Data,0,LH_ColSur),$B63,INDEX(LH_Data,0,LH_ColCat),BonusCat,INDEX(LH_Data,0,LH_ColStart),"&gt;="&amp;AH63)*UnitFactor))</f>
        <v/>
      </c>
      <c r="W63" s="15" t="str">
        <f aca="false">IF(AG63=0,"",IF(NOT(LH_Ready),"",IF(BD63=0,0,INDEX(INDEX(LH_Data,0,LH_ColClose),BD63-1)*UnitFactor)))</f>
        <v/>
      </c>
      <c r="X63" s="15" t="str">
        <f aca="false">IF(AG63=0,"",(AZ63-BA63)*HoursPerDay)</f>
        <v/>
      </c>
      <c r="Y63" s="15" t="str">
        <f aca="false">IF(AG63=0,"",IF(NOT(LH_Ready),"",IF(BC63=0,N63,IF(PFYDate&lt;$F63,N63-N(T63)-N(U63),X63-N(U63)))))</f>
        <v/>
      </c>
      <c r="Z63" s="14" t="str">
        <f aca="false">IF(OR(AG63=0,Y63=""),"",IF(Y63&gt;0,"Yes","No"))</f>
        <v/>
      </c>
      <c r="AA63" s="14" t="str">
        <f aca="false">IF(AG63=0,IF(LEN($A63&amp;$B63)=0,"","FIX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month")&amp;IF(BC63=0,";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EH)",""),IF(AS63="None",R63,"Not yet - first day on "&amp;TEXT(S63,"dd/mm/yyyy")))))))))</f>
        <v/>
      </c>
      <c r="AB63" s="15" t="str">
        <f aca="false">IF(OR(AG63=0,T63=""),"",BA63*HoursPerDay-T63)</f>
        <v/>
      </c>
      <c r="AC63" s="14" t="str">
        <f aca="false">IF(AG63=0,"",BC63)</f>
        <v/>
      </c>
      <c r="AD63" s="14" t="str">
        <f aca="false">IF(AG63=0,"",TRIM(IF(OR(ISTEXT($F63),ISTEXT($H63),ISTEXT($I63),ISTEXT($G63),ISTEXT($J63),ISTEXT($D63)),"A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I63&gt;=1,IF(AI63&gt;=3,AO63,IF(AI63=2,AN63,AM63))&lt;&gt;IF($C63="","",IF(OR(ISNUMBER(SEARCH("full",$C63)),UPPER(TRIM($C63))="FT",UPPER(TRIM($C63))="FTE"),"Full-Time",IF(OR(ISNUMBER(SEARCH("part",$C63)),UPPER(TRIM($C63))="PT",UPPER(TRIM($C63))="PTE"),"Part-Time",IF(OR(ISNUMBER(SEARCH("cas",$C63)),UPPER(TRIM($C63))="CAS"),"Casual","Unknown"))))),"EmploymentType does not match latest start date ("&amp;IF(AI63&gt;=3,AO63,IF(AI63=2,AN63,AM63))&amp;"). ","")&amp;IF(AND(AI63&gt;=1,AJ63&lt;&gt;$F63),"Earliest type date should equal StartDate. ","")&amp;IF(AND(AI63&gt;=2,AJ63=AK63),"Two types start on the same date. ","")&amp;IF(AND(OR(ISNUMBER(SEARCH("part",$C63)),UPPER(TRIM($C63))="PT",UPPER(TRIM($C63))="PTE"),$P63=""),"Part-time: enter PT Hrs/Week (blank = 24+). ","")))</f>
        <v/>
      </c>
      <c r="AE63" s="15" t="str">
        <f aca="false">IF(AG63=0,"",O63-BH63)</f>
        <v/>
      </c>
      <c r="AF63" s="12" t="str">
        <f aca="false">IF(OR(AG63=0,AE63="",N(AE63)=0,BI63=""),"",EDATE(AH63,BI63))</f>
        <v/>
      </c>
      <c r="AG63" s="14" t="n">
        <f aca="false">IF(OR(LEN($A63&amp;$B63)=0,$F63=""),0,1)</f>
        <v>0</v>
      </c>
      <c r="AH63" s="12" t="str">
        <f aca="false">IF(AG63=0,"",IF($J63&lt;&gt;"",$J63,IF(OR(CasualCounts="Yes",COUNT($G63:$I63)=0,COUNT($H63:$I63)=0),$F63,MIN($H63:$I63))))</f>
        <v/>
      </c>
      <c r="AI63" s="14" t="str">
        <f aca="false">IF(AG63=0,"",COUNT($G63:$I63))</f>
        <v/>
      </c>
      <c r="AJ63" s="12" t="str">
        <f aca="false">IF(AG63=0,"",IFERROR(SMALL($G63:$I63,1),""))</f>
        <v/>
      </c>
      <c r="AK63" s="12" t="str">
        <f aca="false">IF(AG63=0,"",IFERROR(SMALL($G63:$I63,2),""))</f>
        <v/>
      </c>
      <c r="AL63" s="12" t="str">
        <f aca="false">IF(AG63=0,"",IFERROR(SMALL($G63:$I63,3),""))</f>
        <v/>
      </c>
      <c r="AM63" s="14" t="str">
        <f aca="false">IF(AG63=0,"",IF(AJ63="","",IF(AJ63=$H63,"Part-Time",IF(AJ63=$I63,"Full-Time","Casual"))))</f>
        <v/>
      </c>
      <c r="AN63" s="14" t="str">
        <f aca="false">IF(AG63=0,"",IF(AK63="","",IF(AK63=$H63,"Part-Time",IF(AK63=$I63,"Full-Time","Casual"))))</f>
        <v/>
      </c>
      <c r="AO63" s="14" t="str">
        <f aca="false">IF(AG63=0,"",IF(AL63="","",IF(AL63=$H63,"Part-Time",IF(AL63=$I63,"Full-Time","Casual"))))</f>
        <v/>
      </c>
      <c r="AP63" s="14" t="str">
        <f aca="false">IF(AG63=0,"",IF(AI63=0,IF(OR(ISNUMBER(SEARCH("full",$C63)),UPPER(TRIM($C63))="FT",UPPER(TRIM($C63))="FTE"),"FT",IF(AND(OR(ISNUMBER(SEARCH("part",$C63)),UPPER(TRIM($C63))="PT",UPPER(TRIM($C63))="PTE"),OR($P63="",N($P63)&gt;=PT_MinHours)),"PT","None")),IF(OR(ISNUMBER(SEARCH("full",AM63)),UPPER(TRIM(AM63))="FT",UPPER(TRIM(AM63))="FTE"),"FT",IF(AND(OR(ISNUMBER(SEARCH("part",AM63)),UPPER(TRIM(AM63))="PT",UPPER(TRIM(AM63))="PTE"),OR($P63="",N($P63)&gt;=PT_MinHours)),"PT","None"))))</f>
        <v/>
      </c>
      <c r="AQ63" s="14" t="str">
        <f aca="false">IF(AG63=0,"",IF(AI63&lt;2,"",IF(OR(ISNUMBER(SEARCH("full",AN63)),UPPER(TRIM(AN63))="FT",UPPER(TRIM(AN63))="FTE"),"FT",IF(AND(OR(ISNUMBER(SEARCH("part",AN63)),UPPER(TRIM(AN63))="PT",UPPER(TRIM(AN63))="PTE"),OR($P63="",N($P63)&gt;=PT_MinHours)),"PT","None"))))</f>
        <v/>
      </c>
      <c r="AR63" s="14" t="str">
        <f aca="false">IF(AG63=0,"",IF(AI63&lt;3,"",IF(OR(ISNUMBER(SEARCH("full",AO63)),UPPER(TRIM(AO63))="FT",UPPER(TRIM(AO63))="FTE"),"FT",IF(AND(OR(ISNUMBER(SEARCH("part",AO63)),UPPER(TRIM(AO63))="PT",UPPER(TRIM(AO63))="PTE"),OR($P63="",N($P63)&gt;=PT_MinHours)),"PT","None"))))</f>
        <v/>
      </c>
      <c r="AS63" s="14" t="str">
        <f aca="false">IF(AG63=0,"",IF(AND(AI63&gt;=3,AL63&lt;=AsOfDate),AR63,IF(AND(AI63&gt;=2,AK63&lt;=AsOfDate),AQ63,AP63)))</f>
        <v/>
      </c>
      <c r="AT63" s="14" t="str">
        <f aca="false">IF(AG63=0,"",IF(AsOfDate&lt;AH63,-1,12*(YEAR(AsOfDate)-YEAR(AH63))+MONTH(AsOfDate)-MONTH(AH63)-IF(DAY(AsOfDate)&lt;MIN(DAY(AH63),DAY(EOMONTH(AsOfDate,0))),1,0)))</f>
        <v/>
      </c>
      <c r="AU63" s="14" t="str">
        <f aca="false">IF(AG63=0,"",IF(OR(AI63&lt;2,AK63&gt;AsOfDate),AT63,IF((AK63-1)&lt;AH63,-1,12*(YEAR((AK63-1))-YEAR(AH63))+MONTH((AK63-1))-MONTH(AH63)-IF(DAY((AK63-1))&lt;MIN(DAY(AH63),DAY(EOMONTH((AK63-1),0))),1,0))))</f>
        <v/>
      </c>
      <c r="AV63" s="14" t="str">
        <f aca="false">IF(AG63=0,"",IF(OR(AI63&lt;3,AL63&gt;AsOfDate),AT63,IF((AL63-1)&lt;AH63,-1,12*(YEAR((AL63-1))-YEAR(AH63))+MONTH((AL63-1))-MONTH(AH63)-IF(DAY((AL63-1))&lt;MIN(DAY(AH63),DAY(EOMONTH((AL63-1),0))),1,0))))</f>
        <v/>
      </c>
      <c r="AW63" s="14" t="str">
        <f aca="false">IF(AG63=0,"",IF(PFYDate&lt;AH63,-1,12*(YEAR(PFYDate)-YEAR(AH63))+MONTH(PFYDate)-MONTH(AH63)-IF(DAY(PFYDate)&lt;MIN(DAY(AH63),DAY(EOMONTH(PFYDate,0))),1,0)))</f>
        <v/>
      </c>
      <c r="AX63" s="14" t="str">
        <f aca="false">IF(AG63=0,"",IF(OR(AI63&lt;2,AK63&gt;PFYDate),AW63,IF((AK63-1)&lt;AH63,-1,12*(YEAR((AK63-1))-YEAR(AH63))+MONTH((AK63-1))-MONTH(AH63)-IF(DAY((AK63-1))&lt;MIN(DAY(AH63),DAY(EOMONTH((AK63-1),0))),1,0))))</f>
        <v/>
      </c>
      <c r="AY63" s="14" t="str">
        <f aca="false">IF(AG63=0,"",IF(OR(AI63&lt;3,AL63&gt;PFYDate),AW63,IF((AL63-1)&lt;AH63,-1,12*(YEAR((AL63-1))-YEAR(AH63))+MONTH((AL63-1))-MONTH(AH63)-IF(DAY((AL63-1))&lt;MIN(DAY(AH63),DAY(EOMONTH((AL63-1),0))),1,0))))</f>
        <v/>
      </c>
      <c r="AZ63" s="14" t="str">
        <f aca="false">IF(AG63=0,"",IF(AP63="FT",IF(AU63&lt;FT_First,0,IF(AU63&lt;FT_Y5,1+INT((AU63-FT_First)/FT_Int1),FT_PreY5+FT_PerYear*INT((AU63-FT_Y5)/12)+FT_AnnivDays+INT(MOD(AU63-FT_Y5,12)/FT_Int2))),IF(AP63="PT",IF(AU63&lt;PT_First,0,1+INT((AU63-PT_First)/PT_Int)),0))+IF(AND(AI63&gt;=2,AK63&lt;=AsOfDate),IF(AQ63="FT",IF(AV63&lt;FT_First,0,IF(AV63&lt;FT_Y5,1+INT((AV63-FT_First)/FT_Int1),FT_PreY5+FT_PerYear*INT((AV63-FT_Y5)/12)+FT_AnnivDays+INT(MOD(AV63-FT_Y5,12)/FT_Int2))),IF(AQ63="PT",IF(AV63&lt;PT_First,0,1+INT((AV63-PT_First)/PT_Int)),0))-IF(AQ63="FT",IF(AU63&lt;FT_First,0,IF(AU63&lt;FT_Y5,1+INT((AU63-FT_First)/FT_Int1),FT_PreY5+FT_PerYear*INT((AU63-FT_Y5)/12)+FT_AnnivDays+INT(MOD(AU63-FT_Y5,12)/FT_Int2))),IF(AQ63="PT",IF(AU63&lt;PT_First,0,1+INT((AU63-PT_First)/PT_Int)),0)),0)+IF(AND(AI63&gt;=3,AL63&lt;=AsOfDate),IF(AR63="FT",IF(AT63&lt;FT_First,0,IF(AT63&lt;FT_Y5,1+INT((AT63-FT_First)/FT_Int1),FT_PreY5+FT_PerYear*INT((AT63-FT_Y5)/12)+FT_AnnivDays+INT(MOD(AT63-FT_Y5,12)/FT_Int2))),IF(AR63="PT",IF(AT63&lt;PT_First,0,1+INT((AT63-PT_First)/PT_Int)),0))-IF(AR63="FT",IF(AV63&lt;FT_First,0,IF(AV63&lt;FT_Y5,1+INT((AV63-FT_First)/FT_Int1),FT_PreY5+FT_PerYear*INT((AV63-FT_Y5)/12)+FT_AnnivDays+INT(MOD(AV63-FT_Y5,12)/FT_Int2))),IF(AR63="PT",IF(AV63&lt;PT_First,0,1+INT((AV63-PT_First)/PT_Int)),0)),0))</f>
        <v/>
      </c>
      <c r="BA63" s="14" t="str">
        <f aca="false">IF(AG63=0,"",IF(AP63="FT",IF(AX63&lt;FT_First,0,IF(AX63&lt;FT_Y5,1+INT((AX63-FT_First)/FT_Int1),FT_PreY5+FT_PerYear*INT((AX63-FT_Y5)/12)+FT_AnnivDays+INT(MOD(AX63-FT_Y5,12)/FT_Int2))),IF(AP63="PT",IF(AX63&lt;PT_First,0,1+INT((AX63-PT_First)/PT_Int)),0))+IF(AND(AI63&gt;=2,AK63&lt;=PFYDate),IF(AQ63="FT",IF(AY63&lt;FT_First,0,IF(AY63&lt;FT_Y5,1+INT((AY63-FT_First)/FT_Int1),FT_PreY5+FT_PerYear*INT((AY63-FT_Y5)/12)+FT_AnnivDays+INT(MOD(AY63-FT_Y5,12)/FT_Int2))),IF(AQ63="PT",IF(AY63&lt;PT_First,0,1+INT((AY63-PT_First)/PT_Int)),0))-IF(AQ63="FT",IF(AX63&lt;FT_First,0,IF(AX63&lt;FT_Y5,1+INT((AX63-FT_First)/FT_Int1),FT_PreY5+FT_PerYear*INT((AX63-FT_Y5)/12)+FT_AnnivDays+INT(MOD(AX63-FT_Y5,12)/FT_Int2))),IF(AQ63="PT",IF(AX63&lt;PT_First,0,1+INT((AX63-PT_First)/PT_Int)),0)),0)+IF(AND(AI63&gt;=3,AL63&lt;=PFYDate),IF(AR63="FT",IF(AW63&lt;FT_First,0,IF(AW63&lt;FT_Y5,1+INT((AW63-FT_First)/FT_Int1),FT_PreY5+FT_PerYear*INT((AW63-FT_Y5)/12)+FT_AnnivDays+INT(MOD(AW63-FT_Y5,12)/FT_Int2))),IF(AR63="PT",IF(AW63&lt;PT_First,0,1+INT((AW63-PT_First)/PT_Int)),0))-IF(AR63="FT",IF(AY63&lt;FT_First,0,IF(AY63&lt;FT_Y5,1+INT((AY63-FT_First)/FT_Int1),FT_PreY5+FT_PerYear*INT((AY63-FT_Y5)/12)+FT_AnnivDays+INT(MOD(AY63-FT_Y5,12)/FT_Int2))),IF(AR63="PT",IF(AY63&lt;PT_First,0,1+INT((AY63-PT_First)/PT_Int)),0)),0))</f>
        <v/>
      </c>
      <c r="BB63" s="14" t="str">
        <f aca="false">IF(AG63=0,"",IF(AS63="FT",IF(AT63&lt;FT_First,FT_First,IF(AT63&lt;FT_Y5,MIN(FT_Y5,FT_First+FT_Int1*(INT((AT63-FT_First)/FT_Int1)+1)),FT_Y5+12*INT((AT63-FT_Y5)/12)+FT_Int2*(INT(MOD(AT63-FT_Y5,12)/FT_Int2)+1))),IF(AS63="PT",IF(AT63&lt;PT_First,PT_First,PT_First+PT_Int*(INT((AT63-PT_First)/PT_Int)+1)),"")))</f>
        <v/>
      </c>
      <c r="BC63" s="14" t="str">
        <f aca="false">IF(AG63=0,"",IF(NOT(LH_Ready),0,COUNTIFS(INDEX(LH_Data,0,LH_ColFirst),$A63,INDEX(LH_Data,0,LH_ColSur),$B63,INDEX(LH_Data,0,LH_ColCat),BonusCat)))</f>
        <v/>
      </c>
      <c r="BD63" s="14" t="str">
        <f aca="false">IF(AG63=0,"",IF(OR(NOT(LH_Ready),BC63=0),0,SUMPRODUCT(MAX((INDEX(LH_Data,0,LH_ColFirst)=$A63)*(INDEX(LH_Data,0,LH_ColSur)=$B63)*(INDEX(LH_Data,0,LH_ColCat)=BonusCat)*ROW(LH_Data)))))</f>
        <v/>
      </c>
      <c r="BE63" s="14" t="str">
        <f aca="false">IF(AG63=0,"",IF(EOMONTH(AsOfDate,-1)&lt;AH63,-1,12*(YEAR(EOMONTH(AsOfDate,-1))-YEAR(AH63))+MONTH(EOMONTH(AsOfDate,-1))-MONTH(AH63)-IF(DAY(EOMONTH(AsOfDate,-1))&lt;MIN(DAY(AH63),DAY(EOMONTH(EOMONTH(AsOfDate,-1),0))),1,0)))</f>
        <v/>
      </c>
      <c r="BF63" s="14" t="str">
        <f aca="false">IF(AG63=0,"",IF(OR(AI63&lt;2,AK63&gt;EOMONTH(AsOfDate,-1)),BE63,IF((AK63-1)&lt;AH63,-1,12*(YEAR((AK63-1))-YEAR(AH63))+MONTH((AK63-1))-MONTH(AH63)-IF(DAY((AK63-1))&lt;MIN(DAY(AH63),DAY(EOMONTH((AK63-1),0))),1,0))))</f>
        <v/>
      </c>
      <c r="BG63" s="14" t="str">
        <f aca="false">IF(AG63=0,"",IF(OR(AI63&lt;3,AL63&gt;EOMONTH(AsOfDate,-1)),BE63,IF((AL63-1)&lt;AH63,-1,12*(YEAR((AL63-1))-YEAR(AH63))+MONTH((AL63-1))-MONTH(AH63)-IF(DAY((AL63-1))&lt;MIN(DAY(AH63),DAY(EOMONTH((AL63-1),0))),1,0))))</f>
        <v/>
      </c>
      <c r="BH63" s="14" t="str">
        <f aca="false">IF(AG63=0,"",IF(AP63="FT",IF(BF63&lt;FT_First,0,IF(BF63&lt;FT_Y5,1+INT((BF63-FT_First)/FT_Int1),FT_PreY5+FT_PerYear*INT((BF63-FT_Y5)/12)+FT_AnnivDays+INT(MOD(BF63-FT_Y5,12)/FT_Int2))),IF(AP63="PT",IF(BF63&lt;PT_First,0,1+INT((BF63-PT_First)/PT_Int)),0))+IF(AND(AI63&gt;=2,AK63&lt;=EOMONTH(AsOfDate,-1)),IF(AQ63="FT",IF(BG63&lt;FT_First,0,IF(BG63&lt;FT_Y5,1+INT((BG63-FT_First)/FT_Int1),FT_PreY5+FT_PerYear*INT((BG63-FT_Y5)/12)+FT_AnnivDays+INT(MOD(BG63-FT_Y5,12)/FT_Int2))),IF(AQ63="PT",IF(BG63&lt;PT_First,0,1+INT((BG63-PT_First)/PT_Int)),0))-IF(AQ63="FT",IF(BF63&lt;FT_First,0,IF(BF63&lt;FT_Y5,1+INT((BF63-FT_First)/FT_Int1),FT_PreY5+FT_PerYear*INT((BF63-FT_Y5)/12)+FT_AnnivDays+INT(MOD(BF63-FT_Y5,12)/FT_Int2))),IF(AQ63="PT",IF(BF63&lt;PT_First,0,1+INT((BF63-PT_First)/PT_Int)),0)),0)+IF(AND(AI63&gt;=3,AL63&lt;=EOMONTH(AsOfDate,-1)),IF(AR63="FT",IF(BE63&lt;FT_First,0,IF(BE63&lt;FT_Y5,1+INT((BE63-FT_First)/FT_Int1),FT_PreY5+FT_PerYear*INT((BE63-FT_Y5)/12)+FT_AnnivDays+INT(MOD(BE63-FT_Y5,12)/FT_Int2))),IF(AR63="PT",IF(BE63&lt;PT_First,0,1+INT((BE63-PT_First)/PT_Int)),0))-IF(AR63="FT",IF(BG63&lt;FT_First,0,IF(BG63&lt;FT_Y5,1+INT((BG63-FT_First)/FT_Int1),FT_PreY5+FT_PerYear*INT((BG63-FT_Y5)/12)+FT_AnnivDays+INT(MOD(BG63-FT_Y5,12)/FT_Int2))),IF(AR63="PT",IF(BG63&lt;PT_First,0,1+INT((BG63-PT_First)/PT_Int)),0)),0))</f>
        <v/>
      </c>
      <c r="BI63" s="14" t="str">
        <f aca="false">IF(AG63=0,"",IF(AS63="FT",IF(AT63&lt;FT_First,"",IF(AT63&lt;FT_Y5,FT_First+FT_Int1*INT((AT63-FT_First)/FT_Int1),FT_Y5+FT_Int2*INT((AT63-FT_Y5)/FT_Int2))),IF(AS63="PT",IF(AT63&lt;PT_First,"",PT_First+PT_Int*INT((AT63-PT_First)/PT_Int)),"")))</f>
        <v/>
      </c>
      <c r="BJ63" s="0" t="str">
        <f aca="false">IF(LEN($A63&amp;$B63)=0,"",$A63&amp;" "&amp;$B63)</f>
        <v/>
      </c>
    </row>
    <row r="64" customFormat="false" ht="15" hidden="false" customHeight="false" outlineLevel="0" collapsed="false">
      <c r="A64" s="10"/>
      <c r="B64" s="10"/>
      <c r="C64" s="10"/>
      <c r="D64" s="11"/>
      <c r="E64" s="12" t="str">
        <f aca="false">IF(OR(AG64=0,$D64=""),"",DATE(YEAR(AsOfDate)+IF(DATE(YEAR(AsOfDate),MONTH($D64),DAY($D64))&lt;=AsOfDate,1,0),MONTH($D64),DAY($D64)))</f>
        <v/>
      </c>
      <c r="F64" s="11"/>
      <c r="G64" s="11"/>
      <c r="H64" s="11"/>
      <c r="I64" s="11"/>
      <c r="J64" s="11"/>
      <c r="K64" s="12" t="str">
        <f aca="false">IF(AG64=0,"",DATE(YEAR(AsOfDate)+IF(DATE(YEAR(AsOfDate),MONTH(AH64),DAY(AH64))&lt;=AsOfDate,1,0),MONTH(AH64),DAY(AH64)))</f>
        <v/>
      </c>
      <c r="L64" s="13" t="str">
        <f aca="false">IF(AG64=0,"",ROUND((AsOfDate-AH64)/365.25,1))</f>
        <v/>
      </c>
      <c r="M64" s="14" t="str">
        <f aca="false">IF(AG64=0,"",IF(AsOfDate&lt;AH64,"-",DATEDIF(AH64,AsOfDate,"y")&amp;"y "&amp;DATEDIF(AH64,AsOfDate,"ym")&amp;"m "&amp;DATEDIF(AH64,AsOfDate,"md")&amp;"d"))</f>
        <v/>
      </c>
      <c r="N64" s="15" t="str">
        <f aca="false">IF(AG64=0,"",O64*HoursPerDay)</f>
        <v/>
      </c>
      <c r="O64" s="15" t="str">
        <f aca="false">IF(AG64=0,"",AZ64)</f>
        <v/>
      </c>
      <c r="P64" s="16"/>
      <c r="Q64" s="14" t="str">
        <f aca="false">IF(AG64=0,"",IF(AI64&lt;2,"",AM64&amp;" to "&amp;AN64&amp;" on "&amp;TEXT(AK64,"dd/mm/yyyy")&amp;IF(AK64&gt;AsOfDate," (future)",IF(AP64=AQ64,"",IF(AQ64="None"," - STOPPED accruing",IF(AP64="None"," - commencement for Bonus Leave"," - pathway changed"))))&amp;IF(AI64&lt;3,"","; "&amp;AN64&amp;" to "&amp;AO64&amp;" on "&amp;TEXT(AL64,"dd/mm/yyyy")&amp;IF(AL64&gt;AsOfDate," (future)",IF(AQ64=AR64,"",IF(AR64="None"," - STOPPED accruing",IF(AQ64="None"," - commencement for Bonus Leave"," - pathway changed")))))))</f>
        <v/>
      </c>
      <c r="R64" s="14" t="str">
        <f aca="false">IF(AG64=0,"",IF(AS64="None",IF(O64&gt;0,"No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2" t="str">
        <f aca="false">IF(AG64=0,"",IF(AS64="None","",EDATE(AH64,BB64)))</f>
        <v/>
      </c>
      <c r="T64" s="15" t="str">
        <f aca="false">IF(AG64=0,"",IF(NOT(LH_Ready),"",IF(AH64&gt;PFYDate,0,IF(LH_ColPeriod=0,W64-U64+V64,SUMIFS(INDEX(LH_Data,0,LH_ColAcc),INDEX(LH_Data,0,LH_ColFirst),$A64,INDEX(LH_Data,0,LH_ColSur),$B64,INDEX(LH_Data,0,LH_ColCat),BonusCat,INDEX(LH_Data,0,LH_ColPeriod),LH_OpenLabel)*UnitFactor))))</f>
        <v/>
      </c>
      <c r="U64" s="15" t="str">
        <f aca="false">IF(AG64=0,"",IF(NOT(LH_Ready),"",SUMIFS(INDEX(LH_Data,0,LH_ColAcc),INDEX(LH_Data,0,LH_ColFirst),$A64,INDEX(LH_Data,0,LH_ColSur),$B64,INDEX(LH_Data,0,LH_ColCat),BonusCat,INDEX(LH_Data,0,LH_ColStart),"&gt;="&amp;AH64)*UnitFactor))</f>
        <v/>
      </c>
      <c r="V64" s="15" t="str">
        <f aca="false">IF(AG64=0,"",IF(NOT(LH_Ready),"",SUMIFS(INDEX(LH_Data,0,LH_ColTaken),INDEX(LH_Data,0,LH_ColFirst),$A64,INDEX(LH_Data,0,LH_ColSur),$B64,INDEX(LH_Data,0,LH_ColCat),BonusCat,INDEX(LH_Data,0,LH_ColStart),"&gt;="&amp;AH64)*UnitFactor))</f>
        <v/>
      </c>
      <c r="W64" s="15" t="str">
        <f aca="false">IF(AG64=0,"",IF(NOT(LH_Ready),"",IF(BD64=0,0,INDEX(INDEX(LH_Data,0,LH_ColClose),BD64-1)*UnitFactor)))</f>
        <v/>
      </c>
      <c r="X64" s="15" t="str">
        <f aca="false">IF(AG64=0,"",(AZ64-BA64)*HoursPerDay)</f>
        <v/>
      </c>
      <c r="Y64" s="15" t="str">
        <f aca="false">IF(AG64=0,"",IF(NOT(LH_Ready),"",IF(BC64=0,N64,IF(PFYDate&lt;$F64,N64-N(T64)-N(U64),X64-N(U64)))))</f>
        <v/>
      </c>
      <c r="Z64" s="14" t="str">
        <f aca="false">IF(OR(AG64=0,Y64=""),"",IF(Y64&gt;0,"Yes","No"))</f>
        <v/>
      </c>
      <c r="AA64" s="14" t="str">
        <f aca="false">IF(AG64=0,IF(LEN($A64&amp;$B64)=0,"","FIX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month")&amp;IF(BC64=0,";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EH)",""),IF(AS64="None",R64,"Not yet - first day on "&amp;TEXT(S64,"dd/mm/yyyy")))))))))</f>
        <v/>
      </c>
      <c r="AB64" s="15" t="str">
        <f aca="false">IF(OR(AG64=0,T64=""),"",BA64*HoursPerDay-T64)</f>
        <v/>
      </c>
      <c r="AC64" s="14" t="str">
        <f aca="false">IF(AG64=0,"",BC64)</f>
        <v/>
      </c>
      <c r="AD64" s="14" t="str">
        <f aca="false">IF(AG64=0,"",TRIM(IF(OR(ISTEXT($F64),ISTEXT($H64),ISTEXT($I64),ISTEXT($G64),ISTEXT($J64),ISTEXT($D64)),"A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I64&gt;=1,IF(AI64&gt;=3,AO64,IF(AI64=2,AN64,AM64))&lt;&gt;IF($C64="","",IF(OR(ISNUMBER(SEARCH("full",$C64)),UPPER(TRIM($C64))="FT",UPPER(TRIM($C64))="FTE"),"Full-Time",IF(OR(ISNUMBER(SEARCH("part",$C64)),UPPER(TRIM($C64))="PT",UPPER(TRIM($C64))="PTE"),"Part-Time",IF(OR(ISNUMBER(SEARCH("cas",$C64)),UPPER(TRIM($C64))="CAS"),"Casual","Unknown"))))),"EmploymentType does not match latest start date ("&amp;IF(AI64&gt;=3,AO64,IF(AI64=2,AN64,AM64))&amp;"). ","")&amp;IF(AND(AI64&gt;=1,AJ64&lt;&gt;$F64),"Earliest type date should equal StartDate. ","")&amp;IF(AND(AI64&gt;=2,AJ64=AK64),"Two types start on the same date. ","")&amp;IF(AND(OR(ISNUMBER(SEARCH("part",$C64)),UPPER(TRIM($C64))="PT",UPPER(TRIM($C64))="PTE"),$P64=""),"Part-time: enter PT Hrs/Week (blank = 24+). ","")))</f>
        <v/>
      </c>
      <c r="AE64" s="15" t="str">
        <f aca="false">IF(AG64=0,"",O64-BH64)</f>
        <v/>
      </c>
      <c r="AF64" s="12" t="str">
        <f aca="false">IF(OR(AG64=0,AE64="",N(AE64)=0,BI64=""),"",EDATE(AH64,BI64))</f>
        <v/>
      </c>
      <c r="AG64" s="14" t="n">
        <f aca="false">IF(OR(LEN($A64&amp;$B64)=0,$F64=""),0,1)</f>
        <v>0</v>
      </c>
      <c r="AH64" s="12" t="str">
        <f aca="false">IF(AG64=0,"",IF($J64&lt;&gt;"",$J64,IF(OR(CasualCounts="Yes",COUNT($G64:$I64)=0,COUNT($H64:$I64)=0),$F64,MIN($H64:$I64))))</f>
        <v/>
      </c>
      <c r="AI64" s="14" t="str">
        <f aca="false">IF(AG64=0,"",COUNT($G64:$I64))</f>
        <v/>
      </c>
      <c r="AJ64" s="12" t="str">
        <f aca="false">IF(AG64=0,"",IFERROR(SMALL($G64:$I64,1),""))</f>
        <v/>
      </c>
      <c r="AK64" s="12" t="str">
        <f aca="false">IF(AG64=0,"",IFERROR(SMALL($G64:$I64,2),""))</f>
        <v/>
      </c>
      <c r="AL64" s="12" t="str">
        <f aca="false">IF(AG64=0,"",IFERROR(SMALL($G64:$I64,3),""))</f>
        <v/>
      </c>
      <c r="AM64" s="14" t="str">
        <f aca="false">IF(AG64=0,"",IF(AJ64="","",IF(AJ64=$H64,"Part-Time",IF(AJ64=$I64,"Full-Time","Casual"))))</f>
        <v/>
      </c>
      <c r="AN64" s="14" t="str">
        <f aca="false">IF(AG64=0,"",IF(AK64="","",IF(AK64=$H64,"Part-Time",IF(AK64=$I64,"Full-Time","Casual"))))</f>
        <v/>
      </c>
      <c r="AO64" s="14" t="str">
        <f aca="false">IF(AG64=0,"",IF(AL64="","",IF(AL64=$H64,"Part-Time",IF(AL64=$I64,"Full-Time","Casual"))))</f>
        <v/>
      </c>
      <c r="AP64" s="14" t="str">
        <f aca="false">IF(AG64=0,"",IF(AI64=0,IF(OR(ISNUMBER(SEARCH("full",$C64)),UPPER(TRIM($C64))="FT",UPPER(TRIM($C64))="FTE"),"FT",IF(AND(OR(ISNUMBER(SEARCH("part",$C64)),UPPER(TRIM($C64))="PT",UPPER(TRIM($C64))="PTE"),OR($P64="",N($P64)&gt;=PT_MinHours)),"PT","None")),IF(OR(ISNUMBER(SEARCH("full",AM64)),UPPER(TRIM(AM64))="FT",UPPER(TRIM(AM64))="FTE"),"FT",IF(AND(OR(ISNUMBER(SEARCH("part",AM64)),UPPER(TRIM(AM64))="PT",UPPER(TRIM(AM64))="PTE"),OR($P64="",N($P64)&gt;=PT_MinHours)),"PT","None"))))</f>
        <v/>
      </c>
      <c r="AQ64" s="14" t="str">
        <f aca="false">IF(AG64=0,"",IF(AI64&lt;2,"",IF(OR(ISNUMBER(SEARCH("full",AN64)),UPPER(TRIM(AN64))="FT",UPPER(TRIM(AN64))="FTE"),"FT",IF(AND(OR(ISNUMBER(SEARCH("part",AN64)),UPPER(TRIM(AN64))="PT",UPPER(TRIM(AN64))="PTE"),OR($P64="",N($P64)&gt;=PT_MinHours)),"PT","None"))))</f>
        <v/>
      </c>
      <c r="AR64" s="14" t="str">
        <f aca="false">IF(AG64=0,"",IF(AI64&lt;3,"",IF(OR(ISNUMBER(SEARCH("full",AO64)),UPPER(TRIM(AO64))="FT",UPPER(TRIM(AO64))="FTE"),"FT",IF(AND(OR(ISNUMBER(SEARCH("part",AO64)),UPPER(TRIM(AO64))="PT",UPPER(TRIM(AO64))="PTE"),OR($P64="",N($P64)&gt;=PT_MinHours)),"PT","None"))))</f>
        <v/>
      </c>
      <c r="AS64" s="14" t="str">
        <f aca="false">IF(AG64=0,"",IF(AND(AI64&gt;=3,AL64&lt;=AsOfDate),AR64,IF(AND(AI64&gt;=2,AK64&lt;=AsOfDate),AQ64,AP64)))</f>
        <v/>
      </c>
      <c r="AT64" s="14" t="str">
        <f aca="false">IF(AG64=0,"",IF(AsOfDate&lt;AH64,-1,12*(YEAR(AsOfDate)-YEAR(AH64))+MONTH(AsOfDate)-MONTH(AH64)-IF(DAY(AsOfDate)&lt;MIN(DAY(AH64),DAY(EOMONTH(AsOfDate,0))),1,0)))</f>
        <v/>
      </c>
      <c r="AU64" s="14" t="str">
        <f aca="false">IF(AG64=0,"",IF(OR(AI64&lt;2,AK64&gt;AsOfDate),AT64,IF((AK64-1)&lt;AH64,-1,12*(YEAR((AK64-1))-YEAR(AH64))+MONTH((AK64-1))-MONTH(AH64)-IF(DAY((AK64-1))&lt;MIN(DAY(AH64),DAY(EOMONTH((AK64-1),0))),1,0))))</f>
        <v/>
      </c>
      <c r="AV64" s="14" t="str">
        <f aca="false">IF(AG64=0,"",IF(OR(AI64&lt;3,AL64&gt;AsOfDate),AT64,IF((AL64-1)&lt;AH64,-1,12*(YEAR((AL64-1))-YEAR(AH64))+MONTH((AL64-1))-MONTH(AH64)-IF(DAY((AL64-1))&lt;MIN(DAY(AH64),DAY(EOMONTH((AL64-1),0))),1,0))))</f>
        <v/>
      </c>
      <c r="AW64" s="14" t="str">
        <f aca="false">IF(AG64=0,"",IF(PFYDate&lt;AH64,-1,12*(YEAR(PFYDate)-YEAR(AH64))+MONTH(PFYDate)-MONTH(AH64)-IF(DAY(PFYDate)&lt;MIN(DAY(AH64),DAY(EOMONTH(PFYDate,0))),1,0)))</f>
        <v/>
      </c>
      <c r="AX64" s="14" t="str">
        <f aca="false">IF(AG64=0,"",IF(OR(AI64&lt;2,AK64&gt;PFYDate),AW64,IF((AK64-1)&lt;AH64,-1,12*(YEAR((AK64-1))-YEAR(AH64))+MONTH((AK64-1))-MONTH(AH64)-IF(DAY((AK64-1))&lt;MIN(DAY(AH64),DAY(EOMONTH((AK64-1),0))),1,0))))</f>
        <v/>
      </c>
      <c r="AY64" s="14" t="str">
        <f aca="false">IF(AG64=0,"",IF(OR(AI64&lt;3,AL64&gt;PFYDate),AW64,IF((AL64-1)&lt;AH64,-1,12*(YEAR((AL64-1))-YEAR(AH64))+MONTH((AL64-1))-MONTH(AH64)-IF(DAY((AL64-1))&lt;MIN(DAY(AH64),DAY(EOMONTH((AL64-1),0))),1,0))))</f>
        <v/>
      </c>
      <c r="AZ64" s="14" t="str">
        <f aca="false">IF(AG64=0,"",IF(AP64="FT",IF(AU64&lt;FT_First,0,IF(AU64&lt;FT_Y5,1+INT((AU64-FT_First)/FT_Int1),FT_PreY5+FT_PerYear*INT((AU64-FT_Y5)/12)+FT_AnnivDays+INT(MOD(AU64-FT_Y5,12)/FT_Int2))),IF(AP64="PT",IF(AU64&lt;PT_First,0,1+INT((AU64-PT_First)/PT_Int)),0))+IF(AND(AI64&gt;=2,AK64&lt;=AsOfDate),IF(AQ64="FT",IF(AV64&lt;FT_First,0,IF(AV64&lt;FT_Y5,1+INT((AV64-FT_First)/FT_Int1),FT_PreY5+FT_PerYear*INT((AV64-FT_Y5)/12)+FT_AnnivDays+INT(MOD(AV64-FT_Y5,12)/FT_Int2))),IF(AQ64="PT",IF(AV64&lt;PT_First,0,1+INT((AV64-PT_First)/PT_Int)),0))-IF(AQ64="FT",IF(AU64&lt;FT_First,0,IF(AU64&lt;FT_Y5,1+INT((AU64-FT_First)/FT_Int1),FT_PreY5+FT_PerYear*INT((AU64-FT_Y5)/12)+FT_AnnivDays+INT(MOD(AU64-FT_Y5,12)/FT_Int2))),IF(AQ64="PT",IF(AU64&lt;PT_First,0,1+INT((AU64-PT_First)/PT_Int)),0)),0)+IF(AND(AI64&gt;=3,AL64&lt;=AsOfDate),IF(AR64="FT",IF(AT64&lt;FT_First,0,IF(AT64&lt;FT_Y5,1+INT((AT64-FT_First)/FT_Int1),FT_PreY5+FT_PerYear*INT((AT64-FT_Y5)/12)+FT_AnnivDays+INT(MOD(AT64-FT_Y5,12)/FT_Int2))),IF(AR64="PT",IF(AT64&lt;PT_First,0,1+INT((AT64-PT_First)/PT_Int)),0))-IF(AR64="FT",IF(AV64&lt;FT_First,0,IF(AV64&lt;FT_Y5,1+INT((AV64-FT_First)/FT_Int1),FT_PreY5+FT_PerYear*INT((AV64-FT_Y5)/12)+FT_AnnivDays+INT(MOD(AV64-FT_Y5,12)/FT_Int2))),IF(AR64="PT",IF(AV64&lt;PT_First,0,1+INT((AV64-PT_First)/PT_Int)),0)),0))</f>
        <v/>
      </c>
      <c r="BA64" s="14" t="str">
        <f aca="false">IF(AG64=0,"",IF(AP64="FT",IF(AX64&lt;FT_First,0,IF(AX64&lt;FT_Y5,1+INT((AX64-FT_First)/FT_Int1),FT_PreY5+FT_PerYear*INT((AX64-FT_Y5)/12)+FT_AnnivDays+INT(MOD(AX64-FT_Y5,12)/FT_Int2))),IF(AP64="PT",IF(AX64&lt;PT_First,0,1+INT((AX64-PT_First)/PT_Int)),0))+IF(AND(AI64&gt;=2,AK64&lt;=PFYDate),IF(AQ64="FT",IF(AY64&lt;FT_First,0,IF(AY64&lt;FT_Y5,1+INT((AY64-FT_First)/FT_Int1),FT_PreY5+FT_PerYear*INT((AY64-FT_Y5)/12)+FT_AnnivDays+INT(MOD(AY64-FT_Y5,12)/FT_Int2))),IF(AQ64="PT",IF(AY64&lt;PT_First,0,1+INT((AY64-PT_First)/PT_Int)),0))-IF(AQ64="FT",IF(AX64&lt;FT_First,0,IF(AX64&lt;FT_Y5,1+INT((AX64-FT_First)/FT_Int1),FT_PreY5+FT_PerYear*INT((AX64-FT_Y5)/12)+FT_AnnivDays+INT(MOD(AX64-FT_Y5,12)/FT_Int2))),IF(AQ64="PT",IF(AX64&lt;PT_First,0,1+INT((AX64-PT_First)/PT_Int)),0)),0)+IF(AND(AI64&gt;=3,AL64&lt;=PFYDate),IF(AR64="FT",IF(AW64&lt;FT_First,0,IF(AW64&lt;FT_Y5,1+INT((AW64-FT_First)/FT_Int1),FT_PreY5+FT_PerYear*INT((AW64-FT_Y5)/12)+FT_AnnivDays+INT(MOD(AW64-FT_Y5,12)/FT_Int2))),IF(AR64="PT",IF(AW64&lt;PT_First,0,1+INT((AW64-PT_First)/PT_Int)),0))-IF(AR64="FT",IF(AY64&lt;FT_First,0,IF(AY64&lt;FT_Y5,1+INT((AY64-FT_First)/FT_Int1),FT_PreY5+FT_PerYear*INT((AY64-FT_Y5)/12)+FT_AnnivDays+INT(MOD(AY64-FT_Y5,12)/FT_Int2))),IF(AR64="PT",IF(AY64&lt;PT_First,0,1+INT((AY64-PT_First)/PT_Int)),0)),0))</f>
        <v/>
      </c>
      <c r="BB64" s="14" t="str">
        <f aca="false">IF(AG64=0,"",IF(AS64="FT",IF(AT64&lt;FT_First,FT_First,IF(AT64&lt;FT_Y5,MIN(FT_Y5,FT_First+FT_Int1*(INT((AT64-FT_First)/FT_Int1)+1)),FT_Y5+12*INT((AT64-FT_Y5)/12)+FT_Int2*(INT(MOD(AT64-FT_Y5,12)/FT_Int2)+1))),IF(AS64="PT",IF(AT64&lt;PT_First,PT_First,PT_First+PT_Int*(INT((AT64-PT_First)/PT_Int)+1)),"")))</f>
        <v/>
      </c>
      <c r="BC64" s="14" t="str">
        <f aca="false">IF(AG64=0,"",IF(NOT(LH_Ready),0,COUNTIFS(INDEX(LH_Data,0,LH_ColFirst),$A64,INDEX(LH_Data,0,LH_ColSur),$B64,INDEX(LH_Data,0,LH_ColCat),BonusCat)))</f>
        <v/>
      </c>
      <c r="BD64" s="14" t="str">
        <f aca="false">IF(AG64=0,"",IF(OR(NOT(LH_Ready),BC64=0),0,SUMPRODUCT(MAX((INDEX(LH_Data,0,LH_ColFirst)=$A64)*(INDEX(LH_Data,0,LH_ColSur)=$B64)*(INDEX(LH_Data,0,LH_ColCat)=BonusCat)*ROW(LH_Data)))))</f>
        <v/>
      </c>
      <c r="BE64" s="14" t="str">
        <f aca="false">IF(AG64=0,"",IF(EOMONTH(AsOfDate,-1)&lt;AH64,-1,12*(YEAR(EOMONTH(AsOfDate,-1))-YEAR(AH64))+MONTH(EOMONTH(AsOfDate,-1))-MONTH(AH64)-IF(DAY(EOMONTH(AsOfDate,-1))&lt;MIN(DAY(AH64),DAY(EOMONTH(EOMONTH(AsOfDate,-1),0))),1,0)))</f>
        <v/>
      </c>
      <c r="BF64" s="14" t="str">
        <f aca="false">IF(AG64=0,"",IF(OR(AI64&lt;2,AK64&gt;EOMONTH(AsOfDate,-1)),BE64,IF((AK64-1)&lt;AH64,-1,12*(YEAR((AK64-1))-YEAR(AH64))+MONTH((AK64-1))-MONTH(AH64)-IF(DAY((AK64-1))&lt;MIN(DAY(AH64),DAY(EOMONTH((AK64-1),0))),1,0))))</f>
        <v/>
      </c>
      <c r="BG64" s="14" t="str">
        <f aca="false">IF(AG64=0,"",IF(OR(AI64&lt;3,AL64&gt;EOMONTH(AsOfDate,-1)),BE64,IF((AL64-1)&lt;AH64,-1,12*(YEAR((AL64-1))-YEAR(AH64))+MONTH((AL64-1))-MONTH(AH64)-IF(DAY((AL64-1))&lt;MIN(DAY(AH64),DAY(EOMONTH((AL64-1),0))),1,0))))</f>
        <v/>
      </c>
      <c r="BH64" s="14" t="str">
        <f aca="false">IF(AG64=0,"",IF(AP64="FT",IF(BF64&lt;FT_First,0,IF(BF64&lt;FT_Y5,1+INT((BF64-FT_First)/FT_Int1),FT_PreY5+FT_PerYear*INT((BF64-FT_Y5)/12)+FT_AnnivDays+INT(MOD(BF64-FT_Y5,12)/FT_Int2))),IF(AP64="PT",IF(BF64&lt;PT_First,0,1+INT((BF64-PT_First)/PT_Int)),0))+IF(AND(AI64&gt;=2,AK64&lt;=EOMONTH(AsOfDate,-1)),IF(AQ64="FT",IF(BG64&lt;FT_First,0,IF(BG64&lt;FT_Y5,1+INT((BG64-FT_First)/FT_Int1),FT_PreY5+FT_PerYear*INT((BG64-FT_Y5)/12)+FT_AnnivDays+INT(MOD(BG64-FT_Y5,12)/FT_Int2))),IF(AQ64="PT",IF(BG64&lt;PT_First,0,1+INT((BG64-PT_First)/PT_Int)),0))-IF(AQ64="FT",IF(BF64&lt;FT_First,0,IF(BF64&lt;FT_Y5,1+INT((BF64-FT_First)/FT_Int1),FT_PreY5+FT_PerYear*INT((BF64-FT_Y5)/12)+FT_AnnivDays+INT(MOD(BF64-FT_Y5,12)/FT_Int2))),IF(AQ64="PT",IF(BF64&lt;PT_First,0,1+INT((BF64-PT_First)/PT_Int)),0)),0)+IF(AND(AI64&gt;=3,AL64&lt;=EOMONTH(AsOfDate,-1)),IF(AR64="FT",IF(BE64&lt;FT_First,0,IF(BE64&lt;FT_Y5,1+INT((BE64-FT_First)/FT_Int1),FT_PreY5+FT_PerYear*INT((BE64-FT_Y5)/12)+FT_AnnivDays+INT(MOD(BE64-FT_Y5,12)/FT_Int2))),IF(AR64="PT",IF(BE64&lt;PT_First,0,1+INT((BE64-PT_First)/PT_Int)),0))-IF(AR64="FT",IF(BG64&lt;FT_First,0,IF(BG64&lt;FT_Y5,1+INT((BG64-FT_First)/FT_Int1),FT_PreY5+FT_PerYear*INT((BG64-FT_Y5)/12)+FT_AnnivDays+INT(MOD(BG64-FT_Y5,12)/FT_Int2))),IF(AR64="PT",IF(BG64&lt;PT_First,0,1+INT((BG64-PT_First)/PT_Int)),0)),0))</f>
        <v/>
      </c>
      <c r="BI64" s="14" t="str">
        <f aca="false">IF(AG64=0,"",IF(AS64="FT",IF(AT64&lt;FT_First,"",IF(AT64&lt;FT_Y5,FT_First+FT_Int1*INT((AT64-FT_First)/FT_Int1),FT_Y5+FT_Int2*INT((AT64-FT_Y5)/FT_Int2))),IF(AS64="PT",IF(AT64&lt;PT_First,"",PT_First+PT_Int*INT((AT64-PT_First)/PT_Int)),"")))</f>
        <v/>
      </c>
      <c r="BJ64" s="0" t="str">
        <f aca="false">IF(LEN($A64&amp;$B64)=0,"",$A64&amp;" "&amp;$B64)</f>
        <v/>
      </c>
    </row>
    <row r="65" customFormat="false" ht="15" hidden="false" customHeight="false" outlineLevel="0" collapsed="false">
      <c r="A65" s="10"/>
      <c r="B65" s="10"/>
      <c r="C65" s="10"/>
      <c r="D65" s="11"/>
      <c r="E65" s="12" t="str">
        <f aca="false">IF(OR(AG65=0,$D65=""),"",DATE(YEAR(AsOfDate)+IF(DATE(YEAR(AsOfDate),MONTH($D65),DAY($D65))&lt;=AsOfDate,1,0),MONTH($D65),DAY($D65)))</f>
        <v/>
      </c>
      <c r="F65" s="11"/>
      <c r="G65" s="11"/>
      <c r="H65" s="11"/>
      <c r="I65" s="11"/>
      <c r="J65" s="11"/>
      <c r="K65" s="12" t="str">
        <f aca="false">IF(AG65=0,"",DATE(YEAR(AsOfDate)+IF(DATE(YEAR(AsOfDate),MONTH(AH65),DAY(AH65))&lt;=AsOfDate,1,0),MONTH(AH65),DAY(AH65)))</f>
        <v/>
      </c>
      <c r="L65" s="13" t="str">
        <f aca="false">IF(AG65=0,"",ROUND((AsOfDate-AH65)/365.25,1))</f>
        <v/>
      </c>
      <c r="M65" s="14" t="str">
        <f aca="false">IF(AG65=0,"",IF(AsOfDate&lt;AH65,"-",DATEDIF(AH65,AsOfDate,"y")&amp;"y "&amp;DATEDIF(AH65,AsOfDate,"ym")&amp;"m "&amp;DATEDIF(AH65,AsOfDate,"md")&amp;"d"))</f>
        <v/>
      </c>
      <c r="N65" s="15" t="str">
        <f aca="false">IF(AG65=0,"",O65*HoursPerDay)</f>
        <v/>
      </c>
      <c r="O65" s="15" t="str">
        <f aca="false">IF(AG65=0,"",AZ65)</f>
        <v/>
      </c>
      <c r="P65" s="16"/>
      <c r="Q65" s="14" t="str">
        <f aca="false">IF(AG65=0,"",IF(AI65&lt;2,"",AM65&amp;" to "&amp;AN65&amp;" on "&amp;TEXT(AK65,"dd/mm/yyyy")&amp;IF(AK65&gt;AsOfDate," (future)",IF(AP65=AQ65,"",IF(AQ65="None"," - STOPPED accruing",IF(AP65="None"," - commencement for Bonus Leave"," - pathway changed"))))&amp;IF(AI65&lt;3,"","; "&amp;AN65&amp;" to "&amp;AO65&amp;" on "&amp;TEXT(AL65,"dd/mm/yyyy")&amp;IF(AL65&gt;AsOfDate," (future)",IF(AQ65=AR65,"",IF(AR65="None"," - STOPPED accruing",IF(AQ65="None"," - commencement for Bonus Leave"," - pathway changed")))))))</f>
        <v/>
      </c>
      <c r="R65" s="14" t="str">
        <f aca="false">IF(AG65=0,"",IF(AS65="None",IF(O65&gt;0,"No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2" t="str">
        <f aca="false">IF(AG65=0,"",IF(AS65="None","",EDATE(AH65,BB65)))</f>
        <v/>
      </c>
      <c r="T65" s="15" t="str">
        <f aca="false">IF(AG65=0,"",IF(NOT(LH_Ready),"",IF(AH65&gt;PFYDate,0,IF(LH_ColPeriod=0,W65-U65+V65,SUMIFS(INDEX(LH_Data,0,LH_ColAcc),INDEX(LH_Data,0,LH_ColFirst),$A65,INDEX(LH_Data,0,LH_ColSur),$B65,INDEX(LH_Data,0,LH_ColCat),BonusCat,INDEX(LH_Data,0,LH_ColPeriod),LH_OpenLabel)*UnitFactor))))</f>
        <v/>
      </c>
      <c r="U65" s="15" t="str">
        <f aca="false">IF(AG65=0,"",IF(NOT(LH_Ready),"",SUMIFS(INDEX(LH_Data,0,LH_ColAcc),INDEX(LH_Data,0,LH_ColFirst),$A65,INDEX(LH_Data,0,LH_ColSur),$B65,INDEX(LH_Data,0,LH_ColCat),BonusCat,INDEX(LH_Data,0,LH_ColStart),"&gt;="&amp;AH65)*UnitFactor))</f>
        <v/>
      </c>
      <c r="V65" s="15" t="str">
        <f aca="false">IF(AG65=0,"",IF(NOT(LH_Ready),"",SUMIFS(INDEX(LH_Data,0,LH_ColTaken),INDEX(LH_Data,0,LH_ColFirst),$A65,INDEX(LH_Data,0,LH_ColSur),$B65,INDEX(LH_Data,0,LH_ColCat),BonusCat,INDEX(LH_Data,0,LH_ColStart),"&gt;="&amp;AH65)*UnitFactor))</f>
        <v/>
      </c>
      <c r="W65" s="15" t="str">
        <f aca="false">IF(AG65=0,"",IF(NOT(LH_Ready),"",IF(BD65=0,0,INDEX(INDEX(LH_Data,0,LH_ColClose),BD65-1)*UnitFactor)))</f>
        <v/>
      </c>
      <c r="X65" s="15" t="str">
        <f aca="false">IF(AG65=0,"",(AZ65-BA65)*HoursPerDay)</f>
        <v/>
      </c>
      <c r="Y65" s="15" t="str">
        <f aca="false">IF(AG65=0,"",IF(NOT(LH_Ready),"",IF(BC65=0,N65,IF(PFYDate&lt;$F65,N65-N(T65)-N(U65),X65-N(U65)))))</f>
        <v/>
      </c>
      <c r="Z65" s="14" t="str">
        <f aca="false">IF(OR(AG65=0,Y65=""),"",IF(Y65&gt;0,"Yes","No"))</f>
        <v/>
      </c>
      <c r="AA65" s="14" t="str">
        <f aca="false">IF(AG65=0,IF(LEN($A65&amp;$B65)=0,"","FIX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month")&amp;IF(BC65=0,";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EH)",""),IF(AS65="None",R65,"Not yet - first day on "&amp;TEXT(S65,"dd/mm/yyyy")))))))))</f>
        <v/>
      </c>
      <c r="AB65" s="15" t="str">
        <f aca="false">IF(OR(AG65=0,T65=""),"",BA65*HoursPerDay-T65)</f>
        <v/>
      </c>
      <c r="AC65" s="14" t="str">
        <f aca="false">IF(AG65=0,"",BC65)</f>
        <v/>
      </c>
      <c r="AD65" s="14" t="str">
        <f aca="false">IF(AG65=0,"",TRIM(IF(OR(ISTEXT($F65),ISTEXT($H65),ISTEXT($I65),ISTEXT($G65),ISTEXT($J65),ISTEXT($D65)),"A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I65&gt;=1,IF(AI65&gt;=3,AO65,IF(AI65=2,AN65,AM65))&lt;&gt;IF($C65="","",IF(OR(ISNUMBER(SEARCH("full",$C65)),UPPER(TRIM($C65))="FT",UPPER(TRIM($C65))="FTE"),"Full-Time",IF(OR(ISNUMBER(SEARCH("part",$C65)),UPPER(TRIM($C65))="PT",UPPER(TRIM($C65))="PTE"),"Part-Time",IF(OR(ISNUMBER(SEARCH("cas",$C65)),UPPER(TRIM($C65))="CAS"),"Casual","Unknown"))))),"EmploymentType does not match latest start date ("&amp;IF(AI65&gt;=3,AO65,IF(AI65=2,AN65,AM65))&amp;"). ","")&amp;IF(AND(AI65&gt;=1,AJ65&lt;&gt;$F65),"Earliest type date should equal StartDate. ","")&amp;IF(AND(AI65&gt;=2,AJ65=AK65),"Two types start on the same date. ","")&amp;IF(AND(OR(ISNUMBER(SEARCH("part",$C65)),UPPER(TRIM($C65))="PT",UPPER(TRIM($C65))="PTE"),$P65=""),"Part-time: enter PT Hrs/Week (blank = 24+). ","")))</f>
        <v/>
      </c>
      <c r="AE65" s="15" t="str">
        <f aca="false">IF(AG65=0,"",O65-BH65)</f>
        <v/>
      </c>
      <c r="AF65" s="12" t="str">
        <f aca="false">IF(OR(AG65=0,AE65="",N(AE65)=0,BI65=""),"",EDATE(AH65,BI65))</f>
        <v/>
      </c>
      <c r="AG65" s="14" t="n">
        <f aca="false">IF(OR(LEN($A65&amp;$B65)=0,$F65=""),0,1)</f>
        <v>0</v>
      </c>
      <c r="AH65" s="12" t="str">
        <f aca="false">IF(AG65=0,"",IF($J65&lt;&gt;"",$J65,IF(OR(CasualCounts="Yes",COUNT($G65:$I65)=0,COUNT($H65:$I65)=0),$F65,MIN($H65:$I65))))</f>
        <v/>
      </c>
      <c r="AI65" s="14" t="str">
        <f aca="false">IF(AG65=0,"",COUNT($G65:$I65))</f>
        <v/>
      </c>
      <c r="AJ65" s="12" t="str">
        <f aca="false">IF(AG65=0,"",IFERROR(SMALL($G65:$I65,1),""))</f>
        <v/>
      </c>
      <c r="AK65" s="12" t="str">
        <f aca="false">IF(AG65=0,"",IFERROR(SMALL($G65:$I65,2),""))</f>
        <v/>
      </c>
      <c r="AL65" s="12" t="str">
        <f aca="false">IF(AG65=0,"",IFERROR(SMALL($G65:$I65,3),""))</f>
        <v/>
      </c>
      <c r="AM65" s="14" t="str">
        <f aca="false">IF(AG65=0,"",IF(AJ65="","",IF(AJ65=$H65,"Part-Time",IF(AJ65=$I65,"Full-Time","Casual"))))</f>
        <v/>
      </c>
      <c r="AN65" s="14" t="str">
        <f aca="false">IF(AG65=0,"",IF(AK65="","",IF(AK65=$H65,"Part-Time",IF(AK65=$I65,"Full-Time","Casual"))))</f>
        <v/>
      </c>
      <c r="AO65" s="14" t="str">
        <f aca="false">IF(AG65=0,"",IF(AL65="","",IF(AL65=$H65,"Part-Time",IF(AL65=$I65,"Full-Time","Casual"))))</f>
        <v/>
      </c>
      <c r="AP65" s="14" t="str">
        <f aca="false">IF(AG65=0,"",IF(AI65=0,IF(OR(ISNUMBER(SEARCH("full",$C65)),UPPER(TRIM($C65))="FT",UPPER(TRIM($C65))="FTE"),"FT",IF(AND(OR(ISNUMBER(SEARCH("part",$C65)),UPPER(TRIM($C65))="PT",UPPER(TRIM($C65))="PTE"),OR($P65="",N($P65)&gt;=PT_MinHours)),"PT","None")),IF(OR(ISNUMBER(SEARCH("full",AM65)),UPPER(TRIM(AM65))="FT",UPPER(TRIM(AM65))="FTE"),"FT",IF(AND(OR(ISNUMBER(SEARCH("part",AM65)),UPPER(TRIM(AM65))="PT",UPPER(TRIM(AM65))="PTE"),OR($P65="",N($P65)&gt;=PT_MinHours)),"PT","None"))))</f>
        <v/>
      </c>
      <c r="AQ65" s="14" t="str">
        <f aca="false">IF(AG65=0,"",IF(AI65&lt;2,"",IF(OR(ISNUMBER(SEARCH("full",AN65)),UPPER(TRIM(AN65))="FT",UPPER(TRIM(AN65))="FTE"),"FT",IF(AND(OR(ISNUMBER(SEARCH("part",AN65)),UPPER(TRIM(AN65))="PT",UPPER(TRIM(AN65))="PTE"),OR($P65="",N($P65)&gt;=PT_MinHours)),"PT","None"))))</f>
        <v/>
      </c>
      <c r="AR65" s="14" t="str">
        <f aca="false">IF(AG65=0,"",IF(AI65&lt;3,"",IF(OR(ISNUMBER(SEARCH("full",AO65)),UPPER(TRIM(AO65))="FT",UPPER(TRIM(AO65))="FTE"),"FT",IF(AND(OR(ISNUMBER(SEARCH("part",AO65)),UPPER(TRIM(AO65))="PT",UPPER(TRIM(AO65))="PTE"),OR($P65="",N($P65)&gt;=PT_MinHours)),"PT","None"))))</f>
        <v/>
      </c>
      <c r="AS65" s="14" t="str">
        <f aca="false">IF(AG65=0,"",IF(AND(AI65&gt;=3,AL65&lt;=AsOfDate),AR65,IF(AND(AI65&gt;=2,AK65&lt;=AsOfDate),AQ65,AP65)))</f>
        <v/>
      </c>
      <c r="AT65" s="14" t="str">
        <f aca="false">IF(AG65=0,"",IF(AsOfDate&lt;AH65,-1,12*(YEAR(AsOfDate)-YEAR(AH65))+MONTH(AsOfDate)-MONTH(AH65)-IF(DAY(AsOfDate)&lt;MIN(DAY(AH65),DAY(EOMONTH(AsOfDate,0))),1,0)))</f>
        <v/>
      </c>
      <c r="AU65" s="14" t="str">
        <f aca="false">IF(AG65=0,"",IF(OR(AI65&lt;2,AK65&gt;AsOfDate),AT65,IF((AK65-1)&lt;AH65,-1,12*(YEAR((AK65-1))-YEAR(AH65))+MONTH((AK65-1))-MONTH(AH65)-IF(DAY((AK65-1))&lt;MIN(DAY(AH65),DAY(EOMONTH((AK65-1),0))),1,0))))</f>
        <v/>
      </c>
      <c r="AV65" s="14" t="str">
        <f aca="false">IF(AG65=0,"",IF(OR(AI65&lt;3,AL65&gt;AsOfDate),AT65,IF((AL65-1)&lt;AH65,-1,12*(YEAR((AL65-1))-YEAR(AH65))+MONTH((AL65-1))-MONTH(AH65)-IF(DAY((AL65-1))&lt;MIN(DAY(AH65),DAY(EOMONTH((AL65-1),0))),1,0))))</f>
        <v/>
      </c>
      <c r="AW65" s="14" t="str">
        <f aca="false">IF(AG65=0,"",IF(PFYDate&lt;AH65,-1,12*(YEAR(PFYDate)-YEAR(AH65))+MONTH(PFYDate)-MONTH(AH65)-IF(DAY(PFYDate)&lt;MIN(DAY(AH65),DAY(EOMONTH(PFYDate,0))),1,0)))</f>
        <v/>
      </c>
      <c r="AX65" s="14" t="str">
        <f aca="false">IF(AG65=0,"",IF(OR(AI65&lt;2,AK65&gt;PFYDate),AW65,IF((AK65-1)&lt;AH65,-1,12*(YEAR((AK65-1))-YEAR(AH65))+MONTH((AK65-1))-MONTH(AH65)-IF(DAY((AK65-1))&lt;MIN(DAY(AH65),DAY(EOMONTH((AK65-1),0))),1,0))))</f>
        <v/>
      </c>
      <c r="AY65" s="14" t="str">
        <f aca="false">IF(AG65=0,"",IF(OR(AI65&lt;3,AL65&gt;PFYDate),AW65,IF((AL65-1)&lt;AH65,-1,12*(YEAR((AL65-1))-YEAR(AH65))+MONTH((AL65-1))-MONTH(AH65)-IF(DAY((AL65-1))&lt;MIN(DAY(AH65),DAY(EOMONTH((AL65-1),0))),1,0))))</f>
        <v/>
      </c>
      <c r="AZ65" s="14" t="str">
        <f aca="false">IF(AG65=0,"",IF(AP65="FT",IF(AU65&lt;FT_First,0,IF(AU65&lt;FT_Y5,1+INT((AU65-FT_First)/FT_Int1),FT_PreY5+FT_PerYear*INT((AU65-FT_Y5)/12)+FT_AnnivDays+INT(MOD(AU65-FT_Y5,12)/FT_Int2))),IF(AP65="PT",IF(AU65&lt;PT_First,0,1+INT((AU65-PT_First)/PT_Int)),0))+IF(AND(AI65&gt;=2,AK65&lt;=AsOfDate),IF(AQ65="FT",IF(AV65&lt;FT_First,0,IF(AV65&lt;FT_Y5,1+INT((AV65-FT_First)/FT_Int1),FT_PreY5+FT_PerYear*INT((AV65-FT_Y5)/12)+FT_AnnivDays+INT(MOD(AV65-FT_Y5,12)/FT_Int2))),IF(AQ65="PT",IF(AV65&lt;PT_First,0,1+INT((AV65-PT_First)/PT_Int)),0))-IF(AQ65="FT",IF(AU65&lt;FT_First,0,IF(AU65&lt;FT_Y5,1+INT((AU65-FT_First)/FT_Int1),FT_PreY5+FT_PerYear*INT((AU65-FT_Y5)/12)+FT_AnnivDays+INT(MOD(AU65-FT_Y5,12)/FT_Int2))),IF(AQ65="PT",IF(AU65&lt;PT_First,0,1+INT((AU65-PT_First)/PT_Int)),0)),0)+IF(AND(AI65&gt;=3,AL65&lt;=AsOfDate),IF(AR65="FT",IF(AT65&lt;FT_First,0,IF(AT65&lt;FT_Y5,1+INT((AT65-FT_First)/FT_Int1),FT_PreY5+FT_PerYear*INT((AT65-FT_Y5)/12)+FT_AnnivDays+INT(MOD(AT65-FT_Y5,12)/FT_Int2))),IF(AR65="PT",IF(AT65&lt;PT_First,0,1+INT((AT65-PT_First)/PT_Int)),0))-IF(AR65="FT",IF(AV65&lt;FT_First,0,IF(AV65&lt;FT_Y5,1+INT((AV65-FT_First)/FT_Int1),FT_PreY5+FT_PerYear*INT((AV65-FT_Y5)/12)+FT_AnnivDays+INT(MOD(AV65-FT_Y5,12)/FT_Int2))),IF(AR65="PT",IF(AV65&lt;PT_First,0,1+INT((AV65-PT_First)/PT_Int)),0)),0))</f>
        <v/>
      </c>
      <c r="BA65" s="14" t="str">
        <f aca="false">IF(AG65=0,"",IF(AP65="FT",IF(AX65&lt;FT_First,0,IF(AX65&lt;FT_Y5,1+INT((AX65-FT_First)/FT_Int1),FT_PreY5+FT_PerYear*INT((AX65-FT_Y5)/12)+FT_AnnivDays+INT(MOD(AX65-FT_Y5,12)/FT_Int2))),IF(AP65="PT",IF(AX65&lt;PT_First,0,1+INT((AX65-PT_First)/PT_Int)),0))+IF(AND(AI65&gt;=2,AK65&lt;=PFYDate),IF(AQ65="FT",IF(AY65&lt;FT_First,0,IF(AY65&lt;FT_Y5,1+INT((AY65-FT_First)/FT_Int1),FT_PreY5+FT_PerYear*INT((AY65-FT_Y5)/12)+FT_AnnivDays+INT(MOD(AY65-FT_Y5,12)/FT_Int2))),IF(AQ65="PT",IF(AY65&lt;PT_First,0,1+INT((AY65-PT_First)/PT_Int)),0))-IF(AQ65="FT",IF(AX65&lt;FT_First,0,IF(AX65&lt;FT_Y5,1+INT((AX65-FT_First)/FT_Int1),FT_PreY5+FT_PerYear*INT((AX65-FT_Y5)/12)+FT_AnnivDays+INT(MOD(AX65-FT_Y5,12)/FT_Int2))),IF(AQ65="PT",IF(AX65&lt;PT_First,0,1+INT((AX65-PT_First)/PT_Int)),0)),0)+IF(AND(AI65&gt;=3,AL65&lt;=PFYDate),IF(AR65="FT",IF(AW65&lt;FT_First,0,IF(AW65&lt;FT_Y5,1+INT((AW65-FT_First)/FT_Int1),FT_PreY5+FT_PerYear*INT((AW65-FT_Y5)/12)+FT_AnnivDays+INT(MOD(AW65-FT_Y5,12)/FT_Int2))),IF(AR65="PT",IF(AW65&lt;PT_First,0,1+INT((AW65-PT_First)/PT_Int)),0))-IF(AR65="FT",IF(AY65&lt;FT_First,0,IF(AY65&lt;FT_Y5,1+INT((AY65-FT_First)/FT_Int1),FT_PreY5+FT_PerYear*INT((AY65-FT_Y5)/12)+FT_AnnivDays+INT(MOD(AY65-FT_Y5,12)/FT_Int2))),IF(AR65="PT",IF(AY65&lt;PT_First,0,1+INT((AY65-PT_First)/PT_Int)),0)),0))</f>
        <v/>
      </c>
      <c r="BB65" s="14" t="str">
        <f aca="false">IF(AG65=0,"",IF(AS65="FT",IF(AT65&lt;FT_First,FT_First,IF(AT65&lt;FT_Y5,MIN(FT_Y5,FT_First+FT_Int1*(INT((AT65-FT_First)/FT_Int1)+1)),FT_Y5+12*INT((AT65-FT_Y5)/12)+FT_Int2*(INT(MOD(AT65-FT_Y5,12)/FT_Int2)+1))),IF(AS65="PT",IF(AT65&lt;PT_First,PT_First,PT_First+PT_Int*(INT((AT65-PT_First)/PT_Int)+1)),"")))</f>
        <v/>
      </c>
      <c r="BC65" s="14" t="str">
        <f aca="false">IF(AG65=0,"",IF(NOT(LH_Ready),0,COUNTIFS(INDEX(LH_Data,0,LH_ColFirst),$A65,INDEX(LH_Data,0,LH_ColSur),$B65,INDEX(LH_Data,0,LH_ColCat),BonusCat)))</f>
        <v/>
      </c>
      <c r="BD65" s="14" t="str">
        <f aca="false">IF(AG65=0,"",IF(OR(NOT(LH_Ready),BC65=0),0,SUMPRODUCT(MAX((INDEX(LH_Data,0,LH_ColFirst)=$A65)*(INDEX(LH_Data,0,LH_ColSur)=$B65)*(INDEX(LH_Data,0,LH_ColCat)=BonusCat)*ROW(LH_Data)))))</f>
        <v/>
      </c>
      <c r="BE65" s="14" t="str">
        <f aca="false">IF(AG65=0,"",IF(EOMONTH(AsOfDate,-1)&lt;AH65,-1,12*(YEAR(EOMONTH(AsOfDate,-1))-YEAR(AH65))+MONTH(EOMONTH(AsOfDate,-1))-MONTH(AH65)-IF(DAY(EOMONTH(AsOfDate,-1))&lt;MIN(DAY(AH65),DAY(EOMONTH(EOMONTH(AsOfDate,-1),0))),1,0)))</f>
        <v/>
      </c>
      <c r="BF65" s="14" t="str">
        <f aca="false">IF(AG65=0,"",IF(OR(AI65&lt;2,AK65&gt;EOMONTH(AsOfDate,-1)),BE65,IF((AK65-1)&lt;AH65,-1,12*(YEAR((AK65-1))-YEAR(AH65))+MONTH((AK65-1))-MONTH(AH65)-IF(DAY((AK65-1))&lt;MIN(DAY(AH65),DAY(EOMONTH((AK65-1),0))),1,0))))</f>
        <v/>
      </c>
      <c r="BG65" s="14" t="str">
        <f aca="false">IF(AG65=0,"",IF(OR(AI65&lt;3,AL65&gt;EOMONTH(AsOfDate,-1)),BE65,IF((AL65-1)&lt;AH65,-1,12*(YEAR((AL65-1))-YEAR(AH65))+MONTH((AL65-1))-MONTH(AH65)-IF(DAY((AL65-1))&lt;MIN(DAY(AH65),DAY(EOMONTH((AL65-1),0))),1,0))))</f>
        <v/>
      </c>
      <c r="BH65" s="14" t="str">
        <f aca="false">IF(AG65=0,"",IF(AP65="FT",IF(BF65&lt;FT_First,0,IF(BF65&lt;FT_Y5,1+INT((BF65-FT_First)/FT_Int1),FT_PreY5+FT_PerYear*INT((BF65-FT_Y5)/12)+FT_AnnivDays+INT(MOD(BF65-FT_Y5,12)/FT_Int2))),IF(AP65="PT",IF(BF65&lt;PT_First,0,1+INT((BF65-PT_First)/PT_Int)),0))+IF(AND(AI65&gt;=2,AK65&lt;=EOMONTH(AsOfDate,-1)),IF(AQ65="FT",IF(BG65&lt;FT_First,0,IF(BG65&lt;FT_Y5,1+INT((BG65-FT_First)/FT_Int1),FT_PreY5+FT_PerYear*INT((BG65-FT_Y5)/12)+FT_AnnivDays+INT(MOD(BG65-FT_Y5,12)/FT_Int2))),IF(AQ65="PT",IF(BG65&lt;PT_First,0,1+INT((BG65-PT_First)/PT_Int)),0))-IF(AQ65="FT",IF(BF65&lt;FT_First,0,IF(BF65&lt;FT_Y5,1+INT((BF65-FT_First)/FT_Int1),FT_PreY5+FT_PerYear*INT((BF65-FT_Y5)/12)+FT_AnnivDays+INT(MOD(BF65-FT_Y5,12)/FT_Int2))),IF(AQ65="PT",IF(BF65&lt;PT_First,0,1+INT((BF65-PT_First)/PT_Int)),0)),0)+IF(AND(AI65&gt;=3,AL65&lt;=EOMONTH(AsOfDate,-1)),IF(AR65="FT",IF(BE65&lt;FT_First,0,IF(BE65&lt;FT_Y5,1+INT((BE65-FT_First)/FT_Int1),FT_PreY5+FT_PerYear*INT((BE65-FT_Y5)/12)+FT_AnnivDays+INT(MOD(BE65-FT_Y5,12)/FT_Int2))),IF(AR65="PT",IF(BE65&lt;PT_First,0,1+INT((BE65-PT_First)/PT_Int)),0))-IF(AR65="FT",IF(BG65&lt;FT_First,0,IF(BG65&lt;FT_Y5,1+INT((BG65-FT_First)/FT_Int1),FT_PreY5+FT_PerYear*INT((BG65-FT_Y5)/12)+FT_AnnivDays+INT(MOD(BG65-FT_Y5,12)/FT_Int2))),IF(AR65="PT",IF(BG65&lt;PT_First,0,1+INT((BG65-PT_First)/PT_Int)),0)),0))</f>
        <v/>
      </c>
      <c r="BI65" s="14" t="str">
        <f aca="false">IF(AG65=0,"",IF(AS65="FT",IF(AT65&lt;FT_First,"",IF(AT65&lt;FT_Y5,FT_First+FT_Int1*INT((AT65-FT_First)/FT_Int1),FT_Y5+FT_Int2*INT((AT65-FT_Y5)/FT_Int2))),IF(AS65="PT",IF(AT65&lt;PT_First,"",PT_First+PT_Int*INT((AT65-PT_First)/PT_Int)),"")))</f>
        <v/>
      </c>
      <c r="BJ65" s="0" t="str">
        <f aca="false">IF(LEN($A65&amp;$B65)=0,"",$A65&amp;" "&amp;$B65)</f>
        <v/>
      </c>
    </row>
    <row r="66" customFormat="false" ht="15" hidden="false" customHeight="false" outlineLevel="0" collapsed="false">
      <c r="A66" s="10"/>
      <c r="B66" s="10"/>
      <c r="C66" s="10"/>
      <c r="D66" s="11"/>
      <c r="E66" s="12" t="str">
        <f aca="false">IF(OR(AG66=0,$D66=""),"",DATE(YEAR(AsOfDate)+IF(DATE(YEAR(AsOfDate),MONTH($D66),DAY($D66))&lt;=AsOfDate,1,0),MONTH($D66),DAY($D66)))</f>
        <v/>
      </c>
      <c r="F66" s="11"/>
      <c r="G66" s="11"/>
      <c r="H66" s="11"/>
      <c r="I66" s="11"/>
      <c r="J66" s="11"/>
      <c r="K66" s="12" t="str">
        <f aca="false">IF(AG66=0,"",DATE(YEAR(AsOfDate)+IF(DATE(YEAR(AsOfDate),MONTH(AH66),DAY(AH66))&lt;=AsOfDate,1,0),MONTH(AH66),DAY(AH66)))</f>
        <v/>
      </c>
      <c r="L66" s="13" t="str">
        <f aca="false">IF(AG66=0,"",ROUND((AsOfDate-AH66)/365.25,1))</f>
        <v/>
      </c>
      <c r="M66" s="14" t="str">
        <f aca="false">IF(AG66=0,"",IF(AsOfDate&lt;AH66,"-",DATEDIF(AH66,AsOfDate,"y")&amp;"y "&amp;DATEDIF(AH66,AsOfDate,"ym")&amp;"m "&amp;DATEDIF(AH66,AsOfDate,"md")&amp;"d"))</f>
        <v/>
      </c>
      <c r="N66" s="15" t="str">
        <f aca="false">IF(AG66=0,"",O66*HoursPerDay)</f>
        <v/>
      </c>
      <c r="O66" s="15" t="str">
        <f aca="false">IF(AG66=0,"",AZ66)</f>
        <v/>
      </c>
      <c r="P66" s="16"/>
      <c r="Q66" s="14" t="str">
        <f aca="false">IF(AG66=0,"",IF(AI66&lt;2,"",AM66&amp;" to "&amp;AN66&amp;" on "&amp;TEXT(AK66,"dd/mm/yyyy")&amp;IF(AK66&gt;AsOfDate," (future)",IF(AP66=AQ66,"",IF(AQ66="None"," - STOPPED accruing",IF(AP66="None"," - commencement for Bonus Leave"," - pathway changed"))))&amp;IF(AI66&lt;3,"","; "&amp;AN66&amp;" to "&amp;AO66&amp;" on "&amp;TEXT(AL66,"dd/mm/yyyy")&amp;IF(AL66&gt;AsOfDate," (future)",IF(AQ66=AR66,"",IF(AR66="None"," - STOPPED accruing",IF(AQ66="None"," - commencement for Bonus Leave"," - pathway changed")))))))</f>
        <v/>
      </c>
      <c r="R66" s="14" t="str">
        <f aca="false">IF(AG66=0,"",IF(AS66="None",IF(O66&gt;0,"No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2" t="str">
        <f aca="false">IF(AG66=0,"",IF(AS66="None","",EDATE(AH66,BB66)))</f>
        <v/>
      </c>
      <c r="T66" s="15" t="str">
        <f aca="false">IF(AG66=0,"",IF(NOT(LH_Ready),"",IF(AH66&gt;PFYDate,0,IF(LH_ColPeriod=0,W66-U66+V66,SUMIFS(INDEX(LH_Data,0,LH_ColAcc),INDEX(LH_Data,0,LH_ColFirst),$A66,INDEX(LH_Data,0,LH_ColSur),$B66,INDEX(LH_Data,0,LH_ColCat),BonusCat,INDEX(LH_Data,0,LH_ColPeriod),LH_OpenLabel)*UnitFactor))))</f>
        <v/>
      </c>
      <c r="U66" s="15" t="str">
        <f aca="false">IF(AG66=0,"",IF(NOT(LH_Ready),"",SUMIFS(INDEX(LH_Data,0,LH_ColAcc),INDEX(LH_Data,0,LH_ColFirst),$A66,INDEX(LH_Data,0,LH_ColSur),$B66,INDEX(LH_Data,0,LH_ColCat),BonusCat,INDEX(LH_Data,0,LH_ColStart),"&gt;="&amp;AH66)*UnitFactor))</f>
        <v/>
      </c>
      <c r="V66" s="15" t="str">
        <f aca="false">IF(AG66=0,"",IF(NOT(LH_Ready),"",SUMIFS(INDEX(LH_Data,0,LH_ColTaken),INDEX(LH_Data,0,LH_ColFirst),$A66,INDEX(LH_Data,0,LH_ColSur),$B66,INDEX(LH_Data,0,LH_ColCat),BonusCat,INDEX(LH_Data,0,LH_ColStart),"&gt;="&amp;AH66)*UnitFactor))</f>
        <v/>
      </c>
      <c r="W66" s="15" t="str">
        <f aca="false">IF(AG66=0,"",IF(NOT(LH_Ready),"",IF(BD66=0,0,INDEX(INDEX(LH_Data,0,LH_ColClose),BD66-1)*UnitFactor)))</f>
        <v/>
      </c>
      <c r="X66" s="15" t="str">
        <f aca="false">IF(AG66=0,"",(AZ66-BA66)*HoursPerDay)</f>
        <v/>
      </c>
      <c r="Y66" s="15" t="str">
        <f aca="false">IF(AG66=0,"",IF(NOT(LH_Ready),"",IF(BC66=0,N66,IF(PFYDate&lt;$F66,N66-N(T66)-N(U66),X66-N(U66)))))</f>
        <v/>
      </c>
      <c r="Z66" s="14" t="str">
        <f aca="false">IF(OR(AG66=0,Y66=""),"",IF(Y66&gt;0,"Yes","No"))</f>
        <v/>
      </c>
      <c r="AA66" s="14" t="str">
        <f aca="false">IF(AG66=0,IF(LEN($A66&amp;$B66)=0,"","FIX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month")&amp;IF(BC66=0,";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EH)",""),IF(AS66="None",R66,"Not yet - first day on "&amp;TEXT(S66,"dd/mm/yyyy")))))))))</f>
        <v/>
      </c>
      <c r="AB66" s="15" t="str">
        <f aca="false">IF(OR(AG66=0,T66=""),"",BA66*HoursPerDay-T66)</f>
        <v/>
      </c>
      <c r="AC66" s="14" t="str">
        <f aca="false">IF(AG66=0,"",BC66)</f>
        <v/>
      </c>
      <c r="AD66" s="14" t="str">
        <f aca="false">IF(AG66=0,"",TRIM(IF(OR(ISTEXT($F66),ISTEXT($H66),ISTEXT($I66),ISTEXT($G66),ISTEXT($J66),ISTEXT($D66)),"A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I66&gt;=1,IF(AI66&gt;=3,AO66,IF(AI66=2,AN66,AM66))&lt;&gt;IF($C66="","",IF(OR(ISNUMBER(SEARCH("full",$C66)),UPPER(TRIM($C66))="FT",UPPER(TRIM($C66))="FTE"),"Full-Time",IF(OR(ISNUMBER(SEARCH("part",$C66)),UPPER(TRIM($C66))="PT",UPPER(TRIM($C66))="PTE"),"Part-Time",IF(OR(ISNUMBER(SEARCH("cas",$C66)),UPPER(TRIM($C66))="CAS"),"Casual","Unknown"))))),"EmploymentType does not match latest start date ("&amp;IF(AI66&gt;=3,AO66,IF(AI66=2,AN66,AM66))&amp;"). ","")&amp;IF(AND(AI66&gt;=1,AJ66&lt;&gt;$F66),"Earliest type date should equal StartDate. ","")&amp;IF(AND(AI66&gt;=2,AJ66=AK66),"Two types start on the same date. ","")&amp;IF(AND(OR(ISNUMBER(SEARCH("part",$C66)),UPPER(TRIM($C66))="PT",UPPER(TRIM($C66))="PTE"),$P66=""),"Part-time: enter PT Hrs/Week (blank = 24+). ","")))</f>
        <v/>
      </c>
      <c r="AE66" s="15" t="str">
        <f aca="false">IF(AG66=0,"",O66-BH66)</f>
        <v/>
      </c>
      <c r="AF66" s="12" t="str">
        <f aca="false">IF(OR(AG66=0,AE66="",N(AE66)=0,BI66=""),"",EDATE(AH66,BI66))</f>
        <v/>
      </c>
      <c r="AG66" s="14" t="n">
        <f aca="false">IF(OR(LEN($A66&amp;$B66)=0,$F66=""),0,1)</f>
        <v>0</v>
      </c>
      <c r="AH66" s="12" t="str">
        <f aca="false">IF(AG66=0,"",IF($J66&lt;&gt;"",$J66,IF(OR(CasualCounts="Yes",COUNT($G66:$I66)=0,COUNT($H66:$I66)=0),$F66,MIN($H66:$I66))))</f>
        <v/>
      </c>
      <c r="AI66" s="14" t="str">
        <f aca="false">IF(AG66=0,"",COUNT($G66:$I66))</f>
        <v/>
      </c>
      <c r="AJ66" s="12" t="str">
        <f aca="false">IF(AG66=0,"",IFERROR(SMALL($G66:$I66,1),""))</f>
        <v/>
      </c>
      <c r="AK66" s="12" t="str">
        <f aca="false">IF(AG66=0,"",IFERROR(SMALL($G66:$I66,2),""))</f>
        <v/>
      </c>
      <c r="AL66" s="12" t="str">
        <f aca="false">IF(AG66=0,"",IFERROR(SMALL($G66:$I66,3),""))</f>
        <v/>
      </c>
      <c r="AM66" s="14" t="str">
        <f aca="false">IF(AG66=0,"",IF(AJ66="","",IF(AJ66=$H66,"Part-Time",IF(AJ66=$I66,"Full-Time","Casual"))))</f>
        <v/>
      </c>
      <c r="AN66" s="14" t="str">
        <f aca="false">IF(AG66=0,"",IF(AK66="","",IF(AK66=$H66,"Part-Time",IF(AK66=$I66,"Full-Time","Casual"))))</f>
        <v/>
      </c>
      <c r="AO66" s="14" t="str">
        <f aca="false">IF(AG66=0,"",IF(AL66="","",IF(AL66=$H66,"Part-Time",IF(AL66=$I66,"Full-Time","Casual"))))</f>
        <v/>
      </c>
      <c r="AP66" s="14" t="str">
        <f aca="false">IF(AG66=0,"",IF(AI66=0,IF(OR(ISNUMBER(SEARCH("full",$C66)),UPPER(TRIM($C66))="FT",UPPER(TRIM($C66))="FTE"),"FT",IF(AND(OR(ISNUMBER(SEARCH("part",$C66)),UPPER(TRIM($C66))="PT",UPPER(TRIM($C66))="PTE"),OR($P66="",N($P66)&gt;=PT_MinHours)),"PT","None")),IF(OR(ISNUMBER(SEARCH("full",AM66)),UPPER(TRIM(AM66))="FT",UPPER(TRIM(AM66))="FTE"),"FT",IF(AND(OR(ISNUMBER(SEARCH("part",AM66)),UPPER(TRIM(AM66))="PT",UPPER(TRIM(AM66))="PTE"),OR($P66="",N($P66)&gt;=PT_MinHours)),"PT","None"))))</f>
        <v/>
      </c>
      <c r="AQ66" s="14" t="str">
        <f aca="false">IF(AG66=0,"",IF(AI66&lt;2,"",IF(OR(ISNUMBER(SEARCH("full",AN66)),UPPER(TRIM(AN66))="FT",UPPER(TRIM(AN66))="FTE"),"FT",IF(AND(OR(ISNUMBER(SEARCH("part",AN66)),UPPER(TRIM(AN66))="PT",UPPER(TRIM(AN66))="PTE"),OR($P66="",N($P66)&gt;=PT_MinHours)),"PT","None"))))</f>
        <v/>
      </c>
      <c r="AR66" s="14" t="str">
        <f aca="false">IF(AG66=0,"",IF(AI66&lt;3,"",IF(OR(ISNUMBER(SEARCH("full",AO66)),UPPER(TRIM(AO66))="FT",UPPER(TRIM(AO66))="FTE"),"FT",IF(AND(OR(ISNUMBER(SEARCH("part",AO66)),UPPER(TRIM(AO66))="PT",UPPER(TRIM(AO66))="PTE"),OR($P66="",N($P66)&gt;=PT_MinHours)),"PT","None"))))</f>
        <v/>
      </c>
      <c r="AS66" s="14" t="str">
        <f aca="false">IF(AG66=0,"",IF(AND(AI66&gt;=3,AL66&lt;=AsOfDate),AR66,IF(AND(AI66&gt;=2,AK66&lt;=AsOfDate),AQ66,AP66)))</f>
        <v/>
      </c>
      <c r="AT66" s="14" t="str">
        <f aca="false">IF(AG66=0,"",IF(AsOfDate&lt;AH66,-1,12*(YEAR(AsOfDate)-YEAR(AH66))+MONTH(AsOfDate)-MONTH(AH66)-IF(DAY(AsOfDate)&lt;MIN(DAY(AH66),DAY(EOMONTH(AsOfDate,0))),1,0)))</f>
        <v/>
      </c>
      <c r="AU66" s="14" t="str">
        <f aca="false">IF(AG66=0,"",IF(OR(AI66&lt;2,AK66&gt;AsOfDate),AT66,IF((AK66-1)&lt;AH66,-1,12*(YEAR((AK66-1))-YEAR(AH66))+MONTH((AK66-1))-MONTH(AH66)-IF(DAY((AK66-1))&lt;MIN(DAY(AH66),DAY(EOMONTH((AK66-1),0))),1,0))))</f>
        <v/>
      </c>
      <c r="AV66" s="14" t="str">
        <f aca="false">IF(AG66=0,"",IF(OR(AI66&lt;3,AL66&gt;AsOfDate),AT66,IF((AL66-1)&lt;AH66,-1,12*(YEAR((AL66-1))-YEAR(AH66))+MONTH((AL66-1))-MONTH(AH66)-IF(DAY((AL66-1))&lt;MIN(DAY(AH66),DAY(EOMONTH((AL66-1),0))),1,0))))</f>
        <v/>
      </c>
      <c r="AW66" s="14" t="str">
        <f aca="false">IF(AG66=0,"",IF(PFYDate&lt;AH66,-1,12*(YEAR(PFYDate)-YEAR(AH66))+MONTH(PFYDate)-MONTH(AH66)-IF(DAY(PFYDate)&lt;MIN(DAY(AH66),DAY(EOMONTH(PFYDate,0))),1,0)))</f>
        <v/>
      </c>
      <c r="AX66" s="14" t="str">
        <f aca="false">IF(AG66=0,"",IF(OR(AI66&lt;2,AK66&gt;PFYDate),AW66,IF((AK66-1)&lt;AH66,-1,12*(YEAR((AK66-1))-YEAR(AH66))+MONTH((AK66-1))-MONTH(AH66)-IF(DAY((AK66-1))&lt;MIN(DAY(AH66),DAY(EOMONTH((AK66-1),0))),1,0))))</f>
        <v/>
      </c>
      <c r="AY66" s="14" t="str">
        <f aca="false">IF(AG66=0,"",IF(OR(AI66&lt;3,AL66&gt;PFYDate),AW66,IF((AL66-1)&lt;AH66,-1,12*(YEAR((AL66-1))-YEAR(AH66))+MONTH((AL66-1))-MONTH(AH66)-IF(DAY((AL66-1))&lt;MIN(DAY(AH66),DAY(EOMONTH((AL66-1),0))),1,0))))</f>
        <v/>
      </c>
      <c r="AZ66" s="14" t="str">
        <f aca="false">IF(AG66=0,"",IF(AP66="FT",IF(AU66&lt;FT_First,0,IF(AU66&lt;FT_Y5,1+INT((AU66-FT_First)/FT_Int1),FT_PreY5+FT_PerYear*INT((AU66-FT_Y5)/12)+FT_AnnivDays+INT(MOD(AU66-FT_Y5,12)/FT_Int2))),IF(AP66="PT",IF(AU66&lt;PT_First,0,1+INT((AU66-PT_First)/PT_Int)),0))+IF(AND(AI66&gt;=2,AK66&lt;=AsOfDate),IF(AQ66="FT",IF(AV66&lt;FT_First,0,IF(AV66&lt;FT_Y5,1+INT((AV66-FT_First)/FT_Int1),FT_PreY5+FT_PerYear*INT((AV66-FT_Y5)/12)+FT_AnnivDays+INT(MOD(AV66-FT_Y5,12)/FT_Int2))),IF(AQ66="PT",IF(AV66&lt;PT_First,0,1+INT((AV66-PT_First)/PT_Int)),0))-IF(AQ66="FT",IF(AU66&lt;FT_First,0,IF(AU66&lt;FT_Y5,1+INT((AU66-FT_First)/FT_Int1),FT_PreY5+FT_PerYear*INT((AU66-FT_Y5)/12)+FT_AnnivDays+INT(MOD(AU66-FT_Y5,12)/FT_Int2))),IF(AQ66="PT",IF(AU66&lt;PT_First,0,1+INT((AU66-PT_First)/PT_Int)),0)),0)+IF(AND(AI66&gt;=3,AL66&lt;=AsOfDate),IF(AR66="FT",IF(AT66&lt;FT_First,0,IF(AT66&lt;FT_Y5,1+INT((AT66-FT_First)/FT_Int1),FT_PreY5+FT_PerYear*INT((AT66-FT_Y5)/12)+FT_AnnivDays+INT(MOD(AT66-FT_Y5,12)/FT_Int2))),IF(AR66="PT",IF(AT66&lt;PT_First,0,1+INT((AT66-PT_First)/PT_Int)),0))-IF(AR66="FT",IF(AV66&lt;FT_First,0,IF(AV66&lt;FT_Y5,1+INT((AV66-FT_First)/FT_Int1),FT_PreY5+FT_PerYear*INT((AV66-FT_Y5)/12)+FT_AnnivDays+INT(MOD(AV66-FT_Y5,12)/FT_Int2))),IF(AR66="PT",IF(AV66&lt;PT_First,0,1+INT((AV66-PT_First)/PT_Int)),0)),0))</f>
        <v/>
      </c>
      <c r="BA66" s="14" t="str">
        <f aca="false">IF(AG66=0,"",IF(AP66="FT",IF(AX66&lt;FT_First,0,IF(AX66&lt;FT_Y5,1+INT((AX66-FT_First)/FT_Int1),FT_PreY5+FT_PerYear*INT((AX66-FT_Y5)/12)+FT_AnnivDays+INT(MOD(AX66-FT_Y5,12)/FT_Int2))),IF(AP66="PT",IF(AX66&lt;PT_First,0,1+INT((AX66-PT_First)/PT_Int)),0))+IF(AND(AI66&gt;=2,AK66&lt;=PFYDate),IF(AQ66="FT",IF(AY66&lt;FT_First,0,IF(AY66&lt;FT_Y5,1+INT((AY66-FT_First)/FT_Int1),FT_PreY5+FT_PerYear*INT((AY66-FT_Y5)/12)+FT_AnnivDays+INT(MOD(AY66-FT_Y5,12)/FT_Int2))),IF(AQ66="PT",IF(AY66&lt;PT_First,0,1+INT((AY66-PT_First)/PT_Int)),0))-IF(AQ66="FT",IF(AX66&lt;FT_First,0,IF(AX66&lt;FT_Y5,1+INT((AX66-FT_First)/FT_Int1),FT_PreY5+FT_PerYear*INT((AX66-FT_Y5)/12)+FT_AnnivDays+INT(MOD(AX66-FT_Y5,12)/FT_Int2))),IF(AQ66="PT",IF(AX66&lt;PT_First,0,1+INT((AX66-PT_First)/PT_Int)),0)),0)+IF(AND(AI66&gt;=3,AL66&lt;=PFYDate),IF(AR66="FT",IF(AW66&lt;FT_First,0,IF(AW66&lt;FT_Y5,1+INT((AW66-FT_First)/FT_Int1),FT_PreY5+FT_PerYear*INT((AW66-FT_Y5)/12)+FT_AnnivDays+INT(MOD(AW66-FT_Y5,12)/FT_Int2))),IF(AR66="PT",IF(AW66&lt;PT_First,0,1+INT((AW66-PT_First)/PT_Int)),0))-IF(AR66="FT",IF(AY66&lt;FT_First,0,IF(AY66&lt;FT_Y5,1+INT((AY66-FT_First)/FT_Int1),FT_PreY5+FT_PerYear*INT((AY66-FT_Y5)/12)+FT_AnnivDays+INT(MOD(AY66-FT_Y5,12)/FT_Int2))),IF(AR66="PT",IF(AY66&lt;PT_First,0,1+INT((AY66-PT_First)/PT_Int)),0)),0))</f>
        <v/>
      </c>
      <c r="BB66" s="14" t="str">
        <f aca="false">IF(AG66=0,"",IF(AS66="FT",IF(AT66&lt;FT_First,FT_First,IF(AT66&lt;FT_Y5,MIN(FT_Y5,FT_First+FT_Int1*(INT((AT66-FT_First)/FT_Int1)+1)),FT_Y5+12*INT((AT66-FT_Y5)/12)+FT_Int2*(INT(MOD(AT66-FT_Y5,12)/FT_Int2)+1))),IF(AS66="PT",IF(AT66&lt;PT_First,PT_First,PT_First+PT_Int*(INT((AT66-PT_First)/PT_Int)+1)),"")))</f>
        <v/>
      </c>
      <c r="BC66" s="14" t="str">
        <f aca="false">IF(AG66=0,"",IF(NOT(LH_Ready),0,COUNTIFS(INDEX(LH_Data,0,LH_ColFirst),$A66,INDEX(LH_Data,0,LH_ColSur),$B66,INDEX(LH_Data,0,LH_ColCat),BonusCat)))</f>
        <v/>
      </c>
      <c r="BD66" s="14" t="str">
        <f aca="false">IF(AG66=0,"",IF(OR(NOT(LH_Ready),BC66=0),0,SUMPRODUCT(MAX((INDEX(LH_Data,0,LH_ColFirst)=$A66)*(INDEX(LH_Data,0,LH_ColSur)=$B66)*(INDEX(LH_Data,0,LH_ColCat)=BonusCat)*ROW(LH_Data)))))</f>
        <v/>
      </c>
      <c r="BE66" s="14" t="str">
        <f aca="false">IF(AG66=0,"",IF(EOMONTH(AsOfDate,-1)&lt;AH66,-1,12*(YEAR(EOMONTH(AsOfDate,-1))-YEAR(AH66))+MONTH(EOMONTH(AsOfDate,-1))-MONTH(AH66)-IF(DAY(EOMONTH(AsOfDate,-1))&lt;MIN(DAY(AH66),DAY(EOMONTH(EOMONTH(AsOfDate,-1),0))),1,0)))</f>
        <v/>
      </c>
      <c r="BF66" s="14" t="str">
        <f aca="false">IF(AG66=0,"",IF(OR(AI66&lt;2,AK66&gt;EOMONTH(AsOfDate,-1)),BE66,IF((AK66-1)&lt;AH66,-1,12*(YEAR((AK66-1))-YEAR(AH66))+MONTH((AK66-1))-MONTH(AH66)-IF(DAY((AK66-1))&lt;MIN(DAY(AH66),DAY(EOMONTH((AK66-1),0))),1,0))))</f>
        <v/>
      </c>
      <c r="BG66" s="14" t="str">
        <f aca="false">IF(AG66=0,"",IF(OR(AI66&lt;3,AL66&gt;EOMONTH(AsOfDate,-1)),BE66,IF((AL66-1)&lt;AH66,-1,12*(YEAR((AL66-1))-YEAR(AH66))+MONTH((AL66-1))-MONTH(AH66)-IF(DAY((AL66-1))&lt;MIN(DAY(AH66),DAY(EOMONTH((AL66-1),0))),1,0))))</f>
        <v/>
      </c>
      <c r="BH66" s="14" t="str">
        <f aca="false">IF(AG66=0,"",IF(AP66="FT",IF(BF66&lt;FT_First,0,IF(BF66&lt;FT_Y5,1+INT((BF66-FT_First)/FT_Int1),FT_PreY5+FT_PerYear*INT((BF66-FT_Y5)/12)+FT_AnnivDays+INT(MOD(BF66-FT_Y5,12)/FT_Int2))),IF(AP66="PT",IF(BF66&lt;PT_First,0,1+INT((BF66-PT_First)/PT_Int)),0))+IF(AND(AI66&gt;=2,AK66&lt;=EOMONTH(AsOfDate,-1)),IF(AQ66="FT",IF(BG66&lt;FT_First,0,IF(BG66&lt;FT_Y5,1+INT((BG66-FT_First)/FT_Int1),FT_PreY5+FT_PerYear*INT((BG66-FT_Y5)/12)+FT_AnnivDays+INT(MOD(BG66-FT_Y5,12)/FT_Int2))),IF(AQ66="PT",IF(BG66&lt;PT_First,0,1+INT((BG66-PT_First)/PT_Int)),0))-IF(AQ66="FT",IF(BF66&lt;FT_First,0,IF(BF66&lt;FT_Y5,1+INT((BF66-FT_First)/FT_Int1),FT_PreY5+FT_PerYear*INT((BF66-FT_Y5)/12)+FT_AnnivDays+INT(MOD(BF66-FT_Y5,12)/FT_Int2))),IF(AQ66="PT",IF(BF66&lt;PT_First,0,1+INT((BF66-PT_First)/PT_Int)),0)),0)+IF(AND(AI66&gt;=3,AL66&lt;=EOMONTH(AsOfDate,-1)),IF(AR66="FT",IF(BE66&lt;FT_First,0,IF(BE66&lt;FT_Y5,1+INT((BE66-FT_First)/FT_Int1),FT_PreY5+FT_PerYear*INT((BE66-FT_Y5)/12)+FT_AnnivDays+INT(MOD(BE66-FT_Y5,12)/FT_Int2))),IF(AR66="PT",IF(BE66&lt;PT_First,0,1+INT((BE66-PT_First)/PT_Int)),0))-IF(AR66="FT",IF(BG66&lt;FT_First,0,IF(BG66&lt;FT_Y5,1+INT((BG66-FT_First)/FT_Int1),FT_PreY5+FT_PerYear*INT((BG66-FT_Y5)/12)+FT_AnnivDays+INT(MOD(BG66-FT_Y5,12)/FT_Int2))),IF(AR66="PT",IF(BG66&lt;PT_First,0,1+INT((BG66-PT_First)/PT_Int)),0)),0))</f>
        <v/>
      </c>
      <c r="BI66" s="14" t="str">
        <f aca="false">IF(AG66=0,"",IF(AS66="FT",IF(AT66&lt;FT_First,"",IF(AT66&lt;FT_Y5,FT_First+FT_Int1*INT((AT66-FT_First)/FT_Int1),FT_Y5+FT_Int2*INT((AT66-FT_Y5)/FT_Int2))),IF(AS66="PT",IF(AT66&lt;PT_First,"",PT_First+PT_Int*INT((AT66-PT_First)/PT_Int)),"")))</f>
        <v/>
      </c>
      <c r="BJ66" s="0" t="str">
        <f aca="false">IF(LEN($A66&amp;$B66)=0,"",$A66&amp;" "&amp;$B66)</f>
        <v/>
      </c>
    </row>
    <row r="67" customFormat="false" ht="15" hidden="false" customHeight="false" outlineLevel="0" collapsed="false">
      <c r="A67" s="10"/>
      <c r="B67" s="10"/>
      <c r="C67" s="10"/>
      <c r="D67" s="11"/>
      <c r="E67" s="12" t="str">
        <f aca="false">IF(OR(AG67=0,$D67=""),"",DATE(YEAR(AsOfDate)+IF(DATE(YEAR(AsOfDate),MONTH($D67),DAY($D67))&lt;=AsOfDate,1,0),MONTH($D67),DAY($D67)))</f>
        <v/>
      </c>
      <c r="F67" s="11"/>
      <c r="G67" s="11"/>
      <c r="H67" s="11"/>
      <c r="I67" s="11"/>
      <c r="J67" s="11"/>
      <c r="K67" s="12" t="str">
        <f aca="false">IF(AG67=0,"",DATE(YEAR(AsOfDate)+IF(DATE(YEAR(AsOfDate),MONTH(AH67),DAY(AH67))&lt;=AsOfDate,1,0),MONTH(AH67),DAY(AH67)))</f>
        <v/>
      </c>
      <c r="L67" s="13" t="str">
        <f aca="false">IF(AG67=0,"",ROUND((AsOfDate-AH67)/365.25,1))</f>
        <v/>
      </c>
      <c r="M67" s="14" t="str">
        <f aca="false">IF(AG67=0,"",IF(AsOfDate&lt;AH67,"-",DATEDIF(AH67,AsOfDate,"y")&amp;"y "&amp;DATEDIF(AH67,AsOfDate,"ym")&amp;"m "&amp;DATEDIF(AH67,AsOfDate,"md")&amp;"d"))</f>
        <v/>
      </c>
      <c r="N67" s="15" t="str">
        <f aca="false">IF(AG67=0,"",O67*HoursPerDay)</f>
        <v/>
      </c>
      <c r="O67" s="15" t="str">
        <f aca="false">IF(AG67=0,"",AZ67)</f>
        <v/>
      </c>
      <c r="P67" s="16"/>
      <c r="Q67" s="14" t="str">
        <f aca="false">IF(AG67=0,"",IF(AI67&lt;2,"",AM67&amp;" to "&amp;AN67&amp;" on "&amp;TEXT(AK67,"dd/mm/yyyy")&amp;IF(AK67&gt;AsOfDate," (future)",IF(AP67=AQ67,"",IF(AQ67="None"," - STOPPED accruing",IF(AP67="None"," - commencement for Bonus Leave"," - pathway changed"))))&amp;IF(AI67&lt;3,"","; "&amp;AN67&amp;" to "&amp;AO67&amp;" on "&amp;TEXT(AL67,"dd/mm/yyyy")&amp;IF(AL67&gt;AsOfDate," (future)",IF(AQ67=AR67,"",IF(AR67="None"," - STOPPED accruing",IF(AQ67="None"," - commencement for Bonus Leave"," - pathway changed")))))))</f>
        <v/>
      </c>
      <c r="R67" s="14" t="str">
        <f aca="false">IF(AG67=0,"",IF(AS67="None",IF(O67&gt;0,"No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2" t="str">
        <f aca="false">IF(AG67=0,"",IF(AS67="None","",EDATE(AH67,BB67)))</f>
        <v/>
      </c>
      <c r="T67" s="15" t="str">
        <f aca="false">IF(AG67=0,"",IF(NOT(LH_Ready),"",IF(AH67&gt;PFYDate,0,IF(LH_ColPeriod=0,W67-U67+V67,SUMIFS(INDEX(LH_Data,0,LH_ColAcc),INDEX(LH_Data,0,LH_ColFirst),$A67,INDEX(LH_Data,0,LH_ColSur),$B67,INDEX(LH_Data,0,LH_ColCat),BonusCat,INDEX(LH_Data,0,LH_ColPeriod),LH_OpenLabel)*UnitFactor))))</f>
        <v/>
      </c>
      <c r="U67" s="15" t="str">
        <f aca="false">IF(AG67=0,"",IF(NOT(LH_Ready),"",SUMIFS(INDEX(LH_Data,0,LH_ColAcc),INDEX(LH_Data,0,LH_ColFirst),$A67,INDEX(LH_Data,0,LH_ColSur),$B67,INDEX(LH_Data,0,LH_ColCat),BonusCat,INDEX(LH_Data,0,LH_ColStart),"&gt;="&amp;AH67)*UnitFactor))</f>
        <v/>
      </c>
      <c r="V67" s="15" t="str">
        <f aca="false">IF(AG67=0,"",IF(NOT(LH_Ready),"",SUMIFS(INDEX(LH_Data,0,LH_ColTaken),INDEX(LH_Data,0,LH_ColFirst),$A67,INDEX(LH_Data,0,LH_ColSur),$B67,INDEX(LH_Data,0,LH_ColCat),BonusCat,INDEX(LH_Data,0,LH_ColStart),"&gt;="&amp;AH67)*UnitFactor))</f>
        <v/>
      </c>
      <c r="W67" s="15" t="str">
        <f aca="false">IF(AG67=0,"",IF(NOT(LH_Ready),"",IF(BD67=0,0,INDEX(INDEX(LH_Data,0,LH_ColClose),BD67-1)*UnitFactor)))</f>
        <v/>
      </c>
      <c r="X67" s="15" t="str">
        <f aca="false">IF(AG67=0,"",(AZ67-BA67)*HoursPerDay)</f>
        <v/>
      </c>
      <c r="Y67" s="15" t="str">
        <f aca="false">IF(AG67=0,"",IF(NOT(LH_Ready),"",IF(BC67=0,N67,IF(PFYDate&lt;$F67,N67-N(T67)-N(U67),X67-N(U67)))))</f>
        <v/>
      </c>
      <c r="Z67" s="14" t="str">
        <f aca="false">IF(OR(AG67=0,Y67=""),"",IF(Y67&gt;0,"Yes","No"))</f>
        <v/>
      </c>
      <c r="AA67" s="14" t="str">
        <f aca="false">IF(AG67=0,IF(LEN($A67&amp;$B67)=0,"","FIX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month")&amp;IF(BC67=0,";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EH)",""),IF(AS67="None",R67,"Not yet - first day on "&amp;TEXT(S67,"dd/mm/yyyy")))))))))</f>
        <v/>
      </c>
      <c r="AB67" s="15" t="str">
        <f aca="false">IF(OR(AG67=0,T67=""),"",BA67*HoursPerDay-T67)</f>
        <v/>
      </c>
      <c r="AC67" s="14" t="str">
        <f aca="false">IF(AG67=0,"",BC67)</f>
        <v/>
      </c>
      <c r="AD67" s="14" t="str">
        <f aca="false">IF(AG67=0,"",TRIM(IF(OR(ISTEXT($F67),ISTEXT($H67),ISTEXT($I67),ISTEXT($G67),ISTEXT($J67),ISTEXT($D67)),"A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I67&gt;=1,IF(AI67&gt;=3,AO67,IF(AI67=2,AN67,AM67))&lt;&gt;IF($C67="","",IF(OR(ISNUMBER(SEARCH("full",$C67)),UPPER(TRIM($C67))="FT",UPPER(TRIM($C67))="FTE"),"Full-Time",IF(OR(ISNUMBER(SEARCH("part",$C67)),UPPER(TRIM($C67))="PT",UPPER(TRIM($C67))="PTE"),"Part-Time",IF(OR(ISNUMBER(SEARCH("cas",$C67)),UPPER(TRIM($C67))="CAS"),"Casual","Unknown"))))),"EmploymentType does not match latest start date ("&amp;IF(AI67&gt;=3,AO67,IF(AI67=2,AN67,AM67))&amp;"). ","")&amp;IF(AND(AI67&gt;=1,AJ67&lt;&gt;$F67),"Earliest type date should equal StartDate. ","")&amp;IF(AND(AI67&gt;=2,AJ67=AK67),"Two types start on the same date. ","")&amp;IF(AND(OR(ISNUMBER(SEARCH("part",$C67)),UPPER(TRIM($C67))="PT",UPPER(TRIM($C67))="PTE"),$P67=""),"Part-time: enter PT Hrs/Week (blank = 24+). ","")))</f>
        <v/>
      </c>
      <c r="AE67" s="15" t="str">
        <f aca="false">IF(AG67=0,"",O67-BH67)</f>
        <v/>
      </c>
      <c r="AF67" s="12" t="str">
        <f aca="false">IF(OR(AG67=0,AE67="",N(AE67)=0,BI67=""),"",EDATE(AH67,BI67))</f>
        <v/>
      </c>
      <c r="AG67" s="14" t="n">
        <f aca="false">IF(OR(LEN($A67&amp;$B67)=0,$F67=""),0,1)</f>
        <v>0</v>
      </c>
      <c r="AH67" s="12" t="str">
        <f aca="false">IF(AG67=0,"",IF($J67&lt;&gt;"",$J67,IF(OR(CasualCounts="Yes",COUNT($G67:$I67)=0,COUNT($H67:$I67)=0),$F67,MIN($H67:$I67))))</f>
        <v/>
      </c>
      <c r="AI67" s="14" t="str">
        <f aca="false">IF(AG67=0,"",COUNT($G67:$I67))</f>
        <v/>
      </c>
      <c r="AJ67" s="12" t="str">
        <f aca="false">IF(AG67=0,"",IFERROR(SMALL($G67:$I67,1),""))</f>
        <v/>
      </c>
      <c r="AK67" s="12" t="str">
        <f aca="false">IF(AG67=0,"",IFERROR(SMALL($G67:$I67,2),""))</f>
        <v/>
      </c>
      <c r="AL67" s="12" t="str">
        <f aca="false">IF(AG67=0,"",IFERROR(SMALL($G67:$I67,3),""))</f>
        <v/>
      </c>
      <c r="AM67" s="14" t="str">
        <f aca="false">IF(AG67=0,"",IF(AJ67="","",IF(AJ67=$H67,"Part-Time",IF(AJ67=$I67,"Full-Time","Casual"))))</f>
        <v/>
      </c>
      <c r="AN67" s="14" t="str">
        <f aca="false">IF(AG67=0,"",IF(AK67="","",IF(AK67=$H67,"Part-Time",IF(AK67=$I67,"Full-Time","Casual"))))</f>
        <v/>
      </c>
      <c r="AO67" s="14" t="str">
        <f aca="false">IF(AG67=0,"",IF(AL67="","",IF(AL67=$H67,"Part-Time",IF(AL67=$I67,"Full-Time","Casual"))))</f>
        <v/>
      </c>
      <c r="AP67" s="14" t="str">
        <f aca="false">IF(AG67=0,"",IF(AI67=0,IF(OR(ISNUMBER(SEARCH("full",$C67)),UPPER(TRIM($C67))="FT",UPPER(TRIM($C67))="FTE"),"FT",IF(AND(OR(ISNUMBER(SEARCH("part",$C67)),UPPER(TRIM($C67))="PT",UPPER(TRIM($C67))="PTE"),OR($P67="",N($P67)&gt;=PT_MinHours)),"PT","None")),IF(OR(ISNUMBER(SEARCH("full",AM67)),UPPER(TRIM(AM67))="FT",UPPER(TRIM(AM67))="FTE"),"FT",IF(AND(OR(ISNUMBER(SEARCH("part",AM67)),UPPER(TRIM(AM67))="PT",UPPER(TRIM(AM67))="PTE"),OR($P67="",N($P67)&gt;=PT_MinHours)),"PT","None"))))</f>
        <v/>
      </c>
      <c r="AQ67" s="14" t="str">
        <f aca="false">IF(AG67=0,"",IF(AI67&lt;2,"",IF(OR(ISNUMBER(SEARCH("full",AN67)),UPPER(TRIM(AN67))="FT",UPPER(TRIM(AN67))="FTE"),"FT",IF(AND(OR(ISNUMBER(SEARCH("part",AN67)),UPPER(TRIM(AN67))="PT",UPPER(TRIM(AN67))="PTE"),OR($P67="",N($P67)&gt;=PT_MinHours)),"PT","None"))))</f>
        <v/>
      </c>
      <c r="AR67" s="14" t="str">
        <f aca="false">IF(AG67=0,"",IF(AI67&lt;3,"",IF(OR(ISNUMBER(SEARCH("full",AO67)),UPPER(TRIM(AO67))="FT",UPPER(TRIM(AO67))="FTE"),"FT",IF(AND(OR(ISNUMBER(SEARCH("part",AO67)),UPPER(TRIM(AO67))="PT",UPPER(TRIM(AO67))="PTE"),OR($P67="",N($P67)&gt;=PT_MinHours)),"PT","None"))))</f>
        <v/>
      </c>
      <c r="AS67" s="14" t="str">
        <f aca="false">IF(AG67=0,"",IF(AND(AI67&gt;=3,AL67&lt;=AsOfDate),AR67,IF(AND(AI67&gt;=2,AK67&lt;=AsOfDate),AQ67,AP67)))</f>
        <v/>
      </c>
      <c r="AT67" s="14" t="str">
        <f aca="false">IF(AG67=0,"",IF(AsOfDate&lt;AH67,-1,12*(YEAR(AsOfDate)-YEAR(AH67))+MONTH(AsOfDate)-MONTH(AH67)-IF(DAY(AsOfDate)&lt;MIN(DAY(AH67),DAY(EOMONTH(AsOfDate,0))),1,0)))</f>
        <v/>
      </c>
      <c r="AU67" s="14" t="str">
        <f aca="false">IF(AG67=0,"",IF(OR(AI67&lt;2,AK67&gt;AsOfDate),AT67,IF((AK67-1)&lt;AH67,-1,12*(YEAR((AK67-1))-YEAR(AH67))+MONTH((AK67-1))-MONTH(AH67)-IF(DAY((AK67-1))&lt;MIN(DAY(AH67),DAY(EOMONTH((AK67-1),0))),1,0))))</f>
        <v/>
      </c>
      <c r="AV67" s="14" t="str">
        <f aca="false">IF(AG67=0,"",IF(OR(AI67&lt;3,AL67&gt;AsOfDate),AT67,IF((AL67-1)&lt;AH67,-1,12*(YEAR((AL67-1))-YEAR(AH67))+MONTH((AL67-1))-MONTH(AH67)-IF(DAY((AL67-1))&lt;MIN(DAY(AH67),DAY(EOMONTH((AL67-1),0))),1,0))))</f>
        <v/>
      </c>
      <c r="AW67" s="14" t="str">
        <f aca="false">IF(AG67=0,"",IF(PFYDate&lt;AH67,-1,12*(YEAR(PFYDate)-YEAR(AH67))+MONTH(PFYDate)-MONTH(AH67)-IF(DAY(PFYDate)&lt;MIN(DAY(AH67),DAY(EOMONTH(PFYDate,0))),1,0)))</f>
        <v/>
      </c>
      <c r="AX67" s="14" t="str">
        <f aca="false">IF(AG67=0,"",IF(OR(AI67&lt;2,AK67&gt;PFYDate),AW67,IF((AK67-1)&lt;AH67,-1,12*(YEAR((AK67-1))-YEAR(AH67))+MONTH((AK67-1))-MONTH(AH67)-IF(DAY((AK67-1))&lt;MIN(DAY(AH67),DAY(EOMONTH((AK67-1),0))),1,0))))</f>
        <v/>
      </c>
      <c r="AY67" s="14" t="str">
        <f aca="false">IF(AG67=0,"",IF(OR(AI67&lt;3,AL67&gt;PFYDate),AW67,IF((AL67-1)&lt;AH67,-1,12*(YEAR((AL67-1))-YEAR(AH67))+MONTH((AL67-1))-MONTH(AH67)-IF(DAY((AL67-1))&lt;MIN(DAY(AH67),DAY(EOMONTH((AL67-1),0))),1,0))))</f>
        <v/>
      </c>
      <c r="AZ67" s="14" t="str">
        <f aca="false">IF(AG67=0,"",IF(AP67="FT",IF(AU67&lt;FT_First,0,IF(AU67&lt;FT_Y5,1+INT((AU67-FT_First)/FT_Int1),FT_PreY5+FT_PerYear*INT((AU67-FT_Y5)/12)+FT_AnnivDays+INT(MOD(AU67-FT_Y5,12)/FT_Int2))),IF(AP67="PT",IF(AU67&lt;PT_First,0,1+INT((AU67-PT_First)/PT_Int)),0))+IF(AND(AI67&gt;=2,AK67&lt;=AsOfDate),IF(AQ67="FT",IF(AV67&lt;FT_First,0,IF(AV67&lt;FT_Y5,1+INT((AV67-FT_First)/FT_Int1),FT_PreY5+FT_PerYear*INT((AV67-FT_Y5)/12)+FT_AnnivDays+INT(MOD(AV67-FT_Y5,12)/FT_Int2))),IF(AQ67="PT",IF(AV67&lt;PT_First,0,1+INT((AV67-PT_First)/PT_Int)),0))-IF(AQ67="FT",IF(AU67&lt;FT_First,0,IF(AU67&lt;FT_Y5,1+INT((AU67-FT_First)/FT_Int1),FT_PreY5+FT_PerYear*INT((AU67-FT_Y5)/12)+FT_AnnivDays+INT(MOD(AU67-FT_Y5,12)/FT_Int2))),IF(AQ67="PT",IF(AU67&lt;PT_First,0,1+INT((AU67-PT_First)/PT_Int)),0)),0)+IF(AND(AI67&gt;=3,AL67&lt;=AsOfDate),IF(AR67="FT",IF(AT67&lt;FT_First,0,IF(AT67&lt;FT_Y5,1+INT((AT67-FT_First)/FT_Int1),FT_PreY5+FT_PerYear*INT((AT67-FT_Y5)/12)+FT_AnnivDays+INT(MOD(AT67-FT_Y5,12)/FT_Int2))),IF(AR67="PT",IF(AT67&lt;PT_First,0,1+INT((AT67-PT_First)/PT_Int)),0))-IF(AR67="FT",IF(AV67&lt;FT_First,0,IF(AV67&lt;FT_Y5,1+INT((AV67-FT_First)/FT_Int1),FT_PreY5+FT_PerYear*INT((AV67-FT_Y5)/12)+FT_AnnivDays+INT(MOD(AV67-FT_Y5,12)/FT_Int2))),IF(AR67="PT",IF(AV67&lt;PT_First,0,1+INT((AV67-PT_First)/PT_Int)),0)),0))</f>
        <v/>
      </c>
      <c r="BA67" s="14" t="str">
        <f aca="false">IF(AG67=0,"",IF(AP67="FT",IF(AX67&lt;FT_First,0,IF(AX67&lt;FT_Y5,1+INT((AX67-FT_First)/FT_Int1),FT_PreY5+FT_PerYear*INT((AX67-FT_Y5)/12)+FT_AnnivDays+INT(MOD(AX67-FT_Y5,12)/FT_Int2))),IF(AP67="PT",IF(AX67&lt;PT_First,0,1+INT((AX67-PT_First)/PT_Int)),0))+IF(AND(AI67&gt;=2,AK67&lt;=PFYDate),IF(AQ67="FT",IF(AY67&lt;FT_First,0,IF(AY67&lt;FT_Y5,1+INT((AY67-FT_First)/FT_Int1),FT_PreY5+FT_PerYear*INT((AY67-FT_Y5)/12)+FT_AnnivDays+INT(MOD(AY67-FT_Y5,12)/FT_Int2))),IF(AQ67="PT",IF(AY67&lt;PT_First,0,1+INT((AY67-PT_First)/PT_Int)),0))-IF(AQ67="FT",IF(AX67&lt;FT_First,0,IF(AX67&lt;FT_Y5,1+INT((AX67-FT_First)/FT_Int1),FT_PreY5+FT_PerYear*INT((AX67-FT_Y5)/12)+FT_AnnivDays+INT(MOD(AX67-FT_Y5,12)/FT_Int2))),IF(AQ67="PT",IF(AX67&lt;PT_First,0,1+INT((AX67-PT_First)/PT_Int)),0)),0)+IF(AND(AI67&gt;=3,AL67&lt;=PFYDate),IF(AR67="FT",IF(AW67&lt;FT_First,0,IF(AW67&lt;FT_Y5,1+INT((AW67-FT_First)/FT_Int1),FT_PreY5+FT_PerYear*INT((AW67-FT_Y5)/12)+FT_AnnivDays+INT(MOD(AW67-FT_Y5,12)/FT_Int2))),IF(AR67="PT",IF(AW67&lt;PT_First,0,1+INT((AW67-PT_First)/PT_Int)),0))-IF(AR67="FT",IF(AY67&lt;FT_First,0,IF(AY67&lt;FT_Y5,1+INT((AY67-FT_First)/FT_Int1),FT_PreY5+FT_PerYear*INT((AY67-FT_Y5)/12)+FT_AnnivDays+INT(MOD(AY67-FT_Y5,12)/FT_Int2))),IF(AR67="PT",IF(AY67&lt;PT_First,0,1+INT((AY67-PT_First)/PT_Int)),0)),0))</f>
        <v/>
      </c>
      <c r="BB67" s="14" t="str">
        <f aca="false">IF(AG67=0,"",IF(AS67="FT",IF(AT67&lt;FT_First,FT_First,IF(AT67&lt;FT_Y5,MIN(FT_Y5,FT_First+FT_Int1*(INT((AT67-FT_First)/FT_Int1)+1)),FT_Y5+12*INT((AT67-FT_Y5)/12)+FT_Int2*(INT(MOD(AT67-FT_Y5,12)/FT_Int2)+1))),IF(AS67="PT",IF(AT67&lt;PT_First,PT_First,PT_First+PT_Int*(INT((AT67-PT_First)/PT_Int)+1)),"")))</f>
        <v/>
      </c>
      <c r="BC67" s="14" t="str">
        <f aca="false">IF(AG67=0,"",IF(NOT(LH_Ready),0,COUNTIFS(INDEX(LH_Data,0,LH_ColFirst),$A67,INDEX(LH_Data,0,LH_ColSur),$B67,INDEX(LH_Data,0,LH_ColCat),BonusCat)))</f>
        <v/>
      </c>
      <c r="BD67" s="14" t="str">
        <f aca="false">IF(AG67=0,"",IF(OR(NOT(LH_Ready),BC67=0),0,SUMPRODUCT(MAX((INDEX(LH_Data,0,LH_ColFirst)=$A67)*(INDEX(LH_Data,0,LH_ColSur)=$B67)*(INDEX(LH_Data,0,LH_ColCat)=BonusCat)*ROW(LH_Data)))))</f>
        <v/>
      </c>
      <c r="BE67" s="14" t="str">
        <f aca="false">IF(AG67=0,"",IF(EOMONTH(AsOfDate,-1)&lt;AH67,-1,12*(YEAR(EOMONTH(AsOfDate,-1))-YEAR(AH67))+MONTH(EOMONTH(AsOfDate,-1))-MONTH(AH67)-IF(DAY(EOMONTH(AsOfDate,-1))&lt;MIN(DAY(AH67),DAY(EOMONTH(EOMONTH(AsOfDate,-1),0))),1,0)))</f>
        <v/>
      </c>
      <c r="BF67" s="14" t="str">
        <f aca="false">IF(AG67=0,"",IF(OR(AI67&lt;2,AK67&gt;EOMONTH(AsOfDate,-1)),BE67,IF((AK67-1)&lt;AH67,-1,12*(YEAR((AK67-1))-YEAR(AH67))+MONTH((AK67-1))-MONTH(AH67)-IF(DAY((AK67-1))&lt;MIN(DAY(AH67),DAY(EOMONTH((AK67-1),0))),1,0))))</f>
        <v/>
      </c>
      <c r="BG67" s="14" t="str">
        <f aca="false">IF(AG67=0,"",IF(OR(AI67&lt;3,AL67&gt;EOMONTH(AsOfDate,-1)),BE67,IF((AL67-1)&lt;AH67,-1,12*(YEAR((AL67-1))-YEAR(AH67))+MONTH((AL67-1))-MONTH(AH67)-IF(DAY((AL67-1))&lt;MIN(DAY(AH67),DAY(EOMONTH((AL67-1),0))),1,0))))</f>
        <v/>
      </c>
      <c r="BH67" s="14" t="str">
        <f aca="false">IF(AG67=0,"",IF(AP67="FT",IF(BF67&lt;FT_First,0,IF(BF67&lt;FT_Y5,1+INT((BF67-FT_First)/FT_Int1),FT_PreY5+FT_PerYear*INT((BF67-FT_Y5)/12)+FT_AnnivDays+INT(MOD(BF67-FT_Y5,12)/FT_Int2))),IF(AP67="PT",IF(BF67&lt;PT_First,0,1+INT((BF67-PT_First)/PT_Int)),0))+IF(AND(AI67&gt;=2,AK67&lt;=EOMONTH(AsOfDate,-1)),IF(AQ67="FT",IF(BG67&lt;FT_First,0,IF(BG67&lt;FT_Y5,1+INT((BG67-FT_First)/FT_Int1),FT_PreY5+FT_PerYear*INT((BG67-FT_Y5)/12)+FT_AnnivDays+INT(MOD(BG67-FT_Y5,12)/FT_Int2))),IF(AQ67="PT",IF(BG67&lt;PT_First,0,1+INT((BG67-PT_First)/PT_Int)),0))-IF(AQ67="FT",IF(BF67&lt;FT_First,0,IF(BF67&lt;FT_Y5,1+INT((BF67-FT_First)/FT_Int1),FT_PreY5+FT_PerYear*INT((BF67-FT_Y5)/12)+FT_AnnivDays+INT(MOD(BF67-FT_Y5,12)/FT_Int2))),IF(AQ67="PT",IF(BF67&lt;PT_First,0,1+INT((BF67-PT_First)/PT_Int)),0)),0)+IF(AND(AI67&gt;=3,AL67&lt;=EOMONTH(AsOfDate,-1)),IF(AR67="FT",IF(BE67&lt;FT_First,0,IF(BE67&lt;FT_Y5,1+INT((BE67-FT_First)/FT_Int1),FT_PreY5+FT_PerYear*INT((BE67-FT_Y5)/12)+FT_AnnivDays+INT(MOD(BE67-FT_Y5,12)/FT_Int2))),IF(AR67="PT",IF(BE67&lt;PT_First,0,1+INT((BE67-PT_First)/PT_Int)),0))-IF(AR67="FT",IF(BG67&lt;FT_First,0,IF(BG67&lt;FT_Y5,1+INT((BG67-FT_First)/FT_Int1),FT_PreY5+FT_PerYear*INT((BG67-FT_Y5)/12)+FT_AnnivDays+INT(MOD(BG67-FT_Y5,12)/FT_Int2))),IF(AR67="PT",IF(BG67&lt;PT_First,0,1+INT((BG67-PT_First)/PT_Int)),0)),0))</f>
        <v/>
      </c>
      <c r="BI67" s="14" t="str">
        <f aca="false">IF(AG67=0,"",IF(AS67="FT",IF(AT67&lt;FT_First,"",IF(AT67&lt;FT_Y5,FT_First+FT_Int1*INT((AT67-FT_First)/FT_Int1),FT_Y5+FT_Int2*INT((AT67-FT_Y5)/FT_Int2))),IF(AS67="PT",IF(AT67&lt;PT_First,"",PT_First+PT_Int*INT((AT67-PT_First)/PT_Int)),"")))</f>
        <v/>
      </c>
      <c r="BJ67" s="0" t="str">
        <f aca="false">IF(LEN($A67&amp;$B67)=0,"",$A67&amp;" "&amp;$B67)</f>
        <v/>
      </c>
    </row>
    <row r="68" customFormat="false" ht="15" hidden="false" customHeight="false" outlineLevel="0" collapsed="false">
      <c r="A68" s="10"/>
      <c r="B68" s="10"/>
      <c r="C68" s="10"/>
      <c r="D68" s="11"/>
      <c r="E68" s="12" t="str">
        <f aca="false">IF(OR(AG68=0,$D68=""),"",DATE(YEAR(AsOfDate)+IF(DATE(YEAR(AsOfDate),MONTH($D68),DAY($D68))&lt;=AsOfDate,1,0),MONTH($D68),DAY($D68)))</f>
        <v/>
      </c>
      <c r="F68" s="11"/>
      <c r="G68" s="11"/>
      <c r="H68" s="11"/>
      <c r="I68" s="11"/>
      <c r="J68" s="11"/>
      <c r="K68" s="12" t="str">
        <f aca="false">IF(AG68=0,"",DATE(YEAR(AsOfDate)+IF(DATE(YEAR(AsOfDate),MONTH(AH68),DAY(AH68))&lt;=AsOfDate,1,0),MONTH(AH68),DAY(AH68)))</f>
        <v/>
      </c>
      <c r="L68" s="13" t="str">
        <f aca="false">IF(AG68=0,"",ROUND((AsOfDate-AH68)/365.25,1))</f>
        <v/>
      </c>
      <c r="M68" s="14" t="str">
        <f aca="false">IF(AG68=0,"",IF(AsOfDate&lt;AH68,"-",DATEDIF(AH68,AsOfDate,"y")&amp;"y "&amp;DATEDIF(AH68,AsOfDate,"ym")&amp;"m "&amp;DATEDIF(AH68,AsOfDate,"md")&amp;"d"))</f>
        <v/>
      </c>
      <c r="N68" s="15" t="str">
        <f aca="false">IF(AG68=0,"",O68*HoursPerDay)</f>
        <v/>
      </c>
      <c r="O68" s="15" t="str">
        <f aca="false">IF(AG68=0,"",AZ68)</f>
        <v/>
      </c>
      <c r="P68" s="16"/>
      <c r="Q68" s="14" t="str">
        <f aca="false">IF(AG68=0,"",IF(AI68&lt;2,"",AM68&amp;" to "&amp;AN68&amp;" on "&amp;TEXT(AK68,"dd/mm/yyyy")&amp;IF(AK68&gt;AsOfDate," (future)",IF(AP68=AQ68,"",IF(AQ68="None"," - STOPPED accruing",IF(AP68="None"," - commencement for Bonus Leave"," - pathway changed"))))&amp;IF(AI68&lt;3,"","; "&amp;AN68&amp;" to "&amp;AO68&amp;" on "&amp;TEXT(AL68,"dd/mm/yyyy")&amp;IF(AL68&gt;AsOfDate," (future)",IF(AQ68=AR68,"",IF(AR68="None"," - STOPPED accruing",IF(AQ68="None"," - commencement for Bonus Leave"," - pathway changed")))))))</f>
        <v/>
      </c>
      <c r="R68" s="14" t="str">
        <f aca="false">IF(AG68=0,"",IF(AS68="None",IF(O68&gt;0,"No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2" t="str">
        <f aca="false">IF(AG68=0,"",IF(AS68="None","",EDATE(AH68,BB68)))</f>
        <v/>
      </c>
      <c r="T68" s="15" t="str">
        <f aca="false">IF(AG68=0,"",IF(NOT(LH_Ready),"",IF(AH68&gt;PFYDate,0,IF(LH_ColPeriod=0,W68-U68+V68,SUMIFS(INDEX(LH_Data,0,LH_ColAcc),INDEX(LH_Data,0,LH_ColFirst),$A68,INDEX(LH_Data,0,LH_ColSur),$B68,INDEX(LH_Data,0,LH_ColCat),BonusCat,INDEX(LH_Data,0,LH_ColPeriod),LH_OpenLabel)*UnitFactor))))</f>
        <v/>
      </c>
      <c r="U68" s="15" t="str">
        <f aca="false">IF(AG68=0,"",IF(NOT(LH_Ready),"",SUMIFS(INDEX(LH_Data,0,LH_ColAcc),INDEX(LH_Data,0,LH_ColFirst),$A68,INDEX(LH_Data,0,LH_ColSur),$B68,INDEX(LH_Data,0,LH_ColCat),BonusCat,INDEX(LH_Data,0,LH_ColStart),"&gt;="&amp;AH68)*UnitFactor))</f>
        <v/>
      </c>
      <c r="V68" s="15" t="str">
        <f aca="false">IF(AG68=0,"",IF(NOT(LH_Ready),"",SUMIFS(INDEX(LH_Data,0,LH_ColTaken),INDEX(LH_Data,0,LH_ColFirst),$A68,INDEX(LH_Data,0,LH_ColSur),$B68,INDEX(LH_Data,0,LH_ColCat),BonusCat,INDEX(LH_Data,0,LH_ColStart),"&gt;="&amp;AH68)*UnitFactor))</f>
        <v/>
      </c>
      <c r="W68" s="15" t="str">
        <f aca="false">IF(AG68=0,"",IF(NOT(LH_Ready),"",IF(BD68=0,0,INDEX(INDEX(LH_Data,0,LH_ColClose),BD68-1)*UnitFactor)))</f>
        <v/>
      </c>
      <c r="X68" s="15" t="str">
        <f aca="false">IF(AG68=0,"",(AZ68-BA68)*HoursPerDay)</f>
        <v/>
      </c>
      <c r="Y68" s="15" t="str">
        <f aca="false">IF(AG68=0,"",IF(NOT(LH_Ready),"",IF(BC68=0,N68,IF(PFYDate&lt;$F68,N68-N(T68)-N(U68),X68-N(U68)))))</f>
        <v/>
      </c>
      <c r="Z68" s="14" t="str">
        <f aca="false">IF(OR(AG68=0,Y68=""),"",IF(Y68&gt;0,"Yes","No"))</f>
        <v/>
      </c>
      <c r="AA68" s="14" t="str">
        <f aca="false">IF(AG68=0,IF(LEN($A68&amp;$B68)=0,"","FIX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month")&amp;IF(BC68=0,";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EH)",""),IF(AS68="None",R68,"Not yet - first day on "&amp;TEXT(S68,"dd/mm/yyyy")))))))))</f>
        <v/>
      </c>
      <c r="AB68" s="15" t="str">
        <f aca="false">IF(OR(AG68=0,T68=""),"",BA68*HoursPerDay-T68)</f>
        <v/>
      </c>
      <c r="AC68" s="14" t="str">
        <f aca="false">IF(AG68=0,"",BC68)</f>
        <v/>
      </c>
      <c r="AD68" s="14" t="str">
        <f aca="false">IF(AG68=0,"",TRIM(IF(OR(ISTEXT($F68),ISTEXT($H68),ISTEXT($I68),ISTEXT($G68),ISTEXT($J68),ISTEXT($D68)),"A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I68&gt;=1,IF(AI68&gt;=3,AO68,IF(AI68=2,AN68,AM68))&lt;&gt;IF($C68="","",IF(OR(ISNUMBER(SEARCH("full",$C68)),UPPER(TRIM($C68))="FT",UPPER(TRIM($C68))="FTE"),"Full-Time",IF(OR(ISNUMBER(SEARCH("part",$C68)),UPPER(TRIM($C68))="PT",UPPER(TRIM($C68))="PTE"),"Part-Time",IF(OR(ISNUMBER(SEARCH("cas",$C68)),UPPER(TRIM($C68))="CAS"),"Casual","Unknown"))))),"EmploymentType does not match latest start date ("&amp;IF(AI68&gt;=3,AO68,IF(AI68=2,AN68,AM68))&amp;"). ","")&amp;IF(AND(AI68&gt;=1,AJ68&lt;&gt;$F68),"Earliest type date should equal StartDate. ","")&amp;IF(AND(AI68&gt;=2,AJ68=AK68),"Two types start on the same date. ","")&amp;IF(AND(OR(ISNUMBER(SEARCH("part",$C68)),UPPER(TRIM($C68))="PT",UPPER(TRIM($C68))="PTE"),$P68=""),"Part-time: enter PT Hrs/Week (blank = 24+). ","")))</f>
        <v/>
      </c>
      <c r="AE68" s="15" t="str">
        <f aca="false">IF(AG68=0,"",O68-BH68)</f>
        <v/>
      </c>
      <c r="AF68" s="12" t="str">
        <f aca="false">IF(OR(AG68=0,AE68="",N(AE68)=0,BI68=""),"",EDATE(AH68,BI68))</f>
        <v/>
      </c>
      <c r="AG68" s="14" t="n">
        <f aca="false">IF(OR(LEN($A68&amp;$B68)=0,$F68=""),0,1)</f>
        <v>0</v>
      </c>
      <c r="AH68" s="12" t="str">
        <f aca="false">IF(AG68=0,"",IF($J68&lt;&gt;"",$J68,IF(OR(CasualCounts="Yes",COUNT($G68:$I68)=0,COUNT($H68:$I68)=0),$F68,MIN($H68:$I68))))</f>
        <v/>
      </c>
      <c r="AI68" s="14" t="str">
        <f aca="false">IF(AG68=0,"",COUNT($G68:$I68))</f>
        <v/>
      </c>
      <c r="AJ68" s="12" t="str">
        <f aca="false">IF(AG68=0,"",IFERROR(SMALL($G68:$I68,1),""))</f>
        <v/>
      </c>
      <c r="AK68" s="12" t="str">
        <f aca="false">IF(AG68=0,"",IFERROR(SMALL($G68:$I68,2),""))</f>
        <v/>
      </c>
      <c r="AL68" s="12" t="str">
        <f aca="false">IF(AG68=0,"",IFERROR(SMALL($G68:$I68,3),""))</f>
        <v/>
      </c>
      <c r="AM68" s="14" t="str">
        <f aca="false">IF(AG68=0,"",IF(AJ68="","",IF(AJ68=$H68,"Part-Time",IF(AJ68=$I68,"Full-Time","Casual"))))</f>
        <v/>
      </c>
      <c r="AN68" s="14" t="str">
        <f aca="false">IF(AG68=0,"",IF(AK68="","",IF(AK68=$H68,"Part-Time",IF(AK68=$I68,"Full-Time","Casual"))))</f>
        <v/>
      </c>
      <c r="AO68" s="14" t="str">
        <f aca="false">IF(AG68=0,"",IF(AL68="","",IF(AL68=$H68,"Part-Time",IF(AL68=$I68,"Full-Time","Casual"))))</f>
        <v/>
      </c>
      <c r="AP68" s="14" t="str">
        <f aca="false">IF(AG68=0,"",IF(AI68=0,IF(OR(ISNUMBER(SEARCH("full",$C68)),UPPER(TRIM($C68))="FT",UPPER(TRIM($C68))="FTE"),"FT",IF(AND(OR(ISNUMBER(SEARCH("part",$C68)),UPPER(TRIM($C68))="PT",UPPER(TRIM($C68))="PTE"),OR($P68="",N($P68)&gt;=PT_MinHours)),"PT","None")),IF(OR(ISNUMBER(SEARCH("full",AM68)),UPPER(TRIM(AM68))="FT",UPPER(TRIM(AM68))="FTE"),"FT",IF(AND(OR(ISNUMBER(SEARCH("part",AM68)),UPPER(TRIM(AM68))="PT",UPPER(TRIM(AM68))="PTE"),OR($P68="",N($P68)&gt;=PT_MinHours)),"PT","None"))))</f>
        <v/>
      </c>
      <c r="AQ68" s="14" t="str">
        <f aca="false">IF(AG68=0,"",IF(AI68&lt;2,"",IF(OR(ISNUMBER(SEARCH("full",AN68)),UPPER(TRIM(AN68))="FT",UPPER(TRIM(AN68))="FTE"),"FT",IF(AND(OR(ISNUMBER(SEARCH("part",AN68)),UPPER(TRIM(AN68))="PT",UPPER(TRIM(AN68))="PTE"),OR($P68="",N($P68)&gt;=PT_MinHours)),"PT","None"))))</f>
        <v/>
      </c>
      <c r="AR68" s="14" t="str">
        <f aca="false">IF(AG68=0,"",IF(AI68&lt;3,"",IF(OR(ISNUMBER(SEARCH("full",AO68)),UPPER(TRIM(AO68))="FT",UPPER(TRIM(AO68))="FTE"),"FT",IF(AND(OR(ISNUMBER(SEARCH("part",AO68)),UPPER(TRIM(AO68))="PT",UPPER(TRIM(AO68))="PTE"),OR($P68="",N($P68)&gt;=PT_MinHours)),"PT","None"))))</f>
        <v/>
      </c>
      <c r="AS68" s="14" t="str">
        <f aca="false">IF(AG68=0,"",IF(AND(AI68&gt;=3,AL68&lt;=AsOfDate),AR68,IF(AND(AI68&gt;=2,AK68&lt;=AsOfDate),AQ68,AP68)))</f>
        <v/>
      </c>
      <c r="AT68" s="14" t="str">
        <f aca="false">IF(AG68=0,"",IF(AsOfDate&lt;AH68,-1,12*(YEAR(AsOfDate)-YEAR(AH68))+MONTH(AsOfDate)-MONTH(AH68)-IF(DAY(AsOfDate)&lt;MIN(DAY(AH68),DAY(EOMONTH(AsOfDate,0))),1,0)))</f>
        <v/>
      </c>
      <c r="AU68" s="14" t="str">
        <f aca="false">IF(AG68=0,"",IF(OR(AI68&lt;2,AK68&gt;AsOfDate),AT68,IF((AK68-1)&lt;AH68,-1,12*(YEAR((AK68-1))-YEAR(AH68))+MONTH((AK68-1))-MONTH(AH68)-IF(DAY((AK68-1))&lt;MIN(DAY(AH68),DAY(EOMONTH((AK68-1),0))),1,0))))</f>
        <v/>
      </c>
      <c r="AV68" s="14" t="str">
        <f aca="false">IF(AG68=0,"",IF(OR(AI68&lt;3,AL68&gt;AsOfDate),AT68,IF((AL68-1)&lt;AH68,-1,12*(YEAR((AL68-1))-YEAR(AH68))+MONTH((AL68-1))-MONTH(AH68)-IF(DAY((AL68-1))&lt;MIN(DAY(AH68),DAY(EOMONTH((AL68-1),0))),1,0))))</f>
        <v/>
      </c>
      <c r="AW68" s="14" t="str">
        <f aca="false">IF(AG68=0,"",IF(PFYDate&lt;AH68,-1,12*(YEAR(PFYDate)-YEAR(AH68))+MONTH(PFYDate)-MONTH(AH68)-IF(DAY(PFYDate)&lt;MIN(DAY(AH68),DAY(EOMONTH(PFYDate,0))),1,0)))</f>
        <v/>
      </c>
      <c r="AX68" s="14" t="str">
        <f aca="false">IF(AG68=0,"",IF(OR(AI68&lt;2,AK68&gt;PFYDate),AW68,IF((AK68-1)&lt;AH68,-1,12*(YEAR((AK68-1))-YEAR(AH68))+MONTH((AK68-1))-MONTH(AH68)-IF(DAY((AK68-1))&lt;MIN(DAY(AH68),DAY(EOMONTH((AK68-1),0))),1,0))))</f>
        <v/>
      </c>
      <c r="AY68" s="14" t="str">
        <f aca="false">IF(AG68=0,"",IF(OR(AI68&lt;3,AL68&gt;PFYDate),AW68,IF((AL68-1)&lt;AH68,-1,12*(YEAR((AL68-1))-YEAR(AH68))+MONTH((AL68-1))-MONTH(AH68)-IF(DAY((AL68-1))&lt;MIN(DAY(AH68),DAY(EOMONTH((AL68-1),0))),1,0))))</f>
        <v/>
      </c>
      <c r="AZ68" s="14" t="str">
        <f aca="false">IF(AG68=0,"",IF(AP68="FT",IF(AU68&lt;FT_First,0,IF(AU68&lt;FT_Y5,1+INT((AU68-FT_First)/FT_Int1),FT_PreY5+FT_PerYear*INT((AU68-FT_Y5)/12)+FT_AnnivDays+INT(MOD(AU68-FT_Y5,12)/FT_Int2))),IF(AP68="PT",IF(AU68&lt;PT_First,0,1+INT((AU68-PT_First)/PT_Int)),0))+IF(AND(AI68&gt;=2,AK68&lt;=AsOfDate),IF(AQ68="FT",IF(AV68&lt;FT_First,0,IF(AV68&lt;FT_Y5,1+INT((AV68-FT_First)/FT_Int1),FT_PreY5+FT_PerYear*INT((AV68-FT_Y5)/12)+FT_AnnivDays+INT(MOD(AV68-FT_Y5,12)/FT_Int2))),IF(AQ68="PT",IF(AV68&lt;PT_First,0,1+INT((AV68-PT_First)/PT_Int)),0))-IF(AQ68="FT",IF(AU68&lt;FT_First,0,IF(AU68&lt;FT_Y5,1+INT((AU68-FT_First)/FT_Int1),FT_PreY5+FT_PerYear*INT((AU68-FT_Y5)/12)+FT_AnnivDays+INT(MOD(AU68-FT_Y5,12)/FT_Int2))),IF(AQ68="PT",IF(AU68&lt;PT_First,0,1+INT((AU68-PT_First)/PT_Int)),0)),0)+IF(AND(AI68&gt;=3,AL68&lt;=AsOfDate),IF(AR68="FT",IF(AT68&lt;FT_First,0,IF(AT68&lt;FT_Y5,1+INT((AT68-FT_First)/FT_Int1),FT_PreY5+FT_PerYear*INT((AT68-FT_Y5)/12)+FT_AnnivDays+INT(MOD(AT68-FT_Y5,12)/FT_Int2))),IF(AR68="PT",IF(AT68&lt;PT_First,0,1+INT((AT68-PT_First)/PT_Int)),0))-IF(AR68="FT",IF(AV68&lt;FT_First,0,IF(AV68&lt;FT_Y5,1+INT((AV68-FT_First)/FT_Int1),FT_PreY5+FT_PerYear*INT((AV68-FT_Y5)/12)+FT_AnnivDays+INT(MOD(AV68-FT_Y5,12)/FT_Int2))),IF(AR68="PT",IF(AV68&lt;PT_First,0,1+INT((AV68-PT_First)/PT_Int)),0)),0))</f>
        <v/>
      </c>
      <c r="BA68" s="14" t="str">
        <f aca="false">IF(AG68=0,"",IF(AP68="FT",IF(AX68&lt;FT_First,0,IF(AX68&lt;FT_Y5,1+INT((AX68-FT_First)/FT_Int1),FT_PreY5+FT_PerYear*INT((AX68-FT_Y5)/12)+FT_AnnivDays+INT(MOD(AX68-FT_Y5,12)/FT_Int2))),IF(AP68="PT",IF(AX68&lt;PT_First,0,1+INT((AX68-PT_First)/PT_Int)),0))+IF(AND(AI68&gt;=2,AK68&lt;=PFYDate),IF(AQ68="FT",IF(AY68&lt;FT_First,0,IF(AY68&lt;FT_Y5,1+INT((AY68-FT_First)/FT_Int1),FT_PreY5+FT_PerYear*INT((AY68-FT_Y5)/12)+FT_AnnivDays+INT(MOD(AY68-FT_Y5,12)/FT_Int2))),IF(AQ68="PT",IF(AY68&lt;PT_First,0,1+INT((AY68-PT_First)/PT_Int)),0))-IF(AQ68="FT",IF(AX68&lt;FT_First,0,IF(AX68&lt;FT_Y5,1+INT((AX68-FT_First)/FT_Int1),FT_PreY5+FT_PerYear*INT((AX68-FT_Y5)/12)+FT_AnnivDays+INT(MOD(AX68-FT_Y5,12)/FT_Int2))),IF(AQ68="PT",IF(AX68&lt;PT_First,0,1+INT((AX68-PT_First)/PT_Int)),0)),0)+IF(AND(AI68&gt;=3,AL68&lt;=PFYDate),IF(AR68="FT",IF(AW68&lt;FT_First,0,IF(AW68&lt;FT_Y5,1+INT((AW68-FT_First)/FT_Int1),FT_PreY5+FT_PerYear*INT((AW68-FT_Y5)/12)+FT_AnnivDays+INT(MOD(AW68-FT_Y5,12)/FT_Int2))),IF(AR68="PT",IF(AW68&lt;PT_First,0,1+INT((AW68-PT_First)/PT_Int)),0))-IF(AR68="FT",IF(AY68&lt;FT_First,0,IF(AY68&lt;FT_Y5,1+INT((AY68-FT_First)/FT_Int1),FT_PreY5+FT_PerYear*INT((AY68-FT_Y5)/12)+FT_AnnivDays+INT(MOD(AY68-FT_Y5,12)/FT_Int2))),IF(AR68="PT",IF(AY68&lt;PT_First,0,1+INT((AY68-PT_First)/PT_Int)),0)),0))</f>
        <v/>
      </c>
      <c r="BB68" s="14" t="str">
        <f aca="false">IF(AG68=0,"",IF(AS68="FT",IF(AT68&lt;FT_First,FT_First,IF(AT68&lt;FT_Y5,MIN(FT_Y5,FT_First+FT_Int1*(INT((AT68-FT_First)/FT_Int1)+1)),FT_Y5+12*INT((AT68-FT_Y5)/12)+FT_Int2*(INT(MOD(AT68-FT_Y5,12)/FT_Int2)+1))),IF(AS68="PT",IF(AT68&lt;PT_First,PT_First,PT_First+PT_Int*(INT((AT68-PT_First)/PT_Int)+1)),"")))</f>
        <v/>
      </c>
      <c r="BC68" s="14" t="str">
        <f aca="false">IF(AG68=0,"",IF(NOT(LH_Ready),0,COUNTIFS(INDEX(LH_Data,0,LH_ColFirst),$A68,INDEX(LH_Data,0,LH_ColSur),$B68,INDEX(LH_Data,0,LH_ColCat),BonusCat)))</f>
        <v/>
      </c>
      <c r="BD68" s="14" t="str">
        <f aca="false">IF(AG68=0,"",IF(OR(NOT(LH_Ready),BC68=0),0,SUMPRODUCT(MAX((INDEX(LH_Data,0,LH_ColFirst)=$A68)*(INDEX(LH_Data,0,LH_ColSur)=$B68)*(INDEX(LH_Data,0,LH_ColCat)=BonusCat)*ROW(LH_Data)))))</f>
        <v/>
      </c>
      <c r="BE68" s="14" t="str">
        <f aca="false">IF(AG68=0,"",IF(EOMONTH(AsOfDate,-1)&lt;AH68,-1,12*(YEAR(EOMONTH(AsOfDate,-1))-YEAR(AH68))+MONTH(EOMONTH(AsOfDate,-1))-MONTH(AH68)-IF(DAY(EOMONTH(AsOfDate,-1))&lt;MIN(DAY(AH68),DAY(EOMONTH(EOMONTH(AsOfDate,-1),0))),1,0)))</f>
        <v/>
      </c>
      <c r="BF68" s="14" t="str">
        <f aca="false">IF(AG68=0,"",IF(OR(AI68&lt;2,AK68&gt;EOMONTH(AsOfDate,-1)),BE68,IF((AK68-1)&lt;AH68,-1,12*(YEAR((AK68-1))-YEAR(AH68))+MONTH((AK68-1))-MONTH(AH68)-IF(DAY((AK68-1))&lt;MIN(DAY(AH68),DAY(EOMONTH((AK68-1),0))),1,0))))</f>
        <v/>
      </c>
      <c r="BG68" s="14" t="str">
        <f aca="false">IF(AG68=0,"",IF(OR(AI68&lt;3,AL68&gt;EOMONTH(AsOfDate,-1)),BE68,IF((AL68-1)&lt;AH68,-1,12*(YEAR((AL68-1))-YEAR(AH68))+MONTH((AL68-1))-MONTH(AH68)-IF(DAY((AL68-1))&lt;MIN(DAY(AH68),DAY(EOMONTH((AL68-1),0))),1,0))))</f>
        <v/>
      </c>
      <c r="BH68" s="14" t="str">
        <f aca="false">IF(AG68=0,"",IF(AP68="FT",IF(BF68&lt;FT_First,0,IF(BF68&lt;FT_Y5,1+INT((BF68-FT_First)/FT_Int1),FT_PreY5+FT_PerYear*INT((BF68-FT_Y5)/12)+FT_AnnivDays+INT(MOD(BF68-FT_Y5,12)/FT_Int2))),IF(AP68="PT",IF(BF68&lt;PT_First,0,1+INT((BF68-PT_First)/PT_Int)),0))+IF(AND(AI68&gt;=2,AK68&lt;=EOMONTH(AsOfDate,-1)),IF(AQ68="FT",IF(BG68&lt;FT_First,0,IF(BG68&lt;FT_Y5,1+INT((BG68-FT_First)/FT_Int1),FT_PreY5+FT_PerYear*INT((BG68-FT_Y5)/12)+FT_AnnivDays+INT(MOD(BG68-FT_Y5,12)/FT_Int2))),IF(AQ68="PT",IF(BG68&lt;PT_First,0,1+INT((BG68-PT_First)/PT_Int)),0))-IF(AQ68="FT",IF(BF68&lt;FT_First,0,IF(BF68&lt;FT_Y5,1+INT((BF68-FT_First)/FT_Int1),FT_PreY5+FT_PerYear*INT((BF68-FT_Y5)/12)+FT_AnnivDays+INT(MOD(BF68-FT_Y5,12)/FT_Int2))),IF(AQ68="PT",IF(BF68&lt;PT_First,0,1+INT((BF68-PT_First)/PT_Int)),0)),0)+IF(AND(AI68&gt;=3,AL68&lt;=EOMONTH(AsOfDate,-1)),IF(AR68="FT",IF(BE68&lt;FT_First,0,IF(BE68&lt;FT_Y5,1+INT((BE68-FT_First)/FT_Int1),FT_PreY5+FT_PerYear*INT((BE68-FT_Y5)/12)+FT_AnnivDays+INT(MOD(BE68-FT_Y5,12)/FT_Int2))),IF(AR68="PT",IF(BE68&lt;PT_First,0,1+INT((BE68-PT_First)/PT_Int)),0))-IF(AR68="FT",IF(BG68&lt;FT_First,0,IF(BG68&lt;FT_Y5,1+INT((BG68-FT_First)/FT_Int1),FT_PreY5+FT_PerYear*INT((BG68-FT_Y5)/12)+FT_AnnivDays+INT(MOD(BG68-FT_Y5,12)/FT_Int2))),IF(AR68="PT",IF(BG68&lt;PT_First,0,1+INT((BG68-PT_First)/PT_Int)),0)),0))</f>
        <v/>
      </c>
      <c r="BI68" s="14" t="str">
        <f aca="false">IF(AG68=0,"",IF(AS68="FT",IF(AT68&lt;FT_First,"",IF(AT68&lt;FT_Y5,FT_First+FT_Int1*INT((AT68-FT_First)/FT_Int1),FT_Y5+FT_Int2*INT((AT68-FT_Y5)/FT_Int2))),IF(AS68="PT",IF(AT68&lt;PT_First,"",PT_First+PT_Int*INT((AT68-PT_First)/PT_Int)),"")))</f>
        <v/>
      </c>
      <c r="BJ68" s="0" t="str">
        <f aca="false">IF(LEN($A68&amp;$B68)=0,"",$A68&amp;" "&amp;$B68)</f>
        <v/>
      </c>
    </row>
    <row r="69" customFormat="false" ht="15" hidden="false" customHeight="false" outlineLevel="0" collapsed="false">
      <c r="A69" s="10"/>
      <c r="B69" s="10"/>
      <c r="C69" s="10"/>
      <c r="D69" s="11"/>
      <c r="E69" s="12" t="str">
        <f aca="false">IF(OR(AG69=0,$D69=""),"",DATE(YEAR(AsOfDate)+IF(DATE(YEAR(AsOfDate),MONTH($D69),DAY($D69))&lt;=AsOfDate,1,0),MONTH($D69),DAY($D69)))</f>
        <v/>
      </c>
      <c r="F69" s="11"/>
      <c r="G69" s="11"/>
      <c r="H69" s="11"/>
      <c r="I69" s="11"/>
      <c r="J69" s="11"/>
      <c r="K69" s="12" t="str">
        <f aca="false">IF(AG69=0,"",DATE(YEAR(AsOfDate)+IF(DATE(YEAR(AsOfDate),MONTH(AH69),DAY(AH69))&lt;=AsOfDate,1,0),MONTH(AH69),DAY(AH69)))</f>
        <v/>
      </c>
      <c r="L69" s="13" t="str">
        <f aca="false">IF(AG69=0,"",ROUND((AsOfDate-AH69)/365.25,1))</f>
        <v/>
      </c>
      <c r="M69" s="14" t="str">
        <f aca="false">IF(AG69=0,"",IF(AsOfDate&lt;AH69,"-",DATEDIF(AH69,AsOfDate,"y")&amp;"y "&amp;DATEDIF(AH69,AsOfDate,"ym")&amp;"m "&amp;DATEDIF(AH69,AsOfDate,"md")&amp;"d"))</f>
        <v/>
      </c>
      <c r="N69" s="15" t="str">
        <f aca="false">IF(AG69=0,"",O69*HoursPerDay)</f>
        <v/>
      </c>
      <c r="O69" s="15" t="str">
        <f aca="false">IF(AG69=0,"",AZ69)</f>
        <v/>
      </c>
      <c r="P69" s="16"/>
      <c r="Q69" s="14" t="str">
        <f aca="false">IF(AG69=0,"",IF(AI69&lt;2,"",AM69&amp;" to "&amp;AN69&amp;" on "&amp;TEXT(AK69,"dd/mm/yyyy")&amp;IF(AK69&gt;AsOfDate," (future)",IF(AP69=AQ69,"",IF(AQ69="None"," - STOPPED accruing",IF(AP69="None"," - commencement for Bonus Leave"," - pathway changed"))))&amp;IF(AI69&lt;3,"","; "&amp;AN69&amp;" to "&amp;AO69&amp;" on "&amp;TEXT(AL69,"dd/mm/yyyy")&amp;IF(AL69&gt;AsOfDate," (future)",IF(AQ69=AR69,"",IF(AR69="None"," - STOPPED accruing",IF(AQ69="None"," - commencement for Bonus Leave"," - pathway changed")))))))</f>
        <v/>
      </c>
      <c r="R69" s="14" t="str">
        <f aca="false">IF(AG69=0,"",IF(AS69="None",IF(O69&gt;0,"No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2" t="str">
        <f aca="false">IF(AG69=0,"",IF(AS69="None","",EDATE(AH69,BB69)))</f>
        <v/>
      </c>
      <c r="T69" s="15" t="str">
        <f aca="false">IF(AG69=0,"",IF(NOT(LH_Ready),"",IF(AH69&gt;PFYDate,0,IF(LH_ColPeriod=0,W69-U69+V69,SUMIFS(INDEX(LH_Data,0,LH_ColAcc),INDEX(LH_Data,0,LH_ColFirst),$A69,INDEX(LH_Data,0,LH_ColSur),$B69,INDEX(LH_Data,0,LH_ColCat),BonusCat,INDEX(LH_Data,0,LH_ColPeriod),LH_OpenLabel)*UnitFactor))))</f>
        <v/>
      </c>
      <c r="U69" s="15" t="str">
        <f aca="false">IF(AG69=0,"",IF(NOT(LH_Ready),"",SUMIFS(INDEX(LH_Data,0,LH_ColAcc),INDEX(LH_Data,0,LH_ColFirst),$A69,INDEX(LH_Data,0,LH_ColSur),$B69,INDEX(LH_Data,0,LH_ColCat),BonusCat,INDEX(LH_Data,0,LH_ColStart),"&gt;="&amp;AH69)*UnitFactor))</f>
        <v/>
      </c>
      <c r="V69" s="15" t="str">
        <f aca="false">IF(AG69=0,"",IF(NOT(LH_Ready),"",SUMIFS(INDEX(LH_Data,0,LH_ColTaken),INDEX(LH_Data,0,LH_ColFirst),$A69,INDEX(LH_Data,0,LH_ColSur),$B69,INDEX(LH_Data,0,LH_ColCat),BonusCat,INDEX(LH_Data,0,LH_ColStart),"&gt;="&amp;AH69)*UnitFactor))</f>
        <v/>
      </c>
      <c r="W69" s="15" t="str">
        <f aca="false">IF(AG69=0,"",IF(NOT(LH_Ready),"",IF(BD69=0,0,INDEX(INDEX(LH_Data,0,LH_ColClose),BD69-1)*UnitFactor)))</f>
        <v/>
      </c>
      <c r="X69" s="15" t="str">
        <f aca="false">IF(AG69=0,"",(AZ69-BA69)*HoursPerDay)</f>
        <v/>
      </c>
      <c r="Y69" s="15" t="str">
        <f aca="false">IF(AG69=0,"",IF(NOT(LH_Ready),"",IF(BC69=0,N69,IF(PFYDate&lt;$F69,N69-N(T69)-N(U69),X69-N(U69)))))</f>
        <v/>
      </c>
      <c r="Z69" s="14" t="str">
        <f aca="false">IF(OR(AG69=0,Y69=""),"",IF(Y69&gt;0,"Yes","No"))</f>
        <v/>
      </c>
      <c r="AA69" s="14" t="str">
        <f aca="false">IF(AG69=0,IF(LEN($A69&amp;$B69)=0,"","FIX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month")&amp;IF(BC69=0,";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EH)",""),IF(AS69="None",R69,"Not yet - first day on "&amp;TEXT(S69,"dd/mm/yyyy")))))))))</f>
        <v/>
      </c>
      <c r="AB69" s="15" t="str">
        <f aca="false">IF(OR(AG69=0,T69=""),"",BA69*HoursPerDay-T69)</f>
        <v/>
      </c>
      <c r="AC69" s="14" t="str">
        <f aca="false">IF(AG69=0,"",BC69)</f>
        <v/>
      </c>
      <c r="AD69" s="14" t="str">
        <f aca="false">IF(AG69=0,"",TRIM(IF(OR(ISTEXT($F69),ISTEXT($H69),ISTEXT($I69),ISTEXT($G69),ISTEXT($J69),ISTEXT($D69)),"A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I69&gt;=1,IF(AI69&gt;=3,AO69,IF(AI69=2,AN69,AM69))&lt;&gt;IF($C69="","",IF(OR(ISNUMBER(SEARCH("full",$C69)),UPPER(TRIM($C69))="FT",UPPER(TRIM($C69))="FTE"),"Full-Time",IF(OR(ISNUMBER(SEARCH("part",$C69)),UPPER(TRIM($C69))="PT",UPPER(TRIM($C69))="PTE"),"Part-Time",IF(OR(ISNUMBER(SEARCH("cas",$C69)),UPPER(TRIM($C69))="CAS"),"Casual","Unknown"))))),"EmploymentType does not match latest start date ("&amp;IF(AI69&gt;=3,AO69,IF(AI69=2,AN69,AM69))&amp;"). ","")&amp;IF(AND(AI69&gt;=1,AJ69&lt;&gt;$F69),"Earliest type date should equal StartDate. ","")&amp;IF(AND(AI69&gt;=2,AJ69=AK69),"Two types start on the same date. ","")&amp;IF(AND(OR(ISNUMBER(SEARCH("part",$C69)),UPPER(TRIM($C69))="PT",UPPER(TRIM($C69))="PTE"),$P69=""),"Part-time: enter PT Hrs/Week (blank = 24+). ","")))</f>
        <v/>
      </c>
      <c r="AE69" s="15" t="str">
        <f aca="false">IF(AG69=0,"",O69-BH69)</f>
        <v/>
      </c>
      <c r="AF69" s="12" t="str">
        <f aca="false">IF(OR(AG69=0,AE69="",N(AE69)=0,BI69=""),"",EDATE(AH69,BI69))</f>
        <v/>
      </c>
      <c r="AG69" s="14" t="n">
        <f aca="false">IF(OR(LEN($A69&amp;$B69)=0,$F69=""),0,1)</f>
        <v>0</v>
      </c>
      <c r="AH69" s="12" t="str">
        <f aca="false">IF(AG69=0,"",IF($J69&lt;&gt;"",$J69,IF(OR(CasualCounts="Yes",COUNT($G69:$I69)=0,COUNT($H69:$I69)=0),$F69,MIN($H69:$I69))))</f>
        <v/>
      </c>
      <c r="AI69" s="14" t="str">
        <f aca="false">IF(AG69=0,"",COUNT($G69:$I69))</f>
        <v/>
      </c>
      <c r="AJ69" s="12" t="str">
        <f aca="false">IF(AG69=0,"",IFERROR(SMALL($G69:$I69,1),""))</f>
        <v/>
      </c>
      <c r="AK69" s="12" t="str">
        <f aca="false">IF(AG69=0,"",IFERROR(SMALL($G69:$I69,2),""))</f>
        <v/>
      </c>
      <c r="AL69" s="12" t="str">
        <f aca="false">IF(AG69=0,"",IFERROR(SMALL($G69:$I69,3),""))</f>
        <v/>
      </c>
      <c r="AM69" s="14" t="str">
        <f aca="false">IF(AG69=0,"",IF(AJ69="","",IF(AJ69=$H69,"Part-Time",IF(AJ69=$I69,"Full-Time","Casual"))))</f>
        <v/>
      </c>
      <c r="AN69" s="14" t="str">
        <f aca="false">IF(AG69=0,"",IF(AK69="","",IF(AK69=$H69,"Part-Time",IF(AK69=$I69,"Full-Time","Casual"))))</f>
        <v/>
      </c>
      <c r="AO69" s="14" t="str">
        <f aca="false">IF(AG69=0,"",IF(AL69="","",IF(AL69=$H69,"Part-Time",IF(AL69=$I69,"Full-Time","Casual"))))</f>
        <v/>
      </c>
      <c r="AP69" s="14" t="str">
        <f aca="false">IF(AG69=0,"",IF(AI69=0,IF(OR(ISNUMBER(SEARCH("full",$C69)),UPPER(TRIM($C69))="FT",UPPER(TRIM($C69))="FTE"),"FT",IF(AND(OR(ISNUMBER(SEARCH("part",$C69)),UPPER(TRIM($C69))="PT",UPPER(TRIM($C69))="PTE"),OR($P69="",N($P69)&gt;=PT_MinHours)),"PT","None")),IF(OR(ISNUMBER(SEARCH("full",AM69)),UPPER(TRIM(AM69))="FT",UPPER(TRIM(AM69))="FTE"),"FT",IF(AND(OR(ISNUMBER(SEARCH("part",AM69)),UPPER(TRIM(AM69))="PT",UPPER(TRIM(AM69))="PTE"),OR($P69="",N($P69)&gt;=PT_MinHours)),"PT","None"))))</f>
        <v/>
      </c>
      <c r="AQ69" s="14" t="str">
        <f aca="false">IF(AG69=0,"",IF(AI69&lt;2,"",IF(OR(ISNUMBER(SEARCH("full",AN69)),UPPER(TRIM(AN69))="FT",UPPER(TRIM(AN69))="FTE"),"FT",IF(AND(OR(ISNUMBER(SEARCH("part",AN69)),UPPER(TRIM(AN69))="PT",UPPER(TRIM(AN69))="PTE"),OR($P69="",N($P69)&gt;=PT_MinHours)),"PT","None"))))</f>
        <v/>
      </c>
      <c r="AR69" s="14" t="str">
        <f aca="false">IF(AG69=0,"",IF(AI69&lt;3,"",IF(OR(ISNUMBER(SEARCH("full",AO69)),UPPER(TRIM(AO69))="FT",UPPER(TRIM(AO69))="FTE"),"FT",IF(AND(OR(ISNUMBER(SEARCH("part",AO69)),UPPER(TRIM(AO69))="PT",UPPER(TRIM(AO69))="PTE"),OR($P69="",N($P69)&gt;=PT_MinHours)),"PT","None"))))</f>
        <v/>
      </c>
      <c r="AS69" s="14" t="str">
        <f aca="false">IF(AG69=0,"",IF(AND(AI69&gt;=3,AL69&lt;=AsOfDate),AR69,IF(AND(AI69&gt;=2,AK69&lt;=AsOfDate),AQ69,AP69)))</f>
        <v/>
      </c>
      <c r="AT69" s="14" t="str">
        <f aca="false">IF(AG69=0,"",IF(AsOfDate&lt;AH69,-1,12*(YEAR(AsOfDate)-YEAR(AH69))+MONTH(AsOfDate)-MONTH(AH69)-IF(DAY(AsOfDate)&lt;MIN(DAY(AH69),DAY(EOMONTH(AsOfDate,0))),1,0)))</f>
        <v/>
      </c>
      <c r="AU69" s="14" t="str">
        <f aca="false">IF(AG69=0,"",IF(OR(AI69&lt;2,AK69&gt;AsOfDate),AT69,IF((AK69-1)&lt;AH69,-1,12*(YEAR((AK69-1))-YEAR(AH69))+MONTH((AK69-1))-MONTH(AH69)-IF(DAY((AK69-1))&lt;MIN(DAY(AH69),DAY(EOMONTH((AK69-1),0))),1,0))))</f>
        <v/>
      </c>
      <c r="AV69" s="14" t="str">
        <f aca="false">IF(AG69=0,"",IF(OR(AI69&lt;3,AL69&gt;AsOfDate),AT69,IF((AL69-1)&lt;AH69,-1,12*(YEAR((AL69-1))-YEAR(AH69))+MONTH((AL69-1))-MONTH(AH69)-IF(DAY((AL69-1))&lt;MIN(DAY(AH69),DAY(EOMONTH((AL69-1),0))),1,0))))</f>
        <v/>
      </c>
      <c r="AW69" s="14" t="str">
        <f aca="false">IF(AG69=0,"",IF(PFYDate&lt;AH69,-1,12*(YEAR(PFYDate)-YEAR(AH69))+MONTH(PFYDate)-MONTH(AH69)-IF(DAY(PFYDate)&lt;MIN(DAY(AH69),DAY(EOMONTH(PFYDate,0))),1,0)))</f>
        <v/>
      </c>
      <c r="AX69" s="14" t="str">
        <f aca="false">IF(AG69=0,"",IF(OR(AI69&lt;2,AK69&gt;PFYDate),AW69,IF((AK69-1)&lt;AH69,-1,12*(YEAR((AK69-1))-YEAR(AH69))+MONTH((AK69-1))-MONTH(AH69)-IF(DAY((AK69-1))&lt;MIN(DAY(AH69),DAY(EOMONTH((AK69-1),0))),1,0))))</f>
        <v/>
      </c>
      <c r="AY69" s="14" t="str">
        <f aca="false">IF(AG69=0,"",IF(OR(AI69&lt;3,AL69&gt;PFYDate),AW69,IF((AL69-1)&lt;AH69,-1,12*(YEAR((AL69-1))-YEAR(AH69))+MONTH((AL69-1))-MONTH(AH69)-IF(DAY((AL69-1))&lt;MIN(DAY(AH69),DAY(EOMONTH((AL69-1),0))),1,0))))</f>
        <v/>
      </c>
      <c r="AZ69" s="14" t="str">
        <f aca="false">IF(AG69=0,"",IF(AP69="FT",IF(AU69&lt;FT_First,0,IF(AU69&lt;FT_Y5,1+INT((AU69-FT_First)/FT_Int1),FT_PreY5+FT_PerYear*INT((AU69-FT_Y5)/12)+FT_AnnivDays+INT(MOD(AU69-FT_Y5,12)/FT_Int2))),IF(AP69="PT",IF(AU69&lt;PT_First,0,1+INT((AU69-PT_First)/PT_Int)),0))+IF(AND(AI69&gt;=2,AK69&lt;=AsOfDate),IF(AQ69="FT",IF(AV69&lt;FT_First,0,IF(AV69&lt;FT_Y5,1+INT((AV69-FT_First)/FT_Int1),FT_PreY5+FT_PerYear*INT((AV69-FT_Y5)/12)+FT_AnnivDays+INT(MOD(AV69-FT_Y5,12)/FT_Int2))),IF(AQ69="PT",IF(AV69&lt;PT_First,0,1+INT((AV69-PT_First)/PT_Int)),0))-IF(AQ69="FT",IF(AU69&lt;FT_First,0,IF(AU69&lt;FT_Y5,1+INT((AU69-FT_First)/FT_Int1),FT_PreY5+FT_PerYear*INT((AU69-FT_Y5)/12)+FT_AnnivDays+INT(MOD(AU69-FT_Y5,12)/FT_Int2))),IF(AQ69="PT",IF(AU69&lt;PT_First,0,1+INT((AU69-PT_First)/PT_Int)),0)),0)+IF(AND(AI69&gt;=3,AL69&lt;=AsOfDate),IF(AR69="FT",IF(AT69&lt;FT_First,0,IF(AT69&lt;FT_Y5,1+INT((AT69-FT_First)/FT_Int1),FT_PreY5+FT_PerYear*INT((AT69-FT_Y5)/12)+FT_AnnivDays+INT(MOD(AT69-FT_Y5,12)/FT_Int2))),IF(AR69="PT",IF(AT69&lt;PT_First,0,1+INT((AT69-PT_First)/PT_Int)),0))-IF(AR69="FT",IF(AV69&lt;FT_First,0,IF(AV69&lt;FT_Y5,1+INT((AV69-FT_First)/FT_Int1),FT_PreY5+FT_PerYear*INT((AV69-FT_Y5)/12)+FT_AnnivDays+INT(MOD(AV69-FT_Y5,12)/FT_Int2))),IF(AR69="PT",IF(AV69&lt;PT_First,0,1+INT((AV69-PT_First)/PT_Int)),0)),0))</f>
        <v/>
      </c>
      <c r="BA69" s="14" t="str">
        <f aca="false">IF(AG69=0,"",IF(AP69="FT",IF(AX69&lt;FT_First,0,IF(AX69&lt;FT_Y5,1+INT((AX69-FT_First)/FT_Int1),FT_PreY5+FT_PerYear*INT((AX69-FT_Y5)/12)+FT_AnnivDays+INT(MOD(AX69-FT_Y5,12)/FT_Int2))),IF(AP69="PT",IF(AX69&lt;PT_First,0,1+INT((AX69-PT_First)/PT_Int)),0))+IF(AND(AI69&gt;=2,AK69&lt;=PFYDate),IF(AQ69="FT",IF(AY69&lt;FT_First,0,IF(AY69&lt;FT_Y5,1+INT((AY69-FT_First)/FT_Int1),FT_PreY5+FT_PerYear*INT((AY69-FT_Y5)/12)+FT_AnnivDays+INT(MOD(AY69-FT_Y5,12)/FT_Int2))),IF(AQ69="PT",IF(AY69&lt;PT_First,0,1+INT((AY69-PT_First)/PT_Int)),0))-IF(AQ69="FT",IF(AX69&lt;FT_First,0,IF(AX69&lt;FT_Y5,1+INT((AX69-FT_First)/FT_Int1),FT_PreY5+FT_PerYear*INT((AX69-FT_Y5)/12)+FT_AnnivDays+INT(MOD(AX69-FT_Y5,12)/FT_Int2))),IF(AQ69="PT",IF(AX69&lt;PT_First,0,1+INT((AX69-PT_First)/PT_Int)),0)),0)+IF(AND(AI69&gt;=3,AL69&lt;=PFYDate),IF(AR69="FT",IF(AW69&lt;FT_First,0,IF(AW69&lt;FT_Y5,1+INT((AW69-FT_First)/FT_Int1),FT_PreY5+FT_PerYear*INT((AW69-FT_Y5)/12)+FT_AnnivDays+INT(MOD(AW69-FT_Y5,12)/FT_Int2))),IF(AR69="PT",IF(AW69&lt;PT_First,0,1+INT((AW69-PT_First)/PT_Int)),0))-IF(AR69="FT",IF(AY69&lt;FT_First,0,IF(AY69&lt;FT_Y5,1+INT((AY69-FT_First)/FT_Int1),FT_PreY5+FT_PerYear*INT((AY69-FT_Y5)/12)+FT_AnnivDays+INT(MOD(AY69-FT_Y5,12)/FT_Int2))),IF(AR69="PT",IF(AY69&lt;PT_First,0,1+INT((AY69-PT_First)/PT_Int)),0)),0))</f>
        <v/>
      </c>
      <c r="BB69" s="14" t="str">
        <f aca="false">IF(AG69=0,"",IF(AS69="FT",IF(AT69&lt;FT_First,FT_First,IF(AT69&lt;FT_Y5,MIN(FT_Y5,FT_First+FT_Int1*(INT((AT69-FT_First)/FT_Int1)+1)),FT_Y5+12*INT((AT69-FT_Y5)/12)+FT_Int2*(INT(MOD(AT69-FT_Y5,12)/FT_Int2)+1))),IF(AS69="PT",IF(AT69&lt;PT_First,PT_First,PT_First+PT_Int*(INT((AT69-PT_First)/PT_Int)+1)),"")))</f>
        <v/>
      </c>
      <c r="BC69" s="14" t="str">
        <f aca="false">IF(AG69=0,"",IF(NOT(LH_Ready),0,COUNTIFS(INDEX(LH_Data,0,LH_ColFirst),$A69,INDEX(LH_Data,0,LH_ColSur),$B69,INDEX(LH_Data,0,LH_ColCat),BonusCat)))</f>
        <v/>
      </c>
      <c r="BD69" s="14" t="str">
        <f aca="false">IF(AG69=0,"",IF(OR(NOT(LH_Ready),BC69=0),0,SUMPRODUCT(MAX((INDEX(LH_Data,0,LH_ColFirst)=$A69)*(INDEX(LH_Data,0,LH_ColSur)=$B69)*(INDEX(LH_Data,0,LH_ColCat)=BonusCat)*ROW(LH_Data)))))</f>
        <v/>
      </c>
      <c r="BE69" s="14" t="str">
        <f aca="false">IF(AG69=0,"",IF(EOMONTH(AsOfDate,-1)&lt;AH69,-1,12*(YEAR(EOMONTH(AsOfDate,-1))-YEAR(AH69))+MONTH(EOMONTH(AsOfDate,-1))-MONTH(AH69)-IF(DAY(EOMONTH(AsOfDate,-1))&lt;MIN(DAY(AH69),DAY(EOMONTH(EOMONTH(AsOfDate,-1),0))),1,0)))</f>
        <v/>
      </c>
      <c r="BF69" s="14" t="str">
        <f aca="false">IF(AG69=0,"",IF(OR(AI69&lt;2,AK69&gt;EOMONTH(AsOfDate,-1)),BE69,IF((AK69-1)&lt;AH69,-1,12*(YEAR((AK69-1))-YEAR(AH69))+MONTH((AK69-1))-MONTH(AH69)-IF(DAY((AK69-1))&lt;MIN(DAY(AH69),DAY(EOMONTH((AK69-1),0))),1,0))))</f>
        <v/>
      </c>
      <c r="BG69" s="14" t="str">
        <f aca="false">IF(AG69=0,"",IF(OR(AI69&lt;3,AL69&gt;EOMONTH(AsOfDate,-1)),BE69,IF((AL69-1)&lt;AH69,-1,12*(YEAR((AL69-1))-YEAR(AH69))+MONTH((AL69-1))-MONTH(AH69)-IF(DAY((AL69-1))&lt;MIN(DAY(AH69),DAY(EOMONTH((AL69-1),0))),1,0))))</f>
        <v/>
      </c>
      <c r="BH69" s="14" t="str">
        <f aca="false">IF(AG69=0,"",IF(AP69="FT",IF(BF69&lt;FT_First,0,IF(BF69&lt;FT_Y5,1+INT((BF69-FT_First)/FT_Int1),FT_PreY5+FT_PerYear*INT((BF69-FT_Y5)/12)+FT_AnnivDays+INT(MOD(BF69-FT_Y5,12)/FT_Int2))),IF(AP69="PT",IF(BF69&lt;PT_First,0,1+INT((BF69-PT_First)/PT_Int)),0))+IF(AND(AI69&gt;=2,AK69&lt;=EOMONTH(AsOfDate,-1)),IF(AQ69="FT",IF(BG69&lt;FT_First,0,IF(BG69&lt;FT_Y5,1+INT((BG69-FT_First)/FT_Int1),FT_PreY5+FT_PerYear*INT((BG69-FT_Y5)/12)+FT_AnnivDays+INT(MOD(BG69-FT_Y5,12)/FT_Int2))),IF(AQ69="PT",IF(BG69&lt;PT_First,0,1+INT((BG69-PT_First)/PT_Int)),0))-IF(AQ69="FT",IF(BF69&lt;FT_First,0,IF(BF69&lt;FT_Y5,1+INT((BF69-FT_First)/FT_Int1),FT_PreY5+FT_PerYear*INT((BF69-FT_Y5)/12)+FT_AnnivDays+INT(MOD(BF69-FT_Y5,12)/FT_Int2))),IF(AQ69="PT",IF(BF69&lt;PT_First,0,1+INT((BF69-PT_First)/PT_Int)),0)),0)+IF(AND(AI69&gt;=3,AL69&lt;=EOMONTH(AsOfDate,-1)),IF(AR69="FT",IF(BE69&lt;FT_First,0,IF(BE69&lt;FT_Y5,1+INT((BE69-FT_First)/FT_Int1),FT_PreY5+FT_PerYear*INT((BE69-FT_Y5)/12)+FT_AnnivDays+INT(MOD(BE69-FT_Y5,12)/FT_Int2))),IF(AR69="PT",IF(BE69&lt;PT_First,0,1+INT((BE69-PT_First)/PT_Int)),0))-IF(AR69="FT",IF(BG69&lt;FT_First,0,IF(BG69&lt;FT_Y5,1+INT((BG69-FT_First)/FT_Int1),FT_PreY5+FT_PerYear*INT((BG69-FT_Y5)/12)+FT_AnnivDays+INT(MOD(BG69-FT_Y5,12)/FT_Int2))),IF(AR69="PT",IF(BG69&lt;PT_First,0,1+INT((BG69-PT_First)/PT_Int)),0)),0))</f>
        <v/>
      </c>
      <c r="BI69" s="14" t="str">
        <f aca="false">IF(AG69=0,"",IF(AS69="FT",IF(AT69&lt;FT_First,"",IF(AT69&lt;FT_Y5,FT_First+FT_Int1*INT((AT69-FT_First)/FT_Int1),FT_Y5+FT_Int2*INT((AT69-FT_Y5)/FT_Int2))),IF(AS69="PT",IF(AT69&lt;PT_First,"",PT_First+PT_Int*INT((AT69-PT_First)/PT_Int)),"")))</f>
        <v/>
      </c>
      <c r="BJ69" s="0" t="str">
        <f aca="false">IF(LEN($A69&amp;$B69)=0,"",$A69&amp;" "&amp;$B69)</f>
        <v/>
      </c>
    </row>
    <row r="70" customFormat="false" ht="15" hidden="false" customHeight="false" outlineLevel="0" collapsed="false">
      <c r="A70" s="10"/>
      <c r="B70" s="10"/>
      <c r="C70" s="10"/>
      <c r="D70" s="11"/>
      <c r="E70" s="12" t="str">
        <f aca="false">IF(OR(AG70=0,$D70=""),"",DATE(YEAR(AsOfDate)+IF(DATE(YEAR(AsOfDate),MONTH($D70),DAY($D70))&lt;=AsOfDate,1,0),MONTH($D70),DAY($D70)))</f>
        <v/>
      </c>
      <c r="F70" s="11"/>
      <c r="G70" s="11"/>
      <c r="H70" s="11"/>
      <c r="I70" s="11"/>
      <c r="J70" s="11"/>
      <c r="K70" s="12" t="str">
        <f aca="false">IF(AG70=0,"",DATE(YEAR(AsOfDate)+IF(DATE(YEAR(AsOfDate),MONTH(AH70),DAY(AH70))&lt;=AsOfDate,1,0),MONTH(AH70),DAY(AH70)))</f>
        <v/>
      </c>
      <c r="L70" s="13" t="str">
        <f aca="false">IF(AG70=0,"",ROUND((AsOfDate-AH70)/365.25,1))</f>
        <v/>
      </c>
      <c r="M70" s="14" t="str">
        <f aca="false">IF(AG70=0,"",IF(AsOfDate&lt;AH70,"-",DATEDIF(AH70,AsOfDate,"y")&amp;"y "&amp;DATEDIF(AH70,AsOfDate,"ym")&amp;"m "&amp;DATEDIF(AH70,AsOfDate,"md")&amp;"d"))</f>
        <v/>
      </c>
      <c r="N70" s="15" t="str">
        <f aca="false">IF(AG70=0,"",O70*HoursPerDay)</f>
        <v/>
      </c>
      <c r="O70" s="15" t="str">
        <f aca="false">IF(AG70=0,"",AZ70)</f>
        <v/>
      </c>
      <c r="P70" s="16"/>
      <c r="Q70" s="14" t="str">
        <f aca="false">IF(AG70=0,"",IF(AI70&lt;2,"",AM70&amp;" to "&amp;AN70&amp;" on "&amp;TEXT(AK70,"dd/mm/yyyy")&amp;IF(AK70&gt;AsOfDate," (future)",IF(AP70=AQ70,"",IF(AQ70="None"," - STOPPED accruing",IF(AP70="None"," - commencement for Bonus Leave"," - pathway changed"))))&amp;IF(AI70&lt;3,"","; "&amp;AN70&amp;" to "&amp;AO70&amp;" on "&amp;TEXT(AL70,"dd/mm/yyyy")&amp;IF(AL70&gt;AsOfDate," (future)",IF(AQ70=AR70,"",IF(AR70="None"," - STOPPED accruing",IF(AQ70="None"," - commencement for Bonus Leave"," - pathway changed")))))))</f>
        <v/>
      </c>
      <c r="R70" s="14" t="str">
        <f aca="false">IF(AG70=0,"",IF(AS70="None",IF(O70&gt;0,"No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2" t="str">
        <f aca="false">IF(AG70=0,"",IF(AS70="None","",EDATE(AH70,BB70)))</f>
        <v/>
      </c>
      <c r="T70" s="15" t="str">
        <f aca="false">IF(AG70=0,"",IF(NOT(LH_Ready),"",IF(AH70&gt;PFYDate,0,IF(LH_ColPeriod=0,W70-U70+V70,SUMIFS(INDEX(LH_Data,0,LH_ColAcc),INDEX(LH_Data,0,LH_ColFirst),$A70,INDEX(LH_Data,0,LH_ColSur),$B70,INDEX(LH_Data,0,LH_ColCat),BonusCat,INDEX(LH_Data,0,LH_ColPeriod),LH_OpenLabel)*UnitFactor))))</f>
        <v/>
      </c>
      <c r="U70" s="15" t="str">
        <f aca="false">IF(AG70=0,"",IF(NOT(LH_Ready),"",SUMIFS(INDEX(LH_Data,0,LH_ColAcc),INDEX(LH_Data,0,LH_ColFirst),$A70,INDEX(LH_Data,0,LH_ColSur),$B70,INDEX(LH_Data,0,LH_ColCat),BonusCat,INDEX(LH_Data,0,LH_ColStart),"&gt;="&amp;AH70)*UnitFactor))</f>
        <v/>
      </c>
      <c r="V70" s="15" t="str">
        <f aca="false">IF(AG70=0,"",IF(NOT(LH_Ready),"",SUMIFS(INDEX(LH_Data,0,LH_ColTaken),INDEX(LH_Data,0,LH_ColFirst),$A70,INDEX(LH_Data,0,LH_ColSur),$B70,INDEX(LH_Data,0,LH_ColCat),BonusCat,INDEX(LH_Data,0,LH_ColStart),"&gt;="&amp;AH70)*UnitFactor))</f>
        <v/>
      </c>
      <c r="W70" s="15" t="str">
        <f aca="false">IF(AG70=0,"",IF(NOT(LH_Ready),"",IF(BD70=0,0,INDEX(INDEX(LH_Data,0,LH_ColClose),BD70-1)*UnitFactor)))</f>
        <v/>
      </c>
      <c r="X70" s="15" t="str">
        <f aca="false">IF(AG70=0,"",(AZ70-BA70)*HoursPerDay)</f>
        <v/>
      </c>
      <c r="Y70" s="15" t="str">
        <f aca="false">IF(AG70=0,"",IF(NOT(LH_Ready),"",IF(BC70=0,N70,IF(PFYDate&lt;$F70,N70-N(T70)-N(U70),X70-N(U70)))))</f>
        <v/>
      </c>
      <c r="Z70" s="14" t="str">
        <f aca="false">IF(OR(AG70=0,Y70=""),"",IF(Y70&gt;0,"Yes","No"))</f>
        <v/>
      </c>
      <c r="AA70" s="14" t="str">
        <f aca="false">IF(AG70=0,IF(LEN($A70&amp;$B70)=0,"","FIX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month")&amp;IF(BC70=0,";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EH)",""),IF(AS70="None",R70,"Not yet - first day on "&amp;TEXT(S70,"dd/mm/yyyy")))))))))</f>
        <v/>
      </c>
      <c r="AB70" s="15" t="str">
        <f aca="false">IF(OR(AG70=0,T70=""),"",BA70*HoursPerDay-T70)</f>
        <v/>
      </c>
      <c r="AC70" s="14" t="str">
        <f aca="false">IF(AG70=0,"",BC70)</f>
        <v/>
      </c>
      <c r="AD70" s="14" t="str">
        <f aca="false">IF(AG70=0,"",TRIM(IF(OR(ISTEXT($F70),ISTEXT($H70),ISTEXT($I70),ISTEXT($G70),ISTEXT($J70),ISTEXT($D70)),"A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I70&gt;=1,IF(AI70&gt;=3,AO70,IF(AI70=2,AN70,AM70))&lt;&gt;IF($C70="","",IF(OR(ISNUMBER(SEARCH("full",$C70)),UPPER(TRIM($C70))="FT",UPPER(TRIM($C70))="FTE"),"Full-Time",IF(OR(ISNUMBER(SEARCH("part",$C70)),UPPER(TRIM($C70))="PT",UPPER(TRIM($C70))="PTE"),"Part-Time",IF(OR(ISNUMBER(SEARCH("cas",$C70)),UPPER(TRIM($C70))="CAS"),"Casual","Unknown"))))),"EmploymentType does not match latest start date ("&amp;IF(AI70&gt;=3,AO70,IF(AI70=2,AN70,AM70))&amp;"). ","")&amp;IF(AND(AI70&gt;=1,AJ70&lt;&gt;$F70),"Earliest type date should equal StartDate. ","")&amp;IF(AND(AI70&gt;=2,AJ70=AK70),"Two types start on the same date. ","")&amp;IF(AND(OR(ISNUMBER(SEARCH("part",$C70)),UPPER(TRIM($C70))="PT",UPPER(TRIM($C70))="PTE"),$P70=""),"Part-time: enter PT Hrs/Week (blank = 24+). ","")))</f>
        <v/>
      </c>
      <c r="AE70" s="15" t="str">
        <f aca="false">IF(AG70=0,"",O70-BH70)</f>
        <v/>
      </c>
      <c r="AF70" s="12" t="str">
        <f aca="false">IF(OR(AG70=0,AE70="",N(AE70)=0,BI70=""),"",EDATE(AH70,BI70))</f>
        <v/>
      </c>
      <c r="AG70" s="14" t="n">
        <f aca="false">IF(OR(LEN($A70&amp;$B70)=0,$F70=""),0,1)</f>
        <v>0</v>
      </c>
      <c r="AH70" s="12" t="str">
        <f aca="false">IF(AG70=0,"",IF($J70&lt;&gt;"",$J70,IF(OR(CasualCounts="Yes",COUNT($G70:$I70)=0,COUNT($H70:$I70)=0),$F70,MIN($H70:$I70))))</f>
        <v/>
      </c>
      <c r="AI70" s="14" t="str">
        <f aca="false">IF(AG70=0,"",COUNT($G70:$I70))</f>
        <v/>
      </c>
      <c r="AJ70" s="12" t="str">
        <f aca="false">IF(AG70=0,"",IFERROR(SMALL($G70:$I70,1),""))</f>
        <v/>
      </c>
      <c r="AK70" s="12" t="str">
        <f aca="false">IF(AG70=0,"",IFERROR(SMALL($G70:$I70,2),""))</f>
        <v/>
      </c>
      <c r="AL70" s="12" t="str">
        <f aca="false">IF(AG70=0,"",IFERROR(SMALL($G70:$I70,3),""))</f>
        <v/>
      </c>
      <c r="AM70" s="14" t="str">
        <f aca="false">IF(AG70=0,"",IF(AJ70="","",IF(AJ70=$H70,"Part-Time",IF(AJ70=$I70,"Full-Time","Casual"))))</f>
        <v/>
      </c>
      <c r="AN70" s="14" t="str">
        <f aca="false">IF(AG70=0,"",IF(AK70="","",IF(AK70=$H70,"Part-Time",IF(AK70=$I70,"Full-Time","Casual"))))</f>
        <v/>
      </c>
      <c r="AO70" s="14" t="str">
        <f aca="false">IF(AG70=0,"",IF(AL70="","",IF(AL70=$H70,"Part-Time",IF(AL70=$I70,"Full-Time","Casual"))))</f>
        <v/>
      </c>
      <c r="AP70" s="14" t="str">
        <f aca="false">IF(AG70=0,"",IF(AI70=0,IF(OR(ISNUMBER(SEARCH("full",$C70)),UPPER(TRIM($C70))="FT",UPPER(TRIM($C70))="FTE"),"FT",IF(AND(OR(ISNUMBER(SEARCH("part",$C70)),UPPER(TRIM($C70))="PT",UPPER(TRIM($C70))="PTE"),OR($P70="",N($P70)&gt;=PT_MinHours)),"PT","None")),IF(OR(ISNUMBER(SEARCH("full",AM70)),UPPER(TRIM(AM70))="FT",UPPER(TRIM(AM70))="FTE"),"FT",IF(AND(OR(ISNUMBER(SEARCH("part",AM70)),UPPER(TRIM(AM70))="PT",UPPER(TRIM(AM70))="PTE"),OR($P70="",N($P70)&gt;=PT_MinHours)),"PT","None"))))</f>
        <v/>
      </c>
      <c r="AQ70" s="14" t="str">
        <f aca="false">IF(AG70=0,"",IF(AI70&lt;2,"",IF(OR(ISNUMBER(SEARCH("full",AN70)),UPPER(TRIM(AN70))="FT",UPPER(TRIM(AN70))="FTE"),"FT",IF(AND(OR(ISNUMBER(SEARCH("part",AN70)),UPPER(TRIM(AN70))="PT",UPPER(TRIM(AN70))="PTE"),OR($P70="",N($P70)&gt;=PT_MinHours)),"PT","None"))))</f>
        <v/>
      </c>
      <c r="AR70" s="14" t="str">
        <f aca="false">IF(AG70=0,"",IF(AI70&lt;3,"",IF(OR(ISNUMBER(SEARCH("full",AO70)),UPPER(TRIM(AO70))="FT",UPPER(TRIM(AO70))="FTE"),"FT",IF(AND(OR(ISNUMBER(SEARCH("part",AO70)),UPPER(TRIM(AO70))="PT",UPPER(TRIM(AO70))="PTE"),OR($P70="",N($P70)&gt;=PT_MinHours)),"PT","None"))))</f>
        <v/>
      </c>
      <c r="AS70" s="14" t="str">
        <f aca="false">IF(AG70=0,"",IF(AND(AI70&gt;=3,AL70&lt;=AsOfDate),AR70,IF(AND(AI70&gt;=2,AK70&lt;=AsOfDate),AQ70,AP70)))</f>
        <v/>
      </c>
      <c r="AT70" s="14" t="str">
        <f aca="false">IF(AG70=0,"",IF(AsOfDate&lt;AH70,-1,12*(YEAR(AsOfDate)-YEAR(AH70))+MONTH(AsOfDate)-MONTH(AH70)-IF(DAY(AsOfDate)&lt;MIN(DAY(AH70),DAY(EOMONTH(AsOfDate,0))),1,0)))</f>
        <v/>
      </c>
      <c r="AU70" s="14" t="str">
        <f aca="false">IF(AG70=0,"",IF(OR(AI70&lt;2,AK70&gt;AsOfDate),AT70,IF((AK70-1)&lt;AH70,-1,12*(YEAR((AK70-1))-YEAR(AH70))+MONTH((AK70-1))-MONTH(AH70)-IF(DAY((AK70-1))&lt;MIN(DAY(AH70),DAY(EOMONTH((AK70-1),0))),1,0))))</f>
        <v/>
      </c>
      <c r="AV70" s="14" t="str">
        <f aca="false">IF(AG70=0,"",IF(OR(AI70&lt;3,AL70&gt;AsOfDate),AT70,IF((AL70-1)&lt;AH70,-1,12*(YEAR((AL70-1))-YEAR(AH70))+MONTH((AL70-1))-MONTH(AH70)-IF(DAY((AL70-1))&lt;MIN(DAY(AH70),DAY(EOMONTH((AL70-1),0))),1,0))))</f>
        <v/>
      </c>
      <c r="AW70" s="14" t="str">
        <f aca="false">IF(AG70=0,"",IF(PFYDate&lt;AH70,-1,12*(YEAR(PFYDate)-YEAR(AH70))+MONTH(PFYDate)-MONTH(AH70)-IF(DAY(PFYDate)&lt;MIN(DAY(AH70),DAY(EOMONTH(PFYDate,0))),1,0)))</f>
        <v/>
      </c>
      <c r="AX70" s="14" t="str">
        <f aca="false">IF(AG70=0,"",IF(OR(AI70&lt;2,AK70&gt;PFYDate),AW70,IF((AK70-1)&lt;AH70,-1,12*(YEAR((AK70-1))-YEAR(AH70))+MONTH((AK70-1))-MONTH(AH70)-IF(DAY((AK70-1))&lt;MIN(DAY(AH70),DAY(EOMONTH((AK70-1),0))),1,0))))</f>
        <v/>
      </c>
      <c r="AY70" s="14" t="str">
        <f aca="false">IF(AG70=0,"",IF(OR(AI70&lt;3,AL70&gt;PFYDate),AW70,IF((AL70-1)&lt;AH70,-1,12*(YEAR((AL70-1))-YEAR(AH70))+MONTH((AL70-1))-MONTH(AH70)-IF(DAY((AL70-1))&lt;MIN(DAY(AH70),DAY(EOMONTH((AL70-1),0))),1,0))))</f>
        <v/>
      </c>
      <c r="AZ70" s="14" t="str">
        <f aca="false">IF(AG70=0,"",IF(AP70="FT",IF(AU70&lt;FT_First,0,IF(AU70&lt;FT_Y5,1+INT((AU70-FT_First)/FT_Int1),FT_PreY5+FT_PerYear*INT((AU70-FT_Y5)/12)+FT_AnnivDays+INT(MOD(AU70-FT_Y5,12)/FT_Int2))),IF(AP70="PT",IF(AU70&lt;PT_First,0,1+INT((AU70-PT_First)/PT_Int)),0))+IF(AND(AI70&gt;=2,AK70&lt;=AsOfDate),IF(AQ70="FT",IF(AV70&lt;FT_First,0,IF(AV70&lt;FT_Y5,1+INT((AV70-FT_First)/FT_Int1),FT_PreY5+FT_PerYear*INT((AV70-FT_Y5)/12)+FT_AnnivDays+INT(MOD(AV70-FT_Y5,12)/FT_Int2))),IF(AQ70="PT",IF(AV70&lt;PT_First,0,1+INT((AV70-PT_First)/PT_Int)),0))-IF(AQ70="FT",IF(AU70&lt;FT_First,0,IF(AU70&lt;FT_Y5,1+INT((AU70-FT_First)/FT_Int1),FT_PreY5+FT_PerYear*INT((AU70-FT_Y5)/12)+FT_AnnivDays+INT(MOD(AU70-FT_Y5,12)/FT_Int2))),IF(AQ70="PT",IF(AU70&lt;PT_First,0,1+INT((AU70-PT_First)/PT_Int)),0)),0)+IF(AND(AI70&gt;=3,AL70&lt;=AsOfDate),IF(AR70="FT",IF(AT70&lt;FT_First,0,IF(AT70&lt;FT_Y5,1+INT((AT70-FT_First)/FT_Int1),FT_PreY5+FT_PerYear*INT((AT70-FT_Y5)/12)+FT_AnnivDays+INT(MOD(AT70-FT_Y5,12)/FT_Int2))),IF(AR70="PT",IF(AT70&lt;PT_First,0,1+INT((AT70-PT_First)/PT_Int)),0))-IF(AR70="FT",IF(AV70&lt;FT_First,0,IF(AV70&lt;FT_Y5,1+INT((AV70-FT_First)/FT_Int1),FT_PreY5+FT_PerYear*INT((AV70-FT_Y5)/12)+FT_AnnivDays+INT(MOD(AV70-FT_Y5,12)/FT_Int2))),IF(AR70="PT",IF(AV70&lt;PT_First,0,1+INT((AV70-PT_First)/PT_Int)),0)),0))</f>
        <v/>
      </c>
      <c r="BA70" s="14" t="str">
        <f aca="false">IF(AG70=0,"",IF(AP70="FT",IF(AX70&lt;FT_First,0,IF(AX70&lt;FT_Y5,1+INT((AX70-FT_First)/FT_Int1),FT_PreY5+FT_PerYear*INT((AX70-FT_Y5)/12)+FT_AnnivDays+INT(MOD(AX70-FT_Y5,12)/FT_Int2))),IF(AP70="PT",IF(AX70&lt;PT_First,0,1+INT((AX70-PT_First)/PT_Int)),0))+IF(AND(AI70&gt;=2,AK70&lt;=PFYDate),IF(AQ70="FT",IF(AY70&lt;FT_First,0,IF(AY70&lt;FT_Y5,1+INT((AY70-FT_First)/FT_Int1),FT_PreY5+FT_PerYear*INT((AY70-FT_Y5)/12)+FT_AnnivDays+INT(MOD(AY70-FT_Y5,12)/FT_Int2))),IF(AQ70="PT",IF(AY70&lt;PT_First,0,1+INT((AY70-PT_First)/PT_Int)),0))-IF(AQ70="FT",IF(AX70&lt;FT_First,0,IF(AX70&lt;FT_Y5,1+INT((AX70-FT_First)/FT_Int1),FT_PreY5+FT_PerYear*INT((AX70-FT_Y5)/12)+FT_AnnivDays+INT(MOD(AX70-FT_Y5,12)/FT_Int2))),IF(AQ70="PT",IF(AX70&lt;PT_First,0,1+INT((AX70-PT_First)/PT_Int)),0)),0)+IF(AND(AI70&gt;=3,AL70&lt;=PFYDate),IF(AR70="FT",IF(AW70&lt;FT_First,0,IF(AW70&lt;FT_Y5,1+INT((AW70-FT_First)/FT_Int1),FT_PreY5+FT_PerYear*INT((AW70-FT_Y5)/12)+FT_AnnivDays+INT(MOD(AW70-FT_Y5,12)/FT_Int2))),IF(AR70="PT",IF(AW70&lt;PT_First,0,1+INT((AW70-PT_First)/PT_Int)),0))-IF(AR70="FT",IF(AY70&lt;FT_First,0,IF(AY70&lt;FT_Y5,1+INT((AY70-FT_First)/FT_Int1),FT_PreY5+FT_PerYear*INT((AY70-FT_Y5)/12)+FT_AnnivDays+INT(MOD(AY70-FT_Y5,12)/FT_Int2))),IF(AR70="PT",IF(AY70&lt;PT_First,0,1+INT((AY70-PT_First)/PT_Int)),0)),0))</f>
        <v/>
      </c>
      <c r="BB70" s="14" t="str">
        <f aca="false">IF(AG70=0,"",IF(AS70="FT",IF(AT70&lt;FT_First,FT_First,IF(AT70&lt;FT_Y5,MIN(FT_Y5,FT_First+FT_Int1*(INT((AT70-FT_First)/FT_Int1)+1)),FT_Y5+12*INT((AT70-FT_Y5)/12)+FT_Int2*(INT(MOD(AT70-FT_Y5,12)/FT_Int2)+1))),IF(AS70="PT",IF(AT70&lt;PT_First,PT_First,PT_First+PT_Int*(INT((AT70-PT_First)/PT_Int)+1)),"")))</f>
        <v/>
      </c>
      <c r="BC70" s="14" t="str">
        <f aca="false">IF(AG70=0,"",IF(NOT(LH_Ready),0,COUNTIFS(INDEX(LH_Data,0,LH_ColFirst),$A70,INDEX(LH_Data,0,LH_ColSur),$B70,INDEX(LH_Data,0,LH_ColCat),BonusCat)))</f>
        <v/>
      </c>
      <c r="BD70" s="14" t="str">
        <f aca="false">IF(AG70=0,"",IF(OR(NOT(LH_Ready),BC70=0),0,SUMPRODUCT(MAX((INDEX(LH_Data,0,LH_ColFirst)=$A70)*(INDEX(LH_Data,0,LH_ColSur)=$B70)*(INDEX(LH_Data,0,LH_ColCat)=BonusCat)*ROW(LH_Data)))))</f>
        <v/>
      </c>
      <c r="BE70" s="14" t="str">
        <f aca="false">IF(AG70=0,"",IF(EOMONTH(AsOfDate,-1)&lt;AH70,-1,12*(YEAR(EOMONTH(AsOfDate,-1))-YEAR(AH70))+MONTH(EOMONTH(AsOfDate,-1))-MONTH(AH70)-IF(DAY(EOMONTH(AsOfDate,-1))&lt;MIN(DAY(AH70),DAY(EOMONTH(EOMONTH(AsOfDate,-1),0))),1,0)))</f>
        <v/>
      </c>
      <c r="BF70" s="14" t="str">
        <f aca="false">IF(AG70=0,"",IF(OR(AI70&lt;2,AK70&gt;EOMONTH(AsOfDate,-1)),BE70,IF((AK70-1)&lt;AH70,-1,12*(YEAR((AK70-1))-YEAR(AH70))+MONTH((AK70-1))-MONTH(AH70)-IF(DAY((AK70-1))&lt;MIN(DAY(AH70),DAY(EOMONTH((AK70-1),0))),1,0))))</f>
        <v/>
      </c>
      <c r="BG70" s="14" t="str">
        <f aca="false">IF(AG70=0,"",IF(OR(AI70&lt;3,AL70&gt;EOMONTH(AsOfDate,-1)),BE70,IF((AL70-1)&lt;AH70,-1,12*(YEAR((AL70-1))-YEAR(AH70))+MONTH((AL70-1))-MONTH(AH70)-IF(DAY((AL70-1))&lt;MIN(DAY(AH70),DAY(EOMONTH((AL70-1),0))),1,0))))</f>
        <v/>
      </c>
      <c r="BH70" s="14" t="str">
        <f aca="false">IF(AG70=0,"",IF(AP70="FT",IF(BF70&lt;FT_First,0,IF(BF70&lt;FT_Y5,1+INT((BF70-FT_First)/FT_Int1),FT_PreY5+FT_PerYear*INT((BF70-FT_Y5)/12)+FT_AnnivDays+INT(MOD(BF70-FT_Y5,12)/FT_Int2))),IF(AP70="PT",IF(BF70&lt;PT_First,0,1+INT((BF70-PT_First)/PT_Int)),0))+IF(AND(AI70&gt;=2,AK70&lt;=EOMONTH(AsOfDate,-1)),IF(AQ70="FT",IF(BG70&lt;FT_First,0,IF(BG70&lt;FT_Y5,1+INT((BG70-FT_First)/FT_Int1),FT_PreY5+FT_PerYear*INT((BG70-FT_Y5)/12)+FT_AnnivDays+INT(MOD(BG70-FT_Y5,12)/FT_Int2))),IF(AQ70="PT",IF(BG70&lt;PT_First,0,1+INT((BG70-PT_First)/PT_Int)),0))-IF(AQ70="FT",IF(BF70&lt;FT_First,0,IF(BF70&lt;FT_Y5,1+INT((BF70-FT_First)/FT_Int1),FT_PreY5+FT_PerYear*INT((BF70-FT_Y5)/12)+FT_AnnivDays+INT(MOD(BF70-FT_Y5,12)/FT_Int2))),IF(AQ70="PT",IF(BF70&lt;PT_First,0,1+INT((BF70-PT_First)/PT_Int)),0)),0)+IF(AND(AI70&gt;=3,AL70&lt;=EOMONTH(AsOfDate,-1)),IF(AR70="FT",IF(BE70&lt;FT_First,0,IF(BE70&lt;FT_Y5,1+INT((BE70-FT_First)/FT_Int1),FT_PreY5+FT_PerYear*INT((BE70-FT_Y5)/12)+FT_AnnivDays+INT(MOD(BE70-FT_Y5,12)/FT_Int2))),IF(AR70="PT",IF(BE70&lt;PT_First,0,1+INT((BE70-PT_First)/PT_Int)),0))-IF(AR70="FT",IF(BG70&lt;FT_First,0,IF(BG70&lt;FT_Y5,1+INT((BG70-FT_First)/FT_Int1),FT_PreY5+FT_PerYear*INT((BG70-FT_Y5)/12)+FT_AnnivDays+INT(MOD(BG70-FT_Y5,12)/FT_Int2))),IF(AR70="PT",IF(BG70&lt;PT_First,0,1+INT((BG70-PT_First)/PT_Int)),0)),0))</f>
        <v/>
      </c>
      <c r="BI70" s="14" t="str">
        <f aca="false">IF(AG70=0,"",IF(AS70="FT",IF(AT70&lt;FT_First,"",IF(AT70&lt;FT_Y5,FT_First+FT_Int1*INT((AT70-FT_First)/FT_Int1),FT_Y5+FT_Int2*INT((AT70-FT_Y5)/FT_Int2))),IF(AS70="PT",IF(AT70&lt;PT_First,"",PT_First+PT_Int*INT((AT70-PT_First)/PT_Int)),"")))</f>
        <v/>
      </c>
      <c r="BJ70" s="0" t="str">
        <f aca="false">IF(LEN($A70&amp;$B70)=0,"",$A70&amp;" "&amp;$B70)</f>
        <v/>
      </c>
    </row>
    <row r="71" customFormat="false" ht="15" hidden="false" customHeight="false" outlineLevel="0" collapsed="false">
      <c r="A71" s="10"/>
      <c r="B71" s="10"/>
      <c r="C71" s="10"/>
      <c r="D71" s="11"/>
      <c r="E71" s="12" t="str">
        <f aca="false">IF(OR(AG71=0,$D71=""),"",DATE(YEAR(AsOfDate)+IF(DATE(YEAR(AsOfDate),MONTH($D71),DAY($D71))&lt;=AsOfDate,1,0),MONTH($D71),DAY($D71)))</f>
        <v/>
      </c>
      <c r="F71" s="11"/>
      <c r="G71" s="11"/>
      <c r="H71" s="11"/>
      <c r="I71" s="11"/>
      <c r="J71" s="11"/>
      <c r="K71" s="12" t="str">
        <f aca="false">IF(AG71=0,"",DATE(YEAR(AsOfDate)+IF(DATE(YEAR(AsOfDate),MONTH(AH71),DAY(AH71))&lt;=AsOfDate,1,0),MONTH(AH71),DAY(AH71)))</f>
        <v/>
      </c>
      <c r="L71" s="13" t="str">
        <f aca="false">IF(AG71=0,"",ROUND((AsOfDate-AH71)/365.25,1))</f>
        <v/>
      </c>
      <c r="M71" s="14" t="str">
        <f aca="false">IF(AG71=0,"",IF(AsOfDate&lt;AH71,"-",DATEDIF(AH71,AsOfDate,"y")&amp;"y "&amp;DATEDIF(AH71,AsOfDate,"ym")&amp;"m "&amp;DATEDIF(AH71,AsOfDate,"md")&amp;"d"))</f>
        <v/>
      </c>
      <c r="N71" s="15" t="str">
        <f aca="false">IF(AG71=0,"",O71*HoursPerDay)</f>
        <v/>
      </c>
      <c r="O71" s="15" t="str">
        <f aca="false">IF(AG71=0,"",AZ71)</f>
        <v/>
      </c>
      <c r="P71" s="16"/>
      <c r="Q71" s="14" t="str">
        <f aca="false">IF(AG71=0,"",IF(AI71&lt;2,"",AM71&amp;" to "&amp;AN71&amp;" on "&amp;TEXT(AK71,"dd/mm/yyyy")&amp;IF(AK71&gt;AsOfDate," (future)",IF(AP71=AQ71,"",IF(AQ71="None"," - STOPPED accruing",IF(AP71="None"," - commencement for Bonus Leave"," - pathway changed"))))&amp;IF(AI71&lt;3,"","; "&amp;AN71&amp;" to "&amp;AO71&amp;" on "&amp;TEXT(AL71,"dd/mm/yyyy")&amp;IF(AL71&gt;AsOfDate," (future)",IF(AQ71=AR71,"",IF(AR71="None"," - STOPPED accruing",IF(AQ71="None"," - commencement for Bonus Leave"," - pathway changed")))))))</f>
        <v/>
      </c>
      <c r="R71" s="14" t="str">
        <f aca="false">IF(AG71=0,"",IF(AS71="None",IF(O71&gt;0,"No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2" t="str">
        <f aca="false">IF(AG71=0,"",IF(AS71="None","",EDATE(AH71,BB71)))</f>
        <v/>
      </c>
      <c r="T71" s="15" t="str">
        <f aca="false">IF(AG71=0,"",IF(NOT(LH_Ready),"",IF(AH71&gt;PFYDate,0,IF(LH_ColPeriod=0,W71-U71+V71,SUMIFS(INDEX(LH_Data,0,LH_ColAcc),INDEX(LH_Data,0,LH_ColFirst),$A71,INDEX(LH_Data,0,LH_ColSur),$B71,INDEX(LH_Data,0,LH_ColCat),BonusCat,INDEX(LH_Data,0,LH_ColPeriod),LH_OpenLabel)*UnitFactor))))</f>
        <v/>
      </c>
      <c r="U71" s="15" t="str">
        <f aca="false">IF(AG71=0,"",IF(NOT(LH_Ready),"",SUMIFS(INDEX(LH_Data,0,LH_ColAcc),INDEX(LH_Data,0,LH_ColFirst),$A71,INDEX(LH_Data,0,LH_ColSur),$B71,INDEX(LH_Data,0,LH_ColCat),BonusCat,INDEX(LH_Data,0,LH_ColStart),"&gt;="&amp;AH71)*UnitFactor))</f>
        <v/>
      </c>
      <c r="V71" s="15" t="str">
        <f aca="false">IF(AG71=0,"",IF(NOT(LH_Ready),"",SUMIFS(INDEX(LH_Data,0,LH_ColTaken),INDEX(LH_Data,0,LH_ColFirst),$A71,INDEX(LH_Data,0,LH_ColSur),$B71,INDEX(LH_Data,0,LH_ColCat),BonusCat,INDEX(LH_Data,0,LH_ColStart),"&gt;="&amp;AH71)*UnitFactor))</f>
        <v/>
      </c>
      <c r="W71" s="15" t="str">
        <f aca="false">IF(AG71=0,"",IF(NOT(LH_Ready),"",IF(BD71=0,0,INDEX(INDEX(LH_Data,0,LH_ColClose),BD71-1)*UnitFactor)))</f>
        <v/>
      </c>
      <c r="X71" s="15" t="str">
        <f aca="false">IF(AG71=0,"",(AZ71-BA71)*HoursPerDay)</f>
        <v/>
      </c>
      <c r="Y71" s="15" t="str">
        <f aca="false">IF(AG71=0,"",IF(NOT(LH_Ready),"",IF(BC71=0,N71,IF(PFYDate&lt;$F71,N71-N(T71)-N(U71),X71-N(U71)))))</f>
        <v/>
      </c>
      <c r="Z71" s="14" t="str">
        <f aca="false">IF(OR(AG71=0,Y71=""),"",IF(Y71&gt;0,"Yes","No"))</f>
        <v/>
      </c>
      <c r="AA71" s="14" t="str">
        <f aca="false">IF(AG71=0,IF(LEN($A71&amp;$B71)=0,"","FIX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month")&amp;IF(BC71=0,";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EH)",""),IF(AS71="None",R71,"Not yet - first day on "&amp;TEXT(S71,"dd/mm/yyyy")))))))))</f>
        <v/>
      </c>
      <c r="AB71" s="15" t="str">
        <f aca="false">IF(OR(AG71=0,T71=""),"",BA71*HoursPerDay-T71)</f>
        <v/>
      </c>
      <c r="AC71" s="14" t="str">
        <f aca="false">IF(AG71=0,"",BC71)</f>
        <v/>
      </c>
      <c r="AD71" s="14" t="str">
        <f aca="false">IF(AG71=0,"",TRIM(IF(OR(ISTEXT($F71),ISTEXT($H71),ISTEXT($I71),ISTEXT($G71),ISTEXT($J71),ISTEXT($D71)),"A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I71&gt;=1,IF(AI71&gt;=3,AO71,IF(AI71=2,AN71,AM71))&lt;&gt;IF($C71="","",IF(OR(ISNUMBER(SEARCH("full",$C71)),UPPER(TRIM($C71))="FT",UPPER(TRIM($C71))="FTE"),"Full-Time",IF(OR(ISNUMBER(SEARCH("part",$C71)),UPPER(TRIM($C71))="PT",UPPER(TRIM($C71))="PTE"),"Part-Time",IF(OR(ISNUMBER(SEARCH("cas",$C71)),UPPER(TRIM($C71))="CAS"),"Casual","Unknown"))))),"EmploymentType does not match latest start date ("&amp;IF(AI71&gt;=3,AO71,IF(AI71=2,AN71,AM71))&amp;"). ","")&amp;IF(AND(AI71&gt;=1,AJ71&lt;&gt;$F71),"Earliest type date should equal StartDate. ","")&amp;IF(AND(AI71&gt;=2,AJ71=AK71),"Two types start on the same date. ","")&amp;IF(AND(OR(ISNUMBER(SEARCH("part",$C71)),UPPER(TRIM($C71))="PT",UPPER(TRIM($C71))="PTE"),$P71=""),"Part-time: enter PT Hrs/Week (blank = 24+). ","")))</f>
        <v/>
      </c>
      <c r="AE71" s="15" t="str">
        <f aca="false">IF(AG71=0,"",O71-BH71)</f>
        <v/>
      </c>
      <c r="AF71" s="12" t="str">
        <f aca="false">IF(OR(AG71=0,AE71="",N(AE71)=0,BI71=""),"",EDATE(AH71,BI71))</f>
        <v/>
      </c>
      <c r="AG71" s="14" t="n">
        <f aca="false">IF(OR(LEN($A71&amp;$B71)=0,$F71=""),0,1)</f>
        <v>0</v>
      </c>
      <c r="AH71" s="12" t="str">
        <f aca="false">IF(AG71=0,"",IF($J71&lt;&gt;"",$J71,IF(OR(CasualCounts="Yes",COUNT($G71:$I71)=0,COUNT($H71:$I71)=0),$F71,MIN($H71:$I71))))</f>
        <v/>
      </c>
      <c r="AI71" s="14" t="str">
        <f aca="false">IF(AG71=0,"",COUNT($G71:$I71))</f>
        <v/>
      </c>
      <c r="AJ71" s="12" t="str">
        <f aca="false">IF(AG71=0,"",IFERROR(SMALL($G71:$I71,1),""))</f>
        <v/>
      </c>
      <c r="AK71" s="12" t="str">
        <f aca="false">IF(AG71=0,"",IFERROR(SMALL($G71:$I71,2),""))</f>
        <v/>
      </c>
      <c r="AL71" s="12" t="str">
        <f aca="false">IF(AG71=0,"",IFERROR(SMALL($G71:$I71,3),""))</f>
        <v/>
      </c>
      <c r="AM71" s="14" t="str">
        <f aca="false">IF(AG71=0,"",IF(AJ71="","",IF(AJ71=$H71,"Part-Time",IF(AJ71=$I71,"Full-Time","Casual"))))</f>
        <v/>
      </c>
      <c r="AN71" s="14" t="str">
        <f aca="false">IF(AG71=0,"",IF(AK71="","",IF(AK71=$H71,"Part-Time",IF(AK71=$I71,"Full-Time","Casual"))))</f>
        <v/>
      </c>
      <c r="AO71" s="14" t="str">
        <f aca="false">IF(AG71=0,"",IF(AL71="","",IF(AL71=$H71,"Part-Time",IF(AL71=$I71,"Full-Time","Casual"))))</f>
        <v/>
      </c>
      <c r="AP71" s="14" t="str">
        <f aca="false">IF(AG71=0,"",IF(AI71=0,IF(OR(ISNUMBER(SEARCH("full",$C71)),UPPER(TRIM($C71))="FT",UPPER(TRIM($C71))="FTE"),"FT",IF(AND(OR(ISNUMBER(SEARCH("part",$C71)),UPPER(TRIM($C71))="PT",UPPER(TRIM($C71))="PTE"),OR($P71="",N($P71)&gt;=PT_MinHours)),"PT","None")),IF(OR(ISNUMBER(SEARCH("full",AM71)),UPPER(TRIM(AM71))="FT",UPPER(TRIM(AM71))="FTE"),"FT",IF(AND(OR(ISNUMBER(SEARCH("part",AM71)),UPPER(TRIM(AM71))="PT",UPPER(TRIM(AM71))="PTE"),OR($P71="",N($P71)&gt;=PT_MinHours)),"PT","None"))))</f>
        <v/>
      </c>
      <c r="AQ71" s="14" t="str">
        <f aca="false">IF(AG71=0,"",IF(AI71&lt;2,"",IF(OR(ISNUMBER(SEARCH("full",AN71)),UPPER(TRIM(AN71))="FT",UPPER(TRIM(AN71))="FTE"),"FT",IF(AND(OR(ISNUMBER(SEARCH("part",AN71)),UPPER(TRIM(AN71))="PT",UPPER(TRIM(AN71))="PTE"),OR($P71="",N($P71)&gt;=PT_MinHours)),"PT","None"))))</f>
        <v/>
      </c>
      <c r="AR71" s="14" t="str">
        <f aca="false">IF(AG71=0,"",IF(AI71&lt;3,"",IF(OR(ISNUMBER(SEARCH("full",AO71)),UPPER(TRIM(AO71))="FT",UPPER(TRIM(AO71))="FTE"),"FT",IF(AND(OR(ISNUMBER(SEARCH("part",AO71)),UPPER(TRIM(AO71))="PT",UPPER(TRIM(AO71))="PTE"),OR($P71="",N($P71)&gt;=PT_MinHours)),"PT","None"))))</f>
        <v/>
      </c>
      <c r="AS71" s="14" t="str">
        <f aca="false">IF(AG71=0,"",IF(AND(AI71&gt;=3,AL71&lt;=AsOfDate),AR71,IF(AND(AI71&gt;=2,AK71&lt;=AsOfDate),AQ71,AP71)))</f>
        <v/>
      </c>
      <c r="AT71" s="14" t="str">
        <f aca="false">IF(AG71=0,"",IF(AsOfDate&lt;AH71,-1,12*(YEAR(AsOfDate)-YEAR(AH71))+MONTH(AsOfDate)-MONTH(AH71)-IF(DAY(AsOfDate)&lt;MIN(DAY(AH71),DAY(EOMONTH(AsOfDate,0))),1,0)))</f>
        <v/>
      </c>
      <c r="AU71" s="14" t="str">
        <f aca="false">IF(AG71=0,"",IF(OR(AI71&lt;2,AK71&gt;AsOfDate),AT71,IF((AK71-1)&lt;AH71,-1,12*(YEAR((AK71-1))-YEAR(AH71))+MONTH((AK71-1))-MONTH(AH71)-IF(DAY((AK71-1))&lt;MIN(DAY(AH71),DAY(EOMONTH((AK71-1),0))),1,0))))</f>
        <v/>
      </c>
      <c r="AV71" s="14" t="str">
        <f aca="false">IF(AG71=0,"",IF(OR(AI71&lt;3,AL71&gt;AsOfDate),AT71,IF((AL71-1)&lt;AH71,-1,12*(YEAR((AL71-1))-YEAR(AH71))+MONTH((AL71-1))-MONTH(AH71)-IF(DAY((AL71-1))&lt;MIN(DAY(AH71),DAY(EOMONTH((AL71-1),0))),1,0))))</f>
        <v/>
      </c>
      <c r="AW71" s="14" t="str">
        <f aca="false">IF(AG71=0,"",IF(PFYDate&lt;AH71,-1,12*(YEAR(PFYDate)-YEAR(AH71))+MONTH(PFYDate)-MONTH(AH71)-IF(DAY(PFYDate)&lt;MIN(DAY(AH71),DAY(EOMONTH(PFYDate,0))),1,0)))</f>
        <v/>
      </c>
      <c r="AX71" s="14" t="str">
        <f aca="false">IF(AG71=0,"",IF(OR(AI71&lt;2,AK71&gt;PFYDate),AW71,IF((AK71-1)&lt;AH71,-1,12*(YEAR((AK71-1))-YEAR(AH71))+MONTH((AK71-1))-MONTH(AH71)-IF(DAY((AK71-1))&lt;MIN(DAY(AH71),DAY(EOMONTH((AK71-1),0))),1,0))))</f>
        <v/>
      </c>
      <c r="AY71" s="14" t="str">
        <f aca="false">IF(AG71=0,"",IF(OR(AI71&lt;3,AL71&gt;PFYDate),AW71,IF((AL71-1)&lt;AH71,-1,12*(YEAR((AL71-1))-YEAR(AH71))+MONTH((AL71-1))-MONTH(AH71)-IF(DAY((AL71-1))&lt;MIN(DAY(AH71),DAY(EOMONTH((AL71-1),0))),1,0))))</f>
        <v/>
      </c>
      <c r="AZ71" s="14" t="str">
        <f aca="false">IF(AG71=0,"",IF(AP71="FT",IF(AU71&lt;FT_First,0,IF(AU71&lt;FT_Y5,1+INT((AU71-FT_First)/FT_Int1),FT_PreY5+FT_PerYear*INT((AU71-FT_Y5)/12)+FT_AnnivDays+INT(MOD(AU71-FT_Y5,12)/FT_Int2))),IF(AP71="PT",IF(AU71&lt;PT_First,0,1+INT((AU71-PT_First)/PT_Int)),0))+IF(AND(AI71&gt;=2,AK71&lt;=AsOfDate),IF(AQ71="FT",IF(AV71&lt;FT_First,0,IF(AV71&lt;FT_Y5,1+INT((AV71-FT_First)/FT_Int1),FT_PreY5+FT_PerYear*INT((AV71-FT_Y5)/12)+FT_AnnivDays+INT(MOD(AV71-FT_Y5,12)/FT_Int2))),IF(AQ71="PT",IF(AV71&lt;PT_First,0,1+INT((AV71-PT_First)/PT_Int)),0))-IF(AQ71="FT",IF(AU71&lt;FT_First,0,IF(AU71&lt;FT_Y5,1+INT((AU71-FT_First)/FT_Int1),FT_PreY5+FT_PerYear*INT((AU71-FT_Y5)/12)+FT_AnnivDays+INT(MOD(AU71-FT_Y5,12)/FT_Int2))),IF(AQ71="PT",IF(AU71&lt;PT_First,0,1+INT((AU71-PT_First)/PT_Int)),0)),0)+IF(AND(AI71&gt;=3,AL71&lt;=AsOfDate),IF(AR71="FT",IF(AT71&lt;FT_First,0,IF(AT71&lt;FT_Y5,1+INT((AT71-FT_First)/FT_Int1),FT_PreY5+FT_PerYear*INT((AT71-FT_Y5)/12)+FT_AnnivDays+INT(MOD(AT71-FT_Y5,12)/FT_Int2))),IF(AR71="PT",IF(AT71&lt;PT_First,0,1+INT((AT71-PT_First)/PT_Int)),0))-IF(AR71="FT",IF(AV71&lt;FT_First,0,IF(AV71&lt;FT_Y5,1+INT((AV71-FT_First)/FT_Int1),FT_PreY5+FT_PerYear*INT((AV71-FT_Y5)/12)+FT_AnnivDays+INT(MOD(AV71-FT_Y5,12)/FT_Int2))),IF(AR71="PT",IF(AV71&lt;PT_First,0,1+INT((AV71-PT_First)/PT_Int)),0)),0))</f>
        <v/>
      </c>
      <c r="BA71" s="14" t="str">
        <f aca="false">IF(AG71=0,"",IF(AP71="FT",IF(AX71&lt;FT_First,0,IF(AX71&lt;FT_Y5,1+INT((AX71-FT_First)/FT_Int1),FT_PreY5+FT_PerYear*INT((AX71-FT_Y5)/12)+FT_AnnivDays+INT(MOD(AX71-FT_Y5,12)/FT_Int2))),IF(AP71="PT",IF(AX71&lt;PT_First,0,1+INT((AX71-PT_First)/PT_Int)),0))+IF(AND(AI71&gt;=2,AK71&lt;=PFYDate),IF(AQ71="FT",IF(AY71&lt;FT_First,0,IF(AY71&lt;FT_Y5,1+INT((AY71-FT_First)/FT_Int1),FT_PreY5+FT_PerYear*INT((AY71-FT_Y5)/12)+FT_AnnivDays+INT(MOD(AY71-FT_Y5,12)/FT_Int2))),IF(AQ71="PT",IF(AY71&lt;PT_First,0,1+INT((AY71-PT_First)/PT_Int)),0))-IF(AQ71="FT",IF(AX71&lt;FT_First,0,IF(AX71&lt;FT_Y5,1+INT((AX71-FT_First)/FT_Int1),FT_PreY5+FT_PerYear*INT((AX71-FT_Y5)/12)+FT_AnnivDays+INT(MOD(AX71-FT_Y5,12)/FT_Int2))),IF(AQ71="PT",IF(AX71&lt;PT_First,0,1+INT((AX71-PT_First)/PT_Int)),0)),0)+IF(AND(AI71&gt;=3,AL71&lt;=PFYDate),IF(AR71="FT",IF(AW71&lt;FT_First,0,IF(AW71&lt;FT_Y5,1+INT((AW71-FT_First)/FT_Int1),FT_PreY5+FT_PerYear*INT((AW71-FT_Y5)/12)+FT_AnnivDays+INT(MOD(AW71-FT_Y5,12)/FT_Int2))),IF(AR71="PT",IF(AW71&lt;PT_First,0,1+INT((AW71-PT_First)/PT_Int)),0))-IF(AR71="FT",IF(AY71&lt;FT_First,0,IF(AY71&lt;FT_Y5,1+INT((AY71-FT_First)/FT_Int1),FT_PreY5+FT_PerYear*INT((AY71-FT_Y5)/12)+FT_AnnivDays+INT(MOD(AY71-FT_Y5,12)/FT_Int2))),IF(AR71="PT",IF(AY71&lt;PT_First,0,1+INT((AY71-PT_First)/PT_Int)),0)),0))</f>
        <v/>
      </c>
      <c r="BB71" s="14" t="str">
        <f aca="false">IF(AG71=0,"",IF(AS71="FT",IF(AT71&lt;FT_First,FT_First,IF(AT71&lt;FT_Y5,MIN(FT_Y5,FT_First+FT_Int1*(INT((AT71-FT_First)/FT_Int1)+1)),FT_Y5+12*INT((AT71-FT_Y5)/12)+FT_Int2*(INT(MOD(AT71-FT_Y5,12)/FT_Int2)+1))),IF(AS71="PT",IF(AT71&lt;PT_First,PT_First,PT_First+PT_Int*(INT((AT71-PT_First)/PT_Int)+1)),"")))</f>
        <v/>
      </c>
      <c r="BC71" s="14" t="str">
        <f aca="false">IF(AG71=0,"",IF(NOT(LH_Ready),0,COUNTIFS(INDEX(LH_Data,0,LH_ColFirst),$A71,INDEX(LH_Data,0,LH_ColSur),$B71,INDEX(LH_Data,0,LH_ColCat),BonusCat)))</f>
        <v/>
      </c>
      <c r="BD71" s="14" t="str">
        <f aca="false">IF(AG71=0,"",IF(OR(NOT(LH_Ready),BC71=0),0,SUMPRODUCT(MAX((INDEX(LH_Data,0,LH_ColFirst)=$A71)*(INDEX(LH_Data,0,LH_ColSur)=$B71)*(INDEX(LH_Data,0,LH_ColCat)=BonusCat)*ROW(LH_Data)))))</f>
        <v/>
      </c>
      <c r="BE71" s="14" t="str">
        <f aca="false">IF(AG71=0,"",IF(EOMONTH(AsOfDate,-1)&lt;AH71,-1,12*(YEAR(EOMONTH(AsOfDate,-1))-YEAR(AH71))+MONTH(EOMONTH(AsOfDate,-1))-MONTH(AH71)-IF(DAY(EOMONTH(AsOfDate,-1))&lt;MIN(DAY(AH71),DAY(EOMONTH(EOMONTH(AsOfDate,-1),0))),1,0)))</f>
        <v/>
      </c>
      <c r="BF71" s="14" t="str">
        <f aca="false">IF(AG71=0,"",IF(OR(AI71&lt;2,AK71&gt;EOMONTH(AsOfDate,-1)),BE71,IF((AK71-1)&lt;AH71,-1,12*(YEAR((AK71-1))-YEAR(AH71))+MONTH((AK71-1))-MONTH(AH71)-IF(DAY((AK71-1))&lt;MIN(DAY(AH71),DAY(EOMONTH((AK71-1),0))),1,0))))</f>
        <v/>
      </c>
      <c r="BG71" s="14" t="str">
        <f aca="false">IF(AG71=0,"",IF(OR(AI71&lt;3,AL71&gt;EOMONTH(AsOfDate,-1)),BE71,IF((AL71-1)&lt;AH71,-1,12*(YEAR((AL71-1))-YEAR(AH71))+MONTH((AL71-1))-MONTH(AH71)-IF(DAY((AL71-1))&lt;MIN(DAY(AH71),DAY(EOMONTH((AL71-1),0))),1,0))))</f>
        <v/>
      </c>
      <c r="BH71" s="14" t="str">
        <f aca="false">IF(AG71=0,"",IF(AP71="FT",IF(BF71&lt;FT_First,0,IF(BF71&lt;FT_Y5,1+INT((BF71-FT_First)/FT_Int1),FT_PreY5+FT_PerYear*INT((BF71-FT_Y5)/12)+FT_AnnivDays+INT(MOD(BF71-FT_Y5,12)/FT_Int2))),IF(AP71="PT",IF(BF71&lt;PT_First,0,1+INT((BF71-PT_First)/PT_Int)),0))+IF(AND(AI71&gt;=2,AK71&lt;=EOMONTH(AsOfDate,-1)),IF(AQ71="FT",IF(BG71&lt;FT_First,0,IF(BG71&lt;FT_Y5,1+INT((BG71-FT_First)/FT_Int1),FT_PreY5+FT_PerYear*INT((BG71-FT_Y5)/12)+FT_AnnivDays+INT(MOD(BG71-FT_Y5,12)/FT_Int2))),IF(AQ71="PT",IF(BG71&lt;PT_First,0,1+INT((BG71-PT_First)/PT_Int)),0))-IF(AQ71="FT",IF(BF71&lt;FT_First,0,IF(BF71&lt;FT_Y5,1+INT((BF71-FT_First)/FT_Int1),FT_PreY5+FT_PerYear*INT((BF71-FT_Y5)/12)+FT_AnnivDays+INT(MOD(BF71-FT_Y5,12)/FT_Int2))),IF(AQ71="PT",IF(BF71&lt;PT_First,0,1+INT((BF71-PT_First)/PT_Int)),0)),0)+IF(AND(AI71&gt;=3,AL71&lt;=EOMONTH(AsOfDate,-1)),IF(AR71="FT",IF(BE71&lt;FT_First,0,IF(BE71&lt;FT_Y5,1+INT((BE71-FT_First)/FT_Int1),FT_PreY5+FT_PerYear*INT((BE71-FT_Y5)/12)+FT_AnnivDays+INT(MOD(BE71-FT_Y5,12)/FT_Int2))),IF(AR71="PT",IF(BE71&lt;PT_First,0,1+INT((BE71-PT_First)/PT_Int)),0))-IF(AR71="FT",IF(BG71&lt;FT_First,0,IF(BG71&lt;FT_Y5,1+INT((BG71-FT_First)/FT_Int1),FT_PreY5+FT_PerYear*INT((BG71-FT_Y5)/12)+FT_AnnivDays+INT(MOD(BG71-FT_Y5,12)/FT_Int2))),IF(AR71="PT",IF(BG71&lt;PT_First,0,1+INT((BG71-PT_First)/PT_Int)),0)),0))</f>
        <v/>
      </c>
      <c r="BI71" s="14" t="str">
        <f aca="false">IF(AG71=0,"",IF(AS71="FT",IF(AT71&lt;FT_First,"",IF(AT71&lt;FT_Y5,FT_First+FT_Int1*INT((AT71-FT_First)/FT_Int1),FT_Y5+FT_Int2*INT((AT71-FT_Y5)/FT_Int2))),IF(AS71="PT",IF(AT71&lt;PT_First,"",PT_First+PT_Int*INT((AT71-PT_First)/PT_Int)),"")))</f>
        <v/>
      </c>
      <c r="BJ71" s="0" t="str">
        <f aca="false">IF(LEN($A71&amp;$B71)=0,"",$A71&amp;" "&amp;$B71)</f>
        <v/>
      </c>
    </row>
    <row r="72" customFormat="false" ht="15" hidden="false" customHeight="false" outlineLevel="0" collapsed="false">
      <c r="A72" s="10"/>
      <c r="B72" s="10"/>
      <c r="C72" s="10"/>
      <c r="D72" s="11"/>
      <c r="E72" s="12" t="str">
        <f aca="false">IF(OR(AG72=0,$D72=""),"",DATE(YEAR(AsOfDate)+IF(DATE(YEAR(AsOfDate),MONTH($D72),DAY($D72))&lt;=AsOfDate,1,0),MONTH($D72),DAY($D72)))</f>
        <v/>
      </c>
      <c r="F72" s="11"/>
      <c r="G72" s="11"/>
      <c r="H72" s="11"/>
      <c r="I72" s="11"/>
      <c r="J72" s="11"/>
      <c r="K72" s="12" t="str">
        <f aca="false">IF(AG72=0,"",DATE(YEAR(AsOfDate)+IF(DATE(YEAR(AsOfDate),MONTH(AH72),DAY(AH72))&lt;=AsOfDate,1,0),MONTH(AH72),DAY(AH72)))</f>
        <v/>
      </c>
      <c r="L72" s="13" t="str">
        <f aca="false">IF(AG72=0,"",ROUND((AsOfDate-AH72)/365.25,1))</f>
        <v/>
      </c>
      <c r="M72" s="14" t="str">
        <f aca="false">IF(AG72=0,"",IF(AsOfDate&lt;AH72,"-",DATEDIF(AH72,AsOfDate,"y")&amp;"y "&amp;DATEDIF(AH72,AsOfDate,"ym")&amp;"m "&amp;DATEDIF(AH72,AsOfDate,"md")&amp;"d"))</f>
        <v/>
      </c>
      <c r="N72" s="15" t="str">
        <f aca="false">IF(AG72=0,"",O72*HoursPerDay)</f>
        <v/>
      </c>
      <c r="O72" s="15" t="str">
        <f aca="false">IF(AG72=0,"",AZ72)</f>
        <v/>
      </c>
      <c r="P72" s="16"/>
      <c r="Q72" s="14" t="str">
        <f aca="false">IF(AG72=0,"",IF(AI72&lt;2,"",AM72&amp;" to "&amp;AN72&amp;" on "&amp;TEXT(AK72,"dd/mm/yyyy")&amp;IF(AK72&gt;AsOfDate," (future)",IF(AP72=AQ72,"",IF(AQ72="None"," - STOPPED accruing",IF(AP72="None"," - commencement for Bonus Leave"," - pathway changed"))))&amp;IF(AI72&lt;3,"","; "&amp;AN72&amp;" to "&amp;AO72&amp;" on "&amp;TEXT(AL72,"dd/mm/yyyy")&amp;IF(AL72&gt;AsOfDate," (future)",IF(AQ72=AR72,"",IF(AR72="None"," - STOPPED accruing",IF(AQ72="None"," - commencement for Bonus Leave"," - pathway changed")))))))</f>
        <v/>
      </c>
      <c r="R72" s="14" t="str">
        <f aca="false">IF(AG72=0,"",IF(AS72="None",IF(O72&gt;0,"No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2" t="str">
        <f aca="false">IF(AG72=0,"",IF(AS72="None","",EDATE(AH72,BB72)))</f>
        <v/>
      </c>
      <c r="T72" s="15" t="str">
        <f aca="false">IF(AG72=0,"",IF(NOT(LH_Ready),"",IF(AH72&gt;PFYDate,0,IF(LH_ColPeriod=0,W72-U72+V72,SUMIFS(INDEX(LH_Data,0,LH_ColAcc),INDEX(LH_Data,0,LH_ColFirst),$A72,INDEX(LH_Data,0,LH_ColSur),$B72,INDEX(LH_Data,0,LH_ColCat),BonusCat,INDEX(LH_Data,0,LH_ColPeriod),LH_OpenLabel)*UnitFactor))))</f>
        <v/>
      </c>
      <c r="U72" s="15" t="str">
        <f aca="false">IF(AG72=0,"",IF(NOT(LH_Ready),"",SUMIFS(INDEX(LH_Data,0,LH_ColAcc),INDEX(LH_Data,0,LH_ColFirst),$A72,INDEX(LH_Data,0,LH_ColSur),$B72,INDEX(LH_Data,0,LH_ColCat),BonusCat,INDEX(LH_Data,0,LH_ColStart),"&gt;="&amp;AH72)*UnitFactor))</f>
        <v/>
      </c>
      <c r="V72" s="15" t="str">
        <f aca="false">IF(AG72=0,"",IF(NOT(LH_Ready),"",SUMIFS(INDEX(LH_Data,0,LH_ColTaken),INDEX(LH_Data,0,LH_ColFirst),$A72,INDEX(LH_Data,0,LH_ColSur),$B72,INDEX(LH_Data,0,LH_ColCat),BonusCat,INDEX(LH_Data,0,LH_ColStart),"&gt;="&amp;AH72)*UnitFactor))</f>
        <v/>
      </c>
      <c r="W72" s="15" t="str">
        <f aca="false">IF(AG72=0,"",IF(NOT(LH_Ready),"",IF(BD72=0,0,INDEX(INDEX(LH_Data,0,LH_ColClose),BD72-1)*UnitFactor)))</f>
        <v/>
      </c>
      <c r="X72" s="15" t="str">
        <f aca="false">IF(AG72=0,"",(AZ72-BA72)*HoursPerDay)</f>
        <v/>
      </c>
      <c r="Y72" s="15" t="str">
        <f aca="false">IF(AG72=0,"",IF(NOT(LH_Ready),"",IF(BC72=0,N72,IF(PFYDate&lt;$F72,N72-N(T72)-N(U72),X72-N(U72)))))</f>
        <v/>
      </c>
      <c r="Z72" s="14" t="str">
        <f aca="false">IF(OR(AG72=0,Y72=""),"",IF(Y72&gt;0,"Yes","No"))</f>
        <v/>
      </c>
      <c r="AA72" s="14" t="str">
        <f aca="false">IF(AG72=0,IF(LEN($A72&amp;$B72)=0,"","FIX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month")&amp;IF(BC72=0,";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EH)",""),IF(AS72="None",R72,"Not yet - first day on "&amp;TEXT(S72,"dd/mm/yyyy")))))))))</f>
        <v/>
      </c>
      <c r="AB72" s="15" t="str">
        <f aca="false">IF(OR(AG72=0,T72=""),"",BA72*HoursPerDay-T72)</f>
        <v/>
      </c>
      <c r="AC72" s="14" t="str">
        <f aca="false">IF(AG72=0,"",BC72)</f>
        <v/>
      </c>
      <c r="AD72" s="14" t="str">
        <f aca="false">IF(AG72=0,"",TRIM(IF(OR(ISTEXT($F72),ISTEXT($H72),ISTEXT($I72),ISTEXT($G72),ISTEXT($J72),ISTEXT($D72)),"A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I72&gt;=1,IF(AI72&gt;=3,AO72,IF(AI72=2,AN72,AM72))&lt;&gt;IF($C72="","",IF(OR(ISNUMBER(SEARCH("full",$C72)),UPPER(TRIM($C72))="FT",UPPER(TRIM($C72))="FTE"),"Full-Time",IF(OR(ISNUMBER(SEARCH("part",$C72)),UPPER(TRIM($C72))="PT",UPPER(TRIM($C72))="PTE"),"Part-Time",IF(OR(ISNUMBER(SEARCH("cas",$C72)),UPPER(TRIM($C72))="CAS"),"Casual","Unknown"))))),"EmploymentType does not match latest start date ("&amp;IF(AI72&gt;=3,AO72,IF(AI72=2,AN72,AM72))&amp;"). ","")&amp;IF(AND(AI72&gt;=1,AJ72&lt;&gt;$F72),"Earliest type date should equal StartDate. ","")&amp;IF(AND(AI72&gt;=2,AJ72=AK72),"Two types start on the same date. ","")&amp;IF(AND(OR(ISNUMBER(SEARCH("part",$C72)),UPPER(TRIM($C72))="PT",UPPER(TRIM($C72))="PTE"),$P72=""),"Part-time: enter PT Hrs/Week (blank = 24+). ","")))</f>
        <v/>
      </c>
      <c r="AE72" s="15" t="str">
        <f aca="false">IF(AG72=0,"",O72-BH72)</f>
        <v/>
      </c>
      <c r="AF72" s="12" t="str">
        <f aca="false">IF(OR(AG72=0,AE72="",N(AE72)=0,BI72=""),"",EDATE(AH72,BI72))</f>
        <v/>
      </c>
      <c r="AG72" s="14" t="n">
        <f aca="false">IF(OR(LEN($A72&amp;$B72)=0,$F72=""),0,1)</f>
        <v>0</v>
      </c>
      <c r="AH72" s="12" t="str">
        <f aca="false">IF(AG72=0,"",IF($J72&lt;&gt;"",$J72,IF(OR(CasualCounts="Yes",COUNT($G72:$I72)=0,COUNT($H72:$I72)=0),$F72,MIN($H72:$I72))))</f>
        <v/>
      </c>
      <c r="AI72" s="14" t="str">
        <f aca="false">IF(AG72=0,"",COUNT($G72:$I72))</f>
        <v/>
      </c>
      <c r="AJ72" s="12" t="str">
        <f aca="false">IF(AG72=0,"",IFERROR(SMALL($G72:$I72,1),""))</f>
        <v/>
      </c>
      <c r="AK72" s="12" t="str">
        <f aca="false">IF(AG72=0,"",IFERROR(SMALL($G72:$I72,2),""))</f>
        <v/>
      </c>
      <c r="AL72" s="12" t="str">
        <f aca="false">IF(AG72=0,"",IFERROR(SMALL($G72:$I72,3),""))</f>
        <v/>
      </c>
      <c r="AM72" s="14" t="str">
        <f aca="false">IF(AG72=0,"",IF(AJ72="","",IF(AJ72=$H72,"Part-Time",IF(AJ72=$I72,"Full-Time","Casual"))))</f>
        <v/>
      </c>
      <c r="AN72" s="14" t="str">
        <f aca="false">IF(AG72=0,"",IF(AK72="","",IF(AK72=$H72,"Part-Time",IF(AK72=$I72,"Full-Time","Casual"))))</f>
        <v/>
      </c>
      <c r="AO72" s="14" t="str">
        <f aca="false">IF(AG72=0,"",IF(AL72="","",IF(AL72=$H72,"Part-Time",IF(AL72=$I72,"Full-Time","Casual"))))</f>
        <v/>
      </c>
      <c r="AP72" s="14" t="str">
        <f aca="false">IF(AG72=0,"",IF(AI72=0,IF(OR(ISNUMBER(SEARCH("full",$C72)),UPPER(TRIM($C72))="FT",UPPER(TRIM($C72))="FTE"),"FT",IF(AND(OR(ISNUMBER(SEARCH("part",$C72)),UPPER(TRIM($C72))="PT",UPPER(TRIM($C72))="PTE"),OR($P72="",N($P72)&gt;=PT_MinHours)),"PT","None")),IF(OR(ISNUMBER(SEARCH("full",AM72)),UPPER(TRIM(AM72))="FT",UPPER(TRIM(AM72))="FTE"),"FT",IF(AND(OR(ISNUMBER(SEARCH("part",AM72)),UPPER(TRIM(AM72))="PT",UPPER(TRIM(AM72))="PTE"),OR($P72="",N($P72)&gt;=PT_MinHours)),"PT","None"))))</f>
        <v/>
      </c>
      <c r="AQ72" s="14" t="str">
        <f aca="false">IF(AG72=0,"",IF(AI72&lt;2,"",IF(OR(ISNUMBER(SEARCH("full",AN72)),UPPER(TRIM(AN72))="FT",UPPER(TRIM(AN72))="FTE"),"FT",IF(AND(OR(ISNUMBER(SEARCH("part",AN72)),UPPER(TRIM(AN72))="PT",UPPER(TRIM(AN72))="PTE"),OR($P72="",N($P72)&gt;=PT_MinHours)),"PT","None"))))</f>
        <v/>
      </c>
      <c r="AR72" s="14" t="str">
        <f aca="false">IF(AG72=0,"",IF(AI72&lt;3,"",IF(OR(ISNUMBER(SEARCH("full",AO72)),UPPER(TRIM(AO72))="FT",UPPER(TRIM(AO72))="FTE"),"FT",IF(AND(OR(ISNUMBER(SEARCH("part",AO72)),UPPER(TRIM(AO72))="PT",UPPER(TRIM(AO72))="PTE"),OR($P72="",N($P72)&gt;=PT_MinHours)),"PT","None"))))</f>
        <v/>
      </c>
      <c r="AS72" s="14" t="str">
        <f aca="false">IF(AG72=0,"",IF(AND(AI72&gt;=3,AL72&lt;=AsOfDate),AR72,IF(AND(AI72&gt;=2,AK72&lt;=AsOfDate),AQ72,AP72)))</f>
        <v/>
      </c>
      <c r="AT72" s="14" t="str">
        <f aca="false">IF(AG72=0,"",IF(AsOfDate&lt;AH72,-1,12*(YEAR(AsOfDate)-YEAR(AH72))+MONTH(AsOfDate)-MONTH(AH72)-IF(DAY(AsOfDate)&lt;MIN(DAY(AH72),DAY(EOMONTH(AsOfDate,0))),1,0)))</f>
        <v/>
      </c>
      <c r="AU72" s="14" t="str">
        <f aca="false">IF(AG72=0,"",IF(OR(AI72&lt;2,AK72&gt;AsOfDate),AT72,IF((AK72-1)&lt;AH72,-1,12*(YEAR((AK72-1))-YEAR(AH72))+MONTH((AK72-1))-MONTH(AH72)-IF(DAY((AK72-1))&lt;MIN(DAY(AH72),DAY(EOMONTH((AK72-1),0))),1,0))))</f>
        <v/>
      </c>
      <c r="AV72" s="14" t="str">
        <f aca="false">IF(AG72=0,"",IF(OR(AI72&lt;3,AL72&gt;AsOfDate),AT72,IF((AL72-1)&lt;AH72,-1,12*(YEAR((AL72-1))-YEAR(AH72))+MONTH((AL72-1))-MONTH(AH72)-IF(DAY((AL72-1))&lt;MIN(DAY(AH72),DAY(EOMONTH((AL72-1),0))),1,0))))</f>
        <v/>
      </c>
      <c r="AW72" s="14" t="str">
        <f aca="false">IF(AG72=0,"",IF(PFYDate&lt;AH72,-1,12*(YEAR(PFYDate)-YEAR(AH72))+MONTH(PFYDate)-MONTH(AH72)-IF(DAY(PFYDate)&lt;MIN(DAY(AH72),DAY(EOMONTH(PFYDate,0))),1,0)))</f>
        <v/>
      </c>
      <c r="AX72" s="14" t="str">
        <f aca="false">IF(AG72=0,"",IF(OR(AI72&lt;2,AK72&gt;PFYDate),AW72,IF((AK72-1)&lt;AH72,-1,12*(YEAR((AK72-1))-YEAR(AH72))+MONTH((AK72-1))-MONTH(AH72)-IF(DAY((AK72-1))&lt;MIN(DAY(AH72),DAY(EOMONTH((AK72-1),0))),1,0))))</f>
        <v/>
      </c>
      <c r="AY72" s="14" t="str">
        <f aca="false">IF(AG72=0,"",IF(OR(AI72&lt;3,AL72&gt;PFYDate),AW72,IF((AL72-1)&lt;AH72,-1,12*(YEAR((AL72-1))-YEAR(AH72))+MONTH((AL72-1))-MONTH(AH72)-IF(DAY((AL72-1))&lt;MIN(DAY(AH72),DAY(EOMONTH((AL72-1),0))),1,0))))</f>
        <v/>
      </c>
      <c r="AZ72" s="14" t="str">
        <f aca="false">IF(AG72=0,"",IF(AP72="FT",IF(AU72&lt;FT_First,0,IF(AU72&lt;FT_Y5,1+INT((AU72-FT_First)/FT_Int1),FT_PreY5+FT_PerYear*INT((AU72-FT_Y5)/12)+FT_AnnivDays+INT(MOD(AU72-FT_Y5,12)/FT_Int2))),IF(AP72="PT",IF(AU72&lt;PT_First,0,1+INT((AU72-PT_First)/PT_Int)),0))+IF(AND(AI72&gt;=2,AK72&lt;=AsOfDate),IF(AQ72="FT",IF(AV72&lt;FT_First,0,IF(AV72&lt;FT_Y5,1+INT((AV72-FT_First)/FT_Int1),FT_PreY5+FT_PerYear*INT((AV72-FT_Y5)/12)+FT_AnnivDays+INT(MOD(AV72-FT_Y5,12)/FT_Int2))),IF(AQ72="PT",IF(AV72&lt;PT_First,0,1+INT((AV72-PT_First)/PT_Int)),0))-IF(AQ72="FT",IF(AU72&lt;FT_First,0,IF(AU72&lt;FT_Y5,1+INT((AU72-FT_First)/FT_Int1),FT_PreY5+FT_PerYear*INT((AU72-FT_Y5)/12)+FT_AnnivDays+INT(MOD(AU72-FT_Y5,12)/FT_Int2))),IF(AQ72="PT",IF(AU72&lt;PT_First,0,1+INT((AU72-PT_First)/PT_Int)),0)),0)+IF(AND(AI72&gt;=3,AL72&lt;=AsOfDate),IF(AR72="FT",IF(AT72&lt;FT_First,0,IF(AT72&lt;FT_Y5,1+INT((AT72-FT_First)/FT_Int1),FT_PreY5+FT_PerYear*INT((AT72-FT_Y5)/12)+FT_AnnivDays+INT(MOD(AT72-FT_Y5,12)/FT_Int2))),IF(AR72="PT",IF(AT72&lt;PT_First,0,1+INT((AT72-PT_First)/PT_Int)),0))-IF(AR72="FT",IF(AV72&lt;FT_First,0,IF(AV72&lt;FT_Y5,1+INT((AV72-FT_First)/FT_Int1),FT_PreY5+FT_PerYear*INT((AV72-FT_Y5)/12)+FT_AnnivDays+INT(MOD(AV72-FT_Y5,12)/FT_Int2))),IF(AR72="PT",IF(AV72&lt;PT_First,0,1+INT((AV72-PT_First)/PT_Int)),0)),0))</f>
        <v/>
      </c>
      <c r="BA72" s="14" t="str">
        <f aca="false">IF(AG72=0,"",IF(AP72="FT",IF(AX72&lt;FT_First,0,IF(AX72&lt;FT_Y5,1+INT((AX72-FT_First)/FT_Int1),FT_PreY5+FT_PerYear*INT((AX72-FT_Y5)/12)+FT_AnnivDays+INT(MOD(AX72-FT_Y5,12)/FT_Int2))),IF(AP72="PT",IF(AX72&lt;PT_First,0,1+INT((AX72-PT_First)/PT_Int)),0))+IF(AND(AI72&gt;=2,AK72&lt;=PFYDate),IF(AQ72="FT",IF(AY72&lt;FT_First,0,IF(AY72&lt;FT_Y5,1+INT((AY72-FT_First)/FT_Int1),FT_PreY5+FT_PerYear*INT((AY72-FT_Y5)/12)+FT_AnnivDays+INT(MOD(AY72-FT_Y5,12)/FT_Int2))),IF(AQ72="PT",IF(AY72&lt;PT_First,0,1+INT((AY72-PT_First)/PT_Int)),0))-IF(AQ72="FT",IF(AX72&lt;FT_First,0,IF(AX72&lt;FT_Y5,1+INT((AX72-FT_First)/FT_Int1),FT_PreY5+FT_PerYear*INT((AX72-FT_Y5)/12)+FT_AnnivDays+INT(MOD(AX72-FT_Y5,12)/FT_Int2))),IF(AQ72="PT",IF(AX72&lt;PT_First,0,1+INT((AX72-PT_First)/PT_Int)),0)),0)+IF(AND(AI72&gt;=3,AL72&lt;=PFYDate),IF(AR72="FT",IF(AW72&lt;FT_First,0,IF(AW72&lt;FT_Y5,1+INT((AW72-FT_First)/FT_Int1),FT_PreY5+FT_PerYear*INT((AW72-FT_Y5)/12)+FT_AnnivDays+INT(MOD(AW72-FT_Y5,12)/FT_Int2))),IF(AR72="PT",IF(AW72&lt;PT_First,0,1+INT((AW72-PT_First)/PT_Int)),0))-IF(AR72="FT",IF(AY72&lt;FT_First,0,IF(AY72&lt;FT_Y5,1+INT((AY72-FT_First)/FT_Int1),FT_PreY5+FT_PerYear*INT((AY72-FT_Y5)/12)+FT_AnnivDays+INT(MOD(AY72-FT_Y5,12)/FT_Int2))),IF(AR72="PT",IF(AY72&lt;PT_First,0,1+INT((AY72-PT_First)/PT_Int)),0)),0))</f>
        <v/>
      </c>
      <c r="BB72" s="14" t="str">
        <f aca="false">IF(AG72=0,"",IF(AS72="FT",IF(AT72&lt;FT_First,FT_First,IF(AT72&lt;FT_Y5,MIN(FT_Y5,FT_First+FT_Int1*(INT((AT72-FT_First)/FT_Int1)+1)),FT_Y5+12*INT((AT72-FT_Y5)/12)+FT_Int2*(INT(MOD(AT72-FT_Y5,12)/FT_Int2)+1))),IF(AS72="PT",IF(AT72&lt;PT_First,PT_First,PT_First+PT_Int*(INT((AT72-PT_First)/PT_Int)+1)),"")))</f>
        <v/>
      </c>
      <c r="BC72" s="14" t="str">
        <f aca="false">IF(AG72=0,"",IF(NOT(LH_Ready),0,COUNTIFS(INDEX(LH_Data,0,LH_ColFirst),$A72,INDEX(LH_Data,0,LH_ColSur),$B72,INDEX(LH_Data,0,LH_ColCat),BonusCat)))</f>
        <v/>
      </c>
      <c r="BD72" s="14" t="str">
        <f aca="false">IF(AG72=0,"",IF(OR(NOT(LH_Ready),BC72=0),0,SUMPRODUCT(MAX((INDEX(LH_Data,0,LH_ColFirst)=$A72)*(INDEX(LH_Data,0,LH_ColSur)=$B72)*(INDEX(LH_Data,0,LH_ColCat)=BonusCat)*ROW(LH_Data)))))</f>
        <v/>
      </c>
      <c r="BE72" s="14" t="str">
        <f aca="false">IF(AG72=0,"",IF(EOMONTH(AsOfDate,-1)&lt;AH72,-1,12*(YEAR(EOMONTH(AsOfDate,-1))-YEAR(AH72))+MONTH(EOMONTH(AsOfDate,-1))-MONTH(AH72)-IF(DAY(EOMONTH(AsOfDate,-1))&lt;MIN(DAY(AH72),DAY(EOMONTH(EOMONTH(AsOfDate,-1),0))),1,0)))</f>
        <v/>
      </c>
      <c r="BF72" s="14" t="str">
        <f aca="false">IF(AG72=0,"",IF(OR(AI72&lt;2,AK72&gt;EOMONTH(AsOfDate,-1)),BE72,IF((AK72-1)&lt;AH72,-1,12*(YEAR((AK72-1))-YEAR(AH72))+MONTH((AK72-1))-MONTH(AH72)-IF(DAY((AK72-1))&lt;MIN(DAY(AH72),DAY(EOMONTH((AK72-1),0))),1,0))))</f>
        <v/>
      </c>
      <c r="BG72" s="14" t="str">
        <f aca="false">IF(AG72=0,"",IF(OR(AI72&lt;3,AL72&gt;EOMONTH(AsOfDate,-1)),BE72,IF((AL72-1)&lt;AH72,-1,12*(YEAR((AL72-1))-YEAR(AH72))+MONTH((AL72-1))-MONTH(AH72)-IF(DAY((AL72-1))&lt;MIN(DAY(AH72),DAY(EOMONTH((AL72-1),0))),1,0))))</f>
        <v/>
      </c>
      <c r="BH72" s="14" t="str">
        <f aca="false">IF(AG72=0,"",IF(AP72="FT",IF(BF72&lt;FT_First,0,IF(BF72&lt;FT_Y5,1+INT((BF72-FT_First)/FT_Int1),FT_PreY5+FT_PerYear*INT((BF72-FT_Y5)/12)+FT_AnnivDays+INT(MOD(BF72-FT_Y5,12)/FT_Int2))),IF(AP72="PT",IF(BF72&lt;PT_First,0,1+INT((BF72-PT_First)/PT_Int)),0))+IF(AND(AI72&gt;=2,AK72&lt;=EOMONTH(AsOfDate,-1)),IF(AQ72="FT",IF(BG72&lt;FT_First,0,IF(BG72&lt;FT_Y5,1+INT((BG72-FT_First)/FT_Int1),FT_PreY5+FT_PerYear*INT((BG72-FT_Y5)/12)+FT_AnnivDays+INT(MOD(BG72-FT_Y5,12)/FT_Int2))),IF(AQ72="PT",IF(BG72&lt;PT_First,0,1+INT((BG72-PT_First)/PT_Int)),0))-IF(AQ72="FT",IF(BF72&lt;FT_First,0,IF(BF72&lt;FT_Y5,1+INT((BF72-FT_First)/FT_Int1),FT_PreY5+FT_PerYear*INT((BF72-FT_Y5)/12)+FT_AnnivDays+INT(MOD(BF72-FT_Y5,12)/FT_Int2))),IF(AQ72="PT",IF(BF72&lt;PT_First,0,1+INT((BF72-PT_First)/PT_Int)),0)),0)+IF(AND(AI72&gt;=3,AL72&lt;=EOMONTH(AsOfDate,-1)),IF(AR72="FT",IF(BE72&lt;FT_First,0,IF(BE72&lt;FT_Y5,1+INT((BE72-FT_First)/FT_Int1),FT_PreY5+FT_PerYear*INT((BE72-FT_Y5)/12)+FT_AnnivDays+INT(MOD(BE72-FT_Y5,12)/FT_Int2))),IF(AR72="PT",IF(BE72&lt;PT_First,0,1+INT((BE72-PT_First)/PT_Int)),0))-IF(AR72="FT",IF(BG72&lt;FT_First,0,IF(BG72&lt;FT_Y5,1+INT((BG72-FT_First)/FT_Int1),FT_PreY5+FT_PerYear*INT((BG72-FT_Y5)/12)+FT_AnnivDays+INT(MOD(BG72-FT_Y5,12)/FT_Int2))),IF(AR72="PT",IF(BG72&lt;PT_First,0,1+INT((BG72-PT_First)/PT_Int)),0)),0))</f>
        <v/>
      </c>
      <c r="BI72" s="14" t="str">
        <f aca="false">IF(AG72=0,"",IF(AS72="FT",IF(AT72&lt;FT_First,"",IF(AT72&lt;FT_Y5,FT_First+FT_Int1*INT((AT72-FT_First)/FT_Int1),FT_Y5+FT_Int2*INT((AT72-FT_Y5)/FT_Int2))),IF(AS72="PT",IF(AT72&lt;PT_First,"",PT_First+PT_Int*INT((AT72-PT_First)/PT_Int)),"")))</f>
        <v/>
      </c>
      <c r="BJ72" s="0" t="str">
        <f aca="false">IF(LEN($A72&amp;$B72)=0,"",$A72&amp;" "&amp;$B72)</f>
        <v/>
      </c>
    </row>
    <row r="73" customFormat="false" ht="15" hidden="false" customHeight="false" outlineLevel="0" collapsed="false">
      <c r="A73" s="10"/>
      <c r="B73" s="10"/>
      <c r="C73" s="10"/>
      <c r="D73" s="11"/>
      <c r="E73" s="12" t="str">
        <f aca="false">IF(OR(AG73=0,$D73=""),"",DATE(YEAR(AsOfDate)+IF(DATE(YEAR(AsOfDate),MONTH($D73),DAY($D73))&lt;=AsOfDate,1,0),MONTH($D73),DAY($D73)))</f>
        <v/>
      </c>
      <c r="F73" s="11"/>
      <c r="G73" s="11"/>
      <c r="H73" s="11"/>
      <c r="I73" s="11"/>
      <c r="J73" s="11"/>
      <c r="K73" s="12" t="str">
        <f aca="false">IF(AG73=0,"",DATE(YEAR(AsOfDate)+IF(DATE(YEAR(AsOfDate),MONTH(AH73),DAY(AH73))&lt;=AsOfDate,1,0),MONTH(AH73),DAY(AH73)))</f>
        <v/>
      </c>
      <c r="L73" s="13" t="str">
        <f aca="false">IF(AG73=0,"",ROUND((AsOfDate-AH73)/365.25,1))</f>
        <v/>
      </c>
      <c r="M73" s="14" t="str">
        <f aca="false">IF(AG73=0,"",IF(AsOfDate&lt;AH73,"-",DATEDIF(AH73,AsOfDate,"y")&amp;"y "&amp;DATEDIF(AH73,AsOfDate,"ym")&amp;"m "&amp;DATEDIF(AH73,AsOfDate,"md")&amp;"d"))</f>
        <v/>
      </c>
      <c r="N73" s="15" t="str">
        <f aca="false">IF(AG73=0,"",O73*HoursPerDay)</f>
        <v/>
      </c>
      <c r="O73" s="15" t="str">
        <f aca="false">IF(AG73=0,"",AZ73)</f>
        <v/>
      </c>
      <c r="P73" s="16"/>
      <c r="Q73" s="14" t="str">
        <f aca="false">IF(AG73=0,"",IF(AI73&lt;2,"",AM73&amp;" to "&amp;AN73&amp;" on "&amp;TEXT(AK73,"dd/mm/yyyy")&amp;IF(AK73&gt;AsOfDate," (future)",IF(AP73=AQ73,"",IF(AQ73="None"," - STOPPED accruing",IF(AP73="None"," - commencement for Bonus Leave"," - pathway changed"))))&amp;IF(AI73&lt;3,"","; "&amp;AN73&amp;" to "&amp;AO73&amp;" on "&amp;TEXT(AL73,"dd/mm/yyyy")&amp;IF(AL73&gt;AsOfDate," (future)",IF(AQ73=AR73,"",IF(AR73="None"," - STOPPED accruing",IF(AQ73="None"," - commencement for Bonus Leave"," - pathway changed")))))))</f>
        <v/>
      </c>
      <c r="R73" s="14" t="str">
        <f aca="false">IF(AG73=0,"",IF(AS73="None",IF(O73&gt;0,"No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2" t="str">
        <f aca="false">IF(AG73=0,"",IF(AS73="None","",EDATE(AH73,BB73)))</f>
        <v/>
      </c>
      <c r="T73" s="15" t="str">
        <f aca="false">IF(AG73=0,"",IF(NOT(LH_Ready),"",IF(AH73&gt;PFYDate,0,IF(LH_ColPeriod=0,W73-U73+V73,SUMIFS(INDEX(LH_Data,0,LH_ColAcc),INDEX(LH_Data,0,LH_ColFirst),$A73,INDEX(LH_Data,0,LH_ColSur),$B73,INDEX(LH_Data,0,LH_ColCat),BonusCat,INDEX(LH_Data,0,LH_ColPeriod),LH_OpenLabel)*UnitFactor))))</f>
        <v/>
      </c>
      <c r="U73" s="15" t="str">
        <f aca="false">IF(AG73=0,"",IF(NOT(LH_Ready),"",SUMIFS(INDEX(LH_Data,0,LH_ColAcc),INDEX(LH_Data,0,LH_ColFirst),$A73,INDEX(LH_Data,0,LH_ColSur),$B73,INDEX(LH_Data,0,LH_ColCat),BonusCat,INDEX(LH_Data,0,LH_ColStart),"&gt;="&amp;AH73)*UnitFactor))</f>
        <v/>
      </c>
      <c r="V73" s="15" t="str">
        <f aca="false">IF(AG73=0,"",IF(NOT(LH_Ready),"",SUMIFS(INDEX(LH_Data,0,LH_ColTaken),INDEX(LH_Data,0,LH_ColFirst),$A73,INDEX(LH_Data,0,LH_ColSur),$B73,INDEX(LH_Data,0,LH_ColCat),BonusCat,INDEX(LH_Data,0,LH_ColStart),"&gt;="&amp;AH73)*UnitFactor))</f>
        <v/>
      </c>
      <c r="W73" s="15" t="str">
        <f aca="false">IF(AG73=0,"",IF(NOT(LH_Ready),"",IF(BD73=0,0,INDEX(INDEX(LH_Data,0,LH_ColClose),BD73-1)*UnitFactor)))</f>
        <v/>
      </c>
      <c r="X73" s="15" t="str">
        <f aca="false">IF(AG73=0,"",(AZ73-BA73)*HoursPerDay)</f>
        <v/>
      </c>
      <c r="Y73" s="15" t="str">
        <f aca="false">IF(AG73=0,"",IF(NOT(LH_Ready),"",IF(BC73=0,N73,IF(PFYDate&lt;$F73,N73-N(T73)-N(U73),X73-N(U73)))))</f>
        <v/>
      </c>
      <c r="Z73" s="14" t="str">
        <f aca="false">IF(OR(AG73=0,Y73=""),"",IF(Y73&gt;0,"Yes","No"))</f>
        <v/>
      </c>
      <c r="AA73" s="14" t="str">
        <f aca="false">IF(AG73=0,IF(LEN($A73&amp;$B73)=0,"","FIX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month")&amp;IF(BC73=0,";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EH)",""),IF(AS73="None",R73,"Not yet - first day on "&amp;TEXT(S73,"dd/mm/yyyy")))))))))</f>
        <v/>
      </c>
      <c r="AB73" s="15" t="str">
        <f aca="false">IF(OR(AG73=0,T73=""),"",BA73*HoursPerDay-T73)</f>
        <v/>
      </c>
      <c r="AC73" s="14" t="str">
        <f aca="false">IF(AG73=0,"",BC73)</f>
        <v/>
      </c>
      <c r="AD73" s="14" t="str">
        <f aca="false">IF(AG73=0,"",TRIM(IF(OR(ISTEXT($F73),ISTEXT($H73),ISTEXT($I73),ISTEXT($G73),ISTEXT($J73),ISTEXT($D73)),"A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I73&gt;=1,IF(AI73&gt;=3,AO73,IF(AI73=2,AN73,AM73))&lt;&gt;IF($C73="","",IF(OR(ISNUMBER(SEARCH("full",$C73)),UPPER(TRIM($C73))="FT",UPPER(TRIM($C73))="FTE"),"Full-Time",IF(OR(ISNUMBER(SEARCH("part",$C73)),UPPER(TRIM($C73))="PT",UPPER(TRIM($C73))="PTE"),"Part-Time",IF(OR(ISNUMBER(SEARCH("cas",$C73)),UPPER(TRIM($C73))="CAS"),"Casual","Unknown"))))),"EmploymentType does not match latest start date ("&amp;IF(AI73&gt;=3,AO73,IF(AI73=2,AN73,AM73))&amp;"). ","")&amp;IF(AND(AI73&gt;=1,AJ73&lt;&gt;$F73),"Earliest type date should equal StartDate. ","")&amp;IF(AND(AI73&gt;=2,AJ73=AK73),"Two types start on the same date. ","")&amp;IF(AND(OR(ISNUMBER(SEARCH("part",$C73)),UPPER(TRIM($C73))="PT",UPPER(TRIM($C73))="PTE"),$P73=""),"Part-time: enter PT Hrs/Week (blank = 24+). ","")))</f>
        <v/>
      </c>
      <c r="AE73" s="15" t="str">
        <f aca="false">IF(AG73=0,"",O73-BH73)</f>
        <v/>
      </c>
      <c r="AF73" s="12" t="str">
        <f aca="false">IF(OR(AG73=0,AE73="",N(AE73)=0,BI73=""),"",EDATE(AH73,BI73))</f>
        <v/>
      </c>
      <c r="AG73" s="14" t="n">
        <f aca="false">IF(OR(LEN($A73&amp;$B73)=0,$F73=""),0,1)</f>
        <v>0</v>
      </c>
      <c r="AH73" s="12" t="str">
        <f aca="false">IF(AG73=0,"",IF($J73&lt;&gt;"",$J73,IF(OR(CasualCounts="Yes",COUNT($G73:$I73)=0,COUNT($H73:$I73)=0),$F73,MIN($H73:$I73))))</f>
        <v/>
      </c>
      <c r="AI73" s="14" t="str">
        <f aca="false">IF(AG73=0,"",COUNT($G73:$I73))</f>
        <v/>
      </c>
      <c r="AJ73" s="12" t="str">
        <f aca="false">IF(AG73=0,"",IFERROR(SMALL($G73:$I73,1),""))</f>
        <v/>
      </c>
      <c r="AK73" s="12" t="str">
        <f aca="false">IF(AG73=0,"",IFERROR(SMALL($G73:$I73,2),""))</f>
        <v/>
      </c>
      <c r="AL73" s="12" t="str">
        <f aca="false">IF(AG73=0,"",IFERROR(SMALL($G73:$I73,3),""))</f>
        <v/>
      </c>
      <c r="AM73" s="14" t="str">
        <f aca="false">IF(AG73=0,"",IF(AJ73="","",IF(AJ73=$H73,"Part-Time",IF(AJ73=$I73,"Full-Time","Casual"))))</f>
        <v/>
      </c>
      <c r="AN73" s="14" t="str">
        <f aca="false">IF(AG73=0,"",IF(AK73="","",IF(AK73=$H73,"Part-Time",IF(AK73=$I73,"Full-Time","Casual"))))</f>
        <v/>
      </c>
      <c r="AO73" s="14" t="str">
        <f aca="false">IF(AG73=0,"",IF(AL73="","",IF(AL73=$H73,"Part-Time",IF(AL73=$I73,"Full-Time","Casual"))))</f>
        <v/>
      </c>
      <c r="AP73" s="14" t="str">
        <f aca="false">IF(AG73=0,"",IF(AI73=0,IF(OR(ISNUMBER(SEARCH("full",$C73)),UPPER(TRIM($C73))="FT",UPPER(TRIM($C73))="FTE"),"FT",IF(AND(OR(ISNUMBER(SEARCH("part",$C73)),UPPER(TRIM($C73))="PT",UPPER(TRIM($C73))="PTE"),OR($P73="",N($P73)&gt;=PT_MinHours)),"PT","None")),IF(OR(ISNUMBER(SEARCH("full",AM73)),UPPER(TRIM(AM73))="FT",UPPER(TRIM(AM73))="FTE"),"FT",IF(AND(OR(ISNUMBER(SEARCH("part",AM73)),UPPER(TRIM(AM73))="PT",UPPER(TRIM(AM73))="PTE"),OR($P73="",N($P73)&gt;=PT_MinHours)),"PT","None"))))</f>
        <v/>
      </c>
      <c r="AQ73" s="14" t="str">
        <f aca="false">IF(AG73=0,"",IF(AI73&lt;2,"",IF(OR(ISNUMBER(SEARCH("full",AN73)),UPPER(TRIM(AN73))="FT",UPPER(TRIM(AN73))="FTE"),"FT",IF(AND(OR(ISNUMBER(SEARCH("part",AN73)),UPPER(TRIM(AN73))="PT",UPPER(TRIM(AN73))="PTE"),OR($P73="",N($P73)&gt;=PT_MinHours)),"PT","None"))))</f>
        <v/>
      </c>
      <c r="AR73" s="14" t="str">
        <f aca="false">IF(AG73=0,"",IF(AI73&lt;3,"",IF(OR(ISNUMBER(SEARCH("full",AO73)),UPPER(TRIM(AO73))="FT",UPPER(TRIM(AO73))="FTE"),"FT",IF(AND(OR(ISNUMBER(SEARCH("part",AO73)),UPPER(TRIM(AO73))="PT",UPPER(TRIM(AO73))="PTE"),OR($P73="",N($P73)&gt;=PT_MinHours)),"PT","None"))))</f>
        <v/>
      </c>
      <c r="AS73" s="14" t="str">
        <f aca="false">IF(AG73=0,"",IF(AND(AI73&gt;=3,AL73&lt;=AsOfDate),AR73,IF(AND(AI73&gt;=2,AK73&lt;=AsOfDate),AQ73,AP73)))</f>
        <v/>
      </c>
      <c r="AT73" s="14" t="str">
        <f aca="false">IF(AG73=0,"",IF(AsOfDate&lt;AH73,-1,12*(YEAR(AsOfDate)-YEAR(AH73))+MONTH(AsOfDate)-MONTH(AH73)-IF(DAY(AsOfDate)&lt;MIN(DAY(AH73),DAY(EOMONTH(AsOfDate,0))),1,0)))</f>
        <v/>
      </c>
      <c r="AU73" s="14" t="str">
        <f aca="false">IF(AG73=0,"",IF(OR(AI73&lt;2,AK73&gt;AsOfDate),AT73,IF((AK73-1)&lt;AH73,-1,12*(YEAR((AK73-1))-YEAR(AH73))+MONTH((AK73-1))-MONTH(AH73)-IF(DAY((AK73-1))&lt;MIN(DAY(AH73),DAY(EOMONTH((AK73-1),0))),1,0))))</f>
        <v/>
      </c>
      <c r="AV73" s="14" t="str">
        <f aca="false">IF(AG73=0,"",IF(OR(AI73&lt;3,AL73&gt;AsOfDate),AT73,IF((AL73-1)&lt;AH73,-1,12*(YEAR((AL73-1))-YEAR(AH73))+MONTH((AL73-1))-MONTH(AH73)-IF(DAY((AL73-1))&lt;MIN(DAY(AH73),DAY(EOMONTH((AL73-1),0))),1,0))))</f>
        <v/>
      </c>
      <c r="AW73" s="14" t="str">
        <f aca="false">IF(AG73=0,"",IF(PFYDate&lt;AH73,-1,12*(YEAR(PFYDate)-YEAR(AH73))+MONTH(PFYDate)-MONTH(AH73)-IF(DAY(PFYDate)&lt;MIN(DAY(AH73),DAY(EOMONTH(PFYDate,0))),1,0)))</f>
        <v/>
      </c>
      <c r="AX73" s="14" t="str">
        <f aca="false">IF(AG73=0,"",IF(OR(AI73&lt;2,AK73&gt;PFYDate),AW73,IF((AK73-1)&lt;AH73,-1,12*(YEAR((AK73-1))-YEAR(AH73))+MONTH((AK73-1))-MONTH(AH73)-IF(DAY((AK73-1))&lt;MIN(DAY(AH73),DAY(EOMONTH((AK73-1),0))),1,0))))</f>
        <v/>
      </c>
      <c r="AY73" s="14" t="str">
        <f aca="false">IF(AG73=0,"",IF(OR(AI73&lt;3,AL73&gt;PFYDate),AW73,IF((AL73-1)&lt;AH73,-1,12*(YEAR((AL73-1))-YEAR(AH73))+MONTH((AL73-1))-MONTH(AH73)-IF(DAY((AL73-1))&lt;MIN(DAY(AH73),DAY(EOMONTH((AL73-1),0))),1,0))))</f>
        <v/>
      </c>
      <c r="AZ73" s="14" t="str">
        <f aca="false">IF(AG73=0,"",IF(AP73="FT",IF(AU73&lt;FT_First,0,IF(AU73&lt;FT_Y5,1+INT((AU73-FT_First)/FT_Int1),FT_PreY5+FT_PerYear*INT((AU73-FT_Y5)/12)+FT_AnnivDays+INT(MOD(AU73-FT_Y5,12)/FT_Int2))),IF(AP73="PT",IF(AU73&lt;PT_First,0,1+INT((AU73-PT_First)/PT_Int)),0))+IF(AND(AI73&gt;=2,AK73&lt;=AsOfDate),IF(AQ73="FT",IF(AV73&lt;FT_First,0,IF(AV73&lt;FT_Y5,1+INT((AV73-FT_First)/FT_Int1),FT_PreY5+FT_PerYear*INT((AV73-FT_Y5)/12)+FT_AnnivDays+INT(MOD(AV73-FT_Y5,12)/FT_Int2))),IF(AQ73="PT",IF(AV73&lt;PT_First,0,1+INT((AV73-PT_First)/PT_Int)),0))-IF(AQ73="FT",IF(AU73&lt;FT_First,0,IF(AU73&lt;FT_Y5,1+INT((AU73-FT_First)/FT_Int1),FT_PreY5+FT_PerYear*INT((AU73-FT_Y5)/12)+FT_AnnivDays+INT(MOD(AU73-FT_Y5,12)/FT_Int2))),IF(AQ73="PT",IF(AU73&lt;PT_First,0,1+INT((AU73-PT_First)/PT_Int)),0)),0)+IF(AND(AI73&gt;=3,AL73&lt;=AsOfDate),IF(AR73="FT",IF(AT73&lt;FT_First,0,IF(AT73&lt;FT_Y5,1+INT((AT73-FT_First)/FT_Int1),FT_PreY5+FT_PerYear*INT((AT73-FT_Y5)/12)+FT_AnnivDays+INT(MOD(AT73-FT_Y5,12)/FT_Int2))),IF(AR73="PT",IF(AT73&lt;PT_First,0,1+INT((AT73-PT_First)/PT_Int)),0))-IF(AR73="FT",IF(AV73&lt;FT_First,0,IF(AV73&lt;FT_Y5,1+INT((AV73-FT_First)/FT_Int1),FT_PreY5+FT_PerYear*INT((AV73-FT_Y5)/12)+FT_AnnivDays+INT(MOD(AV73-FT_Y5,12)/FT_Int2))),IF(AR73="PT",IF(AV73&lt;PT_First,0,1+INT((AV73-PT_First)/PT_Int)),0)),0))</f>
        <v/>
      </c>
      <c r="BA73" s="14" t="str">
        <f aca="false">IF(AG73=0,"",IF(AP73="FT",IF(AX73&lt;FT_First,0,IF(AX73&lt;FT_Y5,1+INT((AX73-FT_First)/FT_Int1),FT_PreY5+FT_PerYear*INT((AX73-FT_Y5)/12)+FT_AnnivDays+INT(MOD(AX73-FT_Y5,12)/FT_Int2))),IF(AP73="PT",IF(AX73&lt;PT_First,0,1+INT((AX73-PT_First)/PT_Int)),0))+IF(AND(AI73&gt;=2,AK73&lt;=PFYDate),IF(AQ73="FT",IF(AY73&lt;FT_First,0,IF(AY73&lt;FT_Y5,1+INT((AY73-FT_First)/FT_Int1),FT_PreY5+FT_PerYear*INT((AY73-FT_Y5)/12)+FT_AnnivDays+INT(MOD(AY73-FT_Y5,12)/FT_Int2))),IF(AQ73="PT",IF(AY73&lt;PT_First,0,1+INT((AY73-PT_First)/PT_Int)),0))-IF(AQ73="FT",IF(AX73&lt;FT_First,0,IF(AX73&lt;FT_Y5,1+INT((AX73-FT_First)/FT_Int1),FT_PreY5+FT_PerYear*INT((AX73-FT_Y5)/12)+FT_AnnivDays+INT(MOD(AX73-FT_Y5,12)/FT_Int2))),IF(AQ73="PT",IF(AX73&lt;PT_First,0,1+INT((AX73-PT_First)/PT_Int)),0)),0)+IF(AND(AI73&gt;=3,AL73&lt;=PFYDate),IF(AR73="FT",IF(AW73&lt;FT_First,0,IF(AW73&lt;FT_Y5,1+INT((AW73-FT_First)/FT_Int1),FT_PreY5+FT_PerYear*INT((AW73-FT_Y5)/12)+FT_AnnivDays+INT(MOD(AW73-FT_Y5,12)/FT_Int2))),IF(AR73="PT",IF(AW73&lt;PT_First,0,1+INT((AW73-PT_First)/PT_Int)),0))-IF(AR73="FT",IF(AY73&lt;FT_First,0,IF(AY73&lt;FT_Y5,1+INT((AY73-FT_First)/FT_Int1),FT_PreY5+FT_PerYear*INT((AY73-FT_Y5)/12)+FT_AnnivDays+INT(MOD(AY73-FT_Y5,12)/FT_Int2))),IF(AR73="PT",IF(AY73&lt;PT_First,0,1+INT((AY73-PT_First)/PT_Int)),0)),0))</f>
        <v/>
      </c>
      <c r="BB73" s="14" t="str">
        <f aca="false">IF(AG73=0,"",IF(AS73="FT",IF(AT73&lt;FT_First,FT_First,IF(AT73&lt;FT_Y5,MIN(FT_Y5,FT_First+FT_Int1*(INT((AT73-FT_First)/FT_Int1)+1)),FT_Y5+12*INT((AT73-FT_Y5)/12)+FT_Int2*(INT(MOD(AT73-FT_Y5,12)/FT_Int2)+1))),IF(AS73="PT",IF(AT73&lt;PT_First,PT_First,PT_First+PT_Int*(INT((AT73-PT_First)/PT_Int)+1)),"")))</f>
        <v/>
      </c>
      <c r="BC73" s="14" t="str">
        <f aca="false">IF(AG73=0,"",IF(NOT(LH_Ready),0,COUNTIFS(INDEX(LH_Data,0,LH_ColFirst),$A73,INDEX(LH_Data,0,LH_ColSur),$B73,INDEX(LH_Data,0,LH_ColCat),BonusCat)))</f>
        <v/>
      </c>
      <c r="BD73" s="14" t="str">
        <f aca="false">IF(AG73=0,"",IF(OR(NOT(LH_Ready),BC73=0),0,SUMPRODUCT(MAX((INDEX(LH_Data,0,LH_ColFirst)=$A73)*(INDEX(LH_Data,0,LH_ColSur)=$B73)*(INDEX(LH_Data,0,LH_ColCat)=BonusCat)*ROW(LH_Data)))))</f>
        <v/>
      </c>
      <c r="BE73" s="14" t="str">
        <f aca="false">IF(AG73=0,"",IF(EOMONTH(AsOfDate,-1)&lt;AH73,-1,12*(YEAR(EOMONTH(AsOfDate,-1))-YEAR(AH73))+MONTH(EOMONTH(AsOfDate,-1))-MONTH(AH73)-IF(DAY(EOMONTH(AsOfDate,-1))&lt;MIN(DAY(AH73),DAY(EOMONTH(EOMONTH(AsOfDate,-1),0))),1,0)))</f>
        <v/>
      </c>
      <c r="BF73" s="14" t="str">
        <f aca="false">IF(AG73=0,"",IF(OR(AI73&lt;2,AK73&gt;EOMONTH(AsOfDate,-1)),BE73,IF((AK73-1)&lt;AH73,-1,12*(YEAR((AK73-1))-YEAR(AH73))+MONTH((AK73-1))-MONTH(AH73)-IF(DAY((AK73-1))&lt;MIN(DAY(AH73),DAY(EOMONTH((AK73-1),0))),1,0))))</f>
        <v/>
      </c>
      <c r="BG73" s="14" t="str">
        <f aca="false">IF(AG73=0,"",IF(OR(AI73&lt;3,AL73&gt;EOMONTH(AsOfDate,-1)),BE73,IF((AL73-1)&lt;AH73,-1,12*(YEAR((AL73-1))-YEAR(AH73))+MONTH((AL73-1))-MONTH(AH73)-IF(DAY((AL73-1))&lt;MIN(DAY(AH73),DAY(EOMONTH((AL73-1),0))),1,0))))</f>
        <v/>
      </c>
      <c r="BH73" s="14" t="str">
        <f aca="false">IF(AG73=0,"",IF(AP73="FT",IF(BF73&lt;FT_First,0,IF(BF73&lt;FT_Y5,1+INT((BF73-FT_First)/FT_Int1),FT_PreY5+FT_PerYear*INT((BF73-FT_Y5)/12)+FT_AnnivDays+INT(MOD(BF73-FT_Y5,12)/FT_Int2))),IF(AP73="PT",IF(BF73&lt;PT_First,0,1+INT((BF73-PT_First)/PT_Int)),0))+IF(AND(AI73&gt;=2,AK73&lt;=EOMONTH(AsOfDate,-1)),IF(AQ73="FT",IF(BG73&lt;FT_First,0,IF(BG73&lt;FT_Y5,1+INT((BG73-FT_First)/FT_Int1),FT_PreY5+FT_PerYear*INT((BG73-FT_Y5)/12)+FT_AnnivDays+INT(MOD(BG73-FT_Y5,12)/FT_Int2))),IF(AQ73="PT",IF(BG73&lt;PT_First,0,1+INT((BG73-PT_First)/PT_Int)),0))-IF(AQ73="FT",IF(BF73&lt;FT_First,0,IF(BF73&lt;FT_Y5,1+INT((BF73-FT_First)/FT_Int1),FT_PreY5+FT_PerYear*INT((BF73-FT_Y5)/12)+FT_AnnivDays+INT(MOD(BF73-FT_Y5,12)/FT_Int2))),IF(AQ73="PT",IF(BF73&lt;PT_First,0,1+INT((BF73-PT_First)/PT_Int)),0)),0)+IF(AND(AI73&gt;=3,AL73&lt;=EOMONTH(AsOfDate,-1)),IF(AR73="FT",IF(BE73&lt;FT_First,0,IF(BE73&lt;FT_Y5,1+INT((BE73-FT_First)/FT_Int1),FT_PreY5+FT_PerYear*INT((BE73-FT_Y5)/12)+FT_AnnivDays+INT(MOD(BE73-FT_Y5,12)/FT_Int2))),IF(AR73="PT",IF(BE73&lt;PT_First,0,1+INT((BE73-PT_First)/PT_Int)),0))-IF(AR73="FT",IF(BG73&lt;FT_First,0,IF(BG73&lt;FT_Y5,1+INT((BG73-FT_First)/FT_Int1),FT_PreY5+FT_PerYear*INT((BG73-FT_Y5)/12)+FT_AnnivDays+INT(MOD(BG73-FT_Y5,12)/FT_Int2))),IF(AR73="PT",IF(BG73&lt;PT_First,0,1+INT((BG73-PT_First)/PT_Int)),0)),0))</f>
        <v/>
      </c>
      <c r="BI73" s="14" t="str">
        <f aca="false">IF(AG73=0,"",IF(AS73="FT",IF(AT73&lt;FT_First,"",IF(AT73&lt;FT_Y5,FT_First+FT_Int1*INT((AT73-FT_First)/FT_Int1),FT_Y5+FT_Int2*INT((AT73-FT_Y5)/FT_Int2))),IF(AS73="PT",IF(AT73&lt;PT_First,"",PT_First+PT_Int*INT((AT73-PT_First)/PT_Int)),"")))</f>
        <v/>
      </c>
      <c r="BJ73" s="0" t="str">
        <f aca="false">IF(LEN($A73&amp;$B73)=0,"",$A73&amp;" "&amp;$B73)</f>
        <v/>
      </c>
    </row>
    <row r="74" customFormat="false" ht="15" hidden="false" customHeight="false" outlineLevel="0" collapsed="false">
      <c r="A74" s="10"/>
      <c r="B74" s="10"/>
      <c r="C74" s="10"/>
      <c r="D74" s="11"/>
      <c r="E74" s="12" t="str">
        <f aca="false">IF(OR(AG74=0,$D74=""),"",DATE(YEAR(AsOfDate)+IF(DATE(YEAR(AsOfDate),MONTH($D74),DAY($D74))&lt;=AsOfDate,1,0),MONTH($D74),DAY($D74)))</f>
        <v/>
      </c>
      <c r="F74" s="11"/>
      <c r="G74" s="11"/>
      <c r="H74" s="11"/>
      <c r="I74" s="11"/>
      <c r="J74" s="11"/>
      <c r="K74" s="12" t="str">
        <f aca="false">IF(AG74=0,"",DATE(YEAR(AsOfDate)+IF(DATE(YEAR(AsOfDate),MONTH(AH74),DAY(AH74))&lt;=AsOfDate,1,0),MONTH(AH74),DAY(AH74)))</f>
        <v/>
      </c>
      <c r="L74" s="13" t="str">
        <f aca="false">IF(AG74=0,"",ROUND((AsOfDate-AH74)/365.25,1))</f>
        <v/>
      </c>
      <c r="M74" s="14" t="str">
        <f aca="false">IF(AG74=0,"",IF(AsOfDate&lt;AH74,"-",DATEDIF(AH74,AsOfDate,"y")&amp;"y "&amp;DATEDIF(AH74,AsOfDate,"ym")&amp;"m "&amp;DATEDIF(AH74,AsOfDate,"md")&amp;"d"))</f>
        <v/>
      </c>
      <c r="N74" s="15" t="str">
        <f aca="false">IF(AG74=0,"",O74*HoursPerDay)</f>
        <v/>
      </c>
      <c r="O74" s="15" t="str">
        <f aca="false">IF(AG74=0,"",AZ74)</f>
        <v/>
      </c>
      <c r="P74" s="16"/>
      <c r="Q74" s="14" t="str">
        <f aca="false">IF(AG74=0,"",IF(AI74&lt;2,"",AM74&amp;" to "&amp;AN74&amp;" on "&amp;TEXT(AK74,"dd/mm/yyyy")&amp;IF(AK74&gt;AsOfDate," (future)",IF(AP74=AQ74,"",IF(AQ74="None"," - STOPPED accruing",IF(AP74="None"," - commencement for Bonus Leave"," - pathway changed"))))&amp;IF(AI74&lt;3,"","; "&amp;AN74&amp;" to "&amp;AO74&amp;" on "&amp;TEXT(AL74,"dd/mm/yyyy")&amp;IF(AL74&gt;AsOfDate," (future)",IF(AQ74=AR74,"",IF(AR74="None"," - STOPPED accruing",IF(AQ74="None"," - commencement for Bonus Leave"," - pathway changed")))))))</f>
        <v/>
      </c>
      <c r="R74" s="14" t="str">
        <f aca="false">IF(AG74=0,"",IF(AS74="None",IF(O74&gt;0,"No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2" t="str">
        <f aca="false">IF(AG74=0,"",IF(AS74="None","",EDATE(AH74,BB74)))</f>
        <v/>
      </c>
      <c r="T74" s="15" t="str">
        <f aca="false">IF(AG74=0,"",IF(NOT(LH_Ready),"",IF(AH74&gt;PFYDate,0,IF(LH_ColPeriod=0,W74-U74+V74,SUMIFS(INDEX(LH_Data,0,LH_ColAcc),INDEX(LH_Data,0,LH_ColFirst),$A74,INDEX(LH_Data,0,LH_ColSur),$B74,INDEX(LH_Data,0,LH_ColCat),BonusCat,INDEX(LH_Data,0,LH_ColPeriod),LH_OpenLabel)*UnitFactor))))</f>
        <v/>
      </c>
      <c r="U74" s="15" t="str">
        <f aca="false">IF(AG74=0,"",IF(NOT(LH_Ready),"",SUMIFS(INDEX(LH_Data,0,LH_ColAcc),INDEX(LH_Data,0,LH_ColFirst),$A74,INDEX(LH_Data,0,LH_ColSur),$B74,INDEX(LH_Data,0,LH_ColCat),BonusCat,INDEX(LH_Data,0,LH_ColStart),"&gt;="&amp;AH74)*UnitFactor))</f>
        <v/>
      </c>
      <c r="V74" s="15" t="str">
        <f aca="false">IF(AG74=0,"",IF(NOT(LH_Ready),"",SUMIFS(INDEX(LH_Data,0,LH_ColTaken),INDEX(LH_Data,0,LH_ColFirst),$A74,INDEX(LH_Data,0,LH_ColSur),$B74,INDEX(LH_Data,0,LH_ColCat),BonusCat,INDEX(LH_Data,0,LH_ColStart),"&gt;="&amp;AH74)*UnitFactor))</f>
        <v/>
      </c>
      <c r="W74" s="15" t="str">
        <f aca="false">IF(AG74=0,"",IF(NOT(LH_Ready),"",IF(BD74=0,0,INDEX(INDEX(LH_Data,0,LH_ColClose),BD74-1)*UnitFactor)))</f>
        <v/>
      </c>
      <c r="X74" s="15" t="str">
        <f aca="false">IF(AG74=0,"",(AZ74-BA74)*HoursPerDay)</f>
        <v/>
      </c>
      <c r="Y74" s="15" t="str">
        <f aca="false">IF(AG74=0,"",IF(NOT(LH_Ready),"",IF(BC74=0,N74,IF(PFYDate&lt;$F74,N74-N(T74)-N(U74),X74-N(U74)))))</f>
        <v/>
      </c>
      <c r="Z74" s="14" t="str">
        <f aca="false">IF(OR(AG74=0,Y74=""),"",IF(Y74&gt;0,"Yes","No"))</f>
        <v/>
      </c>
      <c r="AA74" s="14" t="str">
        <f aca="false">IF(AG74=0,IF(LEN($A74&amp;$B74)=0,"","FIX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month")&amp;IF(BC74=0,";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EH)",""),IF(AS74="None",R74,"Not yet - first day on "&amp;TEXT(S74,"dd/mm/yyyy")))))))))</f>
        <v/>
      </c>
      <c r="AB74" s="15" t="str">
        <f aca="false">IF(OR(AG74=0,T74=""),"",BA74*HoursPerDay-T74)</f>
        <v/>
      </c>
      <c r="AC74" s="14" t="str">
        <f aca="false">IF(AG74=0,"",BC74)</f>
        <v/>
      </c>
      <c r="AD74" s="14" t="str">
        <f aca="false">IF(AG74=0,"",TRIM(IF(OR(ISTEXT($F74),ISTEXT($H74),ISTEXT($I74),ISTEXT($G74),ISTEXT($J74),ISTEXT($D74)),"A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I74&gt;=1,IF(AI74&gt;=3,AO74,IF(AI74=2,AN74,AM74))&lt;&gt;IF($C74="","",IF(OR(ISNUMBER(SEARCH("full",$C74)),UPPER(TRIM($C74))="FT",UPPER(TRIM($C74))="FTE"),"Full-Time",IF(OR(ISNUMBER(SEARCH("part",$C74)),UPPER(TRIM($C74))="PT",UPPER(TRIM($C74))="PTE"),"Part-Time",IF(OR(ISNUMBER(SEARCH("cas",$C74)),UPPER(TRIM($C74))="CAS"),"Casual","Unknown"))))),"EmploymentType does not match latest start date ("&amp;IF(AI74&gt;=3,AO74,IF(AI74=2,AN74,AM74))&amp;"). ","")&amp;IF(AND(AI74&gt;=1,AJ74&lt;&gt;$F74),"Earliest type date should equal StartDate. ","")&amp;IF(AND(AI74&gt;=2,AJ74=AK74),"Two types start on the same date. ","")&amp;IF(AND(OR(ISNUMBER(SEARCH("part",$C74)),UPPER(TRIM($C74))="PT",UPPER(TRIM($C74))="PTE"),$P74=""),"Part-time: enter PT Hrs/Week (blank = 24+). ","")))</f>
        <v/>
      </c>
      <c r="AE74" s="15" t="str">
        <f aca="false">IF(AG74=0,"",O74-BH74)</f>
        <v/>
      </c>
      <c r="AF74" s="12" t="str">
        <f aca="false">IF(OR(AG74=0,AE74="",N(AE74)=0,BI74=""),"",EDATE(AH74,BI74))</f>
        <v/>
      </c>
      <c r="AG74" s="14" t="n">
        <f aca="false">IF(OR(LEN($A74&amp;$B74)=0,$F74=""),0,1)</f>
        <v>0</v>
      </c>
      <c r="AH74" s="12" t="str">
        <f aca="false">IF(AG74=0,"",IF($J74&lt;&gt;"",$J74,IF(OR(CasualCounts="Yes",COUNT($G74:$I74)=0,COUNT($H74:$I74)=0),$F74,MIN($H74:$I74))))</f>
        <v/>
      </c>
      <c r="AI74" s="14" t="str">
        <f aca="false">IF(AG74=0,"",COUNT($G74:$I74))</f>
        <v/>
      </c>
      <c r="AJ74" s="12" t="str">
        <f aca="false">IF(AG74=0,"",IFERROR(SMALL($G74:$I74,1),""))</f>
        <v/>
      </c>
      <c r="AK74" s="12" t="str">
        <f aca="false">IF(AG74=0,"",IFERROR(SMALL($G74:$I74,2),""))</f>
        <v/>
      </c>
      <c r="AL74" s="12" t="str">
        <f aca="false">IF(AG74=0,"",IFERROR(SMALL($G74:$I74,3),""))</f>
        <v/>
      </c>
      <c r="AM74" s="14" t="str">
        <f aca="false">IF(AG74=0,"",IF(AJ74="","",IF(AJ74=$H74,"Part-Time",IF(AJ74=$I74,"Full-Time","Casual"))))</f>
        <v/>
      </c>
      <c r="AN74" s="14" t="str">
        <f aca="false">IF(AG74=0,"",IF(AK74="","",IF(AK74=$H74,"Part-Time",IF(AK74=$I74,"Full-Time","Casual"))))</f>
        <v/>
      </c>
      <c r="AO74" s="14" t="str">
        <f aca="false">IF(AG74=0,"",IF(AL74="","",IF(AL74=$H74,"Part-Time",IF(AL74=$I74,"Full-Time","Casual"))))</f>
        <v/>
      </c>
      <c r="AP74" s="14" t="str">
        <f aca="false">IF(AG74=0,"",IF(AI74=0,IF(OR(ISNUMBER(SEARCH("full",$C74)),UPPER(TRIM($C74))="FT",UPPER(TRIM($C74))="FTE"),"FT",IF(AND(OR(ISNUMBER(SEARCH("part",$C74)),UPPER(TRIM($C74))="PT",UPPER(TRIM($C74))="PTE"),OR($P74="",N($P74)&gt;=PT_MinHours)),"PT","None")),IF(OR(ISNUMBER(SEARCH("full",AM74)),UPPER(TRIM(AM74))="FT",UPPER(TRIM(AM74))="FTE"),"FT",IF(AND(OR(ISNUMBER(SEARCH("part",AM74)),UPPER(TRIM(AM74))="PT",UPPER(TRIM(AM74))="PTE"),OR($P74="",N($P74)&gt;=PT_MinHours)),"PT","None"))))</f>
        <v/>
      </c>
      <c r="AQ74" s="14" t="str">
        <f aca="false">IF(AG74=0,"",IF(AI74&lt;2,"",IF(OR(ISNUMBER(SEARCH("full",AN74)),UPPER(TRIM(AN74))="FT",UPPER(TRIM(AN74))="FTE"),"FT",IF(AND(OR(ISNUMBER(SEARCH("part",AN74)),UPPER(TRIM(AN74))="PT",UPPER(TRIM(AN74))="PTE"),OR($P74="",N($P74)&gt;=PT_MinHours)),"PT","None"))))</f>
        <v/>
      </c>
      <c r="AR74" s="14" t="str">
        <f aca="false">IF(AG74=0,"",IF(AI74&lt;3,"",IF(OR(ISNUMBER(SEARCH("full",AO74)),UPPER(TRIM(AO74))="FT",UPPER(TRIM(AO74))="FTE"),"FT",IF(AND(OR(ISNUMBER(SEARCH("part",AO74)),UPPER(TRIM(AO74))="PT",UPPER(TRIM(AO74))="PTE"),OR($P74="",N($P74)&gt;=PT_MinHours)),"PT","None"))))</f>
        <v/>
      </c>
      <c r="AS74" s="14" t="str">
        <f aca="false">IF(AG74=0,"",IF(AND(AI74&gt;=3,AL74&lt;=AsOfDate),AR74,IF(AND(AI74&gt;=2,AK74&lt;=AsOfDate),AQ74,AP74)))</f>
        <v/>
      </c>
      <c r="AT74" s="14" t="str">
        <f aca="false">IF(AG74=0,"",IF(AsOfDate&lt;AH74,-1,12*(YEAR(AsOfDate)-YEAR(AH74))+MONTH(AsOfDate)-MONTH(AH74)-IF(DAY(AsOfDate)&lt;MIN(DAY(AH74),DAY(EOMONTH(AsOfDate,0))),1,0)))</f>
        <v/>
      </c>
      <c r="AU74" s="14" t="str">
        <f aca="false">IF(AG74=0,"",IF(OR(AI74&lt;2,AK74&gt;AsOfDate),AT74,IF((AK74-1)&lt;AH74,-1,12*(YEAR((AK74-1))-YEAR(AH74))+MONTH((AK74-1))-MONTH(AH74)-IF(DAY((AK74-1))&lt;MIN(DAY(AH74),DAY(EOMONTH((AK74-1),0))),1,0))))</f>
        <v/>
      </c>
      <c r="AV74" s="14" t="str">
        <f aca="false">IF(AG74=0,"",IF(OR(AI74&lt;3,AL74&gt;AsOfDate),AT74,IF((AL74-1)&lt;AH74,-1,12*(YEAR((AL74-1))-YEAR(AH74))+MONTH((AL74-1))-MONTH(AH74)-IF(DAY((AL74-1))&lt;MIN(DAY(AH74),DAY(EOMONTH((AL74-1),0))),1,0))))</f>
        <v/>
      </c>
      <c r="AW74" s="14" t="str">
        <f aca="false">IF(AG74=0,"",IF(PFYDate&lt;AH74,-1,12*(YEAR(PFYDate)-YEAR(AH74))+MONTH(PFYDate)-MONTH(AH74)-IF(DAY(PFYDate)&lt;MIN(DAY(AH74),DAY(EOMONTH(PFYDate,0))),1,0)))</f>
        <v/>
      </c>
      <c r="AX74" s="14" t="str">
        <f aca="false">IF(AG74=0,"",IF(OR(AI74&lt;2,AK74&gt;PFYDate),AW74,IF((AK74-1)&lt;AH74,-1,12*(YEAR((AK74-1))-YEAR(AH74))+MONTH((AK74-1))-MONTH(AH74)-IF(DAY((AK74-1))&lt;MIN(DAY(AH74),DAY(EOMONTH((AK74-1),0))),1,0))))</f>
        <v/>
      </c>
      <c r="AY74" s="14" t="str">
        <f aca="false">IF(AG74=0,"",IF(OR(AI74&lt;3,AL74&gt;PFYDate),AW74,IF((AL74-1)&lt;AH74,-1,12*(YEAR((AL74-1))-YEAR(AH74))+MONTH((AL74-1))-MONTH(AH74)-IF(DAY((AL74-1))&lt;MIN(DAY(AH74),DAY(EOMONTH((AL74-1),0))),1,0))))</f>
        <v/>
      </c>
      <c r="AZ74" s="14" t="str">
        <f aca="false">IF(AG74=0,"",IF(AP74="FT",IF(AU74&lt;FT_First,0,IF(AU74&lt;FT_Y5,1+INT((AU74-FT_First)/FT_Int1),FT_PreY5+FT_PerYear*INT((AU74-FT_Y5)/12)+FT_AnnivDays+INT(MOD(AU74-FT_Y5,12)/FT_Int2))),IF(AP74="PT",IF(AU74&lt;PT_First,0,1+INT((AU74-PT_First)/PT_Int)),0))+IF(AND(AI74&gt;=2,AK74&lt;=AsOfDate),IF(AQ74="FT",IF(AV74&lt;FT_First,0,IF(AV74&lt;FT_Y5,1+INT((AV74-FT_First)/FT_Int1),FT_PreY5+FT_PerYear*INT((AV74-FT_Y5)/12)+FT_AnnivDays+INT(MOD(AV74-FT_Y5,12)/FT_Int2))),IF(AQ74="PT",IF(AV74&lt;PT_First,0,1+INT((AV74-PT_First)/PT_Int)),0))-IF(AQ74="FT",IF(AU74&lt;FT_First,0,IF(AU74&lt;FT_Y5,1+INT((AU74-FT_First)/FT_Int1),FT_PreY5+FT_PerYear*INT((AU74-FT_Y5)/12)+FT_AnnivDays+INT(MOD(AU74-FT_Y5,12)/FT_Int2))),IF(AQ74="PT",IF(AU74&lt;PT_First,0,1+INT((AU74-PT_First)/PT_Int)),0)),0)+IF(AND(AI74&gt;=3,AL74&lt;=AsOfDate),IF(AR74="FT",IF(AT74&lt;FT_First,0,IF(AT74&lt;FT_Y5,1+INT((AT74-FT_First)/FT_Int1),FT_PreY5+FT_PerYear*INT((AT74-FT_Y5)/12)+FT_AnnivDays+INT(MOD(AT74-FT_Y5,12)/FT_Int2))),IF(AR74="PT",IF(AT74&lt;PT_First,0,1+INT((AT74-PT_First)/PT_Int)),0))-IF(AR74="FT",IF(AV74&lt;FT_First,0,IF(AV74&lt;FT_Y5,1+INT((AV74-FT_First)/FT_Int1),FT_PreY5+FT_PerYear*INT((AV74-FT_Y5)/12)+FT_AnnivDays+INT(MOD(AV74-FT_Y5,12)/FT_Int2))),IF(AR74="PT",IF(AV74&lt;PT_First,0,1+INT((AV74-PT_First)/PT_Int)),0)),0))</f>
        <v/>
      </c>
      <c r="BA74" s="14" t="str">
        <f aca="false">IF(AG74=0,"",IF(AP74="FT",IF(AX74&lt;FT_First,0,IF(AX74&lt;FT_Y5,1+INT((AX74-FT_First)/FT_Int1),FT_PreY5+FT_PerYear*INT((AX74-FT_Y5)/12)+FT_AnnivDays+INT(MOD(AX74-FT_Y5,12)/FT_Int2))),IF(AP74="PT",IF(AX74&lt;PT_First,0,1+INT((AX74-PT_First)/PT_Int)),0))+IF(AND(AI74&gt;=2,AK74&lt;=PFYDate),IF(AQ74="FT",IF(AY74&lt;FT_First,0,IF(AY74&lt;FT_Y5,1+INT((AY74-FT_First)/FT_Int1),FT_PreY5+FT_PerYear*INT((AY74-FT_Y5)/12)+FT_AnnivDays+INT(MOD(AY74-FT_Y5,12)/FT_Int2))),IF(AQ74="PT",IF(AY74&lt;PT_First,0,1+INT((AY74-PT_First)/PT_Int)),0))-IF(AQ74="FT",IF(AX74&lt;FT_First,0,IF(AX74&lt;FT_Y5,1+INT((AX74-FT_First)/FT_Int1),FT_PreY5+FT_PerYear*INT((AX74-FT_Y5)/12)+FT_AnnivDays+INT(MOD(AX74-FT_Y5,12)/FT_Int2))),IF(AQ74="PT",IF(AX74&lt;PT_First,0,1+INT((AX74-PT_First)/PT_Int)),0)),0)+IF(AND(AI74&gt;=3,AL74&lt;=PFYDate),IF(AR74="FT",IF(AW74&lt;FT_First,0,IF(AW74&lt;FT_Y5,1+INT((AW74-FT_First)/FT_Int1),FT_PreY5+FT_PerYear*INT((AW74-FT_Y5)/12)+FT_AnnivDays+INT(MOD(AW74-FT_Y5,12)/FT_Int2))),IF(AR74="PT",IF(AW74&lt;PT_First,0,1+INT((AW74-PT_First)/PT_Int)),0))-IF(AR74="FT",IF(AY74&lt;FT_First,0,IF(AY74&lt;FT_Y5,1+INT((AY74-FT_First)/FT_Int1),FT_PreY5+FT_PerYear*INT((AY74-FT_Y5)/12)+FT_AnnivDays+INT(MOD(AY74-FT_Y5,12)/FT_Int2))),IF(AR74="PT",IF(AY74&lt;PT_First,0,1+INT((AY74-PT_First)/PT_Int)),0)),0))</f>
        <v/>
      </c>
      <c r="BB74" s="14" t="str">
        <f aca="false">IF(AG74=0,"",IF(AS74="FT",IF(AT74&lt;FT_First,FT_First,IF(AT74&lt;FT_Y5,MIN(FT_Y5,FT_First+FT_Int1*(INT((AT74-FT_First)/FT_Int1)+1)),FT_Y5+12*INT((AT74-FT_Y5)/12)+FT_Int2*(INT(MOD(AT74-FT_Y5,12)/FT_Int2)+1))),IF(AS74="PT",IF(AT74&lt;PT_First,PT_First,PT_First+PT_Int*(INT((AT74-PT_First)/PT_Int)+1)),"")))</f>
        <v/>
      </c>
      <c r="BC74" s="14" t="str">
        <f aca="false">IF(AG74=0,"",IF(NOT(LH_Ready),0,COUNTIFS(INDEX(LH_Data,0,LH_ColFirst),$A74,INDEX(LH_Data,0,LH_ColSur),$B74,INDEX(LH_Data,0,LH_ColCat),BonusCat)))</f>
        <v/>
      </c>
      <c r="BD74" s="14" t="str">
        <f aca="false">IF(AG74=0,"",IF(OR(NOT(LH_Ready),BC74=0),0,SUMPRODUCT(MAX((INDEX(LH_Data,0,LH_ColFirst)=$A74)*(INDEX(LH_Data,0,LH_ColSur)=$B74)*(INDEX(LH_Data,0,LH_ColCat)=BonusCat)*ROW(LH_Data)))))</f>
        <v/>
      </c>
      <c r="BE74" s="14" t="str">
        <f aca="false">IF(AG74=0,"",IF(EOMONTH(AsOfDate,-1)&lt;AH74,-1,12*(YEAR(EOMONTH(AsOfDate,-1))-YEAR(AH74))+MONTH(EOMONTH(AsOfDate,-1))-MONTH(AH74)-IF(DAY(EOMONTH(AsOfDate,-1))&lt;MIN(DAY(AH74),DAY(EOMONTH(EOMONTH(AsOfDate,-1),0))),1,0)))</f>
        <v/>
      </c>
      <c r="BF74" s="14" t="str">
        <f aca="false">IF(AG74=0,"",IF(OR(AI74&lt;2,AK74&gt;EOMONTH(AsOfDate,-1)),BE74,IF((AK74-1)&lt;AH74,-1,12*(YEAR((AK74-1))-YEAR(AH74))+MONTH((AK74-1))-MONTH(AH74)-IF(DAY((AK74-1))&lt;MIN(DAY(AH74),DAY(EOMONTH((AK74-1),0))),1,0))))</f>
        <v/>
      </c>
      <c r="BG74" s="14" t="str">
        <f aca="false">IF(AG74=0,"",IF(OR(AI74&lt;3,AL74&gt;EOMONTH(AsOfDate,-1)),BE74,IF((AL74-1)&lt;AH74,-1,12*(YEAR((AL74-1))-YEAR(AH74))+MONTH((AL74-1))-MONTH(AH74)-IF(DAY((AL74-1))&lt;MIN(DAY(AH74),DAY(EOMONTH((AL74-1),0))),1,0))))</f>
        <v/>
      </c>
      <c r="BH74" s="14" t="str">
        <f aca="false">IF(AG74=0,"",IF(AP74="FT",IF(BF74&lt;FT_First,0,IF(BF74&lt;FT_Y5,1+INT((BF74-FT_First)/FT_Int1),FT_PreY5+FT_PerYear*INT((BF74-FT_Y5)/12)+FT_AnnivDays+INT(MOD(BF74-FT_Y5,12)/FT_Int2))),IF(AP74="PT",IF(BF74&lt;PT_First,0,1+INT((BF74-PT_First)/PT_Int)),0))+IF(AND(AI74&gt;=2,AK74&lt;=EOMONTH(AsOfDate,-1)),IF(AQ74="FT",IF(BG74&lt;FT_First,0,IF(BG74&lt;FT_Y5,1+INT((BG74-FT_First)/FT_Int1),FT_PreY5+FT_PerYear*INT((BG74-FT_Y5)/12)+FT_AnnivDays+INT(MOD(BG74-FT_Y5,12)/FT_Int2))),IF(AQ74="PT",IF(BG74&lt;PT_First,0,1+INT((BG74-PT_First)/PT_Int)),0))-IF(AQ74="FT",IF(BF74&lt;FT_First,0,IF(BF74&lt;FT_Y5,1+INT((BF74-FT_First)/FT_Int1),FT_PreY5+FT_PerYear*INT((BF74-FT_Y5)/12)+FT_AnnivDays+INT(MOD(BF74-FT_Y5,12)/FT_Int2))),IF(AQ74="PT",IF(BF74&lt;PT_First,0,1+INT((BF74-PT_First)/PT_Int)),0)),0)+IF(AND(AI74&gt;=3,AL74&lt;=EOMONTH(AsOfDate,-1)),IF(AR74="FT",IF(BE74&lt;FT_First,0,IF(BE74&lt;FT_Y5,1+INT((BE74-FT_First)/FT_Int1),FT_PreY5+FT_PerYear*INT((BE74-FT_Y5)/12)+FT_AnnivDays+INT(MOD(BE74-FT_Y5,12)/FT_Int2))),IF(AR74="PT",IF(BE74&lt;PT_First,0,1+INT((BE74-PT_First)/PT_Int)),0))-IF(AR74="FT",IF(BG74&lt;FT_First,0,IF(BG74&lt;FT_Y5,1+INT((BG74-FT_First)/FT_Int1),FT_PreY5+FT_PerYear*INT((BG74-FT_Y5)/12)+FT_AnnivDays+INT(MOD(BG74-FT_Y5,12)/FT_Int2))),IF(AR74="PT",IF(BG74&lt;PT_First,0,1+INT((BG74-PT_First)/PT_Int)),0)),0))</f>
        <v/>
      </c>
      <c r="BI74" s="14" t="str">
        <f aca="false">IF(AG74=0,"",IF(AS74="FT",IF(AT74&lt;FT_First,"",IF(AT74&lt;FT_Y5,FT_First+FT_Int1*INT((AT74-FT_First)/FT_Int1),FT_Y5+FT_Int2*INT((AT74-FT_Y5)/FT_Int2))),IF(AS74="PT",IF(AT74&lt;PT_First,"",PT_First+PT_Int*INT((AT74-PT_First)/PT_Int)),"")))</f>
        <v/>
      </c>
      <c r="BJ74" s="0" t="str">
        <f aca="false">IF(LEN($A74&amp;$B74)=0,"",$A74&amp;" "&amp;$B74)</f>
        <v/>
      </c>
    </row>
    <row r="75" customFormat="false" ht="15" hidden="false" customHeight="false" outlineLevel="0" collapsed="false">
      <c r="A75" s="10"/>
      <c r="B75" s="10"/>
      <c r="C75" s="10"/>
      <c r="D75" s="11"/>
      <c r="E75" s="12" t="str">
        <f aca="false">IF(OR(AG75=0,$D75=""),"",DATE(YEAR(AsOfDate)+IF(DATE(YEAR(AsOfDate),MONTH($D75),DAY($D75))&lt;=AsOfDate,1,0),MONTH($D75),DAY($D75)))</f>
        <v/>
      </c>
      <c r="F75" s="11"/>
      <c r="G75" s="11"/>
      <c r="H75" s="11"/>
      <c r="I75" s="11"/>
      <c r="J75" s="11"/>
      <c r="K75" s="12" t="str">
        <f aca="false">IF(AG75=0,"",DATE(YEAR(AsOfDate)+IF(DATE(YEAR(AsOfDate),MONTH(AH75),DAY(AH75))&lt;=AsOfDate,1,0),MONTH(AH75),DAY(AH75)))</f>
        <v/>
      </c>
      <c r="L75" s="13" t="str">
        <f aca="false">IF(AG75=0,"",ROUND((AsOfDate-AH75)/365.25,1))</f>
        <v/>
      </c>
      <c r="M75" s="14" t="str">
        <f aca="false">IF(AG75=0,"",IF(AsOfDate&lt;AH75,"-",DATEDIF(AH75,AsOfDate,"y")&amp;"y "&amp;DATEDIF(AH75,AsOfDate,"ym")&amp;"m "&amp;DATEDIF(AH75,AsOfDate,"md")&amp;"d"))</f>
        <v/>
      </c>
      <c r="N75" s="15" t="str">
        <f aca="false">IF(AG75=0,"",O75*HoursPerDay)</f>
        <v/>
      </c>
      <c r="O75" s="15" t="str">
        <f aca="false">IF(AG75=0,"",AZ75)</f>
        <v/>
      </c>
      <c r="P75" s="16"/>
      <c r="Q75" s="14" t="str">
        <f aca="false">IF(AG75=0,"",IF(AI75&lt;2,"",AM75&amp;" to "&amp;AN75&amp;" on "&amp;TEXT(AK75,"dd/mm/yyyy")&amp;IF(AK75&gt;AsOfDate," (future)",IF(AP75=AQ75,"",IF(AQ75="None"," - STOPPED accruing",IF(AP75="None"," - commencement for Bonus Leave"," - pathway changed"))))&amp;IF(AI75&lt;3,"","; "&amp;AN75&amp;" to "&amp;AO75&amp;" on "&amp;TEXT(AL75,"dd/mm/yyyy")&amp;IF(AL75&gt;AsOfDate," (future)",IF(AQ75=AR75,"",IF(AR75="None"," - STOPPED accruing",IF(AQ75="None"," - commencement for Bonus Leave"," - pathway changed")))))))</f>
        <v/>
      </c>
      <c r="R75" s="14" t="str">
        <f aca="false">IF(AG75=0,"",IF(AS75="None",IF(O75&gt;0,"No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2" t="str">
        <f aca="false">IF(AG75=0,"",IF(AS75="None","",EDATE(AH75,BB75)))</f>
        <v/>
      </c>
      <c r="T75" s="15" t="str">
        <f aca="false">IF(AG75=0,"",IF(NOT(LH_Ready),"",IF(AH75&gt;PFYDate,0,IF(LH_ColPeriod=0,W75-U75+V75,SUMIFS(INDEX(LH_Data,0,LH_ColAcc),INDEX(LH_Data,0,LH_ColFirst),$A75,INDEX(LH_Data,0,LH_ColSur),$B75,INDEX(LH_Data,0,LH_ColCat),BonusCat,INDEX(LH_Data,0,LH_ColPeriod),LH_OpenLabel)*UnitFactor))))</f>
        <v/>
      </c>
      <c r="U75" s="15" t="str">
        <f aca="false">IF(AG75=0,"",IF(NOT(LH_Ready),"",SUMIFS(INDEX(LH_Data,0,LH_ColAcc),INDEX(LH_Data,0,LH_ColFirst),$A75,INDEX(LH_Data,0,LH_ColSur),$B75,INDEX(LH_Data,0,LH_ColCat),BonusCat,INDEX(LH_Data,0,LH_ColStart),"&gt;="&amp;AH75)*UnitFactor))</f>
        <v/>
      </c>
      <c r="V75" s="15" t="str">
        <f aca="false">IF(AG75=0,"",IF(NOT(LH_Ready),"",SUMIFS(INDEX(LH_Data,0,LH_ColTaken),INDEX(LH_Data,0,LH_ColFirst),$A75,INDEX(LH_Data,0,LH_ColSur),$B75,INDEX(LH_Data,0,LH_ColCat),BonusCat,INDEX(LH_Data,0,LH_ColStart),"&gt;="&amp;AH75)*UnitFactor))</f>
        <v/>
      </c>
      <c r="W75" s="15" t="str">
        <f aca="false">IF(AG75=0,"",IF(NOT(LH_Ready),"",IF(BD75=0,0,INDEX(INDEX(LH_Data,0,LH_ColClose),BD75-1)*UnitFactor)))</f>
        <v/>
      </c>
      <c r="X75" s="15" t="str">
        <f aca="false">IF(AG75=0,"",(AZ75-BA75)*HoursPerDay)</f>
        <v/>
      </c>
      <c r="Y75" s="15" t="str">
        <f aca="false">IF(AG75=0,"",IF(NOT(LH_Ready),"",IF(BC75=0,N75,IF(PFYDate&lt;$F75,N75-N(T75)-N(U75),X75-N(U75)))))</f>
        <v/>
      </c>
      <c r="Z75" s="14" t="str">
        <f aca="false">IF(OR(AG75=0,Y75=""),"",IF(Y75&gt;0,"Yes","No"))</f>
        <v/>
      </c>
      <c r="AA75" s="14" t="str">
        <f aca="false">IF(AG75=0,IF(LEN($A75&amp;$B75)=0,"","FIX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month")&amp;IF(BC75=0,";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EH)",""),IF(AS75="None",R75,"Not yet - first day on "&amp;TEXT(S75,"dd/mm/yyyy")))))))))</f>
        <v/>
      </c>
      <c r="AB75" s="15" t="str">
        <f aca="false">IF(OR(AG75=0,T75=""),"",BA75*HoursPerDay-T75)</f>
        <v/>
      </c>
      <c r="AC75" s="14" t="str">
        <f aca="false">IF(AG75=0,"",BC75)</f>
        <v/>
      </c>
      <c r="AD75" s="14" t="str">
        <f aca="false">IF(AG75=0,"",TRIM(IF(OR(ISTEXT($F75),ISTEXT($H75),ISTEXT($I75),ISTEXT($G75),ISTEXT($J75),ISTEXT($D75)),"A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I75&gt;=1,IF(AI75&gt;=3,AO75,IF(AI75=2,AN75,AM75))&lt;&gt;IF($C75="","",IF(OR(ISNUMBER(SEARCH("full",$C75)),UPPER(TRIM($C75))="FT",UPPER(TRIM($C75))="FTE"),"Full-Time",IF(OR(ISNUMBER(SEARCH("part",$C75)),UPPER(TRIM($C75))="PT",UPPER(TRIM($C75))="PTE"),"Part-Time",IF(OR(ISNUMBER(SEARCH("cas",$C75)),UPPER(TRIM($C75))="CAS"),"Casual","Unknown"))))),"EmploymentType does not match latest start date ("&amp;IF(AI75&gt;=3,AO75,IF(AI75=2,AN75,AM75))&amp;"). ","")&amp;IF(AND(AI75&gt;=1,AJ75&lt;&gt;$F75),"Earliest type date should equal StartDate. ","")&amp;IF(AND(AI75&gt;=2,AJ75=AK75),"Two types start on the same date. ","")&amp;IF(AND(OR(ISNUMBER(SEARCH("part",$C75)),UPPER(TRIM($C75))="PT",UPPER(TRIM($C75))="PTE"),$P75=""),"Part-time: enter PT Hrs/Week (blank = 24+). ","")))</f>
        <v/>
      </c>
      <c r="AE75" s="15" t="str">
        <f aca="false">IF(AG75=0,"",O75-BH75)</f>
        <v/>
      </c>
      <c r="AF75" s="12" t="str">
        <f aca="false">IF(OR(AG75=0,AE75="",N(AE75)=0,BI75=""),"",EDATE(AH75,BI75))</f>
        <v/>
      </c>
      <c r="AG75" s="14" t="n">
        <f aca="false">IF(OR(LEN($A75&amp;$B75)=0,$F75=""),0,1)</f>
        <v>0</v>
      </c>
      <c r="AH75" s="12" t="str">
        <f aca="false">IF(AG75=0,"",IF($J75&lt;&gt;"",$J75,IF(OR(CasualCounts="Yes",COUNT($G75:$I75)=0,COUNT($H75:$I75)=0),$F75,MIN($H75:$I75))))</f>
        <v/>
      </c>
      <c r="AI75" s="14" t="str">
        <f aca="false">IF(AG75=0,"",COUNT($G75:$I75))</f>
        <v/>
      </c>
      <c r="AJ75" s="12" t="str">
        <f aca="false">IF(AG75=0,"",IFERROR(SMALL($G75:$I75,1),""))</f>
        <v/>
      </c>
      <c r="AK75" s="12" t="str">
        <f aca="false">IF(AG75=0,"",IFERROR(SMALL($G75:$I75,2),""))</f>
        <v/>
      </c>
      <c r="AL75" s="12" t="str">
        <f aca="false">IF(AG75=0,"",IFERROR(SMALL($G75:$I75,3),""))</f>
        <v/>
      </c>
      <c r="AM75" s="14" t="str">
        <f aca="false">IF(AG75=0,"",IF(AJ75="","",IF(AJ75=$H75,"Part-Time",IF(AJ75=$I75,"Full-Time","Casual"))))</f>
        <v/>
      </c>
      <c r="AN75" s="14" t="str">
        <f aca="false">IF(AG75=0,"",IF(AK75="","",IF(AK75=$H75,"Part-Time",IF(AK75=$I75,"Full-Time","Casual"))))</f>
        <v/>
      </c>
      <c r="AO75" s="14" t="str">
        <f aca="false">IF(AG75=0,"",IF(AL75="","",IF(AL75=$H75,"Part-Time",IF(AL75=$I75,"Full-Time","Casual"))))</f>
        <v/>
      </c>
      <c r="AP75" s="14" t="str">
        <f aca="false">IF(AG75=0,"",IF(AI75=0,IF(OR(ISNUMBER(SEARCH("full",$C75)),UPPER(TRIM($C75))="FT",UPPER(TRIM($C75))="FTE"),"FT",IF(AND(OR(ISNUMBER(SEARCH("part",$C75)),UPPER(TRIM($C75))="PT",UPPER(TRIM($C75))="PTE"),OR($P75="",N($P75)&gt;=PT_MinHours)),"PT","None")),IF(OR(ISNUMBER(SEARCH("full",AM75)),UPPER(TRIM(AM75))="FT",UPPER(TRIM(AM75))="FTE"),"FT",IF(AND(OR(ISNUMBER(SEARCH("part",AM75)),UPPER(TRIM(AM75))="PT",UPPER(TRIM(AM75))="PTE"),OR($P75="",N($P75)&gt;=PT_MinHours)),"PT","None"))))</f>
        <v/>
      </c>
      <c r="AQ75" s="14" t="str">
        <f aca="false">IF(AG75=0,"",IF(AI75&lt;2,"",IF(OR(ISNUMBER(SEARCH("full",AN75)),UPPER(TRIM(AN75))="FT",UPPER(TRIM(AN75))="FTE"),"FT",IF(AND(OR(ISNUMBER(SEARCH("part",AN75)),UPPER(TRIM(AN75))="PT",UPPER(TRIM(AN75))="PTE"),OR($P75="",N($P75)&gt;=PT_MinHours)),"PT","None"))))</f>
        <v/>
      </c>
      <c r="AR75" s="14" t="str">
        <f aca="false">IF(AG75=0,"",IF(AI75&lt;3,"",IF(OR(ISNUMBER(SEARCH("full",AO75)),UPPER(TRIM(AO75))="FT",UPPER(TRIM(AO75))="FTE"),"FT",IF(AND(OR(ISNUMBER(SEARCH("part",AO75)),UPPER(TRIM(AO75))="PT",UPPER(TRIM(AO75))="PTE"),OR($P75="",N($P75)&gt;=PT_MinHours)),"PT","None"))))</f>
        <v/>
      </c>
      <c r="AS75" s="14" t="str">
        <f aca="false">IF(AG75=0,"",IF(AND(AI75&gt;=3,AL75&lt;=AsOfDate),AR75,IF(AND(AI75&gt;=2,AK75&lt;=AsOfDate),AQ75,AP75)))</f>
        <v/>
      </c>
      <c r="AT75" s="14" t="str">
        <f aca="false">IF(AG75=0,"",IF(AsOfDate&lt;AH75,-1,12*(YEAR(AsOfDate)-YEAR(AH75))+MONTH(AsOfDate)-MONTH(AH75)-IF(DAY(AsOfDate)&lt;MIN(DAY(AH75),DAY(EOMONTH(AsOfDate,0))),1,0)))</f>
        <v/>
      </c>
      <c r="AU75" s="14" t="str">
        <f aca="false">IF(AG75=0,"",IF(OR(AI75&lt;2,AK75&gt;AsOfDate),AT75,IF((AK75-1)&lt;AH75,-1,12*(YEAR((AK75-1))-YEAR(AH75))+MONTH((AK75-1))-MONTH(AH75)-IF(DAY((AK75-1))&lt;MIN(DAY(AH75),DAY(EOMONTH((AK75-1),0))),1,0))))</f>
        <v/>
      </c>
      <c r="AV75" s="14" t="str">
        <f aca="false">IF(AG75=0,"",IF(OR(AI75&lt;3,AL75&gt;AsOfDate),AT75,IF((AL75-1)&lt;AH75,-1,12*(YEAR((AL75-1))-YEAR(AH75))+MONTH((AL75-1))-MONTH(AH75)-IF(DAY((AL75-1))&lt;MIN(DAY(AH75),DAY(EOMONTH((AL75-1),0))),1,0))))</f>
        <v/>
      </c>
      <c r="AW75" s="14" t="str">
        <f aca="false">IF(AG75=0,"",IF(PFYDate&lt;AH75,-1,12*(YEAR(PFYDate)-YEAR(AH75))+MONTH(PFYDate)-MONTH(AH75)-IF(DAY(PFYDate)&lt;MIN(DAY(AH75),DAY(EOMONTH(PFYDate,0))),1,0)))</f>
        <v/>
      </c>
      <c r="AX75" s="14" t="str">
        <f aca="false">IF(AG75=0,"",IF(OR(AI75&lt;2,AK75&gt;PFYDate),AW75,IF((AK75-1)&lt;AH75,-1,12*(YEAR((AK75-1))-YEAR(AH75))+MONTH((AK75-1))-MONTH(AH75)-IF(DAY((AK75-1))&lt;MIN(DAY(AH75),DAY(EOMONTH((AK75-1),0))),1,0))))</f>
        <v/>
      </c>
      <c r="AY75" s="14" t="str">
        <f aca="false">IF(AG75=0,"",IF(OR(AI75&lt;3,AL75&gt;PFYDate),AW75,IF((AL75-1)&lt;AH75,-1,12*(YEAR((AL75-1))-YEAR(AH75))+MONTH((AL75-1))-MONTH(AH75)-IF(DAY((AL75-1))&lt;MIN(DAY(AH75),DAY(EOMONTH((AL75-1),0))),1,0))))</f>
        <v/>
      </c>
      <c r="AZ75" s="14" t="str">
        <f aca="false">IF(AG75=0,"",IF(AP75="FT",IF(AU75&lt;FT_First,0,IF(AU75&lt;FT_Y5,1+INT((AU75-FT_First)/FT_Int1),FT_PreY5+FT_PerYear*INT((AU75-FT_Y5)/12)+FT_AnnivDays+INT(MOD(AU75-FT_Y5,12)/FT_Int2))),IF(AP75="PT",IF(AU75&lt;PT_First,0,1+INT((AU75-PT_First)/PT_Int)),0))+IF(AND(AI75&gt;=2,AK75&lt;=AsOfDate),IF(AQ75="FT",IF(AV75&lt;FT_First,0,IF(AV75&lt;FT_Y5,1+INT((AV75-FT_First)/FT_Int1),FT_PreY5+FT_PerYear*INT((AV75-FT_Y5)/12)+FT_AnnivDays+INT(MOD(AV75-FT_Y5,12)/FT_Int2))),IF(AQ75="PT",IF(AV75&lt;PT_First,0,1+INT((AV75-PT_First)/PT_Int)),0))-IF(AQ75="FT",IF(AU75&lt;FT_First,0,IF(AU75&lt;FT_Y5,1+INT((AU75-FT_First)/FT_Int1),FT_PreY5+FT_PerYear*INT((AU75-FT_Y5)/12)+FT_AnnivDays+INT(MOD(AU75-FT_Y5,12)/FT_Int2))),IF(AQ75="PT",IF(AU75&lt;PT_First,0,1+INT((AU75-PT_First)/PT_Int)),0)),0)+IF(AND(AI75&gt;=3,AL75&lt;=AsOfDate),IF(AR75="FT",IF(AT75&lt;FT_First,0,IF(AT75&lt;FT_Y5,1+INT((AT75-FT_First)/FT_Int1),FT_PreY5+FT_PerYear*INT((AT75-FT_Y5)/12)+FT_AnnivDays+INT(MOD(AT75-FT_Y5,12)/FT_Int2))),IF(AR75="PT",IF(AT75&lt;PT_First,0,1+INT((AT75-PT_First)/PT_Int)),0))-IF(AR75="FT",IF(AV75&lt;FT_First,0,IF(AV75&lt;FT_Y5,1+INT((AV75-FT_First)/FT_Int1),FT_PreY5+FT_PerYear*INT((AV75-FT_Y5)/12)+FT_AnnivDays+INT(MOD(AV75-FT_Y5,12)/FT_Int2))),IF(AR75="PT",IF(AV75&lt;PT_First,0,1+INT((AV75-PT_First)/PT_Int)),0)),0))</f>
        <v/>
      </c>
      <c r="BA75" s="14" t="str">
        <f aca="false">IF(AG75=0,"",IF(AP75="FT",IF(AX75&lt;FT_First,0,IF(AX75&lt;FT_Y5,1+INT((AX75-FT_First)/FT_Int1),FT_PreY5+FT_PerYear*INT((AX75-FT_Y5)/12)+FT_AnnivDays+INT(MOD(AX75-FT_Y5,12)/FT_Int2))),IF(AP75="PT",IF(AX75&lt;PT_First,0,1+INT((AX75-PT_First)/PT_Int)),0))+IF(AND(AI75&gt;=2,AK75&lt;=PFYDate),IF(AQ75="FT",IF(AY75&lt;FT_First,0,IF(AY75&lt;FT_Y5,1+INT((AY75-FT_First)/FT_Int1),FT_PreY5+FT_PerYear*INT((AY75-FT_Y5)/12)+FT_AnnivDays+INT(MOD(AY75-FT_Y5,12)/FT_Int2))),IF(AQ75="PT",IF(AY75&lt;PT_First,0,1+INT((AY75-PT_First)/PT_Int)),0))-IF(AQ75="FT",IF(AX75&lt;FT_First,0,IF(AX75&lt;FT_Y5,1+INT((AX75-FT_First)/FT_Int1),FT_PreY5+FT_PerYear*INT((AX75-FT_Y5)/12)+FT_AnnivDays+INT(MOD(AX75-FT_Y5,12)/FT_Int2))),IF(AQ75="PT",IF(AX75&lt;PT_First,0,1+INT((AX75-PT_First)/PT_Int)),0)),0)+IF(AND(AI75&gt;=3,AL75&lt;=PFYDate),IF(AR75="FT",IF(AW75&lt;FT_First,0,IF(AW75&lt;FT_Y5,1+INT((AW75-FT_First)/FT_Int1),FT_PreY5+FT_PerYear*INT((AW75-FT_Y5)/12)+FT_AnnivDays+INT(MOD(AW75-FT_Y5,12)/FT_Int2))),IF(AR75="PT",IF(AW75&lt;PT_First,0,1+INT((AW75-PT_First)/PT_Int)),0))-IF(AR75="FT",IF(AY75&lt;FT_First,0,IF(AY75&lt;FT_Y5,1+INT((AY75-FT_First)/FT_Int1),FT_PreY5+FT_PerYear*INT((AY75-FT_Y5)/12)+FT_AnnivDays+INT(MOD(AY75-FT_Y5,12)/FT_Int2))),IF(AR75="PT",IF(AY75&lt;PT_First,0,1+INT((AY75-PT_First)/PT_Int)),0)),0))</f>
        <v/>
      </c>
      <c r="BB75" s="14" t="str">
        <f aca="false">IF(AG75=0,"",IF(AS75="FT",IF(AT75&lt;FT_First,FT_First,IF(AT75&lt;FT_Y5,MIN(FT_Y5,FT_First+FT_Int1*(INT((AT75-FT_First)/FT_Int1)+1)),FT_Y5+12*INT((AT75-FT_Y5)/12)+FT_Int2*(INT(MOD(AT75-FT_Y5,12)/FT_Int2)+1))),IF(AS75="PT",IF(AT75&lt;PT_First,PT_First,PT_First+PT_Int*(INT((AT75-PT_First)/PT_Int)+1)),"")))</f>
        <v/>
      </c>
      <c r="BC75" s="14" t="str">
        <f aca="false">IF(AG75=0,"",IF(NOT(LH_Ready),0,COUNTIFS(INDEX(LH_Data,0,LH_ColFirst),$A75,INDEX(LH_Data,0,LH_ColSur),$B75,INDEX(LH_Data,0,LH_ColCat),BonusCat)))</f>
        <v/>
      </c>
      <c r="BD75" s="14" t="str">
        <f aca="false">IF(AG75=0,"",IF(OR(NOT(LH_Ready),BC75=0),0,SUMPRODUCT(MAX((INDEX(LH_Data,0,LH_ColFirst)=$A75)*(INDEX(LH_Data,0,LH_ColSur)=$B75)*(INDEX(LH_Data,0,LH_ColCat)=BonusCat)*ROW(LH_Data)))))</f>
        <v/>
      </c>
      <c r="BE75" s="14" t="str">
        <f aca="false">IF(AG75=0,"",IF(EOMONTH(AsOfDate,-1)&lt;AH75,-1,12*(YEAR(EOMONTH(AsOfDate,-1))-YEAR(AH75))+MONTH(EOMONTH(AsOfDate,-1))-MONTH(AH75)-IF(DAY(EOMONTH(AsOfDate,-1))&lt;MIN(DAY(AH75),DAY(EOMONTH(EOMONTH(AsOfDate,-1),0))),1,0)))</f>
        <v/>
      </c>
      <c r="BF75" s="14" t="str">
        <f aca="false">IF(AG75=0,"",IF(OR(AI75&lt;2,AK75&gt;EOMONTH(AsOfDate,-1)),BE75,IF((AK75-1)&lt;AH75,-1,12*(YEAR((AK75-1))-YEAR(AH75))+MONTH((AK75-1))-MONTH(AH75)-IF(DAY((AK75-1))&lt;MIN(DAY(AH75),DAY(EOMONTH((AK75-1),0))),1,0))))</f>
        <v/>
      </c>
      <c r="BG75" s="14" t="str">
        <f aca="false">IF(AG75=0,"",IF(OR(AI75&lt;3,AL75&gt;EOMONTH(AsOfDate,-1)),BE75,IF((AL75-1)&lt;AH75,-1,12*(YEAR((AL75-1))-YEAR(AH75))+MONTH((AL75-1))-MONTH(AH75)-IF(DAY((AL75-1))&lt;MIN(DAY(AH75),DAY(EOMONTH((AL75-1),0))),1,0))))</f>
        <v/>
      </c>
      <c r="BH75" s="14" t="str">
        <f aca="false">IF(AG75=0,"",IF(AP75="FT",IF(BF75&lt;FT_First,0,IF(BF75&lt;FT_Y5,1+INT((BF75-FT_First)/FT_Int1),FT_PreY5+FT_PerYear*INT((BF75-FT_Y5)/12)+FT_AnnivDays+INT(MOD(BF75-FT_Y5,12)/FT_Int2))),IF(AP75="PT",IF(BF75&lt;PT_First,0,1+INT((BF75-PT_First)/PT_Int)),0))+IF(AND(AI75&gt;=2,AK75&lt;=EOMONTH(AsOfDate,-1)),IF(AQ75="FT",IF(BG75&lt;FT_First,0,IF(BG75&lt;FT_Y5,1+INT((BG75-FT_First)/FT_Int1),FT_PreY5+FT_PerYear*INT((BG75-FT_Y5)/12)+FT_AnnivDays+INT(MOD(BG75-FT_Y5,12)/FT_Int2))),IF(AQ75="PT",IF(BG75&lt;PT_First,0,1+INT((BG75-PT_First)/PT_Int)),0))-IF(AQ75="FT",IF(BF75&lt;FT_First,0,IF(BF75&lt;FT_Y5,1+INT((BF75-FT_First)/FT_Int1),FT_PreY5+FT_PerYear*INT((BF75-FT_Y5)/12)+FT_AnnivDays+INT(MOD(BF75-FT_Y5,12)/FT_Int2))),IF(AQ75="PT",IF(BF75&lt;PT_First,0,1+INT((BF75-PT_First)/PT_Int)),0)),0)+IF(AND(AI75&gt;=3,AL75&lt;=EOMONTH(AsOfDate,-1)),IF(AR75="FT",IF(BE75&lt;FT_First,0,IF(BE75&lt;FT_Y5,1+INT((BE75-FT_First)/FT_Int1),FT_PreY5+FT_PerYear*INT((BE75-FT_Y5)/12)+FT_AnnivDays+INT(MOD(BE75-FT_Y5,12)/FT_Int2))),IF(AR75="PT",IF(BE75&lt;PT_First,0,1+INT((BE75-PT_First)/PT_Int)),0))-IF(AR75="FT",IF(BG75&lt;FT_First,0,IF(BG75&lt;FT_Y5,1+INT((BG75-FT_First)/FT_Int1),FT_PreY5+FT_PerYear*INT((BG75-FT_Y5)/12)+FT_AnnivDays+INT(MOD(BG75-FT_Y5,12)/FT_Int2))),IF(AR75="PT",IF(BG75&lt;PT_First,0,1+INT((BG75-PT_First)/PT_Int)),0)),0))</f>
        <v/>
      </c>
      <c r="BI75" s="14" t="str">
        <f aca="false">IF(AG75=0,"",IF(AS75="FT",IF(AT75&lt;FT_First,"",IF(AT75&lt;FT_Y5,FT_First+FT_Int1*INT((AT75-FT_First)/FT_Int1),FT_Y5+FT_Int2*INT((AT75-FT_Y5)/FT_Int2))),IF(AS75="PT",IF(AT75&lt;PT_First,"",PT_First+PT_Int*INT((AT75-PT_First)/PT_Int)),"")))</f>
        <v/>
      </c>
      <c r="BJ75" s="0" t="str">
        <f aca="false">IF(LEN($A75&amp;$B75)=0,"",$A75&amp;" "&amp;$B75)</f>
        <v/>
      </c>
    </row>
    <row r="76" customFormat="false" ht="15" hidden="false" customHeight="false" outlineLevel="0" collapsed="false">
      <c r="A76" s="10"/>
      <c r="B76" s="10"/>
      <c r="C76" s="10"/>
      <c r="D76" s="11"/>
      <c r="E76" s="12" t="str">
        <f aca="false">IF(OR(AG76=0,$D76=""),"",DATE(YEAR(AsOfDate)+IF(DATE(YEAR(AsOfDate),MONTH($D76),DAY($D76))&lt;=AsOfDate,1,0),MONTH($D76),DAY($D76)))</f>
        <v/>
      </c>
      <c r="F76" s="11"/>
      <c r="G76" s="11"/>
      <c r="H76" s="11"/>
      <c r="I76" s="11"/>
      <c r="J76" s="11"/>
      <c r="K76" s="12" t="str">
        <f aca="false">IF(AG76=0,"",DATE(YEAR(AsOfDate)+IF(DATE(YEAR(AsOfDate),MONTH(AH76),DAY(AH76))&lt;=AsOfDate,1,0),MONTH(AH76),DAY(AH76)))</f>
        <v/>
      </c>
      <c r="L76" s="13" t="str">
        <f aca="false">IF(AG76=0,"",ROUND((AsOfDate-AH76)/365.25,1))</f>
        <v/>
      </c>
      <c r="M76" s="14" t="str">
        <f aca="false">IF(AG76=0,"",IF(AsOfDate&lt;AH76,"-",DATEDIF(AH76,AsOfDate,"y")&amp;"y "&amp;DATEDIF(AH76,AsOfDate,"ym")&amp;"m "&amp;DATEDIF(AH76,AsOfDate,"md")&amp;"d"))</f>
        <v/>
      </c>
      <c r="N76" s="15" t="str">
        <f aca="false">IF(AG76=0,"",O76*HoursPerDay)</f>
        <v/>
      </c>
      <c r="O76" s="15" t="str">
        <f aca="false">IF(AG76=0,"",AZ76)</f>
        <v/>
      </c>
      <c r="P76" s="16"/>
      <c r="Q76" s="14" t="str">
        <f aca="false">IF(AG76=0,"",IF(AI76&lt;2,"",AM76&amp;" to "&amp;AN76&amp;" on "&amp;TEXT(AK76,"dd/mm/yyyy")&amp;IF(AK76&gt;AsOfDate," (future)",IF(AP76=AQ76,"",IF(AQ76="None"," - STOPPED accruing",IF(AP76="None"," - commencement for Bonus Leave"," - pathway changed"))))&amp;IF(AI76&lt;3,"","; "&amp;AN76&amp;" to "&amp;AO76&amp;" on "&amp;TEXT(AL76,"dd/mm/yyyy")&amp;IF(AL76&gt;AsOfDate," (future)",IF(AQ76=AR76,"",IF(AR76="None"," - STOPPED accruing",IF(AQ76="None"," - commencement for Bonus Leave"," - pathway changed")))))))</f>
        <v/>
      </c>
      <c r="R76" s="14" t="str">
        <f aca="false">IF(AG76=0,"",IF(AS76="None",IF(O76&gt;0,"No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2" t="str">
        <f aca="false">IF(AG76=0,"",IF(AS76="None","",EDATE(AH76,BB76)))</f>
        <v/>
      </c>
      <c r="T76" s="15" t="str">
        <f aca="false">IF(AG76=0,"",IF(NOT(LH_Ready),"",IF(AH76&gt;PFYDate,0,IF(LH_ColPeriod=0,W76-U76+V76,SUMIFS(INDEX(LH_Data,0,LH_ColAcc),INDEX(LH_Data,0,LH_ColFirst),$A76,INDEX(LH_Data,0,LH_ColSur),$B76,INDEX(LH_Data,0,LH_ColCat),BonusCat,INDEX(LH_Data,0,LH_ColPeriod),LH_OpenLabel)*UnitFactor))))</f>
        <v/>
      </c>
      <c r="U76" s="15" t="str">
        <f aca="false">IF(AG76=0,"",IF(NOT(LH_Ready),"",SUMIFS(INDEX(LH_Data,0,LH_ColAcc),INDEX(LH_Data,0,LH_ColFirst),$A76,INDEX(LH_Data,0,LH_ColSur),$B76,INDEX(LH_Data,0,LH_ColCat),BonusCat,INDEX(LH_Data,0,LH_ColStart),"&gt;="&amp;AH76)*UnitFactor))</f>
        <v/>
      </c>
      <c r="V76" s="15" t="str">
        <f aca="false">IF(AG76=0,"",IF(NOT(LH_Ready),"",SUMIFS(INDEX(LH_Data,0,LH_ColTaken),INDEX(LH_Data,0,LH_ColFirst),$A76,INDEX(LH_Data,0,LH_ColSur),$B76,INDEX(LH_Data,0,LH_ColCat),BonusCat,INDEX(LH_Data,0,LH_ColStart),"&gt;="&amp;AH76)*UnitFactor))</f>
        <v/>
      </c>
      <c r="W76" s="15" t="str">
        <f aca="false">IF(AG76=0,"",IF(NOT(LH_Ready),"",IF(BD76=0,0,INDEX(INDEX(LH_Data,0,LH_ColClose),BD76-1)*UnitFactor)))</f>
        <v/>
      </c>
      <c r="X76" s="15" t="str">
        <f aca="false">IF(AG76=0,"",(AZ76-BA76)*HoursPerDay)</f>
        <v/>
      </c>
      <c r="Y76" s="15" t="str">
        <f aca="false">IF(AG76=0,"",IF(NOT(LH_Ready),"",IF(BC76=0,N76,IF(PFYDate&lt;$F76,N76-N(T76)-N(U76),X76-N(U76)))))</f>
        <v/>
      </c>
      <c r="Z76" s="14" t="str">
        <f aca="false">IF(OR(AG76=0,Y76=""),"",IF(Y76&gt;0,"Yes","No"))</f>
        <v/>
      </c>
      <c r="AA76" s="14" t="str">
        <f aca="false">IF(AG76=0,IF(LEN($A76&amp;$B76)=0,"","FIX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month")&amp;IF(BC76=0,";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EH)",""),IF(AS76="None",R76,"Not yet - first day on "&amp;TEXT(S76,"dd/mm/yyyy")))))))))</f>
        <v/>
      </c>
      <c r="AB76" s="15" t="str">
        <f aca="false">IF(OR(AG76=0,T76=""),"",BA76*HoursPerDay-T76)</f>
        <v/>
      </c>
      <c r="AC76" s="14" t="str">
        <f aca="false">IF(AG76=0,"",BC76)</f>
        <v/>
      </c>
      <c r="AD76" s="14" t="str">
        <f aca="false">IF(AG76=0,"",TRIM(IF(OR(ISTEXT($F76),ISTEXT($H76),ISTEXT($I76),ISTEXT($G76),ISTEXT($J76),ISTEXT($D76)),"A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I76&gt;=1,IF(AI76&gt;=3,AO76,IF(AI76=2,AN76,AM76))&lt;&gt;IF($C76="","",IF(OR(ISNUMBER(SEARCH("full",$C76)),UPPER(TRIM($C76))="FT",UPPER(TRIM($C76))="FTE"),"Full-Time",IF(OR(ISNUMBER(SEARCH("part",$C76)),UPPER(TRIM($C76))="PT",UPPER(TRIM($C76))="PTE"),"Part-Time",IF(OR(ISNUMBER(SEARCH("cas",$C76)),UPPER(TRIM($C76))="CAS"),"Casual","Unknown"))))),"EmploymentType does not match latest start date ("&amp;IF(AI76&gt;=3,AO76,IF(AI76=2,AN76,AM76))&amp;"). ","")&amp;IF(AND(AI76&gt;=1,AJ76&lt;&gt;$F76),"Earliest type date should equal StartDate. ","")&amp;IF(AND(AI76&gt;=2,AJ76=AK76),"Two types start on the same date. ","")&amp;IF(AND(OR(ISNUMBER(SEARCH("part",$C76)),UPPER(TRIM($C76))="PT",UPPER(TRIM($C76))="PTE"),$P76=""),"Part-time: enter PT Hrs/Week (blank = 24+). ","")))</f>
        <v/>
      </c>
      <c r="AE76" s="15" t="str">
        <f aca="false">IF(AG76=0,"",O76-BH76)</f>
        <v/>
      </c>
      <c r="AF76" s="12" t="str">
        <f aca="false">IF(OR(AG76=0,AE76="",N(AE76)=0,BI76=""),"",EDATE(AH76,BI76))</f>
        <v/>
      </c>
      <c r="AG76" s="14" t="n">
        <f aca="false">IF(OR(LEN($A76&amp;$B76)=0,$F76=""),0,1)</f>
        <v>0</v>
      </c>
      <c r="AH76" s="12" t="str">
        <f aca="false">IF(AG76=0,"",IF($J76&lt;&gt;"",$J76,IF(OR(CasualCounts="Yes",COUNT($G76:$I76)=0,COUNT($H76:$I76)=0),$F76,MIN($H76:$I76))))</f>
        <v/>
      </c>
      <c r="AI76" s="14" t="str">
        <f aca="false">IF(AG76=0,"",COUNT($G76:$I76))</f>
        <v/>
      </c>
      <c r="AJ76" s="12" t="str">
        <f aca="false">IF(AG76=0,"",IFERROR(SMALL($G76:$I76,1),""))</f>
        <v/>
      </c>
      <c r="AK76" s="12" t="str">
        <f aca="false">IF(AG76=0,"",IFERROR(SMALL($G76:$I76,2),""))</f>
        <v/>
      </c>
      <c r="AL76" s="12" t="str">
        <f aca="false">IF(AG76=0,"",IFERROR(SMALL($G76:$I76,3),""))</f>
        <v/>
      </c>
      <c r="AM76" s="14" t="str">
        <f aca="false">IF(AG76=0,"",IF(AJ76="","",IF(AJ76=$H76,"Part-Time",IF(AJ76=$I76,"Full-Time","Casual"))))</f>
        <v/>
      </c>
      <c r="AN76" s="14" t="str">
        <f aca="false">IF(AG76=0,"",IF(AK76="","",IF(AK76=$H76,"Part-Time",IF(AK76=$I76,"Full-Time","Casual"))))</f>
        <v/>
      </c>
      <c r="AO76" s="14" t="str">
        <f aca="false">IF(AG76=0,"",IF(AL76="","",IF(AL76=$H76,"Part-Time",IF(AL76=$I76,"Full-Time","Casual"))))</f>
        <v/>
      </c>
      <c r="AP76" s="14" t="str">
        <f aca="false">IF(AG76=0,"",IF(AI76=0,IF(OR(ISNUMBER(SEARCH("full",$C76)),UPPER(TRIM($C76))="FT",UPPER(TRIM($C76))="FTE"),"FT",IF(AND(OR(ISNUMBER(SEARCH("part",$C76)),UPPER(TRIM($C76))="PT",UPPER(TRIM($C76))="PTE"),OR($P76="",N($P76)&gt;=PT_MinHours)),"PT","None")),IF(OR(ISNUMBER(SEARCH("full",AM76)),UPPER(TRIM(AM76))="FT",UPPER(TRIM(AM76))="FTE"),"FT",IF(AND(OR(ISNUMBER(SEARCH("part",AM76)),UPPER(TRIM(AM76))="PT",UPPER(TRIM(AM76))="PTE"),OR($P76="",N($P76)&gt;=PT_MinHours)),"PT","None"))))</f>
        <v/>
      </c>
      <c r="AQ76" s="14" t="str">
        <f aca="false">IF(AG76=0,"",IF(AI76&lt;2,"",IF(OR(ISNUMBER(SEARCH("full",AN76)),UPPER(TRIM(AN76))="FT",UPPER(TRIM(AN76))="FTE"),"FT",IF(AND(OR(ISNUMBER(SEARCH("part",AN76)),UPPER(TRIM(AN76))="PT",UPPER(TRIM(AN76))="PTE"),OR($P76="",N($P76)&gt;=PT_MinHours)),"PT","None"))))</f>
        <v/>
      </c>
      <c r="AR76" s="14" t="str">
        <f aca="false">IF(AG76=0,"",IF(AI76&lt;3,"",IF(OR(ISNUMBER(SEARCH("full",AO76)),UPPER(TRIM(AO76))="FT",UPPER(TRIM(AO76))="FTE"),"FT",IF(AND(OR(ISNUMBER(SEARCH("part",AO76)),UPPER(TRIM(AO76))="PT",UPPER(TRIM(AO76))="PTE"),OR($P76="",N($P76)&gt;=PT_MinHours)),"PT","None"))))</f>
        <v/>
      </c>
      <c r="AS76" s="14" t="str">
        <f aca="false">IF(AG76=0,"",IF(AND(AI76&gt;=3,AL76&lt;=AsOfDate),AR76,IF(AND(AI76&gt;=2,AK76&lt;=AsOfDate),AQ76,AP76)))</f>
        <v/>
      </c>
      <c r="AT76" s="14" t="str">
        <f aca="false">IF(AG76=0,"",IF(AsOfDate&lt;AH76,-1,12*(YEAR(AsOfDate)-YEAR(AH76))+MONTH(AsOfDate)-MONTH(AH76)-IF(DAY(AsOfDate)&lt;MIN(DAY(AH76),DAY(EOMONTH(AsOfDate,0))),1,0)))</f>
        <v/>
      </c>
      <c r="AU76" s="14" t="str">
        <f aca="false">IF(AG76=0,"",IF(OR(AI76&lt;2,AK76&gt;AsOfDate),AT76,IF((AK76-1)&lt;AH76,-1,12*(YEAR((AK76-1))-YEAR(AH76))+MONTH((AK76-1))-MONTH(AH76)-IF(DAY((AK76-1))&lt;MIN(DAY(AH76),DAY(EOMONTH((AK76-1),0))),1,0))))</f>
        <v/>
      </c>
      <c r="AV76" s="14" t="str">
        <f aca="false">IF(AG76=0,"",IF(OR(AI76&lt;3,AL76&gt;AsOfDate),AT76,IF((AL76-1)&lt;AH76,-1,12*(YEAR((AL76-1))-YEAR(AH76))+MONTH((AL76-1))-MONTH(AH76)-IF(DAY((AL76-1))&lt;MIN(DAY(AH76),DAY(EOMONTH((AL76-1),0))),1,0))))</f>
        <v/>
      </c>
      <c r="AW76" s="14" t="str">
        <f aca="false">IF(AG76=0,"",IF(PFYDate&lt;AH76,-1,12*(YEAR(PFYDate)-YEAR(AH76))+MONTH(PFYDate)-MONTH(AH76)-IF(DAY(PFYDate)&lt;MIN(DAY(AH76),DAY(EOMONTH(PFYDate,0))),1,0)))</f>
        <v/>
      </c>
      <c r="AX76" s="14" t="str">
        <f aca="false">IF(AG76=0,"",IF(OR(AI76&lt;2,AK76&gt;PFYDate),AW76,IF((AK76-1)&lt;AH76,-1,12*(YEAR((AK76-1))-YEAR(AH76))+MONTH((AK76-1))-MONTH(AH76)-IF(DAY((AK76-1))&lt;MIN(DAY(AH76),DAY(EOMONTH((AK76-1),0))),1,0))))</f>
        <v/>
      </c>
      <c r="AY76" s="14" t="str">
        <f aca="false">IF(AG76=0,"",IF(OR(AI76&lt;3,AL76&gt;PFYDate),AW76,IF((AL76-1)&lt;AH76,-1,12*(YEAR((AL76-1))-YEAR(AH76))+MONTH((AL76-1))-MONTH(AH76)-IF(DAY((AL76-1))&lt;MIN(DAY(AH76),DAY(EOMONTH((AL76-1),0))),1,0))))</f>
        <v/>
      </c>
      <c r="AZ76" s="14" t="str">
        <f aca="false">IF(AG76=0,"",IF(AP76="FT",IF(AU76&lt;FT_First,0,IF(AU76&lt;FT_Y5,1+INT((AU76-FT_First)/FT_Int1),FT_PreY5+FT_PerYear*INT((AU76-FT_Y5)/12)+FT_AnnivDays+INT(MOD(AU76-FT_Y5,12)/FT_Int2))),IF(AP76="PT",IF(AU76&lt;PT_First,0,1+INT((AU76-PT_First)/PT_Int)),0))+IF(AND(AI76&gt;=2,AK76&lt;=AsOfDate),IF(AQ76="FT",IF(AV76&lt;FT_First,0,IF(AV76&lt;FT_Y5,1+INT((AV76-FT_First)/FT_Int1),FT_PreY5+FT_PerYear*INT((AV76-FT_Y5)/12)+FT_AnnivDays+INT(MOD(AV76-FT_Y5,12)/FT_Int2))),IF(AQ76="PT",IF(AV76&lt;PT_First,0,1+INT((AV76-PT_First)/PT_Int)),0))-IF(AQ76="FT",IF(AU76&lt;FT_First,0,IF(AU76&lt;FT_Y5,1+INT((AU76-FT_First)/FT_Int1),FT_PreY5+FT_PerYear*INT((AU76-FT_Y5)/12)+FT_AnnivDays+INT(MOD(AU76-FT_Y5,12)/FT_Int2))),IF(AQ76="PT",IF(AU76&lt;PT_First,0,1+INT((AU76-PT_First)/PT_Int)),0)),0)+IF(AND(AI76&gt;=3,AL76&lt;=AsOfDate),IF(AR76="FT",IF(AT76&lt;FT_First,0,IF(AT76&lt;FT_Y5,1+INT((AT76-FT_First)/FT_Int1),FT_PreY5+FT_PerYear*INT((AT76-FT_Y5)/12)+FT_AnnivDays+INT(MOD(AT76-FT_Y5,12)/FT_Int2))),IF(AR76="PT",IF(AT76&lt;PT_First,0,1+INT((AT76-PT_First)/PT_Int)),0))-IF(AR76="FT",IF(AV76&lt;FT_First,0,IF(AV76&lt;FT_Y5,1+INT((AV76-FT_First)/FT_Int1),FT_PreY5+FT_PerYear*INT((AV76-FT_Y5)/12)+FT_AnnivDays+INT(MOD(AV76-FT_Y5,12)/FT_Int2))),IF(AR76="PT",IF(AV76&lt;PT_First,0,1+INT((AV76-PT_First)/PT_Int)),0)),0))</f>
        <v/>
      </c>
      <c r="BA76" s="14" t="str">
        <f aca="false">IF(AG76=0,"",IF(AP76="FT",IF(AX76&lt;FT_First,0,IF(AX76&lt;FT_Y5,1+INT((AX76-FT_First)/FT_Int1),FT_PreY5+FT_PerYear*INT((AX76-FT_Y5)/12)+FT_AnnivDays+INT(MOD(AX76-FT_Y5,12)/FT_Int2))),IF(AP76="PT",IF(AX76&lt;PT_First,0,1+INT((AX76-PT_First)/PT_Int)),0))+IF(AND(AI76&gt;=2,AK76&lt;=PFYDate),IF(AQ76="FT",IF(AY76&lt;FT_First,0,IF(AY76&lt;FT_Y5,1+INT((AY76-FT_First)/FT_Int1),FT_PreY5+FT_PerYear*INT((AY76-FT_Y5)/12)+FT_AnnivDays+INT(MOD(AY76-FT_Y5,12)/FT_Int2))),IF(AQ76="PT",IF(AY76&lt;PT_First,0,1+INT((AY76-PT_First)/PT_Int)),0))-IF(AQ76="FT",IF(AX76&lt;FT_First,0,IF(AX76&lt;FT_Y5,1+INT((AX76-FT_First)/FT_Int1),FT_PreY5+FT_PerYear*INT((AX76-FT_Y5)/12)+FT_AnnivDays+INT(MOD(AX76-FT_Y5,12)/FT_Int2))),IF(AQ76="PT",IF(AX76&lt;PT_First,0,1+INT((AX76-PT_First)/PT_Int)),0)),0)+IF(AND(AI76&gt;=3,AL76&lt;=PFYDate),IF(AR76="FT",IF(AW76&lt;FT_First,0,IF(AW76&lt;FT_Y5,1+INT((AW76-FT_First)/FT_Int1),FT_PreY5+FT_PerYear*INT((AW76-FT_Y5)/12)+FT_AnnivDays+INT(MOD(AW76-FT_Y5,12)/FT_Int2))),IF(AR76="PT",IF(AW76&lt;PT_First,0,1+INT((AW76-PT_First)/PT_Int)),0))-IF(AR76="FT",IF(AY76&lt;FT_First,0,IF(AY76&lt;FT_Y5,1+INT((AY76-FT_First)/FT_Int1),FT_PreY5+FT_PerYear*INT((AY76-FT_Y5)/12)+FT_AnnivDays+INT(MOD(AY76-FT_Y5,12)/FT_Int2))),IF(AR76="PT",IF(AY76&lt;PT_First,0,1+INT((AY76-PT_First)/PT_Int)),0)),0))</f>
        <v/>
      </c>
      <c r="BB76" s="14" t="str">
        <f aca="false">IF(AG76=0,"",IF(AS76="FT",IF(AT76&lt;FT_First,FT_First,IF(AT76&lt;FT_Y5,MIN(FT_Y5,FT_First+FT_Int1*(INT((AT76-FT_First)/FT_Int1)+1)),FT_Y5+12*INT((AT76-FT_Y5)/12)+FT_Int2*(INT(MOD(AT76-FT_Y5,12)/FT_Int2)+1))),IF(AS76="PT",IF(AT76&lt;PT_First,PT_First,PT_First+PT_Int*(INT((AT76-PT_First)/PT_Int)+1)),"")))</f>
        <v/>
      </c>
      <c r="BC76" s="14" t="str">
        <f aca="false">IF(AG76=0,"",IF(NOT(LH_Ready),0,COUNTIFS(INDEX(LH_Data,0,LH_ColFirst),$A76,INDEX(LH_Data,0,LH_ColSur),$B76,INDEX(LH_Data,0,LH_ColCat),BonusCat)))</f>
        <v/>
      </c>
      <c r="BD76" s="14" t="str">
        <f aca="false">IF(AG76=0,"",IF(OR(NOT(LH_Ready),BC76=0),0,SUMPRODUCT(MAX((INDEX(LH_Data,0,LH_ColFirst)=$A76)*(INDEX(LH_Data,0,LH_ColSur)=$B76)*(INDEX(LH_Data,0,LH_ColCat)=BonusCat)*ROW(LH_Data)))))</f>
        <v/>
      </c>
      <c r="BE76" s="14" t="str">
        <f aca="false">IF(AG76=0,"",IF(EOMONTH(AsOfDate,-1)&lt;AH76,-1,12*(YEAR(EOMONTH(AsOfDate,-1))-YEAR(AH76))+MONTH(EOMONTH(AsOfDate,-1))-MONTH(AH76)-IF(DAY(EOMONTH(AsOfDate,-1))&lt;MIN(DAY(AH76),DAY(EOMONTH(EOMONTH(AsOfDate,-1),0))),1,0)))</f>
        <v/>
      </c>
      <c r="BF76" s="14" t="str">
        <f aca="false">IF(AG76=0,"",IF(OR(AI76&lt;2,AK76&gt;EOMONTH(AsOfDate,-1)),BE76,IF((AK76-1)&lt;AH76,-1,12*(YEAR((AK76-1))-YEAR(AH76))+MONTH((AK76-1))-MONTH(AH76)-IF(DAY((AK76-1))&lt;MIN(DAY(AH76),DAY(EOMONTH((AK76-1),0))),1,0))))</f>
        <v/>
      </c>
      <c r="BG76" s="14" t="str">
        <f aca="false">IF(AG76=0,"",IF(OR(AI76&lt;3,AL76&gt;EOMONTH(AsOfDate,-1)),BE76,IF((AL76-1)&lt;AH76,-1,12*(YEAR((AL76-1))-YEAR(AH76))+MONTH((AL76-1))-MONTH(AH76)-IF(DAY((AL76-1))&lt;MIN(DAY(AH76),DAY(EOMONTH((AL76-1),0))),1,0))))</f>
        <v/>
      </c>
      <c r="BH76" s="14" t="str">
        <f aca="false">IF(AG76=0,"",IF(AP76="FT",IF(BF76&lt;FT_First,0,IF(BF76&lt;FT_Y5,1+INT((BF76-FT_First)/FT_Int1),FT_PreY5+FT_PerYear*INT((BF76-FT_Y5)/12)+FT_AnnivDays+INT(MOD(BF76-FT_Y5,12)/FT_Int2))),IF(AP76="PT",IF(BF76&lt;PT_First,0,1+INT((BF76-PT_First)/PT_Int)),0))+IF(AND(AI76&gt;=2,AK76&lt;=EOMONTH(AsOfDate,-1)),IF(AQ76="FT",IF(BG76&lt;FT_First,0,IF(BG76&lt;FT_Y5,1+INT((BG76-FT_First)/FT_Int1),FT_PreY5+FT_PerYear*INT((BG76-FT_Y5)/12)+FT_AnnivDays+INT(MOD(BG76-FT_Y5,12)/FT_Int2))),IF(AQ76="PT",IF(BG76&lt;PT_First,0,1+INT((BG76-PT_First)/PT_Int)),0))-IF(AQ76="FT",IF(BF76&lt;FT_First,0,IF(BF76&lt;FT_Y5,1+INT((BF76-FT_First)/FT_Int1),FT_PreY5+FT_PerYear*INT((BF76-FT_Y5)/12)+FT_AnnivDays+INT(MOD(BF76-FT_Y5,12)/FT_Int2))),IF(AQ76="PT",IF(BF76&lt;PT_First,0,1+INT((BF76-PT_First)/PT_Int)),0)),0)+IF(AND(AI76&gt;=3,AL76&lt;=EOMONTH(AsOfDate,-1)),IF(AR76="FT",IF(BE76&lt;FT_First,0,IF(BE76&lt;FT_Y5,1+INT((BE76-FT_First)/FT_Int1),FT_PreY5+FT_PerYear*INT((BE76-FT_Y5)/12)+FT_AnnivDays+INT(MOD(BE76-FT_Y5,12)/FT_Int2))),IF(AR76="PT",IF(BE76&lt;PT_First,0,1+INT((BE76-PT_First)/PT_Int)),0))-IF(AR76="FT",IF(BG76&lt;FT_First,0,IF(BG76&lt;FT_Y5,1+INT((BG76-FT_First)/FT_Int1),FT_PreY5+FT_PerYear*INT((BG76-FT_Y5)/12)+FT_AnnivDays+INT(MOD(BG76-FT_Y5,12)/FT_Int2))),IF(AR76="PT",IF(BG76&lt;PT_First,0,1+INT((BG76-PT_First)/PT_Int)),0)),0))</f>
        <v/>
      </c>
      <c r="BI76" s="14" t="str">
        <f aca="false">IF(AG76=0,"",IF(AS76="FT",IF(AT76&lt;FT_First,"",IF(AT76&lt;FT_Y5,FT_First+FT_Int1*INT((AT76-FT_First)/FT_Int1),FT_Y5+FT_Int2*INT((AT76-FT_Y5)/FT_Int2))),IF(AS76="PT",IF(AT76&lt;PT_First,"",PT_First+PT_Int*INT((AT76-PT_First)/PT_Int)),"")))</f>
        <v/>
      </c>
      <c r="BJ76" s="0" t="str">
        <f aca="false">IF(LEN($A76&amp;$B76)=0,"",$A76&amp;" "&amp;$B76)</f>
        <v/>
      </c>
    </row>
    <row r="77" customFormat="false" ht="15" hidden="false" customHeight="false" outlineLevel="0" collapsed="false">
      <c r="A77" s="10"/>
      <c r="B77" s="10"/>
      <c r="C77" s="10"/>
      <c r="D77" s="11"/>
      <c r="E77" s="12" t="str">
        <f aca="false">IF(OR(AG77=0,$D77=""),"",DATE(YEAR(AsOfDate)+IF(DATE(YEAR(AsOfDate),MONTH($D77),DAY($D77))&lt;=AsOfDate,1,0),MONTH($D77),DAY($D77)))</f>
        <v/>
      </c>
      <c r="F77" s="11"/>
      <c r="G77" s="11"/>
      <c r="H77" s="11"/>
      <c r="I77" s="11"/>
      <c r="J77" s="11"/>
      <c r="K77" s="12" t="str">
        <f aca="false">IF(AG77=0,"",DATE(YEAR(AsOfDate)+IF(DATE(YEAR(AsOfDate),MONTH(AH77),DAY(AH77))&lt;=AsOfDate,1,0),MONTH(AH77),DAY(AH77)))</f>
        <v/>
      </c>
      <c r="L77" s="13" t="str">
        <f aca="false">IF(AG77=0,"",ROUND((AsOfDate-AH77)/365.25,1))</f>
        <v/>
      </c>
      <c r="M77" s="14" t="str">
        <f aca="false">IF(AG77=0,"",IF(AsOfDate&lt;AH77,"-",DATEDIF(AH77,AsOfDate,"y")&amp;"y "&amp;DATEDIF(AH77,AsOfDate,"ym")&amp;"m "&amp;DATEDIF(AH77,AsOfDate,"md")&amp;"d"))</f>
        <v/>
      </c>
      <c r="N77" s="15" t="str">
        <f aca="false">IF(AG77=0,"",O77*HoursPerDay)</f>
        <v/>
      </c>
      <c r="O77" s="15" t="str">
        <f aca="false">IF(AG77=0,"",AZ77)</f>
        <v/>
      </c>
      <c r="P77" s="16"/>
      <c r="Q77" s="14" t="str">
        <f aca="false">IF(AG77=0,"",IF(AI77&lt;2,"",AM77&amp;" to "&amp;AN77&amp;" on "&amp;TEXT(AK77,"dd/mm/yyyy")&amp;IF(AK77&gt;AsOfDate," (future)",IF(AP77=AQ77,"",IF(AQ77="None"," - STOPPED accruing",IF(AP77="None"," - commencement for Bonus Leave"," - pathway changed"))))&amp;IF(AI77&lt;3,"","; "&amp;AN77&amp;" to "&amp;AO77&amp;" on "&amp;TEXT(AL77,"dd/mm/yyyy")&amp;IF(AL77&gt;AsOfDate," (future)",IF(AQ77=AR77,"",IF(AR77="None"," - STOPPED accruing",IF(AQ77="None"," - commencement for Bonus Leave"," - pathway changed")))))))</f>
        <v/>
      </c>
      <c r="R77" s="14" t="str">
        <f aca="false">IF(AG77=0,"",IF(AS77="None",IF(O77&gt;0,"No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2" t="str">
        <f aca="false">IF(AG77=0,"",IF(AS77="None","",EDATE(AH77,BB77)))</f>
        <v/>
      </c>
      <c r="T77" s="15" t="str">
        <f aca="false">IF(AG77=0,"",IF(NOT(LH_Ready),"",IF(AH77&gt;PFYDate,0,IF(LH_ColPeriod=0,W77-U77+V77,SUMIFS(INDEX(LH_Data,0,LH_ColAcc),INDEX(LH_Data,0,LH_ColFirst),$A77,INDEX(LH_Data,0,LH_ColSur),$B77,INDEX(LH_Data,0,LH_ColCat),BonusCat,INDEX(LH_Data,0,LH_ColPeriod),LH_OpenLabel)*UnitFactor))))</f>
        <v/>
      </c>
      <c r="U77" s="15" t="str">
        <f aca="false">IF(AG77=0,"",IF(NOT(LH_Ready),"",SUMIFS(INDEX(LH_Data,0,LH_ColAcc),INDEX(LH_Data,0,LH_ColFirst),$A77,INDEX(LH_Data,0,LH_ColSur),$B77,INDEX(LH_Data,0,LH_ColCat),BonusCat,INDEX(LH_Data,0,LH_ColStart),"&gt;="&amp;AH77)*UnitFactor))</f>
        <v/>
      </c>
      <c r="V77" s="15" t="str">
        <f aca="false">IF(AG77=0,"",IF(NOT(LH_Ready),"",SUMIFS(INDEX(LH_Data,0,LH_ColTaken),INDEX(LH_Data,0,LH_ColFirst),$A77,INDEX(LH_Data,0,LH_ColSur),$B77,INDEX(LH_Data,0,LH_ColCat),BonusCat,INDEX(LH_Data,0,LH_ColStart),"&gt;="&amp;AH77)*UnitFactor))</f>
        <v/>
      </c>
      <c r="W77" s="15" t="str">
        <f aca="false">IF(AG77=0,"",IF(NOT(LH_Ready),"",IF(BD77=0,0,INDEX(INDEX(LH_Data,0,LH_ColClose),BD77-1)*UnitFactor)))</f>
        <v/>
      </c>
      <c r="X77" s="15" t="str">
        <f aca="false">IF(AG77=0,"",(AZ77-BA77)*HoursPerDay)</f>
        <v/>
      </c>
      <c r="Y77" s="15" t="str">
        <f aca="false">IF(AG77=0,"",IF(NOT(LH_Ready),"",IF(BC77=0,N77,IF(PFYDate&lt;$F77,N77-N(T77)-N(U77),X77-N(U77)))))</f>
        <v/>
      </c>
      <c r="Z77" s="14" t="str">
        <f aca="false">IF(OR(AG77=0,Y77=""),"",IF(Y77&gt;0,"Yes","No"))</f>
        <v/>
      </c>
      <c r="AA77" s="14" t="str">
        <f aca="false">IF(AG77=0,IF(LEN($A77&amp;$B77)=0,"","FIX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month")&amp;IF(BC77=0,";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EH)",""),IF(AS77="None",R77,"Not yet - first day on "&amp;TEXT(S77,"dd/mm/yyyy")))))))))</f>
        <v/>
      </c>
      <c r="AB77" s="15" t="str">
        <f aca="false">IF(OR(AG77=0,T77=""),"",BA77*HoursPerDay-T77)</f>
        <v/>
      </c>
      <c r="AC77" s="14" t="str">
        <f aca="false">IF(AG77=0,"",BC77)</f>
        <v/>
      </c>
      <c r="AD77" s="14" t="str">
        <f aca="false">IF(AG77=0,"",TRIM(IF(OR(ISTEXT($F77),ISTEXT($H77),ISTEXT($I77),ISTEXT($G77),ISTEXT($J77),ISTEXT($D77)),"A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I77&gt;=1,IF(AI77&gt;=3,AO77,IF(AI77=2,AN77,AM77))&lt;&gt;IF($C77="","",IF(OR(ISNUMBER(SEARCH("full",$C77)),UPPER(TRIM($C77))="FT",UPPER(TRIM($C77))="FTE"),"Full-Time",IF(OR(ISNUMBER(SEARCH("part",$C77)),UPPER(TRIM($C77))="PT",UPPER(TRIM($C77))="PTE"),"Part-Time",IF(OR(ISNUMBER(SEARCH("cas",$C77)),UPPER(TRIM($C77))="CAS"),"Casual","Unknown"))))),"EmploymentType does not match latest start date ("&amp;IF(AI77&gt;=3,AO77,IF(AI77=2,AN77,AM77))&amp;"). ","")&amp;IF(AND(AI77&gt;=1,AJ77&lt;&gt;$F77),"Earliest type date should equal StartDate. ","")&amp;IF(AND(AI77&gt;=2,AJ77=AK77),"Two types start on the same date. ","")&amp;IF(AND(OR(ISNUMBER(SEARCH("part",$C77)),UPPER(TRIM($C77))="PT",UPPER(TRIM($C77))="PTE"),$P77=""),"Part-time: enter PT Hrs/Week (blank = 24+). ","")))</f>
        <v/>
      </c>
      <c r="AE77" s="15" t="str">
        <f aca="false">IF(AG77=0,"",O77-BH77)</f>
        <v/>
      </c>
      <c r="AF77" s="12" t="str">
        <f aca="false">IF(OR(AG77=0,AE77="",N(AE77)=0,BI77=""),"",EDATE(AH77,BI77))</f>
        <v/>
      </c>
      <c r="AG77" s="14" t="n">
        <f aca="false">IF(OR(LEN($A77&amp;$B77)=0,$F77=""),0,1)</f>
        <v>0</v>
      </c>
      <c r="AH77" s="12" t="str">
        <f aca="false">IF(AG77=0,"",IF($J77&lt;&gt;"",$J77,IF(OR(CasualCounts="Yes",COUNT($G77:$I77)=0,COUNT($H77:$I77)=0),$F77,MIN($H77:$I77))))</f>
        <v/>
      </c>
      <c r="AI77" s="14" t="str">
        <f aca="false">IF(AG77=0,"",COUNT($G77:$I77))</f>
        <v/>
      </c>
      <c r="AJ77" s="12" t="str">
        <f aca="false">IF(AG77=0,"",IFERROR(SMALL($G77:$I77,1),""))</f>
        <v/>
      </c>
      <c r="AK77" s="12" t="str">
        <f aca="false">IF(AG77=0,"",IFERROR(SMALL($G77:$I77,2),""))</f>
        <v/>
      </c>
      <c r="AL77" s="12" t="str">
        <f aca="false">IF(AG77=0,"",IFERROR(SMALL($G77:$I77,3),""))</f>
        <v/>
      </c>
      <c r="AM77" s="14" t="str">
        <f aca="false">IF(AG77=0,"",IF(AJ77="","",IF(AJ77=$H77,"Part-Time",IF(AJ77=$I77,"Full-Time","Casual"))))</f>
        <v/>
      </c>
      <c r="AN77" s="14" t="str">
        <f aca="false">IF(AG77=0,"",IF(AK77="","",IF(AK77=$H77,"Part-Time",IF(AK77=$I77,"Full-Time","Casual"))))</f>
        <v/>
      </c>
      <c r="AO77" s="14" t="str">
        <f aca="false">IF(AG77=0,"",IF(AL77="","",IF(AL77=$H77,"Part-Time",IF(AL77=$I77,"Full-Time","Casual"))))</f>
        <v/>
      </c>
      <c r="AP77" s="14" t="str">
        <f aca="false">IF(AG77=0,"",IF(AI77=0,IF(OR(ISNUMBER(SEARCH("full",$C77)),UPPER(TRIM($C77))="FT",UPPER(TRIM($C77))="FTE"),"FT",IF(AND(OR(ISNUMBER(SEARCH("part",$C77)),UPPER(TRIM($C77))="PT",UPPER(TRIM($C77))="PTE"),OR($P77="",N($P77)&gt;=PT_MinHours)),"PT","None")),IF(OR(ISNUMBER(SEARCH("full",AM77)),UPPER(TRIM(AM77))="FT",UPPER(TRIM(AM77))="FTE"),"FT",IF(AND(OR(ISNUMBER(SEARCH("part",AM77)),UPPER(TRIM(AM77))="PT",UPPER(TRIM(AM77))="PTE"),OR($P77="",N($P77)&gt;=PT_MinHours)),"PT","None"))))</f>
        <v/>
      </c>
      <c r="AQ77" s="14" t="str">
        <f aca="false">IF(AG77=0,"",IF(AI77&lt;2,"",IF(OR(ISNUMBER(SEARCH("full",AN77)),UPPER(TRIM(AN77))="FT",UPPER(TRIM(AN77))="FTE"),"FT",IF(AND(OR(ISNUMBER(SEARCH("part",AN77)),UPPER(TRIM(AN77))="PT",UPPER(TRIM(AN77))="PTE"),OR($P77="",N($P77)&gt;=PT_MinHours)),"PT","None"))))</f>
        <v/>
      </c>
      <c r="AR77" s="14" t="str">
        <f aca="false">IF(AG77=0,"",IF(AI77&lt;3,"",IF(OR(ISNUMBER(SEARCH("full",AO77)),UPPER(TRIM(AO77))="FT",UPPER(TRIM(AO77))="FTE"),"FT",IF(AND(OR(ISNUMBER(SEARCH("part",AO77)),UPPER(TRIM(AO77))="PT",UPPER(TRIM(AO77))="PTE"),OR($P77="",N($P77)&gt;=PT_MinHours)),"PT","None"))))</f>
        <v/>
      </c>
      <c r="AS77" s="14" t="str">
        <f aca="false">IF(AG77=0,"",IF(AND(AI77&gt;=3,AL77&lt;=AsOfDate),AR77,IF(AND(AI77&gt;=2,AK77&lt;=AsOfDate),AQ77,AP77)))</f>
        <v/>
      </c>
      <c r="AT77" s="14" t="str">
        <f aca="false">IF(AG77=0,"",IF(AsOfDate&lt;AH77,-1,12*(YEAR(AsOfDate)-YEAR(AH77))+MONTH(AsOfDate)-MONTH(AH77)-IF(DAY(AsOfDate)&lt;MIN(DAY(AH77),DAY(EOMONTH(AsOfDate,0))),1,0)))</f>
        <v/>
      </c>
      <c r="AU77" s="14" t="str">
        <f aca="false">IF(AG77=0,"",IF(OR(AI77&lt;2,AK77&gt;AsOfDate),AT77,IF((AK77-1)&lt;AH77,-1,12*(YEAR((AK77-1))-YEAR(AH77))+MONTH((AK77-1))-MONTH(AH77)-IF(DAY((AK77-1))&lt;MIN(DAY(AH77),DAY(EOMONTH((AK77-1),0))),1,0))))</f>
        <v/>
      </c>
      <c r="AV77" s="14" t="str">
        <f aca="false">IF(AG77=0,"",IF(OR(AI77&lt;3,AL77&gt;AsOfDate),AT77,IF((AL77-1)&lt;AH77,-1,12*(YEAR((AL77-1))-YEAR(AH77))+MONTH((AL77-1))-MONTH(AH77)-IF(DAY((AL77-1))&lt;MIN(DAY(AH77),DAY(EOMONTH((AL77-1),0))),1,0))))</f>
        <v/>
      </c>
      <c r="AW77" s="14" t="str">
        <f aca="false">IF(AG77=0,"",IF(PFYDate&lt;AH77,-1,12*(YEAR(PFYDate)-YEAR(AH77))+MONTH(PFYDate)-MONTH(AH77)-IF(DAY(PFYDate)&lt;MIN(DAY(AH77),DAY(EOMONTH(PFYDate,0))),1,0)))</f>
        <v/>
      </c>
      <c r="AX77" s="14" t="str">
        <f aca="false">IF(AG77=0,"",IF(OR(AI77&lt;2,AK77&gt;PFYDate),AW77,IF((AK77-1)&lt;AH77,-1,12*(YEAR((AK77-1))-YEAR(AH77))+MONTH((AK77-1))-MONTH(AH77)-IF(DAY((AK77-1))&lt;MIN(DAY(AH77),DAY(EOMONTH((AK77-1),0))),1,0))))</f>
        <v/>
      </c>
      <c r="AY77" s="14" t="str">
        <f aca="false">IF(AG77=0,"",IF(OR(AI77&lt;3,AL77&gt;PFYDate),AW77,IF((AL77-1)&lt;AH77,-1,12*(YEAR((AL77-1))-YEAR(AH77))+MONTH((AL77-1))-MONTH(AH77)-IF(DAY((AL77-1))&lt;MIN(DAY(AH77),DAY(EOMONTH((AL77-1),0))),1,0))))</f>
        <v/>
      </c>
      <c r="AZ77" s="14" t="str">
        <f aca="false">IF(AG77=0,"",IF(AP77="FT",IF(AU77&lt;FT_First,0,IF(AU77&lt;FT_Y5,1+INT((AU77-FT_First)/FT_Int1),FT_PreY5+FT_PerYear*INT((AU77-FT_Y5)/12)+FT_AnnivDays+INT(MOD(AU77-FT_Y5,12)/FT_Int2))),IF(AP77="PT",IF(AU77&lt;PT_First,0,1+INT((AU77-PT_First)/PT_Int)),0))+IF(AND(AI77&gt;=2,AK77&lt;=AsOfDate),IF(AQ77="FT",IF(AV77&lt;FT_First,0,IF(AV77&lt;FT_Y5,1+INT((AV77-FT_First)/FT_Int1),FT_PreY5+FT_PerYear*INT((AV77-FT_Y5)/12)+FT_AnnivDays+INT(MOD(AV77-FT_Y5,12)/FT_Int2))),IF(AQ77="PT",IF(AV77&lt;PT_First,0,1+INT((AV77-PT_First)/PT_Int)),0))-IF(AQ77="FT",IF(AU77&lt;FT_First,0,IF(AU77&lt;FT_Y5,1+INT((AU77-FT_First)/FT_Int1),FT_PreY5+FT_PerYear*INT((AU77-FT_Y5)/12)+FT_AnnivDays+INT(MOD(AU77-FT_Y5,12)/FT_Int2))),IF(AQ77="PT",IF(AU77&lt;PT_First,0,1+INT((AU77-PT_First)/PT_Int)),0)),0)+IF(AND(AI77&gt;=3,AL77&lt;=AsOfDate),IF(AR77="FT",IF(AT77&lt;FT_First,0,IF(AT77&lt;FT_Y5,1+INT((AT77-FT_First)/FT_Int1),FT_PreY5+FT_PerYear*INT((AT77-FT_Y5)/12)+FT_AnnivDays+INT(MOD(AT77-FT_Y5,12)/FT_Int2))),IF(AR77="PT",IF(AT77&lt;PT_First,0,1+INT((AT77-PT_First)/PT_Int)),0))-IF(AR77="FT",IF(AV77&lt;FT_First,0,IF(AV77&lt;FT_Y5,1+INT((AV77-FT_First)/FT_Int1),FT_PreY5+FT_PerYear*INT((AV77-FT_Y5)/12)+FT_AnnivDays+INT(MOD(AV77-FT_Y5,12)/FT_Int2))),IF(AR77="PT",IF(AV77&lt;PT_First,0,1+INT((AV77-PT_First)/PT_Int)),0)),0))</f>
        <v/>
      </c>
      <c r="BA77" s="14" t="str">
        <f aca="false">IF(AG77=0,"",IF(AP77="FT",IF(AX77&lt;FT_First,0,IF(AX77&lt;FT_Y5,1+INT((AX77-FT_First)/FT_Int1),FT_PreY5+FT_PerYear*INT((AX77-FT_Y5)/12)+FT_AnnivDays+INT(MOD(AX77-FT_Y5,12)/FT_Int2))),IF(AP77="PT",IF(AX77&lt;PT_First,0,1+INT((AX77-PT_First)/PT_Int)),0))+IF(AND(AI77&gt;=2,AK77&lt;=PFYDate),IF(AQ77="FT",IF(AY77&lt;FT_First,0,IF(AY77&lt;FT_Y5,1+INT((AY77-FT_First)/FT_Int1),FT_PreY5+FT_PerYear*INT((AY77-FT_Y5)/12)+FT_AnnivDays+INT(MOD(AY77-FT_Y5,12)/FT_Int2))),IF(AQ77="PT",IF(AY77&lt;PT_First,0,1+INT((AY77-PT_First)/PT_Int)),0))-IF(AQ77="FT",IF(AX77&lt;FT_First,0,IF(AX77&lt;FT_Y5,1+INT((AX77-FT_First)/FT_Int1),FT_PreY5+FT_PerYear*INT((AX77-FT_Y5)/12)+FT_AnnivDays+INT(MOD(AX77-FT_Y5,12)/FT_Int2))),IF(AQ77="PT",IF(AX77&lt;PT_First,0,1+INT((AX77-PT_First)/PT_Int)),0)),0)+IF(AND(AI77&gt;=3,AL77&lt;=PFYDate),IF(AR77="FT",IF(AW77&lt;FT_First,0,IF(AW77&lt;FT_Y5,1+INT((AW77-FT_First)/FT_Int1),FT_PreY5+FT_PerYear*INT((AW77-FT_Y5)/12)+FT_AnnivDays+INT(MOD(AW77-FT_Y5,12)/FT_Int2))),IF(AR77="PT",IF(AW77&lt;PT_First,0,1+INT((AW77-PT_First)/PT_Int)),0))-IF(AR77="FT",IF(AY77&lt;FT_First,0,IF(AY77&lt;FT_Y5,1+INT((AY77-FT_First)/FT_Int1),FT_PreY5+FT_PerYear*INT((AY77-FT_Y5)/12)+FT_AnnivDays+INT(MOD(AY77-FT_Y5,12)/FT_Int2))),IF(AR77="PT",IF(AY77&lt;PT_First,0,1+INT((AY77-PT_First)/PT_Int)),0)),0))</f>
        <v/>
      </c>
      <c r="BB77" s="14" t="str">
        <f aca="false">IF(AG77=0,"",IF(AS77="FT",IF(AT77&lt;FT_First,FT_First,IF(AT77&lt;FT_Y5,MIN(FT_Y5,FT_First+FT_Int1*(INT((AT77-FT_First)/FT_Int1)+1)),FT_Y5+12*INT((AT77-FT_Y5)/12)+FT_Int2*(INT(MOD(AT77-FT_Y5,12)/FT_Int2)+1))),IF(AS77="PT",IF(AT77&lt;PT_First,PT_First,PT_First+PT_Int*(INT((AT77-PT_First)/PT_Int)+1)),"")))</f>
        <v/>
      </c>
      <c r="BC77" s="14" t="str">
        <f aca="false">IF(AG77=0,"",IF(NOT(LH_Ready),0,COUNTIFS(INDEX(LH_Data,0,LH_ColFirst),$A77,INDEX(LH_Data,0,LH_ColSur),$B77,INDEX(LH_Data,0,LH_ColCat),BonusCat)))</f>
        <v/>
      </c>
      <c r="BD77" s="14" t="str">
        <f aca="false">IF(AG77=0,"",IF(OR(NOT(LH_Ready),BC77=0),0,SUMPRODUCT(MAX((INDEX(LH_Data,0,LH_ColFirst)=$A77)*(INDEX(LH_Data,0,LH_ColSur)=$B77)*(INDEX(LH_Data,0,LH_ColCat)=BonusCat)*ROW(LH_Data)))))</f>
        <v/>
      </c>
      <c r="BE77" s="14" t="str">
        <f aca="false">IF(AG77=0,"",IF(EOMONTH(AsOfDate,-1)&lt;AH77,-1,12*(YEAR(EOMONTH(AsOfDate,-1))-YEAR(AH77))+MONTH(EOMONTH(AsOfDate,-1))-MONTH(AH77)-IF(DAY(EOMONTH(AsOfDate,-1))&lt;MIN(DAY(AH77),DAY(EOMONTH(EOMONTH(AsOfDate,-1),0))),1,0)))</f>
        <v/>
      </c>
      <c r="BF77" s="14" t="str">
        <f aca="false">IF(AG77=0,"",IF(OR(AI77&lt;2,AK77&gt;EOMONTH(AsOfDate,-1)),BE77,IF((AK77-1)&lt;AH77,-1,12*(YEAR((AK77-1))-YEAR(AH77))+MONTH((AK77-1))-MONTH(AH77)-IF(DAY((AK77-1))&lt;MIN(DAY(AH77),DAY(EOMONTH((AK77-1),0))),1,0))))</f>
        <v/>
      </c>
      <c r="BG77" s="14" t="str">
        <f aca="false">IF(AG77=0,"",IF(OR(AI77&lt;3,AL77&gt;EOMONTH(AsOfDate,-1)),BE77,IF((AL77-1)&lt;AH77,-1,12*(YEAR((AL77-1))-YEAR(AH77))+MONTH((AL77-1))-MONTH(AH77)-IF(DAY((AL77-1))&lt;MIN(DAY(AH77),DAY(EOMONTH((AL77-1),0))),1,0))))</f>
        <v/>
      </c>
      <c r="BH77" s="14" t="str">
        <f aca="false">IF(AG77=0,"",IF(AP77="FT",IF(BF77&lt;FT_First,0,IF(BF77&lt;FT_Y5,1+INT((BF77-FT_First)/FT_Int1),FT_PreY5+FT_PerYear*INT((BF77-FT_Y5)/12)+FT_AnnivDays+INT(MOD(BF77-FT_Y5,12)/FT_Int2))),IF(AP77="PT",IF(BF77&lt;PT_First,0,1+INT((BF77-PT_First)/PT_Int)),0))+IF(AND(AI77&gt;=2,AK77&lt;=EOMONTH(AsOfDate,-1)),IF(AQ77="FT",IF(BG77&lt;FT_First,0,IF(BG77&lt;FT_Y5,1+INT((BG77-FT_First)/FT_Int1),FT_PreY5+FT_PerYear*INT((BG77-FT_Y5)/12)+FT_AnnivDays+INT(MOD(BG77-FT_Y5,12)/FT_Int2))),IF(AQ77="PT",IF(BG77&lt;PT_First,0,1+INT((BG77-PT_First)/PT_Int)),0))-IF(AQ77="FT",IF(BF77&lt;FT_First,0,IF(BF77&lt;FT_Y5,1+INT((BF77-FT_First)/FT_Int1),FT_PreY5+FT_PerYear*INT((BF77-FT_Y5)/12)+FT_AnnivDays+INT(MOD(BF77-FT_Y5,12)/FT_Int2))),IF(AQ77="PT",IF(BF77&lt;PT_First,0,1+INT((BF77-PT_First)/PT_Int)),0)),0)+IF(AND(AI77&gt;=3,AL77&lt;=EOMONTH(AsOfDate,-1)),IF(AR77="FT",IF(BE77&lt;FT_First,0,IF(BE77&lt;FT_Y5,1+INT((BE77-FT_First)/FT_Int1),FT_PreY5+FT_PerYear*INT((BE77-FT_Y5)/12)+FT_AnnivDays+INT(MOD(BE77-FT_Y5,12)/FT_Int2))),IF(AR77="PT",IF(BE77&lt;PT_First,0,1+INT((BE77-PT_First)/PT_Int)),0))-IF(AR77="FT",IF(BG77&lt;FT_First,0,IF(BG77&lt;FT_Y5,1+INT((BG77-FT_First)/FT_Int1),FT_PreY5+FT_PerYear*INT((BG77-FT_Y5)/12)+FT_AnnivDays+INT(MOD(BG77-FT_Y5,12)/FT_Int2))),IF(AR77="PT",IF(BG77&lt;PT_First,0,1+INT((BG77-PT_First)/PT_Int)),0)),0))</f>
        <v/>
      </c>
      <c r="BI77" s="14" t="str">
        <f aca="false">IF(AG77=0,"",IF(AS77="FT",IF(AT77&lt;FT_First,"",IF(AT77&lt;FT_Y5,FT_First+FT_Int1*INT((AT77-FT_First)/FT_Int1),FT_Y5+FT_Int2*INT((AT77-FT_Y5)/FT_Int2))),IF(AS77="PT",IF(AT77&lt;PT_First,"",PT_First+PT_Int*INT((AT77-PT_First)/PT_Int)),"")))</f>
        <v/>
      </c>
      <c r="BJ77" s="0" t="str">
        <f aca="false">IF(LEN($A77&amp;$B77)=0,"",$A77&amp;" "&amp;$B77)</f>
        <v/>
      </c>
    </row>
    <row r="78" customFormat="false" ht="15" hidden="false" customHeight="false" outlineLevel="0" collapsed="false">
      <c r="A78" s="10"/>
      <c r="B78" s="10"/>
      <c r="C78" s="10"/>
      <c r="D78" s="11"/>
      <c r="E78" s="12" t="str">
        <f aca="false">IF(OR(AG78=0,$D78=""),"",DATE(YEAR(AsOfDate)+IF(DATE(YEAR(AsOfDate),MONTH($D78),DAY($D78))&lt;=AsOfDate,1,0),MONTH($D78),DAY($D78)))</f>
        <v/>
      </c>
      <c r="F78" s="11"/>
      <c r="G78" s="11"/>
      <c r="H78" s="11"/>
      <c r="I78" s="11"/>
      <c r="J78" s="11"/>
      <c r="K78" s="12" t="str">
        <f aca="false">IF(AG78=0,"",DATE(YEAR(AsOfDate)+IF(DATE(YEAR(AsOfDate),MONTH(AH78),DAY(AH78))&lt;=AsOfDate,1,0),MONTH(AH78),DAY(AH78)))</f>
        <v/>
      </c>
      <c r="L78" s="13" t="str">
        <f aca="false">IF(AG78=0,"",ROUND((AsOfDate-AH78)/365.25,1))</f>
        <v/>
      </c>
      <c r="M78" s="14" t="str">
        <f aca="false">IF(AG78=0,"",IF(AsOfDate&lt;AH78,"-",DATEDIF(AH78,AsOfDate,"y")&amp;"y "&amp;DATEDIF(AH78,AsOfDate,"ym")&amp;"m "&amp;DATEDIF(AH78,AsOfDate,"md")&amp;"d"))</f>
        <v/>
      </c>
      <c r="N78" s="15" t="str">
        <f aca="false">IF(AG78=0,"",O78*HoursPerDay)</f>
        <v/>
      </c>
      <c r="O78" s="15" t="str">
        <f aca="false">IF(AG78=0,"",AZ78)</f>
        <v/>
      </c>
      <c r="P78" s="16"/>
      <c r="Q78" s="14" t="str">
        <f aca="false">IF(AG78=0,"",IF(AI78&lt;2,"",AM78&amp;" to "&amp;AN78&amp;" on "&amp;TEXT(AK78,"dd/mm/yyyy")&amp;IF(AK78&gt;AsOfDate," (future)",IF(AP78=AQ78,"",IF(AQ78="None"," - STOPPED accruing",IF(AP78="None"," - commencement for Bonus Leave"," - pathway changed"))))&amp;IF(AI78&lt;3,"","; "&amp;AN78&amp;" to "&amp;AO78&amp;" on "&amp;TEXT(AL78,"dd/mm/yyyy")&amp;IF(AL78&gt;AsOfDate," (future)",IF(AQ78=AR78,"",IF(AR78="None"," - STOPPED accruing",IF(AQ78="None"," - commencement for Bonus Leave"," - pathway changed")))))))</f>
        <v/>
      </c>
      <c r="R78" s="14" t="str">
        <f aca="false">IF(AG78=0,"",IF(AS78="None",IF(O78&gt;0,"No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2" t="str">
        <f aca="false">IF(AG78=0,"",IF(AS78="None","",EDATE(AH78,BB78)))</f>
        <v/>
      </c>
      <c r="T78" s="15" t="str">
        <f aca="false">IF(AG78=0,"",IF(NOT(LH_Ready),"",IF(AH78&gt;PFYDate,0,IF(LH_ColPeriod=0,W78-U78+V78,SUMIFS(INDEX(LH_Data,0,LH_ColAcc),INDEX(LH_Data,0,LH_ColFirst),$A78,INDEX(LH_Data,0,LH_ColSur),$B78,INDEX(LH_Data,0,LH_ColCat),BonusCat,INDEX(LH_Data,0,LH_ColPeriod),LH_OpenLabel)*UnitFactor))))</f>
        <v/>
      </c>
      <c r="U78" s="15" t="str">
        <f aca="false">IF(AG78=0,"",IF(NOT(LH_Ready),"",SUMIFS(INDEX(LH_Data,0,LH_ColAcc),INDEX(LH_Data,0,LH_ColFirst),$A78,INDEX(LH_Data,0,LH_ColSur),$B78,INDEX(LH_Data,0,LH_ColCat),BonusCat,INDEX(LH_Data,0,LH_ColStart),"&gt;="&amp;AH78)*UnitFactor))</f>
        <v/>
      </c>
      <c r="V78" s="15" t="str">
        <f aca="false">IF(AG78=0,"",IF(NOT(LH_Ready),"",SUMIFS(INDEX(LH_Data,0,LH_ColTaken),INDEX(LH_Data,0,LH_ColFirst),$A78,INDEX(LH_Data,0,LH_ColSur),$B78,INDEX(LH_Data,0,LH_ColCat),BonusCat,INDEX(LH_Data,0,LH_ColStart),"&gt;="&amp;AH78)*UnitFactor))</f>
        <v/>
      </c>
      <c r="W78" s="15" t="str">
        <f aca="false">IF(AG78=0,"",IF(NOT(LH_Ready),"",IF(BD78=0,0,INDEX(INDEX(LH_Data,0,LH_ColClose),BD78-1)*UnitFactor)))</f>
        <v/>
      </c>
      <c r="X78" s="15" t="str">
        <f aca="false">IF(AG78=0,"",(AZ78-BA78)*HoursPerDay)</f>
        <v/>
      </c>
      <c r="Y78" s="15" t="str">
        <f aca="false">IF(AG78=0,"",IF(NOT(LH_Ready),"",IF(BC78=0,N78,IF(PFYDate&lt;$F78,N78-N(T78)-N(U78),X78-N(U78)))))</f>
        <v/>
      </c>
      <c r="Z78" s="14" t="str">
        <f aca="false">IF(OR(AG78=0,Y78=""),"",IF(Y78&gt;0,"Yes","No"))</f>
        <v/>
      </c>
      <c r="AA78" s="14" t="str">
        <f aca="false">IF(AG78=0,IF(LEN($A78&amp;$B78)=0,"","FIX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month")&amp;IF(BC78=0,";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EH)",""),IF(AS78="None",R78,"Not yet - first day on "&amp;TEXT(S78,"dd/mm/yyyy")))))))))</f>
        <v/>
      </c>
      <c r="AB78" s="15" t="str">
        <f aca="false">IF(OR(AG78=0,T78=""),"",BA78*HoursPerDay-T78)</f>
        <v/>
      </c>
      <c r="AC78" s="14" t="str">
        <f aca="false">IF(AG78=0,"",BC78)</f>
        <v/>
      </c>
      <c r="AD78" s="14" t="str">
        <f aca="false">IF(AG78=0,"",TRIM(IF(OR(ISTEXT($F78),ISTEXT($H78),ISTEXT($I78),ISTEXT($G78),ISTEXT($J78),ISTEXT($D78)),"A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I78&gt;=1,IF(AI78&gt;=3,AO78,IF(AI78=2,AN78,AM78))&lt;&gt;IF($C78="","",IF(OR(ISNUMBER(SEARCH("full",$C78)),UPPER(TRIM($C78))="FT",UPPER(TRIM($C78))="FTE"),"Full-Time",IF(OR(ISNUMBER(SEARCH("part",$C78)),UPPER(TRIM($C78))="PT",UPPER(TRIM($C78))="PTE"),"Part-Time",IF(OR(ISNUMBER(SEARCH("cas",$C78)),UPPER(TRIM($C78))="CAS"),"Casual","Unknown"))))),"EmploymentType does not match latest start date ("&amp;IF(AI78&gt;=3,AO78,IF(AI78=2,AN78,AM78))&amp;"). ","")&amp;IF(AND(AI78&gt;=1,AJ78&lt;&gt;$F78),"Earliest type date should equal StartDate. ","")&amp;IF(AND(AI78&gt;=2,AJ78=AK78),"Two types start on the same date. ","")&amp;IF(AND(OR(ISNUMBER(SEARCH("part",$C78)),UPPER(TRIM($C78))="PT",UPPER(TRIM($C78))="PTE"),$P78=""),"Part-time: enter PT Hrs/Week (blank = 24+). ","")))</f>
        <v/>
      </c>
      <c r="AE78" s="15" t="str">
        <f aca="false">IF(AG78=0,"",O78-BH78)</f>
        <v/>
      </c>
      <c r="AF78" s="12" t="str">
        <f aca="false">IF(OR(AG78=0,AE78="",N(AE78)=0,BI78=""),"",EDATE(AH78,BI78))</f>
        <v/>
      </c>
      <c r="AG78" s="14" t="n">
        <f aca="false">IF(OR(LEN($A78&amp;$B78)=0,$F78=""),0,1)</f>
        <v>0</v>
      </c>
      <c r="AH78" s="12" t="str">
        <f aca="false">IF(AG78=0,"",IF($J78&lt;&gt;"",$J78,IF(OR(CasualCounts="Yes",COUNT($G78:$I78)=0,COUNT($H78:$I78)=0),$F78,MIN($H78:$I78))))</f>
        <v/>
      </c>
      <c r="AI78" s="14" t="str">
        <f aca="false">IF(AG78=0,"",COUNT($G78:$I78))</f>
        <v/>
      </c>
      <c r="AJ78" s="12" t="str">
        <f aca="false">IF(AG78=0,"",IFERROR(SMALL($G78:$I78,1),""))</f>
        <v/>
      </c>
      <c r="AK78" s="12" t="str">
        <f aca="false">IF(AG78=0,"",IFERROR(SMALL($G78:$I78,2),""))</f>
        <v/>
      </c>
      <c r="AL78" s="12" t="str">
        <f aca="false">IF(AG78=0,"",IFERROR(SMALL($G78:$I78,3),""))</f>
        <v/>
      </c>
      <c r="AM78" s="14" t="str">
        <f aca="false">IF(AG78=0,"",IF(AJ78="","",IF(AJ78=$H78,"Part-Time",IF(AJ78=$I78,"Full-Time","Casual"))))</f>
        <v/>
      </c>
      <c r="AN78" s="14" t="str">
        <f aca="false">IF(AG78=0,"",IF(AK78="","",IF(AK78=$H78,"Part-Time",IF(AK78=$I78,"Full-Time","Casual"))))</f>
        <v/>
      </c>
      <c r="AO78" s="14" t="str">
        <f aca="false">IF(AG78=0,"",IF(AL78="","",IF(AL78=$H78,"Part-Time",IF(AL78=$I78,"Full-Time","Casual"))))</f>
        <v/>
      </c>
      <c r="AP78" s="14" t="str">
        <f aca="false">IF(AG78=0,"",IF(AI78=0,IF(OR(ISNUMBER(SEARCH("full",$C78)),UPPER(TRIM($C78))="FT",UPPER(TRIM($C78))="FTE"),"FT",IF(AND(OR(ISNUMBER(SEARCH("part",$C78)),UPPER(TRIM($C78))="PT",UPPER(TRIM($C78))="PTE"),OR($P78="",N($P78)&gt;=PT_MinHours)),"PT","None")),IF(OR(ISNUMBER(SEARCH("full",AM78)),UPPER(TRIM(AM78))="FT",UPPER(TRIM(AM78))="FTE"),"FT",IF(AND(OR(ISNUMBER(SEARCH("part",AM78)),UPPER(TRIM(AM78))="PT",UPPER(TRIM(AM78))="PTE"),OR($P78="",N($P78)&gt;=PT_MinHours)),"PT","None"))))</f>
        <v/>
      </c>
      <c r="AQ78" s="14" t="str">
        <f aca="false">IF(AG78=0,"",IF(AI78&lt;2,"",IF(OR(ISNUMBER(SEARCH("full",AN78)),UPPER(TRIM(AN78))="FT",UPPER(TRIM(AN78))="FTE"),"FT",IF(AND(OR(ISNUMBER(SEARCH("part",AN78)),UPPER(TRIM(AN78))="PT",UPPER(TRIM(AN78))="PTE"),OR($P78="",N($P78)&gt;=PT_MinHours)),"PT","None"))))</f>
        <v/>
      </c>
      <c r="AR78" s="14" t="str">
        <f aca="false">IF(AG78=0,"",IF(AI78&lt;3,"",IF(OR(ISNUMBER(SEARCH("full",AO78)),UPPER(TRIM(AO78))="FT",UPPER(TRIM(AO78))="FTE"),"FT",IF(AND(OR(ISNUMBER(SEARCH("part",AO78)),UPPER(TRIM(AO78))="PT",UPPER(TRIM(AO78))="PTE"),OR($P78="",N($P78)&gt;=PT_MinHours)),"PT","None"))))</f>
        <v/>
      </c>
      <c r="AS78" s="14" t="str">
        <f aca="false">IF(AG78=0,"",IF(AND(AI78&gt;=3,AL78&lt;=AsOfDate),AR78,IF(AND(AI78&gt;=2,AK78&lt;=AsOfDate),AQ78,AP78)))</f>
        <v/>
      </c>
      <c r="AT78" s="14" t="str">
        <f aca="false">IF(AG78=0,"",IF(AsOfDate&lt;AH78,-1,12*(YEAR(AsOfDate)-YEAR(AH78))+MONTH(AsOfDate)-MONTH(AH78)-IF(DAY(AsOfDate)&lt;MIN(DAY(AH78),DAY(EOMONTH(AsOfDate,0))),1,0)))</f>
        <v/>
      </c>
      <c r="AU78" s="14" t="str">
        <f aca="false">IF(AG78=0,"",IF(OR(AI78&lt;2,AK78&gt;AsOfDate),AT78,IF((AK78-1)&lt;AH78,-1,12*(YEAR((AK78-1))-YEAR(AH78))+MONTH((AK78-1))-MONTH(AH78)-IF(DAY((AK78-1))&lt;MIN(DAY(AH78),DAY(EOMONTH((AK78-1),0))),1,0))))</f>
        <v/>
      </c>
      <c r="AV78" s="14" t="str">
        <f aca="false">IF(AG78=0,"",IF(OR(AI78&lt;3,AL78&gt;AsOfDate),AT78,IF((AL78-1)&lt;AH78,-1,12*(YEAR((AL78-1))-YEAR(AH78))+MONTH((AL78-1))-MONTH(AH78)-IF(DAY((AL78-1))&lt;MIN(DAY(AH78),DAY(EOMONTH((AL78-1),0))),1,0))))</f>
        <v/>
      </c>
      <c r="AW78" s="14" t="str">
        <f aca="false">IF(AG78=0,"",IF(PFYDate&lt;AH78,-1,12*(YEAR(PFYDate)-YEAR(AH78))+MONTH(PFYDate)-MONTH(AH78)-IF(DAY(PFYDate)&lt;MIN(DAY(AH78),DAY(EOMONTH(PFYDate,0))),1,0)))</f>
        <v/>
      </c>
      <c r="AX78" s="14" t="str">
        <f aca="false">IF(AG78=0,"",IF(OR(AI78&lt;2,AK78&gt;PFYDate),AW78,IF((AK78-1)&lt;AH78,-1,12*(YEAR((AK78-1))-YEAR(AH78))+MONTH((AK78-1))-MONTH(AH78)-IF(DAY((AK78-1))&lt;MIN(DAY(AH78),DAY(EOMONTH((AK78-1),0))),1,0))))</f>
        <v/>
      </c>
      <c r="AY78" s="14" t="str">
        <f aca="false">IF(AG78=0,"",IF(OR(AI78&lt;3,AL78&gt;PFYDate),AW78,IF((AL78-1)&lt;AH78,-1,12*(YEAR((AL78-1))-YEAR(AH78))+MONTH((AL78-1))-MONTH(AH78)-IF(DAY((AL78-1))&lt;MIN(DAY(AH78),DAY(EOMONTH((AL78-1),0))),1,0))))</f>
        <v/>
      </c>
      <c r="AZ78" s="14" t="str">
        <f aca="false">IF(AG78=0,"",IF(AP78="FT",IF(AU78&lt;FT_First,0,IF(AU78&lt;FT_Y5,1+INT((AU78-FT_First)/FT_Int1),FT_PreY5+FT_PerYear*INT((AU78-FT_Y5)/12)+FT_AnnivDays+INT(MOD(AU78-FT_Y5,12)/FT_Int2))),IF(AP78="PT",IF(AU78&lt;PT_First,0,1+INT((AU78-PT_First)/PT_Int)),0))+IF(AND(AI78&gt;=2,AK78&lt;=AsOfDate),IF(AQ78="FT",IF(AV78&lt;FT_First,0,IF(AV78&lt;FT_Y5,1+INT((AV78-FT_First)/FT_Int1),FT_PreY5+FT_PerYear*INT((AV78-FT_Y5)/12)+FT_AnnivDays+INT(MOD(AV78-FT_Y5,12)/FT_Int2))),IF(AQ78="PT",IF(AV78&lt;PT_First,0,1+INT((AV78-PT_First)/PT_Int)),0))-IF(AQ78="FT",IF(AU78&lt;FT_First,0,IF(AU78&lt;FT_Y5,1+INT((AU78-FT_First)/FT_Int1),FT_PreY5+FT_PerYear*INT((AU78-FT_Y5)/12)+FT_AnnivDays+INT(MOD(AU78-FT_Y5,12)/FT_Int2))),IF(AQ78="PT",IF(AU78&lt;PT_First,0,1+INT((AU78-PT_First)/PT_Int)),0)),0)+IF(AND(AI78&gt;=3,AL78&lt;=AsOfDate),IF(AR78="FT",IF(AT78&lt;FT_First,0,IF(AT78&lt;FT_Y5,1+INT((AT78-FT_First)/FT_Int1),FT_PreY5+FT_PerYear*INT((AT78-FT_Y5)/12)+FT_AnnivDays+INT(MOD(AT78-FT_Y5,12)/FT_Int2))),IF(AR78="PT",IF(AT78&lt;PT_First,0,1+INT((AT78-PT_First)/PT_Int)),0))-IF(AR78="FT",IF(AV78&lt;FT_First,0,IF(AV78&lt;FT_Y5,1+INT((AV78-FT_First)/FT_Int1),FT_PreY5+FT_PerYear*INT((AV78-FT_Y5)/12)+FT_AnnivDays+INT(MOD(AV78-FT_Y5,12)/FT_Int2))),IF(AR78="PT",IF(AV78&lt;PT_First,0,1+INT((AV78-PT_First)/PT_Int)),0)),0))</f>
        <v/>
      </c>
      <c r="BA78" s="14" t="str">
        <f aca="false">IF(AG78=0,"",IF(AP78="FT",IF(AX78&lt;FT_First,0,IF(AX78&lt;FT_Y5,1+INT((AX78-FT_First)/FT_Int1),FT_PreY5+FT_PerYear*INT((AX78-FT_Y5)/12)+FT_AnnivDays+INT(MOD(AX78-FT_Y5,12)/FT_Int2))),IF(AP78="PT",IF(AX78&lt;PT_First,0,1+INT((AX78-PT_First)/PT_Int)),0))+IF(AND(AI78&gt;=2,AK78&lt;=PFYDate),IF(AQ78="FT",IF(AY78&lt;FT_First,0,IF(AY78&lt;FT_Y5,1+INT((AY78-FT_First)/FT_Int1),FT_PreY5+FT_PerYear*INT((AY78-FT_Y5)/12)+FT_AnnivDays+INT(MOD(AY78-FT_Y5,12)/FT_Int2))),IF(AQ78="PT",IF(AY78&lt;PT_First,0,1+INT((AY78-PT_First)/PT_Int)),0))-IF(AQ78="FT",IF(AX78&lt;FT_First,0,IF(AX78&lt;FT_Y5,1+INT((AX78-FT_First)/FT_Int1),FT_PreY5+FT_PerYear*INT((AX78-FT_Y5)/12)+FT_AnnivDays+INT(MOD(AX78-FT_Y5,12)/FT_Int2))),IF(AQ78="PT",IF(AX78&lt;PT_First,0,1+INT((AX78-PT_First)/PT_Int)),0)),0)+IF(AND(AI78&gt;=3,AL78&lt;=PFYDate),IF(AR78="FT",IF(AW78&lt;FT_First,0,IF(AW78&lt;FT_Y5,1+INT((AW78-FT_First)/FT_Int1),FT_PreY5+FT_PerYear*INT((AW78-FT_Y5)/12)+FT_AnnivDays+INT(MOD(AW78-FT_Y5,12)/FT_Int2))),IF(AR78="PT",IF(AW78&lt;PT_First,0,1+INT((AW78-PT_First)/PT_Int)),0))-IF(AR78="FT",IF(AY78&lt;FT_First,0,IF(AY78&lt;FT_Y5,1+INT((AY78-FT_First)/FT_Int1),FT_PreY5+FT_PerYear*INT((AY78-FT_Y5)/12)+FT_AnnivDays+INT(MOD(AY78-FT_Y5,12)/FT_Int2))),IF(AR78="PT",IF(AY78&lt;PT_First,0,1+INT((AY78-PT_First)/PT_Int)),0)),0))</f>
        <v/>
      </c>
      <c r="BB78" s="14" t="str">
        <f aca="false">IF(AG78=0,"",IF(AS78="FT",IF(AT78&lt;FT_First,FT_First,IF(AT78&lt;FT_Y5,MIN(FT_Y5,FT_First+FT_Int1*(INT((AT78-FT_First)/FT_Int1)+1)),FT_Y5+12*INT((AT78-FT_Y5)/12)+FT_Int2*(INT(MOD(AT78-FT_Y5,12)/FT_Int2)+1))),IF(AS78="PT",IF(AT78&lt;PT_First,PT_First,PT_First+PT_Int*(INT((AT78-PT_First)/PT_Int)+1)),"")))</f>
        <v/>
      </c>
      <c r="BC78" s="14" t="str">
        <f aca="false">IF(AG78=0,"",IF(NOT(LH_Ready),0,COUNTIFS(INDEX(LH_Data,0,LH_ColFirst),$A78,INDEX(LH_Data,0,LH_ColSur),$B78,INDEX(LH_Data,0,LH_ColCat),BonusCat)))</f>
        <v/>
      </c>
      <c r="BD78" s="14" t="str">
        <f aca="false">IF(AG78=0,"",IF(OR(NOT(LH_Ready),BC78=0),0,SUMPRODUCT(MAX((INDEX(LH_Data,0,LH_ColFirst)=$A78)*(INDEX(LH_Data,0,LH_ColSur)=$B78)*(INDEX(LH_Data,0,LH_ColCat)=BonusCat)*ROW(LH_Data)))))</f>
        <v/>
      </c>
      <c r="BE78" s="14" t="str">
        <f aca="false">IF(AG78=0,"",IF(EOMONTH(AsOfDate,-1)&lt;AH78,-1,12*(YEAR(EOMONTH(AsOfDate,-1))-YEAR(AH78))+MONTH(EOMONTH(AsOfDate,-1))-MONTH(AH78)-IF(DAY(EOMONTH(AsOfDate,-1))&lt;MIN(DAY(AH78),DAY(EOMONTH(EOMONTH(AsOfDate,-1),0))),1,0)))</f>
        <v/>
      </c>
      <c r="BF78" s="14" t="str">
        <f aca="false">IF(AG78=0,"",IF(OR(AI78&lt;2,AK78&gt;EOMONTH(AsOfDate,-1)),BE78,IF((AK78-1)&lt;AH78,-1,12*(YEAR((AK78-1))-YEAR(AH78))+MONTH((AK78-1))-MONTH(AH78)-IF(DAY((AK78-1))&lt;MIN(DAY(AH78),DAY(EOMONTH((AK78-1),0))),1,0))))</f>
        <v/>
      </c>
      <c r="BG78" s="14" t="str">
        <f aca="false">IF(AG78=0,"",IF(OR(AI78&lt;3,AL78&gt;EOMONTH(AsOfDate,-1)),BE78,IF((AL78-1)&lt;AH78,-1,12*(YEAR((AL78-1))-YEAR(AH78))+MONTH((AL78-1))-MONTH(AH78)-IF(DAY((AL78-1))&lt;MIN(DAY(AH78),DAY(EOMONTH((AL78-1),0))),1,0))))</f>
        <v/>
      </c>
      <c r="BH78" s="14" t="str">
        <f aca="false">IF(AG78=0,"",IF(AP78="FT",IF(BF78&lt;FT_First,0,IF(BF78&lt;FT_Y5,1+INT((BF78-FT_First)/FT_Int1),FT_PreY5+FT_PerYear*INT((BF78-FT_Y5)/12)+FT_AnnivDays+INT(MOD(BF78-FT_Y5,12)/FT_Int2))),IF(AP78="PT",IF(BF78&lt;PT_First,0,1+INT((BF78-PT_First)/PT_Int)),0))+IF(AND(AI78&gt;=2,AK78&lt;=EOMONTH(AsOfDate,-1)),IF(AQ78="FT",IF(BG78&lt;FT_First,0,IF(BG78&lt;FT_Y5,1+INT((BG78-FT_First)/FT_Int1),FT_PreY5+FT_PerYear*INT((BG78-FT_Y5)/12)+FT_AnnivDays+INT(MOD(BG78-FT_Y5,12)/FT_Int2))),IF(AQ78="PT",IF(BG78&lt;PT_First,0,1+INT((BG78-PT_First)/PT_Int)),0))-IF(AQ78="FT",IF(BF78&lt;FT_First,0,IF(BF78&lt;FT_Y5,1+INT((BF78-FT_First)/FT_Int1),FT_PreY5+FT_PerYear*INT((BF78-FT_Y5)/12)+FT_AnnivDays+INT(MOD(BF78-FT_Y5,12)/FT_Int2))),IF(AQ78="PT",IF(BF78&lt;PT_First,0,1+INT((BF78-PT_First)/PT_Int)),0)),0)+IF(AND(AI78&gt;=3,AL78&lt;=EOMONTH(AsOfDate,-1)),IF(AR78="FT",IF(BE78&lt;FT_First,0,IF(BE78&lt;FT_Y5,1+INT((BE78-FT_First)/FT_Int1),FT_PreY5+FT_PerYear*INT((BE78-FT_Y5)/12)+FT_AnnivDays+INT(MOD(BE78-FT_Y5,12)/FT_Int2))),IF(AR78="PT",IF(BE78&lt;PT_First,0,1+INT((BE78-PT_First)/PT_Int)),0))-IF(AR78="FT",IF(BG78&lt;FT_First,0,IF(BG78&lt;FT_Y5,1+INT((BG78-FT_First)/FT_Int1),FT_PreY5+FT_PerYear*INT((BG78-FT_Y5)/12)+FT_AnnivDays+INT(MOD(BG78-FT_Y5,12)/FT_Int2))),IF(AR78="PT",IF(BG78&lt;PT_First,0,1+INT((BG78-PT_First)/PT_Int)),0)),0))</f>
        <v/>
      </c>
      <c r="BI78" s="14" t="str">
        <f aca="false">IF(AG78=0,"",IF(AS78="FT",IF(AT78&lt;FT_First,"",IF(AT78&lt;FT_Y5,FT_First+FT_Int1*INT((AT78-FT_First)/FT_Int1),FT_Y5+FT_Int2*INT((AT78-FT_Y5)/FT_Int2))),IF(AS78="PT",IF(AT78&lt;PT_First,"",PT_First+PT_Int*INT((AT78-PT_First)/PT_Int)),"")))</f>
        <v/>
      </c>
      <c r="BJ78" s="0" t="str">
        <f aca="false">IF(LEN($A78&amp;$B78)=0,"",$A78&amp;" "&amp;$B78)</f>
        <v/>
      </c>
    </row>
    <row r="79" customFormat="false" ht="15" hidden="false" customHeight="false" outlineLevel="0" collapsed="false">
      <c r="A79" s="10"/>
      <c r="B79" s="10"/>
      <c r="C79" s="10"/>
      <c r="D79" s="11"/>
      <c r="E79" s="12" t="str">
        <f aca="false">IF(OR(AG79=0,$D79=""),"",DATE(YEAR(AsOfDate)+IF(DATE(YEAR(AsOfDate),MONTH($D79),DAY($D79))&lt;=AsOfDate,1,0),MONTH($D79),DAY($D79)))</f>
        <v/>
      </c>
      <c r="F79" s="11"/>
      <c r="G79" s="11"/>
      <c r="H79" s="11"/>
      <c r="I79" s="11"/>
      <c r="J79" s="11"/>
      <c r="K79" s="12" t="str">
        <f aca="false">IF(AG79=0,"",DATE(YEAR(AsOfDate)+IF(DATE(YEAR(AsOfDate),MONTH(AH79),DAY(AH79))&lt;=AsOfDate,1,0),MONTH(AH79),DAY(AH79)))</f>
        <v/>
      </c>
      <c r="L79" s="13" t="str">
        <f aca="false">IF(AG79=0,"",ROUND((AsOfDate-AH79)/365.25,1))</f>
        <v/>
      </c>
      <c r="M79" s="14" t="str">
        <f aca="false">IF(AG79=0,"",IF(AsOfDate&lt;AH79,"-",DATEDIF(AH79,AsOfDate,"y")&amp;"y "&amp;DATEDIF(AH79,AsOfDate,"ym")&amp;"m "&amp;DATEDIF(AH79,AsOfDate,"md")&amp;"d"))</f>
        <v/>
      </c>
      <c r="N79" s="15" t="str">
        <f aca="false">IF(AG79=0,"",O79*HoursPerDay)</f>
        <v/>
      </c>
      <c r="O79" s="15" t="str">
        <f aca="false">IF(AG79=0,"",AZ79)</f>
        <v/>
      </c>
      <c r="P79" s="16"/>
      <c r="Q79" s="14" t="str">
        <f aca="false">IF(AG79=0,"",IF(AI79&lt;2,"",AM79&amp;" to "&amp;AN79&amp;" on "&amp;TEXT(AK79,"dd/mm/yyyy")&amp;IF(AK79&gt;AsOfDate," (future)",IF(AP79=AQ79,"",IF(AQ79="None"," - STOPPED accruing",IF(AP79="None"," - commencement for Bonus Leave"," - pathway changed"))))&amp;IF(AI79&lt;3,"","; "&amp;AN79&amp;" to "&amp;AO79&amp;" on "&amp;TEXT(AL79,"dd/mm/yyyy")&amp;IF(AL79&gt;AsOfDate," (future)",IF(AQ79=AR79,"",IF(AR79="None"," - STOPPED accruing",IF(AQ79="None"," - commencement for Bonus Leave"," - pathway changed")))))))</f>
        <v/>
      </c>
      <c r="R79" s="14" t="str">
        <f aca="false">IF(AG79=0,"",IF(AS79="None",IF(O79&gt;0,"No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2" t="str">
        <f aca="false">IF(AG79=0,"",IF(AS79="None","",EDATE(AH79,BB79)))</f>
        <v/>
      </c>
      <c r="T79" s="15" t="str">
        <f aca="false">IF(AG79=0,"",IF(NOT(LH_Ready),"",IF(AH79&gt;PFYDate,0,IF(LH_ColPeriod=0,W79-U79+V79,SUMIFS(INDEX(LH_Data,0,LH_ColAcc),INDEX(LH_Data,0,LH_ColFirst),$A79,INDEX(LH_Data,0,LH_ColSur),$B79,INDEX(LH_Data,0,LH_ColCat),BonusCat,INDEX(LH_Data,0,LH_ColPeriod),LH_OpenLabel)*UnitFactor))))</f>
        <v/>
      </c>
      <c r="U79" s="15" t="str">
        <f aca="false">IF(AG79=0,"",IF(NOT(LH_Ready),"",SUMIFS(INDEX(LH_Data,0,LH_ColAcc),INDEX(LH_Data,0,LH_ColFirst),$A79,INDEX(LH_Data,0,LH_ColSur),$B79,INDEX(LH_Data,0,LH_ColCat),BonusCat,INDEX(LH_Data,0,LH_ColStart),"&gt;="&amp;AH79)*UnitFactor))</f>
        <v/>
      </c>
      <c r="V79" s="15" t="str">
        <f aca="false">IF(AG79=0,"",IF(NOT(LH_Ready),"",SUMIFS(INDEX(LH_Data,0,LH_ColTaken),INDEX(LH_Data,0,LH_ColFirst),$A79,INDEX(LH_Data,0,LH_ColSur),$B79,INDEX(LH_Data,0,LH_ColCat),BonusCat,INDEX(LH_Data,0,LH_ColStart),"&gt;="&amp;AH79)*UnitFactor))</f>
        <v/>
      </c>
      <c r="W79" s="15" t="str">
        <f aca="false">IF(AG79=0,"",IF(NOT(LH_Ready),"",IF(BD79=0,0,INDEX(INDEX(LH_Data,0,LH_ColClose),BD79-1)*UnitFactor)))</f>
        <v/>
      </c>
      <c r="X79" s="15" t="str">
        <f aca="false">IF(AG79=0,"",(AZ79-BA79)*HoursPerDay)</f>
        <v/>
      </c>
      <c r="Y79" s="15" t="str">
        <f aca="false">IF(AG79=0,"",IF(NOT(LH_Ready),"",IF(BC79=0,N79,IF(PFYDate&lt;$F79,N79-N(T79)-N(U79),X79-N(U79)))))</f>
        <v/>
      </c>
      <c r="Z79" s="14" t="str">
        <f aca="false">IF(OR(AG79=0,Y79=""),"",IF(Y79&gt;0,"Yes","No"))</f>
        <v/>
      </c>
      <c r="AA79" s="14" t="str">
        <f aca="false">IF(AG79=0,IF(LEN($A79&amp;$B79)=0,"","FIX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month")&amp;IF(BC79=0,";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EH)",""),IF(AS79="None",R79,"Not yet - first day on "&amp;TEXT(S79,"dd/mm/yyyy")))))))))</f>
        <v/>
      </c>
      <c r="AB79" s="15" t="str">
        <f aca="false">IF(OR(AG79=0,T79=""),"",BA79*HoursPerDay-T79)</f>
        <v/>
      </c>
      <c r="AC79" s="14" t="str">
        <f aca="false">IF(AG79=0,"",BC79)</f>
        <v/>
      </c>
      <c r="AD79" s="14" t="str">
        <f aca="false">IF(AG79=0,"",TRIM(IF(OR(ISTEXT($F79),ISTEXT($H79),ISTEXT($I79),ISTEXT($G79),ISTEXT($J79),ISTEXT($D79)),"A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I79&gt;=1,IF(AI79&gt;=3,AO79,IF(AI79=2,AN79,AM79))&lt;&gt;IF($C79="","",IF(OR(ISNUMBER(SEARCH("full",$C79)),UPPER(TRIM($C79))="FT",UPPER(TRIM($C79))="FTE"),"Full-Time",IF(OR(ISNUMBER(SEARCH("part",$C79)),UPPER(TRIM($C79))="PT",UPPER(TRIM($C79))="PTE"),"Part-Time",IF(OR(ISNUMBER(SEARCH("cas",$C79)),UPPER(TRIM($C79))="CAS"),"Casual","Unknown"))))),"EmploymentType does not match latest start date ("&amp;IF(AI79&gt;=3,AO79,IF(AI79=2,AN79,AM79))&amp;"). ","")&amp;IF(AND(AI79&gt;=1,AJ79&lt;&gt;$F79),"Earliest type date should equal StartDate. ","")&amp;IF(AND(AI79&gt;=2,AJ79=AK79),"Two types start on the same date. ","")&amp;IF(AND(OR(ISNUMBER(SEARCH("part",$C79)),UPPER(TRIM($C79))="PT",UPPER(TRIM($C79))="PTE"),$P79=""),"Part-time: enter PT Hrs/Week (blank = 24+). ","")))</f>
        <v/>
      </c>
      <c r="AE79" s="15" t="str">
        <f aca="false">IF(AG79=0,"",O79-BH79)</f>
        <v/>
      </c>
      <c r="AF79" s="12" t="str">
        <f aca="false">IF(OR(AG79=0,AE79="",N(AE79)=0,BI79=""),"",EDATE(AH79,BI79))</f>
        <v/>
      </c>
      <c r="AG79" s="14" t="n">
        <f aca="false">IF(OR(LEN($A79&amp;$B79)=0,$F79=""),0,1)</f>
        <v>0</v>
      </c>
      <c r="AH79" s="12" t="str">
        <f aca="false">IF(AG79=0,"",IF($J79&lt;&gt;"",$J79,IF(OR(CasualCounts="Yes",COUNT($G79:$I79)=0,COUNT($H79:$I79)=0),$F79,MIN($H79:$I79))))</f>
        <v/>
      </c>
      <c r="AI79" s="14" t="str">
        <f aca="false">IF(AG79=0,"",COUNT($G79:$I79))</f>
        <v/>
      </c>
      <c r="AJ79" s="12" t="str">
        <f aca="false">IF(AG79=0,"",IFERROR(SMALL($G79:$I79,1),""))</f>
        <v/>
      </c>
      <c r="AK79" s="12" t="str">
        <f aca="false">IF(AG79=0,"",IFERROR(SMALL($G79:$I79,2),""))</f>
        <v/>
      </c>
      <c r="AL79" s="12" t="str">
        <f aca="false">IF(AG79=0,"",IFERROR(SMALL($G79:$I79,3),""))</f>
        <v/>
      </c>
      <c r="AM79" s="14" t="str">
        <f aca="false">IF(AG79=0,"",IF(AJ79="","",IF(AJ79=$H79,"Part-Time",IF(AJ79=$I79,"Full-Time","Casual"))))</f>
        <v/>
      </c>
      <c r="AN79" s="14" t="str">
        <f aca="false">IF(AG79=0,"",IF(AK79="","",IF(AK79=$H79,"Part-Time",IF(AK79=$I79,"Full-Time","Casual"))))</f>
        <v/>
      </c>
      <c r="AO79" s="14" t="str">
        <f aca="false">IF(AG79=0,"",IF(AL79="","",IF(AL79=$H79,"Part-Time",IF(AL79=$I79,"Full-Time","Casual"))))</f>
        <v/>
      </c>
      <c r="AP79" s="14" t="str">
        <f aca="false">IF(AG79=0,"",IF(AI79=0,IF(OR(ISNUMBER(SEARCH("full",$C79)),UPPER(TRIM($C79))="FT",UPPER(TRIM($C79))="FTE"),"FT",IF(AND(OR(ISNUMBER(SEARCH("part",$C79)),UPPER(TRIM($C79))="PT",UPPER(TRIM($C79))="PTE"),OR($P79="",N($P79)&gt;=PT_MinHours)),"PT","None")),IF(OR(ISNUMBER(SEARCH("full",AM79)),UPPER(TRIM(AM79))="FT",UPPER(TRIM(AM79))="FTE"),"FT",IF(AND(OR(ISNUMBER(SEARCH("part",AM79)),UPPER(TRIM(AM79))="PT",UPPER(TRIM(AM79))="PTE"),OR($P79="",N($P79)&gt;=PT_MinHours)),"PT","None"))))</f>
        <v/>
      </c>
      <c r="AQ79" s="14" t="str">
        <f aca="false">IF(AG79=0,"",IF(AI79&lt;2,"",IF(OR(ISNUMBER(SEARCH("full",AN79)),UPPER(TRIM(AN79))="FT",UPPER(TRIM(AN79))="FTE"),"FT",IF(AND(OR(ISNUMBER(SEARCH("part",AN79)),UPPER(TRIM(AN79))="PT",UPPER(TRIM(AN79))="PTE"),OR($P79="",N($P79)&gt;=PT_MinHours)),"PT","None"))))</f>
        <v/>
      </c>
      <c r="AR79" s="14" t="str">
        <f aca="false">IF(AG79=0,"",IF(AI79&lt;3,"",IF(OR(ISNUMBER(SEARCH("full",AO79)),UPPER(TRIM(AO79))="FT",UPPER(TRIM(AO79))="FTE"),"FT",IF(AND(OR(ISNUMBER(SEARCH("part",AO79)),UPPER(TRIM(AO79))="PT",UPPER(TRIM(AO79))="PTE"),OR($P79="",N($P79)&gt;=PT_MinHours)),"PT","None"))))</f>
        <v/>
      </c>
      <c r="AS79" s="14" t="str">
        <f aca="false">IF(AG79=0,"",IF(AND(AI79&gt;=3,AL79&lt;=AsOfDate),AR79,IF(AND(AI79&gt;=2,AK79&lt;=AsOfDate),AQ79,AP79)))</f>
        <v/>
      </c>
      <c r="AT79" s="14" t="str">
        <f aca="false">IF(AG79=0,"",IF(AsOfDate&lt;AH79,-1,12*(YEAR(AsOfDate)-YEAR(AH79))+MONTH(AsOfDate)-MONTH(AH79)-IF(DAY(AsOfDate)&lt;MIN(DAY(AH79),DAY(EOMONTH(AsOfDate,0))),1,0)))</f>
        <v/>
      </c>
      <c r="AU79" s="14" t="str">
        <f aca="false">IF(AG79=0,"",IF(OR(AI79&lt;2,AK79&gt;AsOfDate),AT79,IF((AK79-1)&lt;AH79,-1,12*(YEAR((AK79-1))-YEAR(AH79))+MONTH((AK79-1))-MONTH(AH79)-IF(DAY((AK79-1))&lt;MIN(DAY(AH79),DAY(EOMONTH((AK79-1),0))),1,0))))</f>
        <v/>
      </c>
      <c r="AV79" s="14" t="str">
        <f aca="false">IF(AG79=0,"",IF(OR(AI79&lt;3,AL79&gt;AsOfDate),AT79,IF((AL79-1)&lt;AH79,-1,12*(YEAR((AL79-1))-YEAR(AH79))+MONTH((AL79-1))-MONTH(AH79)-IF(DAY((AL79-1))&lt;MIN(DAY(AH79),DAY(EOMONTH((AL79-1),0))),1,0))))</f>
        <v/>
      </c>
      <c r="AW79" s="14" t="str">
        <f aca="false">IF(AG79=0,"",IF(PFYDate&lt;AH79,-1,12*(YEAR(PFYDate)-YEAR(AH79))+MONTH(PFYDate)-MONTH(AH79)-IF(DAY(PFYDate)&lt;MIN(DAY(AH79),DAY(EOMONTH(PFYDate,0))),1,0)))</f>
        <v/>
      </c>
      <c r="AX79" s="14" t="str">
        <f aca="false">IF(AG79=0,"",IF(OR(AI79&lt;2,AK79&gt;PFYDate),AW79,IF((AK79-1)&lt;AH79,-1,12*(YEAR((AK79-1))-YEAR(AH79))+MONTH((AK79-1))-MONTH(AH79)-IF(DAY((AK79-1))&lt;MIN(DAY(AH79),DAY(EOMONTH((AK79-1),0))),1,0))))</f>
        <v/>
      </c>
      <c r="AY79" s="14" t="str">
        <f aca="false">IF(AG79=0,"",IF(OR(AI79&lt;3,AL79&gt;PFYDate),AW79,IF((AL79-1)&lt;AH79,-1,12*(YEAR((AL79-1))-YEAR(AH79))+MONTH((AL79-1))-MONTH(AH79)-IF(DAY((AL79-1))&lt;MIN(DAY(AH79),DAY(EOMONTH((AL79-1),0))),1,0))))</f>
        <v/>
      </c>
      <c r="AZ79" s="14" t="str">
        <f aca="false">IF(AG79=0,"",IF(AP79="FT",IF(AU79&lt;FT_First,0,IF(AU79&lt;FT_Y5,1+INT((AU79-FT_First)/FT_Int1),FT_PreY5+FT_PerYear*INT((AU79-FT_Y5)/12)+FT_AnnivDays+INT(MOD(AU79-FT_Y5,12)/FT_Int2))),IF(AP79="PT",IF(AU79&lt;PT_First,0,1+INT((AU79-PT_First)/PT_Int)),0))+IF(AND(AI79&gt;=2,AK79&lt;=AsOfDate),IF(AQ79="FT",IF(AV79&lt;FT_First,0,IF(AV79&lt;FT_Y5,1+INT((AV79-FT_First)/FT_Int1),FT_PreY5+FT_PerYear*INT((AV79-FT_Y5)/12)+FT_AnnivDays+INT(MOD(AV79-FT_Y5,12)/FT_Int2))),IF(AQ79="PT",IF(AV79&lt;PT_First,0,1+INT((AV79-PT_First)/PT_Int)),0))-IF(AQ79="FT",IF(AU79&lt;FT_First,0,IF(AU79&lt;FT_Y5,1+INT((AU79-FT_First)/FT_Int1),FT_PreY5+FT_PerYear*INT((AU79-FT_Y5)/12)+FT_AnnivDays+INT(MOD(AU79-FT_Y5,12)/FT_Int2))),IF(AQ79="PT",IF(AU79&lt;PT_First,0,1+INT((AU79-PT_First)/PT_Int)),0)),0)+IF(AND(AI79&gt;=3,AL79&lt;=AsOfDate),IF(AR79="FT",IF(AT79&lt;FT_First,0,IF(AT79&lt;FT_Y5,1+INT((AT79-FT_First)/FT_Int1),FT_PreY5+FT_PerYear*INT((AT79-FT_Y5)/12)+FT_AnnivDays+INT(MOD(AT79-FT_Y5,12)/FT_Int2))),IF(AR79="PT",IF(AT79&lt;PT_First,0,1+INT((AT79-PT_First)/PT_Int)),0))-IF(AR79="FT",IF(AV79&lt;FT_First,0,IF(AV79&lt;FT_Y5,1+INT((AV79-FT_First)/FT_Int1),FT_PreY5+FT_PerYear*INT((AV79-FT_Y5)/12)+FT_AnnivDays+INT(MOD(AV79-FT_Y5,12)/FT_Int2))),IF(AR79="PT",IF(AV79&lt;PT_First,0,1+INT((AV79-PT_First)/PT_Int)),0)),0))</f>
        <v/>
      </c>
      <c r="BA79" s="14" t="str">
        <f aca="false">IF(AG79=0,"",IF(AP79="FT",IF(AX79&lt;FT_First,0,IF(AX79&lt;FT_Y5,1+INT((AX79-FT_First)/FT_Int1),FT_PreY5+FT_PerYear*INT((AX79-FT_Y5)/12)+FT_AnnivDays+INT(MOD(AX79-FT_Y5,12)/FT_Int2))),IF(AP79="PT",IF(AX79&lt;PT_First,0,1+INT((AX79-PT_First)/PT_Int)),0))+IF(AND(AI79&gt;=2,AK79&lt;=PFYDate),IF(AQ79="FT",IF(AY79&lt;FT_First,0,IF(AY79&lt;FT_Y5,1+INT((AY79-FT_First)/FT_Int1),FT_PreY5+FT_PerYear*INT((AY79-FT_Y5)/12)+FT_AnnivDays+INT(MOD(AY79-FT_Y5,12)/FT_Int2))),IF(AQ79="PT",IF(AY79&lt;PT_First,0,1+INT((AY79-PT_First)/PT_Int)),0))-IF(AQ79="FT",IF(AX79&lt;FT_First,0,IF(AX79&lt;FT_Y5,1+INT((AX79-FT_First)/FT_Int1),FT_PreY5+FT_PerYear*INT((AX79-FT_Y5)/12)+FT_AnnivDays+INT(MOD(AX79-FT_Y5,12)/FT_Int2))),IF(AQ79="PT",IF(AX79&lt;PT_First,0,1+INT((AX79-PT_First)/PT_Int)),0)),0)+IF(AND(AI79&gt;=3,AL79&lt;=PFYDate),IF(AR79="FT",IF(AW79&lt;FT_First,0,IF(AW79&lt;FT_Y5,1+INT((AW79-FT_First)/FT_Int1),FT_PreY5+FT_PerYear*INT((AW79-FT_Y5)/12)+FT_AnnivDays+INT(MOD(AW79-FT_Y5,12)/FT_Int2))),IF(AR79="PT",IF(AW79&lt;PT_First,0,1+INT((AW79-PT_First)/PT_Int)),0))-IF(AR79="FT",IF(AY79&lt;FT_First,0,IF(AY79&lt;FT_Y5,1+INT((AY79-FT_First)/FT_Int1),FT_PreY5+FT_PerYear*INT((AY79-FT_Y5)/12)+FT_AnnivDays+INT(MOD(AY79-FT_Y5,12)/FT_Int2))),IF(AR79="PT",IF(AY79&lt;PT_First,0,1+INT((AY79-PT_First)/PT_Int)),0)),0))</f>
        <v/>
      </c>
      <c r="BB79" s="14" t="str">
        <f aca="false">IF(AG79=0,"",IF(AS79="FT",IF(AT79&lt;FT_First,FT_First,IF(AT79&lt;FT_Y5,MIN(FT_Y5,FT_First+FT_Int1*(INT((AT79-FT_First)/FT_Int1)+1)),FT_Y5+12*INT((AT79-FT_Y5)/12)+FT_Int2*(INT(MOD(AT79-FT_Y5,12)/FT_Int2)+1))),IF(AS79="PT",IF(AT79&lt;PT_First,PT_First,PT_First+PT_Int*(INT((AT79-PT_First)/PT_Int)+1)),"")))</f>
        <v/>
      </c>
      <c r="BC79" s="14" t="str">
        <f aca="false">IF(AG79=0,"",IF(NOT(LH_Ready),0,COUNTIFS(INDEX(LH_Data,0,LH_ColFirst),$A79,INDEX(LH_Data,0,LH_ColSur),$B79,INDEX(LH_Data,0,LH_ColCat),BonusCat)))</f>
        <v/>
      </c>
      <c r="BD79" s="14" t="str">
        <f aca="false">IF(AG79=0,"",IF(OR(NOT(LH_Ready),BC79=0),0,SUMPRODUCT(MAX((INDEX(LH_Data,0,LH_ColFirst)=$A79)*(INDEX(LH_Data,0,LH_ColSur)=$B79)*(INDEX(LH_Data,0,LH_ColCat)=BonusCat)*ROW(LH_Data)))))</f>
        <v/>
      </c>
      <c r="BE79" s="14" t="str">
        <f aca="false">IF(AG79=0,"",IF(EOMONTH(AsOfDate,-1)&lt;AH79,-1,12*(YEAR(EOMONTH(AsOfDate,-1))-YEAR(AH79))+MONTH(EOMONTH(AsOfDate,-1))-MONTH(AH79)-IF(DAY(EOMONTH(AsOfDate,-1))&lt;MIN(DAY(AH79),DAY(EOMONTH(EOMONTH(AsOfDate,-1),0))),1,0)))</f>
        <v/>
      </c>
      <c r="BF79" s="14" t="str">
        <f aca="false">IF(AG79=0,"",IF(OR(AI79&lt;2,AK79&gt;EOMONTH(AsOfDate,-1)),BE79,IF((AK79-1)&lt;AH79,-1,12*(YEAR((AK79-1))-YEAR(AH79))+MONTH((AK79-1))-MONTH(AH79)-IF(DAY((AK79-1))&lt;MIN(DAY(AH79),DAY(EOMONTH((AK79-1),0))),1,0))))</f>
        <v/>
      </c>
      <c r="BG79" s="14" t="str">
        <f aca="false">IF(AG79=0,"",IF(OR(AI79&lt;3,AL79&gt;EOMONTH(AsOfDate,-1)),BE79,IF((AL79-1)&lt;AH79,-1,12*(YEAR((AL79-1))-YEAR(AH79))+MONTH((AL79-1))-MONTH(AH79)-IF(DAY((AL79-1))&lt;MIN(DAY(AH79),DAY(EOMONTH((AL79-1),0))),1,0))))</f>
        <v/>
      </c>
      <c r="BH79" s="14" t="str">
        <f aca="false">IF(AG79=0,"",IF(AP79="FT",IF(BF79&lt;FT_First,0,IF(BF79&lt;FT_Y5,1+INT((BF79-FT_First)/FT_Int1),FT_PreY5+FT_PerYear*INT((BF79-FT_Y5)/12)+FT_AnnivDays+INT(MOD(BF79-FT_Y5,12)/FT_Int2))),IF(AP79="PT",IF(BF79&lt;PT_First,0,1+INT((BF79-PT_First)/PT_Int)),0))+IF(AND(AI79&gt;=2,AK79&lt;=EOMONTH(AsOfDate,-1)),IF(AQ79="FT",IF(BG79&lt;FT_First,0,IF(BG79&lt;FT_Y5,1+INT((BG79-FT_First)/FT_Int1),FT_PreY5+FT_PerYear*INT((BG79-FT_Y5)/12)+FT_AnnivDays+INT(MOD(BG79-FT_Y5,12)/FT_Int2))),IF(AQ79="PT",IF(BG79&lt;PT_First,0,1+INT((BG79-PT_First)/PT_Int)),0))-IF(AQ79="FT",IF(BF79&lt;FT_First,0,IF(BF79&lt;FT_Y5,1+INT((BF79-FT_First)/FT_Int1),FT_PreY5+FT_PerYear*INT((BF79-FT_Y5)/12)+FT_AnnivDays+INT(MOD(BF79-FT_Y5,12)/FT_Int2))),IF(AQ79="PT",IF(BF79&lt;PT_First,0,1+INT((BF79-PT_First)/PT_Int)),0)),0)+IF(AND(AI79&gt;=3,AL79&lt;=EOMONTH(AsOfDate,-1)),IF(AR79="FT",IF(BE79&lt;FT_First,0,IF(BE79&lt;FT_Y5,1+INT((BE79-FT_First)/FT_Int1),FT_PreY5+FT_PerYear*INT((BE79-FT_Y5)/12)+FT_AnnivDays+INT(MOD(BE79-FT_Y5,12)/FT_Int2))),IF(AR79="PT",IF(BE79&lt;PT_First,0,1+INT((BE79-PT_First)/PT_Int)),0))-IF(AR79="FT",IF(BG79&lt;FT_First,0,IF(BG79&lt;FT_Y5,1+INT((BG79-FT_First)/FT_Int1),FT_PreY5+FT_PerYear*INT((BG79-FT_Y5)/12)+FT_AnnivDays+INT(MOD(BG79-FT_Y5,12)/FT_Int2))),IF(AR79="PT",IF(BG79&lt;PT_First,0,1+INT((BG79-PT_First)/PT_Int)),0)),0))</f>
        <v/>
      </c>
      <c r="BI79" s="14" t="str">
        <f aca="false">IF(AG79=0,"",IF(AS79="FT",IF(AT79&lt;FT_First,"",IF(AT79&lt;FT_Y5,FT_First+FT_Int1*INT((AT79-FT_First)/FT_Int1),FT_Y5+FT_Int2*INT((AT79-FT_Y5)/FT_Int2))),IF(AS79="PT",IF(AT79&lt;PT_First,"",PT_First+PT_Int*INT((AT79-PT_First)/PT_Int)),"")))</f>
        <v/>
      </c>
      <c r="BJ79" s="0" t="str">
        <f aca="false">IF(LEN($A79&amp;$B79)=0,"",$A79&amp;" "&amp;$B79)</f>
        <v/>
      </c>
    </row>
    <row r="80" customFormat="false" ht="15" hidden="false" customHeight="false" outlineLevel="0" collapsed="false">
      <c r="A80" s="10"/>
      <c r="B80" s="10"/>
      <c r="C80" s="10"/>
      <c r="D80" s="11"/>
      <c r="E80" s="12" t="str">
        <f aca="false">IF(OR(AG80=0,$D80=""),"",DATE(YEAR(AsOfDate)+IF(DATE(YEAR(AsOfDate),MONTH($D80),DAY($D80))&lt;=AsOfDate,1,0),MONTH($D80),DAY($D80)))</f>
        <v/>
      </c>
      <c r="F80" s="11"/>
      <c r="G80" s="11"/>
      <c r="H80" s="11"/>
      <c r="I80" s="11"/>
      <c r="J80" s="11"/>
      <c r="K80" s="12" t="str">
        <f aca="false">IF(AG80=0,"",DATE(YEAR(AsOfDate)+IF(DATE(YEAR(AsOfDate),MONTH(AH80),DAY(AH80))&lt;=AsOfDate,1,0),MONTH(AH80),DAY(AH80)))</f>
        <v/>
      </c>
      <c r="L80" s="13" t="str">
        <f aca="false">IF(AG80=0,"",ROUND((AsOfDate-AH80)/365.25,1))</f>
        <v/>
      </c>
      <c r="M80" s="14" t="str">
        <f aca="false">IF(AG80=0,"",IF(AsOfDate&lt;AH80,"-",DATEDIF(AH80,AsOfDate,"y")&amp;"y "&amp;DATEDIF(AH80,AsOfDate,"ym")&amp;"m "&amp;DATEDIF(AH80,AsOfDate,"md")&amp;"d"))</f>
        <v/>
      </c>
      <c r="N80" s="15" t="str">
        <f aca="false">IF(AG80=0,"",O80*HoursPerDay)</f>
        <v/>
      </c>
      <c r="O80" s="15" t="str">
        <f aca="false">IF(AG80=0,"",AZ80)</f>
        <v/>
      </c>
      <c r="P80" s="16"/>
      <c r="Q80" s="14" t="str">
        <f aca="false">IF(AG80=0,"",IF(AI80&lt;2,"",AM80&amp;" to "&amp;AN80&amp;" on "&amp;TEXT(AK80,"dd/mm/yyyy")&amp;IF(AK80&gt;AsOfDate," (future)",IF(AP80=AQ80,"",IF(AQ80="None"," - STOPPED accruing",IF(AP80="None"," - commencement for Bonus Leave"," - pathway changed"))))&amp;IF(AI80&lt;3,"","; "&amp;AN80&amp;" to "&amp;AO80&amp;" on "&amp;TEXT(AL80,"dd/mm/yyyy")&amp;IF(AL80&gt;AsOfDate," (future)",IF(AQ80=AR80,"",IF(AR80="None"," - STOPPED accruing",IF(AQ80="None"," - commencement for Bonus Leave"," - pathway changed")))))))</f>
        <v/>
      </c>
      <c r="R80" s="14" t="str">
        <f aca="false">IF(AG80=0,"",IF(AS80="None",IF(O80&gt;0,"No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2" t="str">
        <f aca="false">IF(AG80=0,"",IF(AS80="None","",EDATE(AH80,BB80)))</f>
        <v/>
      </c>
      <c r="T80" s="15" t="str">
        <f aca="false">IF(AG80=0,"",IF(NOT(LH_Ready),"",IF(AH80&gt;PFYDate,0,IF(LH_ColPeriod=0,W80-U80+V80,SUMIFS(INDEX(LH_Data,0,LH_ColAcc),INDEX(LH_Data,0,LH_ColFirst),$A80,INDEX(LH_Data,0,LH_ColSur),$B80,INDEX(LH_Data,0,LH_ColCat),BonusCat,INDEX(LH_Data,0,LH_ColPeriod),LH_OpenLabel)*UnitFactor))))</f>
        <v/>
      </c>
      <c r="U80" s="15" t="str">
        <f aca="false">IF(AG80=0,"",IF(NOT(LH_Ready),"",SUMIFS(INDEX(LH_Data,0,LH_ColAcc),INDEX(LH_Data,0,LH_ColFirst),$A80,INDEX(LH_Data,0,LH_ColSur),$B80,INDEX(LH_Data,0,LH_ColCat),BonusCat,INDEX(LH_Data,0,LH_ColStart),"&gt;="&amp;AH80)*UnitFactor))</f>
        <v/>
      </c>
      <c r="V80" s="15" t="str">
        <f aca="false">IF(AG80=0,"",IF(NOT(LH_Ready),"",SUMIFS(INDEX(LH_Data,0,LH_ColTaken),INDEX(LH_Data,0,LH_ColFirst),$A80,INDEX(LH_Data,0,LH_ColSur),$B80,INDEX(LH_Data,0,LH_ColCat),BonusCat,INDEX(LH_Data,0,LH_ColStart),"&gt;="&amp;AH80)*UnitFactor))</f>
        <v/>
      </c>
      <c r="W80" s="15" t="str">
        <f aca="false">IF(AG80=0,"",IF(NOT(LH_Ready),"",IF(BD80=0,0,INDEX(INDEX(LH_Data,0,LH_ColClose),BD80-1)*UnitFactor)))</f>
        <v/>
      </c>
      <c r="X80" s="15" t="str">
        <f aca="false">IF(AG80=0,"",(AZ80-BA80)*HoursPerDay)</f>
        <v/>
      </c>
      <c r="Y80" s="15" t="str">
        <f aca="false">IF(AG80=0,"",IF(NOT(LH_Ready),"",IF(BC80=0,N80,IF(PFYDate&lt;$F80,N80-N(T80)-N(U80),X80-N(U80)))))</f>
        <v/>
      </c>
      <c r="Z80" s="14" t="str">
        <f aca="false">IF(OR(AG80=0,Y80=""),"",IF(Y80&gt;0,"Yes","No"))</f>
        <v/>
      </c>
      <c r="AA80" s="14" t="str">
        <f aca="false">IF(AG80=0,IF(LEN($A80&amp;$B80)=0,"","FIX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month")&amp;IF(BC80=0,";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EH)",""),IF(AS80="None",R80,"Not yet - first day on "&amp;TEXT(S80,"dd/mm/yyyy")))))))))</f>
        <v/>
      </c>
      <c r="AB80" s="15" t="str">
        <f aca="false">IF(OR(AG80=0,T80=""),"",BA80*HoursPerDay-T80)</f>
        <v/>
      </c>
      <c r="AC80" s="14" t="str">
        <f aca="false">IF(AG80=0,"",BC80)</f>
        <v/>
      </c>
      <c r="AD80" s="14" t="str">
        <f aca="false">IF(AG80=0,"",TRIM(IF(OR(ISTEXT($F80),ISTEXT($H80),ISTEXT($I80),ISTEXT($G80),ISTEXT($J80),ISTEXT($D80)),"A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I80&gt;=1,IF(AI80&gt;=3,AO80,IF(AI80=2,AN80,AM80))&lt;&gt;IF($C80="","",IF(OR(ISNUMBER(SEARCH("full",$C80)),UPPER(TRIM($C80))="FT",UPPER(TRIM($C80))="FTE"),"Full-Time",IF(OR(ISNUMBER(SEARCH("part",$C80)),UPPER(TRIM($C80))="PT",UPPER(TRIM($C80))="PTE"),"Part-Time",IF(OR(ISNUMBER(SEARCH("cas",$C80)),UPPER(TRIM($C80))="CAS"),"Casual","Unknown"))))),"EmploymentType does not match latest start date ("&amp;IF(AI80&gt;=3,AO80,IF(AI80=2,AN80,AM80))&amp;"). ","")&amp;IF(AND(AI80&gt;=1,AJ80&lt;&gt;$F80),"Earliest type date should equal StartDate. ","")&amp;IF(AND(AI80&gt;=2,AJ80=AK80),"Two types start on the same date. ","")&amp;IF(AND(OR(ISNUMBER(SEARCH("part",$C80)),UPPER(TRIM($C80))="PT",UPPER(TRIM($C80))="PTE"),$P80=""),"Part-time: enter PT Hrs/Week (blank = 24+). ","")))</f>
        <v/>
      </c>
      <c r="AE80" s="15" t="str">
        <f aca="false">IF(AG80=0,"",O80-BH80)</f>
        <v/>
      </c>
      <c r="AF80" s="12" t="str">
        <f aca="false">IF(OR(AG80=0,AE80="",N(AE80)=0,BI80=""),"",EDATE(AH80,BI80))</f>
        <v/>
      </c>
      <c r="AG80" s="14" t="n">
        <f aca="false">IF(OR(LEN($A80&amp;$B80)=0,$F80=""),0,1)</f>
        <v>0</v>
      </c>
      <c r="AH80" s="12" t="str">
        <f aca="false">IF(AG80=0,"",IF($J80&lt;&gt;"",$J80,IF(OR(CasualCounts="Yes",COUNT($G80:$I80)=0,COUNT($H80:$I80)=0),$F80,MIN($H80:$I80))))</f>
        <v/>
      </c>
      <c r="AI80" s="14" t="str">
        <f aca="false">IF(AG80=0,"",COUNT($G80:$I80))</f>
        <v/>
      </c>
      <c r="AJ80" s="12" t="str">
        <f aca="false">IF(AG80=0,"",IFERROR(SMALL($G80:$I80,1),""))</f>
        <v/>
      </c>
      <c r="AK80" s="12" t="str">
        <f aca="false">IF(AG80=0,"",IFERROR(SMALL($G80:$I80,2),""))</f>
        <v/>
      </c>
      <c r="AL80" s="12" t="str">
        <f aca="false">IF(AG80=0,"",IFERROR(SMALL($G80:$I80,3),""))</f>
        <v/>
      </c>
      <c r="AM80" s="14" t="str">
        <f aca="false">IF(AG80=0,"",IF(AJ80="","",IF(AJ80=$H80,"Part-Time",IF(AJ80=$I80,"Full-Time","Casual"))))</f>
        <v/>
      </c>
      <c r="AN80" s="14" t="str">
        <f aca="false">IF(AG80=0,"",IF(AK80="","",IF(AK80=$H80,"Part-Time",IF(AK80=$I80,"Full-Time","Casual"))))</f>
        <v/>
      </c>
      <c r="AO80" s="14" t="str">
        <f aca="false">IF(AG80=0,"",IF(AL80="","",IF(AL80=$H80,"Part-Time",IF(AL80=$I80,"Full-Time","Casual"))))</f>
        <v/>
      </c>
      <c r="AP80" s="14" t="str">
        <f aca="false">IF(AG80=0,"",IF(AI80=0,IF(OR(ISNUMBER(SEARCH("full",$C80)),UPPER(TRIM($C80))="FT",UPPER(TRIM($C80))="FTE"),"FT",IF(AND(OR(ISNUMBER(SEARCH("part",$C80)),UPPER(TRIM($C80))="PT",UPPER(TRIM($C80))="PTE"),OR($P80="",N($P80)&gt;=PT_MinHours)),"PT","None")),IF(OR(ISNUMBER(SEARCH("full",AM80)),UPPER(TRIM(AM80))="FT",UPPER(TRIM(AM80))="FTE"),"FT",IF(AND(OR(ISNUMBER(SEARCH("part",AM80)),UPPER(TRIM(AM80))="PT",UPPER(TRIM(AM80))="PTE"),OR($P80="",N($P80)&gt;=PT_MinHours)),"PT","None"))))</f>
        <v/>
      </c>
      <c r="AQ80" s="14" t="str">
        <f aca="false">IF(AG80=0,"",IF(AI80&lt;2,"",IF(OR(ISNUMBER(SEARCH("full",AN80)),UPPER(TRIM(AN80))="FT",UPPER(TRIM(AN80))="FTE"),"FT",IF(AND(OR(ISNUMBER(SEARCH("part",AN80)),UPPER(TRIM(AN80))="PT",UPPER(TRIM(AN80))="PTE"),OR($P80="",N($P80)&gt;=PT_MinHours)),"PT","None"))))</f>
        <v/>
      </c>
      <c r="AR80" s="14" t="str">
        <f aca="false">IF(AG80=0,"",IF(AI80&lt;3,"",IF(OR(ISNUMBER(SEARCH("full",AO80)),UPPER(TRIM(AO80))="FT",UPPER(TRIM(AO80))="FTE"),"FT",IF(AND(OR(ISNUMBER(SEARCH("part",AO80)),UPPER(TRIM(AO80))="PT",UPPER(TRIM(AO80))="PTE"),OR($P80="",N($P80)&gt;=PT_MinHours)),"PT","None"))))</f>
        <v/>
      </c>
      <c r="AS80" s="14" t="str">
        <f aca="false">IF(AG80=0,"",IF(AND(AI80&gt;=3,AL80&lt;=AsOfDate),AR80,IF(AND(AI80&gt;=2,AK80&lt;=AsOfDate),AQ80,AP80)))</f>
        <v/>
      </c>
      <c r="AT80" s="14" t="str">
        <f aca="false">IF(AG80=0,"",IF(AsOfDate&lt;AH80,-1,12*(YEAR(AsOfDate)-YEAR(AH80))+MONTH(AsOfDate)-MONTH(AH80)-IF(DAY(AsOfDate)&lt;MIN(DAY(AH80),DAY(EOMONTH(AsOfDate,0))),1,0)))</f>
        <v/>
      </c>
      <c r="AU80" s="14" t="str">
        <f aca="false">IF(AG80=0,"",IF(OR(AI80&lt;2,AK80&gt;AsOfDate),AT80,IF((AK80-1)&lt;AH80,-1,12*(YEAR((AK80-1))-YEAR(AH80))+MONTH((AK80-1))-MONTH(AH80)-IF(DAY((AK80-1))&lt;MIN(DAY(AH80),DAY(EOMONTH((AK80-1),0))),1,0))))</f>
        <v/>
      </c>
      <c r="AV80" s="14" t="str">
        <f aca="false">IF(AG80=0,"",IF(OR(AI80&lt;3,AL80&gt;AsOfDate),AT80,IF((AL80-1)&lt;AH80,-1,12*(YEAR((AL80-1))-YEAR(AH80))+MONTH((AL80-1))-MONTH(AH80)-IF(DAY((AL80-1))&lt;MIN(DAY(AH80),DAY(EOMONTH((AL80-1),0))),1,0))))</f>
        <v/>
      </c>
      <c r="AW80" s="14" t="str">
        <f aca="false">IF(AG80=0,"",IF(PFYDate&lt;AH80,-1,12*(YEAR(PFYDate)-YEAR(AH80))+MONTH(PFYDate)-MONTH(AH80)-IF(DAY(PFYDate)&lt;MIN(DAY(AH80),DAY(EOMONTH(PFYDate,0))),1,0)))</f>
        <v/>
      </c>
      <c r="AX80" s="14" t="str">
        <f aca="false">IF(AG80=0,"",IF(OR(AI80&lt;2,AK80&gt;PFYDate),AW80,IF((AK80-1)&lt;AH80,-1,12*(YEAR((AK80-1))-YEAR(AH80))+MONTH((AK80-1))-MONTH(AH80)-IF(DAY((AK80-1))&lt;MIN(DAY(AH80),DAY(EOMONTH((AK80-1),0))),1,0))))</f>
        <v/>
      </c>
      <c r="AY80" s="14" t="str">
        <f aca="false">IF(AG80=0,"",IF(OR(AI80&lt;3,AL80&gt;PFYDate),AW80,IF((AL80-1)&lt;AH80,-1,12*(YEAR((AL80-1))-YEAR(AH80))+MONTH((AL80-1))-MONTH(AH80)-IF(DAY((AL80-1))&lt;MIN(DAY(AH80),DAY(EOMONTH((AL80-1),0))),1,0))))</f>
        <v/>
      </c>
      <c r="AZ80" s="14" t="str">
        <f aca="false">IF(AG80=0,"",IF(AP80="FT",IF(AU80&lt;FT_First,0,IF(AU80&lt;FT_Y5,1+INT((AU80-FT_First)/FT_Int1),FT_PreY5+FT_PerYear*INT((AU80-FT_Y5)/12)+FT_AnnivDays+INT(MOD(AU80-FT_Y5,12)/FT_Int2))),IF(AP80="PT",IF(AU80&lt;PT_First,0,1+INT((AU80-PT_First)/PT_Int)),0))+IF(AND(AI80&gt;=2,AK80&lt;=AsOfDate),IF(AQ80="FT",IF(AV80&lt;FT_First,0,IF(AV80&lt;FT_Y5,1+INT((AV80-FT_First)/FT_Int1),FT_PreY5+FT_PerYear*INT((AV80-FT_Y5)/12)+FT_AnnivDays+INT(MOD(AV80-FT_Y5,12)/FT_Int2))),IF(AQ80="PT",IF(AV80&lt;PT_First,0,1+INT((AV80-PT_First)/PT_Int)),0))-IF(AQ80="FT",IF(AU80&lt;FT_First,0,IF(AU80&lt;FT_Y5,1+INT((AU80-FT_First)/FT_Int1),FT_PreY5+FT_PerYear*INT((AU80-FT_Y5)/12)+FT_AnnivDays+INT(MOD(AU80-FT_Y5,12)/FT_Int2))),IF(AQ80="PT",IF(AU80&lt;PT_First,0,1+INT((AU80-PT_First)/PT_Int)),0)),0)+IF(AND(AI80&gt;=3,AL80&lt;=AsOfDate),IF(AR80="FT",IF(AT80&lt;FT_First,0,IF(AT80&lt;FT_Y5,1+INT((AT80-FT_First)/FT_Int1),FT_PreY5+FT_PerYear*INT((AT80-FT_Y5)/12)+FT_AnnivDays+INT(MOD(AT80-FT_Y5,12)/FT_Int2))),IF(AR80="PT",IF(AT80&lt;PT_First,0,1+INT((AT80-PT_First)/PT_Int)),0))-IF(AR80="FT",IF(AV80&lt;FT_First,0,IF(AV80&lt;FT_Y5,1+INT((AV80-FT_First)/FT_Int1),FT_PreY5+FT_PerYear*INT((AV80-FT_Y5)/12)+FT_AnnivDays+INT(MOD(AV80-FT_Y5,12)/FT_Int2))),IF(AR80="PT",IF(AV80&lt;PT_First,0,1+INT((AV80-PT_First)/PT_Int)),0)),0))</f>
        <v/>
      </c>
      <c r="BA80" s="14" t="str">
        <f aca="false">IF(AG80=0,"",IF(AP80="FT",IF(AX80&lt;FT_First,0,IF(AX80&lt;FT_Y5,1+INT((AX80-FT_First)/FT_Int1),FT_PreY5+FT_PerYear*INT((AX80-FT_Y5)/12)+FT_AnnivDays+INT(MOD(AX80-FT_Y5,12)/FT_Int2))),IF(AP80="PT",IF(AX80&lt;PT_First,0,1+INT((AX80-PT_First)/PT_Int)),0))+IF(AND(AI80&gt;=2,AK80&lt;=PFYDate),IF(AQ80="FT",IF(AY80&lt;FT_First,0,IF(AY80&lt;FT_Y5,1+INT((AY80-FT_First)/FT_Int1),FT_PreY5+FT_PerYear*INT((AY80-FT_Y5)/12)+FT_AnnivDays+INT(MOD(AY80-FT_Y5,12)/FT_Int2))),IF(AQ80="PT",IF(AY80&lt;PT_First,0,1+INT((AY80-PT_First)/PT_Int)),0))-IF(AQ80="FT",IF(AX80&lt;FT_First,0,IF(AX80&lt;FT_Y5,1+INT((AX80-FT_First)/FT_Int1),FT_PreY5+FT_PerYear*INT((AX80-FT_Y5)/12)+FT_AnnivDays+INT(MOD(AX80-FT_Y5,12)/FT_Int2))),IF(AQ80="PT",IF(AX80&lt;PT_First,0,1+INT((AX80-PT_First)/PT_Int)),0)),0)+IF(AND(AI80&gt;=3,AL80&lt;=PFYDate),IF(AR80="FT",IF(AW80&lt;FT_First,0,IF(AW80&lt;FT_Y5,1+INT((AW80-FT_First)/FT_Int1),FT_PreY5+FT_PerYear*INT((AW80-FT_Y5)/12)+FT_AnnivDays+INT(MOD(AW80-FT_Y5,12)/FT_Int2))),IF(AR80="PT",IF(AW80&lt;PT_First,0,1+INT((AW80-PT_First)/PT_Int)),0))-IF(AR80="FT",IF(AY80&lt;FT_First,0,IF(AY80&lt;FT_Y5,1+INT((AY80-FT_First)/FT_Int1),FT_PreY5+FT_PerYear*INT((AY80-FT_Y5)/12)+FT_AnnivDays+INT(MOD(AY80-FT_Y5,12)/FT_Int2))),IF(AR80="PT",IF(AY80&lt;PT_First,0,1+INT((AY80-PT_First)/PT_Int)),0)),0))</f>
        <v/>
      </c>
      <c r="BB80" s="14" t="str">
        <f aca="false">IF(AG80=0,"",IF(AS80="FT",IF(AT80&lt;FT_First,FT_First,IF(AT80&lt;FT_Y5,MIN(FT_Y5,FT_First+FT_Int1*(INT((AT80-FT_First)/FT_Int1)+1)),FT_Y5+12*INT((AT80-FT_Y5)/12)+FT_Int2*(INT(MOD(AT80-FT_Y5,12)/FT_Int2)+1))),IF(AS80="PT",IF(AT80&lt;PT_First,PT_First,PT_First+PT_Int*(INT((AT80-PT_First)/PT_Int)+1)),"")))</f>
        <v/>
      </c>
      <c r="BC80" s="14" t="str">
        <f aca="false">IF(AG80=0,"",IF(NOT(LH_Ready),0,COUNTIFS(INDEX(LH_Data,0,LH_ColFirst),$A80,INDEX(LH_Data,0,LH_ColSur),$B80,INDEX(LH_Data,0,LH_ColCat),BonusCat)))</f>
        <v/>
      </c>
      <c r="BD80" s="14" t="str">
        <f aca="false">IF(AG80=0,"",IF(OR(NOT(LH_Ready),BC80=0),0,SUMPRODUCT(MAX((INDEX(LH_Data,0,LH_ColFirst)=$A80)*(INDEX(LH_Data,0,LH_ColSur)=$B80)*(INDEX(LH_Data,0,LH_ColCat)=BonusCat)*ROW(LH_Data)))))</f>
        <v/>
      </c>
      <c r="BE80" s="14" t="str">
        <f aca="false">IF(AG80=0,"",IF(EOMONTH(AsOfDate,-1)&lt;AH80,-1,12*(YEAR(EOMONTH(AsOfDate,-1))-YEAR(AH80))+MONTH(EOMONTH(AsOfDate,-1))-MONTH(AH80)-IF(DAY(EOMONTH(AsOfDate,-1))&lt;MIN(DAY(AH80),DAY(EOMONTH(EOMONTH(AsOfDate,-1),0))),1,0)))</f>
        <v/>
      </c>
      <c r="BF80" s="14" t="str">
        <f aca="false">IF(AG80=0,"",IF(OR(AI80&lt;2,AK80&gt;EOMONTH(AsOfDate,-1)),BE80,IF((AK80-1)&lt;AH80,-1,12*(YEAR((AK80-1))-YEAR(AH80))+MONTH((AK80-1))-MONTH(AH80)-IF(DAY((AK80-1))&lt;MIN(DAY(AH80),DAY(EOMONTH((AK80-1),0))),1,0))))</f>
        <v/>
      </c>
      <c r="BG80" s="14" t="str">
        <f aca="false">IF(AG80=0,"",IF(OR(AI80&lt;3,AL80&gt;EOMONTH(AsOfDate,-1)),BE80,IF((AL80-1)&lt;AH80,-1,12*(YEAR((AL80-1))-YEAR(AH80))+MONTH((AL80-1))-MONTH(AH80)-IF(DAY((AL80-1))&lt;MIN(DAY(AH80),DAY(EOMONTH((AL80-1),0))),1,0))))</f>
        <v/>
      </c>
      <c r="BH80" s="14" t="str">
        <f aca="false">IF(AG80=0,"",IF(AP80="FT",IF(BF80&lt;FT_First,0,IF(BF80&lt;FT_Y5,1+INT((BF80-FT_First)/FT_Int1),FT_PreY5+FT_PerYear*INT((BF80-FT_Y5)/12)+FT_AnnivDays+INT(MOD(BF80-FT_Y5,12)/FT_Int2))),IF(AP80="PT",IF(BF80&lt;PT_First,0,1+INT((BF80-PT_First)/PT_Int)),0))+IF(AND(AI80&gt;=2,AK80&lt;=EOMONTH(AsOfDate,-1)),IF(AQ80="FT",IF(BG80&lt;FT_First,0,IF(BG80&lt;FT_Y5,1+INT((BG80-FT_First)/FT_Int1),FT_PreY5+FT_PerYear*INT((BG80-FT_Y5)/12)+FT_AnnivDays+INT(MOD(BG80-FT_Y5,12)/FT_Int2))),IF(AQ80="PT",IF(BG80&lt;PT_First,0,1+INT((BG80-PT_First)/PT_Int)),0))-IF(AQ80="FT",IF(BF80&lt;FT_First,0,IF(BF80&lt;FT_Y5,1+INT((BF80-FT_First)/FT_Int1),FT_PreY5+FT_PerYear*INT((BF80-FT_Y5)/12)+FT_AnnivDays+INT(MOD(BF80-FT_Y5,12)/FT_Int2))),IF(AQ80="PT",IF(BF80&lt;PT_First,0,1+INT((BF80-PT_First)/PT_Int)),0)),0)+IF(AND(AI80&gt;=3,AL80&lt;=EOMONTH(AsOfDate,-1)),IF(AR80="FT",IF(BE80&lt;FT_First,0,IF(BE80&lt;FT_Y5,1+INT((BE80-FT_First)/FT_Int1),FT_PreY5+FT_PerYear*INT((BE80-FT_Y5)/12)+FT_AnnivDays+INT(MOD(BE80-FT_Y5,12)/FT_Int2))),IF(AR80="PT",IF(BE80&lt;PT_First,0,1+INT((BE80-PT_First)/PT_Int)),0))-IF(AR80="FT",IF(BG80&lt;FT_First,0,IF(BG80&lt;FT_Y5,1+INT((BG80-FT_First)/FT_Int1),FT_PreY5+FT_PerYear*INT((BG80-FT_Y5)/12)+FT_AnnivDays+INT(MOD(BG80-FT_Y5,12)/FT_Int2))),IF(AR80="PT",IF(BG80&lt;PT_First,0,1+INT((BG80-PT_First)/PT_Int)),0)),0))</f>
        <v/>
      </c>
      <c r="BI80" s="14" t="str">
        <f aca="false">IF(AG80=0,"",IF(AS80="FT",IF(AT80&lt;FT_First,"",IF(AT80&lt;FT_Y5,FT_First+FT_Int1*INT((AT80-FT_First)/FT_Int1),FT_Y5+FT_Int2*INT((AT80-FT_Y5)/FT_Int2))),IF(AS80="PT",IF(AT80&lt;PT_First,"",PT_First+PT_Int*INT((AT80-PT_First)/PT_Int)),"")))</f>
        <v/>
      </c>
      <c r="BJ80" s="0" t="str">
        <f aca="false">IF(LEN($A80&amp;$B80)=0,"",$A80&amp;" "&amp;$B80)</f>
        <v/>
      </c>
    </row>
    <row r="81" customFormat="false" ht="15" hidden="false" customHeight="false" outlineLevel="0" collapsed="false">
      <c r="A81" s="10"/>
      <c r="B81" s="10"/>
      <c r="C81" s="10"/>
      <c r="D81" s="11"/>
      <c r="E81" s="12" t="str">
        <f aca="false">IF(OR(AG81=0,$D81=""),"",DATE(YEAR(AsOfDate)+IF(DATE(YEAR(AsOfDate),MONTH($D81),DAY($D81))&lt;=AsOfDate,1,0),MONTH($D81),DAY($D81)))</f>
        <v/>
      </c>
      <c r="F81" s="11"/>
      <c r="G81" s="11"/>
      <c r="H81" s="11"/>
      <c r="I81" s="11"/>
      <c r="J81" s="11"/>
      <c r="K81" s="12" t="str">
        <f aca="false">IF(AG81=0,"",DATE(YEAR(AsOfDate)+IF(DATE(YEAR(AsOfDate),MONTH(AH81),DAY(AH81))&lt;=AsOfDate,1,0),MONTH(AH81),DAY(AH81)))</f>
        <v/>
      </c>
      <c r="L81" s="13" t="str">
        <f aca="false">IF(AG81=0,"",ROUND((AsOfDate-AH81)/365.25,1))</f>
        <v/>
      </c>
      <c r="M81" s="14" t="str">
        <f aca="false">IF(AG81=0,"",IF(AsOfDate&lt;AH81,"-",DATEDIF(AH81,AsOfDate,"y")&amp;"y "&amp;DATEDIF(AH81,AsOfDate,"ym")&amp;"m "&amp;DATEDIF(AH81,AsOfDate,"md")&amp;"d"))</f>
        <v/>
      </c>
      <c r="N81" s="15" t="str">
        <f aca="false">IF(AG81=0,"",O81*HoursPerDay)</f>
        <v/>
      </c>
      <c r="O81" s="15" t="str">
        <f aca="false">IF(AG81=0,"",AZ81)</f>
        <v/>
      </c>
      <c r="P81" s="16"/>
      <c r="Q81" s="14" t="str">
        <f aca="false">IF(AG81=0,"",IF(AI81&lt;2,"",AM81&amp;" to "&amp;AN81&amp;" on "&amp;TEXT(AK81,"dd/mm/yyyy")&amp;IF(AK81&gt;AsOfDate," (future)",IF(AP81=AQ81,"",IF(AQ81="None"," - STOPPED accruing",IF(AP81="None"," - commencement for Bonus Leave"," - pathway changed"))))&amp;IF(AI81&lt;3,"","; "&amp;AN81&amp;" to "&amp;AO81&amp;" on "&amp;TEXT(AL81,"dd/mm/yyyy")&amp;IF(AL81&gt;AsOfDate," (future)",IF(AQ81=AR81,"",IF(AR81="None"," - STOPPED accruing",IF(AQ81="None"," - commencement for Bonus Leave"," - pathway changed")))))))</f>
        <v/>
      </c>
      <c r="R81" s="14" t="str">
        <f aca="false">IF(AG81=0,"",IF(AS81="None",IF(O81&gt;0,"No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2" t="str">
        <f aca="false">IF(AG81=0,"",IF(AS81="None","",EDATE(AH81,BB81)))</f>
        <v/>
      </c>
      <c r="T81" s="15" t="str">
        <f aca="false">IF(AG81=0,"",IF(NOT(LH_Ready),"",IF(AH81&gt;PFYDate,0,IF(LH_ColPeriod=0,W81-U81+V81,SUMIFS(INDEX(LH_Data,0,LH_ColAcc),INDEX(LH_Data,0,LH_ColFirst),$A81,INDEX(LH_Data,0,LH_ColSur),$B81,INDEX(LH_Data,0,LH_ColCat),BonusCat,INDEX(LH_Data,0,LH_ColPeriod),LH_OpenLabel)*UnitFactor))))</f>
        <v/>
      </c>
      <c r="U81" s="15" t="str">
        <f aca="false">IF(AG81=0,"",IF(NOT(LH_Ready),"",SUMIFS(INDEX(LH_Data,0,LH_ColAcc),INDEX(LH_Data,0,LH_ColFirst),$A81,INDEX(LH_Data,0,LH_ColSur),$B81,INDEX(LH_Data,0,LH_ColCat),BonusCat,INDEX(LH_Data,0,LH_ColStart),"&gt;="&amp;AH81)*UnitFactor))</f>
        <v/>
      </c>
      <c r="V81" s="15" t="str">
        <f aca="false">IF(AG81=0,"",IF(NOT(LH_Ready),"",SUMIFS(INDEX(LH_Data,0,LH_ColTaken),INDEX(LH_Data,0,LH_ColFirst),$A81,INDEX(LH_Data,0,LH_ColSur),$B81,INDEX(LH_Data,0,LH_ColCat),BonusCat,INDEX(LH_Data,0,LH_ColStart),"&gt;="&amp;AH81)*UnitFactor))</f>
        <v/>
      </c>
      <c r="W81" s="15" t="str">
        <f aca="false">IF(AG81=0,"",IF(NOT(LH_Ready),"",IF(BD81=0,0,INDEX(INDEX(LH_Data,0,LH_ColClose),BD81-1)*UnitFactor)))</f>
        <v/>
      </c>
      <c r="X81" s="15" t="str">
        <f aca="false">IF(AG81=0,"",(AZ81-BA81)*HoursPerDay)</f>
        <v/>
      </c>
      <c r="Y81" s="15" t="str">
        <f aca="false">IF(AG81=0,"",IF(NOT(LH_Ready),"",IF(BC81=0,N81,IF(PFYDate&lt;$F81,N81-N(T81)-N(U81),X81-N(U81)))))</f>
        <v/>
      </c>
      <c r="Z81" s="14" t="str">
        <f aca="false">IF(OR(AG81=0,Y81=""),"",IF(Y81&gt;0,"Yes","No"))</f>
        <v/>
      </c>
      <c r="AA81" s="14" t="str">
        <f aca="false">IF(AG81=0,IF(LEN($A81&amp;$B81)=0,"","FIX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month")&amp;IF(BC81=0,";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EH)",""),IF(AS81="None",R81,"Not yet - first day on "&amp;TEXT(S81,"dd/mm/yyyy")))))))))</f>
        <v/>
      </c>
      <c r="AB81" s="15" t="str">
        <f aca="false">IF(OR(AG81=0,T81=""),"",BA81*HoursPerDay-T81)</f>
        <v/>
      </c>
      <c r="AC81" s="14" t="str">
        <f aca="false">IF(AG81=0,"",BC81)</f>
        <v/>
      </c>
      <c r="AD81" s="14" t="str">
        <f aca="false">IF(AG81=0,"",TRIM(IF(OR(ISTEXT($F81),ISTEXT($H81),ISTEXT($I81),ISTEXT($G81),ISTEXT($J81),ISTEXT($D81)),"A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I81&gt;=1,IF(AI81&gt;=3,AO81,IF(AI81=2,AN81,AM81))&lt;&gt;IF($C81="","",IF(OR(ISNUMBER(SEARCH("full",$C81)),UPPER(TRIM($C81))="FT",UPPER(TRIM($C81))="FTE"),"Full-Time",IF(OR(ISNUMBER(SEARCH("part",$C81)),UPPER(TRIM($C81))="PT",UPPER(TRIM($C81))="PTE"),"Part-Time",IF(OR(ISNUMBER(SEARCH("cas",$C81)),UPPER(TRIM($C81))="CAS"),"Casual","Unknown"))))),"EmploymentType does not match latest start date ("&amp;IF(AI81&gt;=3,AO81,IF(AI81=2,AN81,AM81))&amp;"). ","")&amp;IF(AND(AI81&gt;=1,AJ81&lt;&gt;$F81),"Earliest type date should equal StartDate. ","")&amp;IF(AND(AI81&gt;=2,AJ81=AK81),"Two types start on the same date. ","")&amp;IF(AND(OR(ISNUMBER(SEARCH("part",$C81)),UPPER(TRIM($C81))="PT",UPPER(TRIM($C81))="PTE"),$P81=""),"Part-time: enter PT Hrs/Week (blank = 24+). ","")))</f>
        <v/>
      </c>
      <c r="AE81" s="15" t="str">
        <f aca="false">IF(AG81=0,"",O81-BH81)</f>
        <v/>
      </c>
      <c r="AF81" s="12" t="str">
        <f aca="false">IF(OR(AG81=0,AE81="",N(AE81)=0,BI81=""),"",EDATE(AH81,BI81))</f>
        <v/>
      </c>
      <c r="AG81" s="14" t="n">
        <f aca="false">IF(OR(LEN($A81&amp;$B81)=0,$F81=""),0,1)</f>
        <v>0</v>
      </c>
      <c r="AH81" s="12" t="str">
        <f aca="false">IF(AG81=0,"",IF($J81&lt;&gt;"",$J81,IF(OR(CasualCounts="Yes",COUNT($G81:$I81)=0,COUNT($H81:$I81)=0),$F81,MIN($H81:$I81))))</f>
        <v/>
      </c>
      <c r="AI81" s="14" t="str">
        <f aca="false">IF(AG81=0,"",COUNT($G81:$I81))</f>
        <v/>
      </c>
      <c r="AJ81" s="12" t="str">
        <f aca="false">IF(AG81=0,"",IFERROR(SMALL($G81:$I81,1),""))</f>
        <v/>
      </c>
      <c r="AK81" s="12" t="str">
        <f aca="false">IF(AG81=0,"",IFERROR(SMALL($G81:$I81,2),""))</f>
        <v/>
      </c>
      <c r="AL81" s="12" t="str">
        <f aca="false">IF(AG81=0,"",IFERROR(SMALL($G81:$I81,3),""))</f>
        <v/>
      </c>
      <c r="AM81" s="14" t="str">
        <f aca="false">IF(AG81=0,"",IF(AJ81="","",IF(AJ81=$H81,"Part-Time",IF(AJ81=$I81,"Full-Time","Casual"))))</f>
        <v/>
      </c>
      <c r="AN81" s="14" t="str">
        <f aca="false">IF(AG81=0,"",IF(AK81="","",IF(AK81=$H81,"Part-Time",IF(AK81=$I81,"Full-Time","Casual"))))</f>
        <v/>
      </c>
      <c r="AO81" s="14" t="str">
        <f aca="false">IF(AG81=0,"",IF(AL81="","",IF(AL81=$H81,"Part-Time",IF(AL81=$I81,"Full-Time","Casual"))))</f>
        <v/>
      </c>
      <c r="AP81" s="14" t="str">
        <f aca="false">IF(AG81=0,"",IF(AI81=0,IF(OR(ISNUMBER(SEARCH("full",$C81)),UPPER(TRIM($C81))="FT",UPPER(TRIM($C81))="FTE"),"FT",IF(AND(OR(ISNUMBER(SEARCH("part",$C81)),UPPER(TRIM($C81))="PT",UPPER(TRIM($C81))="PTE"),OR($P81="",N($P81)&gt;=PT_MinHours)),"PT","None")),IF(OR(ISNUMBER(SEARCH("full",AM81)),UPPER(TRIM(AM81))="FT",UPPER(TRIM(AM81))="FTE"),"FT",IF(AND(OR(ISNUMBER(SEARCH("part",AM81)),UPPER(TRIM(AM81))="PT",UPPER(TRIM(AM81))="PTE"),OR($P81="",N($P81)&gt;=PT_MinHours)),"PT","None"))))</f>
        <v/>
      </c>
      <c r="AQ81" s="14" t="str">
        <f aca="false">IF(AG81=0,"",IF(AI81&lt;2,"",IF(OR(ISNUMBER(SEARCH("full",AN81)),UPPER(TRIM(AN81))="FT",UPPER(TRIM(AN81))="FTE"),"FT",IF(AND(OR(ISNUMBER(SEARCH("part",AN81)),UPPER(TRIM(AN81))="PT",UPPER(TRIM(AN81))="PTE"),OR($P81="",N($P81)&gt;=PT_MinHours)),"PT","None"))))</f>
        <v/>
      </c>
      <c r="AR81" s="14" t="str">
        <f aca="false">IF(AG81=0,"",IF(AI81&lt;3,"",IF(OR(ISNUMBER(SEARCH("full",AO81)),UPPER(TRIM(AO81))="FT",UPPER(TRIM(AO81))="FTE"),"FT",IF(AND(OR(ISNUMBER(SEARCH("part",AO81)),UPPER(TRIM(AO81))="PT",UPPER(TRIM(AO81))="PTE"),OR($P81="",N($P81)&gt;=PT_MinHours)),"PT","None"))))</f>
        <v/>
      </c>
      <c r="AS81" s="14" t="str">
        <f aca="false">IF(AG81=0,"",IF(AND(AI81&gt;=3,AL81&lt;=AsOfDate),AR81,IF(AND(AI81&gt;=2,AK81&lt;=AsOfDate),AQ81,AP81)))</f>
        <v/>
      </c>
      <c r="AT81" s="14" t="str">
        <f aca="false">IF(AG81=0,"",IF(AsOfDate&lt;AH81,-1,12*(YEAR(AsOfDate)-YEAR(AH81))+MONTH(AsOfDate)-MONTH(AH81)-IF(DAY(AsOfDate)&lt;MIN(DAY(AH81),DAY(EOMONTH(AsOfDate,0))),1,0)))</f>
        <v/>
      </c>
      <c r="AU81" s="14" t="str">
        <f aca="false">IF(AG81=0,"",IF(OR(AI81&lt;2,AK81&gt;AsOfDate),AT81,IF((AK81-1)&lt;AH81,-1,12*(YEAR((AK81-1))-YEAR(AH81))+MONTH((AK81-1))-MONTH(AH81)-IF(DAY((AK81-1))&lt;MIN(DAY(AH81),DAY(EOMONTH((AK81-1),0))),1,0))))</f>
        <v/>
      </c>
      <c r="AV81" s="14" t="str">
        <f aca="false">IF(AG81=0,"",IF(OR(AI81&lt;3,AL81&gt;AsOfDate),AT81,IF((AL81-1)&lt;AH81,-1,12*(YEAR((AL81-1))-YEAR(AH81))+MONTH((AL81-1))-MONTH(AH81)-IF(DAY((AL81-1))&lt;MIN(DAY(AH81),DAY(EOMONTH((AL81-1),0))),1,0))))</f>
        <v/>
      </c>
      <c r="AW81" s="14" t="str">
        <f aca="false">IF(AG81=0,"",IF(PFYDate&lt;AH81,-1,12*(YEAR(PFYDate)-YEAR(AH81))+MONTH(PFYDate)-MONTH(AH81)-IF(DAY(PFYDate)&lt;MIN(DAY(AH81),DAY(EOMONTH(PFYDate,0))),1,0)))</f>
        <v/>
      </c>
      <c r="AX81" s="14" t="str">
        <f aca="false">IF(AG81=0,"",IF(OR(AI81&lt;2,AK81&gt;PFYDate),AW81,IF((AK81-1)&lt;AH81,-1,12*(YEAR((AK81-1))-YEAR(AH81))+MONTH((AK81-1))-MONTH(AH81)-IF(DAY((AK81-1))&lt;MIN(DAY(AH81),DAY(EOMONTH((AK81-1),0))),1,0))))</f>
        <v/>
      </c>
      <c r="AY81" s="14" t="str">
        <f aca="false">IF(AG81=0,"",IF(OR(AI81&lt;3,AL81&gt;PFYDate),AW81,IF((AL81-1)&lt;AH81,-1,12*(YEAR((AL81-1))-YEAR(AH81))+MONTH((AL81-1))-MONTH(AH81)-IF(DAY((AL81-1))&lt;MIN(DAY(AH81),DAY(EOMONTH((AL81-1),0))),1,0))))</f>
        <v/>
      </c>
      <c r="AZ81" s="14" t="str">
        <f aca="false">IF(AG81=0,"",IF(AP81="FT",IF(AU81&lt;FT_First,0,IF(AU81&lt;FT_Y5,1+INT((AU81-FT_First)/FT_Int1),FT_PreY5+FT_PerYear*INT((AU81-FT_Y5)/12)+FT_AnnivDays+INT(MOD(AU81-FT_Y5,12)/FT_Int2))),IF(AP81="PT",IF(AU81&lt;PT_First,0,1+INT((AU81-PT_First)/PT_Int)),0))+IF(AND(AI81&gt;=2,AK81&lt;=AsOfDate),IF(AQ81="FT",IF(AV81&lt;FT_First,0,IF(AV81&lt;FT_Y5,1+INT((AV81-FT_First)/FT_Int1),FT_PreY5+FT_PerYear*INT((AV81-FT_Y5)/12)+FT_AnnivDays+INT(MOD(AV81-FT_Y5,12)/FT_Int2))),IF(AQ81="PT",IF(AV81&lt;PT_First,0,1+INT((AV81-PT_First)/PT_Int)),0))-IF(AQ81="FT",IF(AU81&lt;FT_First,0,IF(AU81&lt;FT_Y5,1+INT((AU81-FT_First)/FT_Int1),FT_PreY5+FT_PerYear*INT((AU81-FT_Y5)/12)+FT_AnnivDays+INT(MOD(AU81-FT_Y5,12)/FT_Int2))),IF(AQ81="PT",IF(AU81&lt;PT_First,0,1+INT((AU81-PT_First)/PT_Int)),0)),0)+IF(AND(AI81&gt;=3,AL81&lt;=AsOfDate),IF(AR81="FT",IF(AT81&lt;FT_First,0,IF(AT81&lt;FT_Y5,1+INT((AT81-FT_First)/FT_Int1),FT_PreY5+FT_PerYear*INT((AT81-FT_Y5)/12)+FT_AnnivDays+INT(MOD(AT81-FT_Y5,12)/FT_Int2))),IF(AR81="PT",IF(AT81&lt;PT_First,0,1+INT((AT81-PT_First)/PT_Int)),0))-IF(AR81="FT",IF(AV81&lt;FT_First,0,IF(AV81&lt;FT_Y5,1+INT((AV81-FT_First)/FT_Int1),FT_PreY5+FT_PerYear*INT((AV81-FT_Y5)/12)+FT_AnnivDays+INT(MOD(AV81-FT_Y5,12)/FT_Int2))),IF(AR81="PT",IF(AV81&lt;PT_First,0,1+INT((AV81-PT_First)/PT_Int)),0)),0))</f>
        <v/>
      </c>
      <c r="BA81" s="14" t="str">
        <f aca="false">IF(AG81=0,"",IF(AP81="FT",IF(AX81&lt;FT_First,0,IF(AX81&lt;FT_Y5,1+INT((AX81-FT_First)/FT_Int1),FT_PreY5+FT_PerYear*INT((AX81-FT_Y5)/12)+FT_AnnivDays+INT(MOD(AX81-FT_Y5,12)/FT_Int2))),IF(AP81="PT",IF(AX81&lt;PT_First,0,1+INT((AX81-PT_First)/PT_Int)),0))+IF(AND(AI81&gt;=2,AK81&lt;=PFYDate),IF(AQ81="FT",IF(AY81&lt;FT_First,0,IF(AY81&lt;FT_Y5,1+INT((AY81-FT_First)/FT_Int1),FT_PreY5+FT_PerYear*INT((AY81-FT_Y5)/12)+FT_AnnivDays+INT(MOD(AY81-FT_Y5,12)/FT_Int2))),IF(AQ81="PT",IF(AY81&lt;PT_First,0,1+INT((AY81-PT_First)/PT_Int)),0))-IF(AQ81="FT",IF(AX81&lt;FT_First,0,IF(AX81&lt;FT_Y5,1+INT((AX81-FT_First)/FT_Int1),FT_PreY5+FT_PerYear*INT((AX81-FT_Y5)/12)+FT_AnnivDays+INT(MOD(AX81-FT_Y5,12)/FT_Int2))),IF(AQ81="PT",IF(AX81&lt;PT_First,0,1+INT((AX81-PT_First)/PT_Int)),0)),0)+IF(AND(AI81&gt;=3,AL81&lt;=PFYDate),IF(AR81="FT",IF(AW81&lt;FT_First,0,IF(AW81&lt;FT_Y5,1+INT((AW81-FT_First)/FT_Int1),FT_PreY5+FT_PerYear*INT((AW81-FT_Y5)/12)+FT_AnnivDays+INT(MOD(AW81-FT_Y5,12)/FT_Int2))),IF(AR81="PT",IF(AW81&lt;PT_First,0,1+INT((AW81-PT_First)/PT_Int)),0))-IF(AR81="FT",IF(AY81&lt;FT_First,0,IF(AY81&lt;FT_Y5,1+INT((AY81-FT_First)/FT_Int1),FT_PreY5+FT_PerYear*INT((AY81-FT_Y5)/12)+FT_AnnivDays+INT(MOD(AY81-FT_Y5,12)/FT_Int2))),IF(AR81="PT",IF(AY81&lt;PT_First,0,1+INT((AY81-PT_First)/PT_Int)),0)),0))</f>
        <v/>
      </c>
      <c r="BB81" s="14" t="str">
        <f aca="false">IF(AG81=0,"",IF(AS81="FT",IF(AT81&lt;FT_First,FT_First,IF(AT81&lt;FT_Y5,MIN(FT_Y5,FT_First+FT_Int1*(INT((AT81-FT_First)/FT_Int1)+1)),FT_Y5+12*INT((AT81-FT_Y5)/12)+FT_Int2*(INT(MOD(AT81-FT_Y5,12)/FT_Int2)+1))),IF(AS81="PT",IF(AT81&lt;PT_First,PT_First,PT_First+PT_Int*(INT((AT81-PT_First)/PT_Int)+1)),"")))</f>
        <v/>
      </c>
      <c r="BC81" s="14" t="str">
        <f aca="false">IF(AG81=0,"",IF(NOT(LH_Ready),0,COUNTIFS(INDEX(LH_Data,0,LH_ColFirst),$A81,INDEX(LH_Data,0,LH_ColSur),$B81,INDEX(LH_Data,0,LH_ColCat),BonusCat)))</f>
        <v/>
      </c>
      <c r="BD81" s="14" t="str">
        <f aca="false">IF(AG81=0,"",IF(OR(NOT(LH_Ready),BC81=0),0,SUMPRODUCT(MAX((INDEX(LH_Data,0,LH_ColFirst)=$A81)*(INDEX(LH_Data,0,LH_ColSur)=$B81)*(INDEX(LH_Data,0,LH_ColCat)=BonusCat)*ROW(LH_Data)))))</f>
        <v/>
      </c>
      <c r="BE81" s="14" t="str">
        <f aca="false">IF(AG81=0,"",IF(EOMONTH(AsOfDate,-1)&lt;AH81,-1,12*(YEAR(EOMONTH(AsOfDate,-1))-YEAR(AH81))+MONTH(EOMONTH(AsOfDate,-1))-MONTH(AH81)-IF(DAY(EOMONTH(AsOfDate,-1))&lt;MIN(DAY(AH81),DAY(EOMONTH(EOMONTH(AsOfDate,-1),0))),1,0)))</f>
        <v/>
      </c>
      <c r="BF81" s="14" t="str">
        <f aca="false">IF(AG81=0,"",IF(OR(AI81&lt;2,AK81&gt;EOMONTH(AsOfDate,-1)),BE81,IF((AK81-1)&lt;AH81,-1,12*(YEAR((AK81-1))-YEAR(AH81))+MONTH((AK81-1))-MONTH(AH81)-IF(DAY((AK81-1))&lt;MIN(DAY(AH81),DAY(EOMONTH((AK81-1),0))),1,0))))</f>
        <v/>
      </c>
      <c r="BG81" s="14" t="str">
        <f aca="false">IF(AG81=0,"",IF(OR(AI81&lt;3,AL81&gt;EOMONTH(AsOfDate,-1)),BE81,IF((AL81-1)&lt;AH81,-1,12*(YEAR((AL81-1))-YEAR(AH81))+MONTH((AL81-1))-MONTH(AH81)-IF(DAY((AL81-1))&lt;MIN(DAY(AH81),DAY(EOMONTH((AL81-1),0))),1,0))))</f>
        <v/>
      </c>
      <c r="BH81" s="14" t="str">
        <f aca="false">IF(AG81=0,"",IF(AP81="FT",IF(BF81&lt;FT_First,0,IF(BF81&lt;FT_Y5,1+INT((BF81-FT_First)/FT_Int1),FT_PreY5+FT_PerYear*INT((BF81-FT_Y5)/12)+FT_AnnivDays+INT(MOD(BF81-FT_Y5,12)/FT_Int2))),IF(AP81="PT",IF(BF81&lt;PT_First,0,1+INT((BF81-PT_First)/PT_Int)),0))+IF(AND(AI81&gt;=2,AK81&lt;=EOMONTH(AsOfDate,-1)),IF(AQ81="FT",IF(BG81&lt;FT_First,0,IF(BG81&lt;FT_Y5,1+INT((BG81-FT_First)/FT_Int1),FT_PreY5+FT_PerYear*INT((BG81-FT_Y5)/12)+FT_AnnivDays+INT(MOD(BG81-FT_Y5,12)/FT_Int2))),IF(AQ81="PT",IF(BG81&lt;PT_First,0,1+INT((BG81-PT_First)/PT_Int)),0))-IF(AQ81="FT",IF(BF81&lt;FT_First,0,IF(BF81&lt;FT_Y5,1+INT((BF81-FT_First)/FT_Int1),FT_PreY5+FT_PerYear*INT((BF81-FT_Y5)/12)+FT_AnnivDays+INT(MOD(BF81-FT_Y5,12)/FT_Int2))),IF(AQ81="PT",IF(BF81&lt;PT_First,0,1+INT((BF81-PT_First)/PT_Int)),0)),0)+IF(AND(AI81&gt;=3,AL81&lt;=EOMONTH(AsOfDate,-1)),IF(AR81="FT",IF(BE81&lt;FT_First,0,IF(BE81&lt;FT_Y5,1+INT((BE81-FT_First)/FT_Int1),FT_PreY5+FT_PerYear*INT((BE81-FT_Y5)/12)+FT_AnnivDays+INT(MOD(BE81-FT_Y5,12)/FT_Int2))),IF(AR81="PT",IF(BE81&lt;PT_First,0,1+INT((BE81-PT_First)/PT_Int)),0))-IF(AR81="FT",IF(BG81&lt;FT_First,0,IF(BG81&lt;FT_Y5,1+INT((BG81-FT_First)/FT_Int1),FT_PreY5+FT_PerYear*INT((BG81-FT_Y5)/12)+FT_AnnivDays+INT(MOD(BG81-FT_Y5,12)/FT_Int2))),IF(AR81="PT",IF(BG81&lt;PT_First,0,1+INT((BG81-PT_First)/PT_Int)),0)),0))</f>
        <v/>
      </c>
      <c r="BI81" s="14" t="str">
        <f aca="false">IF(AG81=0,"",IF(AS81="FT",IF(AT81&lt;FT_First,"",IF(AT81&lt;FT_Y5,FT_First+FT_Int1*INT((AT81-FT_First)/FT_Int1),FT_Y5+FT_Int2*INT((AT81-FT_Y5)/FT_Int2))),IF(AS81="PT",IF(AT81&lt;PT_First,"",PT_First+PT_Int*INT((AT81-PT_First)/PT_Int)),"")))</f>
        <v/>
      </c>
      <c r="BJ81" s="0" t="str">
        <f aca="false">IF(LEN($A81&amp;$B81)=0,"",$A81&amp;" "&amp;$B81)</f>
        <v/>
      </c>
    </row>
    <row r="82" customFormat="false" ht="15" hidden="false" customHeight="false" outlineLevel="0" collapsed="false">
      <c r="A82" s="10"/>
      <c r="B82" s="10"/>
      <c r="C82" s="10"/>
      <c r="D82" s="11"/>
      <c r="E82" s="12" t="str">
        <f aca="false">IF(OR(AG82=0,$D82=""),"",DATE(YEAR(AsOfDate)+IF(DATE(YEAR(AsOfDate),MONTH($D82),DAY($D82))&lt;=AsOfDate,1,0),MONTH($D82),DAY($D82)))</f>
        <v/>
      </c>
      <c r="F82" s="11"/>
      <c r="G82" s="11"/>
      <c r="H82" s="11"/>
      <c r="I82" s="11"/>
      <c r="J82" s="11"/>
      <c r="K82" s="12" t="str">
        <f aca="false">IF(AG82=0,"",DATE(YEAR(AsOfDate)+IF(DATE(YEAR(AsOfDate),MONTH(AH82),DAY(AH82))&lt;=AsOfDate,1,0),MONTH(AH82),DAY(AH82)))</f>
        <v/>
      </c>
      <c r="L82" s="13" t="str">
        <f aca="false">IF(AG82=0,"",ROUND((AsOfDate-AH82)/365.25,1))</f>
        <v/>
      </c>
      <c r="M82" s="14" t="str">
        <f aca="false">IF(AG82=0,"",IF(AsOfDate&lt;AH82,"-",DATEDIF(AH82,AsOfDate,"y")&amp;"y "&amp;DATEDIF(AH82,AsOfDate,"ym")&amp;"m "&amp;DATEDIF(AH82,AsOfDate,"md")&amp;"d"))</f>
        <v/>
      </c>
      <c r="N82" s="15" t="str">
        <f aca="false">IF(AG82=0,"",O82*HoursPerDay)</f>
        <v/>
      </c>
      <c r="O82" s="15" t="str">
        <f aca="false">IF(AG82=0,"",AZ82)</f>
        <v/>
      </c>
      <c r="P82" s="16"/>
      <c r="Q82" s="14" t="str">
        <f aca="false">IF(AG82=0,"",IF(AI82&lt;2,"",AM82&amp;" to "&amp;AN82&amp;" on "&amp;TEXT(AK82,"dd/mm/yyyy")&amp;IF(AK82&gt;AsOfDate," (future)",IF(AP82=AQ82,"",IF(AQ82="None"," - STOPPED accruing",IF(AP82="None"," - commencement for Bonus Leave"," - pathway changed"))))&amp;IF(AI82&lt;3,"","; "&amp;AN82&amp;" to "&amp;AO82&amp;" on "&amp;TEXT(AL82,"dd/mm/yyyy")&amp;IF(AL82&gt;AsOfDate," (future)",IF(AQ82=AR82,"",IF(AR82="None"," - STOPPED accruing",IF(AQ82="None"," - commencement for Bonus Leave"," - pathway changed")))))))</f>
        <v/>
      </c>
      <c r="R82" s="14" t="str">
        <f aca="false">IF(AG82=0,"",IF(AS82="None",IF(O82&gt;0,"No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2" t="str">
        <f aca="false">IF(AG82=0,"",IF(AS82="None","",EDATE(AH82,BB82)))</f>
        <v/>
      </c>
      <c r="T82" s="15" t="str">
        <f aca="false">IF(AG82=0,"",IF(NOT(LH_Ready),"",IF(AH82&gt;PFYDate,0,IF(LH_ColPeriod=0,W82-U82+V82,SUMIFS(INDEX(LH_Data,0,LH_ColAcc),INDEX(LH_Data,0,LH_ColFirst),$A82,INDEX(LH_Data,0,LH_ColSur),$B82,INDEX(LH_Data,0,LH_ColCat),BonusCat,INDEX(LH_Data,0,LH_ColPeriod),LH_OpenLabel)*UnitFactor))))</f>
        <v/>
      </c>
      <c r="U82" s="15" t="str">
        <f aca="false">IF(AG82=0,"",IF(NOT(LH_Ready),"",SUMIFS(INDEX(LH_Data,0,LH_ColAcc),INDEX(LH_Data,0,LH_ColFirst),$A82,INDEX(LH_Data,0,LH_ColSur),$B82,INDEX(LH_Data,0,LH_ColCat),BonusCat,INDEX(LH_Data,0,LH_ColStart),"&gt;="&amp;AH82)*UnitFactor))</f>
        <v/>
      </c>
      <c r="V82" s="15" t="str">
        <f aca="false">IF(AG82=0,"",IF(NOT(LH_Ready),"",SUMIFS(INDEX(LH_Data,0,LH_ColTaken),INDEX(LH_Data,0,LH_ColFirst),$A82,INDEX(LH_Data,0,LH_ColSur),$B82,INDEX(LH_Data,0,LH_ColCat),BonusCat,INDEX(LH_Data,0,LH_ColStart),"&gt;="&amp;AH82)*UnitFactor))</f>
        <v/>
      </c>
      <c r="W82" s="15" t="str">
        <f aca="false">IF(AG82=0,"",IF(NOT(LH_Ready),"",IF(BD82=0,0,INDEX(INDEX(LH_Data,0,LH_ColClose),BD82-1)*UnitFactor)))</f>
        <v/>
      </c>
      <c r="X82" s="15" t="str">
        <f aca="false">IF(AG82=0,"",(AZ82-BA82)*HoursPerDay)</f>
        <v/>
      </c>
      <c r="Y82" s="15" t="str">
        <f aca="false">IF(AG82=0,"",IF(NOT(LH_Ready),"",IF(BC82=0,N82,IF(PFYDate&lt;$F82,N82-N(T82)-N(U82),X82-N(U82)))))</f>
        <v/>
      </c>
      <c r="Z82" s="14" t="str">
        <f aca="false">IF(OR(AG82=0,Y82=""),"",IF(Y82&gt;0,"Yes","No"))</f>
        <v/>
      </c>
      <c r="AA82" s="14" t="str">
        <f aca="false">IF(AG82=0,IF(LEN($A82&amp;$B82)=0,"","FIX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month")&amp;IF(BC82=0,";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EH)",""),IF(AS82="None",R82,"Not yet - first day on "&amp;TEXT(S82,"dd/mm/yyyy")))))))))</f>
        <v/>
      </c>
      <c r="AB82" s="15" t="str">
        <f aca="false">IF(OR(AG82=0,T82=""),"",BA82*HoursPerDay-T82)</f>
        <v/>
      </c>
      <c r="AC82" s="14" t="str">
        <f aca="false">IF(AG82=0,"",BC82)</f>
        <v/>
      </c>
      <c r="AD82" s="14" t="str">
        <f aca="false">IF(AG82=0,"",TRIM(IF(OR(ISTEXT($F82),ISTEXT($H82),ISTEXT($I82),ISTEXT($G82),ISTEXT($J82),ISTEXT($D82)),"A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I82&gt;=1,IF(AI82&gt;=3,AO82,IF(AI82=2,AN82,AM82))&lt;&gt;IF($C82="","",IF(OR(ISNUMBER(SEARCH("full",$C82)),UPPER(TRIM($C82))="FT",UPPER(TRIM($C82))="FTE"),"Full-Time",IF(OR(ISNUMBER(SEARCH("part",$C82)),UPPER(TRIM($C82))="PT",UPPER(TRIM($C82))="PTE"),"Part-Time",IF(OR(ISNUMBER(SEARCH("cas",$C82)),UPPER(TRIM($C82))="CAS"),"Casual","Unknown"))))),"EmploymentType does not match latest start date ("&amp;IF(AI82&gt;=3,AO82,IF(AI82=2,AN82,AM82))&amp;"). ","")&amp;IF(AND(AI82&gt;=1,AJ82&lt;&gt;$F82),"Earliest type date should equal StartDate. ","")&amp;IF(AND(AI82&gt;=2,AJ82=AK82),"Two types start on the same date. ","")&amp;IF(AND(OR(ISNUMBER(SEARCH("part",$C82)),UPPER(TRIM($C82))="PT",UPPER(TRIM($C82))="PTE"),$P82=""),"Part-time: enter PT Hrs/Week (blank = 24+). ","")))</f>
        <v/>
      </c>
      <c r="AE82" s="15" t="str">
        <f aca="false">IF(AG82=0,"",O82-BH82)</f>
        <v/>
      </c>
      <c r="AF82" s="12" t="str">
        <f aca="false">IF(OR(AG82=0,AE82="",N(AE82)=0,BI82=""),"",EDATE(AH82,BI82))</f>
        <v/>
      </c>
      <c r="AG82" s="14" t="n">
        <f aca="false">IF(OR(LEN($A82&amp;$B82)=0,$F82=""),0,1)</f>
        <v>0</v>
      </c>
      <c r="AH82" s="12" t="str">
        <f aca="false">IF(AG82=0,"",IF($J82&lt;&gt;"",$J82,IF(OR(CasualCounts="Yes",COUNT($G82:$I82)=0,COUNT($H82:$I82)=0),$F82,MIN($H82:$I82))))</f>
        <v/>
      </c>
      <c r="AI82" s="14" t="str">
        <f aca="false">IF(AG82=0,"",COUNT($G82:$I82))</f>
        <v/>
      </c>
      <c r="AJ82" s="12" t="str">
        <f aca="false">IF(AG82=0,"",IFERROR(SMALL($G82:$I82,1),""))</f>
        <v/>
      </c>
      <c r="AK82" s="12" t="str">
        <f aca="false">IF(AG82=0,"",IFERROR(SMALL($G82:$I82,2),""))</f>
        <v/>
      </c>
      <c r="AL82" s="12" t="str">
        <f aca="false">IF(AG82=0,"",IFERROR(SMALL($G82:$I82,3),""))</f>
        <v/>
      </c>
      <c r="AM82" s="14" t="str">
        <f aca="false">IF(AG82=0,"",IF(AJ82="","",IF(AJ82=$H82,"Part-Time",IF(AJ82=$I82,"Full-Time","Casual"))))</f>
        <v/>
      </c>
      <c r="AN82" s="14" t="str">
        <f aca="false">IF(AG82=0,"",IF(AK82="","",IF(AK82=$H82,"Part-Time",IF(AK82=$I82,"Full-Time","Casual"))))</f>
        <v/>
      </c>
      <c r="AO82" s="14" t="str">
        <f aca="false">IF(AG82=0,"",IF(AL82="","",IF(AL82=$H82,"Part-Time",IF(AL82=$I82,"Full-Time","Casual"))))</f>
        <v/>
      </c>
      <c r="AP82" s="14" t="str">
        <f aca="false">IF(AG82=0,"",IF(AI82=0,IF(OR(ISNUMBER(SEARCH("full",$C82)),UPPER(TRIM($C82))="FT",UPPER(TRIM($C82))="FTE"),"FT",IF(AND(OR(ISNUMBER(SEARCH("part",$C82)),UPPER(TRIM($C82))="PT",UPPER(TRIM($C82))="PTE"),OR($P82="",N($P82)&gt;=PT_MinHours)),"PT","None")),IF(OR(ISNUMBER(SEARCH("full",AM82)),UPPER(TRIM(AM82))="FT",UPPER(TRIM(AM82))="FTE"),"FT",IF(AND(OR(ISNUMBER(SEARCH("part",AM82)),UPPER(TRIM(AM82))="PT",UPPER(TRIM(AM82))="PTE"),OR($P82="",N($P82)&gt;=PT_MinHours)),"PT","None"))))</f>
        <v/>
      </c>
      <c r="AQ82" s="14" t="str">
        <f aca="false">IF(AG82=0,"",IF(AI82&lt;2,"",IF(OR(ISNUMBER(SEARCH("full",AN82)),UPPER(TRIM(AN82))="FT",UPPER(TRIM(AN82))="FTE"),"FT",IF(AND(OR(ISNUMBER(SEARCH("part",AN82)),UPPER(TRIM(AN82))="PT",UPPER(TRIM(AN82))="PTE"),OR($P82="",N($P82)&gt;=PT_MinHours)),"PT","None"))))</f>
        <v/>
      </c>
      <c r="AR82" s="14" t="str">
        <f aca="false">IF(AG82=0,"",IF(AI82&lt;3,"",IF(OR(ISNUMBER(SEARCH("full",AO82)),UPPER(TRIM(AO82))="FT",UPPER(TRIM(AO82))="FTE"),"FT",IF(AND(OR(ISNUMBER(SEARCH("part",AO82)),UPPER(TRIM(AO82))="PT",UPPER(TRIM(AO82))="PTE"),OR($P82="",N($P82)&gt;=PT_MinHours)),"PT","None"))))</f>
        <v/>
      </c>
      <c r="AS82" s="14" t="str">
        <f aca="false">IF(AG82=0,"",IF(AND(AI82&gt;=3,AL82&lt;=AsOfDate),AR82,IF(AND(AI82&gt;=2,AK82&lt;=AsOfDate),AQ82,AP82)))</f>
        <v/>
      </c>
      <c r="AT82" s="14" t="str">
        <f aca="false">IF(AG82=0,"",IF(AsOfDate&lt;AH82,-1,12*(YEAR(AsOfDate)-YEAR(AH82))+MONTH(AsOfDate)-MONTH(AH82)-IF(DAY(AsOfDate)&lt;MIN(DAY(AH82),DAY(EOMONTH(AsOfDate,0))),1,0)))</f>
        <v/>
      </c>
      <c r="AU82" s="14" t="str">
        <f aca="false">IF(AG82=0,"",IF(OR(AI82&lt;2,AK82&gt;AsOfDate),AT82,IF((AK82-1)&lt;AH82,-1,12*(YEAR((AK82-1))-YEAR(AH82))+MONTH((AK82-1))-MONTH(AH82)-IF(DAY((AK82-1))&lt;MIN(DAY(AH82),DAY(EOMONTH((AK82-1),0))),1,0))))</f>
        <v/>
      </c>
      <c r="AV82" s="14" t="str">
        <f aca="false">IF(AG82=0,"",IF(OR(AI82&lt;3,AL82&gt;AsOfDate),AT82,IF((AL82-1)&lt;AH82,-1,12*(YEAR((AL82-1))-YEAR(AH82))+MONTH((AL82-1))-MONTH(AH82)-IF(DAY((AL82-1))&lt;MIN(DAY(AH82),DAY(EOMONTH((AL82-1),0))),1,0))))</f>
        <v/>
      </c>
      <c r="AW82" s="14" t="str">
        <f aca="false">IF(AG82=0,"",IF(PFYDate&lt;AH82,-1,12*(YEAR(PFYDate)-YEAR(AH82))+MONTH(PFYDate)-MONTH(AH82)-IF(DAY(PFYDate)&lt;MIN(DAY(AH82),DAY(EOMONTH(PFYDate,0))),1,0)))</f>
        <v/>
      </c>
      <c r="AX82" s="14" t="str">
        <f aca="false">IF(AG82=0,"",IF(OR(AI82&lt;2,AK82&gt;PFYDate),AW82,IF((AK82-1)&lt;AH82,-1,12*(YEAR((AK82-1))-YEAR(AH82))+MONTH((AK82-1))-MONTH(AH82)-IF(DAY((AK82-1))&lt;MIN(DAY(AH82),DAY(EOMONTH((AK82-1),0))),1,0))))</f>
        <v/>
      </c>
      <c r="AY82" s="14" t="str">
        <f aca="false">IF(AG82=0,"",IF(OR(AI82&lt;3,AL82&gt;PFYDate),AW82,IF((AL82-1)&lt;AH82,-1,12*(YEAR((AL82-1))-YEAR(AH82))+MONTH((AL82-1))-MONTH(AH82)-IF(DAY((AL82-1))&lt;MIN(DAY(AH82),DAY(EOMONTH((AL82-1),0))),1,0))))</f>
        <v/>
      </c>
      <c r="AZ82" s="14" t="str">
        <f aca="false">IF(AG82=0,"",IF(AP82="FT",IF(AU82&lt;FT_First,0,IF(AU82&lt;FT_Y5,1+INT((AU82-FT_First)/FT_Int1),FT_PreY5+FT_PerYear*INT((AU82-FT_Y5)/12)+FT_AnnivDays+INT(MOD(AU82-FT_Y5,12)/FT_Int2))),IF(AP82="PT",IF(AU82&lt;PT_First,0,1+INT((AU82-PT_First)/PT_Int)),0))+IF(AND(AI82&gt;=2,AK82&lt;=AsOfDate),IF(AQ82="FT",IF(AV82&lt;FT_First,0,IF(AV82&lt;FT_Y5,1+INT((AV82-FT_First)/FT_Int1),FT_PreY5+FT_PerYear*INT((AV82-FT_Y5)/12)+FT_AnnivDays+INT(MOD(AV82-FT_Y5,12)/FT_Int2))),IF(AQ82="PT",IF(AV82&lt;PT_First,0,1+INT((AV82-PT_First)/PT_Int)),0))-IF(AQ82="FT",IF(AU82&lt;FT_First,0,IF(AU82&lt;FT_Y5,1+INT((AU82-FT_First)/FT_Int1),FT_PreY5+FT_PerYear*INT((AU82-FT_Y5)/12)+FT_AnnivDays+INT(MOD(AU82-FT_Y5,12)/FT_Int2))),IF(AQ82="PT",IF(AU82&lt;PT_First,0,1+INT((AU82-PT_First)/PT_Int)),0)),0)+IF(AND(AI82&gt;=3,AL82&lt;=AsOfDate),IF(AR82="FT",IF(AT82&lt;FT_First,0,IF(AT82&lt;FT_Y5,1+INT((AT82-FT_First)/FT_Int1),FT_PreY5+FT_PerYear*INT((AT82-FT_Y5)/12)+FT_AnnivDays+INT(MOD(AT82-FT_Y5,12)/FT_Int2))),IF(AR82="PT",IF(AT82&lt;PT_First,0,1+INT((AT82-PT_First)/PT_Int)),0))-IF(AR82="FT",IF(AV82&lt;FT_First,0,IF(AV82&lt;FT_Y5,1+INT((AV82-FT_First)/FT_Int1),FT_PreY5+FT_PerYear*INT((AV82-FT_Y5)/12)+FT_AnnivDays+INT(MOD(AV82-FT_Y5,12)/FT_Int2))),IF(AR82="PT",IF(AV82&lt;PT_First,0,1+INT((AV82-PT_First)/PT_Int)),0)),0))</f>
        <v/>
      </c>
      <c r="BA82" s="14" t="str">
        <f aca="false">IF(AG82=0,"",IF(AP82="FT",IF(AX82&lt;FT_First,0,IF(AX82&lt;FT_Y5,1+INT((AX82-FT_First)/FT_Int1),FT_PreY5+FT_PerYear*INT((AX82-FT_Y5)/12)+FT_AnnivDays+INT(MOD(AX82-FT_Y5,12)/FT_Int2))),IF(AP82="PT",IF(AX82&lt;PT_First,0,1+INT((AX82-PT_First)/PT_Int)),0))+IF(AND(AI82&gt;=2,AK82&lt;=PFYDate),IF(AQ82="FT",IF(AY82&lt;FT_First,0,IF(AY82&lt;FT_Y5,1+INT((AY82-FT_First)/FT_Int1),FT_PreY5+FT_PerYear*INT((AY82-FT_Y5)/12)+FT_AnnivDays+INT(MOD(AY82-FT_Y5,12)/FT_Int2))),IF(AQ82="PT",IF(AY82&lt;PT_First,0,1+INT((AY82-PT_First)/PT_Int)),0))-IF(AQ82="FT",IF(AX82&lt;FT_First,0,IF(AX82&lt;FT_Y5,1+INT((AX82-FT_First)/FT_Int1),FT_PreY5+FT_PerYear*INT((AX82-FT_Y5)/12)+FT_AnnivDays+INT(MOD(AX82-FT_Y5,12)/FT_Int2))),IF(AQ82="PT",IF(AX82&lt;PT_First,0,1+INT((AX82-PT_First)/PT_Int)),0)),0)+IF(AND(AI82&gt;=3,AL82&lt;=PFYDate),IF(AR82="FT",IF(AW82&lt;FT_First,0,IF(AW82&lt;FT_Y5,1+INT((AW82-FT_First)/FT_Int1),FT_PreY5+FT_PerYear*INT((AW82-FT_Y5)/12)+FT_AnnivDays+INT(MOD(AW82-FT_Y5,12)/FT_Int2))),IF(AR82="PT",IF(AW82&lt;PT_First,0,1+INT((AW82-PT_First)/PT_Int)),0))-IF(AR82="FT",IF(AY82&lt;FT_First,0,IF(AY82&lt;FT_Y5,1+INT((AY82-FT_First)/FT_Int1),FT_PreY5+FT_PerYear*INT((AY82-FT_Y5)/12)+FT_AnnivDays+INT(MOD(AY82-FT_Y5,12)/FT_Int2))),IF(AR82="PT",IF(AY82&lt;PT_First,0,1+INT((AY82-PT_First)/PT_Int)),0)),0))</f>
        <v/>
      </c>
      <c r="BB82" s="14" t="str">
        <f aca="false">IF(AG82=0,"",IF(AS82="FT",IF(AT82&lt;FT_First,FT_First,IF(AT82&lt;FT_Y5,MIN(FT_Y5,FT_First+FT_Int1*(INT((AT82-FT_First)/FT_Int1)+1)),FT_Y5+12*INT((AT82-FT_Y5)/12)+FT_Int2*(INT(MOD(AT82-FT_Y5,12)/FT_Int2)+1))),IF(AS82="PT",IF(AT82&lt;PT_First,PT_First,PT_First+PT_Int*(INT((AT82-PT_First)/PT_Int)+1)),"")))</f>
        <v/>
      </c>
      <c r="BC82" s="14" t="str">
        <f aca="false">IF(AG82=0,"",IF(NOT(LH_Ready),0,COUNTIFS(INDEX(LH_Data,0,LH_ColFirst),$A82,INDEX(LH_Data,0,LH_ColSur),$B82,INDEX(LH_Data,0,LH_ColCat),BonusCat)))</f>
        <v/>
      </c>
      <c r="BD82" s="14" t="str">
        <f aca="false">IF(AG82=0,"",IF(OR(NOT(LH_Ready),BC82=0),0,SUMPRODUCT(MAX((INDEX(LH_Data,0,LH_ColFirst)=$A82)*(INDEX(LH_Data,0,LH_ColSur)=$B82)*(INDEX(LH_Data,0,LH_ColCat)=BonusCat)*ROW(LH_Data)))))</f>
        <v/>
      </c>
      <c r="BE82" s="14" t="str">
        <f aca="false">IF(AG82=0,"",IF(EOMONTH(AsOfDate,-1)&lt;AH82,-1,12*(YEAR(EOMONTH(AsOfDate,-1))-YEAR(AH82))+MONTH(EOMONTH(AsOfDate,-1))-MONTH(AH82)-IF(DAY(EOMONTH(AsOfDate,-1))&lt;MIN(DAY(AH82),DAY(EOMONTH(EOMONTH(AsOfDate,-1),0))),1,0)))</f>
        <v/>
      </c>
      <c r="BF82" s="14" t="str">
        <f aca="false">IF(AG82=0,"",IF(OR(AI82&lt;2,AK82&gt;EOMONTH(AsOfDate,-1)),BE82,IF((AK82-1)&lt;AH82,-1,12*(YEAR((AK82-1))-YEAR(AH82))+MONTH((AK82-1))-MONTH(AH82)-IF(DAY((AK82-1))&lt;MIN(DAY(AH82),DAY(EOMONTH((AK82-1),0))),1,0))))</f>
        <v/>
      </c>
      <c r="BG82" s="14" t="str">
        <f aca="false">IF(AG82=0,"",IF(OR(AI82&lt;3,AL82&gt;EOMONTH(AsOfDate,-1)),BE82,IF((AL82-1)&lt;AH82,-1,12*(YEAR((AL82-1))-YEAR(AH82))+MONTH((AL82-1))-MONTH(AH82)-IF(DAY((AL82-1))&lt;MIN(DAY(AH82),DAY(EOMONTH((AL82-1),0))),1,0))))</f>
        <v/>
      </c>
      <c r="BH82" s="14" t="str">
        <f aca="false">IF(AG82=0,"",IF(AP82="FT",IF(BF82&lt;FT_First,0,IF(BF82&lt;FT_Y5,1+INT((BF82-FT_First)/FT_Int1),FT_PreY5+FT_PerYear*INT((BF82-FT_Y5)/12)+FT_AnnivDays+INT(MOD(BF82-FT_Y5,12)/FT_Int2))),IF(AP82="PT",IF(BF82&lt;PT_First,0,1+INT((BF82-PT_First)/PT_Int)),0))+IF(AND(AI82&gt;=2,AK82&lt;=EOMONTH(AsOfDate,-1)),IF(AQ82="FT",IF(BG82&lt;FT_First,0,IF(BG82&lt;FT_Y5,1+INT((BG82-FT_First)/FT_Int1),FT_PreY5+FT_PerYear*INT((BG82-FT_Y5)/12)+FT_AnnivDays+INT(MOD(BG82-FT_Y5,12)/FT_Int2))),IF(AQ82="PT",IF(BG82&lt;PT_First,0,1+INT((BG82-PT_First)/PT_Int)),0))-IF(AQ82="FT",IF(BF82&lt;FT_First,0,IF(BF82&lt;FT_Y5,1+INT((BF82-FT_First)/FT_Int1),FT_PreY5+FT_PerYear*INT((BF82-FT_Y5)/12)+FT_AnnivDays+INT(MOD(BF82-FT_Y5,12)/FT_Int2))),IF(AQ82="PT",IF(BF82&lt;PT_First,0,1+INT((BF82-PT_First)/PT_Int)),0)),0)+IF(AND(AI82&gt;=3,AL82&lt;=EOMONTH(AsOfDate,-1)),IF(AR82="FT",IF(BE82&lt;FT_First,0,IF(BE82&lt;FT_Y5,1+INT((BE82-FT_First)/FT_Int1),FT_PreY5+FT_PerYear*INT((BE82-FT_Y5)/12)+FT_AnnivDays+INT(MOD(BE82-FT_Y5,12)/FT_Int2))),IF(AR82="PT",IF(BE82&lt;PT_First,0,1+INT((BE82-PT_First)/PT_Int)),0))-IF(AR82="FT",IF(BG82&lt;FT_First,0,IF(BG82&lt;FT_Y5,1+INT((BG82-FT_First)/FT_Int1),FT_PreY5+FT_PerYear*INT((BG82-FT_Y5)/12)+FT_AnnivDays+INT(MOD(BG82-FT_Y5,12)/FT_Int2))),IF(AR82="PT",IF(BG82&lt;PT_First,0,1+INT((BG82-PT_First)/PT_Int)),0)),0))</f>
        <v/>
      </c>
      <c r="BI82" s="14" t="str">
        <f aca="false">IF(AG82=0,"",IF(AS82="FT",IF(AT82&lt;FT_First,"",IF(AT82&lt;FT_Y5,FT_First+FT_Int1*INT((AT82-FT_First)/FT_Int1),FT_Y5+FT_Int2*INT((AT82-FT_Y5)/FT_Int2))),IF(AS82="PT",IF(AT82&lt;PT_First,"",PT_First+PT_Int*INT((AT82-PT_First)/PT_Int)),"")))</f>
        <v/>
      </c>
      <c r="BJ82" s="0" t="str">
        <f aca="false">IF(LEN($A82&amp;$B82)=0,"",$A82&amp;" "&amp;$B82)</f>
        <v/>
      </c>
    </row>
    <row r="83" customFormat="false" ht="15" hidden="false" customHeight="false" outlineLevel="0" collapsed="false">
      <c r="A83" s="10"/>
      <c r="B83" s="10"/>
      <c r="C83" s="10"/>
      <c r="D83" s="11"/>
      <c r="E83" s="12" t="str">
        <f aca="false">IF(OR(AG83=0,$D83=""),"",DATE(YEAR(AsOfDate)+IF(DATE(YEAR(AsOfDate),MONTH($D83),DAY($D83))&lt;=AsOfDate,1,0),MONTH($D83),DAY($D83)))</f>
        <v/>
      </c>
      <c r="F83" s="11"/>
      <c r="G83" s="11"/>
      <c r="H83" s="11"/>
      <c r="I83" s="11"/>
      <c r="J83" s="11"/>
      <c r="K83" s="12" t="str">
        <f aca="false">IF(AG83=0,"",DATE(YEAR(AsOfDate)+IF(DATE(YEAR(AsOfDate),MONTH(AH83),DAY(AH83))&lt;=AsOfDate,1,0),MONTH(AH83),DAY(AH83)))</f>
        <v/>
      </c>
      <c r="L83" s="13" t="str">
        <f aca="false">IF(AG83=0,"",ROUND((AsOfDate-AH83)/365.25,1))</f>
        <v/>
      </c>
      <c r="M83" s="14" t="str">
        <f aca="false">IF(AG83=0,"",IF(AsOfDate&lt;AH83,"-",DATEDIF(AH83,AsOfDate,"y")&amp;"y "&amp;DATEDIF(AH83,AsOfDate,"ym")&amp;"m "&amp;DATEDIF(AH83,AsOfDate,"md")&amp;"d"))</f>
        <v/>
      </c>
      <c r="N83" s="15" t="str">
        <f aca="false">IF(AG83=0,"",O83*HoursPerDay)</f>
        <v/>
      </c>
      <c r="O83" s="15" t="str">
        <f aca="false">IF(AG83=0,"",AZ83)</f>
        <v/>
      </c>
      <c r="P83" s="16"/>
      <c r="Q83" s="14" t="str">
        <f aca="false">IF(AG83=0,"",IF(AI83&lt;2,"",AM83&amp;" to "&amp;AN83&amp;" on "&amp;TEXT(AK83,"dd/mm/yyyy")&amp;IF(AK83&gt;AsOfDate," (future)",IF(AP83=AQ83,"",IF(AQ83="None"," - STOPPED accruing",IF(AP83="None"," - commencement for Bonus Leave"," - pathway changed"))))&amp;IF(AI83&lt;3,"","; "&amp;AN83&amp;" to "&amp;AO83&amp;" on "&amp;TEXT(AL83,"dd/mm/yyyy")&amp;IF(AL83&gt;AsOfDate," (future)",IF(AQ83=AR83,"",IF(AR83="None"," - STOPPED accruing",IF(AQ83="None"," - commencement for Bonus Leave"," - pathway changed")))))))</f>
        <v/>
      </c>
      <c r="R83" s="14" t="str">
        <f aca="false">IF(AG83=0,"",IF(AS83="None",IF(O83&gt;0,"No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2" t="str">
        <f aca="false">IF(AG83=0,"",IF(AS83="None","",EDATE(AH83,BB83)))</f>
        <v/>
      </c>
      <c r="T83" s="15" t="str">
        <f aca="false">IF(AG83=0,"",IF(NOT(LH_Ready),"",IF(AH83&gt;PFYDate,0,IF(LH_ColPeriod=0,W83-U83+V83,SUMIFS(INDEX(LH_Data,0,LH_ColAcc),INDEX(LH_Data,0,LH_ColFirst),$A83,INDEX(LH_Data,0,LH_ColSur),$B83,INDEX(LH_Data,0,LH_ColCat),BonusCat,INDEX(LH_Data,0,LH_ColPeriod),LH_OpenLabel)*UnitFactor))))</f>
        <v/>
      </c>
      <c r="U83" s="15" t="str">
        <f aca="false">IF(AG83=0,"",IF(NOT(LH_Ready),"",SUMIFS(INDEX(LH_Data,0,LH_ColAcc),INDEX(LH_Data,0,LH_ColFirst),$A83,INDEX(LH_Data,0,LH_ColSur),$B83,INDEX(LH_Data,0,LH_ColCat),BonusCat,INDEX(LH_Data,0,LH_ColStart),"&gt;="&amp;AH83)*UnitFactor))</f>
        <v/>
      </c>
      <c r="V83" s="15" t="str">
        <f aca="false">IF(AG83=0,"",IF(NOT(LH_Ready),"",SUMIFS(INDEX(LH_Data,0,LH_ColTaken),INDEX(LH_Data,0,LH_ColFirst),$A83,INDEX(LH_Data,0,LH_ColSur),$B83,INDEX(LH_Data,0,LH_ColCat),BonusCat,INDEX(LH_Data,0,LH_ColStart),"&gt;="&amp;AH83)*UnitFactor))</f>
        <v/>
      </c>
      <c r="W83" s="15" t="str">
        <f aca="false">IF(AG83=0,"",IF(NOT(LH_Ready),"",IF(BD83=0,0,INDEX(INDEX(LH_Data,0,LH_ColClose),BD83-1)*UnitFactor)))</f>
        <v/>
      </c>
      <c r="X83" s="15" t="str">
        <f aca="false">IF(AG83=0,"",(AZ83-BA83)*HoursPerDay)</f>
        <v/>
      </c>
      <c r="Y83" s="15" t="str">
        <f aca="false">IF(AG83=0,"",IF(NOT(LH_Ready),"",IF(BC83=0,N83,IF(PFYDate&lt;$F83,N83-N(T83)-N(U83),X83-N(U83)))))</f>
        <v/>
      </c>
      <c r="Z83" s="14" t="str">
        <f aca="false">IF(OR(AG83=0,Y83=""),"",IF(Y83&gt;0,"Yes","No"))</f>
        <v/>
      </c>
      <c r="AA83" s="14" t="str">
        <f aca="false">IF(AG83=0,IF(LEN($A83&amp;$B83)=0,"","FIX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month")&amp;IF(BC83=0,";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EH)",""),IF(AS83="None",R83,"Not yet - first day on "&amp;TEXT(S83,"dd/mm/yyyy")))))))))</f>
        <v/>
      </c>
      <c r="AB83" s="15" t="str">
        <f aca="false">IF(OR(AG83=0,T83=""),"",BA83*HoursPerDay-T83)</f>
        <v/>
      </c>
      <c r="AC83" s="14" t="str">
        <f aca="false">IF(AG83=0,"",BC83)</f>
        <v/>
      </c>
      <c r="AD83" s="14" t="str">
        <f aca="false">IF(AG83=0,"",TRIM(IF(OR(ISTEXT($F83),ISTEXT($H83),ISTEXT($I83),ISTEXT($G83),ISTEXT($J83),ISTEXT($D83)),"A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I83&gt;=1,IF(AI83&gt;=3,AO83,IF(AI83=2,AN83,AM83))&lt;&gt;IF($C83="","",IF(OR(ISNUMBER(SEARCH("full",$C83)),UPPER(TRIM($C83))="FT",UPPER(TRIM($C83))="FTE"),"Full-Time",IF(OR(ISNUMBER(SEARCH("part",$C83)),UPPER(TRIM($C83))="PT",UPPER(TRIM($C83))="PTE"),"Part-Time",IF(OR(ISNUMBER(SEARCH("cas",$C83)),UPPER(TRIM($C83))="CAS"),"Casual","Unknown"))))),"EmploymentType does not match latest start date ("&amp;IF(AI83&gt;=3,AO83,IF(AI83=2,AN83,AM83))&amp;"). ","")&amp;IF(AND(AI83&gt;=1,AJ83&lt;&gt;$F83),"Earliest type date should equal StartDate. ","")&amp;IF(AND(AI83&gt;=2,AJ83=AK83),"Two types start on the same date. ","")&amp;IF(AND(OR(ISNUMBER(SEARCH("part",$C83)),UPPER(TRIM($C83))="PT",UPPER(TRIM($C83))="PTE"),$P83=""),"Part-time: enter PT Hrs/Week (blank = 24+). ","")))</f>
        <v/>
      </c>
      <c r="AE83" s="15" t="str">
        <f aca="false">IF(AG83=0,"",O83-BH83)</f>
        <v/>
      </c>
      <c r="AF83" s="12" t="str">
        <f aca="false">IF(OR(AG83=0,AE83="",N(AE83)=0,BI83=""),"",EDATE(AH83,BI83))</f>
        <v/>
      </c>
      <c r="AG83" s="14" t="n">
        <f aca="false">IF(OR(LEN($A83&amp;$B83)=0,$F83=""),0,1)</f>
        <v>0</v>
      </c>
      <c r="AH83" s="12" t="str">
        <f aca="false">IF(AG83=0,"",IF($J83&lt;&gt;"",$J83,IF(OR(CasualCounts="Yes",COUNT($G83:$I83)=0,COUNT($H83:$I83)=0),$F83,MIN($H83:$I83))))</f>
        <v/>
      </c>
      <c r="AI83" s="14" t="str">
        <f aca="false">IF(AG83=0,"",COUNT($G83:$I83))</f>
        <v/>
      </c>
      <c r="AJ83" s="12" t="str">
        <f aca="false">IF(AG83=0,"",IFERROR(SMALL($G83:$I83,1),""))</f>
        <v/>
      </c>
      <c r="AK83" s="12" t="str">
        <f aca="false">IF(AG83=0,"",IFERROR(SMALL($G83:$I83,2),""))</f>
        <v/>
      </c>
      <c r="AL83" s="12" t="str">
        <f aca="false">IF(AG83=0,"",IFERROR(SMALL($G83:$I83,3),""))</f>
        <v/>
      </c>
      <c r="AM83" s="14" t="str">
        <f aca="false">IF(AG83=0,"",IF(AJ83="","",IF(AJ83=$H83,"Part-Time",IF(AJ83=$I83,"Full-Time","Casual"))))</f>
        <v/>
      </c>
      <c r="AN83" s="14" t="str">
        <f aca="false">IF(AG83=0,"",IF(AK83="","",IF(AK83=$H83,"Part-Time",IF(AK83=$I83,"Full-Time","Casual"))))</f>
        <v/>
      </c>
      <c r="AO83" s="14" t="str">
        <f aca="false">IF(AG83=0,"",IF(AL83="","",IF(AL83=$H83,"Part-Time",IF(AL83=$I83,"Full-Time","Casual"))))</f>
        <v/>
      </c>
      <c r="AP83" s="14" t="str">
        <f aca="false">IF(AG83=0,"",IF(AI83=0,IF(OR(ISNUMBER(SEARCH("full",$C83)),UPPER(TRIM($C83))="FT",UPPER(TRIM($C83))="FTE"),"FT",IF(AND(OR(ISNUMBER(SEARCH("part",$C83)),UPPER(TRIM($C83))="PT",UPPER(TRIM($C83))="PTE"),OR($P83="",N($P83)&gt;=PT_MinHours)),"PT","None")),IF(OR(ISNUMBER(SEARCH("full",AM83)),UPPER(TRIM(AM83))="FT",UPPER(TRIM(AM83))="FTE"),"FT",IF(AND(OR(ISNUMBER(SEARCH("part",AM83)),UPPER(TRIM(AM83))="PT",UPPER(TRIM(AM83))="PTE"),OR($P83="",N($P83)&gt;=PT_MinHours)),"PT","None"))))</f>
        <v/>
      </c>
      <c r="AQ83" s="14" t="str">
        <f aca="false">IF(AG83=0,"",IF(AI83&lt;2,"",IF(OR(ISNUMBER(SEARCH("full",AN83)),UPPER(TRIM(AN83))="FT",UPPER(TRIM(AN83))="FTE"),"FT",IF(AND(OR(ISNUMBER(SEARCH("part",AN83)),UPPER(TRIM(AN83))="PT",UPPER(TRIM(AN83))="PTE"),OR($P83="",N($P83)&gt;=PT_MinHours)),"PT","None"))))</f>
        <v/>
      </c>
      <c r="AR83" s="14" t="str">
        <f aca="false">IF(AG83=0,"",IF(AI83&lt;3,"",IF(OR(ISNUMBER(SEARCH("full",AO83)),UPPER(TRIM(AO83))="FT",UPPER(TRIM(AO83))="FTE"),"FT",IF(AND(OR(ISNUMBER(SEARCH("part",AO83)),UPPER(TRIM(AO83))="PT",UPPER(TRIM(AO83))="PTE"),OR($P83="",N($P83)&gt;=PT_MinHours)),"PT","None"))))</f>
        <v/>
      </c>
      <c r="AS83" s="14" t="str">
        <f aca="false">IF(AG83=0,"",IF(AND(AI83&gt;=3,AL83&lt;=AsOfDate),AR83,IF(AND(AI83&gt;=2,AK83&lt;=AsOfDate),AQ83,AP83)))</f>
        <v/>
      </c>
      <c r="AT83" s="14" t="str">
        <f aca="false">IF(AG83=0,"",IF(AsOfDate&lt;AH83,-1,12*(YEAR(AsOfDate)-YEAR(AH83))+MONTH(AsOfDate)-MONTH(AH83)-IF(DAY(AsOfDate)&lt;MIN(DAY(AH83),DAY(EOMONTH(AsOfDate,0))),1,0)))</f>
        <v/>
      </c>
      <c r="AU83" s="14" t="str">
        <f aca="false">IF(AG83=0,"",IF(OR(AI83&lt;2,AK83&gt;AsOfDate),AT83,IF((AK83-1)&lt;AH83,-1,12*(YEAR((AK83-1))-YEAR(AH83))+MONTH((AK83-1))-MONTH(AH83)-IF(DAY((AK83-1))&lt;MIN(DAY(AH83),DAY(EOMONTH((AK83-1),0))),1,0))))</f>
        <v/>
      </c>
      <c r="AV83" s="14" t="str">
        <f aca="false">IF(AG83=0,"",IF(OR(AI83&lt;3,AL83&gt;AsOfDate),AT83,IF((AL83-1)&lt;AH83,-1,12*(YEAR((AL83-1))-YEAR(AH83))+MONTH((AL83-1))-MONTH(AH83)-IF(DAY((AL83-1))&lt;MIN(DAY(AH83),DAY(EOMONTH((AL83-1),0))),1,0))))</f>
        <v/>
      </c>
      <c r="AW83" s="14" t="str">
        <f aca="false">IF(AG83=0,"",IF(PFYDate&lt;AH83,-1,12*(YEAR(PFYDate)-YEAR(AH83))+MONTH(PFYDate)-MONTH(AH83)-IF(DAY(PFYDate)&lt;MIN(DAY(AH83),DAY(EOMONTH(PFYDate,0))),1,0)))</f>
        <v/>
      </c>
      <c r="AX83" s="14" t="str">
        <f aca="false">IF(AG83=0,"",IF(OR(AI83&lt;2,AK83&gt;PFYDate),AW83,IF((AK83-1)&lt;AH83,-1,12*(YEAR((AK83-1))-YEAR(AH83))+MONTH((AK83-1))-MONTH(AH83)-IF(DAY((AK83-1))&lt;MIN(DAY(AH83),DAY(EOMONTH((AK83-1),0))),1,0))))</f>
        <v/>
      </c>
      <c r="AY83" s="14" t="str">
        <f aca="false">IF(AG83=0,"",IF(OR(AI83&lt;3,AL83&gt;PFYDate),AW83,IF((AL83-1)&lt;AH83,-1,12*(YEAR((AL83-1))-YEAR(AH83))+MONTH((AL83-1))-MONTH(AH83)-IF(DAY((AL83-1))&lt;MIN(DAY(AH83),DAY(EOMONTH((AL83-1),0))),1,0))))</f>
        <v/>
      </c>
      <c r="AZ83" s="14" t="str">
        <f aca="false">IF(AG83=0,"",IF(AP83="FT",IF(AU83&lt;FT_First,0,IF(AU83&lt;FT_Y5,1+INT((AU83-FT_First)/FT_Int1),FT_PreY5+FT_PerYear*INT((AU83-FT_Y5)/12)+FT_AnnivDays+INT(MOD(AU83-FT_Y5,12)/FT_Int2))),IF(AP83="PT",IF(AU83&lt;PT_First,0,1+INT((AU83-PT_First)/PT_Int)),0))+IF(AND(AI83&gt;=2,AK83&lt;=AsOfDate),IF(AQ83="FT",IF(AV83&lt;FT_First,0,IF(AV83&lt;FT_Y5,1+INT((AV83-FT_First)/FT_Int1),FT_PreY5+FT_PerYear*INT((AV83-FT_Y5)/12)+FT_AnnivDays+INT(MOD(AV83-FT_Y5,12)/FT_Int2))),IF(AQ83="PT",IF(AV83&lt;PT_First,0,1+INT((AV83-PT_First)/PT_Int)),0))-IF(AQ83="FT",IF(AU83&lt;FT_First,0,IF(AU83&lt;FT_Y5,1+INT((AU83-FT_First)/FT_Int1),FT_PreY5+FT_PerYear*INT((AU83-FT_Y5)/12)+FT_AnnivDays+INT(MOD(AU83-FT_Y5,12)/FT_Int2))),IF(AQ83="PT",IF(AU83&lt;PT_First,0,1+INT((AU83-PT_First)/PT_Int)),0)),0)+IF(AND(AI83&gt;=3,AL83&lt;=AsOfDate),IF(AR83="FT",IF(AT83&lt;FT_First,0,IF(AT83&lt;FT_Y5,1+INT((AT83-FT_First)/FT_Int1),FT_PreY5+FT_PerYear*INT((AT83-FT_Y5)/12)+FT_AnnivDays+INT(MOD(AT83-FT_Y5,12)/FT_Int2))),IF(AR83="PT",IF(AT83&lt;PT_First,0,1+INT((AT83-PT_First)/PT_Int)),0))-IF(AR83="FT",IF(AV83&lt;FT_First,0,IF(AV83&lt;FT_Y5,1+INT((AV83-FT_First)/FT_Int1),FT_PreY5+FT_PerYear*INT((AV83-FT_Y5)/12)+FT_AnnivDays+INT(MOD(AV83-FT_Y5,12)/FT_Int2))),IF(AR83="PT",IF(AV83&lt;PT_First,0,1+INT((AV83-PT_First)/PT_Int)),0)),0))</f>
        <v/>
      </c>
      <c r="BA83" s="14" t="str">
        <f aca="false">IF(AG83=0,"",IF(AP83="FT",IF(AX83&lt;FT_First,0,IF(AX83&lt;FT_Y5,1+INT((AX83-FT_First)/FT_Int1),FT_PreY5+FT_PerYear*INT((AX83-FT_Y5)/12)+FT_AnnivDays+INT(MOD(AX83-FT_Y5,12)/FT_Int2))),IF(AP83="PT",IF(AX83&lt;PT_First,0,1+INT((AX83-PT_First)/PT_Int)),0))+IF(AND(AI83&gt;=2,AK83&lt;=PFYDate),IF(AQ83="FT",IF(AY83&lt;FT_First,0,IF(AY83&lt;FT_Y5,1+INT((AY83-FT_First)/FT_Int1),FT_PreY5+FT_PerYear*INT((AY83-FT_Y5)/12)+FT_AnnivDays+INT(MOD(AY83-FT_Y5,12)/FT_Int2))),IF(AQ83="PT",IF(AY83&lt;PT_First,0,1+INT((AY83-PT_First)/PT_Int)),0))-IF(AQ83="FT",IF(AX83&lt;FT_First,0,IF(AX83&lt;FT_Y5,1+INT((AX83-FT_First)/FT_Int1),FT_PreY5+FT_PerYear*INT((AX83-FT_Y5)/12)+FT_AnnivDays+INT(MOD(AX83-FT_Y5,12)/FT_Int2))),IF(AQ83="PT",IF(AX83&lt;PT_First,0,1+INT((AX83-PT_First)/PT_Int)),0)),0)+IF(AND(AI83&gt;=3,AL83&lt;=PFYDate),IF(AR83="FT",IF(AW83&lt;FT_First,0,IF(AW83&lt;FT_Y5,1+INT((AW83-FT_First)/FT_Int1),FT_PreY5+FT_PerYear*INT((AW83-FT_Y5)/12)+FT_AnnivDays+INT(MOD(AW83-FT_Y5,12)/FT_Int2))),IF(AR83="PT",IF(AW83&lt;PT_First,0,1+INT((AW83-PT_First)/PT_Int)),0))-IF(AR83="FT",IF(AY83&lt;FT_First,0,IF(AY83&lt;FT_Y5,1+INT((AY83-FT_First)/FT_Int1),FT_PreY5+FT_PerYear*INT((AY83-FT_Y5)/12)+FT_AnnivDays+INT(MOD(AY83-FT_Y5,12)/FT_Int2))),IF(AR83="PT",IF(AY83&lt;PT_First,0,1+INT((AY83-PT_First)/PT_Int)),0)),0))</f>
        <v/>
      </c>
      <c r="BB83" s="14" t="str">
        <f aca="false">IF(AG83=0,"",IF(AS83="FT",IF(AT83&lt;FT_First,FT_First,IF(AT83&lt;FT_Y5,MIN(FT_Y5,FT_First+FT_Int1*(INT((AT83-FT_First)/FT_Int1)+1)),FT_Y5+12*INT((AT83-FT_Y5)/12)+FT_Int2*(INT(MOD(AT83-FT_Y5,12)/FT_Int2)+1))),IF(AS83="PT",IF(AT83&lt;PT_First,PT_First,PT_First+PT_Int*(INT((AT83-PT_First)/PT_Int)+1)),"")))</f>
        <v/>
      </c>
      <c r="BC83" s="14" t="str">
        <f aca="false">IF(AG83=0,"",IF(NOT(LH_Ready),0,COUNTIFS(INDEX(LH_Data,0,LH_ColFirst),$A83,INDEX(LH_Data,0,LH_ColSur),$B83,INDEX(LH_Data,0,LH_ColCat),BonusCat)))</f>
        <v/>
      </c>
      <c r="BD83" s="14" t="str">
        <f aca="false">IF(AG83=0,"",IF(OR(NOT(LH_Ready),BC83=0),0,SUMPRODUCT(MAX((INDEX(LH_Data,0,LH_ColFirst)=$A83)*(INDEX(LH_Data,0,LH_ColSur)=$B83)*(INDEX(LH_Data,0,LH_ColCat)=BonusCat)*ROW(LH_Data)))))</f>
        <v/>
      </c>
      <c r="BE83" s="14" t="str">
        <f aca="false">IF(AG83=0,"",IF(EOMONTH(AsOfDate,-1)&lt;AH83,-1,12*(YEAR(EOMONTH(AsOfDate,-1))-YEAR(AH83))+MONTH(EOMONTH(AsOfDate,-1))-MONTH(AH83)-IF(DAY(EOMONTH(AsOfDate,-1))&lt;MIN(DAY(AH83),DAY(EOMONTH(EOMONTH(AsOfDate,-1),0))),1,0)))</f>
        <v/>
      </c>
      <c r="BF83" s="14" t="str">
        <f aca="false">IF(AG83=0,"",IF(OR(AI83&lt;2,AK83&gt;EOMONTH(AsOfDate,-1)),BE83,IF((AK83-1)&lt;AH83,-1,12*(YEAR((AK83-1))-YEAR(AH83))+MONTH((AK83-1))-MONTH(AH83)-IF(DAY((AK83-1))&lt;MIN(DAY(AH83),DAY(EOMONTH((AK83-1),0))),1,0))))</f>
        <v/>
      </c>
      <c r="BG83" s="14" t="str">
        <f aca="false">IF(AG83=0,"",IF(OR(AI83&lt;3,AL83&gt;EOMONTH(AsOfDate,-1)),BE83,IF((AL83-1)&lt;AH83,-1,12*(YEAR((AL83-1))-YEAR(AH83))+MONTH((AL83-1))-MONTH(AH83)-IF(DAY((AL83-1))&lt;MIN(DAY(AH83),DAY(EOMONTH((AL83-1),0))),1,0))))</f>
        <v/>
      </c>
      <c r="BH83" s="14" t="str">
        <f aca="false">IF(AG83=0,"",IF(AP83="FT",IF(BF83&lt;FT_First,0,IF(BF83&lt;FT_Y5,1+INT((BF83-FT_First)/FT_Int1),FT_PreY5+FT_PerYear*INT((BF83-FT_Y5)/12)+FT_AnnivDays+INT(MOD(BF83-FT_Y5,12)/FT_Int2))),IF(AP83="PT",IF(BF83&lt;PT_First,0,1+INT((BF83-PT_First)/PT_Int)),0))+IF(AND(AI83&gt;=2,AK83&lt;=EOMONTH(AsOfDate,-1)),IF(AQ83="FT",IF(BG83&lt;FT_First,0,IF(BG83&lt;FT_Y5,1+INT((BG83-FT_First)/FT_Int1),FT_PreY5+FT_PerYear*INT((BG83-FT_Y5)/12)+FT_AnnivDays+INT(MOD(BG83-FT_Y5,12)/FT_Int2))),IF(AQ83="PT",IF(BG83&lt;PT_First,0,1+INT((BG83-PT_First)/PT_Int)),0))-IF(AQ83="FT",IF(BF83&lt;FT_First,0,IF(BF83&lt;FT_Y5,1+INT((BF83-FT_First)/FT_Int1),FT_PreY5+FT_PerYear*INT((BF83-FT_Y5)/12)+FT_AnnivDays+INT(MOD(BF83-FT_Y5,12)/FT_Int2))),IF(AQ83="PT",IF(BF83&lt;PT_First,0,1+INT((BF83-PT_First)/PT_Int)),0)),0)+IF(AND(AI83&gt;=3,AL83&lt;=EOMONTH(AsOfDate,-1)),IF(AR83="FT",IF(BE83&lt;FT_First,0,IF(BE83&lt;FT_Y5,1+INT((BE83-FT_First)/FT_Int1),FT_PreY5+FT_PerYear*INT((BE83-FT_Y5)/12)+FT_AnnivDays+INT(MOD(BE83-FT_Y5,12)/FT_Int2))),IF(AR83="PT",IF(BE83&lt;PT_First,0,1+INT((BE83-PT_First)/PT_Int)),0))-IF(AR83="FT",IF(BG83&lt;FT_First,0,IF(BG83&lt;FT_Y5,1+INT((BG83-FT_First)/FT_Int1),FT_PreY5+FT_PerYear*INT((BG83-FT_Y5)/12)+FT_AnnivDays+INT(MOD(BG83-FT_Y5,12)/FT_Int2))),IF(AR83="PT",IF(BG83&lt;PT_First,0,1+INT((BG83-PT_First)/PT_Int)),0)),0))</f>
        <v/>
      </c>
      <c r="BI83" s="14" t="str">
        <f aca="false">IF(AG83=0,"",IF(AS83="FT",IF(AT83&lt;FT_First,"",IF(AT83&lt;FT_Y5,FT_First+FT_Int1*INT((AT83-FT_First)/FT_Int1),FT_Y5+FT_Int2*INT((AT83-FT_Y5)/FT_Int2))),IF(AS83="PT",IF(AT83&lt;PT_First,"",PT_First+PT_Int*INT((AT83-PT_First)/PT_Int)),"")))</f>
        <v/>
      </c>
      <c r="BJ83" s="0" t="str">
        <f aca="false">IF(LEN($A83&amp;$B83)=0,"",$A83&amp;" "&amp;$B83)</f>
        <v/>
      </c>
    </row>
    <row r="84" customFormat="false" ht="15" hidden="false" customHeight="false" outlineLevel="0" collapsed="false">
      <c r="A84" s="10"/>
      <c r="B84" s="10"/>
      <c r="C84" s="10"/>
      <c r="D84" s="11"/>
      <c r="E84" s="12" t="str">
        <f aca="false">IF(OR(AG84=0,$D84=""),"",DATE(YEAR(AsOfDate)+IF(DATE(YEAR(AsOfDate),MONTH($D84),DAY($D84))&lt;=AsOfDate,1,0),MONTH($D84),DAY($D84)))</f>
        <v/>
      </c>
      <c r="F84" s="11"/>
      <c r="G84" s="11"/>
      <c r="H84" s="11"/>
      <c r="I84" s="11"/>
      <c r="J84" s="11"/>
      <c r="K84" s="12" t="str">
        <f aca="false">IF(AG84=0,"",DATE(YEAR(AsOfDate)+IF(DATE(YEAR(AsOfDate),MONTH(AH84),DAY(AH84))&lt;=AsOfDate,1,0),MONTH(AH84),DAY(AH84)))</f>
        <v/>
      </c>
      <c r="L84" s="13" t="str">
        <f aca="false">IF(AG84=0,"",ROUND((AsOfDate-AH84)/365.25,1))</f>
        <v/>
      </c>
      <c r="M84" s="14" t="str">
        <f aca="false">IF(AG84=0,"",IF(AsOfDate&lt;AH84,"-",DATEDIF(AH84,AsOfDate,"y")&amp;"y "&amp;DATEDIF(AH84,AsOfDate,"ym")&amp;"m "&amp;DATEDIF(AH84,AsOfDate,"md")&amp;"d"))</f>
        <v/>
      </c>
      <c r="N84" s="15" t="str">
        <f aca="false">IF(AG84=0,"",O84*HoursPerDay)</f>
        <v/>
      </c>
      <c r="O84" s="15" t="str">
        <f aca="false">IF(AG84=0,"",AZ84)</f>
        <v/>
      </c>
      <c r="P84" s="16"/>
      <c r="Q84" s="14" t="str">
        <f aca="false">IF(AG84=0,"",IF(AI84&lt;2,"",AM84&amp;" to "&amp;AN84&amp;" on "&amp;TEXT(AK84,"dd/mm/yyyy")&amp;IF(AK84&gt;AsOfDate," (future)",IF(AP84=AQ84,"",IF(AQ84="None"," - STOPPED accruing",IF(AP84="None"," - commencement for Bonus Leave"," - pathway changed"))))&amp;IF(AI84&lt;3,"","; "&amp;AN84&amp;" to "&amp;AO84&amp;" on "&amp;TEXT(AL84,"dd/mm/yyyy")&amp;IF(AL84&gt;AsOfDate," (future)",IF(AQ84=AR84,"",IF(AR84="None"," - STOPPED accruing",IF(AQ84="None"," - commencement for Bonus Leave"," - pathway changed")))))))</f>
        <v/>
      </c>
      <c r="R84" s="14" t="str">
        <f aca="false">IF(AG84=0,"",IF(AS84="None",IF(O84&gt;0,"No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2" t="str">
        <f aca="false">IF(AG84=0,"",IF(AS84="None","",EDATE(AH84,BB84)))</f>
        <v/>
      </c>
      <c r="T84" s="15" t="str">
        <f aca="false">IF(AG84=0,"",IF(NOT(LH_Ready),"",IF(AH84&gt;PFYDate,0,IF(LH_ColPeriod=0,W84-U84+V84,SUMIFS(INDEX(LH_Data,0,LH_ColAcc),INDEX(LH_Data,0,LH_ColFirst),$A84,INDEX(LH_Data,0,LH_ColSur),$B84,INDEX(LH_Data,0,LH_ColCat),BonusCat,INDEX(LH_Data,0,LH_ColPeriod),LH_OpenLabel)*UnitFactor))))</f>
        <v/>
      </c>
      <c r="U84" s="15" t="str">
        <f aca="false">IF(AG84=0,"",IF(NOT(LH_Ready),"",SUMIFS(INDEX(LH_Data,0,LH_ColAcc),INDEX(LH_Data,0,LH_ColFirst),$A84,INDEX(LH_Data,0,LH_ColSur),$B84,INDEX(LH_Data,0,LH_ColCat),BonusCat,INDEX(LH_Data,0,LH_ColStart),"&gt;="&amp;AH84)*UnitFactor))</f>
        <v/>
      </c>
      <c r="V84" s="15" t="str">
        <f aca="false">IF(AG84=0,"",IF(NOT(LH_Ready),"",SUMIFS(INDEX(LH_Data,0,LH_ColTaken),INDEX(LH_Data,0,LH_ColFirst),$A84,INDEX(LH_Data,0,LH_ColSur),$B84,INDEX(LH_Data,0,LH_ColCat),BonusCat,INDEX(LH_Data,0,LH_ColStart),"&gt;="&amp;AH84)*UnitFactor))</f>
        <v/>
      </c>
      <c r="W84" s="15" t="str">
        <f aca="false">IF(AG84=0,"",IF(NOT(LH_Ready),"",IF(BD84=0,0,INDEX(INDEX(LH_Data,0,LH_ColClose),BD84-1)*UnitFactor)))</f>
        <v/>
      </c>
      <c r="X84" s="15" t="str">
        <f aca="false">IF(AG84=0,"",(AZ84-BA84)*HoursPerDay)</f>
        <v/>
      </c>
      <c r="Y84" s="15" t="str">
        <f aca="false">IF(AG84=0,"",IF(NOT(LH_Ready),"",IF(BC84=0,N84,IF(PFYDate&lt;$F84,N84-N(T84)-N(U84),X84-N(U84)))))</f>
        <v/>
      </c>
      <c r="Z84" s="14" t="str">
        <f aca="false">IF(OR(AG84=0,Y84=""),"",IF(Y84&gt;0,"Yes","No"))</f>
        <v/>
      </c>
      <c r="AA84" s="14" t="str">
        <f aca="false">IF(AG84=0,IF(LEN($A84&amp;$B84)=0,"","FIX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month")&amp;IF(BC84=0,";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EH)",""),IF(AS84="None",R84,"Not yet - first day on "&amp;TEXT(S84,"dd/mm/yyyy")))))))))</f>
        <v/>
      </c>
      <c r="AB84" s="15" t="str">
        <f aca="false">IF(OR(AG84=0,T84=""),"",BA84*HoursPerDay-T84)</f>
        <v/>
      </c>
      <c r="AC84" s="14" t="str">
        <f aca="false">IF(AG84=0,"",BC84)</f>
        <v/>
      </c>
      <c r="AD84" s="14" t="str">
        <f aca="false">IF(AG84=0,"",TRIM(IF(OR(ISTEXT($F84),ISTEXT($H84),ISTEXT($I84),ISTEXT($G84),ISTEXT($J84),ISTEXT($D84)),"A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I84&gt;=1,IF(AI84&gt;=3,AO84,IF(AI84=2,AN84,AM84))&lt;&gt;IF($C84="","",IF(OR(ISNUMBER(SEARCH("full",$C84)),UPPER(TRIM($C84))="FT",UPPER(TRIM($C84))="FTE"),"Full-Time",IF(OR(ISNUMBER(SEARCH("part",$C84)),UPPER(TRIM($C84))="PT",UPPER(TRIM($C84))="PTE"),"Part-Time",IF(OR(ISNUMBER(SEARCH("cas",$C84)),UPPER(TRIM($C84))="CAS"),"Casual","Unknown"))))),"EmploymentType does not match latest start date ("&amp;IF(AI84&gt;=3,AO84,IF(AI84=2,AN84,AM84))&amp;"). ","")&amp;IF(AND(AI84&gt;=1,AJ84&lt;&gt;$F84),"Earliest type date should equal StartDate. ","")&amp;IF(AND(AI84&gt;=2,AJ84=AK84),"Two types start on the same date. ","")&amp;IF(AND(OR(ISNUMBER(SEARCH("part",$C84)),UPPER(TRIM($C84))="PT",UPPER(TRIM($C84))="PTE"),$P84=""),"Part-time: enter PT Hrs/Week (blank = 24+). ","")))</f>
        <v/>
      </c>
      <c r="AE84" s="15" t="str">
        <f aca="false">IF(AG84=0,"",O84-BH84)</f>
        <v/>
      </c>
      <c r="AF84" s="12" t="str">
        <f aca="false">IF(OR(AG84=0,AE84="",N(AE84)=0,BI84=""),"",EDATE(AH84,BI84))</f>
        <v/>
      </c>
      <c r="AG84" s="14" t="n">
        <f aca="false">IF(OR(LEN($A84&amp;$B84)=0,$F84=""),0,1)</f>
        <v>0</v>
      </c>
      <c r="AH84" s="12" t="str">
        <f aca="false">IF(AG84=0,"",IF($J84&lt;&gt;"",$J84,IF(OR(CasualCounts="Yes",COUNT($G84:$I84)=0,COUNT($H84:$I84)=0),$F84,MIN($H84:$I84))))</f>
        <v/>
      </c>
      <c r="AI84" s="14" t="str">
        <f aca="false">IF(AG84=0,"",COUNT($G84:$I84))</f>
        <v/>
      </c>
      <c r="AJ84" s="12" t="str">
        <f aca="false">IF(AG84=0,"",IFERROR(SMALL($G84:$I84,1),""))</f>
        <v/>
      </c>
      <c r="AK84" s="12" t="str">
        <f aca="false">IF(AG84=0,"",IFERROR(SMALL($G84:$I84,2),""))</f>
        <v/>
      </c>
      <c r="AL84" s="12" t="str">
        <f aca="false">IF(AG84=0,"",IFERROR(SMALL($G84:$I84,3),""))</f>
        <v/>
      </c>
      <c r="AM84" s="14" t="str">
        <f aca="false">IF(AG84=0,"",IF(AJ84="","",IF(AJ84=$H84,"Part-Time",IF(AJ84=$I84,"Full-Time","Casual"))))</f>
        <v/>
      </c>
      <c r="AN84" s="14" t="str">
        <f aca="false">IF(AG84=0,"",IF(AK84="","",IF(AK84=$H84,"Part-Time",IF(AK84=$I84,"Full-Time","Casual"))))</f>
        <v/>
      </c>
      <c r="AO84" s="14" t="str">
        <f aca="false">IF(AG84=0,"",IF(AL84="","",IF(AL84=$H84,"Part-Time",IF(AL84=$I84,"Full-Time","Casual"))))</f>
        <v/>
      </c>
      <c r="AP84" s="14" t="str">
        <f aca="false">IF(AG84=0,"",IF(AI84=0,IF(OR(ISNUMBER(SEARCH("full",$C84)),UPPER(TRIM($C84))="FT",UPPER(TRIM($C84))="FTE"),"FT",IF(AND(OR(ISNUMBER(SEARCH("part",$C84)),UPPER(TRIM($C84))="PT",UPPER(TRIM($C84))="PTE"),OR($P84="",N($P84)&gt;=PT_MinHours)),"PT","None")),IF(OR(ISNUMBER(SEARCH("full",AM84)),UPPER(TRIM(AM84))="FT",UPPER(TRIM(AM84))="FTE"),"FT",IF(AND(OR(ISNUMBER(SEARCH("part",AM84)),UPPER(TRIM(AM84))="PT",UPPER(TRIM(AM84))="PTE"),OR($P84="",N($P84)&gt;=PT_MinHours)),"PT","None"))))</f>
        <v/>
      </c>
      <c r="AQ84" s="14" t="str">
        <f aca="false">IF(AG84=0,"",IF(AI84&lt;2,"",IF(OR(ISNUMBER(SEARCH("full",AN84)),UPPER(TRIM(AN84))="FT",UPPER(TRIM(AN84))="FTE"),"FT",IF(AND(OR(ISNUMBER(SEARCH("part",AN84)),UPPER(TRIM(AN84))="PT",UPPER(TRIM(AN84))="PTE"),OR($P84="",N($P84)&gt;=PT_MinHours)),"PT","None"))))</f>
        <v/>
      </c>
      <c r="AR84" s="14" t="str">
        <f aca="false">IF(AG84=0,"",IF(AI84&lt;3,"",IF(OR(ISNUMBER(SEARCH("full",AO84)),UPPER(TRIM(AO84))="FT",UPPER(TRIM(AO84))="FTE"),"FT",IF(AND(OR(ISNUMBER(SEARCH("part",AO84)),UPPER(TRIM(AO84))="PT",UPPER(TRIM(AO84))="PTE"),OR($P84="",N($P84)&gt;=PT_MinHours)),"PT","None"))))</f>
        <v/>
      </c>
      <c r="AS84" s="14" t="str">
        <f aca="false">IF(AG84=0,"",IF(AND(AI84&gt;=3,AL84&lt;=AsOfDate),AR84,IF(AND(AI84&gt;=2,AK84&lt;=AsOfDate),AQ84,AP84)))</f>
        <v/>
      </c>
      <c r="AT84" s="14" t="str">
        <f aca="false">IF(AG84=0,"",IF(AsOfDate&lt;AH84,-1,12*(YEAR(AsOfDate)-YEAR(AH84))+MONTH(AsOfDate)-MONTH(AH84)-IF(DAY(AsOfDate)&lt;MIN(DAY(AH84),DAY(EOMONTH(AsOfDate,0))),1,0)))</f>
        <v/>
      </c>
      <c r="AU84" s="14" t="str">
        <f aca="false">IF(AG84=0,"",IF(OR(AI84&lt;2,AK84&gt;AsOfDate),AT84,IF((AK84-1)&lt;AH84,-1,12*(YEAR((AK84-1))-YEAR(AH84))+MONTH((AK84-1))-MONTH(AH84)-IF(DAY((AK84-1))&lt;MIN(DAY(AH84),DAY(EOMONTH((AK84-1),0))),1,0))))</f>
        <v/>
      </c>
      <c r="AV84" s="14" t="str">
        <f aca="false">IF(AG84=0,"",IF(OR(AI84&lt;3,AL84&gt;AsOfDate),AT84,IF((AL84-1)&lt;AH84,-1,12*(YEAR((AL84-1))-YEAR(AH84))+MONTH((AL84-1))-MONTH(AH84)-IF(DAY((AL84-1))&lt;MIN(DAY(AH84),DAY(EOMONTH((AL84-1),0))),1,0))))</f>
        <v/>
      </c>
      <c r="AW84" s="14" t="str">
        <f aca="false">IF(AG84=0,"",IF(PFYDate&lt;AH84,-1,12*(YEAR(PFYDate)-YEAR(AH84))+MONTH(PFYDate)-MONTH(AH84)-IF(DAY(PFYDate)&lt;MIN(DAY(AH84),DAY(EOMONTH(PFYDate,0))),1,0)))</f>
        <v/>
      </c>
      <c r="AX84" s="14" t="str">
        <f aca="false">IF(AG84=0,"",IF(OR(AI84&lt;2,AK84&gt;PFYDate),AW84,IF((AK84-1)&lt;AH84,-1,12*(YEAR((AK84-1))-YEAR(AH84))+MONTH((AK84-1))-MONTH(AH84)-IF(DAY((AK84-1))&lt;MIN(DAY(AH84),DAY(EOMONTH((AK84-1),0))),1,0))))</f>
        <v/>
      </c>
      <c r="AY84" s="14" t="str">
        <f aca="false">IF(AG84=0,"",IF(OR(AI84&lt;3,AL84&gt;PFYDate),AW84,IF((AL84-1)&lt;AH84,-1,12*(YEAR((AL84-1))-YEAR(AH84))+MONTH((AL84-1))-MONTH(AH84)-IF(DAY((AL84-1))&lt;MIN(DAY(AH84),DAY(EOMONTH((AL84-1),0))),1,0))))</f>
        <v/>
      </c>
      <c r="AZ84" s="14" t="str">
        <f aca="false">IF(AG84=0,"",IF(AP84="FT",IF(AU84&lt;FT_First,0,IF(AU84&lt;FT_Y5,1+INT((AU84-FT_First)/FT_Int1),FT_PreY5+FT_PerYear*INT((AU84-FT_Y5)/12)+FT_AnnivDays+INT(MOD(AU84-FT_Y5,12)/FT_Int2))),IF(AP84="PT",IF(AU84&lt;PT_First,0,1+INT((AU84-PT_First)/PT_Int)),0))+IF(AND(AI84&gt;=2,AK84&lt;=AsOfDate),IF(AQ84="FT",IF(AV84&lt;FT_First,0,IF(AV84&lt;FT_Y5,1+INT((AV84-FT_First)/FT_Int1),FT_PreY5+FT_PerYear*INT((AV84-FT_Y5)/12)+FT_AnnivDays+INT(MOD(AV84-FT_Y5,12)/FT_Int2))),IF(AQ84="PT",IF(AV84&lt;PT_First,0,1+INT((AV84-PT_First)/PT_Int)),0))-IF(AQ84="FT",IF(AU84&lt;FT_First,0,IF(AU84&lt;FT_Y5,1+INT((AU84-FT_First)/FT_Int1),FT_PreY5+FT_PerYear*INT((AU84-FT_Y5)/12)+FT_AnnivDays+INT(MOD(AU84-FT_Y5,12)/FT_Int2))),IF(AQ84="PT",IF(AU84&lt;PT_First,0,1+INT((AU84-PT_First)/PT_Int)),0)),0)+IF(AND(AI84&gt;=3,AL84&lt;=AsOfDate),IF(AR84="FT",IF(AT84&lt;FT_First,0,IF(AT84&lt;FT_Y5,1+INT((AT84-FT_First)/FT_Int1),FT_PreY5+FT_PerYear*INT((AT84-FT_Y5)/12)+FT_AnnivDays+INT(MOD(AT84-FT_Y5,12)/FT_Int2))),IF(AR84="PT",IF(AT84&lt;PT_First,0,1+INT((AT84-PT_First)/PT_Int)),0))-IF(AR84="FT",IF(AV84&lt;FT_First,0,IF(AV84&lt;FT_Y5,1+INT((AV84-FT_First)/FT_Int1),FT_PreY5+FT_PerYear*INT((AV84-FT_Y5)/12)+FT_AnnivDays+INT(MOD(AV84-FT_Y5,12)/FT_Int2))),IF(AR84="PT",IF(AV84&lt;PT_First,0,1+INT((AV84-PT_First)/PT_Int)),0)),0))</f>
        <v/>
      </c>
      <c r="BA84" s="14" t="str">
        <f aca="false">IF(AG84=0,"",IF(AP84="FT",IF(AX84&lt;FT_First,0,IF(AX84&lt;FT_Y5,1+INT((AX84-FT_First)/FT_Int1),FT_PreY5+FT_PerYear*INT((AX84-FT_Y5)/12)+FT_AnnivDays+INT(MOD(AX84-FT_Y5,12)/FT_Int2))),IF(AP84="PT",IF(AX84&lt;PT_First,0,1+INT((AX84-PT_First)/PT_Int)),0))+IF(AND(AI84&gt;=2,AK84&lt;=PFYDate),IF(AQ84="FT",IF(AY84&lt;FT_First,0,IF(AY84&lt;FT_Y5,1+INT((AY84-FT_First)/FT_Int1),FT_PreY5+FT_PerYear*INT((AY84-FT_Y5)/12)+FT_AnnivDays+INT(MOD(AY84-FT_Y5,12)/FT_Int2))),IF(AQ84="PT",IF(AY84&lt;PT_First,0,1+INT((AY84-PT_First)/PT_Int)),0))-IF(AQ84="FT",IF(AX84&lt;FT_First,0,IF(AX84&lt;FT_Y5,1+INT((AX84-FT_First)/FT_Int1),FT_PreY5+FT_PerYear*INT((AX84-FT_Y5)/12)+FT_AnnivDays+INT(MOD(AX84-FT_Y5,12)/FT_Int2))),IF(AQ84="PT",IF(AX84&lt;PT_First,0,1+INT((AX84-PT_First)/PT_Int)),0)),0)+IF(AND(AI84&gt;=3,AL84&lt;=PFYDate),IF(AR84="FT",IF(AW84&lt;FT_First,0,IF(AW84&lt;FT_Y5,1+INT((AW84-FT_First)/FT_Int1),FT_PreY5+FT_PerYear*INT((AW84-FT_Y5)/12)+FT_AnnivDays+INT(MOD(AW84-FT_Y5,12)/FT_Int2))),IF(AR84="PT",IF(AW84&lt;PT_First,0,1+INT((AW84-PT_First)/PT_Int)),0))-IF(AR84="FT",IF(AY84&lt;FT_First,0,IF(AY84&lt;FT_Y5,1+INT((AY84-FT_First)/FT_Int1),FT_PreY5+FT_PerYear*INT((AY84-FT_Y5)/12)+FT_AnnivDays+INT(MOD(AY84-FT_Y5,12)/FT_Int2))),IF(AR84="PT",IF(AY84&lt;PT_First,0,1+INT((AY84-PT_First)/PT_Int)),0)),0))</f>
        <v/>
      </c>
      <c r="BB84" s="14" t="str">
        <f aca="false">IF(AG84=0,"",IF(AS84="FT",IF(AT84&lt;FT_First,FT_First,IF(AT84&lt;FT_Y5,MIN(FT_Y5,FT_First+FT_Int1*(INT((AT84-FT_First)/FT_Int1)+1)),FT_Y5+12*INT((AT84-FT_Y5)/12)+FT_Int2*(INT(MOD(AT84-FT_Y5,12)/FT_Int2)+1))),IF(AS84="PT",IF(AT84&lt;PT_First,PT_First,PT_First+PT_Int*(INT((AT84-PT_First)/PT_Int)+1)),"")))</f>
        <v/>
      </c>
      <c r="BC84" s="14" t="str">
        <f aca="false">IF(AG84=0,"",IF(NOT(LH_Ready),0,COUNTIFS(INDEX(LH_Data,0,LH_ColFirst),$A84,INDEX(LH_Data,0,LH_ColSur),$B84,INDEX(LH_Data,0,LH_ColCat),BonusCat)))</f>
        <v/>
      </c>
      <c r="BD84" s="14" t="str">
        <f aca="false">IF(AG84=0,"",IF(OR(NOT(LH_Ready),BC84=0),0,SUMPRODUCT(MAX((INDEX(LH_Data,0,LH_ColFirst)=$A84)*(INDEX(LH_Data,0,LH_ColSur)=$B84)*(INDEX(LH_Data,0,LH_ColCat)=BonusCat)*ROW(LH_Data)))))</f>
        <v/>
      </c>
      <c r="BE84" s="14" t="str">
        <f aca="false">IF(AG84=0,"",IF(EOMONTH(AsOfDate,-1)&lt;AH84,-1,12*(YEAR(EOMONTH(AsOfDate,-1))-YEAR(AH84))+MONTH(EOMONTH(AsOfDate,-1))-MONTH(AH84)-IF(DAY(EOMONTH(AsOfDate,-1))&lt;MIN(DAY(AH84),DAY(EOMONTH(EOMONTH(AsOfDate,-1),0))),1,0)))</f>
        <v/>
      </c>
      <c r="BF84" s="14" t="str">
        <f aca="false">IF(AG84=0,"",IF(OR(AI84&lt;2,AK84&gt;EOMONTH(AsOfDate,-1)),BE84,IF((AK84-1)&lt;AH84,-1,12*(YEAR((AK84-1))-YEAR(AH84))+MONTH((AK84-1))-MONTH(AH84)-IF(DAY((AK84-1))&lt;MIN(DAY(AH84),DAY(EOMONTH((AK84-1),0))),1,0))))</f>
        <v/>
      </c>
      <c r="BG84" s="14" t="str">
        <f aca="false">IF(AG84=0,"",IF(OR(AI84&lt;3,AL84&gt;EOMONTH(AsOfDate,-1)),BE84,IF((AL84-1)&lt;AH84,-1,12*(YEAR((AL84-1))-YEAR(AH84))+MONTH((AL84-1))-MONTH(AH84)-IF(DAY((AL84-1))&lt;MIN(DAY(AH84),DAY(EOMONTH((AL84-1),0))),1,0))))</f>
        <v/>
      </c>
      <c r="BH84" s="14" t="str">
        <f aca="false">IF(AG84=0,"",IF(AP84="FT",IF(BF84&lt;FT_First,0,IF(BF84&lt;FT_Y5,1+INT((BF84-FT_First)/FT_Int1),FT_PreY5+FT_PerYear*INT((BF84-FT_Y5)/12)+FT_AnnivDays+INT(MOD(BF84-FT_Y5,12)/FT_Int2))),IF(AP84="PT",IF(BF84&lt;PT_First,0,1+INT((BF84-PT_First)/PT_Int)),0))+IF(AND(AI84&gt;=2,AK84&lt;=EOMONTH(AsOfDate,-1)),IF(AQ84="FT",IF(BG84&lt;FT_First,0,IF(BG84&lt;FT_Y5,1+INT((BG84-FT_First)/FT_Int1),FT_PreY5+FT_PerYear*INT((BG84-FT_Y5)/12)+FT_AnnivDays+INT(MOD(BG84-FT_Y5,12)/FT_Int2))),IF(AQ84="PT",IF(BG84&lt;PT_First,0,1+INT((BG84-PT_First)/PT_Int)),0))-IF(AQ84="FT",IF(BF84&lt;FT_First,0,IF(BF84&lt;FT_Y5,1+INT((BF84-FT_First)/FT_Int1),FT_PreY5+FT_PerYear*INT((BF84-FT_Y5)/12)+FT_AnnivDays+INT(MOD(BF84-FT_Y5,12)/FT_Int2))),IF(AQ84="PT",IF(BF84&lt;PT_First,0,1+INT((BF84-PT_First)/PT_Int)),0)),0)+IF(AND(AI84&gt;=3,AL84&lt;=EOMONTH(AsOfDate,-1)),IF(AR84="FT",IF(BE84&lt;FT_First,0,IF(BE84&lt;FT_Y5,1+INT((BE84-FT_First)/FT_Int1),FT_PreY5+FT_PerYear*INT((BE84-FT_Y5)/12)+FT_AnnivDays+INT(MOD(BE84-FT_Y5,12)/FT_Int2))),IF(AR84="PT",IF(BE84&lt;PT_First,0,1+INT((BE84-PT_First)/PT_Int)),0))-IF(AR84="FT",IF(BG84&lt;FT_First,0,IF(BG84&lt;FT_Y5,1+INT((BG84-FT_First)/FT_Int1),FT_PreY5+FT_PerYear*INT((BG84-FT_Y5)/12)+FT_AnnivDays+INT(MOD(BG84-FT_Y5,12)/FT_Int2))),IF(AR84="PT",IF(BG84&lt;PT_First,0,1+INT((BG84-PT_First)/PT_Int)),0)),0))</f>
        <v/>
      </c>
      <c r="BI84" s="14" t="str">
        <f aca="false">IF(AG84=0,"",IF(AS84="FT",IF(AT84&lt;FT_First,"",IF(AT84&lt;FT_Y5,FT_First+FT_Int1*INT((AT84-FT_First)/FT_Int1),FT_Y5+FT_Int2*INT((AT84-FT_Y5)/FT_Int2))),IF(AS84="PT",IF(AT84&lt;PT_First,"",PT_First+PT_Int*INT((AT84-PT_First)/PT_Int)),"")))</f>
        <v/>
      </c>
      <c r="BJ84" s="0" t="str">
        <f aca="false">IF(LEN($A84&amp;$B84)=0,"",$A84&amp;" "&amp;$B84)</f>
        <v/>
      </c>
    </row>
    <row r="85" customFormat="false" ht="15" hidden="false" customHeight="false" outlineLevel="0" collapsed="false">
      <c r="A85" s="10"/>
      <c r="B85" s="10"/>
      <c r="C85" s="10"/>
      <c r="D85" s="11"/>
      <c r="E85" s="12" t="str">
        <f aca="false">IF(OR(AG85=0,$D85=""),"",DATE(YEAR(AsOfDate)+IF(DATE(YEAR(AsOfDate),MONTH($D85),DAY($D85))&lt;=AsOfDate,1,0),MONTH($D85),DAY($D85)))</f>
        <v/>
      </c>
      <c r="F85" s="11"/>
      <c r="G85" s="11"/>
      <c r="H85" s="11"/>
      <c r="I85" s="11"/>
      <c r="J85" s="11"/>
      <c r="K85" s="12" t="str">
        <f aca="false">IF(AG85=0,"",DATE(YEAR(AsOfDate)+IF(DATE(YEAR(AsOfDate),MONTH(AH85),DAY(AH85))&lt;=AsOfDate,1,0),MONTH(AH85),DAY(AH85)))</f>
        <v/>
      </c>
      <c r="L85" s="13" t="str">
        <f aca="false">IF(AG85=0,"",ROUND((AsOfDate-AH85)/365.25,1))</f>
        <v/>
      </c>
      <c r="M85" s="14" t="str">
        <f aca="false">IF(AG85=0,"",IF(AsOfDate&lt;AH85,"-",DATEDIF(AH85,AsOfDate,"y")&amp;"y "&amp;DATEDIF(AH85,AsOfDate,"ym")&amp;"m "&amp;DATEDIF(AH85,AsOfDate,"md")&amp;"d"))</f>
        <v/>
      </c>
      <c r="N85" s="15" t="str">
        <f aca="false">IF(AG85=0,"",O85*HoursPerDay)</f>
        <v/>
      </c>
      <c r="O85" s="15" t="str">
        <f aca="false">IF(AG85=0,"",AZ85)</f>
        <v/>
      </c>
      <c r="P85" s="16"/>
      <c r="Q85" s="14" t="str">
        <f aca="false">IF(AG85=0,"",IF(AI85&lt;2,"",AM85&amp;" to "&amp;AN85&amp;" on "&amp;TEXT(AK85,"dd/mm/yyyy")&amp;IF(AK85&gt;AsOfDate," (future)",IF(AP85=AQ85,"",IF(AQ85="None"," - STOPPED accruing",IF(AP85="None"," - commencement for Bonus Leave"," - pathway changed"))))&amp;IF(AI85&lt;3,"","; "&amp;AN85&amp;" to "&amp;AO85&amp;" on "&amp;TEXT(AL85,"dd/mm/yyyy")&amp;IF(AL85&gt;AsOfDate," (future)",IF(AQ85=AR85,"",IF(AR85="None"," - STOPPED accruing",IF(AQ85="None"," - commencement for Bonus Leave"," - pathway changed")))))))</f>
        <v/>
      </c>
      <c r="R85" s="14" t="str">
        <f aca="false">IF(AG85=0,"",IF(AS85="None",IF(O85&gt;0,"No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2" t="str">
        <f aca="false">IF(AG85=0,"",IF(AS85="None","",EDATE(AH85,BB85)))</f>
        <v/>
      </c>
      <c r="T85" s="15" t="str">
        <f aca="false">IF(AG85=0,"",IF(NOT(LH_Ready),"",IF(AH85&gt;PFYDate,0,IF(LH_ColPeriod=0,W85-U85+V85,SUMIFS(INDEX(LH_Data,0,LH_ColAcc),INDEX(LH_Data,0,LH_ColFirst),$A85,INDEX(LH_Data,0,LH_ColSur),$B85,INDEX(LH_Data,0,LH_ColCat),BonusCat,INDEX(LH_Data,0,LH_ColPeriod),LH_OpenLabel)*UnitFactor))))</f>
        <v/>
      </c>
      <c r="U85" s="15" t="str">
        <f aca="false">IF(AG85=0,"",IF(NOT(LH_Ready),"",SUMIFS(INDEX(LH_Data,0,LH_ColAcc),INDEX(LH_Data,0,LH_ColFirst),$A85,INDEX(LH_Data,0,LH_ColSur),$B85,INDEX(LH_Data,0,LH_ColCat),BonusCat,INDEX(LH_Data,0,LH_ColStart),"&gt;="&amp;AH85)*UnitFactor))</f>
        <v/>
      </c>
      <c r="V85" s="15" t="str">
        <f aca="false">IF(AG85=0,"",IF(NOT(LH_Ready),"",SUMIFS(INDEX(LH_Data,0,LH_ColTaken),INDEX(LH_Data,0,LH_ColFirst),$A85,INDEX(LH_Data,0,LH_ColSur),$B85,INDEX(LH_Data,0,LH_ColCat),BonusCat,INDEX(LH_Data,0,LH_ColStart),"&gt;="&amp;AH85)*UnitFactor))</f>
        <v/>
      </c>
      <c r="W85" s="15" t="str">
        <f aca="false">IF(AG85=0,"",IF(NOT(LH_Ready),"",IF(BD85=0,0,INDEX(INDEX(LH_Data,0,LH_ColClose),BD85-1)*UnitFactor)))</f>
        <v/>
      </c>
      <c r="X85" s="15" t="str">
        <f aca="false">IF(AG85=0,"",(AZ85-BA85)*HoursPerDay)</f>
        <v/>
      </c>
      <c r="Y85" s="15" t="str">
        <f aca="false">IF(AG85=0,"",IF(NOT(LH_Ready),"",IF(BC85=0,N85,IF(PFYDate&lt;$F85,N85-N(T85)-N(U85),X85-N(U85)))))</f>
        <v/>
      </c>
      <c r="Z85" s="14" t="str">
        <f aca="false">IF(OR(AG85=0,Y85=""),"",IF(Y85&gt;0,"Yes","No"))</f>
        <v/>
      </c>
      <c r="AA85" s="14" t="str">
        <f aca="false">IF(AG85=0,IF(LEN($A85&amp;$B85)=0,"","FIX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month")&amp;IF(BC85=0,";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EH)",""),IF(AS85="None",R85,"Not yet - first day on "&amp;TEXT(S85,"dd/mm/yyyy")))))))))</f>
        <v/>
      </c>
      <c r="AB85" s="15" t="str">
        <f aca="false">IF(OR(AG85=0,T85=""),"",BA85*HoursPerDay-T85)</f>
        <v/>
      </c>
      <c r="AC85" s="14" t="str">
        <f aca="false">IF(AG85=0,"",BC85)</f>
        <v/>
      </c>
      <c r="AD85" s="14" t="str">
        <f aca="false">IF(AG85=0,"",TRIM(IF(OR(ISTEXT($F85),ISTEXT($H85),ISTEXT($I85),ISTEXT($G85),ISTEXT($J85),ISTEXT($D85)),"A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I85&gt;=1,IF(AI85&gt;=3,AO85,IF(AI85=2,AN85,AM85))&lt;&gt;IF($C85="","",IF(OR(ISNUMBER(SEARCH("full",$C85)),UPPER(TRIM($C85))="FT",UPPER(TRIM($C85))="FTE"),"Full-Time",IF(OR(ISNUMBER(SEARCH("part",$C85)),UPPER(TRIM($C85))="PT",UPPER(TRIM($C85))="PTE"),"Part-Time",IF(OR(ISNUMBER(SEARCH("cas",$C85)),UPPER(TRIM($C85))="CAS"),"Casual","Unknown"))))),"EmploymentType does not match latest start date ("&amp;IF(AI85&gt;=3,AO85,IF(AI85=2,AN85,AM85))&amp;"). ","")&amp;IF(AND(AI85&gt;=1,AJ85&lt;&gt;$F85),"Earliest type date should equal StartDate. ","")&amp;IF(AND(AI85&gt;=2,AJ85=AK85),"Two types start on the same date. ","")&amp;IF(AND(OR(ISNUMBER(SEARCH("part",$C85)),UPPER(TRIM($C85))="PT",UPPER(TRIM($C85))="PTE"),$P85=""),"Part-time: enter PT Hrs/Week (blank = 24+). ","")))</f>
        <v/>
      </c>
      <c r="AE85" s="15" t="str">
        <f aca="false">IF(AG85=0,"",O85-BH85)</f>
        <v/>
      </c>
      <c r="AF85" s="12" t="str">
        <f aca="false">IF(OR(AG85=0,AE85="",N(AE85)=0,BI85=""),"",EDATE(AH85,BI85))</f>
        <v/>
      </c>
      <c r="AG85" s="14" t="n">
        <f aca="false">IF(OR(LEN($A85&amp;$B85)=0,$F85=""),0,1)</f>
        <v>0</v>
      </c>
      <c r="AH85" s="12" t="str">
        <f aca="false">IF(AG85=0,"",IF($J85&lt;&gt;"",$J85,IF(OR(CasualCounts="Yes",COUNT($G85:$I85)=0,COUNT($H85:$I85)=0),$F85,MIN($H85:$I85))))</f>
        <v/>
      </c>
      <c r="AI85" s="14" t="str">
        <f aca="false">IF(AG85=0,"",COUNT($G85:$I85))</f>
        <v/>
      </c>
      <c r="AJ85" s="12" t="str">
        <f aca="false">IF(AG85=0,"",IFERROR(SMALL($G85:$I85,1),""))</f>
        <v/>
      </c>
      <c r="AK85" s="12" t="str">
        <f aca="false">IF(AG85=0,"",IFERROR(SMALL($G85:$I85,2),""))</f>
        <v/>
      </c>
      <c r="AL85" s="12" t="str">
        <f aca="false">IF(AG85=0,"",IFERROR(SMALL($G85:$I85,3),""))</f>
        <v/>
      </c>
      <c r="AM85" s="14" t="str">
        <f aca="false">IF(AG85=0,"",IF(AJ85="","",IF(AJ85=$H85,"Part-Time",IF(AJ85=$I85,"Full-Time","Casual"))))</f>
        <v/>
      </c>
      <c r="AN85" s="14" t="str">
        <f aca="false">IF(AG85=0,"",IF(AK85="","",IF(AK85=$H85,"Part-Time",IF(AK85=$I85,"Full-Time","Casual"))))</f>
        <v/>
      </c>
      <c r="AO85" s="14" t="str">
        <f aca="false">IF(AG85=0,"",IF(AL85="","",IF(AL85=$H85,"Part-Time",IF(AL85=$I85,"Full-Time","Casual"))))</f>
        <v/>
      </c>
      <c r="AP85" s="14" t="str">
        <f aca="false">IF(AG85=0,"",IF(AI85=0,IF(OR(ISNUMBER(SEARCH("full",$C85)),UPPER(TRIM($C85))="FT",UPPER(TRIM($C85))="FTE"),"FT",IF(AND(OR(ISNUMBER(SEARCH("part",$C85)),UPPER(TRIM($C85))="PT",UPPER(TRIM($C85))="PTE"),OR($P85="",N($P85)&gt;=PT_MinHours)),"PT","None")),IF(OR(ISNUMBER(SEARCH("full",AM85)),UPPER(TRIM(AM85))="FT",UPPER(TRIM(AM85))="FTE"),"FT",IF(AND(OR(ISNUMBER(SEARCH("part",AM85)),UPPER(TRIM(AM85))="PT",UPPER(TRIM(AM85))="PTE"),OR($P85="",N($P85)&gt;=PT_MinHours)),"PT","None"))))</f>
        <v/>
      </c>
      <c r="AQ85" s="14" t="str">
        <f aca="false">IF(AG85=0,"",IF(AI85&lt;2,"",IF(OR(ISNUMBER(SEARCH("full",AN85)),UPPER(TRIM(AN85))="FT",UPPER(TRIM(AN85))="FTE"),"FT",IF(AND(OR(ISNUMBER(SEARCH("part",AN85)),UPPER(TRIM(AN85))="PT",UPPER(TRIM(AN85))="PTE"),OR($P85="",N($P85)&gt;=PT_MinHours)),"PT","None"))))</f>
        <v/>
      </c>
      <c r="AR85" s="14" t="str">
        <f aca="false">IF(AG85=0,"",IF(AI85&lt;3,"",IF(OR(ISNUMBER(SEARCH("full",AO85)),UPPER(TRIM(AO85))="FT",UPPER(TRIM(AO85))="FTE"),"FT",IF(AND(OR(ISNUMBER(SEARCH("part",AO85)),UPPER(TRIM(AO85))="PT",UPPER(TRIM(AO85))="PTE"),OR($P85="",N($P85)&gt;=PT_MinHours)),"PT","None"))))</f>
        <v/>
      </c>
      <c r="AS85" s="14" t="str">
        <f aca="false">IF(AG85=0,"",IF(AND(AI85&gt;=3,AL85&lt;=AsOfDate),AR85,IF(AND(AI85&gt;=2,AK85&lt;=AsOfDate),AQ85,AP85)))</f>
        <v/>
      </c>
      <c r="AT85" s="14" t="str">
        <f aca="false">IF(AG85=0,"",IF(AsOfDate&lt;AH85,-1,12*(YEAR(AsOfDate)-YEAR(AH85))+MONTH(AsOfDate)-MONTH(AH85)-IF(DAY(AsOfDate)&lt;MIN(DAY(AH85),DAY(EOMONTH(AsOfDate,0))),1,0)))</f>
        <v/>
      </c>
      <c r="AU85" s="14" t="str">
        <f aca="false">IF(AG85=0,"",IF(OR(AI85&lt;2,AK85&gt;AsOfDate),AT85,IF((AK85-1)&lt;AH85,-1,12*(YEAR((AK85-1))-YEAR(AH85))+MONTH((AK85-1))-MONTH(AH85)-IF(DAY((AK85-1))&lt;MIN(DAY(AH85),DAY(EOMONTH((AK85-1),0))),1,0))))</f>
        <v/>
      </c>
      <c r="AV85" s="14" t="str">
        <f aca="false">IF(AG85=0,"",IF(OR(AI85&lt;3,AL85&gt;AsOfDate),AT85,IF((AL85-1)&lt;AH85,-1,12*(YEAR((AL85-1))-YEAR(AH85))+MONTH((AL85-1))-MONTH(AH85)-IF(DAY((AL85-1))&lt;MIN(DAY(AH85),DAY(EOMONTH((AL85-1),0))),1,0))))</f>
        <v/>
      </c>
      <c r="AW85" s="14" t="str">
        <f aca="false">IF(AG85=0,"",IF(PFYDate&lt;AH85,-1,12*(YEAR(PFYDate)-YEAR(AH85))+MONTH(PFYDate)-MONTH(AH85)-IF(DAY(PFYDate)&lt;MIN(DAY(AH85),DAY(EOMONTH(PFYDate,0))),1,0)))</f>
        <v/>
      </c>
      <c r="AX85" s="14" t="str">
        <f aca="false">IF(AG85=0,"",IF(OR(AI85&lt;2,AK85&gt;PFYDate),AW85,IF((AK85-1)&lt;AH85,-1,12*(YEAR((AK85-1))-YEAR(AH85))+MONTH((AK85-1))-MONTH(AH85)-IF(DAY((AK85-1))&lt;MIN(DAY(AH85),DAY(EOMONTH((AK85-1),0))),1,0))))</f>
        <v/>
      </c>
      <c r="AY85" s="14" t="str">
        <f aca="false">IF(AG85=0,"",IF(OR(AI85&lt;3,AL85&gt;PFYDate),AW85,IF((AL85-1)&lt;AH85,-1,12*(YEAR((AL85-1))-YEAR(AH85))+MONTH((AL85-1))-MONTH(AH85)-IF(DAY((AL85-1))&lt;MIN(DAY(AH85),DAY(EOMONTH((AL85-1),0))),1,0))))</f>
        <v/>
      </c>
      <c r="AZ85" s="14" t="str">
        <f aca="false">IF(AG85=0,"",IF(AP85="FT",IF(AU85&lt;FT_First,0,IF(AU85&lt;FT_Y5,1+INT((AU85-FT_First)/FT_Int1),FT_PreY5+FT_PerYear*INT((AU85-FT_Y5)/12)+FT_AnnivDays+INT(MOD(AU85-FT_Y5,12)/FT_Int2))),IF(AP85="PT",IF(AU85&lt;PT_First,0,1+INT((AU85-PT_First)/PT_Int)),0))+IF(AND(AI85&gt;=2,AK85&lt;=AsOfDate),IF(AQ85="FT",IF(AV85&lt;FT_First,0,IF(AV85&lt;FT_Y5,1+INT((AV85-FT_First)/FT_Int1),FT_PreY5+FT_PerYear*INT((AV85-FT_Y5)/12)+FT_AnnivDays+INT(MOD(AV85-FT_Y5,12)/FT_Int2))),IF(AQ85="PT",IF(AV85&lt;PT_First,0,1+INT((AV85-PT_First)/PT_Int)),0))-IF(AQ85="FT",IF(AU85&lt;FT_First,0,IF(AU85&lt;FT_Y5,1+INT((AU85-FT_First)/FT_Int1),FT_PreY5+FT_PerYear*INT((AU85-FT_Y5)/12)+FT_AnnivDays+INT(MOD(AU85-FT_Y5,12)/FT_Int2))),IF(AQ85="PT",IF(AU85&lt;PT_First,0,1+INT((AU85-PT_First)/PT_Int)),0)),0)+IF(AND(AI85&gt;=3,AL85&lt;=AsOfDate),IF(AR85="FT",IF(AT85&lt;FT_First,0,IF(AT85&lt;FT_Y5,1+INT((AT85-FT_First)/FT_Int1),FT_PreY5+FT_PerYear*INT((AT85-FT_Y5)/12)+FT_AnnivDays+INT(MOD(AT85-FT_Y5,12)/FT_Int2))),IF(AR85="PT",IF(AT85&lt;PT_First,0,1+INT((AT85-PT_First)/PT_Int)),0))-IF(AR85="FT",IF(AV85&lt;FT_First,0,IF(AV85&lt;FT_Y5,1+INT((AV85-FT_First)/FT_Int1),FT_PreY5+FT_PerYear*INT((AV85-FT_Y5)/12)+FT_AnnivDays+INT(MOD(AV85-FT_Y5,12)/FT_Int2))),IF(AR85="PT",IF(AV85&lt;PT_First,0,1+INT((AV85-PT_First)/PT_Int)),0)),0))</f>
        <v/>
      </c>
      <c r="BA85" s="14" t="str">
        <f aca="false">IF(AG85=0,"",IF(AP85="FT",IF(AX85&lt;FT_First,0,IF(AX85&lt;FT_Y5,1+INT((AX85-FT_First)/FT_Int1),FT_PreY5+FT_PerYear*INT((AX85-FT_Y5)/12)+FT_AnnivDays+INT(MOD(AX85-FT_Y5,12)/FT_Int2))),IF(AP85="PT",IF(AX85&lt;PT_First,0,1+INT((AX85-PT_First)/PT_Int)),0))+IF(AND(AI85&gt;=2,AK85&lt;=PFYDate),IF(AQ85="FT",IF(AY85&lt;FT_First,0,IF(AY85&lt;FT_Y5,1+INT((AY85-FT_First)/FT_Int1),FT_PreY5+FT_PerYear*INT((AY85-FT_Y5)/12)+FT_AnnivDays+INT(MOD(AY85-FT_Y5,12)/FT_Int2))),IF(AQ85="PT",IF(AY85&lt;PT_First,0,1+INT((AY85-PT_First)/PT_Int)),0))-IF(AQ85="FT",IF(AX85&lt;FT_First,0,IF(AX85&lt;FT_Y5,1+INT((AX85-FT_First)/FT_Int1),FT_PreY5+FT_PerYear*INT((AX85-FT_Y5)/12)+FT_AnnivDays+INT(MOD(AX85-FT_Y5,12)/FT_Int2))),IF(AQ85="PT",IF(AX85&lt;PT_First,0,1+INT((AX85-PT_First)/PT_Int)),0)),0)+IF(AND(AI85&gt;=3,AL85&lt;=PFYDate),IF(AR85="FT",IF(AW85&lt;FT_First,0,IF(AW85&lt;FT_Y5,1+INT((AW85-FT_First)/FT_Int1),FT_PreY5+FT_PerYear*INT((AW85-FT_Y5)/12)+FT_AnnivDays+INT(MOD(AW85-FT_Y5,12)/FT_Int2))),IF(AR85="PT",IF(AW85&lt;PT_First,0,1+INT((AW85-PT_First)/PT_Int)),0))-IF(AR85="FT",IF(AY85&lt;FT_First,0,IF(AY85&lt;FT_Y5,1+INT((AY85-FT_First)/FT_Int1),FT_PreY5+FT_PerYear*INT((AY85-FT_Y5)/12)+FT_AnnivDays+INT(MOD(AY85-FT_Y5,12)/FT_Int2))),IF(AR85="PT",IF(AY85&lt;PT_First,0,1+INT((AY85-PT_First)/PT_Int)),0)),0))</f>
        <v/>
      </c>
      <c r="BB85" s="14" t="str">
        <f aca="false">IF(AG85=0,"",IF(AS85="FT",IF(AT85&lt;FT_First,FT_First,IF(AT85&lt;FT_Y5,MIN(FT_Y5,FT_First+FT_Int1*(INT((AT85-FT_First)/FT_Int1)+1)),FT_Y5+12*INT((AT85-FT_Y5)/12)+FT_Int2*(INT(MOD(AT85-FT_Y5,12)/FT_Int2)+1))),IF(AS85="PT",IF(AT85&lt;PT_First,PT_First,PT_First+PT_Int*(INT((AT85-PT_First)/PT_Int)+1)),"")))</f>
        <v/>
      </c>
      <c r="BC85" s="14" t="str">
        <f aca="false">IF(AG85=0,"",IF(NOT(LH_Ready),0,COUNTIFS(INDEX(LH_Data,0,LH_ColFirst),$A85,INDEX(LH_Data,0,LH_ColSur),$B85,INDEX(LH_Data,0,LH_ColCat),BonusCat)))</f>
        <v/>
      </c>
      <c r="BD85" s="14" t="str">
        <f aca="false">IF(AG85=0,"",IF(OR(NOT(LH_Ready),BC85=0),0,SUMPRODUCT(MAX((INDEX(LH_Data,0,LH_ColFirst)=$A85)*(INDEX(LH_Data,0,LH_ColSur)=$B85)*(INDEX(LH_Data,0,LH_ColCat)=BonusCat)*ROW(LH_Data)))))</f>
        <v/>
      </c>
      <c r="BE85" s="14" t="str">
        <f aca="false">IF(AG85=0,"",IF(EOMONTH(AsOfDate,-1)&lt;AH85,-1,12*(YEAR(EOMONTH(AsOfDate,-1))-YEAR(AH85))+MONTH(EOMONTH(AsOfDate,-1))-MONTH(AH85)-IF(DAY(EOMONTH(AsOfDate,-1))&lt;MIN(DAY(AH85),DAY(EOMONTH(EOMONTH(AsOfDate,-1),0))),1,0)))</f>
        <v/>
      </c>
      <c r="BF85" s="14" t="str">
        <f aca="false">IF(AG85=0,"",IF(OR(AI85&lt;2,AK85&gt;EOMONTH(AsOfDate,-1)),BE85,IF((AK85-1)&lt;AH85,-1,12*(YEAR((AK85-1))-YEAR(AH85))+MONTH((AK85-1))-MONTH(AH85)-IF(DAY((AK85-1))&lt;MIN(DAY(AH85),DAY(EOMONTH((AK85-1),0))),1,0))))</f>
        <v/>
      </c>
      <c r="BG85" s="14" t="str">
        <f aca="false">IF(AG85=0,"",IF(OR(AI85&lt;3,AL85&gt;EOMONTH(AsOfDate,-1)),BE85,IF((AL85-1)&lt;AH85,-1,12*(YEAR((AL85-1))-YEAR(AH85))+MONTH((AL85-1))-MONTH(AH85)-IF(DAY((AL85-1))&lt;MIN(DAY(AH85),DAY(EOMONTH((AL85-1),0))),1,0))))</f>
        <v/>
      </c>
      <c r="BH85" s="14" t="str">
        <f aca="false">IF(AG85=0,"",IF(AP85="FT",IF(BF85&lt;FT_First,0,IF(BF85&lt;FT_Y5,1+INT((BF85-FT_First)/FT_Int1),FT_PreY5+FT_PerYear*INT((BF85-FT_Y5)/12)+FT_AnnivDays+INT(MOD(BF85-FT_Y5,12)/FT_Int2))),IF(AP85="PT",IF(BF85&lt;PT_First,0,1+INT((BF85-PT_First)/PT_Int)),0))+IF(AND(AI85&gt;=2,AK85&lt;=EOMONTH(AsOfDate,-1)),IF(AQ85="FT",IF(BG85&lt;FT_First,0,IF(BG85&lt;FT_Y5,1+INT((BG85-FT_First)/FT_Int1),FT_PreY5+FT_PerYear*INT((BG85-FT_Y5)/12)+FT_AnnivDays+INT(MOD(BG85-FT_Y5,12)/FT_Int2))),IF(AQ85="PT",IF(BG85&lt;PT_First,0,1+INT((BG85-PT_First)/PT_Int)),0))-IF(AQ85="FT",IF(BF85&lt;FT_First,0,IF(BF85&lt;FT_Y5,1+INT((BF85-FT_First)/FT_Int1),FT_PreY5+FT_PerYear*INT((BF85-FT_Y5)/12)+FT_AnnivDays+INT(MOD(BF85-FT_Y5,12)/FT_Int2))),IF(AQ85="PT",IF(BF85&lt;PT_First,0,1+INT((BF85-PT_First)/PT_Int)),0)),0)+IF(AND(AI85&gt;=3,AL85&lt;=EOMONTH(AsOfDate,-1)),IF(AR85="FT",IF(BE85&lt;FT_First,0,IF(BE85&lt;FT_Y5,1+INT((BE85-FT_First)/FT_Int1),FT_PreY5+FT_PerYear*INT((BE85-FT_Y5)/12)+FT_AnnivDays+INT(MOD(BE85-FT_Y5,12)/FT_Int2))),IF(AR85="PT",IF(BE85&lt;PT_First,0,1+INT((BE85-PT_First)/PT_Int)),0))-IF(AR85="FT",IF(BG85&lt;FT_First,0,IF(BG85&lt;FT_Y5,1+INT((BG85-FT_First)/FT_Int1),FT_PreY5+FT_PerYear*INT((BG85-FT_Y5)/12)+FT_AnnivDays+INT(MOD(BG85-FT_Y5,12)/FT_Int2))),IF(AR85="PT",IF(BG85&lt;PT_First,0,1+INT((BG85-PT_First)/PT_Int)),0)),0))</f>
        <v/>
      </c>
      <c r="BI85" s="14" t="str">
        <f aca="false">IF(AG85=0,"",IF(AS85="FT",IF(AT85&lt;FT_First,"",IF(AT85&lt;FT_Y5,FT_First+FT_Int1*INT((AT85-FT_First)/FT_Int1),FT_Y5+FT_Int2*INT((AT85-FT_Y5)/FT_Int2))),IF(AS85="PT",IF(AT85&lt;PT_First,"",PT_First+PT_Int*INT((AT85-PT_First)/PT_Int)),"")))</f>
        <v/>
      </c>
      <c r="BJ85" s="0" t="str">
        <f aca="false">IF(LEN($A85&amp;$B85)=0,"",$A85&amp;" "&amp;$B85)</f>
        <v/>
      </c>
    </row>
    <row r="86" customFormat="false" ht="15" hidden="false" customHeight="false" outlineLevel="0" collapsed="false">
      <c r="A86" s="10"/>
      <c r="B86" s="10"/>
      <c r="C86" s="10"/>
      <c r="D86" s="11"/>
      <c r="E86" s="12" t="str">
        <f aca="false">IF(OR(AG86=0,$D86=""),"",DATE(YEAR(AsOfDate)+IF(DATE(YEAR(AsOfDate),MONTH($D86),DAY($D86))&lt;=AsOfDate,1,0),MONTH($D86),DAY($D86)))</f>
        <v/>
      </c>
      <c r="F86" s="11"/>
      <c r="G86" s="11"/>
      <c r="H86" s="11"/>
      <c r="I86" s="11"/>
      <c r="J86" s="11"/>
      <c r="K86" s="12" t="str">
        <f aca="false">IF(AG86=0,"",DATE(YEAR(AsOfDate)+IF(DATE(YEAR(AsOfDate),MONTH(AH86),DAY(AH86))&lt;=AsOfDate,1,0),MONTH(AH86),DAY(AH86)))</f>
        <v/>
      </c>
      <c r="L86" s="13" t="str">
        <f aca="false">IF(AG86=0,"",ROUND((AsOfDate-AH86)/365.25,1))</f>
        <v/>
      </c>
      <c r="M86" s="14" t="str">
        <f aca="false">IF(AG86=0,"",IF(AsOfDate&lt;AH86,"-",DATEDIF(AH86,AsOfDate,"y")&amp;"y "&amp;DATEDIF(AH86,AsOfDate,"ym")&amp;"m "&amp;DATEDIF(AH86,AsOfDate,"md")&amp;"d"))</f>
        <v/>
      </c>
      <c r="N86" s="15" t="str">
        <f aca="false">IF(AG86=0,"",O86*HoursPerDay)</f>
        <v/>
      </c>
      <c r="O86" s="15" t="str">
        <f aca="false">IF(AG86=0,"",AZ86)</f>
        <v/>
      </c>
      <c r="P86" s="16"/>
      <c r="Q86" s="14" t="str">
        <f aca="false">IF(AG86=0,"",IF(AI86&lt;2,"",AM86&amp;" to "&amp;AN86&amp;" on "&amp;TEXT(AK86,"dd/mm/yyyy")&amp;IF(AK86&gt;AsOfDate," (future)",IF(AP86=AQ86,"",IF(AQ86="None"," - STOPPED accruing",IF(AP86="None"," - commencement for Bonus Leave"," - pathway changed"))))&amp;IF(AI86&lt;3,"","; "&amp;AN86&amp;" to "&amp;AO86&amp;" on "&amp;TEXT(AL86,"dd/mm/yyyy")&amp;IF(AL86&gt;AsOfDate," (future)",IF(AQ86=AR86,"",IF(AR86="None"," - STOPPED accruing",IF(AQ86="None"," - commencement for Bonus Leave"," - pathway changed")))))))</f>
        <v/>
      </c>
      <c r="R86" s="14" t="str">
        <f aca="false">IF(AG86=0,"",IF(AS86="None",IF(O86&gt;0,"No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2" t="str">
        <f aca="false">IF(AG86=0,"",IF(AS86="None","",EDATE(AH86,BB86)))</f>
        <v/>
      </c>
      <c r="T86" s="15" t="str">
        <f aca="false">IF(AG86=0,"",IF(NOT(LH_Ready),"",IF(AH86&gt;PFYDate,0,IF(LH_ColPeriod=0,W86-U86+V86,SUMIFS(INDEX(LH_Data,0,LH_ColAcc),INDEX(LH_Data,0,LH_ColFirst),$A86,INDEX(LH_Data,0,LH_ColSur),$B86,INDEX(LH_Data,0,LH_ColCat),BonusCat,INDEX(LH_Data,0,LH_ColPeriod),LH_OpenLabel)*UnitFactor))))</f>
        <v/>
      </c>
      <c r="U86" s="15" t="str">
        <f aca="false">IF(AG86=0,"",IF(NOT(LH_Ready),"",SUMIFS(INDEX(LH_Data,0,LH_ColAcc),INDEX(LH_Data,0,LH_ColFirst),$A86,INDEX(LH_Data,0,LH_ColSur),$B86,INDEX(LH_Data,0,LH_ColCat),BonusCat,INDEX(LH_Data,0,LH_ColStart),"&gt;="&amp;AH86)*UnitFactor))</f>
        <v/>
      </c>
      <c r="V86" s="15" t="str">
        <f aca="false">IF(AG86=0,"",IF(NOT(LH_Ready),"",SUMIFS(INDEX(LH_Data,0,LH_ColTaken),INDEX(LH_Data,0,LH_ColFirst),$A86,INDEX(LH_Data,0,LH_ColSur),$B86,INDEX(LH_Data,0,LH_ColCat),BonusCat,INDEX(LH_Data,0,LH_ColStart),"&gt;="&amp;AH86)*UnitFactor))</f>
        <v/>
      </c>
      <c r="W86" s="15" t="str">
        <f aca="false">IF(AG86=0,"",IF(NOT(LH_Ready),"",IF(BD86=0,0,INDEX(INDEX(LH_Data,0,LH_ColClose),BD86-1)*UnitFactor)))</f>
        <v/>
      </c>
      <c r="X86" s="15" t="str">
        <f aca="false">IF(AG86=0,"",(AZ86-BA86)*HoursPerDay)</f>
        <v/>
      </c>
      <c r="Y86" s="15" t="str">
        <f aca="false">IF(AG86=0,"",IF(NOT(LH_Ready),"",IF(BC86=0,N86,IF(PFYDate&lt;$F86,N86-N(T86)-N(U86),X86-N(U86)))))</f>
        <v/>
      </c>
      <c r="Z86" s="14" t="str">
        <f aca="false">IF(OR(AG86=0,Y86=""),"",IF(Y86&gt;0,"Yes","No"))</f>
        <v/>
      </c>
      <c r="AA86" s="14" t="str">
        <f aca="false">IF(AG86=0,IF(LEN($A86&amp;$B86)=0,"","FIX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month")&amp;IF(BC86=0,";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EH)",""),IF(AS86="None",R86,"Not yet - first day on "&amp;TEXT(S86,"dd/mm/yyyy")))))))))</f>
        <v/>
      </c>
      <c r="AB86" s="15" t="str">
        <f aca="false">IF(OR(AG86=0,T86=""),"",BA86*HoursPerDay-T86)</f>
        <v/>
      </c>
      <c r="AC86" s="14" t="str">
        <f aca="false">IF(AG86=0,"",BC86)</f>
        <v/>
      </c>
      <c r="AD86" s="14" t="str">
        <f aca="false">IF(AG86=0,"",TRIM(IF(OR(ISTEXT($F86),ISTEXT($H86),ISTEXT($I86),ISTEXT($G86),ISTEXT($J86),ISTEXT($D86)),"A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I86&gt;=1,IF(AI86&gt;=3,AO86,IF(AI86=2,AN86,AM86))&lt;&gt;IF($C86="","",IF(OR(ISNUMBER(SEARCH("full",$C86)),UPPER(TRIM($C86))="FT",UPPER(TRIM($C86))="FTE"),"Full-Time",IF(OR(ISNUMBER(SEARCH("part",$C86)),UPPER(TRIM($C86))="PT",UPPER(TRIM($C86))="PTE"),"Part-Time",IF(OR(ISNUMBER(SEARCH("cas",$C86)),UPPER(TRIM($C86))="CAS"),"Casual","Unknown"))))),"EmploymentType does not match latest start date ("&amp;IF(AI86&gt;=3,AO86,IF(AI86=2,AN86,AM86))&amp;"). ","")&amp;IF(AND(AI86&gt;=1,AJ86&lt;&gt;$F86),"Earliest type date should equal StartDate. ","")&amp;IF(AND(AI86&gt;=2,AJ86=AK86),"Two types start on the same date. ","")&amp;IF(AND(OR(ISNUMBER(SEARCH("part",$C86)),UPPER(TRIM($C86))="PT",UPPER(TRIM($C86))="PTE"),$P86=""),"Part-time: enter PT Hrs/Week (blank = 24+). ","")))</f>
        <v/>
      </c>
      <c r="AE86" s="15" t="str">
        <f aca="false">IF(AG86=0,"",O86-BH86)</f>
        <v/>
      </c>
      <c r="AF86" s="12" t="str">
        <f aca="false">IF(OR(AG86=0,AE86="",N(AE86)=0,BI86=""),"",EDATE(AH86,BI86))</f>
        <v/>
      </c>
      <c r="AG86" s="14" t="n">
        <f aca="false">IF(OR(LEN($A86&amp;$B86)=0,$F86=""),0,1)</f>
        <v>0</v>
      </c>
      <c r="AH86" s="12" t="str">
        <f aca="false">IF(AG86=0,"",IF($J86&lt;&gt;"",$J86,IF(OR(CasualCounts="Yes",COUNT($G86:$I86)=0,COUNT($H86:$I86)=0),$F86,MIN($H86:$I86))))</f>
        <v/>
      </c>
      <c r="AI86" s="14" t="str">
        <f aca="false">IF(AG86=0,"",COUNT($G86:$I86))</f>
        <v/>
      </c>
      <c r="AJ86" s="12" t="str">
        <f aca="false">IF(AG86=0,"",IFERROR(SMALL($G86:$I86,1),""))</f>
        <v/>
      </c>
      <c r="AK86" s="12" t="str">
        <f aca="false">IF(AG86=0,"",IFERROR(SMALL($G86:$I86,2),""))</f>
        <v/>
      </c>
      <c r="AL86" s="12" t="str">
        <f aca="false">IF(AG86=0,"",IFERROR(SMALL($G86:$I86,3),""))</f>
        <v/>
      </c>
      <c r="AM86" s="14" t="str">
        <f aca="false">IF(AG86=0,"",IF(AJ86="","",IF(AJ86=$H86,"Part-Time",IF(AJ86=$I86,"Full-Time","Casual"))))</f>
        <v/>
      </c>
      <c r="AN86" s="14" t="str">
        <f aca="false">IF(AG86=0,"",IF(AK86="","",IF(AK86=$H86,"Part-Time",IF(AK86=$I86,"Full-Time","Casual"))))</f>
        <v/>
      </c>
      <c r="AO86" s="14" t="str">
        <f aca="false">IF(AG86=0,"",IF(AL86="","",IF(AL86=$H86,"Part-Time",IF(AL86=$I86,"Full-Time","Casual"))))</f>
        <v/>
      </c>
      <c r="AP86" s="14" t="str">
        <f aca="false">IF(AG86=0,"",IF(AI86=0,IF(OR(ISNUMBER(SEARCH("full",$C86)),UPPER(TRIM($C86))="FT",UPPER(TRIM($C86))="FTE"),"FT",IF(AND(OR(ISNUMBER(SEARCH("part",$C86)),UPPER(TRIM($C86))="PT",UPPER(TRIM($C86))="PTE"),OR($P86="",N($P86)&gt;=PT_MinHours)),"PT","None")),IF(OR(ISNUMBER(SEARCH("full",AM86)),UPPER(TRIM(AM86))="FT",UPPER(TRIM(AM86))="FTE"),"FT",IF(AND(OR(ISNUMBER(SEARCH("part",AM86)),UPPER(TRIM(AM86))="PT",UPPER(TRIM(AM86))="PTE"),OR($P86="",N($P86)&gt;=PT_MinHours)),"PT","None"))))</f>
        <v/>
      </c>
      <c r="AQ86" s="14" t="str">
        <f aca="false">IF(AG86=0,"",IF(AI86&lt;2,"",IF(OR(ISNUMBER(SEARCH("full",AN86)),UPPER(TRIM(AN86))="FT",UPPER(TRIM(AN86))="FTE"),"FT",IF(AND(OR(ISNUMBER(SEARCH("part",AN86)),UPPER(TRIM(AN86))="PT",UPPER(TRIM(AN86))="PTE"),OR($P86="",N($P86)&gt;=PT_MinHours)),"PT","None"))))</f>
        <v/>
      </c>
      <c r="AR86" s="14" t="str">
        <f aca="false">IF(AG86=0,"",IF(AI86&lt;3,"",IF(OR(ISNUMBER(SEARCH("full",AO86)),UPPER(TRIM(AO86))="FT",UPPER(TRIM(AO86))="FTE"),"FT",IF(AND(OR(ISNUMBER(SEARCH("part",AO86)),UPPER(TRIM(AO86))="PT",UPPER(TRIM(AO86))="PTE"),OR($P86="",N($P86)&gt;=PT_MinHours)),"PT","None"))))</f>
        <v/>
      </c>
      <c r="AS86" s="14" t="str">
        <f aca="false">IF(AG86=0,"",IF(AND(AI86&gt;=3,AL86&lt;=AsOfDate),AR86,IF(AND(AI86&gt;=2,AK86&lt;=AsOfDate),AQ86,AP86)))</f>
        <v/>
      </c>
      <c r="AT86" s="14" t="str">
        <f aca="false">IF(AG86=0,"",IF(AsOfDate&lt;AH86,-1,12*(YEAR(AsOfDate)-YEAR(AH86))+MONTH(AsOfDate)-MONTH(AH86)-IF(DAY(AsOfDate)&lt;MIN(DAY(AH86),DAY(EOMONTH(AsOfDate,0))),1,0)))</f>
        <v/>
      </c>
      <c r="AU86" s="14" t="str">
        <f aca="false">IF(AG86=0,"",IF(OR(AI86&lt;2,AK86&gt;AsOfDate),AT86,IF((AK86-1)&lt;AH86,-1,12*(YEAR((AK86-1))-YEAR(AH86))+MONTH((AK86-1))-MONTH(AH86)-IF(DAY((AK86-1))&lt;MIN(DAY(AH86),DAY(EOMONTH((AK86-1),0))),1,0))))</f>
        <v/>
      </c>
      <c r="AV86" s="14" t="str">
        <f aca="false">IF(AG86=0,"",IF(OR(AI86&lt;3,AL86&gt;AsOfDate),AT86,IF((AL86-1)&lt;AH86,-1,12*(YEAR((AL86-1))-YEAR(AH86))+MONTH((AL86-1))-MONTH(AH86)-IF(DAY((AL86-1))&lt;MIN(DAY(AH86),DAY(EOMONTH((AL86-1),0))),1,0))))</f>
        <v/>
      </c>
      <c r="AW86" s="14" t="str">
        <f aca="false">IF(AG86=0,"",IF(PFYDate&lt;AH86,-1,12*(YEAR(PFYDate)-YEAR(AH86))+MONTH(PFYDate)-MONTH(AH86)-IF(DAY(PFYDate)&lt;MIN(DAY(AH86),DAY(EOMONTH(PFYDate,0))),1,0)))</f>
        <v/>
      </c>
      <c r="AX86" s="14" t="str">
        <f aca="false">IF(AG86=0,"",IF(OR(AI86&lt;2,AK86&gt;PFYDate),AW86,IF((AK86-1)&lt;AH86,-1,12*(YEAR((AK86-1))-YEAR(AH86))+MONTH((AK86-1))-MONTH(AH86)-IF(DAY((AK86-1))&lt;MIN(DAY(AH86),DAY(EOMONTH((AK86-1),0))),1,0))))</f>
        <v/>
      </c>
      <c r="AY86" s="14" t="str">
        <f aca="false">IF(AG86=0,"",IF(OR(AI86&lt;3,AL86&gt;PFYDate),AW86,IF((AL86-1)&lt;AH86,-1,12*(YEAR((AL86-1))-YEAR(AH86))+MONTH((AL86-1))-MONTH(AH86)-IF(DAY((AL86-1))&lt;MIN(DAY(AH86),DAY(EOMONTH((AL86-1),0))),1,0))))</f>
        <v/>
      </c>
      <c r="AZ86" s="14" t="str">
        <f aca="false">IF(AG86=0,"",IF(AP86="FT",IF(AU86&lt;FT_First,0,IF(AU86&lt;FT_Y5,1+INT((AU86-FT_First)/FT_Int1),FT_PreY5+FT_PerYear*INT((AU86-FT_Y5)/12)+FT_AnnivDays+INT(MOD(AU86-FT_Y5,12)/FT_Int2))),IF(AP86="PT",IF(AU86&lt;PT_First,0,1+INT((AU86-PT_First)/PT_Int)),0))+IF(AND(AI86&gt;=2,AK86&lt;=AsOfDate),IF(AQ86="FT",IF(AV86&lt;FT_First,0,IF(AV86&lt;FT_Y5,1+INT((AV86-FT_First)/FT_Int1),FT_PreY5+FT_PerYear*INT((AV86-FT_Y5)/12)+FT_AnnivDays+INT(MOD(AV86-FT_Y5,12)/FT_Int2))),IF(AQ86="PT",IF(AV86&lt;PT_First,0,1+INT((AV86-PT_First)/PT_Int)),0))-IF(AQ86="FT",IF(AU86&lt;FT_First,0,IF(AU86&lt;FT_Y5,1+INT((AU86-FT_First)/FT_Int1),FT_PreY5+FT_PerYear*INT((AU86-FT_Y5)/12)+FT_AnnivDays+INT(MOD(AU86-FT_Y5,12)/FT_Int2))),IF(AQ86="PT",IF(AU86&lt;PT_First,0,1+INT((AU86-PT_First)/PT_Int)),0)),0)+IF(AND(AI86&gt;=3,AL86&lt;=AsOfDate),IF(AR86="FT",IF(AT86&lt;FT_First,0,IF(AT86&lt;FT_Y5,1+INT((AT86-FT_First)/FT_Int1),FT_PreY5+FT_PerYear*INT((AT86-FT_Y5)/12)+FT_AnnivDays+INT(MOD(AT86-FT_Y5,12)/FT_Int2))),IF(AR86="PT",IF(AT86&lt;PT_First,0,1+INT((AT86-PT_First)/PT_Int)),0))-IF(AR86="FT",IF(AV86&lt;FT_First,0,IF(AV86&lt;FT_Y5,1+INT((AV86-FT_First)/FT_Int1),FT_PreY5+FT_PerYear*INT((AV86-FT_Y5)/12)+FT_AnnivDays+INT(MOD(AV86-FT_Y5,12)/FT_Int2))),IF(AR86="PT",IF(AV86&lt;PT_First,0,1+INT((AV86-PT_First)/PT_Int)),0)),0))</f>
        <v/>
      </c>
      <c r="BA86" s="14" t="str">
        <f aca="false">IF(AG86=0,"",IF(AP86="FT",IF(AX86&lt;FT_First,0,IF(AX86&lt;FT_Y5,1+INT((AX86-FT_First)/FT_Int1),FT_PreY5+FT_PerYear*INT((AX86-FT_Y5)/12)+FT_AnnivDays+INT(MOD(AX86-FT_Y5,12)/FT_Int2))),IF(AP86="PT",IF(AX86&lt;PT_First,0,1+INT((AX86-PT_First)/PT_Int)),0))+IF(AND(AI86&gt;=2,AK86&lt;=PFYDate),IF(AQ86="FT",IF(AY86&lt;FT_First,0,IF(AY86&lt;FT_Y5,1+INT((AY86-FT_First)/FT_Int1),FT_PreY5+FT_PerYear*INT((AY86-FT_Y5)/12)+FT_AnnivDays+INT(MOD(AY86-FT_Y5,12)/FT_Int2))),IF(AQ86="PT",IF(AY86&lt;PT_First,0,1+INT((AY86-PT_First)/PT_Int)),0))-IF(AQ86="FT",IF(AX86&lt;FT_First,0,IF(AX86&lt;FT_Y5,1+INT((AX86-FT_First)/FT_Int1),FT_PreY5+FT_PerYear*INT((AX86-FT_Y5)/12)+FT_AnnivDays+INT(MOD(AX86-FT_Y5,12)/FT_Int2))),IF(AQ86="PT",IF(AX86&lt;PT_First,0,1+INT((AX86-PT_First)/PT_Int)),0)),0)+IF(AND(AI86&gt;=3,AL86&lt;=PFYDate),IF(AR86="FT",IF(AW86&lt;FT_First,0,IF(AW86&lt;FT_Y5,1+INT((AW86-FT_First)/FT_Int1),FT_PreY5+FT_PerYear*INT((AW86-FT_Y5)/12)+FT_AnnivDays+INT(MOD(AW86-FT_Y5,12)/FT_Int2))),IF(AR86="PT",IF(AW86&lt;PT_First,0,1+INT((AW86-PT_First)/PT_Int)),0))-IF(AR86="FT",IF(AY86&lt;FT_First,0,IF(AY86&lt;FT_Y5,1+INT((AY86-FT_First)/FT_Int1),FT_PreY5+FT_PerYear*INT((AY86-FT_Y5)/12)+FT_AnnivDays+INT(MOD(AY86-FT_Y5,12)/FT_Int2))),IF(AR86="PT",IF(AY86&lt;PT_First,0,1+INT((AY86-PT_First)/PT_Int)),0)),0))</f>
        <v/>
      </c>
      <c r="BB86" s="14" t="str">
        <f aca="false">IF(AG86=0,"",IF(AS86="FT",IF(AT86&lt;FT_First,FT_First,IF(AT86&lt;FT_Y5,MIN(FT_Y5,FT_First+FT_Int1*(INT((AT86-FT_First)/FT_Int1)+1)),FT_Y5+12*INT((AT86-FT_Y5)/12)+FT_Int2*(INT(MOD(AT86-FT_Y5,12)/FT_Int2)+1))),IF(AS86="PT",IF(AT86&lt;PT_First,PT_First,PT_First+PT_Int*(INT((AT86-PT_First)/PT_Int)+1)),"")))</f>
        <v/>
      </c>
      <c r="BC86" s="14" t="str">
        <f aca="false">IF(AG86=0,"",IF(NOT(LH_Ready),0,COUNTIFS(INDEX(LH_Data,0,LH_ColFirst),$A86,INDEX(LH_Data,0,LH_ColSur),$B86,INDEX(LH_Data,0,LH_ColCat),BonusCat)))</f>
        <v/>
      </c>
      <c r="BD86" s="14" t="str">
        <f aca="false">IF(AG86=0,"",IF(OR(NOT(LH_Ready),BC86=0),0,SUMPRODUCT(MAX((INDEX(LH_Data,0,LH_ColFirst)=$A86)*(INDEX(LH_Data,0,LH_ColSur)=$B86)*(INDEX(LH_Data,0,LH_ColCat)=BonusCat)*ROW(LH_Data)))))</f>
        <v/>
      </c>
      <c r="BE86" s="14" t="str">
        <f aca="false">IF(AG86=0,"",IF(EOMONTH(AsOfDate,-1)&lt;AH86,-1,12*(YEAR(EOMONTH(AsOfDate,-1))-YEAR(AH86))+MONTH(EOMONTH(AsOfDate,-1))-MONTH(AH86)-IF(DAY(EOMONTH(AsOfDate,-1))&lt;MIN(DAY(AH86),DAY(EOMONTH(EOMONTH(AsOfDate,-1),0))),1,0)))</f>
        <v/>
      </c>
      <c r="BF86" s="14" t="str">
        <f aca="false">IF(AG86=0,"",IF(OR(AI86&lt;2,AK86&gt;EOMONTH(AsOfDate,-1)),BE86,IF((AK86-1)&lt;AH86,-1,12*(YEAR((AK86-1))-YEAR(AH86))+MONTH((AK86-1))-MONTH(AH86)-IF(DAY((AK86-1))&lt;MIN(DAY(AH86),DAY(EOMONTH((AK86-1),0))),1,0))))</f>
        <v/>
      </c>
      <c r="BG86" s="14" t="str">
        <f aca="false">IF(AG86=0,"",IF(OR(AI86&lt;3,AL86&gt;EOMONTH(AsOfDate,-1)),BE86,IF((AL86-1)&lt;AH86,-1,12*(YEAR((AL86-1))-YEAR(AH86))+MONTH((AL86-1))-MONTH(AH86)-IF(DAY((AL86-1))&lt;MIN(DAY(AH86),DAY(EOMONTH((AL86-1),0))),1,0))))</f>
        <v/>
      </c>
      <c r="BH86" s="14" t="str">
        <f aca="false">IF(AG86=0,"",IF(AP86="FT",IF(BF86&lt;FT_First,0,IF(BF86&lt;FT_Y5,1+INT((BF86-FT_First)/FT_Int1),FT_PreY5+FT_PerYear*INT((BF86-FT_Y5)/12)+FT_AnnivDays+INT(MOD(BF86-FT_Y5,12)/FT_Int2))),IF(AP86="PT",IF(BF86&lt;PT_First,0,1+INT((BF86-PT_First)/PT_Int)),0))+IF(AND(AI86&gt;=2,AK86&lt;=EOMONTH(AsOfDate,-1)),IF(AQ86="FT",IF(BG86&lt;FT_First,0,IF(BG86&lt;FT_Y5,1+INT((BG86-FT_First)/FT_Int1),FT_PreY5+FT_PerYear*INT((BG86-FT_Y5)/12)+FT_AnnivDays+INT(MOD(BG86-FT_Y5,12)/FT_Int2))),IF(AQ86="PT",IF(BG86&lt;PT_First,0,1+INT((BG86-PT_First)/PT_Int)),0))-IF(AQ86="FT",IF(BF86&lt;FT_First,0,IF(BF86&lt;FT_Y5,1+INT((BF86-FT_First)/FT_Int1),FT_PreY5+FT_PerYear*INT((BF86-FT_Y5)/12)+FT_AnnivDays+INT(MOD(BF86-FT_Y5,12)/FT_Int2))),IF(AQ86="PT",IF(BF86&lt;PT_First,0,1+INT((BF86-PT_First)/PT_Int)),0)),0)+IF(AND(AI86&gt;=3,AL86&lt;=EOMONTH(AsOfDate,-1)),IF(AR86="FT",IF(BE86&lt;FT_First,0,IF(BE86&lt;FT_Y5,1+INT((BE86-FT_First)/FT_Int1),FT_PreY5+FT_PerYear*INT((BE86-FT_Y5)/12)+FT_AnnivDays+INT(MOD(BE86-FT_Y5,12)/FT_Int2))),IF(AR86="PT",IF(BE86&lt;PT_First,0,1+INT((BE86-PT_First)/PT_Int)),0))-IF(AR86="FT",IF(BG86&lt;FT_First,0,IF(BG86&lt;FT_Y5,1+INT((BG86-FT_First)/FT_Int1),FT_PreY5+FT_PerYear*INT((BG86-FT_Y5)/12)+FT_AnnivDays+INT(MOD(BG86-FT_Y5,12)/FT_Int2))),IF(AR86="PT",IF(BG86&lt;PT_First,0,1+INT((BG86-PT_First)/PT_Int)),0)),0))</f>
        <v/>
      </c>
      <c r="BI86" s="14" t="str">
        <f aca="false">IF(AG86=0,"",IF(AS86="FT",IF(AT86&lt;FT_First,"",IF(AT86&lt;FT_Y5,FT_First+FT_Int1*INT((AT86-FT_First)/FT_Int1),FT_Y5+FT_Int2*INT((AT86-FT_Y5)/FT_Int2))),IF(AS86="PT",IF(AT86&lt;PT_First,"",PT_First+PT_Int*INT((AT86-PT_First)/PT_Int)),"")))</f>
        <v/>
      </c>
      <c r="BJ86" s="0" t="str">
        <f aca="false">IF(LEN($A86&amp;$B86)=0,"",$A86&amp;" "&amp;$B86)</f>
        <v/>
      </c>
    </row>
    <row r="87" customFormat="false" ht="15" hidden="false" customHeight="false" outlineLevel="0" collapsed="false">
      <c r="A87" s="10"/>
      <c r="B87" s="10"/>
      <c r="C87" s="10"/>
      <c r="D87" s="11"/>
      <c r="E87" s="12" t="str">
        <f aca="false">IF(OR(AG87=0,$D87=""),"",DATE(YEAR(AsOfDate)+IF(DATE(YEAR(AsOfDate),MONTH($D87),DAY($D87))&lt;=AsOfDate,1,0),MONTH($D87),DAY($D87)))</f>
        <v/>
      </c>
      <c r="F87" s="11"/>
      <c r="G87" s="11"/>
      <c r="H87" s="11"/>
      <c r="I87" s="11"/>
      <c r="J87" s="11"/>
      <c r="K87" s="12" t="str">
        <f aca="false">IF(AG87=0,"",DATE(YEAR(AsOfDate)+IF(DATE(YEAR(AsOfDate),MONTH(AH87),DAY(AH87))&lt;=AsOfDate,1,0),MONTH(AH87),DAY(AH87)))</f>
        <v/>
      </c>
      <c r="L87" s="13" t="str">
        <f aca="false">IF(AG87=0,"",ROUND((AsOfDate-AH87)/365.25,1))</f>
        <v/>
      </c>
      <c r="M87" s="14" t="str">
        <f aca="false">IF(AG87=0,"",IF(AsOfDate&lt;AH87,"-",DATEDIF(AH87,AsOfDate,"y")&amp;"y "&amp;DATEDIF(AH87,AsOfDate,"ym")&amp;"m "&amp;DATEDIF(AH87,AsOfDate,"md")&amp;"d"))</f>
        <v/>
      </c>
      <c r="N87" s="15" t="str">
        <f aca="false">IF(AG87=0,"",O87*HoursPerDay)</f>
        <v/>
      </c>
      <c r="O87" s="15" t="str">
        <f aca="false">IF(AG87=0,"",AZ87)</f>
        <v/>
      </c>
      <c r="P87" s="16"/>
      <c r="Q87" s="14" t="str">
        <f aca="false">IF(AG87=0,"",IF(AI87&lt;2,"",AM87&amp;" to "&amp;AN87&amp;" on "&amp;TEXT(AK87,"dd/mm/yyyy")&amp;IF(AK87&gt;AsOfDate," (future)",IF(AP87=AQ87,"",IF(AQ87="None"," - STOPPED accruing",IF(AP87="None"," - commencement for Bonus Leave"," - pathway changed"))))&amp;IF(AI87&lt;3,"","; "&amp;AN87&amp;" to "&amp;AO87&amp;" on "&amp;TEXT(AL87,"dd/mm/yyyy")&amp;IF(AL87&gt;AsOfDate," (future)",IF(AQ87=AR87,"",IF(AR87="None"," - STOPPED accruing",IF(AQ87="None"," - commencement for Bonus Leave"," - pathway changed")))))))</f>
        <v/>
      </c>
      <c r="R87" s="14" t="str">
        <f aca="false">IF(AG87=0,"",IF(AS87="None",IF(O87&gt;0,"No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2" t="str">
        <f aca="false">IF(AG87=0,"",IF(AS87="None","",EDATE(AH87,BB87)))</f>
        <v/>
      </c>
      <c r="T87" s="15" t="str">
        <f aca="false">IF(AG87=0,"",IF(NOT(LH_Ready),"",IF(AH87&gt;PFYDate,0,IF(LH_ColPeriod=0,W87-U87+V87,SUMIFS(INDEX(LH_Data,0,LH_ColAcc),INDEX(LH_Data,0,LH_ColFirst),$A87,INDEX(LH_Data,0,LH_ColSur),$B87,INDEX(LH_Data,0,LH_ColCat),BonusCat,INDEX(LH_Data,0,LH_ColPeriod),LH_OpenLabel)*UnitFactor))))</f>
        <v/>
      </c>
      <c r="U87" s="15" t="str">
        <f aca="false">IF(AG87=0,"",IF(NOT(LH_Ready),"",SUMIFS(INDEX(LH_Data,0,LH_ColAcc),INDEX(LH_Data,0,LH_ColFirst),$A87,INDEX(LH_Data,0,LH_ColSur),$B87,INDEX(LH_Data,0,LH_ColCat),BonusCat,INDEX(LH_Data,0,LH_ColStart),"&gt;="&amp;AH87)*UnitFactor))</f>
        <v/>
      </c>
      <c r="V87" s="15" t="str">
        <f aca="false">IF(AG87=0,"",IF(NOT(LH_Ready),"",SUMIFS(INDEX(LH_Data,0,LH_ColTaken),INDEX(LH_Data,0,LH_ColFirst),$A87,INDEX(LH_Data,0,LH_ColSur),$B87,INDEX(LH_Data,0,LH_ColCat),BonusCat,INDEX(LH_Data,0,LH_ColStart),"&gt;="&amp;AH87)*UnitFactor))</f>
        <v/>
      </c>
      <c r="W87" s="15" t="str">
        <f aca="false">IF(AG87=0,"",IF(NOT(LH_Ready),"",IF(BD87=0,0,INDEX(INDEX(LH_Data,0,LH_ColClose),BD87-1)*UnitFactor)))</f>
        <v/>
      </c>
      <c r="X87" s="15" t="str">
        <f aca="false">IF(AG87=0,"",(AZ87-BA87)*HoursPerDay)</f>
        <v/>
      </c>
      <c r="Y87" s="15" t="str">
        <f aca="false">IF(AG87=0,"",IF(NOT(LH_Ready),"",IF(BC87=0,N87,IF(PFYDate&lt;$F87,N87-N(T87)-N(U87),X87-N(U87)))))</f>
        <v/>
      </c>
      <c r="Z87" s="14" t="str">
        <f aca="false">IF(OR(AG87=0,Y87=""),"",IF(Y87&gt;0,"Yes","No"))</f>
        <v/>
      </c>
      <c r="AA87" s="14" t="str">
        <f aca="false">IF(AG87=0,IF(LEN($A87&amp;$B87)=0,"","FIX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month")&amp;IF(BC87=0,";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EH)",""),IF(AS87="None",R87,"Not yet - first day on "&amp;TEXT(S87,"dd/mm/yyyy")))))))))</f>
        <v/>
      </c>
      <c r="AB87" s="15" t="str">
        <f aca="false">IF(OR(AG87=0,T87=""),"",BA87*HoursPerDay-T87)</f>
        <v/>
      </c>
      <c r="AC87" s="14" t="str">
        <f aca="false">IF(AG87=0,"",BC87)</f>
        <v/>
      </c>
      <c r="AD87" s="14" t="str">
        <f aca="false">IF(AG87=0,"",TRIM(IF(OR(ISTEXT($F87),ISTEXT($H87),ISTEXT($I87),ISTEXT($G87),ISTEXT($J87),ISTEXT($D87)),"A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I87&gt;=1,IF(AI87&gt;=3,AO87,IF(AI87=2,AN87,AM87))&lt;&gt;IF($C87="","",IF(OR(ISNUMBER(SEARCH("full",$C87)),UPPER(TRIM($C87))="FT",UPPER(TRIM($C87))="FTE"),"Full-Time",IF(OR(ISNUMBER(SEARCH("part",$C87)),UPPER(TRIM($C87))="PT",UPPER(TRIM($C87))="PTE"),"Part-Time",IF(OR(ISNUMBER(SEARCH("cas",$C87)),UPPER(TRIM($C87))="CAS"),"Casual","Unknown"))))),"EmploymentType does not match latest start date ("&amp;IF(AI87&gt;=3,AO87,IF(AI87=2,AN87,AM87))&amp;"). ","")&amp;IF(AND(AI87&gt;=1,AJ87&lt;&gt;$F87),"Earliest type date should equal StartDate. ","")&amp;IF(AND(AI87&gt;=2,AJ87=AK87),"Two types start on the same date. ","")&amp;IF(AND(OR(ISNUMBER(SEARCH("part",$C87)),UPPER(TRIM($C87))="PT",UPPER(TRIM($C87))="PTE"),$P87=""),"Part-time: enter PT Hrs/Week (blank = 24+). ","")))</f>
        <v/>
      </c>
      <c r="AE87" s="15" t="str">
        <f aca="false">IF(AG87=0,"",O87-BH87)</f>
        <v/>
      </c>
      <c r="AF87" s="12" t="str">
        <f aca="false">IF(OR(AG87=0,AE87="",N(AE87)=0,BI87=""),"",EDATE(AH87,BI87))</f>
        <v/>
      </c>
      <c r="AG87" s="14" t="n">
        <f aca="false">IF(OR(LEN($A87&amp;$B87)=0,$F87=""),0,1)</f>
        <v>0</v>
      </c>
      <c r="AH87" s="12" t="str">
        <f aca="false">IF(AG87=0,"",IF($J87&lt;&gt;"",$J87,IF(OR(CasualCounts="Yes",COUNT($G87:$I87)=0,COUNT($H87:$I87)=0),$F87,MIN($H87:$I87))))</f>
        <v/>
      </c>
      <c r="AI87" s="14" t="str">
        <f aca="false">IF(AG87=0,"",COUNT($G87:$I87))</f>
        <v/>
      </c>
      <c r="AJ87" s="12" t="str">
        <f aca="false">IF(AG87=0,"",IFERROR(SMALL($G87:$I87,1),""))</f>
        <v/>
      </c>
      <c r="AK87" s="12" t="str">
        <f aca="false">IF(AG87=0,"",IFERROR(SMALL($G87:$I87,2),""))</f>
        <v/>
      </c>
      <c r="AL87" s="12" t="str">
        <f aca="false">IF(AG87=0,"",IFERROR(SMALL($G87:$I87,3),""))</f>
        <v/>
      </c>
      <c r="AM87" s="14" t="str">
        <f aca="false">IF(AG87=0,"",IF(AJ87="","",IF(AJ87=$H87,"Part-Time",IF(AJ87=$I87,"Full-Time","Casual"))))</f>
        <v/>
      </c>
      <c r="AN87" s="14" t="str">
        <f aca="false">IF(AG87=0,"",IF(AK87="","",IF(AK87=$H87,"Part-Time",IF(AK87=$I87,"Full-Time","Casual"))))</f>
        <v/>
      </c>
      <c r="AO87" s="14" t="str">
        <f aca="false">IF(AG87=0,"",IF(AL87="","",IF(AL87=$H87,"Part-Time",IF(AL87=$I87,"Full-Time","Casual"))))</f>
        <v/>
      </c>
      <c r="AP87" s="14" t="str">
        <f aca="false">IF(AG87=0,"",IF(AI87=0,IF(OR(ISNUMBER(SEARCH("full",$C87)),UPPER(TRIM($C87))="FT",UPPER(TRIM($C87))="FTE"),"FT",IF(AND(OR(ISNUMBER(SEARCH("part",$C87)),UPPER(TRIM($C87))="PT",UPPER(TRIM($C87))="PTE"),OR($P87="",N($P87)&gt;=PT_MinHours)),"PT","None")),IF(OR(ISNUMBER(SEARCH("full",AM87)),UPPER(TRIM(AM87))="FT",UPPER(TRIM(AM87))="FTE"),"FT",IF(AND(OR(ISNUMBER(SEARCH("part",AM87)),UPPER(TRIM(AM87))="PT",UPPER(TRIM(AM87))="PTE"),OR($P87="",N($P87)&gt;=PT_MinHours)),"PT","None"))))</f>
        <v/>
      </c>
      <c r="AQ87" s="14" t="str">
        <f aca="false">IF(AG87=0,"",IF(AI87&lt;2,"",IF(OR(ISNUMBER(SEARCH("full",AN87)),UPPER(TRIM(AN87))="FT",UPPER(TRIM(AN87))="FTE"),"FT",IF(AND(OR(ISNUMBER(SEARCH("part",AN87)),UPPER(TRIM(AN87))="PT",UPPER(TRIM(AN87))="PTE"),OR($P87="",N($P87)&gt;=PT_MinHours)),"PT","None"))))</f>
        <v/>
      </c>
      <c r="AR87" s="14" t="str">
        <f aca="false">IF(AG87=0,"",IF(AI87&lt;3,"",IF(OR(ISNUMBER(SEARCH("full",AO87)),UPPER(TRIM(AO87))="FT",UPPER(TRIM(AO87))="FTE"),"FT",IF(AND(OR(ISNUMBER(SEARCH("part",AO87)),UPPER(TRIM(AO87))="PT",UPPER(TRIM(AO87))="PTE"),OR($P87="",N($P87)&gt;=PT_MinHours)),"PT","None"))))</f>
        <v/>
      </c>
      <c r="AS87" s="14" t="str">
        <f aca="false">IF(AG87=0,"",IF(AND(AI87&gt;=3,AL87&lt;=AsOfDate),AR87,IF(AND(AI87&gt;=2,AK87&lt;=AsOfDate),AQ87,AP87)))</f>
        <v/>
      </c>
      <c r="AT87" s="14" t="str">
        <f aca="false">IF(AG87=0,"",IF(AsOfDate&lt;AH87,-1,12*(YEAR(AsOfDate)-YEAR(AH87))+MONTH(AsOfDate)-MONTH(AH87)-IF(DAY(AsOfDate)&lt;MIN(DAY(AH87),DAY(EOMONTH(AsOfDate,0))),1,0)))</f>
        <v/>
      </c>
      <c r="AU87" s="14" t="str">
        <f aca="false">IF(AG87=0,"",IF(OR(AI87&lt;2,AK87&gt;AsOfDate),AT87,IF((AK87-1)&lt;AH87,-1,12*(YEAR((AK87-1))-YEAR(AH87))+MONTH((AK87-1))-MONTH(AH87)-IF(DAY((AK87-1))&lt;MIN(DAY(AH87),DAY(EOMONTH((AK87-1),0))),1,0))))</f>
        <v/>
      </c>
      <c r="AV87" s="14" t="str">
        <f aca="false">IF(AG87=0,"",IF(OR(AI87&lt;3,AL87&gt;AsOfDate),AT87,IF((AL87-1)&lt;AH87,-1,12*(YEAR((AL87-1))-YEAR(AH87))+MONTH((AL87-1))-MONTH(AH87)-IF(DAY((AL87-1))&lt;MIN(DAY(AH87),DAY(EOMONTH((AL87-1),0))),1,0))))</f>
        <v/>
      </c>
      <c r="AW87" s="14" t="str">
        <f aca="false">IF(AG87=0,"",IF(PFYDate&lt;AH87,-1,12*(YEAR(PFYDate)-YEAR(AH87))+MONTH(PFYDate)-MONTH(AH87)-IF(DAY(PFYDate)&lt;MIN(DAY(AH87),DAY(EOMONTH(PFYDate,0))),1,0)))</f>
        <v/>
      </c>
      <c r="AX87" s="14" t="str">
        <f aca="false">IF(AG87=0,"",IF(OR(AI87&lt;2,AK87&gt;PFYDate),AW87,IF((AK87-1)&lt;AH87,-1,12*(YEAR((AK87-1))-YEAR(AH87))+MONTH((AK87-1))-MONTH(AH87)-IF(DAY((AK87-1))&lt;MIN(DAY(AH87),DAY(EOMONTH((AK87-1),0))),1,0))))</f>
        <v/>
      </c>
      <c r="AY87" s="14" t="str">
        <f aca="false">IF(AG87=0,"",IF(OR(AI87&lt;3,AL87&gt;PFYDate),AW87,IF((AL87-1)&lt;AH87,-1,12*(YEAR((AL87-1))-YEAR(AH87))+MONTH((AL87-1))-MONTH(AH87)-IF(DAY((AL87-1))&lt;MIN(DAY(AH87),DAY(EOMONTH((AL87-1),0))),1,0))))</f>
        <v/>
      </c>
      <c r="AZ87" s="14" t="str">
        <f aca="false">IF(AG87=0,"",IF(AP87="FT",IF(AU87&lt;FT_First,0,IF(AU87&lt;FT_Y5,1+INT((AU87-FT_First)/FT_Int1),FT_PreY5+FT_PerYear*INT((AU87-FT_Y5)/12)+FT_AnnivDays+INT(MOD(AU87-FT_Y5,12)/FT_Int2))),IF(AP87="PT",IF(AU87&lt;PT_First,0,1+INT((AU87-PT_First)/PT_Int)),0))+IF(AND(AI87&gt;=2,AK87&lt;=AsOfDate),IF(AQ87="FT",IF(AV87&lt;FT_First,0,IF(AV87&lt;FT_Y5,1+INT((AV87-FT_First)/FT_Int1),FT_PreY5+FT_PerYear*INT((AV87-FT_Y5)/12)+FT_AnnivDays+INT(MOD(AV87-FT_Y5,12)/FT_Int2))),IF(AQ87="PT",IF(AV87&lt;PT_First,0,1+INT((AV87-PT_First)/PT_Int)),0))-IF(AQ87="FT",IF(AU87&lt;FT_First,0,IF(AU87&lt;FT_Y5,1+INT((AU87-FT_First)/FT_Int1),FT_PreY5+FT_PerYear*INT((AU87-FT_Y5)/12)+FT_AnnivDays+INT(MOD(AU87-FT_Y5,12)/FT_Int2))),IF(AQ87="PT",IF(AU87&lt;PT_First,0,1+INT((AU87-PT_First)/PT_Int)),0)),0)+IF(AND(AI87&gt;=3,AL87&lt;=AsOfDate),IF(AR87="FT",IF(AT87&lt;FT_First,0,IF(AT87&lt;FT_Y5,1+INT((AT87-FT_First)/FT_Int1),FT_PreY5+FT_PerYear*INT((AT87-FT_Y5)/12)+FT_AnnivDays+INT(MOD(AT87-FT_Y5,12)/FT_Int2))),IF(AR87="PT",IF(AT87&lt;PT_First,0,1+INT((AT87-PT_First)/PT_Int)),0))-IF(AR87="FT",IF(AV87&lt;FT_First,0,IF(AV87&lt;FT_Y5,1+INT((AV87-FT_First)/FT_Int1),FT_PreY5+FT_PerYear*INT((AV87-FT_Y5)/12)+FT_AnnivDays+INT(MOD(AV87-FT_Y5,12)/FT_Int2))),IF(AR87="PT",IF(AV87&lt;PT_First,0,1+INT((AV87-PT_First)/PT_Int)),0)),0))</f>
        <v/>
      </c>
      <c r="BA87" s="14" t="str">
        <f aca="false">IF(AG87=0,"",IF(AP87="FT",IF(AX87&lt;FT_First,0,IF(AX87&lt;FT_Y5,1+INT((AX87-FT_First)/FT_Int1),FT_PreY5+FT_PerYear*INT((AX87-FT_Y5)/12)+FT_AnnivDays+INT(MOD(AX87-FT_Y5,12)/FT_Int2))),IF(AP87="PT",IF(AX87&lt;PT_First,0,1+INT((AX87-PT_First)/PT_Int)),0))+IF(AND(AI87&gt;=2,AK87&lt;=PFYDate),IF(AQ87="FT",IF(AY87&lt;FT_First,0,IF(AY87&lt;FT_Y5,1+INT((AY87-FT_First)/FT_Int1),FT_PreY5+FT_PerYear*INT((AY87-FT_Y5)/12)+FT_AnnivDays+INT(MOD(AY87-FT_Y5,12)/FT_Int2))),IF(AQ87="PT",IF(AY87&lt;PT_First,0,1+INT((AY87-PT_First)/PT_Int)),0))-IF(AQ87="FT",IF(AX87&lt;FT_First,0,IF(AX87&lt;FT_Y5,1+INT((AX87-FT_First)/FT_Int1),FT_PreY5+FT_PerYear*INT((AX87-FT_Y5)/12)+FT_AnnivDays+INT(MOD(AX87-FT_Y5,12)/FT_Int2))),IF(AQ87="PT",IF(AX87&lt;PT_First,0,1+INT((AX87-PT_First)/PT_Int)),0)),0)+IF(AND(AI87&gt;=3,AL87&lt;=PFYDate),IF(AR87="FT",IF(AW87&lt;FT_First,0,IF(AW87&lt;FT_Y5,1+INT((AW87-FT_First)/FT_Int1),FT_PreY5+FT_PerYear*INT((AW87-FT_Y5)/12)+FT_AnnivDays+INT(MOD(AW87-FT_Y5,12)/FT_Int2))),IF(AR87="PT",IF(AW87&lt;PT_First,0,1+INT((AW87-PT_First)/PT_Int)),0))-IF(AR87="FT",IF(AY87&lt;FT_First,0,IF(AY87&lt;FT_Y5,1+INT((AY87-FT_First)/FT_Int1),FT_PreY5+FT_PerYear*INT((AY87-FT_Y5)/12)+FT_AnnivDays+INT(MOD(AY87-FT_Y5,12)/FT_Int2))),IF(AR87="PT",IF(AY87&lt;PT_First,0,1+INT((AY87-PT_First)/PT_Int)),0)),0))</f>
        <v/>
      </c>
      <c r="BB87" s="14" t="str">
        <f aca="false">IF(AG87=0,"",IF(AS87="FT",IF(AT87&lt;FT_First,FT_First,IF(AT87&lt;FT_Y5,MIN(FT_Y5,FT_First+FT_Int1*(INT((AT87-FT_First)/FT_Int1)+1)),FT_Y5+12*INT((AT87-FT_Y5)/12)+FT_Int2*(INT(MOD(AT87-FT_Y5,12)/FT_Int2)+1))),IF(AS87="PT",IF(AT87&lt;PT_First,PT_First,PT_First+PT_Int*(INT((AT87-PT_First)/PT_Int)+1)),"")))</f>
        <v/>
      </c>
      <c r="BC87" s="14" t="str">
        <f aca="false">IF(AG87=0,"",IF(NOT(LH_Ready),0,COUNTIFS(INDEX(LH_Data,0,LH_ColFirst),$A87,INDEX(LH_Data,0,LH_ColSur),$B87,INDEX(LH_Data,0,LH_ColCat),BonusCat)))</f>
        <v/>
      </c>
      <c r="BD87" s="14" t="str">
        <f aca="false">IF(AG87=0,"",IF(OR(NOT(LH_Ready),BC87=0),0,SUMPRODUCT(MAX((INDEX(LH_Data,0,LH_ColFirst)=$A87)*(INDEX(LH_Data,0,LH_ColSur)=$B87)*(INDEX(LH_Data,0,LH_ColCat)=BonusCat)*ROW(LH_Data)))))</f>
        <v/>
      </c>
      <c r="BE87" s="14" t="str">
        <f aca="false">IF(AG87=0,"",IF(EOMONTH(AsOfDate,-1)&lt;AH87,-1,12*(YEAR(EOMONTH(AsOfDate,-1))-YEAR(AH87))+MONTH(EOMONTH(AsOfDate,-1))-MONTH(AH87)-IF(DAY(EOMONTH(AsOfDate,-1))&lt;MIN(DAY(AH87),DAY(EOMONTH(EOMONTH(AsOfDate,-1),0))),1,0)))</f>
        <v/>
      </c>
      <c r="BF87" s="14" t="str">
        <f aca="false">IF(AG87=0,"",IF(OR(AI87&lt;2,AK87&gt;EOMONTH(AsOfDate,-1)),BE87,IF((AK87-1)&lt;AH87,-1,12*(YEAR((AK87-1))-YEAR(AH87))+MONTH((AK87-1))-MONTH(AH87)-IF(DAY((AK87-1))&lt;MIN(DAY(AH87),DAY(EOMONTH((AK87-1),0))),1,0))))</f>
        <v/>
      </c>
      <c r="BG87" s="14" t="str">
        <f aca="false">IF(AG87=0,"",IF(OR(AI87&lt;3,AL87&gt;EOMONTH(AsOfDate,-1)),BE87,IF((AL87-1)&lt;AH87,-1,12*(YEAR((AL87-1))-YEAR(AH87))+MONTH((AL87-1))-MONTH(AH87)-IF(DAY((AL87-1))&lt;MIN(DAY(AH87),DAY(EOMONTH((AL87-1),0))),1,0))))</f>
        <v/>
      </c>
      <c r="BH87" s="14" t="str">
        <f aca="false">IF(AG87=0,"",IF(AP87="FT",IF(BF87&lt;FT_First,0,IF(BF87&lt;FT_Y5,1+INT((BF87-FT_First)/FT_Int1),FT_PreY5+FT_PerYear*INT((BF87-FT_Y5)/12)+FT_AnnivDays+INT(MOD(BF87-FT_Y5,12)/FT_Int2))),IF(AP87="PT",IF(BF87&lt;PT_First,0,1+INT((BF87-PT_First)/PT_Int)),0))+IF(AND(AI87&gt;=2,AK87&lt;=EOMONTH(AsOfDate,-1)),IF(AQ87="FT",IF(BG87&lt;FT_First,0,IF(BG87&lt;FT_Y5,1+INT((BG87-FT_First)/FT_Int1),FT_PreY5+FT_PerYear*INT((BG87-FT_Y5)/12)+FT_AnnivDays+INT(MOD(BG87-FT_Y5,12)/FT_Int2))),IF(AQ87="PT",IF(BG87&lt;PT_First,0,1+INT((BG87-PT_First)/PT_Int)),0))-IF(AQ87="FT",IF(BF87&lt;FT_First,0,IF(BF87&lt;FT_Y5,1+INT((BF87-FT_First)/FT_Int1),FT_PreY5+FT_PerYear*INT((BF87-FT_Y5)/12)+FT_AnnivDays+INT(MOD(BF87-FT_Y5,12)/FT_Int2))),IF(AQ87="PT",IF(BF87&lt;PT_First,0,1+INT((BF87-PT_First)/PT_Int)),0)),0)+IF(AND(AI87&gt;=3,AL87&lt;=EOMONTH(AsOfDate,-1)),IF(AR87="FT",IF(BE87&lt;FT_First,0,IF(BE87&lt;FT_Y5,1+INT((BE87-FT_First)/FT_Int1),FT_PreY5+FT_PerYear*INT((BE87-FT_Y5)/12)+FT_AnnivDays+INT(MOD(BE87-FT_Y5,12)/FT_Int2))),IF(AR87="PT",IF(BE87&lt;PT_First,0,1+INT((BE87-PT_First)/PT_Int)),0))-IF(AR87="FT",IF(BG87&lt;FT_First,0,IF(BG87&lt;FT_Y5,1+INT((BG87-FT_First)/FT_Int1),FT_PreY5+FT_PerYear*INT((BG87-FT_Y5)/12)+FT_AnnivDays+INT(MOD(BG87-FT_Y5,12)/FT_Int2))),IF(AR87="PT",IF(BG87&lt;PT_First,0,1+INT((BG87-PT_First)/PT_Int)),0)),0))</f>
        <v/>
      </c>
      <c r="BI87" s="14" t="str">
        <f aca="false">IF(AG87=0,"",IF(AS87="FT",IF(AT87&lt;FT_First,"",IF(AT87&lt;FT_Y5,FT_First+FT_Int1*INT((AT87-FT_First)/FT_Int1),FT_Y5+FT_Int2*INT((AT87-FT_Y5)/FT_Int2))),IF(AS87="PT",IF(AT87&lt;PT_First,"",PT_First+PT_Int*INT((AT87-PT_First)/PT_Int)),"")))</f>
        <v/>
      </c>
      <c r="BJ87" s="0" t="str">
        <f aca="false">IF(LEN($A87&amp;$B87)=0,"",$A87&amp;" "&amp;$B87)</f>
        <v/>
      </c>
    </row>
    <row r="88" customFormat="false" ht="15" hidden="false" customHeight="false" outlineLevel="0" collapsed="false">
      <c r="A88" s="10"/>
      <c r="B88" s="10"/>
      <c r="C88" s="10"/>
      <c r="D88" s="11"/>
      <c r="E88" s="12" t="str">
        <f aca="false">IF(OR(AG88=0,$D88=""),"",DATE(YEAR(AsOfDate)+IF(DATE(YEAR(AsOfDate),MONTH($D88),DAY($D88))&lt;=AsOfDate,1,0),MONTH($D88),DAY($D88)))</f>
        <v/>
      </c>
      <c r="F88" s="11"/>
      <c r="G88" s="11"/>
      <c r="H88" s="11"/>
      <c r="I88" s="11"/>
      <c r="J88" s="11"/>
      <c r="K88" s="12" t="str">
        <f aca="false">IF(AG88=0,"",DATE(YEAR(AsOfDate)+IF(DATE(YEAR(AsOfDate),MONTH(AH88),DAY(AH88))&lt;=AsOfDate,1,0),MONTH(AH88),DAY(AH88)))</f>
        <v/>
      </c>
      <c r="L88" s="13" t="str">
        <f aca="false">IF(AG88=0,"",ROUND((AsOfDate-AH88)/365.25,1))</f>
        <v/>
      </c>
      <c r="M88" s="14" t="str">
        <f aca="false">IF(AG88=0,"",IF(AsOfDate&lt;AH88,"-",DATEDIF(AH88,AsOfDate,"y")&amp;"y "&amp;DATEDIF(AH88,AsOfDate,"ym")&amp;"m "&amp;DATEDIF(AH88,AsOfDate,"md")&amp;"d"))</f>
        <v/>
      </c>
      <c r="N88" s="15" t="str">
        <f aca="false">IF(AG88=0,"",O88*HoursPerDay)</f>
        <v/>
      </c>
      <c r="O88" s="15" t="str">
        <f aca="false">IF(AG88=0,"",AZ88)</f>
        <v/>
      </c>
      <c r="P88" s="16"/>
      <c r="Q88" s="14" t="str">
        <f aca="false">IF(AG88=0,"",IF(AI88&lt;2,"",AM88&amp;" to "&amp;AN88&amp;" on "&amp;TEXT(AK88,"dd/mm/yyyy")&amp;IF(AK88&gt;AsOfDate," (future)",IF(AP88=AQ88,"",IF(AQ88="None"," - STOPPED accruing",IF(AP88="None"," - commencement for Bonus Leave"," - pathway changed"))))&amp;IF(AI88&lt;3,"","; "&amp;AN88&amp;" to "&amp;AO88&amp;" on "&amp;TEXT(AL88,"dd/mm/yyyy")&amp;IF(AL88&gt;AsOfDate," (future)",IF(AQ88=AR88,"",IF(AR88="None"," - STOPPED accruing",IF(AQ88="None"," - commencement for Bonus Leave"," - pathway changed")))))))</f>
        <v/>
      </c>
      <c r="R88" s="14" t="str">
        <f aca="false">IF(AG88=0,"",IF(AS88="None",IF(O88&gt;0,"No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2" t="str">
        <f aca="false">IF(AG88=0,"",IF(AS88="None","",EDATE(AH88,BB88)))</f>
        <v/>
      </c>
      <c r="T88" s="15" t="str">
        <f aca="false">IF(AG88=0,"",IF(NOT(LH_Ready),"",IF(AH88&gt;PFYDate,0,IF(LH_ColPeriod=0,W88-U88+V88,SUMIFS(INDEX(LH_Data,0,LH_ColAcc),INDEX(LH_Data,0,LH_ColFirst),$A88,INDEX(LH_Data,0,LH_ColSur),$B88,INDEX(LH_Data,0,LH_ColCat),BonusCat,INDEX(LH_Data,0,LH_ColPeriod),LH_OpenLabel)*UnitFactor))))</f>
        <v/>
      </c>
      <c r="U88" s="15" t="str">
        <f aca="false">IF(AG88=0,"",IF(NOT(LH_Ready),"",SUMIFS(INDEX(LH_Data,0,LH_ColAcc),INDEX(LH_Data,0,LH_ColFirst),$A88,INDEX(LH_Data,0,LH_ColSur),$B88,INDEX(LH_Data,0,LH_ColCat),BonusCat,INDEX(LH_Data,0,LH_ColStart),"&gt;="&amp;AH88)*UnitFactor))</f>
        <v/>
      </c>
      <c r="V88" s="15" t="str">
        <f aca="false">IF(AG88=0,"",IF(NOT(LH_Ready),"",SUMIFS(INDEX(LH_Data,0,LH_ColTaken),INDEX(LH_Data,0,LH_ColFirst),$A88,INDEX(LH_Data,0,LH_ColSur),$B88,INDEX(LH_Data,0,LH_ColCat),BonusCat,INDEX(LH_Data,0,LH_ColStart),"&gt;="&amp;AH88)*UnitFactor))</f>
        <v/>
      </c>
      <c r="W88" s="15" t="str">
        <f aca="false">IF(AG88=0,"",IF(NOT(LH_Ready),"",IF(BD88=0,0,INDEX(INDEX(LH_Data,0,LH_ColClose),BD88-1)*UnitFactor)))</f>
        <v/>
      </c>
      <c r="X88" s="15" t="str">
        <f aca="false">IF(AG88=0,"",(AZ88-BA88)*HoursPerDay)</f>
        <v/>
      </c>
      <c r="Y88" s="15" t="str">
        <f aca="false">IF(AG88=0,"",IF(NOT(LH_Ready),"",IF(BC88=0,N88,IF(PFYDate&lt;$F88,N88-N(T88)-N(U88),X88-N(U88)))))</f>
        <v/>
      </c>
      <c r="Z88" s="14" t="str">
        <f aca="false">IF(OR(AG88=0,Y88=""),"",IF(Y88&gt;0,"Yes","No"))</f>
        <v/>
      </c>
      <c r="AA88" s="14" t="str">
        <f aca="false">IF(AG88=0,IF(LEN($A88&amp;$B88)=0,"","FIX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month")&amp;IF(BC88=0,";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EH)",""),IF(AS88="None",R88,"Not yet - first day on "&amp;TEXT(S88,"dd/mm/yyyy")))))))))</f>
        <v/>
      </c>
      <c r="AB88" s="15" t="str">
        <f aca="false">IF(OR(AG88=0,T88=""),"",BA88*HoursPerDay-T88)</f>
        <v/>
      </c>
      <c r="AC88" s="14" t="str">
        <f aca="false">IF(AG88=0,"",BC88)</f>
        <v/>
      </c>
      <c r="AD88" s="14" t="str">
        <f aca="false">IF(AG88=0,"",TRIM(IF(OR(ISTEXT($F88),ISTEXT($H88),ISTEXT($I88),ISTEXT($G88),ISTEXT($J88),ISTEXT($D88)),"A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I88&gt;=1,IF(AI88&gt;=3,AO88,IF(AI88=2,AN88,AM88))&lt;&gt;IF($C88="","",IF(OR(ISNUMBER(SEARCH("full",$C88)),UPPER(TRIM($C88))="FT",UPPER(TRIM($C88))="FTE"),"Full-Time",IF(OR(ISNUMBER(SEARCH("part",$C88)),UPPER(TRIM($C88))="PT",UPPER(TRIM($C88))="PTE"),"Part-Time",IF(OR(ISNUMBER(SEARCH("cas",$C88)),UPPER(TRIM($C88))="CAS"),"Casual","Unknown"))))),"EmploymentType does not match latest start date ("&amp;IF(AI88&gt;=3,AO88,IF(AI88=2,AN88,AM88))&amp;"). ","")&amp;IF(AND(AI88&gt;=1,AJ88&lt;&gt;$F88),"Earliest type date should equal StartDate. ","")&amp;IF(AND(AI88&gt;=2,AJ88=AK88),"Two types start on the same date. ","")&amp;IF(AND(OR(ISNUMBER(SEARCH("part",$C88)),UPPER(TRIM($C88))="PT",UPPER(TRIM($C88))="PTE"),$P88=""),"Part-time: enter PT Hrs/Week (blank = 24+). ","")))</f>
        <v/>
      </c>
      <c r="AE88" s="15" t="str">
        <f aca="false">IF(AG88=0,"",O88-BH88)</f>
        <v/>
      </c>
      <c r="AF88" s="12" t="str">
        <f aca="false">IF(OR(AG88=0,AE88="",N(AE88)=0,BI88=""),"",EDATE(AH88,BI88))</f>
        <v/>
      </c>
      <c r="AG88" s="14" t="n">
        <f aca="false">IF(OR(LEN($A88&amp;$B88)=0,$F88=""),0,1)</f>
        <v>0</v>
      </c>
      <c r="AH88" s="12" t="str">
        <f aca="false">IF(AG88=0,"",IF($J88&lt;&gt;"",$J88,IF(OR(CasualCounts="Yes",COUNT($G88:$I88)=0,COUNT($H88:$I88)=0),$F88,MIN($H88:$I88))))</f>
        <v/>
      </c>
      <c r="AI88" s="14" t="str">
        <f aca="false">IF(AG88=0,"",COUNT($G88:$I88))</f>
        <v/>
      </c>
      <c r="AJ88" s="12" t="str">
        <f aca="false">IF(AG88=0,"",IFERROR(SMALL($G88:$I88,1),""))</f>
        <v/>
      </c>
      <c r="AK88" s="12" t="str">
        <f aca="false">IF(AG88=0,"",IFERROR(SMALL($G88:$I88,2),""))</f>
        <v/>
      </c>
      <c r="AL88" s="12" t="str">
        <f aca="false">IF(AG88=0,"",IFERROR(SMALL($G88:$I88,3),""))</f>
        <v/>
      </c>
      <c r="AM88" s="14" t="str">
        <f aca="false">IF(AG88=0,"",IF(AJ88="","",IF(AJ88=$H88,"Part-Time",IF(AJ88=$I88,"Full-Time","Casual"))))</f>
        <v/>
      </c>
      <c r="AN88" s="14" t="str">
        <f aca="false">IF(AG88=0,"",IF(AK88="","",IF(AK88=$H88,"Part-Time",IF(AK88=$I88,"Full-Time","Casual"))))</f>
        <v/>
      </c>
      <c r="AO88" s="14" t="str">
        <f aca="false">IF(AG88=0,"",IF(AL88="","",IF(AL88=$H88,"Part-Time",IF(AL88=$I88,"Full-Time","Casual"))))</f>
        <v/>
      </c>
      <c r="AP88" s="14" t="str">
        <f aca="false">IF(AG88=0,"",IF(AI88=0,IF(OR(ISNUMBER(SEARCH("full",$C88)),UPPER(TRIM($C88))="FT",UPPER(TRIM($C88))="FTE"),"FT",IF(AND(OR(ISNUMBER(SEARCH("part",$C88)),UPPER(TRIM($C88))="PT",UPPER(TRIM($C88))="PTE"),OR($P88="",N($P88)&gt;=PT_MinHours)),"PT","None")),IF(OR(ISNUMBER(SEARCH("full",AM88)),UPPER(TRIM(AM88))="FT",UPPER(TRIM(AM88))="FTE"),"FT",IF(AND(OR(ISNUMBER(SEARCH("part",AM88)),UPPER(TRIM(AM88))="PT",UPPER(TRIM(AM88))="PTE"),OR($P88="",N($P88)&gt;=PT_MinHours)),"PT","None"))))</f>
        <v/>
      </c>
      <c r="AQ88" s="14" t="str">
        <f aca="false">IF(AG88=0,"",IF(AI88&lt;2,"",IF(OR(ISNUMBER(SEARCH("full",AN88)),UPPER(TRIM(AN88))="FT",UPPER(TRIM(AN88))="FTE"),"FT",IF(AND(OR(ISNUMBER(SEARCH("part",AN88)),UPPER(TRIM(AN88))="PT",UPPER(TRIM(AN88))="PTE"),OR($P88="",N($P88)&gt;=PT_MinHours)),"PT","None"))))</f>
        <v/>
      </c>
      <c r="AR88" s="14" t="str">
        <f aca="false">IF(AG88=0,"",IF(AI88&lt;3,"",IF(OR(ISNUMBER(SEARCH("full",AO88)),UPPER(TRIM(AO88))="FT",UPPER(TRIM(AO88))="FTE"),"FT",IF(AND(OR(ISNUMBER(SEARCH("part",AO88)),UPPER(TRIM(AO88))="PT",UPPER(TRIM(AO88))="PTE"),OR($P88="",N($P88)&gt;=PT_MinHours)),"PT","None"))))</f>
        <v/>
      </c>
      <c r="AS88" s="14" t="str">
        <f aca="false">IF(AG88=0,"",IF(AND(AI88&gt;=3,AL88&lt;=AsOfDate),AR88,IF(AND(AI88&gt;=2,AK88&lt;=AsOfDate),AQ88,AP88)))</f>
        <v/>
      </c>
      <c r="AT88" s="14" t="str">
        <f aca="false">IF(AG88=0,"",IF(AsOfDate&lt;AH88,-1,12*(YEAR(AsOfDate)-YEAR(AH88))+MONTH(AsOfDate)-MONTH(AH88)-IF(DAY(AsOfDate)&lt;MIN(DAY(AH88),DAY(EOMONTH(AsOfDate,0))),1,0)))</f>
        <v/>
      </c>
      <c r="AU88" s="14" t="str">
        <f aca="false">IF(AG88=0,"",IF(OR(AI88&lt;2,AK88&gt;AsOfDate),AT88,IF((AK88-1)&lt;AH88,-1,12*(YEAR((AK88-1))-YEAR(AH88))+MONTH((AK88-1))-MONTH(AH88)-IF(DAY((AK88-1))&lt;MIN(DAY(AH88),DAY(EOMONTH((AK88-1),0))),1,0))))</f>
        <v/>
      </c>
      <c r="AV88" s="14" t="str">
        <f aca="false">IF(AG88=0,"",IF(OR(AI88&lt;3,AL88&gt;AsOfDate),AT88,IF((AL88-1)&lt;AH88,-1,12*(YEAR((AL88-1))-YEAR(AH88))+MONTH((AL88-1))-MONTH(AH88)-IF(DAY((AL88-1))&lt;MIN(DAY(AH88),DAY(EOMONTH((AL88-1),0))),1,0))))</f>
        <v/>
      </c>
      <c r="AW88" s="14" t="str">
        <f aca="false">IF(AG88=0,"",IF(PFYDate&lt;AH88,-1,12*(YEAR(PFYDate)-YEAR(AH88))+MONTH(PFYDate)-MONTH(AH88)-IF(DAY(PFYDate)&lt;MIN(DAY(AH88),DAY(EOMONTH(PFYDate,0))),1,0)))</f>
        <v/>
      </c>
      <c r="AX88" s="14" t="str">
        <f aca="false">IF(AG88=0,"",IF(OR(AI88&lt;2,AK88&gt;PFYDate),AW88,IF((AK88-1)&lt;AH88,-1,12*(YEAR((AK88-1))-YEAR(AH88))+MONTH((AK88-1))-MONTH(AH88)-IF(DAY((AK88-1))&lt;MIN(DAY(AH88),DAY(EOMONTH((AK88-1),0))),1,0))))</f>
        <v/>
      </c>
      <c r="AY88" s="14" t="str">
        <f aca="false">IF(AG88=0,"",IF(OR(AI88&lt;3,AL88&gt;PFYDate),AW88,IF((AL88-1)&lt;AH88,-1,12*(YEAR((AL88-1))-YEAR(AH88))+MONTH((AL88-1))-MONTH(AH88)-IF(DAY((AL88-1))&lt;MIN(DAY(AH88),DAY(EOMONTH((AL88-1),0))),1,0))))</f>
        <v/>
      </c>
      <c r="AZ88" s="14" t="str">
        <f aca="false">IF(AG88=0,"",IF(AP88="FT",IF(AU88&lt;FT_First,0,IF(AU88&lt;FT_Y5,1+INT((AU88-FT_First)/FT_Int1),FT_PreY5+FT_PerYear*INT((AU88-FT_Y5)/12)+FT_AnnivDays+INT(MOD(AU88-FT_Y5,12)/FT_Int2))),IF(AP88="PT",IF(AU88&lt;PT_First,0,1+INT((AU88-PT_First)/PT_Int)),0))+IF(AND(AI88&gt;=2,AK88&lt;=AsOfDate),IF(AQ88="FT",IF(AV88&lt;FT_First,0,IF(AV88&lt;FT_Y5,1+INT((AV88-FT_First)/FT_Int1),FT_PreY5+FT_PerYear*INT((AV88-FT_Y5)/12)+FT_AnnivDays+INT(MOD(AV88-FT_Y5,12)/FT_Int2))),IF(AQ88="PT",IF(AV88&lt;PT_First,0,1+INT((AV88-PT_First)/PT_Int)),0))-IF(AQ88="FT",IF(AU88&lt;FT_First,0,IF(AU88&lt;FT_Y5,1+INT((AU88-FT_First)/FT_Int1),FT_PreY5+FT_PerYear*INT((AU88-FT_Y5)/12)+FT_AnnivDays+INT(MOD(AU88-FT_Y5,12)/FT_Int2))),IF(AQ88="PT",IF(AU88&lt;PT_First,0,1+INT((AU88-PT_First)/PT_Int)),0)),0)+IF(AND(AI88&gt;=3,AL88&lt;=AsOfDate),IF(AR88="FT",IF(AT88&lt;FT_First,0,IF(AT88&lt;FT_Y5,1+INT((AT88-FT_First)/FT_Int1),FT_PreY5+FT_PerYear*INT((AT88-FT_Y5)/12)+FT_AnnivDays+INT(MOD(AT88-FT_Y5,12)/FT_Int2))),IF(AR88="PT",IF(AT88&lt;PT_First,0,1+INT((AT88-PT_First)/PT_Int)),0))-IF(AR88="FT",IF(AV88&lt;FT_First,0,IF(AV88&lt;FT_Y5,1+INT((AV88-FT_First)/FT_Int1),FT_PreY5+FT_PerYear*INT((AV88-FT_Y5)/12)+FT_AnnivDays+INT(MOD(AV88-FT_Y5,12)/FT_Int2))),IF(AR88="PT",IF(AV88&lt;PT_First,0,1+INT((AV88-PT_First)/PT_Int)),0)),0))</f>
        <v/>
      </c>
      <c r="BA88" s="14" t="str">
        <f aca="false">IF(AG88=0,"",IF(AP88="FT",IF(AX88&lt;FT_First,0,IF(AX88&lt;FT_Y5,1+INT((AX88-FT_First)/FT_Int1),FT_PreY5+FT_PerYear*INT((AX88-FT_Y5)/12)+FT_AnnivDays+INT(MOD(AX88-FT_Y5,12)/FT_Int2))),IF(AP88="PT",IF(AX88&lt;PT_First,0,1+INT((AX88-PT_First)/PT_Int)),0))+IF(AND(AI88&gt;=2,AK88&lt;=PFYDate),IF(AQ88="FT",IF(AY88&lt;FT_First,0,IF(AY88&lt;FT_Y5,1+INT((AY88-FT_First)/FT_Int1),FT_PreY5+FT_PerYear*INT((AY88-FT_Y5)/12)+FT_AnnivDays+INT(MOD(AY88-FT_Y5,12)/FT_Int2))),IF(AQ88="PT",IF(AY88&lt;PT_First,0,1+INT((AY88-PT_First)/PT_Int)),0))-IF(AQ88="FT",IF(AX88&lt;FT_First,0,IF(AX88&lt;FT_Y5,1+INT((AX88-FT_First)/FT_Int1),FT_PreY5+FT_PerYear*INT((AX88-FT_Y5)/12)+FT_AnnivDays+INT(MOD(AX88-FT_Y5,12)/FT_Int2))),IF(AQ88="PT",IF(AX88&lt;PT_First,0,1+INT((AX88-PT_First)/PT_Int)),0)),0)+IF(AND(AI88&gt;=3,AL88&lt;=PFYDate),IF(AR88="FT",IF(AW88&lt;FT_First,0,IF(AW88&lt;FT_Y5,1+INT((AW88-FT_First)/FT_Int1),FT_PreY5+FT_PerYear*INT((AW88-FT_Y5)/12)+FT_AnnivDays+INT(MOD(AW88-FT_Y5,12)/FT_Int2))),IF(AR88="PT",IF(AW88&lt;PT_First,0,1+INT((AW88-PT_First)/PT_Int)),0))-IF(AR88="FT",IF(AY88&lt;FT_First,0,IF(AY88&lt;FT_Y5,1+INT((AY88-FT_First)/FT_Int1),FT_PreY5+FT_PerYear*INT((AY88-FT_Y5)/12)+FT_AnnivDays+INT(MOD(AY88-FT_Y5,12)/FT_Int2))),IF(AR88="PT",IF(AY88&lt;PT_First,0,1+INT((AY88-PT_First)/PT_Int)),0)),0))</f>
        <v/>
      </c>
      <c r="BB88" s="14" t="str">
        <f aca="false">IF(AG88=0,"",IF(AS88="FT",IF(AT88&lt;FT_First,FT_First,IF(AT88&lt;FT_Y5,MIN(FT_Y5,FT_First+FT_Int1*(INT((AT88-FT_First)/FT_Int1)+1)),FT_Y5+12*INT((AT88-FT_Y5)/12)+FT_Int2*(INT(MOD(AT88-FT_Y5,12)/FT_Int2)+1))),IF(AS88="PT",IF(AT88&lt;PT_First,PT_First,PT_First+PT_Int*(INT((AT88-PT_First)/PT_Int)+1)),"")))</f>
        <v/>
      </c>
      <c r="BC88" s="14" t="str">
        <f aca="false">IF(AG88=0,"",IF(NOT(LH_Ready),0,COUNTIFS(INDEX(LH_Data,0,LH_ColFirst),$A88,INDEX(LH_Data,0,LH_ColSur),$B88,INDEX(LH_Data,0,LH_ColCat),BonusCat)))</f>
        <v/>
      </c>
      <c r="BD88" s="14" t="str">
        <f aca="false">IF(AG88=0,"",IF(OR(NOT(LH_Ready),BC88=0),0,SUMPRODUCT(MAX((INDEX(LH_Data,0,LH_ColFirst)=$A88)*(INDEX(LH_Data,0,LH_ColSur)=$B88)*(INDEX(LH_Data,0,LH_ColCat)=BonusCat)*ROW(LH_Data)))))</f>
        <v/>
      </c>
      <c r="BE88" s="14" t="str">
        <f aca="false">IF(AG88=0,"",IF(EOMONTH(AsOfDate,-1)&lt;AH88,-1,12*(YEAR(EOMONTH(AsOfDate,-1))-YEAR(AH88))+MONTH(EOMONTH(AsOfDate,-1))-MONTH(AH88)-IF(DAY(EOMONTH(AsOfDate,-1))&lt;MIN(DAY(AH88),DAY(EOMONTH(EOMONTH(AsOfDate,-1),0))),1,0)))</f>
        <v/>
      </c>
      <c r="BF88" s="14" t="str">
        <f aca="false">IF(AG88=0,"",IF(OR(AI88&lt;2,AK88&gt;EOMONTH(AsOfDate,-1)),BE88,IF((AK88-1)&lt;AH88,-1,12*(YEAR((AK88-1))-YEAR(AH88))+MONTH((AK88-1))-MONTH(AH88)-IF(DAY((AK88-1))&lt;MIN(DAY(AH88),DAY(EOMONTH((AK88-1),0))),1,0))))</f>
        <v/>
      </c>
      <c r="BG88" s="14" t="str">
        <f aca="false">IF(AG88=0,"",IF(OR(AI88&lt;3,AL88&gt;EOMONTH(AsOfDate,-1)),BE88,IF((AL88-1)&lt;AH88,-1,12*(YEAR((AL88-1))-YEAR(AH88))+MONTH((AL88-1))-MONTH(AH88)-IF(DAY((AL88-1))&lt;MIN(DAY(AH88),DAY(EOMONTH((AL88-1),0))),1,0))))</f>
        <v/>
      </c>
      <c r="BH88" s="14" t="str">
        <f aca="false">IF(AG88=0,"",IF(AP88="FT",IF(BF88&lt;FT_First,0,IF(BF88&lt;FT_Y5,1+INT((BF88-FT_First)/FT_Int1),FT_PreY5+FT_PerYear*INT((BF88-FT_Y5)/12)+FT_AnnivDays+INT(MOD(BF88-FT_Y5,12)/FT_Int2))),IF(AP88="PT",IF(BF88&lt;PT_First,0,1+INT((BF88-PT_First)/PT_Int)),0))+IF(AND(AI88&gt;=2,AK88&lt;=EOMONTH(AsOfDate,-1)),IF(AQ88="FT",IF(BG88&lt;FT_First,0,IF(BG88&lt;FT_Y5,1+INT((BG88-FT_First)/FT_Int1),FT_PreY5+FT_PerYear*INT((BG88-FT_Y5)/12)+FT_AnnivDays+INT(MOD(BG88-FT_Y5,12)/FT_Int2))),IF(AQ88="PT",IF(BG88&lt;PT_First,0,1+INT((BG88-PT_First)/PT_Int)),0))-IF(AQ88="FT",IF(BF88&lt;FT_First,0,IF(BF88&lt;FT_Y5,1+INT((BF88-FT_First)/FT_Int1),FT_PreY5+FT_PerYear*INT((BF88-FT_Y5)/12)+FT_AnnivDays+INT(MOD(BF88-FT_Y5,12)/FT_Int2))),IF(AQ88="PT",IF(BF88&lt;PT_First,0,1+INT((BF88-PT_First)/PT_Int)),0)),0)+IF(AND(AI88&gt;=3,AL88&lt;=EOMONTH(AsOfDate,-1)),IF(AR88="FT",IF(BE88&lt;FT_First,0,IF(BE88&lt;FT_Y5,1+INT((BE88-FT_First)/FT_Int1),FT_PreY5+FT_PerYear*INT((BE88-FT_Y5)/12)+FT_AnnivDays+INT(MOD(BE88-FT_Y5,12)/FT_Int2))),IF(AR88="PT",IF(BE88&lt;PT_First,0,1+INT((BE88-PT_First)/PT_Int)),0))-IF(AR88="FT",IF(BG88&lt;FT_First,0,IF(BG88&lt;FT_Y5,1+INT((BG88-FT_First)/FT_Int1),FT_PreY5+FT_PerYear*INT((BG88-FT_Y5)/12)+FT_AnnivDays+INT(MOD(BG88-FT_Y5,12)/FT_Int2))),IF(AR88="PT",IF(BG88&lt;PT_First,0,1+INT((BG88-PT_First)/PT_Int)),0)),0))</f>
        <v/>
      </c>
      <c r="BI88" s="14" t="str">
        <f aca="false">IF(AG88=0,"",IF(AS88="FT",IF(AT88&lt;FT_First,"",IF(AT88&lt;FT_Y5,FT_First+FT_Int1*INT((AT88-FT_First)/FT_Int1),FT_Y5+FT_Int2*INT((AT88-FT_Y5)/FT_Int2))),IF(AS88="PT",IF(AT88&lt;PT_First,"",PT_First+PT_Int*INT((AT88-PT_First)/PT_Int)),"")))</f>
        <v/>
      </c>
      <c r="BJ88" s="0" t="str">
        <f aca="false">IF(LEN($A88&amp;$B88)=0,"",$A88&amp;" "&amp;$B88)</f>
        <v/>
      </c>
    </row>
    <row r="89" customFormat="false" ht="15" hidden="false" customHeight="false" outlineLevel="0" collapsed="false">
      <c r="A89" s="10"/>
      <c r="B89" s="10"/>
      <c r="C89" s="10"/>
      <c r="D89" s="11"/>
      <c r="E89" s="12" t="str">
        <f aca="false">IF(OR(AG89=0,$D89=""),"",DATE(YEAR(AsOfDate)+IF(DATE(YEAR(AsOfDate),MONTH($D89),DAY($D89))&lt;=AsOfDate,1,0),MONTH($D89),DAY($D89)))</f>
        <v/>
      </c>
      <c r="F89" s="11"/>
      <c r="G89" s="11"/>
      <c r="H89" s="11"/>
      <c r="I89" s="11"/>
      <c r="J89" s="11"/>
      <c r="K89" s="12" t="str">
        <f aca="false">IF(AG89=0,"",DATE(YEAR(AsOfDate)+IF(DATE(YEAR(AsOfDate),MONTH(AH89),DAY(AH89))&lt;=AsOfDate,1,0),MONTH(AH89),DAY(AH89)))</f>
        <v/>
      </c>
      <c r="L89" s="13" t="str">
        <f aca="false">IF(AG89=0,"",ROUND((AsOfDate-AH89)/365.25,1))</f>
        <v/>
      </c>
      <c r="M89" s="14" t="str">
        <f aca="false">IF(AG89=0,"",IF(AsOfDate&lt;AH89,"-",DATEDIF(AH89,AsOfDate,"y")&amp;"y "&amp;DATEDIF(AH89,AsOfDate,"ym")&amp;"m "&amp;DATEDIF(AH89,AsOfDate,"md")&amp;"d"))</f>
        <v/>
      </c>
      <c r="N89" s="15" t="str">
        <f aca="false">IF(AG89=0,"",O89*HoursPerDay)</f>
        <v/>
      </c>
      <c r="O89" s="15" t="str">
        <f aca="false">IF(AG89=0,"",AZ89)</f>
        <v/>
      </c>
      <c r="P89" s="16"/>
      <c r="Q89" s="14" t="str">
        <f aca="false">IF(AG89=0,"",IF(AI89&lt;2,"",AM89&amp;" to "&amp;AN89&amp;" on "&amp;TEXT(AK89,"dd/mm/yyyy")&amp;IF(AK89&gt;AsOfDate," (future)",IF(AP89=AQ89,"",IF(AQ89="None"," - STOPPED accruing",IF(AP89="None"," - commencement for Bonus Leave"," - pathway changed"))))&amp;IF(AI89&lt;3,"","; "&amp;AN89&amp;" to "&amp;AO89&amp;" on "&amp;TEXT(AL89,"dd/mm/yyyy")&amp;IF(AL89&gt;AsOfDate," (future)",IF(AQ89=AR89,"",IF(AR89="None"," - STOPPED accruing",IF(AQ89="None"," - commencement for Bonus Leave"," - pathway changed")))))))</f>
        <v/>
      </c>
      <c r="R89" s="14" t="str">
        <f aca="false">IF(AG89=0,"",IF(AS89="None",IF(O89&gt;0,"No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2" t="str">
        <f aca="false">IF(AG89=0,"",IF(AS89="None","",EDATE(AH89,BB89)))</f>
        <v/>
      </c>
      <c r="T89" s="15" t="str">
        <f aca="false">IF(AG89=0,"",IF(NOT(LH_Ready),"",IF(AH89&gt;PFYDate,0,IF(LH_ColPeriod=0,W89-U89+V89,SUMIFS(INDEX(LH_Data,0,LH_ColAcc),INDEX(LH_Data,0,LH_ColFirst),$A89,INDEX(LH_Data,0,LH_ColSur),$B89,INDEX(LH_Data,0,LH_ColCat),BonusCat,INDEX(LH_Data,0,LH_ColPeriod),LH_OpenLabel)*UnitFactor))))</f>
        <v/>
      </c>
      <c r="U89" s="15" t="str">
        <f aca="false">IF(AG89=0,"",IF(NOT(LH_Ready),"",SUMIFS(INDEX(LH_Data,0,LH_ColAcc),INDEX(LH_Data,0,LH_ColFirst),$A89,INDEX(LH_Data,0,LH_ColSur),$B89,INDEX(LH_Data,0,LH_ColCat),BonusCat,INDEX(LH_Data,0,LH_ColStart),"&gt;="&amp;AH89)*UnitFactor))</f>
        <v/>
      </c>
      <c r="V89" s="15" t="str">
        <f aca="false">IF(AG89=0,"",IF(NOT(LH_Ready),"",SUMIFS(INDEX(LH_Data,0,LH_ColTaken),INDEX(LH_Data,0,LH_ColFirst),$A89,INDEX(LH_Data,0,LH_ColSur),$B89,INDEX(LH_Data,0,LH_ColCat),BonusCat,INDEX(LH_Data,0,LH_ColStart),"&gt;="&amp;AH89)*UnitFactor))</f>
        <v/>
      </c>
      <c r="W89" s="15" t="str">
        <f aca="false">IF(AG89=0,"",IF(NOT(LH_Ready),"",IF(BD89=0,0,INDEX(INDEX(LH_Data,0,LH_ColClose),BD89-1)*UnitFactor)))</f>
        <v/>
      </c>
      <c r="X89" s="15" t="str">
        <f aca="false">IF(AG89=0,"",(AZ89-BA89)*HoursPerDay)</f>
        <v/>
      </c>
      <c r="Y89" s="15" t="str">
        <f aca="false">IF(AG89=0,"",IF(NOT(LH_Ready),"",IF(BC89=0,N89,IF(PFYDate&lt;$F89,N89-N(T89)-N(U89),X89-N(U89)))))</f>
        <v/>
      </c>
      <c r="Z89" s="14" t="str">
        <f aca="false">IF(OR(AG89=0,Y89=""),"",IF(Y89&gt;0,"Yes","No"))</f>
        <v/>
      </c>
      <c r="AA89" s="14" t="str">
        <f aca="false">IF(AG89=0,IF(LEN($A89&amp;$B89)=0,"","FIX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month")&amp;IF(BC89=0,";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EH)",""),IF(AS89="None",R89,"Not yet - first day on "&amp;TEXT(S89,"dd/mm/yyyy")))))))))</f>
        <v/>
      </c>
      <c r="AB89" s="15" t="str">
        <f aca="false">IF(OR(AG89=0,T89=""),"",BA89*HoursPerDay-T89)</f>
        <v/>
      </c>
      <c r="AC89" s="14" t="str">
        <f aca="false">IF(AG89=0,"",BC89)</f>
        <v/>
      </c>
      <c r="AD89" s="14" t="str">
        <f aca="false">IF(AG89=0,"",TRIM(IF(OR(ISTEXT($F89),ISTEXT($H89),ISTEXT($I89),ISTEXT($G89),ISTEXT($J89),ISTEXT($D89)),"A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I89&gt;=1,IF(AI89&gt;=3,AO89,IF(AI89=2,AN89,AM89))&lt;&gt;IF($C89="","",IF(OR(ISNUMBER(SEARCH("full",$C89)),UPPER(TRIM($C89))="FT",UPPER(TRIM($C89))="FTE"),"Full-Time",IF(OR(ISNUMBER(SEARCH("part",$C89)),UPPER(TRIM($C89))="PT",UPPER(TRIM($C89))="PTE"),"Part-Time",IF(OR(ISNUMBER(SEARCH("cas",$C89)),UPPER(TRIM($C89))="CAS"),"Casual","Unknown"))))),"EmploymentType does not match latest start date ("&amp;IF(AI89&gt;=3,AO89,IF(AI89=2,AN89,AM89))&amp;"). ","")&amp;IF(AND(AI89&gt;=1,AJ89&lt;&gt;$F89),"Earliest type date should equal StartDate. ","")&amp;IF(AND(AI89&gt;=2,AJ89=AK89),"Two types start on the same date. ","")&amp;IF(AND(OR(ISNUMBER(SEARCH("part",$C89)),UPPER(TRIM($C89))="PT",UPPER(TRIM($C89))="PTE"),$P89=""),"Part-time: enter PT Hrs/Week (blank = 24+). ","")))</f>
        <v/>
      </c>
      <c r="AE89" s="15" t="str">
        <f aca="false">IF(AG89=0,"",O89-BH89)</f>
        <v/>
      </c>
      <c r="AF89" s="12" t="str">
        <f aca="false">IF(OR(AG89=0,AE89="",N(AE89)=0,BI89=""),"",EDATE(AH89,BI89))</f>
        <v/>
      </c>
      <c r="AG89" s="14" t="n">
        <f aca="false">IF(OR(LEN($A89&amp;$B89)=0,$F89=""),0,1)</f>
        <v>0</v>
      </c>
      <c r="AH89" s="12" t="str">
        <f aca="false">IF(AG89=0,"",IF($J89&lt;&gt;"",$J89,IF(OR(CasualCounts="Yes",COUNT($G89:$I89)=0,COUNT($H89:$I89)=0),$F89,MIN($H89:$I89))))</f>
        <v/>
      </c>
      <c r="AI89" s="14" t="str">
        <f aca="false">IF(AG89=0,"",COUNT($G89:$I89))</f>
        <v/>
      </c>
      <c r="AJ89" s="12" t="str">
        <f aca="false">IF(AG89=0,"",IFERROR(SMALL($G89:$I89,1),""))</f>
        <v/>
      </c>
      <c r="AK89" s="12" t="str">
        <f aca="false">IF(AG89=0,"",IFERROR(SMALL($G89:$I89,2),""))</f>
        <v/>
      </c>
      <c r="AL89" s="12" t="str">
        <f aca="false">IF(AG89=0,"",IFERROR(SMALL($G89:$I89,3),""))</f>
        <v/>
      </c>
      <c r="AM89" s="14" t="str">
        <f aca="false">IF(AG89=0,"",IF(AJ89="","",IF(AJ89=$H89,"Part-Time",IF(AJ89=$I89,"Full-Time","Casual"))))</f>
        <v/>
      </c>
      <c r="AN89" s="14" t="str">
        <f aca="false">IF(AG89=0,"",IF(AK89="","",IF(AK89=$H89,"Part-Time",IF(AK89=$I89,"Full-Time","Casual"))))</f>
        <v/>
      </c>
      <c r="AO89" s="14" t="str">
        <f aca="false">IF(AG89=0,"",IF(AL89="","",IF(AL89=$H89,"Part-Time",IF(AL89=$I89,"Full-Time","Casual"))))</f>
        <v/>
      </c>
      <c r="AP89" s="14" t="str">
        <f aca="false">IF(AG89=0,"",IF(AI89=0,IF(OR(ISNUMBER(SEARCH("full",$C89)),UPPER(TRIM($C89))="FT",UPPER(TRIM($C89))="FTE"),"FT",IF(AND(OR(ISNUMBER(SEARCH("part",$C89)),UPPER(TRIM($C89))="PT",UPPER(TRIM($C89))="PTE"),OR($P89="",N($P89)&gt;=PT_MinHours)),"PT","None")),IF(OR(ISNUMBER(SEARCH("full",AM89)),UPPER(TRIM(AM89))="FT",UPPER(TRIM(AM89))="FTE"),"FT",IF(AND(OR(ISNUMBER(SEARCH("part",AM89)),UPPER(TRIM(AM89))="PT",UPPER(TRIM(AM89))="PTE"),OR($P89="",N($P89)&gt;=PT_MinHours)),"PT","None"))))</f>
        <v/>
      </c>
      <c r="AQ89" s="14" t="str">
        <f aca="false">IF(AG89=0,"",IF(AI89&lt;2,"",IF(OR(ISNUMBER(SEARCH("full",AN89)),UPPER(TRIM(AN89))="FT",UPPER(TRIM(AN89))="FTE"),"FT",IF(AND(OR(ISNUMBER(SEARCH("part",AN89)),UPPER(TRIM(AN89))="PT",UPPER(TRIM(AN89))="PTE"),OR($P89="",N($P89)&gt;=PT_MinHours)),"PT","None"))))</f>
        <v/>
      </c>
      <c r="AR89" s="14" t="str">
        <f aca="false">IF(AG89=0,"",IF(AI89&lt;3,"",IF(OR(ISNUMBER(SEARCH("full",AO89)),UPPER(TRIM(AO89))="FT",UPPER(TRIM(AO89))="FTE"),"FT",IF(AND(OR(ISNUMBER(SEARCH("part",AO89)),UPPER(TRIM(AO89))="PT",UPPER(TRIM(AO89))="PTE"),OR($P89="",N($P89)&gt;=PT_MinHours)),"PT","None"))))</f>
        <v/>
      </c>
      <c r="AS89" s="14" t="str">
        <f aca="false">IF(AG89=0,"",IF(AND(AI89&gt;=3,AL89&lt;=AsOfDate),AR89,IF(AND(AI89&gt;=2,AK89&lt;=AsOfDate),AQ89,AP89)))</f>
        <v/>
      </c>
      <c r="AT89" s="14" t="str">
        <f aca="false">IF(AG89=0,"",IF(AsOfDate&lt;AH89,-1,12*(YEAR(AsOfDate)-YEAR(AH89))+MONTH(AsOfDate)-MONTH(AH89)-IF(DAY(AsOfDate)&lt;MIN(DAY(AH89),DAY(EOMONTH(AsOfDate,0))),1,0)))</f>
        <v/>
      </c>
      <c r="AU89" s="14" t="str">
        <f aca="false">IF(AG89=0,"",IF(OR(AI89&lt;2,AK89&gt;AsOfDate),AT89,IF((AK89-1)&lt;AH89,-1,12*(YEAR((AK89-1))-YEAR(AH89))+MONTH((AK89-1))-MONTH(AH89)-IF(DAY((AK89-1))&lt;MIN(DAY(AH89),DAY(EOMONTH((AK89-1),0))),1,0))))</f>
        <v/>
      </c>
      <c r="AV89" s="14" t="str">
        <f aca="false">IF(AG89=0,"",IF(OR(AI89&lt;3,AL89&gt;AsOfDate),AT89,IF((AL89-1)&lt;AH89,-1,12*(YEAR((AL89-1))-YEAR(AH89))+MONTH((AL89-1))-MONTH(AH89)-IF(DAY((AL89-1))&lt;MIN(DAY(AH89),DAY(EOMONTH((AL89-1),0))),1,0))))</f>
        <v/>
      </c>
      <c r="AW89" s="14" t="str">
        <f aca="false">IF(AG89=0,"",IF(PFYDate&lt;AH89,-1,12*(YEAR(PFYDate)-YEAR(AH89))+MONTH(PFYDate)-MONTH(AH89)-IF(DAY(PFYDate)&lt;MIN(DAY(AH89),DAY(EOMONTH(PFYDate,0))),1,0)))</f>
        <v/>
      </c>
      <c r="AX89" s="14" t="str">
        <f aca="false">IF(AG89=0,"",IF(OR(AI89&lt;2,AK89&gt;PFYDate),AW89,IF((AK89-1)&lt;AH89,-1,12*(YEAR((AK89-1))-YEAR(AH89))+MONTH((AK89-1))-MONTH(AH89)-IF(DAY((AK89-1))&lt;MIN(DAY(AH89),DAY(EOMONTH((AK89-1),0))),1,0))))</f>
        <v/>
      </c>
      <c r="AY89" s="14" t="str">
        <f aca="false">IF(AG89=0,"",IF(OR(AI89&lt;3,AL89&gt;PFYDate),AW89,IF((AL89-1)&lt;AH89,-1,12*(YEAR((AL89-1))-YEAR(AH89))+MONTH((AL89-1))-MONTH(AH89)-IF(DAY((AL89-1))&lt;MIN(DAY(AH89),DAY(EOMONTH((AL89-1),0))),1,0))))</f>
        <v/>
      </c>
      <c r="AZ89" s="14" t="str">
        <f aca="false">IF(AG89=0,"",IF(AP89="FT",IF(AU89&lt;FT_First,0,IF(AU89&lt;FT_Y5,1+INT((AU89-FT_First)/FT_Int1),FT_PreY5+FT_PerYear*INT((AU89-FT_Y5)/12)+FT_AnnivDays+INT(MOD(AU89-FT_Y5,12)/FT_Int2))),IF(AP89="PT",IF(AU89&lt;PT_First,0,1+INT((AU89-PT_First)/PT_Int)),0))+IF(AND(AI89&gt;=2,AK89&lt;=AsOfDate),IF(AQ89="FT",IF(AV89&lt;FT_First,0,IF(AV89&lt;FT_Y5,1+INT((AV89-FT_First)/FT_Int1),FT_PreY5+FT_PerYear*INT((AV89-FT_Y5)/12)+FT_AnnivDays+INT(MOD(AV89-FT_Y5,12)/FT_Int2))),IF(AQ89="PT",IF(AV89&lt;PT_First,0,1+INT((AV89-PT_First)/PT_Int)),0))-IF(AQ89="FT",IF(AU89&lt;FT_First,0,IF(AU89&lt;FT_Y5,1+INT((AU89-FT_First)/FT_Int1),FT_PreY5+FT_PerYear*INT((AU89-FT_Y5)/12)+FT_AnnivDays+INT(MOD(AU89-FT_Y5,12)/FT_Int2))),IF(AQ89="PT",IF(AU89&lt;PT_First,0,1+INT((AU89-PT_First)/PT_Int)),0)),0)+IF(AND(AI89&gt;=3,AL89&lt;=AsOfDate),IF(AR89="FT",IF(AT89&lt;FT_First,0,IF(AT89&lt;FT_Y5,1+INT((AT89-FT_First)/FT_Int1),FT_PreY5+FT_PerYear*INT((AT89-FT_Y5)/12)+FT_AnnivDays+INT(MOD(AT89-FT_Y5,12)/FT_Int2))),IF(AR89="PT",IF(AT89&lt;PT_First,0,1+INT((AT89-PT_First)/PT_Int)),0))-IF(AR89="FT",IF(AV89&lt;FT_First,0,IF(AV89&lt;FT_Y5,1+INT((AV89-FT_First)/FT_Int1),FT_PreY5+FT_PerYear*INT((AV89-FT_Y5)/12)+FT_AnnivDays+INT(MOD(AV89-FT_Y5,12)/FT_Int2))),IF(AR89="PT",IF(AV89&lt;PT_First,0,1+INT((AV89-PT_First)/PT_Int)),0)),0))</f>
        <v/>
      </c>
      <c r="BA89" s="14" t="str">
        <f aca="false">IF(AG89=0,"",IF(AP89="FT",IF(AX89&lt;FT_First,0,IF(AX89&lt;FT_Y5,1+INT((AX89-FT_First)/FT_Int1),FT_PreY5+FT_PerYear*INT((AX89-FT_Y5)/12)+FT_AnnivDays+INT(MOD(AX89-FT_Y5,12)/FT_Int2))),IF(AP89="PT",IF(AX89&lt;PT_First,0,1+INT((AX89-PT_First)/PT_Int)),0))+IF(AND(AI89&gt;=2,AK89&lt;=PFYDate),IF(AQ89="FT",IF(AY89&lt;FT_First,0,IF(AY89&lt;FT_Y5,1+INT((AY89-FT_First)/FT_Int1),FT_PreY5+FT_PerYear*INT((AY89-FT_Y5)/12)+FT_AnnivDays+INT(MOD(AY89-FT_Y5,12)/FT_Int2))),IF(AQ89="PT",IF(AY89&lt;PT_First,0,1+INT((AY89-PT_First)/PT_Int)),0))-IF(AQ89="FT",IF(AX89&lt;FT_First,0,IF(AX89&lt;FT_Y5,1+INT((AX89-FT_First)/FT_Int1),FT_PreY5+FT_PerYear*INT((AX89-FT_Y5)/12)+FT_AnnivDays+INT(MOD(AX89-FT_Y5,12)/FT_Int2))),IF(AQ89="PT",IF(AX89&lt;PT_First,0,1+INT((AX89-PT_First)/PT_Int)),0)),0)+IF(AND(AI89&gt;=3,AL89&lt;=PFYDate),IF(AR89="FT",IF(AW89&lt;FT_First,0,IF(AW89&lt;FT_Y5,1+INT((AW89-FT_First)/FT_Int1),FT_PreY5+FT_PerYear*INT((AW89-FT_Y5)/12)+FT_AnnivDays+INT(MOD(AW89-FT_Y5,12)/FT_Int2))),IF(AR89="PT",IF(AW89&lt;PT_First,0,1+INT((AW89-PT_First)/PT_Int)),0))-IF(AR89="FT",IF(AY89&lt;FT_First,0,IF(AY89&lt;FT_Y5,1+INT((AY89-FT_First)/FT_Int1),FT_PreY5+FT_PerYear*INT((AY89-FT_Y5)/12)+FT_AnnivDays+INT(MOD(AY89-FT_Y5,12)/FT_Int2))),IF(AR89="PT",IF(AY89&lt;PT_First,0,1+INT((AY89-PT_First)/PT_Int)),0)),0))</f>
        <v/>
      </c>
      <c r="BB89" s="14" t="str">
        <f aca="false">IF(AG89=0,"",IF(AS89="FT",IF(AT89&lt;FT_First,FT_First,IF(AT89&lt;FT_Y5,MIN(FT_Y5,FT_First+FT_Int1*(INT((AT89-FT_First)/FT_Int1)+1)),FT_Y5+12*INT((AT89-FT_Y5)/12)+FT_Int2*(INT(MOD(AT89-FT_Y5,12)/FT_Int2)+1))),IF(AS89="PT",IF(AT89&lt;PT_First,PT_First,PT_First+PT_Int*(INT((AT89-PT_First)/PT_Int)+1)),"")))</f>
        <v/>
      </c>
      <c r="BC89" s="14" t="str">
        <f aca="false">IF(AG89=0,"",IF(NOT(LH_Ready),0,COUNTIFS(INDEX(LH_Data,0,LH_ColFirst),$A89,INDEX(LH_Data,0,LH_ColSur),$B89,INDEX(LH_Data,0,LH_ColCat),BonusCat)))</f>
        <v/>
      </c>
      <c r="BD89" s="14" t="str">
        <f aca="false">IF(AG89=0,"",IF(OR(NOT(LH_Ready),BC89=0),0,SUMPRODUCT(MAX((INDEX(LH_Data,0,LH_ColFirst)=$A89)*(INDEX(LH_Data,0,LH_ColSur)=$B89)*(INDEX(LH_Data,0,LH_ColCat)=BonusCat)*ROW(LH_Data)))))</f>
        <v/>
      </c>
      <c r="BE89" s="14" t="str">
        <f aca="false">IF(AG89=0,"",IF(EOMONTH(AsOfDate,-1)&lt;AH89,-1,12*(YEAR(EOMONTH(AsOfDate,-1))-YEAR(AH89))+MONTH(EOMONTH(AsOfDate,-1))-MONTH(AH89)-IF(DAY(EOMONTH(AsOfDate,-1))&lt;MIN(DAY(AH89),DAY(EOMONTH(EOMONTH(AsOfDate,-1),0))),1,0)))</f>
        <v/>
      </c>
      <c r="BF89" s="14" t="str">
        <f aca="false">IF(AG89=0,"",IF(OR(AI89&lt;2,AK89&gt;EOMONTH(AsOfDate,-1)),BE89,IF((AK89-1)&lt;AH89,-1,12*(YEAR((AK89-1))-YEAR(AH89))+MONTH((AK89-1))-MONTH(AH89)-IF(DAY((AK89-1))&lt;MIN(DAY(AH89),DAY(EOMONTH((AK89-1),0))),1,0))))</f>
        <v/>
      </c>
      <c r="BG89" s="14" t="str">
        <f aca="false">IF(AG89=0,"",IF(OR(AI89&lt;3,AL89&gt;EOMONTH(AsOfDate,-1)),BE89,IF((AL89-1)&lt;AH89,-1,12*(YEAR((AL89-1))-YEAR(AH89))+MONTH((AL89-1))-MONTH(AH89)-IF(DAY((AL89-1))&lt;MIN(DAY(AH89),DAY(EOMONTH((AL89-1),0))),1,0))))</f>
        <v/>
      </c>
      <c r="BH89" s="14" t="str">
        <f aca="false">IF(AG89=0,"",IF(AP89="FT",IF(BF89&lt;FT_First,0,IF(BF89&lt;FT_Y5,1+INT((BF89-FT_First)/FT_Int1),FT_PreY5+FT_PerYear*INT((BF89-FT_Y5)/12)+FT_AnnivDays+INT(MOD(BF89-FT_Y5,12)/FT_Int2))),IF(AP89="PT",IF(BF89&lt;PT_First,0,1+INT((BF89-PT_First)/PT_Int)),0))+IF(AND(AI89&gt;=2,AK89&lt;=EOMONTH(AsOfDate,-1)),IF(AQ89="FT",IF(BG89&lt;FT_First,0,IF(BG89&lt;FT_Y5,1+INT((BG89-FT_First)/FT_Int1),FT_PreY5+FT_PerYear*INT((BG89-FT_Y5)/12)+FT_AnnivDays+INT(MOD(BG89-FT_Y5,12)/FT_Int2))),IF(AQ89="PT",IF(BG89&lt;PT_First,0,1+INT((BG89-PT_First)/PT_Int)),0))-IF(AQ89="FT",IF(BF89&lt;FT_First,0,IF(BF89&lt;FT_Y5,1+INT((BF89-FT_First)/FT_Int1),FT_PreY5+FT_PerYear*INT((BF89-FT_Y5)/12)+FT_AnnivDays+INT(MOD(BF89-FT_Y5,12)/FT_Int2))),IF(AQ89="PT",IF(BF89&lt;PT_First,0,1+INT((BF89-PT_First)/PT_Int)),0)),0)+IF(AND(AI89&gt;=3,AL89&lt;=EOMONTH(AsOfDate,-1)),IF(AR89="FT",IF(BE89&lt;FT_First,0,IF(BE89&lt;FT_Y5,1+INT((BE89-FT_First)/FT_Int1),FT_PreY5+FT_PerYear*INT((BE89-FT_Y5)/12)+FT_AnnivDays+INT(MOD(BE89-FT_Y5,12)/FT_Int2))),IF(AR89="PT",IF(BE89&lt;PT_First,0,1+INT((BE89-PT_First)/PT_Int)),0))-IF(AR89="FT",IF(BG89&lt;FT_First,0,IF(BG89&lt;FT_Y5,1+INT((BG89-FT_First)/FT_Int1),FT_PreY5+FT_PerYear*INT((BG89-FT_Y5)/12)+FT_AnnivDays+INT(MOD(BG89-FT_Y5,12)/FT_Int2))),IF(AR89="PT",IF(BG89&lt;PT_First,0,1+INT((BG89-PT_First)/PT_Int)),0)),0))</f>
        <v/>
      </c>
      <c r="BI89" s="14" t="str">
        <f aca="false">IF(AG89=0,"",IF(AS89="FT",IF(AT89&lt;FT_First,"",IF(AT89&lt;FT_Y5,FT_First+FT_Int1*INT((AT89-FT_First)/FT_Int1),FT_Y5+FT_Int2*INT((AT89-FT_Y5)/FT_Int2))),IF(AS89="PT",IF(AT89&lt;PT_First,"",PT_First+PT_Int*INT((AT89-PT_First)/PT_Int)),"")))</f>
        <v/>
      </c>
      <c r="BJ89" s="0" t="str">
        <f aca="false">IF(LEN($A89&amp;$B89)=0,"",$A89&amp;" "&amp;$B89)</f>
        <v/>
      </c>
    </row>
    <row r="90" customFormat="false" ht="15" hidden="false" customHeight="false" outlineLevel="0" collapsed="false">
      <c r="A90" s="10"/>
      <c r="B90" s="10"/>
      <c r="C90" s="10"/>
      <c r="D90" s="11"/>
      <c r="E90" s="12" t="str">
        <f aca="false">IF(OR(AG90=0,$D90=""),"",DATE(YEAR(AsOfDate)+IF(DATE(YEAR(AsOfDate),MONTH($D90),DAY($D90))&lt;=AsOfDate,1,0),MONTH($D90),DAY($D90)))</f>
        <v/>
      </c>
      <c r="F90" s="11"/>
      <c r="G90" s="11"/>
      <c r="H90" s="11"/>
      <c r="I90" s="11"/>
      <c r="J90" s="11"/>
      <c r="K90" s="12" t="str">
        <f aca="false">IF(AG90=0,"",DATE(YEAR(AsOfDate)+IF(DATE(YEAR(AsOfDate),MONTH(AH90),DAY(AH90))&lt;=AsOfDate,1,0),MONTH(AH90),DAY(AH90)))</f>
        <v/>
      </c>
      <c r="L90" s="13" t="str">
        <f aca="false">IF(AG90=0,"",ROUND((AsOfDate-AH90)/365.25,1))</f>
        <v/>
      </c>
      <c r="M90" s="14" t="str">
        <f aca="false">IF(AG90=0,"",IF(AsOfDate&lt;AH90,"-",DATEDIF(AH90,AsOfDate,"y")&amp;"y "&amp;DATEDIF(AH90,AsOfDate,"ym")&amp;"m "&amp;DATEDIF(AH90,AsOfDate,"md")&amp;"d"))</f>
        <v/>
      </c>
      <c r="N90" s="15" t="str">
        <f aca="false">IF(AG90=0,"",O90*HoursPerDay)</f>
        <v/>
      </c>
      <c r="O90" s="15" t="str">
        <f aca="false">IF(AG90=0,"",AZ90)</f>
        <v/>
      </c>
      <c r="P90" s="16"/>
      <c r="Q90" s="14" t="str">
        <f aca="false">IF(AG90=0,"",IF(AI90&lt;2,"",AM90&amp;" to "&amp;AN90&amp;" on "&amp;TEXT(AK90,"dd/mm/yyyy")&amp;IF(AK90&gt;AsOfDate," (future)",IF(AP90=AQ90,"",IF(AQ90="None"," - STOPPED accruing",IF(AP90="None"," - commencement for Bonus Leave"," - pathway changed"))))&amp;IF(AI90&lt;3,"","; "&amp;AN90&amp;" to "&amp;AO90&amp;" on "&amp;TEXT(AL90,"dd/mm/yyyy")&amp;IF(AL90&gt;AsOfDate," (future)",IF(AQ90=AR90,"",IF(AR90="None"," - STOPPED accruing",IF(AQ90="None"," - commencement for Bonus Leave"," - pathway changed")))))))</f>
        <v/>
      </c>
      <c r="R90" s="14" t="str">
        <f aca="false">IF(AG90=0,"",IF(AS90="None",IF(O90&gt;0,"No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2" t="str">
        <f aca="false">IF(AG90=0,"",IF(AS90="None","",EDATE(AH90,BB90)))</f>
        <v/>
      </c>
      <c r="T90" s="15" t="str">
        <f aca="false">IF(AG90=0,"",IF(NOT(LH_Ready),"",IF(AH90&gt;PFYDate,0,IF(LH_ColPeriod=0,W90-U90+V90,SUMIFS(INDEX(LH_Data,0,LH_ColAcc),INDEX(LH_Data,0,LH_ColFirst),$A90,INDEX(LH_Data,0,LH_ColSur),$B90,INDEX(LH_Data,0,LH_ColCat),BonusCat,INDEX(LH_Data,0,LH_ColPeriod),LH_OpenLabel)*UnitFactor))))</f>
        <v/>
      </c>
      <c r="U90" s="15" t="str">
        <f aca="false">IF(AG90=0,"",IF(NOT(LH_Ready),"",SUMIFS(INDEX(LH_Data,0,LH_ColAcc),INDEX(LH_Data,0,LH_ColFirst),$A90,INDEX(LH_Data,0,LH_ColSur),$B90,INDEX(LH_Data,0,LH_ColCat),BonusCat,INDEX(LH_Data,0,LH_ColStart),"&gt;="&amp;AH90)*UnitFactor))</f>
        <v/>
      </c>
      <c r="V90" s="15" t="str">
        <f aca="false">IF(AG90=0,"",IF(NOT(LH_Ready),"",SUMIFS(INDEX(LH_Data,0,LH_ColTaken),INDEX(LH_Data,0,LH_ColFirst),$A90,INDEX(LH_Data,0,LH_ColSur),$B90,INDEX(LH_Data,0,LH_ColCat),BonusCat,INDEX(LH_Data,0,LH_ColStart),"&gt;="&amp;AH90)*UnitFactor))</f>
        <v/>
      </c>
      <c r="W90" s="15" t="str">
        <f aca="false">IF(AG90=0,"",IF(NOT(LH_Ready),"",IF(BD90=0,0,INDEX(INDEX(LH_Data,0,LH_ColClose),BD90-1)*UnitFactor)))</f>
        <v/>
      </c>
      <c r="X90" s="15" t="str">
        <f aca="false">IF(AG90=0,"",(AZ90-BA90)*HoursPerDay)</f>
        <v/>
      </c>
      <c r="Y90" s="15" t="str">
        <f aca="false">IF(AG90=0,"",IF(NOT(LH_Ready),"",IF(BC90=0,N90,IF(PFYDate&lt;$F90,N90-N(T90)-N(U90),X90-N(U90)))))</f>
        <v/>
      </c>
      <c r="Z90" s="14" t="str">
        <f aca="false">IF(OR(AG90=0,Y90=""),"",IF(Y90&gt;0,"Yes","No"))</f>
        <v/>
      </c>
      <c r="AA90" s="14" t="str">
        <f aca="false">IF(AG90=0,IF(LEN($A90&amp;$B90)=0,"","FIX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month")&amp;IF(BC90=0,";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EH)",""),IF(AS90="None",R90,"Not yet - first day on "&amp;TEXT(S90,"dd/mm/yyyy")))))))))</f>
        <v/>
      </c>
      <c r="AB90" s="15" t="str">
        <f aca="false">IF(OR(AG90=0,T90=""),"",BA90*HoursPerDay-T90)</f>
        <v/>
      </c>
      <c r="AC90" s="14" t="str">
        <f aca="false">IF(AG90=0,"",BC90)</f>
        <v/>
      </c>
      <c r="AD90" s="14" t="str">
        <f aca="false">IF(AG90=0,"",TRIM(IF(OR(ISTEXT($F90),ISTEXT($H90),ISTEXT($I90),ISTEXT($G90),ISTEXT($J90),ISTEXT($D90)),"A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I90&gt;=1,IF(AI90&gt;=3,AO90,IF(AI90=2,AN90,AM90))&lt;&gt;IF($C90="","",IF(OR(ISNUMBER(SEARCH("full",$C90)),UPPER(TRIM($C90))="FT",UPPER(TRIM($C90))="FTE"),"Full-Time",IF(OR(ISNUMBER(SEARCH("part",$C90)),UPPER(TRIM($C90))="PT",UPPER(TRIM($C90))="PTE"),"Part-Time",IF(OR(ISNUMBER(SEARCH("cas",$C90)),UPPER(TRIM($C90))="CAS"),"Casual","Unknown"))))),"EmploymentType does not match latest start date ("&amp;IF(AI90&gt;=3,AO90,IF(AI90=2,AN90,AM90))&amp;"). ","")&amp;IF(AND(AI90&gt;=1,AJ90&lt;&gt;$F90),"Earliest type date should equal StartDate. ","")&amp;IF(AND(AI90&gt;=2,AJ90=AK90),"Two types start on the same date. ","")&amp;IF(AND(OR(ISNUMBER(SEARCH("part",$C90)),UPPER(TRIM($C90))="PT",UPPER(TRIM($C90))="PTE"),$P90=""),"Part-time: enter PT Hrs/Week (blank = 24+). ","")))</f>
        <v/>
      </c>
      <c r="AE90" s="15" t="str">
        <f aca="false">IF(AG90=0,"",O90-BH90)</f>
        <v/>
      </c>
      <c r="AF90" s="12" t="str">
        <f aca="false">IF(OR(AG90=0,AE90="",N(AE90)=0,BI90=""),"",EDATE(AH90,BI90))</f>
        <v/>
      </c>
      <c r="AG90" s="14" t="n">
        <f aca="false">IF(OR(LEN($A90&amp;$B90)=0,$F90=""),0,1)</f>
        <v>0</v>
      </c>
      <c r="AH90" s="12" t="str">
        <f aca="false">IF(AG90=0,"",IF($J90&lt;&gt;"",$J90,IF(OR(CasualCounts="Yes",COUNT($G90:$I90)=0,COUNT($H90:$I90)=0),$F90,MIN($H90:$I90))))</f>
        <v/>
      </c>
      <c r="AI90" s="14" t="str">
        <f aca="false">IF(AG90=0,"",COUNT($G90:$I90))</f>
        <v/>
      </c>
      <c r="AJ90" s="12" t="str">
        <f aca="false">IF(AG90=0,"",IFERROR(SMALL($G90:$I90,1),""))</f>
        <v/>
      </c>
      <c r="AK90" s="12" t="str">
        <f aca="false">IF(AG90=0,"",IFERROR(SMALL($G90:$I90,2),""))</f>
        <v/>
      </c>
      <c r="AL90" s="12" t="str">
        <f aca="false">IF(AG90=0,"",IFERROR(SMALL($G90:$I90,3),""))</f>
        <v/>
      </c>
      <c r="AM90" s="14" t="str">
        <f aca="false">IF(AG90=0,"",IF(AJ90="","",IF(AJ90=$H90,"Part-Time",IF(AJ90=$I90,"Full-Time","Casual"))))</f>
        <v/>
      </c>
      <c r="AN90" s="14" t="str">
        <f aca="false">IF(AG90=0,"",IF(AK90="","",IF(AK90=$H90,"Part-Time",IF(AK90=$I90,"Full-Time","Casual"))))</f>
        <v/>
      </c>
      <c r="AO90" s="14" t="str">
        <f aca="false">IF(AG90=0,"",IF(AL90="","",IF(AL90=$H90,"Part-Time",IF(AL90=$I90,"Full-Time","Casual"))))</f>
        <v/>
      </c>
      <c r="AP90" s="14" t="str">
        <f aca="false">IF(AG90=0,"",IF(AI90=0,IF(OR(ISNUMBER(SEARCH("full",$C90)),UPPER(TRIM($C90))="FT",UPPER(TRIM($C90))="FTE"),"FT",IF(AND(OR(ISNUMBER(SEARCH("part",$C90)),UPPER(TRIM($C90))="PT",UPPER(TRIM($C90))="PTE"),OR($P90="",N($P90)&gt;=PT_MinHours)),"PT","None")),IF(OR(ISNUMBER(SEARCH("full",AM90)),UPPER(TRIM(AM90))="FT",UPPER(TRIM(AM90))="FTE"),"FT",IF(AND(OR(ISNUMBER(SEARCH("part",AM90)),UPPER(TRIM(AM90))="PT",UPPER(TRIM(AM90))="PTE"),OR($P90="",N($P90)&gt;=PT_MinHours)),"PT","None"))))</f>
        <v/>
      </c>
      <c r="AQ90" s="14" t="str">
        <f aca="false">IF(AG90=0,"",IF(AI90&lt;2,"",IF(OR(ISNUMBER(SEARCH("full",AN90)),UPPER(TRIM(AN90))="FT",UPPER(TRIM(AN90))="FTE"),"FT",IF(AND(OR(ISNUMBER(SEARCH("part",AN90)),UPPER(TRIM(AN90))="PT",UPPER(TRIM(AN90))="PTE"),OR($P90="",N($P90)&gt;=PT_MinHours)),"PT","None"))))</f>
        <v/>
      </c>
      <c r="AR90" s="14" t="str">
        <f aca="false">IF(AG90=0,"",IF(AI90&lt;3,"",IF(OR(ISNUMBER(SEARCH("full",AO90)),UPPER(TRIM(AO90))="FT",UPPER(TRIM(AO90))="FTE"),"FT",IF(AND(OR(ISNUMBER(SEARCH("part",AO90)),UPPER(TRIM(AO90))="PT",UPPER(TRIM(AO90))="PTE"),OR($P90="",N($P90)&gt;=PT_MinHours)),"PT","None"))))</f>
        <v/>
      </c>
      <c r="AS90" s="14" t="str">
        <f aca="false">IF(AG90=0,"",IF(AND(AI90&gt;=3,AL90&lt;=AsOfDate),AR90,IF(AND(AI90&gt;=2,AK90&lt;=AsOfDate),AQ90,AP90)))</f>
        <v/>
      </c>
      <c r="AT90" s="14" t="str">
        <f aca="false">IF(AG90=0,"",IF(AsOfDate&lt;AH90,-1,12*(YEAR(AsOfDate)-YEAR(AH90))+MONTH(AsOfDate)-MONTH(AH90)-IF(DAY(AsOfDate)&lt;MIN(DAY(AH90),DAY(EOMONTH(AsOfDate,0))),1,0)))</f>
        <v/>
      </c>
      <c r="AU90" s="14" t="str">
        <f aca="false">IF(AG90=0,"",IF(OR(AI90&lt;2,AK90&gt;AsOfDate),AT90,IF((AK90-1)&lt;AH90,-1,12*(YEAR((AK90-1))-YEAR(AH90))+MONTH((AK90-1))-MONTH(AH90)-IF(DAY((AK90-1))&lt;MIN(DAY(AH90),DAY(EOMONTH((AK90-1),0))),1,0))))</f>
        <v/>
      </c>
      <c r="AV90" s="14" t="str">
        <f aca="false">IF(AG90=0,"",IF(OR(AI90&lt;3,AL90&gt;AsOfDate),AT90,IF((AL90-1)&lt;AH90,-1,12*(YEAR((AL90-1))-YEAR(AH90))+MONTH((AL90-1))-MONTH(AH90)-IF(DAY((AL90-1))&lt;MIN(DAY(AH90),DAY(EOMONTH((AL90-1),0))),1,0))))</f>
        <v/>
      </c>
      <c r="AW90" s="14" t="str">
        <f aca="false">IF(AG90=0,"",IF(PFYDate&lt;AH90,-1,12*(YEAR(PFYDate)-YEAR(AH90))+MONTH(PFYDate)-MONTH(AH90)-IF(DAY(PFYDate)&lt;MIN(DAY(AH90),DAY(EOMONTH(PFYDate,0))),1,0)))</f>
        <v/>
      </c>
      <c r="AX90" s="14" t="str">
        <f aca="false">IF(AG90=0,"",IF(OR(AI90&lt;2,AK90&gt;PFYDate),AW90,IF((AK90-1)&lt;AH90,-1,12*(YEAR((AK90-1))-YEAR(AH90))+MONTH((AK90-1))-MONTH(AH90)-IF(DAY((AK90-1))&lt;MIN(DAY(AH90),DAY(EOMONTH((AK90-1),0))),1,0))))</f>
        <v/>
      </c>
      <c r="AY90" s="14" t="str">
        <f aca="false">IF(AG90=0,"",IF(OR(AI90&lt;3,AL90&gt;PFYDate),AW90,IF((AL90-1)&lt;AH90,-1,12*(YEAR((AL90-1))-YEAR(AH90))+MONTH((AL90-1))-MONTH(AH90)-IF(DAY((AL90-1))&lt;MIN(DAY(AH90),DAY(EOMONTH((AL90-1),0))),1,0))))</f>
        <v/>
      </c>
      <c r="AZ90" s="14" t="str">
        <f aca="false">IF(AG90=0,"",IF(AP90="FT",IF(AU90&lt;FT_First,0,IF(AU90&lt;FT_Y5,1+INT((AU90-FT_First)/FT_Int1),FT_PreY5+FT_PerYear*INT((AU90-FT_Y5)/12)+FT_AnnivDays+INT(MOD(AU90-FT_Y5,12)/FT_Int2))),IF(AP90="PT",IF(AU90&lt;PT_First,0,1+INT((AU90-PT_First)/PT_Int)),0))+IF(AND(AI90&gt;=2,AK90&lt;=AsOfDate),IF(AQ90="FT",IF(AV90&lt;FT_First,0,IF(AV90&lt;FT_Y5,1+INT((AV90-FT_First)/FT_Int1),FT_PreY5+FT_PerYear*INT((AV90-FT_Y5)/12)+FT_AnnivDays+INT(MOD(AV90-FT_Y5,12)/FT_Int2))),IF(AQ90="PT",IF(AV90&lt;PT_First,0,1+INT((AV90-PT_First)/PT_Int)),0))-IF(AQ90="FT",IF(AU90&lt;FT_First,0,IF(AU90&lt;FT_Y5,1+INT((AU90-FT_First)/FT_Int1),FT_PreY5+FT_PerYear*INT((AU90-FT_Y5)/12)+FT_AnnivDays+INT(MOD(AU90-FT_Y5,12)/FT_Int2))),IF(AQ90="PT",IF(AU90&lt;PT_First,0,1+INT((AU90-PT_First)/PT_Int)),0)),0)+IF(AND(AI90&gt;=3,AL90&lt;=AsOfDate),IF(AR90="FT",IF(AT90&lt;FT_First,0,IF(AT90&lt;FT_Y5,1+INT((AT90-FT_First)/FT_Int1),FT_PreY5+FT_PerYear*INT((AT90-FT_Y5)/12)+FT_AnnivDays+INT(MOD(AT90-FT_Y5,12)/FT_Int2))),IF(AR90="PT",IF(AT90&lt;PT_First,0,1+INT((AT90-PT_First)/PT_Int)),0))-IF(AR90="FT",IF(AV90&lt;FT_First,0,IF(AV90&lt;FT_Y5,1+INT((AV90-FT_First)/FT_Int1),FT_PreY5+FT_PerYear*INT((AV90-FT_Y5)/12)+FT_AnnivDays+INT(MOD(AV90-FT_Y5,12)/FT_Int2))),IF(AR90="PT",IF(AV90&lt;PT_First,0,1+INT((AV90-PT_First)/PT_Int)),0)),0))</f>
        <v/>
      </c>
      <c r="BA90" s="14" t="str">
        <f aca="false">IF(AG90=0,"",IF(AP90="FT",IF(AX90&lt;FT_First,0,IF(AX90&lt;FT_Y5,1+INT((AX90-FT_First)/FT_Int1),FT_PreY5+FT_PerYear*INT((AX90-FT_Y5)/12)+FT_AnnivDays+INT(MOD(AX90-FT_Y5,12)/FT_Int2))),IF(AP90="PT",IF(AX90&lt;PT_First,0,1+INT((AX90-PT_First)/PT_Int)),0))+IF(AND(AI90&gt;=2,AK90&lt;=PFYDate),IF(AQ90="FT",IF(AY90&lt;FT_First,0,IF(AY90&lt;FT_Y5,1+INT((AY90-FT_First)/FT_Int1),FT_PreY5+FT_PerYear*INT((AY90-FT_Y5)/12)+FT_AnnivDays+INT(MOD(AY90-FT_Y5,12)/FT_Int2))),IF(AQ90="PT",IF(AY90&lt;PT_First,0,1+INT((AY90-PT_First)/PT_Int)),0))-IF(AQ90="FT",IF(AX90&lt;FT_First,0,IF(AX90&lt;FT_Y5,1+INT((AX90-FT_First)/FT_Int1),FT_PreY5+FT_PerYear*INT((AX90-FT_Y5)/12)+FT_AnnivDays+INT(MOD(AX90-FT_Y5,12)/FT_Int2))),IF(AQ90="PT",IF(AX90&lt;PT_First,0,1+INT((AX90-PT_First)/PT_Int)),0)),0)+IF(AND(AI90&gt;=3,AL90&lt;=PFYDate),IF(AR90="FT",IF(AW90&lt;FT_First,0,IF(AW90&lt;FT_Y5,1+INT((AW90-FT_First)/FT_Int1),FT_PreY5+FT_PerYear*INT((AW90-FT_Y5)/12)+FT_AnnivDays+INT(MOD(AW90-FT_Y5,12)/FT_Int2))),IF(AR90="PT",IF(AW90&lt;PT_First,0,1+INT((AW90-PT_First)/PT_Int)),0))-IF(AR90="FT",IF(AY90&lt;FT_First,0,IF(AY90&lt;FT_Y5,1+INT((AY90-FT_First)/FT_Int1),FT_PreY5+FT_PerYear*INT((AY90-FT_Y5)/12)+FT_AnnivDays+INT(MOD(AY90-FT_Y5,12)/FT_Int2))),IF(AR90="PT",IF(AY90&lt;PT_First,0,1+INT((AY90-PT_First)/PT_Int)),0)),0))</f>
        <v/>
      </c>
      <c r="BB90" s="14" t="str">
        <f aca="false">IF(AG90=0,"",IF(AS90="FT",IF(AT90&lt;FT_First,FT_First,IF(AT90&lt;FT_Y5,MIN(FT_Y5,FT_First+FT_Int1*(INT((AT90-FT_First)/FT_Int1)+1)),FT_Y5+12*INT((AT90-FT_Y5)/12)+FT_Int2*(INT(MOD(AT90-FT_Y5,12)/FT_Int2)+1))),IF(AS90="PT",IF(AT90&lt;PT_First,PT_First,PT_First+PT_Int*(INT((AT90-PT_First)/PT_Int)+1)),"")))</f>
        <v/>
      </c>
      <c r="BC90" s="14" t="str">
        <f aca="false">IF(AG90=0,"",IF(NOT(LH_Ready),0,COUNTIFS(INDEX(LH_Data,0,LH_ColFirst),$A90,INDEX(LH_Data,0,LH_ColSur),$B90,INDEX(LH_Data,0,LH_ColCat),BonusCat)))</f>
        <v/>
      </c>
      <c r="BD90" s="14" t="str">
        <f aca="false">IF(AG90=0,"",IF(OR(NOT(LH_Ready),BC90=0),0,SUMPRODUCT(MAX((INDEX(LH_Data,0,LH_ColFirst)=$A90)*(INDEX(LH_Data,0,LH_ColSur)=$B90)*(INDEX(LH_Data,0,LH_ColCat)=BonusCat)*ROW(LH_Data)))))</f>
        <v/>
      </c>
      <c r="BE90" s="14" t="str">
        <f aca="false">IF(AG90=0,"",IF(EOMONTH(AsOfDate,-1)&lt;AH90,-1,12*(YEAR(EOMONTH(AsOfDate,-1))-YEAR(AH90))+MONTH(EOMONTH(AsOfDate,-1))-MONTH(AH90)-IF(DAY(EOMONTH(AsOfDate,-1))&lt;MIN(DAY(AH90),DAY(EOMONTH(EOMONTH(AsOfDate,-1),0))),1,0)))</f>
        <v/>
      </c>
      <c r="BF90" s="14" t="str">
        <f aca="false">IF(AG90=0,"",IF(OR(AI90&lt;2,AK90&gt;EOMONTH(AsOfDate,-1)),BE90,IF((AK90-1)&lt;AH90,-1,12*(YEAR((AK90-1))-YEAR(AH90))+MONTH((AK90-1))-MONTH(AH90)-IF(DAY((AK90-1))&lt;MIN(DAY(AH90),DAY(EOMONTH((AK90-1),0))),1,0))))</f>
        <v/>
      </c>
      <c r="BG90" s="14" t="str">
        <f aca="false">IF(AG90=0,"",IF(OR(AI90&lt;3,AL90&gt;EOMONTH(AsOfDate,-1)),BE90,IF((AL90-1)&lt;AH90,-1,12*(YEAR((AL90-1))-YEAR(AH90))+MONTH((AL90-1))-MONTH(AH90)-IF(DAY((AL90-1))&lt;MIN(DAY(AH90),DAY(EOMONTH((AL90-1),0))),1,0))))</f>
        <v/>
      </c>
      <c r="BH90" s="14" t="str">
        <f aca="false">IF(AG90=0,"",IF(AP90="FT",IF(BF90&lt;FT_First,0,IF(BF90&lt;FT_Y5,1+INT((BF90-FT_First)/FT_Int1),FT_PreY5+FT_PerYear*INT((BF90-FT_Y5)/12)+FT_AnnivDays+INT(MOD(BF90-FT_Y5,12)/FT_Int2))),IF(AP90="PT",IF(BF90&lt;PT_First,0,1+INT((BF90-PT_First)/PT_Int)),0))+IF(AND(AI90&gt;=2,AK90&lt;=EOMONTH(AsOfDate,-1)),IF(AQ90="FT",IF(BG90&lt;FT_First,0,IF(BG90&lt;FT_Y5,1+INT((BG90-FT_First)/FT_Int1),FT_PreY5+FT_PerYear*INT((BG90-FT_Y5)/12)+FT_AnnivDays+INT(MOD(BG90-FT_Y5,12)/FT_Int2))),IF(AQ90="PT",IF(BG90&lt;PT_First,0,1+INT((BG90-PT_First)/PT_Int)),0))-IF(AQ90="FT",IF(BF90&lt;FT_First,0,IF(BF90&lt;FT_Y5,1+INT((BF90-FT_First)/FT_Int1),FT_PreY5+FT_PerYear*INT((BF90-FT_Y5)/12)+FT_AnnivDays+INT(MOD(BF90-FT_Y5,12)/FT_Int2))),IF(AQ90="PT",IF(BF90&lt;PT_First,0,1+INT((BF90-PT_First)/PT_Int)),0)),0)+IF(AND(AI90&gt;=3,AL90&lt;=EOMONTH(AsOfDate,-1)),IF(AR90="FT",IF(BE90&lt;FT_First,0,IF(BE90&lt;FT_Y5,1+INT((BE90-FT_First)/FT_Int1),FT_PreY5+FT_PerYear*INT((BE90-FT_Y5)/12)+FT_AnnivDays+INT(MOD(BE90-FT_Y5,12)/FT_Int2))),IF(AR90="PT",IF(BE90&lt;PT_First,0,1+INT((BE90-PT_First)/PT_Int)),0))-IF(AR90="FT",IF(BG90&lt;FT_First,0,IF(BG90&lt;FT_Y5,1+INT((BG90-FT_First)/FT_Int1),FT_PreY5+FT_PerYear*INT((BG90-FT_Y5)/12)+FT_AnnivDays+INT(MOD(BG90-FT_Y5,12)/FT_Int2))),IF(AR90="PT",IF(BG90&lt;PT_First,0,1+INT((BG90-PT_First)/PT_Int)),0)),0))</f>
        <v/>
      </c>
      <c r="BI90" s="14" t="str">
        <f aca="false">IF(AG90=0,"",IF(AS90="FT",IF(AT90&lt;FT_First,"",IF(AT90&lt;FT_Y5,FT_First+FT_Int1*INT((AT90-FT_First)/FT_Int1),FT_Y5+FT_Int2*INT((AT90-FT_Y5)/FT_Int2))),IF(AS90="PT",IF(AT90&lt;PT_First,"",PT_First+PT_Int*INT((AT90-PT_First)/PT_Int)),"")))</f>
        <v/>
      </c>
      <c r="BJ90" s="0" t="str">
        <f aca="false">IF(LEN($A90&amp;$B90)=0,"",$A90&amp;" "&amp;$B90)</f>
        <v/>
      </c>
    </row>
    <row r="91" customFormat="false" ht="15" hidden="false" customHeight="false" outlineLevel="0" collapsed="false">
      <c r="A91" s="10"/>
      <c r="B91" s="10"/>
      <c r="C91" s="10"/>
      <c r="D91" s="11"/>
      <c r="E91" s="12" t="str">
        <f aca="false">IF(OR(AG91=0,$D91=""),"",DATE(YEAR(AsOfDate)+IF(DATE(YEAR(AsOfDate),MONTH($D91),DAY($D91))&lt;=AsOfDate,1,0),MONTH($D91),DAY($D91)))</f>
        <v/>
      </c>
      <c r="F91" s="11"/>
      <c r="G91" s="11"/>
      <c r="H91" s="11"/>
      <c r="I91" s="11"/>
      <c r="J91" s="11"/>
      <c r="K91" s="12" t="str">
        <f aca="false">IF(AG91=0,"",DATE(YEAR(AsOfDate)+IF(DATE(YEAR(AsOfDate),MONTH(AH91),DAY(AH91))&lt;=AsOfDate,1,0),MONTH(AH91),DAY(AH91)))</f>
        <v/>
      </c>
      <c r="L91" s="13" t="str">
        <f aca="false">IF(AG91=0,"",ROUND((AsOfDate-AH91)/365.25,1))</f>
        <v/>
      </c>
      <c r="M91" s="14" t="str">
        <f aca="false">IF(AG91=0,"",IF(AsOfDate&lt;AH91,"-",DATEDIF(AH91,AsOfDate,"y")&amp;"y "&amp;DATEDIF(AH91,AsOfDate,"ym")&amp;"m "&amp;DATEDIF(AH91,AsOfDate,"md")&amp;"d"))</f>
        <v/>
      </c>
      <c r="N91" s="15" t="str">
        <f aca="false">IF(AG91=0,"",O91*HoursPerDay)</f>
        <v/>
      </c>
      <c r="O91" s="15" t="str">
        <f aca="false">IF(AG91=0,"",AZ91)</f>
        <v/>
      </c>
      <c r="P91" s="16"/>
      <c r="Q91" s="14" t="str">
        <f aca="false">IF(AG91=0,"",IF(AI91&lt;2,"",AM91&amp;" to "&amp;AN91&amp;" on "&amp;TEXT(AK91,"dd/mm/yyyy")&amp;IF(AK91&gt;AsOfDate," (future)",IF(AP91=AQ91,"",IF(AQ91="None"," - STOPPED accruing",IF(AP91="None"," - commencement for Bonus Leave"," - pathway changed"))))&amp;IF(AI91&lt;3,"","; "&amp;AN91&amp;" to "&amp;AO91&amp;" on "&amp;TEXT(AL91,"dd/mm/yyyy")&amp;IF(AL91&gt;AsOfDate," (future)",IF(AQ91=AR91,"",IF(AR91="None"," - STOPPED accruing",IF(AQ91="None"," - commencement for Bonus Leave"," - pathway changed")))))))</f>
        <v/>
      </c>
      <c r="R91" s="14" t="str">
        <f aca="false">IF(AG91=0,"",IF(AS91="None",IF(O91&gt;0,"No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2" t="str">
        <f aca="false">IF(AG91=0,"",IF(AS91="None","",EDATE(AH91,BB91)))</f>
        <v/>
      </c>
      <c r="T91" s="15" t="str">
        <f aca="false">IF(AG91=0,"",IF(NOT(LH_Ready),"",IF(AH91&gt;PFYDate,0,IF(LH_ColPeriod=0,W91-U91+V91,SUMIFS(INDEX(LH_Data,0,LH_ColAcc),INDEX(LH_Data,0,LH_ColFirst),$A91,INDEX(LH_Data,0,LH_ColSur),$B91,INDEX(LH_Data,0,LH_ColCat),BonusCat,INDEX(LH_Data,0,LH_ColPeriod),LH_OpenLabel)*UnitFactor))))</f>
        <v/>
      </c>
      <c r="U91" s="15" t="str">
        <f aca="false">IF(AG91=0,"",IF(NOT(LH_Ready),"",SUMIFS(INDEX(LH_Data,0,LH_ColAcc),INDEX(LH_Data,0,LH_ColFirst),$A91,INDEX(LH_Data,0,LH_ColSur),$B91,INDEX(LH_Data,0,LH_ColCat),BonusCat,INDEX(LH_Data,0,LH_ColStart),"&gt;="&amp;AH91)*UnitFactor))</f>
        <v/>
      </c>
      <c r="V91" s="15" t="str">
        <f aca="false">IF(AG91=0,"",IF(NOT(LH_Ready),"",SUMIFS(INDEX(LH_Data,0,LH_ColTaken),INDEX(LH_Data,0,LH_ColFirst),$A91,INDEX(LH_Data,0,LH_ColSur),$B91,INDEX(LH_Data,0,LH_ColCat),BonusCat,INDEX(LH_Data,0,LH_ColStart),"&gt;="&amp;AH91)*UnitFactor))</f>
        <v/>
      </c>
      <c r="W91" s="15" t="str">
        <f aca="false">IF(AG91=0,"",IF(NOT(LH_Ready),"",IF(BD91=0,0,INDEX(INDEX(LH_Data,0,LH_ColClose),BD91-1)*UnitFactor)))</f>
        <v/>
      </c>
      <c r="X91" s="15" t="str">
        <f aca="false">IF(AG91=0,"",(AZ91-BA91)*HoursPerDay)</f>
        <v/>
      </c>
      <c r="Y91" s="15" t="str">
        <f aca="false">IF(AG91=0,"",IF(NOT(LH_Ready),"",IF(BC91=0,N91,IF(PFYDate&lt;$F91,N91-N(T91)-N(U91),X91-N(U91)))))</f>
        <v/>
      </c>
      <c r="Z91" s="14" t="str">
        <f aca="false">IF(OR(AG91=0,Y91=""),"",IF(Y91&gt;0,"Yes","No"))</f>
        <v/>
      </c>
      <c r="AA91" s="14" t="str">
        <f aca="false">IF(AG91=0,IF(LEN($A91&amp;$B91)=0,"","FIX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month")&amp;IF(BC91=0,";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EH)",""),IF(AS91="None",R91,"Not yet - first day on "&amp;TEXT(S91,"dd/mm/yyyy")))))))))</f>
        <v/>
      </c>
      <c r="AB91" s="15" t="str">
        <f aca="false">IF(OR(AG91=0,T91=""),"",BA91*HoursPerDay-T91)</f>
        <v/>
      </c>
      <c r="AC91" s="14" t="str">
        <f aca="false">IF(AG91=0,"",BC91)</f>
        <v/>
      </c>
      <c r="AD91" s="14" t="str">
        <f aca="false">IF(AG91=0,"",TRIM(IF(OR(ISTEXT($F91),ISTEXT($H91),ISTEXT($I91),ISTEXT($G91),ISTEXT($J91),ISTEXT($D91)),"A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I91&gt;=1,IF(AI91&gt;=3,AO91,IF(AI91=2,AN91,AM91))&lt;&gt;IF($C91="","",IF(OR(ISNUMBER(SEARCH("full",$C91)),UPPER(TRIM($C91))="FT",UPPER(TRIM($C91))="FTE"),"Full-Time",IF(OR(ISNUMBER(SEARCH("part",$C91)),UPPER(TRIM($C91))="PT",UPPER(TRIM($C91))="PTE"),"Part-Time",IF(OR(ISNUMBER(SEARCH("cas",$C91)),UPPER(TRIM($C91))="CAS"),"Casual","Unknown"))))),"EmploymentType does not match latest start date ("&amp;IF(AI91&gt;=3,AO91,IF(AI91=2,AN91,AM91))&amp;"). ","")&amp;IF(AND(AI91&gt;=1,AJ91&lt;&gt;$F91),"Earliest type date should equal StartDate. ","")&amp;IF(AND(AI91&gt;=2,AJ91=AK91),"Two types start on the same date. ","")&amp;IF(AND(OR(ISNUMBER(SEARCH("part",$C91)),UPPER(TRIM($C91))="PT",UPPER(TRIM($C91))="PTE"),$P91=""),"Part-time: enter PT Hrs/Week (blank = 24+). ","")))</f>
        <v/>
      </c>
      <c r="AE91" s="15" t="str">
        <f aca="false">IF(AG91=0,"",O91-BH91)</f>
        <v/>
      </c>
      <c r="AF91" s="12" t="str">
        <f aca="false">IF(OR(AG91=0,AE91="",N(AE91)=0,BI91=""),"",EDATE(AH91,BI91))</f>
        <v/>
      </c>
      <c r="AG91" s="14" t="n">
        <f aca="false">IF(OR(LEN($A91&amp;$B91)=0,$F91=""),0,1)</f>
        <v>0</v>
      </c>
      <c r="AH91" s="12" t="str">
        <f aca="false">IF(AG91=0,"",IF($J91&lt;&gt;"",$J91,IF(OR(CasualCounts="Yes",COUNT($G91:$I91)=0,COUNT($H91:$I91)=0),$F91,MIN($H91:$I91))))</f>
        <v/>
      </c>
      <c r="AI91" s="14" t="str">
        <f aca="false">IF(AG91=0,"",COUNT($G91:$I91))</f>
        <v/>
      </c>
      <c r="AJ91" s="12" t="str">
        <f aca="false">IF(AG91=0,"",IFERROR(SMALL($G91:$I91,1),""))</f>
        <v/>
      </c>
      <c r="AK91" s="12" t="str">
        <f aca="false">IF(AG91=0,"",IFERROR(SMALL($G91:$I91,2),""))</f>
        <v/>
      </c>
      <c r="AL91" s="12" t="str">
        <f aca="false">IF(AG91=0,"",IFERROR(SMALL($G91:$I91,3),""))</f>
        <v/>
      </c>
      <c r="AM91" s="14" t="str">
        <f aca="false">IF(AG91=0,"",IF(AJ91="","",IF(AJ91=$H91,"Part-Time",IF(AJ91=$I91,"Full-Time","Casual"))))</f>
        <v/>
      </c>
      <c r="AN91" s="14" t="str">
        <f aca="false">IF(AG91=0,"",IF(AK91="","",IF(AK91=$H91,"Part-Time",IF(AK91=$I91,"Full-Time","Casual"))))</f>
        <v/>
      </c>
      <c r="AO91" s="14" t="str">
        <f aca="false">IF(AG91=0,"",IF(AL91="","",IF(AL91=$H91,"Part-Time",IF(AL91=$I91,"Full-Time","Casual"))))</f>
        <v/>
      </c>
      <c r="AP91" s="14" t="str">
        <f aca="false">IF(AG91=0,"",IF(AI91=0,IF(OR(ISNUMBER(SEARCH("full",$C91)),UPPER(TRIM($C91))="FT",UPPER(TRIM($C91))="FTE"),"FT",IF(AND(OR(ISNUMBER(SEARCH("part",$C91)),UPPER(TRIM($C91))="PT",UPPER(TRIM($C91))="PTE"),OR($P91="",N($P91)&gt;=PT_MinHours)),"PT","None")),IF(OR(ISNUMBER(SEARCH("full",AM91)),UPPER(TRIM(AM91))="FT",UPPER(TRIM(AM91))="FTE"),"FT",IF(AND(OR(ISNUMBER(SEARCH("part",AM91)),UPPER(TRIM(AM91))="PT",UPPER(TRIM(AM91))="PTE"),OR($P91="",N($P91)&gt;=PT_MinHours)),"PT","None"))))</f>
        <v/>
      </c>
      <c r="AQ91" s="14" t="str">
        <f aca="false">IF(AG91=0,"",IF(AI91&lt;2,"",IF(OR(ISNUMBER(SEARCH("full",AN91)),UPPER(TRIM(AN91))="FT",UPPER(TRIM(AN91))="FTE"),"FT",IF(AND(OR(ISNUMBER(SEARCH("part",AN91)),UPPER(TRIM(AN91))="PT",UPPER(TRIM(AN91))="PTE"),OR($P91="",N($P91)&gt;=PT_MinHours)),"PT","None"))))</f>
        <v/>
      </c>
      <c r="AR91" s="14" t="str">
        <f aca="false">IF(AG91=0,"",IF(AI91&lt;3,"",IF(OR(ISNUMBER(SEARCH("full",AO91)),UPPER(TRIM(AO91))="FT",UPPER(TRIM(AO91))="FTE"),"FT",IF(AND(OR(ISNUMBER(SEARCH("part",AO91)),UPPER(TRIM(AO91))="PT",UPPER(TRIM(AO91))="PTE"),OR($P91="",N($P91)&gt;=PT_MinHours)),"PT","None"))))</f>
        <v/>
      </c>
      <c r="AS91" s="14" t="str">
        <f aca="false">IF(AG91=0,"",IF(AND(AI91&gt;=3,AL91&lt;=AsOfDate),AR91,IF(AND(AI91&gt;=2,AK91&lt;=AsOfDate),AQ91,AP91)))</f>
        <v/>
      </c>
      <c r="AT91" s="14" t="str">
        <f aca="false">IF(AG91=0,"",IF(AsOfDate&lt;AH91,-1,12*(YEAR(AsOfDate)-YEAR(AH91))+MONTH(AsOfDate)-MONTH(AH91)-IF(DAY(AsOfDate)&lt;MIN(DAY(AH91),DAY(EOMONTH(AsOfDate,0))),1,0)))</f>
        <v/>
      </c>
      <c r="AU91" s="14" t="str">
        <f aca="false">IF(AG91=0,"",IF(OR(AI91&lt;2,AK91&gt;AsOfDate),AT91,IF((AK91-1)&lt;AH91,-1,12*(YEAR((AK91-1))-YEAR(AH91))+MONTH((AK91-1))-MONTH(AH91)-IF(DAY((AK91-1))&lt;MIN(DAY(AH91),DAY(EOMONTH((AK91-1),0))),1,0))))</f>
        <v/>
      </c>
      <c r="AV91" s="14" t="str">
        <f aca="false">IF(AG91=0,"",IF(OR(AI91&lt;3,AL91&gt;AsOfDate),AT91,IF((AL91-1)&lt;AH91,-1,12*(YEAR((AL91-1))-YEAR(AH91))+MONTH((AL91-1))-MONTH(AH91)-IF(DAY((AL91-1))&lt;MIN(DAY(AH91),DAY(EOMONTH((AL91-1),0))),1,0))))</f>
        <v/>
      </c>
      <c r="AW91" s="14" t="str">
        <f aca="false">IF(AG91=0,"",IF(PFYDate&lt;AH91,-1,12*(YEAR(PFYDate)-YEAR(AH91))+MONTH(PFYDate)-MONTH(AH91)-IF(DAY(PFYDate)&lt;MIN(DAY(AH91),DAY(EOMONTH(PFYDate,0))),1,0)))</f>
        <v/>
      </c>
      <c r="AX91" s="14" t="str">
        <f aca="false">IF(AG91=0,"",IF(OR(AI91&lt;2,AK91&gt;PFYDate),AW91,IF((AK91-1)&lt;AH91,-1,12*(YEAR((AK91-1))-YEAR(AH91))+MONTH((AK91-1))-MONTH(AH91)-IF(DAY((AK91-1))&lt;MIN(DAY(AH91),DAY(EOMONTH((AK91-1),0))),1,0))))</f>
        <v/>
      </c>
      <c r="AY91" s="14" t="str">
        <f aca="false">IF(AG91=0,"",IF(OR(AI91&lt;3,AL91&gt;PFYDate),AW91,IF((AL91-1)&lt;AH91,-1,12*(YEAR((AL91-1))-YEAR(AH91))+MONTH((AL91-1))-MONTH(AH91)-IF(DAY((AL91-1))&lt;MIN(DAY(AH91),DAY(EOMONTH((AL91-1),0))),1,0))))</f>
        <v/>
      </c>
      <c r="AZ91" s="14" t="str">
        <f aca="false">IF(AG91=0,"",IF(AP91="FT",IF(AU91&lt;FT_First,0,IF(AU91&lt;FT_Y5,1+INT((AU91-FT_First)/FT_Int1),FT_PreY5+FT_PerYear*INT((AU91-FT_Y5)/12)+FT_AnnivDays+INT(MOD(AU91-FT_Y5,12)/FT_Int2))),IF(AP91="PT",IF(AU91&lt;PT_First,0,1+INT((AU91-PT_First)/PT_Int)),0))+IF(AND(AI91&gt;=2,AK91&lt;=AsOfDate),IF(AQ91="FT",IF(AV91&lt;FT_First,0,IF(AV91&lt;FT_Y5,1+INT((AV91-FT_First)/FT_Int1),FT_PreY5+FT_PerYear*INT((AV91-FT_Y5)/12)+FT_AnnivDays+INT(MOD(AV91-FT_Y5,12)/FT_Int2))),IF(AQ91="PT",IF(AV91&lt;PT_First,0,1+INT((AV91-PT_First)/PT_Int)),0))-IF(AQ91="FT",IF(AU91&lt;FT_First,0,IF(AU91&lt;FT_Y5,1+INT((AU91-FT_First)/FT_Int1),FT_PreY5+FT_PerYear*INT((AU91-FT_Y5)/12)+FT_AnnivDays+INT(MOD(AU91-FT_Y5,12)/FT_Int2))),IF(AQ91="PT",IF(AU91&lt;PT_First,0,1+INT((AU91-PT_First)/PT_Int)),0)),0)+IF(AND(AI91&gt;=3,AL91&lt;=AsOfDate),IF(AR91="FT",IF(AT91&lt;FT_First,0,IF(AT91&lt;FT_Y5,1+INT((AT91-FT_First)/FT_Int1),FT_PreY5+FT_PerYear*INT((AT91-FT_Y5)/12)+FT_AnnivDays+INT(MOD(AT91-FT_Y5,12)/FT_Int2))),IF(AR91="PT",IF(AT91&lt;PT_First,0,1+INT((AT91-PT_First)/PT_Int)),0))-IF(AR91="FT",IF(AV91&lt;FT_First,0,IF(AV91&lt;FT_Y5,1+INT((AV91-FT_First)/FT_Int1),FT_PreY5+FT_PerYear*INT((AV91-FT_Y5)/12)+FT_AnnivDays+INT(MOD(AV91-FT_Y5,12)/FT_Int2))),IF(AR91="PT",IF(AV91&lt;PT_First,0,1+INT((AV91-PT_First)/PT_Int)),0)),0))</f>
        <v/>
      </c>
      <c r="BA91" s="14" t="str">
        <f aca="false">IF(AG91=0,"",IF(AP91="FT",IF(AX91&lt;FT_First,0,IF(AX91&lt;FT_Y5,1+INT((AX91-FT_First)/FT_Int1),FT_PreY5+FT_PerYear*INT((AX91-FT_Y5)/12)+FT_AnnivDays+INT(MOD(AX91-FT_Y5,12)/FT_Int2))),IF(AP91="PT",IF(AX91&lt;PT_First,0,1+INT((AX91-PT_First)/PT_Int)),0))+IF(AND(AI91&gt;=2,AK91&lt;=PFYDate),IF(AQ91="FT",IF(AY91&lt;FT_First,0,IF(AY91&lt;FT_Y5,1+INT((AY91-FT_First)/FT_Int1),FT_PreY5+FT_PerYear*INT((AY91-FT_Y5)/12)+FT_AnnivDays+INT(MOD(AY91-FT_Y5,12)/FT_Int2))),IF(AQ91="PT",IF(AY91&lt;PT_First,0,1+INT((AY91-PT_First)/PT_Int)),0))-IF(AQ91="FT",IF(AX91&lt;FT_First,0,IF(AX91&lt;FT_Y5,1+INT((AX91-FT_First)/FT_Int1),FT_PreY5+FT_PerYear*INT((AX91-FT_Y5)/12)+FT_AnnivDays+INT(MOD(AX91-FT_Y5,12)/FT_Int2))),IF(AQ91="PT",IF(AX91&lt;PT_First,0,1+INT((AX91-PT_First)/PT_Int)),0)),0)+IF(AND(AI91&gt;=3,AL91&lt;=PFYDate),IF(AR91="FT",IF(AW91&lt;FT_First,0,IF(AW91&lt;FT_Y5,1+INT((AW91-FT_First)/FT_Int1),FT_PreY5+FT_PerYear*INT((AW91-FT_Y5)/12)+FT_AnnivDays+INT(MOD(AW91-FT_Y5,12)/FT_Int2))),IF(AR91="PT",IF(AW91&lt;PT_First,0,1+INT((AW91-PT_First)/PT_Int)),0))-IF(AR91="FT",IF(AY91&lt;FT_First,0,IF(AY91&lt;FT_Y5,1+INT((AY91-FT_First)/FT_Int1),FT_PreY5+FT_PerYear*INT((AY91-FT_Y5)/12)+FT_AnnivDays+INT(MOD(AY91-FT_Y5,12)/FT_Int2))),IF(AR91="PT",IF(AY91&lt;PT_First,0,1+INT((AY91-PT_First)/PT_Int)),0)),0))</f>
        <v/>
      </c>
      <c r="BB91" s="14" t="str">
        <f aca="false">IF(AG91=0,"",IF(AS91="FT",IF(AT91&lt;FT_First,FT_First,IF(AT91&lt;FT_Y5,MIN(FT_Y5,FT_First+FT_Int1*(INT((AT91-FT_First)/FT_Int1)+1)),FT_Y5+12*INT((AT91-FT_Y5)/12)+FT_Int2*(INT(MOD(AT91-FT_Y5,12)/FT_Int2)+1))),IF(AS91="PT",IF(AT91&lt;PT_First,PT_First,PT_First+PT_Int*(INT((AT91-PT_First)/PT_Int)+1)),"")))</f>
        <v/>
      </c>
      <c r="BC91" s="14" t="str">
        <f aca="false">IF(AG91=0,"",IF(NOT(LH_Ready),0,COUNTIFS(INDEX(LH_Data,0,LH_ColFirst),$A91,INDEX(LH_Data,0,LH_ColSur),$B91,INDEX(LH_Data,0,LH_ColCat),BonusCat)))</f>
        <v/>
      </c>
      <c r="BD91" s="14" t="str">
        <f aca="false">IF(AG91=0,"",IF(OR(NOT(LH_Ready),BC91=0),0,SUMPRODUCT(MAX((INDEX(LH_Data,0,LH_ColFirst)=$A91)*(INDEX(LH_Data,0,LH_ColSur)=$B91)*(INDEX(LH_Data,0,LH_ColCat)=BonusCat)*ROW(LH_Data)))))</f>
        <v/>
      </c>
      <c r="BE91" s="14" t="str">
        <f aca="false">IF(AG91=0,"",IF(EOMONTH(AsOfDate,-1)&lt;AH91,-1,12*(YEAR(EOMONTH(AsOfDate,-1))-YEAR(AH91))+MONTH(EOMONTH(AsOfDate,-1))-MONTH(AH91)-IF(DAY(EOMONTH(AsOfDate,-1))&lt;MIN(DAY(AH91),DAY(EOMONTH(EOMONTH(AsOfDate,-1),0))),1,0)))</f>
        <v/>
      </c>
      <c r="BF91" s="14" t="str">
        <f aca="false">IF(AG91=0,"",IF(OR(AI91&lt;2,AK91&gt;EOMONTH(AsOfDate,-1)),BE91,IF((AK91-1)&lt;AH91,-1,12*(YEAR((AK91-1))-YEAR(AH91))+MONTH((AK91-1))-MONTH(AH91)-IF(DAY((AK91-1))&lt;MIN(DAY(AH91),DAY(EOMONTH((AK91-1),0))),1,0))))</f>
        <v/>
      </c>
      <c r="BG91" s="14" t="str">
        <f aca="false">IF(AG91=0,"",IF(OR(AI91&lt;3,AL91&gt;EOMONTH(AsOfDate,-1)),BE91,IF((AL91-1)&lt;AH91,-1,12*(YEAR((AL91-1))-YEAR(AH91))+MONTH((AL91-1))-MONTH(AH91)-IF(DAY((AL91-1))&lt;MIN(DAY(AH91),DAY(EOMONTH((AL91-1),0))),1,0))))</f>
        <v/>
      </c>
      <c r="BH91" s="14" t="str">
        <f aca="false">IF(AG91=0,"",IF(AP91="FT",IF(BF91&lt;FT_First,0,IF(BF91&lt;FT_Y5,1+INT((BF91-FT_First)/FT_Int1),FT_PreY5+FT_PerYear*INT((BF91-FT_Y5)/12)+FT_AnnivDays+INT(MOD(BF91-FT_Y5,12)/FT_Int2))),IF(AP91="PT",IF(BF91&lt;PT_First,0,1+INT((BF91-PT_First)/PT_Int)),0))+IF(AND(AI91&gt;=2,AK91&lt;=EOMONTH(AsOfDate,-1)),IF(AQ91="FT",IF(BG91&lt;FT_First,0,IF(BG91&lt;FT_Y5,1+INT((BG91-FT_First)/FT_Int1),FT_PreY5+FT_PerYear*INT((BG91-FT_Y5)/12)+FT_AnnivDays+INT(MOD(BG91-FT_Y5,12)/FT_Int2))),IF(AQ91="PT",IF(BG91&lt;PT_First,0,1+INT((BG91-PT_First)/PT_Int)),0))-IF(AQ91="FT",IF(BF91&lt;FT_First,0,IF(BF91&lt;FT_Y5,1+INT((BF91-FT_First)/FT_Int1),FT_PreY5+FT_PerYear*INT((BF91-FT_Y5)/12)+FT_AnnivDays+INT(MOD(BF91-FT_Y5,12)/FT_Int2))),IF(AQ91="PT",IF(BF91&lt;PT_First,0,1+INT((BF91-PT_First)/PT_Int)),0)),0)+IF(AND(AI91&gt;=3,AL91&lt;=EOMONTH(AsOfDate,-1)),IF(AR91="FT",IF(BE91&lt;FT_First,0,IF(BE91&lt;FT_Y5,1+INT((BE91-FT_First)/FT_Int1),FT_PreY5+FT_PerYear*INT((BE91-FT_Y5)/12)+FT_AnnivDays+INT(MOD(BE91-FT_Y5,12)/FT_Int2))),IF(AR91="PT",IF(BE91&lt;PT_First,0,1+INT((BE91-PT_First)/PT_Int)),0))-IF(AR91="FT",IF(BG91&lt;FT_First,0,IF(BG91&lt;FT_Y5,1+INT((BG91-FT_First)/FT_Int1),FT_PreY5+FT_PerYear*INT((BG91-FT_Y5)/12)+FT_AnnivDays+INT(MOD(BG91-FT_Y5,12)/FT_Int2))),IF(AR91="PT",IF(BG91&lt;PT_First,0,1+INT((BG91-PT_First)/PT_Int)),0)),0))</f>
        <v/>
      </c>
      <c r="BI91" s="14" t="str">
        <f aca="false">IF(AG91=0,"",IF(AS91="FT",IF(AT91&lt;FT_First,"",IF(AT91&lt;FT_Y5,FT_First+FT_Int1*INT((AT91-FT_First)/FT_Int1),FT_Y5+FT_Int2*INT((AT91-FT_Y5)/FT_Int2))),IF(AS91="PT",IF(AT91&lt;PT_First,"",PT_First+PT_Int*INT((AT91-PT_First)/PT_Int)),"")))</f>
        <v/>
      </c>
      <c r="BJ91" s="0" t="str">
        <f aca="false">IF(LEN($A91&amp;$B91)=0,"",$A91&amp;" "&amp;$B91)</f>
        <v/>
      </c>
    </row>
    <row r="92" customFormat="false" ht="15" hidden="false" customHeight="false" outlineLevel="0" collapsed="false">
      <c r="A92" s="10"/>
      <c r="B92" s="10"/>
      <c r="C92" s="10"/>
      <c r="D92" s="11"/>
      <c r="E92" s="12" t="str">
        <f aca="false">IF(OR(AG92=0,$D92=""),"",DATE(YEAR(AsOfDate)+IF(DATE(YEAR(AsOfDate),MONTH($D92),DAY($D92))&lt;=AsOfDate,1,0),MONTH($D92),DAY($D92)))</f>
        <v/>
      </c>
      <c r="F92" s="11"/>
      <c r="G92" s="11"/>
      <c r="H92" s="11"/>
      <c r="I92" s="11"/>
      <c r="J92" s="11"/>
      <c r="K92" s="12" t="str">
        <f aca="false">IF(AG92=0,"",DATE(YEAR(AsOfDate)+IF(DATE(YEAR(AsOfDate),MONTH(AH92),DAY(AH92))&lt;=AsOfDate,1,0),MONTH(AH92),DAY(AH92)))</f>
        <v/>
      </c>
      <c r="L92" s="13" t="str">
        <f aca="false">IF(AG92=0,"",ROUND((AsOfDate-AH92)/365.25,1))</f>
        <v/>
      </c>
      <c r="M92" s="14" t="str">
        <f aca="false">IF(AG92=0,"",IF(AsOfDate&lt;AH92,"-",DATEDIF(AH92,AsOfDate,"y")&amp;"y "&amp;DATEDIF(AH92,AsOfDate,"ym")&amp;"m "&amp;DATEDIF(AH92,AsOfDate,"md")&amp;"d"))</f>
        <v/>
      </c>
      <c r="N92" s="15" t="str">
        <f aca="false">IF(AG92=0,"",O92*HoursPerDay)</f>
        <v/>
      </c>
      <c r="O92" s="15" t="str">
        <f aca="false">IF(AG92=0,"",AZ92)</f>
        <v/>
      </c>
      <c r="P92" s="16"/>
      <c r="Q92" s="14" t="str">
        <f aca="false">IF(AG92=0,"",IF(AI92&lt;2,"",AM92&amp;" to "&amp;AN92&amp;" on "&amp;TEXT(AK92,"dd/mm/yyyy")&amp;IF(AK92&gt;AsOfDate," (future)",IF(AP92=AQ92,"",IF(AQ92="None"," - STOPPED accruing",IF(AP92="None"," - commencement for Bonus Leave"," - pathway changed"))))&amp;IF(AI92&lt;3,"","; "&amp;AN92&amp;" to "&amp;AO92&amp;" on "&amp;TEXT(AL92,"dd/mm/yyyy")&amp;IF(AL92&gt;AsOfDate," (future)",IF(AQ92=AR92,"",IF(AR92="None"," - STOPPED accruing",IF(AQ92="None"," - commencement for Bonus Leave"," - pathway changed")))))))</f>
        <v/>
      </c>
      <c r="R92" s="14" t="str">
        <f aca="false">IF(AG92=0,"",IF(AS92="None",IF(O92&gt;0,"No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2" t="str">
        <f aca="false">IF(AG92=0,"",IF(AS92="None","",EDATE(AH92,BB92)))</f>
        <v/>
      </c>
      <c r="T92" s="15" t="str">
        <f aca="false">IF(AG92=0,"",IF(NOT(LH_Ready),"",IF(AH92&gt;PFYDate,0,IF(LH_ColPeriod=0,W92-U92+V92,SUMIFS(INDEX(LH_Data,0,LH_ColAcc),INDEX(LH_Data,0,LH_ColFirst),$A92,INDEX(LH_Data,0,LH_ColSur),$B92,INDEX(LH_Data,0,LH_ColCat),BonusCat,INDEX(LH_Data,0,LH_ColPeriod),LH_OpenLabel)*UnitFactor))))</f>
        <v/>
      </c>
      <c r="U92" s="15" t="str">
        <f aca="false">IF(AG92=0,"",IF(NOT(LH_Ready),"",SUMIFS(INDEX(LH_Data,0,LH_ColAcc),INDEX(LH_Data,0,LH_ColFirst),$A92,INDEX(LH_Data,0,LH_ColSur),$B92,INDEX(LH_Data,0,LH_ColCat),BonusCat,INDEX(LH_Data,0,LH_ColStart),"&gt;="&amp;AH92)*UnitFactor))</f>
        <v/>
      </c>
      <c r="V92" s="15" t="str">
        <f aca="false">IF(AG92=0,"",IF(NOT(LH_Ready),"",SUMIFS(INDEX(LH_Data,0,LH_ColTaken),INDEX(LH_Data,0,LH_ColFirst),$A92,INDEX(LH_Data,0,LH_ColSur),$B92,INDEX(LH_Data,0,LH_ColCat),BonusCat,INDEX(LH_Data,0,LH_ColStart),"&gt;="&amp;AH92)*UnitFactor))</f>
        <v/>
      </c>
      <c r="W92" s="15" t="str">
        <f aca="false">IF(AG92=0,"",IF(NOT(LH_Ready),"",IF(BD92=0,0,INDEX(INDEX(LH_Data,0,LH_ColClose),BD92-1)*UnitFactor)))</f>
        <v/>
      </c>
      <c r="X92" s="15" t="str">
        <f aca="false">IF(AG92=0,"",(AZ92-BA92)*HoursPerDay)</f>
        <v/>
      </c>
      <c r="Y92" s="15" t="str">
        <f aca="false">IF(AG92=0,"",IF(NOT(LH_Ready),"",IF(BC92=0,N92,IF(PFYDate&lt;$F92,N92-N(T92)-N(U92),X92-N(U92)))))</f>
        <v/>
      </c>
      <c r="Z92" s="14" t="str">
        <f aca="false">IF(OR(AG92=0,Y92=""),"",IF(Y92&gt;0,"Yes","No"))</f>
        <v/>
      </c>
      <c r="AA92" s="14" t="str">
        <f aca="false">IF(AG92=0,IF(LEN($A92&amp;$B92)=0,"","FIX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month")&amp;IF(BC92=0,";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EH)",""),IF(AS92="None",R92,"Not yet - first day on "&amp;TEXT(S92,"dd/mm/yyyy")))))))))</f>
        <v/>
      </c>
      <c r="AB92" s="15" t="str">
        <f aca="false">IF(OR(AG92=0,T92=""),"",BA92*HoursPerDay-T92)</f>
        <v/>
      </c>
      <c r="AC92" s="14" t="str">
        <f aca="false">IF(AG92=0,"",BC92)</f>
        <v/>
      </c>
      <c r="AD92" s="14" t="str">
        <f aca="false">IF(AG92=0,"",TRIM(IF(OR(ISTEXT($F92),ISTEXT($H92),ISTEXT($I92),ISTEXT($G92),ISTEXT($J92),ISTEXT($D92)),"A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I92&gt;=1,IF(AI92&gt;=3,AO92,IF(AI92=2,AN92,AM92))&lt;&gt;IF($C92="","",IF(OR(ISNUMBER(SEARCH("full",$C92)),UPPER(TRIM($C92))="FT",UPPER(TRIM($C92))="FTE"),"Full-Time",IF(OR(ISNUMBER(SEARCH("part",$C92)),UPPER(TRIM($C92))="PT",UPPER(TRIM($C92))="PTE"),"Part-Time",IF(OR(ISNUMBER(SEARCH("cas",$C92)),UPPER(TRIM($C92))="CAS"),"Casual","Unknown"))))),"EmploymentType does not match latest start date ("&amp;IF(AI92&gt;=3,AO92,IF(AI92=2,AN92,AM92))&amp;"). ","")&amp;IF(AND(AI92&gt;=1,AJ92&lt;&gt;$F92),"Earliest type date should equal StartDate. ","")&amp;IF(AND(AI92&gt;=2,AJ92=AK92),"Two types start on the same date. ","")&amp;IF(AND(OR(ISNUMBER(SEARCH("part",$C92)),UPPER(TRIM($C92))="PT",UPPER(TRIM($C92))="PTE"),$P92=""),"Part-time: enter PT Hrs/Week (blank = 24+). ","")))</f>
        <v/>
      </c>
      <c r="AE92" s="15" t="str">
        <f aca="false">IF(AG92=0,"",O92-BH92)</f>
        <v/>
      </c>
      <c r="AF92" s="12" t="str">
        <f aca="false">IF(OR(AG92=0,AE92="",N(AE92)=0,BI92=""),"",EDATE(AH92,BI92))</f>
        <v/>
      </c>
      <c r="AG92" s="14" t="n">
        <f aca="false">IF(OR(LEN($A92&amp;$B92)=0,$F92=""),0,1)</f>
        <v>0</v>
      </c>
      <c r="AH92" s="12" t="str">
        <f aca="false">IF(AG92=0,"",IF($J92&lt;&gt;"",$J92,IF(OR(CasualCounts="Yes",COUNT($G92:$I92)=0,COUNT($H92:$I92)=0),$F92,MIN($H92:$I92))))</f>
        <v/>
      </c>
      <c r="AI92" s="14" t="str">
        <f aca="false">IF(AG92=0,"",COUNT($G92:$I92))</f>
        <v/>
      </c>
      <c r="AJ92" s="12" t="str">
        <f aca="false">IF(AG92=0,"",IFERROR(SMALL($G92:$I92,1),""))</f>
        <v/>
      </c>
      <c r="AK92" s="12" t="str">
        <f aca="false">IF(AG92=0,"",IFERROR(SMALL($G92:$I92,2),""))</f>
        <v/>
      </c>
      <c r="AL92" s="12" t="str">
        <f aca="false">IF(AG92=0,"",IFERROR(SMALL($G92:$I92,3),""))</f>
        <v/>
      </c>
      <c r="AM92" s="14" t="str">
        <f aca="false">IF(AG92=0,"",IF(AJ92="","",IF(AJ92=$H92,"Part-Time",IF(AJ92=$I92,"Full-Time","Casual"))))</f>
        <v/>
      </c>
      <c r="AN92" s="14" t="str">
        <f aca="false">IF(AG92=0,"",IF(AK92="","",IF(AK92=$H92,"Part-Time",IF(AK92=$I92,"Full-Time","Casual"))))</f>
        <v/>
      </c>
      <c r="AO92" s="14" t="str">
        <f aca="false">IF(AG92=0,"",IF(AL92="","",IF(AL92=$H92,"Part-Time",IF(AL92=$I92,"Full-Time","Casual"))))</f>
        <v/>
      </c>
      <c r="AP92" s="14" t="str">
        <f aca="false">IF(AG92=0,"",IF(AI92=0,IF(OR(ISNUMBER(SEARCH("full",$C92)),UPPER(TRIM($C92))="FT",UPPER(TRIM($C92))="FTE"),"FT",IF(AND(OR(ISNUMBER(SEARCH("part",$C92)),UPPER(TRIM($C92))="PT",UPPER(TRIM($C92))="PTE"),OR($P92="",N($P92)&gt;=PT_MinHours)),"PT","None")),IF(OR(ISNUMBER(SEARCH("full",AM92)),UPPER(TRIM(AM92))="FT",UPPER(TRIM(AM92))="FTE"),"FT",IF(AND(OR(ISNUMBER(SEARCH("part",AM92)),UPPER(TRIM(AM92))="PT",UPPER(TRIM(AM92))="PTE"),OR($P92="",N($P92)&gt;=PT_MinHours)),"PT","None"))))</f>
        <v/>
      </c>
      <c r="AQ92" s="14" t="str">
        <f aca="false">IF(AG92=0,"",IF(AI92&lt;2,"",IF(OR(ISNUMBER(SEARCH("full",AN92)),UPPER(TRIM(AN92))="FT",UPPER(TRIM(AN92))="FTE"),"FT",IF(AND(OR(ISNUMBER(SEARCH("part",AN92)),UPPER(TRIM(AN92))="PT",UPPER(TRIM(AN92))="PTE"),OR($P92="",N($P92)&gt;=PT_MinHours)),"PT","None"))))</f>
        <v/>
      </c>
      <c r="AR92" s="14" t="str">
        <f aca="false">IF(AG92=0,"",IF(AI92&lt;3,"",IF(OR(ISNUMBER(SEARCH("full",AO92)),UPPER(TRIM(AO92))="FT",UPPER(TRIM(AO92))="FTE"),"FT",IF(AND(OR(ISNUMBER(SEARCH("part",AO92)),UPPER(TRIM(AO92))="PT",UPPER(TRIM(AO92))="PTE"),OR($P92="",N($P92)&gt;=PT_MinHours)),"PT","None"))))</f>
        <v/>
      </c>
      <c r="AS92" s="14" t="str">
        <f aca="false">IF(AG92=0,"",IF(AND(AI92&gt;=3,AL92&lt;=AsOfDate),AR92,IF(AND(AI92&gt;=2,AK92&lt;=AsOfDate),AQ92,AP92)))</f>
        <v/>
      </c>
      <c r="AT92" s="14" t="str">
        <f aca="false">IF(AG92=0,"",IF(AsOfDate&lt;AH92,-1,12*(YEAR(AsOfDate)-YEAR(AH92))+MONTH(AsOfDate)-MONTH(AH92)-IF(DAY(AsOfDate)&lt;MIN(DAY(AH92),DAY(EOMONTH(AsOfDate,0))),1,0)))</f>
        <v/>
      </c>
      <c r="AU92" s="14" t="str">
        <f aca="false">IF(AG92=0,"",IF(OR(AI92&lt;2,AK92&gt;AsOfDate),AT92,IF((AK92-1)&lt;AH92,-1,12*(YEAR((AK92-1))-YEAR(AH92))+MONTH((AK92-1))-MONTH(AH92)-IF(DAY((AK92-1))&lt;MIN(DAY(AH92),DAY(EOMONTH((AK92-1),0))),1,0))))</f>
        <v/>
      </c>
      <c r="AV92" s="14" t="str">
        <f aca="false">IF(AG92=0,"",IF(OR(AI92&lt;3,AL92&gt;AsOfDate),AT92,IF((AL92-1)&lt;AH92,-1,12*(YEAR((AL92-1))-YEAR(AH92))+MONTH((AL92-1))-MONTH(AH92)-IF(DAY((AL92-1))&lt;MIN(DAY(AH92),DAY(EOMONTH((AL92-1),0))),1,0))))</f>
        <v/>
      </c>
      <c r="AW92" s="14" t="str">
        <f aca="false">IF(AG92=0,"",IF(PFYDate&lt;AH92,-1,12*(YEAR(PFYDate)-YEAR(AH92))+MONTH(PFYDate)-MONTH(AH92)-IF(DAY(PFYDate)&lt;MIN(DAY(AH92),DAY(EOMONTH(PFYDate,0))),1,0)))</f>
        <v/>
      </c>
      <c r="AX92" s="14" t="str">
        <f aca="false">IF(AG92=0,"",IF(OR(AI92&lt;2,AK92&gt;PFYDate),AW92,IF((AK92-1)&lt;AH92,-1,12*(YEAR((AK92-1))-YEAR(AH92))+MONTH((AK92-1))-MONTH(AH92)-IF(DAY((AK92-1))&lt;MIN(DAY(AH92),DAY(EOMONTH((AK92-1),0))),1,0))))</f>
        <v/>
      </c>
      <c r="AY92" s="14" t="str">
        <f aca="false">IF(AG92=0,"",IF(OR(AI92&lt;3,AL92&gt;PFYDate),AW92,IF((AL92-1)&lt;AH92,-1,12*(YEAR((AL92-1))-YEAR(AH92))+MONTH((AL92-1))-MONTH(AH92)-IF(DAY((AL92-1))&lt;MIN(DAY(AH92),DAY(EOMONTH((AL92-1),0))),1,0))))</f>
        <v/>
      </c>
      <c r="AZ92" s="14" t="str">
        <f aca="false">IF(AG92=0,"",IF(AP92="FT",IF(AU92&lt;FT_First,0,IF(AU92&lt;FT_Y5,1+INT((AU92-FT_First)/FT_Int1),FT_PreY5+FT_PerYear*INT((AU92-FT_Y5)/12)+FT_AnnivDays+INT(MOD(AU92-FT_Y5,12)/FT_Int2))),IF(AP92="PT",IF(AU92&lt;PT_First,0,1+INT((AU92-PT_First)/PT_Int)),0))+IF(AND(AI92&gt;=2,AK92&lt;=AsOfDate),IF(AQ92="FT",IF(AV92&lt;FT_First,0,IF(AV92&lt;FT_Y5,1+INT((AV92-FT_First)/FT_Int1),FT_PreY5+FT_PerYear*INT((AV92-FT_Y5)/12)+FT_AnnivDays+INT(MOD(AV92-FT_Y5,12)/FT_Int2))),IF(AQ92="PT",IF(AV92&lt;PT_First,0,1+INT((AV92-PT_First)/PT_Int)),0))-IF(AQ92="FT",IF(AU92&lt;FT_First,0,IF(AU92&lt;FT_Y5,1+INT((AU92-FT_First)/FT_Int1),FT_PreY5+FT_PerYear*INT((AU92-FT_Y5)/12)+FT_AnnivDays+INT(MOD(AU92-FT_Y5,12)/FT_Int2))),IF(AQ92="PT",IF(AU92&lt;PT_First,0,1+INT((AU92-PT_First)/PT_Int)),0)),0)+IF(AND(AI92&gt;=3,AL92&lt;=AsOfDate),IF(AR92="FT",IF(AT92&lt;FT_First,0,IF(AT92&lt;FT_Y5,1+INT((AT92-FT_First)/FT_Int1),FT_PreY5+FT_PerYear*INT((AT92-FT_Y5)/12)+FT_AnnivDays+INT(MOD(AT92-FT_Y5,12)/FT_Int2))),IF(AR92="PT",IF(AT92&lt;PT_First,0,1+INT((AT92-PT_First)/PT_Int)),0))-IF(AR92="FT",IF(AV92&lt;FT_First,0,IF(AV92&lt;FT_Y5,1+INT((AV92-FT_First)/FT_Int1),FT_PreY5+FT_PerYear*INT((AV92-FT_Y5)/12)+FT_AnnivDays+INT(MOD(AV92-FT_Y5,12)/FT_Int2))),IF(AR92="PT",IF(AV92&lt;PT_First,0,1+INT((AV92-PT_First)/PT_Int)),0)),0))</f>
        <v/>
      </c>
      <c r="BA92" s="14" t="str">
        <f aca="false">IF(AG92=0,"",IF(AP92="FT",IF(AX92&lt;FT_First,0,IF(AX92&lt;FT_Y5,1+INT((AX92-FT_First)/FT_Int1),FT_PreY5+FT_PerYear*INT((AX92-FT_Y5)/12)+FT_AnnivDays+INT(MOD(AX92-FT_Y5,12)/FT_Int2))),IF(AP92="PT",IF(AX92&lt;PT_First,0,1+INT((AX92-PT_First)/PT_Int)),0))+IF(AND(AI92&gt;=2,AK92&lt;=PFYDate),IF(AQ92="FT",IF(AY92&lt;FT_First,0,IF(AY92&lt;FT_Y5,1+INT((AY92-FT_First)/FT_Int1),FT_PreY5+FT_PerYear*INT((AY92-FT_Y5)/12)+FT_AnnivDays+INT(MOD(AY92-FT_Y5,12)/FT_Int2))),IF(AQ92="PT",IF(AY92&lt;PT_First,0,1+INT((AY92-PT_First)/PT_Int)),0))-IF(AQ92="FT",IF(AX92&lt;FT_First,0,IF(AX92&lt;FT_Y5,1+INT((AX92-FT_First)/FT_Int1),FT_PreY5+FT_PerYear*INT((AX92-FT_Y5)/12)+FT_AnnivDays+INT(MOD(AX92-FT_Y5,12)/FT_Int2))),IF(AQ92="PT",IF(AX92&lt;PT_First,0,1+INT((AX92-PT_First)/PT_Int)),0)),0)+IF(AND(AI92&gt;=3,AL92&lt;=PFYDate),IF(AR92="FT",IF(AW92&lt;FT_First,0,IF(AW92&lt;FT_Y5,1+INT((AW92-FT_First)/FT_Int1),FT_PreY5+FT_PerYear*INT((AW92-FT_Y5)/12)+FT_AnnivDays+INT(MOD(AW92-FT_Y5,12)/FT_Int2))),IF(AR92="PT",IF(AW92&lt;PT_First,0,1+INT((AW92-PT_First)/PT_Int)),0))-IF(AR92="FT",IF(AY92&lt;FT_First,0,IF(AY92&lt;FT_Y5,1+INT((AY92-FT_First)/FT_Int1),FT_PreY5+FT_PerYear*INT((AY92-FT_Y5)/12)+FT_AnnivDays+INT(MOD(AY92-FT_Y5,12)/FT_Int2))),IF(AR92="PT",IF(AY92&lt;PT_First,0,1+INT((AY92-PT_First)/PT_Int)),0)),0))</f>
        <v/>
      </c>
      <c r="BB92" s="14" t="str">
        <f aca="false">IF(AG92=0,"",IF(AS92="FT",IF(AT92&lt;FT_First,FT_First,IF(AT92&lt;FT_Y5,MIN(FT_Y5,FT_First+FT_Int1*(INT((AT92-FT_First)/FT_Int1)+1)),FT_Y5+12*INT((AT92-FT_Y5)/12)+FT_Int2*(INT(MOD(AT92-FT_Y5,12)/FT_Int2)+1))),IF(AS92="PT",IF(AT92&lt;PT_First,PT_First,PT_First+PT_Int*(INT((AT92-PT_First)/PT_Int)+1)),"")))</f>
        <v/>
      </c>
      <c r="BC92" s="14" t="str">
        <f aca="false">IF(AG92=0,"",IF(NOT(LH_Ready),0,COUNTIFS(INDEX(LH_Data,0,LH_ColFirst),$A92,INDEX(LH_Data,0,LH_ColSur),$B92,INDEX(LH_Data,0,LH_ColCat),BonusCat)))</f>
        <v/>
      </c>
      <c r="BD92" s="14" t="str">
        <f aca="false">IF(AG92=0,"",IF(OR(NOT(LH_Ready),BC92=0),0,SUMPRODUCT(MAX((INDEX(LH_Data,0,LH_ColFirst)=$A92)*(INDEX(LH_Data,0,LH_ColSur)=$B92)*(INDEX(LH_Data,0,LH_ColCat)=BonusCat)*ROW(LH_Data)))))</f>
        <v/>
      </c>
      <c r="BE92" s="14" t="str">
        <f aca="false">IF(AG92=0,"",IF(EOMONTH(AsOfDate,-1)&lt;AH92,-1,12*(YEAR(EOMONTH(AsOfDate,-1))-YEAR(AH92))+MONTH(EOMONTH(AsOfDate,-1))-MONTH(AH92)-IF(DAY(EOMONTH(AsOfDate,-1))&lt;MIN(DAY(AH92),DAY(EOMONTH(EOMONTH(AsOfDate,-1),0))),1,0)))</f>
        <v/>
      </c>
      <c r="BF92" s="14" t="str">
        <f aca="false">IF(AG92=0,"",IF(OR(AI92&lt;2,AK92&gt;EOMONTH(AsOfDate,-1)),BE92,IF((AK92-1)&lt;AH92,-1,12*(YEAR((AK92-1))-YEAR(AH92))+MONTH((AK92-1))-MONTH(AH92)-IF(DAY((AK92-1))&lt;MIN(DAY(AH92),DAY(EOMONTH((AK92-1),0))),1,0))))</f>
        <v/>
      </c>
      <c r="BG92" s="14" t="str">
        <f aca="false">IF(AG92=0,"",IF(OR(AI92&lt;3,AL92&gt;EOMONTH(AsOfDate,-1)),BE92,IF((AL92-1)&lt;AH92,-1,12*(YEAR((AL92-1))-YEAR(AH92))+MONTH((AL92-1))-MONTH(AH92)-IF(DAY((AL92-1))&lt;MIN(DAY(AH92),DAY(EOMONTH((AL92-1),0))),1,0))))</f>
        <v/>
      </c>
      <c r="BH92" s="14" t="str">
        <f aca="false">IF(AG92=0,"",IF(AP92="FT",IF(BF92&lt;FT_First,0,IF(BF92&lt;FT_Y5,1+INT((BF92-FT_First)/FT_Int1),FT_PreY5+FT_PerYear*INT((BF92-FT_Y5)/12)+FT_AnnivDays+INT(MOD(BF92-FT_Y5,12)/FT_Int2))),IF(AP92="PT",IF(BF92&lt;PT_First,0,1+INT((BF92-PT_First)/PT_Int)),0))+IF(AND(AI92&gt;=2,AK92&lt;=EOMONTH(AsOfDate,-1)),IF(AQ92="FT",IF(BG92&lt;FT_First,0,IF(BG92&lt;FT_Y5,1+INT((BG92-FT_First)/FT_Int1),FT_PreY5+FT_PerYear*INT((BG92-FT_Y5)/12)+FT_AnnivDays+INT(MOD(BG92-FT_Y5,12)/FT_Int2))),IF(AQ92="PT",IF(BG92&lt;PT_First,0,1+INT((BG92-PT_First)/PT_Int)),0))-IF(AQ92="FT",IF(BF92&lt;FT_First,0,IF(BF92&lt;FT_Y5,1+INT((BF92-FT_First)/FT_Int1),FT_PreY5+FT_PerYear*INT((BF92-FT_Y5)/12)+FT_AnnivDays+INT(MOD(BF92-FT_Y5,12)/FT_Int2))),IF(AQ92="PT",IF(BF92&lt;PT_First,0,1+INT((BF92-PT_First)/PT_Int)),0)),0)+IF(AND(AI92&gt;=3,AL92&lt;=EOMONTH(AsOfDate,-1)),IF(AR92="FT",IF(BE92&lt;FT_First,0,IF(BE92&lt;FT_Y5,1+INT((BE92-FT_First)/FT_Int1),FT_PreY5+FT_PerYear*INT((BE92-FT_Y5)/12)+FT_AnnivDays+INT(MOD(BE92-FT_Y5,12)/FT_Int2))),IF(AR92="PT",IF(BE92&lt;PT_First,0,1+INT((BE92-PT_First)/PT_Int)),0))-IF(AR92="FT",IF(BG92&lt;FT_First,0,IF(BG92&lt;FT_Y5,1+INT((BG92-FT_First)/FT_Int1),FT_PreY5+FT_PerYear*INT((BG92-FT_Y5)/12)+FT_AnnivDays+INT(MOD(BG92-FT_Y5,12)/FT_Int2))),IF(AR92="PT",IF(BG92&lt;PT_First,0,1+INT((BG92-PT_First)/PT_Int)),0)),0))</f>
        <v/>
      </c>
      <c r="BI92" s="14" t="str">
        <f aca="false">IF(AG92=0,"",IF(AS92="FT",IF(AT92&lt;FT_First,"",IF(AT92&lt;FT_Y5,FT_First+FT_Int1*INT((AT92-FT_First)/FT_Int1),FT_Y5+FT_Int2*INT((AT92-FT_Y5)/FT_Int2))),IF(AS92="PT",IF(AT92&lt;PT_First,"",PT_First+PT_Int*INT((AT92-PT_First)/PT_Int)),"")))</f>
        <v/>
      </c>
      <c r="BJ92" s="0" t="str">
        <f aca="false">IF(LEN($A92&amp;$B92)=0,"",$A92&amp;" "&amp;$B92)</f>
        <v/>
      </c>
    </row>
    <row r="93" customFormat="false" ht="15" hidden="false" customHeight="false" outlineLevel="0" collapsed="false">
      <c r="A93" s="10"/>
      <c r="B93" s="10"/>
      <c r="C93" s="10"/>
      <c r="D93" s="11"/>
      <c r="E93" s="12" t="str">
        <f aca="false">IF(OR(AG93=0,$D93=""),"",DATE(YEAR(AsOfDate)+IF(DATE(YEAR(AsOfDate),MONTH($D93),DAY($D93))&lt;=AsOfDate,1,0),MONTH($D93),DAY($D93)))</f>
        <v/>
      </c>
      <c r="F93" s="11"/>
      <c r="G93" s="11"/>
      <c r="H93" s="11"/>
      <c r="I93" s="11"/>
      <c r="J93" s="11"/>
      <c r="K93" s="12" t="str">
        <f aca="false">IF(AG93=0,"",DATE(YEAR(AsOfDate)+IF(DATE(YEAR(AsOfDate),MONTH(AH93),DAY(AH93))&lt;=AsOfDate,1,0),MONTH(AH93),DAY(AH93)))</f>
        <v/>
      </c>
      <c r="L93" s="13" t="str">
        <f aca="false">IF(AG93=0,"",ROUND((AsOfDate-AH93)/365.25,1))</f>
        <v/>
      </c>
      <c r="M93" s="14" t="str">
        <f aca="false">IF(AG93=0,"",IF(AsOfDate&lt;AH93,"-",DATEDIF(AH93,AsOfDate,"y")&amp;"y "&amp;DATEDIF(AH93,AsOfDate,"ym")&amp;"m "&amp;DATEDIF(AH93,AsOfDate,"md")&amp;"d"))</f>
        <v/>
      </c>
      <c r="N93" s="15" t="str">
        <f aca="false">IF(AG93=0,"",O93*HoursPerDay)</f>
        <v/>
      </c>
      <c r="O93" s="15" t="str">
        <f aca="false">IF(AG93=0,"",AZ93)</f>
        <v/>
      </c>
      <c r="P93" s="16"/>
      <c r="Q93" s="14" t="str">
        <f aca="false">IF(AG93=0,"",IF(AI93&lt;2,"",AM93&amp;" to "&amp;AN93&amp;" on "&amp;TEXT(AK93,"dd/mm/yyyy")&amp;IF(AK93&gt;AsOfDate," (future)",IF(AP93=AQ93,"",IF(AQ93="None"," - STOPPED accruing",IF(AP93="None"," - commencement for Bonus Leave"," - pathway changed"))))&amp;IF(AI93&lt;3,"","; "&amp;AN93&amp;" to "&amp;AO93&amp;" on "&amp;TEXT(AL93,"dd/mm/yyyy")&amp;IF(AL93&gt;AsOfDate," (future)",IF(AQ93=AR93,"",IF(AR93="None"," - STOPPED accruing",IF(AQ93="None"," - commencement for Bonus Leave"," - pathway changed")))))))</f>
        <v/>
      </c>
      <c r="R93" s="14" t="str">
        <f aca="false">IF(AG93=0,"",IF(AS93="None",IF(O93&gt;0,"No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2" t="str">
        <f aca="false">IF(AG93=0,"",IF(AS93="None","",EDATE(AH93,BB93)))</f>
        <v/>
      </c>
      <c r="T93" s="15" t="str">
        <f aca="false">IF(AG93=0,"",IF(NOT(LH_Ready),"",IF(AH93&gt;PFYDate,0,IF(LH_ColPeriod=0,W93-U93+V93,SUMIFS(INDEX(LH_Data,0,LH_ColAcc),INDEX(LH_Data,0,LH_ColFirst),$A93,INDEX(LH_Data,0,LH_ColSur),$B93,INDEX(LH_Data,0,LH_ColCat),BonusCat,INDEX(LH_Data,0,LH_ColPeriod),LH_OpenLabel)*UnitFactor))))</f>
        <v/>
      </c>
      <c r="U93" s="15" t="str">
        <f aca="false">IF(AG93=0,"",IF(NOT(LH_Ready),"",SUMIFS(INDEX(LH_Data,0,LH_ColAcc),INDEX(LH_Data,0,LH_ColFirst),$A93,INDEX(LH_Data,0,LH_ColSur),$B93,INDEX(LH_Data,0,LH_ColCat),BonusCat,INDEX(LH_Data,0,LH_ColStart),"&gt;="&amp;AH93)*UnitFactor))</f>
        <v/>
      </c>
      <c r="V93" s="15" t="str">
        <f aca="false">IF(AG93=0,"",IF(NOT(LH_Ready),"",SUMIFS(INDEX(LH_Data,0,LH_ColTaken),INDEX(LH_Data,0,LH_ColFirst),$A93,INDEX(LH_Data,0,LH_ColSur),$B93,INDEX(LH_Data,0,LH_ColCat),BonusCat,INDEX(LH_Data,0,LH_ColStart),"&gt;="&amp;AH93)*UnitFactor))</f>
        <v/>
      </c>
      <c r="W93" s="15" t="str">
        <f aca="false">IF(AG93=0,"",IF(NOT(LH_Ready),"",IF(BD93=0,0,INDEX(INDEX(LH_Data,0,LH_ColClose),BD93-1)*UnitFactor)))</f>
        <v/>
      </c>
      <c r="X93" s="15" t="str">
        <f aca="false">IF(AG93=0,"",(AZ93-BA93)*HoursPerDay)</f>
        <v/>
      </c>
      <c r="Y93" s="15" t="str">
        <f aca="false">IF(AG93=0,"",IF(NOT(LH_Ready),"",IF(BC93=0,N93,IF(PFYDate&lt;$F93,N93-N(T93)-N(U93),X93-N(U93)))))</f>
        <v/>
      </c>
      <c r="Z93" s="14" t="str">
        <f aca="false">IF(OR(AG93=0,Y93=""),"",IF(Y93&gt;0,"Yes","No"))</f>
        <v/>
      </c>
      <c r="AA93" s="14" t="str">
        <f aca="false">IF(AG93=0,IF(LEN($A93&amp;$B93)=0,"","FIX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month")&amp;IF(BC93=0,";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EH)",""),IF(AS93="None",R93,"Not yet - first day on "&amp;TEXT(S93,"dd/mm/yyyy")))))))))</f>
        <v/>
      </c>
      <c r="AB93" s="15" t="str">
        <f aca="false">IF(OR(AG93=0,T93=""),"",BA93*HoursPerDay-T93)</f>
        <v/>
      </c>
      <c r="AC93" s="14" t="str">
        <f aca="false">IF(AG93=0,"",BC93)</f>
        <v/>
      </c>
      <c r="AD93" s="14" t="str">
        <f aca="false">IF(AG93=0,"",TRIM(IF(OR(ISTEXT($F93),ISTEXT($H93),ISTEXT($I93),ISTEXT($G93),ISTEXT($J93),ISTEXT($D93)),"A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I93&gt;=1,IF(AI93&gt;=3,AO93,IF(AI93=2,AN93,AM93))&lt;&gt;IF($C93="","",IF(OR(ISNUMBER(SEARCH("full",$C93)),UPPER(TRIM($C93))="FT",UPPER(TRIM($C93))="FTE"),"Full-Time",IF(OR(ISNUMBER(SEARCH("part",$C93)),UPPER(TRIM($C93))="PT",UPPER(TRIM($C93))="PTE"),"Part-Time",IF(OR(ISNUMBER(SEARCH("cas",$C93)),UPPER(TRIM($C93))="CAS"),"Casual","Unknown"))))),"EmploymentType does not match latest start date ("&amp;IF(AI93&gt;=3,AO93,IF(AI93=2,AN93,AM93))&amp;"). ","")&amp;IF(AND(AI93&gt;=1,AJ93&lt;&gt;$F93),"Earliest type date should equal StartDate. ","")&amp;IF(AND(AI93&gt;=2,AJ93=AK93),"Two types start on the same date. ","")&amp;IF(AND(OR(ISNUMBER(SEARCH("part",$C93)),UPPER(TRIM($C93))="PT",UPPER(TRIM($C93))="PTE"),$P93=""),"Part-time: enter PT Hrs/Week (blank = 24+). ","")))</f>
        <v/>
      </c>
      <c r="AE93" s="15" t="str">
        <f aca="false">IF(AG93=0,"",O93-BH93)</f>
        <v/>
      </c>
      <c r="AF93" s="12" t="str">
        <f aca="false">IF(OR(AG93=0,AE93="",N(AE93)=0,BI93=""),"",EDATE(AH93,BI93))</f>
        <v/>
      </c>
      <c r="AG93" s="14" t="n">
        <f aca="false">IF(OR(LEN($A93&amp;$B93)=0,$F93=""),0,1)</f>
        <v>0</v>
      </c>
      <c r="AH93" s="12" t="str">
        <f aca="false">IF(AG93=0,"",IF($J93&lt;&gt;"",$J93,IF(OR(CasualCounts="Yes",COUNT($G93:$I93)=0,COUNT($H93:$I93)=0),$F93,MIN($H93:$I93))))</f>
        <v/>
      </c>
      <c r="AI93" s="14" t="str">
        <f aca="false">IF(AG93=0,"",COUNT($G93:$I93))</f>
        <v/>
      </c>
      <c r="AJ93" s="12" t="str">
        <f aca="false">IF(AG93=0,"",IFERROR(SMALL($G93:$I93,1),""))</f>
        <v/>
      </c>
      <c r="AK93" s="12" t="str">
        <f aca="false">IF(AG93=0,"",IFERROR(SMALL($G93:$I93,2),""))</f>
        <v/>
      </c>
      <c r="AL93" s="12" t="str">
        <f aca="false">IF(AG93=0,"",IFERROR(SMALL($G93:$I93,3),""))</f>
        <v/>
      </c>
      <c r="AM93" s="14" t="str">
        <f aca="false">IF(AG93=0,"",IF(AJ93="","",IF(AJ93=$H93,"Part-Time",IF(AJ93=$I93,"Full-Time","Casual"))))</f>
        <v/>
      </c>
      <c r="AN93" s="14" t="str">
        <f aca="false">IF(AG93=0,"",IF(AK93="","",IF(AK93=$H93,"Part-Time",IF(AK93=$I93,"Full-Time","Casual"))))</f>
        <v/>
      </c>
      <c r="AO93" s="14" t="str">
        <f aca="false">IF(AG93=0,"",IF(AL93="","",IF(AL93=$H93,"Part-Time",IF(AL93=$I93,"Full-Time","Casual"))))</f>
        <v/>
      </c>
      <c r="AP93" s="14" t="str">
        <f aca="false">IF(AG93=0,"",IF(AI93=0,IF(OR(ISNUMBER(SEARCH("full",$C93)),UPPER(TRIM($C93))="FT",UPPER(TRIM($C93))="FTE"),"FT",IF(AND(OR(ISNUMBER(SEARCH("part",$C93)),UPPER(TRIM($C93))="PT",UPPER(TRIM($C93))="PTE"),OR($P93="",N($P93)&gt;=PT_MinHours)),"PT","None")),IF(OR(ISNUMBER(SEARCH("full",AM93)),UPPER(TRIM(AM93))="FT",UPPER(TRIM(AM93))="FTE"),"FT",IF(AND(OR(ISNUMBER(SEARCH("part",AM93)),UPPER(TRIM(AM93))="PT",UPPER(TRIM(AM93))="PTE"),OR($P93="",N($P93)&gt;=PT_MinHours)),"PT","None"))))</f>
        <v/>
      </c>
      <c r="AQ93" s="14" t="str">
        <f aca="false">IF(AG93=0,"",IF(AI93&lt;2,"",IF(OR(ISNUMBER(SEARCH("full",AN93)),UPPER(TRIM(AN93))="FT",UPPER(TRIM(AN93))="FTE"),"FT",IF(AND(OR(ISNUMBER(SEARCH("part",AN93)),UPPER(TRIM(AN93))="PT",UPPER(TRIM(AN93))="PTE"),OR($P93="",N($P93)&gt;=PT_MinHours)),"PT","None"))))</f>
        <v/>
      </c>
      <c r="AR93" s="14" t="str">
        <f aca="false">IF(AG93=0,"",IF(AI93&lt;3,"",IF(OR(ISNUMBER(SEARCH("full",AO93)),UPPER(TRIM(AO93))="FT",UPPER(TRIM(AO93))="FTE"),"FT",IF(AND(OR(ISNUMBER(SEARCH("part",AO93)),UPPER(TRIM(AO93))="PT",UPPER(TRIM(AO93))="PTE"),OR($P93="",N($P93)&gt;=PT_MinHours)),"PT","None"))))</f>
        <v/>
      </c>
      <c r="AS93" s="14" t="str">
        <f aca="false">IF(AG93=0,"",IF(AND(AI93&gt;=3,AL93&lt;=AsOfDate),AR93,IF(AND(AI93&gt;=2,AK93&lt;=AsOfDate),AQ93,AP93)))</f>
        <v/>
      </c>
      <c r="AT93" s="14" t="str">
        <f aca="false">IF(AG93=0,"",IF(AsOfDate&lt;AH93,-1,12*(YEAR(AsOfDate)-YEAR(AH93))+MONTH(AsOfDate)-MONTH(AH93)-IF(DAY(AsOfDate)&lt;MIN(DAY(AH93),DAY(EOMONTH(AsOfDate,0))),1,0)))</f>
        <v/>
      </c>
      <c r="AU93" s="14" t="str">
        <f aca="false">IF(AG93=0,"",IF(OR(AI93&lt;2,AK93&gt;AsOfDate),AT93,IF((AK93-1)&lt;AH93,-1,12*(YEAR((AK93-1))-YEAR(AH93))+MONTH((AK93-1))-MONTH(AH93)-IF(DAY((AK93-1))&lt;MIN(DAY(AH93),DAY(EOMONTH((AK93-1),0))),1,0))))</f>
        <v/>
      </c>
      <c r="AV93" s="14" t="str">
        <f aca="false">IF(AG93=0,"",IF(OR(AI93&lt;3,AL93&gt;AsOfDate),AT93,IF((AL93-1)&lt;AH93,-1,12*(YEAR((AL93-1))-YEAR(AH93))+MONTH((AL93-1))-MONTH(AH93)-IF(DAY((AL93-1))&lt;MIN(DAY(AH93),DAY(EOMONTH((AL93-1),0))),1,0))))</f>
        <v/>
      </c>
      <c r="AW93" s="14" t="str">
        <f aca="false">IF(AG93=0,"",IF(PFYDate&lt;AH93,-1,12*(YEAR(PFYDate)-YEAR(AH93))+MONTH(PFYDate)-MONTH(AH93)-IF(DAY(PFYDate)&lt;MIN(DAY(AH93),DAY(EOMONTH(PFYDate,0))),1,0)))</f>
        <v/>
      </c>
      <c r="AX93" s="14" t="str">
        <f aca="false">IF(AG93=0,"",IF(OR(AI93&lt;2,AK93&gt;PFYDate),AW93,IF((AK93-1)&lt;AH93,-1,12*(YEAR((AK93-1))-YEAR(AH93))+MONTH((AK93-1))-MONTH(AH93)-IF(DAY((AK93-1))&lt;MIN(DAY(AH93),DAY(EOMONTH((AK93-1),0))),1,0))))</f>
        <v/>
      </c>
      <c r="AY93" s="14" t="str">
        <f aca="false">IF(AG93=0,"",IF(OR(AI93&lt;3,AL93&gt;PFYDate),AW93,IF((AL93-1)&lt;AH93,-1,12*(YEAR((AL93-1))-YEAR(AH93))+MONTH((AL93-1))-MONTH(AH93)-IF(DAY((AL93-1))&lt;MIN(DAY(AH93),DAY(EOMONTH((AL93-1),0))),1,0))))</f>
        <v/>
      </c>
      <c r="AZ93" s="14" t="str">
        <f aca="false">IF(AG93=0,"",IF(AP93="FT",IF(AU93&lt;FT_First,0,IF(AU93&lt;FT_Y5,1+INT((AU93-FT_First)/FT_Int1),FT_PreY5+FT_PerYear*INT((AU93-FT_Y5)/12)+FT_AnnivDays+INT(MOD(AU93-FT_Y5,12)/FT_Int2))),IF(AP93="PT",IF(AU93&lt;PT_First,0,1+INT((AU93-PT_First)/PT_Int)),0))+IF(AND(AI93&gt;=2,AK93&lt;=AsOfDate),IF(AQ93="FT",IF(AV93&lt;FT_First,0,IF(AV93&lt;FT_Y5,1+INT((AV93-FT_First)/FT_Int1),FT_PreY5+FT_PerYear*INT((AV93-FT_Y5)/12)+FT_AnnivDays+INT(MOD(AV93-FT_Y5,12)/FT_Int2))),IF(AQ93="PT",IF(AV93&lt;PT_First,0,1+INT((AV93-PT_First)/PT_Int)),0))-IF(AQ93="FT",IF(AU93&lt;FT_First,0,IF(AU93&lt;FT_Y5,1+INT((AU93-FT_First)/FT_Int1),FT_PreY5+FT_PerYear*INT((AU93-FT_Y5)/12)+FT_AnnivDays+INT(MOD(AU93-FT_Y5,12)/FT_Int2))),IF(AQ93="PT",IF(AU93&lt;PT_First,0,1+INT((AU93-PT_First)/PT_Int)),0)),0)+IF(AND(AI93&gt;=3,AL93&lt;=AsOfDate),IF(AR93="FT",IF(AT93&lt;FT_First,0,IF(AT93&lt;FT_Y5,1+INT((AT93-FT_First)/FT_Int1),FT_PreY5+FT_PerYear*INT((AT93-FT_Y5)/12)+FT_AnnivDays+INT(MOD(AT93-FT_Y5,12)/FT_Int2))),IF(AR93="PT",IF(AT93&lt;PT_First,0,1+INT((AT93-PT_First)/PT_Int)),0))-IF(AR93="FT",IF(AV93&lt;FT_First,0,IF(AV93&lt;FT_Y5,1+INT((AV93-FT_First)/FT_Int1),FT_PreY5+FT_PerYear*INT((AV93-FT_Y5)/12)+FT_AnnivDays+INT(MOD(AV93-FT_Y5,12)/FT_Int2))),IF(AR93="PT",IF(AV93&lt;PT_First,0,1+INT((AV93-PT_First)/PT_Int)),0)),0))</f>
        <v/>
      </c>
      <c r="BA93" s="14" t="str">
        <f aca="false">IF(AG93=0,"",IF(AP93="FT",IF(AX93&lt;FT_First,0,IF(AX93&lt;FT_Y5,1+INT((AX93-FT_First)/FT_Int1),FT_PreY5+FT_PerYear*INT((AX93-FT_Y5)/12)+FT_AnnivDays+INT(MOD(AX93-FT_Y5,12)/FT_Int2))),IF(AP93="PT",IF(AX93&lt;PT_First,0,1+INT((AX93-PT_First)/PT_Int)),0))+IF(AND(AI93&gt;=2,AK93&lt;=PFYDate),IF(AQ93="FT",IF(AY93&lt;FT_First,0,IF(AY93&lt;FT_Y5,1+INT((AY93-FT_First)/FT_Int1),FT_PreY5+FT_PerYear*INT((AY93-FT_Y5)/12)+FT_AnnivDays+INT(MOD(AY93-FT_Y5,12)/FT_Int2))),IF(AQ93="PT",IF(AY93&lt;PT_First,0,1+INT((AY93-PT_First)/PT_Int)),0))-IF(AQ93="FT",IF(AX93&lt;FT_First,0,IF(AX93&lt;FT_Y5,1+INT((AX93-FT_First)/FT_Int1),FT_PreY5+FT_PerYear*INT((AX93-FT_Y5)/12)+FT_AnnivDays+INT(MOD(AX93-FT_Y5,12)/FT_Int2))),IF(AQ93="PT",IF(AX93&lt;PT_First,0,1+INT((AX93-PT_First)/PT_Int)),0)),0)+IF(AND(AI93&gt;=3,AL93&lt;=PFYDate),IF(AR93="FT",IF(AW93&lt;FT_First,0,IF(AW93&lt;FT_Y5,1+INT((AW93-FT_First)/FT_Int1),FT_PreY5+FT_PerYear*INT((AW93-FT_Y5)/12)+FT_AnnivDays+INT(MOD(AW93-FT_Y5,12)/FT_Int2))),IF(AR93="PT",IF(AW93&lt;PT_First,0,1+INT((AW93-PT_First)/PT_Int)),0))-IF(AR93="FT",IF(AY93&lt;FT_First,0,IF(AY93&lt;FT_Y5,1+INT((AY93-FT_First)/FT_Int1),FT_PreY5+FT_PerYear*INT((AY93-FT_Y5)/12)+FT_AnnivDays+INT(MOD(AY93-FT_Y5,12)/FT_Int2))),IF(AR93="PT",IF(AY93&lt;PT_First,0,1+INT((AY93-PT_First)/PT_Int)),0)),0))</f>
        <v/>
      </c>
      <c r="BB93" s="14" t="str">
        <f aca="false">IF(AG93=0,"",IF(AS93="FT",IF(AT93&lt;FT_First,FT_First,IF(AT93&lt;FT_Y5,MIN(FT_Y5,FT_First+FT_Int1*(INT((AT93-FT_First)/FT_Int1)+1)),FT_Y5+12*INT((AT93-FT_Y5)/12)+FT_Int2*(INT(MOD(AT93-FT_Y5,12)/FT_Int2)+1))),IF(AS93="PT",IF(AT93&lt;PT_First,PT_First,PT_First+PT_Int*(INT((AT93-PT_First)/PT_Int)+1)),"")))</f>
        <v/>
      </c>
      <c r="BC93" s="14" t="str">
        <f aca="false">IF(AG93=0,"",IF(NOT(LH_Ready),0,COUNTIFS(INDEX(LH_Data,0,LH_ColFirst),$A93,INDEX(LH_Data,0,LH_ColSur),$B93,INDEX(LH_Data,0,LH_ColCat),BonusCat)))</f>
        <v/>
      </c>
      <c r="BD93" s="14" t="str">
        <f aca="false">IF(AG93=0,"",IF(OR(NOT(LH_Ready),BC93=0),0,SUMPRODUCT(MAX((INDEX(LH_Data,0,LH_ColFirst)=$A93)*(INDEX(LH_Data,0,LH_ColSur)=$B93)*(INDEX(LH_Data,0,LH_ColCat)=BonusCat)*ROW(LH_Data)))))</f>
        <v/>
      </c>
      <c r="BE93" s="14" t="str">
        <f aca="false">IF(AG93=0,"",IF(EOMONTH(AsOfDate,-1)&lt;AH93,-1,12*(YEAR(EOMONTH(AsOfDate,-1))-YEAR(AH93))+MONTH(EOMONTH(AsOfDate,-1))-MONTH(AH93)-IF(DAY(EOMONTH(AsOfDate,-1))&lt;MIN(DAY(AH93),DAY(EOMONTH(EOMONTH(AsOfDate,-1),0))),1,0)))</f>
        <v/>
      </c>
      <c r="BF93" s="14" t="str">
        <f aca="false">IF(AG93=0,"",IF(OR(AI93&lt;2,AK93&gt;EOMONTH(AsOfDate,-1)),BE93,IF((AK93-1)&lt;AH93,-1,12*(YEAR((AK93-1))-YEAR(AH93))+MONTH((AK93-1))-MONTH(AH93)-IF(DAY((AK93-1))&lt;MIN(DAY(AH93),DAY(EOMONTH((AK93-1),0))),1,0))))</f>
        <v/>
      </c>
      <c r="BG93" s="14" t="str">
        <f aca="false">IF(AG93=0,"",IF(OR(AI93&lt;3,AL93&gt;EOMONTH(AsOfDate,-1)),BE93,IF((AL93-1)&lt;AH93,-1,12*(YEAR((AL93-1))-YEAR(AH93))+MONTH((AL93-1))-MONTH(AH93)-IF(DAY((AL93-1))&lt;MIN(DAY(AH93),DAY(EOMONTH((AL93-1),0))),1,0))))</f>
        <v/>
      </c>
      <c r="BH93" s="14" t="str">
        <f aca="false">IF(AG93=0,"",IF(AP93="FT",IF(BF93&lt;FT_First,0,IF(BF93&lt;FT_Y5,1+INT((BF93-FT_First)/FT_Int1),FT_PreY5+FT_PerYear*INT((BF93-FT_Y5)/12)+FT_AnnivDays+INT(MOD(BF93-FT_Y5,12)/FT_Int2))),IF(AP93="PT",IF(BF93&lt;PT_First,0,1+INT((BF93-PT_First)/PT_Int)),0))+IF(AND(AI93&gt;=2,AK93&lt;=EOMONTH(AsOfDate,-1)),IF(AQ93="FT",IF(BG93&lt;FT_First,0,IF(BG93&lt;FT_Y5,1+INT((BG93-FT_First)/FT_Int1),FT_PreY5+FT_PerYear*INT((BG93-FT_Y5)/12)+FT_AnnivDays+INT(MOD(BG93-FT_Y5,12)/FT_Int2))),IF(AQ93="PT",IF(BG93&lt;PT_First,0,1+INT((BG93-PT_First)/PT_Int)),0))-IF(AQ93="FT",IF(BF93&lt;FT_First,0,IF(BF93&lt;FT_Y5,1+INT((BF93-FT_First)/FT_Int1),FT_PreY5+FT_PerYear*INT((BF93-FT_Y5)/12)+FT_AnnivDays+INT(MOD(BF93-FT_Y5,12)/FT_Int2))),IF(AQ93="PT",IF(BF93&lt;PT_First,0,1+INT((BF93-PT_First)/PT_Int)),0)),0)+IF(AND(AI93&gt;=3,AL93&lt;=EOMONTH(AsOfDate,-1)),IF(AR93="FT",IF(BE93&lt;FT_First,0,IF(BE93&lt;FT_Y5,1+INT((BE93-FT_First)/FT_Int1),FT_PreY5+FT_PerYear*INT((BE93-FT_Y5)/12)+FT_AnnivDays+INT(MOD(BE93-FT_Y5,12)/FT_Int2))),IF(AR93="PT",IF(BE93&lt;PT_First,0,1+INT((BE93-PT_First)/PT_Int)),0))-IF(AR93="FT",IF(BG93&lt;FT_First,0,IF(BG93&lt;FT_Y5,1+INT((BG93-FT_First)/FT_Int1),FT_PreY5+FT_PerYear*INT((BG93-FT_Y5)/12)+FT_AnnivDays+INT(MOD(BG93-FT_Y5,12)/FT_Int2))),IF(AR93="PT",IF(BG93&lt;PT_First,0,1+INT((BG93-PT_First)/PT_Int)),0)),0))</f>
        <v/>
      </c>
      <c r="BI93" s="14" t="str">
        <f aca="false">IF(AG93=0,"",IF(AS93="FT",IF(AT93&lt;FT_First,"",IF(AT93&lt;FT_Y5,FT_First+FT_Int1*INT((AT93-FT_First)/FT_Int1),FT_Y5+FT_Int2*INT((AT93-FT_Y5)/FT_Int2))),IF(AS93="PT",IF(AT93&lt;PT_First,"",PT_First+PT_Int*INT((AT93-PT_First)/PT_Int)),"")))</f>
        <v/>
      </c>
      <c r="BJ93" s="0" t="str">
        <f aca="false">IF(LEN($A93&amp;$B93)=0,"",$A93&amp;" "&amp;$B93)</f>
        <v/>
      </c>
    </row>
    <row r="94" customFormat="false" ht="15" hidden="false" customHeight="false" outlineLevel="0" collapsed="false">
      <c r="A94" s="10"/>
      <c r="B94" s="10"/>
      <c r="C94" s="10"/>
      <c r="D94" s="11"/>
      <c r="E94" s="12" t="str">
        <f aca="false">IF(OR(AG94=0,$D94=""),"",DATE(YEAR(AsOfDate)+IF(DATE(YEAR(AsOfDate),MONTH($D94),DAY($D94))&lt;=AsOfDate,1,0),MONTH($D94),DAY($D94)))</f>
        <v/>
      </c>
      <c r="F94" s="11"/>
      <c r="G94" s="11"/>
      <c r="H94" s="11"/>
      <c r="I94" s="11"/>
      <c r="J94" s="11"/>
      <c r="K94" s="12" t="str">
        <f aca="false">IF(AG94=0,"",DATE(YEAR(AsOfDate)+IF(DATE(YEAR(AsOfDate),MONTH(AH94),DAY(AH94))&lt;=AsOfDate,1,0),MONTH(AH94),DAY(AH94)))</f>
        <v/>
      </c>
      <c r="L94" s="13" t="str">
        <f aca="false">IF(AG94=0,"",ROUND((AsOfDate-AH94)/365.25,1))</f>
        <v/>
      </c>
      <c r="M94" s="14" t="str">
        <f aca="false">IF(AG94=0,"",IF(AsOfDate&lt;AH94,"-",DATEDIF(AH94,AsOfDate,"y")&amp;"y "&amp;DATEDIF(AH94,AsOfDate,"ym")&amp;"m "&amp;DATEDIF(AH94,AsOfDate,"md")&amp;"d"))</f>
        <v/>
      </c>
      <c r="N94" s="15" t="str">
        <f aca="false">IF(AG94=0,"",O94*HoursPerDay)</f>
        <v/>
      </c>
      <c r="O94" s="15" t="str">
        <f aca="false">IF(AG94=0,"",AZ94)</f>
        <v/>
      </c>
      <c r="P94" s="16"/>
      <c r="Q94" s="14" t="str">
        <f aca="false">IF(AG94=0,"",IF(AI94&lt;2,"",AM94&amp;" to "&amp;AN94&amp;" on "&amp;TEXT(AK94,"dd/mm/yyyy")&amp;IF(AK94&gt;AsOfDate," (future)",IF(AP94=AQ94,"",IF(AQ94="None"," - STOPPED accruing",IF(AP94="None"," - commencement for Bonus Leave"," - pathway changed"))))&amp;IF(AI94&lt;3,"","; "&amp;AN94&amp;" to "&amp;AO94&amp;" on "&amp;TEXT(AL94,"dd/mm/yyyy")&amp;IF(AL94&gt;AsOfDate," (future)",IF(AQ94=AR94,"",IF(AR94="None"," - STOPPED accruing",IF(AQ94="None"," - commencement for Bonus Leave"," - pathway changed")))))))</f>
        <v/>
      </c>
      <c r="R94" s="14" t="str">
        <f aca="false">IF(AG94=0,"",IF(AS94="None",IF(O94&gt;0,"No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2" t="str">
        <f aca="false">IF(AG94=0,"",IF(AS94="None","",EDATE(AH94,BB94)))</f>
        <v/>
      </c>
      <c r="T94" s="15" t="str">
        <f aca="false">IF(AG94=0,"",IF(NOT(LH_Ready),"",IF(AH94&gt;PFYDate,0,IF(LH_ColPeriod=0,W94-U94+V94,SUMIFS(INDEX(LH_Data,0,LH_ColAcc),INDEX(LH_Data,0,LH_ColFirst),$A94,INDEX(LH_Data,0,LH_ColSur),$B94,INDEX(LH_Data,0,LH_ColCat),BonusCat,INDEX(LH_Data,0,LH_ColPeriod),LH_OpenLabel)*UnitFactor))))</f>
        <v/>
      </c>
      <c r="U94" s="15" t="str">
        <f aca="false">IF(AG94=0,"",IF(NOT(LH_Ready),"",SUMIFS(INDEX(LH_Data,0,LH_ColAcc),INDEX(LH_Data,0,LH_ColFirst),$A94,INDEX(LH_Data,0,LH_ColSur),$B94,INDEX(LH_Data,0,LH_ColCat),BonusCat,INDEX(LH_Data,0,LH_ColStart),"&gt;="&amp;AH94)*UnitFactor))</f>
        <v/>
      </c>
      <c r="V94" s="15" t="str">
        <f aca="false">IF(AG94=0,"",IF(NOT(LH_Ready),"",SUMIFS(INDEX(LH_Data,0,LH_ColTaken),INDEX(LH_Data,0,LH_ColFirst),$A94,INDEX(LH_Data,0,LH_ColSur),$B94,INDEX(LH_Data,0,LH_ColCat),BonusCat,INDEX(LH_Data,0,LH_ColStart),"&gt;="&amp;AH94)*UnitFactor))</f>
        <v/>
      </c>
      <c r="W94" s="15" t="str">
        <f aca="false">IF(AG94=0,"",IF(NOT(LH_Ready),"",IF(BD94=0,0,INDEX(INDEX(LH_Data,0,LH_ColClose),BD94-1)*UnitFactor)))</f>
        <v/>
      </c>
      <c r="X94" s="15" t="str">
        <f aca="false">IF(AG94=0,"",(AZ94-BA94)*HoursPerDay)</f>
        <v/>
      </c>
      <c r="Y94" s="15" t="str">
        <f aca="false">IF(AG94=0,"",IF(NOT(LH_Ready),"",IF(BC94=0,N94,IF(PFYDate&lt;$F94,N94-N(T94)-N(U94),X94-N(U94)))))</f>
        <v/>
      </c>
      <c r="Z94" s="14" t="str">
        <f aca="false">IF(OR(AG94=0,Y94=""),"",IF(Y94&gt;0,"Yes","No"))</f>
        <v/>
      </c>
      <c r="AA94" s="14" t="str">
        <f aca="false">IF(AG94=0,IF(LEN($A94&amp;$B94)=0,"","FIX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month")&amp;IF(BC94=0,";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EH)",""),IF(AS94="None",R94,"Not yet - first day on "&amp;TEXT(S94,"dd/mm/yyyy")))))))))</f>
        <v/>
      </c>
      <c r="AB94" s="15" t="str">
        <f aca="false">IF(OR(AG94=0,T94=""),"",BA94*HoursPerDay-T94)</f>
        <v/>
      </c>
      <c r="AC94" s="14" t="str">
        <f aca="false">IF(AG94=0,"",BC94)</f>
        <v/>
      </c>
      <c r="AD94" s="14" t="str">
        <f aca="false">IF(AG94=0,"",TRIM(IF(OR(ISTEXT($F94),ISTEXT($H94),ISTEXT($I94),ISTEXT($G94),ISTEXT($J94),ISTEXT($D94)),"A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I94&gt;=1,IF(AI94&gt;=3,AO94,IF(AI94=2,AN94,AM94))&lt;&gt;IF($C94="","",IF(OR(ISNUMBER(SEARCH("full",$C94)),UPPER(TRIM($C94))="FT",UPPER(TRIM($C94))="FTE"),"Full-Time",IF(OR(ISNUMBER(SEARCH("part",$C94)),UPPER(TRIM($C94))="PT",UPPER(TRIM($C94))="PTE"),"Part-Time",IF(OR(ISNUMBER(SEARCH("cas",$C94)),UPPER(TRIM($C94))="CAS"),"Casual","Unknown"))))),"EmploymentType does not match latest start date ("&amp;IF(AI94&gt;=3,AO94,IF(AI94=2,AN94,AM94))&amp;"). ","")&amp;IF(AND(AI94&gt;=1,AJ94&lt;&gt;$F94),"Earliest type date should equal StartDate. ","")&amp;IF(AND(AI94&gt;=2,AJ94=AK94),"Two types start on the same date. ","")&amp;IF(AND(OR(ISNUMBER(SEARCH("part",$C94)),UPPER(TRIM($C94))="PT",UPPER(TRIM($C94))="PTE"),$P94=""),"Part-time: enter PT Hrs/Week (blank = 24+). ","")))</f>
        <v/>
      </c>
      <c r="AE94" s="15" t="str">
        <f aca="false">IF(AG94=0,"",O94-BH94)</f>
        <v/>
      </c>
      <c r="AF94" s="12" t="str">
        <f aca="false">IF(OR(AG94=0,AE94="",N(AE94)=0,BI94=""),"",EDATE(AH94,BI94))</f>
        <v/>
      </c>
      <c r="AG94" s="14" t="n">
        <f aca="false">IF(OR(LEN($A94&amp;$B94)=0,$F94=""),0,1)</f>
        <v>0</v>
      </c>
      <c r="AH94" s="12" t="str">
        <f aca="false">IF(AG94=0,"",IF($J94&lt;&gt;"",$J94,IF(OR(CasualCounts="Yes",COUNT($G94:$I94)=0,COUNT($H94:$I94)=0),$F94,MIN($H94:$I94))))</f>
        <v/>
      </c>
      <c r="AI94" s="14" t="str">
        <f aca="false">IF(AG94=0,"",COUNT($G94:$I94))</f>
        <v/>
      </c>
      <c r="AJ94" s="12" t="str">
        <f aca="false">IF(AG94=0,"",IFERROR(SMALL($G94:$I94,1),""))</f>
        <v/>
      </c>
      <c r="AK94" s="12" t="str">
        <f aca="false">IF(AG94=0,"",IFERROR(SMALL($G94:$I94,2),""))</f>
        <v/>
      </c>
      <c r="AL94" s="12" t="str">
        <f aca="false">IF(AG94=0,"",IFERROR(SMALL($G94:$I94,3),""))</f>
        <v/>
      </c>
      <c r="AM94" s="14" t="str">
        <f aca="false">IF(AG94=0,"",IF(AJ94="","",IF(AJ94=$H94,"Part-Time",IF(AJ94=$I94,"Full-Time","Casual"))))</f>
        <v/>
      </c>
      <c r="AN94" s="14" t="str">
        <f aca="false">IF(AG94=0,"",IF(AK94="","",IF(AK94=$H94,"Part-Time",IF(AK94=$I94,"Full-Time","Casual"))))</f>
        <v/>
      </c>
      <c r="AO94" s="14" t="str">
        <f aca="false">IF(AG94=0,"",IF(AL94="","",IF(AL94=$H94,"Part-Time",IF(AL94=$I94,"Full-Time","Casual"))))</f>
        <v/>
      </c>
      <c r="AP94" s="14" t="str">
        <f aca="false">IF(AG94=0,"",IF(AI94=0,IF(OR(ISNUMBER(SEARCH("full",$C94)),UPPER(TRIM($C94))="FT",UPPER(TRIM($C94))="FTE"),"FT",IF(AND(OR(ISNUMBER(SEARCH("part",$C94)),UPPER(TRIM($C94))="PT",UPPER(TRIM($C94))="PTE"),OR($P94="",N($P94)&gt;=PT_MinHours)),"PT","None")),IF(OR(ISNUMBER(SEARCH("full",AM94)),UPPER(TRIM(AM94))="FT",UPPER(TRIM(AM94))="FTE"),"FT",IF(AND(OR(ISNUMBER(SEARCH("part",AM94)),UPPER(TRIM(AM94))="PT",UPPER(TRIM(AM94))="PTE"),OR($P94="",N($P94)&gt;=PT_MinHours)),"PT","None"))))</f>
        <v/>
      </c>
      <c r="AQ94" s="14" t="str">
        <f aca="false">IF(AG94=0,"",IF(AI94&lt;2,"",IF(OR(ISNUMBER(SEARCH("full",AN94)),UPPER(TRIM(AN94))="FT",UPPER(TRIM(AN94))="FTE"),"FT",IF(AND(OR(ISNUMBER(SEARCH("part",AN94)),UPPER(TRIM(AN94))="PT",UPPER(TRIM(AN94))="PTE"),OR($P94="",N($P94)&gt;=PT_MinHours)),"PT","None"))))</f>
        <v/>
      </c>
      <c r="AR94" s="14" t="str">
        <f aca="false">IF(AG94=0,"",IF(AI94&lt;3,"",IF(OR(ISNUMBER(SEARCH("full",AO94)),UPPER(TRIM(AO94))="FT",UPPER(TRIM(AO94))="FTE"),"FT",IF(AND(OR(ISNUMBER(SEARCH("part",AO94)),UPPER(TRIM(AO94))="PT",UPPER(TRIM(AO94))="PTE"),OR($P94="",N($P94)&gt;=PT_MinHours)),"PT","None"))))</f>
        <v/>
      </c>
      <c r="AS94" s="14" t="str">
        <f aca="false">IF(AG94=0,"",IF(AND(AI94&gt;=3,AL94&lt;=AsOfDate),AR94,IF(AND(AI94&gt;=2,AK94&lt;=AsOfDate),AQ94,AP94)))</f>
        <v/>
      </c>
      <c r="AT94" s="14" t="str">
        <f aca="false">IF(AG94=0,"",IF(AsOfDate&lt;AH94,-1,12*(YEAR(AsOfDate)-YEAR(AH94))+MONTH(AsOfDate)-MONTH(AH94)-IF(DAY(AsOfDate)&lt;MIN(DAY(AH94),DAY(EOMONTH(AsOfDate,0))),1,0)))</f>
        <v/>
      </c>
      <c r="AU94" s="14" t="str">
        <f aca="false">IF(AG94=0,"",IF(OR(AI94&lt;2,AK94&gt;AsOfDate),AT94,IF((AK94-1)&lt;AH94,-1,12*(YEAR((AK94-1))-YEAR(AH94))+MONTH((AK94-1))-MONTH(AH94)-IF(DAY((AK94-1))&lt;MIN(DAY(AH94),DAY(EOMONTH((AK94-1),0))),1,0))))</f>
        <v/>
      </c>
      <c r="AV94" s="14" t="str">
        <f aca="false">IF(AG94=0,"",IF(OR(AI94&lt;3,AL94&gt;AsOfDate),AT94,IF((AL94-1)&lt;AH94,-1,12*(YEAR((AL94-1))-YEAR(AH94))+MONTH((AL94-1))-MONTH(AH94)-IF(DAY((AL94-1))&lt;MIN(DAY(AH94),DAY(EOMONTH((AL94-1),0))),1,0))))</f>
        <v/>
      </c>
      <c r="AW94" s="14" t="str">
        <f aca="false">IF(AG94=0,"",IF(PFYDate&lt;AH94,-1,12*(YEAR(PFYDate)-YEAR(AH94))+MONTH(PFYDate)-MONTH(AH94)-IF(DAY(PFYDate)&lt;MIN(DAY(AH94),DAY(EOMONTH(PFYDate,0))),1,0)))</f>
        <v/>
      </c>
      <c r="AX94" s="14" t="str">
        <f aca="false">IF(AG94=0,"",IF(OR(AI94&lt;2,AK94&gt;PFYDate),AW94,IF((AK94-1)&lt;AH94,-1,12*(YEAR((AK94-1))-YEAR(AH94))+MONTH((AK94-1))-MONTH(AH94)-IF(DAY((AK94-1))&lt;MIN(DAY(AH94),DAY(EOMONTH((AK94-1),0))),1,0))))</f>
        <v/>
      </c>
      <c r="AY94" s="14" t="str">
        <f aca="false">IF(AG94=0,"",IF(OR(AI94&lt;3,AL94&gt;PFYDate),AW94,IF((AL94-1)&lt;AH94,-1,12*(YEAR((AL94-1))-YEAR(AH94))+MONTH((AL94-1))-MONTH(AH94)-IF(DAY((AL94-1))&lt;MIN(DAY(AH94),DAY(EOMONTH((AL94-1),0))),1,0))))</f>
        <v/>
      </c>
      <c r="AZ94" s="14" t="str">
        <f aca="false">IF(AG94=0,"",IF(AP94="FT",IF(AU94&lt;FT_First,0,IF(AU94&lt;FT_Y5,1+INT((AU94-FT_First)/FT_Int1),FT_PreY5+FT_PerYear*INT((AU94-FT_Y5)/12)+FT_AnnivDays+INT(MOD(AU94-FT_Y5,12)/FT_Int2))),IF(AP94="PT",IF(AU94&lt;PT_First,0,1+INT((AU94-PT_First)/PT_Int)),0))+IF(AND(AI94&gt;=2,AK94&lt;=AsOfDate),IF(AQ94="FT",IF(AV94&lt;FT_First,0,IF(AV94&lt;FT_Y5,1+INT((AV94-FT_First)/FT_Int1),FT_PreY5+FT_PerYear*INT((AV94-FT_Y5)/12)+FT_AnnivDays+INT(MOD(AV94-FT_Y5,12)/FT_Int2))),IF(AQ94="PT",IF(AV94&lt;PT_First,0,1+INT((AV94-PT_First)/PT_Int)),0))-IF(AQ94="FT",IF(AU94&lt;FT_First,0,IF(AU94&lt;FT_Y5,1+INT((AU94-FT_First)/FT_Int1),FT_PreY5+FT_PerYear*INT((AU94-FT_Y5)/12)+FT_AnnivDays+INT(MOD(AU94-FT_Y5,12)/FT_Int2))),IF(AQ94="PT",IF(AU94&lt;PT_First,0,1+INT((AU94-PT_First)/PT_Int)),0)),0)+IF(AND(AI94&gt;=3,AL94&lt;=AsOfDate),IF(AR94="FT",IF(AT94&lt;FT_First,0,IF(AT94&lt;FT_Y5,1+INT((AT94-FT_First)/FT_Int1),FT_PreY5+FT_PerYear*INT((AT94-FT_Y5)/12)+FT_AnnivDays+INT(MOD(AT94-FT_Y5,12)/FT_Int2))),IF(AR94="PT",IF(AT94&lt;PT_First,0,1+INT((AT94-PT_First)/PT_Int)),0))-IF(AR94="FT",IF(AV94&lt;FT_First,0,IF(AV94&lt;FT_Y5,1+INT((AV94-FT_First)/FT_Int1),FT_PreY5+FT_PerYear*INT((AV94-FT_Y5)/12)+FT_AnnivDays+INT(MOD(AV94-FT_Y5,12)/FT_Int2))),IF(AR94="PT",IF(AV94&lt;PT_First,0,1+INT((AV94-PT_First)/PT_Int)),0)),0))</f>
        <v/>
      </c>
      <c r="BA94" s="14" t="str">
        <f aca="false">IF(AG94=0,"",IF(AP94="FT",IF(AX94&lt;FT_First,0,IF(AX94&lt;FT_Y5,1+INT((AX94-FT_First)/FT_Int1),FT_PreY5+FT_PerYear*INT((AX94-FT_Y5)/12)+FT_AnnivDays+INT(MOD(AX94-FT_Y5,12)/FT_Int2))),IF(AP94="PT",IF(AX94&lt;PT_First,0,1+INT((AX94-PT_First)/PT_Int)),0))+IF(AND(AI94&gt;=2,AK94&lt;=PFYDate),IF(AQ94="FT",IF(AY94&lt;FT_First,0,IF(AY94&lt;FT_Y5,1+INT((AY94-FT_First)/FT_Int1),FT_PreY5+FT_PerYear*INT((AY94-FT_Y5)/12)+FT_AnnivDays+INT(MOD(AY94-FT_Y5,12)/FT_Int2))),IF(AQ94="PT",IF(AY94&lt;PT_First,0,1+INT((AY94-PT_First)/PT_Int)),0))-IF(AQ94="FT",IF(AX94&lt;FT_First,0,IF(AX94&lt;FT_Y5,1+INT((AX94-FT_First)/FT_Int1),FT_PreY5+FT_PerYear*INT((AX94-FT_Y5)/12)+FT_AnnivDays+INT(MOD(AX94-FT_Y5,12)/FT_Int2))),IF(AQ94="PT",IF(AX94&lt;PT_First,0,1+INT((AX94-PT_First)/PT_Int)),0)),0)+IF(AND(AI94&gt;=3,AL94&lt;=PFYDate),IF(AR94="FT",IF(AW94&lt;FT_First,0,IF(AW94&lt;FT_Y5,1+INT((AW94-FT_First)/FT_Int1),FT_PreY5+FT_PerYear*INT((AW94-FT_Y5)/12)+FT_AnnivDays+INT(MOD(AW94-FT_Y5,12)/FT_Int2))),IF(AR94="PT",IF(AW94&lt;PT_First,0,1+INT((AW94-PT_First)/PT_Int)),0))-IF(AR94="FT",IF(AY94&lt;FT_First,0,IF(AY94&lt;FT_Y5,1+INT((AY94-FT_First)/FT_Int1),FT_PreY5+FT_PerYear*INT((AY94-FT_Y5)/12)+FT_AnnivDays+INT(MOD(AY94-FT_Y5,12)/FT_Int2))),IF(AR94="PT",IF(AY94&lt;PT_First,0,1+INT((AY94-PT_First)/PT_Int)),0)),0))</f>
        <v/>
      </c>
      <c r="BB94" s="14" t="str">
        <f aca="false">IF(AG94=0,"",IF(AS94="FT",IF(AT94&lt;FT_First,FT_First,IF(AT94&lt;FT_Y5,MIN(FT_Y5,FT_First+FT_Int1*(INT((AT94-FT_First)/FT_Int1)+1)),FT_Y5+12*INT((AT94-FT_Y5)/12)+FT_Int2*(INT(MOD(AT94-FT_Y5,12)/FT_Int2)+1))),IF(AS94="PT",IF(AT94&lt;PT_First,PT_First,PT_First+PT_Int*(INT((AT94-PT_First)/PT_Int)+1)),"")))</f>
        <v/>
      </c>
      <c r="BC94" s="14" t="str">
        <f aca="false">IF(AG94=0,"",IF(NOT(LH_Ready),0,COUNTIFS(INDEX(LH_Data,0,LH_ColFirst),$A94,INDEX(LH_Data,0,LH_ColSur),$B94,INDEX(LH_Data,0,LH_ColCat),BonusCat)))</f>
        <v/>
      </c>
      <c r="BD94" s="14" t="str">
        <f aca="false">IF(AG94=0,"",IF(OR(NOT(LH_Ready),BC94=0),0,SUMPRODUCT(MAX((INDEX(LH_Data,0,LH_ColFirst)=$A94)*(INDEX(LH_Data,0,LH_ColSur)=$B94)*(INDEX(LH_Data,0,LH_ColCat)=BonusCat)*ROW(LH_Data)))))</f>
        <v/>
      </c>
      <c r="BE94" s="14" t="str">
        <f aca="false">IF(AG94=0,"",IF(EOMONTH(AsOfDate,-1)&lt;AH94,-1,12*(YEAR(EOMONTH(AsOfDate,-1))-YEAR(AH94))+MONTH(EOMONTH(AsOfDate,-1))-MONTH(AH94)-IF(DAY(EOMONTH(AsOfDate,-1))&lt;MIN(DAY(AH94),DAY(EOMONTH(EOMONTH(AsOfDate,-1),0))),1,0)))</f>
        <v/>
      </c>
      <c r="BF94" s="14" t="str">
        <f aca="false">IF(AG94=0,"",IF(OR(AI94&lt;2,AK94&gt;EOMONTH(AsOfDate,-1)),BE94,IF((AK94-1)&lt;AH94,-1,12*(YEAR((AK94-1))-YEAR(AH94))+MONTH((AK94-1))-MONTH(AH94)-IF(DAY((AK94-1))&lt;MIN(DAY(AH94),DAY(EOMONTH((AK94-1),0))),1,0))))</f>
        <v/>
      </c>
      <c r="BG94" s="14" t="str">
        <f aca="false">IF(AG94=0,"",IF(OR(AI94&lt;3,AL94&gt;EOMONTH(AsOfDate,-1)),BE94,IF((AL94-1)&lt;AH94,-1,12*(YEAR((AL94-1))-YEAR(AH94))+MONTH((AL94-1))-MONTH(AH94)-IF(DAY((AL94-1))&lt;MIN(DAY(AH94),DAY(EOMONTH((AL94-1),0))),1,0))))</f>
        <v/>
      </c>
      <c r="BH94" s="14" t="str">
        <f aca="false">IF(AG94=0,"",IF(AP94="FT",IF(BF94&lt;FT_First,0,IF(BF94&lt;FT_Y5,1+INT((BF94-FT_First)/FT_Int1),FT_PreY5+FT_PerYear*INT((BF94-FT_Y5)/12)+FT_AnnivDays+INT(MOD(BF94-FT_Y5,12)/FT_Int2))),IF(AP94="PT",IF(BF94&lt;PT_First,0,1+INT((BF94-PT_First)/PT_Int)),0))+IF(AND(AI94&gt;=2,AK94&lt;=EOMONTH(AsOfDate,-1)),IF(AQ94="FT",IF(BG94&lt;FT_First,0,IF(BG94&lt;FT_Y5,1+INT((BG94-FT_First)/FT_Int1),FT_PreY5+FT_PerYear*INT((BG94-FT_Y5)/12)+FT_AnnivDays+INT(MOD(BG94-FT_Y5,12)/FT_Int2))),IF(AQ94="PT",IF(BG94&lt;PT_First,0,1+INT((BG94-PT_First)/PT_Int)),0))-IF(AQ94="FT",IF(BF94&lt;FT_First,0,IF(BF94&lt;FT_Y5,1+INT((BF94-FT_First)/FT_Int1),FT_PreY5+FT_PerYear*INT((BF94-FT_Y5)/12)+FT_AnnivDays+INT(MOD(BF94-FT_Y5,12)/FT_Int2))),IF(AQ94="PT",IF(BF94&lt;PT_First,0,1+INT((BF94-PT_First)/PT_Int)),0)),0)+IF(AND(AI94&gt;=3,AL94&lt;=EOMONTH(AsOfDate,-1)),IF(AR94="FT",IF(BE94&lt;FT_First,0,IF(BE94&lt;FT_Y5,1+INT((BE94-FT_First)/FT_Int1),FT_PreY5+FT_PerYear*INT((BE94-FT_Y5)/12)+FT_AnnivDays+INT(MOD(BE94-FT_Y5,12)/FT_Int2))),IF(AR94="PT",IF(BE94&lt;PT_First,0,1+INT((BE94-PT_First)/PT_Int)),0))-IF(AR94="FT",IF(BG94&lt;FT_First,0,IF(BG94&lt;FT_Y5,1+INT((BG94-FT_First)/FT_Int1),FT_PreY5+FT_PerYear*INT((BG94-FT_Y5)/12)+FT_AnnivDays+INT(MOD(BG94-FT_Y5,12)/FT_Int2))),IF(AR94="PT",IF(BG94&lt;PT_First,0,1+INT((BG94-PT_First)/PT_Int)),0)),0))</f>
        <v/>
      </c>
      <c r="BI94" s="14" t="str">
        <f aca="false">IF(AG94=0,"",IF(AS94="FT",IF(AT94&lt;FT_First,"",IF(AT94&lt;FT_Y5,FT_First+FT_Int1*INT((AT94-FT_First)/FT_Int1),FT_Y5+FT_Int2*INT((AT94-FT_Y5)/FT_Int2))),IF(AS94="PT",IF(AT94&lt;PT_First,"",PT_First+PT_Int*INT((AT94-PT_First)/PT_Int)),"")))</f>
        <v/>
      </c>
      <c r="BJ94" s="0" t="str">
        <f aca="false">IF(LEN($A94&amp;$B94)=0,"",$A94&amp;" "&amp;$B94)</f>
        <v/>
      </c>
    </row>
    <row r="95" customFormat="false" ht="15" hidden="false" customHeight="false" outlineLevel="0" collapsed="false">
      <c r="A95" s="10"/>
      <c r="B95" s="10"/>
      <c r="C95" s="10"/>
      <c r="D95" s="11"/>
      <c r="E95" s="12" t="str">
        <f aca="false">IF(OR(AG95=0,$D95=""),"",DATE(YEAR(AsOfDate)+IF(DATE(YEAR(AsOfDate),MONTH($D95),DAY($D95))&lt;=AsOfDate,1,0),MONTH($D95),DAY($D95)))</f>
        <v/>
      </c>
      <c r="F95" s="11"/>
      <c r="G95" s="11"/>
      <c r="H95" s="11"/>
      <c r="I95" s="11"/>
      <c r="J95" s="11"/>
      <c r="K95" s="12" t="str">
        <f aca="false">IF(AG95=0,"",DATE(YEAR(AsOfDate)+IF(DATE(YEAR(AsOfDate),MONTH(AH95),DAY(AH95))&lt;=AsOfDate,1,0),MONTH(AH95),DAY(AH95)))</f>
        <v/>
      </c>
      <c r="L95" s="13" t="str">
        <f aca="false">IF(AG95=0,"",ROUND((AsOfDate-AH95)/365.25,1))</f>
        <v/>
      </c>
      <c r="M95" s="14" t="str">
        <f aca="false">IF(AG95=0,"",IF(AsOfDate&lt;AH95,"-",DATEDIF(AH95,AsOfDate,"y")&amp;"y "&amp;DATEDIF(AH95,AsOfDate,"ym")&amp;"m "&amp;DATEDIF(AH95,AsOfDate,"md")&amp;"d"))</f>
        <v/>
      </c>
      <c r="N95" s="15" t="str">
        <f aca="false">IF(AG95=0,"",O95*HoursPerDay)</f>
        <v/>
      </c>
      <c r="O95" s="15" t="str">
        <f aca="false">IF(AG95=0,"",AZ95)</f>
        <v/>
      </c>
      <c r="P95" s="16"/>
      <c r="Q95" s="14" t="str">
        <f aca="false">IF(AG95=0,"",IF(AI95&lt;2,"",AM95&amp;" to "&amp;AN95&amp;" on "&amp;TEXT(AK95,"dd/mm/yyyy")&amp;IF(AK95&gt;AsOfDate," (future)",IF(AP95=AQ95,"",IF(AQ95="None"," - STOPPED accruing",IF(AP95="None"," - commencement for Bonus Leave"," - pathway changed"))))&amp;IF(AI95&lt;3,"","; "&amp;AN95&amp;" to "&amp;AO95&amp;" on "&amp;TEXT(AL95,"dd/mm/yyyy")&amp;IF(AL95&gt;AsOfDate," (future)",IF(AQ95=AR95,"",IF(AR95="None"," - STOPPED accruing",IF(AQ95="None"," - commencement for Bonus Leave"," - pathway changed")))))))</f>
        <v/>
      </c>
      <c r="R95" s="14" t="str">
        <f aca="false">IF(AG95=0,"",IF(AS95="None",IF(O95&gt;0,"No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2" t="str">
        <f aca="false">IF(AG95=0,"",IF(AS95="None","",EDATE(AH95,BB95)))</f>
        <v/>
      </c>
      <c r="T95" s="15" t="str">
        <f aca="false">IF(AG95=0,"",IF(NOT(LH_Ready),"",IF(AH95&gt;PFYDate,0,IF(LH_ColPeriod=0,W95-U95+V95,SUMIFS(INDEX(LH_Data,0,LH_ColAcc),INDEX(LH_Data,0,LH_ColFirst),$A95,INDEX(LH_Data,0,LH_ColSur),$B95,INDEX(LH_Data,0,LH_ColCat),BonusCat,INDEX(LH_Data,0,LH_ColPeriod),LH_OpenLabel)*UnitFactor))))</f>
        <v/>
      </c>
      <c r="U95" s="15" t="str">
        <f aca="false">IF(AG95=0,"",IF(NOT(LH_Ready),"",SUMIFS(INDEX(LH_Data,0,LH_ColAcc),INDEX(LH_Data,0,LH_ColFirst),$A95,INDEX(LH_Data,0,LH_ColSur),$B95,INDEX(LH_Data,0,LH_ColCat),BonusCat,INDEX(LH_Data,0,LH_ColStart),"&gt;="&amp;AH95)*UnitFactor))</f>
        <v/>
      </c>
      <c r="V95" s="15" t="str">
        <f aca="false">IF(AG95=0,"",IF(NOT(LH_Ready),"",SUMIFS(INDEX(LH_Data,0,LH_ColTaken),INDEX(LH_Data,0,LH_ColFirst),$A95,INDEX(LH_Data,0,LH_ColSur),$B95,INDEX(LH_Data,0,LH_ColCat),BonusCat,INDEX(LH_Data,0,LH_ColStart),"&gt;="&amp;AH95)*UnitFactor))</f>
        <v/>
      </c>
      <c r="W95" s="15" t="str">
        <f aca="false">IF(AG95=0,"",IF(NOT(LH_Ready),"",IF(BD95=0,0,INDEX(INDEX(LH_Data,0,LH_ColClose),BD95-1)*UnitFactor)))</f>
        <v/>
      </c>
      <c r="X95" s="15" t="str">
        <f aca="false">IF(AG95=0,"",(AZ95-BA95)*HoursPerDay)</f>
        <v/>
      </c>
      <c r="Y95" s="15" t="str">
        <f aca="false">IF(AG95=0,"",IF(NOT(LH_Ready),"",IF(BC95=0,N95,IF(PFYDate&lt;$F95,N95-N(T95)-N(U95),X95-N(U95)))))</f>
        <v/>
      </c>
      <c r="Z95" s="14" t="str">
        <f aca="false">IF(OR(AG95=0,Y95=""),"",IF(Y95&gt;0,"Yes","No"))</f>
        <v/>
      </c>
      <c r="AA95" s="14" t="str">
        <f aca="false">IF(AG95=0,IF(LEN($A95&amp;$B95)=0,"","FIX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month")&amp;IF(BC95=0,";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EH)",""),IF(AS95="None",R95,"Not yet - first day on "&amp;TEXT(S95,"dd/mm/yyyy")))))))))</f>
        <v/>
      </c>
      <c r="AB95" s="15" t="str">
        <f aca="false">IF(OR(AG95=0,T95=""),"",BA95*HoursPerDay-T95)</f>
        <v/>
      </c>
      <c r="AC95" s="14" t="str">
        <f aca="false">IF(AG95=0,"",BC95)</f>
        <v/>
      </c>
      <c r="AD95" s="14" t="str">
        <f aca="false">IF(AG95=0,"",TRIM(IF(OR(ISTEXT($F95),ISTEXT($H95),ISTEXT($I95),ISTEXT($G95),ISTEXT($J95),ISTEXT($D95)),"A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I95&gt;=1,IF(AI95&gt;=3,AO95,IF(AI95=2,AN95,AM95))&lt;&gt;IF($C95="","",IF(OR(ISNUMBER(SEARCH("full",$C95)),UPPER(TRIM($C95))="FT",UPPER(TRIM($C95))="FTE"),"Full-Time",IF(OR(ISNUMBER(SEARCH("part",$C95)),UPPER(TRIM($C95))="PT",UPPER(TRIM($C95))="PTE"),"Part-Time",IF(OR(ISNUMBER(SEARCH("cas",$C95)),UPPER(TRIM($C95))="CAS"),"Casual","Unknown"))))),"EmploymentType does not match latest start date ("&amp;IF(AI95&gt;=3,AO95,IF(AI95=2,AN95,AM95))&amp;"). ","")&amp;IF(AND(AI95&gt;=1,AJ95&lt;&gt;$F95),"Earliest type date should equal StartDate. ","")&amp;IF(AND(AI95&gt;=2,AJ95=AK95),"Two types start on the same date. ","")&amp;IF(AND(OR(ISNUMBER(SEARCH("part",$C95)),UPPER(TRIM($C95))="PT",UPPER(TRIM($C95))="PTE"),$P95=""),"Part-time: enter PT Hrs/Week (blank = 24+). ","")))</f>
        <v/>
      </c>
      <c r="AE95" s="15" t="str">
        <f aca="false">IF(AG95=0,"",O95-BH95)</f>
        <v/>
      </c>
      <c r="AF95" s="12" t="str">
        <f aca="false">IF(OR(AG95=0,AE95="",N(AE95)=0,BI95=""),"",EDATE(AH95,BI95))</f>
        <v/>
      </c>
      <c r="AG95" s="14" t="n">
        <f aca="false">IF(OR(LEN($A95&amp;$B95)=0,$F95=""),0,1)</f>
        <v>0</v>
      </c>
      <c r="AH95" s="12" t="str">
        <f aca="false">IF(AG95=0,"",IF($J95&lt;&gt;"",$J95,IF(OR(CasualCounts="Yes",COUNT($G95:$I95)=0,COUNT($H95:$I95)=0),$F95,MIN($H95:$I95))))</f>
        <v/>
      </c>
      <c r="AI95" s="14" t="str">
        <f aca="false">IF(AG95=0,"",COUNT($G95:$I95))</f>
        <v/>
      </c>
      <c r="AJ95" s="12" t="str">
        <f aca="false">IF(AG95=0,"",IFERROR(SMALL($G95:$I95,1),""))</f>
        <v/>
      </c>
      <c r="AK95" s="12" t="str">
        <f aca="false">IF(AG95=0,"",IFERROR(SMALL($G95:$I95,2),""))</f>
        <v/>
      </c>
      <c r="AL95" s="12" t="str">
        <f aca="false">IF(AG95=0,"",IFERROR(SMALL($G95:$I95,3),""))</f>
        <v/>
      </c>
      <c r="AM95" s="14" t="str">
        <f aca="false">IF(AG95=0,"",IF(AJ95="","",IF(AJ95=$H95,"Part-Time",IF(AJ95=$I95,"Full-Time","Casual"))))</f>
        <v/>
      </c>
      <c r="AN95" s="14" t="str">
        <f aca="false">IF(AG95=0,"",IF(AK95="","",IF(AK95=$H95,"Part-Time",IF(AK95=$I95,"Full-Time","Casual"))))</f>
        <v/>
      </c>
      <c r="AO95" s="14" t="str">
        <f aca="false">IF(AG95=0,"",IF(AL95="","",IF(AL95=$H95,"Part-Time",IF(AL95=$I95,"Full-Time","Casual"))))</f>
        <v/>
      </c>
      <c r="AP95" s="14" t="str">
        <f aca="false">IF(AG95=0,"",IF(AI95=0,IF(OR(ISNUMBER(SEARCH("full",$C95)),UPPER(TRIM($C95))="FT",UPPER(TRIM($C95))="FTE"),"FT",IF(AND(OR(ISNUMBER(SEARCH("part",$C95)),UPPER(TRIM($C95))="PT",UPPER(TRIM($C95))="PTE"),OR($P95="",N($P95)&gt;=PT_MinHours)),"PT","None")),IF(OR(ISNUMBER(SEARCH("full",AM95)),UPPER(TRIM(AM95))="FT",UPPER(TRIM(AM95))="FTE"),"FT",IF(AND(OR(ISNUMBER(SEARCH("part",AM95)),UPPER(TRIM(AM95))="PT",UPPER(TRIM(AM95))="PTE"),OR($P95="",N($P95)&gt;=PT_MinHours)),"PT","None"))))</f>
        <v/>
      </c>
      <c r="AQ95" s="14" t="str">
        <f aca="false">IF(AG95=0,"",IF(AI95&lt;2,"",IF(OR(ISNUMBER(SEARCH("full",AN95)),UPPER(TRIM(AN95))="FT",UPPER(TRIM(AN95))="FTE"),"FT",IF(AND(OR(ISNUMBER(SEARCH("part",AN95)),UPPER(TRIM(AN95))="PT",UPPER(TRIM(AN95))="PTE"),OR($P95="",N($P95)&gt;=PT_MinHours)),"PT","None"))))</f>
        <v/>
      </c>
      <c r="AR95" s="14" t="str">
        <f aca="false">IF(AG95=0,"",IF(AI95&lt;3,"",IF(OR(ISNUMBER(SEARCH("full",AO95)),UPPER(TRIM(AO95))="FT",UPPER(TRIM(AO95))="FTE"),"FT",IF(AND(OR(ISNUMBER(SEARCH("part",AO95)),UPPER(TRIM(AO95))="PT",UPPER(TRIM(AO95))="PTE"),OR($P95="",N($P95)&gt;=PT_MinHours)),"PT","None"))))</f>
        <v/>
      </c>
      <c r="AS95" s="14" t="str">
        <f aca="false">IF(AG95=0,"",IF(AND(AI95&gt;=3,AL95&lt;=AsOfDate),AR95,IF(AND(AI95&gt;=2,AK95&lt;=AsOfDate),AQ95,AP95)))</f>
        <v/>
      </c>
      <c r="AT95" s="14" t="str">
        <f aca="false">IF(AG95=0,"",IF(AsOfDate&lt;AH95,-1,12*(YEAR(AsOfDate)-YEAR(AH95))+MONTH(AsOfDate)-MONTH(AH95)-IF(DAY(AsOfDate)&lt;MIN(DAY(AH95),DAY(EOMONTH(AsOfDate,0))),1,0)))</f>
        <v/>
      </c>
      <c r="AU95" s="14" t="str">
        <f aca="false">IF(AG95=0,"",IF(OR(AI95&lt;2,AK95&gt;AsOfDate),AT95,IF((AK95-1)&lt;AH95,-1,12*(YEAR((AK95-1))-YEAR(AH95))+MONTH((AK95-1))-MONTH(AH95)-IF(DAY((AK95-1))&lt;MIN(DAY(AH95),DAY(EOMONTH((AK95-1),0))),1,0))))</f>
        <v/>
      </c>
      <c r="AV95" s="14" t="str">
        <f aca="false">IF(AG95=0,"",IF(OR(AI95&lt;3,AL95&gt;AsOfDate),AT95,IF((AL95-1)&lt;AH95,-1,12*(YEAR((AL95-1))-YEAR(AH95))+MONTH((AL95-1))-MONTH(AH95)-IF(DAY((AL95-1))&lt;MIN(DAY(AH95),DAY(EOMONTH((AL95-1),0))),1,0))))</f>
        <v/>
      </c>
      <c r="AW95" s="14" t="str">
        <f aca="false">IF(AG95=0,"",IF(PFYDate&lt;AH95,-1,12*(YEAR(PFYDate)-YEAR(AH95))+MONTH(PFYDate)-MONTH(AH95)-IF(DAY(PFYDate)&lt;MIN(DAY(AH95),DAY(EOMONTH(PFYDate,0))),1,0)))</f>
        <v/>
      </c>
      <c r="AX95" s="14" t="str">
        <f aca="false">IF(AG95=0,"",IF(OR(AI95&lt;2,AK95&gt;PFYDate),AW95,IF((AK95-1)&lt;AH95,-1,12*(YEAR((AK95-1))-YEAR(AH95))+MONTH((AK95-1))-MONTH(AH95)-IF(DAY((AK95-1))&lt;MIN(DAY(AH95),DAY(EOMONTH((AK95-1),0))),1,0))))</f>
        <v/>
      </c>
      <c r="AY95" s="14" t="str">
        <f aca="false">IF(AG95=0,"",IF(OR(AI95&lt;3,AL95&gt;PFYDate),AW95,IF((AL95-1)&lt;AH95,-1,12*(YEAR((AL95-1))-YEAR(AH95))+MONTH((AL95-1))-MONTH(AH95)-IF(DAY((AL95-1))&lt;MIN(DAY(AH95),DAY(EOMONTH((AL95-1),0))),1,0))))</f>
        <v/>
      </c>
      <c r="AZ95" s="14" t="str">
        <f aca="false">IF(AG95=0,"",IF(AP95="FT",IF(AU95&lt;FT_First,0,IF(AU95&lt;FT_Y5,1+INT((AU95-FT_First)/FT_Int1),FT_PreY5+FT_PerYear*INT((AU95-FT_Y5)/12)+FT_AnnivDays+INT(MOD(AU95-FT_Y5,12)/FT_Int2))),IF(AP95="PT",IF(AU95&lt;PT_First,0,1+INT((AU95-PT_First)/PT_Int)),0))+IF(AND(AI95&gt;=2,AK95&lt;=AsOfDate),IF(AQ95="FT",IF(AV95&lt;FT_First,0,IF(AV95&lt;FT_Y5,1+INT((AV95-FT_First)/FT_Int1),FT_PreY5+FT_PerYear*INT((AV95-FT_Y5)/12)+FT_AnnivDays+INT(MOD(AV95-FT_Y5,12)/FT_Int2))),IF(AQ95="PT",IF(AV95&lt;PT_First,0,1+INT((AV95-PT_First)/PT_Int)),0))-IF(AQ95="FT",IF(AU95&lt;FT_First,0,IF(AU95&lt;FT_Y5,1+INT((AU95-FT_First)/FT_Int1),FT_PreY5+FT_PerYear*INT((AU95-FT_Y5)/12)+FT_AnnivDays+INT(MOD(AU95-FT_Y5,12)/FT_Int2))),IF(AQ95="PT",IF(AU95&lt;PT_First,0,1+INT((AU95-PT_First)/PT_Int)),0)),0)+IF(AND(AI95&gt;=3,AL95&lt;=AsOfDate),IF(AR95="FT",IF(AT95&lt;FT_First,0,IF(AT95&lt;FT_Y5,1+INT((AT95-FT_First)/FT_Int1),FT_PreY5+FT_PerYear*INT((AT95-FT_Y5)/12)+FT_AnnivDays+INT(MOD(AT95-FT_Y5,12)/FT_Int2))),IF(AR95="PT",IF(AT95&lt;PT_First,0,1+INT((AT95-PT_First)/PT_Int)),0))-IF(AR95="FT",IF(AV95&lt;FT_First,0,IF(AV95&lt;FT_Y5,1+INT((AV95-FT_First)/FT_Int1),FT_PreY5+FT_PerYear*INT((AV95-FT_Y5)/12)+FT_AnnivDays+INT(MOD(AV95-FT_Y5,12)/FT_Int2))),IF(AR95="PT",IF(AV95&lt;PT_First,0,1+INT((AV95-PT_First)/PT_Int)),0)),0))</f>
        <v/>
      </c>
      <c r="BA95" s="14" t="str">
        <f aca="false">IF(AG95=0,"",IF(AP95="FT",IF(AX95&lt;FT_First,0,IF(AX95&lt;FT_Y5,1+INT((AX95-FT_First)/FT_Int1),FT_PreY5+FT_PerYear*INT((AX95-FT_Y5)/12)+FT_AnnivDays+INT(MOD(AX95-FT_Y5,12)/FT_Int2))),IF(AP95="PT",IF(AX95&lt;PT_First,0,1+INT((AX95-PT_First)/PT_Int)),0))+IF(AND(AI95&gt;=2,AK95&lt;=PFYDate),IF(AQ95="FT",IF(AY95&lt;FT_First,0,IF(AY95&lt;FT_Y5,1+INT((AY95-FT_First)/FT_Int1),FT_PreY5+FT_PerYear*INT((AY95-FT_Y5)/12)+FT_AnnivDays+INT(MOD(AY95-FT_Y5,12)/FT_Int2))),IF(AQ95="PT",IF(AY95&lt;PT_First,0,1+INT((AY95-PT_First)/PT_Int)),0))-IF(AQ95="FT",IF(AX95&lt;FT_First,0,IF(AX95&lt;FT_Y5,1+INT((AX95-FT_First)/FT_Int1),FT_PreY5+FT_PerYear*INT((AX95-FT_Y5)/12)+FT_AnnivDays+INT(MOD(AX95-FT_Y5,12)/FT_Int2))),IF(AQ95="PT",IF(AX95&lt;PT_First,0,1+INT((AX95-PT_First)/PT_Int)),0)),0)+IF(AND(AI95&gt;=3,AL95&lt;=PFYDate),IF(AR95="FT",IF(AW95&lt;FT_First,0,IF(AW95&lt;FT_Y5,1+INT((AW95-FT_First)/FT_Int1),FT_PreY5+FT_PerYear*INT((AW95-FT_Y5)/12)+FT_AnnivDays+INT(MOD(AW95-FT_Y5,12)/FT_Int2))),IF(AR95="PT",IF(AW95&lt;PT_First,0,1+INT((AW95-PT_First)/PT_Int)),0))-IF(AR95="FT",IF(AY95&lt;FT_First,0,IF(AY95&lt;FT_Y5,1+INT((AY95-FT_First)/FT_Int1),FT_PreY5+FT_PerYear*INT((AY95-FT_Y5)/12)+FT_AnnivDays+INT(MOD(AY95-FT_Y5,12)/FT_Int2))),IF(AR95="PT",IF(AY95&lt;PT_First,0,1+INT((AY95-PT_First)/PT_Int)),0)),0))</f>
        <v/>
      </c>
      <c r="BB95" s="14" t="str">
        <f aca="false">IF(AG95=0,"",IF(AS95="FT",IF(AT95&lt;FT_First,FT_First,IF(AT95&lt;FT_Y5,MIN(FT_Y5,FT_First+FT_Int1*(INT((AT95-FT_First)/FT_Int1)+1)),FT_Y5+12*INT((AT95-FT_Y5)/12)+FT_Int2*(INT(MOD(AT95-FT_Y5,12)/FT_Int2)+1))),IF(AS95="PT",IF(AT95&lt;PT_First,PT_First,PT_First+PT_Int*(INT((AT95-PT_First)/PT_Int)+1)),"")))</f>
        <v/>
      </c>
      <c r="BC95" s="14" t="str">
        <f aca="false">IF(AG95=0,"",IF(NOT(LH_Ready),0,COUNTIFS(INDEX(LH_Data,0,LH_ColFirst),$A95,INDEX(LH_Data,0,LH_ColSur),$B95,INDEX(LH_Data,0,LH_ColCat),BonusCat)))</f>
        <v/>
      </c>
      <c r="BD95" s="14" t="str">
        <f aca="false">IF(AG95=0,"",IF(OR(NOT(LH_Ready),BC95=0),0,SUMPRODUCT(MAX((INDEX(LH_Data,0,LH_ColFirst)=$A95)*(INDEX(LH_Data,0,LH_ColSur)=$B95)*(INDEX(LH_Data,0,LH_ColCat)=BonusCat)*ROW(LH_Data)))))</f>
        <v/>
      </c>
      <c r="BE95" s="14" t="str">
        <f aca="false">IF(AG95=0,"",IF(EOMONTH(AsOfDate,-1)&lt;AH95,-1,12*(YEAR(EOMONTH(AsOfDate,-1))-YEAR(AH95))+MONTH(EOMONTH(AsOfDate,-1))-MONTH(AH95)-IF(DAY(EOMONTH(AsOfDate,-1))&lt;MIN(DAY(AH95),DAY(EOMONTH(EOMONTH(AsOfDate,-1),0))),1,0)))</f>
        <v/>
      </c>
      <c r="BF95" s="14" t="str">
        <f aca="false">IF(AG95=0,"",IF(OR(AI95&lt;2,AK95&gt;EOMONTH(AsOfDate,-1)),BE95,IF((AK95-1)&lt;AH95,-1,12*(YEAR((AK95-1))-YEAR(AH95))+MONTH((AK95-1))-MONTH(AH95)-IF(DAY((AK95-1))&lt;MIN(DAY(AH95),DAY(EOMONTH((AK95-1),0))),1,0))))</f>
        <v/>
      </c>
      <c r="BG95" s="14" t="str">
        <f aca="false">IF(AG95=0,"",IF(OR(AI95&lt;3,AL95&gt;EOMONTH(AsOfDate,-1)),BE95,IF((AL95-1)&lt;AH95,-1,12*(YEAR((AL95-1))-YEAR(AH95))+MONTH((AL95-1))-MONTH(AH95)-IF(DAY((AL95-1))&lt;MIN(DAY(AH95),DAY(EOMONTH((AL95-1),0))),1,0))))</f>
        <v/>
      </c>
      <c r="BH95" s="14" t="str">
        <f aca="false">IF(AG95=0,"",IF(AP95="FT",IF(BF95&lt;FT_First,0,IF(BF95&lt;FT_Y5,1+INT((BF95-FT_First)/FT_Int1),FT_PreY5+FT_PerYear*INT((BF95-FT_Y5)/12)+FT_AnnivDays+INT(MOD(BF95-FT_Y5,12)/FT_Int2))),IF(AP95="PT",IF(BF95&lt;PT_First,0,1+INT((BF95-PT_First)/PT_Int)),0))+IF(AND(AI95&gt;=2,AK95&lt;=EOMONTH(AsOfDate,-1)),IF(AQ95="FT",IF(BG95&lt;FT_First,0,IF(BG95&lt;FT_Y5,1+INT((BG95-FT_First)/FT_Int1),FT_PreY5+FT_PerYear*INT((BG95-FT_Y5)/12)+FT_AnnivDays+INT(MOD(BG95-FT_Y5,12)/FT_Int2))),IF(AQ95="PT",IF(BG95&lt;PT_First,0,1+INT((BG95-PT_First)/PT_Int)),0))-IF(AQ95="FT",IF(BF95&lt;FT_First,0,IF(BF95&lt;FT_Y5,1+INT((BF95-FT_First)/FT_Int1),FT_PreY5+FT_PerYear*INT((BF95-FT_Y5)/12)+FT_AnnivDays+INT(MOD(BF95-FT_Y5,12)/FT_Int2))),IF(AQ95="PT",IF(BF95&lt;PT_First,0,1+INT((BF95-PT_First)/PT_Int)),0)),0)+IF(AND(AI95&gt;=3,AL95&lt;=EOMONTH(AsOfDate,-1)),IF(AR95="FT",IF(BE95&lt;FT_First,0,IF(BE95&lt;FT_Y5,1+INT((BE95-FT_First)/FT_Int1),FT_PreY5+FT_PerYear*INT((BE95-FT_Y5)/12)+FT_AnnivDays+INT(MOD(BE95-FT_Y5,12)/FT_Int2))),IF(AR95="PT",IF(BE95&lt;PT_First,0,1+INT((BE95-PT_First)/PT_Int)),0))-IF(AR95="FT",IF(BG95&lt;FT_First,0,IF(BG95&lt;FT_Y5,1+INT((BG95-FT_First)/FT_Int1),FT_PreY5+FT_PerYear*INT((BG95-FT_Y5)/12)+FT_AnnivDays+INT(MOD(BG95-FT_Y5,12)/FT_Int2))),IF(AR95="PT",IF(BG95&lt;PT_First,0,1+INT((BG95-PT_First)/PT_Int)),0)),0))</f>
        <v/>
      </c>
      <c r="BI95" s="14" t="str">
        <f aca="false">IF(AG95=0,"",IF(AS95="FT",IF(AT95&lt;FT_First,"",IF(AT95&lt;FT_Y5,FT_First+FT_Int1*INT((AT95-FT_First)/FT_Int1),FT_Y5+FT_Int2*INT((AT95-FT_Y5)/FT_Int2))),IF(AS95="PT",IF(AT95&lt;PT_First,"",PT_First+PT_Int*INT((AT95-PT_First)/PT_Int)),"")))</f>
        <v/>
      </c>
      <c r="BJ95" s="0" t="str">
        <f aca="false">IF(LEN($A95&amp;$B95)=0,"",$A95&amp;" "&amp;$B95)</f>
        <v/>
      </c>
    </row>
    <row r="96" customFormat="false" ht="15" hidden="false" customHeight="false" outlineLevel="0" collapsed="false">
      <c r="A96" s="10"/>
      <c r="B96" s="10"/>
      <c r="C96" s="10"/>
      <c r="D96" s="11"/>
      <c r="E96" s="12" t="str">
        <f aca="false">IF(OR(AG96=0,$D96=""),"",DATE(YEAR(AsOfDate)+IF(DATE(YEAR(AsOfDate),MONTH($D96),DAY($D96))&lt;=AsOfDate,1,0),MONTH($D96),DAY($D96)))</f>
        <v/>
      </c>
      <c r="F96" s="11"/>
      <c r="G96" s="11"/>
      <c r="H96" s="11"/>
      <c r="I96" s="11"/>
      <c r="J96" s="11"/>
      <c r="K96" s="12" t="str">
        <f aca="false">IF(AG96=0,"",DATE(YEAR(AsOfDate)+IF(DATE(YEAR(AsOfDate),MONTH(AH96),DAY(AH96))&lt;=AsOfDate,1,0),MONTH(AH96),DAY(AH96)))</f>
        <v/>
      </c>
      <c r="L96" s="13" t="str">
        <f aca="false">IF(AG96=0,"",ROUND((AsOfDate-AH96)/365.25,1))</f>
        <v/>
      </c>
      <c r="M96" s="14" t="str">
        <f aca="false">IF(AG96=0,"",IF(AsOfDate&lt;AH96,"-",DATEDIF(AH96,AsOfDate,"y")&amp;"y "&amp;DATEDIF(AH96,AsOfDate,"ym")&amp;"m "&amp;DATEDIF(AH96,AsOfDate,"md")&amp;"d"))</f>
        <v/>
      </c>
      <c r="N96" s="15" t="str">
        <f aca="false">IF(AG96=0,"",O96*HoursPerDay)</f>
        <v/>
      </c>
      <c r="O96" s="15" t="str">
        <f aca="false">IF(AG96=0,"",AZ96)</f>
        <v/>
      </c>
      <c r="P96" s="16"/>
      <c r="Q96" s="14" t="str">
        <f aca="false">IF(AG96=0,"",IF(AI96&lt;2,"",AM96&amp;" to "&amp;AN96&amp;" on "&amp;TEXT(AK96,"dd/mm/yyyy")&amp;IF(AK96&gt;AsOfDate," (future)",IF(AP96=AQ96,"",IF(AQ96="None"," - STOPPED accruing",IF(AP96="None"," - commencement for Bonus Leave"," - pathway changed"))))&amp;IF(AI96&lt;3,"","; "&amp;AN96&amp;" to "&amp;AO96&amp;" on "&amp;TEXT(AL96,"dd/mm/yyyy")&amp;IF(AL96&gt;AsOfDate," (future)",IF(AQ96=AR96,"",IF(AR96="None"," - STOPPED accruing",IF(AQ96="None"," - commencement for Bonus Leave"," - pathway changed")))))))</f>
        <v/>
      </c>
      <c r="R96" s="14" t="str">
        <f aca="false">IF(AG96=0,"",IF(AS96="None",IF(O96&gt;0,"No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2" t="str">
        <f aca="false">IF(AG96=0,"",IF(AS96="None","",EDATE(AH96,BB96)))</f>
        <v/>
      </c>
      <c r="T96" s="15" t="str">
        <f aca="false">IF(AG96=0,"",IF(NOT(LH_Ready),"",IF(AH96&gt;PFYDate,0,IF(LH_ColPeriod=0,W96-U96+V96,SUMIFS(INDEX(LH_Data,0,LH_ColAcc),INDEX(LH_Data,0,LH_ColFirst),$A96,INDEX(LH_Data,0,LH_ColSur),$B96,INDEX(LH_Data,0,LH_ColCat),BonusCat,INDEX(LH_Data,0,LH_ColPeriod),LH_OpenLabel)*UnitFactor))))</f>
        <v/>
      </c>
      <c r="U96" s="15" t="str">
        <f aca="false">IF(AG96=0,"",IF(NOT(LH_Ready),"",SUMIFS(INDEX(LH_Data,0,LH_ColAcc),INDEX(LH_Data,0,LH_ColFirst),$A96,INDEX(LH_Data,0,LH_ColSur),$B96,INDEX(LH_Data,0,LH_ColCat),BonusCat,INDEX(LH_Data,0,LH_ColStart),"&gt;="&amp;AH96)*UnitFactor))</f>
        <v/>
      </c>
      <c r="V96" s="15" t="str">
        <f aca="false">IF(AG96=0,"",IF(NOT(LH_Ready),"",SUMIFS(INDEX(LH_Data,0,LH_ColTaken),INDEX(LH_Data,0,LH_ColFirst),$A96,INDEX(LH_Data,0,LH_ColSur),$B96,INDEX(LH_Data,0,LH_ColCat),BonusCat,INDEX(LH_Data,0,LH_ColStart),"&gt;="&amp;AH96)*UnitFactor))</f>
        <v/>
      </c>
      <c r="W96" s="15" t="str">
        <f aca="false">IF(AG96=0,"",IF(NOT(LH_Ready),"",IF(BD96=0,0,INDEX(INDEX(LH_Data,0,LH_ColClose),BD96-1)*UnitFactor)))</f>
        <v/>
      </c>
      <c r="X96" s="15" t="str">
        <f aca="false">IF(AG96=0,"",(AZ96-BA96)*HoursPerDay)</f>
        <v/>
      </c>
      <c r="Y96" s="15" t="str">
        <f aca="false">IF(AG96=0,"",IF(NOT(LH_Ready),"",IF(BC96=0,N96,IF(PFYDate&lt;$F96,N96-N(T96)-N(U96),X96-N(U96)))))</f>
        <v/>
      </c>
      <c r="Z96" s="14" t="str">
        <f aca="false">IF(OR(AG96=0,Y96=""),"",IF(Y96&gt;0,"Yes","No"))</f>
        <v/>
      </c>
      <c r="AA96" s="14" t="str">
        <f aca="false">IF(AG96=0,IF(LEN($A96&amp;$B96)=0,"","FIX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month")&amp;IF(BC96=0,";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EH)",""),IF(AS96="None",R96,"Not yet - first day on "&amp;TEXT(S96,"dd/mm/yyyy")))))))))</f>
        <v/>
      </c>
      <c r="AB96" s="15" t="str">
        <f aca="false">IF(OR(AG96=0,T96=""),"",BA96*HoursPerDay-T96)</f>
        <v/>
      </c>
      <c r="AC96" s="14" t="str">
        <f aca="false">IF(AG96=0,"",BC96)</f>
        <v/>
      </c>
      <c r="AD96" s="14" t="str">
        <f aca="false">IF(AG96=0,"",TRIM(IF(OR(ISTEXT($F96),ISTEXT($H96),ISTEXT($I96),ISTEXT($G96),ISTEXT($J96),ISTEXT($D96)),"A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I96&gt;=1,IF(AI96&gt;=3,AO96,IF(AI96=2,AN96,AM96))&lt;&gt;IF($C96="","",IF(OR(ISNUMBER(SEARCH("full",$C96)),UPPER(TRIM($C96))="FT",UPPER(TRIM($C96))="FTE"),"Full-Time",IF(OR(ISNUMBER(SEARCH("part",$C96)),UPPER(TRIM($C96))="PT",UPPER(TRIM($C96))="PTE"),"Part-Time",IF(OR(ISNUMBER(SEARCH("cas",$C96)),UPPER(TRIM($C96))="CAS"),"Casual","Unknown"))))),"EmploymentType does not match latest start date ("&amp;IF(AI96&gt;=3,AO96,IF(AI96=2,AN96,AM96))&amp;"). ","")&amp;IF(AND(AI96&gt;=1,AJ96&lt;&gt;$F96),"Earliest type date should equal StartDate. ","")&amp;IF(AND(AI96&gt;=2,AJ96=AK96),"Two types start on the same date. ","")&amp;IF(AND(OR(ISNUMBER(SEARCH("part",$C96)),UPPER(TRIM($C96))="PT",UPPER(TRIM($C96))="PTE"),$P96=""),"Part-time: enter PT Hrs/Week (blank = 24+). ","")))</f>
        <v/>
      </c>
      <c r="AE96" s="15" t="str">
        <f aca="false">IF(AG96=0,"",O96-BH96)</f>
        <v/>
      </c>
      <c r="AF96" s="12" t="str">
        <f aca="false">IF(OR(AG96=0,AE96="",N(AE96)=0,BI96=""),"",EDATE(AH96,BI96))</f>
        <v/>
      </c>
      <c r="AG96" s="14" t="n">
        <f aca="false">IF(OR(LEN($A96&amp;$B96)=0,$F96=""),0,1)</f>
        <v>0</v>
      </c>
      <c r="AH96" s="12" t="str">
        <f aca="false">IF(AG96=0,"",IF($J96&lt;&gt;"",$J96,IF(OR(CasualCounts="Yes",COUNT($G96:$I96)=0,COUNT($H96:$I96)=0),$F96,MIN($H96:$I96))))</f>
        <v/>
      </c>
      <c r="AI96" s="14" t="str">
        <f aca="false">IF(AG96=0,"",COUNT($G96:$I96))</f>
        <v/>
      </c>
      <c r="AJ96" s="12" t="str">
        <f aca="false">IF(AG96=0,"",IFERROR(SMALL($G96:$I96,1),""))</f>
        <v/>
      </c>
      <c r="AK96" s="12" t="str">
        <f aca="false">IF(AG96=0,"",IFERROR(SMALL($G96:$I96,2),""))</f>
        <v/>
      </c>
      <c r="AL96" s="12" t="str">
        <f aca="false">IF(AG96=0,"",IFERROR(SMALL($G96:$I96,3),""))</f>
        <v/>
      </c>
      <c r="AM96" s="14" t="str">
        <f aca="false">IF(AG96=0,"",IF(AJ96="","",IF(AJ96=$H96,"Part-Time",IF(AJ96=$I96,"Full-Time","Casual"))))</f>
        <v/>
      </c>
      <c r="AN96" s="14" t="str">
        <f aca="false">IF(AG96=0,"",IF(AK96="","",IF(AK96=$H96,"Part-Time",IF(AK96=$I96,"Full-Time","Casual"))))</f>
        <v/>
      </c>
      <c r="AO96" s="14" t="str">
        <f aca="false">IF(AG96=0,"",IF(AL96="","",IF(AL96=$H96,"Part-Time",IF(AL96=$I96,"Full-Time","Casual"))))</f>
        <v/>
      </c>
      <c r="AP96" s="14" t="str">
        <f aca="false">IF(AG96=0,"",IF(AI96=0,IF(OR(ISNUMBER(SEARCH("full",$C96)),UPPER(TRIM($C96))="FT",UPPER(TRIM($C96))="FTE"),"FT",IF(AND(OR(ISNUMBER(SEARCH("part",$C96)),UPPER(TRIM($C96))="PT",UPPER(TRIM($C96))="PTE"),OR($P96="",N($P96)&gt;=PT_MinHours)),"PT","None")),IF(OR(ISNUMBER(SEARCH("full",AM96)),UPPER(TRIM(AM96))="FT",UPPER(TRIM(AM96))="FTE"),"FT",IF(AND(OR(ISNUMBER(SEARCH("part",AM96)),UPPER(TRIM(AM96))="PT",UPPER(TRIM(AM96))="PTE"),OR($P96="",N($P96)&gt;=PT_MinHours)),"PT","None"))))</f>
        <v/>
      </c>
      <c r="AQ96" s="14" t="str">
        <f aca="false">IF(AG96=0,"",IF(AI96&lt;2,"",IF(OR(ISNUMBER(SEARCH("full",AN96)),UPPER(TRIM(AN96))="FT",UPPER(TRIM(AN96))="FTE"),"FT",IF(AND(OR(ISNUMBER(SEARCH("part",AN96)),UPPER(TRIM(AN96))="PT",UPPER(TRIM(AN96))="PTE"),OR($P96="",N($P96)&gt;=PT_MinHours)),"PT","None"))))</f>
        <v/>
      </c>
      <c r="AR96" s="14" t="str">
        <f aca="false">IF(AG96=0,"",IF(AI96&lt;3,"",IF(OR(ISNUMBER(SEARCH("full",AO96)),UPPER(TRIM(AO96))="FT",UPPER(TRIM(AO96))="FTE"),"FT",IF(AND(OR(ISNUMBER(SEARCH("part",AO96)),UPPER(TRIM(AO96))="PT",UPPER(TRIM(AO96))="PTE"),OR($P96="",N($P96)&gt;=PT_MinHours)),"PT","None"))))</f>
        <v/>
      </c>
      <c r="AS96" s="14" t="str">
        <f aca="false">IF(AG96=0,"",IF(AND(AI96&gt;=3,AL96&lt;=AsOfDate),AR96,IF(AND(AI96&gt;=2,AK96&lt;=AsOfDate),AQ96,AP96)))</f>
        <v/>
      </c>
      <c r="AT96" s="14" t="str">
        <f aca="false">IF(AG96=0,"",IF(AsOfDate&lt;AH96,-1,12*(YEAR(AsOfDate)-YEAR(AH96))+MONTH(AsOfDate)-MONTH(AH96)-IF(DAY(AsOfDate)&lt;MIN(DAY(AH96),DAY(EOMONTH(AsOfDate,0))),1,0)))</f>
        <v/>
      </c>
      <c r="AU96" s="14" t="str">
        <f aca="false">IF(AG96=0,"",IF(OR(AI96&lt;2,AK96&gt;AsOfDate),AT96,IF((AK96-1)&lt;AH96,-1,12*(YEAR((AK96-1))-YEAR(AH96))+MONTH((AK96-1))-MONTH(AH96)-IF(DAY((AK96-1))&lt;MIN(DAY(AH96),DAY(EOMONTH((AK96-1),0))),1,0))))</f>
        <v/>
      </c>
      <c r="AV96" s="14" t="str">
        <f aca="false">IF(AG96=0,"",IF(OR(AI96&lt;3,AL96&gt;AsOfDate),AT96,IF((AL96-1)&lt;AH96,-1,12*(YEAR((AL96-1))-YEAR(AH96))+MONTH((AL96-1))-MONTH(AH96)-IF(DAY((AL96-1))&lt;MIN(DAY(AH96),DAY(EOMONTH((AL96-1),0))),1,0))))</f>
        <v/>
      </c>
      <c r="AW96" s="14" t="str">
        <f aca="false">IF(AG96=0,"",IF(PFYDate&lt;AH96,-1,12*(YEAR(PFYDate)-YEAR(AH96))+MONTH(PFYDate)-MONTH(AH96)-IF(DAY(PFYDate)&lt;MIN(DAY(AH96),DAY(EOMONTH(PFYDate,0))),1,0)))</f>
        <v/>
      </c>
      <c r="AX96" s="14" t="str">
        <f aca="false">IF(AG96=0,"",IF(OR(AI96&lt;2,AK96&gt;PFYDate),AW96,IF((AK96-1)&lt;AH96,-1,12*(YEAR((AK96-1))-YEAR(AH96))+MONTH((AK96-1))-MONTH(AH96)-IF(DAY((AK96-1))&lt;MIN(DAY(AH96),DAY(EOMONTH((AK96-1),0))),1,0))))</f>
        <v/>
      </c>
      <c r="AY96" s="14" t="str">
        <f aca="false">IF(AG96=0,"",IF(OR(AI96&lt;3,AL96&gt;PFYDate),AW96,IF((AL96-1)&lt;AH96,-1,12*(YEAR((AL96-1))-YEAR(AH96))+MONTH((AL96-1))-MONTH(AH96)-IF(DAY((AL96-1))&lt;MIN(DAY(AH96),DAY(EOMONTH((AL96-1),0))),1,0))))</f>
        <v/>
      </c>
      <c r="AZ96" s="14" t="str">
        <f aca="false">IF(AG96=0,"",IF(AP96="FT",IF(AU96&lt;FT_First,0,IF(AU96&lt;FT_Y5,1+INT((AU96-FT_First)/FT_Int1),FT_PreY5+FT_PerYear*INT((AU96-FT_Y5)/12)+FT_AnnivDays+INT(MOD(AU96-FT_Y5,12)/FT_Int2))),IF(AP96="PT",IF(AU96&lt;PT_First,0,1+INT((AU96-PT_First)/PT_Int)),0))+IF(AND(AI96&gt;=2,AK96&lt;=AsOfDate),IF(AQ96="FT",IF(AV96&lt;FT_First,0,IF(AV96&lt;FT_Y5,1+INT((AV96-FT_First)/FT_Int1),FT_PreY5+FT_PerYear*INT((AV96-FT_Y5)/12)+FT_AnnivDays+INT(MOD(AV96-FT_Y5,12)/FT_Int2))),IF(AQ96="PT",IF(AV96&lt;PT_First,0,1+INT((AV96-PT_First)/PT_Int)),0))-IF(AQ96="FT",IF(AU96&lt;FT_First,0,IF(AU96&lt;FT_Y5,1+INT((AU96-FT_First)/FT_Int1),FT_PreY5+FT_PerYear*INT((AU96-FT_Y5)/12)+FT_AnnivDays+INT(MOD(AU96-FT_Y5,12)/FT_Int2))),IF(AQ96="PT",IF(AU96&lt;PT_First,0,1+INT((AU96-PT_First)/PT_Int)),0)),0)+IF(AND(AI96&gt;=3,AL96&lt;=AsOfDate),IF(AR96="FT",IF(AT96&lt;FT_First,0,IF(AT96&lt;FT_Y5,1+INT((AT96-FT_First)/FT_Int1),FT_PreY5+FT_PerYear*INT((AT96-FT_Y5)/12)+FT_AnnivDays+INT(MOD(AT96-FT_Y5,12)/FT_Int2))),IF(AR96="PT",IF(AT96&lt;PT_First,0,1+INT((AT96-PT_First)/PT_Int)),0))-IF(AR96="FT",IF(AV96&lt;FT_First,0,IF(AV96&lt;FT_Y5,1+INT((AV96-FT_First)/FT_Int1),FT_PreY5+FT_PerYear*INT((AV96-FT_Y5)/12)+FT_AnnivDays+INT(MOD(AV96-FT_Y5,12)/FT_Int2))),IF(AR96="PT",IF(AV96&lt;PT_First,0,1+INT((AV96-PT_First)/PT_Int)),0)),0))</f>
        <v/>
      </c>
      <c r="BA96" s="14" t="str">
        <f aca="false">IF(AG96=0,"",IF(AP96="FT",IF(AX96&lt;FT_First,0,IF(AX96&lt;FT_Y5,1+INT((AX96-FT_First)/FT_Int1),FT_PreY5+FT_PerYear*INT((AX96-FT_Y5)/12)+FT_AnnivDays+INT(MOD(AX96-FT_Y5,12)/FT_Int2))),IF(AP96="PT",IF(AX96&lt;PT_First,0,1+INT((AX96-PT_First)/PT_Int)),0))+IF(AND(AI96&gt;=2,AK96&lt;=PFYDate),IF(AQ96="FT",IF(AY96&lt;FT_First,0,IF(AY96&lt;FT_Y5,1+INT((AY96-FT_First)/FT_Int1),FT_PreY5+FT_PerYear*INT((AY96-FT_Y5)/12)+FT_AnnivDays+INT(MOD(AY96-FT_Y5,12)/FT_Int2))),IF(AQ96="PT",IF(AY96&lt;PT_First,0,1+INT((AY96-PT_First)/PT_Int)),0))-IF(AQ96="FT",IF(AX96&lt;FT_First,0,IF(AX96&lt;FT_Y5,1+INT((AX96-FT_First)/FT_Int1),FT_PreY5+FT_PerYear*INT((AX96-FT_Y5)/12)+FT_AnnivDays+INT(MOD(AX96-FT_Y5,12)/FT_Int2))),IF(AQ96="PT",IF(AX96&lt;PT_First,0,1+INT((AX96-PT_First)/PT_Int)),0)),0)+IF(AND(AI96&gt;=3,AL96&lt;=PFYDate),IF(AR96="FT",IF(AW96&lt;FT_First,0,IF(AW96&lt;FT_Y5,1+INT((AW96-FT_First)/FT_Int1),FT_PreY5+FT_PerYear*INT((AW96-FT_Y5)/12)+FT_AnnivDays+INT(MOD(AW96-FT_Y5,12)/FT_Int2))),IF(AR96="PT",IF(AW96&lt;PT_First,0,1+INT((AW96-PT_First)/PT_Int)),0))-IF(AR96="FT",IF(AY96&lt;FT_First,0,IF(AY96&lt;FT_Y5,1+INT((AY96-FT_First)/FT_Int1),FT_PreY5+FT_PerYear*INT((AY96-FT_Y5)/12)+FT_AnnivDays+INT(MOD(AY96-FT_Y5,12)/FT_Int2))),IF(AR96="PT",IF(AY96&lt;PT_First,0,1+INT((AY96-PT_First)/PT_Int)),0)),0))</f>
        <v/>
      </c>
      <c r="BB96" s="14" t="str">
        <f aca="false">IF(AG96=0,"",IF(AS96="FT",IF(AT96&lt;FT_First,FT_First,IF(AT96&lt;FT_Y5,MIN(FT_Y5,FT_First+FT_Int1*(INT((AT96-FT_First)/FT_Int1)+1)),FT_Y5+12*INT((AT96-FT_Y5)/12)+FT_Int2*(INT(MOD(AT96-FT_Y5,12)/FT_Int2)+1))),IF(AS96="PT",IF(AT96&lt;PT_First,PT_First,PT_First+PT_Int*(INT((AT96-PT_First)/PT_Int)+1)),"")))</f>
        <v/>
      </c>
      <c r="BC96" s="14" t="str">
        <f aca="false">IF(AG96=0,"",IF(NOT(LH_Ready),0,COUNTIFS(INDEX(LH_Data,0,LH_ColFirst),$A96,INDEX(LH_Data,0,LH_ColSur),$B96,INDEX(LH_Data,0,LH_ColCat),BonusCat)))</f>
        <v/>
      </c>
      <c r="BD96" s="14" t="str">
        <f aca="false">IF(AG96=0,"",IF(OR(NOT(LH_Ready),BC96=0),0,SUMPRODUCT(MAX((INDEX(LH_Data,0,LH_ColFirst)=$A96)*(INDEX(LH_Data,0,LH_ColSur)=$B96)*(INDEX(LH_Data,0,LH_ColCat)=BonusCat)*ROW(LH_Data)))))</f>
        <v/>
      </c>
      <c r="BE96" s="14" t="str">
        <f aca="false">IF(AG96=0,"",IF(EOMONTH(AsOfDate,-1)&lt;AH96,-1,12*(YEAR(EOMONTH(AsOfDate,-1))-YEAR(AH96))+MONTH(EOMONTH(AsOfDate,-1))-MONTH(AH96)-IF(DAY(EOMONTH(AsOfDate,-1))&lt;MIN(DAY(AH96),DAY(EOMONTH(EOMONTH(AsOfDate,-1),0))),1,0)))</f>
        <v/>
      </c>
      <c r="BF96" s="14" t="str">
        <f aca="false">IF(AG96=0,"",IF(OR(AI96&lt;2,AK96&gt;EOMONTH(AsOfDate,-1)),BE96,IF((AK96-1)&lt;AH96,-1,12*(YEAR((AK96-1))-YEAR(AH96))+MONTH((AK96-1))-MONTH(AH96)-IF(DAY((AK96-1))&lt;MIN(DAY(AH96),DAY(EOMONTH((AK96-1),0))),1,0))))</f>
        <v/>
      </c>
      <c r="BG96" s="14" t="str">
        <f aca="false">IF(AG96=0,"",IF(OR(AI96&lt;3,AL96&gt;EOMONTH(AsOfDate,-1)),BE96,IF((AL96-1)&lt;AH96,-1,12*(YEAR((AL96-1))-YEAR(AH96))+MONTH((AL96-1))-MONTH(AH96)-IF(DAY((AL96-1))&lt;MIN(DAY(AH96),DAY(EOMONTH((AL96-1),0))),1,0))))</f>
        <v/>
      </c>
      <c r="BH96" s="14" t="str">
        <f aca="false">IF(AG96=0,"",IF(AP96="FT",IF(BF96&lt;FT_First,0,IF(BF96&lt;FT_Y5,1+INT((BF96-FT_First)/FT_Int1),FT_PreY5+FT_PerYear*INT((BF96-FT_Y5)/12)+FT_AnnivDays+INT(MOD(BF96-FT_Y5,12)/FT_Int2))),IF(AP96="PT",IF(BF96&lt;PT_First,0,1+INT((BF96-PT_First)/PT_Int)),0))+IF(AND(AI96&gt;=2,AK96&lt;=EOMONTH(AsOfDate,-1)),IF(AQ96="FT",IF(BG96&lt;FT_First,0,IF(BG96&lt;FT_Y5,1+INT((BG96-FT_First)/FT_Int1),FT_PreY5+FT_PerYear*INT((BG96-FT_Y5)/12)+FT_AnnivDays+INT(MOD(BG96-FT_Y5,12)/FT_Int2))),IF(AQ96="PT",IF(BG96&lt;PT_First,0,1+INT((BG96-PT_First)/PT_Int)),0))-IF(AQ96="FT",IF(BF96&lt;FT_First,0,IF(BF96&lt;FT_Y5,1+INT((BF96-FT_First)/FT_Int1),FT_PreY5+FT_PerYear*INT((BF96-FT_Y5)/12)+FT_AnnivDays+INT(MOD(BF96-FT_Y5,12)/FT_Int2))),IF(AQ96="PT",IF(BF96&lt;PT_First,0,1+INT((BF96-PT_First)/PT_Int)),0)),0)+IF(AND(AI96&gt;=3,AL96&lt;=EOMONTH(AsOfDate,-1)),IF(AR96="FT",IF(BE96&lt;FT_First,0,IF(BE96&lt;FT_Y5,1+INT((BE96-FT_First)/FT_Int1),FT_PreY5+FT_PerYear*INT((BE96-FT_Y5)/12)+FT_AnnivDays+INT(MOD(BE96-FT_Y5,12)/FT_Int2))),IF(AR96="PT",IF(BE96&lt;PT_First,0,1+INT((BE96-PT_First)/PT_Int)),0))-IF(AR96="FT",IF(BG96&lt;FT_First,0,IF(BG96&lt;FT_Y5,1+INT((BG96-FT_First)/FT_Int1),FT_PreY5+FT_PerYear*INT((BG96-FT_Y5)/12)+FT_AnnivDays+INT(MOD(BG96-FT_Y5,12)/FT_Int2))),IF(AR96="PT",IF(BG96&lt;PT_First,0,1+INT((BG96-PT_First)/PT_Int)),0)),0))</f>
        <v/>
      </c>
      <c r="BI96" s="14" t="str">
        <f aca="false">IF(AG96=0,"",IF(AS96="FT",IF(AT96&lt;FT_First,"",IF(AT96&lt;FT_Y5,FT_First+FT_Int1*INT((AT96-FT_First)/FT_Int1),FT_Y5+FT_Int2*INT((AT96-FT_Y5)/FT_Int2))),IF(AS96="PT",IF(AT96&lt;PT_First,"",PT_First+PT_Int*INT((AT96-PT_First)/PT_Int)),"")))</f>
        <v/>
      </c>
      <c r="BJ96" s="0" t="str">
        <f aca="false">IF(LEN($A96&amp;$B96)=0,"",$A96&amp;" "&amp;$B96)</f>
        <v/>
      </c>
    </row>
    <row r="97" customFormat="false" ht="15" hidden="false" customHeight="false" outlineLevel="0" collapsed="false">
      <c r="A97" s="10"/>
      <c r="B97" s="10"/>
      <c r="C97" s="10"/>
      <c r="D97" s="11"/>
      <c r="E97" s="12" t="str">
        <f aca="false">IF(OR(AG97=0,$D97=""),"",DATE(YEAR(AsOfDate)+IF(DATE(YEAR(AsOfDate),MONTH($D97),DAY($D97))&lt;=AsOfDate,1,0),MONTH($D97),DAY($D97)))</f>
        <v/>
      </c>
      <c r="F97" s="11"/>
      <c r="G97" s="11"/>
      <c r="H97" s="11"/>
      <c r="I97" s="11"/>
      <c r="J97" s="11"/>
      <c r="K97" s="12" t="str">
        <f aca="false">IF(AG97=0,"",DATE(YEAR(AsOfDate)+IF(DATE(YEAR(AsOfDate),MONTH(AH97),DAY(AH97))&lt;=AsOfDate,1,0),MONTH(AH97),DAY(AH97)))</f>
        <v/>
      </c>
      <c r="L97" s="13" t="str">
        <f aca="false">IF(AG97=0,"",ROUND((AsOfDate-AH97)/365.25,1))</f>
        <v/>
      </c>
      <c r="M97" s="14" t="str">
        <f aca="false">IF(AG97=0,"",IF(AsOfDate&lt;AH97,"-",DATEDIF(AH97,AsOfDate,"y")&amp;"y "&amp;DATEDIF(AH97,AsOfDate,"ym")&amp;"m "&amp;DATEDIF(AH97,AsOfDate,"md")&amp;"d"))</f>
        <v/>
      </c>
      <c r="N97" s="15" t="str">
        <f aca="false">IF(AG97=0,"",O97*HoursPerDay)</f>
        <v/>
      </c>
      <c r="O97" s="15" t="str">
        <f aca="false">IF(AG97=0,"",AZ97)</f>
        <v/>
      </c>
      <c r="P97" s="16"/>
      <c r="Q97" s="14" t="str">
        <f aca="false">IF(AG97=0,"",IF(AI97&lt;2,"",AM97&amp;" to "&amp;AN97&amp;" on "&amp;TEXT(AK97,"dd/mm/yyyy")&amp;IF(AK97&gt;AsOfDate," (future)",IF(AP97=AQ97,"",IF(AQ97="None"," - STOPPED accruing",IF(AP97="None"," - commencement for Bonus Leave"," - pathway changed"))))&amp;IF(AI97&lt;3,"","; "&amp;AN97&amp;" to "&amp;AO97&amp;" on "&amp;TEXT(AL97,"dd/mm/yyyy")&amp;IF(AL97&gt;AsOfDate," (future)",IF(AQ97=AR97,"",IF(AR97="None"," - STOPPED accruing",IF(AQ97="None"," - commencement for Bonus Leave"," - pathway changed")))))))</f>
        <v/>
      </c>
      <c r="R97" s="14" t="str">
        <f aca="false">IF(AG97=0,"",IF(AS97="None",IF(O97&gt;0,"No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2" t="str">
        <f aca="false">IF(AG97=0,"",IF(AS97="None","",EDATE(AH97,BB97)))</f>
        <v/>
      </c>
      <c r="T97" s="15" t="str">
        <f aca="false">IF(AG97=0,"",IF(NOT(LH_Ready),"",IF(AH97&gt;PFYDate,0,IF(LH_ColPeriod=0,W97-U97+V97,SUMIFS(INDEX(LH_Data,0,LH_ColAcc),INDEX(LH_Data,0,LH_ColFirst),$A97,INDEX(LH_Data,0,LH_ColSur),$B97,INDEX(LH_Data,0,LH_ColCat),BonusCat,INDEX(LH_Data,0,LH_ColPeriod),LH_OpenLabel)*UnitFactor))))</f>
        <v/>
      </c>
      <c r="U97" s="15" t="str">
        <f aca="false">IF(AG97=0,"",IF(NOT(LH_Ready),"",SUMIFS(INDEX(LH_Data,0,LH_ColAcc),INDEX(LH_Data,0,LH_ColFirst),$A97,INDEX(LH_Data,0,LH_ColSur),$B97,INDEX(LH_Data,0,LH_ColCat),BonusCat,INDEX(LH_Data,0,LH_ColStart),"&gt;="&amp;AH97)*UnitFactor))</f>
        <v/>
      </c>
      <c r="V97" s="15" t="str">
        <f aca="false">IF(AG97=0,"",IF(NOT(LH_Ready),"",SUMIFS(INDEX(LH_Data,0,LH_ColTaken),INDEX(LH_Data,0,LH_ColFirst),$A97,INDEX(LH_Data,0,LH_ColSur),$B97,INDEX(LH_Data,0,LH_ColCat),BonusCat,INDEX(LH_Data,0,LH_ColStart),"&gt;="&amp;AH97)*UnitFactor))</f>
        <v/>
      </c>
      <c r="W97" s="15" t="str">
        <f aca="false">IF(AG97=0,"",IF(NOT(LH_Ready),"",IF(BD97=0,0,INDEX(INDEX(LH_Data,0,LH_ColClose),BD97-1)*UnitFactor)))</f>
        <v/>
      </c>
      <c r="X97" s="15" t="str">
        <f aca="false">IF(AG97=0,"",(AZ97-BA97)*HoursPerDay)</f>
        <v/>
      </c>
      <c r="Y97" s="15" t="str">
        <f aca="false">IF(AG97=0,"",IF(NOT(LH_Ready),"",IF(BC97=0,N97,IF(PFYDate&lt;$F97,N97-N(T97)-N(U97),X97-N(U97)))))</f>
        <v/>
      </c>
      <c r="Z97" s="14" t="str">
        <f aca="false">IF(OR(AG97=0,Y97=""),"",IF(Y97&gt;0,"Yes","No"))</f>
        <v/>
      </c>
      <c r="AA97" s="14" t="str">
        <f aca="false">IF(AG97=0,IF(LEN($A97&amp;$B97)=0,"","FIX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month")&amp;IF(BC97=0,";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EH)",""),IF(AS97="None",R97,"Not yet - first day on "&amp;TEXT(S97,"dd/mm/yyyy")))))))))</f>
        <v/>
      </c>
      <c r="AB97" s="15" t="str">
        <f aca="false">IF(OR(AG97=0,T97=""),"",BA97*HoursPerDay-T97)</f>
        <v/>
      </c>
      <c r="AC97" s="14" t="str">
        <f aca="false">IF(AG97=0,"",BC97)</f>
        <v/>
      </c>
      <c r="AD97" s="14" t="str">
        <f aca="false">IF(AG97=0,"",TRIM(IF(OR(ISTEXT($F97),ISTEXT($H97),ISTEXT($I97),ISTEXT($G97),ISTEXT($J97),ISTEXT($D97)),"A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I97&gt;=1,IF(AI97&gt;=3,AO97,IF(AI97=2,AN97,AM97))&lt;&gt;IF($C97="","",IF(OR(ISNUMBER(SEARCH("full",$C97)),UPPER(TRIM($C97))="FT",UPPER(TRIM($C97))="FTE"),"Full-Time",IF(OR(ISNUMBER(SEARCH("part",$C97)),UPPER(TRIM($C97))="PT",UPPER(TRIM($C97))="PTE"),"Part-Time",IF(OR(ISNUMBER(SEARCH("cas",$C97)),UPPER(TRIM($C97))="CAS"),"Casual","Unknown"))))),"EmploymentType does not match latest start date ("&amp;IF(AI97&gt;=3,AO97,IF(AI97=2,AN97,AM97))&amp;"). ","")&amp;IF(AND(AI97&gt;=1,AJ97&lt;&gt;$F97),"Earliest type date should equal StartDate. ","")&amp;IF(AND(AI97&gt;=2,AJ97=AK97),"Two types start on the same date. ","")&amp;IF(AND(OR(ISNUMBER(SEARCH("part",$C97)),UPPER(TRIM($C97))="PT",UPPER(TRIM($C97))="PTE"),$P97=""),"Part-time: enter PT Hrs/Week (blank = 24+). ","")))</f>
        <v/>
      </c>
      <c r="AE97" s="15" t="str">
        <f aca="false">IF(AG97=0,"",O97-BH97)</f>
        <v/>
      </c>
      <c r="AF97" s="12" t="str">
        <f aca="false">IF(OR(AG97=0,AE97="",N(AE97)=0,BI97=""),"",EDATE(AH97,BI97))</f>
        <v/>
      </c>
      <c r="AG97" s="14" t="n">
        <f aca="false">IF(OR(LEN($A97&amp;$B97)=0,$F97=""),0,1)</f>
        <v>0</v>
      </c>
      <c r="AH97" s="12" t="str">
        <f aca="false">IF(AG97=0,"",IF($J97&lt;&gt;"",$J97,IF(OR(CasualCounts="Yes",COUNT($G97:$I97)=0,COUNT($H97:$I97)=0),$F97,MIN($H97:$I97))))</f>
        <v/>
      </c>
      <c r="AI97" s="14" t="str">
        <f aca="false">IF(AG97=0,"",COUNT($G97:$I97))</f>
        <v/>
      </c>
      <c r="AJ97" s="12" t="str">
        <f aca="false">IF(AG97=0,"",IFERROR(SMALL($G97:$I97,1),""))</f>
        <v/>
      </c>
      <c r="AK97" s="12" t="str">
        <f aca="false">IF(AG97=0,"",IFERROR(SMALL($G97:$I97,2),""))</f>
        <v/>
      </c>
      <c r="AL97" s="12" t="str">
        <f aca="false">IF(AG97=0,"",IFERROR(SMALL($G97:$I97,3),""))</f>
        <v/>
      </c>
      <c r="AM97" s="14" t="str">
        <f aca="false">IF(AG97=0,"",IF(AJ97="","",IF(AJ97=$H97,"Part-Time",IF(AJ97=$I97,"Full-Time","Casual"))))</f>
        <v/>
      </c>
      <c r="AN97" s="14" t="str">
        <f aca="false">IF(AG97=0,"",IF(AK97="","",IF(AK97=$H97,"Part-Time",IF(AK97=$I97,"Full-Time","Casual"))))</f>
        <v/>
      </c>
      <c r="AO97" s="14" t="str">
        <f aca="false">IF(AG97=0,"",IF(AL97="","",IF(AL97=$H97,"Part-Time",IF(AL97=$I97,"Full-Time","Casual"))))</f>
        <v/>
      </c>
      <c r="AP97" s="14" t="str">
        <f aca="false">IF(AG97=0,"",IF(AI97=0,IF(OR(ISNUMBER(SEARCH("full",$C97)),UPPER(TRIM($C97))="FT",UPPER(TRIM($C97))="FTE"),"FT",IF(AND(OR(ISNUMBER(SEARCH("part",$C97)),UPPER(TRIM($C97))="PT",UPPER(TRIM($C97))="PTE"),OR($P97="",N($P97)&gt;=PT_MinHours)),"PT","None")),IF(OR(ISNUMBER(SEARCH("full",AM97)),UPPER(TRIM(AM97))="FT",UPPER(TRIM(AM97))="FTE"),"FT",IF(AND(OR(ISNUMBER(SEARCH("part",AM97)),UPPER(TRIM(AM97))="PT",UPPER(TRIM(AM97))="PTE"),OR($P97="",N($P97)&gt;=PT_MinHours)),"PT","None"))))</f>
        <v/>
      </c>
      <c r="AQ97" s="14" t="str">
        <f aca="false">IF(AG97=0,"",IF(AI97&lt;2,"",IF(OR(ISNUMBER(SEARCH("full",AN97)),UPPER(TRIM(AN97))="FT",UPPER(TRIM(AN97))="FTE"),"FT",IF(AND(OR(ISNUMBER(SEARCH("part",AN97)),UPPER(TRIM(AN97))="PT",UPPER(TRIM(AN97))="PTE"),OR($P97="",N($P97)&gt;=PT_MinHours)),"PT","None"))))</f>
        <v/>
      </c>
      <c r="AR97" s="14" t="str">
        <f aca="false">IF(AG97=0,"",IF(AI97&lt;3,"",IF(OR(ISNUMBER(SEARCH("full",AO97)),UPPER(TRIM(AO97))="FT",UPPER(TRIM(AO97))="FTE"),"FT",IF(AND(OR(ISNUMBER(SEARCH("part",AO97)),UPPER(TRIM(AO97))="PT",UPPER(TRIM(AO97))="PTE"),OR($P97="",N($P97)&gt;=PT_MinHours)),"PT","None"))))</f>
        <v/>
      </c>
      <c r="AS97" s="14" t="str">
        <f aca="false">IF(AG97=0,"",IF(AND(AI97&gt;=3,AL97&lt;=AsOfDate),AR97,IF(AND(AI97&gt;=2,AK97&lt;=AsOfDate),AQ97,AP97)))</f>
        <v/>
      </c>
      <c r="AT97" s="14" t="str">
        <f aca="false">IF(AG97=0,"",IF(AsOfDate&lt;AH97,-1,12*(YEAR(AsOfDate)-YEAR(AH97))+MONTH(AsOfDate)-MONTH(AH97)-IF(DAY(AsOfDate)&lt;MIN(DAY(AH97),DAY(EOMONTH(AsOfDate,0))),1,0)))</f>
        <v/>
      </c>
      <c r="AU97" s="14" t="str">
        <f aca="false">IF(AG97=0,"",IF(OR(AI97&lt;2,AK97&gt;AsOfDate),AT97,IF((AK97-1)&lt;AH97,-1,12*(YEAR((AK97-1))-YEAR(AH97))+MONTH((AK97-1))-MONTH(AH97)-IF(DAY((AK97-1))&lt;MIN(DAY(AH97),DAY(EOMONTH((AK97-1),0))),1,0))))</f>
        <v/>
      </c>
      <c r="AV97" s="14" t="str">
        <f aca="false">IF(AG97=0,"",IF(OR(AI97&lt;3,AL97&gt;AsOfDate),AT97,IF((AL97-1)&lt;AH97,-1,12*(YEAR((AL97-1))-YEAR(AH97))+MONTH((AL97-1))-MONTH(AH97)-IF(DAY((AL97-1))&lt;MIN(DAY(AH97),DAY(EOMONTH((AL97-1),0))),1,0))))</f>
        <v/>
      </c>
      <c r="AW97" s="14" t="str">
        <f aca="false">IF(AG97=0,"",IF(PFYDate&lt;AH97,-1,12*(YEAR(PFYDate)-YEAR(AH97))+MONTH(PFYDate)-MONTH(AH97)-IF(DAY(PFYDate)&lt;MIN(DAY(AH97),DAY(EOMONTH(PFYDate,0))),1,0)))</f>
        <v/>
      </c>
      <c r="AX97" s="14" t="str">
        <f aca="false">IF(AG97=0,"",IF(OR(AI97&lt;2,AK97&gt;PFYDate),AW97,IF((AK97-1)&lt;AH97,-1,12*(YEAR((AK97-1))-YEAR(AH97))+MONTH((AK97-1))-MONTH(AH97)-IF(DAY((AK97-1))&lt;MIN(DAY(AH97),DAY(EOMONTH((AK97-1),0))),1,0))))</f>
        <v/>
      </c>
      <c r="AY97" s="14" t="str">
        <f aca="false">IF(AG97=0,"",IF(OR(AI97&lt;3,AL97&gt;PFYDate),AW97,IF((AL97-1)&lt;AH97,-1,12*(YEAR((AL97-1))-YEAR(AH97))+MONTH((AL97-1))-MONTH(AH97)-IF(DAY((AL97-1))&lt;MIN(DAY(AH97),DAY(EOMONTH((AL97-1),0))),1,0))))</f>
        <v/>
      </c>
      <c r="AZ97" s="14" t="str">
        <f aca="false">IF(AG97=0,"",IF(AP97="FT",IF(AU97&lt;FT_First,0,IF(AU97&lt;FT_Y5,1+INT((AU97-FT_First)/FT_Int1),FT_PreY5+FT_PerYear*INT((AU97-FT_Y5)/12)+FT_AnnivDays+INT(MOD(AU97-FT_Y5,12)/FT_Int2))),IF(AP97="PT",IF(AU97&lt;PT_First,0,1+INT((AU97-PT_First)/PT_Int)),0))+IF(AND(AI97&gt;=2,AK97&lt;=AsOfDate),IF(AQ97="FT",IF(AV97&lt;FT_First,0,IF(AV97&lt;FT_Y5,1+INT((AV97-FT_First)/FT_Int1),FT_PreY5+FT_PerYear*INT((AV97-FT_Y5)/12)+FT_AnnivDays+INT(MOD(AV97-FT_Y5,12)/FT_Int2))),IF(AQ97="PT",IF(AV97&lt;PT_First,0,1+INT((AV97-PT_First)/PT_Int)),0))-IF(AQ97="FT",IF(AU97&lt;FT_First,0,IF(AU97&lt;FT_Y5,1+INT((AU97-FT_First)/FT_Int1),FT_PreY5+FT_PerYear*INT((AU97-FT_Y5)/12)+FT_AnnivDays+INT(MOD(AU97-FT_Y5,12)/FT_Int2))),IF(AQ97="PT",IF(AU97&lt;PT_First,0,1+INT((AU97-PT_First)/PT_Int)),0)),0)+IF(AND(AI97&gt;=3,AL97&lt;=AsOfDate),IF(AR97="FT",IF(AT97&lt;FT_First,0,IF(AT97&lt;FT_Y5,1+INT((AT97-FT_First)/FT_Int1),FT_PreY5+FT_PerYear*INT((AT97-FT_Y5)/12)+FT_AnnivDays+INT(MOD(AT97-FT_Y5,12)/FT_Int2))),IF(AR97="PT",IF(AT97&lt;PT_First,0,1+INT((AT97-PT_First)/PT_Int)),0))-IF(AR97="FT",IF(AV97&lt;FT_First,0,IF(AV97&lt;FT_Y5,1+INT((AV97-FT_First)/FT_Int1),FT_PreY5+FT_PerYear*INT((AV97-FT_Y5)/12)+FT_AnnivDays+INT(MOD(AV97-FT_Y5,12)/FT_Int2))),IF(AR97="PT",IF(AV97&lt;PT_First,0,1+INT((AV97-PT_First)/PT_Int)),0)),0))</f>
        <v/>
      </c>
      <c r="BA97" s="14" t="str">
        <f aca="false">IF(AG97=0,"",IF(AP97="FT",IF(AX97&lt;FT_First,0,IF(AX97&lt;FT_Y5,1+INT((AX97-FT_First)/FT_Int1),FT_PreY5+FT_PerYear*INT((AX97-FT_Y5)/12)+FT_AnnivDays+INT(MOD(AX97-FT_Y5,12)/FT_Int2))),IF(AP97="PT",IF(AX97&lt;PT_First,0,1+INT((AX97-PT_First)/PT_Int)),0))+IF(AND(AI97&gt;=2,AK97&lt;=PFYDate),IF(AQ97="FT",IF(AY97&lt;FT_First,0,IF(AY97&lt;FT_Y5,1+INT((AY97-FT_First)/FT_Int1),FT_PreY5+FT_PerYear*INT((AY97-FT_Y5)/12)+FT_AnnivDays+INT(MOD(AY97-FT_Y5,12)/FT_Int2))),IF(AQ97="PT",IF(AY97&lt;PT_First,0,1+INT((AY97-PT_First)/PT_Int)),0))-IF(AQ97="FT",IF(AX97&lt;FT_First,0,IF(AX97&lt;FT_Y5,1+INT((AX97-FT_First)/FT_Int1),FT_PreY5+FT_PerYear*INT((AX97-FT_Y5)/12)+FT_AnnivDays+INT(MOD(AX97-FT_Y5,12)/FT_Int2))),IF(AQ97="PT",IF(AX97&lt;PT_First,0,1+INT((AX97-PT_First)/PT_Int)),0)),0)+IF(AND(AI97&gt;=3,AL97&lt;=PFYDate),IF(AR97="FT",IF(AW97&lt;FT_First,0,IF(AW97&lt;FT_Y5,1+INT((AW97-FT_First)/FT_Int1),FT_PreY5+FT_PerYear*INT((AW97-FT_Y5)/12)+FT_AnnivDays+INT(MOD(AW97-FT_Y5,12)/FT_Int2))),IF(AR97="PT",IF(AW97&lt;PT_First,0,1+INT((AW97-PT_First)/PT_Int)),0))-IF(AR97="FT",IF(AY97&lt;FT_First,0,IF(AY97&lt;FT_Y5,1+INT((AY97-FT_First)/FT_Int1),FT_PreY5+FT_PerYear*INT((AY97-FT_Y5)/12)+FT_AnnivDays+INT(MOD(AY97-FT_Y5,12)/FT_Int2))),IF(AR97="PT",IF(AY97&lt;PT_First,0,1+INT((AY97-PT_First)/PT_Int)),0)),0))</f>
        <v/>
      </c>
      <c r="BB97" s="14" t="str">
        <f aca="false">IF(AG97=0,"",IF(AS97="FT",IF(AT97&lt;FT_First,FT_First,IF(AT97&lt;FT_Y5,MIN(FT_Y5,FT_First+FT_Int1*(INT((AT97-FT_First)/FT_Int1)+1)),FT_Y5+12*INT((AT97-FT_Y5)/12)+FT_Int2*(INT(MOD(AT97-FT_Y5,12)/FT_Int2)+1))),IF(AS97="PT",IF(AT97&lt;PT_First,PT_First,PT_First+PT_Int*(INT((AT97-PT_First)/PT_Int)+1)),"")))</f>
        <v/>
      </c>
      <c r="BC97" s="14" t="str">
        <f aca="false">IF(AG97=0,"",IF(NOT(LH_Ready),0,COUNTIFS(INDEX(LH_Data,0,LH_ColFirst),$A97,INDEX(LH_Data,0,LH_ColSur),$B97,INDEX(LH_Data,0,LH_ColCat),BonusCat)))</f>
        <v/>
      </c>
      <c r="BD97" s="14" t="str">
        <f aca="false">IF(AG97=0,"",IF(OR(NOT(LH_Ready),BC97=0),0,SUMPRODUCT(MAX((INDEX(LH_Data,0,LH_ColFirst)=$A97)*(INDEX(LH_Data,0,LH_ColSur)=$B97)*(INDEX(LH_Data,0,LH_ColCat)=BonusCat)*ROW(LH_Data)))))</f>
        <v/>
      </c>
      <c r="BE97" s="14" t="str">
        <f aca="false">IF(AG97=0,"",IF(EOMONTH(AsOfDate,-1)&lt;AH97,-1,12*(YEAR(EOMONTH(AsOfDate,-1))-YEAR(AH97))+MONTH(EOMONTH(AsOfDate,-1))-MONTH(AH97)-IF(DAY(EOMONTH(AsOfDate,-1))&lt;MIN(DAY(AH97),DAY(EOMONTH(EOMONTH(AsOfDate,-1),0))),1,0)))</f>
        <v/>
      </c>
      <c r="BF97" s="14" t="str">
        <f aca="false">IF(AG97=0,"",IF(OR(AI97&lt;2,AK97&gt;EOMONTH(AsOfDate,-1)),BE97,IF((AK97-1)&lt;AH97,-1,12*(YEAR((AK97-1))-YEAR(AH97))+MONTH((AK97-1))-MONTH(AH97)-IF(DAY((AK97-1))&lt;MIN(DAY(AH97),DAY(EOMONTH((AK97-1),0))),1,0))))</f>
        <v/>
      </c>
      <c r="BG97" s="14" t="str">
        <f aca="false">IF(AG97=0,"",IF(OR(AI97&lt;3,AL97&gt;EOMONTH(AsOfDate,-1)),BE97,IF((AL97-1)&lt;AH97,-1,12*(YEAR((AL97-1))-YEAR(AH97))+MONTH((AL97-1))-MONTH(AH97)-IF(DAY((AL97-1))&lt;MIN(DAY(AH97),DAY(EOMONTH((AL97-1),0))),1,0))))</f>
        <v/>
      </c>
      <c r="BH97" s="14" t="str">
        <f aca="false">IF(AG97=0,"",IF(AP97="FT",IF(BF97&lt;FT_First,0,IF(BF97&lt;FT_Y5,1+INT((BF97-FT_First)/FT_Int1),FT_PreY5+FT_PerYear*INT((BF97-FT_Y5)/12)+FT_AnnivDays+INT(MOD(BF97-FT_Y5,12)/FT_Int2))),IF(AP97="PT",IF(BF97&lt;PT_First,0,1+INT((BF97-PT_First)/PT_Int)),0))+IF(AND(AI97&gt;=2,AK97&lt;=EOMONTH(AsOfDate,-1)),IF(AQ97="FT",IF(BG97&lt;FT_First,0,IF(BG97&lt;FT_Y5,1+INT((BG97-FT_First)/FT_Int1),FT_PreY5+FT_PerYear*INT((BG97-FT_Y5)/12)+FT_AnnivDays+INT(MOD(BG97-FT_Y5,12)/FT_Int2))),IF(AQ97="PT",IF(BG97&lt;PT_First,0,1+INT((BG97-PT_First)/PT_Int)),0))-IF(AQ97="FT",IF(BF97&lt;FT_First,0,IF(BF97&lt;FT_Y5,1+INT((BF97-FT_First)/FT_Int1),FT_PreY5+FT_PerYear*INT((BF97-FT_Y5)/12)+FT_AnnivDays+INT(MOD(BF97-FT_Y5,12)/FT_Int2))),IF(AQ97="PT",IF(BF97&lt;PT_First,0,1+INT((BF97-PT_First)/PT_Int)),0)),0)+IF(AND(AI97&gt;=3,AL97&lt;=EOMONTH(AsOfDate,-1)),IF(AR97="FT",IF(BE97&lt;FT_First,0,IF(BE97&lt;FT_Y5,1+INT((BE97-FT_First)/FT_Int1),FT_PreY5+FT_PerYear*INT((BE97-FT_Y5)/12)+FT_AnnivDays+INT(MOD(BE97-FT_Y5,12)/FT_Int2))),IF(AR97="PT",IF(BE97&lt;PT_First,0,1+INT((BE97-PT_First)/PT_Int)),0))-IF(AR97="FT",IF(BG97&lt;FT_First,0,IF(BG97&lt;FT_Y5,1+INT((BG97-FT_First)/FT_Int1),FT_PreY5+FT_PerYear*INT((BG97-FT_Y5)/12)+FT_AnnivDays+INT(MOD(BG97-FT_Y5,12)/FT_Int2))),IF(AR97="PT",IF(BG97&lt;PT_First,0,1+INT((BG97-PT_First)/PT_Int)),0)),0))</f>
        <v/>
      </c>
      <c r="BI97" s="14" t="str">
        <f aca="false">IF(AG97=0,"",IF(AS97="FT",IF(AT97&lt;FT_First,"",IF(AT97&lt;FT_Y5,FT_First+FT_Int1*INT((AT97-FT_First)/FT_Int1),FT_Y5+FT_Int2*INT((AT97-FT_Y5)/FT_Int2))),IF(AS97="PT",IF(AT97&lt;PT_First,"",PT_First+PT_Int*INT((AT97-PT_First)/PT_Int)),"")))</f>
        <v/>
      </c>
      <c r="BJ97" s="0" t="str">
        <f aca="false">IF(LEN($A97&amp;$B97)=0,"",$A97&amp;" "&amp;$B97)</f>
        <v/>
      </c>
    </row>
    <row r="98" customFormat="false" ht="15" hidden="false" customHeight="false" outlineLevel="0" collapsed="false">
      <c r="A98" s="10"/>
      <c r="B98" s="10"/>
      <c r="C98" s="10"/>
      <c r="D98" s="11"/>
      <c r="E98" s="12" t="str">
        <f aca="false">IF(OR(AG98=0,$D98=""),"",DATE(YEAR(AsOfDate)+IF(DATE(YEAR(AsOfDate),MONTH($D98),DAY($D98))&lt;=AsOfDate,1,0),MONTH($D98),DAY($D98)))</f>
        <v/>
      </c>
      <c r="F98" s="11"/>
      <c r="G98" s="11"/>
      <c r="H98" s="11"/>
      <c r="I98" s="11"/>
      <c r="J98" s="11"/>
      <c r="K98" s="12" t="str">
        <f aca="false">IF(AG98=0,"",DATE(YEAR(AsOfDate)+IF(DATE(YEAR(AsOfDate),MONTH(AH98),DAY(AH98))&lt;=AsOfDate,1,0),MONTH(AH98),DAY(AH98)))</f>
        <v/>
      </c>
      <c r="L98" s="13" t="str">
        <f aca="false">IF(AG98=0,"",ROUND((AsOfDate-AH98)/365.25,1))</f>
        <v/>
      </c>
      <c r="M98" s="14" t="str">
        <f aca="false">IF(AG98=0,"",IF(AsOfDate&lt;AH98,"-",DATEDIF(AH98,AsOfDate,"y")&amp;"y "&amp;DATEDIF(AH98,AsOfDate,"ym")&amp;"m "&amp;DATEDIF(AH98,AsOfDate,"md")&amp;"d"))</f>
        <v/>
      </c>
      <c r="N98" s="15" t="str">
        <f aca="false">IF(AG98=0,"",O98*HoursPerDay)</f>
        <v/>
      </c>
      <c r="O98" s="15" t="str">
        <f aca="false">IF(AG98=0,"",AZ98)</f>
        <v/>
      </c>
      <c r="P98" s="16"/>
      <c r="Q98" s="14" t="str">
        <f aca="false">IF(AG98=0,"",IF(AI98&lt;2,"",AM98&amp;" to "&amp;AN98&amp;" on "&amp;TEXT(AK98,"dd/mm/yyyy")&amp;IF(AK98&gt;AsOfDate," (future)",IF(AP98=AQ98,"",IF(AQ98="None"," - STOPPED accruing",IF(AP98="None"," - commencement for Bonus Leave"," - pathway changed"))))&amp;IF(AI98&lt;3,"","; "&amp;AN98&amp;" to "&amp;AO98&amp;" on "&amp;TEXT(AL98,"dd/mm/yyyy")&amp;IF(AL98&gt;AsOfDate," (future)",IF(AQ98=AR98,"",IF(AR98="None"," - STOPPED accruing",IF(AQ98="None"," - commencement for Bonus Leave"," - pathway changed")))))))</f>
        <v/>
      </c>
      <c r="R98" s="14" t="str">
        <f aca="false">IF(AG98=0,"",IF(AS98="None",IF(O98&gt;0,"No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2" t="str">
        <f aca="false">IF(AG98=0,"",IF(AS98="None","",EDATE(AH98,BB98)))</f>
        <v/>
      </c>
      <c r="T98" s="15" t="str">
        <f aca="false">IF(AG98=0,"",IF(NOT(LH_Ready),"",IF(AH98&gt;PFYDate,0,IF(LH_ColPeriod=0,W98-U98+V98,SUMIFS(INDEX(LH_Data,0,LH_ColAcc),INDEX(LH_Data,0,LH_ColFirst),$A98,INDEX(LH_Data,0,LH_ColSur),$B98,INDEX(LH_Data,0,LH_ColCat),BonusCat,INDEX(LH_Data,0,LH_ColPeriod),LH_OpenLabel)*UnitFactor))))</f>
        <v/>
      </c>
      <c r="U98" s="15" t="str">
        <f aca="false">IF(AG98=0,"",IF(NOT(LH_Ready),"",SUMIFS(INDEX(LH_Data,0,LH_ColAcc),INDEX(LH_Data,0,LH_ColFirst),$A98,INDEX(LH_Data,0,LH_ColSur),$B98,INDEX(LH_Data,0,LH_ColCat),BonusCat,INDEX(LH_Data,0,LH_ColStart),"&gt;="&amp;AH98)*UnitFactor))</f>
        <v/>
      </c>
      <c r="V98" s="15" t="str">
        <f aca="false">IF(AG98=0,"",IF(NOT(LH_Ready),"",SUMIFS(INDEX(LH_Data,0,LH_ColTaken),INDEX(LH_Data,0,LH_ColFirst),$A98,INDEX(LH_Data,0,LH_ColSur),$B98,INDEX(LH_Data,0,LH_ColCat),BonusCat,INDEX(LH_Data,0,LH_ColStart),"&gt;="&amp;AH98)*UnitFactor))</f>
        <v/>
      </c>
      <c r="W98" s="15" t="str">
        <f aca="false">IF(AG98=0,"",IF(NOT(LH_Ready),"",IF(BD98=0,0,INDEX(INDEX(LH_Data,0,LH_ColClose),BD98-1)*UnitFactor)))</f>
        <v/>
      </c>
      <c r="X98" s="15" t="str">
        <f aca="false">IF(AG98=0,"",(AZ98-BA98)*HoursPerDay)</f>
        <v/>
      </c>
      <c r="Y98" s="15" t="str">
        <f aca="false">IF(AG98=0,"",IF(NOT(LH_Ready),"",IF(BC98=0,N98,IF(PFYDate&lt;$F98,N98-N(T98)-N(U98),X98-N(U98)))))</f>
        <v/>
      </c>
      <c r="Z98" s="14" t="str">
        <f aca="false">IF(OR(AG98=0,Y98=""),"",IF(Y98&gt;0,"Yes","No"))</f>
        <v/>
      </c>
      <c r="AA98" s="14" t="str">
        <f aca="false">IF(AG98=0,IF(LEN($A98&amp;$B98)=0,"","FIX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month")&amp;IF(BC98=0,";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EH)",""),IF(AS98="None",R98,"Not yet - first day on "&amp;TEXT(S98,"dd/mm/yyyy")))))))))</f>
        <v/>
      </c>
      <c r="AB98" s="15" t="str">
        <f aca="false">IF(OR(AG98=0,T98=""),"",BA98*HoursPerDay-T98)</f>
        <v/>
      </c>
      <c r="AC98" s="14" t="str">
        <f aca="false">IF(AG98=0,"",BC98)</f>
        <v/>
      </c>
      <c r="AD98" s="14" t="str">
        <f aca="false">IF(AG98=0,"",TRIM(IF(OR(ISTEXT($F98),ISTEXT($H98),ISTEXT($I98),ISTEXT($G98),ISTEXT($J98),ISTEXT($D98)),"A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I98&gt;=1,IF(AI98&gt;=3,AO98,IF(AI98=2,AN98,AM98))&lt;&gt;IF($C98="","",IF(OR(ISNUMBER(SEARCH("full",$C98)),UPPER(TRIM($C98))="FT",UPPER(TRIM($C98))="FTE"),"Full-Time",IF(OR(ISNUMBER(SEARCH("part",$C98)),UPPER(TRIM($C98))="PT",UPPER(TRIM($C98))="PTE"),"Part-Time",IF(OR(ISNUMBER(SEARCH("cas",$C98)),UPPER(TRIM($C98))="CAS"),"Casual","Unknown"))))),"EmploymentType does not match latest start date ("&amp;IF(AI98&gt;=3,AO98,IF(AI98=2,AN98,AM98))&amp;"). ","")&amp;IF(AND(AI98&gt;=1,AJ98&lt;&gt;$F98),"Earliest type date should equal StartDate. ","")&amp;IF(AND(AI98&gt;=2,AJ98=AK98),"Two types start on the same date. ","")&amp;IF(AND(OR(ISNUMBER(SEARCH("part",$C98)),UPPER(TRIM($C98))="PT",UPPER(TRIM($C98))="PTE"),$P98=""),"Part-time: enter PT Hrs/Week (blank = 24+). ","")))</f>
        <v/>
      </c>
      <c r="AE98" s="15" t="str">
        <f aca="false">IF(AG98=0,"",O98-BH98)</f>
        <v/>
      </c>
      <c r="AF98" s="12" t="str">
        <f aca="false">IF(OR(AG98=0,AE98="",N(AE98)=0,BI98=""),"",EDATE(AH98,BI98))</f>
        <v/>
      </c>
      <c r="AG98" s="14" t="n">
        <f aca="false">IF(OR(LEN($A98&amp;$B98)=0,$F98=""),0,1)</f>
        <v>0</v>
      </c>
      <c r="AH98" s="12" t="str">
        <f aca="false">IF(AG98=0,"",IF($J98&lt;&gt;"",$J98,IF(OR(CasualCounts="Yes",COUNT($G98:$I98)=0,COUNT($H98:$I98)=0),$F98,MIN($H98:$I98))))</f>
        <v/>
      </c>
      <c r="AI98" s="14" t="str">
        <f aca="false">IF(AG98=0,"",COUNT($G98:$I98))</f>
        <v/>
      </c>
      <c r="AJ98" s="12" t="str">
        <f aca="false">IF(AG98=0,"",IFERROR(SMALL($G98:$I98,1),""))</f>
        <v/>
      </c>
      <c r="AK98" s="12" t="str">
        <f aca="false">IF(AG98=0,"",IFERROR(SMALL($G98:$I98,2),""))</f>
        <v/>
      </c>
      <c r="AL98" s="12" t="str">
        <f aca="false">IF(AG98=0,"",IFERROR(SMALL($G98:$I98,3),""))</f>
        <v/>
      </c>
      <c r="AM98" s="14" t="str">
        <f aca="false">IF(AG98=0,"",IF(AJ98="","",IF(AJ98=$H98,"Part-Time",IF(AJ98=$I98,"Full-Time","Casual"))))</f>
        <v/>
      </c>
      <c r="AN98" s="14" t="str">
        <f aca="false">IF(AG98=0,"",IF(AK98="","",IF(AK98=$H98,"Part-Time",IF(AK98=$I98,"Full-Time","Casual"))))</f>
        <v/>
      </c>
      <c r="AO98" s="14" t="str">
        <f aca="false">IF(AG98=0,"",IF(AL98="","",IF(AL98=$H98,"Part-Time",IF(AL98=$I98,"Full-Time","Casual"))))</f>
        <v/>
      </c>
      <c r="AP98" s="14" t="str">
        <f aca="false">IF(AG98=0,"",IF(AI98=0,IF(OR(ISNUMBER(SEARCH("full",$C98)),UPPER(TRIM($C98))="FT",UPPER(TRIM($C98))="FTE"),"FT",IF(AND(OR(ISNUMBER(SEARCH("part",$C98)),UPPER(TRIM($C98))="PT",UPPER(TRIM($C98))="PTE"),OR($P98="",N($P98)&gt;=PT_MinHours)),"PT","None")),IF(OR(ISNUMBER(SEARCH("full",AM98)),UPPER(TRIM(AM98))="FT",UPPER(TRIM(AM98))="FTE"),"FT",IF(AND(OR(ISNUMBER(SEARCH("part",AM98)),UPPER(TRIM(AM98))="PT",UPPER(TRIM(AM98))="PTE"),OR($P98="",N($P98)&gt;=PT_MinHours)),"PT","None"))))</f>
        <v/>
      </c>
      <c r="AQ98" s="14" t="str">
        <f aca="false">IF(AG98=0,"",IF(AI98&lt;2,"",IF(OR(ISNUMBER(SEARCH("full",AN98)),UPPER(TRIM(AN98))="FT",UPPER(TRIM(AN98))="FTE"),"FT",IF(AND(OR(ISNUMBER(SEARCH("part",AN98)),UPPER(TRIM(AN98))="PT",UPPER(TRIM(AN98))="PTE"),OR($P98="",N($P98)&gt;=PT_MinHours)),"PT","None"))))</f>
        <v/>
      </c>
      <c r="AR98" s="14" t="str">
        <f aca="false">IF(AG98=0,"",IF(AI98&lt;3,"",IF(OR(ISNUMBER(SEARCH("full",AO98)),UPPER(TRIM(AO98))="FT",UPPER(TRIM(AO98))="FTE"),"FT",IF(AND(OR(ISNUMBER(SEARCH("part",AO98)),UPPER(TRIM(AO98))="PT",UPPER(TRIM(AO98))="PTE"),OR($P98="",N($P98)&gt;=PT_MinHours)),"PT","None"))))</f>
        <v/>
      </c>
      <c r="AS98" s="14" t="str">
        <f aca="false">IF(AG98=0,"",IF(AND(AI98&gt;=3,AL98&lt;=AsOfDate),AR98,IF(AND(AI98&gt;=2,AK98&lt;=AsOfDate),AQ98,AP98)))</f>
        <v/>
      </c>
      <c r="AT98" s="14" t="str">
        <f aca="false">IF(AG98=0,"",IF(AsOfDate&lt;AH98,-1,12*(YEAR(AsOfDate)-YEAR(AH98))+MONTH(AsOfDate)-MONTH(AH98)-IF(DAY(AsOfDate)&lt;MIN(DAY(AH98),DAY(EOMONTH(AsOfDate,0))),1,0)))</f>
        <v/>
      </c>
      <c r="AU98" s="14" t="str">
        <f aca="false">IF(AG98=0,"",IF(OR(AI98&lt;2,AK98&gt;AsOfDate),AT98,IF((AK98-1)&lt;AH98,-1,12*(YEAR((AK98-1))-YEAR(AH98))+MONTH((AK98-1))-MONTH(AH98)-IF(DAY((AK98-1))&lt;MIN(DAY(AH98),DAY(EOMONTH((AK98-1),0))),1,0))))</f>
        <v/>
      </c>
      <c r="AV98" s="14" t="str">
        <f aca="false">IF(AG98=0,"",IF(OR(AI98&lt;3,AL98&gt;AsOfDate),AT98,IF((AL98-1)&lt;AH98,-1,12*(YEAR((AL98-1))-YEAR(AH98))+MONTH((AL98-1))-MONTH(AH98)-IF(DAY((AL98-1))&lt;MIN(DAY(AH98),DAY(EOMONTH((AL98-1),0))),1,0))))</f>
        <v/>
      </c>
      <c r="AW98" s="14" t="str">
        <f aca="false">IF(AG98=0,"",IF(PFYDate&lt;AH98,-1,12*(YEAR(PFYDate)-YEAR(AH98))+MONTH(PFYDate)-MONTH(AH98)-IF(DAY(PFYDate)&lt;MIN(DAY(AH98),DAY(EOMONTH(PFYDate,0))),1,0)))</f>
        <v/>
      </c>
      <c r="AX98" s="14" t="str">
        <f aca="false">IF(AG98=0,"",IF(OR(AI98&lt;2,AK98&gt;PFYDate),AW98,IF((AK98-1)&lt;AH98,-1,12*(YEAR((AK98-1))-YEAR(AH98))+MONTH((AK98-1))-MONTH(AH98)-IF(DAY((AK98-1))&lt;MIN(DAY(AH98),DAY(EOMONTH((AK98-1),0))),1,0))))</f>
        <v/>
      </c>
      <c r="AY98" s="14" t="str">
        <f aca="false">IF(AG98=0,"",IF(OR(AI98&lt;3,AL98&gt;PFYDate),AW98,IF((AL98-1)&lt;AH98,-1,12*(YEAR((AL98-1))-YEAR(AH98))+MONTH((AL98-1))-MONTH(AH98)-IF(DAY((AL98-1))&lt;MIN(DAY(AH98),DAY(EOMONTH((AL98-1),0))),1,0))))</f>
        <v/>
      </c>
      <c r="AZ98" s="14" t="str">
        <f aca="false">IF(AG98=0,"",IF(AP98="FT",IF(AU98&lt;FT_First,0,IF(AU98&lt;FT_Y5,1+INT((AU98-FT_First)/FT_Int1),FT_PreY5+FT_PerYear*INT((AU98-FT_Y5)/12)+FT_AnnivDays+INT(MOD(AU98-FT_Y5,12)/FT_Int2))),IF(AP98="PT",IF(AU98&lt;PT_First,0,1+INT((AU98-PT_First)/PT_Int)),0))+IF(AND(AI98&gt;=2,AK98&lt;=AsOfDate),IF(AQ98="FT",IF(AV98&lt;FT_First,0,IF(AV98&lt;FT_Y5,1+INT((AV98-FT_First)/FT_Int1),FT_PreY5+FT_PerYear*INT((AV98-FT_Y5)/12)+FT_AnnivDays+INT(MOD(AV98-FT_Y5,12)/FT_Int2))),IF(AQ98="PT",IF(AV98&lt;PT_First,0,1+INT((AV98-PT_First)/PT_Int)),0))-IF(AQ98="FT",IF(AU98&lt;FT_First,0,IF(AU98&lt;FT_Y5,1+INT((AU98-FT_First)/FT_Int1),FT_PreY5+FT_PerYear*INT((AU98-FT_Y5)/12)+FT_AnnivDays+INT(MOD(AU98-FT_Y5,12)/FT_Int2))),IF(AQ98="PT",IF(AU98&lt;PT_First,0,1+INT((AU98-PT_First)/PT_Int)),0)),0)+IF(AND(AI98&gt;=3,AL98&lt;=AsOfDate),IF(AR98="FT",IF(AT98&lt;FT_First,0,IF(AT98&lt;FT_Y5,1+INT((AT98-FT_First)/FT_Int1),FT_PreY5+FT_PerYear*INT((AT98-FT_Y5)/12)+FT_AnnivDays+INT(MOD(AT98-FT_Y5,12)/FT_Int2))),IF(AR98="PT",IF(AT98&lt;PT_First,0,1+INT((AT98-PT_First)/PT_Int)),0))-IF(AR98="FT",IF(AV98&lt;FT_First,0,IF(AV98&lt;FT_Y5,1+INT((AV98-FT_First)/FT_Int1),FT_PreY5+FT_PerYear*INT((AV98-FT_Y5)/12)+FT_AnnivDays+INT(MOD(AV98-FT_Y5,12)/FT_Int2))),IF(AR98="PT",IF(AV98&lt;PT_First,0,1+INT((AV98-PT_First)/PT_Int)),0)),0))</f>
        <v/>
      </c>
      <c r="BA98" s="14" t="str">
        <f aca="false">IF(AG98=0,"",IF(AP98="FT",IF(AX98&lt;FT_First,0,IF(AX98&lt;FT_Y5,1+INT((AX98-FT_First)/FT_Int1),FT_PreY5+FT_PerYear*INT((AX98-FT_Y5)/12)+FT_AnnivDays+INT(MOD(AX98-FT_Y5,12)/FT_Int2))),IF(AP98="PT",IF(AX98&lt;PT_First,0,1+INT((AX98-PT_First)/PT_Int)),0))+IF(AND(AI98&gt;=2,AK98&lt;=PFYDate),IF(AQ98="FT",IF(AY98&lt;FT_First,0,IF(AY98&lt;FT_Y5,1+INT((AY98-FT_First)/FT_Int1),FT_PreY5+FT_PerYear*INT((AY98-FT_Y5)/12)+FT_AnnivDays+INT(MOD(AY98-FT_Y5,12)/FT_Int2))),IF(AQ98="PT",IF(AY98&lt;PT_First,0,1+INT((AY98-PT_First)/PT_Int)),0))-IF(AQ98="FT",IF(AX98&lt;FT_First,0,IF(AX98&lt;FT_Y5,1+INT((AX98-FT_First)/FT_Int1),FT_PreY5+FT_PerYear*INT((AX98-FT_Y5)/12)+FT_AnnivDays+INT(MOD(AX98-FT_Y5,12)/FT_Int2))),IF(AQ98="PT",IF(AX98&lt;PT_First,0,1+INT((AX98-PT_First)/PT_Int)),0)),0)+IF(AND(AI98&gt;=3,AL98&lt;=PFYDate),IF(AR98="FT",IF(AW98&lt;FT_First,0,IF(AW98&lt;FT_Y5,1+INT((AW98-FT_First)/FT_Int1),FT_PreY5+FT_PerYear*INT((AW98-FT_Y5)/12)+FT_AnnivDays+INT(MOD(AW98-FT_Y5,12)/FT_Int2))),IF(AR98="PT",IF(AW98&lt;PT_First,0,1+INT((AW98-PT_First)/PT_Int)),0))-IF(AR98="FT",IF(AY98&lt;FT_First,0,IF(AY98&lt;FT_Y5,1+INT((AY98-FT_First)/FT_Int1),FT_PreY5+FT_PerYear*INT((AY98-FT_Y5)/12)+FT_AnnivDays+INT(MOD(AY98-FT_Y5,12)/FT_Int2))),IF(AR98="PT",IF(AY98&lt;PT_First,0,1+INT((AY98-PT_First)/PT_Int)),0)),0))</f>
        <v/>
      </c>
      <c r="BB98" s="14" t="str">
        <f aca="false">IF(AG98=0,"",IF(AS98="FT",IF(AT98&lt;FT_First,FT_First,IF(AT98&lt;FT_Y5,MIN(FT_Y5,FT_First+FT_Int1*(INT((AT98-FT_First)/FT_Int1)+1)),FT_Y5+12*INT((AT98-FT_Y5)/12)+FT_Int2*(INT(MOD(AT98-FT_Y5,12)/FT_Int2)+1))),IF(AS98="PT",IF(AT98&lt;PT_First,PT_First,PT_First+PT_Int*(INT((AT98-PT_First)/PT_Int)+1)),"")))</f>
        <v/>
      </c>
      <c r="BC98" s="14" t="str">
        <f aca="false">IF(AG98=0,"",IF(NOT(LH_Ready),0,COUNTIFS(INDEX(LH_Data,0,LH_ColFirst),$A98,INDEX(LH_Data,0,LH_ColSur),$B98,INDEX(LH_Data,0,LH_ColCat),BonusCat)))</f>
        <v/>
      </c>
      <c r="BD98" s="14" t="str">
        <f aca="false">IF(AG98=0,"",IF(OR(NOT(LH_Ready),BC98=0),0,SUMPRODUCT(MAX((INDEX(LH_Data,0,LH_ColFirst)=$A98)*(INDEX(LH_Data,0,LH_ColSur)=$B98)*(INDEX(LH_Data,0,LH_ColCat)=BonusCat)*ROW(LH_Data)))))</f>
        <v/>
      </c>
      <c r="BE98" s="14" t="str">
        <f aca="false">IF(AG98=0,"",IF(EOMONTH(AsOfDate,-1)&lt;AH98,-1,12*(YEAR(EOMONTH(AsOfDate,-1))-YEAR(AH98))+MONTH(EOMONTH(AsOfDate,-1))-MONTH(AH98)-IF(DAY(EOMONTH(AsOfDate,-1))&lt;MIN(DAY(AH98),DAY(EOMONTH(EOMONTH(AsOfDate,-1),0))),1,0)))</f>
        <v/>
      </c>
      <c r="BF98" s="14" t="str">
        <f aca="false">IF(AG98=0,"",IF(OR(AI98&lt;2,AK98&gt;EOMONTH(AsOfDate,-1)),BE98,IF((AK98-1)&lt;AH98,-1,12*(YEAR((AK98-1))-YEAR(AH98))+MONTH((AK98-1))-MONTH(AH98)-IF(DAY((AK98-1))&lt;MIN(DAY(AH98),DAY(EOMONTH((AK98-1),0))),1,0))))</f>
        <v/>
      </c>
      <c r="BG98" s="14" t="str">
        <f aca="false">IF(AG98=0,"",IF(OR(AI98&lt;3,AL98&gt;EOMONTH(AsOfDate,-1)),BE98,IF((AL98-1)&lt;AH98,-1,12*(YEAR((AL98-1))-YEAR(AH98))+MONTH((AL98-1))-MONTH(AH98)-IF(DAY((AL98-1))&lt;MIN(DAY(AH98),DAY(EOMONTH((AL98-1),0))),1,0))))</f>
        <v/>
      </c>
      <c r="BH98" s="14" t="str">
        <f aca="false">IF(AG98=0,"",IF(AP98="FT",IF(BF98&lt;FT_First,0,IF(BF98&lt;FT_Y5,1+INT((BF98-FT_First)/FT_Int1),FT_PreY5+FT_PerYear*INT((BF98-FT_Y5)/12)+FT_AnnivDays+INT(MOD(BF98-FT_Y5,12)/FT_Int2))),IF(AP98="PT",IF(BF98&lt;PT_First,0,1+INT((BF98-PT_First)/PT_Int)),0))+IF(AND(AI98&gt;=2,AK98&lt;=EOMONTH(AsOfDate,-1)),IF(AQ98="FT",IF(BG98&lt;FT_First,0,IF(BG98&lt;FT_Y5,1+INT((BG98-FT_First)/FT_Int1),FT_PreY5+FT_PerYear*INT((BG98-FT_Y5)/12)+FT_AnnivDays+INT(MOD(BG98-FT_Y5,12)/FT_Int2))),IF(AQ98="PT",IF(BG98&lt;PT_First,0,1+INT((BG98-PT_First)/PT_Int)),0))-IF(AQ98="FT",IF(BF98&lt;FT_First,0,IF(BF98&lt;FT_Y5,1+INT((BF98-FT_First)/FT_Int1),FT_PreY5+FT_PerYear*INT((BF98-FT_Y5)/12)+FT_AnnivDays+INT(MOD(BF98-FT_Y5,12)/FT_Int2))),IF(AQ98="PT",IF(BF98&lt;PT_First,0,1+INT((BF98-PT_First)/PT_Int)),0)),0)+IF(AND(AI98&gt;=3,AL98&lt;=EOMONTH(AsOfDate,-1)),IF(AR98="FT",IF(BE98&lt;FT_First,0,IF(BE98&lt;FT_Y5,1+INT((BE98-FT_First)/FT_Int1),FT_PreY5+FT_PerYear*INT((BE98-FT_Y5)/12)+FT_AnnivDays+INT(MOD(BE98-FT_Y5,12)/FT_Int2))),IF(AR98="PT",IF(BE98&lt;PT_First,0,1+INT((BE98-PT_First)/PT_Int)),0))-IF(AR98="FT",IF(BG98&lt;FT_First,0,IF(BG98&lt;FT_Y5,1+INT((BG98-FT_First)/FT_Int1),FT_PreY5+FT_PerYear*INT((BG98-FT_Y5)/12)+FT_AnnivDays+INT(MOD(BG98-FT_Y5,12)/FT_Int2))),IF(AR98="PT",IF(BG98&lt;PT_First,0,1+INT((BG98-PT_First)/PT_Int)),0)),0))</f>
        <v/>
      </c>
      <c r="BI98" s="14" t="str">
        <f aca="false">IF(AG98=0,"",IF(AS98="FT",IF(AT98&lt;FT_First,"",IF(AT98&lt;FT_Y5,FT_First+FT_Int1*INT((AT98-FT_First)/FT_Int1),FT_Y5+FT_Int2*INT((AT98-FT_Y5)/FT_Int2))),IF(AS98="PT",IF(AT98&lt;PT_First,"",PT_First+PT_Int*INT((AT98-PT_First)/PT_Int)),"")))</f>
        <v/>
      </c>
      <c r="BJ98" s="0" t="str">
        <f aca="false">IF(LEN($A98&amp;$B98)=0,"",$A98&amp;" "&amp;$B98)</f>
        <v/>
      </c>
    </row>
    <row r="99" customFormat="false" ht="15" hidden="false" customHeight="false" outlineLevel="0" collapsed="false">
      <c r="A99" s="10"/>
      <c r="B99" s="10"/>
      <c r="C99" s="10"/>
      <c r="D99" s="11"/>
      <c r="E99" s="12" t="str">
        <f aca="false">IF(OR(AG99=0,$D99=""),"",DATE(YEAR(AsOfDate)+IF(DATE(YEAR(AsOfDate),MONTH($D99),DAY($D99))&lt;=AsOfDate,1,0),MONTH($D99),DAY($D99)))</f>
        <v/>
      </c>
      <c r="F99" s="11"/>
      <c r="G99" s="11"/>
      <c r="H99" s="11"/>
      <c r="I99" s="11"/>
      <c r="J99" s="11"/>
      <c r="K99" s="12" t="str">
        <f aca="false">IF(AG99=0,"",DATE(YEAR(AsOfDate)+IF(DATE(YEAR(AsOfDate),MONTH(AH99),DAY(AH99))&lt;=AsOfDate,1,0),MONTH(AH99),DAY(AH99)))</f>
        <v/>
      </c>
      <c r="L99" s="13" t="str">
        <f aca="false">IF(AG99=0,"",ROUND((AsOfDate-AH99)/365.25,1))</f>
        <v/>
      </c>
      <c r="M99" s="14" t="str">
        <f aca="false">IF(AG99=0,"",IF(AsOfDate&lt;AH99,"-",DATEDIF(AH99,AsOfDate,"y")&amp;"y "&amp;DATEDIF(AH99,AsOfDate,"ym")&amp;"m "&amp;DATEDIF(AH99,AsOfDate,"md")&amp;"d"))</f>
        <v/>
      </c>
      <c r="N99" s="15" t="str">
        <f aca="false">IF(AG99=0,"",O99*HoursPerDay)</f>
        <v/>
      </c>
      <c r="O99" s="15" t="str">
        <f aca="false">IF(AG99=0,"",AZ99)</f>
        <v/>
      </c>
      <c r="P99" s="16"/>
      <c r="Q99" s="14" t="str">
        <f aca="false">IF(AG99=0,"",IF(AI99&lt;2,"",AM99&amp;" to "&amp;AN99&amp;" on "&amp;TEXT(AK99,"dd/mm/yyyy")&amp;IF(AK99&gt;AsOfDate," (future)",IF(AP99=AQ99,"",IF(AQ99="None"," - STOPPED accruing",IF(AP99="None"," - commencement for Bonus Leave"," - pathway changed"))))&amp;IF(AI99&lt;3,"","; "&amp;AN99&amp;" to "&amp;AO99&amp;" on "&amp;TEXT(AL99,"dd/mm/yyyy")&amp;IF(AL99&gt;AsOfDate," (future)",IF(AQ99=AR99,"",IF(AR99="None"," - STOPPED accruing",IF(AQ99="None"," - commencement for Bonus Leave"," - pathway changed")))))))</f>
        <v/>
      </c>
      <c r="R99" s="14" t="str">
        <f aca="false">IF(AG99=0,"",IF(AS99="None",IF(O99&gt;0,"No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2" t="str">
        <f aca="false">IF(AG99=0,"",IF(AS99="None","",EDATE(AH99,BB99)))</f>
        <v/>
      </c>
      <c r="T99" s="15" t="str">
        <f aca="false">IF(AG99=0,"",IF(NOT(LH_Ready),"",IF(AH99&gt;PFYDate,0,IF(LH_ColPeriod=0,W99-U99+V99,SUMIFS(INDEX(LH_Data,0,LH_ColAcc),INDEX(LH_Data,0,LH_ColFirst),$A99,INDEX(LH_Data,0,LH_ColSur),$B99,INDEX(LH_Data,0,LH_ColCat),BonusCat,INDEX(LH_Data,0,LH_ColPeriod),LH_OpenLabel)*UnitFactor))))</f>
        <v/>
      </c>
      <c r="U99" s="15" t="str">
        <f aca="false">IF(AG99=0,"",IF(NOT(LH_Ready),"",SUMIFS(INDEX(LH_Data,0,LH_ColAcc),INDEX(LH_Data,0,LH_ColFirst),$A99,INDEX(LH_Data,0,LH_ColSur),$B99,INDEX(LH_Data,0,LH_ColCat),BonusCat,INDEX(LH_Data,0,LH_ColStart),"&gt;="&amp;AH99)*UnitFactor))</f>
        <v/>
      </c>
      <c r="V99" s="15" t="str">
        <f aca="false">IF(AG99=0,"",IF(NOT(LH_Ready),"",SUMIFS(INDEX(LH_Data,0,LH_ColTaken),INDEX(LH_Data,0,LH_ColFirst),$A99,INDEX(LH_Data,0,LH_ColSur),$B99,INDEX(LH_Data,0,LH_ColCat),BonusCat,INDEX(LH_Data,0,LH_ColStart),"&gt;="&amp;AH99)*UnitFactor))</f>
        <v/>
      </c>
      <c r="W99" s="15" t="str">
        <f aca="false">IF(AG99=0,"",IF(NOT(LH_Ready),"",IF(BD99=0,0,INDEX(INDEX(LH_Data,0,LH_ColClose),BD99-1)*UnitFactor)))</f>
        <v/>
      </c>
      <c r="X99" s="15" t="str">
        <f aca="false">IF(AG99=0,"",(AZ99-BA99)*HoursPerDay)</f>
        <v/>
      </c>
      <c r="Y99" s="15" t="str">
        <f aca="false">IF(AG99=0,"",IF(NOT(LH_Ready),"",IF(BC99=0,N99,IF(PFYDate&lt;$F99,N99-N(T99)-N(U99),X99-N(U99)))))</f>
        <v/>
      </c>
      <c r="Z99" s="14" t="str">
        <f aca="false">IF(OR(AG99=0,Y99=""),"",IF(Y99&gt;0,"Yes","No"))</f>
        <v/>
      </c>
      <c r="AA99" s="14" t="str">
        <f aca="false">IF(AG99=0,IF(LEN($A99&amp;$B99)=0,"","FIX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month")&amp;IF(BC99=0,";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EH)",""),IF(AS99="None",R99,"Not yet - first day on "&amp;TEXT(S99,"dd/mm/yyyy")))))))))</f>
        <v/>
      </c>
      <c r="AB99" s="15" t="str">
        <f aca="false">IF(OR(AG99=0,T99=""),"",BA99*HoursPerDay-T99)</f>
        <v/>
      </c>
      <c r="AC99" s="14" t="str">
        <f aca="false">IF(AG99=0,"",BC99)</f>
        <v/>
      </c>
      <c r="AD99" s="14" t="str">
        <f aca="false">IF(AG99=0,"",TRIM(IF(OR(ISTEXT($F99),ISTEXT($H99),ISTEXT($I99),ISTEXT($G99),ISTEXT($J99),ISTEXT($D99)),"A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I99&gt;=1,IF(AI99&gt;=3,AO99,IF(AI99=2,AN99,AM99))&lt;&gt;IF($C99="","",IF(OR(ISNUMBER(SEARCH("full",$C99)),UPPER(TRIM($C99))="FT",UPPER(TRIM($C99))="FTE"),"Full-Time",IF(OR(ISNUMBER(SEARCH("part",$C99)),UPPER(TRIM($C99))="PT",UPPER(TRIM($C99))="PTE"),"Part-Time",IF(OR(ISNUMBER(SEARCH("cas",$C99)),UPPER(TRIM($C99))="CAS"),"Casual","Unknown"))))),"EmploymentType does not match latest start date ("&amp;IF(AI99&gt;=3,AO99,IF(AI99=2,AN99,AM99))&amp;"). ","")&amp;IF(AND(AI99&gt;=1,AJ99&lt;&gt;$F99),"Earliest type date should equal StartDate. ","")&amp;IF(AND(AI99&gt;=2,AJ99=AK99),"Two types start on the same date. ","")&amp;IF(AND(OR(ISNUMBER(SEARCH("part",$C99)),UPPER(TRIM($C99))="PT",UPPER(TRIM($C99))="PTE"),$P99=""),"Part-time: enter PT Hrs/Week (blank = 24+). ","")))</f>
        <v/>
      </c>
      <c r="AE99" s="15" t="str">
        <f aca="false">IF(AG99=0,"",O99-BH99)</f>
        <v/>
      </c>
      <c r="AF99" s="12" t="str">
        <f aca="false">IF(OR(AG99=0,AE99="",N(AE99)=0,BI99=""),"",EDATE(AH99,BI99))</f>
        <v/>
      </c>
      <c r="AG99" s="14" t="n">
        <f aca="false">IF(OR(LEN($A99&amp;$B99)=0,$F99=""),0,1)</f>
        <v>0</v>
      </c>
      <c r="AH99" s="12" t="str">
        <f aca="false">IF(AG99=0,"",IF($J99&lt;&gt;"",$J99,IF(OR(CasualCounts="Yes",COUNT($G99:$I99)=0,COUNT($H99:$I99)=0),$F99,MIN($H99:$I99))))</f>
        <v/>
      </c>
      <c r="AI99" s="14" t="str">
        <f aca="false">IF(AG99=0,"",COUNT($G99:$I99))</f>
        <v/>
      </c>
      <c r="AJ99" s="12" t="str">
        <f aca="false">IF(AG99=0,"",IFERROR(SMALL($G99:$I99,1),""))</f>
        <v/>
      </c>
      <c r="AK99" s="12" t="str">
        <f aca="false">IF(AG99=0,"",IFERROR(SMALL($G99:$I99,2),""))</f>
        <v/>
      </c>
      <c r="AL99" s="12" t="str">
        <f aca="false">IF(AG99=0,"",IFERROR(SMALL($G99:$I99,3),""))</f>
        <v/>
      </c>
      <c r="AM99" s="14" t="str">
        <f aca="false">IF(AG99=0,"",IF(AJ99="","",IF(AJ99=$H99,"Part-Time",IF(AJ99=$I99,"Full-Time","Casual"))))</f>
        <v/>
      </c>
      <c r="AN99" s="14" t="str">
        <f aca="false">IF(AG99=0,"",IF(AK99="","",IF(AK99=$H99,"Part-Time",IF(AK99=$I99,"Full-Time","Casual"))))</f>
        <v/>
      </c>
      <c r="AO99" s="14" t="str">
        <f aca="false">IF(AG99=0,"",IF(AL99="","",IF(AL99=$H99,"Part-Time",IF(AL99=$I99,"Full-Time","Casual"))))</f>
        <v/>
      </c>
      <c r="AP99" s="14" t="str">
        <f aca="false">IF(AG99=0,"",IF(AI99=0,IF(OR(ISNUMBER(SEARCH("full",$C99)),UPPER(TRIM($C99))="FT",UPPER(TRIM($C99))="FTE"),"FT",IF(AND(OR(ISNUMBER(SEARCH("part",$C99)),UPPER(TRIM($C99))="PT",UPPER(TRIM($C99))="PTE"),OR($P99="",N($P99)&gt;=PT_MinHours)),"PT","None")),IF(OR(ISNUMBER(SEARCH("full",AM99)),UPPER(TRIM(AM99))="FT",UPPER(TRIM(AM99))="FTE"),"FT",IF(AND(OR(ISNUMBER(SEARCH("part",AM99)),UPPER(TRIM(AM99))="PT",UPPER(TRIM(AM99))="PTE"),OR($P99="",N($P99)&gt;=PT_MinHours)),"PT","None"))))</f>
        <v/>
      </c>
      <c r="AQ99" s="14" t="str">
        <f aca="false">IF(AG99=0,"",IF(AI99&lt;2,"",IF(OR(ISNUMBER(SEARCH("full",AN99)),UPPER(TRIM(AN99))="FT",UPPER(TRIM(AN99))="FTE"),"FT",IF(AND(OR(ISNUMBER(SEARCH("part",AN99)),UPPER(TRIM(AN99))="PT",UPPER(TRIM(AN99))="PTE"),OR($P99="",N($P99)&gt;=PT_MinHours)),"PT","None"))))</f>
        <v/>
      </c>
      <c r="AR99" s="14" t="str">
        <f aca="false">IF(AG99=0,"",IF(AI99&lt;3,"",IF(OR(ISNUMBER(SEARCH("full",AO99)),UPPER(TRIM(AO99))="FT",UPPER(TRIM(AO99))="FTE"),"FT",IF(AND(OR(ISNUMBER(SEARCH("part",AO99)),UPPER(TRIM(AO99))="PT",UPPER(TRIM(AO99))="PTE"),OR($P99="",N($P99)&gt;=PT_MinHours)),"PT","None"))))</f>
        <v/>
      </c>
      <c r="AS99" s="14" t="str">
        <f aca="false">IF(AG99=0,"",IF(AND(AI99&gt;=3,AL99&lt;=AsOfDate),AR99,IF(AND(AI99&gt;=2,AK99&lt;=AsOfDate),AQ99,AP99)))</f>
        <v/>
      </c>
      <c r="AT99" s="14" t="str">
        <f aca="false">IF(AG99=0,"",IF(AsOfDate&lt;AH99,-1,12*(YEAR(AsOfDate)-YEAR(AH99))+MONTH(AsOfDate)-MONTH(AH99)-IF(DAY(AsOfDate)&lt;MIN(DAY(AH99),DAY(EOMONTH(AsOfDate,0))),1,0)))</f>
        <v/>
      </c>
      <c r="AU99" s="14" t="str">
        <f aca="false">IF(AG99=0,"",IF(OR(AI99&lt;2,AK99&gt;AsOfDate),AT99,IF((AK99-1)&lt;AH99,-1,12*(YEAR((AK99-1))-YEAR(AH99))+MONTH((AK99-1))-MONTH(AH99)-IF(DAY((AK99-1))&lt;MIN(DAY(AH99),DAY(EOMONTH((AK99-1),0))),1,0))))</f>
        <v/>
      </c>
      <c r="AV99" s="14" t="str">
        <f aca="false">IF(AG99=0,"",IF(OR(AI99&lt;3,AL99&gt;AsOfDate),AT99,IF((AL99-1)&lt;AH99,-1,12*(YEAR((AL99-1))-YEAR(AH99))+MONTH((AL99-1))-MONTH(AH99)-IF(DAY((AL99-1))&lt;MIN(DAY(AH99),DAY(EOMONTH((AL99-1),0))),1,0))))</f>
        <v/>
      </c>
      <c r="AW99" s="14" t="str">
        <f aca="false">IF(AG99=0,"",IF(PFYDate&lt;AH99,-1,12*(YEAR(PFYDate)-YEAR(AH99))+MONTH(PFYDate)-MONTH(AH99)-IF(DAY(PFYDate)&lt;MIN(DAY(AH99),DAY(EOMONTH(PFYDate,0))),1,0)))</f>
        <v/>
      </c>
      <c r="AX99" s="14" t="str">
        <f aca="false">IF(AG99=0,"",IF(OR(AI99&lt;2,AK99&gt;PFYDate),AW99,IF((AK99-1)&lt;AH99,-1,12*(YEAR((AK99-1))-YEAR(AH99))+MONTH((AK99-1))-MONTH(AH99)-IF(DAY((AK99-1))&lt;MIN(DAY(AH99),DAY(EOMONTH((AK99-1),0))),1,0))))</f>
        <v/>
      </c>
      <c r="AY99" s="14" t="str">
        <f aca="false">IF(AG99=0,"",IF(OR(AI99&lt;3,AL99&gt;PFYDate),AW99,IF((AL99-1)&lt;AH99,-1,12*(YEAR((AL99-1))-YEAR(AH99))+MONTH((AL99-1))-MONTH(AH99)-IF(DAY((AL99-1))&lt;MIN(DAY(AH99),DAY(EOMONTH((AL99-1),0))),1,0))))</f>
        <v/>
      </c>
      <c r="AZ99" s="14" t="str">
        <f aca="false">IF(AG99=0,"",IF(AP99="FT",IF(AU99&lt;FT_First,0,IF(AU99&lt;FT_Y5,1+INT((AU99-FT_First)/FT_Int1),FT_PreY5+FT_PerYear*INT((AU99-FT_Y5)/12)+FT_AnnivDays+INT(MOD(AU99-FT_Y5,12)/FT_Int2))),IF(AP99="PT",IF(AU99&lt;PT_First,0,1+INT((AU99-PT_First)/PT_Int)),0))+IF(AND(AI99&gt;=2,AK99&lt;=AsOfDate),IF(AQ99="FT",IF(AV99&lt;FT_First,0,IF(AV99&lt;FT_Y5,1+INT((AV99-FT_First)/FT_Int1),FT_PreY5+FT_PerYear*INT((AV99-FT_Y5)/12)+FT_AnnivDays+INT(MOD(AV99-FT_Y5,12)/FT_Int2))),IF(AQ99="PT",IF(AV99&lt;PT_First,0,1+INT((AV99-PT_First)/PT_Int)),0))-IF(AQ99="FT",IF(AU99&lt;FT_First,0,IF(AU99&lt;FT_Y5,1+INT((AU99-FT_First)/FT_Int1),FT_PreY5+FT_PerYear*INT((AU99-FT_Y5)/12)+FT_AnnivDays+INT(MOD(AU99-FT_Y5,12)/FT_Int2))),IF(AQ99="PT",IF(AU99&lt;PT_First,0,1+INT((AU99-PT_First)/PT_Int)),0)),0)+IF(AND(AI99&gt;=3,AL99&lt;=AsOfDate),IF(AR99="FT",IF(AT99&lt;FT_First,0,IF(AT99&lt;FT_Y5,1+INT((AT99-FT_First)/FT_Int1),FT_PreY5+FT_PerYear*INT((AT99-FT_Y5)/12)+FT_AnnivDays+INT(MOD(AT99-FT_Y5,12)/FT_Int2))),IF(AR99="PT",IF(AT99&lt;PT_First,0,1+INT((AT99-PT_First)/PT_Int)),0))-IF(AR99="FT",IF(AV99&lt;FT_First,0,IF(AV99&lt;FT_Y5,1+INT((AV99-FT_First)/FT_Int1),FT_PreY5+FT_PerYear*INT((AV99-FT_Y5)/12)+FT_AnnivDays+INT(MOD(AV99-FT_Y5,12)/FT_Int2))),IF(AR99="PT",IF(AV99&lt;PT_First,0,1+INT((AV99-PT_First)/PT_Int)),0)),0))</f>
        <v/>
      </c>
      <c r="BA99" s="14" t="str">
        <f aca="false">IF(AG99=0,"",IF(AP99="FT",IF(AX99&lt;FT_First,0,IF(AX99&lt;FT_Y5,1+INT((AX99-FT_First)/FT_Int1),FT_PreY5+FT_PerYear*INT((AX99-FT_Y5)/12)+FT_AnnivDays+INT(MOD(AX99-FT_Y5,12)/FT_Int2))),IF(AP99="PT",IF(AX99&lt;PT_First,0,1+INT((AX99-PT_First)/PT_Int)),0))+IF(AND(AI99&gt;=2,AK99&lt;=PFYDate),IF(AQ99="FT",IF(AY99&lt;FT_First,0,IF(AY99&lt;FT_Y5,1+INT((AY99-FT_First)/FT_Int1),FT_PreY5+FT_PerYear*INT((AY99-FT_Y5)/12)+FT_AnnivDays+INT(MOD(AY99-FT_Y5,12)/FT_Int2))),IF(AQ99="PT",IF(AY99&lt;PT_First,0,1+INT((AY99-PT_First)/PT_Int)),0))-IF(AQ99="FT",IF(AX99&lt;FT_First,0,IF(AX99&lt;FT_Y5,1+INT((AX99-FT_First)/FT_Int1),FT_PreY5+FT_PerYear*INT((AX99-FT_Y5)/12)+FT_AnnivDays+INT(MOD(AX99-FT_Y5,12)/FT_Int2))),IF(AQ99="PT",IF(AX99&lt;PT_First,0,1+INT((AX99-PT_First)/PT_Int)),0)),0)+IF(AND(AI99&gt;=3,AL99&lt;=PFYDate),IF(AR99="FT",IF(AW99&lt;FT_First,0,IF(AW99&lt;FT_Y5,1+INT((AW99-FT_First)/FT_Int1),FT_PreY5+FT_PerYear*INT((AW99-FT_Y5)/12)+FT_AnnivDays+INT(MOD(AW99-FT_Y5,12)/FT_Int2))),IF(AR99="PT",IF(AW99&lt;PT_First,0,1+INT((AW99-PT_First)/PT_Int)),0))-IF(AR99="FT",IF(AY99&lt;FT_First,0,IF(AY99&lt;FT_Y5,1+INT((AY99-FT_First)/FT_Int1),FT_PreY5+FT_PerYear*INT((AY99-FT_Y5)/12)+FT_AnnivDays+INT(MOD(AY99-FT_Y5,12)/FT_Int2))),IF(AR99="PT",IF(AY99&lt;PT_First,0,1+INT((AY99-PT_First)/PT_Int)),0)),0))</f>
        <v/>
      </c>
      <c r="BB99" s="14" t="str">
        <f aca="false">IF(AG99=0,"",IF(AS99="FT",IF(AT99&lt;FT_First,FT_First,IF(AT99&lt;FT_Y5,MIN(FT_Y5,FT_First+FT_Int1*(INT((AT99-FT_First)/FT_Int1)+1)),FT_Y5+12*INT((AT99-FT_Y5)/12)+FT_Int2*(INT(MOD(AT99-FT_Y5,12)/FT_Int2)+1))),IF(AS99="PT",IF(AT99&lt;PT_First,PT_First,PT_First+PT_Int*(INT((AT99-PT_First)/PT_Int)+1)),"")))</f>
        <v/>
      </c>
      <c r="BC99" s="14" t="str">
        <f aca="false">IF(AG99=0,"",IF(NOT(LH_Ready),0,COUNTIFS(INDEX(LH_Data,0,LH_ColFirst),$A99,INDEX(LH_Data,0,LH_ColSur),$B99,INDEX(LH_Data,0,LH_ColCat),BonusCat)))</f>
        <v/>
      </c>
      <c r="BD99" s="14" t="str">
        <f aca="false">IF(AG99=0,"",IF(OR(NOT(LH_Ready),BC99=0),0,SUMPRODUCT(MAX((INDEX(LH_Data,0,LH_ColFirst)=$A99)*(INDEX(LH_Data,0,LH_ColSur)=$B99)*(INDEX(LH_Data,0,LH_ColCat)=BonusCat)*ROW(LH_Data)))))</f>
        <v/>
      </c>
      <c r="BE99" s="14" t="str">
        <f aca="false">IF(AG99=0,"",IF(EOMONTH(AsOfDate,-1)&lt;AH99,-1,12*(YEAR(EOMONTH(AsOfDate,-1))-YEAR(AH99))+MONTH(EOMONTH(AsOfDate,-1))-MONTH(AH99)-IF(DAY(EOMONTH(AsOfDate,-1))&lt;MIN(DAY(AH99),DAY(EOMONTH(EOMONTH(AsOfDate,-1),0))),1,0)))</f>
        <v/>
      </c>
      <c r="BF99" s="14" t="str">
        <f aca="false">IF(AG99=0,"",IF(OR(AI99&lt;2,AK99&gt;EOMONTH(AsOfDate,-1)),BE99,IF((AK99-1)&lt;AH99,-1,12*(YEAR((AK99-1))-YEAR(AH99))+MONTH((AK99-1))-MONTH(AH99)-IF(DAY((AK99-1))&lt;MIN(DAY(AH99),DAY(EOMONTH((AK99-1),0))),1,0))))</f>
        <v/>
      </c>
      <c r="BG99" s="14" t="str">
        <f aca="false">IF(AG99=0,"",IF(OR(AI99&lt;3,AL99&gt;EOMONTH(AsOfDate,-1)),BE99,IF((AL99-1)&lt;AH99,-1,12*(YEAR((AL99-1))-YEAR(AH99))+MONTH((AL99-1))-MONTH(AH99)-IF(DAY((AL99-1))&lt;MIN(DAY(AH99),DAY(EOMONTH((AL99-1),0))),1,0))))</f>
        <v/>
      </c>
      <c r="BH99" s="14" t="str">
        <f aca="false">IF(AG99=0,"",IF(AP99="FT",IF(BF99&lt;FT_First,0,IF(BF99&lt;FT_Y5,1+INT((BF99-FT_First)/FT_Int1),FT_PreY5+FT_PerYear*INT((BF99-FT_Y5)/12)+FT_AnnivDays+INT(MOD(BF99-FT_Y5,12)/FT_Int2))),IF(AP99="PT",IF(BF99&lt;PT_First,0,1+INT((BF99-PT_First)/PT_Int)),0))+IF(AND(AI99&gt;=2,AK99&lt;=EOMONTH(AsOfDate,-1)),IF(AQ99="FT",IF(BG99&lt;FT_First,0,IF(BG99&lt;FT_Y5,1+INT((BG99-FT_First)/FT_Int1),FT_PreY5+FT_PerYear*INT((BG99-FT_Y5)/12)+FT_AnnivDays+INT(MOD(BG99-FT_Y5,12)/FT_Int2))),IF(AQ99="PT",IF(BG99&lt;PT_First,0,1+INT((BG99-PT_First)/PT_Int)),0))-IF(AQ99="FT",IF(BF99&lt;FT_First,0,IF(BF99&lt;FT_Y5,1+INT((BF99-FT_First)/FT_Int1),FT_PreY5+FT_PerYear*INT((BF99-FT_Y5)/12)+FT_AnnivDays+INT(MOD(BF99-FT_Y5,12)/FT_Int2))),IF(AQ99="PT",IF(BF99&lt;PT_First,0,1+INT((BF99-PT_First)/PT_Int)),0)),0)+IF(AND(AI99&gt;=3,AL99&lt;=EOMONTH(AsOfDate,-1)),IF(AR99="FT",IF(BE99&lt;FT_First,0,IF(BE99&lt;FT_Y5,1+INT((BE99-FT_First)/FT_Int1),FT_PreY5+FT_PerYear*INT((BE99-FT_Y5)/12)+FT_AnnivDays+INT(MOD(BE99-FT_Y5,12)/FT_Int2))),IF(AR99="PT",IF(BE99&lt;PT_First,0,1+INT((BE99-PT_First)/PT_Int)),0))-IF(AR99="FT",IF(BG99&lt;FT_First,0,IF(BG99&lt;FT_Y5,1+INT((BG99-FT_First)/FT_Int1),FT_PreY5+FT_PerYear*INT((BG99-FT_Y5)/12)+FT_AnnivDays+INT(MOD(BG99-FT_Y5,12)/FT_Int2))),IF(AR99="PT",IF(BG99&lt;PT_First,0,1+INT((BG99-PT_First)/PT_Int)),0)),0))</f>
        <v/>
      </c>
      <c r="BI99" s="14" t="str">
        <f aca="false">IF(AG99=0,"",IF(AS99="FT",IF(AT99&lt;FT_First,"",IF(AT99&lt;FT_Y5,FT_First+FT_Int1*INT((AT99-FT_First)/FT_Int1),FT_Y5+FT_Int2*INT((AT99-FT_Y5)/FT_Int2))),IF(AS99="PT",IF(AT99&lt;PT_First,"",PT_First+PT_Int*INT((AT99-PT_First)/PT_Int)),"")))</f>
        <v/>
      </c>
      <c r="BJ99" s="0" t="str">
        <f aca="false">IF(LEN($A99&amp;$B99)=0,"",$A99&amp;" "&amp;$B99)</f>
        <v/>
      </c>
    </row>
    <row r="100" customFormat="false" ht="15" hidden="false" customHeight="false" outlineLevel="0" collapsed="false">
      <c r="A100" s="10"/>
      <c r="B100" s="10"/>
      <c r="C100" s="10"/>
      <c r="D100" s="11"/>
      <c r="E100" s="12" t="str">
        <f aca="false">IF(OR(AG100=0,$D100=""),"",DATE(YEAR(AsOfDate)+IF(DATE(YEAR(AsOfDate),MONTH($D100),DAY($D100))&lt;=AsOfDate,1,0),MONTH($D100),DAY($D100)))</f>
        <v/>
      </c>
      <c r="F100" s="11"/>
      <c r="G100" s="11"/>
      <c r="H100" s="11"/>
      <c r="I100" s="11"/>
      <c r="J100" s="11"/>
      <c r="K100" s="12" t="str">
        <f aca="false">IF(AG100=0,"",DATE(YEAR(AsOfDate)+IF(DATE(YEAR(AsOfDate),MONTH(AH100),DAY(AH100))&lt;=AsOfDate,1,0),MONTH(AH100),DAY(AH100)))</f>
        <v/>
      </c>
      <c r="L100" s="13" t="str">
        <f aca="false">IF(AG100=0,"",ROUND((AsOfDate-AH100)/365.25,1))</f>
        <v/>
      </c>
      <c r="M100" s="14" t="str">
        <f aca="false">IF(AG100=0,"",IF(AsOfDate&lt;AH100,"-",DATEDIF(AH100,AsOfDate,"y")&amp;"y "&amp;DATEDIF(AH100,AsOfDate,"ym")&amp;"m "&amp;DATEDIF(AH100,AsOfDate,"md")&amp;"d"))</f>
        <v/>
      </c>
      <c r="N100" s="15" t="str">
        <f aca="false">IF(AG100=0,"",O100*HoursPerDay)</f>
        <v/>
      </c>
      <c r="O100" s="15" t="str">
        <f aca="false">IF(AG100=0,"",AZ100)</f>
        <v/>
      </c>
      <c r="P100" s="16"/>
      <c r="Q100" s="14" t="str">
        <f aca="false">IF(AG100=0,"",IF(AI100&lt;2,"",AM100&amp;" to "&amp;AN100&amp;" on "&amp;TEXT(AK100,"dd/mm/yyyy")&amp;IF(AK100&gt;AsOfDate," (future)",IF(AP100=AQ100,"",IF(AQ100="None"," - STOPPED accruing",IF(AP100="None"," - commencement for Bonus Leave"," - pathway changed"))))&amp;IF(AI100&lt;3,"","; "&amp;AN100&amp;" to "&amp;AO100&amp;" on "&amp;TEXT(AL100,"dd/mm/yyyy")&amp;IF(AL100&gt;AsOfDate," (future)",IF(AQ100=AR100,"",IF(AR100="None"," - STOPPED accruing",IF(AQ100="None"," - commencement for Bonus Leave"," - pathway changed")))))))</f>
        <v/>
      </c>
      <c r="R100" s="14" t="str">
        <f aca="false">IF(AG100=0,"",IF(AS100="None",IF(O100&gt;0,"No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2" t="str">
        <f aca="false">IF(AG100=0,"",IF(AS100="None","",EDATE(AH100,BB100)))</f>
        <v/>
      </c>
      <c r="T100" s="15" t="str">
        <f aca="false">IF(AG100=0,"",IF(NOT(LH_Ready),"",IF(AH100&gt;PFYDate,0,IF(LH_ColPeriod=0,W100-U100+V100,SUMIFS(INDEX(LH_Data,0,LH_ColAcc),INDEX(LH_Data,0,LH_ColFirst),$A100,INDEX(LH_Data,0,LH_ColSur),$B100,INDEX(LH_Data,0,LH_ColCat),BonusCat,INDEX(LH_Data,0,LH_ColPeriod),LH_OpenLabel)*UnitFactor))))</f>
        <v/>
      </c>
      <c r="U100" s="15" t="str">
        <f aca="false">IF(AG100=0,"",IF(NOT(LH_Ready),"",SUMIFS(INDEX(LH_Data,0,LH_ColAcc),INDEX(LH_Data,0,LH_ColFirst),$A100,INDEX(LH_Data,0,LH_ColSur),$B100,INDEX(LH_Data,0,LH_ColCat),BonusCat,INDEX(LH_Data,0,LH_ColStart),"&gt;="&amp;AH100)*UnitFactor))</f>
        <v/>
      </c>
      <c r="V100" s="15" t="str">
        <f aca="false">IF(AG100=0,"",IF(NOT(LH_Ready),"",SUMIFS(INDEX(LH_Data,0,LH_ColTaken),INDEX(LH_Data,0,LH_ColFirst),$A100,INDEX(LH_Data,0,LH_ColSur),$B100,INDEX(LH_Data,0,LH_ColCat),BonusCat,INDEX(LH_Data,0,LH_ColStart),"&gt;="&amp;AH100)*UnitFactor))</f>
        <v/>
      </c>
      <c r="W100" s="15" t="str">
        <f aca="false">IF(AG100=0,"",IF(NOT(LH_Ready),"",IF(BD100=0,0,INDEX(INDEX(LH_Data,0,LH_ColClose),BD100-1)*UnitFactor)))</f>
        <v/>
      </c>
      <c r="X100" s="15" t="str">
        <f aca="false">IF(AG100=0,"",(AZ100-BA100)*HoursPerDay)</f>
        <v/>
      </c>
      <c r="Y100" s="15" t="str">
        <f aca="false">IF(AG100=0,"",IF(NOT(LH_Ready),"",IF(BC100=0,N100,IF(PFYDate&lt;$F100,N100-N(T100)-N(U100),X100-N(U100)))))</f>
        <v/>
      </c>
      <c r="Z100" s="14" t="str">
        <f aca="false">IF(OR(AG100=0,Y100=""),"",IF(Y100&gt;0,"Yes","No"))</f>
        <v/>
      </c>
      <c r="AA100" s="14" t="str">
        <f aca="false">IF(AG100=0,IF(LEN($A100&amp;$B100)=0,"","FIX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month")&amp;IF(BC100=0,";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EH)",""),IF(AS100="None",R100,"Not yet - first day on "&amp;TEXT(S100,"dd/mm/yyyy")))))))))</f>
        <v/>
      </c>
      <c r="AB100" s="15" t="str">
        <f aca="false">IF(OR(AG100=0,T100=""),"",BA100*HoursPerDay-T100)</f>
        <v/>
      </c>
      <c r="AC100" s="14" t="str">
        <f aca="false">IF(AG100=0,"",BC100)</f>
        <v/>
      </c>
      <c r="AD100" s="14" t="str">
        <f aca="false">IF(AG100=0,"",TRIM(IF(OR(ISTEXT($F100),ISTEXT($H100),ISTEXT($I100),ISTEXT($G100),ISTEXT($J100),ISTEXT($D100)),"A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I100&gt;=1,IF(AI100&gt;=3,AO100,IF(AI100=2,AN100,AM100))&lt;&gt;IF($C100="","",IF(OR(ISNUMBER(SEARCH("full",$C100)),UPPER(TRIM($C100))="FT",UPPER(TRIM($C100))="FTE"),"Full-Time",IF(OR(ISNUMBER(SEARCH("part",$C100)),UPPER(TRIM($C100))="PT",UPPER(TRIM($C100))="PTE"),"Part-Time",IF(OR(ISNUMBER(SEARCH("cas",$C100)),UPPER(TRIM($C100))="CAS"),"Casual","Unknown"))))),"EmploymentType does not match latest start date ("&amp;IF(AI100&gt;=3,AO100,IF(AI100=2,AN100,AM100))&amp;"). ","")&amp;IF(AND(AI100&gt;=1,AJ100&lt;&gt;$F100),"Earliest type date should equal StartDate. ","")&amp;IF(AND(AI100&gt;=2,AJ100=AK100),"Two types start on the same date. ","")&amp;IF(AND(OR(ISNUMBER(SEARCH("part",$C100)),UPPER(TRIM($C100))="PT",UPPER(TRIM($C100))="PTE"),$P100=""),"Part-time: enter PT Hrs/Week (blank = 24+). ","")))</f>
        <v/>
      </c>
      <c r="AE100" s="15" t="str">
        <f aca="false">IF(AG100=0,"",O100-BH100)</f>
        <v/>
      </c>
      <c r="AF100" s="12" t="str">
        <f aca="false">IF(OR(AG100=0,AE100="",N(AE100)=0,BI100=""),"",EDATE(AH100,BI100))</f>
        <v/>
      </c>
      <c r="AG100" s="14" t="n">
        <f aca="false">IF(OR(LEN($A100&amp;$B100)=0,$F100=""),0,1)</f>
        <v>0</v>
      </c>
      <c r="AH100" s="12" t="str">
        <f aca="false">IF(AG100=0,"",IF($J100&lt;&gt;"",$J100,IF(OR(CasualCounts="Yes",COUNT($G100:$I100)=0,COUNT($H100:$I100)=0),$F100,MIN($H100:$I100))))</f>
        <v/>
      </c>
      <c r="AI100" s="14" t="str">
        <f aca="false">IF(AG100=0,"",COUNT($G100:$I100))</f>
        <v/>
      </c>
      <c r="AJ100" s="12" t="str">
        <f aca="false">IF(AG100=0,"",IFERROR(SMALL($G100:$I100,1),""))</f>
        <v/>
      </c>
      <c r="AK100" s="12" t="str">
        <f aca="false">IF(AG100=0,"",IFERROR(SMALL($G100:$I100,2),""))</f>
        <v/>
      </c>
      <c r="AL100" s="12" t="str">
        <f aca="false">IF(AG100=0,"",IFERROR(SMALL($G100:$I100,3),""))</f>
        <v/>
      </c>
      <c r="AM100" s="14" t="str">
        <f aca="false">IF(AG100=0,"",IF(AJ100="","",IF(AJ100=$H100,"Part-Time",IF(AJ100=$I100,"Full-Time","Casual"))))</f>
        <v/>
      </c>
      <c r="AN100" s="14" t="str">
        <f aca="false">IF(AG100=0,"",IF(AK100="","",IF(AK100=$H100,"Part-Time",IF(AK100=$I100,"Full-Time","Casual"))))</f>
        <v/>
      </c>
      <c r="AO100" s="14" t="str">
        <f aca="false">IF(AG100=0,"",IF(AL100="","",IF(AL100=$H100,"Part-Time",IF(AL100=$I100,"Full-Time","Casual"))))</f>
        <v/>
      </c>
      <c r="AP100" s="14" t="str">
        <f aca="false">IF(AG100=0,"",IF(AI100=0,IF(OR(ISNUMBER(SEARCH("full",$C100)),UPPER(TRIM($C100))="FT",UPPER(TRIM($C100))="FTE"),"FT",IF(AND(OR(ISNUMBER(SEARCH("part",$C100)),UPPER(TRIM($C100))="PT",UPPER(TRIM($C100))="PTE"),OR($P100="",N($P100)&gt;=PT_MinHours)),"PT","None")),IF(OR(ISNUMBER(SEARCH("full",AM100)),UPPER(TRIM(AM100))="FT",UPPER(TRIM(AM100))="FTE"),"FT",IF(AND(OR(ISNUMBER(SEARCH("part",AM100)),UPPER(TRIM(AM100))="PT",UPPER(TRIM(AM100))="PTE"),OR($P100="",N($P100)&gt;=PT_MinHours)),"PT","None"))))</f>
        <v/>
      </c>
      <c r="AQ100" s="14" t="str">
        <f aca="false">IF(AG100=0,"",IF(AI100&lt;2,"",IF(OR(ISNUMBER(SEARCH("full",AN100)),UPPER(TRIM(AN100))="FT",UPPER(TRIM(AN100))="FTE"),"FT",IF(AND(OR(ISNUMBER(SEARCH("part",AN100)),UPPER(TRIM(AN100))="PT",UPPER(TRIM(AN100))="PTE"),OR($P100="",N($P100)&gt;=PT_MinHours)),"PT","None"))))</f>
        <v/>
      </c>
      <c r="AR100" s="14" t="str">
        <f aca="false">IF(AG100=0,"",IF(AI100&lt;3,"",IF(OR(ISNUMBER(SEARCH("full",AO100)),UPPER(TRIM(AO100))="FT",UPPER(TRIM(AO100))="FTE"),"FT",IF(AND(OR(ISNUMBER(SEARCH("part",AO100)),UPPER(TRIM(AO100))="PT",UPPER(TRIM(AO100))="PTE"),OR($P100="",N($P100)&gt;=PT_MinHours)),"PT","None"))))</f>
        <v/>
      </c>
      <c r="AS100" s="14" t="str">
        <f aca="false">IF(AG100=0,"",IF(AND(AI100&gt;=3,AL100&lt;=AsOfDate),AR100,IF(AND(AI100&gt;=2,AK100&lt;=AsOfDate),AQ100,AP100)))</f>
        <v/>
      </c>
      <c r="AT100" s="14" t="str">
        <f aca="false">IF(AG100=0,"",IF(AsOfDate&lt;AH100,-1,12*(YEAR(AsOfDate)-YEAR(AH100))+MONTH(AsOfDate)-MONTH(AH100)-IF(DAY(AsOfDate)&lt;MIN(DAY(AH100),DAY(EOMONTH(AsOfDate,0))),1,0)))</f>
        <v/>
      </c>
      <c r="AU100" s="14" t="str">
        <f aca="false">IF(AG100=0,"",IF(OR(AI100&lt;2,AK100&gt;AsOfDate),AT100,IF((AK100-1)&lt;AH100,-1,12*(YEAR((AK100-1))-YEAR(AH100))+MONTH((AK100-1))-MONTH(AH100)-IF(DAY((AK100-1))&lt;MIN(DAY(AH100),DAY(EOMONTH((AK100-1),0))),1,0))))</f>
        <v/>
      </c>
      <c r="AV100" s="14" t="str">
        <f aca="false">IF(AG100=0,"",IF(OR(AI100&lt;3,AL100&gt;AsOfDate),AT100,IF((AL100-1)&lt;AH100,-1,12*(YEAR((AL100-1))-YEAR(AH100))+MONTH((AL100-1))-MONTH(AH100)-IF(DAY((AL100-1))&lt;MIN(DAY(AH100),DAY(EOMONTH((AL100-1),0))),1,0))))</f>
        <v/>
      </c>
      <c r="AW100" s="14" t="str">
        <f aca="false">IF(AG100=0,"",IF(PFYDate&lt;AH100,-1,12*(YEAR(PFYDate)-YEAR(AH100))+MONTH(PFYDate)-MONTH(AH100)-IF(DAY(PFYDate)&lt;MIN(DAY(AH100),DAY(EOMONTH(PFYDate,0))),1,0)))</f>
        <v/>
      </c>
      <c r="AX100" s="14" t="str">
        <f aca="false">IF(AG100=0,"",IF(OR(AI100&lt;2,AK100&gt;PFYDate),AW100,IF((AK100-1)&lt;AH100,-1,12*(YEAR((AK100-1))-YEAR(AH100))+MONTH((AK100-1))-MONTH(AH100)-IF(DAY((AK100-1))&lt;MIN(DAY(AH100),DAY(EOMONTH((AK100-1),0))),1,0))))</f>
        <v/>
      </c>
      <c r="AY100" s="14" t="str">
        <f aca="false">IF(AG100=0,"",IF(OR(AI100&lt;3,AL100&gt;PFYDate),AW100,IF((AL100-1)&lt;AH100,-1,12*(YEAR((AL100-1))-YEAR(AH100))+MONTH((AL100-1))-MONTH(AH100)-IF(DAY((AL100-1))&lt;MIN(DAY(AH100),DAY(EOMONTH((AL100-1),0))),1,0))))</f>
        <v/>
      </c>
      <c r="AZ100" s="14" t="str">
        <f aca="false">IF(AG100=0,"",IF(AP100="FT",IF(AU100&lt;FT_First,0,IF(AU100&lt;FT_Y5,1+INT((AU100-FT_First)/FT_Int1),FT_PreY5+FT_PerYear*INT((AU100-FT_Y5)/12)+FT_AnnivDays+INT(MOD(AU100-FT_Y5,12)/FT_Int2))),IF(AP100="PT",IF(AU100&lt;PT_First,0,1+INT((AU100-PT_First)/PT_Int)),0))+IF(AND(AI100&gt;=2,AK100&lt;=AsOfDate),IF(AQ100="FT",IF(AV100&lt;FT_First,0,IF(AV100&lt;FT_Y5,1+INT((AV100-FT_First)/FT_Int1),FT_PreY5+FT_PerYear*INT((AV100-FT_Y5)/12)+FT_AnnivDays+INT(MOD(AV100-FT_Y5,12)/FT_Int2))),IF(AQ100="PT",IF(AV100&lt;PT_First,0,1+INT((AV100-PT_First)/PT_Int)),0))-IF(AQ100="FT",IF(AU100&lt;FT_First,0,IF(AU100&lt;FT_Y5,1+INT((AU100-FT_First)/FT_Int1),FT_PreY5+FT_PerYear*INT((AU100-FT_Y5)/12)+FT_AnnivDays+INT(MOD(AU100-FT_Y5,12)/FT_Int2))),IF(AQ100="PT",IF(AU100&lt;PT_First,0,1+INT((AU100-PT_First)/PT_Int)),0)),0)+IF(AND(AI100&gt;=3,AL100&lt;=AsOfDate),IF(AR100="FT",IF(AT100&lt;FT_First,0,IF(AT100&lt;FT_Y5,1+INT((AT100-FT_First)/FT_Int1),FT_PreY5+FT_PerYear*INT((AT100-FT_Y5)/12)+FT_AnnivDays+INT(MOD(AT100-FT_Y5,12)/FT_Int2))),IF(AR100="PT",IF(AT100&lt;PT_First,0,1+INT((AT100-PT_First)/PT_Int)),0))-IF(AR100="FT",IF(AV100&lt;FT_First,0,IF(AV100&lt;FT_Y5,1+INT((AV100-FT_First)/FT_Int1),FT_PreY5+FT_PerYear*INT((AV100-FT_Y5)/12)+FT_AnnivDays+INT(MOD(AV100-FT_Y5,12)/FT_Int2))),IF(AR100="PT",IF(AV100&lt;PT_First,0,1+INT((AV100-PT_First)/PT_Int)),0)),0))</f>
        <v/>
      </c>
      <c r="BA100" s="14" t="str">
        <f aca="false">IF(AG100=0,"",IF(AP100="FT",IF(AX100&lt;FT_First,0,IF(AX100&lt;FT_Y5,1+INT((AX100-FT_First)/FT_Int1),FT_PreY5+FT_PerYear*INT((AX100-FT_Y5)/12)+FT_AnnivDays+INT(MOD(AX100-FT_Y5,12)/FT_Int2))),IF(AP100="PT",IF(AX100&lt;PT_First,0,1+INT((AX100-PT_First)/PT_Int)),0))+IF(AND(AI100&gt;=2,AK100&lt;=PFYDate),IF(AQ100="FT",IF(AY100&lt;FT_First,0,IF(AY100&lt;FT_Y5,1+INT((AY100-FT_First)/FT_Int1),FT_PreY5+FT_PerYear*INT((AY100-FT_Y5)/12)+FT_AnnivDays+INT(MOD(AY100-FT_Y5,12)/FT_Int2))),IF(AQ100="PT",IF(AY100&lt;PT_First,0,1+INT((AY100-PT_First)/PT_Int)),0))-IF(AQ100="FT",IF(AX100&lt;FT_First,0,IF(AX100&lt;FT_Y5,1+INT((AX100-FT_First)/FT_Int1),FT_PreY5+FT_PerYear*INT((AX100-FT_Y5)/12)+FT_AnnivDays+INT(MOD(AX100-FT_Y5,12)/FT_Int2))),IF(AQ100="PT",IF(AX100&lt;PT_First,0,1+INT((AX100-PT_First)/PT_Int)),0)),0)+IF(AND(AI100&gt;=3,AL100&lt;=PFYDate),IF(AR100="FT",IF(AW100&lt;FT_First,0,IF(AW100&lt;FT_Y5,1+INT((AW100-FT_First)/FT_Int1),FT_PreY5+FT_PerYear*INT((AW100-FT_Y5)/12)+FT_AnnivDays+INT(MOD(AW100-FT_Y5,12)/FT_Int2))),IF(AR100="PT",IF(AW100&lt;PT_First,0,1+INT((AW100-PT_First)/PT_Int)),0))-IF(AR100="FT",IF(AY100&lt;FT_First,0,IF(AY100&lt;FT_Y5,1+INT((AY100-FT_First)/FT_Int1),FT_PreY5+FT_PerYear*INT((AY100-FT_Y5)/12)+FT_AnnivDays+INT(MOD(AY100-FT_Y5,12)/FT_Int2))),IF(AR100="PT",IF(AY100&lt;PT_First,0,1+INT((AY100-PT_First)/PT_Int)),0)),0))</f>
        <v/>
      </c>
      <c r="BB100" s="14" t="str">
        <f aca="false">IF(AG100=0,"",IF(AS100="FT",IF(AT100&lt;FT_First,FT_First,IF(AT100&lt;FT_Y5,MIN(FT_Y5,FT_First+FT_Int1*(INT((AT100-FT_First)/FT_Int1)+1)),FT_Y5+12*INT((AT100-FT_Y5)/12)+FT_Int2*(INT(MOD(AT100-FT_Y5,12)/FT_Int2)+1))),IF(AS100="PT",IF(AT100&lt;PT_First,PT_First,PT_First+PT_Int*(INT((AT100-PT_First)/PT_Int)+1)),"")))</f>
        <v/>
      </c>
      <c r="BC100" s="14" t="str">
        <f aca="false">IF(AG100=0,"",IF(NOT(LH_Ready),0,COUNTIFS(INDEX(LH_Data,0,LH_ColFirst),$A100,INDEX(LH_Data,0,LH_ColSur),$B100,INDEX(LH_Data,0,LH_ColCat),BonusCat)))</f>
        <v/>
      </c>
      <c r="BD100" s="14" t="str">
        <f aca="false">IF(AG100=0,"",IF(OR(NOT(LH_Ready),BC100=0),0,SUMPRODUCT(MAX((INDEX(LH_Data,0,LH_ColFirst)=$A100)*(INDEX(LH_Data,0,LH_ColSur)=$B100)*(INDEX(LH_Data,0,LH_ColCat)=BonusCat)*ROW(LH_Data)))))</f>
        <v/>
      </c>
      <c r="BE100" s="14" t="str">
        <f aca="false">IF(AG100=0,"",IF(EOMONTH(AsOfDate,-1)&lt;AH100,-1,12*(YEAR(EOMONTH(AsOfDate,-1))-YEAR(AH100))+MONTH(EOMONTH(AsOfDate,-1))-MONTH(AH100)-IF(DAY(EOMONTH(AsOfDate,-1))&lt;MIN(DAY(AH100),DAY(EOMONTH(EOMONTH(AsOfDate,-1),0))),1,0)))</f>
        <v/>
      </c>
      <c r="BF100" s="14" t="str">
        <f aca="false">IF(AG100=0,"",IF(OR(AI100&lt;2,AK100&gt;EOMONTH(AsOfDate,-1)),BE100,IF((AK100-1)&lt;AH100,-1,12*(YEAR((AK100-1))-YEAR(AH100))+MONTH((AK100-1))-MONTH(AH100)-IF(DAY((AK100-1))&lt;MIN(DAY(AH100),DAY(EOMONTH((AK100-1),0))),1,0))))</f>
        <v/>
      </c>
      <c r="BG100" s="14" t="str">
        <f aca="false">IF(AG100=0,"",IF(OR(AI100&lt;3,AL100&gt;EOMONTH(AsOfDate,-1)),BE100,IF((AL100-1)&lt;AH100,-1,12*(YEAR((AL100-1))-YEAR(AH100))+MONTH((AL100-1))-MONTH(AH100)-IF(DAY((AL100-1))&lt;MIN(DAY(AH100),DAY(EOMONTH((AL100-1),0))),1,0))))</f>
        <v/>
      </c>
      <c r="BH100" s="14" t="str">
        <f aca="false">IF(AG100=0,"",IF(AP100="FT",IF(BF100&lt;FT_First,0,IF(BF100&lt;FT_Y5,1+INT((BF100-FT_First)/FT_Int1),FT_PreY5+FT_PerYear*INT((BF100-FT_Y5)/12)+FT_AnnivDays+INT(MOD(BF100-FT_Y5,12)/FT_Int2))),IF(AP100="PT",IF(BF100&lt;PT_First,0,1+INT((BF100-PT_First)/PT_Int)),0))+IF(AND(AI100&gt;=2,AK100&lt;=EOMONTH(AsOfDate,-1)),IF(AQ100="FT",IF(BG100&lt;FT_First,0,IF(BG100&lt;FT_Y5,1+INT((BG100-FT_First)/FT_Int1),FT_PreY5+FT_PerYear*INT((BG100-FT_Y5)/12)+FT_AnnivDays+INT(MOD(BG100-FT_Y5,12)/FT_Int2))),IF(AQ100="PT",IF(BG100&lt;PT_First,0,1+INT((BG100-PT_First)/PT_Int)),0))-IF(AQ100="FT",IF(BF100&lt;FT_First,0,IF(BF100&lt;FT_Y5,1+INT((BF100-FT_First)/FT_Int1),FT_PreY5+FT_PerYear*INT((BF100-FT_Y5)/12)+FT_AnnivDays+INT(MOD(BF100-FT_Y5,12)/FT_Int2))),IF(AQ100="PT",IF(BF100&lt;PT_First,0,1+INT((BF100-PT_First)/PT_Int)),0)),0)+IF(AND(AI100&gt;=3,AL100&lt;=EOMONTH(AsOfDate,-1)),IF(AR100="FT",IF(BE100&lt;FT_First,0,IF(BE100&lt;FT_Y5,1+INT((BE100-FT_First)/FT_Int1),FT_PreY5+FT_PerYear*INT((BE100-FT_Y5)/12)+FT_AnnivDays+INT(MOD(BE100-FT_Y5,12)/FT_Int2))),IF(AR100="PT",IF(BE100&lt;PT_First,0,1+INT((BE100-PT_First)/PT_Int)),0))-IF(AR100="FT",IF(BG100&lt;FT_First,0,IF(BG100&lt;FT_Y5,1+INT((BG100-FT_First)/FT_Int1),FT_PreY5+FT_PerYear*INT((BG100-FT_Y5)/12)+FT_AnnivDays+INT(MOD(BG100-FT_Y5,12)/FT_Int2))),IF(AR100="PT",IF(BG100&lt;PT_First,0,1+INT((BG100-PT_First)/PT_Int)),0)),0))</f>
        <v/>
      </c>
      <c r="BI100" s="14" t="str">
        <f aca="false">IF(AG100=0,"",IF(AS100="FT",IF(AT100&lt;FT_First,"",IF(AT100&lt;FT_Y5,FT_First+FT_Int1*INT((AT100-FT_First)/FT_Int1),FT_Y5+FT_Int2*INT((AT100-FT_Y5)/FT_Int2))),IF(AS100="PT",IF(AT100&lt;PT_First,"",PT_First+PT_Int*INT((AT100-PT_First)/PT_Int)),"")))</f>
        <v/>
      </c>
      <c r="BJ100" s="0" t="str">
        <f aca="false">IF(LEN($A100&amp;$B100)=0,"",$A100&amp;" "&amp;$B100)</f>
        <v/>
      </c>
    </row>
    <row r="101" customFormat="false" ht="15" hidden="false" customHeight="false" outlineLevel="0" collapsed="false">
      <c r="A101" s="10"/>
      <c r="B101" s="10"/>
      <c r="C101" s="10"/>
      <c r="D101" s="11"/>
      <c r="E101" s="12" t="str">
        <f aca="false">IF(OR(AG101=0,$D101=""),"",DATE(YEAR(AsOfDate)+IF(DATE(YEAR(AsOfDate),MONTH($D101),DAY($D101))&lt;=AsOfDate,1,0),MONTH($D101),DAY($D101)))</f>
        <v/>
      </c>
      <c r="F101" s="11"/>
      <c r="G101" s="11"/>
      <c r="H101" s="11"/>
      <c r="I101" s="11"/>
      <c r="J101" s="11"/>
      <c r="K101" s="12" t="str">
        <f aca="false">IF(AG101=0,"",DATE(YEAR(AsOfDate)+IF(DATE(YEAR(AsOfDate),MONTH(AH101),DAY(AH101))&lt;=AsOfDate,1,0),MONTH(AH101),DAY(AH101)))</f>
        <v/>
      </c>
      <c r="L101" s="13" t="str">
        <f aca="false">IF(AG101=0,"",ROUND((AsOfDate-AH101)/365.25,1))</f>
        <v/>
      </c>
      <c r="M101" s="14" t="str">
        <f aca="false">IF(AG101=0,"",IF(AsOfDate&lt;AH101,"-",DATEDIF(AH101,AsOfDate,"y")&amp;"y "&amp;DATEDIF(AH101,AsOfDate,"ym")&amp;"m "&amp;DATEDIF(AH101,AsOfDate,"md")&amp;"d"))</f>
        <v/>
      </c>
      <c r="N101" s="15" t="str">
        <f aca="false">IF(AG101=0,"",O101*HoursPerDay)</f>
        <v/>
      </c>
      <c r="O101" s="15" t="str">
        <f aca="false">IF(AG101=0,"",AZ101)</f>
        <v/>
      </c>
      <c r="P101" s="16"/>
      <c r="Q101" s="14" t="str">
        <f aca="false">IF(AG101=0,"",IF(AI101&lt;2,"",AM101&amp;" to "&amp;AN101&amp;" on "&amp;TEXT(AK101,"dd/mm/yyyy")&amp;IF(AK101&gt;AsOfDate," (future)",IF(AP101=AQ101,"",IF(AQ101="None"," - STOPPED accruing",IF(AP101="None"," - commencement for Bonus Leave"," - pathway changed"))))&amp;IF(AI101&lt;3,"","; "&amp;AN101&amp;" to "&amp;AO101&amp;" on "&amp;TEXT(AL101,"dd/mm/yyyy")&amp;IF(AL101&gt;AsOfDate," (future)",IF(AQ101=AR101,"",IF(AR101="None"," - STOPPED accruing",IF(AQ101="None"," - commencement for Bonus Leave"," - pathway changed")))))))</f>
        <v/>
      </c>
      <c r="R101" s="14" t="str">
        <f aca="false">IF(AG101=0,"",IF(AS101="None",IF(O101&gt;0,"No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2" t="str">
        <f aca="false">IF(AG101=0,"",IF(AS101="None","",EDATE(AH101,BB101)))</f>
        <v/>
      </c>
      <c r="T101" s="15" t="str">
        <f aca="false">IF(AG101=0,"",IF(NOT(LH_Ready),"",IF(AH101&gt;PFYDate,0,IF(LH_ColPeriod=0,W101-U101+V101,SUMIFS(INDEX(LH_Data,0,LH_ColAcc),INDEX(LH_Data,0,LH_ColFirst),$A101,INDEX(LH_Data,0,LH_ColSur),$B101,INDEX(LH_Data,0,LH_ColCat),BonusCat,INDEX(LH_Data,0,LH_ColPeriod),LH_OpenLabel)*UnitFactor))))</f>
        <v/>
      </c>
      <c r="U101" s="15" t="str">
        <f aca="false">IF(AG101=0,"",IF(NOT(LH_Ready),"",SUMIFS(INDEX(LH_Data,0,LH_ColAcc),INDEX(LH_Data,0,LH_ColFirst),$A101,INDEX(LH_Data,0,LH_ColSur),$B101,INDEX(LH_Data,0,LH_ColCat),BonusCat,INDEX(LH_Data,0,LH_ColStart),"&gt;="&amp;AH101)*UnitFactor))</f>
        <v/>
      </c>
      <c r="V101" s="15" t="str">
        <f aca="false">IF(AG101=0,"",IF(NOT(LH_Ready),"",SUMIFS(INDEX(LH_Data,0,LH_ColTaken),INDEX(LH_Data,0,LH_ColFirst),$A101,INDEX(LH_Data,0,LH_ColSur),$B101,INDEX(LH_Data,0,LH_ColCat),BonusCat,INDEX(LH_Data,0,LH_ColStart),"&gt;="&amp;AH101)*UnitFactor))</f>
        <v/>
      </c>
      <c r="W101" s="15" t="str">
        <f aca="false">IF(AG101=0,"",IF(NOT(LH_Ready),"",IF(BD101=0,0,INDEX(INDEX(LH_Data,0,LH_ColClose),BD101-1)*UnitFactor)))</f>
        <v/>
      </c>
      <c r="X101" s="15" t="str">
        <f aca="false">IF(AG101=0,"",(AZ101-BA101)*HoursPerDay)</f>
        <v/>
      </c>
      <c r="Y101" s="15" t="str">
        <f aca="false">IF(AG101=0,"",IF(NOT(LH_Ready),"",IF(BC101=0,N101,IF(PFYDate&lt;$F101,N101-N(T101)-N(U101),X101-N(U101)))))</f>
        <v/>
      </c>
      <c r="Z101" s="14" t="str">
        <f aca="false">IF(OR(AG101=0,Y101=""),"",IF(Y101&gt;0,"Yes","No"))</f>
        <v/>
      </c>
      <c r="AA101" s="14" t="str">
        <f aca="false">IF(AG101=0,IF(LEN($A101&amp;$B101)=0,"","FIX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month")&amp;IF(BC101=0,";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EH)",""),IF(AS101="None",R101,"Not yet - first day on "&amp;TEXT(S101,"dd/mm/yyyy")))))))))</f>
        <v/>
      </c>
      <c r="AB101" s="15" t="str">
        <f aca="false">IF(OR(AG101=0,T101=""),"",BA101*HoursPerDay-T101)</f>
        <v/>
      </c>
      <c r="AC101" s="14" t="str">
        <f aca="false">IF(AG101=0,"",BC101)</f>
        <v/>
      </c>
      <c r="AD101" s="14" t="str">
        <f aca="false">IF(AG101=0,"",TRIM(IF(OR(ISTEXT($F101),ISTEXT($H101),ISTEXT($I101),ISTEXT($G101),ISTEXT($J101),ISTEXT($D101)),"A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I101&gt;=1,IF(AI101&gt;=3,AO101,IF(AI101=2,AN101,AM101))&lt;&gt;IF($C101="","",IF(OR(ISNUMBER(SEARCH("full",$C101)),UPPER(TRIM($C101))="FT",UPPER(TRIM($C101))="FTE"),"Full-Time",IF(OR(ISNUMBER(SEARCH("part",$C101)),UPPER(TRIM($C101))="PT",UPPER(TRIM($C101))="PTE"),"Part-Time",IF(OR(ISNUMBER(SEARCH("cas",$C101)),UPPER(TRIM($C101))="CAS"),"Casual","Unknown"))))),"EmploymentType does not match latest start date ("&amp;IF(AI101&gt;=3,AO101,IF(AI101=2,AN101,AM101))&amp;"). ","")&amp;IF(AND(AI101&gt;=1,AJ101&lt;&gt;$F101),"Earliest type date should equal StartDate. ","")&amp;IF(AND(AI101&gt;=2,AJ101=AK101),"Two types start on the same date. ","")&amp;IF(AND(OR(ISNUMBER(SEARCH("part",$C101)),UPPER(TRIM($C101))="PT",UPPER(TRIM($C101))="PTE"),$P101=""),"Part-time: enter PT Hrs/Week (blank = 24+). ","")))</f>
        <v/>
      </c>
      <c r="AE101" s="15" t="str">
        <f aca="false">IF(AG101=0,"",O101-BH101)</f>
        <v/>
      </c>
      <c r="AF101" s="12" t="str">
        <f aca="false">IF(OR(AG101=0,AE101="",N(AE101)=0,BI101=""),"",EDATE(AH101,BI101))</f>
        <v/>
      </c>
      <c r="AG101" s="14" t="n">
        <f aca="false">IF(OR(LEN($A101&amp;$B101)=0,$F101=""),0,1)</f>
        <v>0</v>
      </c>
      <c r="AH101" s="12" t="str">
        <f aca="false">IF(AG101=0,"",IF($J101&lt;&gt;"",$J101,IF(OR(CasualCounts="Yes",COUNT($G101:$I101)=0,COUNT($H101:$I101)=0),$F101,MIN($H101:$I101))))</f>
        <v/>
      </c>
      <c r="AI101" s="14" t="str">
        <f aca="false">IF(AG101=0,"",COUNT($G101:$I101))</f>
        <v/>
      </c>
      <c r="AJ101" s="12" t="str">
        <f aca="false">IF(AG101=0,"",IFERROR(SMALL($G101:$I101,1),""))</f>
        <v/>
      </c>
      <c r="AK101" s="12" t="str">
        <f aca="false">IF(AG101=0,"",IFERROR(SMALL($G101:$I101,2),""))</f>
        <v/>
      </c>
      <c r="AL101" s="12" t="str">
        <f aca="false">IF(AG101=0,"",IFERROR(SMALL($G101:$I101,3),""))</f>
        <v/>
      </c>
      <c r="AM101" s="14" t="str">
        <f aca="false">IF(AG101=0,"",IF(AJ101="","",IF(AJ101=$H101,"Part-Time",IF(AJ101=$I101,"Full-Time","Casual"))))</f>
        <v/>
      </c>
      <c r="AN101" s="14" t="str">
        <f aca="false">IF(AG101=0,"",IF(AK101="","",IF(AK101=$H101,"Part-Time",IF(AK101=$I101,"Full-Time","Casual"))))</f>
        <v/>
      </c>
      <c r="AO101" s="14" t="str">
        <f aca="false">IF(AG101=0,"",IF(AL101="","",IF(AL101=$H101,"Part-Time",IF(AL101=$I101,"Full-Time","Casual"))))</f>
        <v/>
      </c>
      <c r="AP101" s="14" t="str">
        <f aca="false">IF(AG101=0,"",IF(AI101=0,IF(OR(ISNUMBER(SEARCH("full",$C101)),UPPER(TRIM($C101))="FT",UPPER(TRIM($C101))="FTE"),"FT",IF(AND(OR(ISNUMBER(SEARCH("part",$C101)),UPPER(TRIM($C101))="PT",UPPER(TRIM($C101))="PTE"),OR($P101="",N($P101)&gt;=PT_MinHours)),"PT","None")),IF(OR(ISNUMBER(SEARCH("full",AM101)),UPPER(TRIM(AM101))="FT",UPPER(TRIM(AM101))="FTE"),"FT",IF(AND(OR(ISNUMBER(SEARCH("part",AM101)),UPPER(TRIM(AM101))="PT",UPPER(TRIM(AM101))="PTE"),OR($P101="",N($P101)&gt;=PT_MinHours)),"PT","None"))))</f>
        <v/>
      </c>
      <c r="AQ101" s="14" t="str">
        <f aca="false">IF(AG101=0,"",IF(AI101&lt;2,"",IF(OR(ISNUMBER(SEARCH("full",AN101)),UPPER(TRIM(AN101))="FT",UPPER(TRIM(AN101))="FTE"),"FT",IF(AND(OR(ISNUMBER(SEARCH("part",AN101)),UPPER(TRIM(AN101))="PT",UPPER(TRIM(AN101))="PTE"),OR($P101="",N($P101)&gt;=PT_MinHours)),"PT","None"))))</f>
        <v/>
      </c>
      <c r="AR101" s="14" t="str">
        <f aca="false">IF(AG101=0,"",IF(AI101&lt;3,"",IF(OR(ISNUMBER(SEARCH("full",AO101)),UPPER(TRIM(AO101))="FT",UPPER(TRIM(AO101))="FTE"),"FT",IF(AND(OR(ISNUMBER(SEARCH("part",AO101)),UPPER(TRIM(AO101))="PT",UPPER(TRIM(AO101))="PTE"),OR($P101="",N($P101)&gt;=PT_MinHours)),"PT","None"))))</f>
        <v/>
      </c>
      <c r="AS101" s="14" t="str">
        <f aca="false">IF(AG101=0,"",IF(AND(AI101&gt;=3,AL101&lt;=AsOfDate),AR101,IF(AND(AI101&gt;=2,AK101&lt;=AsOfDate),AQ101,AP101)))</f>
        <v/>
      </c>
      <c r="AT101" s="14" t="str">
        <f aca="false">IF(AG101=0,"",IF(AsOfDate&lt;AH101,-1,12*(YEAR(AsOfDate)-YEAR(AH101))+MONTH(AsOfDate)-MONTH(AH101)-IF(DAY(AsOfDate)&lt;MIN(DAY(AH101),DAY(EOMONTH(AsOfDate,0))),1,0)))</f>
        <v/>
      </c>
      <c r="AU101" s="14" t="str">
        <f aca="false">IF(AG101=0,"",IF(OR(AI101&lt;2,AK101&gt;AsOfDate),AT101,IF((AK101-1)&lt;AH101,-1,12*(YEAR((AK101-1))-YEAR(AH101))+MONTH((AK101-1))-MONTH(AH101)-IF(DAY((AK101-1))&lt;MIN(DAY(AH101),DAY(EOMONTH((AK101-1),0))),1,0))))</f>
        <v/>
      </c>
      <c r="AV101" s="14" t="str">
        <f aca="false">IF(AG101=0,"",IF(OR(AI101&lt;3,AL101&gt;AsOfDate),AT101,IF((AL101-1)&lt;AH101,-1,12*(YEAR((AL101-1))-YEAR(AH101))+MONTH((AL101-1))-MONTH(AH101)-IF(DAY((AL101-1))&lt;MIN(DAY(AH101),DAY(EOMONTH((AL101-1),0))),1,0))))</f>
        <v/>
      </c>
      <c r="AW101" s="14" t="str">
        <f aca="false">IF(AG101=0,"",IF(PFYDate&lt;AH101,-1,12*(YEAR(PFYDate)-YEAR(AH101))+MONTH(PFYDate)-MONTH(AH101)-IF(DAY(PFYDate)&lt;MIN(DAY(AH101),DAY(EOMONTH(PFYDate,0))),1,0)))</f>
        <v/>
      </c>
      <c r="AX101" s="14" t="str">
        <f aca="false">IF(AG101=0,"",IF(OR(AI101&lt;2,AK101&gt;PFYDate),AW101,IF((AK101-1)&lt;AH101,-1,12*(YEAR((AK101-1))-YEAR(AH101))+MONTH((AK101-1))-MONTH(AH101)-IF(DAY((AK101-1))&lt;MIN(DAY(AH101),DAY(EOMONTH((AK101-1),0))),1,0))))</f>
        <v/>
      </c>
      <c r="AY101" s="14" t="str">
        <f aca="false">IF(AG101=0,"",IF(OR(AI101&lt;3,AL101&gt;PFYDate),AW101,IF((AL101-1)&lt;AH101,-1,12*(YEAR((AL101-1))-YEAR(AH101))+MONTH((AL101-1))-MONTH(AH101)-IF(DAY((AL101-1))&lt;MIN(DAY(AH101),DAY(EOMONTH((AL101-1),0))),1,0))))</f>
        <v/>
      </c>
      <c r="AZ101" s="14" t="str">
        <f aca="false">IF(AG101=0,"",IF(AP101="FT",IF(AU101&lt;FT_First,0,IF(AU101&lt;FT_Y5,1+INT((AU101-FT_First)/FT_Int1),FT_PreY5+FT_PerYear*INT((AU101-FT_Y5)/12)+FT_AnnivDays+INT(MOD(AU101-FT_Y5,12)/FT_Int2))),IF(AP101="PT",IF(AU101&lt;PT_First,0,1+INT((AU101-PT_First)/PT_Int)),0))+IF(AND(AI101&gt;=2,AK101&lt;=AsOfDate),IF(AQ101="FT",IF(AV101&lt;FT_First,0,IF(AV101&lt;FT_Y5,1+INT((AV101-FT_First)/FT_Int1),FT_PreY5+FT_PerYear*INT((AV101-FT_Y5)/12)+FT_AnnivDays+INT(MOD(AV101-FT_Y5,12)/FT_Int2))),IF(AQ101="PT",IF(AV101&lt;PT_First,0,1+INT((AV101-PT_First)/PT_Int)),0))-IF(AQ101="FT",IF(AU101&lt;FT_First,0,IF(AU101&lt;FT_Y5,1+INT((AU101-FT_First)/FT_Int1),FT_PreY5+FT_PerYear*INT((AU101-FT_Y5)/12)+FT_AnnivDays+INT(MOD(AU101-FT_Y5,12)/FT_Int2))),IF(AQ101="PT",IF(AU101&lt;PT_First,0,1+INT((AU101-PT_First)/PT_Int)),0)),0)+IF(AND(AI101&gt;=3,AL101&lt;=AsOfDate),IF(AR101="FT",IF(AT101&lt;FT_First,0,IF(AT101&lt;FT_Y5,1+INT((AT101-FT_First)/FT_Int1),FT_PreY5+FT_PerYear*INT((AT101-FT_Y5)/12)+FT_AnnivDays+INT(MOD(AT101-FT_Y5,12)/FT_Int2))),IF(AR101="PT",IF(AT101&lt;PT_First,0,1+INT((AT101-PT_First)/PT_Int)),0))-IF(AR101="FT",IF(AV101&lt;FT_First,0,IF(AV101&lt;FT_Y5,1+INT((AV101-FT_First)/FT_Int1),FT_PreY5+FT_PerYear*INT((AV101-FT_Y5)/12)+FT_AnnivDays+INT(MOD(AV101-FT_Y5,12)/FT_Int2))),IF(AR101="PT",IF(AV101&lt;PT_First,0,1+INT((AV101-PT_First)/PT_Int)),0)),0))</f>
        <v/>
      </c>
      <c r="BA101" s="14" t="str">
        <f aca="false">IF(AG101=0,"",IF(AP101="FT",IF(AX101&lt;FT_First,0,IF(AX101&lt;FT_Y5,1+INT((AX101-FT_First)/FT_Int1),FT_PreY5+FT_PerYear*INT((AX101-FT_Y5)/12)+FT_AnnivDays+INT(MOD(AX101-FT_Y5,12)/FT_Int2))),IF(AP101="PT",IF(AX101&lt;PT_First,0,1+INT((AX101-PT_First)/PT_Int)),0))+IF(AND(AI101&gt;=2,AK101&lt;=PFYDate),IF(AQ101="FT",IF(AY101&lt;FT_First,0,IF(AY101&lt;FT_Y5,1+INT((AY101-FT_First)/FT_Int1),FT_PreY5+FT_PerYear*INT((AY101-FT_Y5)/12)+FT_AnnivDays+INT(MOD(AY101-FT_Y5,12)/FT_Int2))),IF(AQ101="PT",IF(AY101&lt;PT_First,0,1+INT((AY101-PT_First)/PT_Int)),0))-IF(AQ101="FT",IF(AX101&lt;FT_First,0,IF(AX101&lt;FT_Y5,1+INT((AX101-FT_First)/FT_Int1),FT_PreY5+FT_PerYear*INT((AX101-FT_Y5)/12)+FT_AnnivDays+INT(MOD(AX101-FT_Y5,12)/FT_Int2))),IF(AQ101="PT",IF(AX101&lt;PT_First,0,1+INT((AX101-PT_First)/PT_Int)),0)),0)+IF(AND(AI101&gt;=3,AL101&lt;=PFYDate),IF(AR101="FT",IF(AW101&lt;FT_First,0,IF(AW101&lt;FT_Y5,1+INT((AW101-FT_First)/FT_Int1),FT_PreY5+FT_PerYear*INT((AW101-FT_Y5)/12)+FT_AnnivDays+INT(MOD(AW101-FT_Y5,12)/FT_Int2))),IF(AR101="PT",IF(AW101&lt;PT_First,0,1+INT((AW101-PT_First)/PT_Int)),0))-IF(AR101="FT",IF(AY101&lt;FT_First,0,IF(AY101&lt;FT_Y5,1+INT((AY101-FT_First)/FT_Int1),FT_PreY5+FT_PerYear*INT((AY101-FT_Y5)/12)+FT_AnnivDays+INT(MOD(AY101-FT_Y5,12)/FT_Int2))),IF(AR101="PT",IF(AY101&lt;PT_First,0,1+INT((AY101-PT_First)/PT_Int)),0)),0))</f>
        <v/>
      </c>
      <c r="BB101" s="14" t="str">
        <f aca="false">IF(AG101=0,"",IF(AS101="FT",IF(AT101&lt;FT_First,FT_First,IF(AT101&lt;FT_Y5,MIN(FT_Y5,FT_First+FT_Int1*(INT((AT101-FT_First)/FT_Int1)+1)),FT_Y5+12*INT((AT101-FT_Y5)/12)+FT_Int2*(INT(MOD(AT101-FT_Y5,12)/FT_Int2)+1))),IF(AS101="PT",IF(AT101&lt;PT_First,PT_First,PT_First+PT_Int*(INT((AT101-PT_First)/PT_Int)+1)),"")))</f>
        <v/>
      </c>
      <c r="BC101" s="14" t="str">
        <f aca="false">IF(AG101=0,"",IF(NOT(LH_Ready),0,COUNTIFS(INDEX(LH_Data,0,LH_ColFirst),$A101,INDEX(LH_Data,0,LH_ColSur),$B101,INDEX(LH_Data,0,LH_ColCat),BonusCat)))</f>
        <v/>
      </c>
      <c r="BD101" s="14" t="str">
        <f aca="false">IF(AG101=0,"",IF(OR(NOT(LH_Ready),BC101=0),0,SUMPRODUCT(MAX((INDEX(LH_Data,0,LH_ColFirst)=$A101)*(INDEX(LH_Data,0,LH_ColSur)=$B101)*(INDEX(LH_Data,0,LH_ColCat)=BonusCat)*ROW(LH_Data)))))</f>
        <v/>
      </c>
      <c r="BE101" s="14" t="str">
        <f aca="false">IF(AG101=0,"",IF(EOMONTH(AsOfDate,-1)&lt;AH101,-1,12*(YEAR(EOMONTH(AsOfDate,-1))-YEAR(AH101))+MONTH(EOMONTH(AsOfDate,-1))-MONTH(AH101)-IF(DAY(EOMONTH(AsOfDate,-1))&lt;MIN(DAY(AH101),DAY(EOMONTH(EOMONTH(AsOfDate,-1),0))),1,0)))</f>
        <v/>
      </c>
      <c r="BF101" s="14" t="str">
        <f aca="false">IF(AG101=0,"",IF(OR(AI101&lt;2,AK101&gt;EOMONTH(AsOfDate,-1)),BE101,IF((AK101-1)&lt;AH101,-1,12*(YEAR((AK101-1))-YEAR(AH101))+MONTH((AK101-1))-MONTH(AH101)-IF(DAY((AK101-1))&lt;MIN(DAY(AH101),DAY(EOMONTH((AK101-1),0))),1,0))))</f>
        <v/>
      </c>
      <c r="BG101" s="14" t="str">
        <f aca="false">IF(AG101=0,"",IF(OR(AI101&lt;3,AL101&gt;EOMONTH(AsOfDate,-1)),BE101,IF((AL101-1)&lt;AH101,-1,12*(YEAR((AL101-1))-YEAR(AH101))+MONTH((AL101-1))-MONTH(AH101)-IF(DAY((AL101-1))&lt;MIN(DAY(AH101),DAY(EOMONTH((AL101-1),0))),1,0))))</f>
        <v/>
      </c>
      <c r="BH101" s="14" t="str">
        <f aca="false">IF(AG101=0,"",IF(AP101="FT",IF(BF101&lt;FT_First,0,IF(BF101&lt;FT_Y5,1+INT((BF101-FT_First)/FT_Int1),FT_PreY5+FT_PerYear*INT((BF101-FT_Y5)/12)+FT_AnnivDays+INT(MOD(BF101-FT_Y5,12)/FT_Int2))),IF(AP101="PT",IF(BF101&lt;PT_First,0,1+INT((BF101-PT_First)/PT_Int)),0))+IF(AND(AI101&gt;=2,AK101&lt;=EOMONTH(AsOfDate,-1)),IF(AQ101="FT",IF(BG101&lt;FT_First,0,IF(BG101&lt;FT_Y5,1+INT((BG101-FT_First)/FT_Int1),FT_PreY5+FT_PerYear*INT((BG101-FT_Y5)/12)+FT_AnnivDays+INT(MOD(BG101-FT_Y5,12)/FT_Int2))),IF(AQ101="PT",IF(BG101&lt;PT_First,0,1+INT((BG101-PT_First)/PT_Int)),0))-IF(AQ101="FT",IF(BF101&lt;FT_First,0,IF(BF101&lt;FT_Y5,1+INT((BF101-FT_First)/FT_Int1),FT_PreY5+FT_PerYear*INT((BF101-FT_Y5)/12)+FT_AnnivDays+INT(MOD(BF101-FT_Y5,12)/FT_Int2))),IF(AQ101="PT",IF(BF101&lt;PT_First,0,1+INT((BF101-PT_First)/PT_Int)),0)),0)+IF(AND(AI101&gt;=3,AL101&lt;=EOMONTH(AsOfDate,-1)),IF(AR101="FT",IF(BE101&lt;FT_First,0,IF(BE101&lt;FT_Y5,1+INT((BE101-FT_First)/FT_Int1),FT_PreY5+FT_PerYear*INT((BE101-FT_Y5)/12)+FT_AnnivDays+INT(MOD(BE101-FT_Y5,12)/FT_Int2))),IF(AR101="PT",IF(BE101&lt;PT_First,0,1+INT((BE101-PT_First)/PT_Int)),0))-IF(AR101="FT",IF(BG101&lt;FT_First,0,IF(BG101&lt;FT_Y5,1+INT((BG101-FT_First)/FT_Int1),FT_PreY5+FT_PerYear*INT((BG101-FT_Y5)/12)+FT_AnnivDays+INT(MOD(BG101-FT_Y5,12)/FT_Int2))),IF(AR101="PT",IF(BG101&lt;PT_First,0,1+INT((BG101-PT_First)/PT_Int)),0)),0))</f>
        <v/>
      </c>
      <c r="BI101" s="14" t="str">
        <f aca="false">IF(AG101=0,"",IF(AS101="FT",IF(AT101&lt;FT_First,"",IF(AT101&lt;FT_Y5,FT_First+FT_Int1*INT((AT101-FT_First)/FT_Int1),FT_Y5+FT_Int2*INT((AT101-FT_Y5)/FT_Int2))),IF(AS101="PT",IF(AT101&lt;PT_First,"",PT_First+PT_Int*INT((AT101-PT_First)/PT_Int)),"")))</f>
        <v/>
      </c>
      <c r="BJ101" s="0" t="str">
        <f aca="false">IF(LEN($A101&amp;$B101)=0,"",$A101&amp;" "&amp;$B101)</f>
        <v/>
      </c>
    </row>
    <row r="102" customFormat="false" ht="15" hidden="false" customHeight="false" outlineLevel="0" collapsed="false">
      <c r="A102" s="10"/>
      <c r="B102" s="10"/>
      <c r="C102" s="10"/>
      <c r="D102" s="11"/>
      <c r="E102" s="12" t="str">
        <f aca="false">IF(OR(AG102=0,$D102=""),"",DATE(YEAR(AsOfDate)+IF(DATE(YEAR(AsOfDate),MONTH($D102),DAY($D102))&lt;=AsOfDate,1,0),MONTH($D102),DAY($D102)))</f>
        <v/>
      </c>
      <c r="F102" s="11"/>
      <c r="G102" s="11"/>
      <c r="H102" s="11"/>
      <c r="I102" s="11"/>
      <c r="J102" s="11"/>
      <c r="K102" s="12" t="str">
        <f aca="false">IF(AG102=0,"",DATE(YEAR(AsOfDate)+IF(DATE(YEAR(AsOfDate),MONTH(AH102),DAY(AH102))&lt;=AsOfDate,1,0),MONTH(AH102),DAY(AH102)))</f>
        <v/>
      </c>
      <c r="L102" s="13" t="str">
        <f aca="false">IF(AG102=0,"",ROUND((AsOfDate-AH102)/365.25,1))</f>
        <v/>
      </c>
      <c r="M102" s="14" t="str">
        <f aca="false">IF(AG102=0,"",IF(AsOfDate&lt;AH102,"-",DATEDIF(AH102,AsOfDate,"y")&amp;"y "&amp;DATEDIF(AH102,AsOfDate,"ym")&amp;"m "&amp;DATEDIF(AH102,AsOfDate,"md")&amp;"d"))</f>
        <v/>
      </c>
      <c r="N102" s="15" t="str">
        <f aca="false">IF(AG102=0,"",O102*HoursPerDay)</f>
        <v/>
      </c>
      <c r="O102" s="15" t="str">
        <f aca="false">IF(AG102=0,"",AZ102)</f>
        <v/>
      </c>
      <c r="P102" s="16"/>
      <c r="Q102" s="14" t="str">
        <f aca="false">IF(AG102=0,"",IF(AI102&lt;2,"",AM102&amp;" to "&amp;AN102&amp;" on "&amp;TEXT(AK102,"dd/mm/yyyy")&amp;IF(AK102&gt;AsOfDate," (future)",IF(AP102=AQ102,"",IF(AQ102="None"," - STOPPED accruing",IF(AP102="None"," - commencement for Bonus Leave"," - pathway changed"))))&amp;IF(AI102&lt;3,"","; "&amp;AN102&amp;" to "&amp;AO102&amp;" on "&amp;TEXT(AL102,"dd/mm/yyyy")&amp;IF(AL102&gt;AsOfDate," (future)",IF(AQ102=AR102,"",IF(AR102="None"," - STOPPED accruing",IF(AQ102="None"," - commencement for Bonus Leave"," - pathway changed")))))))</f>
        <v/>
      </c>
      <c r="R102" s="14" t="str">
        <f aca="false">IF(AG102=0,"",IF(AS102="None",IF(O102&gt;0,"No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2" t="str">
        <f aca="false">IF(AG102=0,"",IF(AS102="None","",EDATE(AH102,BB102)))</f>
        <v/>
      </c>
      <c r="T102" s="15" t="str">
        <f aca="false">IF(AG102=0,"",IF(NOT(LH_Ready),"",IF(AH102&gt;PFYDate,0,IF(LH_ColPeriod=0,W102-U102+V102,SUMIFS(INDEX(LH_Data,0,LH_ColAcc),INDEX(LH_Data,0,LH_ColFirst),$A102,INDEX(LH_Data,0,LH_ColSur),$B102,INDEX(LH_Data,0,LH_ColCat),BonusCat,INDEX(LH_Data,0,LH_ColPeriod),LH_OpenLabel)*UnitFactor))))</f>
        <v/>
      </c>
      <c r="U102" s="15" t="str">
        <f aca="false">IF(AG102=0,"",IF(NOT(LH_Ready),"",SUMIFS(INDEX(LH_Data,0,LH_ColAcc),INDEX(LH_Data,0,LH_ColFirst),$A102,INDEX(LH_Data,0,LH_ColSur),$B102,INDEX(LH_Data,0,LH_ColCat),BonusCat,INDEX(LH_Data,0,LH_ColStart),"&gt;="&amp;AH102)*UnitFactor))</f>
        <v/>
      </c>
      <c r="V102" s="15" t="str">
        <f aca="false">IF(AG102=0,"",IF(NOT(LH_Ready),"",SUMIFS(INDEX(LH_Data,0,LH_ColTaken),INDEX(LH_Data,0,LH_ColFirst),$A102,INDEX(LH_Data,0,LH_ColSur),$B102,INDEX(LH_Data,0,LH_ColCat),BonusCat,INDEX(LH_Data,0,LH_ColStart),"&gt;="&amp;AH102)*UnitFactor))</f>
        <v/>
      </c>
      <c r="W102" s="15" t="str">
        <f aca="false">IF(AG102=0,"",IF(NOT(LH_Ready),"",IF(BD102=0,0,INDEX(INDEX(LH_Data,0,LH_ColClose),BD102-1)*UnitFactor)))</f>
        <v/>
      </c>
      <c r="X102" s="15" t="str">
        <f aca="false">IF(AG102=0,"",(AZ102-BA102)*HoursPerDay)</f>
        <v/>
      </c>
      <c r="Y102" s="15" t="str">
        <f aca="false">IF(AG102=0,"",IF(NOT(LH_Ready),"",IF(BC102=0,N102,IF(PFYDate&lt;$F102,N102-N(T102)-N(U102),X102-N(U102)))))</f>
        <v/>
      </c>
      <c r="Z102" s="14" t="str">
        <f aca="false">IF(OR(AG102=0,Y102=""),"",IF(Y102&gt;0,"Yes","No"))</f>
        <v/>
      </c>
      <c r="AA102" s="14" t="str">
        <f aca="false">IF(AG102=0,IF(LEN($A102&amp;$B102)=0,"","FIX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month")&amp;IF(BC102=0,";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EH)",""),IF(AS102="None",R102,"Not yet - first day on "&amp;TEXT(S102,"dd/mm/yyyy")))))))))</f>
        <v/>
      </c>
      <c r="AB102" s="15" t="str">
        <f aca="false">IF(OR(AG102=0,T102=""),"",BA102*HoursPerDay-T102)</f>
        <v/>
      </c>
      <c r="AC102" s="14" t="str">
        <f aca="false">IF(AG102=0,"",BC102)</f>
        <v/>
      </c>
      <c r="AD102" s="14" t="str">
        <f aca="false">IF(AG102=0,"",TRIM(IF(OR(ISTEXT($F102),ISTEXT($H102),ISTEXT($I102),ISTEXT($G102),ISTEXT($J102),ISTEXT($D102)),"A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I102&gt;=1,IF(AI102&gt;=3,AO102,IF(AI102=2,AN102,AM102))&lt;&gt;IF($C102="","",IF(OR(ISNUMBER(SEARCH("full",$C102)),UPPER(TRIM($C102))="FT",UPPER(TRIM($C102))="FTE"),"Full-Time",IF(OR(ISNUMBER(SEARCH("part",$C102)),UPPER(TRIM($C102))="PT",UPPER(TRIM($C102))="PTE"),"Part-Time",IF(OR(ISNUMBER(SEARCH("cas",$C102)),UPPER(TRIM($C102))="CAS"),"Casual","Unknown"))))),"EmploymentType does not match latest start date ("&amp;IF(AI102&gt;=3,AO102,IF(AI102=2,AN102,AM102))&amp;"). ","")&amp;IF(AND(AI102&gt;=1,AJ102&lt;&gt;$F102),"Earliest type date should equal StartDate. ","")&amp;IF(AND(AI102&gt;=2,AJ102=AK102),"Two types start on the same date. ","")&amp;IF(AND(OR(ISNUMBER(SEARCH("part",$C102)),UPPER(TRIM($C102))="PT",UPPER(TRIM($C102))="PTE"),$P102=""),"Part-time: enter PT Hrs/Week (blank = 24+). ","")))</f>
        <v/>
      </c>
      <c r="AE102" s="15" t="str">
        <f aca="false">IF(AG102=0,"",O102-BH102)</f>
        <v/>
      </c>
      <c r="AF102" s="12" t="str">
        <f aca="false">IF(OR(AG102=0,AE102="",N(AE102)=0,BI102=""),"",EDATE(AH102,BI102))</f>
        <v/>
      </c>
      <c r="AG102" s="14" t="n">
        <f aca="false">IF(OR(LEN($A102&amp;$B102)=0,$F102=""),0,1)</f>
        <v>0</v>
      </c>
      <c r="AH102" s="12" t="str">
        <f aca="false">IF(AG102=0,"",IF($J102&lt;&gt;"",$J102,IF(OR(CasualCounts="Yes",COUNT($G102:$I102)=0,COUNT($H102:$I102)=0),$F102,MIN($H102:$I102))))</f>
        <v/>
      </c>
      <c r="AI102" s="14" t="str">
        <f aca="false">IF(AG102=0,"",COUNT($G102:$I102))</f>
        <v/>
      </c>
      <c r="AJ102" s="12" t="str">
        <f aca="false">IF(AG102=0,"",IFERROR(SMALL($G102:$I102,1),""))</f>
        <v/>
      </c>
      <c r="AK102" s="12" t="str">
        <f aca="false">IF(AG102=0,"",IFERROR(SMALL($G102:$I102,2),""))</f>
        <v/>
      </c>
      <c r="AL102" s="12" t="str">
        <f aca="false">IF(AG102=0,"",IFERROR(SMALL($G102:$I102,3),""))</f>
        <v/>
      </c>
      <c r="AM102" s="14" t="str">
        <f aca="false">IF(AG102=0,"",IF(AJ102="","",IF(AJ102=$H102,"Part-Time",IF(AJ102=$I102,"Full-Time","Casual"))))</f>
        <v/>
      </c>
      <c r="AN102" s="14" t="str">
        <f aca="false">IF(AG102=0,"",IF(AK102="","",IF(AK102=$H102,"Part-Time",IF(AK102=$I102,"Full-Time","Casual"))))</f>
        <v/>
      </c>
      <c r="AO102" s="14" t="str">
        <f aca="false">IF(AG102=0,"",IF(AL102="","",IF(AL102=$H102,"Part-Time",IF(AL102=$I102,"Full-Time","Casual"))))</f>
        <v/>
      </c>
      <c r="AP102" s="14" t="str">
        <f aca="false">IF(AG102=0,"",IF(AI102=0,IF(OR(ISNUMBER(SEARCH("full",$C102)),UPPER(TRIM($C102))="FT",UPPER(TRIM($C102))="FTE"),"FT",IF(AND(OR(ISNUMBER(SEARCH("part",$C102)),UPPER(TRIM($C102))="PT",UPPER(TRIM($C102))="PTE"),OR($P102="",N($P102)&gt;=PT_MinHours)),"PT","None")),IF(OR(ISNUMBER(SEARCH("full",AM102)),UPPER(TRIM(AM102))="FT",UPPER(TRIM(AM102))="FTE"),"FT",IF(AND(OR(ISNUMBER(SEARCH("part",AM102)),UPPER(TRIM(AM102))="PT",UPPER(TRIM(AM102))="PTE"),OR($P102="",N($P102)&gt;=PT_MinHours)),"PT","None"))))</f>
        <v/>
      </c>
      <c r="AQ102" s="14" t="str">
        <f aca="false">IF(AG102=0,"",IF(AI102&lt;2,"",IF(OR(ISNUMBER(SEARCH("full",AN102)),UPPER(TRIM(AN102))="FT",UPPER(TRIM(AN102))="FTE"),"FT",IF(AND(OR(ISNUMBER(SEARCH("part",AN102)),UPPER(TRIM(AN102))="PT",UPPER(TRIM(AN102))="PTE"),OR($P102="",N($P102)&gt;=PT_MinHours)),"PT","None"))))</f>
        <v/>
      </c>
      <c r="AR102" s="14" t="str">
        <f aca="false">IF(AG102=0,"",IF(AI102&lt;3,"",IF(OR(ISNUMBER(SEARCH("full",AO102)),UPPER(TRIM(AO102))="FT",UPPER(TRIM(AO102))="FTE"),"FT",IF(AND(OR(ISNUMBER(SEARCH("part",AO102)),UPPER(TRIM(AO102))="PT",UPPER(TRIM(AO102))="PTE"),OR($P102="",N($P102)&gt;=PT_MinHours)),"PT","None"))))</f>
        <v/>
      </c>
      <c r="AS102" s="14" t="str">
        <f aca="false">IF(AG102=0,"",IF(AND(AI102&gt;=3,AL102&lt;=AsOfDate),AR102,IF(AND(AI102&gt;=2,AK102&lt;=AsOfDate),AQ102,AP102)))</f>
        <v/>
      </c>
      <c r="AT102" s="14" t="str">
        <f aca="false">IF(AG102=0,"",IF(AsOfDate&lt;AH102,-1,12*(YEAR(AsOfDate)-YEAR(AH102))+MONTH(AsOfDate)-MONTH(AH102)-IF(DAY(AsOfDate)&lt;MIN(DAY(AH102),DAY(EOMONTH(AsOfDate,0))),1,0)))</f>
        <v/>
      </c>
      <c r="AU102" s="14" t="str">
        <f aca="false">IF(AG102=0,"",IF(OR(AI102&lt;2,AK102&gt;AsOfDate),AT102,IF((AK102-1)&lt;AH102,-1,12*(YEAR((AK102-1))-YEAR(AH102))+MONTH((AK102-1))-MONTH(AH102)-IF(DAY((AK102-1))&lt;MIN(DAY(AH102),DAY(EOMONTH((AK102-1),0))),1,0))))</f>
        <v/>
      </c>
      <c r="AV102" s="14" t="str">
        <f aca="false">IF(AG102=0,"",IF(OR(AI102&lt;3,AL102&gt;AsOfDate),AT102,IF((AL102-1)&lt;AH102,-1,12*(YEAR((AL102-1))-YEAR(AH102))+MONTH((AL102-1))-MONTH(AH102)-IF(DAY((AL102-1))&lt;MIN(DAY(AH102),DAY(EOMONTH((AL102-1),0))),1,0))))</f>
        <v/>
      </c>
      <c r="AW102" s="14" t="str">
        <f aca="false">IF(AG102=0,"",IF(PFYDate&lt;AH102,-1,12*(YEAR(PFYDate)-YEAR(AH102))+MONTH(PFYDate)-MONTH(AH102)-IF(DAY(PFYDate)&lt;MIN(DAY(AH102),DAY(EOMONTH(PFYDate,0))),1,0)))</f>
        <v/>
      </c>
      <c r="AX102" s="14" t="str">
        <f aca="false">IF(AG102=0,"",IF(OR(AI102&lt;2,AK102&gt;PFYDate),AW102,IF((AK102-1)&lt;AH102,-1,12*(YEAR((AK102-1))-YEAR(AH102))+MONTH((AK102-1))-MONTH(AH102)-IF(DAY((AK102-1))&lt;MIN(DAY(AH102),DAY(EOMONTH((AK102-1),0))),1,0))))</f>
        <v/>
      </c>
      <c r="AY102" s="14" t="str">
        <f aca="false">IF(AG102=0,"",IF(OR(AI102&lt;3,AL102&gt;PFYDate),AW102,IF((AL102-1)&lt;AH102,-1,12*(YEAR((AL102-1))-YEAR(AH102))+MONTH((AL102-1))-MONTH(AH102)-IF(DAY((AL102-1))&lt;MIN(DAY(AH102),DAY(EOMONTH((AL102-1),0))),1,0))))</f>
        <v/>
      </c>
      <c r="AZ102" s="14" t="str">
        <f aca="false">IF(AG102=0,"",IF(AP102="FT",IF(AU102&lt;FT_First,0,IF(AU102&lt;FT_Y5,1+INT((AU102-FT_First)/FT_Int1),FT_PreY5+FT_PerYear*INT((AU102-FT_Y5)/12)+FT_AnnivDays+INT(MOD(AU102-FT_Y5,12)/FT_Int2))),IF(AP102="PT",IF(AU102&lt;PT_First,0,1+INT((AU102-PT_First)/PT_Int)),0))+IF(AND(AI102&gt;=2,AK102&lt;=AsOfDate),IF(AQ102="FT",IF(AV102&lt;FT_First,0,IF(AV102&lt;FT_Y5,1+INT((AV102-FT_First)/FT_Int1),FT_PreY5+FT_PerYear*INT((AV102-FT_Y5)/12)+FT_AnnivDays+INT(MOD(AV102-FT_Y5,12)/FT_Int2))),IF(AQ102="PT",IF(AV102&lt;PT_First,0,1+INT((AV102-PT_First)/PT_Int)),0))-IF(AQ102="FT",IF(AU102&lt;FT_First,0,IF(AU102&lt;FT_Y5,1+INT((AU102-FT_First)/FT_Int1),FT_PreY5+FT_PerYear*INT((AU102-FT_Y5)/12)+FT_AnnivDays+INT(MOD(AU102-FT_Y5,12)/FT_Int2))),IF(AQ102="PT",IF(AU102&lt;PT_First,0,1+INT((AU102-PT_First)/PT_Int)),0)),0)+IF(AND(AI102&gt;=3,AL102&lt;=AsOfDate),IF(AR102="FT",IF(AT102&lt;FT_First,0,IF(AT102&lt;FT_Y5,1+INT((AT102-FT_First)/FT_Int1),FT_PreY5+FT_PerYear*INT((AT102-FT_Y5)/12)+FT_AnnivDays+INT(MOD(AT102-FT_Y5,12)/FT_Int2))),IF(AR102="PT",IF(AT102&lt;PT_First,0,1+INT((AT102-PT_First)/PT_Int)),0))-IF(AR102="FT",IF(AV102&lt;FT_First,0,IF(AV102&lt;FT_Y5,1+INT((AV102-FT_First)/FT_Int1),FT_PreY5+FT_PerYear*INT((AV102-FT_Y5)/12)+FT_AnnivDays+INT(MOD(AV102-FT_Y5,12)/FT_Int2))),IF(AR102="PT",IF(AV102&lt;PT_First,0,1+INT((AV102-PT_First)/PT_Int)),0)),0))</f>
        <v/>
      </c>
      <c r="BA102" s="14" t="str">
        <f aca="false">IF(AG102=0,"",IF(AP102="FT",IF(AX102&lt;FT_First,0,IF(AX102&lt;FT_Y5,1+INT((AX102-FT_First)/FT_Int1),FT_PreY5+FT_PerYear*INT((AX102-FT_Y5)/12)+FT_AnnivDays+INT(MOD(AX102-FT_Y5,12)/FT_Int2))),IF(AP102="PT",IF(AX102&lt;PT_First,0,1+INT((AX102-PT_First)/PT_Int)),0))+IF(AND(AI102&gt;=2,AK102&lt;=PFYDate),IF(AQ102="FT",IF(AY102&lt;FT_First,0,IF(AY102&lt;FT_Y5,1+INT((AY102-FT_First)/FT_Int1),FT_PreY5+FT_PerYear*INT((AY102-FT_Y5)/12)+FT_AnnivDays+INT(MOD(AY102-FT_Y5,12)/FT_Int2))),IF(AQ102="PT",IF(AY102&lt;PT_First,0,1+INT((AY102-PT_First)/PT_Int)),0))-IF(AQ102="FT",IF(AX102&lt;FT_First,0,IF(AX102&lt;FT_Y5,1+INT((AX102-FT_First)/FT_Int1),FT_PreY5+FT_PerYear*INT((AX102-FT_Y5)/12)+FT_AnnivDays+INT(MOD(AX102-FT_Y5,12)/FT_Int2))),IF(AQ102="PT",IF(AX102&lt;PT_First,0,1+INT((AX102-PT_First)/PT_Int)),0)),0)+IF(AND(AI102&gt;=3,AL102&lt;=PFYDate),IF(AR102="FT",IF(AW102&lt;FT_First,0,IF(AW102&lt;FT_Y5,1+INT((AW102-FT_First)/FT_Int1),FT_PreY5+FT_PerYear*INT((AW102-FT_Y5)/12)+FT_AnnivDays+INT(MOD(AW102-FT_Y5,12)/FT_Int2))),IF(AR102="PT",IF(AW102&lt;PT_First,0,1+INT((AW102-PT_First)/PT_Int)),0))-IF(AR102="FT",IF(AY102&lt;FT_First,0,IF(AY102&lt;FT_Y5,1+INT((AY102-FT_First)/FT_Int1),FT_PreY5+FT_PerYear*INT((AY102-FT_Y5)/12)+FT_AnnivDays+INT(MOD(AY102-FT_Y5,12)/FT_Int2))),IF(AR102="PT",IF(AY102&lt;PT_First,0,1+INT((AY102-PT_First)/PT_Int)),0)),0))</f>
        <v/>
      </c>
      <c r="BB102" s="14" t="str">
        <f aca="false">IF(AG102=0,"",IF(AS102="FT",IF(AT102&lt;FT_First,FT_First,IF(AT102&lt;FT_Y5,MIN(FT_Y5,FT_First+FT_Int1*(INT((AT102-FT_First)/FT_Int1)+1)),FT_Y5+12*INT((AT102-FT_Y5)/12)+FT_Int2*(INT(MOD(AT102-FT_Y5,12)/FT_Int2)+1))),IF(AS102="PT",IF(AT102&lt;PT_First,PT_First,PT_First+PT_Int*(INT((AT102-PT_First)/PT_Int)+1)),"")))</f>
        <v/>
      </c>
      <c r="BC102" s="14" t="str">
        <f aca="false">IF(AG102=0,"",IF(NOT(LH_Ready),0,COUNTIFS(INDEX(LH_Data,0,LH_ColFirst),$A102,INDEX(LH_Data,0,LH_ColSur),$B102,INDEX(LH_Data,0,LH_ColCat),BonusCat)))</f>
        <v/>
      </c>
      <c r="BD102" s="14" t="str">
        <f aca="false">IF(AG102=0,"",IF(OR(NOT(LH_Ready),BC102=0),0,SUMPRODUCT(MAX((INDEX(LH_Data,0,LH_ColFirst)=$A102)*(INDEX(LH_Data,0,LH_ColSur)=$B102)*(INDEX(LH_Data,0,LH_ColCat)=BonusCat)*ROW(LH_Data)))))</f>
        <v/>
      </c>
      <c r="BE102" s="14" t="str">
        <f aca="false">IF(AG102=0,"",IF(EOMONTH(AsOfDate,-1)&lt;AH102,-1,12*(YEAR(EOMONTH(AsOfDate,-1))-YEAR(AH102))+MONTH(EOMONTH(AsOfDate,-1))-MONTH(AH102)-IF(DAY(EOMONTH(AsOfDate,-1))&lt;MIN(DAY(AH102),DAY(EOMONTH(EOMONTH(AsOfDate,-1),0))),1,0)))</f>
        <v/>
      </c>
      <c r="BF102" s="14" t="str">
        <f aca="false">IF(AG102=0,"",IF(OR(AI102&lt;2,AK102&gt;EOMONTH(AsOfDate,-1)),BE102,IF((AK102-1)&lt;AH102,-1,12*(YEAR((AK102-1))-YEAR(AH102))+MONTH((AK102-1))-MONTH(AH102)-IF(DAY((AK102-1))&lt;MIN(DAY(AH102),DAY(EOMONTH((AK102-1),0))),1,0))))</f>
        <v/>
      </c>
      <c r="BG102" s="14" t="str">
        <f aca="false">IF(AG102=0,"",IF(OR(AI102&lt;3,AL102&gt;EOMONTH(AsOfDate,-1)),BE102,IF((AL102-1)&lt;AH102,-1,12*(YEAR((AL102-1))-YEAR(AH102))+MONTH((AL102-1))-MONTH(AH102)-IF(DAY((AL102-1))&lt;MIN(DAY(AH102),DAY(EOMONTH((AL102-1),0))),1,0))))</f>
        <v/>
      </c>
      <c r="BH102" s="14" t="str">
        <f aca="false">IF(AG102=0,"",IF(AP102="FT",IF(BF102&lt;FT_First,0,IF(BF102&lt;FT_Y5,1+INT((BF102-FT_First)/FT_Int1),FT_PreY5+FT_PerYear*INT((BF102-FT_Y5)/12)+FT_AnnivDays+INT(MOD(BF102-FT_Y5,12)/FT_Int2))),IF(AP102="PT",IF(BF102&lt;PT_First,0,1+INT((BF102-PT_First)/PT_Int)),0))+IF(AND(AI102&gt;=2,AK102&lt;=EOMONTH(AsOfDate,-1)),IF(AQ102="FT",IF(BG102&lt;FT_First,0,IF(BG102&lt;FT_Y5,1+INT((BG102-FT_First)/FT_Int1),FT_PreY5+FT_PerYear*INT((BG102-FT_Y5)/12)+FT_AnnivDays+INT(MOD(BG102-FT_Y5,12)/FT_Int2))),IF(AQ102="PT",IF(BG102&lt;PT_First,0,1+INT((BG102-PT_First)/PT_Int)),0))-IF(AQ102="FT",IF(BF102&lt;FT_First,0,IF(BF102&lt;FT_Y5,1+INT((BF102-FT_First)/FT_Int1),FT_PreY5+FT_PerYear*INT((BF102-FT_Y5)/12)+FT_AnnivDays+INT(MOD(BF102-FT_Y5,12)/FT_Int2))),IF(AQ102="PT",IF(BF102&lt;PT_First,0,1+INT((BF102-PT_First)/PT_Int)),0)),0)+IF(AND(AI102&gt;=3,AL102&lt;=EOMONTH(AsOfDate,-1)),IF(AR102="FT",IF(BE102&lt;FT_First,0,IF(BE102&lt;FT_Y5,1+INT((BE102-FT_First)/FT_Int1),FT_PreY5+FT_PerYear*INT((BE102-FT_Y5)/12)+FT_AnnivDays+INT(MOD(BE102-FT_Y5,12)/FT_Int2))),IF(AR102="PT",IF(BE102&lt;PT_First,0,1+INT((BE102-PT_First)/PT_Int)),0))-IF(AR102="FT",IF(BG102&lt;FT_First,0,IF(BG102&lt;FT_Y5,1+INT((BG102-FT_First)/FT_Int1),FT_PreY5+FT_PerYear*INT((BG102-FT_Y5)/12)+FT_AnnivDays+INT(MOD(BG102-FT_Y5,12)/FT_Int2))),IF(AR102="PT",IF(BG102&lt;PT_First,0,1+INT((BG102-PT_First)/PT_Int)),0)),0))</f>
        <v/>
      </c>
      <c r="BI102" s="14" t="str">
        <f aca="false">IF(AG102=0,"",IF(AS102="FT",IF(AT102&lt;FT_First,"",IF(AT102&lt;FT_Y5,FT_First+FT_Int1*INT((AT102-FT_First)/FT_Int1),FT_Y5+FT_Int2*INT((AT102-FT_Y5)/FT_Int2))),IF(AS102="PT",IF(AT102&lt;PT_First,"",PT_First+PT_Int*INT((AT102-PT_First)/PT_Int)),"")))</f>
        <v/>
      </c>
      <c r="BJ102" s="0" t="str">
        <f aca="false">IF(LEN($A102&amp;$B102)=0,"",$A102&amp;" "&amp;$B102)</f>
        <v/>
      </c>
    </row>
    <row r="103" customFormat="false" ht="15" hidden="false" customHeight="false" outlineLevel="0" collapsed="false">
      <c r="A103" s="10"/>
      <c r="B103" s="10"/>
      <c r="C103" s="10"/>
      <c r="D103" s="11"/>
      <c r="E103" s="12" t="str">
        <f aca="false">IF(OR(AG103=0,$D103=""),"",DATE(YEAR(AsOfDate)+IF(DATE(YEAR(AsOfDate),MONTH($D103),DAY($D103))&lt;=AsOfDate,1,0),MONTH($D103),DAY($D103)))</f>
        <v/>
      </c>
      <c r="F103" s="11"/>
      <c r="G103" s="11"/>
      <c r="H103" s="11"/>
      <c r="I103" s="11"/>
      <c r="J103" s="11"/>
      <c r="K103" s="12" t="str">
        <f aca="false">IF(AG103=0,"",DATE(YEAR(AsOfDate)+IF(DATE(YEAR(AsOfDate),MONTH(AH103),DAY(AH103))&lt;=AsOfDate,1,0),MONTH(AH103),DAY(AH103)))</f>
        <v/>
      </c>
      <c r="L103" s="13" t="str">
        <f aca="false">IF(AG103=0,"",ROUND((AsOfDate-AH103)/365.25,1))</f>
        <v/>
      </c>
      <c r="M103" s="14" t="str">
        <f aca="false">IF(AG103=0,"",IF(AsOfDate&lt;AH103,"-",DATEDIF(AH103,AsOfDate,"y")&amp;"y "&amp;DATEDIF(AH103,AsOfDate,"ym")&amp;"m "&amp;DATEDIF(AH103,AsOfDate,"md")&amp;"d"))</f>
        <v/>
      </c>
      <c r="N103" s="15" t="str">
        <f aca="false">IF(AG103=0,"",O103*HoursPerDay)</f>
        <v/>
      </c>
      <c r="O103" s="15" t="str">
        <f aca="false">IF(AG103=0,"",AZ103)</f>
        <v/>
      </c>
      <c r="P103" s="16"/>
      <c r="Q103" s="14" t="str">
        <f aca="false">IF(AG103=0,"",IF(AI103&lt;2,"",AM103&amp;" to "&amp;AN103&amp;" on "&amp;TEXT(AK103,"dd/mm/yyyy")&amp;IF(AK103&gt;AsOfDate," (future)",IF(AP103=AQ103,"",IF(AQ103="None"," - STOPPED accruing",IF(AP103="None"," - commencement for Bonus Leave"," - pathway changed"))))&amp;IF(AI103&lt;3,"","; "&amp;AN103&amp;" to "&amp;AO103&amp;" on "&amp;TEXT(AL103,"dd/mm/yyyy")&amp;IF(AL103&gt;AsOfDate," (future)",IF(AQ103=AR103,"",IF(AR103="None"," - STOPPED accruing",IF(AQ103="None"," - commencement for Bonus Leave"," - pathway changed")))))))</f>
        <v/>
      </c>
      <c r="R103" s="14" t="str">
        <f aca="false">IF(AG103=0,"",IF(AS103="None",IF(O103&gt;0,"No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2" t="str">
        <f aca="false">IF(AG103=0,"",IF(AS103="None","",EDATE(AH103,BB103)))</f>
        <v/>
      </c>
      <c r="T103" s="15" t="str">
        <f aca="false">IF(AG103=0,"",IF(NOT(LH_Ready),"",IF(AH103&gt;PFYDate,0,IF(LH_ColPeriod=0,W103-U103+V103,SUMIFS(INDEX(LH_Data,0,LH_ColAcc),INDEX(LH_Data,0,LH_ColFirst),$A103,INDEX(LH_Data,0,LH_ColSur),$B103,INDEX(LH_Data,0,LH_ColCat),BonusCat,INDEX(LH_Data,0,LH_ColPeriod),LH_OpenLabel)*UnitFactor))))</f>
        <v/>
      </c>
      <c r="U103" s="15" t="str">
        <f aca="false">IF(AG103=0,"",IF(NOT(LH_Ready),"",SUMIFS(INDEX(LH_Data,0,LH_ColAcc),INDEX(LH_Data,0,LH_ColFirst),$A103,INDEX(LH_Data,0,LH_ColSur),$B103,INDEX(LH_Data,0,LH_ColCat),BonusCat,INDEX(LH_Data,0,LH_ColStart),"&gt;="&amp;AH103)*UnitFactor))</f>
        <v/>
      </c>
      <c r="V103" s="15" t="str">
        <f aca="false">IF(AG103=0,"",IF(NOT(LH_Ready),"",SUMIFS(INDEX(LH_Data,0,LH_ColTaken),INDEX(LH_Data,0,LH_ColFirst),$A103,INDEX(LH_Data,0,LH_ColSur),$B103,INDEX(LH_Data,0,LH_ColCat),BonusCat,INDEX(LH_Data,0,LH_ColStart),"&gt;="&amp;AH103)*UnitFactor))</f>
        <v/>
      </c>
      <c r="W103" s="15" t="str">
        <f aca="false">IF(AG103=0,"",IF(NOT(LH_Ready),"",IF(BD103=0,0,INDEX(INDEX(LH_Data,0,LH_ColClose),BD103-1)*UnitFactor)))</f>
        <v/>
      </c>
      <c r="X103" s="15" t="str">
        <f aca="false">IF(AG103=0,"",(AZ103-BA103)*HoursPerDay)</f>
        <v/>
      </c>
      <c r="Y103" s="15" t="str">
        <f aca="false">IF(AG103=0,"",IF(NOT(LH_Ready),"",IF(BC103=0,N103,IF(PFYDate&lt;$F103,N103-N(T103)-N(U103),X103-N(U103)))))</f>
        <v/>
      </c>
      <c r="Z103" s="14" t="str">
        <f aca="false">IF(OR(AG103=0,Y103=""),"",IF(Y103&gt;0,"Yes","No"))</f>
        <v/>
      </c>
      <c r="AA103" s="14" t="str">
        <f aca="false">IF(AG103=0,IF(LEN($A103&amp;$B103)=0,"","FIX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month")&amp;IF(BC103=0,";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EH)",""),IF(AS103="None",R103,"Not yet - first day on "&amp;TEXT(S103,"dd/mm/yyyy")))))))))</f>
        <v/>
      </c>
      <c r="AB103" s="15" t="str">
        <f aca="false">IF(OR(AG103=0,T103=""),"",BA103*HoursPerDay-T103)</f>
        <v/>
      </c>
      <c r="AC103" s="14" t="str">
        <f aca="false">IF(AG103=0,"",BC103)</f>
        <v/>
      </c>
      <c r="AD103" s="14" t="str">
        <f aca="false">IF(AG103=0,"",TRIM(IF(OR(ISTEXT($F103),ISTEXT($H103),ISTEXT($I103),ISTEXT($G103),ISTEXT($J103),ISTEXT($D103)),"A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I103&gt;=1,IF(AI103&gt;=3,AO103,IF(AI103=2,AN103,AM103))&lt;&gt;IF($C103="","",IF(OR(ISNUMBER(SEARCH("full",$C103)),UPPER(TRIM($C103))="FT",UPPER(TRIM($C103))="FTE"),"Full-Time",IF(OR(ISNUMBER(SEARCH("part",$C103)),UPPER(TRIM($C103))="PT",UPPER(TRIM($C103))="PTE"),"Part-Time",IF(OR(ISNUMBER(SEARCH("cas",$C103)),UPPER(TRIM($C103))="CAS"),"Casual","Unknown"))))),"EmploymentType does not match latest start date ("&amp;IF(AI103&gt;=3,AO103,IF(AI103=2,AN103,AM103))&amp;"). ","")&amp;IF(AND(AI103&gt;=1,AJ103&lt;&gt;$F103),"Earliest type date should equal StartDate. ","")&amp;IF(AND(AI103&gt;=2,AJ103=AK103),"Two types start on the same date. ","")&amp;IF(AND(OR(ISNUMBER(SEARCH("part",$C103)),UPPER(TRIM($C103))="PT",UPPER(TRIM($C103))="PTE"),$P103=""),"Part-time: enter PT Hrs/Week (blank = 24+). ","")))</f>
        <v/>
      </c>
      <c r="AE103" s="15" t="str">
        <f aca="false">IF(AG103=0,"",O103-BH103)</f>
        <v/>
      </c>
      <c r="AF103" s="12" t="str">
        <f aca="false">IF(OR(AG103=0,AE103="",N(AE103)=0,BI103=""),"",EDATE(AH103,BI103))</f>
        <v/>
      </c>
      <c r="AG103" s="14" t="n">
        <f aca="false">IF(OR(LEN($A103&amp;$B103)=0,$F103=""),0,1)</f>
        <v>0</v>
      </c>
      <c r="AH103" s="12" t="str">
        <f aca="false">IF(AG103=0,"",IF($J103&lt;&gt;"",$J103,IF(OR(CasualCounts="Yes",COUNT($G103:$I103)=0,COUNT($H103:$I103)=0),$F103,MIN($H103:$I103))))</f>
        <v/>
      </c>
      <c r="AI103" s="14" t="str">
        <f aca="false">IF(AG103=0,"",COUNT($G103:$I103))</f>
        <v/>
      </c>
      <c r="AJ103" s="12" t="str">
        <f aca="false">IF(AG103=0,"",IFERROR(SMALL($G103:$I103,1),""))</f>
        <v/>
      </c>
      <c r="AK103" s="12" t="str">
        <f aca="false">IF(AG103=0,"",IFERROR(SMALL($G103:$I103,2),""))</f>
        <v/>
      </c>
      <c r="AL103" s="12" t="str">
        <f aca="false">IF(AG103=0,"",IFERROR(SMALL($G103:$I103,3),""))</f>
        <v/>
      </c>
      <c r="AM103" s="14" t="str">
        <f aca="false">IF(AG103=0,"",IF(AJ103="","",IF(AJ103=$H103,"Part-Time",IF(AJ103=$I103,"Full-Time","Casual"))))</f>
        <v/>
      </c>
      <c r="AN103" s="14" t="str">
        <f aca="false">IF(AG103=0,"",IF(AK103="","",IF(AK103=$H103,"Part-Time",IF(AK103=$I103,"Full-Time","Casual"))))</f>
        <v/>
      </c>
      <c r="AO103" s="14" t="str">
        <f aca="false">IF(AG103=0,"",IF(AL103="","",IF(AL103=$H103,"Part-Time",IF(AL103=$I103,"Full-Time","Casual"))))</f>
        <v/>
      </c>
      <c r="AP103" s="14" t="str">
        <f aca="false">IF(AG103=0,"",IF(AI103=0,IF(OR(ISNUMBER(SEARCH("full",$C103)),UPPER(TRIM($C103))="FT",UPPER(TRIM($C103))="FTE"),"FT",IF(AND(OR(ISNUMBER(SEARCH("part",$C103)),UPPER(TRIM($C103))="PT",UPPER(TRIM($C103))="PTE"),OR($P103="",N($P103)&gt;=PT_MinHours)),"PT","None")),IF(OR(ISNUMBER(SEARCH("full",AM103)),UPPER(TRIM(AM103))="FT",UPPER(TRIM(AM103))="FTE"),"FT",IF(AND(OR(ISNUMBER(SEARCH("part",AM103)),UPPER(TRIM(AM103))="PT",UPPER(TRIM(AM103))="PTE"),OR($P103="",N($P103)&gt;=PT_MinHours)),"PT","None"))))</f>
        <v/>
      </c>
      <c r="AQ103" s="14" t="str">
        <f aca="false">IF(AG103=0,"",IF(AI103&lt;2,"",IF(OR(ISNUMBER(SEARCH("full",AN103)),UPPER(TRIM(AN103))="FT",UPPER(TRIM(AN103))="FTE"),"FT",IF(AND(OR(ISNUMBER(SEARCH("part",AN103)),UPPER(TRIM(AN103))="PT",UPPER(TRIM(AN103))="PTE"),OR($P103="",N($P103)&gt;=PT_MinHours)),"PT","None"))))</f>
        <v/>
      </c>
      <c r="AR103" s="14" t="str">
        <f aca="false">IF(AG103=0,"",IF(AI103&lt;3,"",IF(OR(ISNUMBER(SEARCH("full",AO103)),UPPER(TRIM(AO103))="FT",UPPER(TRIM(AO103))="FTE"),"FT",IF(AND(OR(ISNUMBER(SEARCH("part",AO103)),UPPER(TRIM(AO103))="PT",UPPER(TRIM(AO103))="PTE"),OR($P103="",N($P103)&gt;=PT_MinHours)),"PT","None"))))</f>
        <v/>
      </c>
      <c r="AS103" s="14" t="str">
        <f aca="false">IF(AG103=0,"",IF(AND(AI103&gt;=3,AL103&lt;=AsOfDate),AR103,IF(AND(AI103&gt;=2,AK103&lt;=AsOfDate),AQ103,AP103)))</f>
        <v/>
      </c>
      <c r="AT103" s="14" t="str">
        <f aca="false">IF(AG103=0,"",IF(AsOfDate&lt;AH103,-1,12*(YEAR(AsOfDate)-YEAR(AH103))+MONTH(AsOfDate)-MONTH(AH103)-IF(DAY(AsOfDate)&lt;MIN(DAY(AH103),DAY(EOMONTH(AsOfDate,0))),1,0)))</f>
        <v/>
      </c>
      <c r="AU103" s="14" t="str">
        <f aca="false">IF(AG103=0,"",IF(OR(AI103&lt;2,AK103&gt;AsOfDate),AT103,IF((AK103-1)&lt;AH103,-1,12*(YEAR((AK103-1))-YEAR(AH103))+MONTH((AK103-1))-MONTH(AH103)-IF(DAY((AK103-1))&lt;MIN(DAY(AH103),DAY(EOMONTH((AK103-1),0))),1,0))))</f>
        <v/>
      </c>
      <c r="AV103" s="14" t="str">
        <f aca="false">IF(AG103=0,"",IF(OR(AI103&lt;3,AL103&gt;AsOfDate),AT103,IF((AL103-1)&lt;AH103,-1,12*(YEAR((AL103-1))-YEAR(AH103))+MONTH((AL103-1))-MONTH(AH103)-IF(DAY((AL103-1))&lt;MIN(DAY(AH103),DAY(EOMONTH((AL103-1),0))),1,0))))</f>
        <v/>
      </c>
      <c r="AW103" s="14" t="str">
        <f aca="false">IF(AG103=0,"",IF(PFYDate&lt;AH103,-1,12*(YEAR(PFYDate)-YEAR(AH103))+MONTH(PFYDate)-MONTH(AH103)-IF(DAY(PFYDate)&lt;MIN(DAY(AH103),DAY(EOMONTH(PFYDate,0))),1,0)))</f>
        <v/>
      </c>
      <c r="AX103" s="14" t="str">
        <f aca="false">IF(AG103=0,"",IF(OR(AI103&lt;2,AK103&gt;PFYDate),AW103,IF((AK103-1)&lt;AH103,-1,12*(YEAR((AK103-1))-YEAR(AH103))+MONTH((AK103-1))-MONTH(AH103)-IF(DAY((AK103-1))&lt;MIN(DAY(AH103),DAY(EOMONTH((AK103-1),0))),1,0))))</f>
        <v/>
      </c>
      <c r="AY103" s="14" t="str">
        <f aca="false">IF(AG103=0,"",IF(OR(AI103&lt;3,AL103&gt;PFYDate),AW103,IF((AL103-1)&lt;AH103,-1,12*(YEAR((AL103-1))-YEAR(AH103))+MONTH((AL103-1))-MONTH(AH103)-IF(DAY((AL103-1))&lt;MIN(DAY(AH103),DAY(EOMONTH((AL103-1),0))),1,0))))</f>
        <v/>
      </c>
      <c r="AZ103" s="14" t="str">
        <f aca="false">IF(AG103=0,"",IF(AP103="FT",IF(AU103&lt;FT_First,0,IF(AU103&lt;FT_Y5,1+INT((AU103-FT_First)/FT_Int1),FT_PreY5+FT_PerYear*INT((AU103-FT_Y5)/12)+FT_AnnivDays+INT(MOD(AU103-FT_Y5,12)/FT_Int2))),IF(AP103="PT",IF(AU103&lt;PT_First,0,1+INT((AU103-PT_First)/PT_Int)),0))+IF(AND(AI103&gt;=2,AK103&lt;=AsOfDate),IF(AQ103="FT",IF(AV103&lt;FT_First,0,IF(AV103&lt;FT_Y5,1+INT((AV103-FT_First)/FT_Int1),FT_PreY5+FT_PerYear*INT((AV103-FT_Y5)/12)+FT_AnnivDays+INT(MOD(AV103-FT_Y5,12)/FT_Int2))),IF(AQ103="PT",IF(AV103&lt;PT_First,0,1+INT((AV103-PT_First)/PT_Int)),0))-IF(AQ103="FT",IF(AU103&lt;FT_First,0,IF(AU103&lt;FT_Y5,1+INT((AU103-FT_First)/FT_Int1),FT_PreY5+FT_PerYear*INT((AU103-FT_Y5)/12)+FT_AnnivDays+INT(MOD(AU103-FT_Y5,12)/FT_Int2))),IF(AQ103="PT",IF(AU103&lt;PT_First,0,1+INT((AU103-PT_First)/PT_Int)),0)),0)+IF(AND(AI103&gt;=3,AL103&lt;=AsOfDate),IF(AR103="FT",IF(AT103&lt;FT_First,0,IF(AT103&lt;FT_Y5,1+INT((AT103-FT_First)/FT_Int1),FT_PreY5+FT_PerYear*INT((AT103-FT_Y5)/12)+FT_AnnivDays+INT(MOD(AT103-FT_Y5,12)/FT_Int2))),IF(AR103="PT",IF(AT103&lt;PT_First,0,1+INT((AT103-PT_First)/PT_Int)),0))-IF(AR103="FT",IF(AV103&lt;FT_First,0,IF(AV103&lt;FT_Y5,1+INT((AV103-FT_First)/FT_Int1),FT_PreY5+FT_PerYear*INT((AV103-FT_Y5)/12)+FT_AnnivDays+INT(MOD(AV103-FT_Y5,12)/FT_Int2))),IF(AR103="PT",IF(AV103&lt;PT_First,0,1+INT((AV103-PT_First)/PT_Int)),0)),0))</f>
        <v/>
      </c>
      <c r="BA103" s="14" t="str">
        <f aca="false">IF(AG103=0,"",IF(AP103="FT",IF(AX103&lt;FT_First,0,IF(AX103&lt;FT_Y5,1+INT((AX103-FT_First)/FT_Int1),FT_PreY5+FT_PerYear*INT((AX103-FT_Y5)/12)+FT_AnnivDays+INT(MOD(AX103-FT_Y5,12)/FT_Int2))),IF(AP103="PT",IF(AX103&lt;PT_First,0,1+INT((AX103-PT_First)/PT_Int)),0))+IF(AND(AI103&gt;=2,AK103&lt;=PFYDate),IF(AQ103="FT",IF(AY103&lt;FT_First,0,IF(AY103&lt;FT_Y5,1+INT((AY103-FT_First)/FT_Int1),FT_PreY5+FT_PerYear*INT((AY103-FT_Y5)/12)+FT_AnnivDays+INT(MOD(AY103-FT_Y5,12)/FT_Int2))),IF(AQ103="PT",IF(AY103&lt;PT_First,0,1+INT((AY103-PT_First)/PT_Int)),0))-IF(AQ103="FT",IF(AX103&lt;FT_First,0,IF(AX103&lt;FT_Y5,1+INT((AX103-FT_First)/FT_Int1),FT_PreY5+FT_PerYear*INT((AX103-FT_Y5)/12)+FT_AnnivDays+INT(MOD(AX103-FT_Y5,12)/FT_Int2))),IF(AQ103="PT",IF(AX103&lt;PT_First,0,1+INT((AX103-PT_First)/PT_Int)),0)),0)+IF(AND(AI103&gt;=3,AL103&lt;=PFYDate),IF(AR103="FT",IF(AW103&lt;FT_First,0,IF(AW103&lt;FT_Y5,1+INT((AW103-FT_First)/FT_Int1),FT_PreY5+FT_PerYear*INT((AW103-FT_Y5)/12)+FT_AnnivDays+INT(MOD(AW103-FT_Y5,12)/FT_Int2))),IF(AR103="PT",IF(AW103&lt;PT_First,0,1+INT((AW103-PT_First)/PT_Int)),0))-IF(AR103="FT",IF(AY103&lt;FT_First,0,IF(AY103&lt;FT_Y5,1+INT((AY103-FT_First)/FT_Int1),FT_PreY5+FT_PerYear*INT((AY103-FT_Y5)/12)+FT_AnnivDays+INT(MOD(AY103-FT_Y5,12)/FT_Int2))),IF(AR103="PT",IF(AY103&lt;PT_First,0,1+INT((AY103-PT_First)/PT_Int)),0)),0))</f>
        <v/>
      </c>
      <c r="BB103" s="14" t="str">
        <f aca="false">IF(AG103=0,"",IF(AS103="FT",IF(AT103&lt;FT_First,FT_First,IF(AT103&lt;FT_Y5,MIN(FT_Y5,FT_First+FT_Int1*(INT((AT103-FT_First)/FT_Int1)+1)),FT_Y5+12*INT((AT103-FT_Y5)/12)+FT_Int2*(INT(MOD(AT103-FT_Y5,12)/FT_Int2)+1))),IF(AS103="PT",IF(AT103&lt;PT_First,PT_First,PT_First+PT_Int*(INT((AT103-PT_First)/PT_Int)+1)),"")))</f>
        <v/>
      </c>
      <c r="BC103" s="14" t="str">
        <f aca="false">IF(AG103=0,"",IF(NOT(LH_Ready),0,COUNTIFS(INDEX(LH_Data,0,LH_ColFirst),$A103,INDEX(LH_Data,0,LH_ColSur),$B103,INDEX(LH_Data,0,LH_ColCat),BonusCat)))</f>
        <v/>
      </c>
      <c r="BD103" s="14" t="str">
        <f aca="false">IF(AG103=0,"",IF(OR(NOT(LH_Ready),BC103=0),0,SUMPRODUCT(MAX((INDEX(LH_Data,0,LH_ColFirst)=$A103)*(INDEX(LH_Data,0,LH_ColSur)=$B103)*(INDEX(LH_Data,0,LH_ColCat)=BonusCat)*ROW(LH_Data)))))</f>
        <v/>
      </c>
      <c r="BE103" s="14" t="str">
        <f aca="false">IF(AG103=0,"",IF(EOMONTH(AsOfDate,-1)&lt;AH103,-1,12*(YEAR(EOMONTH(AsOfDate,-1))-YEAR(AH103))+MONTH(EOMONTH(AsOfDate,-1))-MONTH(AH103)-IF(DAY(EOMONTH(AsOfDate,-1))&lt;MIN(DAY(AH103),DAY(EOMONTH(EOMONTH(AsOfDate,-1),0))),1,0)))</f>
        <v/>
      </c>
      <c r="BF103" s="14" t="str">
        <f aca="false">IF(AG103=0,"",IF(OR(AI103&lt;2,AK103&gt;EOMONTH(AsOfDate,-1)),BE103,IF((AK103-1)&lt;AH103,-1,12*(YEAR((AK103-1))-YEAR(AH103))+MONTH((AK103-1))-MONTH(AH103)-IF(DAY((AK103-1))&lt;MIN(DAY(AH103),DAY(EOMONTH((AK103-1),0))),1,0))))</f>
        <v/>
      </c>
      <c r="BG103" s="14" t="str">
        <f aca="false">IF(AG103=0,"",IF(OR(AI103&lt;3,AL103&gt;EOMONTH(AsOfDate,-1)),BE103,IF((AL103-1)&lt;AH103,-1,12*(YEAR((AL103-1))-YEAR(AH103))+MONTH((AL103-1))-MONTH(AH103)-IF(DAY((AL103-1))&lt;MIN(DAY(AH103),DAY(EOMONTH((AL103-1),0))),1,0))))</f>
        <v/>
      </c>
      <c r="BH103" s="14" t="str">
        <f aca="false">IF(AG103=0,"",IF(AP103="FT",IF(BF103&lt;FT_First,0,IF(BF103&lt;FT_Y5,1+INT((BF103-FT_First)/FT_Int1),FT_PreY5+FT_PerYear*INT((BF103-FT_Y5)/12)+FT_AnnivDays+INT(MOD(BF103-FT_Y5,12)/FT_Int2))),IF(AP103="PT",IF(BF103&lt;PT_First,0,1+INT((BF103-PT_First)/PT_Int)),0))+IF(AND(AI103&gt;=2,AK103&lt;=EOMONTH(AsOfDate,-1)),IF(AQ103="FT",IF(BG103&lt;FT_First,0,IF(BG103&lt;FT_Y5,1+INT((BG103-FT_First)/FT_Int1),FT_PreY5+FT_PerYear*INT((BG103-FT_Y5)/12)+FT_AnnivDays+INT(MOD(BG103-FT_Y5,12)/FT_Int2))),IF(AQ103="PT",IF(BG103&lt;PT_First,0,1+INT((BG103-PT_First)/PT_Int)),0))-IF(AQ103="FT",IF(BF103&lt;FT_First,0,IF(BF103&lt;FT_Y5,1+INT((BF103-FT_First)/FT_Int1),FT_PreY5+FT_PerYear*INT((BF103-FT_Y5)/12)+FT_AnnivDays+INT(MOD(BF103-FT_Y5,12)/FT_Int2))),IF(AQ103="PT",IF(BF103&lt;PT_First,0,1+INT((BF103-PT_First)/PT_Int)),0)),0)+IF(AND(AI103&gt;=3,AL103&lt;=EOMONTH(AsOfDate,-1)),IF(AR103="FT",IF(BE103&lt;FT_First,0,IF(BE103&lt;FT_Y5,1+INT((BE103-FT_First)/FT_Int1),FT_PreY5+FT_PerYear*INT((BE103-FT_Y5)/12)+FT_AnnivDays+INT(MOD(BE103-FT_Y5,12)/FT_Int2))),IF(AR103="PT",IF(BE103&lt;PT_First,0,1+INT((BE103-PT_First)/PT_Int)),0))-IF(AR103="FT",IF(BG103&lt;FT_First,0,IF(BG103&lt;FT_Y5,1+INT((BG103-FT_First)/FT_Int1),FT_PreY5+FT_PerYear*INT((BG103-FT_Y5)/12)+FT_AnnivDays+INT(MOD(BG103-FT_Y5,12)/FT_Int2))),IF(AR103="PT",IF(BG103&lt;PT_First,0,1+INT((BG103-PT_First)/PT_Int)),0)),0))</f>
        <v/>
      </c>
      <c r="BI103" s="14" t="str">
        <f aca="false">IF(AG103=0,"",IF(AS103="FT",IF(AT103&lt;FT_First,"",IF(AT103&lt;FT_Y5,FT_First+FT_Int1*INT((AT103-FT_First)/FT_Int1),FT_Y5+FT_Int2*INT((AT103-FT_Y5)/FT_Int2))),IF(AS103="PT",IF(AT103&lt;PT_First,"",PT_First+PT_Int*INT((AT103-PT_First)/PT_Int)),"")))</f>
        <v/>
      </c>
      <c r="BJ103" s="0" t="str">
        <f aca="false">IF(LEN($A103&amp;$B103)=0,"",$A103&amp;" "&amp;$B103)</f>
        <v/>
      </c>
    </row>
    <row r="104" customFormat="false" ht="15" hidden="false" customHeight="false" outlineLevel="0" collapsed="false">
      <c r="A104" s="10"/>
      <c r="B104" s="10"/>
      <c r="C104" s="10"/>
      <c r="D104" s="11"/>
      <c r="E104" s="12" t="str">
        <f aca="false">IF(OR(AG104=0,$D104=""),"",DATE(YEAR(AsOfDate)+IF(DATE(YEAR(AsOfDate),MONTH($D104),DAY($D104))&lt;=AsOfDate,1,0),MONTH($D104),DAY($D104)))</f>
        <v/>
      </c>
      <c r="F104" s="11"/>
      <c r="G104" s="11"/>
      <c r="H104" s="11"/>
      <c r="I104" s="11"/>
      <c r="J104" s="11"/>
      <c r="K104" s="12" t="str">
        <f aca="false">IF(AG104=0,"",DATE(YEAR(AsOfDate)+IF(DATE(YEAR(AsOfDate),MONTH(AH104),DAY(AH104))&lt;=AsOfDate,1,0),MONTH(AH104),DAY(AH104)))</f>
        <v/>
      </c>
      <c r="L104" s="13" t="str">
        <f aca="false">IF(AG104=0,"",ROUND((AsOfDate-AH104)/365.25,1))</f>
        <v/>
      </c>
      <c r="M104" s="14" t="str">
        <f aca="false">IF(AG104=0,"",IF(AsOfDate&lt;AH104,"-",DATEDIF(AH104,AsOfDate,"y")&amp;"y "&amp;DATEDIF(AH104,AsOfDate,"ym")&amp;"m "&amp;DATEDIF(AH104,AsOfDate,"md")&amp;"d"))</f>
        <v/>
      </c>
      <c r="N104" s="15" t="str">
        <f aca="false">IF(AG104=0,"",O104*HoursPerDay)</f>
        <v/>
      </c>
      <c r="O104" s="15" t="str">
        <f aca="false">IF(AG104=0,"",AZ104)</f>
        <v/>
      </c>
      <c r="P104" s="16"/>
      <c r="Q104" s="14" t="str">
        <f aca="false">IF(AG104=0,"",IF(AI104&lt;2,"",AM104&amp;" to "&amp;AN104&amp;" on "&amp;TEXT(AK104,"dd/mm/yyyy")&amp;IF(AK104&gt;AsOfDate," (future)",IF(AP104=AQ104,"",IF(AQ104="None"," - STOPPED accruing",IF(AP104="None"," - commencement for Bonus Leave"," - pathway changed"))))&amp;IF(AI104&lt;3,"","; "&amp;AN104&amp;" to "&amp;AO104&amp;" on "&amp;TEXT(AL104,"dd/mm/yyyy")&amp;IF(AL104&gt;AsOfDate," (future)",IF(AQ104=AR104,"",IF(AR104="None"," - STOPPED accruing",IF(AQ104="None"," - commencement for Bonus Leave"," - pathway changed")))))))</f>
        <v/>
      </c>
      <c r="R104" s="14" t="str">
        <f aca="false">IF(AG104=0,"",IF(AS104="None",IF(O104&gt;0,"No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2" t="str">
        <f aca="false">IF(AG104=0,"",IF(AS104="None","",EDATE(AH104,BB104)))</f>
        <v/>
      </c>
      <c r="T104" s="15" t="str">
        <f aca="false">IF(AG104=0,"",IF(NOT(LH_Ready),"",IF(AH104&gt;PFYDate,0,IF(LH_ColPeriod=0,W104-U104+V104,SUMIFS(INDEX(LH_Data,0,LH_ColAcc),INDEX(LH_Data,0,LH_ColFirst),$A104,INDEX(LH_Data,0,LH_ColSur),$B104,INDEX(LH_Data,0,LH_ColCat),BonusCat,INDEX(LH_Data,0,LH_ColPeriod),LH_OpenLabel)*UnitFactor))))</f>
        <v/>
      </c>
      <c r="U104" s="15" t="str">
        <f aca="false">IF(AG104=0,"",IF(NOT(LH_Ready),"",SUMIFS(INDEX(LH_Data,0,LH_ColAcc),INDEX(LH_Data,0,LH_ColFirst),$A104,INDEX(LH_Data,0,LH_ColSur),$B104,INDEX(LH_Data,0,LH_ColCat),BonusCat,INDEX(LH_Data,0,LH_ColStart),"&gt;="&amp;AH104)*UnitFactor))</f>
        <v/>
      </c>
      <c r="V104" s="15" t="str">
        <f aca="false">IF(AG104=0,"",IF(NOT(LH_Ready),"",SUMIFS(INDEX(LH_Data,0,LH_ColTaken),INDEX(LH_Data,0,LH_ColFirst),$A104,INDEX(LH_Data,0,LH_ColSur),$B104,INDEX(LH_Data,0,LH_ColCat),BonusCat,INDEX(LH_Data,0,LH_ColStart),"&gt;="&amp;AH104)*UnitFactor))</f>
        <v/>
      </c>
      <c r="W104" s="15" t="str">
        <f aca="false">IF(AG104=0,"",IF(NOT(LH_Ready),"",IF(BD104=0,0,INDEX(INDEX(LH_Data,0,LH_ColClose),BD104-1)*UnitFactor)))</f>
        <v/>
      </c>
      <c r="X104" s="15" t="str">
        <f aca="false">IF(AG104=0,"",(AZ104-BA104)*HoursPerDay)</f>
        <v/>
      </c>
      <c r="Y104" s="15" t="str">
        <f aca="false">IF(AG104=0,"",IF(NOT(LH_Ready),"",IF(BC104=0,N104,IF(PFYDate&lt;$F104,N104-N(T104)-N(U104),X104-N(U104)))))</f>
        <v/>
      </c>
      <c r="Z104" s="14" t="str">
        <f aca="false">IF(OR(AG104=0,Y104=""),"",IF(Y104&gt;0,"Yes","No"))</f>
        <v/>
      </c>
      <c r="AA104" s="14" t="str">
        <f aca="false">IF(AG104=0,IF(LEN($A104&amp;$B104)=0,"","FIX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month")&amp;IF(BC104=0,";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EH)",""),IF(AS104="None",R104,"Not yet - first day on "&amp;TEXT(S104,"dd/mm/yyyy")))))))))</f>
        <v/>
      </c>
      <c r="AB104" s="15" t="str">
        <f aca="false">IF(OR(AG104=0,T104=""),"",BA104*HoursPerDay-T104)</f>
        <v/>
      </c>
      <c r="AC104" s="14" t="str">
        <f aca="false">IF(AG104=0,"",BC104)</f>
        <v/>
      </c>
      <c r="AD104" s="14" t="str">
        <f aca="false">IF(AG104=0,"",TRIM(IF(OR(ISTEXT($F104),ISTEXT($H104),ISTEXT($I104),ISTEXT($G104),ISTEXT($J104),ISTEXT($D104)),"A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I104&gt;=1,IF(AI104&gt;=3,AO104,IF(AI104=2,AN104,AM104))&lt;&gt;IF($C104="","",IF(OR(ISNUMBER(SEARCH("full",$C104)),UPPER(TRIM($C104))="FT",UPPER(TRIM($C104))="FTE"),"Full-Time",IF(OR(ISNUMBER(SEARCH("part",$C104)),UPPER(TRIM($C104))="PT",UPPER(TRIM($C104))="PTE"),"Part-Time",IF(OR(ISNUMBER(SEARCH("cas",$C104)),UPPER(TRIM($C104))="CAS"),"Casual","Unknown"))))),"EmploymentType does not match latest start date ("&amp;IF(AI104&gt;=3,AO104,IF(AI104=2,AN104,AM104))&amp;"). ","")&amp;IF(AND(AI104&gt;=1,AJ104&lt;&gt;$F104),"Earliest type date should equal StartDate. ","")&amp;IF(AND(AI104&gt;=2,AJ104=AK104),"Two types start on the same date. ","")&amp;IF(AND(OR(ISNUMBER(SEARCH("part",$C104)),UPPER(TRIM($C104))="PT",UPPER(TRIM($C104))="PTE"),$P104=""),"Part-time: enter PT Hrs/Week (blank = 24+). ","")))</f>
        <v/>
      </c>
      <c r="AE104" s="15" t="str">
        <f aca="false">IF(AG104=0,"",O104-BH104)</f>
        <v/>
      </c>
      <c r="AF104" s="12" t="str">
        <f aca="false">IF(OR(AG104=0,AE104="",N(AE104)=0,BI104=""),"",EDATE(AH104,BI104))</f>
        <v/>
      </c>
      <c r="AG104" s="14" t="n">
        <f aca="false">IF(OR(LEN($A104&amp;$B104)=0,$F104=""),0,1)</f>
        <v>0</v>
      </c>
      <c r="AH104" s="12" t="str">
        <f aca="false">IF(AG104=0,"",IF($J104&lt;&gt;"",$J104,IF(OR(CasualCounts="Yes",COUNT($G104:$I104)=0,COUNT($H104:$I104)=0),$F104,MIN($H104:$I104))))</f>
        <v/>
      </c>
      <c r="AI104" s="14" t="str">
        <f aca="false">IF(AG104=0,"",COUNT($G104:$I104))</f>
        <v/>
      </c>
      <c r="AJ104" s="12" t="str">
        <f aca="false">IF(AG104=0,"",IFERROR(SMALL($G104:$I104,1),""))</f>
        <v/>
      </c>
      <c r="AK104" s="12" t="str">
        <f aca="false">IF(AG104=0,"",IFERROR(SMALL($G104:$I104,2),""))</f>
        <v/>
      </c>
      <c r="AL104" s="12" t="str">
        <f aca="false">IF(AG104=0,"",IFERROR(SMALL($G104:$I104,3),""))</f>
        <v/>
      </c>
      <c r="AM104" s="14" t="str">
        <f aca="false">IF(AG104=0,"",IF(AJ104="","",IF(AJ104=$H104,"Part-Time",IF(AJ104=$I104,"Full-Time","Casual"))))</f>
        <v/>
      </c>
      <c r="AN104" s="14" t="str">
        <f aca="false">IF(AG104=0,"",IF(AK104="","",IF(AK104=$H104,"Part-Time",IF(AK104=$I104,"Full-Time","Casual"))))</f>
        <v/>
      </c>
      <c r="AO104" s="14" t="str">
        <f aca="false">IF(AG104=0,"",IF(AL104="","",IF(AL104=$H104,"Part-Time",IF(AL104=$I104,"Full-Time","Casual"))))</f>
        <v/>
      </c>
      <c r="AP104" s="14" t="str">
        <f aca="false">IF(AG104=0,"",IF(AI104=0,IF(OR(ISNUMBER(SEARCH("full",$C104)),UPPER(TRIM($C104))="FT",UPPER(TRIM($C104))="FTE"),"FT",IF(AND(OR(ISNUMBER(SEARCH("part",$C104)),UPPER(TRIM($C104))="PT",UPPER(TRIM($C104))="PTE"),OR($P104="",N($P104)&gt;=PT_MinHours)),"PT","None")),IF(OR(ISNUMBER(SEARCH("full",AM104)),UPPER(TRIM(AM104))="FT",UPPER(TRIM(AM104))="FTE"),"FT",IF(AND(OR(ISNUMBER(SEARCH("part",AM104)),UPPER(TRIM(AM104))="PT",UPPER(TRIM(AM104))="PTE"),OR($P104="",N($P104)&gt;=PT_MinHours)),"PT","None"))))</f>
        <v/>
      </c>
      <c r="AQ104" s="14" t="str">
        <f aca="false">IF(AG104=0,"",IF(AI104&lt;2,"",IF(OR(ISNUMBER(SEARCH("full",AN104)),UPPER(TRIM(AN104))="FT",UPPER(TRIM(AN104))="FTE"),"FT",IF(AND(OR(ISNUMBER(SEARCH("part",AN104)),UPPER(TRIM(AN104))="PT",UPPER(TRIM(AN104))="PTE"),OR($P104="",N($P104)&gt;=PT_MinHours)),"PT","None"))))</f>
        <v/>
      </c>
      <c r="AR104" s="14" t="str">
        <f aca="false">IF(AG104=0,"",IF(AI104&lt;3,"",IF(OR(ISNUMBER(SEARCH("full",AO104)),UPPER(TRIM(AO104))="FT",UPPER(TRIM(AO104))="FTE"),"FT",IF(AND(OR(ISNUMBER(SEARCH("part",AO104)),UPPER(TRIM(AO104))="PT",UPPER(TRIM(AO104))="PTE"),OR($P104="",N($P104)&gt;=PT_MinHours)),"PT","None"))))</f>
        <v/>
      </c>
      <c r="AS104" s="14" t="str">
        <f aca="false">IF(AG104=0,"",IF(AND(AI104&gt;=3,AL104&lt;=AsOfDate),AR104,IF(AND(AI104&gt;=2,AK104&lt;=AsOfDate),AQ104,AP104)))</f>
        <v/>
      </c>
      <c r="AT104" s="14" t="str">
        <f aca="false">IF(AG104=0,"",IF(AsOfDate&lt;AH104,-1,12*(YEAR(AsOfDate)-YEAR(AH104))+MONTH(AsOfDate)-MONTH(AH104)-IF(DAY(AsOfDate)&lt;MIN(DAY(AH104),DAY(EOMONTH(AsOfDate,0))),1,0)))</f>
        <v/>
      </c>
      <c r="AU104" s="14" t="str">
        <f aca="false">IF(AG104=0,"",IF(OR(AI104&lt;2,AK104&gt;AsOfDate),AT104,IF((AK104-1)&lt;AH104,-1,12*(YEAR((AK104-1))-YEAR(AH104))+MONTH((AK104-1))-MONTH(AH104)-IF(DAY((AK104-1))&lt;MIN(DAY(AH104),DAY(EOMONTH((AK104-1),0))),1,0))))</f>
        <v/>
      </c>
      <c r="AV104" s="14" t="str">
        <f aca="false">IF(AG104=0,"",IF(OR(AI104&lt;3,AL104&gt;AsOfDate),AT104,IF((AL104-1)&lt;AH104,-1,12*(YEAR((AL104-1))-YEAR(AH104))+MONTH((AL104-1))-MONTH(AH104)-IF(DAY((AL104-1))&lt;MIN(DAY(AH104),DAY(EOMONTH((AL104-1),0))),1,0))))</f>
        <v/>
      </c>
      <c r="AW104" s="14" t="str">
        <f aca="false">IF(AG104=0,"",IF(PFYDate&lt;AH104,-1,12*(YEAR(PFYDate)-YEAR(AH104))+MONTH(PFYDate)-MONTH(AH104)-IF(DAY(PFYDate)&lt;MIN(DAY(AH104),DAY(EOMONTH(PFYDate,0))),1,0)))</f>
        <v/>
      </c>
      <c r="AX104" s="14" t="str">
        <f aca="false">IF(AG104=0,"",IF(OR(AI104&lt;2,AK104&gt;PFYDate),AW104,IF((AK104-1)&lt;AH104,-1,12*(YEAR((AK104-1))-YEAR(AH104))+MONTH((AK104-1))-MONTH(AH104)-IF(DAY((AK104-1))&lt;MIN(DAY(AH104),DAY(EOMONTH((AK104-1),0))),1,0))))</f>
        <v/>
      </c>
      <c r="AY104" s="14" t="str">
        <f aca="false">IF(AG104=0,"",IF(OR(AI104&lt;3,AL104&gt;PFYDate),AW104,IF((AL104-1)&lt;AH104,-1,12*(YEAR((AL104-1))-YEAR(AH104))+MONTH((AL104-1))-MONTH(AH104)-IF(DAY((AL104-1))&lt;MIN(DAY(AH104),DAY(EOMONTH((AL104-1),0))),1,0))))</f>
        <v/>
      </c>
      <c r="AZ104" s="14" t="str">
        <f aca="false">IF(AG104=0,"",IF(AP104="FT",IF(AU104&lt;FT_First,0,IF(AU104&lt;FT_Y5,1+INT((AU104-FT_First)/FT_Int1),FT_PreY5+FT_PerYear*INT((AU104-FT_Y5)/12)+FT_AnnivDays+INT(MOD(AU104-FT_Y5,12)/FT_Int2))),IF(AP104="PT",IF(AU104&lt;PT_First,0,1+INT((AU104-PT_First)/PT_Int)),0))+IF(AND(AI104&gt;=2,AK104&lt;=AsOfDate),IF(AQ104="FT",IF(AV104&lt;FT_First,0,IF(AV104&lt;FT_Y5,1+INT((AV104-FT_First)/FT_Int1),FT_PreY5+FT_PerYear*INT((AV104-FT_Y5)/12)+FT_AnnivDays+INT(MOD(AV104-FT_Y5,12)/FT_Int2))),IF(AQ104="PT",IF(AV104&lt;PT_First,0,1+INT((AV104-PT_First)/PT_Int)),0))-IF(AQ104="FT",IF(AU104&lt;FT_First,0,IF(AU104&lt;FT_Y5,1+INT((AU104-FT_First)/FT_Int1),FT_PreY5+FT_PerYear*INT((AU104-FT_Y5)/12)+FT_AnnivDays+INT(MOD(AU104-FT_Y5,12)/FT_Int2))),IF(AQ104="PT",IF(AU104&lt;PT_First,0,1+INT((AU104-PT_First)/PT_Int)),0)),0)+IF(AND(AI104&gt;=3,AL104&lt;=AsOfDate),IF(AR104="FT",IF(AT104&lt;FT_First,0,IF(AT104&lt;FT_Y5,1+INT((AT104-FT_First)/FT_Int1),FT_PreY5+FT_PerYear*INT((AT104-FT_Y5)/12)+FT_AnnivDays+INT(MOD(AT104-FT_Y5,12)/FT_Int2))),IF(AR104="PT",IF(AT104&lt;PT_First,0,1+INT((AT104-PT_First)/PT_Int)),0))-IF(AR104="FT",IF(AV104&lt;FT_First,0,IF(AV104&lt;FT_Y5,1+INT((AV104-FT_First)/FT_Int1),FT_PreY5+FT_PerYear*INT((AV104-FT_Y5)/12)+FT_AnnivDays+INT(MOD(AV104-FT_Y5,12)/FT_Int2))),IF(AR104="PT",IF(AV104&lt;PT_First,0,1+INT((AV104-PT_First)/PT_Int)),0)),0))</f>
        <v/>
      </c>
      <c r="BA104" s="14" t="str">
        <f aca="false">IF(AG104=0,"",IF(AP104="FT",IF(AX104&lt;FT_First,0,IF(AX104&lt;FT_Y5,1+INT((AX104-FT_First)/FT_Int1),FT_PreY5+FT_PerYear*INT((AX104-FT_Y5)/12)+FT_AnnivDays+INT(MOD(AX104-FT_Y5,12)/FT_Int2))),IF(AP104="PT",IF(AX104&lt;PT_First,0,1+INT((AX104-PT_First)/PT_Int)),0))+IF(AND(AI104&gt;=2,AK104&lt;=PFYDate),IF(AQ104="FT",IF(AY104&lt;FT_First,0,IF(AY104&lt;FT_Y5,1+INT((AY104-FT_First)/FT_Int1),FT_PreY5+FT_PerYear*INT((AY104-FT_Y5)/12)+FT_AnnivDays+INT(MOD(AY104-FT_Y5,12)/FT_Int2))),IF(AQ104="PT",IF(AY104&lt;PT_First,0,1+INT((AY104-PT_First)/PT_Int)),0))-IF(AQ104="FT",IF(AX104&lt;FT_First,0,IF(AX104&lt;FT_Y5,1+INT((AX104-FT_First)/FT_Int1),FT_PreY5+FT_PerYear*INT((AX104-FT_Y5)/12)+FT_AnnivDays+INT(MOD(AX104-FT_Y5,12)/FT_Int2))),IF(AQ104="PT",IF(AX104&lt;PT_First,0,1+INT((AX104-PT_First)/PT_Int)),0)),0)+IF(AND(AI104&gt;=3,AL104&lt;=PFYDate),IF(AR104="FT",IF(AW104&lt;FT_First,0,IF(AW104&lt;FT_Y5,1+INT((AW104-FT_First)/FT_Int1),FT_PreY5+FT_PerYear*INT((AW104-FT_Y5)/12)+FT_AnnivDays+INT(MOD(AW104-FT_Y5,12)/FT_Int2))),IF(AR104="PT",IF(AW104&lt;PT_First,0,1+INT((AW104-PT_First)/PT_Int)),0))-IF(AR104="FT",IF(AY104&lt;FT_First,0,IF(AY104&lt;FT_Y5,1+INT((AY104-FT_First)/FT_Int1),FT_PreY5+FT_PerYear*INT((AY104-FT_Y5)/12)+FT_AnnivDays+INT(MOD(AY104-FT_Y5,12)/FT_Int2))),IF(AR104="PT",IF(AY104&lt;PT_First,0,1+INT((AY104-PT_First)/PT_Int)),0)),0))</f>
        <v/>
      </c>
      <c r="BB104" s="14" t="str">
        <f aca="false">IF(AG104=0,"",IF(AS104="FT",IF(AT104&lt;FT_First,FT_First,IF(AT104&lt;FT_Y5,MIN(FT_Y5,FT_First+FT_Int1*(INT((AT104-FT_First)/FT_Int1)+1)),FT_Y5+12*INT((AT104-FT_Y5)/12)+FT_Int2*(INT(MOD(AT104-FT_Y5,12)/FT_Int2)+1))),IF(AS104="PT",IF(AT104&lt;PT_First,PT_First,PT_First+PT_Int*(INT((AT104-PT_First)/PT_Int)+1)),"")))</f>
        <v/>
      </c>
      <c r="BC104" s="14" t="str">
        <f aca="false">IF(AG104=0,"",IF(NOT(LH_Ready),0,COUNTIFS(INDEX(LH_Data,0,LH_ColFirst),$A104,INDEX(LH_Data,0,LH_ColSur),$B104,INDEX(LH_Data,0,LH_ColCat),BonusCat)))</f>
        <v/>
      </c>
      <c r="BD104" s="14" t="str">
        <f aca="false">IF(AG104=0,"",IF(OR(NOT(LH_Ready),BC104=0),0,SUMPRODUCT(MAX((INDEX(LH_Data,0,LH_ColFirst)=$A104)*(INDEX(LH_Data,0,LH_ColSur)=$B104)*(INDEX(LH_Data,0,LH_ColCat)=BonusCat)*ROW(LH_Data)))))</f>
        <v/>
      </c>
      <c r="BE104" s="14" t="str">
        <f aca="false">IF(AG104=0,"",IF(EOMONTH(AsOfDate,-1)&lt;AH104,-1,12*(YEAR(EOMONTH(AsOfDate,-1))-YEAR(AH104))+MONTH(EOMONTH(AsOfDate,-1))-MONTH(AH104)-IF(DAY(EOMONTH(AsOfDate,-1))&lt;MIN(DAY(AH104),DAY(EOMONTH(EOMONTH(AsOfDate,-1),0))),1,0)))</f>
        <v/>
      </c>
      <c r="BF104" s="14" t="str">
        <f aca="false">IF(AG104=0,"",IF(OR(AI104&lt;2,AK104&gt;EOMONTH(AsOfDate,-1)),BE104,IF((AK104-1)&lt;AH104,-1,12*(YEAR((AK104-1))-YEAR(AH104))+MONTH((AK104-1))-MONTH(AH104)-IF(DAY((AK104-1))&lt;MIN(DAY(AH104),DAY(EOMONTH((AK104-1),0))),1,0))))</f>
        <v/>
      </c>
      <c r="BG104" s="14" t="str">
        <f aca="false">IF(AG104=0,"",IF(OR(AI104&lt;3,AL104&gt;EOMONTH(AsOfDate,-1)),BE104,IF((AL104-1)&lt;AH104,-1,12*(YEAR((AL104-1))-YEAR(AH104))+MONTH((AL104-1))-MONTH(AH104)-IF(DAY((AL104-1))&lt;MIN(DAY(AH104),DAY(EOMONTH((AL104-1),0))),1,0))))</f>
        <v/>
      </c>
      <c r="BH104" s="14" t="str">
        <f aca="false">IF(AG104=0,"",IF(AP104="FT",IF(BF104&lt;FT_First,0,IF(BF104&lt;FT_Y5,1+INT((BF104-FT_First)/FT_Int1),FT_PreY5+FT_PerYear*INT((BF104-FT_Y5)/12)+FT_AnnivDays+INT(MOD(BF104-FT_Y5,12)/FT_Int2))),IF(AP104="PT",IF(BF104&lt;PT_First,0,1+INT((BF104-PT_First)/PT_Int)),0))+IF(AND(AI104&gt;=2,AK104&lt;=EOMONTH(AsOfDate,-1)),IF(AQ104="FT",IF(BG104&lt;FT_First,0,IF(BG104&lt;FT_Y5,1+INT((BG104-FT_First)/FT_Int1),FT_PreY5+FT_PerYear*INT((BG104-FT_Y5)/12)+FT_AnnivDays+INT(MOD(BG104-FT_Y5,12)/FT_Int2))),IF(AQ104="PT",IF(BG104&lt;PT_First,0,1+INT((BG104-PT_First)/PT_Int)),0))-IF(AQ104="FT",IF(BF104&lt;FT_First,0,IF(BF104&lt;FT_Y5,1+INT((BF104-FT_First)/FT_Int1),FT_PreY5+FT_PerYear*INT((BF104-FT_Y5)/12)+FT_AnnivDays+INT(MOD(BF104-FT_Y5,12)/FT_Int2))),IF(AQ104="PT",IF(BF104&lt;PT_First,0,1+INT((BF104-PT_First)/PT_Int)),0)),0)+IF(AND(AI104&gt;=3,AL104&lt;=EOMONTH(AsOfDate,-1)),IF(AR104="FT",IF(BE104&lt;FT_First,0,IF(BE104&lt;FT_Y5,1+INT((BE104-FT_First)/FT_Int1),FT_PreY5+FT_PerYear*INT((BE104-FT_Y5)/12)+FT_AnnivDays+INT(MOD(BE104-FT_Y5,12)/FT_Int2))),IF(AR104="PT",IF(BE104&lt;PT_First,0,1+INT((BE104-PT_First)/PT_Int)),0))-IF(AR104="FT",IF(BG104&lt;FT_First,0,IF(BG104&lt;FT_Y5,1+INT((BG104-FT_First)/FT_Int1),FT_PreY5+FT_PerYear*INT((BG104-FT_Y5)/12)+FT_AnnivDays+INT(MOD(BG104-FT_Y5,12)/FT_Int2))),IF(AR104="PT",IF(BG104&lt;PT_First,0,1+INT((BG104-PT_First)/PT_Int)),0)),0))</f>
        <v/>
      </c>
      <c r="BI104" s="14" t="str">
        <f aca="false">IF(AG104=0,"",IF(AS104="FT",IF(AT104&lt;FT_First,"",IF(AT104&lt;FT_Y5,FT_First+FT_Int1*INT((AT104-FT_First)/FT_Int1),FT_Y5+FT_Int2*INT((AT104-FT_Y5)/FT_Int2))),IF(AS104="PT",IF(AT104&lt;PT_First,"",PT_First+PT_Int*INT((AT104-PT_First)/PT_Int)),"")))</f>
        <v/>
      </c>
      <c r="BJ104" s="0" t="str">
        <f aca="false">IF(LEN($A104&amp;$B104)=0,"",$A104&amp;" "&amp;$B104)</f>
        <v/>
      </c>
    </row>
    <row r="105" customFormat="false" ht="15" hidden="false" customHeight="false" outlineLevel="0" collapsed="false">
      <c r="A105" s="10"/>
      <c r="B105" s="10"/>
      <c r="C105" s="10"/>
      <c r="D105" s="11"/>
      <c r="E105" s="12" t="str">
        <f aca="false">IF(OR(AG105=0,$D105=""),"",DATE(YEAR(AsOfDate)+IF(DATE(YEAR(AsOfDate),MONTH($D105),DAY($D105))&lt;=AsOfDate,1,0),MONTH($D105),DAY($D105)))</f>
        <v/>
      </c>
      <c r="F105" s="11"/>
      <c r="G105" s="11"/>
      <c r="H105" s="11"/>
      <c r="I105" s="11"/>
      <c r="J105" s="11"/>
      <c r="K105" s="12" t="str">
        <f aca="false">IF(AG105=0,"",DATE(YEAR(AsOfDate)+IF(DATE(YEAR(AsOfDate),MONTH(AH105),DAY(AH105))&lt;=AsOfDate,1,0),MONTH(AH105),DAY(AH105)))</f>
        <v/>
      </c>
      <c r="L105" s="13" t="str">
        <f aca="false">IF(AG105=0,"",ROUND((AsOfDate-AH105)/365.25,1))</f>
        <v/>
      </c>
      <c r="M105" s="14" t="str">
        <f aca="false">IF(AG105=0,"",IF(AsOfDate&lt;AH105,"-",DATEDIF(AH105,AsOfDate,"y")&amp;"y "&amp;DATEDIF(AH105,AsOfDate,"ym")&amp;"m "&amp;DATEDIF(AH105,AsOfDate,"md")&amp;"d"))</f>
        <v/>
      </c>
      <c r="N105" s="15" t="str">
        <f aca="false">IF(AG105=0,"",O105*HoursPerDay)</f>
        <v/>
      </c>
      <c r="O105" s="15" t="str">
        <f aca="false">IF(AG105=0,"",AZ105)</f>
        <v/>
      </c>
      <c r="P105" s="16"/>
      <c r="Q105" s="14" t="str">
        <f aca="false">IF(AG105=0,"",IF(AI105&lt;2,"",AM105&amp;" to "&amp;AN105&amp;" on "&amp;TEXT(AK105,"dd/mm/yyyy")&amp;IF(AK105&gt;AsOfDate," (future)",IF(AP105=AQ105,"",IF(AQ105="None"," - STOPPED accruing",IF(AP105="None"," - commencement for Bonus Leave"," - pathway changed"))))&amp;IF(AI105&lt;3,"","; "&amp;AN105&amp;" to "&amp;AO105&amp;" on "&amp;TEXT(AL105,"dd/mm/yyyy")&amp;IF(AL105&gt;AsOfDate," (future)",IF(AQ105=AR105,"",IF(AR105="None"," - STOPPED accruing",IF(AQ105="None"," - commencement for Bonus Leave"," - pathway changed")))))))</f>
        <v/>
      </c>
      <c r="R105" s="14" t="str">
        <f aca="false">IF(AG105=0,"",IF(AS105="None",IF(O105&gt;0,"No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2" t="str">
        <f aca="false">IF(AG105=0,"",IF(AS105="None","",EDATE(AH105,BB105)))</f>
        <v/>
      </c>
      <c r="T105" s="15" t="str">
        <f aca="false">IF(AG105=0,"",IF(NOT(LH_Ready),"",IF(AH105&gt;PFYDate,0,IF(LH_ColPeriod=0,W105-U105+V105,SUMIFS(INDEX(LH_Data,0,LH_ColAcc),INDEX(LH_Data,0,LH_ColFirst),$A105,INDEX(LH_Data,0,LH_ColSur),$B105,INDEX(LH_Data,0,LH_ColCat),BonusCat,INDEX(LH_Data,0,LH_ColPeriod),LH_OpenLabel)*UnitFactor))))</f>
        <v/>
      </c>
      <c r="U105" s="15" t="str">
        <f aca="false">IF(AG105=0,"",IF(NOT(LH_Ready),"",SUMIFS(INDEX(LH_Data,0,LH_ColAcc),INDEX(LH_Data,0,LH_ColFirst),$A105,INDEX(LH_Data,0,LH_ColSur),$B105,INDEX(LH_Data,0,LH_ColCat),BonusCat,INDEX(LH_Data,0,LH_ColStart),"&gt;="&amp;AH105)*UnitFactor))</f>
        <v/>
      </c>
      <c r="V105" s="15" t="str">
        <f aca="false">IF(AG105=0,"",IF(NOT(LH_Ready),"",SUMIFS(INDEX(LH_Data,0,LH_ColTaken),INDEX(LH_Data,0,LH_ColFirst),$A105,INDEX(LH_Data,0,LH_ColSur),$B105,INDEX(LH_Data,0,LH_ColCat),BonusCat,INDEX(LH_Data,0,LH_ColStart),"&gt;="&amp;AH105)*UnitFactor))</f>
        <v/>
      </c>
      <c r="W105" s="15" t="str">
        <f aca="false">IF(AG105=0,"",IF(NOT(LH_Ready),"",IF(BD105=0,0,INDEX(INDEX(LH_Data,0,LH_ColClose),BD105-1)*UnitFactor)))</f>
        <v/>
      </c>
      <c r="X105" s="15" t="str">
        <f aca="false">IF(AG105=0,"",(AZ105-BA105)*HoursPerDay)</f>
        <v/>
      </c>
      <c r="Y105" s="15" t="str">
        <f aca="false">IF(AG105=0,"",IF(NOT(LH_Ready),"",IF(BC105=0,N105,IF(PFYDate&lt;$F105,N105-N(T105)-N(U105),X105-N(U105)))))</f>
        <v/>
      </c>
      <c r="Z105" s="14" t="str">
        <f aca="false">IF(OR(AG105=0,Y105=""),"",IF(Y105&gt;0,"Yes","No"))</f>
        <v/>
      </c>
      <c r="AA105" s="14" t="str">
        <f aca="false">IF(AG105=0,IF(LEN($A105&amp;$B105)=0,"","FIX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month")&amp;IF(BC105=0,";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EH)",""),IF(AS105="None",R105,"Not yet - first day on "&amp;TEXT(S105,"dd/mm/yyyy")))))))))</f>
        <v/>
      </c>
      <c r="AB105" s="15" t="str">
        <f aca="false">IF(OR(AG105=0,T105=""),"",BA105*HoursPerDay-T105)</f>
        <v/>
      </c>
      <c r="AC105" s="14" t="str">
        <f aca="false">IF(AG105=0,"",BC105)</f>
        <v/>
      </c>
      <c r="AD105" s="14" t="str">
        <f aca="false">IF(AG105=0,"",TRIM(IF(OR(ISTEXT($F105),ISTEXT($H105),ISTEXT($I105),ISTEXT($G105),ISTEXT($J105),ISTEXT($D105)),"A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I105&gt;=1,IF(AI105&gt;=3,AO105,IF(AI105=2,AN105,AM105))&lt;&gt;IF($C105="","",IF(OR(ISNUMBER(SEARCH("full",$C105)),UPPER(TRIM($C105))="FT",UPPER(TRIM($C105))="FTE"),"Full-Time",IF(OR(ISNUMBER(SEARCH("part",$C105)),UPPER(TRIM($C105))="PT",UPPER(TRIM($C105))="PTE"),"Part-Time",IF(OR(ISNUMBER(SEARCH("cas",$C105)),UPPER(TRIM($C105))="CAS"),"Casual","Unknown"))))),"EmploymentType does not match latest start date ("&amp;IF(AI105&gt;=3,AO105,IF(AI105=2,AN105,AM105))&amp;"). ","")&amp;IF(AND(AI105&gt;=1,AJ105&lt;&gt;$F105),"Earliest type date should equal StartDate. ","")&amp;IF(AND(AI105&gt;=2,AJ105=AK105),"Two types start on the same date. ","")&amp;IF(AND(OR(ISNUMBER(SEARCH("part",$C105)),UPPER(TRIM($C105))="PT",UPPER(TRIM($C105))="PTE"),$P105=""),"Part-time: enter PT Hrs/Week (blank = 24+). ","")))</f>
        <v/>
      </c>
      <c r="AE105" s="15" t="str">
        <f aca="false">IF(AG105=0,"",O105-BH105)</f>
        <v/>
      </c>
      <c r="AF105" s="12" t="str">
        <f aca="false">IF(OR(AG105=0,AE105="",N(AE105)=0,BI105=""),"",EDATE(AH105,BI105))</f>
        <v/>
      </c>
      <c r="AG105" s="14" t="n">
        <f aca="false">IF(OR(LEN($A105&amp;$B105)=0,$F105=""),0,1)</f>
        <v>0</v>
      </c>
      <c r="AH105" s="12" t="str">
        <f aca="false">IF(AG105=0,"",IF($J105&lt;&gt;"",$J105,IF(OR(CasualCounts="Yes",COUNT($G105:$I105)=0,COUNT($H105:$I105)=0),$F105,MIN($H105:$I105))))</f>
        <v/>
      </c>
      <c r="AI105" s="14" t="str">
        <f aca="false">IF(AG105=0,"",COUNT($G105:$I105))</f>
        <v/>
      </c>
      <c r="AJ105" s="12" t="str">
        <f aca="false">IF(AG105=0,"",IFERROR(SMALL($G105:$I105,1),""))</f>
        <v/>
      </c>
      <c r="AK105" s="12" t="str">
        <f aca="false">IF(AG105=0,"",IFERROR(SMALL($G105:$I105,2),""))</f>
        <v/>
      </c>
      <c r="AL105" s="12" t="str">
        <f aca="false">IF(AG105=0,"",IFERROR(SMALL($G105:$I105,3),""))</f>
        <v/>
      </c>
      <c r="AM105" s="14" t="str">
        <f aca="false">IF(AG105=0,"",IF(AJ105="","",IF(AJ105=$H105,"Part-Time",IF(AJ105=$I105,"Full-Time","Casual"))))</f>
        <v/>
      </c>
      <c r="AN105" s="14" t="str">
        <f aca="false">IF(AG105=0,"",IF(AK105="","",IF(AK105=$H105,"Part-Time",IF(AK105=$I105,"Full-Time","Casual"))))</f>
        <v/>
      </c>
      <c r="AO105" s="14" t="str">
        <f aca="false">IF(AG105=0,"",IF(AL105="","",IF(AL105=$H105,"Part-Time",IF(AL105=$I105,"Full-Time","Casual"))))</f>
        <v/>
      </c>
      <c r="AP105" s="14" t="str">
        <f aca="false">IF(AG105=0,"",IF(AI105=0,IF(OR(ISNUMBER(SEARCH("full",$C105)),UPPER(TRIM($C105))="FT",UPPER(TRIM($C105))="FTE"),"FT",IF(AND(OR(ISNUMBER(SEARCH("part",$C105)),UPPER(TRIM($C105))="PT",UPPER(TRIM($C105))="PTE"),OR($P105="",N($P105)&gt;=PT_MinHours)),"PT","None")),IF(OR(ISNUMBER(SEARCH("full",AM105)),UPPER(TRIM(AM105))="FT",UPPER(TRIM(AM105))="FTE"),"FT",IF(AND(OR(ISNUMBER(SEARCH("part",AM105)),UPPER(TRIM(AM105))="PT",UPPER(TRIM(AM105))="PTE"),OR($P105="",N($P105)&gt;=PT_MinHours)),"PT","None"))))</f>
        <v/>
      </c>
      <c r="AQ105" s="14" t="str">
        <f aca="false">IF(AG105=0,"",IF(AI105&lt;2,"",IF(OR(ISNUMBER(SEARCH("full",AN105)),UPPER(TRIM(AN105))="FT",UPPER(TRIM(AN105))="FTE"),"FT",IF(AND(OR(ISNUMBER(SEARCH("part",AN105)),UPPER(TRIM(AN105))="PT",UPPER(TRIM(AN105))="PTE"),OR($P105="",N($P105)&gt;=PT_MinHours)),"PT","None"))))</f>
        <v/>
      </c>
      <c r="AR105" s="14" t="str">
        <f aca="false">IF(AG105=0,"",IF(AI105&lt;3,"",IF(OR(ISNUMBER(SEARCH("full",AO105)),UPPER(TRIM(AO105))="FT",UPPER(TRIM(AO105))="FTE"),"FT",IF(AND(OR(ISNUMBER(SEARCH("part",AO105)),UPPER(TRIM(AO105))="PT",UPPER(TRIM(AO105))="PTE"),OR($P105="",N($P105)&gt;=PT_MinHours)),"PT","None"))))</f>
        <v/>
      </c>
      <c r="AS105" s="14" t="str">
        <f aca="false">IF(AG105=0,"",IF(AND(AI105&gt;=3,AL105&lt;=AsOfDate),AR105,IF(AND(AI105&gt;=2,AK105&lt;=AsOfDate),AQ105,AP105)))</f>
        <v/>
      </c>
      <c r="AT105" s="14" t="str">
        <f aca="false">IF(AG105=0,"",IF(AsOfDate&lt;AH105,-1,12*(YEAR(AsOfDate)-YEAR(AH105))+MONTH(AsOfDate)-MONTH(AH105)-IF(DAY(AsOfDate)&lt;MIN(DAY(AH105),DAY(EOMONTH(AsOfDate,0))),1,0)))</f>
        <v/>
      </c>
      <c r="AU105" s="14" t="str">
        <f aca="false">IF(AG105=0,"",IF(OR(AI105&lt;2,AK105&gt;AsOfDate),AT105,IF((AK105-1)&lt;AH105,-1,12*(YEAR((AK105-1))-YEAR(AH105))+MONTH((AK105-1))-MONTH(AH105)-IF(DAY((AK105-1))&lt;MIN(DAY(AH105),DAY(EOMONTH((AK105-1),0))),1,0))))</f>
        <v/>
      </c>
      <c r="AV105" s="14" t="str">
        <f aca="false">IF(AG105=0,"",IF(OR(AI105&lt;3,AL105&gt;AsOfDate),AT105,IF((AL105-1)&lt;AH105,-1,12*(YEAR((AL105-1))-YEAR(AH105))+MONTH((AL105-1))-MONTH(AH105)-IF(DAY((AL105-1))&lt;MIN(DAY(AH105),DAY(EOMONTH((AL105-1),0))),1,0))))</f>
        <v/>
      </c>
      <c r="AW105" s="14" t="str">
        <f aca="false">IF(AG105=0,"",IF(PFYDate&lt;AH105,-1,12*(YEAR(PFYDate)-YEAR(AH105))+MONTH(PFYDate)-MONTH(AH105)-IF(DAY(PFYDate)&lt;MIN(DAY(AH105),DAY(EOMONTH(PFYDate,0))),1,0)))</f>
        <v/>
      </c>
      <c r="AX105" s="14" t="str">
        <f aca="false">IF(AG105=0,"",IF(OR(AI105&lt;2,AK105&gt;PFYDate),AW105,IF((AK105-1)&lt;AH105,-1,12*(YEAR((AK105-1))-YEAR(AH105))+MONTH((AK105-1))-MONTH(AH105)-IF(DAY((AK105-1))&lt;MIN(DAY(AH105),DAY(EOMONTH((AK105-1),0))),1,0))))</f>
        <v/>
      </c>
      <c r="AY105" s="14" t="str">
        <f aca="false">IF(AG105=0,"",IF(OR(AI105&lt;3,AL105&gt;PFYDate),AW105,IF((AL105-1)&lt;AH105,-1,12*(YEAR((AL105-1))-YEAR(AH105))+MONTH((AL105-1))-MONTH(AH105)-IF(DAY((AL105-1))&lt;MIN(DAY(AH105),DAY(EOMONTH((AL105-1),0))),1,0))))</f>
        <v/>
      </c>
      <c r="AZ105" s="14" t="str">
        <f aca="false">IF(AG105=0,"",IF(AP105="FT",IF(AU105&lt;FT_First,0,IF(AU105&lt;FT_Y5,1+INT((AU105-FT_First)/FT_Int1),FT_PreY5+FT_PerYear*INT((AU105-FT_Y5)/12)+FT_AnnivDays+INT(MOD(AU105-FT_Y5,12)/FT_Int2))),IF(AP105="PT",IF(AU105&lt;PT_First,0,1+INT((AU105-PT_First)/PT_Int)),0))+IF(AND(AI105&gt;=2,AK105&lt;=AsOfDate),IF(AQ105="FT",IF(AV105&lt;FT_First,0,IF(AV105&lt;FT_Y5,1+INT((AV105-FT_First)/FT_Int1),FT_PreY5+FT_PerYear*INT((AV105-FT_Y5)/12)+FT_AnnivDays+INT(MOD(AV105-FT_Y5,12)/FT_Int2))),IF(AQ105="PT",IF(AV105&lt;PT_First,0,1+INT((AV105-PT_First)/PT_Int)),0))-IF(AQ105="FT",IF(AU105&lt;FT_First,0,IF(AU105&lt;FT_Y5,1+INT((AU105-FT_First)/FT_Int1),FT_PreY5+FT_PerYear*INT((AU105-FT_Y5)/12)+FT_AnnivDays+INT(MOD(AU105-FT_Y5,12)/FT_Int2))),IF(AQ105="PT",IF(AU105&lt;PT_First,0,1+INT((AU105-PT_First)/PT_Int)),0)),0)+IF(AND(AI105&gt;=3,AL105&lt;=AsOfDate),IF(AR105="FT",IF(AT105&lt;FT_First,0,IF(AT105&lt;FT_Y5,1+INT((AT105-FT_First)/FT_Int1),FT_PreY5+FT_PerYear*INT((AT105-FT_Y5)/12)+FT_AnnivDays+INT(MOD(AT105-FT_Y5,12)/FT_Int2))),IF(AR105="PT",IF(AT105&lt;PT_First,0,1+INT((AT105-PT_First)/PT_Int)),0))-IF(AR105="FT",IF(AV105&lt;FT_First,0,IF(AV105&lt;FT_Y5,1+INT((AV105-FT_First)/FT_Int1),FT_PreY5+FT_PerYear*INT((AV105-FT_Y5)/12)+FT_AnnivDays+INT(MOD(AV105-FT_Y5,12)/FT_Int2))),IF(AR105="PT",IF(AV105&lt;PT_First,0,1+INT((AV105-PT_First)/PT_Int)),0)),0))</f>
        <v/>
      </c>
      <c r="BA105" s="14" t="str">
        <f aca="false">IF(AG105=0,"",IF(AP105="FT",IF(AX105&lt;FT_First,0,IF(AX105&lt;FT_Y5,1+INT((AX105-FT_First)/FT_Int1),FT_PreY5+FT_PerYear*INT((AX105-FT_Y5)/12)+FT_AnnivDays+INT(MOD(AX105-FT_Y5,12)/FT_Int2))),IF(AP105="PT",IF(AX105&lt;PT_First,0,1+INT((AX105-PT_First)/PT_Int)),0))+IF(AND(AI105&gt;=2,AK105&lt;=PFYDate),IF(AQ105="FT",IF(AY105&lt;FT_First,0,IF(AY105&lt;FT_Y5,1+INT((AY105-FT_First)/FT_Int1),FT_PreY5+FT_PerYear*INT((AY105-FT_Y5)/12)+FT_AnnivDays+INT(MOD(AY105-FT_Y5,12)/FT_Int2))),IF(AQ105="PT",IF(AY105&lt;PT_First,0,1+INT((AY105-PT_First)/PT_Int)),0))-IF(AQ105="FT",IF(AX105&lt;FT_First,0,IF(AX105&lt;FT_Y5,1+INT((AX105-FT_First)/FT_Int1),FT_PreY5+FT_PerYear*INT((AX105-FT_Y5)/12)+FT_AnnivDays+INT(MOD(AX105-FT_Y5,12)/FT_Int2))),IF(AQ105="PT",IF(AX105&lt;PT_First,0,1+INT((AX105-PT_First)/PT_Int)),0)),0)+IF(AND(AI105&gt;=3,AL105&lt;=PFYDate),IF(AR105="FT",IF(AW105&lt;FT_First,0,IF(AW105&lt;FT_Y5,1+INT((AW105-FT_First)/FT_Int1),FT_PreY5+FT_PerYear*INT((AW105-FT_Y5)/12)+FT_AnnivDays+INT(MOD(AW105-FT_Y5,12)/FT_Int2))),IF(AR105="PT",IF(AW105&lt;PT_First,0,1+INT((AW105-PT_First)/PT_Int)),0))-IF(AR105="FT",IF(AY105&lt;FT_First,0,IF(AY105&lt;FT_Y5,1+INT((AY105-FT_First)/FT_Int1),FT_PreY5+FT_PerYear*INT((AY105-FT_Y5)/12)+FT_AnnivDays+INT(MOD(AY105-FT_Y5,12)/FT_Int2))),IF(AR105="PT",IF(AY105&lt;PT_First,0,1+INT((AY105-PT_First)/PT_Int)),0)),0))</f>
        <v/>
      </c>
      <c r="BB105" s="14" t="str">
        <f aca="false">IF(AG105=0,"",IF(AS105="FT",IF(AT105&lt;FT_First,FT_First,IF(AT105&lt;FT_Y5,MIN(FT_Y5,FT_First+FT_Int1*(INT((AT105-FT_First)/FT_Int1)+1)),FT_Y5+12*INT((AT105-FT_Y5)/12)+FT_Int2*(INT(MOD(AT105-FT_Y5,12)/FT_Int2)+1))),IF(AS105="PT",IF(AT105&lt;PT_First,PT_First,PT_First+PT_Int*(INT((AT105-PT_First)/PT_Int)+1)),"")))</f>
        <v/>
      </c>
      <c r="BC105" s="14" t="str">
        <f aca="false">IF(AG105=0,"",IF(NOT(LH_Ready),0,COUNTIFS(INDEX(LH_Data,0,LH_ColFirst),$A105,INDEX(LH_Data,0,LH_ColSur),$B105,INDEX(LH_Data,0,LH_ColCat),BonusCat)))</f>
        <v/>
      </c>
      <c r="BD105" s="14" t="str">
        <f aca="false">IF(AG105=0,"",IF(OR(NOT(LH_Ready),BC105=0),0,SUMPRODUCT(MAX((INDEX(LH_Data,0,LH_ColFirst)=$A105)*(INDEX(LH_Data,0,LH_ColSur)=$B105)*(INDEX(LH_Data,0,LH_ColCat)=BonusCat)*ROW(LH_Data)))))</f>
        <v/>
      </c>
      <c r="BE105" s="14" t="str">
        <f aca="false">IF(AG105=0,"",IF(EOMONTH(AsOfDate,-1)&lt;AH105,-1,12*(YEAR(EOMONTH(AsOfDate,-1))-YEAR(AH105))+MONTH(EOMONTH(AsOfDate,-1))-MONTH(AH105)-IF(DAY(EOMONTH(AsOfDate,-1))&lt;MIN(DAY(AH105),DAY(EOMONTH(EOMONTH(AsOfDate,-1),0))),1,0)))</f>
        <v/>
      </c>
      <c r="BF105" s="14" t="str">
        <f aca="false">IF(AG105=0,"",IF(OR(AI105&lt;2,AK105&gt;EOMONTH(AsOfDate,-1)),BE105,IF((AK105-1)&lt;AH105,-1,12*(YEAR((AK105-1))-YEAR(AH105))+MONTH((AK105-1))-MONTH(AH105)-IF(DAY((AK105-1))&lt;MIN(DAY(AH105),DAY(EOMONTH((AK105-1),0))),1,0))))</f>
        <v/>
      </c>
      <c r="BG105" s="14" t="str">
        <f aca="false">IF(AG105=0,"",IF(OR(AI105&lt;3,AL105&gt;EOMONTH(AsOfDate,-1)),BE105,IF((AL105-1)&lt;AH105,-1,12*(YEAR((AL105-1))-YEAR(AH105))+MONTH((AL105-1))-MONTH(AH105)-IF(DAY((AL105-1))&lt;MIN(DAY(AH105),DAY(EOMONTH((AL105-1),0))),1,0))))</f>
        <v/>
      </c>
      <c r="BH105" s="14" t="str">
        <f aca="false">IF(AG105=0,"",IF(AP105="FT",IF(BF105&lt;FT_First,0,IF(BF105&lt;FT_Y5,1+INT((BF105-FT_First)/FT_Int1),FT_PreY5+FT_PerYear*INT((BF105-FT_Y5)/12)+FT_AnnivDays+INT(MOD(BF105-FT_Y5,12)/FT_Int2))),IF(AP105="PT",IF(BF105&lt;PT_First,0,1+INT((BF105-PT_First)/PT_Int)),0))+IF(AND(AI105&gt;=2,AK105&lt;=EOMONTH(AsOfDate,-1)),IF(AQ105="FT",IF(BG105&lt;FT_First,0,IF(BG105&lt;FT_Y5,1+INT((BG105-FT_First)/FT_Int1),FT_PreY5+FT_PerYear*INT((BG105-FT_Y5)/12)+FT_AnnivDays+INT(MOD(BG105-FT_Y5,12)/FT_Int2))),IF(AQ105="PT",IF(BG105&lt;PT_First,0,1+INT((BG105-PT_First)/PT_Int)),0))-IF(AQ105="FT",IF(BF105&lt;FT_First,0,IF(BF105&lt;FT_Y5,1+INT((BF105-FT_First)/FT_Int1),FT_PreY5+FT_PerYear*INT((BF105-FT_Y5)/12)+FT_AnnivDays+INT(MOD(BF105-FT_Y5,12)/FT_Int2))),IF(AQ105="PT",IF(BF105&lt;PT_First,0,1+INT((BF105-PT_First)/PT_Int)),0)),0)+IF(AND(AI105&gt;=3,AL105&lt;=EOMONTH(AsOfDate,-1)),IF(AR105="FT",IF(BE105&lt;FT_First,0,IF(BE105&lt;FT_Y5,1+INT((BE105-FT_First)/FT_Int1),FT_PreY5+FT_PerYear*INT((BE105-FT_Y5)/12)+FT_AnnivDays+INT(MOD(BE105-FT_Y5,12)/FT_Int2))),IF(AR105="PT",IF(BE105&lt;PT_First,0,1+INT((BE105-PT_First)/PT_Int)),0))-IF(AR105="FT",IF(BG105&lt;FT_First,0,IF(BG105&lt;FT_Y5,1+INT((BG105-FT_First)/FT_Int1),FT_PreY5+FT_PerYear*INT((BG105-FT_Y5)/12)+FT_AnnivDays+INT(MOD(BG105-FT_Y5,12)/FT_Int2))),IF(AR105="PT",IF(BG105&lt;PT_First,0,1+INT((BG105-PT_First)/PT_Int)),0)),0))</f>
        <v/>
      </c>
      <c r="BI105" s="14" t="str">
        <f aca="false">IF(AG105=0,"",IF(AS105="FT",IF(AT105&lt;FT_First,"",IF(AT105&lt;FT_Y5,FT_First+FT_Int1*INT((AT105-FT_First)/FT_Int1),FT_Y5+FT_Int2*INT((AT105-FT_Y5)/FT_Int2))),IF(AS105="PT",IF(AT105&lt;PT_First,"",PT_First+PT_Int*INT((AT105-PT_First)/PT_Int)),"")))</f>
        <v/>
      </c>
      <c r="BJ105" s="0" t="str">
        <f aca="false">IF(LEN($A105&amp;$B105)=0,"",$A105&amp;" "&amp;$B105)</f>
        <v/>
      </c>
    </row>
    <row r="106" customFormat="false" ht="15" hidden="false" customHeight="false" outlineLevel="0" collapsed="false">
      <c r="A106" s="10"/>
      <c r="B106" s="10"/>
      <c r="C106" s="10"/>
      <c r="D106" s="11"/>
      <c r="E106" s="12" t="str">
        <f aca="false">IF(OR(AG106=0,$D106=""),"",DATE(YEAR(AsOfDate)+IF(DATE(YEAR(AsOfDate),MONTH($D106),DAY($D106))&lt;=AsOfDate,1,0),MONTH($D106),DAY($D106)))</f>
        <v/>
      </c>
      <c r="F106" s="11"/>
      <c r="G106" s="11"/>
      <c r="H106" s="11"/>
      <c r="I106" s="11"/>
      <c r="J106" s="11"/>
      <c r="K106" s="12" t="str">
        <f aca="false">IF(AG106=0,"",DATE(YEAR(AsOfDate)+IF(DATE(YEAR(AsOfDate),MONTH(AH106),DAY(AH106))&lt;=AsOfDate,1,0),MONTH(AH106),DAY(AH106)))</f>
        <v/>
      </c>
      <c r="L106" s="13" t="str">
        <f aca="false">IF(AG106=0,"",ROUND((AsOfDate-AH106)/365.25,1))</f>
        <v/>
      </c>
      <c r="M106" s="14" t="str">
        <f aca="false">IF(AG106=0,"",IF(AsOfDate&lt;AH106,"-",DATEDIF(AH106,AsOfDate,"y")&amp;"y "&amp;DATEDIF(AH106,AsOfDate,"ym")&amp;"m "&amp;DATEDIF(AH106,AsOfDate,"md")&amp;"d"))</f>
        <v/>
      </c>
      <c r="N106" s="15" t="str">
        <f aca="false">IF(AG106=0,"",O106*HoursPerDay)</f>
        <v/>
      </c>
      <c r="O106" s="15" t="str">
        <f aca="false">IF(AG106=0,"",AZ106)</f>
        <v/>
      </c>
      <c r="P106" s="16"/>
      <c r="Q106" s="14" t="str">
        <f aca="false">IF(AG106=0,"",IF(AI106&lt;2,"",AM106&amp;" to "&amp;AN106&amp;" on "&amp;TEXT(AK106,"dd/mm/yyyy")&amp;IF(AK106&gt;AsOfDate," (future)",IF(AP106=AQ106,"",IF(AQ106="None"," - STOPPED accruing",IF(AP106="None"," - commencement for Bonus Leave"," - pathway changed"))))&amp;IF(AI106&lt;3,"","; "&amp;AN106&amp;" to "&amp;AO106&amp;" on "&amp;TEXT(AL106,"dd/mm/yyyy")&amp;IF(AL106&gt;AsOfDate," (future)",IF(AQ106=AR106,"",IF(AR106="None"," - STOPPED accruing",IF(AQ106="None"," - commencement for Bonus Leave"," - pathway changed")))))))</f>
        <v/>
      </c>
      <c r="R106" s="14" t="str">
        <f aca="false">IF(AG106=0,"",IF(AS106="None",IF(O106&gt;0,"No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2" t="str">
        <f aca="false">IF(AG106=0,"",IF(AS106="None","",EDATE(AH106,BB106)))</f>
        <v/>
      </c>
      <c r="T106" s="15" t="str">
        <f aca="false">IF(AG106=0,"",IF(NOT(LH_Ready),"",IF(AH106&gt;PFYDate,0,IF(LH_ColPeriod=0,W106-U106+V106,SUMIFS(INDEX(LH_Data,0,LH_ColAcc),INDEX(LH_Data,0,LH_ColFirst),$A106,INDEX(LH_Data,0,LH_ColSur),$B106,INDEX(LH_Data,0,LH_ColCat),BonusCat,INDEX(LH_Data,0,LH_ColPeriod),LH_OpenLabel)*UnitFactor))))</f>
        <v/>
      </c>
      <c r="U106" s="15" t="str">
        <f aca="false">IF(AG106=0,"",IF(NOT(LH_Ready),"",SUMIFS(INDEX(LH_Data,0,LH_ColAcc),INDEX(LH_Data,0,LH_ColFirst),$A106,INDEX(LH_Data,0,LH_ColSur),$B106,INDEX(LH_Data,0,LH_ColCat),BonusCat,INDEX(LH_Data,0,LH_ColStart),"&gt;="&amp;AH106)*UnitFactor))</f>
        <v/>
      </c>
      <c r="V106" s="15" t="str">
        <f aca="false">IF(AG106=0,"",IF(NOT(LH_Ready),"",SUMIFS(INDEX(LH_Data,0,LH_ColTaken),INDEX(LH_Data,0,LH_ColFirst),$A106,INDEX(LH_Data,0,LH_ColSur),$B106,INDEX(LH_Data,0,LH_ColCat),BonusCat,INDEX(LH_Data,0,LH_ColStart),"&gt;="&amp;AH106)*UnitFactor))</f>
        <v/>
      </c>
      <c r="W106" s="15" t="str">
        <f aca="false">IF(AG106=0,"",IF(NOT(LH_Ready),"",IF(BD106=0,0,INDEX(INDEX(LH_Data,0,LH_ColClose),BD106-1)*UnitFactor)))</f>
        <v/>
      </c>
      <c r="X106" s="15" t="str">
        <f aca="false">IF(AG106=0,"",(AZ106-BA106)*HoursPerDay)</f>
        <v/>
      </c>
      <c r="Y106" s="15" t="str">
        <f aca="false">IF(AG106=0,"",IF(NOT(LH_Ready),"",IF(BC106=0,N106,IF(PFYDate&lt;$F106,N106-N(T106)-N(U106),X106-N(U106)))))</f>
        <v/>
      </c>
      <c r="Z106" s="14" t="str">
        <f aca="false">IF(OR(AG106=0,Y106=""),"",IF(Y106&gt;0,"Yes","No"))</f>
        <v/>
      </c>
      <c r="AA106" s="14" t="str">
        <f aca="false">IF(AG106=0,IF(LEN($A106&amp;$B106)=0,"","FIX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month")&amp;IF(BC106=0,";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EH)",""),IF(AS106="None",R106,"Not yet - first day on "&amp;TEXT(S106,"dd/mm/yyyy")))))))))</f>
        <v/>
      </c>
      <c r="AB106" s="15" t="str">
        <f aca="false">IF(OR(AG106=0,T106=""),"",BA106*HoursPerDay-T106)</f>
        <v/>
      </c>
      <c r="AC106" s="14" t="str">
        <f aca="false">IF(AG106=0,"",BC106)</f>
        <v/>
      </c>
      <c r="AD106" s="14" t="str">
        <f aca="false">IF(AG106=0,"",TRIM(IF(OR(ISTEXT($F106),ISTEXT($H106),ISTEXT($I106),ISTEXT($G106),ISTEXT($J106),ISTEXT($D106)),"A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I106&gt;=1,IF(AI106&gt;=3,AO106,IF(AI106=2,AN106,AM106))&lt;&gt;IF($C106="","",IF(OR(ISNUMBER(SEARCH("full",$C106)),UPPER(TRIM($C106))="FT",UPPER(TRIM($C106))="FTE"),"Full-Time",IF(OR(ISNUMBER(SEARCH("part",$C106)),UPPER(TRIM($C106))="PT",UPPER(TRIM($C106))="PTE"),"Part-Time",IF(OR(ISNUMBER(SEARCH("cas",$C106)),UPPER(TRIM($C106))="CAS"),"Casual","Unknown"))))),"EmploymentType does not match latest start date ("&amp;IF(AI106&gt;=3,AO106,IF(AI106=2,AN106,AM106))&amp;"). ","")&amp;IF(AND(AI106&gt;=1,AJ106&lt;&gt;$F106),"Earliest type date should equal StartDate. ","")&amp;IF(AND(AI106&gt;=2,AJ106=AK106),"Two types start on the same date. ","")&amp;IF(AND(OR(ISNUMBER(SEARCH("part",$C106)),UPPER(TRIM($C106))="PT",UPPER(TRIM($C106))="PTE"),$P106=""),"Part-time: enter PT Hrs/Week (blank = 24+). ","")))</f>
        <v/>
      </c>
      <c r="AE106" s="15" t="str">
        <f aca="false">IF(AG106=0,"",O106-BH106)</f>
        <v/>
      </c>
      <c r="AF106" s="12" t="str">
        <f aca="false">IF(OR(AG106=0,AE106="",N(AE106)=0,BI106=""),"",EDATE(AH106,BI106))</f>
        <v/>
      </c>
      <c r="AG106" s="14" t="n">
        <f aca="false">IF(OR(LEN($A106&amp;$B106)=0,$F106=""),0,1)</f>
        <v>0</v>
      </c>
      <c r="AH106" s="12" t="str">
        <f aca="false">IF(AG106=0,"",IF($J106&lt;&gt;"",$J106,IF(OR(CasualCounts="Yes",COUNT($G106:$I106)=0,COUNT($H106:$I106)=0),$F106,MIN($H106:$I106))))</f>
        <v/>
      </c>
      <c r="AI106" s="14" t="str">
        <f aca="false">IF(AG106=0,"",COUNT($G106:$I106))</f>
        <v/>
      </c>
      <c r="AJ106" s="12" t="str">
        <f aca="false">IF(AG106=0,"",IFERROR(SMALL($G106:$I106,1),""))</f>
        <v/>
      </c>
      <c r="AK106" s="12" t="str">
        <f aca="false">IF(AG106=0,"",IFERROR(SMALL($G106:$I106,2),""))</f>
        <v/>
      </c>
      <c r="AL106" s="12" t="str">
        <f aca="false">IF(AG106=0,"",IFERROR(SMALL($G106:$I106,3),""))</f>
        <v/>
      </c>
      <c r="AM106" s="14" t="str">
        <f aca="false">IF(AG106=0,"",IF(AJ106="","",IF(AJ106=$H106,"Part-Time",IF(AJ106=$I106,"Full-Time","Casual"))))</f>
        <v/>
      </c>
      <c r="AN106" s="14" t="str">
        <f aca="false">IF(AG106=0,"",IF(AK106="","",IF(AK106=$H106,"Part-Time",IF(AK106=$I106,"Full-Time","Casual"))))</f>
        <v/>
      </c>
      <c r="AO106" s="14" t="str">
        <f aca="false">IF(AG106=0,"",IF(AL106="","",IF(AL106=$H106,"Part-Time",IF(AL106=$I106,"Full-Time","Casual"))))</f>
        <v/>
      </c>
      <c r="AP106" s="14" t="str">
        <f aca="false">IF(AG106=0,"",IF(AI106=0,IF(OR(ISNUMBER(SEARCH("full",$C106)),UPPER(TRIM($C106))="FT",UPPER(TRIM($C106))="FTE"),"FT",IF(AND(OR(ISNUMBER(SEARCH("part",$C106)),UPPER(TRIM($C106))="PT",UPPER(TRIM($C106))="PTE"),OR($P106="",N($P106)&gt;=PT_MinHours)),"PT","None")),IF(OR(ISNUMBER(SEARCH("full",AM106)),UPPER(TRIM(AM106))="FT",UPPER(TRIM(AM106))="FTE"),"FT",IF(AND(OR(ISNUMBER(SEARCH("part",AM106)),UPPER(TRIM(AM106))="PT",UPPER(TRIM(AM106))="PTE"),OR($P106="",N($P106)&gt;=PT_MinHours)),"PT","None"))))</f>
        <v/>
      </c>
      <c r="AQ106" s="14" t="str">
        <f aca="false">IF(AG106=0,"",IF(AI106&lt;2,"",IF(OR(ISNUMBER(SEARCH("full",AN106)),UPPER(TRIM(AN106))="FT",UPPER(TRIM(AN106))="FTE"),"FT",IF(AND(OR(ISNUMBER(SEARCH("part",AN106)),UPPER(TRIM(AN106))="PT",UPPER(TRIM(AN106))="PTE"),OR($P106="",N($P106)&gt;=PT_MinHours)),"PT","None"))))</f>
        <v/>
      </c>
      <c r="AR106" s="14" t="str">
        <f aca="false">IF(AG106=0,"",IF(AI106&lt;3,"",IF(OR(ISNUMBER(SEARCH("full",AO106)),UPPER(TRIM(AO106))="FT",UPPER(TRIM(AO106))="FTE"),"FT",IF(AND(OR(ISNUMBER(SEARCH("part",AO106)),UPPER(TRIM(AO106))="PT",UPPER(TRIM(AO106))="PTE"),OR($P106="",N($P106)&gt;=PT_MinHours)),"PT","None"))))</f>
        <v/>
      </c>
      <c r="AS106" s="14" t="str">
        <f aca="false">IF(AG106=0,"",IF(AND(AI106&gt;=3,AL106&lt;=AsOfDate),AR106,IF(AND(AI106&gt;=2,AK106&lt;=AsOfDate),AQ106,AP106)))</f>
        <v/>
      </c>
      <c r="AT106" s="14" t="str">
        <f aca="false">IF(AG106=0,"",IF(AsOfDate&lt;AH106,-1,12*(YEAR(AsOfDate)-YEAR(AH106))+MONTH(AsOfDate)-MONTH(AH106)-IF(DAY(AsOfDate)&lt;MIN(DAY(AH106),DAY(EOMONTH(AsOfDate,0))),1,0)))</f>
        <v/>
      </c>
      <c r="AU106" s="14" t="str">
        <f aca="false">IF(AG106=0,"",IF(OR(AI106&lt;2,AK106&gt;AsOfDate),AT106,IF((AK106-1)&lt;AH106,-1,12*(YEAR((AK106-1))-YEAR(AH106))+MONTH((AK106-1))-MONTH(AH106)-IF(DAY((AK106-1))&lt;MIN(DAY(AH106),DAY(EOMONTH((AK106-1),0))),1,0))))</f>
        <v/>
      </c>
      <c r="AV106" s="14" t="str">
        <f aca="false">IF(AG106=0,"",IF(OR(AI106&lt;3,AL106&gt;AsOfDate),AT106,IF((AL106-1)&lt;AH106,-1,12*(YEAR((AL106-1))-YEAR(AH106))+MONTH((AL106-1))-MONTH(AH106)-IF(DAY((AL106-1))&lt;MIN(DAY(AH106),DAY(EOMONTH((AL106-1),0))),1,0))))</f>
        <v/>
      </c>
      <c r="AW106" s="14" t="str">
        <f aca="false">IF(AG106=0,"",IF(PFYDate&lt;AH106,-1,12*(YEAR(PFYDate)-YEAR(AH106))+MONTH(PFYDate)-MONTH(AH106)-IF(DAY(PFYDate)&lt;MIN(DAY(AH106),DAY(EOMONTH(PFYDate,0))),1,0)))</f>
        <v/>
      </c>
      <c r="AX106" s="14" t="str">
        <f aca="false">IF(AG106=0,"",IF(OR(AI106&lt;2,AK106&gt;PFYDate),AW106,IF((AK106-1)&lt;AH106,-1,12*(YEAR((AK106-1))-YEAR(AH106))+MONTH((AK106-1))-MONTH(AH106)-IF(DAY((AK106-1))&lt;MIN(DAY(AH106),DAY(EOMONTH((AK106-1),0))),1,0))))</f>
        <v/>
      </c>
      <c r="AY106" s="14" t="str">
        <f aca="false">IF(AG106=0,"",IF(OR(AI106&lt;3,AL106&gt;PFYDate),AW106,IF((AL106-1)&lt;AH106,-1,12*(YEAR((AL106-1))-YEAR(AH106))+MONTH((AL106-1))-MONTH(AH106)-IF(DAY((AL106-1))&lt;MIN(DAY(AH106),DAY(EOMONTH((AL106-1),0))),1,0))))</f>
        <v/>
      </c>
      <c r="AZ106" s="14" t="str">
        <f aca="false">IF(AG106=0,"",IF(AP106="FT",IF(AU106&lt;FT_First,0,IF(AU106&lt;FT_Y5,1+INT((AU106-FT_First)/FT_Int1),FT_PreY5+FT_PerYear*INT((AU106-FT_Y5)/12)+FT_AnnivDays+INT(MOD(AU106-FT_Y5,12)/FT_Int2))),IF(AP106="PT",IF(AU106&lt;PT_First,0,1+INT((AU106-PT_First)/PT_Int)),0))+IF(AND(AI106&gt;=2,AK106&lt;=AsOfDate),IF(AQ106="FT",IF(AV106&lt;FT_First,0,IF(AV106&lt;FT_Y5,1+INT((AV106-FT_First)/FT_Int1),FT_PreY5+FT_PerYear*INT((AV106-FT_Y5)/12)+FT_AnnivDays+INT(MOD(AV106-FT_Y5,12)/FT_Int2))),IF(AQ106="PT",IF(AV106&lt;PT_First,0,1+INT((AV106-PT_First)/PT_Int)),0))-IF(AQ106="FT",IF(AU106&lt;FT_First,0,IF(AU106&lt;FT_Y5,1+INT((AU106-FT_First)/FT_Int1),FT_PreY5+FT_PerYear*INT((AU106-FT_Y5)/12)+FT_AnnivDays+INT(MOD(AU106-FT_Y5,12)/FT_Int2))),IF(AQ106="PT",IF(AU106&lt;PT_First,0,1+INT((AU106-PT_First)/PT_Int)),0)),0)+IF(AND(AI106&gt;=3,AL106&lt;=AsOfDate),IF(AR106="FT",IF(AT106&lt;FT_First,0,IF(AT106&lt;FT_Y5,1+INT((AT106-FT_First)/FT_Int1),FT_PreY5+FT_PerYear*INT((AT106-FT_Y5)/12)+FT_AnnivDays+INT(MOD(AT106-FT_Y5,12)/FT_Int2))),IF(AR106="PT",IF(AT106&lt;PT_First,0,1+INT((AT106-PT_First)/PT_Int)),0))-IF(AR106="FT",IF(AV106&lt;FT_First,0,IF(AV106&lt;FT_Y5,1+INT((AV106-FT_First)/FT_Int1),FT_PreY5+FT_PerYear*INT((AV106-FT_Y5)/12)+FT_AnnivDays+INT(MOD(AV106-FT_Y5,12)/FT_Int2))),IF(AR106="PT",IF(AV106&lt;PT_First,0,1+INT((AV106-PT_First)/PT_Int)),0)),0))</f>
        <v/>
      </c>
      <c r="BA106" s="14" t="str">
        <f aca="false">IF(AG106=0,"",IF(AP106="FT",IF(AX106&lt;FT_First,0,IF(AX106&lt;FT_Y5,1+INT((AX106-FT_First)/FT_Int1),FT_PreY5+FT_PerYear*INT((AX106-FT_Y5)/12)+FT_AnnivDays+INT(MOD(AX106-FT_Y5,12)/FT_Int2))),IF(AP106="PT",IF(AX106&lt;PT_First,0,1+INT((AX106-PT_First)/PT_Int)),0))+IF(AND(AI106&gt;=2,AK106&lt;=PFYDate),IF(AQ106="FT",IF(AY106&lt;FT_First,0,IF(AY106&lt;FT_Y5,1+INT((AY106-FT_First)/FT_Int1),FT_PreY5+FT_PerYear*INT((AY106-FT_Y5)/12)+FT_AnnivDays+INT(MOD(AY106-FT_Y5,12)/FT_Int2))),IF(AQ106="PT",IF(AY106&lt;PT_First,0,1+INT((AY106-PT_First)/PT_Int)),0))-IF(AQ106="FT",IF(AX106&lt;FT_First,0,IF(AX106&lt;FT_Y5,1+INT((AX106-FT_First)/FT_Int1),FT_PreY5+FT_PerYear*INT((AX106-FT_Y5)/12)+FT_AnnivDays+INT(MOD(AX106-FT_Y5,12)/FT_Int2))),IF(AQ106="PT",IF(AX106&lt;PT_First,0,1+INT((AX106-PT_First)/PT_Int)),0)),0)+IF(AND(AI106&gt;=3,AL106&lt;=PFYDate),IF(AR106="FT",IF(AW106&lt;FT_First,0,IF(AW106&lt;FT_Y5,1+INT((AW106-FT_First)/FT_Int1),FT_PreY5+FT_PerYear*INT((AW106-FT_Y5)/12)+FT_AnnivDays+INT(MOD(AW106-FT_Y5,12)/FT_Int2))),IF(AR106="PT",IF(AW106&lt;PT_First,0,1+INT((AW106-PT_First)/PT_Int)),0))-IF(AR106="FT",IF(AY106&lt;FT_First,0,IF(AY106&lt;FT_Y5,1+INT((AY106-FT_First)/FT_Int1),FT_PreY5+FT_PerYear*INT((AY106-FT_Y5)/12)+FT_AnnivDays+INT(MOD(AY106-FT_Y5,12)/FT_Int2))),IF(AR106="PT",IF(AY106&lt;PT_First,0,1+INT((AY106-PT_First)/PT_Int)),0)),0))</f>
        <v/>
      </c>
      <c r="BB106" s="14" t="str">
        <f aca="false">IF(AG106=0,"",IF(AS106="FT",IF(AT106&lt;FT_First,FT_First,IF(AT106&lt;FT_Y5,MIN(FT_Y5,FT_First+FT_Int1*(INT((AT106-FT_First)/FT_Int1)+1)),FT_Y5+12*INT((AT106-FT_Y5)/12)+FT_Int2*(INT(MOD(AT106-FT_Y5,12)/FT_Int2)+1))),IF(AS106="PT",IF(AT106&lt;PT_First,PT_First,PT_First+PT_Int*(INT((AT106-PT_First)/PT_Int)+1)),"")))</f>
        <v/>
      </c>
      <c r="BC106" s="14" t="str">
        <f aca="false">IF(AG106=0,"",IF(NOT(LH_Ready),0,COUNTIFS(INDEX(LH_Data,0,LH_ColFirst),$A106,INDEX(LH_Data,0,LH_ColSur),$B106,INDEX(LH_Data,0,LH_ColCat),BonusCat)))</f>
        <v/>
      </c>
      <c r="BD106" s="14" t="str">
        <f aca="false">IF(AG106=0,"",IF(OR(NOT(LH_Ready),BC106=0),0,SUMPRODUCT(MAX((INDEX(LH_Data,0,LH_ColFirst)=$A106)*(INDEX(LH_Data,0,LH_ColSur)=$B106)*(INDEX(LH_Data,0,LH_ColCat)=BonusCat)*ROW(LH_Data)))))</f>
        <v/>
      </c>
      <c r="BE106" s="14" t="str">
        <f aca="false">IF(AG106=0,"",IF(EOMONTH(AsOfDate,-1)&lt;AH106,-1,12*(YEAR(EOMONTH(AsOfDate,-1))-YEAR(AH106))+MONTH(EOMONTH(AsOfDate,-1))-MONTH(AH106)-IF(DAY(EOMONTH(AsOfDate,-1))&lt;MIN(DAY(AH106),DAY(EOMONTH(EOMONTH(AsOfDate,-1),0))),1,0)))</f>
        <v/>
      </c>
      <c r="BF106" s="14" t="str">
        <f aca="false">IF(AG106=0,"",IF(OR(AI106&lt;2,AK106&gt;EOMONTH(AsOfDate,-1)),BE106,IF((AK106-1)&lt;AH106,-1,12*(YEAR((AK106-1))-YEAR(AH106))+MONTH((AK106-1))-MONTH(AH106)-IF(DAY((AK106-1))&lt;MIN(DAY(AH106),DAY(EOMONTH((AK106-1),0))),1,0))))</f>
        <v/>
      </c>
      <c r="BG106" s="14" t="str">
        <f aca="false">IF(AG106=0,"",IF(OR(AI106&lt;3,AL106&gt;EOMONTH(AsOfDate,-1)),BE106,IF((AL106-1)&lt;AH106,-1,12*(YEAR((AL106-1))-YEAR(AH106))+MONTH((AL106-1))-MONTH(AH106)-IF(DAY((AL106-1))&lt;MIN(DAY(AH106),DAY(EOMONTH((AL106-1),0))),1,0))))</f>
        <v/>
      </c>
      <c r="BH106" s="14" t="str">
        <f aca="false">IF(AG106=0,"",IF(AP106="FT",IF(BF106&lt;FT_First,0,IF(BF106&lt;FT_Y5,1+INT((BF106-FT_First)/FT_Int1),FT_PreY5+FT_PerYear*INT((BF106-FT_Y5)/12)+FT_AnnivDays+INT(MOD(BF106-FT_Y5,12)/FT_Int2))),IF(AP106="PT",IF(BF106&lt;PT_First,0,1+INT((BF106-PT_First)/PT_Int)),0))+IF(AND(AI106&gt;=2,AK106&lt;=EOMONTH(AsOfDate,-1)),IF(AQ106="FT",IF(BG106&lt;FT_First,0,IF(BG106&lt;FT_Y5,1+INT((BG106-FT_First)/FT_Int1),FT_PreY5+FT_PerYear*INT((BG106-FT_Y5)/12)+FT_AnnivDays+INT(MOD(BG106-FT_Y5,12)/FT_Int2))),IF(AQ106="PT",IF(BG106&lt;PT_First,0,1+INT((BG106-PT_First)/PT_Int)),0))-IF(AQ106="FT",IF(BF106&lt;FT_First,0,IF(BF106&lt;FT_Y5,1+INT((BF106-FT_First)/FT_Int1),FT_PreY5+FT_PerYear*INT((BF106-FT_Y5)/12)+FT_AnnivDays+INT(MOD(BF106-FT_Y5,12)/FT_Int2))),IF(AQ106="PT",IF(BF106&lt;PT_First,0,1+INT((BF106-PT_First)/PT_Int)),0)),0)+IF(AND(AI106&gt;=3,AL106&lt;=EOMONTH(AsOfDate,-1)),IF(AR106="FT",IF(BE106&lt;FT_First,0,IF(BE106&lt;FT_Y5,1+INT((BE106-FT_First)/FT_Int1),FT_PreY5+FT_PerYear*INT((BE106-FT_Y5)/12)+FT_AnnivDays+INT(MOD(BE106-FT_Y5,12)/FT_Int2))),IF(AR106="PT",IF(BE106&lt;PT_First,0,1+INT((BE106-PT_First)/PT_Int)),0))-IF(AR106="FT",IF(BG106&lt;FT_First,0,IF(BG106&lt;FT_Y5,1+INT((BG106-FT_First)/FT_Int1),FT_PreY5+FT_PerYear*INT((BG106-FT_Y5)/12)+FT_AnnivDays+INT(MOD(BG106-FT_Y5,12)/FT_Int2))),IF(AR106="PT",IF(BG106&lt;PT_First,0,1+INT((BG106-PT_First)/PT_Int)),0)),0))</f>
        <v/>
      </c>
      <c r="BI106" s="14" t="str">
        <f aca="false">IF(AG106=0,"",IF(AS106="FT",IF(AT106&lt;FT_First,"",IF(AT106&lt;FT_Y5,FT_First+FT_Int1*INT((AT106-FT_First)/FT_Int1),FT_Y5+FT_Int2*INT((AT106-FT_Y5)/FT_Int2))),IF(AS106="PT",IF(AT106&lt;PT_First,"",PT_First+PT_Int*INT((AT106-PT_First)/PT_Int)),"")))</f>
        <v/>
      </c>
      <c r="BJ106" s="0" t="str">
        <f aca="false">IF(LEN($A106&amp;$B106)=0,"",$A106&amp;" "&amp;$B106)</f>
        <v/>
      </c>
    </row>
    <row r="107" customFormat="false" ht="15" hidden="false" customHeight="false" outlineLevel="0" collapsed="false">
      <c r="A107" s="10"/>
      <c r="B107" s="10"/>
      <c r="C107" s="10"/>
      <c r="D107" s="11"/>
      <c r="E107" s="12" t="str">
        <f aca="false">IF(OR(AG107=0,$D107=""),"",DATE(YEAR(AsOfDate)+IF(DATE(YEAR(AsOfDate),MONTH($D107),DAY($D107))&lt;=AsOfDate,1,0),MONTH($D107),DAY($D107)))</f>
        <v/>
      </c>
      <c r="F107" s="11"/>
      <c r="G107" s="11"/>
      <c r="H107" s="11"/>
      <c r="I107" s="11"/>
      <c r="J107" s="11"/>
      <c r="K107" s="12" t="str">
        <f aca="false">IF(AG107=0,"",DATE(YEAR(AsOfDate)+IF(DATE(YEAR(AsOfDate),MONTH(AH107),DAY(AH107))&lt;=AsOfDate,1,0),MONTH(AH107),DAY(AH107)))</f>
        <v/>
      </c>
      <c r="L107" s="13" t="str">
        <f aca="false">IF(AG107=0,"",ROUND((AsOfDate-AH107)/365.25,1))</f>
        <v/>
      </c>
      <c r="M107" s="14" t="str">
        <f aca="false">IF(AG107=0,"",IF(AsOfDate&lt;AH107,"-",DATEDIF(AH107,AsOfDate,"y")&amp;"y "&amp;DATEDIF(AH107,AsOfDate,"ym")&amp;"m "&amp;DATEDIF(AH107,AsOfDate,"md")&amp;"d"))</f>
        <v/>
      </c>
      <c r="N107" s="15" t="str">
        <f aca="false">IF(AG107=0,"",O107*HoursPerDay)</f>
        <v/>
      </c>
      <c r="O107" s="15" t="str">
        <f aca="false">IF(AG107=0,"",AZ107)</f>
        <v/>
      </c>
      <c r="P107" s="16"/>
      <c r="Q107" s="14" t="str">
        <f aca="false">IF(AG107=0,"",IF(AI107&lt;2,"",AM107&amp;" to "&amp;AN107&amp;" on "&amp;TEXT(AK107,"dd/mm/yyyy")&amp;IF(AK107&gt;AsOfDate," (future)",IF(AP107=AQ107,"",IF(AQ107="None"," - STOPPED accruing",IF(AP107="None"," - commencement for Bonus Leave"," - pathway changed"))))&amp;IF(AI107&lt;3,"","; "&amp;AN107&amp;" to "&amp;AO107&amp;" on "&amp;TEXT(AL107,"dd/mm/yyyy")&amp;IF(AL107&gt;AsOfDate," (future)",IF(AQ107=AR107,"",IF(AR107="None"," - STOPPED accruing",IF(AQ107="None"," - commencement for Bonus Leave"," - pathway changed")))))))</f>
        <v/>
      </c>
      <c r="R107" s="14" t="str">
        <f aca="false">IF(AG107=0,"",IF(AS107="None",IF(O107&gt;0,"No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2" t="str">
        <f aca="false">IF(AG107=0,"",IF(AS107="None","",EDATE(AH107,BB107)))</f>
        <v/>
      </c>
      <c r="T107" s="15" t="str">
        <f aca="false">IF(AG107=0,"",IF(NOT(LH_Ready),"",IF(AH107&gt;PFYDate,0,IF(LH_ColPeriod=0,W107-U107+V107,SUMIFS(INDEX(LH_Data,0,LH_ColAcc),INDEX(LH_Data,0,LH_ColFirst),$A107,INDEX(LH_Data,0,LH_ColSur),$B107,INDEX(LH_Data,0,LH_ColCat),BonusCat,INDEX(LH_Data,0,LH_ColPeriod),LH_OpenLabel)*UnitFactor))))</f>
        <v/>
      </c>
      <c r="U107" s="15" t="str">
        <f aca="false">IF(AG107=0,"",IF(NOT(LH_Ready),"",SUMIFS(INDEX(LH_Data,0,LH_ColAcc),INDEX(LH_Data,0,LH_ColFirst),$A107,INDEX(LH_Data,0,LH_ColSur),$B107,INDEX(LH_Data,0,LH_ColCat),BonusCat,INDEX(LH_Data,0,LH_ColStart),"&gt;="&amp;AH107)*UnitFactor))</f>
        <v/>
      </c>
      <c r="V107" s="15" t="str">
        <f aca="false">IF(AG107=0,"",IF(NOT(LH_Ready),"",SUMIFS(INDEX(LH_Data,0,LH_ColTaken),INDEX(LH_Data,0,LH_ColFirst),$A107,INDEX(LH_Data,0,LH_ColSur),$B107,INDEX(LH_Data,0,LH_ColCat),BonusCat,INDEX(LH_Data,0,LH_ColStart),"&gt;="&amp;AH107)*UnitFactor))</f>
        <v/>
      </c>
      <c r="W107" s="15" t="str">
        <f aca="false">IF(AG107=0,"",IF(NOT(LH_Ready),"",IF(BD107=0,0,INDEX(INDEX(LH_Data,0,LH_ColClose),BD107-1)*UnitFactor)))</f>
        <v/>
      </c>
      <c r="X107" s="15" t="str">
        <f aca="false">IF(AG107=0,"",(AZ107-BA107)*HoursPerDay)</f>
        <v/>
      </c>
      <c r="Y107" s="15" t="str">
        <f aca="false">IF(AG107=0,"",IF(NOT(LH_Ready),"",IF(BC107=0,N107,IF(PFYDate&lt;$F107,N107-N(T107)-N(U107),X107-N(U107)))))</f>
        <v/>
      </c>
      <c r="Z107" s="14" t="str">
        <f aca="false">IF(OR(AG107=0,Y107=""),"",IF(Y107&gt;0,"Yes","No"))</f>
        <v/>
      </c>
      <c r="AA107" s="14" t="str">
        <f aca="false">IF(AG107=0,IF(LEN($A107&amp;$B107)=0,"","FIX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month")&amp;IF(BC107=0,";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EH)",""),IF(AS107="None",R107,"Not yet - first day on "&amp;TEXT(S107,"dd/mm/yyyy")))))))))</f>
        <v/>
      </c>
      <c r="AB107" s="15" t="str">
        <f aca="false">IF(OR(AG107=0,T107=""),"",BA107*HoursPerDay-T107)</f>
        <v/>
      </c>
      <c r="AC107" s="14" t="str">
        <f aca="false">IF(AG107=0,"",BC107)</f>
        <v/>
      </c>
      <c r="AD107" s="14" t="str">
        <f aca="false">IF(AG107=0,"",TRIM(IF(OR(ISTEXT($F107),ISTEXT($H107),ISTEXT($I107),ISTEXT($G107),ISTEXT($J107),ISTEXT($D107)),"A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I107&gt;=1,IF(AI107&gt;=3,AO107,IF(AI107=2,AN107,AM107))&lt;&gt;IF($C107="","",IF(OR(ISNUMBER(SEARCH("full",$C107)),UPPER(TRIM($C107))="FT",UPPER(TRIM($C107))="FTE"),"Full-Time",IF(OR(ISNUMBER(SEARCH("part",$C107)),UPPER(TRIM($C107))="PT",UPPER(TRIM($C107))="PTE"),"Part-Time",IF(OR(ISNUMBER(SEARCH("cas",$C107)),UPPER(TRIM($C107))="CAS"),"Casual","Unknown"))))),"EmploymentType does not match latest start date ("&amp;IF(AI107&gt;=3,AO107,IF(AI107=2,AN107,AM107))&amp;"). ","")&amp;IF(AND(AI107&gt;=1,AJ107&lt;&gt;$F107),"Earliest type date should equal StartDate. ","")&amp;IF(AND(AI107&gt;=2,AJ107=AK107),"Two types start on the same date. ","")&amp;IF(AND(OR(ISNUMBER(SEARCH("part",$C107)),UPPER(TRIM($C107))="PT",UPPER(TRIM($C107))="PTE"),$P107=""),"Part-time: enter PT Hrs/Week (blank = 24+). ","")))</f>
        <v/>
      </c>
      <c r="AE107" s="15" t="str">
        <f aca="false">IF(AG107=0,"",O107-BH107)</f>
        <v/>
      </c>
      <c r="AF107" s="12" t="str">
        <f aca="false">IF(OR(AG107=0,AE107="",N(AE107)=0,BI107=""),"",EDATE(AH107,BI107))</f>
        <v/>
      </c>
      <c r="AG107" s="14" t="n">
        <f aca="false">IF(OR(LEN($A107&amp;$B107)=0,$F107=""),0,1)</f>
        <v>0</v>
      </c>
      <c r="AH107" s="12" t="str">
        <f aca="false">IF(AG107=0,"",IF($J107&lt;&gt;"",$J107,IF(OR(CasualCounts="Yes",COUNT($G107:$I107)=0,COUNT($H107:$I107)=0),$F107,MIN($H107:$I107))))</f>
        <v/>
      </c>
      <c r="AI107" s="14" t="str">
        <f aca="false">IF(AG107=0,"",COUNT($G107:$I107))</f>
        <v/>
      </c>
      <c r="AJ107" s="12" t="str">
        <f aca="false">IF(AG107=0,"",IFERROR(SMALL($G107:$I107,1),""))</f>
        <v/>
      </c>
      <c r="AK107" s="12" t="str">
        <f aca="false">IF(AG107=0,"",IFERROR(SMALL($G107:$I107,2),""))</f>
        <v/>
      </c>
      <c r="AL107" s="12" t="str">
        <f aca="false">IF(AG107=0,"",IFERROR(SMALL($G107:$I107,3),""))</f>
        <v/>
      </c>
      <c r="AM107" s="14" t="str">
        <f aca="false">IF(AG107=0,"",IF(AJ107="","",IF(AJ107=$H107,"Part-Time",IF(AJ107=$I107,"Full-Time","Casual"))))</f>
        <v/>
      </c>
      <c r="AN107" s="14" t="str">
        <f aca="false">IF(AG107=0,"",IF(AK107="","",IF(AK107=$H107,"Part-Time",IF(AK107=$I107,"Full-Time","Casual"))))</f>
        <v/>
      </c>
      <c r="AO107" s="14" t="str">
        <f aca="false">IF(AG107=0,"",IF(AL107="","",IF(AL107=$H107,"Part-Time",IF(AL107=$I107,"Full-Time","Casual"))))</f>
        <v/>
      </c>
      <c r="AP107" s="14" t="str">
        <f aca="false">IF(AG107=0,"",IF(AI107=0,IF(OR(ISNUMBER(SEARCH("full",$C107)),UPPER(TRIM($C107))="FT",UPPER(TRIM($C107))="FTE"),"FT",IF(AND(OR(ISNUMBER(SEARCH("part",$C107)),UPPER(TRIM($C107))="PT",UPPER(TRIM($C107))="PTE"),OR($P107="",N($P107)&gt;=PT_MinHours)),"PT","None")),IF(OR(ISNUMBER(SEARCH("full",AM107)),UPPER(TRIM(AM107))="FT",UPPER(TRIM(AM107))="FTE"),"FT",IF(AND(OR(ISNUMBER(SEARCH("part",AM107)),UPPER(TRIM(AM107))="PT",UPPER(TRIM(AM107))="PTE"),OR($P107="",N($P107)&gt;=PT_MinHours)),"PT","None"))))</f>
        <v/>
      </c>
      <c r="AQ107" s="14" t="str">
        <f aca="false">IF(AG107=0,"",IF(AI107&lt;2,"",IF(OR(ISNUMBER(SEARCH("full",AN107)),UPPER(TRIM(AN107))="FT",UPPER(TRIM(AN107))="FTE"),"FT",IF(AND(OR(ISNUMBER(SEARCH("part",AN107)),UPPER(TRIM(AN107))="PT",UPPER(TRIM(AN107))="PTE"),OR($P107="",N($P107)&gt;=PT_MinHours)),"PT","None"))))</f>
        <v/>
      </c>
      <c r="AR107" s="14" t="str">
        <f aca="false">IF(AG107=0,"",IF(AI107&lt;3,"",IF(OR(ISNUMBER(SEARCH("full",AO107)),UPPER(TRIM(AO107))="FT",UPPER(TRIM(AO107))="FTE"),"FT",IF(AND(OR(ISNUMBER(SEARCH("part",AO107)),UPPER(TRIM(AO107))="PT",UPPER(TRIM(AO107))="PTE"),OR($P107="",N($P107)&gt;=PT_MinHours)),"PT","None"))))</f>
        <v/>
      </c>
      <c r="AS107" s="14" t="str">
        <f aca="false">IF(AG107=0,"",IF(AND(AI107&gt;=3,AL107&lt;=AsOfDate),AR107,IF(AND(AI107&gt;=2,AK107&lt;=AsOfDate),AQ107,AP107)))</f>
        <v/>
      </c>
      <c r="AT107" s="14" t="str">
        <f aca="false">IF(AG107=0,"",IF(AsOfDate&lt;AH107,-1,12*(YEAR(AsOfDate)-YEAR(AH107))+MONTH(AsOfDate)-MONTH(AH107)-IF(DAY(AsOfDate)&lt;MIN(DAY(AH107),DAY(EOMONTH(AsOfDate,0))),1,0)))</f>
        <v/>
      </c>
      <c r="AU107" s="14" t="str">
        <f aca="false">IF(AG107=0,"",IF(OR(AI107&lt;2,AK107&gt;AsOfDate),AT107,IF((AK107-1)&lt;AH107,-1,12*(YEAR((AK107-1))-YEAR(AH107))+MONTH((AK107-1))-MONTH(AH107)-IF(DAY((AK107-1))&lt;MIN(DAY(AH107),DAY(EOMONTH((AK107-1),0))),1,0))))</f>
        <v/>
      </c>
      <c r="AV107" s="14" t="str">
        <f aca="false">IF(AG107=0,"",IF(OR(AI107&lt;3,AL107&gt;AsOfDate),AT107,IF((AL107-1)&lt;AH107,-1,12*(YEAR((AL107-1))-YEAR(AH107))+MONTH((AL107-1))-MONTH(AH107)-IF(DAY((AL107-1))&lt;MIN(DAY(AH107),DAY(EOMONTH((AL107-1),0))),1,0))))</f>
        <v/>
      </c>
      <c r="AW107" s="14" t="str">
        <f aca="false">IF(AG107=0,"",IF(PFYDate&lt;AH107,-1,12*(YEAR(PFYDate)-YEAR(AH107))+MONTH(PFYDate)-MONTH(AH107)-IF(DAY(PFYDate)&lt;MIN(DAY(AH107),DAY(EOMONTH(PFYDate,0))),1,0)))</f>
        <v/>
      </c>
      <c r="AX107" s="14" t="str">
        <f aca="false">IF(AG107=0,"",IF(OR(AI107&lt;2,AK107&gt;PFYDate),AW107,IF((AK107-1)&lt;AH107,-1,12*(YEAR((AK107-1))-YEAR(AH107))+MONTH((AK107-1))-MONTH(AH107)-IF(DAY((AK107-1))&lt;MIN(DAY(AH107),DAY(EOMONTH((AK107-1),0))),1,0))))</f>
        <v/>
      </c>
      <c r="AY107" s="14" t="str">
        <f aca="false">IF(AG107=0,"",IF(OR(AI107&lt;3,AL107&gt;PFYDate),AW107,IF((AL107-1)&lt;AH107,-1,12*(YEAR((AL107-1))-YEAR(AH107))+MONTH((AL107-1))-MONTH(AH107)-IF(DAY((AL107-1))&lt;MIN(DAY(AH107),DAY(EOMONTH((AL107-1),0))),1,0))))</f>
        <v/>
      </c>
      <c r="AZ107" s="14" t="str">
        <f aca="false">IF(AG107=0,"",IF(AP107="FT",IF(AU107&lt;FT_First,0,IF(AU107&lt;FT_Y5,1+INT((AU107-FT_First)/FT_Int1),FT_PreY5+FT_PerYear*INT((AU107-FT_Y5)/12)+FT_AnnivDays+INT(MOD(AU107-FT_Y5,12)/FT_Int2))),IF(AP107="PT",IF(AU107&lt;PT_First,0,1+INT((AU107-PT_First)/PT_Int)),0))+IF(AND(AI107&gt;=2,AK107&lt;=AsOfDate),IF(AQ107="FT",IF(AV107&lt;FT_First,0,IF(AV107&lt;FT_Y5,1+INT((AV107-FT_First)/FT_Int1),FT_PreY5+FT_PerYear*INT((AV107-FT_Y5)/12)+FT_AnnivDays+INT(MOD(AV107-FT_Y5,12)/FT_Int2))),IF(AQ107="PT",IF(AV107&lt;PT_First,0,1+INT((AV107-PT_First)/PT_Int)),0))-IF(AQ107="FT",IF(AU107&lt;FT_First,0,IF(AU107&lt;FT_Y5,1+INT((AU107-FT_First)/FT_Int1),FT_PreY5+FT_PerYear*INT((AU107-FT_Y5)/12)+FT_AnnivDays+INT(MOD(AU107-FT_Y5,12)/FT_Int2))),IF(AQ107="PT",IF(AU107&lt;PT_First,0,1+INT((AU107-PT_First)/PT_Int)),0)),0)+IF(AND(AI107&gt;=3,AL107&lt;=AsOfDate),IF(AR107="FT",IF(AT107&lt;FT_First,0,IF(AT107&lt;FT_Y5,1+INT((AT107-FT_First)/FT_Int1),FT_PreY5+FT_PerYear*INT((AT107-FT_Y5)/12)+FT_AnnivDays+INT(MOD(AT107-FT_Y5,12)/FT_Int2))),IF(AR107="PT",IF(AT107&lt;PT_First,0,1+INT((AT107-PT_First)/PT_Int)),0))-IF(AR107="FT",IF(AV107&lt;FT_First,0,IF(AV107&lt;FT_Y5,1+INT((AV107-FT_First)/FT_Int1),FT_PreY5+FT_PerYear*INT((AV107-FT_Y5)/12)+FT_AnnivDays+INT(MOD(AV107-FT_Y5,12)/FT_Int2))),IF(AR107="PT",IF(AV107&lt;PT_First,0,1+INT((AV107-PT_First)/PT_Int)),0)),0))</f>
        <v/>
      </c>
      <c r="BA107" s="14" t="str">
        <f aca="false">IF(AG107=0,"",IF(AP107="FT",IF(AX107&lt;FT_First,0,IF(AX107&lt;FT_Y5,1+INT((AX107-FT_First)/FT_Int1),FT_PreY5+FT_PerYear*INT((AX107-FT_Y5)/12)+FT_AnnivDays+INT(MOD(AX107-FT_Y5,12)/FT_Int2))),IF(AP107="PT",IF(AX107&lt;PT_First,0,1+INT((AX107-PT_First)/PT_Int)),0))+IF(AND(AI107&gt;=2,AK107&lt;=PFYDate),IF(AQ107="FT",IF(AY107&lt;FT_First,0,IF(AY107&lt;FT_Y5,1+INT((AY107-FT_First)/FT_Int1),FT_PreY5+FT_PerYear*INT((AY107-FT_Y5)/12)+FT_AnnivDays+INT(MOD(AY107-FT_Y5,12)/FT_Int2))),IF(AQ107="PT",IF(AY107&lt;PT_First,0,1+INT((AY107-PT_First)/PT_Int)),0))-IF(AQ107="FT",IF(AX107&lt;FT_First,0,IF(AX107&lt;FT_Y5,1+INT((AX107-FT_First)/FT_Int1),FT_PreY5+FT_PerYear*INT((AX107-FT_Y5)/12)+FT_AnnivDays+INT(MOD(AX107-FT_Y5,12)/FT_Int2))),IF(AQ107="PT",IF(AX107&lt;PT_First,0,1+INT((AX107-PT_First)/PT_Int)),0)),0)+IF(AND(AI107&gt;=3,AL107&lt;=PFYDate),IF(AR107="FT",IF(AW107&lt;FT_First,0,IF(AW107&lt;FT_Y5,1+INT((AW107-FT_First)/FT_Int1),FT_PreY5+FT_PerYear*INT((AW107-FT_Y5)/12)+FT_AnnivDays+INT(MOD(AW107-FT_Y5,12)/FT_Int2))),IF(AR107="PT",IF(AW107&lt;PT_First,0,1+INT((AW107-PT_First)/PT_Int)),0))-IF(AR107="FT",IF(AY107&lt;FT_First,0,IF(AY107&lt;FT_Y5,1+INT((AY107-FT_First)/FT_Int1),FT_PreY5+FT_PerYear*INT((AY107-FT_Y5)/12)+FT_AnnivDays+INT(MOD(AY107-FT_Y5,12)/FT_Int2))),IF(AR107="PT",IF(AY107&lt;PT_First,0,1+INT((AY107-PT_First)/PT_Int)),0)),0))</f>
        <v/>
      </c>
      <c r="BB107" s="14" t="str">
        <f aca="false">IF(AG107=0,"",IF(AS107="FT",IF(AT107&lt;FT_First,FT_First,IF(AT107&lt;FT_Y5,MIN(FT_Y5,FT_First+FT_Int1*(INT((AT107-FT_First)/FT_Int1)+1)),FT_Y5+12*INT((AT107-FT_Y5)/12)+FT_Int2*(INT(MOD(AT107-FT_Y5,12)/FT_Int2)+1))),IF(AS107="PT",IF(AT107&lt;PT_First,PT_First,PT_First+PT_Int*(INT((AT107-PT_First)/PT_Int)+1)),"")))</f>
        <v/>
      </c>
      <c r="BC107" s="14" t="str">
        <f aca="false">IF(AG107=0,"",IF(NOT(LH_Ready),0,COUNTIFS(INDEX(LH_Data,0,LH_ColFirst),$A107,INDEX(LH_Data,0,LH_ColSur),$B107,INDEX(LH_Data,0,LH_ColCat),BonusCat)))</f>
        <v/>
      </c>
      <c r="BD107" s="14" t="str">
        <f aca="false">IF(AG107=0,"",IF(OR(NOT(LH_Ready),BC107=0),0,SUMPRODUCT(MAX((INDEX(LH_Data,0,LH_ColFirst)=$A107)*(INDEX(LH_Data,0,LH_ColSur)=$B107)*(INDEX(LH_Data,0,LH_ColCat)=BonusCat)*ROW(LH_Data)))))</f>
        <v/>
      </c>
      <c r="BE107" s="14" t="str">
        <f aca="false">IF(AG107=0,"",IF(EOMONTH(AsOfDate,-1)&lt;AH107,-1,12*(YEAR(EOMONTH(AsOfDate,-1))-YEAR(AH107))+MONTH(EOMONTH(AsOfDate,-1))-MONTH(AH107)-IF(DAY(EOMONTH(AsOfDate,-1))&lt;MIN(DAY(AH107),DAY(EOMONTH(EOMONTH(AsOfDate,-1),0))),1,0)))</f>
        <v/>
      </c>
      <c r="BF107" s="14" t="str">
        <f aca="false">IF(AG107=0,"",IF(OR(AI107&lt;2,AK107&gt;EOMONTH(AsOfDate,-1)),BE107,IF((AK107-1)&lt;AH107,-1,12*(YEAR((AK107-1))-YEAR(AH107))+MONTH((AK107-1))-MONTH(AH107)-IF(DAY((AK107-1))&lt;MIN(DAY(AH107),DAY(EOMONTH((AK107-1),0))),1,0))))</f>
        <v/>
      </c>
      <c r="BG107" s="14" t="str">
        <f aca="false">IF(AG107=0,"",IF(OR(AI107&lt;3,AL107&gt;EOMONTH(AsOfDate,-1)),BE107,IF((AL107-1)&lt;AH107,-1,12*(YEAR((AL107-1))-YEAR(AH107))+MONTH((AL107-1))-MONTH(AH107)-IF(DAY((AL107-1))&lt;MIN(DAY(AH107),DAY(EOMONTH((AL107-1),0))),1,0))))</f>
        <v/>
      </c>
      <c r="BH107" s="14" t="str">
        <f aca="false">IF(AG107=0,"",IF(AP107="FT",IF(BF107&lt;FT_First,0,IF(BF107&lt;FT_Y5,1+INT((BF107-FT_First)/FT_Int1),FT_PreY5+FT_PerYear*INT((BF107-FT_Y5)/12)+FT_AnnivDays+INT(MOD(BF107-FT_Y5,12)/FT_Int2))),IF(AP107="PT",IF(BF107&lt;PT_First,0,1+INT((BF107-PT_First)/PT_Int)),0))+IF(AND(AI107&gt;=2,AK107&lt;=EOMONTH(AsOfDate,-1)),IF(AQ107="FT",IF(BG107&lt;FT_First,0,IF(BG107&lt;FT_Y5,1+INT((BG107-FT_First)/FT_Int1),FT_PreY5+FT_PerYear*INT((BG107-FT_Y5)/12)+FT_AnnivDays+INT(MOD(BG107-FT_Y5,12)/FT_Int2))),IF(AQ107="PT",IF(BG107&lt;PT_First,0,1+INT((BG107-PT_First)/PT_Int)),0))-IF(AQ107="FT",IF(BF107&lt;FT_First,0,IF(BF107&lt;FT_Y5,1+INT((BF107-FT_First)/FT_Int1),FT_PreY5+FT_PerYear*INT((BF107-FT_Y5)/12)+FT_AnnivDays+INT(MOD(BF107-FT_Y5,12)/FT_Int2))),IF(AQ107="PT",IF(BF107&lt;PT_First,0,1+INT((BF107-PT_First)/PT_Int)),0)),0)+IF(AND(AI107&gt;=3,AL107&lt;=EOMONTH(AsOfDate,-1)),IF(AR107="FT",IF(BE107&lt;FT_First,0,IF(BE107&lt;FT_Y5,1+INT((BE107-FT_First)/FT_Int1),FT_PreY5+FT_PerYear*INT((BE107-FT_Y5)/12)+FT_AnnivDays+INT(MOD(BE107-FT_Y5,12)/FT_Int2))),IF(AR107="PT",IF(BE107&lt;PT_First,0,1+INT((BE107-PT_First)/PT_Int)),0))-IF(AR107="FT",IF(BG107&lt;FT_First,0,IF(BG107&lt;FT_Y5,1+INT((BG107-FT_First)/FT_Int1),FT_PreY5+FT_PerYear*INT((BG107-FT_Y5)/12)+FT_AnnivDays+INT(MOD(BG107-FT_Y5,12)/FT_Int2))),IF(AR107="PT",IF(BG107&lt;PT_First,0,1+INT((BG107-PT_First)/PT_Int)),0)),0))</f>
        <v/>
      </c>
      <c r="BI107" s="14" t="str">
        <f aca="false">IF(AG107=0,"",IF(AS107="FT",IF(AT107&lt;FT_First,"",IF(AT107&lt;FT_Y5,FT_First+FT_Int1*INT((AT107-FT_First)/FT_Int1),FT_Y5+FT_Int2*INT((AT107-FT_Y5)/FT_Int2))),IF(AS107="PT",IF(AT107&lt;PT_First,"",PT_First+PT_Int*INT((AT107-PT_First)/PT_Int)),"")))</f>
        <v/>
      </c>
      <c r="BJ107" s="0" t="str">
        <f aca="false">IF(LEN($A107&amp;$B107)=0,"",$A107&amp;" "&amp;$B107)</f>
        <v/>
      </c>
    </row>
    <row r="108" customFormat="false" ht="15" hidden="false" customHeight="false" outlineLevel="0" collapsed="false">
      <c r="A108" s="10"/>
      <c r="B108" s="10"/>
      <c r="C108" s="10"/>
      <c r="D108" s="11"/>
      <c r="E108" s="12" t="str">
        <f aca="false">IF(OR(AG108=0,$D108=""),"",DATE(YEAR(AsOfDate)+IF(DATE(YEAR(AsOfDate),MONTH($D108),DAY($D108))&lt;=AsOfDate,1,0),MONTH($D108),DAY($D108)))</f>
        <v/>
      </c>
      <c r="F108" s="11"/>
      <c r="G108" s="11"/>
      <c r="H108" s="11"/>
      <c r="I108" s="11"/>
      <c r="J108" s="11"/>
      <c r="K108" s="12" t="str">
        <f aca="false">IF(AG108=0,"",DATE(YEAR(AsOfDate)+IF(DATE(YEAR(AsOfDate),MONTH(AH108),DAY(AH108))&lt;=AsOfDate,1,0),MONTH(AH108),DAY(AH108)))</f>
        <v/>
      </c>
      <c r="L108" s="13" t="str">
        <f aca="false">IF(AG108=0,"",ROUND((AsOfDate-AH108)/365.25,1))</f>
        <v/>
      </c>
      <c r="M108" s="14" t="str">
        <f aca="false">IF(AG108=0,"",IF(AsOfDate&lt;AH108,"-",DATEDIF(AH108,AsOfDate,"y")&amp;"y "&amp;DATEDIF(AH108,AsOfDate,"ym")&amp;"m "&amp;DATEDIF(AH108,AsOfDate,"md")&amp;"d"))</f>
        <v/>
      </c>
      <c r="N108" s="15" t="str">
        <f aca="false">IF(AG108=0,"",O108*HoursPerDay)</f>
        <v/>
      </c>
      <c r="O108" s="15" t="str">
        <f aca="false">IF(AG108=0,"",AZ108)</f>
        <v/>
      </c>
      <c r="P108" s="16"/>
      <c r="Q108" s="14" t="str">
        <f aca="false">IF(AG108=0,"",IF(AI108&lt;2,"",AM108&amp;" to "&amp;AN108&amp;" on "&amp;TEXT(AK108,"dd/mm/yyyy")&amp;IF(AK108&gt;AsOfDate," (future)",IF(AP108=AQ108,"",IF(AQ108="None"," - STOPPED accruing",IF(AP108="None"," - commencement for Bonus Leave"," - pathway changed"))))&amp;IF(AI108&lt;3,"","; "&amp;AN108&amp;" to "&amp;AO108&amp;" on "&amp;TEXT(AL108,"dd/mm/yyyy")&amp;IF(AL108&gt;AsOfDate," (future)",IF(AQ108=AR108,"",IF(AR108="None"," - STOPPED accruing",IF(AQ108="None"," - commencement for Bonus Leave"," - pathway changed")))))))</f>
        <v/>
      </c>
      <c r="R108" s="14" t="str">
        <f aca="false">IF(AG108=0,"",IF(AS108="None",IF(O108&gt;0,"No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2" t="str">
        <f aca="false">IF(AG108=0,"",IF(AS108="None","",EDATE(AH108,BB108)))</f>
        <v/>
      </c>
      <c r="T108" s="15" t="str">
        <f aca="false">IF(AG108=0,"",IF(NOT(LH_Ready),"",IF(AH108&gt;PFYDate,0,IF(LH_ColPeriod=0,W108-U108+V108,SUMIFS(INDEX(LH_Data,0,LH_ColAcc),INDEX(LH_Data,0,LH_ColFirst),$A108,INDEX(LH_Data,0,LH_ColSur),$B108,INDEX(LH_Data,0,LH_ColCat),BonusCat,INDEX(LH_Data,0,LH_ColPeriod),LH_OpenLabel)*UnitFactor))))</f>
        <v/>
      </c>
      <c r="U108" s="15" t="str">
        <f aca="false">IF(AG108=0,"",IF(NOT(LH_Ready),"",SUMIFS(INDEX(LH_Data,0,LH_ColAcc),INDEX(LH_Data,0,LH_ColFirst),$A108,INDEX(LH_Data,0,LH_ColSur),$B108,INDEX(LH_Data,0,LH_ColCat),BonusCat,INDEX(LH_Data,0,LH_ColStart),"&gt;="&amp;AH108)*UnitFactor))</f>
        <v/>
      </c>
      <c r="V108" s="15" t="str">
        <f aca="false">IF(AG108=0,"",IF(NOT(LH_Ready),"",SUMIFS(INDEX(LH_Data,0,LH_ColTaken),INDEX(LH_Data,0,LH_ColFirst),$A108,INDEX(LH_Data,0,LH_ColSur),$B108,INDEX(LH_Data,0,LH_ColCat),BonusCat,INDEX(LH_Data,0,LH_ColStart),"&gt;="&amp;AH108)*UnitFactor))</f>
        <v/>
      </c>
      <c r="W108" s="15" t="str">
        <f aca="false">IF(AG108=0,"",IF(NOT(LH_Ready),"",IF(BD108=0,0,INDEX(INDEX(LH_Data,0,LH_ColClose),BD108-1)*UnitFactor)))</f>
        <v/>
      </c>
      <c r="X108" s="15" t="str">
        <f aca="false">IF(AG108=0,"",(AZ108-BA108)*HoursPerDay)</f>
        <v/>
      </c>
      <c r="Y108" s="15" t="str">
        <f aca="false">IF(AG108=0,"",IF(NOT(LH_Ready),"",IF(BC108=0,N108,IF(PFYDate&lt;$F108,N108-N(T108)-N(U108),X108-N(U108)))))</f>
        <v/>
      </c>
      <c r="Z108" s="14" t="str">
        <f aca="false">IF(OR(AG108=0,Y108=""),"",IF(Y108&gt;0,"Yes","No"))</f>
        <v/>
      </c>
      <c r="AA108" s="14" t="str">
        <f aca="false">IF(AG108=0,IF(LEN($A108&amp;$B108)=0,"","FIX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month")&amp;IF(BC108=0,";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EH)",""),IF(AS108="None",R108,"Not yet - first day on "&amp;TEXT(S108,"dd/mm/yyyy")))))))))</f>
        <v/>
      </c>
      <c r="AB108" s="15" t="str">
        <f aca="false">IF(OR(AG108=0,T108=""),"",BA108*HoursPerDay-T108)</f>
        <v/>
      </c>
      <c r="AC108" s="14" t="str">
        <f aca="false">IF(AG108=0,"",BC108)</f>
        <v/>
      </c>
      <c r="AD108" s="14" t="str">
        <f aca="false">IF(AG108=0,"",TRIM(IF(OR(ISTEXT($F108),ISTEXT($H108),ISTEXT($I108),ISTEXT($G108),ISTEXT($J108),ISTEXT($D108)),"A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I108&gt;=1,IF(AI108&gt;=3,AO108,IF(AI108=2,AN108,AM108))&lt;&gt;IF($C108="","",IF(OR(ISNUMBER(SEARCH("full",$C108)),UPPER(TRIM($C108))="FT",UPPER(TRIM($C108))="FTE"),"Full-Time",IF(OR(ISNUMBER(SEARCH("part",$C108)),UPPER(TRIM($C108))="PT",UPPER(TRIM($C108))="PTE"),"Part-Time",IF(OR(ISNUMBER(SEARCH("cas",$C108)),UPPER(TRIM($C108))="CAS"),"Casual","Unknown"))))),"EmploymentType does not match latest start date ("&amp;IF(AI108&gt;=3,AO108,IF(AI108=2,AN108,AM108))&amp;"). ","")&amp;IF(AND(AI108&gt;=1,AJ108&lt;&gt;$F108),"Earliest type date should equal StartDate. ","")&amp;IF(AND(AI108&gt;=2,AJ108=AK108),"Two types start on the same date. ","")&amp;IF(AND(OR(ISNUMBER(SEARCH("part",$C108)),UPPER(TRIM($C108))="PT",UPPER(TRIM($C108))="PTE"),$P108=""),"Part-time: enter PT Hrs/Week (blank = 24+). ","")))</f>
        <v/>
      </c>
      <c r="AE108" s="15" t="str">
        <f aca="false">IF(AG108=0,"",O108-BH108)</f>
        <v/>
      </c>
      <c r="AF108" s="12" t="str">
        <f aca="false">IF(OR(AG108=0,AE108="",N(AE108)=0,BI108=""),"",EDATE(AH108,BI108))</f>
        <v/>
      </c>
      <c r="AG108" s="14" t="n">
        <f aca="false">IF(OR(LEN($A108&amp;$B108)=0,$F108=""),0,1)</f>
        <v>0</v>
      </c>
      <c r="AH108" s="12" t="str">
        <f aca="false">IF(AG108=0,"",IF($J108&lt;&gt;"",$J108,IF(OR(CasualCounts="Yes",COUNT($G108:$I108)=0,COUNT($H108:$I108)=0),$F108,MIN($H108:$I108))))</f>
        <v/>
      </c>
      <c r="AI108" s="14" t="str">
        <f aca="false">IF(AG108=0,"",COUNT($G108:$I108))</f>
        <v/>
      </c>
      <c r="AJ108" s="12" t="str">
        <f aca="false">IF(AG108=0,"",IFERROR(SMALL($G108:$I108,1),""))</f>
        <v/>
      </c>
      <c r="AK108" s="12" t="str">
        <f aca="false">IF(AG108=0,"",IFERROR(SMALL($G108:$I108,2),""))</f>
        <v/>
      </c>
      <c r="AL108" s="12" t="str">
        <f aca="false">IF(AG108=0,"",IFERROR(SMALL($G108:$I108,3),""))</f>
        <v/>
      </c>
      <c r="AM108" s="14" t="str">
        <f aca="false">IF(AG108=0,"",IF(AJ108="","",IF(AJ108=$H108,"Part-Time",IF(AJ108=$I108,"Full-Time","Casual"))))</f>
        <v/>
      </c>
      <c r="AN108" s="14" t="str">
        <f aca="false">IF(AG108=0,"",IF(AK108="","",IF(AK108=$H108,"Part-Time",IF(AK108=$I108,"Full-Time","Casual"))))</f>
        <v/>
      </c>
      <c r="AO108" s="14" t="str">
        <f aca="false">IF(AG108=0,"",IF(AL108="","",IF(AL108=$H108,"Part-Time",IF(AL108=$I108,"Full-Time","Casual"))))</f>
        <v/>
      </c>
      <c r="AP108" s="14" t="str">
        <f aca="false">IF(AG108=0,"",IF(AI108=0,IF(OR(ISNUMBER(SEARCH("full",$C108)),UPPER(TRIM($C108))="FT",UPPER(TRIM($C108))="FTE"),"FT",IF(AND(OR(ISNUMBER(SEARCH("part",$C108)),UPPER(TRIM($C108))="PT",UPPER(TRIM($C108))="PTE"),OR($P108="",N($P108)&gt;=PT_MinHours)),"PT","None")),IF(OR(ISNUMBER(SEARCH("full",AM108)),UPPER(TRIM(AM108))="FT",UPPER(TRIM(AM108))="FTE"),"FT",IF(AND(OR(ISNUMBER(SEARCH("part",AM108)),UPPER(TRIM(AM108))="PT",UPPER(TRIM(AM108))="PTE"),OR($P108="",N($P108)&gt;=PT_MinHours)),"PT","None"))))</f>
        <v/>
      </c>
      <c r="AQ108" s="14" t="str">
        <f aca="false">IF(AG108=0,"",IF(AI108&lt;2,"",IF(OR(ISNUMBER(SEARCH("full",AN108)),UPPER(TRIM(AN108))="FT",UPPER(TRIM(AN108))="FTE"),"FT",IF(AND(OR(ISNUMBER(SEARCH("part",AN108)),UPPER(TRIM(AN108))="PT",UPPER(TRIM(AN108))="PTE"),OR($P108="",N($P108)&gt;=PT_MinHours)),"PT","None"))))</f>
        <v/>
      </c>
      <c r="AR108" s="14" t="str">
        <f aca="false">IF(AG108=0,"",IF(AI108&lt;3,"",IF(OR(ISNUMBER(SEARCH("full",AO108)),UPPER(TRIM(AO108))="FT",UPPER(TRIM(AO108))="FTE"),"FT",IF(AND(OR(ISNUMBER(SEARCH("part",AO108)),UPPER(TRIM(AO108))="PT",UPPER(TRIM(AO108))="PTE"),OR($P108="",N($P108)&gt;=PT_MinHours)),"PT","None"))))</f>
        <v/>
      </c>
      <c r="AS108" s="14" t="str">
        <f aca="false">IF(AG108=0,"",IF(AND(AI108&gt;=3,AL108&lt;=AsOfDate),AR108,IF(AND(AI108&gt;=2,AK108&lt;=AsOfDate),AQ108,AP108)))</f>
        <v/>
      </c>
      <c r="AT108" s="14" t="str">
        <f aca="false">IF(AG108=0,"",IF(AsOfDate&lt;AH108,-1,12*(YEAR(AsOfDate)-YEAR(AH108))+MONTH(AsOfDate)-MONTH(AH108)-IF(DAY(AsOfDate)&lt;MIN(DAY(AH108),DAY(EOMONTH(AsOfDate,0))),1,0)))</f>
        <v/>
      </c>
      <c r="AU108" s="14" t="str">
        <f aca="false">IF(AG108=0,"",IF(OR(AI108&lt;2,AK108&gt;AsOfDate),AT108,IF((AK108-1)&lt;AH108,-1,12*(YEAR((AK108-1))-YEAR(AH108))+MONTH((AK108-1))-MONTH(AH108)-IF(DAY((AK108-1))&lt;MIN(DAY(AH108),DAY(EOMONTH((AK108-1),0))),1,0))))</f>
        <v/>
      </c>
      <c r="AV108" s="14" t="str">
        <f aca="false">IF(AG108=0,"",IF(OR(AI108&lt;3,AL108&gt;AsOfDate),AT108,IF((AL108-1)&lt;AH108,-1,12*(YEAR((AL108-1))-YEAR(AH108))+MONTH((AL108-1))-MONTH(AH108)-IF(DAY((AL108-1))&lt;MIN(DAY(AH108),DAY(EOMONTH((AL108-1),0))),1,0))))</f>
        <v/>
      </c>
      <c r="AW108" s="14" t="str">
        <f aca="false">IF(AG108=0,"",IF(PFYDate&lt;AH108,-1,12*(YEAR(PFYDate)-YEAR(AH108))+MONTH(PFYDate)-MONTH(AH108)-IF(DAY(PFYDate)&lt;MIN(DAY(AH108),DAY(EOMONTH(PFYDate,0))),1,0)))</f>
        <v/>
      </c>
      <c r="AX108" s="14" t="str">
        <f aca="false">IF(AG108=0,"",IF(OR(AI108&lt;2,AK108&gt;PFYDate),AW108,IF((AK108-1)&lt;AH108,-1,12*(YEAR((AK108-1))-YEAR(AH108))+MONTH((AK108-1))-MONTH(AH108)-IF(DAY((AK108-1))&lt;MIN(DAY(AH108),DAY(EOMONTH((AK108-1),0))),1,0))))</f>
        <v/>
      </c>
      <c r="AY108" s="14" t="str">
        <f aca="false">IF(AG108=0,"",IF(OR(AI108&lt;3,AL108&gt;PFYDate),AW108,IF((AL108-1)&lt;AH108,-1,12*(YEAR((AL108-1))-YEAR(AH108))+MONTH((AL108-1))-MONTH(AH108)-IF(DAY((AL108-1))&lt;MIN(DAY(AH108),DAY(EOMONTH((AL108-1),0))),1,0))))</f>
        <v/>
      </c>
      <c r="AZ108" s="14" t="str">
        <f aca="false">IF(AG108=0,"",IF(AP108="FT",IF(AU108&lt;FT_First,0,IF(AU108&lt;FT_Y5,1+INT((AU108-FT_First)/FT_Int1),FT_PreY5+FT_PerYear*INT((AU108-FT_Y5)/12)+FT_AnnivDays+INT(MOD(AU108-FT_Y5,12)/FT_Int2))),IF(AP108="PT",IF(AU108&lt;PT_First,0,1+INT((AU108-PT_First)/PT_Int)),0))+IF(AND(AI108&gt;=2,AK108&lt;=AsOfDate),IF(AQ108="FT",IF(AV108&lt;FT_First,0,IF(AV108&lt;FT_Y5,1+INT((AV108-FT_First)/FT_Int1),FT_PreY5+FT_PerYear*INT((AV108-FT_Y5)/12)+FT_AnnivDays+INT(MOD(AV108-FT_Y5,12)/FT_Int2))),IF(AQ108="PT",IF(AV108&lt;PT_First,0,1+INT((AV108-PT_First)/PT_Int)),0))-IF(AQ108="FT",IF(AU108&lt;FT_First,0,IF(AU108&lt;FT_Y5,1+INT((AU108-FT_First)/FT_Int1),FT_PreY5+FT_PerYear*INT((AU108-FT_Y5)/12)+FT_AnnivDays+INT(MOD(AU108-FT_Y5,12)/FT_Int2))),IF(AQ108="PT",IF(AU108&lt;PT_First,0,1+INT((AU108-PT_First)/PT_Int)),0)),0)+IF(AND(AI108&gt;=3,AL108&lt;=AsOfDate),IF(AR108="FT",IF(AT108&lt;FT_First,0,IF(AT108&lt;FT_Y5,1+INT((AT108-FT_First)/FT_Int1),FT_PreY5+FT_PerYear*INT((AT108-FT_Y5)/12)+FT_AnnivDays+INT(MOD(AT108-FT_Y5,12)/FT_Int2))),IF(AR108="PT",IF(AT108&lt;PT_First,0,1+INT((AT108-PT_First)/PT_Int)),0))-IF(AR108="FT",IF(AV108&lt;FT_First,0,IF(AV108&lt;FT_Y5,1+INT((AV108-FT_First)/FT_Int1),FT_PreY5+FT_PerYear*INT((AV108-FT_Y5)/12)+FT_AnnivDays+INT(MOD(AV108-FT_Y5,12)/FT_Int2))),IF(AR108="PT",IF(AV108&lt;PT_First,0,1+INT((AV108-PT_First)/PT_Int)),0)),0))</f>
        <v/>
      </c>
      <c r="BA108" s="14" t="str">
        <f aca="false">IF(AG108=0,"",IF(AP108="FT",IF(AX108&lt;FT_First,0,IF(AX108&lt;FT_Y5,1+INT((AX108-FT_First)/FT_Int1),FT_PreY5+FT_PerYear*INT((AX108-FT_Y5)/12)+FT_AnnivDays+INT(MOD(AX108-FT_Y5,12)/FT_Int2))),IF(AP108="PT",IF(AX108&lt;PT_First,0,1+INT((AX108-PT_First)/PT_Int)),0))+IF(AND(AI108&gt;=2,AK108&lt;=PFYDate),IF(AQ108="FT",IF(AY108&lt;FT_First,0,IF(AY108&lt;FT_Y5,1+INT((AY108-FT_First)/FT_Int1),FT_PreY5+FT_PerYear*INT((AY108-FT_Y5)/12)+FT_AnnivDays+INT(MOD(AY108-FT_Y5,12)/FT_Int2))),IF(AQ108="PT",IF(AY108&lt;PT_First,0,1+INT((AY108-PT_First)/PT_Int)),0))-IF(AQ108="FT",IF(AX108&lt;FT_First,0,IF(AX108&lt;FT_Y5,1+INT((AX108-FT_First)/FT_Int1),FT_PreY5+FT_PerYear*INT((AX108-FT_Y5)/12)+FT_AnnivDays+INT(MOD(AX108-FT_Y5,12)/FT_Int2))),IF(AQ108="PT",IF(AX108&lt;PT_First,0,1+INT((AX108-PT_First)/PT_Int)),0)),0)+IF(AND(AI108&gt;=3,AL108&lt;=PFYDate),IF(AR108="FT",IF(AW108&lt;FT_First,0,IF(AW108&lt;FT_Y5,1+INT((AW108-FT_First)/FT_Int1),FT_PreY5+FT_PerYear*INT((AW108-FT_Y5)/12)+FT_AnnivDays+INT(MOD(AW108-FT_Y5,12)/FT_Int2))),IF(AR108="PT",IF(AW108&lt;PT_First,0,1+INT((AW108-PT_First)/PT_Int)),0))-IF(AR108="FT",IF(AY108&lt;FT_First,0,IF(AY108&lt;FT_Y5,1+INT((AY108-FT_First)/FT_Int1),FT_PreY5+FT_PerYear*INT((AY108-FT_Y5)/12)+FT_AnnivDays+INT(MOD(AY108-FT_Y5,12)/FT_Int2))),IF(AR108="PT",IF(AY108&lt;PT_First,0,1+INT((AY108-PT_First)/PT_Int)),0)),0))</f>
        <v/>
      </c>
      <c r="BB108" s="14" t="str">
        <f aca="false">IF(AG108=0,"",IF(AS108="FT",IF(AT108&lt;FT_First,FT_First,IF(AT108&lt;FT_Y5,MIN(FT_Y5,FT_First+FT_Int1*(INT((AT108-FT_First)/FT_Int1)+1)),FT_Y5+12*INT((AT108-FT_Y5)/12)+FT_Int2*(INT(MOD(AT108-FT_Y5,12)/FT_Int2)+1))),IF(AS108="PT",IF(AT108&lt;PT_First,PT_First,PT_First+PT_Int*(INT((AT108-PT_First)/PT_Int)+1)),"")))</f>
        <v/>
      </c>
      <c r="BC108" s="14" t="str">
        <f aca="false">IF(AG108=0,"",IF(NOT(LH_Ready),0,COUNTIFS(INDEX(LH_Data,0,LH_ColFirst),$A108,INDEX(LH_Data,0,LH_ColSur),$B108,INDEX(LH_Data,0,LH_ColCat),BonusCat)))</f>
        <v/>
      </c>
      <c r="BD108" s="14" t="str">
        <f aca="false">IF(AG108=0,"",IF(OR(NOT(LH_Ready),BC108=0),0,SUMPRODUCT(MAX((INDEX(LH_Data,0,LH_ColFirst)=$A108)*(INDEX(LH_Data,0,LH_ColSur)=$B108)*(INDEX(LH_Data,0,LH_ColCat)=BonusCat)*ROW(LH_Data)))))</f>
        <v/>
      </c>
      <c r="BE108" s="14" t="str">
        <f aca="false">IF(AG108=0,"",IF(EOMONTH(AsOfDate,-1)&lt;AH108,-1,12*(YEAR(EOMONTH(AsOfDate,-1))-YEAR(AH108))+MONTH(EOMONTH(AsOfDate,-1))-MONTH(AH108)-IF(DAY(EOMONTH(AsOfDate,-1))&lt;MIN(DAY(AH108),DAY(EOMONTH(EOMONTH(AsOfDate,-1),0))),1,0)))</f>
        <v/>
      </c>
      <c r="BF108" s="14" t="str">
        <f aca="false">IF(AG108=0,"",IF(OR(AI108&lt;2,AK108&gt;EOMONTH(AsOfDate,-1)),BE108,IF((AK108-1)&lt;AH108,-1,12*(YEAR((AK108-1))-YEAR(AH108))+MONTH((AK108-1))-MONTH(AH108)-IF(DAY((AK108-1))&lt;MIN(DAY(AH108),DAY(EOMONTH((AK108-1),0))),1,0))))</f>
        <v/>
      </c>
      <c r="BG108" s="14" t="str">
        <f aca="false">IF(AG108=0,"",IF(OR(AI108&lt;3,AL108&gt;EOMONTH(AsOfDate,-1)),BE108,IF((AL108-1)&lt;AH108,-1,12*(YEAR((AL108-1))-YEAR(AH108))+MONTH((AL108-1))-MONTH(AH108)-IF(DAY((AL108-1))&lt;MIN(DAY(AH108),DAY(EOMONTH((AL108-1),0))),1,0))))</f>
        <v/>
      </c>
      <c r="BH108" s="14" t="str">
        <f aca="false">IF(AG108=0,"",IF(AP108="FT",IF(BF108&lt;FT_First,0,IF(BF108&lt;FT_Y5,1+INT((BF108-FT_First)/FT_Int1),FT_PreY5+FT_PerYear*INT((BF108-FT_Y5)/12)+FT_AnnivDays+INT(MOD(BF108-FT_Y5,12)/FT_Int2))),IF(AP108="PT",IF(BF108&lt;PT_First,0,1+INT((BF108-PT_First)/PT_Int)),0))+IF(AND(AI108&gt;=2,AK108&lt;=EOMONTH(AsOfDate,-1)),IF(AQ108="FT",IF(BG108&lt;FT_First,0,IF(BG108&lt;FT_Y5,1+INT((BG108-FT_First)/FT_Int1),FT_PreY5+FT_PerYear*INT((BG108-FT_Y5)/12)+FT_AnnivDays+INT(MOD(BG108-FT_Y5,12)/FT_Int2))),IF(AQ108="PT",IF(BG108&lt;PT_First,0,1+INT((BG108-PT_First)/PT_Int)),0))-IF(AQ108="FT",IF(BF108&lt;FT_First,0,IF(BF108&lt;FT_Y5,1+INT((BF108-FT_First)/FT_Int1),FT_PreY5+FT_PerYear*INT((BF108-FT_Y5)/12)+FT_AnnivDays+INT(MOD(BF108-FT_Y5,12)/FT_Int2))),IF(AQ108="PT",IF(BF108&lt;PT_First,0,1+INT((BF108-PT_First)/PT_Int)),0)),0)+IF(AND(AI108&gt;=3,AL108&lt;=EOMONTH(AsOfDate,-1)),IF(AR108="FT",IF(BE108&lt;FT_First,0,IF(BE108&lt;FT_Y5,1+INT((BE108-FT_First)/FT_Int1),FT_PreY5+FT_PerYear*INT((BE108-FT_Y5)/12)+FT_AnnivDays+INT(MOD(BE108-FT_Y5,12)/FT_Int2))),IF(AR108="PT",IF(BE108&lt;PT_First,0,1+INT((BE108-PT_First)/PT_Int)),0))-IF(AR108="FT",IF(BG108&lt;FT_First,0,IF(BG108&lt;FT_Y5,1+INT((BG108-FT_First)/FT_Int1),FT_PreY5+FT_PerYear*INT((BG108-FT_Y5)/12)+FT_AnnivDays+INT(MOD(BG108-FT_Y5,12)/FT_Int2))),IF(AR108="PT",IF(BG108&lt;PT_First,0,1+INT((BG108-PT_First)/PT_Int)),0)),0))</f>
        <v/>
      </c>
      <c r="BI108" s="14" t="str">
        <f aca="false">IF(AG108=0,"",IF(AS108="FT",IF(AT108&lt;FT_First,"",IF(AT108&lt;FT_Y5,FT_First+FT_Int1*INT((AT108-FT_First)/FT_Int1),FT_Y5+FT_Int2*INT((AT108-FT_Y5)/FT_Int2))),IF(AS108="PT",IF(AT108&lt;PT_First,"",PT_First+PT_Int*INT((AT108-PT_First)/PT_Int)),"")))</f>
        <v/>
      </c>
      <c r="BJ108" s="0" t="str">
        <f aca="false">IF(LEN($A108&amp;$B108)=0,"",$A108&amp;" "&amp;$B108)</f>
        <v/>
      </c>
    </row>
    <row r="109" customFormat="false" ht="15" hidden="false" customHeight="false" outlineLevel="0" collapsed="false">
      <c r="A109" s="10"/>
      <c r="B109" s="10"/>
      <c r="C109" s="10"/>
      <c r="D109" s="11"/>
      <c r="E109" s="12" t="str">
        <f aca="false">IF(OR(AG109=0,$D109=""),"",DATE(YEAR(AsOfDate)+IF(DATE(YEAR(AsOfDate),MONTH($D109),DAY($D109))&lt;=AsOfDate,1,0),MONTH($D109),DAY($D109)))</f>
        <v/>
      </c>
      <c r="F109" s="11"/>
      <c r="G109" s="11"/>
      <c r="H109" s="11"/>
      <c r="I109" s="11"/>
      <c r="J109" s="11"/>
      <c r="K109" s="12" t="str">
        <f aca="false">IF(AG109=0,"",DATE(YEAR(AsOfDate)+IF(DATE(YEAR(AsOfDate),MONTH(AH109),DAY(AH109))&lt;=AsOfDate,1,0),MONTH(AH109),DAY(AH109)))</f>
        <v/>
      </c>
      <c r="L109" s="13" t="str">
        <f aca="false">IF(AG109=0,"",ROUND((AsOfDate-AH109)/365.25,1))</f>
        <v/>
      </c>
      <c r="M109" s="14" t="str">
        <f aca="false">IF(AG109=0,"",IF(AsOfDate&lt;AH109,"-",DATEDIF(AH109,AsOfDate,"y")&amp;"y "&amp;DATEDIF(AH109,AsOfDate,"ym")&amp;"m "&amp;DATEDIF(AH109,AsOfDate,"md")&amp;"d"))</f>
        <v/>
      </c>
      <c r="N109" s="15" t="str">
        <f aca="false">IF(AG109=0,"",O109*HoursPerDay)</f>
        <v/>
      </c>
      <c r="O109" s="15" t="str">
        <f aca="false">IF(AG109=0,"",AZ109)</f>
        <v/>
      </c>
      <c r="P109" s="16"/>
      <c r="Q109" s="14" t="str">
        <f aca="false">IF(AG109=0,"",IF(AI109&lt;2,"",AM109&amp;" to "&amp;AN109&amp;" on "&amp;TEXT(AK109,"dd/mm/yyyy")&amp;IF(AK109&gt;AsOfDate," (future)",IF(AP109=AQ109,"",IF(AQ109="None"," - STOPPED accruing",IF(AP109="None"," - commencement for Bonus Leave"," - pathway changed"))))&amp;IF(AI109&lt;3,"","; "&amp;AN109&amp;" to "&amp;AO109&amp;" on "&amp;TEXT(AL109,"dd/mm/yyyy")&amp;IF(AL109&gt;AsOfDate," (future)",IF(AQ109=AR109,"",IF(AR109="None"," - STOPPED accruing",IF(AQ109="None"," - commencement for Bonus Leave"," - pathway changed")))))))</f>
        <v/>
      </c>
      <c r="R109" s="14" t="str">
        <f aca="false">IF(AG109=0,"",IF(AS109="None",IF(O109&gt;0,"No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2" t="str">
        <f aca="false">IF(AG109=0,"",IF(AS109="None","",EDATE(AH109,BB109)))</f>
        <v/>
      </c>
      <c r="T109" s="15" t="str">
        <f aca="false">IF(AG109=0,"",IF(NOT(LH_Ready),"",IF(AH109&gt;PFYDate,0,IF(LH_ColPeriod=0,W109-U109+V109,SUMIFS(INDEX(LH_Data,0,LH_ColAcc),INDEX(LH_Data,0,LH_ColFirst),$A109,INDEX(LH_Data,0,LH_ColSur),$B109,INDEX(LH_Data,0,LH_ColCat),BonusCat,INDEX(LH_Data,0,LH_ColPeriod),LH_OpenLabel)*UnitFactor))))</f>
        <v/>
      </c>
      <c r="U109" s="15" t="str">
        <f aca="false">IF(AG109=0,"",IF(NOT(LH_Ready),"",SUMIFS(INDEX(LH_Data,0,LH_ColAcc),INDEX(LH_Data,0,LH_ColFirst),$A109,INDEX(LH_Data,0,LH_ColSur),$B109,INDEX(LH_Data,0,LH_ColCat),BonusCat,INDEX(LH_Data,0,LH_ColStart),"&gt;="&amp;AH109)*UnitFactor))</f>
        <v/>
      </c>
      <c r="V109" s="15" t="str">
        <f aca="false">IF(AG109=0,"",IF(NOT(LH_Ready),"",SUMIFS(INDEX(LH_Data,0,LH_ColTaken),INDEX(LH_Data,0,LH_ColFirst),$A109,INDEX(LH_Data,0,LH_ColSur),$B109,INDEX(LH_Data,0,LH_ColCat),BonusCat,INDEX(LH_Data,0,LH_ColStart),"&gt;="&amp;AH109)*UnitFactor))</f>
        <v/>
      </c>
      <c r="W109" s="15" t="str">
        <f aca="false">IF(AG109=0,"",IF(NOT(LH_Ready),"",IF(BD109=0,0,INDEX(INDEX(LH_Data,0,LH_ColClose),BD109-1)*UnitFactor)))</f>
        <v/>
      </c>
      <c r="X109" s="15" t="str">
        <f aca="false">IF(AG109=0,"",(AZ109-BA109)*HoursPerDay)</f>
        <v/>
      </c>
      <c r="Y109" s="15" t="str">
        <f aca="false">IF(AG109=0,"",IF(NOT(LH_Ready),"",IF(BC109=0,N109,IF(PFYDate&lt;$F109,N109-N(T109)-N(U109),X109-N(U109)))))</f>
        <v/>
      </c>
      <c r="Z109" s="14" t="str">
        <f aca="false">IF(OR(AG109=0,Y109=""),"",IF(Y109&gt;0,"Yes","No"))</f>
        <v/>
      </c>
      <c r="AA109" s="14" t="str">
        <f aca="false">IF(AG109=0,IF(LEN($A109&amp;$B109)=0,"","FIX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month")&amp;IF(BC109=0,";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EH)",""),IF(AS109="None",R109,"Not yet - first day on "&amp;TEXT(S109,"dd/mm/yyyy")))))))))</f>
        <v/>
      </c>
      <c r="AB109" s="15" t="str">
        <f aca="false">IF(OR(AG109=0,T109=""),"",BA109*HoursPerDay-T109)</f>
        <v/>
      </c>
      <c r="AC109" s="14" t="str">
        <f aca="false">IF(AG109=0,"",BC109)</f>
        <v/>
      </c>
      <c r="AD109" s="14" t="str">
        <f aca="false">IF(AG109=0,"",TRIM(IF(OR(ISTEXT($F109),ISTEXT($H109),ISTEXT($I109),ISTEXT($G109),ISTEXT($J109),ISTEXT($D109)),"A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I109&gt;=1,IF(AI109&gt;=3,AO109,IF(AI109=2,AN109,AM109))&lt;&gt;IF($C109="","",IF(OR(ISNUMBER(SEARCH("full",$C109)),UPPER(TRIM($C109))="FT",UPPER(TRIM($C109))="FTE"),"Full-Time",IF(OR(ISNUMBER(SEARCH("part",$C109)),UPPER(TRIM($C109))="PT",UPPER(TRIM($C109))="PTE"),"Part-Time",IF(OR(ISNUMBER(SEARCH("cas",$C109)),UPPER(TRIM($C109))="CAS"),"Casual","Unknown"))))),"EmploymentType does not match latest start date ("&amp;IF(AI109&gt;=3,AO109,IF(AI109=2,AN109,AM109))&amp;"). ","")&amp;IF(AND(AI109&gt;=1,AJ109&lt;&gt;$F109),"Earliest type date should equal StartDate. ","")&amp;IF(AND(AI109&gt;=2,AJ109=AK109),"Two types start on the same date. ","")&amp;IF(AND(OR(ISNUMBER(SEARCH("part",$C109)),UPPER(TRIM($C109))="PT",UPPER(TRIM($C109))="PTE"),$P109=""),"Part-time: enter PT Hrs/Week (blank = 24+). ","")))</f>
        <v/>
      </c>
      <c r="AE109" s="15" t="str">
        <f aca="false">IF(AG109=0,"",O109-BH109)</f>
        <v/>
      </c>
      <c r="AF109" s="12" t="str">
        <f aca="false">IF(OR(AG109=0,AE109="",N(AE109)=0,BI109=""),"",EDATE(AH109,BI109))</f>
        <v/>
      </c>
      <c r="AG109" s="14" t="n">
        <f aca="false">IF(OR(LEN($A109&amp;$B109)=0,$F109=""),0,1)</f>
        <v>0</v>
      </c>
      <c r="AH109" s="12" t="str">
        <f aca="false">IF(AG109=0,"",IF($J109&lt;&gt;"",$J109,IF(OR(CasualCounts="Yes",COUNT($G109:$I109)=0,COUNT($H109:$I109)=0),$F109,MIN($H109:$I109))))</f>
        <v/>
      </c>
      <c r="AI109" s="14" t="str">
        <f aca="false">IF(AG109=0,"",COUNT($G109:$I109))</f>
        <v/>
      </c>
      <c r="AJ109" s="12" t="str">
        <f aca="false">IF(AG109=0,"",IFERROR(SMALL($G109:$I109,1),""))</f>
        <v/>
      </c>
      <c r="AK109" s="12" t="str">
        <f aca="false">IF(AG109=0,"",IFERROR(SMALL($G109:$I109,2),""))</f>
        <v/>
      </c>
      <c r="AL109" s="12" t="str">
        <f aca="false">IF(AG109=0,"",IFERROR(SMALL($G109:$I109,3),""))</f>
        <v/>
      </c>
      <c r="AM109" s="14" t="str">
        <f aca="false">IF(AG109=0,"",IF(AJ109="","",IF(AJ109=$H109,"Part-Time",IF(AJ109=$I109,"Full-Time","Casual"))))</f>
        <v/>
      </c>
      <c r="AN109" s="14" t="str">
        <f aca="false">IF(AG109=0,"",IF(AK109="","",IF(AK109=$H109,"Part-Time",IF(AK109=$I109,"Full-Time","Casual"))))</f>
        <v/>
      </c>
      <c r="AO109" s="14" t="str">
        <f aca="false">IF(AG109=0,"",IF(AL109="","",IF(AL109=$H109,"Part-Time",IF(AL109=$I109,"Full-Time","Casual"))))</f>
        <v/>
      </c>
      <c r="AP109" s="14" t="str">
        <f aca="false">IF(AG109=0,"",IF(AI109=0,IF(OR(ISNUMBER(SEARCH("full",$C109)),UPPER(TRIM($C109))="FT",UPPER(TRIM($C109))="FTE"),"FT",IF(AND(OR(ISNUMBER(SEARCH("part",$C109)),UPPER(TRIM($C109))="PT",UPPER(TRIM($C109))="PTE"),OR($P109="",N($P109)&gt;=PT_MinHours)),"PT","None")),IF(OR(ISNUMBER(SEARCH("full",AM109)),UPPER(TRIM(AM109))="FT",UPPER(TRIM(AM109))="FTE"),"FT",IF(AND(OR(ISNUMBER(SEARCH("part",AM109)),UPPER(TRIM(AM109))="PT",UPPER(TRIM(AM109))="PTE"),OR($P109="",N($P109)&gt;=PT_MinHours)),"PT","None"))))</f>
        <v/>
      </c>
      <c r="AQ109" s="14" t="str">
        <f aca="false">IF(AG109=0,"",IF(AI109&lt;2,"",IF(OR(ISNUMBER(SEARCH("full",AN109)),UPPER(TRIM(AN109))="FT",UPPER(TRIM(AN109))="FTE"),"FT",IF(AND(OR(ISNUMBER(SEARCH("part",AN109)),UPPER(TRIM(AN109))="PT",UPPER(TRIM(AN109))="PTE"),OR($P109="",N($P109)&gt;=PT_MinHours)),"PT","None"))))</f>
        <v/>
      </c>
      <c r="AR109" s="14" t="str">
        <f aca="false">IF(AG109=0,"",IF(AI109&lt;3,"",IF(OR(ISNUMBER(SEARCH("full",AO109)),UPPER(TRIM(AO109))="FT",UPPER(TRIM(AO109))="FTE"),"FT",IF(AND(OR(ISNUMBER(SEARCH("part",AO109)),UPPER(TRIM(AO109))="PT",UPPER(TRIM(AO109))="PTE"),OR($P109="",N($P109)&gt;=PT_MinHours)),"PT","None"))))</f>
        <v/>
      </c>
      <c r="AS109" s="14" t="str">
        <f aca="false">IF(AG109=0,"",IF(AND(AI109&gt;=3,AL109&lt;=AsOfDate),AR109,IF(AND(AI109&gt;=2,AK109&lt;=AsOfDate),AQ109,AP109)))</f>
        <v/>
      </c>
      <c r="AT109" s="14" t="str">
        <f aca="false">IF(AG109=0,"",IF(AsOfDate&lt;AH109,-1,12*(YEAR(AsOfDate)-YEAR(AH109))+MONTH(AsOfDate)-MONTH(AH109)-IF(DAY(AsOfDate)&lt;MIN(DAY(AH109),DAY(EOMONTH(AsOfDate,0))),1,0)))</f>
        <v/>
      </c>
      <c r="AU109" s="14" t="str">
        <f aca="false">IF(AG109=0,"",IF(OR(AI109&lt;2,AK109&gt;AsOfDate),AT109,IF((AK109-1)&lt;AH109,-1,12*(YEAR((AK109-1))-YEAR(AH109))+MONTH((AK109-1))-MONTH(AH109)-IF(DAY((AK109-1))&lt;MIN(DAY(AH109),DAY(EOMONTH((AK109-1),0))),1,0))))</f>
        <v/>
      </c>
      <c r="AV109" s="14" t="str">
        <f aca="false">IF(AG109=0,"",IF(OR(AI109&lt;3,AL109&gt;AsOfDate),AT109,IF((AL109-1)&lt;AH109,-1,12*(YEAR((AL109-1))-YEAR(AH109))+MONTH((AL109-1))-MONTH(AH109)-IF(DAY((AL109-1))&lt;MIN(DAY(AH109),DAY(EOMONTH((AL109-1),0))),1,0))))</f>
        <v/>
      </c>
      <c r="AW109" s="14" t="str">
        <f aca="false">IF(AG109=0,"",IF(PFYDate&lt;AH109,-1,12*(YEAR(PFYDate)-YEAR(AH109))+MONTH(PFYDate)-MONTH(AH109)-IF(DAY(PFYDate)&lt;MIN(DAY(AH109),DAY(EOMONTH(PFYDate,0))),1,0)))</f>
        <v/>
      </c>
      <c r="AX109" s="14" t="str">
        <f aca="false">IF(AG109=0,"",IF(OR(AI109&lt;2,AK109&gt;PFYDate),AW109,IF((AK109-1)&lt;AH109,-1,12*(YEAR((AK109-1))-YEAR(AH109))+MONTH((AK109-1))-MONTH(AH109)-IF(DAY((AK109-1))&lt;MIN(DAY(AH109),DAY(EOMONTH((AK109-1),0))),1,0))))</f>
        <v/>
      </c>
      <c r="AY109" s="14" t="str">
        <f aca="false">IF(AG109=0,"",IF(OR(AI109&lt;3,AL109&gt;PFYDate),AW109,IF((AL109-1)&lt;AH109,-1,12*(YEAR((AL109-1))-YEAR(AH109))+MONTH((AL109-1))-MONTH(AH109)-IF(DAY((AL109-1))&lt;MIN(DAY(AH109),DAY(EOMONTH((AL109-1),0))),1,0))))</f>
        <v/>
      </c>
      <c r="AZ109" s="14" t="str">
        <f aca="false">IF(AG109=0,"",IF(AP109="FT",IF(AU109&lt;FT_First,0,IF(AU109&lt;FT_Y5,1+INT((AU109-FT_First)/FT_Int1),FT_PreY5+FT_PerYear*INT((AU109-FT_Y5)/12)+FT_AnnivDays+INT(MOD(AU109-FT_Y5,12)/FT_Int2))),IF(AP109="PT",IF(AU109&lt;PT_First,0,1+INT((AU109-PT_First)/PT_Int)),0))+IF(AND(AI109&gt;=2,AK109&lt;=AsOfDate),IF(AQ109="FT",IF(AV109&lt;FT_First,0,IF(AV109&lt;FT_Y5,1+INT((AV109-FT_First)/FT_Int1),FT_PreY5+FT_PerYear*INT((AV109-FT_Y5)/12)+FT_AnnivDays+INT(MOD(AV109-FT_Y5,12)/FT_Int2))),IF(AQ109="PT",IF(AV109&lt;PT_First,0,1+INT((AV109-PT_First)/PT_Int)),0))-IF(AQ109="FT",IF(AU109&lt;FT_First,0,IF(AU109&lt;FT_Y5,1+INT((AU109-FT_First)/FT_Int1),FT_PreY5+FT_PerYear*INT((AU109-FT_Y5)/12)+FT_AnnivDays+INT(MOD(AU109-FT_Y5,12)/FT_Int2))),IF(AQ109="PT",IF(AU109&lt;PT_First,0,1+INT((AU109-PT_First)/PT_Int)),0)),0)+IF(AND(AI109&gt;=3,AL109&lt;=AsOfDate),IF(AR109="FT",IF(AT109&lt;FT_First,0,IF(AT109&lt;FT_Y5,1+INT((AT109-FT_First)/FT_Int1),FT_PreY5+FT_PerYear*INT((AT109-FT_Y5)/12)+FT_AnnivDays+INT(MOD(AT109-FT_Y5,12)/FT_Int2))),IF(AR109="PT",IF(AT109&lt;PT_First,0,1+INT((AT109-PT_First)/PT_Int)),0))-IF(AR109="FT",IF(AV109&lt;FT_First,0,IF(AV109&lt;FT_Y5,1+INT((AV109-FT_First)/FT_Int1),FT_PreY5+FT_PerYear*INT((AV109-FT_Y5)/12)+FT_AnnivDays+INT(MOD(AV109-FT_Y5,12)/FT_Int2))),IF(AR109="PT",IF(AV109&lt;PT_First,0,1+INT((AV109-PT_First)/PT_Int)),0)),0))</f>
        <v/>
      </c>
      <c r="BA109" s="14" t="str">
        <f aca="false">IF(AG109=0,"",IF(AP109="FT",IF(AX109&lt;FT_First,0,IF(AX109&lt;FT_Y5,1+INT((AX109-FT_First)/FT_Int1),FT_PreY5+FT_PerYear*INT((AX109-FT_Y5)/12)+FT_AnnivDays+INT(MOD(AX109-FT_Y5,12)/FT_Int2))),IF(AP109="PT",IF(AX109&lt;PT_First,0,1+INT((AX109-PT_First)/PT_Int)),0))+IF(AND(AI109&gt;=2,AK109&lt;=PFYDate),IF(AQ109="FT",IF(AY109&lt;FT_First,0,IF(AY109&lt;FT_Y5,1+INT((AY109-FT_First)/FT_Int1),FT_PreY5+FT_PerYear*INT((AY109-FT_Y5)/12)+FT_AnnivDays+INT(MOD(AY109-FT_Y5,12)/FT_Int2))),IF(AQ109="PT",IF(AY109&lt;PT_First,0,1+INT((AY109-PT_First)/PT_Int)),0))-IF(AQ109="FT",IF(AX109&lt;FT_First,0,IF(AX109&lt;FT_Y5,1+INT((AX109-FT_First)/FT_Int1),FT_PreY5+FT_PerYear*INT((AX109-FT_Y5)/12)+FT_AnnivDays+INT(MOD(AX109-FT_Y5,12)/FT_Int2))),IF(AQ109="PT",IF(AX109&lt;PT_First,0,1+INT((AX109-PT_First)/PT_Int)),0)),0)+IF(AND(AI109&gt;=3,AL109&lt;=PFYDate),IF(AR109="FT",IF(AW109&lt;FT_First,0,IF(AW109&lt;FT_Y5,1+INT((AW109-FT_First)/FT_Int1),FT_PreY5+FT_PerYear*INT((AW109-FT_Y5)/12)+FT_AnnivDays+INT(MOD(AW109-FT_Y5,12)/FT_Int2))),IF(AR109="PT",IF(AW109&lt;PT_First,0,1+INT((AW109-PT_First)/PT_Int)),0))-IF(AR109="FT",IF(AY109&lt;FT_First,0,IF(AY109&lt;FT_Y5,1+INT((AY109-FT_First)/FT_Int1),FT_PreY5+FT_PerYear*INT((AY109-FT_Y5)/12)+FT_AnnivDays+INT(MOD(AY109-FT_Y5,12)/FT_Int2))),IF(AR109="PT",IF(AY109&lt;PT_First,0,1+INT((AY109-PT_First)/PT_Int)),0)),0))</f>
        <v/>
      </c>
      <c r="BB109" s="14" t="str">
        <f aca="false">IF(AG109=0,"",IF(AS109="FT",IF(AT109&lt;FT_First,FT_First,IF(AT109&lt;FT_Y5,MIN(FT_Y5,FT_First+FT_Int1*(INT((AT109-FT_First)/FT_Int1)+1)),FT_Y5+12*INT((AT109-FT_Y5)/12)+FT_Int2*(INT(MOD(AT109-FT_Y5,12)/FT_Int2)+1))),IF(AS109="PT",IF(AT109&lt;PT_First,PT_First,PT_First+PT_Int*(INT((AT109-PT_First)/PT_Int)+1)),"")))</f>
        <v/>
      </c>
      <c r="BC109" s="14" t="str">
        <f aca="false">IF(AG109=0,"",IF(NOT(LH_Ready),0,COUNTIFS(INDEX(LH_Data,0,LH_ColFirst),$A109,INDEX(LH_Data,0,LH_ColSur),$B109,INDEX(LH_Data,0,LH_ColCat),BonusCat)))</f>
        <v/>
      </c>
      <c r="BD109" s="14" t="str">
        <f aca="false">IF(AG109=0,"",IF(OR(NOT(LH_Ready),BC109=0),0,SUMPRODUCT(MAX((INDEX(LH_Data,0,LH_ColFirst)=$A109)*(INDEX(LH_Data,0,LH_ColSur)=$B109)*(INDEX(LH_Data,0,LH_ColCat)=BonusCat)*ROW(LH_Data)))))</f>
        <v/>
      </c>
      <c r="BE109" s="14" t="str">
        <f aca="false">IF(AG109=0,"",IF(EOMONTH(AsOfDate,-1)&lt;AH109,-1,12*(YEAR(EOMONTH(AsOfDate,-1))-YEAR(AH109))+MONTH(EOMONTH(AsOfDate,-1))-MONTH(AH109)-IF(DAY(EOMONTH(AsOfDate,-1))&lt;MIN(DAY(AH109),DAY(EOMONTH(EOMONTH(AsOfDate,-1),0))),1,0)))</f>
        <v/>
      </c>
      <c r="BF109" s="14" t="str">
        <f aca="false">IF(AG109=0,"",IF(OR(AI109&lt;2,AK109&gt;EOMONTH(AsOfDate,-1)),BE109,IF((AK109-1)&lt;AH109,-1,12*(YEAR((AK109-1))-YEAR(AH109))+MONTH((AK109-1))-MONTH(AH109)-IF(DAY((AK109-1))&lt;MIN(DAY(AH109),DAY(EOMONTH((AK109-1),0))),1,0))))</f>
        <v/>
      </c>
      <c r="BG109" s="14" t="str">
        <f aca="false">IF(AG109=0,"",IF(OR(AI109&lt;3,AL109&gt;EOMONTH(AsOfDate,-1)),BE109,IF((AL109-1)&lt;AH109,-1,12*(YEAR((AL109-1))-YEAR(AH109))+MONTH((AL109-1))-MONTH(AH109)-IF(DAY((AL109-1))&lt;MIN(DAY(AH109),DAY(EOMONTH((AL109-1),0))),1,0))))</f>
        <v/>
      </c>
      <c r="BH109" s="14" t="str">
        <f aca="false">IF(AG109=0,"",IF(AP109="FT",IF(BF109&lt;FT_First,0,IF(BF109&lt;FT_Y5,1+INT((BF109-FT_First)/FT_Int1),FT_PreY5+FT_PerYear*INT((BF109-FT_Y5)/12)+FT_AnnivDays+INT(MOD(BF109-FT_Y5,12)/FT_Int2))),IF(AP109="PT",IF(BF109&lt;PT_First,0,1+INT((BF109-PT_First)/PT_Int)),0))+IF(AND(AI109&gt;=2,AK109&lt;=EOMONTH(AsOfDate,-1)),IF(AQ109="FT",IF(BG109&lt;FT_First,0,IF(BG109&lt;FT_Y5,1+INT((BG109-FT_First)/FT_Int1),FT_PreY5+FT_PerYear*INT((BG109-FT_Y5)/12)+FT_AnnivDays+INT(MOD(BG109-FT_Y5,12)/FT_Int2))),IF(AQ109="PT",IF(BG109&lt;PT_First,0,1+INT((BG109-PT_First)/PT_Int)),0))-IF(AQ109="FT",IF(BF109&lt;FT_First,0,IF(BF109&lt;FT_Y5,1+INT((BF109-FT_First)/FT_Int1),FT_PreY5+FT_PerYear*INT((BF109-FT_Y5)/12)+FT_AnnivDays+INT(MOD(BF109-FT_Y5,12)/FT_Int2))),IF(AQ109="PT",IF(BF109&lt;PT_First,0,1+INT((BF109-PT_First)/PT_Int)),0)),0)+IF(AND(AI109&gt;=3,AL109&lt;=EOMONTH(AsOfDate,-1)),IF(AR109="FT",IF(BE109&lt;FT_First,0,IF(BE109&lt;FT_Y5,1+INT((BE109-FT_First)/FT_Int1),FT_PreY5+FT_PerYear*INT((BE109-FT_Y5)/12)+FT_AnnivDays+INT(MOD(BE109-FT_Y5,12)/FT_Int2))),IF(AR109="PT",IF(BE109&lt;PT_First,0,1+INT((BE109-PT_First)/PT_Int)),0))-IF(AR109="FT",IF(BG109&lt;FT_First,0,IF(BG109&lt;FT_Y5,1+INT((BG109-FT_First)/FT_Int1),FT_PreY5+FT_PerYear*INT((BG109-FT_Y5)/12)+FT_AnnivDays+INT(MOD(BG109-FT_Y5,12)/FT_Int2))),IF(AR109="PT",IF(BG109&lt;PT_First,0,1+INT((BG109-PT_First)/PT_Int)),0)),0))</f>
        <v/>
      </c>
      <c r="BI109" s="14" t="str">
        <f aca="false">IF(AG109=0,"",IF(AS109="FT",IF(AT109&lt;FT_First,"",IF(AT109&lt;FT_Y5,FT_First+FT_Int1*INT((AT109-FT_First)/FT_Int1),FT_Y5+FT_Int2*INT((AT109-FT_Y5)/FT_Int2))),IF(AS109="PT",IF(AT109&lt;PT_First,"",PT_First+PT_Int*INT((AT109-PT_First)/PT_Int)),"")))</f>
        <v/>
      </c>
      <c r="BJ109" s="0" t="str">
        <f aca="false">IF(LEN($A109&amp;$B109)=0,"",$A109&amp;" "&amp;$B109)</f>
        <v/>
      </c>
    </row>
    <row r="110" customFormat="false" ht="15" hidden="false" customHeight="false" outlineLevel="0" collapsed="false">
      <c r="A110" s="10"/>
      <c r="B110" s="10"/>
      <c r="C110" s="10"/>
      <c r="D110" s="11"/>
      <c r="E110" s="12" t="str">
        <f aca="false">IF(OR(AG110=0,$D110=""),"",DATE(YEAR(AsOfDate)+IF(DATE(YEAR(AsOfDate),MONTH($D110),DAY($D110))&lt;=AsOfDate,1,0),MONTH($D110),DAY($D110)))</f>
        <v/>
      </c>
      <c r="F110" s="11"/>
      <c r="G110" s="11"/>
      <c r="H110" s="11"/>
      <c r="I110" s="11"/>
      <c r="J110" s="11"/>
      <c r="K110" s="12" t="str">
        <f aca="false">IF(AG110=0,"",DATE(YEAR(AsOfDate)+IF(DATE(YEAR(AsOfDate),MONTH(AH110),DAY(AH110))&lt;=AsOfDate,1,0),MONTH(AH110),DAY(AH110)))</f>
        <v/>
      </c>
      <c r="L110" s="13" t="str">
        <f aca="false">IF(AG110=0,"",ROUND((AsOfDate-AH110)/365.25,1))</f>
        <v/>
      </c>
      <c r="M110" s="14" t="str">
        <f aca="false">IF(AG110=0,"",IF(AsOfDate&lt;AH110,"-",DATEDIF(AH110,AsOfDate,"y")&amp;"y "&amp;DATEDIF(AH110,AsOfDate,"ym")&amp;"m "&amp;DATEDIF(AH110,AsOfDate,"md")&amp;"d"))</f>
        <v/>
      </c>
      <c r="N110" s="15" t="str">
        <f aca="false">IF(AG110=0,"",O110*HoursPerDay)</f>
        <v/>
      </c>
      <c r="O110" s="15" t="str">
        <f aca="false">IF(AG110=0,"",AZ110)</f>
        <v/>
      </c>
      <c r="P110" s="16"/>
      <c r="Q110" s="14" t="str">
        <f aca="false">IF(AG110=0,"",IF(AI110&lt;2,"",AM110&amp;" to "&amp;AN110&amp;" on "&amp;TEXT(AK110,"dd/mm/yyyy")&amp;IF(AK110&gt;AsOfDate," (future)",IF(AP110=AQ110,"",IF(AQ110="None"," - STOPPED accruing",IF(AP110="None"," - commencement for Bonus Leave"," - pathway changed"))))&amp;IF(AI110&lt;3,"","; "&amp;AN110&amp;" to "&amp;AO110&amp;" on "&amp;TEXT(AL110,"dd/mm/yyyy")&amp;IF(AL110&gt;AsOfDate," (future)",IF(AQ110=AR110,"",IF(AR110="None"," - STOPPED accruing",IF(AQ110="None"," - commencement for Bonus Leave"," - pathway changed")))))))</f>
        <v/>
      </c>
      <c r="R110" s="14" t="str">
        <f aca="false">IF(AG110=0,"",IF(AS110="None",IF(O110&gt;0,"No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2" t="str">
        <f aca="false">IF(AG110=0,"",IF(AS110="None","",EDATE(AH110,BB110)))</f>
        <v/>
      </c>
      <c r="T110" s="15" t="str">
        <f aca="false">IF(AG110=0,"",IF(NOT(LH_Ready),"",IF(AH110&gt;PFYDate,0,IF(LH_ColPeriod=0,W110-U110+V110,SUMIFS(INDEX(LH_Data,0,LH_ColAcc),INDEX(LH_Data,0,LH_ColFirst),$A110,INDEX(LH_Data,0,LH_ColSur),$B110,INDEX(LH_Data,0,LH_ColCat),BonusCat,INDEX(LH_Data,0,LH_ColPeriod),LH_OpenLabel)*UnitFactor))))</f>
        <v/>
      </c>
      <c r="U110" s="15" t="str">
        <f aca="false">IF(AG110=0,"",IF(NOT(LH_Ready),"",SUMIFS(INDEX(LH_Data,0,LH_ColAcc),INDEX(LH_Data,0,LH_ColFirst),$A110,INDEX(LH_Data,0,LH_ColSur),$B110,INDEX(LH_Data,0,LH_ColCat),BonusCat,INDEX(LH_Data,0,LH_ColStart),"&gt;="&amp;AH110)*UnitFactor))</f>
        <v/>
      </c>
      <c r="V110" s="15" t="str">
        <f aca="false">IF(AG110=0,"",IF(NOT(LH_Ready),"",SUMIFS(INDEX(LH_Data,0,LH_ColTaken),INDEX(LH_Data,0,LH_ColFirst),$A110,INDEX(LH_Data,0,LH_ColSur),$B110,INDEX(LH_Data,0,LH_ColCat),BonusCat,INDEX(LH_Data,0,LH_ColStart),"&gt;="&amp;AH110)*UnitFactor))</f>
        <v/>
      </c>
      <c r="W110" s="15" t="str">
        <f aca="false">IF(AG110=0,"",IF(NOT(LH_Ready),"",IF(BD110=0,0,INDEX(INDEX(LH_Data,0,LH_ColClose),BD110-1)*UnitFactor)))</f>
        <v/>
      </c>
      <c r="X110" s="15" t="str">
        <f aca="false">IF(AG110=0,"",(AZ110-BA110)*HoursPerDay)</f>
        <v/>
      </c>
      <c r="Y110" s="15" t="str">
        <f aca="false">IF(AG110=0,"",IF(NOT(LH_Ready),"",IF(BC110=0,N110,IF(PFYDate&lt;$F110,N110-N(T110)-N(U110),X110-N(U110)))))</f>
        <v/>
      </c>
      <c r="Z110" s="14" t="str">
        <f aca="false">IF(OR(AG110=0,Y110=""),"",IF(Y110&gt;0,"Yes","No"))</f>
        <v/>
      </c>
      <c r="AA110" s="14" t="str">
        <f aca="false">IF(AG110=0,IF(LEN($A110&amp;$B110)=0,"","FIX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month")&amp;IF(BC110=0,";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EH)",""),IF(AS110="None",R110,"Not yet - first day on "&amp;TEXT(S110,"dd/mm/yyyy")))))))))</f>
        <v/>
      </c>
      <c r="AB110" s="15" t="str">
        <f aca="false">IF(OR(AG110=0,T110=""),"",BA110*HoursPerDay-T110)</f>
        <v/>
      </c>
      <c r="AC110" s="14" t="str">
        <f aca="false">IF(AG110=0,"",BC110)</f>
        <v/>
      </c>
      <c r="AD110" s="14" t="str">
        <f aca="false">IF(AG110=0,"",TRIM(IF(OR(ISTEXT($F110),ISTEXT($H110),ISTEXT($I110),ISTEXT($G110),ISTEXT($J110),ISTEXT($D110)),"A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I110&gt;=1,IF(AI110&gt;=3,AO110,IF(AI110=2,AN110,AM110))&lt;&gt;IF($C110="","",IF(OR(ISNUMBER(SEARCH("full",$C110)),UPPER(TRIM($C110))="FT",UPPER(TRIM($C110))="FTE"),"Full-Time",IF(OR(ISNUMBER(SEARCH("part",$C110)),UPPER(TRIM($C110))="PT",UPPER(TRIM($C110))="PTE"),"Part-Time",IF(OR(ISNUMBER(SEARCH("cas",$C110)),UPPER(TRIM($C110))="CAS"),"Casual","Unknown"))))),"EmploymentType does not match latest start date ("&amp;IF(AI110&gt;=3,AO110,IF(AI110=2,AN110,AM110))&amp;"). ","")&amp;IF(AND(AI110&gt;=1,AJ110&lt;&gt;$F110),"Earliest type date should equal StartDate. ","")&amp;IF(AND(AI110&gt;=2,AJ110=AK110),"Two types start on the same date. ","")&amp;IF(AND(OR(ISNUMBER(SEARCH("part",$C110)),UPPER(TRIM($C110))="PT",UPPER(TRIM($C110))="PTE"),$P110=""),"Part-time: enter PT Hrs/Week (blank = 24+). ","")))</f>
        <v/>
      </c>
      <c r="AE110" s="15" t="str">
        <f aca="false">IF(AG110=0,"",O110-BH110)</f>
        <v/>
      </c>
      <c r="AF110" s="12" t="str">
        <f aca="false">IF(OR(AG110=0,AE110="",N(AE110)=0,BI110=""),"",EDATE(AH110,BI110))</f>
        <v/>
      </c>
      <c r="AG110" s="14" t="n">
        <f aca="false">IF(OR(LEN($A110&amp;$B110)=0,$F110=""),0,1)</f>
        <v>0</v>
      </c>
      <c r="AH110" s="12" t="str">
        <f aca="false">IF(AG110=0,"",IF($J110&lt;&gt;"",$J110,IF(OR(CasualCounts="Yes",COUNT($G110:$I110)=0,COUNT($H110:$I110)=0),$F110,MIN($H110:$I110))))</f>
        <v/>
      </c>
      <c r="AI110" s="14" t="str">
        <f aca="false">IF(AG110=0,"",COUNT($G110:$I110))</f>
        <v/>
      </c>
      <c r="AJ110" s="12" t="str">
        <f aca="false">IF(AG110=0,"",IFERROR(SMALL($G110:$I110,1),""))</f>
        <v/>
      </c>
      <c r="AK110" s="12" t="str">
        <f aca="false">IF(AG110=0,"",IFERROR(SMALL($G110:$I110,2),""))</f>
        <v/>
      </c>
      <c r="AL110" s="12" t="str">
        <f aca="false">IF(AG110=0,"",IFERROR(SMALL($G110:$I110,3),""))</f>
        <v/>
      </c>
      <c r="AM110" s="14" t="str">
        <f aca="false">IF(AG110=0,"",IF(AJ110="","",IF(AJ110=$H110,"Part-Time",IF(AJ110=$I110,"Full-Time","Casual"))))</f>
        <v/>
      </c>
      <c r="AN110" s="14" t="str">
        <f aca="false">IF(AG110=0,"",IF(AK110="","",IF(AK110=$H110,"Part-Time",IF(AK110=$I110,"Full-Time","Casual"))))</f>
        <v/>
      </c>
      <c r="AO110" s="14" t="str">
        <f aca="false">IF(AG110=0,"",IF(AL110="","",IF(AL110=$H110,"Part-Time",IF(AL110=$I110,"Full-Time","Casual"))))</f>
        <v/>
      </c>
      <c r="AP110" s="14" t="str">
        <f aca="false">IF(AG110=0,"",IF(AI110=0,IF(OR(ISNUMBER(SEARCH("full",$C110)),UPPER(TRIM($C110))="FT",UPPER(TRIM($C110))="FTE"),"FT",IF(AND(OR(ISNUMBER(SEARCH("part",$C110)),UPPER(TRIM($C110))="PT",UPPER(TRIM($C110))="PTE"),OR($P110="",N($P110)&gt;=PT_MinHours)),"PT","None")),IF(OR(ISNUMBER(SEARCH("full",AM110)),UPPER(TRIM(AM110))="FT",UPPER(TRIM(AM110))="FTE"),"FT",IF(AND(OR(ISNUMBER(SEARCH("part",AM110)),UPPER(TRIM(AM110))="PT",UPPER(TRIM(AM110))="PTE"),OR($P110="",N($P110)&gt;=PT_MinHours)),"PT","None"))))</f>
        <v/>
      </c>
      <c r="AQ110" s="14" t="str">
        <f aca="false">IF(AG110=0,"",IF(AI110&lt;2,"",IF(OR(ISNUMBER(SEARCH("full",AN110)),UPPER(TRIM(AN110))="FT",UPPER(TRIM(AN110))="FTE"),"FT",IF(AND(OR(ISNUMBER(SEARCH("part",AN110)),UPPER(TRIM(AN110))="PT",UPPER(TRIM(AN110))="PTE"),OR($P110="",N($P110)&gt;=PT_MinHours)),"PT","None"))))</f>
        <v/>
      </c>
      <c r="AR110" s="14" t="str">
        <f aca="false">IF(AG110=0,"",IF(AI110&lt;3,"",IF(OR(ISNUMBER(SEARCH("full",AO110)),UPPER(TRIM(AO110))="FT",UPPER(TRIM(AO110))="FTE"),"FT",IF(AND(OR(ISNUMBER(SEARCH("part",AO110)),UPPER(TRIM(AO110))="PT",UPPER(TRIM(AO110))="PTE"),OR($P110="",N($P110)&gt;=PT_MinHours)),"PT","None"))))</f>
        <v/>
      </c>
      <c r="AS110" s="14" t="str">
        <f aca="false">IF(AG110=0,"",IF(AND(AI110&gt;=3,AL110&lt;=AsOfDate),AR110,IF(AND(AI110&gt;=2,AK110&lt;=AsOfDate),AQ110,AP110)))</f>
        <v/>
      </c>
      <c r="AT110" s="14" t="str">
        <f aca="false">IF(AG110=0,"",IF(AsOfDate&lt;AH110,-1,12*(YEAR(AsOfDate)-YEAR(AH110))+MONTH(AsOfDate)-MONTH(AH110)-IF(DAY(AsOfDate)&lt;MIN(DAY(AH110),DAY(EOMONTH(AsOfDate,0))),1,0)))</f>
        <v/>
      </c>
      <c r="AU110" s="14" t="str">
        <f aca="false">IF(AG110=0,"",IF(OR(AI110&lt;2,AK110&gt;AsOfDate),AT110,IF((AK110-1)&lt;AH110,-1,12*(YEAR((AK110-1))-YEAR(AH110))+MONTH((AK110-1))-MONTH(AH110)-IF(DAY((AK110-1))&lt;MIN(DAY(AH110),DAY(EOMONTH((AK110-1),0))),1,0))))</f>
        <v/>
      </c>
      <c r="AV110" s="14" t="str">
        <f aca="false">IF(AG110=0,"",IF(OR(AI110&lt;3,AL110&gt;AsOfDate),AT110,IF((AL110-1)&lt;AH110,-1,12*(YEAR((AL110-1))-YEAR(AH110))+MONTH((AL110-1))-MONTH(AH110)-IF(DAY((AL110-1))&lt;MIN(DAY(AH110),DAY(EOMONTH((AL110-1),0))),1,0))))</f>
        <v/>
      </c>
      <c r="AW110" s="14" t="str">
        <f aca="false">IF(AG110=0,"",IF(PFYDate&lt;AH110,-1,12*(YEAR(PFYDate)-YEAR(AH110))+MONTH(PFYDate)-MONTH(AH110)-IF(DAY(PFYDate)&lt;MIN(DAY(AH110),DAY(EOMONTH(PFYDate,0))),1,0)))</f>
        <v/>
      </c>
      <c r="AX110" s="14" t="str">
        <f aca="false">IF(AG110=0,"",IF(OR(AI110&lt;2,AK110&gt;PFYDate),AW110,IF((AK110-1)&lt;AH110,-1,12*(YEAR((AK110-1))-YEAR(AH110))+MONTH((AK110-1))-MONTH(AH110)-IF(DAY((AK110-1))&lt;MIN(DAY(AH110),DAY(EOMONTH((AK110-1),0))),1,0))))</f>
        <v/>
      </c>
      <c r="AY110" s="14" t="str">
        <f aca="false">IF(AG110=0,"",IF(OR(AI110&lt;3,AL110&gt;PFYDate),AW110,IF((AL110-1)&lt;AH110,-1,12*(YEAR((AL110-1))-YEAR(AH110))+MONTH((AL110-1))-MONTH(AH110)-IF(DAY((AL110-1))&lt;MIN(DAY(AH110),DAY(EOMONTH((AL110-1),0))),1,0))))</f>
        <v/>
      </c>
      <c r="AZ110" s="14" t="str">
        <f aca="false">IF(AG110=0,"",IF(AP110="FT",IF(AU110&lt;FT_First,0,IF(AU110&lt;FT_Y5,1+INT((AU110-FT_First)/FT_Int1),FT_PreY5+FT_PerYear*INT((AU110-FT_Y5)/12)+FT_AnnivDays+INT(MOD(AU110-FT_Y5,12)/FT_Int2))),IF(AP110="PT",IF(AU110&lt;PT_First,0,1+INT((AU110-PT_First)/PT_Int)),0))+IF(AND(AI110&gt;=2,AK110&lt;=AsOfDate),IF(AQ110="FT",IF(AV110&lt;FT_First,0,IF(AV110&lt;FT_Y5,1+INT((AV110-FT_First)/FT_Int1),FT_PreY5+FT_PerYear*INT((AV110-FT_Y5)/12)+FT_AnnivDays+INT(MOD(AV110-FT_Y5,12)/FT_Int2))),IF(AQ110="PT",IF(AV110&lt;PT_First,0,1+INT((AV110-PT_First)/PT_Int)),0))-IF(AQ110="FT",IF(AU110&lt;FT_First,0,IF(AU110&lt;FT_Y5,1+INT((AU110-FT_First)/FT_Int1),FT_PreY5+FT_PerYear*INT((AU110-FT_Y5)/12)+FT_AnnivDays+INT(MOD(AU110-FT_Y5,12)/FT_Int2))),IF(AQ110="PT",IF(AU110&lt;PT_First,0,1+INT((AU110-PT_First)/PT_Int)),0)),0)+IF(AND(AI110&gt;=3,AL110&lt;=AsOfDate),IF(AR110="FT",IF(AT110&lt;FT_First,0,IF(AT110&lt;FT_Y5,1+INT((AT110-FT_First)/FT_Int1),FT_PreY5+FT_PerYear*INT((AT110-FT_Y5)/12)+FT_AnnivDays+INT(MOD(AT110-FT_Y5,12)/FT_Int2))),IF(AR110="PT",IF(AT110&lt;PT_First,0,1+INT((AT110-PT_First)/PT_Int)),0))-IF(AR110="FT",IF(AV110&lt;FT_First,0,IF(AV110&lt;FT_Y5,1+INT((AV110-FT_First)/FT_Int1),FT_PreY5+FT_PerYear*INT((AV110-FT_Y5)/12)+FT_AnnivDays+INT(MOD(AV110-FT_Y5,12)/FT_Int2))),IF(AR110="PT",IF(AV110&lt;PT_First,0,1+INT((AV110-PT_First)/PT_Int)),0)),0))</f>
        <v/>
      </c>
      <c r="BA110" s="14" t="str">
        <f aca="false">IF(AG110=0,"",IF(AP110="FT",IF(AX110&lt;FT_First,0,IF(AX110&lt;FT_Y5,1+INT((AX110-FT_First)/FT_Int1),FT_PreY5+FT_PerYear*INT((AX110-FT_Y5)/12)+FT_AnnivDays+INT(MOD(AX110-FT_Y5,12)/FT_Int2))),IF(AP110="PT",IF(AX110&lt;PT_First,0,1+INT((AX110-PT_First)/PT_Int)),0))+IF(AND(AI110&gt;=2,AK110&lt;=PFYDate),IF(AQ110="FT",IF(AY110&lt;FT_First,0,IF(AY110&lt;FT_Y5,1+INT((AY110-FT_First)/FT_Int1),FT_PreY5+FT_PerYear*INT((AY110-FT_Y5)/12)+FT_AnnivDays+INT(MOD(AY110-FT_Y5,12)/FT_Int2))),IF(AQ110="PT",IF(AY110&lt;PT_First,0,1+INT((AY110-PT_First)/PT_Int)),0))-IF(AQ110="FT",IF(AX110&lt;FT_First,0,IF(AX110&lt;FT_Y5,1+INT((AX110-FT_First)/FT_Int1),FT_PreY5+FT_PerYear*INT((AX110-FT_Y5)/12)+FT_AnnivDays+INT(MOD(AX110-FT_Y5,12)/FT_Int2))),IF(AQ110="PT",IF(AX110&lt;PT_First,0,1+INT((AX110-PT_First)/PT_Int)),0)),0)+IF(AND(AI110&gt;=3,AL110&lt;=PFYDate),IF(AR110="FT",IF(AW110&lt;FT_First,0,IF(AW110&lt;FT_Y5,1+INT((AW110-FT_First)/FT_Int1),FT_PreY5+FT_PerYear*INT((AW110-FT_Y5)/12)+FT_AnnivDays+INT(MOD(AW110-FT_Y5,12)/FT_Int2))),IF(AR110="PT",IF(AW110&lt;PT_First,0,1+INT((AW110-PT_First)/PT_Int)),0))-IF(AR110="FT",IF(AY110&lt;FT_First,0,IF(AY110&lt;FT_Y5,1+INT((AY110-FT_First)/FT_Int1),FT_PreY5+FT_PerYear*INT((AY110-FT_Y5)/12)+FT_AnnivDays+INT(MOD(AY110-FT_Y5,12)/FT_Int2))),IF(AR110="PT",IF(AY110&lt;PT_First,0,1+INT((AY110-PT_First)/PT_Int)),0)),0))</f>
        <v/>
      </c>
      <c r="BB110" s="14" t="str">
        <f aca="false">IF(AG110=0,"",IF(AS110="FT",IF(AT110&lt;FT_First,FT_First,IF(AT110&lt;FT_Y5,MIN(FT_Y5,FT_First+FT_Int1*(INT((AT110-FT_First)/FT_Int1)+1)),FT_Y5+12*INT((AT110-FT_Y5)/12)+FT_Int2*(INT(MOD(AT110-FT_Y5,12)/FT_Int2)+1))),IF(AS110="PT",IF(AT110&lt;PT_First,PT_First,PT_First+PT_Int*(INT((AT110-PT_First)/PT_Int)+1)),"")))</f>
        <v/>
      </c>
      <c r="BC110" s="14" t="str">
        <f aca="false">IF(AG110=0,"",IF(NOT(LH_Ready),0,COUNTIFS(INDEX(LH_Data,0,LH_ColFirst),$A110,INDEX(LH_Data,0,LH_ColSur),$B110,INDEX(LH_Data,0,LH_ColCat),BonusCat)))</f>
        <v/>
      </c>
      <c r="BD110" s="14" t="str">
        <f aca="false">IF(AG110=0,"",IF(OR(NOT(LH_Ready),BC110=0),0,SUMPRODUCT(MAX((INDEX(LH_Data,0,LH_ColFirst)=$A110)*(INDEX(LH_Data,0,LH_ColSur)=$B110)*(INDEX(LH_Data,0,LH_ColCat)=BonusCat)*ROW(LH_Data)))))</f>
        <v/>
      </c>
      <c r="BE110" s="14" t="str">
        <f aca="false">IF(AG110=0,"",IF(EOMONTH(AsOfDate,-1)&lt;AH110,-1,12*(YEAR(EOMONTH(AsOfDate,-1))-YEAR(AH110))+MONTH(EOMONTH(AsOfDate,-1))-MONTH(AH110)-IF(DAY(EOMONTH(AsOfDate,-1))&lt;MIN(DAY(AH110),DAY(EOMONTH(EOMONTH(AsOfDate,-1),0))),1,0)))</f>
        <v/>
      </c>
      <c r="BF110" s="14" t="str">
        <f aca="false">IF(AG110=0,"",IF(OR(AI110&lt;2,AK110&gt;EOMONTH(AsOfDate,-1)),BE110,IF((AK110-1)&lt;AH110,-1,12*(YEAR((AK110-1))-YEAR(AH110))+MONTH((AK110-1))-MONTH(AH110)-IF(DAY((AK110-1))&lt;MIN(DAY(AH110),DAY(EOMONTH((AK110-1),0))),1,0))))</f>
        <v/>
      </c>
      <c r="BG110" s="14" t="str">
        <f aca="false">IF(AG110=0,"",IF(OR(AI110&lt;3,AL110&gt;EOMONTH(AsOfDate,-1)),BE110,IF((AL110-1)&lt;AH110,-1,12*(YEAR((AL110-1))-YEAR(AH110))+MONTH((AL110-1))-MONTH(AH110)-IF(DAY((AL110-1))&lt;MIN(DAY(AH110),DAY(EOMONTH((AL110-1),0))),1,0))))</f>
        <v/>
      </c>
      <c r="BH110" s="14" t="str">
        <f aca="false">IF(AG110=0,"",IF(AP110="FT",IF(BF110&lt;FT_First,0,IF(BF110&lt;FT_Y5,1+INT((BF110-FT_First)/FT_Int1),FT_PreY5+FT_PerYear*INT((BF110-FT_Y5)/12)+FT_AnnivDays+INT(MOD(BF110-FT_Y5,12)/FT_Int2))),IF(AP110="PT",IF(BF110&lt;PT_First,0,1+INT((BF110-PT_First)/PT_Int)),0))+IF(AND(AI110&gt;=2,AK110&lt;=EOMONTH(AsOfDate,-1)),IF(AQ110="FT",IF(BG110&lt;FT_First,0,IF(BG110&lt;FT_Y5,1+INT((BG110-FT_First)/FT_Int1),FT_PreY5+FT_PerYear*INT((BG110-FT_Y5)/12)+FT_AnnivDays+INT(MOD(BG110-FT_Y5,12)/FT_Int2))),IF(AQ110="PT",IF(BG110&lt;PT_First,0,1+INT((BG110-PT_First)/PT_Int)),0))-IF(AQ110="FT",IF(BF110&lt;FT_First,0,IF(BF110&lt;FT_Y5,1+INT((BF110-FT_First)/FT_Int1),FT_PreY5+FT_PerYear*INT((BF110-FT_Y5)/12)+FT_AnnivDays+INT(MOD(BF110-FT_Y5,12)/FT_Int2))),IF(AQ110="PT",IF(BF110&lt;PT_First,0,1+INT((BF110-PT_First)/PT_Int)),0)),0)+IF(AND(AI110&gt;=3,AL110&lt;=EOMONTH(AsOfDate,-1)),IF(AR110="FT",IF(BE110&lt;FT_First,0,IF(BE110&lt;FT_Y5,1+INT((BE110-FT_First)/FT_Int1),FT_PreY5+FT_PerYear*INT((BE110-FT_Y5)/12)+FT_AnnivDays+INT(MOD(BE110-FT_Y5,12)/FT_Int2))),IF(AR110="PT",IF(BE110&lt;PT_First,0,1+INT((BE110-PT_First)/PT_Int)),0))-IF(AR110="FT",IF(BG110&lt;FT_First,0,IF(BG110&lt;FT_Y5,1+INT((BG110-FT_First)/FT_Int1),FT_PreY5+FT_PerYear*INT((BG110-FT_Y5)/12)+FT_AnnivDays+INT(MOD(BG110-FT_Y5,12)/FT_Int2))),IF(AR110="PT",IF(BG110&lt;PT_First,0,1+INT((BG110-PT_First)/PT_Int)),0)),0))</f>
        <v/>
      </c>
      <c r="BI110" s="14" t="str">
        <f aca="false">IF(AG110=0,"",IF(AS110="FT",IF(AT110&lt;FT_First,"",IF(AT110&lt;FT_Y5,FT_First+FT_Int1*INT((AT110-FT_First)/FT_Int1),FT_Y5+FT_Int2*INT((AT110-FT_Y5)/FT_Int2))),IF(AS110="PT",IF(AT110&lt;PT_First,"",PT_First+PT_Int*INT((AT110-PT_First)/PT_Int)),"")))</f>
        <v/>
      </c>
      <c r="BJ110" s="0" t="str">
        <f aca="false">IF(LEN($A110&amp;$B110)=0,"",$A110&amp;" "&amp;$B110)</f>
        <v/>
      </c>
    </row>
    <row r="111" customFormat="false" ht="15" hidden="false" customHeight="false" outlineLevel="0" collapsed="false">
      <c r="A111" s="10"/>
      <c r="B111" s="10"/>
      <c r="C111" s="10"/>
      <c r="D111" s="11"/>
      <c r="E111" s="12" t="str">
        <f aca="false">IF(OR(AG111=0,$D111=""),"",DATE(YEAR(AsOfDate)+IF(DATE(YEAR(AsOfDate),MONTH($D111),DAY($D111))&lt;=AsOfDate,1,0),MONTH($D111),DAY($D111)))</f>
        <v/>
      </c>
      <c r="F111" s="11"/>
      <c r="G111" s="11"/>
      <c r="H111" s="11"/>
      <c r="I111" s="11"/>
      <c r="J111" s="11"/>
      <c r="K111" s="12" t="str">
        <f aca="false">IF(AG111=0,"",DATE(YEAR(AsOfDate)+IF(DATE(YEAR(AsOfDate),MONTH(AH111),DAY(AH111))&lt;=AsOfDate,1,0),MONTH(AH111),DAY(AH111)))</f>
        <v/>
      </c>
      <c r="L111" s="13" t="str">
        <f aca="false">IF(AG111=0,"",ROUND((AsOfDate-AH111)/365.25,1))</f>
        <v/>
      </c>
      <c r="M111" s="14" t="str">
        <f aca="false">IF(AG111=0,"",IF(AsOfDate&lt;AH111,"-",DATEDIF(AH111,AsOfDate,"y")&amp;"y "&amp;DATEDIF(AH111,AsOfDate,"ym")&amp;"m "&amp;DATEDIF(AH111,AsOfDate,"md")&amp;"d"))</f>
        <v/>
      </c>
      <c r="N111" s="15" t="str">
        <f aca="false">IF(AG111=0,"",O111*HoursPerDay)</f>
        <v/>
      </c>
      <c r="O111" s="15" t="str">
        <f aca="false">IF(AG111=0,"",AZ111)</f>
        <v/>
      </c>
      <c r="P111" s="16"/>
      <c r="Q111" s="14" t="str">
        <f aca="false">IF(AG111=0,"",IF(AI111&lt;2,"",AM111&amp;" to "&amp;AN111&amp;" on "&amp;TEXT(AK111,"dd/mm/yyyy")&amp;IF(AK111&gt;AsOfDate," (future)",IF(AP111=AQ111,"",IF(AQ111="None"," - STOPPED accruing",IF(AP111="None"," - commencement for Bonus Leave"," - pathway changed"))))&amp;IF(AI111&lt;3,"","; "&amp;AN111&amp;" to "&amp;AO111&amp;" on "&amp;TEXT(AL111,"dd/mm/yyyy")&amp;IF(AL111&gt;AsOfDate," (future)",IF(AQ111=AR111,"",IF(AR111="None"," - STOPPED accruing",IF(AQ111="None"," - commencement for Bonus Leave"," - pathway changed")))))))</f>
        <v/>
      </c>
      <c r="R111" s="14" t="str">
        <f aca="false">IF(AG111=0,"",IF(AS111="None",IF(O111&gt;0,"No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2" t="str">
        <f aca="false">IF(AG111=0,"",IF(AS111="None","",EDATE(AH111,BB111)))</f>
        <v/>
      </c>
      <c r="T111" s="15" t="str">
        <f aca="false">IF(AG111=0,"",IF(NOT(LH_Ready),"",IF(AH111&gt;PFYDate,0,IF(LH_ColPeriod=0,W111-U111+V111,SUMIFS(INDEX(LH_Data,0,LH_ColAcc),INDEX(LH_Data,0,LH_ColFirst),$A111,INDEX(LH_Data,0,LH_ColSur),$B111,INDEX(LH_Data,0,LH_ColCat),BonusCat,INDEX(LH_Data,0,LH_ColPeriod),LH_OpenLabel)*UnitFactor))))</f>
        <v/>
      </c>
      <c r="U111" s="15" t="str">
        <f aca="false">IF(AG111=0,"",IF(NOT(LH_Ready),"",SUMIFS(INDEX(LH_Data,0,LH_ColAcc),INDEX(LH_Data,0,LH_ColFirst),$A111,INDEX(LH_Data,0,LH_ColSur),$B111,INDEX(LH_Data,0,LH_ColCat),BonusCat,INDEX(LH_Data,0,LH_ColStart),"&gt;="&amp;AH111)*UnitFactor))</f>
        <v/>
      </c>
      <c r="V111" s="15" t="str">
        <f aca="false">IF(AG111=0,"",IF(NOT(LH_Ready),"",SUMIFS(INDEX(LH_Data,0,LH_ColTaken),INDEX(LH_Data,0,LH_ColFirst),$A111,INDEX(LH_Data,0,LH_ColSur),$B111,INDEX(LH_Data,0,LH_ColCat),BonusCat,INDEX(LH_Data,0,LH_ColStart),"&gt;="&amp;AH111)*UnitFactor))</f>
        <v/>
      </c>
      <c r="W111" s="15" t="str">
        <f aca="false">IF(AG111=0,"",IF(NOT(LH_Ready),"",IF(BD111=0,0,INDEX(INDEX(LH_Data,0,LH_ColClose),BD111-1)*UnitFactor)))</f>
        <v/>
      </c>
      <c r="X111" s="15" t="str">
        <f aca="false">IF(AG111=0,"",(AZ111-BA111)*HoursPerDay)</f>
        <v/>
      </c>
      <c r="Y111" s="15" t="str">
        <f aca="false">IF(AG111=0,"",IF(NOT(LH_Ready),"",IF(BC111=0,N111,IF(PFYDate&lt;$F111,N111-N(T111)-N(U111),X111-N(U111)))))</f>
        <v/>
      </c>
      <c r="Z111" s="14" t="str">
        <f aca="false">IF(OR(AG111=0,Y111=""),"",IF(Y111&gt;0,"Yes","No"))</f>
        <v/>
      </c>
      <c r="AA111" s="14" t="str">
        <f aca="false">IF(AG111=0,IF(LEN($A111&amp;$B111)=0,"","FIX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month")&amp;IF(BC111=0,";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EH)",""),IF(AS111="None",R111,"Not yet - first day on "&amp;TEXT(S111,"dd/mm/yyyy")))))))))</f>
        <v/>
      </c>
      <c r="AB111" s="15" t="str">
        <f aca="false">IF(OR(AG111=0,T111=""),"",BA111*HoursPerDay-T111)</f>
        <v/>
      </c>
      <c r="AC111" s="14" t="str">
        <f aca="false">IF(AG111=0,"",BC111)</f>
        <v/>
      </c>
      <c r="AD111" s="14" t="str">
        <f aca="false">IF(AG111=0,"",TRIM(IF(OR(ISTEXT($F111),ISTEXT($H111),ISTEXT($I111),ISTEXT($G111),ISTEXT($J111),ISTEXT($D111)),"A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I111&gt;=1,IF(AI111&gt;=3,AO111,IF(AI111=2,AN111,AM111))&lt;&gt;IF($C111="","",IF(OR(ISNUMBER(SEARCH("full",$C111)),UPPER(TRIM($C111))="FT",UPPER(TRIM($C111))="FTE"),"Full-Time",IF(OR(ISNUMBER(SEARCH("part",$C111)),UPPER(TRIM($C111))="PT",UPPER(TRIM($C111))="PTE"),"Part-Time",IF(OR(ISNUMBER(SEARCH("cas",$C111)),UPPER(TRIM($C111))="CAS"),"Casual","Unknown"))))),"EmploymentType does not match latest start date ("&amp;IF(AI111&gt;=3,AO111,IF(AI111=2,AN111,AM111))&amp;"). ","")&amp;IF(AND(AI111&gt;=1,AJ111&lt;&gt;$F111),"Earliest type date should equal StartDate. ","")&amp;IF(AND(AI111&gt;=2,AJ111=AK111),"Two types start on the same date. ","")&amp;IF(AND(OR(ISNUMBER(SEARCH("part",$C111)),UPPER(TRIM($C111))="PT",UPPER(TRIM($C111))="PTE"),$P111=""),"Part-time: enter PT Hrs/Week (blank = 24+). ","")))</f>
        <v/>
      </c>
      <c r="AE111" s="15" t="str">
        <f aca="false">IF(AG111=0,"",O111-BH111)</f>
        <v/>
      </c>
      <c r="AF111" s="12" t="str">
        <f aca="false">IF(OR(AG111=0,AE111="",N(AE111)=0,BI111=""),"",EDATE(AH111,BI111))</f>
        <v/>
      </c>
      <c r="AG111" s="14" t="n">
        <f aca="false">IF(OR(LEN($A111&amp;$B111)=0,$F111=""),0,1)</f>
        <v>0</v>
      </c>
      <c r="AH111" s="12" t="str">
        <f aca="false">IF(AG111=0,"",IF($J111&lt;&gt;"",$J111,IF(OR(CasualCounts="Yes",COUNT($G111:$I111)=0,COUNT($H111:$I111)=0),$F111,MIN($H111:$I111))))</f>
        <v/>
      </c>
      <c r="AI111" s="14" t="str">
        <f aca="false">IF(AG111=0,"",COUNT($G111:$I111))</f>
        <v/>
      </c>
      <c r="AJ111" s="12" t="str">
        <f aca="false">IF(AG111=0,"",IFERROR(SMALL($G111:$I111,1),""))</f>
        <v/>
      </c>
      <c r="AK111" s="12" t="str">
        <f aca="false">IF(AG111=0,"",IFERROR(SMALL($G111:$I111,2),""))</f>
        <v/>
      </c>
      <c r="AL111" s="12" t="str">
        <f aca="false">IF(AG111=0,"",IFERROR(SMALL($G111:$I111,3),""))</f>
        <v/>
      </c>
      <c r="AM111" s="14" t="str">
        <f aca="false">IF(AG111=0,"",IF(AJ111="","",IF(AJ111=$H111,"Part-Time",IF(AJ111=$I111,"Full-Time","Casual"))))</f>
        <v/>
      </c>
      <c r="AN111" s="14" t="str">
        <f aca="false">IF(AG111=0,"",IF(AK111="","",IF(AK111=$H111,"Part-Time",IF(AK111=$I111,"Full-Time","Casual"))))</f>
        <v/>
      </c>
      <c r="AO111" s="14" t="str">
        <f aca="false">IF(AG111=0,"",IF(AL111="","",IF(AL111=$H111,"Part-Time",IF(AL111=$I111,"Full-Time","Casual"))))</f>
        <v/>
      </c>
      <c r="AP111" s="14" t="str">
        <f aca="false">IF(AG111=0,"",IF(AI111=0,IF(OR(ISNUMBER(SEARCH("full",$C111)),UPPER(TRIM($C111))="FT",UPPER(TRIM($C111))="FTE"),"FT",IF(AND(OR(ISNUMBER(SEARCH("part",$C111)),UPPER(TRIM($C111))="PT",UPPER(TRIM($C111))="PTE"),OR($P111="",N($P111)&gt;=PT_MinHours)),"PT","None")),IF(OR(ISNUMBER(SEARCH("full",AM111)),UPPER(TRIM(AM111))="FT",UPPER(TRIM(AM111))="FTE"),"FT",IF(AND(OR(ISNUMBER(SEARCH("part",AM111)),UPPER(TRIM(AM111))="PT",UPPER(TRIM(AM111))="PTE"),OR($P111="",N($P111)&gt;=PT_MinHours)),"PT","None"))))</f>
        <v/>
      </c>
      <c r="AQ111" s="14" t="str">
        <f aca="false">IF(AG111=0,"",IF(AI111&lt;2,"",IF(OR(ISNUMBER(SEARCH("full",AN111)),UPPER(TRIM(AN111))="FT",UPPER(TRIM(AN111))="FTE"),"FT",IF(AND(OR(ISNUMBER(SEARCH("part",AN111)),UPPER(TRIM(AN111))="PT",UPPER(TRIM(AN111))="PTE"),OR($P111="",N($P111)&gt;=PT_MinHours)),"PT","None"))))</f>
        <v/>
      </c>
      <c r="AR111" s="14" t="str">
        <f aca="false">IF(AG111=0,"",IF(AI111&lt;3,"",IF(OR(ISNUMBER(SEARCH("full",AO111)),UPPER(TRIM(AO111))="FT",UPPER(TRIM(AO111))="FTE"),"FT",IF(AND(OR(ISNUMBER(SEARCH("part",AO111)),UPPER(TRIM(AO111))="PT",UPPER(TRIM(AO111))="PTE"),OR($P111="",N($P111)&gt;=PT_MinHours)),"PT","None"))))</f>
        <v/>
      </c>
      <c r="AS111" s="14" t="str">
        <f aca="false">IF(AG111=0,"",IF(AND(AI111&gt;=3,AL111&lt;=AsOfDate),AR111,IF(AND(AI111&gt;=2,AK111&lt;=AsOfDate),AQ111,AP111)))</f>
        <v/>
      </c>
      <c r="AT111" s="14" t="str">
        <f aca="false">IF(AG111=0,"",IF(AsOfDate&lt;AH111,-1,12*(YEAR(AsOfDate)-YEAR(AH111))+MONTH(AsOfDate)-MONTH(AH111)-IF(DAY(AsOfDate)&lt;MIN(DAY(AH111),DAY(EOMONTH(AsOfDate,0))),1,0)))</f>
        <v/>
      </c>
      <c r="AU111" s="14" t="str">
        <f aca="false">IF(AG111=0,"",IF(OR(AI111&lt;2,AK111&gt;AsOfDate),AT111,IF((AK111-1)&lt;AH111,-1,12*(YEAR((AK111-1))-YEAR(AH111))+MONTH((AK111-1))-MONTH(AH111)-IF(DAY((AK111-1))&lt;MIN(DAY(AH111),DAY(EOMONTH((AK111-1),0))),1,0))))</f>
        <v/>
      </c>
      <c r="AV111" s="14" t="str">
        <f aca="false">IF(AG111=0,"",IF(OR(AI111&lt;3,AL111&gt;AsOfDate),AT111,IF((AL111-1)&lt;AH111,-1,12*(YEAR((AL111-1))-YEAR(AH111))+MONTH((AL111-1))-MONTH(AH111)-IF(DAY((AL111-1))&lt;MIN(DAY(AH111),DAY(EOMONTH((AL111-1),0))),1,0))))</f>
        <v/>
      </c>
      <c r="AW111" s="14" t="str">
        <f aca="false">IF(AG111=0,"",IF(PFYDate&lt;AH111,-1,12*(YEAR(PFYDate)-YEAR(AH111))+MONTH(PFYDate)-MONTH(AH111)-IF(DAY(PFYDate)&lt;MIN(DAY(AH111),DAY(EOMONTH(PFYDate,0))),1,0)))</f>
        <v/>
      </c>
      <c r="AX111" s="14" t="str">
        <f aca="false">IF(AG111=0,"",IF(OR(AI111&lt;2,AK111&gt;PFYDate),AW111,IF((AK111-1)&lt;AH111,-1,12*(YEAR((AK111-1))-YEAR(AH111))+MONTH((AK111-1))-MONTH(AH111)-IF(DAY((AK111-1))&lt;MIN(DAY(AH111),DAY(EOMONTH((AK111-1),0))),1,0))))</f>
        <v/>
      </c>
      <c r="AY111" s="14" t="str">
        <f aca="false">IF(AG111=0,"",IF(OR(AI111&lt;3,AL111&gt;PFYDate),AW111,IF((AL111-1)&lt;AH111,-1,12*(YEAR((AL111-1))-YEAR(AH111))+MONTH((AL111-1))-MONTH(AH111)-IF(DAY((AL111-1))&lt;MIN(DAY(AH111),DAY(EOMONTH((AL111-1),0))),1,0))))</f>
        <v/>
      </c>
      <c r="AZ111" s="14" t="str">
        <f aca="false">IF(AG111=0,"",IF(AP111="FT",IF(AU111&lt;FT_First,0,IF(AU111&lt;FT_Y5,1+INT((AU111-FT_First)/FT_Int1),FT_PreY5+FT_PerYear*INT((AU111-FT_Y5)/12)+FT_AnnivDays+INT(MOD(AU111-FT_Y5,12)/FT_Int2))),IF(AP111="PT",IF(AU111&lt;PT_First,0,1+INT((AU111-PT_First)/PT_Int)),0))+IF(AND(AI111&gt;=2,AK111&lt;=AsOfDate),IF(AQ111="FT",IF(AV111&lt;FT_First,0,IF(AV111&lt;FT_Y5,1+INT((AV111-FT_First)/FT_Int1),FT_PreY5+FT_PerYear*INT((AV111-FT_Y5)/12)+FT_AnnivDays+INT(MOD(AV111-FT_Y5,12)/FT_Int2))),IF(AQ111="PT",IF(AV111&lt;PT_First,0,1+INT((AV111-PT_First)/PT_Int)),0))-IF(AQ111="FT",IF(AU111&lt;FT_First,0,IF(AU111&lt;FT_Y5,1+INT((AU111-FT_First)/FT_Int1),FT_PreY5+FT_PerYear*INT((AU111-FT_Y5)/12)+FT_AnnivDays+INT(MOD(AU111-FT_Y5,12)/FT_Int2))),IF(AQ111="PT",IF(AU111&lt;PT_First,0,1+INT((AU111-PT_First)/PT_Int)),0)),0)+IF(AND(AI111&gt;=3,AL111&lt;=AsOfDate),IF(AR111="FT",IF(AT111&lt;FT_First,0,IF(AT111&lt;FT_Y5,1+INT((AT111-FT_First)/FT_Int1),FT_PreY5+FT_PerYear*INT((AT111-FT_Y5)/12)+FT_AnnivDays+INT(MOD(AT111-FT_Y5,12)/FT_Int2))),IF(AR111="PT",IF(AT111&lt;PT_First,0,1+INT((AT111-PT_First)/PT_Int)),0))-IF(AR111="FT",IF(AV111&lt;FT_First,0,IF(AV111&lt;FT_Y5,1+INT((AV111-FT_First)/FT_Int1),FT_PreY5+FT_PerYear*INT((AV111-FT_Y5)/12)+FT_AnnivDays+INT(MOD(AV111-FT_Y5,12)/FT_Int2))),IF(AR111="PT",IF(AV111&lt;PT_First,0,1+INT((AV111-PT_First)/PT_Int)),0)),0))</f>
        <v/>
      </c>
      <c r="BA111" s="14" t="str">
        <f aca="false">IF(AG111=0,"",IF(AP111="FT",IF(AX111&lt;FT_First,0,IF(AX111&lt;FT_Y5,1+INT((AX111-FT_First)/FT_Int1),FT_PreY5+FT_PerYear*INT((AX111-FT_Y5)/12)+FT_AnnivDays+INT(MOD(AX111-FT_Y5,12)/FT_Int2))),IF(AP111="PT",IF(AX111&lt;PT_First,0,1+INT((AX111-PT_First)/PT_Int)),0))+IF(AND(AI111&gt;=2,AK111&lt;=PFYDate),IF(AQ111="FT",IF(AY111&lt;FT_First,0,IF(AY111&lt;FT_Y5,1+INT((AY111-FT_First)/FT_Int1),FT_PreY5+FT_PerYear*INT((AY111-FT_Y5)/12)+FT_AnnivDays+INT(MOD(AY111-FT_Y5,12)/FT_Int2))),IF(AQ111="PT",IF(AY111&lt;PT_First,0,1+INT((AY111-PT_First)/PT_Int)),0))-IF(AQ111="FT",IF(AX111&lt;FT_First,0,IF(AX111&lt;FT_Y5,1+INT((AX111-FT_First)/FT_Int1),FT_PreY5+FT_PerYear*INT((AX111-FT_Y5)/12)+FT_AnnivDays+INT(MOD(AX111-FT_Y5,12)/FT_Int2))),IF(AQ111="PT",IF(AX111&lt;PT_First,0,1+INT((AX111-PT_First)/PT_Int)),0)),0)+IF(AND(AI111&gt;=3,AL111&lt;=PFYDate),IF(AR111="FT",IF(AW111&lt;FT_First,0,IF(AW111&lt;FT_Y5,1+INT((AW111-FT_First)/FT_Int1),FT_PreY5+FT_PerYear*INT((AW111-FT_Y5)/12)+FT_AnnivDays+INT(MOD(AW111-FT_Y5,12)/FT_Int2))),IF(AR111="PT",IF(AW111&lt;PT_First,0,1+INT((AW111-PT_First)/PT_Int)),0))-IF(AR111="FT",IF(AY111&lt;FT_First,0,IF(AY111&lt;FT_Y5,1+INT((AY111-FT_First)/FT_Int1),FT_PreY5+FT_PerYear*INT((AY111-FT_Y5)/12)+FT_AnnivDays+INT(MOD(AY111-FT_Y5,12)/FT_Int2))),IF(AR111="PT",IF(AY111&lt;PT_First,0,1+INT((AY111-PT_First)/PT_Int)),0)),0))</f>
        <v/>
      </c>
      <c r="BB111" s="14" t="str">
        <f aca="false">IF(AG111=0,"",IF(AS111="FT",IF(AT111&lt;FT_First,FT_First,IF(AT111&lt;FT_Y5,MIN(FT_Y5,FT_First+FT_Int1*(INT((AT111-FT_First)/FT_Int1)+1)),FT_Y5+12*INT((AT111-FT_Y5)/12)+FT_Int2*(INT(MOD(AT111-FT_Y5,12)/FT_Int2)+1))),IF(AS111="PT",IF(AT111&lt;PT_First,PT_First,PT_First+PT_Int*(INT((AT111-PT_First)/PT_Int)+1)),"")))</f>
        <v/>
      </c>
      <c r="BC111" s="14" t="str">
        <f aca="false">IF(AG111=0,"",IF(NOT(LH_Ready),0,COUNTIFS(INDEX(LH_Data,0,LH_ColFirst),$A111,INDEX(LH_Data,0,LH_ColSur),$B111,INDEX(LH_Data,0,LH_ColCat),BonusCat)))</f>
        <v/>
      </c>
      <c r="BD111" s="14" t="str">
        <f aca="false">IF(AG111=0,"",IF(OR(NOT(LH_Ready),BC111=0),0,SUMPRODUCT(MAX((INDEX(LH_Data,0,LH_ColFirst)=$A111)*(INDEX(LH_Data,0,LH_ColSur)=$B111)*(INDEX(LH_Data,0,LH_ColCat)=BonusCat)*ROW(LH_Data)))))</f>
        <v/>
      </c>
      <c r="BE111" s="14" t="str">
        <f aca="false">IF(AG111=0,"",IF(EOMONTH(AsOfDate,-1)&lt;AH111,-1,12*(YEAR(EOMONTH(AsOfDate,-1))-YEAR(AH111))+MONTH(EOMONTH(AsOfDate,-1))-MONTH(AH111)-IF(DAY(EOMONTH(AsOfDate,-1))&lt;MIN(DAY(AH111),DAY(EOMONTH(EOMONTH(AsOfDate,-1),0))),1,0)))</f>
        <v/>
      </c>
      <c r="BF111" s="14" t="str">
        <f aca="false">IF(AG111=0,"",IF(OR(AI111&lt;2,AK111&gt;EOMONTH(AsOfDate,-1)),BE111,IF((AK111-1)&lt;AH111,-1,12*(YEAR((AK111-1))-YEAR(AH111))+MONTH((AK111-1))-MONTH(AH111)-IF(DAY((AK111-1))&lt;MIN(DAY(AH111),DAY(EOMONTH((AK111-1),0))),1,0))))</f>
        <v/>
      </c>
      <c r="BG111" s="14" t="str">
        <f aca="false">IF(AG111=0,"",IF(OR(AI111&lt;3,AL111&gt;EOMONTH(AsOfDate,-1)),BE111,IF((AL111-1)&lt;AH111,-1,12*(YEAR((AL111-1))-YEAR(AH111))+MONTH((AL111-1))-MONTH(AH111)-IF(DAY((AL111-1))&lt;MIN(DAY(AH111),DAY(EOMONTH((AL111-1),0))),1,0))))</f>
        <v/>
      </c>
      <c r="BH111" s="14" t="str">
        <f aca="false">IF(AG111=0,"",IF(AP111="FT",IF(BF111&lt;FT_First,0,IF(BF111&lt;FT_Y5,1+INT((BF111-FT_First)/FT_Int1),FT_PreY5+FT_PerYear*INT((BF111-FT_Y5)/12)+FT_AnnivDays+INT(MOD(BF111-FT_Y5,12)/FT_Int2))),IF(AP111="PT",IF(BF111&lt;PT_First,0,1+INT((BF111-PT_First)/PT_Int)),0))+IF(AND(AI111&gt;=2,AK111&lt;=EOMONTH(AsOfDate,-1)),IF(AQ111="FT",IF(BG111&lt;FT_First,0,IF(BG111&lt;FT_Y5,1+INT((BG111-FT_First)/FT_Int1),FT_PreY5+FT_PerYear*INT((BG111-FT_Y5)/12)+FT_AnnivDays+INT(MOD(BG111-FT_Y5,12)/FT_Int2))),IF(AQ111="PT",IF(BG111&lt;PT_First,0,1+INT((BG111-PT_First)/PT_Int)),0))-IF(AQ111="FT",IF(BF111&lt;FT_First,0,IF(BF111&lt;FT_Y5,1+INT((BF111-FT_First)/FT_Int1),FT_PreY5+FT_PerYear*INT((BF111-FT_Y5)/12)+FT_AnnivDays+INT(MOD(BF111-FT_Y5,12)/FT_Int2))),IF(AQ111="PT",IF(BF111&lt;PT_First,0,1+INT((BF111-PT_First)/PT_Int)),0)),0)+IF(AND(AI111&gt;=3,AL111&lt;=EOMONTH(AsOfDate,-1)),IF(AR111="FT",IF(BE111&lt;FT_First,0,IF(BE111&lt;FT_Y5,1+INT((BE111-FT_First)/FT_Int1),FT_PreY5+FT_PerYear*INT((BE111-FT_Y5)/12)+FT_AnnivDays+INT(MOD(BE111-FT_Y5,12)/FT_Int2))),IF(AR111="PT",IF(BE111&lt;PT_First,0,1+INT((BE111-PT_First)/PT_Int)),0))-IF(AR111="FT",IF(BG111&lt;FT_First,0,IF(BG111&lt;FT_Y5,1+INT((BG111-FT_First)/FT_Int1),FT_PreY5+FT_PerYear*INT((BG111-FT_Y5)/12)+FT_AnnivDays+INT(MOD(BG111-FT_Y5,12)/FT_Int2))),IF(AR111="PT",IF(BG111&lt;PT_First,0,1+INT((BG111-PT_First)/PT_Int)),0)),0))</f>
        <v/>
      </c>
      <c r="BI111" s="14" t="str">
        <f aca="false">IF(AG111=0,"",IF(AS111="FT",IF(AT111&lt;FT_First,"",IF(AT111&lt;FT_Y5,FT_First+FT_Int1*INT((AT111-FT_First)/FT_Int1),FT_Y5+FT_Int2*INT((AT111-FT_Y5)/FT_Int2))),IF(AS111="PT",IF(AT111&lt;PT_First,"",PT_First+PT_Int*INT((AT111-PT_First)/PT_Int)),"")))</f>
        <v/>
      </c>
      <c r="BJ111" s="0" t="str">
        <f aca="false">IF(LEN($A111&amp;$B111)=0,"",$A111&amp;" "&amp;$B111)</f>
        <v/>
      </c>
    </row>
    <row r="112" customFormat="false" ht="15" hidden="false" customHeight="false" outlineLevel="0" collapsed="false">
      <c r="A112" s="10"/>
      <c r="B112" s="10"/>
      <c r="C112" s="10"/>
      <c r="D112" s="11"/>
      <c r="E112" s="12" t="str">
        <f aca="false">IF(OR(AG112=0,$D112=""),"",DATE(YEAR(AsOfDate)+IF(DATE(YEAR(AsOfDate),MONTH($D112),DAY($D112))&lt;=AsOfDate,1,0),MONTH($D112),DAY($D112)))</f>
        <v/>
      </c>
      <c r="F112" s="11"/>
      <c r="G112" s="11"/>
      <c r="H112" s="11"/>
      <c r="I112" s="11"/>
      <c r="J112" s="11"/>
      <c r="K112" s="12" t="str">
        <f aca="false">IF(AG112=0,"",DATE(YEAR(AsOfDate)+IF(DATE(YEAR(AsOfDate),MONTH(AH112),DAY(AH112))&lt;=AsOfDate,1,0),MONTH(AH112),DAY(AH112)))</f>
        <v/>
      </c>
      <c r="L112" s="13" t="str">
        <f aca="false">IF(AG112=0,"",ROUND((AsOfDate-AH112)/365.25,1))</f>
        <v/>
      </c>
      <c r="M112" s="14" t="str">
        <f aca="false">IF(AG112=0,"",IF(AsOfDate&lt;AH112,"-",DATEDIF(AH112,AsOfDate,"y")&amp;"y "&amp;DATEDIF(AH112,AsOfDate,"ym")&amp;"m "&amp;DATEDIF(AH112,AsOfDate,"md")&amp;"d"))</f>
        <v/>
      </c>
      <c r="N112" s="15" t="str">
        <f aca="false">IF(AG112=0,"",O112*HoursPerDay)</f>
        <v/>
      </c>
      <c r="O112" s="15" t="str">
        <f aca="false">IF(AG112=0,"",AZ112)</f>
        <v/>
      </c>
      <c r="P112" s="16"/>
      <c r="Q112" s="14" t="str">
        <f aca="false">IF(AG112=0,"",IF(AI112&lt;2,"",AM112&amp;" to "&amp;AN112&amp;" on "&amp;TEXT(AK112,"dd/mm/yyyy")&amp;IF(AK112&gt;AsOfDate," (future)",IF(AP112=AQ112,"",IF(AQ112="None"," - STOPPED accruing",IF(AP112="None"," - commencement for Bonus Leave"," - pathway changed"))))&amp;IF(AI112&lt;3,"","; "&amp;AN112&amp;" to "&amp;AO112&amp;" on "&amp;TEXT(AL112,"dd/mm/yyyy")&amp;IF(AL112&gt;AsOfDate," (future)",IF(AQ112=AR112,"",IF(AR112="None"," - STOPPED accruing",IF(AQ112="None"," - commencement for Bonus Leave"," - pathway changed")))))))</f>
        <v/>
      </c>
      <c r="R112" s="14" t="str">
        <f aca="false">IF(AG112=0,"",IF(AS112="None",IF(O112&gt;0,"No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2" t="str">
        <f aca="false">IF(AG112=0,"",IF(AS112="None","",EDATE(AH112,BB112)))</f>
        <v/>
      </c>
      <c r="T112" s="15" t="str">
        <f aca="false">IF(AG112=0,"",IF(NOT(LH_Ready),"",IF(AH112&gt;PFYDate,0,IF(LH_ColPeriod=0,W112-U112+V112,SUMIFS(INDEX(LH_Data,0,LH_ColAcc),INDEX(LH_Data,0,LH_ColFirst),$A112,INDEX(LH_Data,0,LH_ColSur),$B112,INDEX(LH_Data,0,LH_ColCat),BonusCat,INDEX(LH_Data,0,LH_ColPeriod),LH_OpenLabel)*UnitFactor))))</f>
        <v/>
      </c>
      <c r="U112" s="15" t="str">
        <f aca="false">IF(AG112=0,"",IF(NOT(LH_Ready),"",SUMIFS(INDEX(LH_Data,0,LH_ColAcc),INDEX(LH_Data,0,LH_ColFirst),$A112,INDEX(LH_Data,0,LH_ColSur),$B112,INDEX(LH_Data,0,LH_ColCat),BonusCat,INDEX(LH_Data,0,LH_ColStart),"&gt;="&amp;AH112)*UnitFactor))</f>
        <v/>
      </c>
      <c r="V112" s="15" t="str">
        <f aca="false">IF(AG112=0,"",IF(NOT(LH_Ready),"",SUMIFS(INDEX(LH_Data,0,LH_ColTaken),INDEX(LH_Data,0,LH_ColFirst),$A112,INDEX(LH_Data,0,LH_ColSur),$B112,INDEX(LH_Data,0,LH_ColCat),BonusCat,INDEX(LH_Data,0,LH_ColStart),"&gt;="&amp;AH112)*UnitFactor))</f>
        <v/>
      </c>
      <c r="W112" s="15" t="str">
        <f aca="false">IF(AG112=0,"",IF(NOT(LH_Ready),"",IF(BD112=0,0,INDEX(INDEX(LH_Data,0,LH_ColClose),BD112-1)*UnitFactor)))</f>
        <v/>
      </c>
      <c r="X112" s="15" t="str">
        <f aca="false">IF(AG112=0,"",(AZ112-BA112)*HoursPerDay)</f>
        <v/>
      </c>
      <c r="Y112" s="15" t="str">
        <f aca="false">IF(AG112=0,"",IF(NOT(LH_Ready),"",IF(BC112=0,N112,IF(PFYDate&lt;$F112,N112-N(T112)-N(U112),X112-N(U112)))))</f>
        <v/>
      </c>
      <c r="Z112" s="14" t="str">
        <f aca="false">IF(OR(AG112=0,Y112=""),"",IF(Y112&gt;0,"Yes","No"))</f>
        <v/>
      </c>
      <c r="AA112" s="14" t="str">
        <f aca="false">IF(AG112=0,IF(LEN($A112&amp;$B112)=0,"","FIX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month")&amp;IF(BC112=0,";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EH)",""),IF(AS112="None",R112,"Not yet - first day on "&amp;TEXT(S112,"dd/mm/yyyy")))))))))</f>
        <v/>
      </c>
      <c r="AB112" s="15" t="str">
        <f aca="false">IF(OR(AG112=0,T112=""),"",BA112*HoursPerDay-T112)</f>
        <v/>
      </c>
      <c r="AC112" s="14" t="str">
        <f aca="false">IF(AG112=0,"",BC112)</f>
        <v/>
      </c>
      <c r="AD112" s="14" t="str">
        <f aca="false">IF(AG112=0,"",TRIM(IF(OR(ISTEXT($F112),ISTEXT($H112),ISTEXT($I112),ISTEXT($G112),ISTEXT($J112),ISTEXT($D112)),"A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I112&gt;=1,IF(AI112&gt;=3,AO112,IF(AI112=2,AN112,AM112))&lt;&gt;IF($C112="","",IF(OR(ISNUMBER(SEARCH("full",$C112)),UPPER(TRIM($C112))="FT",UPPER(TRIM($C112))="FTE"),"Full-Time",IF(OR(ISNUMBER(SEARCH("part",$C112)),UPPER(TRIM($C112))="PT",UPPER(TRIM($C112))="PTE"),"Part-Time",IF(OR(ISNUMBER(SEARCH("cas",$C112)),UPPER(TRIM($C112))="CAS"),"Casual","Unknown"))))),"EmploymentType does not match latest start date ("&amp;IF(AI112&gt;=3,AO112,IF(AI112=2,AN112,AM112))&amp;"). ","")&amp;IF(AND(AI112&gt;=1,AJ112&lt;&gt;$F112),"Earliest type date should equal StartDate. ","")&amp;IF(AND(AI112&gt;=2,AJ112=AK112),"Two types start on the same date. ","")&amp;IF(AND(OR(ISNUMBER(SEARCH("part",$C112)),UPPER(TRIM($C112))="PT",UPPER(TRIM($C112))="PTE"),$P112=""),"Part-time: enter PT Hrs/Week (blank = 24+). ","")))</f>
        <v/>
      </c>
      <c r="AE112" s="15" t="str">
        <f aca="false">IF(AG112=0,"",O112-BH112)</f>
        <v/>
      </c>
      <c r="AF112" s="12" t="str">
        <f aca="false">IF(OR(AG112=0,AE112="",N(AE112)=0,BI112=""),"",EDATE(AH112,BI112))</f>
        <v/>
      </c>
      <c r="AG112" s="14" t="n">
        <f aca="false">IF(OR(LEN($A112&amp;$B112)=0,$F112=""),0,1)</f>
        <v>0</v>
      </c>
      <c r="AH112" s="12" t="str">
        <f aca="false">IF(AG112=0,"",IF($J112&lt;&gt;"",$J112,IF(OR(CasualCounts="Yes",COUNT($G112:$I112)=0,COUNT($H112:$I112)=0),$F112,MIN($H112:$I112))))</f>
        <v/>
      </c>
      <c r="AI112" s="14" t="str">
        <f aca="false">IF(AG112=0,"",COUNT($G112:$I112))</f>
        <v/>
      </c>
      <c r="AJ112" s="12" t="str">
        <f aca="false">IF(AG112=0,"",IFERROR(SMALL($G112:$I112,1),""))</f>
        <v/>
      </c>
      <c r="AK112" s="12" t="str">
        <f aca="false">IF(AG112=0,"",IFERROR(SMALL($G112:$I112,2),""))</f>
        <v/>
      </c>
      <c r="AL112" s="12" t="str">
        <f aca="false">IF(AG112=0,"",IFERROR(SMALL($G112:$I112,3),""))</f>
        <v/>
      </c>
      <c r="AM112" s="14" t="str">
        <f aca="false">IF(AG112=0,"",IF(AJ112="","",IF(AJ112=$H112,"Part-Time",IF(AJ112=$I112,"Full-Time","Casual"))))</f>
        <v/>
      </c>
      <c r="AN112" s="14" t="str">
        <f aca="false">IF(AG112=0,"",IF(AK112="","",IF(AK112=$H112,"Part-Time",IF(AK112=$I112,"Full-Time","Casual"))))</f>
        <v/>
      </c>
      <c r="AO112" s="14" t="str">
        <f aca="false">IF(AG112=0,"",IF(AL112="","",IF(AL112=$H112,"Part-Time",IF(AL112=$I112,"Full-Time","Casual"))))</f>
        <v/>
      </c>
      <c r="AP112" s="14" t="str">
        <f aca="false">IF(AG112=0,"",IF(AI112=0,IF(OR(ISNUMBER(SEARCH("full",$C112)),UPPER(TRIM($C112))="FT",UPPER(TRIM($C112))="FTE"),"FT",IF(AND(OR(ISNUMBER(SEARCH("part",$C112)),UPPER(TRIM($C112))="PT",UPPER(TRIM($C112))="PTE"),OR($P112="",N($P112)&gt;=PT_MinHours)),"PT","None")),IF(OR(ISNUMBER(SEARCH("full",AM112)),UPPER(TRIM(AM112))="FT",UPPER(TRIM(AM112))="FTE"),"FT",IF(AND(OR(ISNUMBER(SEARCH("part",AM112)),UPPER(TRIM(AM112))="PT",UPPER(TRIM(AM112))="PTE"),OR($P112="",N($P112)&gt;=PT_MinHours)),"PT","None"))))</f>
        <v/>
      </c>
      <c r="AQ112" s="14" t="str">
        <f aca="false">IF(AG112=0,"",IF(AI112&lt;2,"",IF(OR(ISNUMBER(SEARCH("full",AN112)),UPPER(TRIM(AN112))="FT",UPPER(TRIM(AN112))="FTE"),"FT",IF(AND(OR(ISNUMBER(SEARCH("part",AN112)),UPPER(TRIM(AN112))="PT",UPPER(TRIM(AN112))="PTE"),OR($P112="",N($P112)&gt;=PT_MinHours)),"PT","None"))))</f>
        <v/>
      </c>
      <c r="AR112" s="14" t="str">
        <f aca="false">IF(AG112=0,"",IF(AI112&lt;3,"",IF(OR(ISNUMBER(SEARCH("full",AO112)),UPPER(TRIM(AO112))="FT",UPPER(TRIM(AO112))="FTE"),"FT",IF(AND(OR(ISNUMBER(SEARCH("part",AO112)),UPPER(TRIM(AO112))="PT",UPPER(TRIM(AO112))="PTE"),OR($P112="",N($P112)&gt;=PT_MinHours)),"PT","None"))))</f>
        <v/>
      </c>
      <c r="AS112" s="14" t="str">
        <f aca="false">IF(AG112=0,"",IF(AND(AI112&gt;=3,AL112&lt;=AsOfDate),AR112,IF(AND(AI112&gt;=2,AK112&lt;=AsOfDate),AQ112,AP112)))</f>
        <v/>
      </c>
      <c r="AT112" s="14" t="str">
        <f aca="false">IF(AG112=0,"",IF(AsOfDate&lt;AH112,-1,12*(YEAR(AsOfDate)-YEAR(AH112))+MONTH(AsOfDate)-MONTH(AH112)-IF(DAY(AsOfDate)&lt;MIN(DAY(AH112),DAY(EOMONTH(AsOfDate,0))),1,0)))</f>
        <v/>
      </c>
      <c r="AU112" s="14" t="str">
        <f aca="false">IF(AG112=0,"",IF(OR(AI112&lt;2,AK112&gt;AsOfDate),AT112,IF((AK112-1)&lt;AH112,-1,12*(YEAR((AK112-1))-YEAR(AH112))+MONTH((AK112-1))-MONTH(AH112)-IF(DAY((AK112-1))&lt;MIN(DAY(AH112),DAY(EOMONTH((AK112-1),0))),1,0))))</f>
        <v/>
      </c>
      <c r="AV112" s="14" t="str">
        <f aca="false">IF(AG112=0,"",IF(OR(AI112&lt;3,AL112&gt;AsOfDate),AT112,IF((AL112-1)&lt;AH112,-1,12*(YEAR((AL112-1))-YEAR(AH112))+MONTH((AL112-1))-MONTH(AH112)-IF(DAY((AL112-1))&lt;MIN(DAY(AH112),DAY(EOMONTH((AL112-1),0))),1,0))))</f>
        <v/>
      </c>
      <c r="AW112" s="14" t="str">
        <f aca="false">IF(AG112=0,"",IF(PFYDate&lt;AH112,-1,12*(YEAR(PFYDate)-YEAR(AH112))+MONTH(PFYDate)-MONTH(AH112)-IF(DAY(PFYDate)&lt;MIN(DAY(AH112),DAY(EOMONTH(PFYDate,0))),1,0)))</f>
        <v/>
      </c>
      <c r="AX112" s="14" t="str">
        <f aca="false">IF(AG112=0,"",IF(OR(AI112&lt;2,AK112&gt;PFYDate),AW112,IF((AK112-1)&lt;AH112,-1,12*(YEAR((AK112-1))-YEAR(AH112))+MONTH((AK112-1))-MONTH(AH112)-IF(DAY((AK112-1))&lt;MIN(DAY(AH112),DAY(EOMONTH((AK112-1),0))),1,0))))</f>
        <v/>
      </c>
      <c r="AY112" s="14" t="str">
        <f aca="false">IF(AG112=0,"",IF(OR(AI112&lt;3,AL112&gt;PFYDate),AW112,IF((AL112-1)&lt;AH112,-1,12*(YEAR((AL112-1))-YEAR(AH112))+MONTH((AL112-1))-MONTH(AH112)-IF(DAY((AL112-1))&lt;MIN(DAY(AH112),DAY(EOMONTH((AL112-1),0))),1,0))))</f>
        <v/>
      </c>
      <c r="AZ112" s="14" t="str">
        <f aca="false">IF(AG112=0,"",IF(AP112="FT",IF(AU112&lt;FT_First,0,IF(AU112&lt;FT_Y5,1+INT((AU112-FT_First)/FT_Int1),FT_PreY5+FT_PerYear*INT((AU112-FT_Y5)/12)+FT_AnnivDays+INT(MOD(AU112-FT_Y5,12)/FT_Int2))),IF(AP112="PT",IF(AU112&lt;PT_First,0,1+INT((AU112-PT_First)/PT_Int)),0))+IF(AND(AI112&gt;=2,AK112&lt;=AsOfDate),IF(AQ112="FT",IF(AV112&lt;FT_First,0,IF(AV112&lt;FT_Y5,1+INT((AV112-FT_First)/FT_Int1),FT_PreY5+FT_PerYear*INT((AV112-FT_Y5)/12)+FT_AnnivDays+INT(MOD(AV112-FT_Y5,12)/FT_Int2))),IF(AQ112="PT",IF(AV112&lt;PT_First,0,1+INT((AV112-PT_First)/PT_Int)),0))-IF(AQ112="FT",IF(AU112&lt;FT_First,0,IF(AU112&lt;FT_Y5,1+INT((AU112-FT_First)/FT_Int1),FT_PreY5+FT_PerYear*INT((AU112-FT_Y5)/12)+FT_AnnivDays+INT(MOD(AU112-FT_Y5,12)/FT_Int2))),IF(AQ112="PT",IF(AU112&lt;PT_First,0,1+INT((AU112-PT_First)/PT_Int)),0)),0)+IF(AND(AI112&gt;=3,AL112&lt;=AsOfDate),IF(AR112="FT",IF(AT112&lt;FT_First,0,IF(AT112&lt;FT_Y5,1+INT((AT112-FT_First)/FT_Int1),FT_PreY5+FT_PerYear*INT((AT112-FT_Y5)/12)+FT_AnnivDays+INT(MOD(AT112-FT_Y5,12)/FT_Int2))),IF(AR112="PT",IF(AT112&lt;PT_First,0,1+INT((AT112-PT_First)/PT_Int)),0))-IF(AR112="FT",IF(AV112&lt;FT_First,0,IF(AV112&lt;FT_Y5,1+INT((AV112-FT_First)/FT_Int1),FT_PreY5+FT_PerYear*INT((AV112-FT_Y5)/12)+FT_AnnivDays+INT(MOD(AV112-FT_Y5,12)/FT_Int2))),IF(AR112="PT",IF(AV112&lt;PT_First,0,1+INT((AV112-PT_First)/PT_Int)),0)),0))</f>
        <v/>
      </c>
      <c r="BA112" s="14" t="str">
        <f aca="false">IF(AG112=0,"",IF(AP112="FT",IF(AX112&lt;FT_First,0,IF(AX112&lt;FT_Y5,1+INT((AX112-FT_First)/FT_Int1),FT_PreY5+FT_PerYear*INT((AX112-FT_Y5)/12)+FT_AnnivDays+INT(MOD(AX112-FT_Y5,12)/FT_Int2))),IF(AP112="PT",IF(AX112&lt;PT_First,0,1+INT((AX112-PT_First)/PT_Int)),0))+IF(AND(AI112&gt;=2,AK112&lt;=PFYDate),IF(AQ112="FT",IF(AY112&lt;FT_First,0,IF(AY112&lt;FT_Y5,1+INT((AY112-FT_First)/FT_Int1),FT_PreY5+FT_PerYear*INT((AY112-FT_Y5)/12)+FT_AnnivDays+INT(MOD(AY112-FT_Y5,12)/FT_Int2))),IF(AQ112="PT",IF(AY112&lt;PT_First,0,1+INT((AY112-PT_First)/PT_Int)),0))-IF(AQ112="FT",IF(AX112&lt;FT_First,0,IF(AX112&lt;FT_Y5,1+INT((AX112-FT_First)/FT_Int1),FT_PreY5+FT_PerYear*INT((AX112-FT_Y5)/12)+FT_AnnivDays+INT(MOD(AX112-FT_Y5,12)/FT_Int2))),IF(AQ112="PT",IF(AX112&lt;PT_First,0,1+INT((AX112-PT_First)/PT_Int)),0)),0)+IF(AND(AI112&gt;=3,AL112&lt;=PFYDate),IF(AR112="FT",IF(AW112&lt;FT_First,0,IF(AW112&lt;FT_Y5,1+INT((AW112-FT_First)/FT_Int1),FT_PreY5+FT_PerYear*INT((AW112-FT_Y5)/12)+FT_AnnivDays+INT(MOD(AW112-FT_Y5,12)/FT_Int2))),IF(AR112="PT",IF(AW112&lt;PT_First,0,1+INT((AW112-PT_First)/PT_Int)),0))-IF(AR112="FT",IF(AY112&lt;FT_First,0,IF(AY112&lt;FT_Y5,1+INT((AY112-FT_First)/FT_Int1),FT_PreY5+FT_PerYear*INT((AY112-FT_Y5)/12)+FT_AnnivDays+INT(MOD(AY112-FT_Y5,12)/FT_Int2))),IF(AR112="PT",IF(AY112&lt;PT_First,0,1+INT((AY112-PT_First)/PT_Int)),0)),0))</f>
        <v/>
      </c>
      <c r="BB112" s="14" t="str">
        <f aca="false">IF(AG112=0,"",IF(AS112="FT",IF(AT112&lt;FT_First,FT_First,IF(AT112&lt;FT_Y5,MIN(FT_Y5,FT_First+FT_Int1*(INT((AT112-FT_First)/FT_Int1)+1)),FT_Y5+12*INT((AT112-FT_Y5)/12)+FT_Int2*(INT(MOD(AT112-FT_Y5,12)/FT_Int2)+1))),IF(AS112="PT",IF(AT112&lt;PT_First,PT_First,PT_First+PT_Int*(INT((AT112-PT_First)/PT_Int)+1)),"")))</f>
        <v/>
      </c>
      <c r="BC112" s="14" t="str">
        <f aca="false">IF(AG112=0,"",IF(NOT(LH_Ready),0,COUNTIFS(INDEX(LH_Data,0,LH_ColFirst),$A112,INDEX(LH_Data,0,LH_ColSur),$B112,INDEX(LH_Data,0,LH_ColCat),BonusCat)))</f>
        <v/>
      </c>
      <c r="BD112" s="14" t="str">
        <f aca="false">IF(AG112=0,"",IF(OR(NOT(LH_Ready),BC112=0),0,SUMPRODUCT(MAX((INDEX(LH_Data,0,LH_ColFirst)=$A112)*(INDEX(LH_Data,0,LH_ColSur)=$B112)*(INDEX(LH_Data,0,LH_ColCat)=BonusCat)*ROW(LH_Data)))))</f>
        <v/>
      </c>
      <c r="BE112" s="14" t="str">
        <f aca="false">IF(AG112=0,"",IF(EOMONTH(AsOfDate,-1)&lt;AH112,-1,12*(YEAR(EOMONTH(AsOfDate,-1))-YEAR(AH112))+MONTH(EOMONTH(AsOfDate,-1))-MONTH(AH112)-IF(DAY(EOMONTH(AsOfDate,-1))&lt;MIN(DAY(AH112),DAY(EOMONTH(EOMONTH(AsOfDate,-1),0))),1,0)))</f>
        <v/>
      </c>
      <c r="BF112" s="14" t="str">
        <f aca="false">IF(AG112=0,"",IF(OR(AI112&lt;2,AK112&gt;EOMONTH(AsOfDate,-1)),BE112,IF((AK112-1)&lt;AH112,-1,12*(YEAR((AK112-1))-YEAR(AH112))+MONTH((AK112-1))-MONTH(AH112)-IF(DAY((AK112-1))&lt;MIN(DAY(AH112),DAY(EOMONTH((AK112-1),0))),1,0))))</f>
        <v/>
      </c>
      <c r="BG112" s="14" t="str">
        <f aca="false">IF(AG112=0,"",IF(OR(AI112&lt;3,AL112&gt;EOMONTH(AsOfDate,-1)),BE112,IF((AL112-1)&lt;AH112,-1,12*(YEAR((AL112-1))-YEAR(AH112))+MONTH((AL112-1))-MONTH(AH112)-IF(DAY((AL112-1))&lt;MIN(DAY(AH112),DAY(EOMONTH((AL112-1),0))),1,0))))</f>
        <v/>
      </c>
      <c r="BH112" s="14" t="str">
        <f aca="false">IF(AG112=0,"",IF(AP112="FT",IF(BF112&lt;FT_First,0,IF(BF112&lt;FT_Y5,1+INT((BF112-FT_First)/FT_Int1),FT_PreY5+FT_PerYear*INT((BF112-FT_Y5)/12)+FT_AnnivDays+INT(MOD(BF112-FT_Y5,12)/FT_Int2))),IF(AP112="PT",IF(BF112&lt;PT_First,0,1+INT((BF112-PT_First)/PT_Int)),0))+IF(AND(AI112&gt;=2,AK112&lt;=EOMONTH(AsOfDate,-1)),IF(AQ112="FT",IF(BG112&lt;FT_First,0,IF(BG112&lt;FT_Y5,1+INT((BG112-FT_First)/FT_Int1),FT_PreY5+FT_PerYear*INT((BG112-FT_Y5)/12)+FT_AnnivDays+INT(MOD(BG112-FT_Y5,12)/FT_Int2))),IF(AQ112="PT",IF(BG112&lt;PT_First,0,1+INT((BG112-PT_First)/PT_Int)),0))-IF(AQ112="FT",IF(BF112&lt;FT_First,0,IF(BF112&lt;FT_Y5,1+INT((BF112-FT_First)/FT_Int1),FT_PreY5+FT_PerYear*INT((BF112-FT_Y5)/12)+FT_AnnivDays+INT(MOD(BF112-FT_Y5,12)/FT_Int2))),IF(AQ112="PT",IF(BF112&lt;PT_First,0,1+INT((BF112-PT_First)/PT_Int)),0)),0)+IF(AND(AI112&gt;=3,AL112&lt;=EOMONTH(AsOfDate,-1)),IF(AR112="FT",IF(BE112&lt;FT_First,0,IF(BE112&lt;FT_Y5,1+INT((BE112-FT_First)/FT_Int1),FT_PreY5+FT_PerYear*INT((BE112-FT_Y5)/12)+FT_AnnivDays+INT(MOD(BE112-FT_Y5,12)/FT_Int2))),IF(AR112="PT",IF(BE112&lt;PT_First,0,1+INT((BE112-PT_First)/PT_Int)),0))-IF(AR112="FT",IF(BG112&lt;FT_First,0,IF(BG112&lt;FT_Y5,1+INT((BG112-FT_First)/FT_Int1),FT_PreY5+FT_PerYear*INT((BG112-FT_Y5)/12)+FT_AnnivDays+INT(MOD(BG112-FT_Y5,12)/FT_Int2))),IF(AR112="PT",IF(BG112&lt;PT_First,0,1+INT((BG112-PT_First)/PT_Int)),0)),0))</f>
        <v/>
      </c>
      <c r="BI112" s="14" t="str">
        <f aca="false">IF(AG112=0,"",IF(AS112="FT",IF(AT112&lt;FT_First,"",IF(AT112&lt;FT_Y5,FT_First+FT_Int1*INT((AT112-FT_First)/FT_Int1),FT_Y5+FT_Int2*INT((AT112-FT_Y5)/FT_Int2))),IF(AS112="PT",IF(AT112&lt;PT_First,"",PT_First+PT_Int*INT((AT112-PT_First)/PT_Int)),"")))</f>
        <v/>
      </c>
      <c r="BJ112" s="0" t="str">
        <f aca="false">IF(LEN($A112&amp;$B112)=0,"",$A112&amp;" "&amp;$B112)</f>
        <v/>
      </c>
    </row>
    <row r="113" customFormat="false" ht="15" hidden="false" customHeight="false" outlineLevel="0" collapsed="false">
      <c r="A113" s="10"/>
      <c r="B113" s="10"/>
      <c r="C113" s="10"/>
      <c r="D113" s="11"/>
      <c r="E113" s="12" t="str">
        <f aca="false">IF(OR(AG113=0,$D113=""),"",DATE(YEAR(AsOfDate)+IF(DATE(YEAR(AsOfDate),MONTH($D113),DAY($D113))&lt;=AsOfDate,1,0),MONTH($D113),DAY($D113)))</f>
        <v/>
      </c>
      <c r="F113" s="11"/>
      <c r="G113" s="11"/>
      <c r="H113" s="11"/>
      <c r="I113" s="11"/>
      <c r="J113" s="11"/>
      <c r="K113" s="12" t="str">
        <f aca="false">IF(AG113=0,"",DATE(YEAR(AsOfDate)+IF(DATE(YEAR(AsOfDate),MONTH(AH113),DAY(AH113))&lt;=AsOfDate,1,0),MONTH(AH113),DAY(AH113)))</f>
        <v/>
      </c>
      <c r="L113" s="13" t="str">
        <f aca="false">IF(AG113=0,"",ROUND((AsOfDate-AH113)/365.25,1))</f>
        <v/>
      </c>
      <c r="M113" s="14" t="str">
        <f aca="false">IF(AG113=0,"",IF(AsOfDate&lt;AH113,"-",DATEDIF(AH113,AsOfDate,"y")&amp;"y "&amp;DATEDIF(AH113,AsOfDate,"ym")&amp;"m "&amp;DATEDIF(AH113,AsOfDate,"md")&amp;"d"))</f>
        <v/>
      </c>
      <c r="N113" s="15" t="str">
        <f aca="false">IF(AG113=0,"",O113*HoursPerDay)</f>
        <v/>
      </c>
      <c r="O113" s="15" t="str">
        <f aca="false">IF(AG113=0,"",AZ113)</f>
        <v/>
      </c>
      <c r="P113" s="16"/>
      <c r="Q113" s="14" t="str">
        <f aca="false">IF(AG113=0,"",IF(AI113&lt;2,"",AM113&amp;" to "&amp;AN113&amp;" on "&amp;TEXT(AK113,"dd/mm/yyyy")&amp;IF(AK113&gt;AsOfDate," (future)",IF(AP113=AQ113,"",IF(AQ113="None"," - STOPPED accruing",IF(AP113="None"," - commencement for Bonus Leave"," - pathway changed"))))&amp;IF(AI113&lt;3,"","; "&amp;AN113&amp;" to "&amp;AO113&amp;" on "&amp;TEXT(AL113,"dd/mm/yyyy")&amp;IF(AL113&gt;AsOfDate," (future)",IF(AQ113=AR113,"",IF(AR113="None"," - STOPPED accruing",IF(AQ113="None"," - commencement for Bonus Leave"," - pathway changed")))))))</f>
        <v/>
      </c>
      <c r="R113" s="14" t="str">
        <f aca="false">IF(AG113=0,"",IF(AS113="None",IF(O113&gt;0,"No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2" t="str">
        <f aca="false">IF(AG113=0,"",IF(AS113="None","",EDATE(AH113,BB113)))</f>
        <v/>
      </c>
      <c r="T113" s="15" t="str">
        <f aca="false">IF(AG113=0,"",IF(NOT(LH_Ready),"",IF(AH113&gt;PFYDate,0,IF(LH_ColPeriod=0,W113-U113+V113,SUMIFS(INDEX(LH_Data,0,LH_ColAcc),INDEX(LH_Data,0,LH_ColFirst),$A113,INDEX(LH_Data,0,LH_ColSur),$B113,INDEX(LH_Data,0,LH_ColCat),BonusCat,INDEX(LH_Data,0,LH_ColPeriod),LH_OpenLabel)*UnitFactor))))</f>
        <v/>
      </c>
      <c r="U113" s="15" t="str">
        <f aca="false">IF(AG113=0,"",IF(NOT(LH_Ready),"",SUMIFS(INDEX(LH_Data,0,LH_ColAcc),INDEX(LH_Data,0,LH_ColFirst),$A113,INDEX(LH_Data,0,LH_ColSur),$B113,INDEX(LH_Data,0,LH_ColCat),BonusCat,INDEX(LH_Data,0,LH_ColStart),"&gt;="&amp;AH113)*UnitFactor))</f>
        <v/>
      </c>
      <c r="V113" s="15" t="str">
        <f aca="false">IF(AG113=0,"",IF(NOT(LH_Ready),"",SUMIFS(INDEX(LH_Data,0,LH_ColTaken),INDEX(LH_Data,0,LH_ColFirst),$A113,INDEX(LH_Data,0,LH_ColSur),$B113,INDEX(LH_Data,0,LH_ColCat),BonusCat,INDEX(LH_Data,0,LH_ColStart),"&gt;="&amp;AH113)*UnitFactor))</f>
        <v/>
      </c>
      <c r="W113" s="15" t="str">
        <f aca="false">IF(AG113=0,"",IF(NOT(LH_Ready),"",IF(BD113=0,0,INDEX(INDEX(LH_Data,0,LH_ColClose),BD113-1)*UnitFactor)))</f>
        <v/>
      </c>
      <c r="X113" s="15" t="str">
        <f aca="false">IF(AG113=0,"",(AZ113-BA113)*HoursPerDay)</f>
        <v/>
      </c>
      <c r="Y113" s="15" t="str">
        <f aca="false">IF(AG113=0,"",IF(NOT(LH_Ready),"",IF(BC113=0,N113,IF(PFYDate&lt;$F113,N113-N(T113)-N(U113),X113-N(U113)))))</f>
        <v/>
      </c>
      <c r="Z113" s="14" t="str">
        <f aca="false">IF(OR(AG113=0,Y113=""),"",IF(Y113&gt;0,"Yes","No"))</f>
        <v/>
      </c>
      <c r="AA113" s="14" t="str">
        <f aca="false">IF(AG113=0,IF(LEN($A113&amp;$B113)=0,"","FIX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month")&amp;IF(BC113=0,";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EH)",""),IF(AS113="None",R113,"Not yet - first day on "&amp;TEXT(S113,"dd/mm/yyyy")))))))))</f>
        <v/>
      </c>
      <c r="AB113" s="15" t="str">
        <f aca="false">IF(OR(AG113=0,T113=""),"",BA113*HoursPerDay-T113)</f>
        <v/>
      </c>
      <c r="AC113" s="14" t="str">
        <f aca="false">IF(AG113=0,"",BC113)</f>
        <v/>
      </c>
      <c r="AD113" s="14" t="str">
        <f aca="false">IF(AG113=0,"",TRIM(IF(OR(ISTEXT($F113),ISTEXT($H113),ISTEXT($I113),ISTEXT($G113),ISTEXT($J113),ISTEXT($D113)),"A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I113&gt;=1,IF(AI113&gt;=3,AO113,IF(AI113=2,AN113,AM113))&lt;&gt;IF($C113="","",IF(OR(ISNUMBER(SEARCH("full",$C113)),UPPER(TRIM($C113))="FT",UPPER(TRIM($C113))="FTE"),"Full-Time",IF(OR(ISNUMBER(SEARCH("part",$C113)),UPPER(TRIM($C113))="PT",UPPER(TRIM($C113))="PTE"),"Part-Time",IF(OR(ISNUMBER(SEARCH("cas",$C113)),UPPER(TRIM($C113))="CAS"),"Casual","Unknown"))))),"EmploymentType does not match latest start date ("&amp;IF(AI113&gt;=3,AO113,IF(AI113=2,AN113,AM113))&amp;"). ","")&amp;IF(AND(AI113&gt;=1,AJ113&lt;&gt;$F113),"Earliest type date should equal StartDate. ","")&amp;IF(AND(AI113&gt;=2,AJ113=AK113),"Two types start on the same date. ","")&amp;IF(AND(OR(ISNUMBER(SEARCH("part",$C113)),UPPER(TRIM($C113))="PT",UPPER(TRIM($C113))="PTE"),$P113=""),"Part-time: enter PT Hrs/Week (blank = 24+). ","")))</f>
        <v/>
      </c>
      <c r="AE113" s="15" t="str">
        <f aca="false">IF(AG113=0,"",O113-BH113)</f>
        <v/>
      </c>
      <c r="AF113" s="12" t="str">
        <f aca="false">IF(OR(AG113=0,AE113="",N(AE113)=0,BI113=""),"",EDATE(AH113,BI113))</f>
        <v/>
      </c>
      <c r="AG113" s="14" t="n">
        <f aca="false">IF(OR(LEN($A113&amp;$B113)=0,$F113=""),0,1)</f>
        <v>0</v>
      </c>
      <c r="AH113" s="12" t="str">
        <f aca="false">IF(AG113=0,"",IF($J113&lt;&gt;"",$J113,IF(OR(CasualCounts="Yes",COUNT($G113:$I113)=0,COUNT($H113:$I113)=0),$F113,MIN($H113:$I113))))</f>
        <v/>
      </c>
      <c r="AI113" s="14" t="str">
        <f aca="false">IF(AG113=0,"",COUNT($G113:$I113))</f>
        <v/>
      </c>
      <c r="AJ113" s="12" t="str">
        <f aca="false">IF(AG113=0,"",IFERROR(SMALL($G113:$I113,1),""))</f>
        <v/>
      </c>
      <c r="AK113" s="12" t="str">
        <f aca="false">IF(AG113=0,"",IFERROR(SMALL($G113:$I113,2),""))</f>
        <v/>
      </c>
      <c r="AL113" s="12" t="str">
        <f aca="false">IF(AG113=0,"",IFERROR(SMALL($G113:$I113,3),""))</f>
        <v/>
      </c>
      <c r="AM113" s="14" t="str">
        <f aca="false">IF(AG113=0,"",IF(AJ113="","",IF(AJ113=$H113,"Part-Time",IF(AJ113=$I113,"Full-Time","Casual"))))</f>
        <v/>
      </c>
      <c r="AN113" s="14" t="str">
        <f aca="false">IF(AG113=0,"",IF(AK113="","",IF(AK113=$H113,"Part-Time",IF(AK113=$I113,"Full-Time","Casual"))))</f>
        <v/>
      </c>
      <c r="AO113" s="14" t="str">
        <f aca="false">IF(AG113=0,"",IF(AL113="","",IF(AL113=$H113,"Part-Time",IF(AL113=$I113,"Full-Time","Casual"))))</f>
        <v/>
      </c>
      <c r="AP113" s="14" t="str">
        <f aca="false">IF(AG113=0,"",IF(AI113=0,IF(OR(ISNUMBER(SEARCH("full",$C113)),UPPER(TRIM($C113))="FT",UPPER(TRIM($C113))="FTE"),"FT",IF(AND(OR(ISNUMBER(SEARCH("part",$C113)),UPPER(TRIM($C113))="PT",UPPER(TRIM($C113))="PTE"),OR($P113="",N($P113)&gt;=PT_MinHours)),"PT","None")),IF(OR(ISNUMBER(SEARCH("full",AM113)),UPPER(TRIM(AM113))="FT",UPPER(TRIM(AM113))="FTE"),"FT",IF(AND(OR(ISNUMBER(SEARCH("part",AM113)),UPPER(TRIM(AM113))="PT",UPPER(TRIM(AM113))="PTE"),OR($P113="",N($P113)&gt;=PT_MinHours)),"PT","None"))))</f>
        <v/>
      </c>
      <c r="AQ113" s="14" t="str">
        <f aca="false">IF(AG113=0,"",IF(AI113&lt;2,"",IF(OR(ISNUMBER(SEARCH("full",AN113)),UPPER(TRIM(AN113))="FT",UPPER(TRIM(AN113))="FTE"),"FT",IF(AND(OR(ISNUMBER(SEARCH("part",AN113)),UPPER(TRIM(AN113))="PT",UPPER(TRIM(AN113))="PTE"),OR($P113="",N($P113)&gt;=PT_MinHours)),"PT","None"))))</f>
        <v/>
      </c>
      <c r="AR113" s="14" t="str">
        <f aca="false">IF(AG113=0,"",IF(AI113&lt;3,"",IF(OR(ISNUMBER(SEARCH("full",AO113)),UPPER(TRIM(AO113))="FT",UPPER(TRIM(AO113))="FTE"),"FT",IF(AND(OR(ISNUMBER(SEARCH("part",AO113)),UPPER(TRIM(AO113))="PT",UPPER(TRIM(AO113))="PTE"),OR($P113="",N($P113)&gt;=PT_MinHours)),"PT","None"))))</f>
        <v/>
      </c>
      <c r="AS113" s="14" t="str">
        <f aca="false">IF(AG113=0,"",IF(AND(AI113&gt;=3,AL113&lt;=AsOfDate),AR113,IF(AND(AI113&gt;=2,AK113&lt;=AsOfDate),AQ113,AP113)))</f>
        <v/>
      </c>
      <c r="AT113" s="14" t="str">
        <f aca="false">IF(AG113=0,"",IF(AsOfDate&lt;AH113,-1,12*(YEAR(AsOfDate)-YEAR(AH113))+MONTH(AsOfDate)-MONTH(AH113)-IF(DAY(AsOfDate)&lt;MIN(DAY(AH113),DAY(EOMONTH(AsOfDate,0))),1,0)))</f>
        <v/>
      </c>
      <c r="AU113" s="14" t="str">
        <f aca="false">IF(AG113=0,"",IF(OR(AI113&lt;2,AK113&gt;AsOfDate),AT113,IF((AK113-1)&lt;AH113,-1,12*(YEAR((AK113-1))-YEAR(AH113))+MONTH((AK113-1))-MONTH(AH113)-IF(DAY((AK113-1))&lt;MIN(DAY(AH113),DAY(EOMONTH((AK113-1),0))),1,0))))</f>
        <v/>
      </c>
      <c r="AV113" s="14" t="str">
        <f aca="false">IF(AG113=0,"",IF(OR(AI113&lt;3,AL113&gt;AsOfDate),AT113,IF((AL113-1)&lt;AH113,-1,12*(YEAR((AL113-1))-YEAR(AH113))+MONTH((AL113-1))-MONTH(AH113)-IF(DAY((AL113-1))&lt;MIN(DAY(AH113),DAY(EOMONTH((AL113-1),0))),1,0))))</f>
        <v/>
      </c>
      <c r="AW113" s="14" t="str">
        <f aca="false">IF(AG113=0,"",IF(PFYDate&lt;AH113,-1,12*(YEAR(PFYDate)-YEAR(AH113))+MONTH(PFYDate)-MONTH(AH113)-IF(DAY(PFYDate)&lt;MIN(DAY(AH113),DAY(EOMONTH(PFYDate,0))),1,0)))</f>
        <v/>
      </c>
      <c r="AX113" s="14" t="str">
        <f aca="false">IF(AG113=0,"",IF(OR(AI113&lt;2,AK113&gt;PFYDate),AW113,IF((AK113-1)&lt;AH113,-1,12*(YEAR((AK113-1))-YEAR(AH113))+MONTH((AK113-1))-MONTH(AH113)-IF(DAY((AK113-1))&lt;MIN(DAY(AH113),DAY(EOMONTH((AK113-1),0))),1,0))))</f>
        <v/>
      </c>
      <c r="AY113" s="14" t="str">
        <f aca="false">IF(AG113=0,"",IF(OR(AI113&lt;3,AL113&gt;PFYDate),AW113,IF((AL113-1)&lt;AH113,-1,12*(YEAR((AL113-1))-YEAR(AH113))+MONTH((AL113-1))-MONTH(AH113)-IF(DAY((AL113-1))&lt;MIN(DAY(AH113),DAY(EOMONTH((AL113-1),0))),1,0))))</f>
        <v/>
      </c>
      <c r="AZ113" s="14" t="str">
        <f aca="false">IF(AG113=0,"",IF(AP113="FT",IF(AU113&lt;FT_First,0,IF(AU113&lt;FT_Y5,1+INT((AU113-FT_First)/FT_Int1),FT_PreY5+FT_PerYear*INT((AU113-FT_Y5)/12)+FT_AnnivDays+INT(MOD(AU113-FT_Y5,12)/FT_Int2))),IF(AP113="PT",IF(AU113&lt;PT_First,0,1+INT((AU113-PT_First)/PT_Int)),0))+IF(AND(AI113&gt;=2,AK113&lt;=AsOfDate),IF(AQ113="FT",IF(AV113&lt;FT_First,0,IF(AV113&lt;FT_Y5,1+INT((AV113-FT_First)/FT_Int1),FT_PreY5+FT_PerYear*INT((AV113-FT_Y5)/12)+FT_AnnivDays+INT(MOD(AV113-FT_Y5,12)/FT_Int2))),IF(AQ113="PT",IF(AV113&lt;PT_First,0,1+INT((AV113-PT_First)/PT_Int)),0))-IF(AQ113="FT",IF(AU113&lt;FT_First,0,IF(AU113&lt;FT_Y5,1+INT((AU113-FT_First)/FT_Int1),FT_PreY5+FT_PerYear*INT((AU113-FT_Y5)/12)+FT_AnnivDays+INT(MOD(AU113-FT_Y5,12)/FT_Int2))),IF(AQ113="PT",IF(AU113&lt;PT_First,0,1+INT((AU113-PT_First)/PT_Int)),0)),0)+IF(AND(AI113&gt;=3,AL113&lt;=AsOfDate),IF(AR113="FT",IF(AT113&lt;FT_First,0,IF(AT113&lt;FT_Y5,1+INT((AT113-FT_First)/FT_Int1),FT_PreY5+FT_PerYear*INT((AT113-FT_Y5)/12)+FT_AnnivDays+INT(MOD(AT113-FT_Y5,12)/FT_Int2))),IF(AR113="PT",IF(AT113&lt;PT_First,0,1+INT((AT113-PT_First)/PT_Int)),0))-IF(AR113="FT",IF(AV113&lt;FT_First,0,IF(AV113&lt;FT_Y5,1+INT((AV113-FT_First)/FT_Int1),FT_PreY5+FT_PerYear*INT((AV113-FT_Y5)/12)+FT_AnnivDays+INT(MOD(AV113-FT_Y5,12)/FT_Int2))),IF(AR113="PT",IF(AV113&lt;PT_First,0,1+INT((AV113-PT_First)/PT_Int)),0)),0))</f>
        <v/>
      </c>
      <c r="BA113" s="14" t="str">
        <f aca="false">IF(AG113=0,"",IF(AP113="FT",IF(AX113&lt;FT_First,0,IF(AX113&lt;FT_Y5,1+INT((AX113-FT_First)/FT_Int1),FT_PreY5+FT_PerYear*INT((AX113-FT_Y5)/12)+FT_AnnivDays+INT(MOD(AX113-FT_Y5,12)/FT_Int2))),IF(AP113="PT",IF(AX113&lt;PT_First,0,1+INT((AX113-PT_First)/PT_Int)),0))+IF(AND(AI113&gt;=2,AK113&lt;=PFYDate),IF(AQ113="FT",IF(AY113&lt;FT_First,0,IF(AY113&lt;FT_Y5,1+INT((AY113-FT_First)/FT_Int1),FT_PreY5+FT_PerYear*INT((AY113-FT_Y5)/12)+FT_AnnivDays+INT(MOD(AY113-FT_Y5,12)/FT_Int2))),IF(AQ113="PT",IF(AY113&lt;PT_First,0,1+INT((AY113-PT_First)/PT_Int)),0))-IF(AQ113="FT",IF(AX113&lt;FT_First,0,IF(AX113&lt;FT_Y5,1+INT((AX113-FT_First)/FT_Int1),FT_PreY5+FT_PerYear*INT((AX113-FT_Y5)/12)+FT_AnnivDays+INT(MOD(AX113-FT_Y5,12)/FT_Int2))),IF(AQ113="PT",IF(AX113&lt;PT_First,0,1+INT((AX113-PT_First)/PT_Int)),0)),0)+IF(AND(AI113&gt;=3,AL113&lt;=PFYDate),IF(AR113="FT",IF(AW113&lt;FT_First,0,IF(AW113&lt;FT_Y5,1+INT((AW113-FT_First)/FT_Int1),FT_PreY5+FT_PerYear*INT((AW113-FT_Y5)/12)+FT_AnnivDays+INT(MOD(AW113-FT_Y5,12)/FT_Int2))),IF(AR113="PT",IF(AW113&lt;PT_First,0,1+INT((AW113-PT_First)/PT_Int)),0))-IF(AR113="FT",IF(AY113&lt;FT_First,0,IF(AY113&lt;FT_Y5,1+INT((AY113-FT_First)/FT_Int1),FT_PreY5+FT_PerYear*INT((AY113-FT_Y5)/12)+FT_AnnivDays+INT(MOD(AY113-FT_Y5,12)/FT_Int2))),IF(AR113="PT",IF(AY113&lt;PT_First,0,1+INT((AY113-PT_First)/PT_Int)),0)),0))</f>
        <v/>
      </c>
      <c r="BB113" s="14" t="str">
        <f aca="false">IF(AG113=0,"",IF(AS113="FT",IF(AT113&lt;FT_First,FT_First,IF(AT113&lt;FT_Y5,MIN(FT_Y5,FT_First+FT_Int1*(INT((AT113-FT_First)/FT_Int1)+1)),FT_Y5+12*INT((AT113-FT_Y5)/12)+FT_Int2*(INT(MOD(AT113-FT_Y5,12)/FT_Int2)+1))),IF(AS113="PT",IF(AT113&lt;PT_First,PT_First,PT_First+PT_Int*(INT((AT113-PT_First)/PT_Int)+1)),"")))</f>
        <v/>
      </c>
      <c r="BC113" s="14" t="str">
        <f aca="false">IF(AG113=0,"",IF(NOT(LH_Ready),0,COUNTIFS(INDEX(LH_Data,0,LH_ColFirst),$A113,INDEX(LH_Data,0,LH_ColSur),$B113,INDEX(LH_Data,0,LH_ColCat),BonusCat)))</f>
        <v/>
      </c>
      <c r="BD113" s="14" t="str">
        <f aca="false">IF(AG113=0,"",IF(OR(NOT(LH_Ready),BC113=0),0,SUMPRODUCT(MAX((INDEX(LH_Data,0,LH_ColFirst)=$A113)*(INDEX(LH_Data,0,LH_ColSur)=$B113)*(INDEX(LH_Data,0,LH_ColCat)=BonusCat)*ROW(LH_Data)))))</f>
        <v/>
      </c>
      <c r="BE113" s="14" t="str">
        <f aca="false">IF(AG113=0,"",IF(EOMONTH(AsOfDate,-1)&lt;AH113,-1,12*(YEAR(EOMONTH(AsOfDate,-1))-YEAR(AH113))+MONTH(EOMONTH(AsOfDate,-1))-MONTH(AH113)-IF(DAY(EOMONTH(AsOfDate,-1))&lt;MIN(DAY(AH113),DAY(EOMONTH(EOMONTH(AsOfDate,-1),0))),1,0)))</f>
        <v/>
      </c>
      <c r="BF113" s="14" t="str">
        <f aca="false">IF(AG113=0,"",IF(OR(AI113&lt;2,AK113&gt;EOMONTH(AsOfDate,-1)),BE113,IF((AK113-1)&lt;AH113,-1,12*(YEAR((AK113-1))-YEAR(AH113))+MONTH((AK113-1))-MONTH(AH113)-IF(DAY((AK113-1))&lt;MIN(DAY(AH113),DAY(EOMONTH((AK113-1),0))),1,0))))</f>
        <v/>
      </c>
      <c r="BG113" s="14" t="str">
        <f aca="false">IF(AG113=0,"",IF(OR(AI113&lt;3,AL113&gt;EOMONTH(AsOfDate,-1)),BE113,IF((AL113-1)&lt;AH113,-1,12*(YEAR((AL113-1))-YEAR(AH113))+MONTH((AL113-1))-MONTH(AH113)-IF(DAY((AL113-1))&lt;MIN(DAY(AH113),DAY(EOMONTH((AL113-1),0))),1,0))))</f>
        <v/>
      </c>
      <c r="BH113" s="14" t="str">
        <f aca="false">IF(AG113=0,"",IF(AP113="FT",IF(BF113&lt;FT_First,0,IF(BF113&lt;FT_Y5,1+INT((BF113-FT_First)/FT_Int1),FT_PreY5+FT_PerYear*INT((BF113-FT_Y5)/12)+FT_AnnivDays+INT(MOD(BF113-FT_Y5,12)/FT_Int2))),IF(AP113="PT",IF(BF113&lt;PT_First,0,1+INT((BF113-PT_First)/PT_Int)),0))+IF(AND(AI113&gt;=2,AK113&lt;=EOMONTH(AsOfDate,-1)),IF(AQ113="FT",IF(BG113&lt;FT_First,0,IF(BG113&lt;FT_Y5,1+INT((BG113-FT_First)/FT_Int1),FT_PreY5+FT_PerYear*INT((BG113-FT_Y5)/12)+FT_AnnivDays+INT(MOD(BG113-FT_Y5,12)/FT_Int2))),IF(AQ113="PT",IF(BG113&lt;PT_First,0,1+INT((BG113-PT_First)/PT_Int)),0))-IF(AQ113="FT",IF(BF113&lt;FT_First,0,IF(BF113&lt;FT_Y5,1+INT((BF113-FT_First)/FT_Int1),FT_PreY5+FT_PerYear*INT((BF113-FT_Y5)/12)+FT_AnnivDays+INT(MOD(BF113-FT_Y5,12)/FT_Int2))),IF(AQ113="PT",IF(BF113&lt;PT_First,0,1+INT((BF113-PT_First)/PT_Int)),0)),0)+IF(AND(AI113&gt;=3,AL113&lt;=EOMONTH(AsOfDate,-1)),IF(AR113="FT",IF(BE113&lt;FT_First,0,IF(BE113&lt;FT_Y5,1+INT((BE113-FT_First)/FT_Int1),FT_PreY5+FT_PerYear*INT((BE113-FT_Y5)/12)+FT_AnnivDays+INT(MOD(BE113-FT_Y5,12)/FT_Int2))),IF(AR113="PT",IF(BE113&lt;PT_First,0,1+INT((BE113-PT_First)/PT_Int)),0))-IF(AR113="FT",IF(BG113&lt;FT_First,0,IF(BG113&lt;FT_Y5,1+INT((BG113-FT_First)/FT_Int1),FT_PreY5+FT_PerYear*INT((BG113-FT_Y5)/12)+FT_AnnivDays+INT(MOD(BG113-FT_Y5,12)/FT_Int2))),IF(AR113="PT",IF(BG113&lt;PT_First,0,1+INT((BG113-PT_First)/PT_Int)),0)),0))</f>
        <v/>
      </c>
      <c r="BI113" s="14" t="str">
        <f aca="false">IF(AG113=0,"",IF(AS113="FT",IF(AT113&lt;FT_First,"",IF(AT113&lt;FT_Y5,FT_First+FT_Int1*INT((AT113-FT_First)/FT_Int1),FT_Y5+FT_Int2*INT((AT113-FT_Y5)/FT_Int2))),IF(AS113="PT",IF(AT113&lt;PT_First,"",PT_First+PT_Int*INT((AT113-PT_First)/PT_Int)),"")))</f>
        <v/>
      </c>
      <c r="BJ113" s="0" t="str">
        <f aca="false">IF(LEN($A113&amp;$B113)=0,"",$A113&amp;" "&amp;$B113)</f>
        <v/>
      </c>
    </row>
    <row r="114" customFormat="false" ht="15" hidden="false" customHeight="false" outlineLevel="0" collapsed="false">
      <c r="A114" s="10"/>
      <c r="B114" s="10"/>
      <c r="C114" s="10"/>
      <c r="D114" s="11"/>
      <c r="E114" s="12" t="str">
        <f aca="false">IF(OR(AG114=0,$D114=""),"",DATE(YEAR(AsOfDate)+IF(DATE(YEAR(AsOfDate),MONTH($D114),DAY($D114))&lt;=AsOfDate,1,0),MONTH($D114),DAY($D114)))</f>
        <v/>
      </c>
      <c r="F114" s="11"/>
      <c r="G114" s="11"/>
      <c r="H114" s="11"/>
      <c r="I114" s="11"/>
      <c r="J114" s="11"/>
      <c r="K114" s="12" t="str">
        <f aca="false">IF(AG114=0,"",DATE(YEAR(AsOfDate)+IF(DATE(YEAR(AsOfDate),MONTH(AH114),DAY(AH114))&lt;=AsOfDate,1,0),MONTH(AH114),DAY(AH114)))</f>
        <v/>
      </c>
      <c r="L114" s="13" t="str">
        <f aca="false">IF(AG114=0,"",ROUND((AsOfDate-AH114)/365.25,1))</f>
        <v/>
      </c>
      <c r="M114" s="14" t="str">
        <f aca="false">IF(AG114=0,"",IF(AsOfDate&lt;AH114,"-",DATEDIF(AH114,AsOfDate,"y")&amp;"y "&amp;DATEDIF(AH114,AsOfDate,"ym")&amp;"m "&amp;DATEDIF(AH114,AsOfDate,"md")&amp;"d"))</f>
        <v/>
      </c>
      <c r="N114" s="15" t="str">
        <f aca="false">IF(AG114=0,"",O114*HoursPerDay)</f>
        <v/>
      </c>
      <c r="O114" s="15" t="str">
        <f aca="false">IF(AG114=0,"",AZ114)</f>
        <v/>
      </c>
      <c r="P114" s="16"/>
      <c r="Q114" s="14" t="str">
        <f aca="false">IF(AG114=0,"",IF(AI114&lt;2,"",AM114&amp;" to "&amp;AN114&amp;" on "&amp;TEXT(AK114,"dd/mm/yyyy")&amp;IF(AK114&gt;AsOfDate," (future)",IF(AP114=AQ114,"",IF(AQ114="None"," - STOPPED accruing",IF(AP114="None"," - commencement for Bonus Leave"," - pathway changed"))))&amp;IF(AI114&lt;3,"","; "&amp;AN114&amp;" to "&amp;AO114&amp;" on "&amp;TEXT(AL114,"dd/mm/yyyy")&amp;IF(AL114&gt;AsOfDate," (future)",IF(AQ114=AR114,"",IF(AR114="None"," - STOPPED accruing",IF(AQ114="None"," - commencement for Bonus Leave"," - pathway changed")))))))</f>
        <v/>
      </c>
      <c r="R114" s="14" t="str">
        <f aca="false">IF(AG114=0,"",IF(AS114="None",IF(O114&gt;0,"No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2" t="str">
        <f aca="false">IF(AG114=0,"",IF(AS114="None","",EDATE(AH114,BB114)))</f>
        <v/>
      </c>
      <c r="T114" s="15" t="str">
        <f aca="false">IF(AG114=0,"",IF(NOT(LH_Ready),"",IF(AH114&gt;PFYDate,0,IF(LH_ColPeriod=0,W114-U114+V114,SUMIFS(INDEX(LH_Data,0,LH_ColAcc),INDEX(LH_Data,0,LH_ColFirst),$A114,INDEX(LH_Data,0,LH_ColSur),$B114,INDEX(LH_Data,0,LH_ColCat),BonusCat,INDEX(LH_Data,0,LH_ColPeriod),LH_OpenLabel)*UnitFactor))))</f>
        <v/>
      </c>
      <c r="U114" s="15" t="str">
        <f aca="false">IF(AG114=0,"",IF(NOT(LH_Ready),"",SUMIFS(INDEX(LH_Data,0,LH_ColAcc),INDEX(LH_Data,0,LH_ColFirst),$A114,INDEX(LH_Data,0,LH_ColSur),$B114,INDEX(LH_Data,0,LH_ColCat),BonusCat,INDEX(LH_Data,0,LH_ColStart),"&gt;="&amp;AH114)*UnitFactor))</f>
        <v/>
      </c>
      <c r="V114" s="15" t="str">
        <f aca="false">IF(AG114=0,"",IF(NOT(LH_Ready),"",SUMIFS(INDEX(LH_Data,0,LH_ColTaken),INDEX(LH_Data,0,LH_ColFirst),$A114,INDEX(LH_Data,0,LH_ColSur),$B114,INDEX(LH_Data,0,LH_ColCat),BonusCat,INDEX(LH_Data,0,LH_ColStart),"&gt;="&amp;AH114)*UnitFactor))</f>
        <v/>
      </c>
      <c r="W114" s="15" t="str">
        <f aca="false">IF(AG114=0,"",IF(NOT(LH_Ready),"",IF(BD114=0,0,INDEX(INDEX(LH_Data,0,LH_ColClose),BD114-1)*UnitFactor)))</f>
        <v/>
      </c>
      <c r="X114" s="15" t="str">
        <f aca="false">IF(AG114=0,"",(AZ114-BA114)*HoursPerDay)</f>
        <v/>
      </c>
      <c r="Y114" s="15" t="str">
        <f aca="false">IF(AG114=0,"",IF(NOT(LH_Ready),"",IF(BC114=0,N114,IF(PFYDate&lt;$F114,N114-N(T114)-N(U114),X114-N(U114)))))</f>
        <v/>
      </c>
      <c r="Z114" s="14" t="str">
        <f aca="false">IF(OR(AG114=0,Y114=""),"",IF(Y114&gt;0,"Yes","No"))</f>
        <v/>
      </c>
      <c r="AA114" s="14" t="str">
        <f aca="false">IF(AG114=0,IF(LEN($A114&amp;$B114)=0,"","FIX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month")&amp;IF(BC114=0,";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EH)",""),IF(AS114="None",R114,"Not yet - first day on "&amp;TEXT(S114,"dd/mm/yyyy")))))))))</f>
        <v/>
      </c>
      <c r="AB114" s="15" t="str">
        <f aca="false">IF(OR(AG114=0,T114=""),"",BA114*HoursPerDay-T114)</f>
        <v/>
      </c>
      <c r="AC114" s="14" t="str">
        <f aca="false">IF(AG114=0,"",BC114)</f>
        <v/>
      </c>
      <c r="AD114" s="14" t="str">
        <f aca="false">IF(AG114=0,"",TRIM(IF(OR(ISTEXT($F114),ISTEXT($H114),ISTEXT($I114),ISTEXT($G114),ISTEXT($J114),ISTEXT($D114)),"A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I114&gt;=1,IF(AI114&gt;=3,AO114,IF(AI114=2,AN114,AM114))&lt;&gt;IF($C114="","",IF(OR(ISNUMBER(SEARCH("full",$C114)),UPPER(TRIM($C114))="FT",UPPER(TRIM($C114))="FTE"),"Full-Time",IF(OR(ISNUMBER(SEARCH("part",$C114)),UPPER(TRIM($C114))="PT",UPPER(TRIM($C114))="PTE"),"Part-Time",IF(OR(ISNUMBER(SEARCH("cas",$C114)),UPPER(TRIM($C114))="CAS"),"Casual","Unknown"))))),"EmploymentType does not match latest start date ("&amp;IF(AI114&gt;=3,AO114,IF(AI114=2,AN114,AM114))&amp;"). ","")&amp;IF(AND(AI114&gt;=1,AJ114&lt;&gt;$F114),"Earliest type date should equal StartDate. ","")&amp;IF(AND(AI114&gt;=2,AJ114=AK114),"Two types start on the same date. ","")&amp;IF(AND(OR(ISNUMBER(SEARCH("part",$C114)),UPPER(TRIM($C114))="PT",UPPER(TRIM($C114))="PTE"),$P114=""),"Part-time: enter PT Hrs/Week (blank = 24+). ","")))</f>
        <v/>
      </c>
      <c r="AE114" s="15" t="str">
        <f aca="false">IF(AG114=0,"",O114-BH114)</f>
        <v/>
      </c>
      <c r="AF114" s="12" t="str">
        <f aca="false">IF(OR(AG114=0,AE114="",N(AE114)=0,BI114=""),"",EDATE(AH114,BI114))</f>
        <v/>
      </c>
      <c r="AG114" s="14" t="n">
        <f aca="false">IF(OR(LEN($A114&amp;$B114)=0,$F114=""),0,1)</f>
        <v>0</v>
      </c>
      <c r="AH114" s="12" t="str">
        <f aca="false">IF(AG114=0,"",IF($J114&lt;&gt;"",$J114,IF(OR(CasualCounts="Yes",COUNT($G114:$I114)=0,COUNT($H114:$I114)=0),$F114,MIN($H114:$I114))))</f>
        <v/>
      </c>
      <c r="AI114" s="14" t="str">
        <f aca="false">IF(AG114=0,"",COUNT($G114:$I114))</f>
        <v/>
      </c>
      <c r="AJ114" s="12" t="str">
        <f aca="false">IF(AG114=0,"",IFERROR(SMALL($G114:$I114,1),""))</f>
        <v/>
      </c>
      <c r="AK114" s="12" t="str">
        <f aca="false">IF(AG114=0,"",IFERROR(SMALL($G114:$I114,2),""))</f>
        <v/>
      </c>
      <c r="AL114" s="12" t="str">
        <f aca="false">IF(AG114=0,"",IFERROR(SMALL($G114:$I114,3),""))</f>
        <v/>
      </c>
      <c r="AM114" s="14" t="str">
        <f aca="false">IF(AG114=0,"",IF(AJ114="","",IF(AJ114=$H114,"Part-Time",IF(AJ114=$I114,"Full-Time","Casual"))))</f>
        <v/>
      </c>
      <c r="AN114" s="14" t="str">
        <f aca="false">IF(AG114=0,"",IF(AK114="","",IF(AK114=$H114,"Part-Time",IF(AK114=$I114,"Full-Time","Casual"))))</f>
        <v/>
      </c>
      <c r="AO114" s="14" t="str">
        <f aca="false">IF(AG114=0,"",IF(AL114="","",IF(AL114=$H114,"Part-Time",IF(AL114=$I114,"Full-Time","Casual"))))</f>
        <v/>
      </c>
      <c r="AP114" s="14" t="str">
        <f aca="false">IF(AG114=0,"",IF(AI114=0,IF(OR(ISNUMBER(SEARCH("full",$C114)),UPPER(TRIM($C114))="FT",UPPER(TRIM($C114))="FTE"),"FT",IF(AND(OR(ISNUMBER(SEARCH("part",$C114)),UPPER(TRIM($C114))="PT",UPPER(TRIM($C114))="PTE"),OR($P114="",N($P114)&gt;=PT_MinHours)),"PT","None")),IF(OR(ISNUMBER(SEARCH("full",AM114)),UPPER(TRIM(AM114))="FT",UPPER(TRIM(AM114))="FTE"),"FT",IF(AND(OR(ISNUMBER(SEARCH("part",AM114)),UPPER(TRIM(AM114))="PT",UPPER(TRIM(AM114))="PTE"),OR($P114="",N($P114)&gt;=PT_MinHours)),"PT","None"))))</f>
        <v/>
      </c>
      <c r="AQ114" s="14" t="str">
        <f aca="false">IF(AG114=0,"",IF(AI114&lt;2,"",IF(OR(ISNUMBER(SEARCH("full",AN114)),UPPER(TRIM(AN114))="FT",UPPER(TRIM(AN114))="FTE"),"FT",IF(AND(OR(ISNUMBER(SEARCH("part",AN114)),UPPER(TRIM(AN114))="PT",UPPER(TRIM(AN114))="PTE"),OR($P114="",N($P114)&gt;=PT_MinHours)),"PT","None"))))</f>
        <v/>
      </c>
      <c r="AR114" s="14" t="str">
        <f aca="false">IF(AG114=0,"",IF(AI114&lt;3,"",IF(OR(ISNUMBER(SEARCH("full",AO114)),UPPER(TRIM(AO114))="FT",UPPER(TRIM(AO114))="FTE"),"FT",IF(AND(OR(ISNUMBER(SEARCH("part",AO114)),UPPER(TRIM(AO114))="PT",UPPER(TRIM(AO114))="PTE"),OR($P114="",N($P114)&gt;=PT_MinHours)),"PT","None"))))</f>
        <v/>
      </c>
      <c r="AS114" s="14" t="str">
        <f aca="false">IF(AG114=0,"",IF(AND(AI114&gt;=3,AL114&lt;=AsOfDate),AR114,IF(AND(AI114&gt;=2,AK114&lt;=AsOfDate),AQ114,AP114)))</f>
        <v/>
      </c>
      <c r="AT114" s="14" t="str">
        <f aca="false">IF(AG114=0,"",IF(AsOfDate&lt;AH114,-1,12*(YEAR(AsOfDate)-YEAR(AH114))+MONTH(AsOfDate)-MONTH(AH114)-IF(DAY(AsOfDate)&lt;MIN(DAY(AH114),DAY(EOMONTH(AsOfDate,0))),1,0)))</f>
        <v/>
      </c>
      <c r="AU114" s="14" t="str">
        <f aca="false">IF(AG114=0,"",IF(OR(AI114&lt;2,AK114&gt;AsOfDate),AT114,IF((AK114-1)&lt;AH114,-1,12*(YEAR((AK114-1))-YEAR(AH114))+MONTH((AK114-1))-MONTH(AH114)-IF(DAY((AK114-1))&lt;MIN(DAY(AH114),DAY(EOMONTH((AK114-1),0))),1,0))))</f>
        <v/>
      </c>
      <c r="AV114" s="14" t="str">
        <f aca="false">IF(AG114=0,"",IF(OR(AI114&lt;3,AL114&gt;AsOfDate),AT114,IF((AL114-1)&lt;AH114,-1,12*(YEAR((AL114-1))-YEAR(AH114))+MONTH((AL114-1))-MONTH(AH114)-IF(DAY((AL114-1))&lt;MIN(DAY(AH114),DAY(EOMONTH((AL114-1),0))),1,0))))</f>
        <v/>
      </c>
      <c r="AW114" s="14" t="str">
        <f aca="false">IF(AG114=0,"",IF(PFYDate&lt;AH114,-1,12*(YEAR(PFYDate)-YEAR(AH114))+MONTH(PFYDate)-MONTH(AH114)-IF(DAY(PFYDate)&lt;MIN(DAY(AH114),DAY(EOMONTH(PFYDate,0))),1,0)))</f>
        <v/>
      </c>
      <c r="AX114" s="14" t="str">
        <f aca="false">IF(AG114=0,"",IF(OR(AI114&lt;2,AK114&gt;PFYDate),AW114,IF((AK114-1)&lt;AH114,-1,12*(YEAR((AK114-1))-YEAR(AH114))+MONTH((AK114-1))-MONTH(AH114)-IF(DAY((AK114-1))&lt;MIN(DAY(AH114),DAY(EOMONTH((AK114-1),0))),1,0))))</f>
        <v/>
      </c>
      <c r="AY114" s="14" t="str">
        <f aca="false">IF(AG114=0,"",IF(OR(AI114&lt;3,AL114&gt;PFYDate),AW114,IF((AL114-1)&lt;AH114,-1,12*(YEAR((AL114-1))-YEAR(AH114))+MONTH((AL114-1))-MONTH(AH114)-IF(DAY((AL114-1))&lt;MIN(DAY(AH114),DAY(EOMONTH((AL114-1),0))),1,0))))</f>
        <v/>
      </c>
      <c r="AZ114" s="14" t="str">
        <f aca="false">IF(AG114=0,"",IF(AP114="FT",IF(AU114&lt;FT_First,0,IF(AU114&lt;FT_Y5,1+INT((AU114-FT_First)/FT_Int1),FT_PreY5+FT_PerYear*INT((AU114-FT_Y5)/12)+FT_AnnivDays+INT(MOD(AU114-FT_Y5,12)/FT_Int2))),IF(AP114="PT",IF(AU114&lt;PT_First,0,1+INT((AU114-PT_First)/PT_Int)),0))+IF(AND(AI114&gt;=2,AK114&lt;=AsOfDate),IF(AQ114="FT",IF(AV114&lt;FT_First,0,IF(AV114&lt;FT_Y5,1+INT((AV114-FT_First)/FT_Int1),FT_PreY5+FT_PerYear*INT((AV114-FT_Y5)/12)+FT_AnnivDays+INT(MOD(AV114-FT_Y5,12)/FT_Int2))),IF(AQ114="PT",IF(AV114&lt;PT_First,0,1+INT((AV114-PT_First)/PT_Int)),0))-IF(AQ114="FT",IF(AU114&lt;FT_First,0,IF(AU114&lt;FT_Y5,1+INT((AU114-FT_First)/FT_Int1),FT_PreY5+FT_PerYear*INT((AU114-FT_Y5)/12)+FT_AnnivDays+INT(MOD(AU114-FT_Y5,12)/FT_Int2))),IF(AQ114="PT",IF(AU114&lt;PT_First,0,1+INT((AU114-PT_First)/PT_Int)),0)),0)+IF(AND(AI114&gt;=3,AL114&lt;=AsOfDate),IF(AR114="FT",IF(AT114&lt;FT_First,0,IF(AT114&lt;FT_Y5,1+INT((AT114-FT_First)/FT_Int1),FT_PreY5+FT_PerYear*INT((AT114-FT_Y5)/12)+FT_AnnivDays+INT(MOD(AT114-FT_Y5,12)/FT_Int2))),IF(AR114="PT",IF(AT114&lt;PT_First,0,1+INT((AT114-PT_First)/PT_Int)),0))-IF(AR114="FT",IF(AV114&lt;FT_First,0,IF(AV114&lt;FT_Y5,1+INT((AV114-FT_First)/FT_Int1),FT_PreY5+FT_PerYear*INT((AV114-FT_Y5)/12)+FT_AnnivDays+INT(MOD(AV114-FT_Y5,12)/FT_Int2))),IF(AR114="PT",IF(AV114&lt;PT_First,0,1+INT((AV114-PT_First)/PT_Int)),0)),0))</f>
        <v/>
      </c>
      <c r="BA114" s="14" t="str">
        <f aca="false">IF(AG114=0,"",IF(AP114="FT",IF(AX114&lt;FT_First,0,IF(AX114&lt;FT_Y5,1+INT((AX114-FT_First)/FT_Int1),FT_PreY5+FT_PerYear*INT((AX114-FT_Y5)/12)+FT_AnnivDays+INT(MOD(AX114-FT_Y5,12)/FT_Int2))),IF(AP114="PT",IF(AX114&lt;PT_First,0,1+INT((AX114-PT_First)/PT_Int)),0))+IF(AND(AI114&gt;=2,AK114&lt;=PFYDate),IF(AQ114="FT",IF(AY114&lt;FT_First,0,IF(AY114&lt;FT_Y5,1+INT((AY114-FT_First)/FT_Int1),FT_PreY5+FT_PerYear*INT((AY114-FT_Y5)/12)+FT_AnnivDays+INT(MOD(AY114-FT_Y5,12)/FT_Int2))),IF(AQ114="PT",IF(AY114&lt;PT_First,0,1+INT((AY114-PT_First)/PT_Int)),0))-IF(AQ114="FT",IF(AX114&lt;FT_First,0,IF(AX114&lt;FT_Y5,1+INT((AX114-FT_First)/FT_Int1),FT_PreY5+FT_PerYear*INT((AX114-FT_Y5)/12)+FT_AnnivDays+INT(MOD(AX114-FT_Y5,12)/FT_Int2))),IF(AQ114="PT",IF(AX114&lt;PT_First,0,1+INT((AX114-PT_First)/PT_Int)),0)),0)+IF(AND(AI114&gt;=3,AL114&lt;=PFYDate),IF(AR114="FT",IF(AW114&lt;FT_First,0,IF(AW114&lt;FT_Y5,1+INT((AW114-FT_First)/FT_Int1),FT_PreY5+FT_PerYear*INT((AW114-FT_Y5)/12)+FT_AnnivDays+INT(MOD(AW114-FT_Y5,12)/FT_Int2))),IF(AR114="PT",IF(AW114&lt;PT_First,0,1+INT((AW114-PT_First)/PT_Int)),0))-IF(AR114="FT",IF(AY114&lt;FT_First,0,IF(AY114&lt;FT_Y5,1+INT((AY114-FT_First)/FT_Int1),FT_PreY5+FT_PerYear*INT((AY114-FT_Y5)/12)+FT_AnnivDays+INT(MOD(AY114-FT_Y5,12)/FT_Int2))),IF(AR114="PT",IF(AY114&lt;PT_First,0,1+INT((AY114-PT_First)/PT_Int)),0)),0))</f>
        <v/>
      </c>
      <c r="BB114" s="14" t="str">
        <f aca="false">IF(AG114=0,"",IF(AS114="FT",IF(AT114&lt;FT_First,FT_First,IF(AT114&lt;FT_Y5,MIN(FT_Y5,FT_First+FT_Int1*(INT((AT114-FT_First)/FT_Int1)+1)),FT_Y5+12*INT((AT114-FT_Y5)/12)+FT_Int2*(INT(MOD(AT114-FT_Y5,12)/FT_Int2)+1))),IF(AS114="PT",IF(AT114&lt;PT_First,PT_First,PT_First+PT_Int*(INT((AT114-PT_First)/PT_Int)+1)),"")))</f>
        <v/>
      </c>
      <c r="BC114" s="14" t="str">
        <f aca="false">IF(AG114=0,"",IF(NOT(LH_Ready),0,COUNTIFS(INDEX(LH_Data,0,LH_ColFirst),$A114,INDEX(LH_Data,0,LH_ColSur),$B114,INDEX(LH_Data,0,LH_ColCat),BonusCat)))</f>
        <v/>
      </c>
      <c r="BD114" s="14" t="str">
        <f aca="false">IF(AG114=0,"",IF(OR(NOT(LH_Ready),BC114=0),0,SUMPRODUCT(MAX((INDEX(LH_Data,0,LH_ColFirst)=$A114)*(INDEX(LH_Data,0,LH_ColSur)=$B114)*(INDEX(LH_Data,0,LH_ColCat)=BonusCat)*ROW(LH_Data)))))</f>
        <v/>
      </c>
      <c r="BE114" s="14" t="str">
        <f aca="false">IF(AG114=0,"",IF(EOMONTH(AsOfDate,-1)&lt;AH114,-1,12*(YEAR(EOMONTH(AsOfDate,-1))-YEAR(AH114))+MONTH(EOMONTH(AsOfDate,-1))-MONTH(AH114)-IF(DAY(EOMONTH(AsOfDate,-1))&lt;MIN(DAY(AH114),DAY(EOMONTH(EOMONTH(AsOfDate,-1),0))),1,0)))</f>
        <v/>
      </c>
      <c r="BF114" s="14" t="str">
        <f aca="false">IF(AG114=0,"",IF(OR(AI114&lt;2,AK114&gt;EOMONTH(AsOfDate,-1)),BE114,IF((AK114-1)&lt;AH114,-1,12*(YEAR((AK114-1))-YEAR(AH114))+MONTH((AK114-1))-MONTH(AH114)-IF(DAY((AK114-1))&lt;MIN(DAY(AH114),DAY(EOMONTH((AK114-1),0))),1,0))))</f>
        <v/>
      </c>
      <c r="BG114" s="14" t="str">
        <f aca="false">IF(AG114=0,"",IF(OR(AI114&lt;3,AL114&gt;EOMONTH(AsOfDate,-1)),BE114,IF((AL114-1)&lt;AH114,-1,12*(YEAR((AL114-1))-YEAR(AH114))+MONTH((AL114-1))-MONTH(AH114)-IF(DAY((AL114-1))&lt;MIN(DAY(AH114),DAY(EOMONTH((AL114-1),0))),1,0))))</f>
        <v/>
      </c>
      <c r="BH114" s="14" t="str">
        <f aca="false">IF(AG114=0,"",IF(AP114="FT",IF(BF114&lt;FT_First,0,IF(BF114&lt;FT_Y5,1+INT((BF114-FT_First)/FT_Int1),FT_PreY5+FT_PerYear*INT((BF114-FT_Y5)/12)+FT_AnnivDays+INT(MOD(BF114-FT_Y5,12)/FT_Int2))),IF(AP114="PT",IF(BF114&lt;PT_First,0,1+INT((BF114-PT_First)/PT_Int)),0))+IF(AND(AI114&gt;=2,AK114&lt;=EOMONTH(AsOfDate,-1)),IF(AQ114="FT",IF(BG114&lt;FT_First,0,IF(BG114&lt;FT_Y5,1+INT((BG114-FT_First)/FT_Int1),FT_PreY5+FT_PerYear*INT((BG114-FT_Y5)/12)+FT_AnnivDays+INT(MOD(BG114-FT_Y5,12)/FT_Int2))),IF(AQ114="PT",IF(BG114&lt;PT_First,0,1+INT((BG114-PT_First)/PT_Int)),0))-IF(AQ114="FT",IF(BF114&lt;FT_First,0,IF(BF114&lt;FT_Y5,1+INT((BF114-FT_First)/FT_Int1),FT_PreY5+FT_PerYear*INT((BF114-FT_Y5)/12)+FT_AnnivDays+INT(MOD(BF114-FT_Y5,12)/FT_Int2))),IF(AQ114="PT",IF(BF114&lt;PT_First,0,1+INT((BF114-PT_First)/PT_Int)),0)),0)+IF(AND(AI114&gt;=3,AL114&lt;=EOMONTH(AsOfDate,-1)),IF(AR114="FT",IF(BE114&lt;FT_First,0,IF(BE114&lt;FT_Y5,1+INT((BE114-FT_First)/FT_Int1),FT_PreY5+FT_PerYear*INT((BE114-FT_Y5)/12)+FT_AnnivDays+INT(MOD(BE114-FT_Y5,12)/FT_Int2))),IF(AR114="PT",IF(BE114&lt;PT_First,0,1+INT((BE114-PT_First)/PT_Int)),0))-IF(AR114="FT",IF(BG114&lt;FT_First,0,IF(BG114&lt;FT_Y5,1+INT((BG114-FT_First)/FT_Int1),FT_PreY5+FT_PerYear*INT((BG114-FT_Y5)/12)+FT_AnnivDays+INT(MOD(BG114-FT_Y5,12)/FT_Int2))),IF(AR114="PT",IF(BG114&lt;PT_First,0,1+INT((BG114-PT_First)/PT_Int)),0)),0))</f>
        <v/>
      </c>
      <c r="BI114" s="14" t="str">
        <f aca="false">IF(AG114=0,"",IF(AS114="FT",IF(AT114&lt;FT_First,"",IF(AT114&lt;FT_Y5,FT_First+FT_Int1*INT((AT114-FT_First)/FT_Int1),FT_Y5+FT_Int2*INT((AT114-FT_Y5)/FT_Int2))),IF(AS114="PT",IF(AT114&lt;PT_First,"",PT_First+PT_Int*INT((AT114-PT_First)/PT_Int)),"")))</f>
        <v/>
      </c>
      <c r="BJ114" s="0" t="str">
        <f aca="false">IF(LEN($A114&amp;$B114)=0,"",$A114&amp;" "&amp;$B114)</f>
        <v/>
      </c>
    </row>
    <row r="115" customFormat="false" ht="15" hidden="false" customHeight="false" outlineLevel="0" collapsed="false">
      <c r="A115" s="10"/>
      <c r="B115" s="10"/>
      <c r="C115" s="10"/>
      <c r="D115" s="11"/>
      <c r="E115" s="12" t="str">
        <f aca="false">IF(OR(AG115=0,$D115=""),"",DATE(YEAR(AsOfDate)+IF(DATE(YEAR(AsOfDate),MONTH($D115),DAY($D115))&lt;=AsOfDate,1,0),MONTH($D115),DAY($D115)))</f>
        <v/>
      </c>
      <c r="F115" s="11"/>
      <c r="G115" s="11"/>
      <c r="H115" s="11"/>
      <c r="I115" s="11"/>
      <c r="J115" s="11"/>
      <c r="K115" s="12" t="str">
        <f aca="false">IF(AG115=0,"",DATE(YEAR(AsOfDate)+IF(DATE(YEAR(AsOfDate),MONTH(AH115),DAY(AH115))&lt;=AsOfDate,1,0),MONTH(AH115),DAY(AH115)))</f>
        <v/>
      </c>
      <c r="L115" s="13" t="str">
        <f aca="false">IF(AG115=0,"",ROUND((AsOfDate-AH115)/365.25,1))</f>
        <v/>
      </c>
      <c r="M115" s="14" t="str">
        <f aca="false">IF(AG115=0,"",IF(AsOfDate&lt;AH115,"-",DATEDIF(AH115,AsOfDate,"y")&amp;"y "&amp;DATEDIF(AH115,AsOfDate,"ym")&amp;"m "&amp;DATEDIF(AH115,AsOfDate,"md")&amp;"d"))</f>
        <v/>
      </c>
      <c r="N115" s="15" t="str">
        <f aca="false">IF(AG115=0,"",O115*HoursPerDay)</f>
        <v/>
      </c>
      <c r="O115" s="15" t="str">
        <f aca="false">IF(AG115=0,"",AZ115)</f>
        <v/>
      </c>
      <c r="P115" s="16"/>
      <c r="Q115" s="14" t="str">
        <f aca="false">IF(AG115=0,"",IF(AI115&lt;2,"",AM115&amp;" to "&amp;AN115&amp;" on "&amp;TEXT(AK115,"dd/mm/yyyy")&amp;IF(AK115&gt;AsOfDate," (future)",IF(AP115=AQ115,"",IF(AQ115="None"," - STOPPED accruing",IF(AP115="None"," - commencement for Bonus Leave"," - pathway changed"))))&amp;IF(AI115&lt;3,"","; "&amp;AN115&amp;" to "&amp;AO115&amp;" on "&amp;TEXT(AL115,"dd/mm/yyyy")&amp;IF(AL115&gt;AsOfDate," (future)",IF(AQ115=AR115,"",IF(AR115="None"," - STOPPED accruing",IF(AQ115="None"," - commencement for Bonus Leave"," - pathway changed")))))))</f>
        <v/>
      </c>
      <c r="R115" s="14" t="str">
        <f aca="false">IF(AG115=0,"",IF(AS115="None",IF(O115&gt;0,"No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2" t="str">
        <f aca="false">IF(AG115=0,"",IF(AS115="None","",EDATE(AH115,BB115)))</f>
        <v/>
      </c>
      <c r="T115" s="15" t="str">
        <f aca="false">IF(AG115=0,"",IF(NOT(LH_Ready),"",IF(AH115&gt;PFYDate,0,IF(LH_ColPeriod=0,W115-U115+V115,SUMIFS(INDEX(LH_Data,0,LH_ColAcc),INDEX(LH_Data,0,LH_ColFirst),$A115,INDEX(LH_Data,0,LH_ColSur),$B115,INDEX(LH_Data,0,LH_ColCat),BonusCat,INDEX(LH_Data,0,LH_ColPeriod),LH_OpenLabel)*UnitFactor))))</f>
        <v/>
      </c>
      <c r="U115" s="15" t="str">
        <f aca="false">IF(AG115=0,"",IF(NOT(LH_Ready),"",SUMIFS(INDEX(LH_Data,0,LH_ColAcc),INDEX(LH_Data,0,LH_ColFirst),$A115,INDEX(LH_Data,0,LH_ColSur),$B115,INDEX(LH_Data,0,LH_ColCat),BonusCat,INDEX(LH_Data,0,LH_ColStart),"&gt;="&amp;AH115)*UnitFactor))</f>
        <v/>
      </c>
      <c r="V115" s="15" t="str">
        <f aca="false">IF(AG115=0,"",IF(NOT(LH_Ready),"",SUMIFS(INDEX(LH_Data,0,LH_ColTaken),INDEX(LH_Data,0,LH_ColFirst),$A115,INDEX(LH_Data,0,LH_ColSur),$B115,INDEX(LH_Data,0,LH_ColCat),BonusCat,INDEX(LH_Data,0,LH_ColStart),"&gt;="&amp;AH115)*UnitFactor))</f>
        <v/>
      </c>
      <c r="W115" s="15" t="str">
        <f aca="false">IF(AG115=0,"",IF(NOT(LH_Ready),"",IF(BD115=0,0,INDEX(INDEX(LH_Data,0,LH_ColClose),BD115-1)*UnitFactor)))</f>
        <v/>
      </c>
      <c r="X115" s="15" t="str">
        <f aca="false">IF(AG115=0,"",(AZ115-BA115)*HoursPerDay)</f>
        <v/>
      </c>
      <c r="Y115" s="15" t="str">
        <f aca="false">IF(AG115=0,"",IF(NOT(LH_Ready),"",IF(BC115=0,N115,IF(PFYDate&lt;$F115,N115-N(T115)-N(U115),X115-N(U115)))))</f>
        <v/>
      </c>
      <c r="Z115" s="14" t="str">
        <f aca="false">IF(OR(AG115=0,Y115=""),"",IF(Y115&gt;0,"Yes","No"))</f>
        <v/>
      </c>
      <c r="AA115" s="14" t="str">
        <f aca="false">IF(AG115=0,IF(LEN($A115&amp;$B115)=0,"","FIX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month")&amp;IF(BC115=0,";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EH)",""),IF(AS115="None",R115,"Not yet - first day on "&amp;TEXT(S115,"dd/mm/yyyy")))))))))</f>
        <v/>
      </c>
      <c r="AB115" s="15" t="str">
        <f aca="false">IF(OR(AG115=0,T115=""),"",BA115*HoursPerDay-T115)</f>
        <v/>
      </c>
      <c r="AC115" s="14" t="str">
        <f aca="false">IF(AG115=0,"",BC115)</f>
        <v/>
      </c>
      <c r="AD115" s="14" t="str">
        <f aca="false">IF(AG115=0,"",TRIM(IF(OR(ISTEXT($F115),ISTEXT($H115),ISTEXT($I115),ISTEXT($G115),ISTEXT($J115),ISTEXT($D115)),"A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I115&gt;=1,IF(AI115&gt;=3,AO115,IF(AI115=2,AN115,AM115))&lt;&gt;IF($C115="","",IF(OR(ISNUMBER(SEARCH("full",$C115)),UPPER(TRIM($C115))="FT",UPPER(TRIM($C115))="FTE"),"Full-Time",IF(OR(ISNUMBER(SEARCH("part",$C115)),UPPER(TRIM($C115))="PT",UPPER(TRIM($C115))="PTE"),"Part-Time",IF(OR(ISNUMBER(SEARCH("cas",$C115)),UPPER(TRIM($C115))="CAS"),"Casual","Unknown"))))),"EmploymentType does not match latest start date ("&amp;IF(AI115&gt;=3,AO115,IF(AI115=2,AN115,AM115))&amp;"). ","")&amp;IF(AND(AI115&gt;=1,AJ115&lt;&gt;$F115),"Earliest type date should equal StartDate. ","")&amp;IF(AND(AI115&gt;=2,AJ115=AK115),"Two types start on the same date. ","")&amp;IF(AND(OR(ISNUMBER(SEARCH("part",$C115)),UPPER(TRIM($C115))="PT",UPPER(TRIM($C115))="PTE"),$P115=""),"Part-time: enter PT Hrs/Week (blank = 24+). ","")))</f>
        <v/>
      </c>
      <c r="AE115" s="15" t="str">
        <f aca="false">IF(AG115=0,"",O115-BH115)</f>
        <v/>
      </c>
      <c r="AF115" s="12" t="str">
        <f aca="false">IF(OR(AG115=0,AE115="",N(AE115)=0,BI115=""),"",EDATE(AH115,BI115))</f>
        <v/>
      </c>
      <c r="AG115" s="14" t="n">
        <f aca="false">IF(OR(LEN($A115&amp;$B115)=0,$F115=""),0,1)</f>
        <v>0</v>
      </c>
      <c r="AH115" s="12" t="str">
        <f aca="false">IF(AG115=0,"",IF($J115&lt;&gt;"",$J115,IF(OR(CasualCounts="Yes",COUNT($G115:$I115)=0,COUNT($H115:$I115)=0),$F115,MIN($H115:$I115))))</f>
        <v/>
      </c>
      <c r="AI115" s="14" t="str">
        <f aca="false">IF(AG115=0,"",COUNT($G115:$I115))</f>
        <v/>
      </c>
      <c r="AJ115" s="12" t="str">
        <f aca="false">IF(AG115=0,"",IFERROR(SMALL($G115:$I115,1),""))</f>
        <v/>
      </c>
      <c r="AK115" s="12" t="str">
        <f aca="false">IF(AG115=0,"",IFERROR(SMALL($G115:$I115,2),""))</f>
        <v/>
      </c>
      <c r="AL115" s="12" t="str">
        <f aca="false">IF(AG115=0,"",IFERROR(SMALL($G115:$I115,3),""))</f>
        <v/>
      </c>
      <c r="AM115" s="14" t="str">
        <f aca="false">IF(AG115=0,"",IF(AJ115="","",IF(AJ115=$H115,"Part-Time",IF(AJ115=$I115,"Full-Time","Casual"))))</f>
        <v/>
      </c>
      <c r="AN115" s="14" t="str">
        <f aca="false">IF(AG115=0,"",IF(AK115="","",IF(AK115=$H115,"Part-Time",IF(AK115=$I115,"Full-Time","Casual"))))</f>
        <v/>
      </c>
      <c r="AO115" s="14" t="str">
        <f aca="false">IF(AG115=0,"",IF(AL115="","",IF(AL115=$H115,"Part-Time",IF(AL115=$I115,"Full-Time","Casual"))))</f>
        <v/>
      </c>
      <c r="AP115" s="14" t="str">
        <f aca="false">IF(AG115=0,"",IF(AI115=0,IF(OR(ISNUMBER(SEARCH("full",$C115)),UPPER(TRIM($C115))="FT",UPPER(TRIM($C115))="FTE"),"FT",IF(AND(OR(ISNUMBER(SEARCH("part",$C115)),UPPER(TRIM($C115))="PT",UPPER(TRIM($C115))="PTE"),OR($P115="",N($P115)&gt;=PT_MinHours)),"PT","None")),IF(OR(ISNUMBER(SEARCH("full",AM115)),UPPER(TRIM(AM115))="FT",UPPER(TRIM(AM115))="FTE"),"FT",IF(AND(OR(ISNUMBER(SEARCH("part",AM115)),UPPER(TRIM(AM115))="PT",UPPER(TRIM(AM115))="PTE"),OR($P115="",N($P115)&gt;=PT_MinHours)),"PT","None"))))</f>
        <v/>
      </c>
      <c r="AQ115" s="14" t="str">
        <f aca="false">IF(AG115=0,"",IF(AI115&lt;2,"",IF(OR(ISNUMBER(SEARCH("full",AN115)),UPPER(TRIM(AN115))="FT",UPPER(TRIM(AN115))="FTE"),"FT",IF(AND(OR(ISNUMBER(SEARCH("part",AN115)),UPPER(TRIM(AN115))="PT",UPPER(TRIM(AN115))="PTE"),OR($P115="",N($P115)&gt;=PT_MinHours)),"PT","None"))))</f>
        <v/>
      </c>
      <c r="AR115" s="14" t="str">
        <f aca="false">IF(AG115=0,"",IF(AI115&lt;3,"",IF(OR(ISNUMBER(SEARCH("full",AO115)),UPPER(TRIM(AO115))="FT",UPPER(TRIM(AO115))="FTE"),"FT",IF(AND(OR(ISNUMBER(SEARCH("part",AO115)),UPPER(TRIM(AO115))="PT",UPPER(TRIM(AO115))="PTE"),OR($P115="",N($P115)&gt;=PT_MinHours)),"PT","None"))))</f>
        <v/>
      </c>
      <c r="AS115" s="14" t="str">
        <f aca="false">IF(AG115=0,"",IF(AND(AI115&gt;=3,AL115&lt;=AsOfDate),AR115,IF(AND(AI115&gt;=2,AK115&lt;=AsOfDate),AQ115,AP115)))</f>
        <v/>
      </c>
      <c r="AT115" s="14" t="str">
        <f aca="false">IF(AG115=0,"",IF(AsOfDate&lt;AH115,-1,12*(YEAR(AsOfDate)-YEAR(AH115))+MONTH(AsOfDate)-MONTH(AH115)-IF(DAY(AsOfDate)&lt;MIN(DAY(AH115),DAY(EOMONTH(AsOfDate,0))),1,0)))</f>
        <v/>
      </c>
      <c r="AU115" s="14" t="str">
        <f aca="false">IF(AG115=0,"",IF(OR(AI115&lt;2,AK115&gt;AsOfDate),AT115,IF((AK115-1)&lt;AH115,-1,12*(YEAR((AK115-1))-YEAR(AH115))+MONTH((AK115-1))-MONTH(AH115)-IF(DAY((AK115-1))&lt;MIN(DAY(AH115),DAY(EOMONTH((AK115-1),0))),1,0))))</f>
        <v/>
      </c>
      <c r="AV115" s="14" t="str">
        <f aca="false">IF(AG115=0,"",IF(OR(AI115&lt;3,AL115&gt;AsOfDate),AT115,IF((AL115-1)&lt;AH115,-1,12*(YEAR((AL115-1))-YEAR(AH115))+MONTH((AL115-1))-MONTH(AH115)-IF(DAY((AL115-1))&lt;MIN(DAY(AH115),DAY(EOMONTH((AL115-1),0))),1,0))))</f>
        <v/>
      </c>
      <c r="AW115" s="14" t="str">
        <f aca="false">IF(AG115=0,"",IF(PFYDate&lt;AH115,-1,12*(YEAR(PFYDate)-YEAR(AH115))+MONTH(PFYDate)-MONTH(AH115)-IF(DAY(PFYDate)&lt;MIN(DAY(AH115),DAY(EOMONTH(PFYDate,0))),1,0)))</f>
        <v/>
      </c>
      <c r="AX115" s="14" t="str">
        <f aca="false">IF(AG115=0,"",IF(OR(AI115&lt;2,AK115&gt;PFYDate),AW115,IF((AK115-1)&lt;AH115,-1,12*(YEAR((AK115-1))-YEAR(AH115))+MONTH((AK115-1))-MONTH(AH115)-IF(DAY((AK115-1))&lt;MIN(DAY(AH115),DAY(EOMONTH((AK115-1),0))),1,0))))</f>
        <v/>
      </c>
      <c r="AY115" s="14" t="str">
        <f aca="false">IF(AG115=0,"",IF(OR(AI115&lt;3,AL115&gt;PFYDate),AW115,IF((AL115-1)&lt;AH115,-1,12*(YEAR((AL115-1))-YEAR(AH115))+MONTH((AL115-1))-MONTH(AH115)-IF(DAY((AL115-1))&lt;MIN(DAY(AH115),DAY(EOMONTH((AL115-1),0))),1,0))))</f>
        <v/>
      </c>
      <c r="AZ115" s="14" t="str">
        <f aca="false">IF(AG115=0,"",IF(AP115="FT",IF(AU115&lt;FT_First,0,IF(AU115&lt;FT_Y5,1+INT((AU115-FT_First)/FT_Int1),FT_PreY5+FT_PerYear*INT((AU115-FT_Y5)/12)+FT_AnnivDays+INT(MOD(AU115-FT_Y5,12)/FT_Int2))),IF(AP115="PT",IF(AU115&lt;PT_First,0,1+INT((AU115-PT_First)/PT_Int)),0))+IF(AND(AI115&gt;=2,AK115&lt;=AsOfDate),IF(AQ115="FT",IF(AV115&lt;FT_First,0,IF(AV115&lt;FT_Y5,1+INT((AV115-FT_First)/FT_Int1),FT_PreY5+FT_PerYear*INT((AV115-FT_Y5)/12)+FT_AnnivDays+INT(MOD(AV115-FT_Y5,12)/FT_Int2))),IF(AQ115="PT",IF(AV115&lt;PT_First,0,1+INT((AV115-PT_First)/PT_Int)),0))-IF(AQ115="FT",IF(AU115&lt;FT_First,0,IF(AU115&lt;FT_Y5,1+INT((AU115-FT_First)/FT_Int1),FT_PreY5+FT_PerYear*INT((AU115-FT_Y5)/12)+FT_AnnivDays+INT(MOD(AU115-FT_Y5,12)/FT_Int2))),IF(AQ115="PT",IF(AU115&lt;PT_First,0,1+INT((AU115-PT_First)/PT_Int)),0)),0)+IF(AND(AI115&gt;=3,AL115&lt;=AsOfDate),IF(AR115="FT",IF(AT115&lt;FT_First,0,IF(AT115&lt;FT_Y5,1+INT((AT115-FT_First)/FT_Int1),FT_PreY5+FT_PerYear*INT((AT115-FT_Y5)/12)+FT_AnnivDays+INT(MOD(AT115-FT_Y5,12)/FT_Int2))),IF(AR115="PT",IF(AT115&lt;PT_First,0,1+INT((AT115-PT_First)/PT_Int)),0))-IF(AR115="FT",IF(AV115&lt;FT_First,0,IF(AV115&lt;FT_Y5,1+INT((AV115-FT_First)/FT_Int1),FT_PreY5+FT_PerYear*INT((AV115-FT_Y5)/12)+FT_AnnivDays+INT(MOD(AV115-FT_Y5,12)/FT_Int2))),IF(AR115="PT",IF(AV115&lt;PT_First,0,1+INT((AV115-PT_First)/PT_Int)),0)),0))</f>
        <v/>
      </c>
      <c r="BA115" s="14" t="str">
        <f aca="false">IF(AG115=0,"",IF(AP115="FT",IF(AX115&lt;FT_First,0,IF(AX115&lt;FT_Y5,1+INT((AX115-FT_First)/FT_Int1),FT_PreY5+FT_PerYear*INT((AX115-FT_Y5)/12)+FT_AnnivDays+INT(MOD(AX115-FT_Y5,12)/FT_Int2))),IF(AP115="PT",IF(AX115&lt;PT_First,0,1+INT((AX115-PT_First)/PT_Int)),0))+IF(AND(AI115&gt;=2,AK115&lt;=PFYDate),IF(AQ115="FT",IF(AY115&lt;FT_First,0,IF(AY115&lt;FT_Y5,1+INT((AY115-FT_First)/FT_Int1),FT_PreY5+FT_PerYear*INT((AY115-FT_Y5)/12)+FT_AnnivDays+INT(MOD(AY115-FT_Y5,12)/FT_Int2))),IF(AQ115="PT",IF(AY115&lt;PT_First,0,1+INT((AY115-PT_First)/PT_Int)),0))-IF(AQ115="FT",IF(AX115&lt;FT_First,0,IF(AX115&lt;FT_Y5,1+INT((AX115-FT_First)/FT_Int1),FT_PreY5+FT_PerYear*INT((AX115-FT_Y5)/12)+FT_AnnivDays+INT(MOD(AX115-FT_Y5,12)/FT_Int2))),IF(AQ115="PT",IF(AX115&lt;PT_First,0,1+INT((AX115-PT_First)/PT_Int)),0)),0)+IF(AND(AI115&gt;=3,AL115&lt;=PFYDate),IF(AR115="FT",IF(AW115&lt;FT_First,0,IF(AW115&lt;FT_Y5,1+INT((AW115-FT_First)/FT_Int1),FT_PreY5+FT_PerYear*INT((AW115-FT_Y5)/12)+FT_AnnivDays+INT(MOD(AW115-FT_Y5,12)/FT_Int2))),IF(AR115="PT",IF(AW115&lt;PT_First,0,1+INT((AW115-PT_First)/PT_Int)),0))-IF(AR115="FT",IF(AY115&lt;FT_First,0,IF(AY115&lt;FT_Y5,1+INT((AY115-FT_First)/FT_Int1),FT_PreY5+FT_PerYear*INT((AY115-FT_Y5)/12)+FT_AnnivDays+INT(MOD(AY115-FT_Y5,12)/FT_Int2))),IF(AR115="PT",IF(AY115&lt;PT_First,0,1+INT((AY115-PT_First)/PT_Int)),0)),0))</f>
        <v/>
      </c>
      <c r="BB115" s="14" t="str">
        <f aca="false">IF(AG115=0,"",IF(AS115="FT",IF(AT115&lt;FT_First,FT_First,IF(AT115&lt;FT_Y5,MIN(FT_Y5,FT_First+FT_Int1*(INT((AT115-FT_First)/FT_Int1)+1)),FT_Y5+12*INT((AT115-FT_Y5)/12)+FT_Int2*(INT(MOD(AT115-FT_Y5,12)/FT_Int2)+1))),IF(AS115="PT",IF(AT115&lt;PT_First,PT_First,PT_First+PT_Int*(INT((AT115-PT_First)/PT_Int)+1)),"")))</f>
        <v/>
      </c>
      <c r="BC115" s="14" t="str">
        <f aca="false">IF(AG115=0,"",IF(NOT(LH_Ready),0,COUNTIFS(INDEX(LH_Data,0,LH_ColFirst),$A115,INDEX(LH_Data,0,LH_ColSur),$B115,INDEX(LH_Data,0,LH_ColCat),BonusCat)))</f>
        <v/>
      </c>
      <c r="BD115" s="14" t="str">
        <f aca="false">IF(AG115=0,"",IF(OR(NOT(LH_Ready),BC115=0),0,SUMPRODUCT(MAX((INDEX(LH_Data,0,LH_ColFirst)=$A115)*(INDEX(LH_Data,0,LH_ColSur)=$B115)*(INDEX(LH_Data,0,LH_ColCat)=BonusCat)*ROW(LH_Data)))))</f>
        <v/>
      </c>
      <c r="BE115" s="14" t="str">
        <f aca="false">IF(AG115=0,"",IF(EOMONTH(AsOfDate,-1)&lt;AH115,-1,12*(YEAR(EOMONTH(AsOfDate,-1))-YEAR(AH115))+MONTH(EOMONTH(AsOfDate,-1))-MONTH(AH115)-IF(DAY(EOMONTH(AsOfDate,-1))&lt;MIN(DAY(AH115),DAY(EOMONTH(EOMONTH(AsOfDate,-1),0))),1,0)))</f>
        <v/>
      </c>
      <c r="BF115" s="14" t="str">
        <f aca="false">IF(AG115=0,"",IF(OR(AI115&lt;2,AK115&gt;EOMONTH(AsOfDate,-1)),BE115,IF((AK115-1)&lt;AH115,-1,12*(YEAR((AK115-1))-YEAR(AH115))+MONTH((AK115-1))-MONTH(AH115)-IF(DAY((AK115-1))&lt;MIN(DAY(AH115),DAY(EOMONTH((AK115-1),0))),1,0))))</f>
        <v/>
      </c>
      <c r="BG115" s="14" t="str">
        <f aca="false">IF(AG115=0,"",IF(OR(AI115&lt;3,AL115&gt;EOMONTH(AsOfDate,-1)),BE115,IF((AL115-1)&lt;AH115,-1,12*(YEAR((AL115-1))-YEAR(AH115))+MONTH((AL115-1))-MONTH(AH115)-IF(DAY((AL115-1))&lt;MIN(DAY(AH115),DAY(EOMONTH((AL115-1),0))),1,0))))</f>
        <v/>
      </c>
      <c r="BH115" s="14" t="str">
        <f aca="false">IF(AG115=0,"",IF(AP115="FT",IF(BF115&lt;FT_First,0,IF(BF115&lt;FT_Y5,1+INT((BF115-FT_First)/FT_Int1),FT_PreY5+FT_PerYear*INT((BF115-FT_Y5)/12)+FT_AnnivDays+INT(MOD(BF115-FT_Y5,12)/FT_Int2))),IF(AP115="PT",IF(BF115&lt;PT_First,0,1+INT((BF115-PT_First)/PT_Int)),0))+IF(AND(AI115&gt;=2,AK115&lt;=EOMONTH(AsOfDate,-1)),IF(AQ115="FT",IF(BG115&lt;FT_First,0,IF(BG115&lt;FT_Y5,1+INT((BG115-FT_First)/FT_Int1),FT_PreY5+FT_PerYear*INT((BG115-FT_Y5)/12)+FT_AnnivDays+INT(MOD(BG115-FT_Y5,12)/FT_Int2))),IF(AQ115="PT",IF(BG115&lt;PT_First,0,1+INT((BG115-PT_First)/PT_Int)),0))-IF(AQ115="FT",IF(BF115&lt;FT_First,0,IF(BF115&lt;FT_Y5,1+INT((BF115-FT_First)/FT_Int1),FT_PreY5+FT_PerYear*INT((BF115-FT_Y5)/12)+FT_AnnivDays+INT(MOD(BF115-FT_Y5,12)/FT_Int2))),IF(AQ115="PT",IF(BF115&lt;PT_First,0,1+INT((BF115-PT_First)/PT_Int)),0)),0)+IF(AND(AI115&gt;=3,AL115&lt;=EOMONTH(AsOfDate,-1)),IF(AR115="FT",IF(BE115&lt;FT_First,0,IF(BE115&lt;FT_Y5,1+INT((BE115-FT_First)/FT_Int1),FT_PreY5+FT_PerYear*INT((BE115-FT_Y5)/12)+FT_AnnivDays+INT(MOD(BE115-FT_Y5,12)/FT_Int2))),IF(AR115="PT",IF(BE115&lt;PT_First,0,1+INT((BE115-PT_First)/PT_Int)),0))-IF(AR115="FT",IF(BG115&lt;FT_First,0,IF(BG115&lt;FT_Y5,1+INT((BG115-FT_First)/FT_Int1),FT_PreY5+FT_PerYear*INT((BG115-FT_Y5)/12)+FT_AnnivDays+INT(MOD(BG115-FT_Y5,12)/FT_Int2))),IF(AR115="PT",IF(BG115&lt;PT_First,0,1+INT((BG115-PT_First)/PT_Int)),0)),0))</f>
        <v/>
      </c>
      <c r="BI115" s="14" t="str">
        <f aca="false">IF(AG115=0,"",IF(AS115="FT",IF(AT115&lt;FT_First,"",IF(AT115&lt;FT_Y5,FT_First+FT_Int1*INT((AT115-FT_First)/FT_Int1),FT_Y5+FT_Int2*INT((AT115-FT_Y5)/FT_Int2))),IF(AS115="PT",IF(AT115&lt;PT_First,"",PT_First+PT_Int*INT((AT115-PT_First)/PT_Int)),"")))</f>
        <v/>
      </c>
      <c r="BJ115" s="0" t="str">
        <f aca="false">IF(LEN($A115&amp;$B115)=0,"",$A115&amp;" "&amp;$B115)</f>
        <v/>
      </c>
    </row>
    <row r="116" customFormat="false" ht="15" hidden="false" customHeight="false" outlineLevel="0" collapsed="false">
      <c r="A116" s="10"/>
      <c r="B116" s="10"/>
      <c r="C116" s="10"/>
      <c r="D116" s="11"/>
      <c r="E116" s="12" t="str">
        <f aca="false">IF(OR(AG116=0,$D116=""),"",DATE(YEAR(AsOfDate)+IF(DATE(YEAR(AsOfDate),MONTH($D116),DAY($D116))&lt;=AsOfDate,1,0),MONTH($D116),DAY($D116)))</f>
        <v/>
      </c>
      <c r="F116" s="11"/>
      <c r="G116" s="11"/>
      <c r="H116" s="11"/>
      <c r="I116" s="11"/>
      <c r="J116" s="11"/>
      <c r="K116" s="12" t="str">
        <f aca="false">IF(AG116=0,"",DATE(YEAR(AsOfDate)+IF(DATE(YEAR(AsOfDate),MONTH(AH116),DAY(AH116))&lt;=AsOfDate,1,0),MONTH(AH116),DAY(AH116)))</f>
        <v/>
      </c>
      <c r="L116" s="13" t="str">
        <f aca="false">IF(AG116=0,"",ROUND((AsOfDate-AH116)/365.25,1))</f>
        <v/>
      </c>
      <c r="M116" s="14" t="str">
        <f aca="false">IF(AG116=0,"",IF(AsOfDate&lt;AH116,"-",DATEDIF(AH116,AsOfDate,"y")&amp;"y "&amp;DATEDIF(AH116,AsOfDate,"ym")&amp;"m "&amp;DATEDIF(AH116,AsOfDate,"md")&amp;"d"))</f>
        <v/>
      </c>
      <c r="N116" s="15" t="str">
        <f aca="false">IF(AG116=0,"",O116*HoursPerDay)</f>
        <v/>
      </c>
      <c r="O116" s="15" t="str">
        <f aca="false">IF(AG116=0,"",AZ116)</f>
        <v/>
      </c>
      <c r="P116" s="16"/>
      <c r="Q116" s="14" t="str">
        <f aca="false">IF(AG116=0,"",IF(AI116&lt;2,"",AM116&amp;" to "&amp;AN116&amp;" on "&amp;TEXT(AK116,"dd/mm/yyyy")&amp;IF(AK116&gt;AsOfDate," (future)",IF(AP116=AQ116,"",IF(AQ116="None"," - STOPPED accruing",IF(AP116="None"," - commencement for Bonus Leave"," - pathway changed"))))&amp;IF(AI116&lt;3,"","; "&amp;AN116&amp;" to "&amp;AO116&amp;" on "&amp;TEXT(AL116,"dd/mm/yyyy")&amp;IF(AL116&gt;AsOfDate," (future)",IF(AQ116=AR116,"",IF(AR116="None"," - STOPPED accruing",IF(AQ116="None"," - commencement for Bonus Leave"," - pathway changed")))))))</f>
        <v/>
      </c>
      <c r="R116" s="14" t="str">
        <f aca="false">IF(AG116=0,"",IF(AS116="None",IF(O116&gt;0,"No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2" t="str">
        <f aca="false">IF(AG116=0,"",IF(AS116="None","",EDATE(AH116,BB116)))</f>
        <v/>
      </c>
      <c r="T116" s="15" t="str">
        <f aca="false">IF(AG116=0,"",IF(NOT(LH_Ready),"",IF(AH116&gt;PFYDate,0,IF(LH_ColPeriod=0,W116-U116+V116,SUMIFS(INDEX(LH_Data,0,LH_ColAcc),INDEX(LH_Data,0,LH_ColFirst),$A116,INDEX(LH_Data,0,LH_ColSur),$B116,INDEX(LH_Data,0,LH_ColCat),BonusCat,INDEX(LH_Data,0,LH_ColPeriod),LH_OpenLabel)*UnitFactor))))</f>
        <v/>
      </c>
      <c r="U116" s="15" t="str">
        <f aca="false">IF(AG116=0,"",IF(NOT(LH_Ready),"",SUMIFS(INDEX(LH_Data,0,LH_ColAcc),INDEX(LH_Data,0,LH_ColFirst),$A116,INDEX(LH_Data,0,LH_ColSur),$B116,INDEX(LH_Data,0,LH_ColCat),BonusCat,INDEX(LH_Data,0,LH_ColStart),"&gt;="&amp;AH116)*UnitFactor))</f>
        <v/>
      </c>
      <c r="V116" s="15" t="str">
        <f aca="false">IF(AG116=0,"",IF(NOT(LH_Ready),"",SUMIFS(INDEX(LH_Data,0,LH_ColTaken),INDEX(LH_Data,0,LH_ColFirst),$A116,INDEX(LH_Data,0,LH_ColSur),$B116,INDEX(LH_Data,0,LH_ColCat),BonusCat,INDEX(LH_Data,0,LH_ColStart),"&gt;="&amp;AH116)*UnitFactor))</f>
        <v/>
      </c>
      <c r="W116" s="15" t="str">
        <f aca="false">IF(AG116=0,"",IF(NOT(LH_Ready),"",IF(BD116=0,0,INDEX(INDEX(LH_Data,0,LH_ColClose),BD116-1)*UnitFactor)))</f>
        <v/>
      </c>
      <c r="X116" s="15" t="str">
        <f aca="false">IF(AG116=0,"",(AZ116-BA116)*HoursPerDay)</f>
        <v/>
      </c>
      <c r="Y116" s="15" t="str">
        <f aca="false">IF(AG116=0,"",IF(NOT(LH_Ready),"",IF(BC116=0,N116,IF(PFYDate&lt;$F116,N116-N(T116)-N(U116),X116-N(U116)))))</f>
        <v/>
      </c>
      <c r="Z116" s="14" t="str">
        <f aca="false">IF(OR(AG116=0,Y116=""),"",IF(Y116&gt;0,"Yes","No"))</f>
        <v/>
      </c>
      <c r="AA116" s="14" t="str">
        <f aca="false">IF(AG116=0,IF(LEN($A116&amp;$B116)=0,"","FIX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month")&amp;IF(BC116=0,";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EH)",""),IF(AS116="None",R116,"Not yet - first day on "&amp;TEXT(S116,"dd/mm/yyyy")))))))))</f>
        <v/>
      </c>
      <c r="AB116" s="15" t="str">
        <f aca="false">IF(OR(AG116=0,T116=""),"",BA116*HoursPerDay-T116)</f>
        <v/>
      </c>
      <c r="AC116" s="14" t="str">
        <f aca="false">IF(AG116=0,"",BC116)</f>
        <v/>
      </c>
      <c r="AD116" s="14" t="str">
        <f aca="false">IF(AG116=0,"",TRIM(IF(OR(ISTEXT($F116),ISTEXT($H116),ISTEXT($I116),ISTEXT($G116),ISTEXT($J116),ISTEXT($D116)),"A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I116&gt;=1,IF(AI116&gt;=3,AO116,IF(AI116=2,AN116,AM116))&lt;&gt;IF($C116="","",IF(OR(ISNUMBER(SEARCH("full",$C116)),UPPER(TRIM($C116))="FT",UPPER(TRIM($C116))="FTE"),"Full-Time",IF(OR(ISNUMBER(SEARCH("part",$C116)),UPPER(TRIM($C116))="PT",UPPER(TRIM($C116))="PTE"),"Part-Time",IF(OR(ISNUMBER(SEARCH("cas",$C116)),UPPER(TRIM($C116))="CAS"),"Casual","Unknown"))))),"EmploymentType does not match latest start date ("&amp;IF(AI116&gt;=3,AO116,IF(AI116=2,AN116,AM116))&amp;"). ","")&amp;IF(AND(AI116&gt;=1,AJ116&lt;&gt;$F116),"Earliest type date should equal StartDate. ","")&amp;IF(AND(AI116&gt;=2,AJ116=AK116),"Two types start on the same date. ","")&amp;IF(AND(OR(ISNUMBER(SEARCH("part",$C116)),UPPER(TRIM($C116))="PT",UPPER(TRIM($C116))="PTE"),$P116=""),"Part-time: enter PT Hrs/Week (blank = 24+). ","")))</f>
        <v/>
      </c>
      <c r="AE116" s="15" t="str">
        <f aca="false">IF(AG116=0,"",O116-BH116)</f>
        <v/>
      </c>
      <c r="AF116" s="12" t="str">
        <f aca="false">IF(OR(AG116=0,AE116="",N(AE116)=0,BI116=""),"",EDATE(AH116,BI116))</f>
        <v/>
      </c>
      <c r="AG116" s="14" t="n">
        <f aca="false">IF(OR(LEN($A116&amp;$B116)=0,$F116=""),0,1)</f>
        <v>0</v>
      </c>
      <c r="AH116" s="12" t="str">
        <f aca="false">IF(AG116=0,"",IF($J116&lt;&gt;"",$J116,IF(OR(CasualCounts="Yes",COUNT($G116:$I116)=0,COUNT($H116:$I116)=0),$F116,MIN($H116:$I116))))</f>
        <v/>
      </c>
      <c r="AI116" s="14" t="str">
        <f aca="false">IF(AG116=0,"",COUNT($G116:$I116))</f>
        <v/>
      </c>
      <c r="AJ116" s="12" t="str">
        <f aca="false">IF(AG116=0,"",IFERROR(SMALL($G116:$I116,1),""))</f>
        <v/>
      </c>
      <c r="AK116" s="12" t="str">
        <f aca="false">IF(AG116=0,"",IFERROR(SMALL($G116:$I116,2),""))</f>
        <v/>
      </c>
      <c r="AL116" s="12" t="str">
        <f aca="false">IF(AG116=0,"",IFERROR(SMALL($G116:$I116,3),""))</f>
        <v/>
      </c>
      <c r="AM116" s="14" t="str">
        <f aca="false">IF(AG116=0,"",IF(AJ116="","",IF(AJ116=$H116,"Part-Time",IF(AJ116=$I116,"Full-Time","Casual"))))</f>
        <v/>
      </c>
      <c r="AN116" s="14" t="str">
        <f aca="false">IF(AG116=0,"",IF(AK116="","",IF(AK116=$H116,"Part-Time",IF(AK116=$I116,"Full-Time","Casual"))))</f>
        <v/>
      </c>
      <c r="AO116" s="14" t="str">
        <f aca="false">IF(AG116=0,"",IF(AL116="","",IF(AL116=$H116,"Part-Time",IF(AL116=$I116,"Full-Time","Casual"))))</f>
        <v/>
      </c>
      <c r="AP116" s="14" t="str">
        <f aca="false">IF(AG116=0,"",IF(AI116=0,IF(OR(ISNUMBER(SEARCH("full",$C116)),UPPER(TRIM($C116))="FT",UPPER(TRIM($C116))="FTE"),"FT",IF(AND(OR(ISNUMBER(SEARCH("part",$C116)),UPPER(TRIM($C116))="PT",UPPER(TRIM($C116))="PTE"),OR($P116="",N($P116)&gt;=PT_MinHours)),"PT","None")),IF(OR(ISNUMBER(SEARCH("full",AM116)),UPPER(TRIM(AM116))="FT",UPPER(TRIM(AM116))="FTE"),"FT",IF(AND(OR(ISNUMBER(SEARCH("part",AM116)),UPPER(TRIM(AM116))="PT",UPPER(TRIM(AM116))="PTE"),OR($P116="",N($P116)&gt;=PT_MinHours)),"PT","None"))))</f>
        <v/>
      </c>
      <c r="AQ116" s="14" t="str">
        <f aca="false">IF(AG116=0,"",IF(AI116&lt;2,"",IF(OR(ISNUMBER(SEARCH("full",AN116)),UPPER(TRIM(AN116))="FT",UPPER(TRIM(AN116))="FTE"),"FT",IF(AND(OR(ISNUMBER(SEARCH("part",AN116)),UPPER(TRIM(AN116))="PT",UPPER(TRIM(AN116))="PTE"),OR($P116="",N($P116)&gt;=PT_MinHours)),"PT","None"))))</f>
        <v/>
      </c>
      <c r="AR116" s="14" t="str">
        <f aca="false">IF(AG116=0,"",IF(AI116&lt;3,"",IF(OR(ISNUMBER(SEARCH("full",AO116)),UPPER(TRIM(AO116))="FT",UPPER(TRIM(AO116))="FTE"),"FT",IF(AND(OR(ISNUMBER(SEARCH("part",AO116)),UPPER(TRIM(AO116))="PT",UPPER(TRIM(AO116))="PTE"),OR($P116="",N($P116)&gt;=PT_MinHours)),"PT","None"))))</f>
        <v/>
      </c>
      <c r="AS116" s="14" t="str">
        <f aca="false">IF(AG116=0,"",IF(AND(AI116&gt;=3,AL116&lt;=AsOfDate),AR116,IF(AND(AI116&gt;=2,AK116&lt;=AsOfDate),AQ116,AP116)))</f>
        <v/>
      </c>
      <c r="AT116" s="14" t="str">
        <f aca="false">IF(AG116=0,"",IF(AsOfDate&lt;AH116,-1,12*(YEAR(AsOfDate)-YEAR(AH116))+MONTH(AsOfDate)-MONTH(AH116)-IF(DAY(AsOfDate)&lt;MIN(DAY(AH116),DAY(EOMONTH(AsOfDate,0))),1,0)))</f>
        <v/>
      </c>
      <c r="AU116" s="14" t="str">
        <f aca="false">IF(AG116=0,"",IF(OR(AI116&lt;2,AK116&gt;AsOfDate),AT116,IF((AK116-1)&lt;AH116,-1,12*(YEAR((AK116-1))-YEAR(AH116))+MONTH((AK116-1))-MONTH(AH116)-IF(DAY((AK116-1))&lt;MIN(DAY(AH116),DAY(EOMONTH((AK116-1),0))),1,0))))</f>
        <v/>
      </c>
      <c r="AV116" s="14" t="str">
        <f aca="false">IF(AG116=0,"",IF(OR(AI116&lt;3,AL116&gt;AsOfDate),AT116,IF((AL116-1)&lt;AH116,-1,12*(YEAR((AL116-1))-YEAR(AH116))+MONTH((AL116-1))-MONTH(AH116)-IF(DAY((AL116-1))&lt;MIN(DAY(AH116),DAY(EOMONTH((AL116-1),0))),1,0))))</f>
        <v/>
      </c>
      <c r="AW116" s="14" t="str">
        <f aca="false">IF(AG116=0,"",IF(PFYDate&lt;AH116,-1,12*(YEAR(PFYDate)-YEAR(AH116))+MONTH(PFYDate)-MONTH(AH116)-IF(DAY(PFYDate)&lt;MIN(DAY(AH116),DAY(EOMONTH(PFYDate,0))),1,0)))</f>
        <v/>
      </c>
      <c r="AX116" s="14" t="str">
        <f aca="false">IF(AG116=0,"",IF(OR(AI116&lt;2,AK116&gt;PFYDate),AW116,IF((AK116-1)&lt;AH116,-1,12*(YEAR((AK116-1))-YEAR(AH116))+MONTH((AK116-1))-MONTH(AH116)-IF(DAY((AK116-1))&lt;MIN(DAY(AH116),DAY(EOMONTH((AK116-1),0))),1,0))))</f>
        <v/>
      </c>
      <c r="AY116" s="14" t="str">
        <f aca="false">IF(AG116=0,"",IF(OR(AI116&lt;3,AL116&gt;PFYDate),AW116,IF((AL116-1)&lt;AH116,-1,12*(YEAR((AL116-1))-YEAR(AH116))+MONTH((AL116-1))-MONTH(AH116)-IF(DAY((AL116-1))&lt;MIN(DAY(AH116),DAY(EOMONTH((AL116-1),0))),1,0))))</f>
        <v/>
      </c>
      <c r="AZ116" s="14" t="str">
        <f aca="false">IF(AG116=0,"",IF(AP116="FT",IF(AU116&lt;FT_First,0,IF(AU116&lt;FT_Y5,1+INT((AU116-FT_First)/FT_Int1),FT_PreY5+FT_PerYear*INT((AU116-FT_Y5)/12)+FT_AnnivDays+INT(MOD(AU116-FT_Y5,12)/FT_Int2))),IF(AP116="PT",IF(AU116&lt;PT_First,0,1+INT((AU116-PT_First)/PT_Int)),0))+IF(AND(AI116&gt;=2,AK116&lt;=AsOfDate),IF(AQ116="FT",IF(AV116&lt;FT_First,0,IF(AV116&lt;FT_Y5,1+INT((AV116-FT_First)/FT_Int1),FT_PreY5+FT_PerYear*INT((AV116-FT_Y5)/12)+FT_AnnivDays+INT(MOD(AV116-FT_Y5,12)/FT_Int2))),IF(AQ116="PT",IF(AV116&lt;PT_First,0,1+INT((AV116-PT_First)/PT_Int)),0))-IF(AQ116="FT",IF(AU116&lt;FT_First,0,IF(AU116&lt;FT_Y5,1+INT((AU116-FT_First)/FT_Int1),FT_PreY5+FT_PerYear*INT((AU116-FT_Y5)/12)+FT_AnnivDays+INT(MOD(AU116-FT_Y5,12)/FT_Int2))),IF(AQ116="PT",IF(AU116&lt;PT_First,0,1+INT((AU116-PT_First)/PT_Int)),0)),0)+IF(AND(AI116&gt;=3,AL116&lt;=AsOfDate),IF(AR116="FT",IF(AT116&lt;FT_First,0,IF(AT116&lt;FT_Y5,1+INT((AT116-FT_First)/FT_Int1),FT_PreY5+FT_PerYear*INT((AT116-FT_Y5)/12)+FT_AnnivDays+INT(MOD(AT116-FT_Y5,12)/FT_Int2))),IF(AR116="PT",IF(AT116&lt;PT_First,0,1+INT((AT116-PT_First)/PT_Int)),0))-IF(AR116="FT",IF(AV116&lt;FT_First,0,IF(AV116&lt;FT_Y5,1+INT((AV116-FT_First)/FT_Int1),FT_PreY5+FT_PerYear*INT((AV116-FT_Y5)/12)+FT_AnnivDays+INT(MOD(AV116-FT_Y5,12)/FT_Int2))),IF(AR116="PT",IF(AV116&lt;PT_First,0,1+INT((AV116-PT_First)/PT_Int)),0)),0))</f>
        <v/>
      </c>
      <c r="BA116" s="14" t="str">
        <f aca="false">IF(AG116=0,"",IF(AP116="FT",IF(AX116&lt;FT_First,0,IF(AX116&lt;FT_Y5,1+INT((AX116-FT_First)/FT_Int1),FT_PreY5+FT_PerYear*INT((AX116-FT_Y5)/12)+FT_AnnivDays+INT(MOD(AX116-FT_Y5,12)/FT_Int2))),IF(AP116="PT",IF(AX116&lt;PT_First,0,1+INT((AX116-PT_First)/PT_Int)),0))+IF(AND(AI116&gt;=2,AK116&lt;=PFYDate),IF(AQ116="FT",IF(AY116&lt;FT_First,0,IF(AY116&lt;FT_Y5,1+INT((AY116-FT_First)/FT_Int1),FT_PreY5+FT_PerYear*INT((AY116-FT_Y5)/12)+FT_AnnivDays+INT(MOD(AY116-FT_Y5,12)/FT_Int2))),IF(AQ116="PT",IF(AY116&lt;PT_First,0,1+INT((AY116-PT_First)/PT_Int)),0))-IF(AQ116="FT",IF(AX116&lt;FT_First,0,IF(AX116&lt;FT_Y5,1+INT((AX116-FT_First)/FT_Int1),FT_PreY5+FT_PerYear*INT((AX116-FT_Y5)/12)+FT_AnnivDays+INT(MOD(AX116-FT_Y5,12)/FT_Int2))),IF(AQ116="PT",IF(AX116&lt;PT_First,0,1+INT((AX116-PT_First)/PT_Int)),0)),0)+IF(AND(AI116&gt;=3,AL116&lt;=PFYDate),IF(AR116="FT",IF(AW116&lt;FT_First,0,IF(AW116&lt;FT_Y5,1+INT((AW116-FT_First)/FT_Int1),FT_PreY5+FT_PerYear*INT((AW116-FT_Y5)/12)+FT_AnnivDays+INT(MOD(AW116-FT_Y5,12)/FT_Int2))),IF(AR116="PT",IF(AW116&lt;PT_First,0,1+INT((AW116-PT_First)/PT_Int)),0))-IF(AR116="FT",IF(AY116&lt;FT_First,0,IF(AY116&lt;FT_Y5,1+INT((AY116-FT_First)/FT_Int1),FT_PreY5+FT_PerYear*INT((AY116-FT_Y5)/12)+FT_AnnivDays+INT(MOD(AY116-FT_Y5,12)/FT_Int2))),IF(AR116="PT",IF(AY116&lt;PT_First,0,1+INT((AY116-PT_First)/PT_Int)),0)),0))</f>
        <v/>
      </c>
      <c r="BB116" s="14" t="str">
        <f aca="false">IF(AG116=0,"",IF(AS116="FT",IF(AT116&lt;FT_First,FT_First,IF(AT116&lt;FT_Y5,MIN(FT_Y5,FT_First+FT_Int1*(INT((AT116-FT_First)/FT_Int1)+1)),FT_Y5+12*INT((AT116-FT_Y5)/12)+FT_Int2*(INT(MOD(AT116-FT_Y5,12)/FT_Int2)+1))),IF(AS116="PT",IF(AT116&lt;PT_First,PT_First,PT_First+PT_Int*(INT((AT116-PT_First)/PT_Int)+1)),"")))</f>
        <v/>
      </c>
      <c r="BC116" s="14" t="str">
        <f aca="false">IF(AG116=0,"",IF(NOT(LH_Ready),0,COUNTIFS(INDEX(LH_Data,0,LH_ColFirst),$A116,INDEX(LH_Data,0,LH_ColSur),$B116,INDEX(LH_Data,0,LH_ColCat),BonusCat)))</f>
        <v/>
      </c>
      <c r="BD116" s="14" t="str">
        <f aca="false">IF(AG116=0,"",IF(OR(NOT(LH_Ready),BC116=0),0,SUMPRODUCT(MAX((INDEX(LH_Data,0,LH_ColFirst)=$A116)*(INDEX(LH_Data,0,LH_ColSur)=$B116)*(INDEX(LH_Data,0,LH_ColCat)=BonusCat)*ROW(LH_Data)))))</f>
        <v/>
      </c>
      <c r="BE116" s="14" t="str">
        <f aca="false">IF(AG116=0,"",IF(EOMONTH(AsOfDate,-1)&lt;AH116,-1,12*(YEAR(EOMONTH(AsOfDate,-1))-YEAR(AH116))+MONTH(EOMONTH(AsOfDate,-1))-MONTH(AH116)-IF(DAY(EOMONTH(AsOfDate,-1))&lt;MIN(DAY(AH116),DAY(EOMONTH(EOMONTH(AsOfDate,-1),0))),1,0)))</f>
        <v/>
      </c>
      <c r="BF116" s="14" t="str">
        <f aca="false">IF(AG116=0,"",IF(OR(AI116&lt;2,AK116&gt;EOMONTH(AsOfDate,-1)),BE116,IF((AK116-1)&lt;AH116,-1,12*(YEAR((AK116-1))-YEAR(AH116))+MONTH((AK116-1))-MONTH(AH116)-IF(DAY((AK116-1))&lt;MIN(DAY(AH116),DAY(EOMONTH((AK116-1),0))),1,0))))</f>
        <v/>
      </c>
      <c r="BG116" s="14" t="str">
        <f aca="false">IF(AG116=0,"",IF(OR(AI116&lt;3,AL116&gt;EOMONTH(AsOfDate,-1)),BE116,IF((AL116-1)&lt;AH116,-1,12*(YEAR((AL116-1))-YEAR(AH116))+MONTH((AL116-1))-MONTH(AH116)-IF(DAY((AL116-1))&lt;MIN(DAY(AH116),DAY(EOMONTH((AL116-1),0))),1,0))))</f>
        <v/>
      </c>
      <c r="BH116" s="14" t="str">
        <f aca="false">IF(AG116=0,"",IF(AP116="FT",IF(BF116&lt;FT_First,0,IF(BF116&lt;FT_Y5,1+INT((BF116-FT_First)/FT_Int1),FT_PreY5+FT_PerYear*INT((BF116-FT_Y5)/12)+FT_AnnivDays+INT(MOD(BF116-FT_Y5,12)/FT_Int2))),IF(AP116="PT",IF(BF116&lt;PT_First,0,1+INT((BF116-PT_First)/PT_Int)),0))+IF(AND(AI116&gt;=2,AK116&lt;=EOMONTH(AsOfDate,-1)),IF(AQ116="FT",IF(BG116&lt;FT_First,0,IF(BG116&lt;FT_Y5,1+INT((BG116-FT_First)/FT_Int1),FT_PreY5+FT_PerYear*INT((BG116-FT_Y5)/12)+FT_AnnivDays+INT(MOD(BG116-FT_Y5,12)/FT_Int2))),IF(AQ116="PT",IF(BG116&lt;PT_First,0,1+INT((BG116-PT_First)/PT_Int)),0))-IF(AQ116="FT",IF(BF116&lt;FT_First,0,IF(BF116&lt;FT_Y5,1+INT((BF116-FT_First)/FT_Int1),FT_PreY5+FT_PerYear*INT((BF116-FT_Y5)/12)+FT_AnnivDays+INT(MOD(BF116-FT_Y5,12)/FT_Int2))),IF(AQ116="PT",IF(BF116&lt;PT_First,0,1+INT((BF116-PT_First)/PT_Int)),0)),0)+IF(AND(AI116&gt;=3,AL116&lt;=EOMONTH(AsOfDate,-1)),IF(AR116="FT",IF(BE116&lt;FT_First,0,IF(BE116&lt;FT_Y5,1+INT((BE116-FT_First)/FT_Int1),FT_PreY5+FT_PerYear*INT((BE116-FT_Y5)/12)+FT_AnnivDays+INT(MOD(BE116-FT_Y5,12)/FT_Int2))),IF(AR116="PT",IF(BE116&lt;PT_First,0,1+INT((BE116-PT_First)/PT_Int)),0))-IF(AR116="FT",IF(BG116&lt;FT_First,0,IF(BG116&lt;FT_Y5,1+INT((BG116-FT_First)/FT_Int1),FT_PreY5+FT_PerYear*INT((BG116-FT_Y5)/12)+FT_AnnivDays+INT(MOD(BG116-FT_Y5,12)/FT_Int2))),IF(AR116="PT",IF(BG116&lt;PT_First,0,1+INT((BG116-PT_First)/PT_Int)),0)),0))</f>
        <v/>
      </c>
      <c r="BI116" s="14" t="str">
        <f aca="false">IF(AG116=0,"",IF(AS116="FT",IF(AT116&lt;FT_First,"",IF(AT116&lt;FT_Y5,FT_First+FT_Int1*INT((AT116-FT_First)/FT_Int1),FT_Y5+FT_Int2*INT((AT116-FT_Y5)/FT_Int2))),IF(AS116="PT",IF(AT116&lt;PT_First,"",PT_First+PT_Int*INT((AT116-PT_First)/PT_Int)),"")))</f>
        <v/>
      </c>
      <c r="BJ116" s="0" t="str">
        <f aca="false">IF(LEN($A116&amp;$B116)=0,"",$A116&amp;" "&amp;$B116)</f>
        <v/>
      </c>
    </row>
    <row r="117" customFormat="false" ht="15" hidden="false" customHeight="false" outlineLevel="0" collapsed="false">
      <c r="A117" s="10"/>
      <c r="B117" s="10"/>
      <c r="C117" s="10"/>
      <c r="D117" s="11"/>
      <c r="E117" s="12" t="str">
        <f aca="false">IF(OR(AG117=0,$D117=""),"",DATE(YEAR(AsOfDate)+IF(DATE(YEAR(AsOfDate),MONTH($D117),DAY($D117))&lt;=AsOfDate,1,0),MONTH($D117),DAY($D117)))</f>
        <v/>
      </c>
      <c r="F117" s="11"/>
      <c r="G117" s="11"/>
      <c r="H117" s="11"/>
      <c r="I117" s="11"/>
      <c r="J117" s="11"/>
      <c r="K117" s="12" t="str">
        <f aca="false">IF(AG117=0,"",DATE(YEAR(AsOfDate)+IF(DATE(YEAR(AsOfDate),MONTH(AH117),DAY(AH117))&lt;=AsOfDate,1,0),MONTH(AH117),DAY(AH117)))</f>
        <v/>
      </c>
      <c r="L117" s="13" t="str">
        <f aca="false">IF(AG117=0,"",ROUND((AsOfDate-AH117)/365.25,1))</f>
        <v/>
      </c>
      <c r="M117" s="14" t="str">
        <f aca="false">IF(AG117=0,"",IF(AsOfDate&lt;AH117,"-",DATEDIF(AH117,AsOfDate,"y")&amp;"y "&amp;DATEDIF(AH117,AsOfDate,"ym")&amp;"m "&amp;DATEDIF(AH117,AsOfDate,"md")&amp;"d"))</f>
        <v/>
      </c>
      <c r="N117" s="15" t="str">
        <f aca="false">IF(AG117=0,"",O117*HoursPerDay)</f>
        <v/>
      </c>
      <c r="O117" s="15" t="str">
        <f aca="false">IF(AG117=0,"",AZ117)</f>
        <v/>
      </c>
      <c r="P117" s="16"/>
      <c r="Q117" s="14" t="str">
        <f aca="false">IF(AG117=0,"",IF(AI117&lt;2,"",AM117&amp;" to "&amp;AN117&amp;" on "&amp;TEXT(AK117,"dd/mm/yyyy")&amp;IF(AK117&gt;AsOfDate," (future)",IF(AP117=AQ117,"",IF(AQ117="None"," - STOPPED accruing",IF(AP117="None"," - commencement for Bonus Leave"," - pathway changed"))))&amp;IF(AI117&lt;3,"","; "&amp;AN117&amp;" to "&amp;AO117&amp;" on "&amp;TEXT(AL117,"dd/mm/yyyy")&amp;IF(AL117&gt;AsOfDate," (future)",IF(AQ117=AR117,"",IF(AR117="None"," - STOPPED accruing",IF(AQ117="None"," - commencement for Bonus Leave"," - pathway changed")))))))</f>
        <v/>
      </c>
      <c r="R117" s="14" t="str">
        <f aca="false">IF(AG117=0,"",IF(AS117="None",IF(O117&gt;0,"No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2" t="str">
        <f aca="false">IF(AG117=0,"",IF(AS117="None","",EDATE(AH117,BB117)))</f>
        <v/>
      </c>
      <c r="T117" s="15" t="str">
        <f aca="false">IF(AG117=0,"",IF(NOT(LH_Ready),"",IF(AH117&gt;PFYDate,0,IF(LH_ColPeriod=0,W117-U117+V117,SUMIFS(INDEX(LH_Data,0,LH_ColAcc),INDEX(LH_Data,0,LH_ColFirst),$A117,INDEX(LH_Data,0,LH_ColSur),$B117,INDEX(LH_Data,0,LH_ColCat),BonusCat,INDEX(LH_Data,0,LH_ColPeriod),LH_OpenLabel)*UnitFactor))))</f>
        <v/>
      </c>
      <c r="U117" s="15" t="str">
        <f aca="false">IF(AG117=0,"",IF(NOT(LH_Ready),"",SUMIFS(INDEX(LH_Data,0,LH_ColAcc),INDEX(LH_Data,0,LH_ColFirst),$A117,INDEX(LH_Data,0,LH_ColSur),$B117,INDEX(LH_Data,0,LH_ColCat),BonusCat,INDEX(LH_Data,0,LH_ColStart),"&gt;="&amp;AH117)*UnitFactor))</f>
        <v/>
      </c>
      <c r="V117" s="15" t="str">
        <f aca="false">IF(AG117=0,"",IF(NOT(LH_Ready),"",SUMIFS(INDEX(LH_Data,0,LH_ColTaken),INDEX(LH_Data,0,LH_ColFirst),$A117,INDEX(LH_Data,0,LH_ColSur),$B117,INDEX(LH_Data,0,LH_ColCat),BonusCat,INDEX(LH_Data,0,LH_ColStart),"&gt;="&amp;AH117)*UnitFactor))</f>
        <v/>
      </c>
      <c r="W117" s="15" t="str">
        <f aca="false">IF(AG117=0,"",IF(NOT(LH_Ready),"",IF(BD117=0,0,INDEX(INDEX(LH_Data,0,LH_ColClose),BD117-1)*UnitFactor)))</f>
        <v/>
      </c>
      <c r="X117" s="15" t="str">
        <f aca="false">IF(AG117=0,"",(AZ117-BA117)*HoursPerDay)</f>
        <v/>
      </c>
      <c r="Y117" s="15" t="str">
        <f aca="false">IF(AG117=0,"",IF(NOT(LH_Ready),"",IF(BC117=0,N117,IF(PFYDate&lt;$F117,N117-N(T117)-N(U117),X117-N(U117)))))</f>
        <v/>
      </c>
      <c r="Z117" s="14" t="str">
        <f aca="false">IF(OR(AG117=0,Y117=""),"",IF(Y117&gt;0,"Yes","No"))</f>
        <v/>
      </c>
      <c r="AA117" s="14" t="str">
        <f aca="false">IF(AG117=0,IF(LEN($A117&amp;$B117)=0,"","FIX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month")&amp;IF(BC117=0,";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EH)",""),IF(AS117="None",R117,"Not yet - first day on "&amp;TEXT(S117,"dd/mm/yyyy")))))))))</f>
        <v/>
      </c>
      <c r="AB117" s="15" t="str">
        <f aca="false">IF(OR(AG117=0,T117=""),"",BA117*HoursPerDay-T117)</f>
        <v/>
      </c>
      <c r="AC117" s="14" t="str">
        <f aca="false">IF(AG117=0,"",BC117)</f>
        <v/>
      </c>
      <c r="AD117" s="14" t="str">
        <f aca="false">IF(AG117=0,"",TRIM(IF(OR(ISTEXT($F117),ISTEXT($H117),ISTEXT($I117),ISTEXT($G117),ISTEXT($J117),ISTEXT($D117)),"A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I117&gt;=1,IF(AI117&gt;=3,AO117,IF(AI117=2,AN117,AM117))&lt;&gt;IF($C117="","",IF(OR(ISNUMBER(SEARCH("full",$C117)),UPPER(TRIM($C117))="FT",UPPER(TRIM($C117))="FTE"),"Full-Time",IF(OR(ISNUMBER(SEARCH("part",$C117)),UPPER(TRIM($C117))="PT",UPPER(TRIM($C117))="PTE"),"Part-Time",IF(OR(ISNUMBER(SEARCH("cas",$C117)),UPPER(TRIM($C117))="CAS"),"Casual","Unknown"))))),"EmploymentType does not match latest start date ("&amp;IF(AI117&gt;=3,AO117,IF(AI117=2,AN117,AM117))&amp;"). ","")&amp;IF(AND(AI117&gt;=1,AJ117&lt;&gt;$F117),"Earliest type date should equal StartDate. ","")&amp;IF(AND(AI117&gt;=2,AJ117=AK117),"Two types start on the same date. ","")&amp;IF(AND(OR(ISNUMBER(SEARCH("part",$C117)),UPPER(TRIM($C117))="PT",UPPER(TRIM($C117))="PTE"),$P117=""),"Part-time: enter PT Hrs/Week (blank = 24+). ","")))</f>
        <v/>
      </c>
      <c r="AE117" s="15" t="str">
        <f aca="false">IF(AG117=0,"",O117-BH117)</f>
        <v/>
      </c>
      <c r="AF117" s="12" t="str">
        <f aca="false">IF(OR(AG117=0,AE117="",N(AE117)=0,BI117=""),"",EDATE(AH117,BI117))</f>
        <v/>
      </c>
      <c r="AG117" s="14" t="n">
        <f aca="false">IF(OR(LEN($A117&amp;$B117)=0,$F117=""),0,1)</f>
        <v>0</v>
      </c>
      <c r="AH117" s="12" t="str">
        <f aca="false">IF(AG117=0,"",IF($J117&lt;&gt;"",$J117,IF(OR(CasualCounts="Yes",COUNT($G117:$I117)=0,COUNT($H117:$I117)=0),$F117,MIN($H117:$I117))))</f>
        <v/>
      </c>
      <c r="AI117" s="14" t="str">
        <f aca="false">IF(AG117=0,"",COUNT($G117:$I117))</f>
        <v/>
      </c>
      <c r="AJ117" s="12" t="str">
        <f aca="false">IF(AG117=0,"",IFERROR(SMALL($G117:$I117,1),""))</f>
        <v/>
      </c>
      <c r="AK117" s="12" t="str">
        <f aca="false">IF(AG117=0,"",IFERROR(SMALL($G117:$I117,2),""))</f>
        <v/>
      </c>
      <c r="AL117" s="12" t="str">
        <f aca="false">IF(AG117=0,"",IFERROR(SMALL($G117:$I117,3),""))</f>
        <v/>
      </c>
      <c r="AM117" s="14" t="str">
        <f aca="false">IF(AG117=0,"",IF(AJ117="","",IF(AJ117=$H117,"Part-Time",IF(AJ117=$I117,"Full-Time","Casual"))))</f>
        <v/>
      </c>
      <c r="AN117" s="14" t="str">
        <f aca="false">IF(AG117=0,"",IF(AK117="","",IF(AK117=$H117,"Part-Time",IF(AK117=$I117,"Full-Time","Casual"))))</f>
        <v/>
      </c>
      <c r="AO117" s="14" t="str">
        <f aca="false">IF(AG117=0,"",IF(AL117="","",IF(AL117=$H117,"Part-Time",IF(AL117=$I117,"Full-Time","Casual"))))</f>
        <v/>
      </c>
      <c r="AP117" s="14" t="str">
        <f aca="false">IF(AG117=0,"",IF(AI117=0,IF(OR(ISNUMBER(SEARCH("full",$C117)),UPPER(TRIM($C117))="FT",UPPER(TRIM($C117))="FTE"),"FT",IF(AND(OR(ISNUMBER(SEARCH("part",$C117)),UPPER(TRIM($C117))="PT",UPPER(TRIM($C117))="PTE"),OR($P117="",N($P117)&gt;=PT_MinHours)),"PT","None")),IF(OR(ISNUMBER(SEARCH("full",AM117)),UPPER(TRIM(AM117))="FT",UPPER(TRIM(AM117))="FTE"),"FT",IF(AND(OR(ISNUMBER(SEARCH("part",AM117)),UPPER(TRIM(AM117))="PT",UPPER(TRIM(AM117))="PTE"),OR($P117="",N($P117)&gt;=PT_MinHours)),"PT","None"))))</f>
        <v/>
      </c>
      <c r="AQ117" s="14" t="str">
        <f aca="false">IF(AG117=0,"",IF(AI117&lt;2,"",IF(OR(ISNUMBER(SEARCH("full",AN117)),UPPER(TRIM(AN117))="FT",UPPER(TRIM(AN117))="FTE"),"FT",IF(AND(OR(ISNUMBER(SEARCH("part",AN117)),UPPER(TRIM(AN117))="PT",UPPER(TRIM(AN117))="PTE"),OR($P117="",N($P117)&gt;=PT_MinHours)),"PT","None"))))</f>
        <v/>
      </c>
      <c r="AR117" s="14" t="str">
        <f aca="false">IF(AG117=0,"",IF(AI117&lt;3,"",IF(OR(ISNUMBER(SEARCH("full",AO117)),UPPER(TRIM(AO117))="FT",UPPER(TRIM(AO117))="FTE"),"FT",IF(AND(OR(ISNUMBER(SEARCH("part",AO117)),UPPER(TRIM(AO117))="PT",UPPER(TRIM(AO117))="PTE"),OR($P117="",N($P117)&gt;=PT_MinHours)),"PT","None"))))</f>
        <v/>
      </c>
      <c r="AS117" s="14" t="str">
        <f aca="false">IF(AG117=0,"",IF(AND(AI117&gt;=3,AL117&lt;=AsOfDate),AR117,IF(AND(AI117&gt;=2,AK117&lt;=AsOfDate),AQ117,AP117)))</f>
        <v/>
      </c>
      <c r="AT117" s="14" t="str">
        <f aca="false">IF(AG117=0,"",IF(AsOfDate&lt;AH117,-1,12*(YEAR(AsOfDate)-YEAR(AH117))+MONTH(AsOfDate)-MONTH(AH117)-IF(DAY(AsOfDate)&lt;MIN(DAY(AH117),DAY(EOMONTH(AsOfDate,0))),1,0)))</f>
        <v/>
      </c>
      <c r="AU117" s="14" t="str">
        <f aca="false">IF(AG117=0,"",IF(OR(AI117&lt;2,AK117&gt;AsOfDate),AT117,IF((AK117-1)&lt;AH117,-1,12*(YEAR((AK117-1))-YEAR(AH117))+MONTH((AK117-1))-MONTH(AH117)-IF(DAY((AK117-1))&lt;MIN(DAY(AH117),DAY(EOMONTH((AK117-1),0))),1,0))))</f>
        <v/>
      </c>
      <c r="AV117" s="14" t="str">
        <f aca="false">IF(AG117=0,"",IF(OR(AI117&lt;3,AL117&gt;AsOfDate),AT117,IF((AL117-1)&lt;AH117,-1,12*(YEAR((AL117-1))-YEAR(AH117))+MONTH((AL117-1))-MONTH(AH117)-IF(DAY((AL117-1))&lt;MIN(DAY(AH117),DAY(EOMONTH((AL117-1),0))),1,0))))</f>
        <v/>
      </c>
      <c r="AW117" s="14" t="str">
        <f aca="false">IF(AG117=0,"",IF(PFYDate&lt;AH117,-1,12*(YEAR(PFYDate)-YEAR(AH117))+MONTH(PFYDate)-MONTH(AH117)-IF(DAY(PFYDate)&lt;MIN(DAY(AH117),DAY(EOMONTH(PFYDate,0))),1,0)))</f>
        <v/>
      </c>
      <c r="AX117" s="14" t="str">
        <f aca="false">IF(AG117=0,"",IF(OR(AI117&lt;2,AK117&gt;PFYDate),AW117,IF((AK117-1)&lt;AH117,-1,12*(YEAR((AK117-1))-YEAR(AH117))+MONTH((AK117-1))-MONTH(AH117)-IF(DAY((AK117-1))&lt;MIN(DAY(AH117),DAY(EOMONTH((AK117-1),0))),1,0))))</f>
        <v/>
      </c>
      <c r="AY117" s="14" t="str">
        <f aca="false">IF(AG117=0,"",IF(OR(AI117&lt;3,AL117&gt;PFYDate),AW117,IF((AL117-1)&lt;AH117,-1,12*(YEAR((AL117-1))-YEAR(AH117))+MONTH((AL117-1))-MONTH(AH117)-IF(DAY((AL117-1))&lt;MIN(DAY(AH117),DAY(EOMONTH((AL117-1),0))),1,0))))</f>
        <v/>
      </c>
      <c r="AZ117" s="14" t="str">
        <f aca="false">IF(AG117=0,"",IF(AP117="FT",IF(AU117&lt;FT_First,0,IF(AU117&lt;FT_Y5,1+INT((AU117-FT_First)/FT_Int1),FT_PreY5+FT_PerYear*INT((AU117-FT_Y5)/12)+FT_AnnivDays+INT(MOD(AU117-FT_Y5,12)/FT_Int2))),IF(AP117="PT",IF(AU117&lt;PT_First,0,1+INT((AU117-PT_First)/PT_Int)),0))+IF(AND(AI117&gt;=2,AK117&lt;=AsOfDate),IF(AQ117="FT",IF(AV117&lt;FT_First,0,IF(AV117&lt;FT_Y5,1+INT((AV117-FT_First)/FT_Int1),FT_PreY5+FT_PerYear*INT((AV117-FT_Y5)/12)+FT_AnnivDays+INT(MOD(AV117-FT_Y5,12)/FT_Int2))),IF(AQ117="PT",IF(AV117&lt;PT_First,0,1+INT((AV117-PT_First)/PT_Int)),0))-IF(AQ117="FT",IF(AU117&lt;FT_First,0,IF(AU117&lt;FT_Y5,1+INT((AU117-FT_First)/FT_Int1),FT_PreY5+FT_PerYear*INT((AU117-FT_Y5)/12)+FT_AnnivDays+INT(MOD(AU117-FT_Y5,12)/FT_Int2))),IF(AQ117="PT",IF(AU117&lt;PT_First,0,1+INT((AU117-PT_First)/PT_Int)),0)),0)+IF(AND(AI117&gt;=3,AL117&lt;=AsOfDate),IF(AR117="FT",IF(AT117&lt;FT_First,0,IF(AT117&lt;FT_Y5,1+INT((AT117-FT_First)/FT_Int1),FT_PreY5+FT_PerYear*INT((AT117-FT_Y5)/12)+FT_AnnivDays+INT(MOD(AT117-FT_Y5,12)/FT_Int2))),IF(AR117="PT",IF(AT117&lt;PT_First,0,1+INT((AT117-PT_First)/PT_Int)),0))-IF(AR117="FT",IF(AV117&lt;FT_First,0,IF(AV117&lt;FT_Y5,1+INT((AV117-FT_First)/FT_Int1),FT_PreY5+FT_PerYear*INT((AV117-FT_Y5)/12)+FT_AnnivDays+INT(MOD(AV117-FT_Y5,12)/FT_Int2))),IF(AR117="PT",IF(AV117&lt;PT_First,0,1+INT((AV117-PT_First)/PT_Int)),0)),0))</f>
        <v/>
      </c>
      <c r="BA117" s="14" t="str">
        <f aca="false">IF(AG117=0,"",IF(AP117="FT",IF(AX117&lt;FT_First,0,IF(AX117&lt;FT_Y5,1+INT((AX117-FT_First)/FT_Int1),FT_PreY5+FT_PerYear*INT((AX117-FT_Y5)/12)+FT_AnnivDays+INT(MOD(AX117-FT_Y5,12)/FT_Int2))),IF(AP117="PT",IF(AX117&lt;PT_First,0,1+INT((AX117-PT_First)/PT_Int)),0))+IF(AND(AI117&gt;=2,AK117&lt;=PFYDate),IF(AQ117="FT",IF(AY117&lt;FT_First,0,IF(AY117&lt;FT_Y5,1+INT((AY117-FT_First)/FT_Int1),FT_PreY5+FT_PerYear*INT((AY117-FT_Y5)/12)+FT_AnnivDays+INT(MOD(AY117-FT_Y5,12)/FT_Int2))),IF(AQ117="PT",IF(AY117&lt;PT_First,0,1+INT((AY117-PT_First)/PT_Int)),0))-IF(AQ117="FT",IF(AX117&lt;FT_First,0,IF(AX117&lt;FT_Y5,1+INT((AX117-FT_First)/FT_Int1),FT_PreY5+FT_PerYear*INT((AX117-FT_Y5)/12)+FT_AnnivDays+INT(MOD(AX117-FT_Y5,12)/FT_Int2))),IF(AQ117="PT",IF(AX117&lt;PT_First,0,1+INT((AX117-PT_First)/PT_Int)),0)),0)+IF(AND(AI117&gt;=3,AL117&lt;=PFYDate),IF(AR117="FT",IF(AW117&lt;FT_First,0,IF(AW117&lt;FT_Y5,1+INT((AW117-FT_First)/FT_Int1),FT_PreY5+FT_PerYear*INT((AW117-FT_Y5)/12)+FT_AnnivDays+INT(MOD(AW117-FT_Y5,12)/FT_Int2))),IF(AR117="PT",IF(AW117&lt;PT_First,0,1+INT((AW117-PT_First)/PT_Int)),0))-IF(AR117="FT",IF(AY117&lt;FT_First,0,IF(AY117&lt;FT_Y5,1+INT((AY117-FT_First)/FT_Int1),FT_PreY5+FT_PerYear*INT((AY117-FT_Y5)/12)+FT_AnnivDays+INT(MOD(AY117-FT_Y5,12)/FT_Int2))),IF(AR117="PT",IF(AY117&lt;PT_First,0,1+INT((AY117-PT_First)/PT_Int)),0)),0))</f>
        <v/>
      </c>
      <c r="BB117" s="14" t="str">
        <f aca="false">IF(AG117=0,"",IF(AS117="FT",IF(AT117&lt;FT_First,FT_First,IF(AT117&lt;FT_Y5,MIN(FT_Y5,FT_First+FT_Int1*(INT((AT117-FT_First)/FT_Int1)+1)),FT_Y5+12*INT((AT117-FT_Y5)/12)+FT_Int2*(INT(MOD(AT117-FT_Y5,12)/FT_Int2)+1))),IF(AS117="PT",IF(AT117&lt;PT_First,PT_First,PT_First+PT_Int*(INT((AT117-PT_First)/PT_Int)+1)),"")))</f>
        <v/>
      </c>
      <c r="BC117" s="14" t="str">
        <f aca="false">IF(AG117=0,"",IF(NOT(LH_Ready),0,COUNTIFS(INDEX(LH_Data,0,LH_ColFirst),$A117,INDEX(LH_Data,0,LH_ColSur),$B117,INDEX(LH_Data,0,LH_ColCat),BonusCat)))</f>
        <v/>
      </c>
      <c r="BD117" s="14" t="str">
        <f aca="false">IF(AG117=0,"",IF(OR(NOT(LH_Ready),BC117=0),0,SUMPRODUCT(MAX((INDEX(LH_Data,0,LH_ColFirst)=$A117)*(INDEX(LH_Data,0,LH_ColSur)=$B117)*(INDEX(LH_Data,0,LH_ColCat)=BonusCat)*ROW(LH_Data)))))</f>
        <v/>
      </c>
      <c r="BE117" s="14" t="str">
        <f aca="false">IF(AG117=0,"",IF(EOMONTH(AsOfDate,-1)&lt;AH117,-1,12*(YEAR(EOMONTH(AsOfDate,-1))-YEAR(AH117))+MONTH(EOMONTH(AsOfDate,-1))-MONTH(AH117)-IF(DAY(EOMONTH(AsOfDate,-1))&lt;MIN(DAY(AH117),DAY(EOMONTH(EOMONTH(AsOfDate,-1),0))),1,0)))</f>
        <v/>
      </c>
      <c r="BF117" s="14" t="str">
        <f aca="false">IF(AG117=0,"",IF(OR(AI117&lt;2,AK117&gt;EOMONTH(AsOfDate,-1)),BE117,IF((AK117-1)&lt;AH117,-1,12*(YEAR((AK117-1))-YEAR(AH117))+MONTH((AK117-1))-MONTH(AH117)-IF(DAY((AK117-1))&lt;MIN(DAY(AH117),DAY(EOMONTH((AK117-1),0))),1,0))))</f>
        <v/>
      </c>
      <c r="BG117" s="14" t="str">
        <f aca="false">IF(AG117=0,"",IF(OR(AI117&lt;3,AL117&gt;EOMONTH(AsOfDate,-1)),BE117,IF((AL117-1)&lt;AH117,-1,12*(YEAR((AL117-1))-YEAR(AH117))+MONTH((AL117-1))-MONTH(AH117)-IF(DAY((AL117-1))&lt;MIN(DAY(AH117),DAY(EOMONTH((AL117-1),0))),1,0))))</f>
        <v/>
      </c>
      <c r="BH117" s="14" t="str">
        <f aca="false">IF(AG117=0,"",IF(AP117="FT",IF(BF117&lt;FT_First,0,IF(BF117&lt;FT_Y5,1+INT((BF117-FT_First)/FT_Int1),FT_PreY5+FT_PerYear*INT((BF117-FT_Y5)/12)+FT_AnnivDays+INT(MOD(BF117-FT_Y5,12)/FT_Int2))),IF(AP117="PT",IF(BF117&lt;PT_First,0,1+INT((BF117-PT_First)/PT_Int)),0))+IF(AND(AI117&gt;=2,AK117&lt;=EOMONTH(AsOfDate,-1)),IF(AQ117="FT",IF(BG117&lt;FT_First,0,IF(BG117&lt;FT_Y5,1+INT((BG117-FT_First)/FT_Int1),FT_PreY5+FT_PerYear*INT((BG117-FT_Y5)/12)+FT_AnnivDays+INT(MOD(BG117-FT_Y5,12)/FT_Int2))),IF(AQ117="PT",IF(BG117&lt;PT_First,0,1+INT((BG117-PT_First)/PT_Int)),0))-IF(AQ117="FT",IF(BF117&lt;FT_First,0,IF(BF117&lt;FT_Y5,1+INT((BF117-FT_First)/FT_Int1),FT_PreY5+FT_PerYear*INT((BF117-FT_Y5)/12)+FT_AnnivDays+INT(MOD(BF117-FT_Y5,12)/FT_Int2))),IF(AQ117="PT",IF(BF117&lt;PT_First,0,1+INT((BF117-PT_First)/PT_Int)),0)),0)+IF(AND(AI117&gt;=3,AL117&lt;=EOMONTH(AsOfDate,-1)),IF(AR117="FT",IF(BE117&lt;FT_First,0,IF(BE117&lt;FT_Y5,1+INT((BE117-FT_First)/FT_Int1),FT_PreY5+FT_PerYear*INT((BE117-FT_Y5)/12)+FT_AnnivDays+INT(MOD(BE117-FT_Y5,12)/FT_Int2))),IF(AR117="PT",IF(BE117&lt;PT_First,0,1+INT((BE117-PT_First)/PT_Int)),0))-IF(AR117="FT",IF(BG117&lt;FT_First,0,IF(BG117&lt;FT_Y5,1+INT((BG117-FT_First)/FT_Int1),FT_PreY5+FT_PerYear*INT((BG117-FT_Y5)/12)+FT_AnnivDays+INT(MOD(BG117-FT_Y5,12)/FT_Int2))),IF(AR117="PT",IF(BG117&lt;PT_First,0,1+INT((BG117-PT_First)/PT_Int)),0)),0))</f>
        <v/>
      </c>
      <c r="BI117" s="14" t="str">
        <f aca="false">IF(AG117=0,"",IF(AS117="FT",IF(AT117&lt;FT_First,"",IF(AT117&lt;FT_Y5,FT_First+FT_Int1*INT((AT117-FT_First)/FT_Int1),FT_Y5+FT_Int2*INT((AT117-FT_Y5)/FT_Int2))),IF(AS117="PT",IF(AT117&lt;PT_First,"",PT_First+PT_Int*INT((AT117-PT_First)/PT_Int)),"")))</f>
        <v/>
      </c>
      <c r="BJ117" s="0" t="str">
        <f aca="false">IF(LEN($A117&amp;$B117)=0,"",$A117&amp;" "&amp;$B117)</f>
        <v/>
      </c>
    </row>
    <row r="118" customFormat="false" ht="15" hidden="false" customHeight="false" outlineLevel="0" collapsed="false">
      <c r="A118" s="10"/>
      <c r="B118" s="10"/>
      <c r="C118" s="10"/>
      <c r="D118" s="11"/>
      <c r="E118" s="12" t="str">
        <f aca="false">IF(OR(AG118=0,$D118=""),"",DATE(YEAR(AsOfDate)+IF(DATE(YEAR(AsOfDate),MONTH($D118),DAY($D118))&lt;=AsOfDate,1,0),MONTH($D118),DAY($D118)))</f>
        <v/>
      </c>
      <c r="F118" s="11"/>
      <c r="G118" s="11"/>
      <c r="H118" s="11"/>
      <c r="I118" s="11"/>
      <c r="J118" s="11"/>
      <c r="K118" s="12" t="str">
        <f aca="false">IF(AG118=0,"",DATE(YEAR(AsOfDate)+IF(DATE(YEAR(AsOfDate),MONTH(AH118),DAY(AH118))&lt;=AsOfDate,1,0),MONTH(AH118),DAY(AH118)))</f>
        <v/>
      </c>
      <c r="L118" s="13" t="str">
        <f aca="false">IF(AG118=0,"",ROUND((AsOfDate-AH118)/365.25,1))</f>
        <v/>
      </c>
      <c r="M118" s="14" t="str">
        <f aca="false">IF(AG118=0,"",IF(AsOfDate&lt;AH118,"-",DATEDIF(AH118,AsOfDate,"y")&amp;"y "&amp;DATEDIF(AH118,AsOfDate,"ym")&amp;"m "&amp;DATEDIF(AH118,AsOfDate,"md")&amp;"d"))</f>
        <v/>
      </c>
      <c r="N118" s="15" t="str">
        <f aca="false">IF(AG118=0,"",O118*HoursPerDay)</f>
        <v/>
      </c>
      <c r="O118" s="15" t="str">
        <f aca="false">IF(AG118=0,"",AZ118)</f>
        <v/>
      </c>
      <c r="P118" s="16"/>
      <c r="Q118" s="14" t="str">
        <f aca="false">IF(AG118=0,"",IF(AI118&lt;2,"",AM118&amp;" to "&amp;AN118&amp;" on "&amp;TEXT(AK118,"dd/mm/yyyy")&amp;IF(AK118&gt;AsOfDate," (future)",IF(AP118=AQ118,"",IF(AQ118="None"," - STOPPED accruing",IF(AP118="None"," - commencement for Bonus Leave"," - pathway changed"))))&amp;IF(AI118&lt;3,"","; "&amp;AN118&amp;" to "&amp;AO118&amp;" on "&amp;TEXT(AL118,"dd/mm/yyyy")&amp;IF(AL118&gt;AsOfDate," (future)",IF(AQ118=AR118,"",IF(AR118="None"," - STOPPED accruing",IF(AQ118="None"," - commencement for Bonus Leave"," - pathway changed")))))))</f>
        <v/>
      </c>
      <c r="R118" s="14" t="str">
        <f aca="false">IF(AG118=0,"",IF(AS118="None",IF(O118&gt;0,"No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2" t="str">
        <f aca="false">IF(AG118=0,"",IF(AS118="None","",EDATE(AH118,BB118)))</f>
        <v/>
      </c>
      <c r="T118" s="15" t="str">
        <f aca="false">IF(AG118=0,"",IF(NOT(LH_Ready),"",IF(AH118&gt;PFYDate,0,IF(LH_ColPeriod=0,W118-U118+V118,SUMIFS(INDEX(LH_Data,0,LH_ColAcc),INDEX(LH_Data,0,LH_ColFirst),$A118,INDEX(LH_Data,0,LH_ColSur),$B118,INDEX(LH_Data,0,LH_ColCat),BonusCat,INDEX(LH_Data,0,LH_ColPeriod),LH_OpenLabel)*UnitFactor))))</f>
        <v/>
      </c>
      <c r="U118" s="15" t="str">
        <f aca="false">IF(AG118=0,"",IF(NOT(LH_Ready),"",SUMIFS(INDEX(LH_Data,0,LH_ColAcc),INDEX(LH_Data,0,LH_ColFirst),$A118,INDEX(LH_Data,0,LH_ColSur),$B118,INDEX(LH_Data,0,LH_ColCat),BonusCat,INDEX(LH_Data,0,LH_ColStart),"&gt;="&amp;AH118)*UnitFactor))</f>
        <v/>
      </c>
      <c r="V118" s="15" t="str">
        <f aca="false">IF(AG118=0,"",IF(NOT(LH_Ready),"",SUMIFS(INDEX(LH_Data,0,LH_ColTaken),INDEX(LH_Data,0,LH_ColFirst),$A118,INDEX(LH_Data,0,LH_ColSur),$B118,INDEX(LH_Data,0,LH_ColCat),BonusCat,INDEX(LH_Data,0,LH_ColStart),"&gt;="&amp;AH118)*UnitFactor))</f>
        <v/>
      </c>
      <c r="W118" s="15" t="str">
        <f aca="false">IF(AG118=0,"",IF(NOT(LH_Ready),"",IF(BD118=0,0,INDEX(INDEX(LH_Data,0,LH_ColClose),BD118-1)*UnitFactor)))</f>
        <v/>
      </c>
      <c r="X118" s="15" t="str">
        <f aca="false">IF(AG118=0,"",(AZ118-BA118)*HoursPerDay)</f>
        <v/>
      </c>
      <c r="Y118" s="15" t="str">
        <f aca="false">IF(AG118=0,"",IF(NOT(LH_Ready),"",IF(BC118=0,N118,IF(PFYDate&lt;$F118,N118-N(T118)-N(U118),X118-N(U118)))))</f>
        <v/>
      </c>
      <c r="Z118" s="14" t="str">
        <f aca="false">IF(OR(AG118=0,Y118=""),"",IF(Y118&gt;0,"Yes","No"))</f>
        <v/>
      </c>
      <c r="AA118" s="14" t="str">
        <f aca="false">IF(AG118=0,IF(LEN($A118&amp;$B118)=0,"","FIX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month")&amp;IF(BC118=0,";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EH)",""),IF(AS118="None",R118,"Not yet - first day on "&amp;TEXT(S118,"dd/mm/yyyy")))))))))</f>
        <v/>
      </c>
      <c r="AB118" s="15" t="str">
        <f aca="false">IF(OR(AG118=0,T118=""),"",BA118*HoursPerDay-T118)</f>
        <v/>
      </c>
      <c r="AC118" s="14" t="str">
        <f aca="false">IF(AG118=0,"",BC118)</f>
        <v/>
      </c>
      <c r="AD118" s="14" t="str">
        <f aca="false">IF(AG118=0,"",TRIM(IF(OR(ISTEXT($F118),ISTEXT($H118),ISTEXT($I118),ISTEXT($G118),ISTEXT($J118),ISTEXT($D118)),"A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I118&gt;=1,IF(AI118&gt;=3,AO118,IF(AI118=2,AN118,AM118))&lt;&gt;IF($C118="","",IF(OR(ISNUMBER(SEARCH("full",$C118)),UPPER(TRIM($C118))="FT",UPPER(TRIM($C118))="FTE"),"Full-Time",IF(OR(ISNUMBER(SEARCH("part",$C118)),UPPER(TRIM($C118))="PT",UPPER(TRIM($C118))="PTE"),"Part-Time",IF(OR(ISNUMBER(SEARCH("cas",$C118)),UPPER(TRIM($C118))="CAS"),"Casual","Unknown"))))),"EmploymentType does not match latest start date ("&amp;IF(AI118&gt;=3,AO118,IF(AI118=2,AN118,AM118))&amp;"). ","")&amp;IF(AND(AI118&gt;=1,AJ118&lt;&gt;$F118),"Earliest type date should equal StartDate. ","")&amp;IF(AND(AI118&gt;=2,AJ118=AK118),"Two types start on the same date. ","")&amp;IF(AND(OR(ISNUMBER(SEARCH("part",$C118)),UPPER(TRIM($C118))="PT",UPPER(TRIM($C118))="PTE"),$P118=""),"Part-time: enter PT Hrs/Week (blank = 24+). ","")))</f>
        <v/>
      </c>
      <c r="AE118" s="15" t="str">
        <f aca="false">IF(AG118=0,"",O118-BH118)</f>
        <v/>
      </c>
      <c r="AF118" s="12" t="str">
        <f aca="false">IF(OR(AG118=0,AE118="",N(AE118)=0,BI118=""),"",EDATE(AH118,BI118))</f>
        <v/>
      </c>
      <c r="AG118" s="14" t="n">
        <f aca="false">IF(OR(LEN($A118&amp;$B118)=0,$F118=""),0,1)</f>
        <v>0</v>
      </c>
      <c r="AH118" s="12" t="str">
        <f aca="false">IF(AG118=0,"",IF($J118&lt;&gt;"",$J118,IF(OR(CasualCounts="Yes",COUNT($G118:$I118)=0,COUNT($H118:$I118)=0),$F118,MIN($H118:$I118))))</f>
        <v/>
      </c>
      <c r="AI118" s="14" t="str">
        <f aca="false">IF(AG118=0,"",COUNT($G118:$I118))</f>
        <v/>
      </c>
      <c r="AJ118" s="12" t="str">
        <f aca="false">IF(AG118=0,"",IFERROR(SMALL($G118:$I118,1),""))</f>
        <v/>
      </c>
      <c r="AK118" s="12" t="str">
        <f aca="false">IF(AG118=0,"",IFERROR(SMALL($G118:$I118,2),""))</f>
        <v/>
      </c>
      <c r="AL118" s="12" t="str">
        <f aca="false">IF(AG118=0,"",IFERROR(SMALL($G118:$I118,3),""))</f>
        <v/>
      </c>
      <c r="AM118" s="14" t="str">
        <f aca="false">IF(AG118=0,"",IF(AJ118="","",IF(AJ118=$H118,"Part-Time",IF(AJ118=$I118,"Full-Time","Casual"))))</f>
        <v/>
      </c>
      <c r="AN118" s="14" t="str">
        <f aca="false">IF(AG118=0,"",IF(AK118="","",IF(AK118=$H118,"Part-Time",IF(AK118=$I118,"Full-Time","Casual"))))</f>
        <v/>
      </c>
      <c r="AO118" s="14" t="str">
        <f aca="false">IF(AG118=0,"",IF(AL118="","",IF(AL118=$H118,"Part-Time",IF(AL118=$I118,"Full-Time","Casual"))))</f>
        <v/>
      </c>
      <c r="AP118" s="14" t="str">
        <f aca="false">IF(AG118=0,"",IF(AI118=0,IF(OR(ISNUMBER(SEARCH("full",$C118)),UPPER(TRIM($C118))="FT",UPPER(TRIM($C118))="FTE"),"FT",IF(AND(OR(ISNUMBER(SEARCH("part",$C118)),UPPER(TRIM($C118))="PT",UPPER(TRIM($C118))="PTE"),OR($P118="",N($P118)&gt;=PT_MinHours)),"PT","None")),IF(OR(ISNUMBER(SEARCH("full",AM118)),UPPER(TRIM(AM118))="FT",UPPER(TRIM(AM118))="FTE"),"FT",IF(AND(OR(ISNUMBER(SEARCH("part",AM118)),UPPER(TRIM(AM118))="PT",UPPER(TRIM(AM118))="PTE"),OR($P118="",N($P118)&gt;=PT_MinHours)),"PT","None"))))</f>
        <v/>
      </c>
      <c r="AQ118" s="14" t="str">
        <f aca="false">IF(AG118=0,"",IF(AI118&lt;2,"",IF(OR(ISNUMBER(SEARCH("full",AN118)),UPPER(TRIM(AN118))="FT",UPPER(TRIM(AN118))="FTE"),"FT",IF(AND(OR(ISNUMBER(SEARCH("part",AN118)),UPPER(TRIM(AN118))="PT",UPPER(TRIM(AN118))="PTE"),OR($P118="",N($P118)&gt;=PT_MinHours)),"PT","None"))))</f>
        <v/>
      </c>
      <c r="AR118" s="14" t="str">
        <f aca="false">IF(AG118=0,"",IF(AI118&lt;3,"",IF(OR(ISNUMBER(SEARCH("full",AO118)),UPPER(TRIM(AO118))="FT",UPPER(TRIM(AO118))="FTE"),"FT",IF(AND(OR(ISNUMBER(SEARCH("part",AO118)),UPPER(TRIM(AO118))="PT",UPPER(TRIM(AO118))="PTE"),OR($P118="",N($P118)&gt;=PT_MinHours)),"PT","None"))))</f>
        <v/>
      </c>
      <c r="AS118" s="14" t="str">
        <f aca="false">IF(AG118=0,"",IF(AND(AI118&gt;=3,AL118&lt;=AsOfDate),AR118,IF(AND(AI118&gt;=2,AK118&lt;=AsOfDate),AQ118,AP118)))</f>
        <v/>
      </c>
      <c r="AT118" s="14" t="str">
        <f aca="false">IF(AG118=0,"",IF(AsOfDate&lt;AH118,-1,12*(YEAR(AsOfDate)-YEAR(AH118))+MONTH(AsOfDate)-MONTH(AH118)-IF(DAY(AsOfDate)&lt;MIN(DAY(AH118),DAY(EOMONTH(AsOfDate,0))),1,0)))</f>
        <v/>
      </c>
      <c r="AU118" s="14" t="str">
        <f aca="false">IF(AG118=0,"",IF(OR(AI118&lt;2,AK118&gt;AsOfDate),AT118,IF((AK118-1)&lt;AH118,-1,12*(YEAR((AK118-1))-YEAR(AH118))+MONTH((AK118-1))-MONTH(AH118)-IF(DAY((AK118-1))&lt;MIN(DAY(AH118),DAY(EOMONTH((AK118-1),0))),1,0))))</f>
        <v/>
      </c>
      <c r="AV118" s="14" t="str">
        <f aca="false">IF(AG118=0,"",IF(OR(AI118&lt;3,AL118&gt;AsOfDate),AT118,IF((AL118-1)&lt;AH118,-1,12*(YEAR((AL118-1))-YEAR(AH118))+MONTH((AL118-1))-MONTH(AH118)-IF(DAY((AL118-1))&lt;MIN(DAY(AH118),DAY(EOMONTH((AL118-1),0))),1,0))))</f>
        <v/>
      </c>
      <c r="AW118" s="14" t="str">
        <f aca="false">IF(AG118=0,"",IF(PFYDate&lt;AH118,-1,12*(YEAR(PFYDate)-YEAR(AH118))+MONTH(PFYDate)-MONTH(AH118)-IF(DAY(PFYDate)&lt;MIN(DAY(AH118),DAY(EOMONTH(PFYDate,0))),1,0)))</f>
        <v/>
      </c>
      <c r="AX118" s="14" t="str">
        <f aca="false">IF(AG118=0,"",IF(OR(AI118&lt;2,AK118&gt;PFYDate),AW118,IF((AK118-1)&lt;AH118,-1,12*(YEAR((AK118-1))-YEAR(AH118))+MONTH((AK118-1))-MONTH(AH118)-IF(DAY((AK118-1))&lt;MIN(DAY(AH118),DAY(EOMONTH((AK118-1),0))),1,0))))</f>
        <v/>
      </c>
      <c r="AY118" s="14" t="str">
        <f aca="false">IF(AG118=0,"",IF(OR(AI118&lt;3,AL118&gt;PFYDate),AW118,IF((AL118-1)&lt;AH118,-1,12*(YEAR((AL118-1))-YEAR(AH118))+MONTH((AL118-1))-MONTH(AH118)-IF(DAY((AL118-1))&lt;MIN(DAY(AH118),DAY(EOMONTH((AL118-1),0))),1,0))))</f>
        <v/>
      </c>
      <c r="AZ118" s="14" t="str">
        <f aca="false">IF(AG118=0,"",IF(AP118="FT",IF(AU118&lt;FT_First,0,IF(AU118&lt;FT_Y5,1+INT((AU118-FT_First)/FT_Int1),FT_PreY5+FT_PerYear*INT((AU118-FT_Y5)/12)+FT_AnnivDays+INT(MOD(AU118-FT_Y5,12)/FT_Int2))),IF(AP118="PT",IF(AU118&lt;PT_First,0,1+INT((AU118-PT_First)/PT_Int)),0))+IF(AND(AI118&gt;=2,AK118&lt;=AsOfDate),IF(AQ118="FT",IF(AV118&lt;FT_First,0,IF(AV118&lt;FT_Y5,1+INT((AV118-FT_First)/FT_Int1),FT_PreY5+FT_PerYear*INT((AV118-FT_Y5)/12)+FT_AnnivDays+INT(MOD(AV118-FT_Y5,12)/FT_Int2))),IF(AQ118="PT",IF(AV118&lt;PT_First,0,1+INT((AV118-PT_First)/PT_Int)),0))-IF(AQ118="FT",IF(AU118&lt;FT_First,0,IF(AU118&lt;FT_Y5,1+INT((AU118-FT_First)/FT_Int1),FT_PreY5+FT_PerYear*INT((AU118-FT_Y5)/12)+FT_AnnivDays+INT(MOD(AU118-FT_Y5,12)/FT_Int2))),IF(AQ118="PT",IF(AU118&lt;PT_First,0,1+INT((AU118-PT_First)/PT_Int)),0)),0)+IF(AND(AI118&gt;=3,AL118&lt;=AsOfDate),IF(AR118="FT",IF(AT118&lt;FT_First,0,IF(AT118&lt;FT_Y5,1+INT((AT118-FT_First)/FT_Int1),FT_PreY5+FT_PerYear*INT((AT118-FT_Y5)/12)+FT_AnnivDays+INT(MOD(AT118-FT_Y5,12)/FT_Int2))),IF(AR118="PT",IF(AT118&lt;PT_First,0,1+INT((AT118-PT_First)/PT_Int)),0))-IF(AR118="FT",IF(AV118&lt;FT_First,0,IF(AV118&lt;FT_Y5,1+INT((AV118-FT_First)/FT_Int1),FT_PreY5+FT_PerYear*INT((AV118-FT_Y5)/12)+FT_AnnivDays+INT(MOD(AV118-FT_Y5,12)/FT_Int2))),IF(AR118="PT",IF(AV118&lt;PT_First,0,1+INT((AV118-PT_First)/PT_Int)),0)),0))</f>
        <v/>
      </c>
      <c r="BA118" s="14" t="str">
        <f aca="false">IF(AG118=0,"",IF(AP118="FT",IF(AX118&lt;FT_First,0,IF(AX118&lt;FT_Y5,1+INT((AX118-FT_First)/FT_Int1),FT_PreY5+FT_PerYear*INT((AX118-FT_Y5)/12)+FT_AnnivDays+INT(MOD(AX118-FT_Y5,12)/FT_Int2))),IF(AP118="PT",IF(AX118&lt;PT_First,0,1+INT((AX118-PT_First)/PT_Int)),0))+IF(AND(AI118&gt;=2,AK118&lt;=PFYDate),IF(AQ118="FT",IF(AY118&lt;FT_First,0,IF(AY118&lt;FT_Y5,1+INT((AY118-FT_First)/FT_Int1),FT_PreY5+FT_PerYear*INT((AY118-FT_Y5)/12)+FT_AnnivDays+INT(MOD(AY118-FT_Y5,12)/FT_Int2))),IF(AQ118="PT",IF(AY118&lt;PT_First,0,1+INT((AY118-PT_First)/PT_Int)),0))-IF(AQ118="FT",IF(AX118&lt;FT_First,0,IF(AX118&lt;FT_Y5,1+INT((AX118-FT_First)/FT_Int1),FT_PreY5+FT_PerYear*INT((AX118-FT_Y5)/12)+FT_AnnivDays+INT(MOD(AX118-FT_Y5,12)/FT_Int2))),IF(AQ118="PT",IF(AX118&lt;PT_First,0,1+INT((AX118-PT_First)/PT_Int)),0)),0)+IF(AND(AI118&gt;=3,AL118&lt;=PFYDate),IF(AR118="FT",IF(AW118&lt;FT_First,0,IF(AW118&lt;FT_Y5,1+INT((AW118-FT_First)/FT_Int1),FT_PreY5+FT_PerYear*INT((AW118-FT_Y5)/12)+FT_AnnivDays+INT(MOD(AW118-FT_Y5,12)/FT_Int2))),IF(AR118="PT",IF(AW118&lt;PT_First,0,1+INT((AW118-PT_First)/PT_Int)),0))-IF(AR118="FT",IF(AY118&lt;FT_First,0,IF(AY118&lt;FT_Y5,1+INT((AY118-FT_First)/FT_Int1),FT_PreY5+FT_PerYear*INT((AY118-FT_Y5)/12)+FT_AnnivDays+INT(MOD(AY118-FT_Y5,12)/FT_Int2))),IF(AR118="PT",IF(AY118&lt;PT_First,0,1+INT((AY118-PT_First)/PT_Int)),0)),0))</f>
        <v/>
      </c>
      <c r="BB118" s="14" t="str">
        <f aca="false">IF(AG118=0,"",IF(AS118="FT",IF(AT118&lt;FT_First,FT_First,IF(AT118&lt;FT_Y5,MIN(FT_Y5,FT_First+FT_Int1*(INT((AT118-FT_First)/FT_Int1)+1)),FT_Y5+12*INT((AT118-FT_Y5)/12)+FT_Int2*(INT(MOD(AT118-FT_Y5,12)/FT_Int2)+1))),IF(AS118="PT",IF(AT118&lt;PT_First,PT_First,PT_First+PT_Int*(INT((AT118-PT_First)/PT_Int)+1)),"")))</f>
        <v/>
      </c>
      <c r="BC118" s="14" t="str">
        <f aca="false">IF(AG118=0,"",IF(NOT(LH_Ready),0,COUNTIFS(INDEX(LH_Data,0,LH_ColFirst),$A118,INDEX(LH_Data,0,LH_ColSur),$B118,INDEX(LH_Data,0,LH_ColCat),BonusCat)))</f>
        <v/>
      </c>
      <c r="BD118" s="14" t="str">
        <f aca="false">IF(AG118=0,"",IF(OR(NOT(LH_Ready),BC118=0),0,SUMPRODUCT(MAX((INDEX(LH_Data,0,LH_ColFirst)=$A118)*(INDEX(LH_Data,0,LH_ColSur)=$B118)*(INDEX(LH_Data,0,LH_ColCat)=BonusCat)*ROW(LH_Data)))))</f>
        <v/>
      </c>
      <c r="BE118" s="14" t="str">
        <f aca="false">IF(AG118=0,"",IF(EOMONTH(AsOfDate,-1)&lt;AH118,-1,12*(YEAR(EOMONTH(AsOfDate,-1))-YEAR(AH118))+MONTH(EOMONTH(AsOfDate,-1))-MONTH(AH118)-IF(DAY(EOMONTH(AsOfDate,-1))&lt;MIN(DAY(AH118),DAY(EOMONTH(EOMONTH(AsOfDate,-1),0))),1,0)))</f>
        <v/>
      </c>
      <c r="BF118" s="14" t="str">
        <f aca="false">IF(AG118=0,"",IF(OR(AI118&lt;2,AK118&gt;EOMONTH(AsOfDate,-1)),BE118,IF((AK118-1)&lt;AH118,-1,12*(YEAR((AK118-1))-YEAR(AH118))+MONTH((AK118-1))-MONTH(AH118)-IF(DAY((AK118-1))&lt;MIN(DAY(AH118),DAY(EOMONTH((AK118-1),0))),1,0))))</f>
        <v/>
      </c>
      <c r="BG118" s="14" t="str">
        <f aca="false">IF(AG118=0,"",IF(OR(AI118&lt;3,AL118&gt;EOMONTH(AsOfDate,-1)),BE118,IF((AL118-1)&lt;AH118,-1,12*(YEAR((AL118-1))-YEAR(AH118))+MONTH((AL118-1))-MONTH(AH118)-IF(DAY((AL118-1))&lt;MIN(DAY(AH118),DAY(EOMONTH((AL118-1),0))),1,0))))</f>
        <v/>
      </c>
      <c r="BH118" s="14" t="str">
        <f aca="false">IF(AG118=0,"",IF(AP118="FT",IF(BF118&lt;FT_First,0,IF(BF118&lt;FT_Y5,1+INT((BF118-FT_First)/FT_Int1),FT_PreY5+FT_PerYear*INT((BF118-FT_Y5)/12)+FT_AnnivDays+INT(MOD(BF118-FT_Y5,12)/FT_Int2))),IF(AP118="PT",IF(BF118&lt;PT_First,0,1+INT((BF118-PT_First)/PT_Int)),0))+IF(AND(AI118&gt;=2,AK118&lt;=EOMONTH(AsOfDate,-1)),IF(AQ118="FT",IF(BG118&lt;FT_First,0,IF(BG118&lt;FT_Y5,1+INT((BG118-FT_First)/FT_Int1),FT_PreY5+FT_PerYear*INT((BG118-FT_Y5)/12)+FT_AnnivDays+INT(MOD(BG118-FT_Y5,12)/FT_Int2))),IF(AQ118="PT",IF(BG118&lt;PT_First,0,1+INT((BG118-PT_First)/PT_Int)),0))-IF(AQ118="FT",IF(BF118&lt;FT_First,0,IF(BF118&lt;FT_Y5,1+INT((BF118-FT_First)/FT_Int1),FT_PreY5+FT_PerYear*INT((BF118-FT_Y5)/12)+FT_AnnivDays+INT(MOD(BF118-FT_Y5,12)/FT_Int2))),IF(AQ118="PT",IF(BF118&lt;PT_First,0,1+INT((BF118-PT_First)/PT_Int)),0)),0)+IF(AND(AI118&gt;=3,AL118&lt;=EOMONTH(AsOfDate,-1)),IF(AR118="FT",IF(BE118&lt;FT_First,0,IF(BE118&lt;FT_Y5,1+INT((BE118-FT_First)/FT_Int1),FT_PreY5+FT_PerYear*INT((BE118-FT_Y5)/12)+FT_AnnivDays+INT(MOD(BE118-FT_Y5,12)/FT_Int2))),IF(AR118="PT",IF(BE118&lt;PT_First,0,1+INT((BE118-PT_First)/PT_Int)),0))-IF(AR118="FT",IF(BG118&lt;FT_First,0,IF(BG118&lt;FT_Y5,1+INT((BG118-FT_First)/FT_Int1),FT_PreY5+FT_PerYear*INT((BG118-FT_Y5)/12)+FT_AnnivDays+INT(MOD(BG118-FT_Y5,12)/FT_Int2))),IF(AR118="PT",IF(BG118&lt;PT_First,0,1+INT((BG118-PT_First)/PT_Int)),0)),0))</f>
        <v/>
      </c>
      <c r="BI118" s="14" t="str">
        <f aca="false">IF(AG118=0,"",IF(AS118="FT",IF(AT118&lt;FT_First,"",IF(AT118&lt;FT_Y5,FT_First+FT_Int1*INT((AT118-FT_First)/FT_Int1),FT_Y5+FT_Int2*INT((AT118-FT_Y5)/FT_Int2))),IF(AS118="PT",IF(AT118&lt;PT_First,"",PT_First+PT_Int*INT((AT118-PT_First)/PT_Int)),"")))</f>
        <v/>
      </c>
      <c r="BJ118" s="0" t="str">
        <f aca="false">IF(LEN($A118&amp;$B118)=0,"",$A118&amp;" "&amp;$B118)</f>
        <v/>
      </c>
    </row>
    <row r="119" customFormat="false" ht="15" hidden="false" customHeight="false" outlineLevel="0" collapsed="false">
      <c r="A119" s="10"/>
      <c r="B119" s="10"/>
      <c r="C119" s="10"/>
      <c r="D119" s="11"/>
      <c r="E119" s="12" t="str">
        <f aca="false">IF(OR(AG119=0,$D119=""),"",DATE(YEAR(AsOfDate)+IF(DATE(YEAR(AsOfDate),MONTH($D119),DAY($D119))&lt;=AsOfDate,1,0),MONTH($D119),DAY($D119)))</f>
        <v/>
      </c>
      <c r="F119" s="11"/>
      <c r="G119" s="11"/>
      <c r="H119" s="11"/>
      <c r="I119" s="11"/>
      <c r="J119" s="11"/>
      <c r="K119" s="12" t="str">
        <f aca="false">IF(AG119=0,"",DATE(YEAR(AsOfDate)+IF(DATE(YEAR(AsOfDate),MONTH(AH119),DAY(AH119))&lt;=AsOfDate,1,0),MONTH(AH119),DAY(AH119)))</f>
        <v/>
      </c>
      <c r="L119" s="13" t="str">
        <f aca="false">IF(AG119=0,"",ROUND((AsOfDate-AH119)/365.25,1))</f>
        <v/>
      </c>
      <c r="M119" s="14" t="str">
        <f aca="false">IF(AG119=0,"",IF(AsOfDate&lt;AH119,"-",DATEDIF(AH119,AsOfDate,"y")&amp;"y "&amp;DATEDIF(AH119,AsOfDate,"ym")&amp;"m "&amp;DATEDIF(AH119,AsOfDate,"md")&amp;"d"))</f>
        <v/>
      </c>
      <c r="N119" s="15" t="str">
        <f aca="false">IF(AG119=0,"",O119*HoursPerDay)</f>
        <v/>
      </c>
      <c r="O119" s="15" t="str">
        <f aca="false">IF(AG119=0,"",AZ119)</f>
        <v/>
      </c>
      <c r="P119" s="16"/>
      <c r="Q119" s="14" t="str">
        <f aca="false">IF(AG119=0,"",IF(AI119&lt;2,"",AM119&amp;" to "&amp;AN119&amp;" on "&amp;TEXT(AK119,"dd/mm/yyyy")&amp;IF(AK119&gt;AsOfDate," (future)",IF(AP119=AQ119,"",IF(AQ119="None"," - STOPPED accruing",IF(AP119="None"," - commencement for Bonus Leave"," - pathway changed"))))&amp;IF(AI119&lt;3,"","; "&amp;AN119&amp;" to "&amp;AO119&amp;" on "&amp;TEXT(AL119,"dd/mm/yyyy")&amp;IF(AL119&gt;AsOfDate," (future)",IF(AQ119=AR119,"",IF(AR119="None"," - STOPPED accruing",IF(AQ119="None"," - commencement for Bonus Leave"," - pathway changed")))))))</f>
        <v/>
      </c>
      <c r="R119" s="14" t="str">
        <f aca="false">IF(AG119=0,"",IF(AS119="None",IF(O119&gt;0,"No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2" t="str">
        <f aca="false">IF(AG119=0,"",IF(AS119="None","",EDATE(AH119,BB119)))</f>
        <v/>
      </c>
      <c r="T119" s="15" t="str">
        <f aca="false">IF(AG119=0,"",IF(NOT(LH_Ready),"",IF(AH119&gt;PFYDate,0,IF(LH_ColPeriod=0,W119-U119+V119,SUMIFS(INDEX(LH_Data,0,LH_ColAcc),INDEX(LH_Data,0,LH_ColFirst),$A119,INDEX(LH_Data,0,LH_ColSur),$B119,INDEX(LH_Data,0,LH_ColCat),BonusCat,INDEX(LH_Data,0,LH_ColPeriod),LH_OpenLabel)*UnitFactor))))</f>
        <v/>
      </c>
      <c r="U119" s="15" t="str">
        <f aca="false">IF(AG119=0,"",IF(NOT(LH_Ready),"",SUMIFS(INDEX(LH_Data,0,LH_ColAcc),INDEX(LH_Data,0,LH_ColFirst),$A119,INDEX(LH_Data,0,LH_ColSur),$B119,INDEX(LH_Data,0,LH_ColCat),BonusCat,INDEX(LH_Data,0,LH_ColStart),"&gt;="&amp;AH119)*UnitFactor))</f>
        <v/>
      </c>
      <c r="V119" s="15" t="str">
        <f aca="false">IF(AG119=0,"",IF(NOT(LH_Ready),"",SUMIFS(INDEX(LH_Data,0,LH_ColTaken),INDEX(LH_Data,0,LH_ColFirst),$A119,INDEX(LH_Data,0,LH_ColSur),$B119,INDEX(LH_Data,0,LH_ColCat),BonusCat,INDEX(LH_Data,0,LH_ColStart),"&gt;="&amp;AH119)*UnitFactor))</f>
        <v/>
      </c>
      <c r="W119" s="15" t="str">
        <f aca="false">IF(AG119=0,"",IF(NOT(LH_Ready),"",IF(BD119=0,0,INDEX(INDEX(LH_Data,0,LH_ColClose),BD119-1)*UnitFactor)))</f>
        <v/>
      </c>
      <c r="X119" s="15" t="str">
        <f aca="false">IF(AG119=0,"",(AZ119-BA119)*HoursPerDay)</f>
        <v/>
      </c>
      <c r="Y119" s="15" t="str">
        <f aca="false">IF(AG119=0,"",IF(NOT(LH_Ready),"",IF(BC119=0,N119,IF(PFYDate&lt;$F119,N119-N(T119)-N(U119),X119-N(U119)))))</f>
        <v/>
      </c>
      <c r="Z119" s="14" t="str">
        <f aca="false">IF(OR(AG119=0,Y119=""),"",IF(Y119&gt;0,"Yes","No"))</f>
        <v/>
      </c>
      <c r="AA119" s="14" t="str">
        <f aca="false">IF(AG119=0,IF(LEN($A119&amp;$B119)=0,"","FIX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month")&amp;IF(BC119=0,";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EH)",""),IF(AS119="None",R119,"Not yet - first day on "&amp;TEXT(S119,"dd/mm/yyyy")))))))))</f>
        <v/>
      </c>
      <c r="AB119" s="15" t="str">
        <f aca="false">IF(OR(AG119=0,T119=""),"",BA119*HoursPerDay-T119)</f>
        <v/>
      </c>
      <c r="AC119" s="14" t="str">
        <f aca="false">IF(AG119=0,"",BC119)</f>
        <v/>
      </c>
      <c r="AD119" s="14" t="str">
        <f aca="false">IF(AG119=0,"",TRIM(IF(OR(ISTEXT($F119),ISTEXT($H119),ISTEXT($I119),ISTEXT($G119),ISTEXT($J119),ISTEXT($D119)),"A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I119&gt;=1,IF(AI119&gt;=3,AO119,IF(AI119=2,AN119,AM119))&lt;&gt;IF($C119="","",IF(OR(ISNUMBER(SEARCH("full",$C119)),UPPER(TRIM($C119))="FT",UPPER(TRIM($C119))="FTE"),"Full-Time",IF(OR(ISNUMBER(SEARCH("part",$C119)),UPPER(TRIM($C119))="PT",UPPER(TRIM($C119))="PTE"),"Part-Time",IF(OR(ISNUMBER(SEARCH("cas",$C119)),UPPER(TRIM($C119))="CAS"),"Casual","Unknown"))))),"EmploymentType does not match latest start date ("&amp;IF(AI119&gt;=3,AO119,IF(AI119=2,AN119,AM119))&amp;"). ","")&amp;IF(AND(AI119&gt;=1,AJ119&lt;&gt;$F119),"Earliest type date should equal StartDate. ","")&amp;IF(AND(AI119&gt;=2,AJ119=AK119),"Two types start on the same date. ","")&amp;IF(AND(OR(ISNUMBER(SEARCH("part",$C119)),UPPER(TRIM($C119))="PT",UPPER(TRIM($C119))="PTE"),$P119=""),"Part-time: enter PT Hrs/Week (blank = 24+). ","")))</f>
        <v/>
      </c>
      <c r="AE119" s="15" t="str">
        <f aca="false">IF(AG119=0,"",O119-BH119)</f>
        <v/>
      </c>
      <c r="AF119" s="12" t="str">
        <f aca="false">IF(OR(AG119=0,AE119="",N(AE119)=0,BI119=""),"",EDATE(AH119,BI119))</f>
        <v/>
      </c>
      <c r="AG119" s="14" t="n">
        <f aca="false">IF(OR(LEN($A119&amp;$B119)=0,$F119=""),0,1)</f>
        <v>0</v>
      </c>
      <c r="AH119" s="12" t="str">
        <f aca="false">IF(AG119=0,"",IF($J119&lt;&gt;"",$J119,IF(OR(CasualCounts="Yes",COUNT($G119:$I119)=0,COUNT($H119:$I119)=0),$F119,MIN($H119:$I119))))</f>
        <v/>
      </c>
      <c r="AI119" s="14" t="str">
        <f aca="false">IF(AG119=0,"",COUNT($G119:$I119))</f>
        <v/>
      </c>
      <c r="AJ119" s="12" t="str">
        <f aca="false">IF(AG119=0,"",IFERROR(SMALL($G119:$I119,1),""))</f>
        <v/>
      </c>
      <c r="AK119" s="12" t="str">
        <f aca="false">IF(AG119=0,"",IFERROR(SMALL($G119:$I119,2),""))</f>
        <v/>
      </c>
      <c r="AL119" s="12" t="str">
        <f aca="false">IF(AG119=0,"",IFERROR(SMALL($G119:$I119,3),""))</f>
        <v/>
      </c>
      <c r="AM119" s="14" t="str">
        <f aca="false">IF(AG119=0,"",IF(AJ119="","",IF(AJ119=$H119,"Part-Time",IF(AJ119=$I119,"Full-Time","Casual"))))</f>
        <v/>
      </c>
      <c r="AN119" s="14" t="str">
        <f aca="false">IF(AG119=0,"",IF(AK119="","",IF(AK119=$H119,"Part-Time",IF(AK119=$I119,"Full-Time","Casual"))))</f>
        <v/>
      </c>
      <c r="AO119" s="14" t="str">
        <f aca="false">IF(AG119=0,"",IF(AL119="","",IF(AL119=$H119,"Part-Time",IF(AL119=$I119,"Full-Time","Casual"))))</f>
        <v/>
      </c>
      <c r="AP119" s="14" t="str">
        <f aca="false">IF(AG119=0,"",IF(AI119=0,IF(OR(ISNUMBER(SEARCH("full",$C119)),UPPER(TRIM($C119))="FT",UPPER(TRIM($C119))="FTE"),"FT",IF(AND(OR(ISNUMBER(SEARCH("part",$C119)),UPPER(TRIM($C119))="PT",UPPER(TRIM($C119))="PTE"),OR($P119="",N($P119)&gt;=PT_MinHours)),"PT","None")),IF(OR(ISNUMBER(SEARCH("full",AM119)),UPPER(TRIM(AM119))="FT",UPPER(TRIM(AM119))="FTE"),"FT",IF(AND(OR(ISNUMBER(SEARCH("part",AM119)),UPPER(TRIM(AM119))="PT",UPPER(TRIM(AM119))="PTE"),OR($P119="",N($P119)&gt;=PT_MinHours)),"PT","None"))))</f>
        <v/>
      </c>
      <c r="AQ119" s="14" t="str">
        <f aca="false">IF(AG119=0,"",IF(AI119&lt;2,"",IF(OR(ISNUMBER(SEARCH("full",AN119)),UPPER(TRIM(AN119))="FT",UPPER(TRIM(AN119))="FTE"),"FT",IF(AND(OR(ISNUMBER(SEARCH("part",AN119)),UPPER(TRIM(AN119))="PT",UPPER(TRIM(AN119))="PTE"),OR($P119="",N($P119)&gt;=PT_MinHours)),"PT","None"))))</f>
        <v/>
      </c>
      <c r="AR119" s="14" t="str">
        <f aca="false">IF(AG119=0,"",IF(AI119&lt;3,"",IF(OR(ISNUMBER(SEARCH("full",AO119)),UPPER(TRIM(AO119))="FT",UPPER(TRIM(AO119))="FTE"),"FT",IF(AND(OR(ISNUMBER(SEARCH("part",AO119)),UPPER(TRIM(AO119))="PT",UPPER(TRIM(AO119))="PTE"),OR($P119="",N($P119)&gt;=PT_MinHours)),"PT","None"))))</f>
        <v/>
      </c>
      <c r="AS119" s="14" t="str">
        <f aca="false">IF(AG119=0,"",IF(AND(AI119&gt;=3,AL119&lt;=AsOfDate),AR119,IF(AND(AI119&gt;=2,AK119&lt;=AsOfDate),AQ119,AP119)))</f>
        <v/>
      </c>
      <c r="AT119" s="14" t="str">
        <f aca="false">IF(AG119=0,"",IF(AsOfDate&lt;AH119,-1,12*(YEAR(AsOfDate)-YEAR(AH119))+MONTH(AsOfDate)-MONTH(AH119)-IF(DAY(AsOfDate)&lt;MIN(DAY(AH119),DAY(EOMONTH(AsOfDate,0))),1,0)))</f>
        <v/>
      </c>
      <c r="AU119" s="14" t="str">
        <f aca="false">IF(AG119=0,"",IF(OR(AI119&lt;2,AK119&gt;AsOfDate),AT119,IF((AK119-1)&lt;AH119,-1,12*(YEAR((AK119-1))-YEAR(AH119))+MONTH((AK119-1))-MONTH(AH119)-IF(DAY((AK119-1))&lt;MIN(DAY(AH119),DAY(EOMONTH((AK119-1),0))),1,0))))</f>
        <v/>
      </c>
      <c r="AV119" s="14" t="str">
        <f aca="false">IF(AG119=0,"",IF(OR(AI119&lt;3,AL119&gt;AsOfDate),AT119,IF((AL119-1)&lt;AH119,-1,12*(YEAR((AL119-1))-YEAR(AH119))+MONTH((AL119-1))-MONTH(AH119)-IF(DAY((AL119-1))&lt;MIN(DAY(AH119),DAY(EOMONTH((AL119-1),0))),1,0))))</f>
        <v/>
      </c>
      <c r="AW119" s="14" t="str">
        <f aca="false">IF(AG119=0,"",IF(PFYDate&lt;AH119,-1,12*(YEAR(PFYDate)-YEAR(AH119))+MONTH(PFYDate)-MONTH(AH119)-IF(DAY(PFYDate)&lt;MIN(DAY(AH119),DAY(EOMONTH(PFYDate,0))),1,0)))</f>
        <v/>
      </c>
      <c r="AX119" s="14" t="str">
        <f aca="false">IF(AG119=0,"",IF(OR(AI119&lt;2,AK119&gt;PFYDate),AW119,IF((AK119-1)&lt;AH119,-1,12*(YEAR((AK119-1))-YEAR(AH119))+MONTH((AK119-1))-MONTH(AH119)-IF(DAY((AK119-1))&lt;MIN(DAY(AH119),DAY(EOMONTH((AK119-1),0))),1,0))))</f>
        <v/>
      </c>
      <c r="AY119" s="14" t="str">
        <f aca="false">IF(AG119=0,"",IF(OR(AI119&lt;3,AL119&gt;PFYDate),AW119,IF((AL119-1)&lt;AH119,-1,12*(YEAR((AL119-1))-YEAR(AH119))+MONTH((AL119-1))-MONTH(AH119)-IF(DAY((AL119-1))&lt;MIN(DAY(AH119),DAY(EOMONTH((AL119-1),0))),1,0))))</f>
        <v/>
      </c>
      <c r="AZ119" s="14" t="str">
        <f aca="false">IF(AG119=0,"",IF(AP119="FT",IF(AU119&lt;FT_First,0,IF(AU119&lt;FT_Y5,1+INT((AU119-FT_First)/FT_Int1),FT_PreY5+FT_PerYear*INT((AU119-FT_Y5)/12)+FT_AnnivDays+INT(MOD(AU119-FT_Y5,12)/FT_Int2))),IF(AP119="PT",IF(AU119&lt;PT_First,0,1+INT((AU119-PT_First)/PT_Int)),0))+IF(AND(AI119&gt;=2,AK119&lt;=AsOfDate),IF(AQ119="FT",IF(AV119&lt;FT_First,0,IF(AV119&lt;FT_Y5,1+INT((AV119-FT_First)/FT_Int1),FT_PreY5+FT_PerYear*INT((AV119-FT_Y5)/12)+FT_AnnivDays+INT(MOD(AV119-FT_Y5,12)/FT_Int2))),IF(AQ119="PT",IF(AV119&lt;PT_First,0,1+INT((AV119-PT_First)/PT_Int)),0))-IF(AQ119="FT",IF(AU119&lt;FT_First,0,IF(AU119&lt;FT_Y5,1+INT((AU119-FT_First)/FT_Int1),FT_PreY5+FT_PerYear*INT((AU119-FT_Y5)/12)+FT_AnnivDays+INT(MOD(AU119-FT_Y5,12)/FT_Int2))),IF(AQ119="PT",IF(AU119&lt;PT_First,0,1+INT((AU119-PT_First)/PT_Int)),0)),0)+IF(AND(AI119&gt;=3,AL119&lt;=AsOfDate),IF(AR119="FT",IF(AT119&lt;FT_First,0,IF(AT119&lt;FT_Y5,1+INT((AT119-FT_First)/FT_Int1),FT_PreY5+FT_PerYear*INT((AT119-FT_Y5)/12)+FT_AnnivDays+INT(MOD(AT119-FT_Y5,12)/FT_Int2))),IF(AR119="PT",IF(AT119&lt;PT_First,0,1+INT((AT119-PT_First)/PT_Int)),0))-IF(AR119="FT",IF(AV119&lt;FT_First,0,IF(AV119&lt;FT_Y5,1+INT((AV119-FT_First)/FT_Int1),FT_PreY5+FT_PerYear*INT((AV119-FT_Y5)/12)+FT_AnnivDays+INT(MOD(AV119-FT_Y5,12)/FT_Int2))),IF(AR119="PT",IF(AV119&lt;PT_First,0,1+INT((AV119-PT_First)/PT_Int)),0)),0))</f>
        <v/>
      </c>
      <c r="BA119" s="14" t="str">
        <f aca="false">IF(AG119=0,"",IF(AP119="FT",IF(AX119&lt;FT_First,0,IF(AX119&lt;FT_Y5,1+INT((AX119-FT_First)/FT_Int1),FT_PreY5+FT_PerYear*INT((AX119-FT_Y5)/12)+FT_AnnivDays+INT(MOD(AX119-FT_Y5,12)/FT_Int2))),IF(AP119="PT",IF(AX119&lt;PT_First,0,1+INT((AX119-PT_First)/PT_Int)),0))+IF(AND(AI119&gt;=2,AK119&lt;=PFYDate),IF(AQ119="FT",IF(AY119&lt;FT_First,0,IF(AY119&lt;FT_Y5,1+INT((AY119-FT_First)/FT_Int1),FT_PreY5+FT_PerYear*INT((AY119-FT_Y5)/12)+FT_AnnivDays+INT(MOD(AY119-FT_Y5,12)/FT_Int2))),IF(AQ119="PT",IF(AY119&lt;PT_First,0,1+INT((AY119-PT_First)/PT_Int)),0))-IF(AQ119="FT",IF(AX119&lt;FT_First,0,IF(AX119&lt;FT_Y5,1+INT((AX119-FT_First)/FT_Int1),FT_PreY5+FT_PerYear*INT((AX119-FT_Y5)/12)+FT_AnnivDays+INT(MOD(AX119-FT_Y5,12)/FT_Int2))),IF(AQ119="PT",IF(AX119&lt;PT_First,0,1+INT((AX119-PT_First)/PT_Int)),0)),0)+IF(AND(AI119&gt;=3,AL119&lt;=PFYDate),IF(AR119="FT",IF(AW119&lt;FT_First,0,IF(AW119&lt;FT_Y5,1+INT((AW119-FT_First)/FT_Int1),FT_PreY5+FT_PerYear*INT((AW119-FT_Y5)/12)+FT_AnnivDays+INT(MOD(AW119-FT_Y5,12)/FT_Int2))),IF(AR119="PT",IF(AW119&lt;PT_First,0,1+INT((AW119-PT_First)/PT_Int)),0))-IF(AR119="FT",IF(AY119&lt;FT_First,0,IF(AY119&lt;FT_Y5,1+INT((AY119-FT_First)/FT_Int1),FT_PreY5+FT_PerYear*INT((AY119-FT_Y5)/12)+FT_AnnivDays+INT(MOD(AY119-FT_Y5,12)/FT_Int2))),IF(AR119="PT",IF(AY119&lt;PT_First,0,1+INT((AY119-PT_First)/PT_Int)),0)),0))</f>
        <v/>
      </c>
      <c r="BB119" s="14" t="str">
        <f aca="false">IF(AG119=0,"",IF(AS119="FT",IF(AT119&lt;FT_First,FT_First,IF(AT119&lt;FT_Y5,MIN(FT_Y5,FT_First+FT_Int1*(INT((AT119-FT_First)/FT_Int1)+1)),FT_Y5+12*INT((AT119-FT_Y5)/12)+FT_Int2*(INT(MOD(AT119-FT_Y5,12)/FT_Int2)+1))),IF(AS119="PT",IF(AT119&lt;PT_First,PT_First,PT_First+PT_Int*(INT((AT119-PT_First)/PT_Int)+1)),"")))</f>
        <v/>
      </c>
      <c r="BC119" s="14" t="str">
        <f aca="false">IF(AG119=0,"",IF(NOT(LH_Ready),0,COUNTIFS(INDEX(LH_Data,0,LH_ColFirst),$A119,INDEX(LH_Data,0,LH_ColSur),$B119,INDEX(LH_Data,0,LH_ColCat),BonusCat)))</f>
        <v/>
      </c>
      <c r="BD119" s="14" t="str">
        <f aca="false">IF(AG119=0,"",IF(OR(NOT(LH_Ready),BC119=0),0,SUMPRODUCT(MAX((INDEX(LH_Data,0,LH_ColFirst)=$A119)*(INDEX(LH_Data,0,LH_ColSur)=$B119)*(INDEX(LH_Data,0,LH_ColCat)=BonusCat)*ROW(LH_Data)))))</f>
        <v/>
      </c>
      <c r="BE119" s="14" t="str">
        <f aca="false">IF(AG119=0,"",IF(EOMONTH(AsOfDate,-1)&lt;AH119,-1,12*(YEAR(EOMONTH(AsOfDate,-1))-YEAR(AH119))+MONTH(EOMONTH(AsOfDate,-1))-MONTH(AH119)-IF(DAY(EOMONTH(AsOfDate,-1))&lt;MIN(DAY(AH119),DAY(EOMONTH(EOMONTH(AsOfDate,-1),0))),1,0)))</f>
        <v/>
      </c>
      <c r="BF119" s="14" t="str">
        <f aca="false">IF(AG119=0,"",IF(OR(AI119&lt;2,AK119&gt;EOMONTH(AsOfDate,-1)),BE119,IF((AK119-1)&lt;AH119,-1,12*(YEAR((AK119-1))-YEAR(AH119))+MONTH((AK119-1))-MONTH(AH119)-IF(DAY((AK119-1))&lt;MIN(DAY(AH119),DAY(EOMONTH((AK119-1),0))),1,0))))</f>
        <v/>
      </c>
      <c r="BG119" s="14" t="str">
        <f aca="false">IF(AG119=0,"",IF(OR(AI119&lt;3,AL119&gt;EOMONTH(AsOfDate,-1)),BE119,IF((AL119-1)&lt;AH119,-1,12*(YEAR((AL119-1))-YEAR(AH119))+MONTH((AL119-1))-MONTH(AH119)-IF(DAY((AL119-1))&lt;MIN(DAY(AH119),DAY(EOMONTH((AL119-1),0))),1,0))))</f>
        <v/>
      </c>
      <c r="BH119" s="14" t="str">
        <f aca="false">IF(AG119=0,"",IF(AP119="FT",IF(BF119&lt;FT_First,0,IF(BF119&lt;FT_Y5,1+INT((BF119-FT_First)/FT_Int1),FT_PreY5+FT_PerYear*INT((BF119-FT_Y5)/12)+FT_AnnivDays+INT(MOD(BF119-FT_Y5,12)/FT_Int2))),IF(AP119="PT",IF(BF119&lt;PT_First,0,1+INT((BF119-PT_First)/PT_Int)),0))+IF(AND(AI119&gt;=2,AK119&lt;=EOMONTH(AsOfDate,-1)),IF(AQ119="FT",IF(BG119&lt;FT_First,0,IF(BG119&lt;FT_Y5,1+INT((BG119-FT_First)/FT_Int1),FT_PreY5+FT_PerYear*INT((BG119-FT_Y5)/12)+FT_AnnivDays+INT(MOD(BG119-FT_Y5,12)/FT_Int2))),IF(AQ119="PT",IF(BG119&lt;PT_First,0,1+INT((BG119-PT_First)/PT_Int)),0))-IF(AQ119="FT",IF(BF119&lt;FT_First,0,IF(BF119&lt;FT_Y5,1+INT((BF119-FT_First)/FT_Int1),FT_PreY5+FT_PerYear*INT((BF119-FT_Y5)/12)+FT_AnnivDays+INT(MOD(BF119-FT_Y5,12)/FT_Int2))),IF(AQ119="PT",IF(BF119&lt;PT_First,0,1+INT((BF119-PT_First)/PT_Int)),0)),0)+IF(AND(AI119&gt;=3,AL119&lt;=EOMONTH(AsOfDate,-1)),IF(AR119="FT",IF(BE119&lt;FT_First,0,IF(BE119&lt;FT_Y5,1+INT((BE119-FT_First)/FT_Int1),FT_PreY5+FT_PerYear*INT((BE119-FT_Y5)/12)+FT_AnnivDays+INT(MOD(BE119-FT_Y5,12)/FT_Int2))),IF(AR119="PT",IF(BE119&lt;PT_First,0,1+INT((BE119-PT_First)/PT_Int)),0))-IF(AR119="FT",IF(BG119&lt;FT_First,0,IF(BG119&lt;FT_Y5,1+INT((BG119-FT_First)/FT_Int1),FT_PreY5+FT_PerYear*INT((BG119-FT_Y5)/12)+FT_AnnivDays+INT(MOD(BG119-FT_Y5,12)/FT_Int2))),IF(AR119="PT",IF(BG119&lt;PT_First,0,1+INT((BG119-PT_First)/PT_Int)),0)),0))</f>
        <v/>
      </c>
      <c r="BI119" s="14" t="str">
        <f aca="false">IF(AG119=0,"",IF(AS119="FT",IF(AT119&lt;FT_First,"",IF(AT119&lt;FT_Y5,FT_First+FT_Int1*INT((AT119-FT_First)/FT_Int1),FT_Y5+FT_Int2*INT((AT119-FT_Y5)/FT_Int2))),IF(AS119="PT",IF(AT119&lt;PT_First,"",PT_First+PT_Int*INT((AT119-PT_First)/PT_Int)),"")))</f>
        <v/>
      </c>
      <c r="BJ119" s="0" t="str">
        <f aca="false">IF(LEN($A119&amp;$B119)=0,"",$A119&amp;" "&amp;$B119)</f>
        <v/>
      </c>
    </row>
    <row r="120" customFormat="false" ht="15" hidden="false" customHeight="false" outlineLevel="0" collapsed="false">
      <c r="A120" s="10"/>
      <c r="B120" s="10"/>
      <c r="C120" s="10"/>
      <c r="D120" s="11"/>
      <c r="E120" s="12" t="str">
        <f aca="false">IF(OR(AG120=0,$D120=""),"",DATE(YEAR(AsOfDate)+IF(DATE(YEAR(AsOfDate),MONTH($D120),DAY($D120))&lt;=AsOfDate,1,0),MONTH($D120),DAY($D120)))</f>
        <v/>
      </c>
      <c r="F120" s="11"/>
      <c r="G120" s="11"/>
      <c r="H120" s="11"/>
      <c r="I120" s="11"/>
      <c r="J120" s="11"/>
      <c r="K120" s="12" t="str">
        <f aca="false">IF(AG120=0,"",DATE(YEAR(AsOfDate)+IF(DATE(YEAR(AsOfDate),MONTH(AH120),DAY(AH120))&lt;=AsOfDate,1,0),MONTH(AH120),DAY(AH120)))</f>
        <v/>
      </c>
      <c r="L120" s="13" t="str">
        <f aca="false">IF(AG120=0,"",ROUND((AsOfDate-AH120)/365.25,1))</f>
        <v/>
      </c>
      <c r="M120" s="14" t="str">
        <f aca="false">IF(AG120=0,"",IF(AsOfDate&lt;AH120,"-",DATEDIF(AH120,AsOfDate,"y")&amp;"y "&amp;DATEDIF(AH120,AsOfDate,"ym")&amp;"m "&amp;DATEDIF(AH120,AsOfDate,"md")&amp;"d"))</f>
        <v/>
      </c>
      <c r="N120" s="15" t="str">
        <f aca="false">IF(AG120=0,"",O120*HoursPerDay)</f>
        <v/>
      </c>
      <c r="O120" s="15" t="str">
        <f aca="false">IF(AG120=0,"",AZ120)</f>
        <v/>
      </c>
      <c r="P120" s="16"/>
      <c r="Q120" s="14" t="str">
        <f aca="false">IF(AG120=0,"",IF(AI120&lt;2,"",AM120&amp;" to "&amp;AN120&amp;" on "&amp;TEXT(AK120,"dd/mm/yyyy")&amp;IF(AK120&gt;AsOfDate," (future)",IF(AP120=AQ120,"",IF(AQ120="None"," - STOPPED accruing",IF(AP120="None"," - commencement for Bonus Leave"," - pathway changed"))))&amp;IF(AI120&lt;3,"","; "&amp;AN120&amp;" to "&amp;AO120&amp;" on "&amp;TEXT(AL120,"dd/mm/yyyy")&amp;IF(AL120&gt;AsOfDate," (future)",IF(AQ120=AR120,"",IF(AR120="None"," - STOPPED accruing",IF(AQ120="None"," - commencement for Bonus Leave"," - pathway changed")))))))</f>
        <v/>
      </c>
      <c r="R120" s="14" t="str">
        <f aca="false">IF(AG120=0,"",IF(AS120="None",IF(O120&gt;0,"No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2" t="str">
        <f aca="false">IF(AG120=0,"",IF(AS120="None","",EDATE(AH120,BB120)))</f>
        <v/>
      </c>
      <c r="T120" s="15" t="str">
        <f aca="false">IF(AG120=0,"",IF(NOT(LH_Ready),"",IF(AH120&gt;PFYDate,0,IF(LH_ColPeriod=0,W120-U120+V120,SUMIFS(INDEX(LH_Data,0,LH_ColAcc),INDEX(LH_Data,0,LH_ColFirst),$A120,INDEX(LH_Data,0,LH_ColSur),$B120,INDEX(LH_Data,0,LH_ColCat),BonusCat,INDEX(LH_Data,0,LH_ColPeriod),LH_OpenLabel)*UnitFactor))))</f>
        <v/>
      </c>
      <c r="U120" s="15" t="str">
        <f aca="false">IF(AG120=0,"",IF(NOT(LH_Ready),"",SUMIFS(INDEX(LH_Data,0,LH_ColAcc),INDEX(LH_Data,0,LH_ColFirst),$A120,INDEX(LH_Data,0,LH_ColSur),$B120,INDEX(LH_Data,0,LH_ColCat),BonusCat,INDEX(LH_Data,0,LH_ColStart),"&gt;="&amp;AH120)*UnitFactor))</f>
        <v/>
      </c>
      <c r="V120" s="15" t="str">
        <f aca="false">IF(AG120=0,"",IF(NOT(LH_Ready),"",SUMIFS(INDEX(LH_Data,0,LH_ColTaken),INDEX(LH_Data,0,LH_ColFirst),$A120,INDEX(LH_Data,0,LH_ColSur),$B120,INDEX(LH_Data,0,LH_ColCat),BonusCat,INDEX(LH_Data,0,LH_ColStart),"&gt;="&amp;AH120)*UnitFactor))</f>
        <v/>
      </c>
      <c r="W120" s="15" t="str">
        <f aca="false">IF(AG120=0,"",IF(NOT(LH_Ready),"",IF(BD120=0,0,INDEX(INDEX(LH_Data,0,LH_ColClose),BD120-1)*UnitFactor)))</f>
        <v/>
      </c>
      <c r="X120" s="15" t="str">
        <f aca="false">IF(AG120=0,"",(AZ120-BA120)*HoursPerDay)</f>
        <v/>
      </c>
      <c r="Y120" s="15" t="str">
        <f aca="false">IF(AG120=0,"",IF(NOT(LH_Ready),"",IF(BC120=0,N120,IF(PFYDate&lt;$F120,N120-N(T120)-N(U120),X120-N(U120)))))</f>
        <v/>
      </c>
      <c r="Z120" s="14" t="str">
        <f aca="false">IF(OR(AG120=0,Y120=""),"",IF(Y120&gt;0,"Yes","No"))</f>
        <v/>
      </c>
      <c r="AA120" s="14" t="str">
        <f aca="false">IF(AG120=0,IF(LEN($A120&amp;$B120)=0,"","FIX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month")&amp;IF(BC120=0,";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EH)",""),IF(AS120="None",R120,"Not yet - first day on "&amp;TEXT(S120,"dd/mm/yyyy")))))))))</f>
        <v/>
      </c>
      <c r="AB120" s="15" t="str">
        <f aca="false">IF(OR(AG120=0,T120=""),"",BA120*HoursPerDay-T120)</f>
        <v/>
      </c>
      <c r="AC120" s="14" t="str">
        <f aca="false">IF(AG120=0,"",BC120)</f>
        <v/>
      </c>
      <c r="AD120" s="14" t="str">
        <f aca="false">IF(AG120=0,"",TRIM(IF(OR(ISTEXT($F120),ISTEXT($H120),ISTEXT($I120),ISTEXT($G120),ISTEXT($J120),ISTEXT($D120)),"A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I120&gt;=1,IF(AI120&gt;=3,AO120,IF(AI120=2,AN120,AM120))&lt;&gt;IF($C120="","",IF(OR(ISNUMBER(SEARCH("full",$C120)),UPPER(TRIM($C120))="FT",UPPER(TRIM($C120))="FTE"),"Full-Time",IF(OR(ISNUMBER(SEARCH("part",$C120)),UPPER(TRIM($C120))="PT",UPPER(TRIM($C120))="PTE"),"Part-Time",IF(OR(ISNUMBER(SEARCH("cas",$C120)),UPPER(TRIM($C120))="CAS"),"Casual","Unknown"))))),"EmploymentType does not match latest start date ("&amp;IF(AI120&gt;=3,AO120,IF(AI120=2,AN120,AM120))&amp;"). ","")&amp;IF(AND(AI120&gt;=1,AJ120&lt;&gt;$F120),"Earliest type date should equal StartDate. ","")&amp;IF(AND(AI120&gt;=2,AJ120=AK120),"Two types start on the same date. ","")&amp;IF(AND(OR(ISNUMBER(SEARCH("part",$C120)),UPPER(TRIM($C120))="PT",UPPER(TRIM($C120))="PTE"),$P120=""),"Part-time: enter PT Hrs/Week (blank = 24+). ","")))</f>
        <v/>
      </c>
      <c r="AE120" s="15" t="str">
        <f aca="false">IF(AG120=0,"",O120-BH120)</f>
        <v/>
      </c>
      <c r="AF120" s="12" t="str">
        <f aca="false">IF(OR(AG120=0,AE120="",N(AE120)=0,BI120=""),"",EDATE(AH120,BI120))</f>
        <v/>
      </c>
      <c r="AG120" s="14" t="n">
        <f aca="false">IF(OR(LEN($A120&amp;$B120)=0,$F120=""),0,1)</f>
        <v>0</v>
      </c>
      <c r="AH120" s="12" t="str">
        <f aca="false">IF(AG120=0,"",IF($J120&lt;&gt;"",$J120,IF(OR(CasualCounts="Yes",COUNT($G120:$I120)=0,COUNT($H120:$I120)=0),$F120,MIN($H120:$I120))))</f>
        <v/>
      </c>
      <c r="AI120" s="14" t="str">
        <f aca="false">IF(AG120=0,"",COUNT($G120:$I120))</f>
        <v/>
      </c>
      <c r="AJ120" s="12" t="str">
        <f aca="false">IF(AG120=0,"",IFERROR(SMALL($G120:$I120,1),""))</f>
        <v/>
      </c>
      <c r="AK120" s="12" t="str">
        <f aca="false">IF(AG120=0,"",IFERROR(SMALL($G120:$I120,2),""))</f>
        <v/>
      </c>
      <c r="AL120" s="12" t="str">
        <f aca="false">IF(AG120=0,"",IFERROR(SMALL($G120:$I120,3),""))</f>
        <v/>
      </c>
      <c r="AM120" s="14" t="str">
        <f aca="false">IF(AG120=0,"",IF(AJ120="","",IF(AJ120=$H120,"Part-Time",IF(AJ120=$I120,"Full-Time","Casual"))))</f>
        <v/>
      </c>
      <c r="AN120" s="14" t="str">
        <f aca="false">IF(AG120=0,"",IF(AK120="","",IF(AK120=$H120,"Part-Time",IF(AK120=$I120,"Full-Time","Casual"))))</f>
        <v/>
      </c>
      <c r="AO120" s="14" t="str">
        <f aca="false">IF(AG120=0,"",IF(AL120="","",IF(AL120=$H120,"Part-Time",IF(AL120=$I120,"Full-Time","Casual"))))</f>
        <v/>
      </c>
      <c r="AP120" s="14" t="str">
        <f aca="false">IF(AG120=0,"",IF(AI120=0,IF(OR(ISNUMBER(SEARCH("full",$C120)),UPPER(TRIM($C120))="FT",UPPER(TRIM($C120))="FTE"),"FT",IF(AND(OR(ISNUMBER(SEARCH("part",$C120)),UPPER(TRIM($C120))="PT",UPPER(TRIM($C120))="PTE"),OR($P120="",N($P120)&gt;=PT_MinHours)),"PT","None")),IF(OR(ISNUMBER(SEARCH("full",AM120)),UPPER(TRIM(AM120))="FT",UPPER(TRIM(AM120))="FTE"),"FT",IF(AND(OR(ISNUMBER(SEARCH("part",AM120)),UPPER(TRIM(AM120))="PT",UPPER(TRIM(AM120))="PTE"),OR($P120="",N($P120)&gt;=PT_MinHours)),"PT","None"))))</f>
        <v/>
      </c>
      <c r="AQ120" s="14" t="str">
        <f aca="false">IF(AG120=0,"",IF(AI120&lt;2,"",IF(OR(ISNUMBER(SEARCH("full",AN120)),UPPER(TRIM(AN120))="FT",UPPER(TRIM(AN120))="FTE"),"FT",IF(AND(OR(ISNUMBER(SEARCH("part",AN120)),UPPER(TRIM(AN120))="PT",UPPER(TRIM(AN120))="PTE"),OR($P120="",N($P120)&gt;=PT_MinHours)),"PT","None"))))</f>
        <v/>
      </c>
      <c r="AR120" s="14" t="str">
        <f aca="false">IF(AG120=0,"",IF(AI120&lt;3,"",IF(OR(ISNUMBER(SEARCH("full",AO120)),UPPER(TRIM(AO120))="FT",UPPER(TRIM(AO120))="FTE"),"FT",IF(AND(OR(ISNUMBER(SEARCH("part",AO120)),UPPER(TRIM(AO120))="PT",UPPER(TRIM(AO120))="PTE"),OR($P120="",N($P120)&gt;=PT_MinHours)),"PT","None"))))</f>
        <v/>
      </c>
      <c r="AS120" s="14" t="str">
        <f aca="false">IF(AG120=0,"",IF(AND(AI120&gt;=3,AL120&lt;=AsOfDate),AR120,IF(AND(AI120&gt;=2,AK120&lt;=AsOfDate),AQ120,AP120)))</f>
        <v/>
      </c>
      <c r="AT120" s="14" t="str">
        <f aca="false">IF(AG120=0,"",IF(AsOfDate&lt;AH120,-1,12*(YEAR(AsOfDate)-YEAR(AH120))+MONTH(AsOfDate)-MONTH(AH120)-IF(DAY(AsOfDate)&lt;MIN(DAY(AH120),DAY(EOMONTH(AsOfDate,0))),1,0)))</f>
        <v/>
      </c>
      <c r="AU120" s="14" t="str">
        <f aca="false">IF(AG120=0,"",IF(OR(AI120&lt;2,AK120&gt;AsOfDate),AT120,IF((AK120-1)&lt;AH120,-1,12*(YEAR((AK120-1))-YEAR(AH120))+MONTH((AK120-1))-MONTH(AH120)-IF(DAY((AK120-1))&lt;MIN(DAY(AH120),DAY(EOMONTH((AK120-1),0))),1,0))))</f>
        <v/>
      </c>
      <c r="AV120" s="14" t="str">
        <f aca="false">IF(AG120=0,"",IF(OR(AI120&lt;3,AL120&gt;AsOfDate),AT120,IF((AL120-1)&lt;AH120,-1,12*(YEAR((AL120-1))-YEAR(AH120))+MONTH((AL120-1))-MONTH(AH120)-IF(DAY((AL120-1))&lt;MIN(DAY(AH120),DAY(EOMONTH((AL120-1),0))),1,0))))</f>
        <v/>
      </c>
      <c r="AW120" s="14" t="str">
        <f aca="false">IF(AG120=0,"",IF(PFYDate&lt;AH120,-1,12*(YEAR(PFYDate)-YEAR(AH120))+MONTH(PFYDate)-MONTH(AH120)-IF(DAY(PFYDate)&lt;MIN(DAY(AH120),DAY(EOMONTH(PFYDate,0))),1,0)))</f>
        <v/>
      </c>
      <c r="AX120" s="14" t="str">
        <f aca="false">IF(AG120=0,"",IF(OR(AI120&lt;2,AK120&gt;PFYDate),AW120,IF((AK120-1)&lt;AH120,-1,12*(YEAR((AK120-1))-YEAR(AH120))+MONTH((AK120-1))-MONTH(AH120)-IF(DAY((AK120-1))&lt;MIN(DAY(AH120),DAY(EOMONTH((AK120-1),0))),1,0))))</f>
        <v/>
      </c>
      <c r="AY120" s="14" t="str">
        <f aca="false">IF(AG120=0,"",IF(OR(AI120&lt;3,AL120&gt;PFYDate),AW120,IF((AL120-1)&lt;AH120,-1,12*(YEAR((AL120-1))-YEAR(AH120))+MONTH((AL120-1))-MONTH(AH120)-IF(DAY((AL120-1))&lt;MIN(DAY(AH120),DAY(EOMONTH((AL120-1),0))),1,0))))</f>
        <v/>
      </c>
      <c r="AZ120" s="14" t="str">
        <f aca="false">IF(AG120=0,"",IF(AP120="FT",IF(AU120&lt;FT_First,0,IF(AU120&lt;FT_Y5,1+INT((AU120-FT_First)/FT_Int1),FT_PreY5+FT_PerYear*INT((AU120-FT_Y5)/12)+FT_AnnivDays+INT(MOD(AU120-FT_Y5,12)/FT_Int2))),IF(AP120="PT",IF(AU120&lt;PT_First,0,1+INT((AU120-PT_First)/PT_Int)),0))+IF(AND(AI120&gt;=2,AK120&lt;=AsOfDate),IF(AQ120="FT",IF(AV120&lt;FT_First,0,IF(AV120&lt;FT_Y5,1+INT((AV120-FT_First)/FT_Int1),FT_PreY5+FT_PerYear*INT((AV120-FT_Y5)/12)+FT_AnnivDays+INT(MOD(AV120-FT_Y5,12)/FT_Int2))),IF(AQ120="PT",IF(AV120&lt;PT_First,0,1+INT((AV120-PT_First)/PT_Int)),0))-IF(AQ120="FT",IF(AU120&lt;FT_First,0,IF(AU120&lt;FT_Y5,1+INT((AU120-FT_First)/FT_Int1),FT_PreY5+FT_PerYear*INT((AU120-FT_Y5)/12)+FT_AnnivDays+INT(MOD(AU120-FT_Y5,12)/FT_Int2))),IF(AQ120="PT",IF(AU120&lt;PT_First,0,1+INT((AU120-PT_First)/PT_Int)),0)),0)+IF(AND(AI120&gt;=3,AL120&lt;=AsOfDate),IF(AR120="FT",IF(AT120&lt;FT_First,0,IF(AT120&lt;FT_Y5,1+INT((AT120-FT_First)/FT_Int1),FT_PreY5+FT_PerYear*INT((AT120-FT_Y5)/12)+FT_AnnivDays+INT(MOD(AT120-FT_Y5,12)/FT_Int2))),IF(AR120="PT",IF(AT120&lt;PT_First,0,1+INT((AT120-PT_First)/PT_Int)),0))-IF(AR120="FT",IF(AV120&lt;FT_First,0,IF(AV120&lt;FT_Y5,1+INT((AV120-FT_First)/FT_Int1),FT_PreY5+FT_PerYear*INT((AV120-FT_Y5)/12)+FT_AnnivDays+INT(MOD(AV120-FT_Y5,12)/FT_Int2))),IF(AR120="PT",IF(AV120&lt;PT_First,0,1+INT((AV120-PT_First)/PT_Int)),0)),0))</f>
        <v/>
      </c>
      <c r="BA120" s="14" t="str">
        <f aca="false">IF(AG120=0,"",IF(AP120="FT",IF(AX120&lt;FT_First,0,IF(AX120&lt;FT_Y5,1+INT((AX120-FT_First)/FT_Int1),FT_PreY5+FT_PerYear*INT((AX120-FT_Y5)/12)+FT_AnnivDays+INT(MOD(AX120-FT_Y5,12)/FT_Int2))),IF(AP120="PT",IF(AX120&lt;PT_First,0,1+INT((AX120-PT_First)/PT_Int)),0))+IF(AND(AI120&gt;=2,AK120&lt;=PFYDate),IF(AQ120="FT",IF(AY120&lt;FT_First,0,IF(AY120&lt;FT_Y5,1+INT((AY120-FT_First)/FT_Int1),FT_PreY5+FT_PerYear*INT((AY120-FT_Y5)/12)+FT_AnnivDays+INT(MOD(AY120-FT_Y5,12)/FT_Int2))),IF(AQ120="PT",IF(AY120&lt;PT_First,0,1+INT((AY120-PT_First)/PT_Int)),0))-IF(AQ120="FT",IF(AX120&lt;FT_First,0,IF(AX120&lt;FT_Y5,1+INT((AX120-FT_First)/FT_Int1),FT_PreY5+FT_PerYear*INT((AX120-FT_Y5)/12)+FT_AnnivDays+INT(MOD(AX120-FT_Y5,12)/FT_Int2))),IF(AQ120="PT",IF(AX120&lt;PT_First,0,1+INT((AX120-PT_First)/PT_Int)),0)),0)+IF(AND(AI120&gt;=3,AL120&lt;=PFYDate),IF(AR120="FT",IF(AW120&lt;FT_First,0,IF(AW120&lt;FT_Y5,1+INT((AW120-FT_First)/FT_Int1),FT_PreY5+FT_PerYear*INT((AW120-FT_Y5)/12)+FT_AnnivDays+INT(MOD(AW120-FT_Y5,12)/FT_Int2))),IF(AR120="PT",IF(AW120&lt;PT_First,0,1+INT((AW120-PT_First)/PT_Int)),0))-IF(AR120="FT",IF(AY120&lt;FT_First,0,IF(AY120&lt;FT_Y5,1+INT((AY120-FT_First)/FT_Int1),FT_PreY5+FT_PerYear*INT((AY120-FT_Y5)/12)+FT_AnnivDays+INT(MOD(AY120-FT_Y5,12)/FT_Int2))),IF(AR120="PT",IF(AY120&lt;PT_First,0,1+INT((AY120-PT_First)/PT_Int)),0)),0))</f>
        <v/>
      </c>
      <c r="BB120" s="14" t="str">
        <f aca="false">IF(AG120=0,"",IF(AS120="FT",IF(AT120&lt;FT_First,FT_First,IF(AT120&lt;FT_Y5,MIN(FT_Y5,FT_First+FT_Int1*(INT((AT120-FT_First)/FT_Int1)+1)),FT_Y5+12*INT((AT120-FT_Y5)/12)+FT_Int2*(INT(MOD(AT120-FT_Y5,12)/FT_Int2)+1))),IF(AS120="PT",IF(AT120&lt;PT_First,PT_First,PT_First+PT_Int*(INT((AT120-PT_First)/PT_Int)+1)),"")))</f>
        <v/>
      </c>
      <c r="BC120" s="14" t="str">
        <f aca="false">IF(AG120=0,"",IF(NOT(LH_Ready),0,COUNTIFS(INDEX(LH_Data,0,LH_ColFirst),$A120,INDEX(LH_Data,0,LH_ColSur),$B120,INDEX(LH_Data,0,LH_ColCat),BonusCat)))</f>
        <v/>
      </c>
      <c r="BD120" s="14" t="str">
        <f aca="false">IF(AG120=0,"",IF(OR(NOT(LH_Ready),BC120=0),0,SUMPRODUCT(MAX((INDEX(LH_Data,0,LH_ColFirst)=$A120)*(INDEX(LH_Data,0,LH_ColSur)=$B120)*(INDEX(LH_Data,0,LH_ColCat)=BonusCat)*ROW(LH_Data)))))</f>
        <v/>
      </c>
      <c r="BE120" s="14" t="str">
        <f aca="false">IF(AG120=0,"",IF(EOMONTH(AsOfDate,-1)&lt;AH120,-1,12*(YEAR(EOMONTH(AsOfDate,-1))-YEAR(AH120))+MONTH(EOMONTH(AsOfDate,-1))-MONTH(AH120)-IF(DAY(EOMONTH(AsOfDate,-1))&lt;MIN(DAY(AH120),DAY(EOMONTH(EOMONTH(AsOfDate,-1),0))),1,0)))</f>
        <v/>
      </c>
      <c r="BF120" s="14" t="str">
        <f aca="false">IF(AG120=0,"",IF(OR(AI120&lt;2,AK120&gt;EOMONTH(AsOfDate,-1)),BE120,IF((AK120-1)&lt;AH120,-1,12*(YEAR((AK120-1))-YEAR(AH120))+MONTH((AK120-1))-MONTH(AH120)-IF(DAY((AK120-1))&lt;MIN(DAY(AH120),DAY(EOMONTH((AK120-1),0))),1,0))))</f>
        <v/>
      </c>
      <c r="BG120" s="14" t="str">
        <f aca="false">IF(AG120=0,"",IF(OR(AI120&lt;3,AL120&gt;EOMONTH(AsOfDate,-1)),BE120,IF((AL120-1)&lt;AH120,-1,12*(YEAR((AL120-1))-YEAR(AH120))+MONTH((AL120-1))-MONTH(AH120)-IF(DAY((AL120-1))&lt;MIN(DAY(AH120),DAY(EOMONTH((AL120-1),0))),1,0))))</f>
        <v/>
      </c>
      <c r="BH120" s="14" t="str">
        <f aca="false">IF(AG120=0,"",IF(AP120="FT",IF(BF120&lt;FT_First,0,IF(BF120&lt;FT_Y5,1+INT((BF120-FT_First)/FT_Int1),FT_PreY5+FT_PerYear*INT((BF120-FT_Y5)/12)+FT_AnnivDays+INT(MOD(BF120-FT_Y5,12)/FT_Int2))),IF(AP120="PT",IF(BF120&lt;PT_First,0,1+INT((BF120-PT_First)/PT_Int)),0))+IF(AND(AI120&gt;=2,AK120&lt;=EOMONTH(AsOfDate,-1)),IF(AQ120="FT",IF(BG120&lt;FT_First,0,IF(BG120&lt;FT_Y5,1+INT((BG120-FT_First)/FT_Int1),FT_PreY5+FT_PerYear*INT((BG120-FT_Y5)/12)+FT_AnnivDays+INT(MOD(BG120-FT_Y5,12)/FT_Int2))),IF(AQ120="PT",IF(BG120&lt;PT_First,0,1+INT((BG120-PT_First)/PT_Int)),0))-IF(AQ120="FT",IF(BF120&lt;FT_First,0,IF(BF120&lt;FT_Y5,1+INT((BF120-FT_First)/FT_Int1),FT_PreY5+FT_PerYear*INT((BF120-FT_Y5)/12)+FT_AnnivDays+INT(MOD(BF120-FT_Y5,12)/FT_Int2))),IF(AQ120="PT",IF(BF120&lt;PT_First,0,1+INT((BF120-PT_First)/PT_Int)),0)),0)+IF(AND(AI120&gt;=3,AL120&lt;=EOMONTH(AsOfDate,-1)),IF(AR120="FT",IF(BE120&lt;FT_First,0,IF(BE120&lt;FT_Y5,1+INT((BE120-FT_First)/FT_Int1),FT_PreY5+FT_PerYear*INT((BE120-FT_Y5)/12)+FT_AnnivDays+INT(MOD(BE120-FT_Y5,12)/FT_Int2))),IF(AR120="PT",IF(BE120&lt;PT_First,0,1+INT((BE120-PT_First)/PT_Int)),0))-IF(AR120="FT",IF(BG120&lt;FT_First,0,IF(BG120&lt;FT_Y5,1+INT((BG120-FT_First)/FT_Int1),FT_PreY5+FT_PerYear*INT((BG120-FT_Y5)/12)+FT_AnnivDays+INT(MOD(BG120-FT_Y5,12)/FT_Int2))),IF(AR120="PT",IF(BG120&lt;PT_First,0,1+INT((BG120-PT_First)/PT_Int)),0)),0))</f>
        <v/>
      </c>
      <c r="BI120" s="14" t="str">
        <f aca="false">IF(AG120=0,"",IF(AS120="FT",IF(AT120&lt;FT_First,"",IF(AT120&lt;FT_Y5,FT_First+FT_Int1*INT((AT120-FT_First)/FT_Int1),FT_Y5+FT_Int2*INT((AT120-FT_Y5)/FT_Int2))),IF(AS120="PT",IF(AT120&lt;PT_First,"",PT_First+PT_Int*INT((AT120-PT_First)/PT_Int)),"")))</f>
        <v/>
      </c>
      <c r="BJ120" s="0" t="str">
        <f aca="false">IF(LEN($A120&amp;$B120)=0,"",$A120&amp;" "&amp;$B120)</f>
        <v/>
      </c>
    </row>
    <row r="121" customFormat="false" ht="15" hidden="false" customHeight="false" outlineLevel="0" collapsed="false">
      <c r="A121" s="10"/>
      <c r="B121" s="10"/>
      <c r="C121" s="10"/>
      <c r="D121" s="11"/>
      <c r="E121" s="12" t="str">
        <f aca="false">IF(OR(AG121=0,$D121=""),"",DATE(YEAR(AsOfDate)+IF(DATE(YEAR(AsOfDate),MONTH($D121),DAY($D121))&lt;=AsOfDate,1,0),MONTH($D121),DAY($D121)))</f>
        <v/>
      </c>
      <c r="F121" s="11"/>
      <c r="G121" s="11"/>
      <c r="H121" s="11"/>
      <c r="I121" s="11"/>
      <c r="J121" s="11"/>
      <c r="K121" s="12" t="str">
        <f aca="false">IF(AG121=0,"",DATE(YEAR(AsOfDate)+IF(DATE(YEAR(AsOfDate),MONTH(AH121),DAY(AH121))&lt;=AsOfDate,1,0),MONTH(AH121),DAY(AH121)))</f>
        <v/>
      </c>
      <c r="L121" s="13" t="str">
        <f aca="false">IF(AG121=0,"",ROUND((AsOfDate-AH121)/365.25,1))</f>
        <v/>
      </c>
      <c r="M121" s="14" t="str">
        <f aca="false">IF(AG121=0,"",IF(AsOfDate&lt;AH121,"-",DATEDIF(AH121,AsOfDate,"y")&amp;"y "&amp;DATEDIF(AH121,AsOfDate,"ym")&amp;"m "&amp;DATEDIF(AH121,AsOfDate,"md")&amp;"d"))</f>
        <v/>
      </c>
      <c r="N121" s="15" t="str">
        <f aca="false">IF(AG121=0,"",O121*HoursPerDay)</f>
        <v/>
      </c>
      <c r="O121" s="15" t="str">
        <f aca="false">IF(AG121=0,"",AZ121)</f>
        <v/>
      </c>
      <c r="P121" s="16"/>
      <c r="Q121" s="14" t="str">
        <f aca="false">IF(AG121=0,"",IF(AI121&lt;2,"",AM121&amp;" to "&amp;AN121&amp;" on "&amp;TEXT(AK121,"dd/mm/yyyy")&amp;IF(AK121&gt;AsOfDate," (future)",IF(AP121=AQ121,"",IF(AQ121="None"," - STOPPED accruing",IF(AP121="None"," - commencement for Bonus Leave"," - pathway changed"))))&amp;IF(AI121&lt;3,"","; "&amp;AN121&amp;" to "&amp;AO121&amp;" on "&amp;TEXT(AL121,"dd/mm/yyyy")&amp;IF(AL121&gt;AsOfDate," (future)",IF(AQ121=AR121,"",IF(AR121="None"," - STOPPED accruing",IF(AQ121="None"," - commencement for Bonus Leave"," - pathway changed")))))))</f>
        <v/>
      </c>
      <c r="R121" s="14" t="str">
        <f aca="false">IF(AG121=0,"",IF(AS121="None",IF(O121&gt;0,"No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2" t="str">
        <f aca="false">IF(AG121=0,"",IF(AS121="None","",EDATE(AH121,BB121)))</f>
        <v/>
      </c>
      <c r="T121" s="15" t="str">
        <f aca="false">IF(AG121=0,"",IF(NOT(LH_Ready),"",IF(AH121&gt;PFYDate,0,IF(LH_ColPeriod=0,W121-U121+V121,SUMIFS(INDEX(LH_Data,0,LH_ColAcc),INDEX(LH_Data,0,LH_ColFirst),$A121,INDEX(LH_Data,0,LH_ColSur),$B121,INDEX(LH_Data,0,LH_ColCat),BonusCat,INDEX(LH_Data,0,LH_ColPeriod),LH_OpenLabel)*UnitFactor))))</f>
        <v/>
      </c>
      <c r="U121" s="15" t="str">
        <f aca="false">IF(AG121=0,"",IF(NOT(LH_Ready),"",SUMIFS(INDEX(LH_Data,0,LH_ColAcc),INDEX(LH_Data,0,LH_ColFirst),$A121,INDEX(LH_Data,0,LH_ColSur),$B121,INDEX(LH_Data,0,LH_ColCat),BonusCat,INDEX(LH_Data,0,LH_ColStart),"&gt;="&amp;AH121)*UnitFactor))</f>
        <v/>
      </c>
      <c r="V121" s="15" t="str">
        <f aca="false">IF(AG121=0,"",IF(NOT(LH_Ready),"",SUMIFS(INDEX(LH_Data,0,LH_ColTaken),INDEX(LH_Data,0,LH_ColFirst),$A121,INDEX(LH_Data,0,LH_ColSur),$B121,INDEX(LH_Data,0,LH_ColCat),BonusCat,INDEX(LH_Data,0,LH_ColStart),"&gt;="&amp;AH121)*UnitFactor))</f>
        <v/>
      </c>
      <c r="W121" s="15" t="str">
        <f aca="false">IF(AG121=0,"",IF(NOT(LH_Ready),"",IF(BD121=0,0,INDEX(INDEX(LH_Data,0,LH_ColClose),BD121-1)*UnitFactor)))</f>
        <v/>
      </c>
      <c r="X121" s="15" t="str">
        <f aca="false">IF(AG121=0,"",(AZ121-BA121)*HoursPerDay)</f>
        <v/>
      </c>
      <c r="Y121" s="15" t="str">
        <f aca="false">IF(AG121=0,"",IF(NOT(LH_Ready),"",IF(BC121=0,N121,IF(PFYDate&lt;$F121,N121-N(T121)-N(U121),X121-N(U121)))))</f>
        <v/>
      </c>
      <c r="Z121" s="14" t="str">
        <f aca="false">IF(OR(AG121=0,Y121=""),"",IF(Y121&gt;0,"Yes","No"))</f>
        <v/>
      </c>
      <c r="AA121" s="14" t="str">
        <f aca="false">IF(AG121=0,IF(LEN($A121&amp;$B121)=0,"","FIX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month")&amp;IF(BC121=0,";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EH)",""),IF(AS121="None",R121,"Not yet - first day on "&amp;TEXT(S121,"dd/mm/yyyy")))))))))</f>
        <v/>
      </c>
      <c r="AB121" s="15" t="str">
        <f aca="false">IF(OR(AG121=0,T121=""),"",BA121*HoursPerDay-T121)</f>
        <v/>
      </c>
      <c r="AC121" s="14" t="str">
        <f aca="false">IF(AG121=0,"",BC121)</f>
        <v/>
      </c>
      <c r="AD121" s="14" t="str">
        <f aca="false">IF(AG121=0,"",TRIM(IF(OR(ISTEXT($F121),ISTEXT($H121),ISTEXT($I121),ISTEXT($G121),ISTEXT($J121),ISTEXT($D121)),"A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I121&gt;=1,IF(AI121&gt;=3,AO121,IF(AI121=2,AN121,AM121))&lt;&gt;IF($C121="","",IF(OR(ISNUMBER(SEARCH("full",$C121)),UPPER(TRIM($C121))="FT",UPPER(TRIM($C121))="FTE"),"Full-Time",IF(OR(ISNUMBER(SEARCH("part",$C121)),UPPER(TRIM($C121))="PT",UPPER(TRIM($C121))="PTE"),"Part-Time",IF(OR(ISNUMBER(SEARCH("cas",$C121)),UPPER(TRIM($C121))="CAS"),"Casual","Unknown"))))),"EmploymentType does not match latest start date ("&amp;IF(AI121&gt;=3,AO121,IF(AI121=2,AN121,AM121))&amp;"). ","")&amp;IF(AND(AI121&gt;=1,AJ121&lt;&gt;$F121),"Earliest type date should equal StartDate. ","")&amp;IF(AND(AI121&gt;=2,AJ121=AK121),"Two types start on the same date. ","")&amp;IF(AND(OR(ISNUMBER(SEARCH("part",$C121)),UPPER(TRIM($C121))="PT",UPPER(TRIM($C121))="PTE"),$P121=""),"Part-time: enter PT Hrs/Week (blank = 24+). ","")))</f>
        <v/>
      </c>
      <c r="AE121" s="15" t="str">
        <f aca="false">IF(AG121=0,"",O121-BH121)</f>
        <v/>
      </c>
      <c r="AF121" s="12" t="str">
        <f aca="false">IF(OR(AG121=0,AE121="",N(AE121)=0,BI121=""),"",EDATE(AH121,BI121))</f>
        <v/>
      </c>
      <c r="AG121" s="14" t="n">
        <f aca="false">IF(OR(LEN($A121&amp;$B121)=0,$F121=""),0,1)</f>
        <v>0</v>
      </c>
      <c r="AH121" s="12" t="str">
        <f aca="false">IF(AG121=0,"",IF($J121&lt;&gt;"",$J121,IF(OR(CasualCounts="Yes",COUNT($G121:$I121)=0,COUNT($H121:$I121)=0),$F121,MIN($H121:$I121))))</f>
        <v/>
      </c>
      <c r="AI121" s="14" t="str">
        <f aca="false">IF(AG121=0,"",COUNT($G121:$I121))</f>
        <v/>
      </c>
      <c r="AJ121" s="12" t="str">
        <f aca="false">IF(AG121=0,"",IFERROR(SMALL($G121:$I121,1),""))</f>
        <v/>
      </c>
      <c r="AK121" s="12" t="str">
        <f aca="false">IF(AG121=0,"",IFERROR(SMALL($G121:$I121,2),""))</f>
        <v/>
      </c>
      <c r="AL121" s="12" t="str">
        <f aca="false">IF(AG121=0,"",IFERROR(SMALL($G121:$I121,3),""))</f>
        <v/>
      </c>
      <c r="AM121" s="14" t="str">
        <f aca="false">IF(AG121=0,"",IF(AJ121="","",IF(AJ121=$H121,"Part-Time",IF(AJ121=$I121,"Full-Time","Casual"))))</f>
        <v/>
      </c>
      <c r="AN121" s="14" t="str">
        <f aca="false">IF(AG121=0,"",IF(AK121="","",IF(AK121=$H121,"Part-Time",IF(AK121=$I121,"Full-Time","Casual"))))</f>
        <v/>
      </c>
      <c r="AO121" s="14" t="str">
        <f aca="false">IF(AG121=0,"",IF(AL121="","",IF(AL121=$H121,"Part-Time",IF(AL121=$I121,"Full-Time","Casual"))))</f>
        <v/>
      </c>
      <c r="AP121" s="14" t="str">
        <f aca="false">IF(AG121=0,"",IF(AI121=0,IF(OR(ISNUMBER(SEARCH("full",$C121)),UPPER(TRIM($C121))="FT",UPPER(TRIM($C121))="FTE"),"FT",IF(AND(OR(ISNUMBER(SEARCH("part",$C121)),UPPER(TRIM($C121))="PT",UPPER(TRIM($C121))="PTE"),OR($P121="",N($P121)&gt;=PT_MinHours)),"PT","None")),IF(OR(ISNUMBER(SEARCH("full",AM121)),UPPER(TRIM(AM121))="FT",UPPER(TRIM(AM121))="FTE"),"FT",IF(AND(OR(ISNUMBER(SEARCH("part",AM121)),UPPER(TRIM(AM121))="PT",UPPER(TRIM(AM121))="PTE"),OR($P121="",N($P121)&gt;=PT_MinHours)),"PT","None"))))</f>
        <v/>
      </c>
      <c r="AQ121" s="14" t="str">
        <f aca="false">IF(AG121=0,"",IF(AI121&lt;2,"",IF(OR(ISNUMBER(SEARCH("full",AN121)),UPPER(TRIM(AN121))="FT",UPPER(TRIM(AN121))="FTE"),"FT",IF(AND(OR(ISNUMBER(SEARCH("part",AN121)),UPPER(TRIM(AN121))="PT",UPPER(TRIM(AN121))="PTE"),OR($P121="",N($P121)&gt;=PT_MinHours)),"PT","None"))))</f>
        <v/>
      </c>
      <c r="AR121" s="14" t="str">
        <f aca="false">IF(AG121=0,"",IF(AI121&lt;3,"",IF(OR(ISNUMBER(SEARCH("full",AO121)),UPPER(TRIM(AO121))="FT",UPPER(TRIM(AO121))="FTE"),"FT",IF(AND(OR(ISNUMBER(SEARCH("part",AO121)),UPPER(TRIM(AO121))="PT",UPPER(TRIM(AO121))="PTE"),OR($P121="",N($P121)&gt;=PT_MinHours)),"PT","None"))))</f>
        <v/>
      </c>
      <c r="AS121" s="14" t="str">
        <f aca="false">IF(AG121=0,"",IF(AND(AI121&gt;=3,AL121&lt;=AsOfDate),AR121,IF(AND(AI121&gt;=2,AK121&lt;=AsOfDate),AQ121,AP121)))</f>
        <v/>
      </c>
      <c r="AT121" s="14" t="str">
        <f aca="false">IF(AG121=0,"",IF(AsOfDate&lt;AH121,-1,12*(YEAR(AsOfDate)-YEAR(AH121))+MONTH(AsOfDate)-MONTH(AH121)-IF(DAY(AsOfDate)&lt;MIN(DAY(AH121),DAY(EOMONTH(AsOfDate,0))),1,0)))</f>
        <v/>
      </c>
      <c r="AU121" s="14" t="str">
        <f aca="false">IF(AG121=0,"",IF(OR(AI121&lt;2,AK121&gt;AsOfDate),AT121,IF((AK121-1)&lt;AH121,-1,12*(YEAR((AK121-1))-YEAR(AH121))+MONTH((AK121-1))-MONTH(AH121)-IF(DAY((AK121-1))&lt;MIN(DAY(AH121),DAY(EOMONTH((AK121-1),0))),1,0))))</f>
        <v/>
      </c>
      <c r="AV121" s="14" t="str">
        <f aca="false">IF(AG121=0,"",IF(OR(AI121&lt;3,AL121&gt;AsOfDate),AT121,IF((AL121-1)&lt;AH121,-1,12*(YEAR((AL121-1))-YEAR(AH121))+MONTH((AL121-1))-MONTH(AH121)-IF(DAY((AL121-1))&lt;MIN(DAY(AH121),DAY(EOMONTH((AL121-1),0))),1,0))))</f>
        <v/>
      </c>
      <c r="AW121" s="14" t="str">
        <f aca="false">IF(AG121=0,"",IF(PFYDate&lt;AH121,-1,12*(YEAR(PFYDate)-YEAR(AH121))+MONTH(PFYDate)-MONTH(AH121)-IF(DAY(PFYDate)&lt;MIN(DAY(AH121),DAY(EOMONTH(PFYDate,0))),1,0)))</f>
        <v/>
      </c>
      <c r="AX121" s="14" t="str">
        <f aca="false">IF(AG121=0,"",IF(OR(AI121&lt;2,AK121&gt;PFYDate),AW121,IF((AK121-1)&lt;AH121,-1,12*(YEAR((AK121-1))-YEAR(AH121))+MONTH((AK121-1))-MONTH(AH121)-IF(DAY((AK121-1))&lt;MIN(DAY(AH121),DAY(EOMONTH((AK121-1),0))),1,0))))</f>
        <v/>
      </c>
      <c r="AY121" s="14" t="str">
        <f aca="false">IF(AG121=0,"",IF(OR(AI121&lt;3,AL121&gt;PFYDate),AW121,IF((AL121-1)&lt;AH121,-1,12*(YEAR((AL121-1))-YEAR(AH121))+MONTH((AL121-1))-MONTH(AH121)-IF(DAY((AL121-1))&lt;MIN(DAY(AH121),DAY(EOMONTH((AL121-1),0))),1,0))))</f>
        <v/>
      </c>
      <c r="AZ121" s="14" t="str">
        <f aca="false">IF(AG121=0,"",IF(AP121="FT",IF(AU121&lt;FT_First,0,IF(AU121&lt;FT_Y5,1+INT((AU121-FT_First)/FT_Int1),FT_PreY5+FT_PerYear*INT((AU121-FT_Y5)/12)+FT_AnnivDays+INT(MOD(AU121-FT_Y5,12)/FT_Int2))),IF(AP121="PT",IF(AU121&lt;PT_First,0,1+INT((AU121-PT_First)/PT_Int)),0))+IF(AND(AI121&gt;=2,AK121&lt;=AsOfDate),IF(AQ121="FT",IF(AV121&lt;FT_First,0,IF(AV121&lt;FT_Y5,1+INT((AV121-FT_First)/FT_Int1),FT_PreY5+FT_PerYear*INT((AV121-FT_Y5)/12)+FT_AnnivDays+INT(MOD(AV121-FT_Y5,12)/FT_Int2))),IF(AQ121="PT",IF(AV121&lt;PT_First,0,1+INT((AV121-PT_First)/PT_Int)),0))-IF(AQ121="FT",IF(AU121&lt;FT_First,0,IF(AU121&lt;FT_Y5,1+INT((AU121-FT_First)/FT_Int1),FT_PreY5+FT_PerYear*INT((AU121-FT_Y5)/12)+FT_AnnivDays+INT(MOD(AU121-FT_Y5,12)/FT_Int2))),IF(AQ121="PT",IF(AU121&lt;PT_First,0,1+INT((AU121-PT_First)/PT_Int)),0)),0)+IF(AND(AI121&gt;=3,AL121&lt;=AsOfDate),IF(AR121="FT",IF(AT121&lt;FT_First,0,IF(AT121&lt;FT_Y5,1+INT((AT121-FT_First)/FT_Int1),FT_PreY5+FT_PerYear*INT((AT121-FT_Y5)/12)+FT_AnnivDays+INT(MOD(AT121-FT_Y5,12)/FT_Int2))),IF(AR121="PT",IF(AT121&lt;PT_First,0,1+INT((AT121-PT_First)/PT_Int)),0))-IF(AR121="FT",IF(AV121&lt;FT_First,0,IF(AV121&lt;FT_Y5,1+INT((AV121-FT_First)/FT_Int1),FT_PreY5+FT_PerYear*INT((AV121-FT_Y5)/12)+FT_AnnivDays+INT(MOD(AV121-FT_Y5,12)/FT_Int2))),IF(AR121="PT",IF(AV121&lt;PT_First,0,1+INT((AV121-PT_First)/PT_Int)),0)),0))</f>
        <v/>
      </c>
      <c r="BA121" s="14" t="str">
        <f aca="false">IF(AG121=0,"",IF(AP121="FT",IF(AX121&lt;FT_First,0,IF(AX121&lt;FT_Y5,1+INT((AX121-FT_First)/FT_Int1),FT_PreY5+FT_PerYear*INT((AX121-FT_Y5)/12)+FT_AnnivDays+INT(MOD(AX121-FT_Y5,12)/FT_Int2))),IF(AP121="PT",IF(AX121&lt;PT_First,0,1+INT((AX121-PT_First)/PT_Int)),0))+IF(AND(AI121&gt;=2,AK121&lt;=PFYDate),IF(AQ121="FT",IF(AY121&lt;FT_First,0,IF(AY121&lt;FT_Y5,1+INT((AY121-FT_First)/FT_Int1),FT_PreY5+FT_PerYear*INT((AY121-FT_Y5)/12)+FT_AnnivDays+INT(MOD(AY121-FT_Y5,12)/FT_Int2))),IF(AQ121="PT",IF(AY121&lt;PT_First,0,1+INT((AY121-PT_First)/PT_Int)),0))-IF(AQ121="FT",IF(AX121&lt;FT_First,0,IF(AX121&lt;FT_Y5,1+INT((AX121-FT_First)/FT_Int1),FT_PreY5+FT_PerYear*INT((AX121-FT_Y5)/12)+FT_AnnivDays+INT(MOD(AX121-FT_Y5,12)/FT_Int2))),IF(AQ121="PT",IF(AX121&lt;PT_First,0,1+INT((AX121-PT_First)/PT_Int)),0)),0)+IF(AND(AI121&gt;=3,AL121&lt;=PFYDate),IF(AR121="FT",IF(AW121&lt;FT_First,0,IF(AW121&lt;FT_Y5,1+INT((AW121-FT_First)/FT_Int1),FT_PreY5+FT_PerYear*INT((AW121-FT_Y5)/12)+FT_AnnivDays+INT(MOD(AW121-FT_Y5,12)/FT_Int2))),IF(AR121="PT",IF(AW121&lt;PT_First,0,1+INT((AW121-PT_First)/PT_Int)),0))-IF(AR121="FT",IF(AY121&lt;FT_First,0,IF(AY121&lt;FT_Y5,1+INT((AY121-FT_First)/FT_Int1),FT_PreY5+FT_PerYear*INT((AY121-FT_Y5)/12)+FT_AnnivDays+INT(MOD(AY121-FT_Y5,12)/FT_Int2))),IF(AR121="PT",IF(AY121&lt;PT_First,0,1+INT((AY121-PT_First)/PT_Int)),0)),0))</f>
        <v/>
      </c>
      <c r="BB121" s="14" t="str">
        <f aca="false">IF(AG121=0,"",IF(AS121="FT",IF(AT121&lt;FT_First,FT_First,IF(AT121&lt;FT_Y5,MIN(FT_Y5,FT_First+FT_Int1*(INT((AT121-FT_First)/FT_Int1)+1)),FT_Y5+12*INT((AT121-FT_Y5)/12)+FT_Int2*(INT(MOD(AT121-FT_Y5,12)/FT_Int2)+1))),IF(AS121="PT",IF(AT121&lt;PT_First,PT_First,PT_First+PT_Int*(INT((AT121-PT_First)/PT_Int)+1)),"")))</f>
        <v/>
      </c>
      <c r="BC121" s="14" t="str">
        <f aca="false">IF(AG121=0,"",IF(NOT(LH_Ready),0,COUNTIFS(INDEX(LH_Data,0,LH_ColFirst),$A121,INDEX(LH_Data,0,LH_ColSur),$B121,INDEX(LH_Data,0,LH_ColCat),BonusCat)))</f>
        <v/>
      </c>
      <c r="BD121" s="14" t="str">
        <f aca="false">IF(AG121=0,"",IF(OR(NOT(LH_Ready),BC121=0),0,SUMPRODUCT(MAX((INDEX(LH_Data,0,LH_ColFirst)=$A121)*(INDEX(LH_Data,0,LH_ColSur)=$B121)*(INDEX(LH_Data,0,LH_ColCat)=BonusCat)*ROW(LH_Data)))))</f>
        <v/>
      </c>
      <c r="BE121" s="14" t="str">
        <f aca="false">IF(AG121=0,"",IF(EOMONTH(AsOfDate,-1)&lt;AH121,-1,12*(YEAR(EOMONTH(AsOfDate,-1))-YEAR(AH121))+MONTH(EOMONTH(AsOfDate,-1))-MONTH(AH121)-IF(DAY(EOMONTH(AsOfDate,-1))&lt;MIN(DAY(AH121),DAY(EOMONTH(EOMONTH(AsOfDate,-1),0))),1,0)))</f>
        <v/>
      </c>
      <c r="BF121" s="14" t="str">
        <f aca="false">IF(AG121=0,"",IF(OR(AI121&lt;2,AK121&gt;EOMONTH(AsOfDate,-1)),BE121,IF((AK121-1)&lt;AH121,-1,12*(YEAR((AK121-1))-YEAR(AH121))+MONTH((AK121-1))-MONTH(AH121)-IF(DAY((AK121-1))&lt;MIN(DAY(AH121),DAY(EOMONTH((AK121-1),0))),1,0))))</f>
        <v/>
      </c>
      <c r="BG121" s="14" t="str">
        <f aca="false">IF(AG121=0,"",IF(OR(AI121&lt;3,AL121&gt;EOMONTH(AsOfDate,-1)),BE121,IF((AL121-1)&lt;AH121,-1,12*(YEAR((AL121-1))-YEAR(AH121))+MONTH((AL121-1))-MONTH(AH121)-IF(DAY((AL121-1))&lt;MIN(DAY(AH121),DAY(EOMONTH((AL121-1),0))),1,0))))</f>
        <v/>
      </c>
      <c r="BH121" s="14" t="str">
        <f aca="false">IF(AG121=0,"",IF(AP121="FT",IF(BF121&lt;FT_First,0,IF(BF121&lt;FT_Y5,1+INT((BF121-FT_First)/FT_Int1),FT_PreY5+FT_PerYear*INT((BF121-FT_Y5)/12)+FT_AnnivDays+INT(MOD(BF121-FT_Y5,12)/FT_Int2))),IF(AP121="PT",IF(BF121&lt;PT_First,0,1+INT((BF121-PT_First)/PT_Int)),0))+IF(AND(AI121&gt;=2,AK121&lt;=EOMONTH(AsOfDate,-1)),IF(AQ121="FT",IF(BG121&lt;FT_First,0,IF(BG121&lt;FT_Y5,1+INT((BG121-FT_First)/FT_Int1),FT_PreY5+FT_PerYear*INT((BG121-FT_Y5)/12)+FT_AnnivDays+INT(MOD(BG121-FT_Y5,12)/FT_Int2))),IF(AQ121="PT",IF(BG121&lt;PT_First,0,1+INT((BG121-PT_First)/PT_Int)),0))-IF(AQ121="FT",IF(BF121&lt;FT_First,0,IF(BF121&lt;FT_Y5,1+INT((BF121-FT_First)/FT_Int1),FT_PreY5+FT_PerYear*INT((BF121-FT_Y5)/12)+FT_AnnivDays+INT(MOD(BF121-FT_Y5,12)/FT_Int2))),IF(AQ121="PT",IF(BF121&lt;PT_First,0,1+INT((BF121-PT_First)/PT_Int)),0)),0)+IF(AND(AI121&gt;=3,AL121&lt;=EOMONTH(AsOfDate,-1)),IF(AR121="FT",IF(BE121&lt;FT_First,0,IF(BE121&lt;FT_Y5,1+INT((BE121-FT_First)/FT_Int1),FT_PreY5+FT_PerYear*INT((BE121-FT_Y5)/12)+FT_AnnivDays+INT(MOD(BE121-FT_Y5,12)/FT_Int2))),IF(AR121="PT",IF(BE121&lt;PT_First,0,1+INT((BE121-PT_First)/PT_Int)),0))-IF(AR121="FT",IF(BG121&lt;FT_First,0,IF(BG121&lt;FT_Y5,1+INT((BG121-FT_First)/FT_Int1),FT_PreY5+FT_PerYear*INT((BG121-FT_Y5)/12)+FT_AnnivDays+INT(MOD(BG121-FT_Y5,12)/FT_Int2))),IF(AR121="PT",IF(BG121&lt;PT_First,0,1+INT((BG121-PT_First)/PT_Int)),0)),0))</f>
        <v/>
      </c>
      <c r="BI121" s="14" t="str">
        <f aca="false">IF(AG121=0,"",IF(AS121="FT",IF(AT121&lt;FT_First,"",IF(AT121&lt;FT_Y5,FT_First+FT_Int1*INT((AT121-FT_First)/FT_Int1),FT_Y5+FT_Int2*INT((AT121-FT_Y5)/FT_Int2))),IF(AS121="PT",IF(AT121&lt;PT_First,"",PT_First+PT_Int*INT((AT121-PT_First)/PT_Int)),"")))</f>
        <v/>
      </c>
      <c r="BJ121" s="0" t="str">
        <f aca="false">IF(LEN($A121&amp;$B121)=0,"",$A121&amp;" "&amp;$B121)</f>
        <v/>
      </c>
    </row>
    <row r="122" customFormat="false" ht="15" hidden="false" customHeight="false" outlineLevel="0" collapsed="false">
      <c r="A122" s="10"/>
      <c r="B122" s="10"/>
      <c r="C122" s="10"/>
      <c r="D122" s="11"/>
      <c r="E122" s="12" t="str">
        <f aca="false">IF(OR(AG122=0,$D122=""),"",DATE(YEAR(AsOfDate)+IF(DATE(YEAR(AsOfDate),MONTH($D122),DAY($D122))&lt;=AsOfDate,1,0),MONTH($D122),DAY($D122)))</f>
        <v/>
      </c>
      <c r="F122" s="11"/>
      <c r="G122" s="11"/>
      <c r="H122" s="11"/>
      <c r="I122" s="11"/>
      <c r="J122" s="11"/>
      <c r="K122" s="12" t="str">
        <f aca="false">IF(AG122=0,"",DATE(YEAR(AsOfDate)+IF(DATE(YEAR(AsOfDate),MONTH(AH122),DAY(AH122))&lt;=AsOfDate,1,0),MONTH(AH122),DAY(AH122)))</f>
        <v/>
      </c>
      <c r="L122" s="13" t="str">
        <f aca="false">IF(AG122=0,"",ROUND((AsOfDate-AH122)/365.25,1))</f>
        <v/>
      </c>
      <c r="M122" s="14" t="str">
        <f aca="false">IF(AG122=0,"",IF(AsOfDate&lt;AH122,"-",DATEDIF(AH122,AsOfDate,"y")&amp;"y "&amp;DATEDIF(AH122,AsOfDate,"ym")&amp;"m "&amp;DATEDIF(AH122,AsOfDate,"md")&amp;"d"))</f>
        <v/>
      </c>
      <c r="N122" s="15" t="str">
        <f aca="false">IF(AG122=0,"",O122*HoursPerDay)</f>
        <v/>
      </c>
      <c r="O122" s="15" t="str">
        <f aca="false">IF(AG122=0,"",AZ122)</f>
        <v/>
      </c>
      <c r="P122" s="16"/>
      <c r="Q122" s="14" t="str">
        <f aca="false">IF(AG122=0,"",IF(AI122&lt;2,"",AM122&amp;" to "&amp;AN122&amp;" on "&amp;TEXT(AK122,"dd/mm/yyyy")&amp;IF(AK122&gt;AsOfDate," (future)",IF(AP122=AQ122,"",IF(AQ122="None"," - STOPPED accruing",IF(AP122="None"," - commencement for Bonus Leave"," - pathway changed"))))&amp;IF(AI122&lt;3,"","; "&amp;AN122&amp;" to "&amp;AO122&amp;" on "&amp;TEXT(AL122,"dd/mm/yyyy")&amp;IF(AL122&gt;AsOfDate," (future)",IF(AQ122=AR122,"",IF(AR122="None"," - STOPPED accruing",IF(AQ122="None"," - commencement for Bonus Leave"," - pathway changed")))))))</f>
        <v/>
      </c>
      <c r="R122" s="14" t="str">
        <f aca="false">IF(AG122=0,"",IF(AS122="None",IF(O122&gt;0,"No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2" t="str">
        <f aca="false">IF(AG122=0,"",IF(AS122="None","",EDATE(AH122,BB122)))</f>
        <v/>
      </c>
      <c r="T122" s="15" t="str">
        <f aca="false">IF(AG122=0,"",IF(NOT(LH_Ready),"",IF(AH122&gt;PFYDate,0,IF(LH_ColPeriod=0,W122-U122+V122,SUMIFS(INDEX(LH_Data,0,LH_ColAcc),INDEX(LH_Data,0,LH_ColFirst),$A122,INDEX(LH_Data,0,LH_ColSur),$B122,INDEX(LH_Data,0,LH_ColCat),BonusCat,INDEX(LH_Data,0,LH_ColPeriod),LH_OpenLabel)*UnitFactor))))</f>
        <v/>
      </c>
      <c r="U122" s="15" t="str">
        <f aca="false">IF(AG122=0,"",IF(NOT(LH_Ready),"",SUMIFS(INDEX(LH_Data,0,LH_ColAcc),INDEX(LH_Data,0,LH_ColFirst),$A122,INDEX(LH_Data,0,LH_ColSur),$B122,INDEX(LH_Data,0,LH_ColCat),BonusCat,INDEX(LH_Data,0,LH_ColStart),"&gt;="&amp;AH122)*UnitFactor))</f>
        <v/>
      </c>
      <c r="V122" s="15" t="str">
        <f aca="false">IF(AG122=0,"",IF(NOT(LH_Ready),"",SUMIFS(INDEX(LH_Data,0,LH_ColTaken),INDEX(LH_Data,0,LH_ColFirst),$A122,INDEX(LH_Data,0,LH_ColSur),$B122,INDEX(LH_Data,0,LH_ColCat),BonusCat,INDEX(LH_Data,0,LH_ColStart),"&gt;="&amp;AH122)*UnitFactor))</f>
        <v/>
      </c>
      <c r="W122" s="15" t="str">
        <f aca="false">IF(AG122=0,"",IF(NOT(LH_Ready),"",IF(BD122=0,0,INDEX(INDEX(LH_Data,0,LH_ColClose),BD122-1)*UnitFactor)))</f>
        <v/>
      </c>
      <c r="X122" s="15" t="str">
        <f aca="false">IF(AG122=0,"",(AZ122-BA122)*HoursPerDay)</f>
        <v/>
      </c>
      <c r="Y122" s="15" t="str">
        <f aca="false">IF(AG122=0,"",IF(NOT(LH_Ready),"",IF(BC122=0,N122,IF(PFYDate&lt;$F122,N122-N(T122)-N(U122),X122-N(U122)))))</f>
        <v/>
      </c>
      <c r="Z122" s="14" t="str">
        <f aca="false">IF(OR(AG122=0,Y122=""),"",IF(Y122&gt;0,"Yes","No"))</f>
        <v/>
      </c>
      <c r="AA122" s="14" t="str">
        <f aca="false">IF(AG122=0,IF(LEN($A122&amp;$B122)=0,"","FIX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month")&amp;IF(BC122=0,";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EH)",""),IF(AS122="None",R122,"Not yet - first day on "&amp;TEXT(S122,"dd/mm/yyyy")))))))))</f>
        <v/>
      </c>
      <c r="AB122" s="15" t="str">
        <f aca="false">IF(OR(AG122=0,T122=""),"",BA122*HoursPerDay-T122)</f>
        <v/>
      </c>
      <c r="AC122" s="14" t="str">
        <f aca="false">IF(AG122=0,"",BC122)</f>
        <v/>
      </c>
      <c r="AD122" s="14" t="str">
        <f aca="false">IF(AG122=0,"",TRIM(IF(OR(ISTEXT($F122),ISTEXT($H122),ISTEXT($I122),ISTEXT($G122),ISTEXT($J122),ISTEXT($D122)),"A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I122&gt;=1,IF(AI122&gt;=3,AO122,IF(AI122=2,AN122,AM122))&lt;&gt;IF($C122="","",IF(OR(ISNUMBER(SEARCH("full",$C122)),UPPER(TRIM($C122))="FT",UPPER(TRIM($C122))="FTE"),"Full-Time",IF(OR(ISNUMBER(SEARCH("part",$C122)),UPPER(TRIM($C122))="PT",UPPER(TRIM($C122))="PTE"),"Part-Time",IF(OR(ISNUMBER(SEARCH("cas",$C122)),UPPER(TRIM($C122))="CAS"),"Casual","Unknown"))))),"EmploymentType does not match latest start date ("&amp;IF(AI122&gt;=3,AO122,IF(AI122=2,AN122,AM122))&amp;"). ","")&amp;IF(AND(AI122&gt;=1,AJ122&lt;&gt;$F122),"Earliest type date should equal StartDate. ","")&amp;IF(AND(AI122&gt;=2,AJ122=AK122),"Two types start on the same date. ","")&amp;IF(AND(OR(ISNUMBER(SEARCH("part",$C122)),UPPER(TRIM($C122))="PT",UPPER(TRIM($C122))="PTE"),$P122=""),"Part-time: enter PT Hrs/Week (blank = 24+). ","")))</f>
        <v/>
      </c>
      <c r="AE122" s="15" t="str">
        <f aca="false">IF(AG122=0,"",O122-BH122)</f>
        <v/>
      </c>
      <c r="AF122" s="12" t="str">
        <f aca="false">IF(OR(AG122=0,AE122="",N(AE122)=0,BI122=""),"",EDATE(AH122,BI122))</f>
        <v/>
      </c>
      <c r="AG122" s="14" t="n">
        <f aca="false">IF(OR(LEN($A122&amp;$B122)=0,$F122=""),0,1)</f>
        <v>0</v>
      </c>
      <c r="AH122" s="12" t="str">
        <f aca="false">IF(AG122=0,"",IF($J122&lt;&gt;"",$J122,IF(OR(CasualCounts="Yes",COUNT($G122:$I122)=0,COUNT($H122:$I122)=0),$F122,MIN($H122:$I122))))</f>
        <v/>
      </c>
      <c r="AI122" s="14" t="str">
        <f aca="false">IF(AG122=0,"",COUNT($G122:$I122))</f>
        <v/>
      </c>
      <c r="AJ122" s="12" t="str">
        <f aca="false">IF(AG122=0,"",IFERROR(SMALL($G122:$I122,1),""))</f>
        <v/>
      </c>
      <c r="AK122" s="12" t="str">
        <f aca="false">IF(AG122=0,"",IFERROR(SMALL($G122:$I122,2),""))</f>
        <v/>
      </c>
      <c r="AL122" s="12" t="str">
        <f aca="false">IF(AG122=0,"",IFERROR(SMALL($G122:$I122,3),""))</f>
        <v/>
      </c>
      <c r="AM122" s="14" t="str">
        <f aca="false">IF(AG122=0,"",IF(AJ122="","",IF(AJ122=$H122,"Part-Time",IF(AJ122=$I122,"Full-Time","Casual"))))</f>
        <v/>
      </c>
      <c r="AN122" s="14" t="str">
        <f aca="false">IF(AG122=0,"",IF(AK122="","",IF(AK122=$H122,"Part-Time",IF(AK122=$I122,"Full-Time","Casual"))))</f>
        <v/>
      </c>
      <c r="AO122" s="14" t="str">
        <f aca="false">IF(AG122=0,"",IF(AL122="","",IF(AL122=$H122,"Part-Time",IF(AL122=$I122,"Full-Time","Casual"))))</f>
        <v/>
      </c>
      <c r="AP122" s="14" t="str">
        <f aca="false">IF(AG122=0,"",IF(AI122=0,IF(OR(ISNUMBER(SEARCH("full",$C122)),UPPER(TRIM($C122))="FT",UPPER(TRIM($C122))="FTE"),"FT",IF(AND(OR(ISNUMBER(SEARCH("part",$C122)),UPPER(TRIM($C122))="PT",UPPER(TRIM($C122))="PTE"),OR($P122="",N($P122)&gt;=PT_MinHours)),"PT","None")),IF(OR(ISNUMBER(SEARCH("full",AM122)),UPPER(TRIM(AM122))="FT",UPPER(TRIM(AM122))="FTE"),"FT",IF(AND(OR(ISNUMBER(SEARCH("part",AM122)),UPPER(TRIM(AM122))="PT",UPPER(TRIM(AM122))="PTE"),OR($P122="",N($P122)&gt;=PT_MinHours)),"PT","None"))))</f>
        <v/>
      </c>
      <c r="AQ122" s="14" t="str">
        <f aca="false">IF(AG122=0,"",IF(AI122&lt;2,"",IF(OR(ISNUMBER(SEARCH("full",AN122)),UPPER(TRIM(AN122))="FT",UPPER(TRIM(AN122))="FTE"),"FT",IF(AND(OR(ISNUMBER(SEARCH("part",AN122)),UPPER(TRIM(AN122))="PT",UPPER(TRIM(AN122))="PTE"),OR($P122="",N($P122)&gt;=PT_MinHours)),"PT","None"))))</f>
        <v/>
      </c>
      <c r="AR122" s="14" t="str">
        <f aca="false">IF(AG122=0,"",IF(AI122&lt;3,"",IF(OR(ISNUMBER(SEARCH("full",AO122)),UPPER(TRIM(AO122))="FT",UPPER(TRIM(AO122))="FTE"),"FT",IF(AND(OR(ISNUMBER(SEARCH("part",AO122)),UPPER(TRIM(AO122))="PT",UPPER(TRIM(AO122))="PTE"),OR($P122="",N($P122)&gt;=PT_MinHours)),"PT","None"))))</f>
        <v/>
      </c>
      <c r="AS122" s="14" t="str">
        <f aca="false">IF(AG122=0,"",IF(AND(AI122&gt;=3,AL122&lt;=AsOfDate),AR122,IF(AND(AI122&gt;=2,AK122&lt;=AsOfDate),AQ122,AP122)))</f>
        <v/>
      </c>
      <c r="AT122" s="14" t="str">
        <f aca="false">IF(AG122=0,"",IF(AsOfDate&lt;AH122,-1,12*(YEAR(AsOfDate)-YEAR(AH122))+MONTH(AsOfDate)-MONTH(AH122)-IF(DAY(AsOfDate)&lt;MIN(DAY(AH122),DAY(EOMONTH(AsOfDate,0))),1,0)))</f>
        <v/>
      </c>
      <c r="AU122" s="14" t="str">
        <f aca="false">IF(AG122=0,"",IF(OR(AI122&lt;2,AK122&gt;AsOfDate),AT122,IF((AK122-1)&lt;AH122,-1,12*(YEAR((AK122-1))-YEAR(AH122))+MONTH((AK122-1))-MONTH(AH122)-IF(DAY((AK122-1))&lt;MIN(DAY(AH122),DAY(EOMONTH((AK122-1),0))),1,0))))</f>
        <v/>
      </c>
      <c r="AV122" s="14" t="str">
        <f aca="false">IF(AG122=0,"",IF(OR(AI122&lt;3,AL122&gt;AsOfDate),AT122,IF((AL122-1)&lt;AH122,-1,12*(YEAR((AL122-1))-YEAR(AH122))+MONTH((AL122-1))-MONTH(AH122)-IF(DAY((AL122-1))&lt;MIN(DAY(AH122),DAY(EOMONTH((AL122-1),0))),1,0))))</f>
        <v/>
      </c>
      <c r="AW122" s="14" t="str">
        <f aca="false">IF(AG122=0,"",IF(PFYDate&lt;AH122,-1,12*(YEAR(PFYDate)-YEAR(AH122))+MONTH(PFYDate)-MONTH(AH122)-IF(DAY(PFYDate)&lt;MIN(DAY(AH122),DAY(EOMONTH(PFYDate,0))),1,0)))</f>
        <v/>
      </c>
      <c r="AX122" s="14" t="str">
        <f aca="false">IF(AG122=0,"",IF(OR(AI122&lt;2,AK122&gt;PFYDate),AW122,IF((AK122-1)&lt;AH122,-1,12*(YEAR((AK122-1))-YEAR(AH122))+MONTH((AK122-1))-MONTH(AH122)-IF(DAY((AK122-1))&lt;MIN(DAY(AH122),DAY(EOMONTH((AK122-1),0))),1,0))))</f>
        <v/>
      </c>
      <c r="AY122" s="14" t="str">
        <f aca="false">IF(AG122=0,"",IF(OR(AI122&lt;3,AL122&gt;PFYDate),AW122,IF((AL122-1)&lt;AH122,-1,12*(YEAR((AL122-1))-YEAR(AH122))+MONTH((AL122-1))-MONTH(AH122)-IF(DAY((AL122-1))&lt;MIN(DAY(AH122),DAY(EOMONTH((AL122-1),0))),1,0))))</f>
        <v/>
      </c>
      <c r="AZ122" s="14" t="str">
        <f aca="false">IF(AG122=0,"",IF(AP122="FT",IF(AU122&lt;FT_First,0,IF(AU122&lt;FT_Y5,1+INT((AU122-FT_First)/FT_Int1),FT_PreY5+FT_PerYear*INT((AU122-FT_Y5)/12)+FT_AnnivDays+INT(MOD(AU122-FT_Y5,12)/FT_Int2))),IF(AP122="PT",IF(AU122&lt;PT_First,0,1+INT((AU122-PT_First)/PT_Int)),0))+IF(AND(AI122&gt;=2,AK122&lt;=AsOfDate),IF(AQ122="FT",IF(AV122&lt;FT_First,0,IF(AV122&lt;FT_Y5,1+INT((AV122-FT_First)/FT_Int1),FT_PreY5+FT_PerYear*INT((AV122-FT_Y5)/12)+FT_AnnivDays+INT(MOD(AV122-FT_Y5,12)/FT_Int2))),IF(AQ122="PT",IF(AV122&lt;PT_First,0,1+INT((AV122-PT_First)/PT_Int)),0))-IF(AQ122="FT",IF(AU122&lt;FT_First,0,IF(AU122&lt;FT_Y5,1+INT((AU122-FT_First)/FT_Int1),FT_PreY5+FT_PerYear*INT((AU122-FT_Y5)/12)+FT_AnnivDays+INT(MOD(AU122-FT_Y5,12)/FT_Int2))),IF(AQ122="PT",IF(AU122&lt;PT_First,0,1+INT((AU122-PT_First)/PT_Int)),0)),0)+IF(AND(AI122&gt;=3,AL122&lt;=AsOfDate),IF(AR122="FT",IF(AT122&lt;FT_First,0,IF(AT122&lt;FT_Y5,1+INT((AT122-FT_First)/FT_Int1),FT_PreY5+FT_PerYear*INT((AT122-FT_Y5)/12)+FT_AnnivDays+INT(MOD(AT122-FT_Y5,12)/FT_Int2))),IF(AR122="PT",IF(AT122&lt;PT_First,0,1+INT((AT122-PT_First)/PT_Int)),0))-IF(AR122="FT",IF(AV122&lt;FT_First,0,IF(AV122&lt;FT_Y5,1+INT((AV122-FT_First)/FT_Int1),FT_PreY5+FT_PerYear*INT((AV122-FT_Y5)/12)+FT_AnnivDays+INT(MOD(AV122-FT_Y5,12)/FT_Int2))),IF(AR122="PT",IF(AV122&lt;PT_First,0,1+INT((AV122-PT_First)/PT_Int)),0)),0))</f>
        <v/>
      </c>
      <c r="BA122" s="14" t="str">
        <f aca="false">IF(AG122=0,"",IF(AP122="FT",IF(AX122&lt;FT_First,0,IF(AX122&lt;FT_Y5,1+INT((AX122-FT_First)/FT_Int1),FT_PreY5+FT_PerYear*INT((AX122-FT_Y5)/12)+FT_AnnivDays+INT(MOD(AX122-FT_Y5,12)/FT_Int2))),IF(AP122="PT",IF(AX122&lt;PT_First,0,1+INT((AX122-PT_First)/PT_Int)),0))+IF(AND(AI122&gt;=2,AK122&lt;=PFYDate),IF(AQ122="FT",IF(AY122&lt;FT_First,0,IF(AY122&lt;FT_Y5,1+INT((AY122-FT_First)/FT_Int1),FT_PreY5+FT_PerYear*INT((AY122-FT_Y5)/12)+FT_AnnivDays+INT(MOD(AY122-FT_Y5,12)/FT_Int2))),IF(AQ122="PT",IF(AY122&lt;PT_First,0,1+INT((AY122-PT_First)/PT_Int)),0))-IF(AQ122="FT",IF(AX122&lt;FT_First,0,IF(AX122&lt;FT_Y5,1+INT((AX122-FT_First)/FT_Int1),FT_PreY5+FT_PerYear*INT((AX122-FT_Y5)/12)+FT_AnnivDays+INT(MOD(AX122-FT_Y5,12)/FT_Int2))),IF(AQ122="PT",IF(AX122&lt;PT_First,0,1+INT((AX122-PT_First)/PT_Int)),0)),0)+IF(AND(AI122&gt;=3,AL122&lt;=PFYDate),IF(AR122="FT",IF(AW122&lt;FT_First,0,IF(AW122&lt;FT_Y5,1+INT((AW122-FT_First)/FT_Int1),FT_PreY5+FT_PerYear*INT((AW122-FT_Y5)/12)+FT_AnnivDays+INT(MOD(AW122-FT_Y5,12)/FT_Int2))),IF(AR122="PT",IF(AW122&lt;PT_First,0,1+INT((AW122-PT_First)/PT_Int)),0))-IF(AR122="FT",IF(AY122&lt;FT_First,0,IF(AY122&lt;FT_Y5,1+INT((AY122-FT_First)/FT_Int1),FT_PreY5+FT_PerYear*INT((AY122-FT_Y5)/12)+FT_AnnivDays+INT(MOD(AY122-FT_Y5,12)/FT_Int2))),IF(AR122="PT",IF(AY122&lt;PT_First,0,1+INT((AY122-PT_First)/PT_Int)),0)),0))</f>
        <v/>
      </c>
      <c r="BB122" s="14" t="str">
        <f aca="false">IF(AG122=0,"",IF(AS122="FT",IF(AT122&lt;FT_First,FT_First,IF(AT122&lt;FT_Y5,MIN(FT_Y5,FT_First+FT_Int1*(INT((AT122-FT_First)/FT_Int1)+1)),FT_Y5+12*INT((AT122-FT_Y5)/12)+FT_Int2*(INT(MOD(AT122-FT_Y5,12)/FT_Int2)+1))),IF(AS122="PT",IF(AT122&lt;PT_First,PT_First,PT_First+PT_Int*(INT((AT122-PT_First)/PT_Int)+1)),"")))</f>
        <v/>
      </c>
      <c r="BC122" s="14" t="str">
        <f aca="false">IF(AG122=0,"",IF(NOT(LH_Ready),0,COUNTIFS(INDEX(LH_Data,0,LH_ColFirst),$A122,INDEX(LH_Data,0,LH_ColSur),$B122,INDEX(LH_Data,0,LH_ColCat),BonusCat)))</f>
        <v/>
      </c>
      <c r="BD122" s="14" t="str">
        <f aca="false">IF(AG122=0,"",IF(OR(NOT(LH_Ready),BC122=0),0,SUMPRODUCT(MAX((INDEX(LH_Data,0,LH_ColFirst)=$A122)*(INDEX(LH_Data,0,LH_ColSur)=$B122)*(INDEX(LH_Data,0,LH_ColCat)=BonusCat)*ROW(LH_Data)))))</f>
        <v/>
      </c>
      <c r="BE122" s="14" t="str">
        <f aca="false">IF(AG122=0,"",IF(EOMONTH(AsOfDate,-1)&lt;AH122,-1,12*(YEAR(EOMONTH(AsOfDate,-1))-YEAR(AH122))+MONTH(EOMONTH(AsOfDate,-1))-MONTH(AH122)-IF(DAY(EOMONTH(AsOfDate,-1))&lt;MIN(DAY(AH122),DAY(EOMONTH(EOMONTH(AsOfDate,-1),0))),1,0)))</f>
        <v/>
      </c>
      <c r="BF122" s="14" t="str">
        <f aca="false">IF(AG122=0,"",IF(OR(AI122&lt;2,AK122&gt;EOMONTH(AsOfDate,-1)),BE122,IF((AK122-1)&lt;AH122,-1,12*(YEAR((AK122-1))-YEAR(AH122))+MONTH((AK122-1))-MONTH(AH122)-IF(DAY((AK122-1))&lt;MIN(DAY(AH122),DAY(EOMONTH((AK122-1),0))),1,0))))</f>
        <v/>
      </c>
      <c r="BG122" s="14" t="str">
        <f aca="false">IF(AG122=0,"",IF(OR(AI122&lt;3,AL122&gt;EOMONTH(AsOfDate,-1)),BE122,IF((AL122-1)&lt;AH122,-1,12*(YEAR((AL122-1))-YEAR(AH122))+MONTH((AL122-1))-MONTH(AH122)-IF(DAY((AL122-1))&lt;MIN(DAY(AH122),DAY(EOMONTH((AL122-1),0))),1,0))))</f>
        <v/>
      </c>
      <c r="BH122" s="14" t="str">
        <f aca="false">IF(AG122=0,"",IF(AP122="FT",IF(BF122&lt;FT_First,0,IF(BF122&lt;FT_Y5,1+INT((BF122-FT_First)/FT_Int1),FT_PreY5+FT_PerYear*INT((BF122-FT_Y5)/12)+FT_AnnivDays+INT(MOD(BF122-FT_Y5,12)/FT_Int2))),IF(AP122="PT",IF(BF122&lt;PT_First,0,1+INT((BF122-PT_First)/PT_Int)),0))+IF(AND(AI122&gt;=2,AK122&lt;=EOMONTH(AsOfDate,-1)),IF(AQ122="FT",IF(BG122&lt;FT_First,0,IF(BG122&lt;FT_Y5,1+INT((BG122-FT_First)/FT_Int1),FT_PreY5+FT_PerYear*INT((BG122-FT_Y5)/12)+FT_AnnivDays+INT(MOD(BG122-FT_Y5,12)/FT_Int2))),IF(AQ122="PT",IF(BG122&lt;PT_First,0,1+INT((BG122-PT_First)/PT_Int)),0))-IF(AQ122="FT",IF(BF122&lt;FT_First,0,IF(BF122&lt;FT_Y5,1+INT((BF122-FT_First)/FT_Int1),FT_PreY5+FT_PerYear*INT((BF122-FT_Y5)/12)+FT_AnnivDays+INT(MOD(BF122-FT_Y5,12)/FT_Int2))),IF(AQ122="PT",IF(BF122&lt;PT_First,0,1+INT((BF122-PT_First)/PT_Int)),0)),0)+IF(AND(AI122&gt;=3,AL122&lt;=EOMONTH(AsOfDate,-1)),IF(AR122="FT",IF(BE122&lt;FT_First,0,IF(BE122&lt;FT_Y5,1+INT((BE122-FT_First)/FT_Int1),FT_PreY5+FT_PerYear*INT((BE122-FT_Y5)/12)+FT_AnnivDays+INT(MOD(BE122-FT_Y5,12)/FT_Int2))),IF(AR122="PT",IF(BE122&lt;PT_First,0,1+INT((BE122-PT_First)/PT_Int)),0))-IF(AR122="FT",IF(BG122&lt;FT_First,0,IF(BG122&lt;FT_Y5,1+INT((BG122-FT_First)/FT_Int1),FT_PreY5+FT_PerYear*INT((BG122-FT_Y5)/12)+FT_AnnivDays+INT(MOD(BG122-FT_Y5,12)/FT_Int2))),IF(AR122="PT",IF(BG122&lt;PT_First,0,1+INT((BG122-PT_First)/PT_Int)),0)),0))</f>
        <v/>
      </c>
      <c r="BI122" s="14" t="str">
        <f aca="false">IF(AG122=0,"",IF(AS122="FT",IF(AT122&lt;FT_First,"",IF(AT122&lt;FT_Y5,FT_First+FT_Int1*INT((AT122-FT_First)/FT_Int1),FT_Y5+FT_Int2*INT((AT122-FT_Y5)/FT_Int2))),IF(AS122="PT",IF(AT122&lt;PT_First,"",PT_First+PT_Int*INT((AT122-PT_First)/PT_Int)),"")))</f>
        <v/>
      </c>
      <c r="BJ122" s="0" t="str">
        <f aca="false">IF(LEN($A122&amp;$B122)=0,"",$A122&amp;" "&amp;$B122)</f>
        <v/>
      </c>
    </row>
    <row r="123" customFormat="false" ht="15" hidden="false" customHeight="false" outlineLevel="0" collapsed="false">
      <c r="A123" s="10"/>
      <c r="B123" s="10"/>
      <c r="C123" s="10"/>
      <c r="D123" s="11"/>
      <c r="E123" s="12" t="str">
        <f aca="false">IF(OR(AG123=0,$D123=""),"",DATE(YEAR(AsOfDate)+IF(DATE(YEAR(AsOfDate),MONTH($D123),DAY($D123))&lt;=AsOfDate,1,0),MONTH($D123),DAY($D123)))</f>
        <v/>
      </c>
      <c r="F123" s="11"/>
      <c r="G123" s="11"/>
      <c r="H123" s="11"/>
      <c r="I123" s="11"/>
      <c r="J123" s="11"/>
      <c r="K123" s="12" t="str">
        <f aca="false">IF(AG123=0,"",DATE(YEAR(AsOfDate)+IF(DATE(YEAR(AsOfDate),MONTH(AH123),DAY(AH123))&lt;=AsOfDate,1,0),MONTH(AH123),DAY(AH123)))</f>
        <v/>
      </c>
      <c r="L123" s="13" t="str">
        <f aca="false">IF(AG123=0,"",ROUND((AsOfDate-AH123)/365.25,1))</f>
        <v/>
      </c>
      <c r="M123" s="14" t="str">
        <f aca="false">IF(AG123=0,"",IF(AsOfDate&lt;AH123,"-",DATEDIF(AH123,AsOfDate,"y")&amp;"y "&amp;DATEDIF(AH123,AsOfDate,"ym")&amp;"m "&amp;DATEDIF(AH123,AsOfDate,"md")&amp;"d"))</f>
        <v/>
      </c>
      <c r="N123" s="15" t="str">
        <f aca="false">IF(AG123=0,"",O123*HoursPerDay)</f>
        <v/>
      </c>
      <c r="O123" s="15" t="str">
        <f aca="false">IF(AG123=0,"",AZ123)</f>
        <v/>
      </c>
      <c r="P123" s="16"/>
      <c r="Q123" s="14" t="str">
        <f aca="false">IF(AG123=0,"",IF(AI123&lt;2,"",AM123&amp;" to "&amp;AN123&amp;" on "&amp;TEXT(AK123,"dd/mm/yyyy")&amp;IF(AK123&gt;AsOfDate," (future)",IF(AP123=AQ123,"",IF(AQ123="None"," - STOPPED accruing",IF(AP123="None"," - commencement for Bonus Leave"," - pathway changed"))))&amp;IF(AI123&lt;3,"","; "&amp;AN123&amp;" to "&amp;AO123&amp;" on "&amp;TEXT(AL123,"dd/mm/yyyy")&amp;IF(AL123&gt;AsOfDate," (future)",IF(AQ123=AR123,"",IF(AR123="None"," - STOPPED accruing",IF(AQ123="None"," - commencement for Bonus Leave"," - pathway changed")))))))</f>
        <v/>
      </c>
      <c r="R123" s="14" t="str">
        <f aca="false">IF(AG123=0,"",IF(AS123="None",IF(O123&gt;0,"No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2" t="str">
        <f aca="false">IF(AG123=0,"",IF(AS123="None","",EDATE(AH123,BB123)))</f>
        <v/>
      </c>
      <c r="T123" s="15" t="str">
        <f aca="false">IF(AG123=0,"",IF(NOT(LH_Ready),"",IF(AH123&gt;PFYDate,0,IF(LH_ColPeriod=0,W123-U123+V123,SUMIFS(INDEX(LH_Data,0,LH_ColAcc),INDEX(LH_Data,0,LH_ColFirst),$A123,INDEX(LH_Data,0,LH_ColSur),$B123,INDEX(LH_Data,0,LH_ColCat),BonusCat,INDEX(LH_Data,0,LH_ColPeriod),LH_OpenLabel)*UnitFactor))))</f>
        <v/>
      </c>
      <c r="U123" s="15" t="str">
        <f aca="false">IF(AG123=0,"",IF(NOT(LH_Ready),"",SUMIFS(INDEX(LH_Data,0,LH_ColAcc),INDEX(LH_Data,0,LH_ColFirst),$A123,INDEX(LH_Data,0,LH_ColSur),$B123,INDEX(LH_Data,0,LH_ColCat),BonusCat,INDEX(LH_Data,0,LH_ColStart),"&gt;="&amp;AH123)*UnitFactor))</f>
        <v/>
      </c>
      <c r="V123" s="15" t="str">
        <f aca="false">IF(AG123=0,"",IF(NOT(LH_Ready),"",SUMIFS(INDEX(LH_Data,0,LH_ColTaken),INDEX(LH_Data,0,LH_ColFirst),$A123,INDEX(LH_Data,0,LH_ColSur),$B123,INDEX(LH_Data,0,LH_ColCat),BonusCat,INDEX(LH_Data,0,LH_ColStart),"&gt;="&amp;AH123)*UnitFactor))</f>
        <v/>
      </c>
      <c r="W123" s="15" t="str">
        <f aca="false">IF(AG123=0,"",IF(NOT(LH_Ready),"",IF(BD123=0,0,INDEX(INDEX(LH_Data,0,LH_ColClose),BD123-1)*UnitFactor)))</f>
        <v/>
      </c>
      <c r="X123" s="15" t="str">
        <f aca="false">IF(AG123=0,"",(AZ123-BA123)*HoursPerDay)</f>
        <v/>
      </c>
      <c r="Y123" s="15" t="str">
        <f aca="false">IF(AG123=0,"",IF(NOT(LH_Ready),"",IF(BC123=0,N123,IF(PFYDate&lt;$F123,N123-N(T123)-N(U123),X123-N(U123)))))</f>
        <v/>
      </c>
      <c r="Z123" s="14" t="str">
        <f aca="false">IF(OR(AG123=0,Y123=""),"",IF(Y123&gt;0,"Yes","No"))</f>
        <v/>
      </c>
      <c r="AA123" s="14" t="str">
        <f aca="false">IF(AG123=0,IF(LEN($A123&amp;$B123)=0,"","FIX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month")&amp;IF(BC123=0,";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EH)",""),IF(AS123="None",R123,"Not yet - first day on "&amp;TEXT(S123,"dd/mm/yyyy")))))))))</f>
        <v/>
      </c>
      <c r="AB123" s="15" t="str">
        <f aca="false">IF(OR(AG123=0,T123=""),"",BA123*HoursPerDay-T123)</f>
        <v/>
      </c>
      <c r="AC123" s="14" t="str">
        <f aca="false">IF(AG123=0,"",BC123)</f>
        <v/>
      </c>
      <c r="AD123" s="14" t="str">
        <f aca="false">IF(AG123=0,"",TRIM(IF(OR(ISTEXT($F123),ISTEXT($H123),ISTEXT($I123),ISTEXT($G123),ISTEXT($J123),ISTEXT($D123)),"A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I123&gt;=1,IF(AI123&gt;=3,AO123,IF(AI123=2,AN123,AM123))&lt;&gt;IF($C123="","",IF(OR(ISNUMBER(SEARCH("full",$C123)),UPPER(TRIM($C123))="FT",UPPER(TRIM($C123))="FTE"),"Full-Time",IF(OR(ISNUMBER(SEARCH("part",$C123)),UPPER(TRIM($C123))="PT",UPPER(TRIM($C123))="PTE"),"Part-Time",IF(OR(ISNUMBER(SEARCH("cas",$C123)),UPPER(TRIM($C123))="CAS"),"Casual","Unknown"))))),"EmploymentType does not match latest start date ("&amp;IF(AI123&gt;=3,AO123,IF(AI123=2,AN123,AM123))&amp;"). ","")&amp;IF(AND(AI123&gt;=1,AJ123&lt;&gt;$F123),"Earliest type date should equal StartDate. ","")&amp;IF(AND(AI123&gt;=2,AJ123=AK123),"Two types start on the same date. ","")&amp;IF(AND(OR(ISNUMBER(SEARCH("part",$C123)),UPPER(TRIM($C123))="PT",UPPER(TRIM($C123))="PTE"),$P123=""),"Part-time: enter PT Hrs/Week (blank = 24+). ","")))</f>
        <v/>
      </c>
      <c r="AE123" s="15" t="str">
        <f aca="false">IF(AG123=0,"",O123-BH123)</f>
        <v/>
      </c>
      <c r="AF123" s="12" t="str">
        <f aca="false">IF(OR(AG123=0,AE123="",N(AE123)=0,BI123=""),"",EDATE(AH123,BI123))</f>
        <v/>
      </c>
      <c r="AG123" s="14" t="n">
        <f aca="false">IF(OR(LEN($A123&amp;$B123)=0,$F123=""),0,1)</f>
        <v>0</v>
      </c>
      <c r="AH123" s="12" t="str">
        <f aca="false">IF(AG123=0,"",IF($J123&lt;&gt;"",$J123,IF(OR(CasualCounts="Yes",COUNT($G123:$I123)=0,COUNT($H123:$I123)=0),$F123,MIN($H123:$I123))))</f>
        <v/>
      </c>
      <c r="AI123" s="14" t="str">
        <f aca="false">IF(AG123=0,"",COUNT($G123:$I123))</f>
        <v/>
      </c>
      <c r="AJ123" s="12" t="str">
        <f aca="false">IF(AG123=0,"",IFERROR(SMALL($G123:$I123,1),""))</f>
        <v/>
      </c>
      <c r="AK123" s="12" t="str">
        <f aca="false">IF(AG123=0,"",IFERROR(SMALL($G123:$I123,2),""))</f>
        <v/>
      </c>
      <c r="AL123" s="12" t="str">
        <f aca="false">IF(AG123=0,"",IFERROR(SMALL($G123:$I123,3),""))</f>
        <v/>
      </c>
      <c r="AM123" s="14" t="str">
        <f aca="false">IF(AG123=0,"",IF(AJ123="","",IF(AJ123=$H123,"Part-Time",IF(AJ123=$I123,"Full-Time","Casual"))))</f>
        <v/>
      </c>
      <c r="AN123" s="14" t="str">
        <f aca="false">IF(AG123=0,"",IF(AK123="","",IF(AK123=$H123,"Part-Time",IF(AK123=$I123,"Full-Time","Casual"))))</f>
        <v/>
      </c>
      <c r="AO123" s="14" t="str">
        <f aca="false">IF(AG123=0,"",IF(AL123="","",IF(AL123=$H123,"Part-Time",IF(AL123=$I123,"Full-Time","Casual"))))</f>
        <v/>
      </c>
      <c r="AP123" s="14" t="str">
        <f aca="false">IF(AG123=0,"",IF(AI123=0,IF(OR(ISNUMBER(SEARCH("full",$C123)),UPPER(TRIM($C123))="FT",UPPER(TRIM($C123))="FTE"),"FT",IF(AND(OR(ISNUMBER(SEARCH("part",$C123)),UPPER(TRIM($C123))="PT",UPPER(TRIM($C123))="PTE"),OR($P123="",N($P123)&gt;=PT_MinHours)),"PT","None")),IF(OR(ISNUMBER(SEARCH("full",AM123)),UPPER(TRIM(AM123))="FT",UPPER(TRIM(AM123))="FTE"),"FT",IF(AND(OR(ISNUMBER(SEARCH("part",AM123)),UPPER(TRIM(AM123))="PT",UPPER(TRIM(AM123))="PTE"),OR($P123="",N($P123)&gt;=PT_MinHours)),"PT","None"))))</f>
        <v/>
      </c>
      <c r="AQ123" s="14" t="str">
        <f aca="false">IF(AG123=0,"",IF(AI123&lt;2,"",IF(OR(ISNUMBER(SEARCH("full",AN123)),UPPER(TRIM(AN123))="FT",UPPER(TRIM(AN123))="FTE"),"FT",IF(AND(OR(ISNUMBER(SEARCH("part",AN123)),UPPER(TRIM(AN123))="PT",UPPER(TRIM(AN123))="PTE"),OR($P123="",N($P123)&gt;=PT_MinHours)),"PT","None"))))</f>
        <v/>
      </c>
      <c r="AR123" s="14" t="str">
        <f aca="false">IF(AG123=0,"",IF(AI123&lt;3,"",IF(OR(ISNUMBER(SEARCH("full",AO123)),UPPER(TRIM(AO123))="FT",UPPER(TRIM(AO123))="FTE"),"FT",IF(AND(OR(ISNUMBER(SEARCH("part",AO123)),UPPER(TRIM(AO123))="PT",UPPER(TRIM(AO123))="PTE"),OR($P123="",N($P123)&gt;=PT_MinHours)),"PT","None"))))</f>
        <v/>
      </c>
      <c r="AS123" s="14" t="str">
        <f aca="false">IF(AG123=0,"",IF(AND(AI123&gt;=3,AL123&lt;=AsOfDate),AR123,IF(AND(AI123&gt;=2,AK123&lt;=AsOfDate),AQ123,AP123)))</f>
        <v/>
      </c>
      <c r="AT123" s="14" t="str">
        <f aca="false">IF(AG123=0,"",IF(AsOfDate&lt;AH123,-1,12*(YEAR(AsOfDate)-YEAR(AH123))+MONTH(AsOfDate)-MONTH(AH123)-IF(DAY(AsOfDate)&lt;MIN(DAY(AH123),DAY(EOMONTH(AsOfDate,0))),1,0)))</f>
        <v/>
      </c>
      <c r="AU123" s="14" t="str">
        <f aca="false">IF(AG123=0,"",IF(OR(AI123&lt;2,AK123&gt;AsOfDate),AT123,IF((AK123-1)&lt;AH123,-1,12*(YEAR((AK123-1))-YEAR(AH123))+MONTH((AK123-1))-MONTH(AH123)-IF(DAY((AK123-1))&lt;MIN(DAY(AH123),DAY(EOMONTH((AK123-1),0))),1,0))))</f>
        <v/>
      </c>
      <c r="AV123" s="14" t="str">
        <f aca="false">IF(AG123=0,"",IF(OR(AI123&lt;3,AL123&gt;AsOfDate),AT123,IF((AL123-1)&lt;AH123,-1,12*(YEAR((AL123-1))-YEAR(AH123))+MONTH((AL123-1))-MONTH(AH123)-IF(DAY((AL123-1))&lt;MIN(DAY(AH123),DAY(EOMONTH((AL123-1),0))),1,0))))</f>
        <v/>
      </c>
      <c r="AW123" s="14" t="str">
        <f aca="false">IF(AG123=0,"",IF(PFYDate&lt;AH123,-1,12*(YEAR(PFYDate)-YEAR(AH123))+MONTH(PFYDate)-MONTH(AH123)-IF(DAY(PFYDate)&lt;MIN(DAY(AH123),DAY(EOMONTH(PFYDate,0))),1,0)))</f>
        <v/>
      </c>
      <c r="AX123" s="14" t="str">
        <f aca="false">IF(AG123=0,"",IF(OR(AI123&lt;2,AK123&gt;PFYDate),AW123,IF((AK123-1)&lt;AH123,-1,12*(YEAR((AK123-1))-YEAR(AH123))+MONTH((AK123-1))-MONTH(AH123)-IF(DAY((AK123-1))&lt;MIN(DAY(AH123),DAY(EOMONTH((AK123-1),0))),1,0))))</f>
        <v/>
      </c>
      <c r="AY123" s="14" t="str">
        <f aca="false">IF(AG123=0,"",IF(OR(AI123&lt;3,AL123&gt;PFYDate),AW123,IF((AL123-1)&lt;AH123,-1,12*(YEAR((AL123-1))-YEAR(AH123))+MONTH((AL123-1))-MONTH(AH123)-IF(DAY((AL123-1))&lt;MIN(DAY(AH123),DAY(EOMONTH((AL123-1),0))),1,0))))</f>
        <v/>
      </c>
      <c r="AZ123" s="14" t="str">
        <f aca="false">IF(AG123=0,"",IF(AP123="FT",IF(AU123&lt;FT_First,0,IF(AU123&lt;FT_Y5,1+INT((AU123-FT_First)/FT_Int1),FT_PreY5+FT_PerYear*INT((AU123-FT_Y5)/12)+FT_AnnivDays+INT(MOD(AU123-FT_Y5,12)/FT_Int2))),IF(AP123="PT",IF(AU123&lt;PT_First,0,1+INT((AU123-PT_First)/PT_Int)),0))+IF(AND(AI123&gt;=2,AK123&lt;=AsOfDate),IF(AQ123="FT",IF(AV123&lt;FT_First,0,IF(AV123&lt;FT_Y5,1+INT((AV123-FT_First)/FT_Int1),FT_PreY5+FT_PerYear*INT((AV123-FT_Y5)/12)+FT_AnnivDays+INT(MOD(AV123-FT_Y5,12)/FT_Int2))),IF(AQ123="PT",IF(AV123&lt;PT_First,0,1+INT((AV123-PT_First)/PT_Int)),0))-IF(AQ123="FT",IF(AU123&lt;FT_First,0,IF(AU123&lt;FT_Y5,1+INT((AU123-FT_First)/FT_Int1),FT_PreY5+FT_PerYear*INT((AU123-FT_Y5)/12)+FT_AnnivDays+INT(MOD(AU123-FT_Y5,12)/FT_Int2))),IF(AQ123="PT",IF(AU123&lt;PT_First,0,1+INT((AU123-PT_First)/PT_Int)),0)),0)+IF(AND(AI123&gt;=3,AL123&lt;=AsOfDate),IF(AR123="FT",IF(AT123&lt;FT_First,0,IF(AT123&lt;FT_Y5,1+INT((AT123-FT_First)/FT_Int1),FT_PreY5+FT_PerYear*INT((AT123-FT_Y5)/12)+FT_AnnivDays+INT(MOD(AT123-FT_Y5,12)/FT_Int2))),IF(AR123="PT",IF(AT123&lt;PT_First,0,1+INT((AT123-PT_First)/PT_Int)),0))-IF(AR123="FT",IF(AV123&lt;FT_First,0,IF(AV123&lt;FT_Y5,1+INT((AV123-FT_First)/FT_Int1),FT_PreY5+FT_PerYear*INT((AV123-FT_Y5)/12)+FT_AnnivDays+INT(MOD(AV123-FT_Y5,12)/FT_Int2))),IF(AR123="PT",IF(AV123&lt;PT_First,0,1+INT((AV123-PT_First)/PT_Int)),0)),0))</f>
        <v/>
      </c>
      <c r="BA123" s="14" t="str">
        <f aca="false">IF(AG123=0,"",IF(AP123="FT",IF(AX123&lt;FT_First,0,IF(AX123&lt;FT_Y5,1+INT((AX123-FT_First)/FT_Int1),FT_PreY5+FT_PerYear*INT((AX123-FT_Y5)/12)+FT_AnnivDays+INT(MOD(AX123-FT_Y5,12)/FT_Int2))),IF(AP123="PT",IF(AX123&lt;PT_First,0,1+INT((AX123-PT_First)/PT_Int)),0))+IF(AND(AI123&gt;=2,AK123&lt;=PFYDate),IF(AQ123="FT",IF(AY123&lt;FT_First,0,IF(AY123&lt;FT_Y5,1+INT((AY123-FT_First)/FT_Int1),FT_PreY5+FT_PerYear*INT((AY123-FT_Y5)/12)+FT_AnnivDays+INT(MOD(AY123-FT_Y5,12)/FT_Int2))),IF(AQ123="PT",IF(AY123&lt;PT_First,0,1+INT((AY123-PT_First)/PT_Int)),0))-IF(AQ123="FT",IF(AX123&lt;FT_First,0,IF(AX123&lt;FT_Y5,1+INT((AX123-FT_First)/FT_Int1),FT_PreY5+FT_PerYear*INT((AX123-FT_Y5)/12)+FT_AnnivDays+INT(MOD(AX123-FT_Y5,12)/FT_Int2))),IF(AQ123="PT",IF(AX123&lt;PT_First,0,1+INT((AX123-PT_First)/PT_Int)),0)),0)+IF(AND(AI123&gt;=3,AL123&lt;=PFYDate),IF(AR123="FT",IF(AW123&lt;FT_First,0,IF(AW123&lt;FT_Y5,1+INT((AW123-FT_First)/FT_Int1),FT_PreY5+FT_PerYear*INT((AW123-FT_Y5)/12)+FT_AnnivDays+INT(MOD(AW123-FT_Y5,12)/FT_Int2))),IF(AR123="PT",IF(AW123&lt;PT_First,0,1+INT((AW123-PT_First)/PT_Int)),0))-IF(AR123="FT",IF(AY123&lt;FT_First,0,IF(AY123&lt;FT_Y5,1+INT((AY123-FT_First)/FT_Int1),FT_PreY5+FT_PerYear*INT((AY123-FT_Y5)/12)+FT_AnnivDays+INT(MOD(AY123-FT_Y5,12)/FT_Int2))),IF(AR123="PT",IF(AY123&lt;PT_First,0,1+INT((AY123-PT_First)/PT_Int)),0)),0))</f>
        <v/>
      </c>
      <c r="BB123" s="14" t="str">
        <f aca="false">IF(AG123=0,"",IF(AS123="FT",IF(AT123&lt;FT_First,FT_First,IF(AT123&lt;FT_Y5,MIN(FT_Y5,FT_First+FT_Int1*(INT((AT123-FT_First)/FT_Int1)+1)),FT_Y5+12*INT((AT123-FT_Y5)/12)+FT_Int2*(INT(MOD(AT123-FT_Y5,12)/FT_Int2)+1))),IF(AS123="PT",IF(AT123&lt;PT_First,PT_First,PT_First+PT_Int*(INT((AT123-PT_First)/PT_Int)+1)),"")))</f>
        <v/>
      </c>
      <c r="BC123" s="14" t="str">
        <f aca="false">IF(AG123=0,"",IF(NOT(LH_Ready),0,COUNTIFS(INDEX(LH_Data,0,LH_ColFirst),$A123,INDEX(LH_Data,0,LH_ColSur),$B123,INDEX(LH_Data,0,LH_ColCat),BonusCat)))</f>
        <v/>
      </c>
      <c r="BD123" s="14" t="str">
        <f aca="false">IF(AG123=0,"",IF(OR(NOT(LH_Ready),BC123=0),0,SUMPRODUCT(MAX((INDEX(LH_Data,0,LH_ColFirst)=$A123)*(INDEX(LH_Data,0,LH_ColSur)=$B123)*(INDEX(LH_Data,0,LH_ColCat)=BonusCat)*ROW(LH_Data)))))</f>
        <v/>
      </c>
      <c r="BE123" s="14" t="str">
        <f aca="false">IF(AG123=0,"",IF(EOMONTH(AsOfDate,-1)&lt;AH123,-1,12*(YEAR(EOMONTH(AsOfDate,-1))-YEAR(AH123))+MONTH(EOMONTH(AsOfDate,-1))-MONTH(AH123)-IF(DAY(EOMONTH(AsOfDate,-1))&lt;MIN(DAY(AH123),DAY(EOMONTH(EOMONTH(AsOfDate,-1),0))),1,0)))</f>
        <v/>
      </c>
      <c r="BF123" s="14" t="str">
        <f aca="false">IF(AG123=0,"",IF(OR(AI123&lt;2,AK123&gt;EOMONTH(AsOfDate,-1)),BE123,IF((AK123-1)&lt;AH123,-1,12*(YEAR((AK123-1))-YEAR(AH123))+MONTH((AK123-1))-MONTH(AH123)-IF(DAY((AK123-1))&lt;MIN(DAY(AH123),DAY(EOMONTH((AK123-1),0))),1,0))))</f>
        <v/>
      </c>
      <c r="BG123" s="14" t="str">
        <f aca="false">IF(AG123=0,"",IF(OR(AI123&lt;3,AL123&gt;EOMONTH(AsOfDate,-1)),BE123,IF((AL123-1)&lt;AH123,-1,12*(YEAR((AL123-1))-YEAR(AH123))+MONTH((AL123-1))-MONTH(AH123)-IF(DAY((AL123-1))&lt;MIN(DAY(AH123),DAY(EOMONTH((AL123-1),0))),1,0))))</f>
        <v/>
      </c>
      <c r="BH123" s="14" t="str">
        <f aca="false">IF(AG123=0,"",IF(AP123="FT",IF(BF123&lt;FT_First,0,IF(BF123&lt;FT_Y5,1+INT((BF123-FT_First)/FT_Int1),FT_PreY5+FT_PerYear*INT((BF123-FT_Y5)/12)+FT_AnnivDays+INT(MOD(BF123-FT_Y5,12)/FT_Int2))),IF(AP123="PT",IF(BF123&lt;PT_First,0,1+INT((BF123-PT_First)/PT_Int)),0))+IF(AND(AI123&gt;=2,AK123&lt;=EOMONTH(AsOfDate,-1)),IF(AQ123="FT",IF(BG123&lt;FT_First,0,IF(BG123&lt;FT_Y5,1+INT((BG123-FT_First)/FT_Int1),FT_PreY5+FT_PerYear*INT((BG123-FT_Y5)/12)+FT_AnnivDays+INT(MOD(BG123-FT_Y5,12)/FT_Int2))),IF(AQ123="PT",IF(BG123&lt;PT_First,0,1+INT((BG123-PT_First)/PT_Int)),0))-IF(AQ123="FT",IF(BF123&lt;FT_First,0,IF(BF123&lt;FT_Y5,1+INT((BF123-FT_First)/FT_Int1),FT_PreY5+FT_PerYear*INT((BF123-FT_Y5)/12)+FT_AnnivDays+INT(MOD(BF123-FT_Y5,12)/FT_Int2))),IF(AQ123="PT",IF(BF123&lt;PT_First,0,1+INT((BF123-PT_First)/PT_Int)),0)),0)+IF(AND(AI123&gt;=3,AL123&lt;=EOMONTH(AsOfDate,-1)),IF(AR123="FT",IF(BE123&lt;FT_First,0,IF(BE123&lt;FT_Y5,1+INT((BE123-FT_First)/FT_Int1),FT_PreY5+FT_PerYear*INT((BE123-FT_Y5)/12)+FT_AnnivDays+INT(MOD(BE123-FT_Y5,12)/FT_Int2))),IF(AR123="PT",IF(BE123&lt;PT_First,0,1+INT((BE123-PT_First)/PT_Int)),0))-IF(AR123="FT",IF(BG123&lt;FT_First,0,IF(BG123&lt;FT_Y5,1+INT((BG123-FT_First)/FT_Int1),FT_PreY5+FT_PerYear*INT((BG123-FT_Y5)/12)+FT_AnnivDays+INT(MOD(BG123-FT_Y5,12)/FT_Int2))),IF(AR123="PT",IF(BG123&lt;PT_First,0,1+INT((BG123-PT_First)/PT_Int)),0)),0))</f>
        <v/>
      </c>
      <c r="BI123" s="14" t="str">
        <f aca="false">IF(AG123=0,"",IF(AS123="FT",IF(AT123&lt;FT_First,"",IF(AT123&lt;FT_Y5,FT_First+FT_Int1*INT((AT123-FT_First)/FT_Int1),FT_Y5+FT_Int2*INT((AT123-FT_Y5)/FT_Int2))),IF(AS123="PT",IF(AT123&lt;PT_First,"",PT_First+PT_Int*INT((AT123-PT_First)/PT_Int)),"")))</f>
        <v/>
      </c>
      <c r="BJ123" s="0" t="str">
        <f aca="false">IF(LEN($A123&amp;$B123)=0,"",$A123&amp;" "&amp;$B123)</f>
        <v/>
      </c>
    </row>
    <row r="124" customFormat="false" ht="15" hidden="false" customHeight="false" outlineLevel="0" collapsed="false">
      <c r="A124" s="10"/>
      <c r="B124" s="10"/>
      <c r="C124" s="10"/>
      <c r="D124" s="11"/>
      <c r="E124" s="12" t="str">
        <f aca="false">IF(OR(AG124=0,$D124=""),"",DATE(YEAR(AsOfDate)+IF(DATE(YEAR(AsOfDate),MONTH($D124),DAY($D124))&lt;=AsOfDate,1,0),MONTH($D124),DAY($D124)))</f>
        <v/>
      </c>
      <c r="F124" s="11"/>
      <c r="G124" s="11"/>
      <c r="H124" s="11"/>
      <c r="I124" s="11"/>
      <c r="J124" s="11"/>
      <c r="K124" s="12" t="str">
        <f aca="false">IF(AG124=0,"",DATE(YEAR(AsOfDate)+IF(DATE(YEAR(AsOfDate),MONTH(AH124),DAY(AH124))&lt;=AsOfDate,1,0),MONTH(AH124),DAY(AH124)))</f>
        <v/>
      </c>
      <c r="L124" s="13" t="str">
        <f aca="false">IF(AG124=0,"",ROUND((AsOfDate-AH124)/365.25,1))</f>
        <v/>
      </c>
      <c r="M124" s="14" t="str">
        <f aca="false">IF(AG124=0,"",IF(AsOfDate&lt;AH124,"-",DATEDIF(AH124,AsOfDate,"y")&amp;"y "&amp;DATEDIF(AH124,AsOfDate,"ym")&amp;"m "&amp;DATEDIF(AH124,AsOfDate,"md")&amp;"d"))</f>
        <v/>
      </c>
      <c r="N124" s="15" t="str">
        <f aca="false">IF(AG124=0,"",O124*HoursPerDay)</f>
        <v/>
      </c>
      <c r="O124" s="15" t="str">
        <f aca="false">IF(AG124=0,"",AZ124)</f>
        <v/>
      </c>
      <c r="P124" s="16"/>
      <c r="Q124" s="14" t="str">
        <f aca="false">IF(AG124=0,"",IF(AI124&lt;2,"",AM124&amp;" to "&amp;AN124&amp;" on "&amp;TEXT(AK124,"dd/mm/yyyy")&amp;IF(AK124&gt;AsOfDate," (future)",IF(AP124=AQ124,"",IF(AQ124="None"," - STOPPED accruing",IF(AP124="None"," - commencement for Bonus Leave"," - pathway changed"))))&amp;IF(AI124&lt;3,"","; "&amp;AN124&amp;" to "&amp;AO124&amp;" on "&amp;TEXT(AL124,"dd/mm/yyyy")&amp;IF(AL124&gt;AsOfDate," (future)",IF(AQ124=AR124,"",IF(AR124="None"," - STOPPED accruing",IF(AQ124="None"," - commencement for Bonus Leave"," - pathway changed")))))))</f>
        <v/>
      </c>
      <c r="R124" s="14" t="str">
        <f aca="false">IF(AG124=0,"",IF(AS124="None",IF(O124&gt;0,"No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2" t="str">
        <f aca="false">IF(AG124=0,"",IF(AS124="None","",EDATE(AH124,BB124)))</f>
        <v/>
      </c>
      <c r="T124" s="15" t="str">
        <f aca="false">IF(AG124=0,"",IF(NOT(LH_Ready),"",IF(AH124&gt;PFYDate,0,IF(LH_ColPeriod=0,W124-U124+V124,SUMIFS(INDEX(LH_Data,0,LH_ColAcc),INDEX(LH_Data,0,LH_ColFirst),$A124,INDEX(LH_Data,0,LH_ColSur),$B124,INDEX(LH_Data,0,LH_ColCat),BonusCat,INDEX(LH_Data,0,LH_ColPeriod),LH_OpenLabel)*UnitFactor))))</f>
        <v/>
      </c>
      <c r="U124" s="15" t="str">
        <f aca="false">IF(AG124=0,"",IF(NOT(LH_Ready),"",SUMIFS(INDEX(LH_Data,0,LH_ColAcc),INDEX(LH_Data,0,LH_ColFirst),$A124,INDEX(LH_Data,0,LH_ColSur),$B124,INDEX(LH_Data,0,LH_ColCat),BonusCat,INDEX(LH_Data,0,LH_ColStart),"&gt;="&amp;AH124)*UnitFactor))</f>
        <v/>
      </c>
      <c r="V124" s="15" t="str">
        <f aca="false">IF(AG124=0,"",IF(NOT(LH_Ready),"",SUMIFS(INDEX(LH_Data,0,LH_ColTaken),INDEX(LH_Data,0,LH_ColFirst),$A124,INDEX(LH_Data,0,LH_ColSur),$B124,INDEX(LH_Data,0,LH_ColCat),BonusCat,INDEX(LH_Data,0,LH_ColStart),"&gt;="&amp;AH124)*UnitFactor))</f>
        <v/>
      </c>
      <c r="W124" s="15" t="str">
        <f aca="false">IF(AG124=0,"",IF(NOT(LH_Ready),"",IF(BD124=0,0,INDEX(INDEX(LH_Data,0,LH_ColClose),BD124-1)*UnitFactor)))</f>
        <v/>
      </c>
      <c r="X124" s="15" t="str">
        <f aca="false">IF(AG124=0,"",(AZ124-BA124)*HoursPerDay)</f>
        <v/>
      </c>
      <c r="Y124" s="15" t="str">
        <f aca="false">IF(AG124=0,"",IF(NOT(LH_Ready),"",IF(BC124=0,N124,IF(PFYDate&lt;$F124,N124-N(T124)-N(U124),X124-N(U124)))))</f>
        <v/>
      </c>
      <c r="Z124" s="14" t="str">
        <f aca="false">IF(OR(AG124=0,Y124=""),"",IF(Y124&gt;0,"Yes","No"))</f>
        <v/>
      </c>
      <c r="AA124" s="14" t="str">
        <f aca="false">IF(AG124=0,IF(LEN($A124&amp;$B124)=0,"","FIX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month")&amp;IF(BC124=0,";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EH)",""),IF(AS124="None",R124,"Not yet - first day on "&amp;TEXT(S124,"dd/mm/yyyy")))))))))</f>
        <v/>
      </c>
      <c r="AB124" s="15" t="str">
        <f aca="false">IF(OR(AG124=0,T124=""),"",BA124*HoursPerDay-T124)</f>
        <v/>
      </c>
      <c r="AC124" s="14" t="str">
        <f aca="false">IF(AG124=0,"",BC124)</f>
        <v/>
      </c>
      <c r="AD124" s="14" t="str">
        <f aca="false">IF(AG124=0,"",TRIM(IF(OR(ISTEXT($F124),ISTEXT($H124),ISTEXT($I124),ISTEXT($G124),ISTEXT($J124),ISTEXT($D124)),"A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I124&gt;=1,IF(AI124&gt;=3,AO124,IF(AI124=2,AN124,AM124))&lt;&gt;IF($C124="","",IF(OR(ISNUMBER(SEARCH("full",$C124)),UPPER(TRIM($C124))="FT",UPPER(TRIM($C124))="FTE"),"Full-Time",IF(OR(ISNUMBER(SEARCH("part",$C124)),UPPER(TRIM($C124))="PT",UPPER(TRIM($C124))="PTE"),"Part-Time",IF(OR(ISNUMBER(SEARCH("cas",$C124)),UPPER(TRIM($C124))="CAS"),"Casual","Unknown"))))),"EmploymentType does not match latest start date ("&amp;IF(AI124&gt;=3,AO124,IF(AI124=2,AN124,AM124))&amp;"). ","")&amp;IF(AND(AI124&gt;=1,AJ124&lt;&gt;$F124),"Earliest type date should equal StartDate. ","")&amp;IF(AND(AI124&gt;=2,AJ124=AK124),"Two types start on the same date. ","")&amp;IF(AND(OR(ISNUMBER(SEARCH("part",$C124)),UPPER(TRIM($C124))="PT",UPPER(TRIM($C124))="PTE"),$P124=""),"Part-time: enter PT Hrs/Week (blank = 24+). ","")))</f>
        <v/>
      </c>
      <c r="AE124" s="15" t="str">
        <f aca="false">IF(AG124=0,"",O124-BH124)</f>
        <v/>
      </c>
      <c r="AF124" s="12" t="str">
        <f aca="false">IF(OR(AG124=0,AE124="",N(AE124)=0,BI124=""),"",EDATE(AH124,BI124))</f>
        <v/>
      </c>
      <c r="AG124" s="14" t="n">
        <f aca="false">IF(OR(LEN($A124&amp;$B124)=0,$F124=""),0,1)</f>
        <v>0</v>
      </c>
      <c r="AH124" s="12" t="str">
        <f aca="false">IF(AG124=0,"",IF($J124&lt;&gt;"",$J124,IF(OR(CasualCounts="Yes",COUNT($G124:$I124)=0,COUNT($H124:$I124)=0),$F124,MIN($H124:$I124))))</f>
        <v/>
      </c>
      <c r="AI124" s="14" t="str">
        <f aca="false">IF(AG124=0,"",COUNT($G124:$I124))</f>
        <v/>
      </c>
      <c r="AJ124" s="12" t="str">
        <f aca="false">IF(AG124=0,"",IFERROR(SMALL($G124:$I124,1),""))</f>
        <v/>
      </c>
      <c r="AK124" s="12" t="str">
        <f aca="false">IF(AG124=0,"",IFERROR(SMALL($G124:$I124,2),""))</f>
        <v/>
      </c>
      <c r="AL124" s="12" t="str">
        <f aca="false">IF(AG124=0,"",IFERROR(SMALL($G124:$I124,3),""))</f>
        <v/>
      </c>
      <c r="AM124" s="14" t="str">
        <f aca="false">IF(AG124=0,"",IF(AJ124="","",IF(AJ124=$H124,"Part-Time",IF(AJ124=$I124,"Full-Time","Casual"))))</f>
        <v/>
      </c>
      <c r="AN124" s="14" t="str">
        <f aca="false">IF(AG124=0,"",IF(AK124="","",IF(AK124=$H124,"Part-Time",IF(AK124=$I124,"Full-Time","Casual"))))</f>
        <v/>
      </c>
      <c r="AO124" s="14" t="str">
        <f aca="false">IF(AG124=0,"",IF(AL124="","",IF(AL124=$H124,"Part-Time",IF(AL124=$I124,"Full-Time","Casual"))))</f>
        <v/>
      </c>
      <c r="AP124" s="14" t="str">
        <f aca="false">IF(AG124=0,"",IF(AI124=0,IF(OR(ISNUMBER(SEARCH("full",$C124)),UPPER(TRIM($C124))="FT",UPPER(TRIM($C124))="FTE"),"FT",IF(AND(OR(ISNUMBER(SEARCH("part",$C124)),UPPER(TRIM($C124))="PT",UPPER(TRIM($C124))="PTE"),OR($P124="",N($P124)&gt;=PT_MinHours)),"PT","None")),IF(OR(ISNUMBER(SEARCH("full",AM124)),UPPER(TRIM(AM124))="FT",UPPER(TRIM(AM124))="FTE"),"FT",IF(AND(OR(ISNUMBER(SEARCH("part",AM124)),UPPER(TRIM(AM124))="PT",UPPER(TRIM(AM124))="PTE"),OR($P124="",N($P124)&gt;=PT_MinHours)),"PT","None"))))</f>
        <v/>
      </c>
      <c r="AQ124" s="14" t="str">
        <f aca="false">IF(AG124=0,"",IF(AI124&lt;2,"",IF(OR(ISNUMBER(SEARCH("full",AN124)),UPPER(TRIM(AN124))="FT",UPPER(TRIM(AN124))="FTE"),"FT",IF(AND(OR(ISNUMBER(SEARCH("part",AN124)),UPPER(TRIM(AN124))="PT",UPPER(TRIM(AN124))="PTE"),OR($P124="",N($P124)&gt;=PT_MinHours)),"PT","None"))))</f>
        <v/>
      </c>
      <c r="AR124" s="14" t="str">
        <f aca="false">IF(AG124=0,"",IF(AI124&lt;3,"",IF(OR(ISNUMBER(SEARCH("full",AO124)),UPPER(TRIM(AO124))="FT",UPPER(TRIM(AO124))="FTE"),"FT",IF(AND(OR(ISNUMBER(SEARCH("part",AO124)),UPPER(TRIM(AO124))="PT",UPPER(TRIM(AO124))="PTE"),OR($P124="",N($P124)&gt;=PT_MinHours)),"PT","None"))))</f>
        <v/>
      </c>
      <c r="AS124" s="14" t="str">
        <f aca="false">IF(AG124=0,"",IF(AND(AI124&gt;=3,AL124&lt;=AsOfDate),AR124,IF(AND(AI124&gt;=2,AK124&lt;=AsOfDate),AQ124,AP124)))</f>
        <v/>
      </c>
      <c r="AT124" s="14" t="str">
        <f aca="false">IF(AG124=0,"",IF(AsOfDate&lt;AH124,-1,12*(YEAR(AsOfDate)-YEAR(AH124))+MONTH(AsOfDate)-MONTH(AH124)-IF(DAY(AsOfDate)&lt;MIN(DAY(AH124),DAY(EOMONTH(AsOfDate,0))),1,0)))</f>
        <v/>
      </c>
      <c r="AU124" s="14" t="str">
        <f aca="false">IF(AG124=0,"",IF(OR(AI124&lt;2,AK124&gt;AsOfDate),AT124,IF((AK124-1)&lt;AH124,-1,12*(YEAR((AK124-1))-YEAR(AH124))+MONTH((AK124-1))-MONTH(AH124)-IF(DAY((AK124-1))&lt;MIN(DAY(AH124),DAY(EOMONTH((AK124-1),0))),1,0))))</f>
        <v/>
      </c>
      <c r="AV124" s="14" t="str">
        <f aca="false">IF(AG124=0,"",IF(OR(AI124&lt;3,AL124&gt;AsOfDate),AT124,IF((AL124-1)&lt;AH124,-1,12*(YEAR((AL124-1))-YEAR(AH124))+MONTH((AL124-1))-MONTH(AH124)-IF(DAY((AL124-1))&lt;MIN(DAY(AH124),DAY(EOMONTH((AL124-1),0))),1,0))))</f>
        <v/>
      </c>
      <c r="AW124" s="14" t="str">
        <f aca="false">IF(AG124=0,"",IF(PFYDate&lt;AH124,-1,12*(YEAR(PFYDate)-YEAR(AH124))+MONTH(PFYDate)-MONTH(AH124)-IF(DAY(PFYDate)&lt;MIN(DAY(AH124),DAY(EOMONTH(PFYDate,0))),1,0)))</f>
        <v/>
      </c>
      <c r="AX124" s="14" t="str">
        <f aca="false">IF(AG124=0,"",IF(OR(AI124&lt;2,AK124&gt;PFYDate),AW124,IF((AK124-1)&lt;AH124,-1,12*(YEAR((AK124-1))-YEAR(AH124))+MONTH((AK124-1))-MONTH(AH124)-IF(DAY((AK124-1))&lt;MIN(DAY(AH124),DAY(EOMONTH((AK124-1),0))),1,0))))</f>
        <v/>
      </c>
      <c r="AY124" s="14" t="str">
        <f aca="false">IF(AG124=0,"",IF(OR(AI124&lt;3,AL124&gt;PFYDate),AW124,IF((AL124-1)&lt;AH124,-1,12*(YEAR((AL124-1))-YEAR(AH124))+MONTH((AL124-1))-MONTH(AH124)-IF(DAY((AL124-1))&lt;MIN(DAY(AH124),DAY(EOMONTH((AL124-1),0))),1,0))))</f>
        <v/>
      </c>
      <c r="AZ124" s="14" t="str">
        <f aca="false">IF(AG124=0,"",IF(AP124="FT",IF(AU124&lt;FT_First,0,IF(AU124&lt;FT_Y5,1+INT((AU124-FT_First)/FT_Int1),FT_PreY5+FT_PerYear*INT((AU124-FT_Y5)/12)+FT_AnnivDays+INT(MOD(AU124-FT_Y5,12)/FT_Int2))),IF(AP124="PT",IF(AU124&lt;PT_First,0,1+INT((AU124-PT_First)/PT_Int)),0))+IF(AND(AI124&gt;=2,AK124&lt;=AsOfDate),IF(AQ124="FT",IF(AV124&lt;FT_First,0,IF(AV124&lt;FT_Y5,1+INT((AV124-FT_First)/FT_Int1),FT_PreY5+FT_PerYear*INT((AV124-FT_Y5)/12)+FT_AnnivDays+INT(MOD(AV124-FT_Y5,12)/FT_Int2))),IF(AQ124="PT",IF(AV124&lt;PT_First,0,1+INT((AV124-PT_First)/PT_Int)),0))-IF(AQ124="FT",IF(AU124&lt;FT_First,0,IF(AU124&lt;FT_Y5,1+INT((AU124-FT_First)/FT_Int1),FT_PreY5+FT_PerYear*INT((AU124-FT_Y5)/12)+FT_AnnivDays+INT(MOD(AU124-FT_Y5,12)/FT_Int2))),IF(AQ124="PT",IF(AU124&lt;PT_First,0,1+INT((AU124-PT_First)/PT_Int)),0)),0)+IF(AND(AI124&gt;=3,AL124&lt;=AsOfDate),IF(AR124="FT",IF(AT124&lt;FT_First,0,IF(AT124&lt;FT_Y5,1+INT((AT124-FT_First)/FT_Int1),FT_PreY5+FT_PerYear*INT((AT124-FT_Y5)/12)+FT_AnnivDays+INT(MOD(AT124-FT_Y5,12)/FT_Int2))),IF(AR124="PT",IF(AT124&lt;PT_First,0,1+INT((AT124-PT_First)/PT_Int)),0))-IF(AR124="FT",IF(AV124&lt;FT_First,0,IF(AV124&lt;FT_Y5,1+INT((AV124-FT_First)/FT_Int1),FT_PreY5+FT_PerYear*INT((AV124-FT_Y5)/12)+FT_AnnivDays+INT(MOD(AV124-FT_Y5,12)/FT_Int2))),IF(AR124="PT",IF(AV124&lt;PT_First,0,1+INT((AV124-PT_First)/PT_Int)),0)),0))</f>
        <v/>
      </c>
      <c r="BA124" s="14" t="str">
        <f aca="false">IF(AG124=0,"",IF(AP124="FT",IF(AX124&lt;FT_First,0,IF(AX124&lt;FT_Y5,1+INT((AX124-FT_First)/FT_Int1),FT_PreY5+FT_PerYear*INT((AX124-FT_Y5)/12)+FT_AnnivDays+INT(MOD(AX124-FT_Y5,12)/FT_Int2))),IF(AP124="PT",IF(AX124&lt;PT_First,0,1+INT((AX124-PT_First)/PT_Int)),0))+IF(AND(AI124&gt;=2,AK124&lt;=PFYDate),IF(AQ124="FT",IF(AY124&lt;FT_First,0,IF(AY124&lt;FT_Y5,1+INT((AY124-FT_First)/FT_Int1),FT_PreY5+FT_PerYear*INT((AY124-FT_Y5)/12)+FT_AnnivDays+INT(MOD(AY124-FT_Y5,12)/FT_Int2))),IF(AQ124="PT",IF(AY124&lt;PT_First,0,1+INT((AY124-PT_First)/PT_Int)),0))-IF(AQ124="FT",IF(AX124&lt;FT_First,0,IF(AX124&lt;FT_Y5,1+INT((AX124-FT_First)/FT_Int1),FT_PreY5+FT_PerYear*INT((AX124-FT_Y5)/12)+FT_AnnivDays+INT(MOD(AX124-FT_Y5,12)/FT_Int2))),IF(AQ124="PT",IF(AX124&lt;PT_First,0,1+INT((AX124-PT_First)/PT_Int)),0)),0)+IF(AND(AI124&gt;=3,AL124&lt;=PFYDate),IF(AR124="FT",IF(AW124&lt;FT_First,0,IF(AW124&lt;FT_Y5,1+INT((AW124-FT_First)/FT_Int1),FT_PreY5+FT_PerYear*INT((AW124-FT_Y5)/12)+FT_AnnivDays+INT(MOD(AW124-FT_Y5,12)/FT_Int2))),IF(AR124="PT",IF(AW124&lt;PT_First,0,1+INT((AW124-PT_First)/PT_Int)),0))-IF(AR124="FT",IF(AY124&lt;FT_First,0,IF(AY124&lt;FT_Y5,1+INT((AY124-FT_First)/FT_Int1),FT_PreY5+FT_PerYear*INT((AY124-FT_Y5)/12)+FT_AnnivDays+INT(MOD(AY124-FT_Y5,12)/FT_Int2))),IF(AR124="PT",IF(AY124&lt;PT_First,0,1+INT((AY124-PT_First)/PT_Int)),0)),0))</f>
        <v/>
      </c>
      <c r="BB124" s="14" t="str">
        <f aca="false">IF(AG124=0,"",IF(AS124="FT",IF(AT124&lt;FT_First,FT_First,IF(AT124&lt;FT_Y5,MIN(FT_Y5,FT_First+FT_Int1*(INT((AT124-FT_First)/FT_Int1)+1)),FT_Y5+12*INT((AT124-FT_Y5)/12)+FT_Int2*(INT(MOD(AT124-FT_Y5,12)/FT_Int2)+1))),IF(AS124="PT",IF(AT124&lt;PT_First,PT_First,PT_First+PT_Int*(INT((AT124-PT_First)/PT_Int)+1)),"")))</f>
        <v/>
      </c>
      <c r="BC124" s="14" t="str">
        <f aca="false">IF(AG124=0,"",IF(NOT(LH_Ready),0,COUNTIFS(INDEX(LH_Data,0,LH_ColFirst),$A124,INDEX(LH_Data,0,LH_ColSur),$B124,INDEX(LH_Data,0,LH_ColCat),BonusCat)))</f>
        <v/>
      </c>
      <c r="BD124" s="14" t="str">
        <f aca="false">IF(AG124=0,"",IF(OR(NOT(LH_Ready),BC124=0),0,SUMPRODUCT(MAX((INDEX(LH_Data,0,LH_ColFirst)=$A124)*(INDEX(LH_Data,0,LH_ColSur)=$B124)*(INDEX(LH_Data,0,LH_ColCat)=BonusCat)*ROW(LH_Data)))))</f>
        <v/>
      </c>
      <c r="BE124" s="14" t="str">
        <f aca="false">IF(AG124=0,"",IF(EOMONTH(AsOfDate,-1)&lt;AH124,-1,12*(YEAR(EOMONTH(AsOfDate,-1))-YEAR(AH124))+MONTH(EOMONTH(AsOfDate,-1))-MONTH(AH124)-IF(DAY(EOMONTH(AsOfDate,-1))&lt;MIN(DAY(AH124),DAY(EOMONTH(EOMONTH(AsOfDate,-1),0))),1,0)))</f>
        <v/>
      </c>
      <c r="BF124" s="14" t="str">
        <f aca="false">IF(AG124=0,"",IF(OR(AI124&lt;2,AK124&gt;EOMONTH(AsOfDate,-1)),BE124,IF((AK124-1)&lt;AH124,-1,12*(YEAR((AK124-1))-YEAR(AH124))+MONTH((AK124-1))-MONTH(AH124)-IF(DAY((AK124-1))&lt;MIN(DAY(AH124),DAY(EOMONTH((AK124-1),0))),1,0))))</f>
        <v/>
      </c>
      <c r="BG124" s="14" t="str">
        <f aca="false">IF(AG124=0,"",IF(OR(AI124&lt;3,AL124&gt;EOMONTH(AsOfDate,-1)),BE124,IF((AL124-1)&lt;AH124,-1,12*(YEAR((AL124-1))-YEAR(AH124))+MONTH((AL124-1))-MONTH(AH124)-IF(DAY((AL124-1))&lt;MIN(DAY(AH124),DAY(EOMONTH((AL124-1),0))),1,0))))</f>
        <v/>
      </c>
      <c r="BH124" s="14" t="str">
        <f aca="false">IF(AG124=0,"",IF(AP124="FT",IF(BF124&lt;FT_First,0,IF(BF124&lt;FT_Y5,1+INT((BF124-FT_First)/FT_Int1),FT_PreY5+FT_PerYear*INT((BF124-FT_Y5)/12)+FT_AnnivDays+INT(MOD(BF124-FT_Y5,12)/FT_Int2))),IF(AP124="PT",IF(BF124&lt;PT_First,0,1+INT((BF124-PT_First)/PT_Int)),0))+IF(AND(AI124&gt;=2,AK124&lt;=EOMONTH(AsOfDate,-1)),IF(AQ124="FT",IF(BG124&lt;FT_First,0,IF(BG124&lt;FT_Y5,1+INT((BG124-FT_First)/FT_Int1),FT_PreY5+FT_PerYear*INT((BG124-FT_Y5)/12)+FT_AnnivDays+INT(MOD(BG124-FT_Y5,12)/FT_Int2))),IF(AQ124="PT",IF(BG124&lt;PT_First,0,1+INT((BG124-PT_First)/PT_Int)),0))-IF(AQ124="FT",IF(BF124&lt;FT_First,0,IF(BF124&lt;FT_Y5,1+INT((BF124-FT_First)/FT_Int1),FT_PreY5+FT_PerYear*INT((BF124-FT_Y5)/12)+FT_AnnivDays+INT(MOD(BF124-FT_Y5,12)/FT_Int2))),IF(AQ124="PT",IF(BF124&lt;PT_First,0,1+INT((BF124-PT_First)/PT_Int)),0)),0)+IF(AND(AI124&gt;=3,AL124&lt;=EOMONTH(AsOfDate,-1)),IF(AR124="FT",IF(BE124&lt;FT_First,0,IF(BE124&lt;FT_Y5,1+INT((BE124-FT_First)/FT_Int1),FT_PreY5+FT_PerYear*INT((BE124-FT_Y5)/12)+FT_AnnivDays+INT(MOD(BE124-FT_Y5,12)/FT_Int2))),IF(AR124="PT",IF(BE124&lt;PT_First,0,1+INT((BE124-PT_First)/PT_Int)),0))-IF(AR124="FT",IF(BG124&lt;FT_First,0,IF(BG124&lt;FT_Y5,1+INT((BG124-FT_First)/FT_Int1),FT_PreY5+FT_PerYear*INT((BG124-FT_Y5)/12)+FT_AnnivDays+INT(MOD(BG124-FT_Y5,12)/FT_Int2))),IF(AR124="PT",IF(BG124&lt;PT_First,0,1+INT((BG124-PT_First)/PT_Int)),0)),0))</f>
        <v/>
      </c>
      <c r="BI124" s="14" t="str">
        <f aca="false">IF(AG124=0,"",IF(AS124="FT",IF(AT124&lt;FT_First,"",IF(AT124&lt;FT_Y5,FT_First+FT_Int1*INT((AT124-FT_First)/FT_Int1),FT_Y5+FT_Int2*INT((AT124-FT_Y5)/FT_Int2))),IF(AS124="PT",IF(AT124&lt;PT_First,"",PT_First+PT_Int*INT((AT124-PT_First)/PT_Int)),"")))</f>
        <v/>
      </c>
      <c r="BJ124" s="0" t="str">
        <f aca="false">IF(LEN($A124&amp;$B124)=0,"",$A124&amp;" "&amp;$B124)</f>
        <v/>
      </c>
    </row>
    <row r="125" customFormat="false" ht="15" hidden="false" customHeight="false" outlineLevel="0" collapsed="false">
      <c r="A125" s="10"/>
      <c r="B125" s="10"/>
      <c r="C125" s="10"/>
      <c r="D125" s="11"/>
      <c r="E125" s="12" t="str">
        <f aca="false">IF(OR(AG125=0,$D125=""),"",DATE(YEAR(AsOfDate)+IF(DATE(YEAR(AsOfDate),MONTH($D125),DAY($D125))&lt;=AsOfDate,1,0),MONTH($D125),DAY($D125)))</f>
        <v/>
      </c>
      <c r="F125" s="11"/>
      <c r="G125" s="11"/>
      <c r="H125" s="11"/>
      <c r="I125" s="11"/>
      <c r="J125" s="11"/>
      <c r="K125" s="12" t="str">
        <f aca="false">IF(AG125=0,"",DATE(YEAR(AsOfDate)+IF(DATE(YEAR(AsOfDate),MONTH(AH125),DAY(AH125))&lt;=AsOfDate,1,0),MONTH(AH125),DAY(AH125)))</f>
        <v/>
      </c>
      <c r="L125" s="13" t="str">
        <f aca="false">IF(AG125=0,"",ROUND((AsOfDate-AH125)/365.25,1))</f>
        <v/>
      </c>
      <c r="M125" s="14" t="str">
        <f aca="false">IF(AG125=0,"",IF(AsOfDate&lt;AH125,"-",DATEDIF(AH125,AsOfDate,"y")&amp;"y "&amp;DATEDIF(AH125,AsOfDate,"ym")&amp;"m "&amp;DATEDIF(AH125,AsOfDate,"md")&amp;"d"))</f>
        <v/>
      </c>
      <c r="N125" s="15" t="str">
        <f aca="false">IF(AG125=0,"",O125*HoursPerDay)</f>
        <v/>
      </c>
      <c r="O125" s="15" t="str">
        <f aca="false">IF(AG125=0,"",AZ125)</f>
        <v/>
      </c>
      <c r="P125" s="16"/>
      <c r="Q125" s="14" t="str">
        <f aca="false">IF(AG125=0,"",IF(AI125&lt;2,"",AM125&amp;" to "&amp;AN125&amp;" on "&amp;TEXT(AK125,"dd/mm/yyyy")&amp;IF(AK125&gt;AsOfDate," (future)",IF(AP125=AQ125,"",IF(AQ125="None"," - STOPPED accruing",IF(AP125="None"," - commencement for Bonus Leave"," - pathway changed"))))&amp;IF(AI125&lt;3,"","; "&amp;AN125&amp;" to "&amp;AO125&amp;" on "&amp;TEXT(AL125,"dd/mm/yyyy")&amp;IF(AL125&gt;AsOfDate," (future)",IF(AQ125=AR125,"",IF(AR125="None"," - STOPPED accruing",IF(AQ125="None"," - commencement for Bonus Leave"," - pathway changed")))))))</f>
        <v/>
      </c>
      <c r="R125" s="14" t="str">
        <f aca="false">IF(AG125=0,"",IF(AS125="None",IF(O125&gt;0,"No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2" t="str">
        <f aca="false">IF(AG125=0,"",IF(AS125="None","",EDATE(AH125,BB125)))</f>
        <v/>
      </c>
      <c r="T125" s="15" t="str">
        <f aca="false">IF(AG125=0,"",IF(NOT(LH_Ready),"",IF(AH125&gt;PFYDate,0,IF(LH_ColPeriod=0,W125-U125+V125,SUMIFS(INDEX(LH_Data,0,LH_ColAcc),INDEX(LH_Data,0,LH_ColFirst),$A125,INDEX(LH_Data,0,LH_ColSur),$B125,INDEX(LH_Data,0,LH_ColCat),BonusCat,INDEX(LH_Data,0,LH_ColPeriod),LH_OpenLabel)*UnitFactor))))</f>
        <v/>
      </c>
      <c r="U125" s="15" t="str">
        <f aca="false">IF(AG125=0,"",IF(NOT(LH_Ready),"",SUMIFS(INDEX(LH_Data,0,LH_ColAcc),INDEX(LH_Data,0,LH_ColFirst),$A125,INDEX(LH_Data,0,LH_ColSur),$B125,INDEX(LH_Data,0,LH_ColCat),BonusCat,INDEX(LH_Data,0,LH_ColStart),"&gt;="&amp;AH125)*UnitFactor))</f>
        <v/>
      </c>
      <c r="V125" s="15" t="str">
        <f aca="false">IF(AG125=0,"",IF(NOT(LH_Ready),"",SUMIFS(INDEX(LH_Data,0,LH_ColTaken),INDEX(LH_Data,0,LH_ColFirst),$A125,INDEX(LH_Data,0,LH_ColSur),$B125,INDEX(LH_Data,0,LH_ColCat),BonusCat,INDEX(LH_Data,0,LH_ColStart),"&gt;="&amp;AH125)*UnitFactor))</f>
        <v/>
      </c>
      <c r="W125" s="15" t="str">
        <f aca="false">IF(AG125=0,"",IF(NOT(LH_Ready),"",IF(BD125=0,0,INDEX(INDEX(LH_Data,0,LH_ColClose),BD125-1)*UnitFactor)))</f>
        <v/>
      </c>
      <c r="X125" s="15" t="str">
        <f aca="false">IF(AG125=0,"",(AZ125-BA125)*HoursPerDay)</f>
        <v/>
      </c>
      <c r="Y125" s="15" t="str">
        <f aca="false">IF(AG125=0,"",IF(NOT(LH_Ready),"",IF(BC125=0,N125,IF(PFYDate&lt;$F125,N125-N(T125)-N(U125),X125-N(U125)))))</f>
        <v/>
      </c>
      <c r="Z125" s="14" t="str">
        <f aca="false">IF(OR(AG125=0,Y125=""),"",IF(Y125&gt;0,"Yes","No"))</f>
        <v/>
      </c>
      <c r="AA125" s="14" t="str">
        <f aca="false">IF(AG125=0,IF(LEN($A125&amp;$B125)=0,"","FIX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month")&amp;IF(BC125=0,";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EH)",""),IF(AS125="None",R125,"Not yet - first day on "&amp;TEXT(S125,"dd/mm/yyyy")))))))))</f>
        <v/>
      </c>
      <c r="AB125" s="15" t="str">
        <f aca="false">IF(OR(AG125=0,T125=""),"",BA125*HoursPerDay-T125)</f>
        <v/>
      </c>
      <c r="AC125" s="14" t="str">
        <f aca="false">IF(AG125=0,"",BC125)</f>
        <v/>
      </c>
      <c r="AD125" s="14" t="str">
        <f aca="false">IF(AG125=0,"",TRIM(IF(OR(ISTEXT($F125),ISTEXT($H125),ISTEXT($I125),ISTEXT($G125),ISTEXT($J125),ISTEXT($D125)),"A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I125&gt;=1,IF(AI125&gt;=3,AO125,IF(AI125=2,AN125,AM125))&lt;&gt;IF($C125="","",IF(OR(ISNUMBER(SEARCH("full",$C125)),UPPER(TRIM($C125))="FT",UPPER(TRIM($C125))="FTE"),"Full-Time",IF(OR(ISNUMBER(SEARCH("part",$C125)),UPPER(TRIM($C125))="PT",UPPER(TRIM($C125))="PTE"),"Part-Time",IF(OR(ISNUMBER(SEARCH("cas",$C125)),UPPER(TRIM($C125))="CAS"),"Casual","Unknown"))))),"EmploymentType does not match latest start date ("&amp;IF(AI125&gt;=3,AO125,IF(AI125=2,AN125,AM125))&amp;"). ","")&amp;IF(AND(AI125&gt;=1,AJ125&lt;&gt;$F125),"Earliest type date should equal StartDate. ","")&amp;IF(AND(AI125&gt;=2,AJ125=AK125),"Two types start on the same date. ","")&amp;IF(AND(OR(ISNUMBER(SEARCH("part",$C125)),UPPER(TRIM($C125))="PT",UPPER(TRIM($C125))="PTE"),$P125=""),"Part-time: enter PT Hrs/Week (blank = 24+). ","")))</f>
        <v/>
      </c>
      <c r="AE125" s="15" t="str">
        <f aca="false">IF(AG125=0,"",O125-BH125)</f>
        <v/>
      </c>
      <c r="AF125" s="12" t="str">
        <f aca="false">IF(OR(AG125=0,AE125="",N(AE125)=0,BI125=""),"",EDATE(AH125,BI125))</f>
        <v/>
      </c>
      <c r="AG125" s="14" t="n">
        <f aca="false">IF(OR(LEN($A125&amp;$B125)=0,$F125=""),0,1)</f>
        <v>0</v>
      </c>
      <c r="AH125" s="12" t="str">
        <f aca="false">IF(AG125=0,"",IF($J125&lt;&gt;"",$J125,IF(OR(CasualCounts="Yes",COUNT($G125:$I125)=0,COUNT($H125:$I125)=0),$F125,MIN($H125:$I125))))</f>
        <v/>
      </c>
      <c r="AI125" s="14" t="str">
        <f aca="false">IF(AG125=0,"",COUNT($G125:$I125))</f>
        <v/>
      </c>
      <c r="AJ125" s="12" t="str">
        <f aca="false">IF(AG125=0,"",IFERROR(SMALL($G125:$I125,1),""))</f>
        <v/>
      </c>
      <c r="AK125" s="12" t="str">
        <f aca="false">IF(AG125=0,"",IFERROR(SMALL($G125:$I125,2),""))</f>
        <v/>
      </c>
      <c r="AL125" s="12" t="str">
        <f aca="false">IF(AG125=0,"",IFERROR(SMALL($G125:$I125,3),""))</f>
        <v/>
      </c>
      <c r="AM125" s="14" t="str">
        <f aca="false">IF(AG125=0,"",IF(AJ125="","",IF(AJ125=$H125,"Part-Time",IF(AJ125=$I125,"Full-Time","Casual"))))</f>
        <v/>
      </c>
      <c r="AN125" s="14" t="str">
        <f aca="false">IF(AG125=0,"",IF(AK125="","",IF(AK125=$H125,"Part-Time",IF(AK125=$I125,"Full-Time","Casual"))))</f>
        <v/>
      </c>
      <c r="AO125" s="14" t="str">
        <f aca="false">IF(AG125=0,"",IF(AL125="","",IF(AL125=$H125,"Part-Time",IF(AL125=$I125,"Full-Time","Casual"))))</f>
        <v/>
      </c>
      <c r="AP125" s="14" t="str">
        <f aca="false">IF(AG125=0,"",IF(AI125=0,IF(OR(ISNUMBER(SEARCH("full",$C125)),UPPER(TRIM($C125))="FT",UPPER(TRIM($C125))="FTE"),"FT",IF(AND(OR(ISNUMBER(SEARCH("part",$C125)),UPPER(TRIM($C125))="PT",UPPER(TRIM($C125))="PTE"),OR($P125="",N($P125)&gt;=PT_MinHours)),"PT","None")),IF(OR(ISNUMBER(SEARCH("full",AM125)),UPPER(TRIM(AM125))="FT",UPPER(TRIM(AM125))="FTE"),"FT",IF(AND(OR(ISNUMBER(SEARCH("part",AM125)),UPPER(TRIM(AM125))="PT",UPPER(TRIM(AM125))="PTE"),OR($P125="",N($P125)&gt;=PT_MinHours)),"PT","None"))))</f>
        <v/>
      </c>
      <c r="AQ125" s="14" t="str">
        <f aca="false">IF(AG125=0,"",IF(AI125&lt;2,"",IF(OR(ISNUMBER(SEARCH("full",AN125)),UPPER(TRIM(AN125))="FT",UPPER(TRIM(AN125))="FTE"),"FT",IF(AND(OR(ISNUMBER(SEARCH("part",AN125)),UPPER(TRIM(AN125))="PT",UPPER(TRIM(AN125))="PTE"),OR($P125="",N($P125)&gt;=PT_MinHours)),"PT","None"))))</f>
        <v/>
      </c>
      <c r="AR125" s="14" t="str">
        <f aca="false">IF(AG125=0,"",IF(AI125&lt;3,"",IF(OR(ISNUMBER(SEARCH("full",AO125)),UPPER(TRIM(AO125))="FT",UPPER(TRIM(AO125))="FTE"),"FT",IF(AND(OR(ISNUMBER(SEARCH("part",AO125)),UPPER(TRIM(AO125))="PT",UPPER(TRIM(AO125))="PTE"),OR($P125="",N($P125)&gt;=PT_MinHours)),"PT","None"))))</f>
        <v/>
      </c>
      <c r="AS125" s="14" t="str">
        <f aca="false">IF(AG125=0,"",IF(AND(AI125&gt;=3,AL125&lt;=AsOfDate),AR125,IF(AND(AI125&gt;=2,AK125&lt;=AsOfDate),AQ125,AP125)))</f>
        <v/>
      </c>
      <c r="AT125" s="14" t="str">
        <f aca="false">IF(AG125=0,"",IF(AsOfDate&lt;AH125,-1,12*(YEAR(AsOfDate)-YEAR(AH125))+MONTH(AsOfDate)-MONTH(AH125)-IF(DAY(AsOfDate)&lt;MIN(DAY(AH125),DAY(EOMONTH(AsOfDate,0))),1,0)))</f>
        <v/>
      </c>
      <c r="AU125" s="14" t="str">
        <f aca="false">IF(AG125=0,"",IF(OR(AI125&lt;2,AK125&gt;AsOfDate),AT125,IF((AK125-1)&lt;AH125,-1,12*(YEAR((AK125-1))-YEAR(AH125))+MONTH((AK125-1))-MONTH(AH125)-IF(DAY((AK125-1))&lt;MIN(DAY(AH125),DAY(EOMONTH((AK125-1),0))),1,0))))</f>
        <v/>
      </c>
      <c r="AV125" s="14" t="str">
        <f aca="false">IF(AG125=0,"",IF(OR(AI125&lt;3,AL125&gt;AsOfDate),AT125,IF((AL125-1)&lt;AH125,-1,12*(YEAR((AL125-1))-YEAR(AH125))+MONTH((AL125-1))-MONTH(AH125)-IF(DAY((AL125-1))&lt;MIN(DAY(AH125),DAY(EOMONTH((AL125-1),0))),1,0))))</f>
        <v/>
      </c>
      <c r="AW125" s="14" t="str">
        <f aca="false">IF(AG125=0,"",IF(PFYDate&lt;AH125,-1,12*(YEAR(PFYDate)-YEAR(AH125))+MONTH(PFYDate)-MONTH(AH125)-IF(DAY(PFYDate)&lt;MIN(DAY(AH125),DAY(EOMONTH(PFYDate,0))),1,0)))</f>
        <v/>
      </c>
      <c r="AX125" s="14" t="str">
        <f aca="false">IF(AG125=0,"",IF(OR(AI125&lt;2,AK125&gt;PFYDate),AW125,IF((AK125-1)&lt;AH125,-1,12*(YEAR((AK125-1))-YEAR(AH125))+MONTH((AK125-1))-MONTH(AH125)-IF(DAY((AK125-1))&lt;MIN(DAY(AH125),DAY(EOMONTH((AK125-1),0))),1,0))))</f>
        <v/>
      </c>
      <c r="AY125" s="14" t="str">
        <f aca="false">IF(AG125=0,"",IF(OR(AI125&lt;3,AL125&gt;PFYDate),AW125,IF((AL125-1)&lt;AH125,-1,12*(YEAR((AL125-1))-YEAR(AH125))+MONTH((AL125-1))-MONTH(AH125)-IF(DAY((AL125-1))&lt;MIN(DAY(AH125),DAY(EOMONTH((AL125-1),0))),1,0))))</f>
        <v/>
      </c>
      <c r="AZ125" s="14" t="str">
        <f aca="false">IF(AG125=0,"",IF(AP125="FT",IF(AU125&lt;FT_First,0,IF(AU125&lt;FT_Y5,1+INT((AU125-FT_First)/FT_Int1),FT_PreY5+FT_PerYear*INT((AU125-FT_Y5)/12)+FT_AnnivDays+INT(MOD(AU125-FT_Y5,12)/FT_Int2))),IF(AP125="PT",IF(AU125&lt;PT_First,0,1+INT((AU125-PT_First)/PT_Int)),0))+IF(AND(AI125&gt;=2,AK125&lt;=AsOfDate),IF(AQ125="FT",IF(AV125&lt;FT_First,0,IF(AV125&lt;FT_Y5,1+INT((AV125-FT_First)/FT_Int1),FT_PreY5+FT_PerYear*INT((AV125-FT_Y5)/12)+FT_AnnivDays+INT(MOD(AV125-FT_Y5,12)/FT_Int2))),IF(AQ125="PT",IF(AV125&lt;PT_First,0,1+INT((AV125-PT_First)/PT_Int)),0))-IF(AQ125="FT",IF(AU125&lt;FT_First,0,IF(AU125&lt;FT_Y5,1+INT((AU125-FT_First)/FT_Int1),FT_PreY5+FT_PerYear*INT((AU125-FT_Y5)/12)+FT_AnnivDays+INT(MOD(AU125-FT_Y5,12)/FT_Int2))),IF(AQ125="PT",IF(AU125&lt;PT_First,0,1+INT((AU125-PT_First)/PT_Int)),0)),0)+IF(AND(AI125&gt;=3,AL125&lt;=AsOfDate),IF(AR125="FT",IF(AT125&lt;FT_First,0,IF(AT125&lt;FT_Y5,1+INT((AT125-FT_First)/FT_Int1),FT_PreY5+FT_PerYear*INT((AT125-FT_Y5)/12)+FT_AnnivDays+INT(MOD(AT125-FT_Y5,12)/FT_Int2))),IF(AR125="PT",IF(AT125&lt;PT_First,0,1+INT((AT125-PT_First)/PT_Int)),0))-IF(AR125="FT",IF(AV125&lt;FT_First,0,IF(AV125&lt;FT_Y5,1+INT((AV125-FT_First)/FT_Int1),FT_PreY5+FT_PerYear*INT((AV125-FT_Y5)/12)+FT_AnnivDays+INT(MOD(AV125-FT_Y5,12)/FT_Int2))),IF(AR125="PT",IF(AV125&lt;PT_First,0,1+INT((AV125-PT_First)/PT_Int)),0)),0))</f>
        <v/>
      </c>
      <c r="BA125" s="14" t="str">
        <f aca="false">IF(AG125=0,"",IF(AP125="FT",IF(AX125&lt;FT_First,0,IF(AX125&lt;FT_Y5,1+INT((AX125-FT_First)/FT_Int1),FT_PreY5+FT_PerYear*INT((AX125-FT_Y5)/12)+FT_AnnivDays+INT(MOD(AX125-FT_Y5,12)/FT_Int2))),IF(AP125="PT",IF(AX125&lt;PT_First,0,1+INT((AX125-PT_First)/PT_Int)),0))+IF(AND(AI125&gt;=2,AK125&lt;=PFYDate),IF(AQ125="FT",IF(AY125&lt;FT_First,0,IF(AY125&lt;FT_Y5,1+INT((AY125-FT_First)/FT_Int1),FT_PreY5+FT_PerYear*INT((AY125-FT_Y5)/12)+FT_AnnivDays+INT(MOD(AY125-FT_Y5,12)/FT_Int2))),IF(AQ125="PT",IF(AY125&lt;PT_First,0,1+INT((AY125-PT_First)/PT_Int)),0))-IF(AQ125="FT",IF(AX125&lt;FT_First,0,IF(AX125&lt;FT_Y5,1+INT((AX125-FT_First)/FT_Int1),FT_PreY5+FT_PerYear*INT((AX125-FT_Y5)/12)+FT_AnnivDays+INT(MOD(AX125-FT_Y5,12)/FT_Int2))),IF(AQ125="PT",IF(AX125&lt;PT_First,0,1+INT((AX125-PT_First)/PT_Int)),0)),0)+IF(AND(AI125&gt;=3,AL125&lt;=PFYDate),IF(AR125="FT",IF(AW125&lt;FT_First,0,IF(AW125&lt;FT_Y5,1+INT((AW125-FT_First)/FT_Int1),FT_PreY5+FT_PerYear*INT((AW125-FT_Y5)/12)+FT_AnnivDays+INT(MOD(AW125-FT_Y5,12)/FT_Int2))),IF(AR125="PT",IF(AW125&lt;PT_First,0,1+INT((AW125-PT_First)/PT_Int)),0))-IF(AR125="FT",IF(AY125&lt;FT_First,0,IF(AY125&lt;FT_Y5,1+INT((AY125-FT_First)/FT_Int1),FT_PreY5+FT_PerYear*INT((AY125-FT_Y5)/12)+FT_AnnivDays+INT(MOD(AY125-FT_Y5,12)/FT_Int2))),IF(AR125="PT",IF(AY125&lt;PT_First,0,1+INT((AY125-PT_First)/PT_Int)),0)),0))</f>
        <v/>
      </c>
      <c r="BB125" s="14" t="str">
        <f aca="false">IF(AG125=0,"",IF(AS125="FT",IF(AT125&lt;FT_First,FT_First,IF(AT125&lt;FT_Y5,MIN(FT_Y5,FT_First+FT_Int1*(INT((AT125-FT_First)/FT_Int1)+1)),FT_Y5+12*INT((AT125-FT_Y5)/12)+FT_Int2*(INT(MOD(AT125-FT_Y5,12)/FT_Int2)+1))),IF(AS125="PT",IF(AT125&lt;PT_First,PT_First,PT_First+PT_Int*(INT((AT125-PT_First)/PT_Int)+1)),"")))</f>
        <v/>
      </c>
      <c r="BC125" s="14" t="str">
        <f aca="false">IF(AG125=0,"",IF(NOT(LH_Ready),0,COUNTIFS(INDEX(LH_Data,0,LH_ColFirst),$A125,INDEX(LH_Data,0,LH_ColSur),$B125,INDEX(LH_Data,0,LH_ColCat),BonusCat)))</f>
        <v/>
      </c>
      <c r="BD125" s="14" t="str">
        <f aca="false">IF(AG125=0,"",IF(OR(NOT(LH_Ready),BC125=0),0,SUMPRODUCT(MAX((INDEX(LH_Data,0,LH_ColFirst)=$A125)*(INDEX(LH_Data,0,LH_ColSur)=$B125)*(INDEX(LH_Data,0,LH_ColCat)=BonusCat)*ROW(LH_Data)))))</f>
        <v/>
      </c>
      <c r="BE125" s="14" t="str">
        <f aca="false">IF(AG125=0,"",IF(EOMONTH(AsOfDate,-1)&lt;AH125,-1,12*(YEAR(EOMONTH(AsOfDate,-1))-YEAR(AH125))+MONTH(EOMONTH(AsOfDate,-1))-MONTH(AH125)-IF(DAY(EOMONTH(AsOfDate,-1))&lt;MIN(DAY(AH125),DAY(EOMONTH(EOMONTH(AsOfDate,-1),0))),1,0)))</f>
        <v/>
      </c>
      <c r="BF125" s="14" t="str">
        <f aca="false">IF(AG125=0,"",IF(OR(AI125&lt;2,AK125&gt;EOMONTH(AsOfDate,-1)),BE125,IF((AK125-1)&lt;AH125,-1,12*(YEAR((AK125-1))-YEAR(AH125))+MONTH((AK125-1))-MONTH(AH125)-IF(DAY((AK125-1))&lt;MIN(DAY(AH125),DAY(EOMONTH((AK125-1),0))),1,0))))</f>
        <v/>
      </c>
      <c r="BG125" s="14" t="str">
        <f aca="false">IF(AG125=0,"",IF(OR(AI125&lt;3,AL125&gt;EOMONTH(AsOfDate,-1)),BE125,IF((AL125-1)&lt;AH125,-1,12*(YEAR((AL125-1))-YEAR(AH125))+MONTH((AL125-1))-MONTH(AH125)-IF(DAY((AL125-1))&lt;MIN(DAY(AH125),DAY(EOMONTH((AL125-1),0))),1,0))))</f>
        <v/>
      </c>
      <c r="BH125" s="14" t="str">
        <f aca="false">IF(AG125=0,"",IF(AP125="FT",IF(BF125&lt;FT_First,0,IF(BF125&lt;FT_Y5,1+INT((BF125-FT_First)/FT_Int1),FT_PreY5+FT_PerYear*INT((BF125-FT_Y5)/12)+FT_AnnivDays+INT(MOD(BF125-FT_Y5,12)/FT_Int2))),IF(AP125="PT",IF(BF125&lt;PT_First,0,1+INT((BF125-PT_First)/PT_Int)),0))+IF(AND(AI125&gt;=2,AK125&lt;=EOMONTH(AsOfDate,-1)),IF(AQ125="FT",IF(BG125&lt;FT_First,0,IF(BG125&lt;FT_Y5,1+INT((BG125-FT_First)/FT_Int1),FT_PreY5+FT_PerYear*INT((BG125-FT_Y5)/12)+FT_AnnivDays+INT(MOD(BG125-FT_Y5,12)/FT_Int2))),IF(AQ125="PT",IF(BG125&lt;PT_First,0,1+INT((BG125-PT_First)/PT_Int)),0))-IF(AQ125="FT",IF(BF125&lt;FT_First,0,IF(BF125&lt;FT_Y5,1+INT((BF125-FT_First)/FT_Int1),FT_PreY5+FT_PerYear*INT((BF125-FT_Y5)/12)+FT_AnnivDays+INT(MOD(BF125-FT_Y5,12)/FT_Int2))),IF(AQ125="PT",IF(BF125&lt;PT_First,0,1+INT((BF125-PT_First)/PT_Int)),0)),0)+IF(AND(AI125&gt;=3,AL125&lt;=EOMONTH(AsOfDate,-1)),IF(AR125="FT",IF(BE125&lt;FT_First,0,IF(BE125&lt;FT_Y5,1+INT((BE125-FT_First)/FT_Int1),FT_PreY5+FT_PerYear*INT((BE125-FT_Y5)/12)+FT_AnnivDays+INT(MOD(BE125-FT_Y5,12)/FT_Int2))),IF(AR125="PT",IF(BE125&lt;PT_First,0,1+INT((BE125-PT_First)/PT_Int)),0))-IF(AR125="FT",IF(BG125&lt;FT_First,0,IF(BG125&lt;FT_Y5,1+INT((BG125-FT_First)/FT_Int1),FT_PreY5+FT_PerYear*INT((BG125-FT_Y5)/12)+FT_AnnivDays+INT(MOD(BG125-FT_Y5,12)/FT_Int2))),IF(AR125="PT",IF(BG125&lt;PT_First,0,1+INT((BG125-PT_First)/PT_Int)),0)),0))</f>
        <v/>
      </c>
      <c r="BI125" s="14" t="str">
        <f aca="false">IF(AG125=0,"",IF(AS125="FT",IF(AT125&lt;FT_First,"",IF(AT125&lt;FT_Y5,FT_First+FT_Int1*INT((AT125-FT_First)/FT_Int1),FT_Y5+FT_Int2*INT((AT125-FT_Y5)/FT_Int2))),IF(AS125="PT",IF(AT125&lt;PT_First,"",PT_First+PT_Int*INT((AT125-PT_First)/PT_Int)),"")))</f>
        <v/>
      </c>
      <c r="BJ125" s="0" t="str">
        <f aca="false">IF(LEN($A125&amp;$B125)=0,"",$A125&amp;" "&amp;$B125)</f>
        <v/>
      </c>
    </row>
    <row r="126" customFormat="false" ht="15" hidden="false" customHeight="false" outlineLevel="0" collapsed="false">
      <c r="A126" s="10"/>
      <c r="B126" s="10"/>
      <c r="C126" s="10"/>
      <c r="D126" s="11"/>
      <c r="E126" s="12" t="str">
        <f aca="false">IF(OR(AG126=0,$D126=""),"",DATE(YEAR(AsOfDate)+IF(DATE(YEAR(AsOfDate),MONTH($D126),DAY($D126))&lt;=AsOfDate,1,0),MONTH($D126),DAY($D126)))</f>
        <v/>
      </c>
      <c r="F126" s="11"/>
      <c r="G126" s="11"/>
      <c r="H126" s="11"/>
      <c r="I126" s="11"/>
      <c r="J126" s="11"/>
      <c r="K126" s="12" t="str">
        <f aca="false">IF(AG126=0,"",DATE(YEAR(AsOfDate)+IF(DATE(YEAR(AsOfDate),MONTH(AH126),DAY(AH126))&lt;=AsOfDate,1,0),MONTH(AH126),DAY(AH126)))</f>
        <v/>
      </c>
      <c r="L126" s="13" t="str">
        <f aca="false">IF(AG126=0,"",ROUND((AsOfDate-AH126)/365.25,1))</f>
        <v/>
      </c>
      <c r="M126" s="14" t="str">
        <f aca="false">IF(AG126=0,"",IF(AsOfDate&lt;AH126,"-",DATEDIF(AH126,AsOfDate,"y")&amp;"y "&amp;DATEDIF(AH126,AsOfDate,"ym")&amp;"m "&amp;DATEDIF(AH126,AsOfDate,"md")&amp;"d"))</f>
        <v/>
      </c>
      <c r="N126" s="15" t="str">
        <f aca="false">IF(AG126=0,"",O126*HoursPerDay)</f>
        <v/>
      </c>
      <c r="O126" s="15" t="str">
        <f aca="false">IF(AG126=0,"",AZ126)</f>
        <v/>
      </c>
      <c r="P126" s="16"/>
      <c r="Q126" s="14" t="str">
        <f aca="false">IF(AG126=0,"",IF(AI126&lt;2,"",AM126&amp;" to "&amp;AN126&amp;" on "&amp;TEXT(AK126,"dd/mm/yyyy")&amp;IF(AK126&gt;AsOfDate," (future)",IF(AP126=AQ126,"",IF(AQ126="None"," - STOPPED accruing",IF(AP126="None"," - commencement for Bonus Leave"," - pathway changed"))))&amp;IF(AI126&lt;3,"","; "&amp;AN126&amp;" to "&amp;AO126&amp;" on "&amp;TEXT(AL126,"dd/mm/yyyy")&amp;IF(AL126&gt;AsOfDate," (future)",IF(AQ126=AR126,"",IF(AR126="None"," - STOPPED accruing",IF(AQ126="None"," - commencement for Bonus Leave"," - pathway changed")))))))</f>
        <v/>
      </c>
      <c r="R126" s="14" t="str">
        <f aca="false">IF(AG126=0,"",IF(AS126="None",IF(O126&gt;0,"No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2" t="str">
        <f aca="false">IF(AG126=0,"",IF(AS126="None","",EDATE(AH126,BB126)))</f>
        <v/>
      </c>
      <c r="T126" s="15" t="str">
        <f aca="false">IF(AG126=0,"",IF(NOT(LH_Ready),"",IF(AH126&gt;PFYDate,0,IF(LH_ColPeriod=0,W126-U126+V126,SUMIFS(INDEX(LH_Data,0,LH_ColAcc),INDEX(LH_Data,0,LH_ColFirst),$A126,INDEX(LH_Data,0,LH_ColSur),$B126,INDEX(LH_Data,0,LH_ColCat),BonusCat,INDEX(LH_Data,0,LH_ColPeriod),LH_OpenLabel)*UnitFactor))))</f>
        <v/>
      </c>
      <c r="U126" s="15" t="str">
        <f aca="false">IF(AG126=0,"",IF(NOT(LH_Ready),"",SUMIFS(INDEX(LH_Data,0,LH_ColAcc),INDEX(LH_Data,0,LH_ColFirst),$A126,INDEX(LH_Data,0,LH_ColSur),$B126,INDEX(LH_Data,0,LH_ColCat),BonusCat,INDEX(LH_Data,0,LH_ColStart),"&gt;="&amp;AH126)*UnitFactor))</f>
        <v/>
      </c>
      <c r="V126" s="15" t="str">
        <f aca="false">IF(AG126=0,"",IF(NOT(LH_Ready),"",SUMIFS(INDEX(LH_Data,0,LH_ColTaken),INDEX(LH_Data,0,LH_ColFirst),$A126,INDEX(LH_Data,0,LH_ColSur),$B126,INDEX(LH_Data,0,LH_ColCat),BonusCat,INDEX(LH_Data,0,LH_ColStart),"&gt;="&amp;AH126)*UnitFactor))</f>
        <v/>
      </c>
      <c r="W126" s="15" t="str">
        <f aca="false">IF(AG126=0,"",IF(NOT(LH_Ready),"",IF(BD126=0,0,INDEX(INDEX(LH_Data,0,LH_ColClose),BD126-1)*UnitFactor)))</f>
        <v/>
      </c>
      <c r="X126" s="15" t="str">
        <f aca="false">IF(AG126=0,"",(AZ126-BA126)*HoursPerDay)</f>
        <v/>
      </c>
      <c r="Y126" s="15" t="str">
        <f aca="false">IF(AG126=0,"",IF(NOT(LH_Ready),"",IF(BC126=0,N126,IF(PFYDate&lt;$F126,N126-N(T126)-N(U126),X126-N(U126)))))</f>
        <v/>
      </c>
      <c r="Z126" s="14" t="str">
        <f aca="false">IF(OR(AG126=0,Y126=""),"",IF(Y126&gt;0,"Yes","No"))</f>
        <v/>
      </c>
      <c r="AA126" s="14" t="str">
        <f aca="false">IF(AG126=0,IF(LEN($A126&amp;$B126)=0,"","FIX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month")&amp;IF(BC126=0,";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EH)",""),IF(AS126="None",R126,"Not yet - first day on "&amp;TEXT(S126,"dd/mm/yyyy")))))))))</f>
        <v/>
      </c>
      <c r="AB126" s="15" t="str">
        <f aca="false">IF(OR(AG126=0,T126=""),"",BA126*HoursPerDay-T126)</f>
        <v/>
      </c>
      <c r="AC126" s="14" t="str">
        <f aca="false">IF(AG126=0,"",BC126)</f>
        <v/>
      </c>
      <c r="AD126" s="14" t="str">
        <f aca="false">IF(AG126=0,"",TRIM(IF(OR(ISTEXT($F126),ISTEXT($H126),ISTEXT($I126),ISTEXT($G126),ISTEXT($J126),ISTEXT($D126)),"A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I126&gt;=1,IF(AI126&gt;=3,AO126,IF(AI126=2,AN126,AM126))&lt;&gt;IF($C126="","",IF(OR(ISNUMBER(SEARCH("full",$C126)),UPPER(TRIM($C126))="FT",UPPER(TRIM($C126))="FTE"),"Full-Time",IF(OR(ISNUMBER(SEARCH("part",$C126)),UPPER(TRIM($C126))="PT",UPPER(TRIM($C126))="PTE"),"Part-Time",IF(OR(ISNUMBER(SEARCH("cas",$C126)),UPPER(TRIM($C126))="CAS"),"Casual","Unknown"))))),"EmploymentType does not match latest start date ("&amp;IF(AI126&gt;=3,AO126,IF(AI126=2,AN126,AM126))&amp;"). ","")&amp;IF(AND(AI126&gt;=1,AJ126&lt;&gt;$F126),"Earliest type date should equal StartDate. ","")&amp;IF(AND(AI126&gt;=2,AJ126=AK126),"Two types start on the same date. ","")&amp;IF(AND(OR(ISNUMBER(SEARCH("part",$C126)),UPPER(TRIM($C126))="PT",UPPER(TRIM($C126))="PTE"),$P126=""),"Part-time: enter PT Hrs/Week (blank = 24+). ","")))</f>
        <v/>
      </c>
      <c r="AE126" s="15" t="str">
        <f aca="false">IF(AG126=0,"",O126-BH126)</f>
        <v/>
      </c>
      <c r="AF126" s="12" t="str">
        <f aca="false">IF(OR(AG126=0,AE126="",N(AE126)=0,BI126=""),"",EDATE(AH126,BI126))</f>
        <v/>
      </c>
      <c r="AG126" s="14" t="n">
        <f aca="false">IF(OR(LEN($A126&amp;$B126)=0,$F126=""),0,1)</f>
        <v>0</v>
      </c>
      <c r="AH126" s="12" t="str">
        <f aca="false">IF(AG126=0,"",IF($J126&lt;&gt;"",$J126,IF(OR(CasualCounts="Yes",COUNT($G126:$I126)=0,COUNT($H126:$I126)=0),$F126,MIN($H126:$I126))))</f>
        <v/>
      </c>
      <c r="AI126" s="14" t="str">
        <f aca="false">IF(AG126=0,"",COUNT($G126:$I126))</f>
        <v/>
      </c>
      <c r="AJ126" s="12" t="str">
        <f aca="false">IF(AG126=0,"",IFERROR(SMALL($G126:$I126,1),""))</f>
        <v/>
      </c>
      <c r="AK126" s="12" t="str">
        <f aca="false">IF(AG126=0,"",IFERROR(SMALL($G126:$I126,2),""))</f>
        <v/>
      </c>
      <c r="AL126" s="12" t="str">
        <f aca="false">IF(AG126=0,"",IFERROR(SMALL($G126:$I126,3),""))</f>
        <v/>
      </c>
      <c r="AM126" s="14" t="str">
        <f aca="false">IF(AG126=0,"",IF(AJ126="","",IF(AJ126=$H126,"Part-Time",IF(AJ126=$I126,"Full-Time","Casual"))))</f>
        <v/>
      </c>
      <c r="AN126" s="14" t="str">
        <f aca="false">IF(AG126=0,"",IF(AK126="","",IF(AK126=$H126,"Part-Time",IF(AK126=$I126,"Full-Time","Casual"))))</f>
        <v/>
      </c>
      <c r="AO126" s="14" t="str">
        <f aca="false">IF(AG126=0,"",IF(AL126="","",IF(AL126=$H126,"Part-Time",IF(AL126=$I126,"Full-Time","Casual"))))</f>
        <v/>
      </c>
      <c r="AP126" s="14" t="str">
        <f aca="false">IF(AG126=0,"",IF(AI126=0,IF(OR(ISNUMBER(SEARCH("full",$C126)),UPPER(TRIM($C126))="FT",UPPER(TRIM($C126))="FTE"),"FT",IF(AND(OR(ISNUMBER(SEARCH("part",$C126)),UPPER(TRIM($C126))="PT",UPPER(TRIM($C126))="PTE"),OR($P126="",N($P126)&gt;=PT_MinHours)),"PT","None")),IF(OR(ISNUMBER(SEARCH("full",AM126)),UPPER(TRIM(AM126))="FT",UPPER(TRIM(AM126))="FTE"),"FT",IF(AND(OR(ISNUMBER(SEARCH("part",AM126)),UPPER(TRIM(AM126))="PT",UPPER(TRIM(AM126))="PTE"),OR($P126="",N($P126)&gt;=PT_MinHours)),"PT","None"))))</f>
        <v/>
      </c>
      <c r="AQ126" s="14" t="str">
        <f aca="false">IF(AG126=0,"",IF(AI126&lt;2,"",IF(OR(ISNUMBER(SEARCH("full",AN126)),UPPER(TRIM(AN126))="FT",UPPER(TRIM(AN126))="FTE"),"FT",IF(AND(OR(ISNUMBER(SEARCH("part",AN126)),UPPER(TRIM(AN126))="PT",UPPER(TRIM(AN126))="PTE"),OR($P126="",N($P126)&gt;=PT_MinHours)),"PT","None"))))</f>
        <v/>
      </c>
      <c r="AR126" s="14" t="str">
        <f aca="false">IF(AG126=0,"",IF(AI126&lt;3,"",IF(OR(ISNUMBER(SEARCH("full",AO126)),UPPER(TRIM(AO126))="FT",UPPER(TRIM(AO126))="FTE"),"FT",IF(AND(OR(ISNUMBER(SEARCH("part",AO126)),UPPER(TRIM(AO126))="PT",UPPER(TRIM(AO126))="PTE"),OR($P126="",N($P126)&gt;=PT_MinHours)),"PT","None"))))</f>
        <v/>
      </c>
      <c r="AS126" s="14" t="str">
        <f aca="false">IF(AG126=0,"",IF(AND(AI126&gt;=3,AL126&lt;=AsOfDate),AR126,IF(AND(AI126&gt;=2,AK126&lt;=AsOfDate),AQ126,AP126)))</f>
        <v/>
      </c>
      <c r="AT126" s="14" t="str">
        <f aca="false">IF(AG126=0,"",IF(AsOfDate&lt;AH126,-1,12*(YEAR(AsOfDate)-YEAR(AH126))+MONTH(AsOfDate)-MONTH(AH126)-IF(DAY(AsOfDate)&lt;MIN(DAY(AH126),DAY(EOMONTH(AsOfDate,0))),1,0)))</f>
        <v/>
      </c>
      <c r="AU126" s="14" t="str">
        <f aca="false">IF(AG126=0,"",IF(OR(AI126&lt;2,AK126&gt;AsOfDate),AT126,IF((AK126-1)&lt;AH126,-1,12*(YEAR((AK126-1))-YEAR(AH126))+MONTH((AK126-1))-MONTH(AH126)-IF(DAY((AK126-1))&lt;MIN(DAY(AH126),DAY(EOMONTH((AK126-1),0))),1,0))))</f>
        <v/>
      </c>
      <c r="AV126" s="14" t="str">
        <f aca="false">IF(AG126=0,"",IF(OR(AI126&lt;3,AL126&gt;AsOfDate),AT126,IF((AL126-1)&lt;AH126,-1,12*(YEAR((AL126-1))-YEAR(AH126))+MONTH((AL126-1))-MONTH(AH126)-IF(DAY((AL126-1))&lt;MIN(DAY(AH126),DAY(EOMONTH((AL126-1),0))),1,0))))</f>
        <v/>
      </c>
      <c r="AW126" s="14" t="str">
        <f aca="false">IF(AG126=0,"",IF(PFYDate&lt;AH126,-1,12*(YEAR(PFYDate)-YEAR(AH126))+MONTH(PFYDate)-MONTH(AH126)-IF(DAY(PFYDate)&lt;MIN(DAY(AH126),DAY(EOMONTH(PFYDate,0))),1,0)))</f>
        <v/>
      </c>
      <c r="AX126" s="14" t="str">
        <f aca="false">IF(AG126=0,"",IF(OR(AI126&lt;2,AK126&gt;PFYDate),AW126,IF((AK126-1)&lt;AH126,-1,12*(YEAR((AK126-1))-YEAR(AH126))+MONTH((AK126-1))-MONTH(AH126)-IF(DAY((AK126-1))&lt;MIN(DAY(AH126),DAY(EOMONTH((AK126-1),0))),1,0))))</f>
        <v/>
      </c>
      <c r="AY126" s="14" t="str">
        <f aca="false">IF(AG126=0,"",IF(OR(AI126&lt;3,AL126&gt;PFYDate),AW126,IF((AL126-1)&lt;AH126,-1,12*(YEAR((AL126-1))-YEAR(AH126))+MONTH((AL126-1))-MONTH(AH126)-IF(DAY((AL126-1))&lt;MIN(DAY(AH126),DAY(EOMONTH((AL126-1),0))),1,0))))</f>
        <v/>
      </c>
      <c r="AZ126" s="14" t="str">
        <f aca="false">IF(AG126=0,"",IF(AP126="FT",IF(AU126&lt;FT_First,0,IF(AU126&lt;FT_Y5,1+INT((AU126-FT_First)/FT_Int1),FT_PreY5+FT_PerYear*INT((AU126-FT_Y5)/12)+FT_AnnivDays+INT(MOD(AU126-FT_Y5,12)/FT_Int2))),IF(AP126="PT",IF(AU126&lt;PT_First,0,1+INT((AU126-PT_First)/PT_Int)),0))+IF(AND(AI126&gt;=2,AK126&lt;=AsOfDate),IF(AQ126="FT",IF(AV126&lt;FT_First,0,IF(AV126&lt;FT_Y5,1+INT((AV126-FT_First)/FT_Int1),FT_PreY5+FT_PerYear*INT((AV126-FT_Y5)/12)+FT_AnnivDays+INT(MOD(AV126-FT_Y5,12)/FT_Int2))),IF(AQ126="PT",IF(AV126&lt;PT_First,0,1+INT((AV126-PT_First)/PT_Int)),0))-IF(AQ126="FT",IF(AU126&lt;FT_First,0,IF(AU126&lt;FT_Y5,1+INT((AU126-FT_First)/FT_Int1),FT_PreY5+FT_PerYear*INT((AU126-FT_Y5)/12)+FT_AnnivDays+INT(MOD(AU126-FT_Y5,12)/FT_Int2))),IF(AQ126="PT",IF(AU126&lt;PT_First,0,1+INT((AU126-PT_First)/PT_Int)),0)),0)+IF(AND(AI126&gt;=3,AL126&lt;=AsOfDate),IF(AR126="FT",IF(AT126&lt;FT_First,0,IF(AT126&lt;FT_Y5,1+INT((AT126-FT_First)/FT_Int1),FT_PreY5+FT_PerYear*INT((AT126-FT_Y5)/12)+FT_AnnivDays+INT(MOD(AT126-FT_Y5,12)/FT_Int2))),IF(AR126="PT",IF(AT126&lt;PT_First,0,1+INT((AT126-PT_First)/PT_Int)),0))-IF(AR126="FT",IF(AV126&lt;FT_First,0,IF(AV126&lt;FT_Y5,1+INT((AV126-FT_First)/FT_Int1),FT_PreY5+FT_PerYear*INT((AV126-FT_Y5)/12)+FT_AnnivDays+INT(MOD(AV126-FT_Y5,12)/FT_Int2))),IF(AR126="PT",IF(AV126&lt;PT_First,0,1+INT((AV126-PT_First)/PT_Int)),0)),0))</f>
        <v/>
      </c>
      <c r="BA126" s="14" t="str">
        <f aca="false">IF(AG126=0,"",IF(AP126="FT",IF(AX126&lt;FT_First,0,IF(AX126&lt;FT_Y5,1+INT((AX126-FT_First)/FT_Int1),FT_PreY5+FT_PerYear*INT((AX126-FT_Y5)/12)+FT_AnnivDays+INT(MOD(AX126-FT_Y5,12)/FT_Int2))),IF(AP126="PT",IF(AX126&lt;PT_First,0,1+INT((AX126-PT_First)/PT_Int)),0))+IF(AND(AI126&gt;=2,AK126&lt;=PFYDate),IF(AQ126="FT",IF(AY126&lt;FT_First,0,IF(AY126&lt;FT_Y5,1+INT((AY126-FT_First)/FT_Int1),FT_PreY5+FT_PerYear*INT((AY126-FT_Y5)/12)+FT_AnnivDays+INT(MOD(AY126-FT_Y5,12)/FT_Int2))),IF(AQ126="PT",IF(AY126&lt;PT_First,0,1+INT((AY126-PT_First)/PT_Int)),0))-IF(AQ126="FT",IF(AX126&lt;FT_First,0,IF(AX126&lt;FT_Y5,1+INT((AX126-FT_First)/FT_Int1),FT_PreY5+FT_PerYear*INT((AX126-FT_Y5)/12)+FT_AnnivDays+INT(MOD(AX126-FT_Y5,12)/FT_Int2))),IF(AQ126="PT",IF(AX126&lt;PT_First,0,1+INT((AX126-PT_First)/PT_Int)),0)),0)+IF(AND(AI126&gt;=3,AL126&lt;=PFYDate),IF(AR126="FT",IF(AW126&lt;FT_First,0,IF(AW126&lt;FT_Y5,1+INT((AW126-FT_First)/FT_Int1),FT_PreY5+FT_PerYear*INT((AW126-FT_Y5)/12)+FT_AnnivDays+INT(MOD(AW126-FT_Y5,12)/FT_Int2))),IF(AR126="PT",IF(AW126&lt;PT_First,0,1+INT((AW126-PT_First)/PT_Int)),0))-IF(AR126="FT",IF(AY126&lt;FT_First,0,IF(AY126&lt;FT_Y5,1+INT((AY126-FT_First)/FT_Int1),FT_PreY5+FT_PerYear*INT((AY126-FT_Y5)/12)+FT_AnnivDays+INT(MOD(AY126-FT_Y5,12)/FT_Int2))),IF(AR126="PT",IF(AY126&lt;PT_First,0,1+INT((AY126-PT_First)/PT_Int)),0)),0))</f>
        <v/>
      </c>
      <c r="BB126" s="14" t="str">
        <f aca="false">IF(AG126=0,"",IF(AS126="FT",IF(AT126&lt;FT_First,FT_First,IF(AT126&lt;FT_Y5,MIN(FT_Y5,FT_First+FT_Int1*(INT((AT126-FT_First)/FT_Int1)+1)),FT_Y5+12*INT((AT126-FT_Y5)/12)+FT_Int2*(INT(MOD(AT126-FT_Y5,12)/FT_Int2)+1))),IF(AS126="PT",IF(AT126&lt;PT_First,PT_First,PT_First+PT_Int*(INT((AT126-PT_First)/PT_Int)+1)),"")))</f>
        <v/>
      </c>
      <c r="BC126" s="14" t="str">
        <f aca="false">IF(AG126=0,"",IF(NOT(LH_Ready),0,COUNTIFS(INDEX(LH_Data,0,LH_ColFirst),$A126,INDEX(LH_Data,0,LH_ColSur),$B126,INDEX(LH_Data,0,LH_ColCat),BonusCat)))</f>
        <v/>
      </c>
      <c r="BD126" s="14" t="str">
        <f aca="false">IF(AG126=0,"",IF(OR(NOT(LH_Ready),BC126=0),0,SUMPRODUCT(MAX((INDEX(LH_Data,0,LH_ColFirst)=$A126)*(INDEX(LH_Data,0,LH_ColSur)=$B126)*(INDEX(LH_Data,0,LH_ColCat)=BonusCat)*ROW(LH_Data)))))</f>
        <v/>
      </c>
      <c r="BE126" s="14" t="str">
        <f aca="false">IF(AG126=0,"",IF(EOMONTH(AsOfDate,-1)&lt;AH126,-1,12*(YEAR(EOMONTH(AsOfDate,-1))-YEAR(AH126))+MONTH(EOMONTH(AsOfDate,-1))-MONTH(AH126)-IF(DAY(EOMONTH(AsOfDate,-1))&lt;MIN(DAY(AH126),DAY(EOMONTH(EOMONTH(AsOfDate,-1),0))),1,0)))</f>
        <v/>
      </c>
      <c r="BF126" s="14" t="str">
        <f aca="false">IF(AG126=0,"",IF(OR(AI126&lt;2,AK126&gt;EOMONTH(AsOfDate,-1)),BE126,IF((AK126-1)&lt;AH126,-1,12*(YEAR((AK126-1))-YEAR(AH126))+MONTH((AK126-1))-MONTH(AH126)-IF(DAY((AK126-1))&lt;MIN(DAY(AH126),DAY(EOMONTH((AK126-1),0))),1,0))))</f>
        <v/>
      </c>
      <c r="BG126" s="14" t="str">
        <f aca="false">IF(AG126=0,"",IF(OR(AI126&lt;3,AL126&gt;EOMONTH(AsOfDate,-1)),BE126,IF((AL126-1)&lt;AH126,-1,12*(YEAR((AL126-1))-YEAR(AH126))+MONTH((AL126-1))-MONTH(AH126)-IF(DAY((AL126-1))&lt;MIN(DAY(AH126),DAY(EOMONTH((AL126-1),0))),1,0))))</f>
        <v/>
      </c>
      <c r="BH126" s="14" t="str">
        <f aca="false">IF(AG126=0,"",IF(AP126="FT",IF(BF126&lt;FT_First,0,IF(BF126&lt;FT_Y5,1+INT((BF126-FT_First)/FT_Int1),FT_PreY5+FT_PerYear*INT((BF126-FT_Y5)/12)+FT_AnnivDays+INT(MOD(BF126-FT_Y5,12)/FT_Int2))),IF(AP126="PT",IF(BF126&lt;PT_First,0,1+INT((BF126-PT_First)/PT_Int)),0))+IF(AND(AI126&gt;=2,AK126&lt;=EOMONTH(AsOfDate,-1)),IF(AQ126="FT",IF(BG126&lt;FT_First,0,IF(BG126&lt;FT_Y5,1+INT((BG126-FT_First)/FT_Int1),FT_PreY5+FT_PerYear*INT((BG126-FT_Y5)/12)+FT_AnnivDays+INT(MOD(BG126-FT_Y5,12)/FT_Int2))),IF(AQ126="PT",IF(BG126&lt;PT_First,0,1+INT((BG126-PT_First)/PT_Int)),0))-IF(AQ126="FT",IF(BF126&lt;FT_First,0,IF(BF126&lt;FT_Y5,1+INT((BF126-FT_First)/FT_Int1),FT_PreY5+FT_PerYear*INT((BF126-FT_Y5)/12)+FT_AnnivDays+INT(MOD(BF126-FT_Y5,12)/FT_Int2))),IF(AQ126="PT",IF(BF126&lt;PT_First,0,1+INT((BF126-PT_First)/PT_Int)),0)),0)+IF(AND(AI126&gt;=3,AL126&lt;=EOMONTH(AsOfDate,-1)),IF(AR126="FT",IF(BE126&lt;FT_First,0,IF(BE126&lt;FT_Y5,1+INT((BE126-FT_First)/FT_Int1),FT_PreY5+FT_PerYear*INT((BE126-FT_Y5)/12)+FT_AnnivDays+INT(MOD(BE126-FT_Y5,12)/FT_Int2))),IF(AR126="PT",IF(BE126&lt;PT_First,0,1+INT((BE126-PT_First)/PT_Int)),0))-IF(AR126="FT",IF(BG126&lt;FT_First,0,IF(BG126&lt;FT_Y5,1+INT((BG126-FT_First)/FT_Int1),FT_PreY5+FT_PerYear*INT((BG126-FT_Y5)/12)+FT_AnnivDays+INT(MOD(BG126-FT_Y5,12)/FT_Int2))),IF(AR126="PT",IF(BG126&lt;PT_First,0,1+INT((BG126-PT_First)/PT_Int)),0)),0))</f>
        <v/>
      </c>
      <c r="BI126" s="14" t="str">
        <f aca="false">IF(AG126=0,"",IF(AS126="FT",IF(AT126&lt;FT_First,"",IF(AT126&lt;FT_Y5,FT_First+FT_Int1*INT((AT126-FT_First)/FT_Int1),FT_Y5+FT_Int2*INT((AT126-FT_Y5)/FT_Int2))),IF(AS126="PT",IF(AT126&lt;PT_First,"",PT_First+PT_Int*INT((AT126-PT_First)/PT_Int)),"")))</f>
        <v/>
      </c>
      <c r="BJ126" s="0" t="str">
        <f aca="false">IF(LEN($A126&amp;$B126)=0,"",$A126&amp;" "&amp;$B126)</f>
        <v/>
      </c>
    </row>
    <row r="127" customFormat="false" ht="15" hidden="false" customHeight="false" outlineLevel="0" collapsed="false">
      <c r="A127" s="10"/>
      <c r="B127" s="10"/>
      <c r="C127" s="10"/>
      <c r="D127" s="11"/>
      <c r="E127" s="12" t="str">
        <f aca="false">IF(OR(AG127=0,$D127=""),"",DATE(YEAR(AsOfDate)+IF(DATE(YEAR(AsOfDate),MONTH($D127),DAY($D127))&lt;=AsOfDate,1,0),MONTH($D127),DAY($D127)))</f>
        <v/>
      </c>
      <c r="F127" s="11"/>
      <c r="G127" s="11"/>
      <c r="H127" s="11"/>
      <c r="I127" s="11"/>
      <c r="J127" s="11"/>
      <c r="K127" s="12" t="str">
        <f aca="false">IF(AG127=0,"",DATE(YEAR(AsOfDate)+IF(DATE(YEAR(AsOfDate),MONTH(AH127),DAY(AH127))&lt;=AsOfDate,1,0),MONTH(AH127),DAY(AH127)))</f>
        <v/>
      </c>
      <c r="L127" s="13" t="str">
        <f aca="false">IF(AG127=0,"",ROUND((AsOfDate-AH127)/365.25,1))</f>
        <v/>
      </c>
      <c r="M127" s="14" t="str">
        <f aca="false">IF(AG127=0,"",IF(AsOfDate&lt;AH127,"-",DATEDIF(AH127,AsOfDate,"y")&amp;"y "&amp;DATEDIF(AH127,AsOfDate,"ym")&amp;"m "&amp;DATEDIF(AH127,AsOfDate,"md")&amp;"d"))</f>
        <v/>
      </c>
      <c r="N127" s="15" t="str">
        <f aca="false">IF(AG127=0,"",O127*HoursPerDay)</f>
        <v/>
      </c>
      <c r="O127" s="15" t="str">
        <f aca="false">IF(AG127=0,"",AZ127)</f>
        <v/>
      </c>
      <c r="P127" s="16"/>
      <c r="Q127" s="14" t="str">
        <f aca="false">IF(AG127=0,"",IF(AI127&lt;2,"",AM127&amp;" to "&amp;AN127&amp;" on "&amp;TEXT(AK127,"dd/mm/yyyy")&amp;IF(AK127&gt;AsOfDate," (future)",IF(AP127=AQ127,"",IF(AQ127="None"," - STOPPED accruing",IF(AP127="None"," - commencement for Bonus Leave"," - pathway changed"))))&amp;IF(AI127&lt;3,"","; "&amp;AN127&amp;" to "&amp;AO127&amp;" on "&amp;TEXT(AL127,"dd/mm/yyyy")&amp;IF(AL127&gt;AsOfDate," (future)",IF(AQ127=AR127,"",IF(AR127="None"," - STOPPED accruing",IF(AQ127="None"," - commencement for Bonus Leave"," - pathway changed")))))))</f>
        <v/>
      </c>
      <c r="R127" s="14" t="str">
        <f aca="false">IF(AG127=0,"",IF(AS127="None",IF(O127&gt;0,"No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2" t="str">
        <f aca="false">IF(AG127=0,"",IF(AS127="None","",EDATE(AH127,BB127)))</f>
        <v/>
      </c>
      <c r="T127" s="15" t="str">
        <f aca="false">IF(AG127=0,"",IF(NOT(LH_Ready),"",IF(AH127&gt;PFYDate,0,IF(LH_ColPeriod=0,W127-U127+V127,SUMIFS(INDEX(LH_Data,0,LH_ColAcc),INDEX(LH_Data,0,LH_ColFirst),$A127,INDEX(LH_Data,0,LH_ColSur),$B127,INDEX(LH_Data,0,LH_ColCat),BonusCat,INDEX(LH_Data,0,LH_ColPeriod),LH_OpenLabel)*UnitFactor))))</f>
        <v/>
      </c>
      <c r="U127" s="15" t="str">
        <f aca="false">IF(AG127=0,"",IF(NOT(LH_Ready),"",SUMIFS(INDEX(LH_Data,0,LH_ColAcc),INDEX(LH_Data,0,LH_ColFirst),$A127,INDEX(LH_Data,0,LH_ColSur),$B127,INDEX(LH_Data,0,LH_ColCat),BonusCat,INDEX(LH_Data,0,LH_ColStart),"&gt;="&amp;AH127)*UnitFactor))</f>
        <v/>
      </c>
      <c r="V127" s="15" t="str">
        <f aca="false">IF(AG127=0,"",IF(NOT(LH_Ready),"",SUMIFS(INDEX(LH_Data,0,LH_ColTaken),INDEX(LH_Data,0,LH_ColFirst),$A127,INDEX(LH_Data,0,LH_ColSur),$B127,INDEX(LH_Data,0,LH_ColCat),BonusCat,INDEX(LH_Data,0,LH_ColStart),"&gt;="&amp;AH127)*UnitFactor))</f>
        <v/>
      </c>
      <c r="W127" s="15" t="str">
        <f aca="false">IF(AG127=0,"",IF(NOT(LH_Ready),"",IF(BD127=0,0,INDEX(INDEX(LH_Data,0,LH_ColClose),BD127-1)*UnitFactor)))</f>
        <v/>
      </c>
      <c r="X127" s="15" t="str">
        <f aca="false">IF(AG127=0,"",(AZ127-BA127)*HoursPerDay)</f>
        <v/>
      </c>
      <c r="Y127" s="15" t="str">
        <f aca="false">IF(AG127=0,"",IF(NOT(LH_Ready),"",IF(BC127=0,N127,IF(PFYDate&lt;$F127,N127-N(T127)-N(U127),X127-N(U127)))))</f>
        <v/>
      </c>
      <c r="Z127" s="14" t="str">
        <f aca="false">IF(OR(AG127=0,Y127=""),"",IF(Y127&gt;0,"Yes","No"))</f>
        <v/>
      </c>
      <c r="AA127" s="14" t="str">
        <f aca="false">IF(AG127=0,IF(LEN($A127&amp;$B127)=0,"","FIX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month")&amp;IF(BC127=0,";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EH)",""),IF(AS127="None",R127,"Not yet - first day on "&amp;TEXT(S127,"dd/mm/yyyy")))))))))</f>
        <v/>
      </c>
      <c r="AB127" s="15" t="str">
        <f aca="false">IF(OR(AG127=0,T127=""),"",BA127*HoursPerDay-T127)</f>
        <v/>
      </c>
      <c r="AC127" s="14" t="str">
        <f aca="false">IF(AG127=0,"",BC127)</f>
        <v/>
      </c>
      <c r="AD127" s="14" t="str">
        <f aca="false">IF(AG127=0,"",TRIM(IF(OR(ISTEXT($F127),ISTEXT($H127),ISTEXT($I127),ISTEXT($G127),ISTEXT($J127),ISTEXT($D127)),"A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I127&gt;=1,IF(AI127&gt;=3,AO127,IF(AI127=2,AN127,AM127))&lt;&gt;IF($C127="","",IF(OR(ISNUMBER(SEARCH("full",$C127)),UPPER(TRIM($C127))="FT",UPPER(TRIM($C127))="FTE"),"Full-Time",IF(OR(ISNUMBER(SEARCH("part",$C127)),UPPER(TRIM($C127))="PT",UPPER(TRIM($C127))="PTE"),"Part-Time",IF(OR(ISNUMBER(SEARCH("cas",$C127)),UPPER(TRIM($C127))="CAS"),"Casual","Unknown"))))),"EmploymentType does not match latest start date ("&amp;IF(AI127&gt;=3,AO127,IF(AI127=2,AN127,AM127))&amp;"). ","")&amp;IF(AND(AI127&gt;=1,AJ127&lt;&gt;$F127),"Earliest type date should equal StartDate. ","")&amp;IF(AND(AI127&gt;=2,AJ127=AK127),"Two types start on the same date. ","")&amp;IF(AND(OR(ISNUMBER(SEARCH("part",$C127)),UPPER(TRIM($C127))="PT",UPPER(TRIM($C127))="PTE"),$P127=""),"Part-time: enter PT Hrs/Week (blank = 24+). ","")))</f>
        <v/>
      </c>
      <c r="AE127" s="15" t="str">
        <f aca="false">IF(AG127=0,"",O127-BH127)</f>
        <v/>
      </c>
      <c r="AF127" s="12" t="str">
        <f aca="false">IF(OR(AG127=0,AE127="",N(AE127)=0,BI127=""),"",EDATE(AH127,BI127))</f>
        <v/>
      </c>
      <c r="AG127" s="14" t="n">
        <f aca="false">IF(OR(LEN($A127&amp;$B127)=0,$F127=""),0,1)</f>
        <v>0</v>
      </c>
      <c r="AH127" s="12" t="str">
        <f aca="false">IF(AG127=0,"",IF($J127&lt;&gt;"",$J127,IF(OR(CasualCounts="Yes",COUNT($G127:$I127)=0,COUNT($H127:$I127)=0),$F127,MIN($H127:$I127))))</f>
        <v/>
      </c>
      <c r="AI127" s="14" t="str">
        <f aca="false">IF(AG127=0,"",COUNT($G127:$I127))</f>
        <v/>
      </c>
      <c r="AJ127" s="12" t="str">
        <f aca="false">IF(AG127=0,"",IFERROR(SMALL($G127:$I127,1),""))</f>
        <v/>
      </c>
      <c r="AK127" s="12" t="str">
        <f aca="false">IF(AG127=0,"",IFERROR(SMALL($G127:$I127,2),""))</f>
        <v/>
      </c>
      <c r="AL127" s="12" t="str">
        <f aca="false">IF(AG127=0,"",IFERROR(SMALL($G127:$I127,3),""))</f>
        <v/>
      </c>
      <c r="AM127" s="14" t="str">
        <f aca="false">IF(AG127=0,"",IF(AJ127="","",IF(AJ127=$H127,"Part-Time",IF(AJ127=$I127,"Full-Time","Casual"))))</f>
        <v/>
      </c>
      <c r="AN127" s="14" t="str">
        <f aca="false">IF(AG127=0,"",IF(AK127="","",IF(AK127=$H127,"Part-Time",IF(AK127=$I127,"Full-Time","Casual"))))</f>
        <v/>
      </c>
      <c r="AO127" s="14" t="str">
        <f aca="false">IF(AG127=0,"",IF(AL127="","",IF(AL127=$H127,"Part-Time",IF(AL127=$I127,"Full-Time","Casual"))))</f>
        <v/>
      </c>
      <c r="AP127" s="14" t="str">
        <f aca="false">IF(AG127=0,"",IF(AI127=0,IF(OR(ISNUMBER(SEARCH("full",$C127)),UPPER(TRIM($C127))="FT",UPPER(TRIM($C127))="FTE"),"FT",IF(AND(OR(ISNUMBER(SEARCH("part",$C127)),UPPER(TRIM($C127))="PT",UPPER(TRIM($C127))="PTE"),OR($P127="",N($P127)&gt;=PT_MinHours)),"PT","None")),IF(OR(ISNUMBER(SEARCH("full",AM127)),UPPER(TRIM(AM127))="FT",UPPER(TRIM(AM127))="FTE"),"FT",IF(AND(OR(ISNUMBER(SEARCH("part",AM127)),UPPER(TRIM(AM127))="PT",UPPER(TRIM(AM127))="PTE"),OR($P127="",N($P127)&gt;=PT_MinHours)),"PT","None"))))</f>
        <v/>
      </c>
      <c r="AQ127" s="14" t="str">
        <f aca="false">IF(AG127=0,"",IF(AI127&lt;2,"",IF(OR(ISNUMBER(SEARCH("full",AN127)),UPPER(TRIM(AN127))="FT",UPPER(TRIM(AN127))="FTE"),"FT",IF(AND(OR(ISNUMBER(SEARCH("part",AN127)),UPPER(TRIM(AN127))="PT",UPPER(TRIM(AN127))="PTE"),OR($P127="",N($P127)&gt;=PT_MinHours)),"PT","None"))))</f>
        <v/>
      </c>
      <c r="AR127" s="14" t="str">
        <f aca="false">IF(AG127=0,"",IF(AI127&lt;3,"",IF(OR(ISNUMBER(SEARCH("full",AO127)),UPPER(TRIM(AO127))="FT",UPPER(TRIM(AO127))="FTE"),"FT",IF(AND(OR(ISNUMBER(SEARCH("part",AO127)),UPPER(TRIM(AO127))="PT",UPPER(TRIM(AO127))="PTE"),OR($P127="",N($P127)&gt;=PT_MinHours)),"PT","None"))))</f>
        <v/>
      </c>
      <c r="AS127" s="14" t="str">
        <f aca="false">IF(AG127=0,"",IF(AND(AI127&gt;=3,AL127&lt;=AsOfDate),AR127,IF(AND(AI127&gt;=2,AK127&lt;=AsOfDate),AQ127,AP127)))</f>
        <v/>
      </c>
      <c r="AT127" s="14" t="str">
        <f aca="false">IF(AG127=0,"",IF(AsOfDate&lt;AH127,-1,12*(YEAR(AsOfDate)-YEAR(AH127))+MONTH(AsOfDate)-MONTH(AH127)-IF(DAY(AsOfDate)&lt;MIN(DAY(AH127),DAY(EOMONTH(AsOfDate,0))),1,0)))</f>
        <v/>
      </c>
      <c r="AU127" s="14" t="str">
        <f aca="false">IF(AG127=0,"",IF(OR(AI127&lt;2,AK127&gt;AsOfDate),AT127,IF((AK127-1)&lt;AH127,-1,12*(YEAR((AK127-1))-YEAR(AH127))+MONTH((AK127-1))-MONTH(AH127)-IF(DAY((AK127-1))&lt;MIN(DAY(AH127),DAY(EOMONTH((AK127-1),0))),1,0))))</f>
        <v/>
      </c>
      <c r="AV127" s="14" t="str">
        <f aca="false">IF(AG127=0,"",IF(OR(AI127&lt;3,AL127&gt;AsOfDate),AT127,IF((AL127-1)&lt;AH127,-1,12*(YEAR((AL127-1))-YEAR(AH127))+MONTH((AL127-1))-MONTH(AH127)-IF(DAY((AL127-1))&lt;MIN(DAY(AH127),DAY(EOMONTH((AL127-1),0))),1,0))))</f>
        <v/>
      </c>
      <c r="AW127" s="14" t="str">
        <f aca="false">IF(AG127=0,"",IF(PFYDate&lt;AH127,-1,12*(YEAR(PFYDate)-YEAR(AH127))+MONTH(PFYDate)-MONTH(AH127)-IF(DAY(PFYDate)&lt;MIN(DAY(AH127),DAY(EOMONTH(PFYDate,0))),1,0)))</f>
        <v/>
      </c>
      <c r="AX127" s="14" t="str">
        <f aca="false">IF(AG127=0,"",IF(OR(AI127&lt;2,AK127&gt;PFYDate),AW127,IF((AK127-1)&lt;AH127,-1,12*(YEAR((AK127-1))-YEAR(AH127))+MONTH((AK127-1))-MONTH(AH127)-IF(DAY((AK127-1))&lt;MIN(DAY(AH127),DAY(EOMONTH((AK127-1),0))),1,0))))</f>
        <v/>
      </c>
      <c r="AY127" s="14" t="str">
        <f aca="false">IF(AG127=0,"",IF(OR(AI127&lt;3,AL127&gt;PFYDate),AW127,IF((AL127-1)&lt;AH127,-1,12*(YEAR((AL127-1))-YEAR(AH127))+MONTH((AL127-1))-MONTH(AH127)-IF(DAY((AL127-1))&lt;MIN(DAY(AH127),DAY(EOMONTH((AL127-1),0))),1,0))))</f>
        <v/>
      </c>
      <c r="AZ127" s="14" t="str">
        <f aca="false">IF(AG127=0,"",IF(AP127="FT",IF(AU127&lt;FT_First,0,IF(AU127&lt;FT_Y5,1+INT((AU127-FT_First)/FT_Int1),FT_PreY5+FT_PerYear*INT((AU127-FT_Y5)/12)+FT_AnnivDays+INT(MOD(AU127-FT_Y5,12)/FT_Int2))),IF(AP127="PT",IF(AU127&lt;PT_First,0,1+INT((AU127-PT_First)/PT_Int)),0))+IF(AND(AI127&gt;=2,AK127&lt;=AsOfDate),IF(AQ127="FT",IF(AV127&lt;FT_First,0,IF(AV127&lt;FT_Y5,1+INT((AV127-FT_First)/FT_Int1),FT_PreY5+FT_PerYear*INT((AV127-FT_Y5)/12)+FT_AnnivDays+INT(MOD(AV127-FT_Y5,12)/FT_Int2))),IF(AQ127="PT",IF(AV127&lt;PT_First,0,1+INT((AV127-PT_First)/PT_Int)),0))-IF(AQ127="FT",IF(AU127&lt;FT_First,0,IF(AU127&lt;FT_Y5,1+INT((AU127-FT_First)/FT_Int1),FT_PreY5+FT_PerYear*INT((AU127-FT_Y5)/12)+FT_AnnivDays+INT(MOD(AU127-FT_Y5,12)/FT_Int2))),IF(AQ127="PT",IF(AU127&lt;PT_First,0,1+INT((AU127-PT_First)/PT_Int)),0)),0)+IF(AND(AI127&gt;=3,AL127&lt;=AsOfDate),IF(AR127="FT",IF(AT127&lt;FT_First,0,IF(AT127&lt;FT_Y5,1+INT((AT127-FT_First)/FT_Int1),FT_PreY5+FT_PerYear*INT((AT127-FT_Y5)/12)+FT_AnnivDays+INT(MOD(AT127-FT_Y5,12)/FT_Int2))),IF(AR127="PT",IF(AT127&lt;PT_First,0,1+INT((AT127-PT_First)/PT_Int)),0))-IF(AR127="FT",IF(AV127&lt;FT_First,0,IF(AV127&lt;FT_Y5,1+INT((AV127-FT_First)/FT_Int1),FT_PreY5+FT_PerYear*INT((AV127-FT_Y5)/12)+FT_AnnivDays+INT(MOD(AV127-FT_Y5,12)/FT_Int2))),IF(AR127="PT",IF(AV127&lt;PT_First,0,1+INT((AV127-PT_First)/PT_Int)),0)),0))</f>
        <v/>
      </c>
      <c r="BA127" s="14" t="str">
        <f aca="false">IF(AG127=0,"",IF(AP127="FT",IF(AX127&lt;FT_First,0,IF(AX127&lt;FT_Y5,1+INT((AX127-FT_First)/FT_Int1),FT_PreY5+FT_PerYear*INT((AX127-FT_Y5)/12)+FT_AnnivDays+INT(MOD(AX127-FT_Y5,12)/FT_Int2))),IF(AP127="PT",IF(AX127&lt;PT_First,0,1+INT((AX127-PT_First)/PT_Int)),0))+IF(AND(AI127&gt;=2,AK127&lt;=PFYDate),IF(AQ127="FT",IF(AY127&lt;FT_First,0,IF(AY127&lt;FT_Y5,1+INT((AY127-FT_First)/FT_Int1),FT_PreY5+FT_PerYear*INT((AY127-FT_Y5)/12)+FT_AnnivDays+INT(MOD(AY127-FT_Y5,12)/FT_Int2))),IF(AQ127="PT",IF(AY127&lt;PT_First,0,1+INT((AY127-PT_First)/PT_Int)),0))-IF(AQ127="FT",IF(AX127&lt;FT_First,0,IF(AX127&lt;FT_Y5,1+INT((AX127-FT_First)/FT_Int1),FT_PreY5+FT_PerYear*INT((AX127-FT_Y5)/12)+FT_AnnivDays+INT(MOD(AX127-FT_Y5,12)/FT_Int2))),IF(AQ127="PT",IF(AX127&lt;PT_First,0,1+INT((AX127-PT_First)/PT_Int)),0)),0)+IF(AND(AI127&gt;=3,AL127&lt;=PFYDate),IF(AR127="FT",IF(AW127&lt;FT_First,0,IF(AW127&lt;FT_Y5,1+INT((AW127-FT_First)/FT_Int1),FT_PreY5+FT_PerYear*INT((AW127-FT_Y5)/12)+FT_AnnivDays+INT(MOD(AW127-FT_Y5,12)/FT_Int2))),IF(AR127="PT",IF(AW127&lt;PT_First,0,1+INT((AW127-PT_First)/PT_Int)),0))-IF(AR127="FT",IF(AY127&lt;FT_First,0,IF(AY127&lt;FT_Y5,1+INT((AY127-FT_First)/FT_Int1),FT_PreY5+FT_PerYear*INT((AY127-FT_Y5)/12)+FT_AnnivDays+INT(MOD(AY127-FT_Y5,12)/FT_Int2))),IF(AR127="PT",IF(AY127&lt;PT_First,0,1+INT((AY127-PT_First)/PT_Int)),0)),0))</f>
        <v/>
      </c>
      <c r="BB127" s="14" t="str">
        <f aca="false">IF(AG127=0,"",IF(AS127="FT",IF(AT127&lt;FT_First,FT_First,IF(AT127&lt;FT_Y5,MIN(FT_Y5,FT_First+FT_Int1*(INT((AT127-FT_First)/FT_Int1)+1)),FT_Y5+12*INT((AT127-FT_Y5)/12)+FT_Int2*(INT(MOD(AT127-FT_Y5,12)/FT_Int2)+1))),IF(AS127="PT",IF(AT127&lt;PT_First,PT_First,PT_First+PT_Int*(INT((AT127-PT_First)/PT_Int)+1)),"")))</f>
        <v/>
      </c>
      <c r="BC127" s="14" t="str">
        <f aca="false">IF(AG127=0,"",IF(NOT(LH_Ready),0,COUNTIFS(INDEX(LH_Data,0,LH_ColFirst),$A127,INDEX(LH_Data,0,LH_ColSur),$B127,INDEX(LH_Data,0,LH_ColCat),BonusCat)))</f>
        <v/>
      </c>
      <c r="BD127" s="14" t="str">
        <f aca="false">IF(AG127=0,"",IF(OR(NOT(LH_Ready),BC127=0),0,SUMPRODUCT(MAX((INDEX(LH_Data,0,LH_ColFirst)=$A127)*(INDEX(LH_Data,0,LH_ColSur)=$B127)*(INDEX(LH_Data,0,LH_ColCat)=BonusCat)*ROW(LH_Data)))))</f>
        <v/>
      </c>
      <c r="BE127" s="14" t="str">
        <f aca="false">IF(AG127=0,"",IF(EOMONTH(AsOfDate,-1)&lt;AH127,-1,12*(YEAR(EOMONTH(AsOfDate,-1))-YEAR(AH127))+MONTH(EOMONTH(AsOfDate,-1))-MONTH(AH127)-IF(DAY(EOMONTH(AsOfDate,-1))&lt;MIN(DAY(AH127),DAY(EOMONTH(EOMONTH(AsOfDate,-1),0))),1,0)))</f>
        <v/>
      </c>
      <c r="BF127" s="14" t="str">
        <f aca="false">IF(AG127=0,"",IF(OR(AI127&lt;2,AK127&gt;EOMONTH(AsOfDate,-1)),BE127,IF((AK127-1)&lt;AH127,-1,12*(YEAR((AK127-1))-YEAR(AH127))+MONTH((AK127-1))-MONTH(AH127)-IF(DAY((AK127-1))&lt;MIN(DAY(AH127),DAY(EOMONTH((AK127-1),0))),1,0))))</f>
        <v/>
      </c>
      <c r="BG127" s="14" t="str">
        <f aca="false">IF(AG127=0,"",IF(OR(AI127&lt;3,AL127&gt;EOMONTH(AsOfDate,-1)),BE127,IF((AL127-1)&lt;AH127,-1,12*(YEAR((AL127-1))-YEAR(AH127))+MONTH((AL127-1))-MONTH(AH127)-IF(DAY((AL127-1))&lt;MIN(DAY(AH127),DAY(EOMONTH((AL127-1),0))),1,0))))</f>
        <v/>
      </c>
      <c r="BH127" s="14" t="str">
        <f aca="false">IF(AG127=0,"",IF(AP127="FT",IF(BF127&lt;FT_First,0,IF(BF127&lt;FT_Y5,1+INT((BF127-FT_First)/FT_Int1),FT_PreY5+FT_PerYear*INT((BF127-FT_Y5)/12)+FT_AnnivDays+INT(MOD(BF127-FT_Y5,12)/FT_Int2))),IF(AP127="PT",IF(BF127&lt;PT_First,0,1+INT((BF127-PT_First)/PT_Int)),0))+IF(AND(AI127&gt;=2,AK127&lt;=EOMONTH(AsOfDate,-1)),IF(AQ127="FT",IF(BG127&lt;FT_First,0,IF(BG127&lt;FT_Y5,1+INT((BG127-FT_First)/FT_Int1),FT_PreY5+FT_PerYear*INT((BG127-FT_Y5)/12)+FT_AnnivDays+INT(MOD(BG127-FT_Y5,12)/FT_Int2))),IF(AQ127="PT",IF(BG127&lt;PT_First,0,1+INT((BG127-PT_First)/PT_Int)),0))-IF(AQ127="FT",IF(BF127&lt;FT_First,0,IF(BF127&lt;FT_Y5,1+INT((BF127-FT_First)/FT_Int1),FT_PreY5+FT_PerYear*INT((BF127-FT_Y5)/12)+FT_AnnivDays+INT(MOD(BF127-FT_Y5,12)/FT_Int2))),IF(AQ127="PT",IF(BF127&lt;PT_First,0,1+INT((BF127-PT_First)/PT_Int)),0)),0)+IF(AND(AI127&gt;=3,AL127&lt;=EOMONTH(AsOfDate,-1)),IF(AR127="FT",IF(BE127&lt;FT_First,0,IF(BE127&lt;FT_Y5,1+INT((BE127-FT_First)/FT_Int1),FT_PreY5+FT_PerYear*INT((BE127-FT_Y5)/12)+FT_AnnivDays+INT(MOD(BE127-FT_Y5,12)/FT_Int2))),IF(AR127="PT",IF(BE127&lt;PT_First,0,1+INT((BE127-PT_First)/PT_Int)),0))-IF(AR127="FT",IF(BG127&lt;FT_First,0,IF(BG127&lt;FT_Y5,1+INT((BG127-FT_First)/FT_Int1),FT_PreY5+FT_PerYear*INT((BG127-FT_Y5)/12)+FT_AnnivDays+INT(MOD(BG127-FT_Y5,12)/FT_Int2))),IF(AR127="PT",IF(BG127&lt;PT_First,0,1+INT((BG127-PT_First)/PT_Int)),0)),0))</f>
        <v/>
      </c>
      <c r="BI127" s="14" t="str">
        <f aca="false">IF(AG127=0,"",IF(AS127="FT",IF(AT127&lt;FT_First,"",IF(AT127&lt;FT_Y5,FT_First+FT_Int1*INT((AT127-FT_First)/FT_Int1),FT_Y5+FT_Int2*INT((AT127-FT_Y5)/FT_Int2))),IF(AS127="PT",IF(AT127&lt;PT_First,"",PT_First+PT_Int*INT((AT127-PT_First)/PT_Int)),"")))</f>
        <v/>
      </c>
      <c r="BJ127" s="0" t="str">
        <f aca="false">IF(LEN($A127&amp;$B127)=0,"",$A127&amp;" "&amp;$B127)</f>
        <v/>
      </c>
    </row>
    <row r="128" customFormat="false" ht="15" hidden="false" customHeight="false" outlineLevel="0" collapsed="false">
      <c r="A128" s="10"/>
      <c r="B128" s="10"/>
      <c r="C128" s="10"/>
      <c r="D128" s="11"/>
      <c r="E128" s="12" t="str">
        <f aca="false">IF(OR(AG128=0,$D128=""),"",DATE(YEAR(AsOfDate)+IF(DATE(YEAR(AsOfDate),MONTH($D128),DAY($D128))&lt;=AsOfDate,1,0),MONTH($D128),DAY($D128)))</f>
        <v/>
      </c>
      <c r="F128" s="11"/>
      <c r="G128" s="11"/>
      <c r="H128" s="11"/>
      <c r="I128" s="11"/>
      <c r="J128" s="11"/>
      <c r="K128" s="12" t="str">
        <f aca="false">IF(AG128=0,"",DATE(YEAR(AsOfDate)+IF(DATE(YEAR(AsOfDate),MONTH(AH128),DAY(AH128))&lt;=AsOfDate,1,0),MONTH(AH128),DAY(AH128)))</f>
        <v/>
      </c>
      <c r="L128" s="13" t="str">
        <f aca="false">IF(AG128=0,"",ROUND((AsOfDate-AH128)/365.25,1))</f>
        <v/>
      </c>
      <c r="M128" s="14" t="str">
        <f aca="false">IF(AG128=0,"",IF(AsOfDate&lt;AH128,"-",DATEDIF(AH128,AsOfDate,"y")&amp;"y "&amp;DATEDIF(AH128,AsOfDate,"ym")&amp;"m "&amp;DATEDIF(AH128,AsOfDate,"md")&amp;"d"))</f>
        <v/>
      </c>
      <c r="N128" s="15" t="str">
        <f aca="false">IF(AG128=0,"",O128*HoursPerDay)</f>
        <v/>
      </c>
      <c r="O128" s="15" t="str">
        <f aca="false">IF(AG128=0,"",AZ128)</f>
        <v/>
      </c>
      <c r="P128" s="16"/>
      <c r="Q128" s="14" t="str">
        <f aca="false">IF(AG128=0,"",IF(AI128&lt;2,"",AM128&amp;" to "&amp;AN128&amp;" on "&amp;TEXT(AK128,"dd/mm/yyyy")&amp;IF(AK128&gt;AsOfDate," (future)",IF(AP128=AQ128,"",IF(AQ128="None"," - STOPPED accruing",IF(AP128="None"," - commencement for Bonus Leave"," - pathway changed"))))&amp;IF(AI128&lt;3,"","; "&amp;AN128&amp;" to "&amp;AO128&amp;" on "&amp;TEXT(AL128,"dd/mm/yyyy")&amp;IF(AL128&gt;AsOfDate," (future)",IF(AQ128=AR128,"",IF(AR128="None"," - STOPPED accruing",IF(AQ128="None"," - commencement for Bonus Leave"," - pathway changed")))))))</f>
        <v/>
      </c>
      <c r="R128" s="14" t="str">
        <f aca="false">IF(AG128=0,"",IF(AS128="None",IF(O128&gt;0,"No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2" t="str">
        <f aca="false">IF(AG128=0,"",IF(AS128="None","",EDATE(AH128,BB128)))</f>
        <v/>
      </c>
      <c r="T128" s="15" t="str">
        <f aca="false">IF(AG128=0,"",IF(NOT(LH_Ready),"",IF(AH128&gt;PFYDate,0,IF(LH_ColPeriod=0,W128-U128+V128,SUMIFS(INDEX(LH_Data,0,LH_ColAcc),INDEX(LH_Data,0,LH_ColFirst),$A128,INDEX(LH_Data,0,LH_ColSur),$B128,INDEX(LH_Data,0,LH_ColCat),BonusCat,INDEX(LH_Data,0,LH_ColPeriod),LH_OpenLabel)*UnitFactor))))</f>
        <v/>
      </c>
      <c r="U128" s="15" t="str">
        <f aca="false">IF(AG128=0,"",IF(NOT(LH_Ready),"",SUMIFS(INDEX(LH_Data,0,LH_ColAcc),INDEX(LH_Data,0,LH_ColFirst),$A128,INDEX(LH_Data,0,LH_ColSur),$B128,INDEX(LH_Data,0,LH_ColCat),BonusCat,INDEX(LH_Data,0,LH_ColStart),"&gt;="&amp;AH128)*UnitFactor))</f>
        <v/>
      </c>
      <c r="V128" s="15" t="str">
        <f aca="false">IF(AG128=0,"",IF(NOT(LH_Ready),"",SUMIFS(INDEX(LH_Data,0,LH_ColTaken),INDEX(LH_Data,0,LH_ColFirst),$A128,INDEX(LH_Data,0,LH_ColSur),$B128,INDEX(LH_Data,0,LH_ColCat),BonusCat,INDEX(LH_Data,0,LH_ColStart),"&gt;="&amp;AH128)*UnitFactor))</f>
        <v/>
      </c>
      <c r="W128" s="15" t="str">
        <f aca="false">IF(AG128=0,"",IF(NOT(LH_Ready),"",IF(BD128=0,0,INDEX(INDEX(LH_Data,0,LH_ColClose),BD128-1)*UnitFactor)))</f>
        <v/>
      </c>
      <c r="X128" s="15" t="str">
        <f aca="false">IF(AG128=0,"",(AZ128-BA128)*HoursPerDay)</f>
        <v/>
      </c>
      <c r="Y128" s="15" t="str">
        <f aca="false">IF(AG128=0,"",IF(NOT(LH_Ready),"",IF(BC128=0,N128,IF(PFYDate&lt;$F128,N128-N(T128)-N(U128),X128-N(U128)))))</f>
        <v/>
      </c>
      <c r="Z128" s="14" t="str">
        <f aca="false">IF(OR(AG128=0,Y128=""),"",IF(Y128&gt;0,"Yes","No"))</f>
        <v/>
      </c>
      <c r="AA128" s="14" t="str">
        <f aca="false">IF(AG128=0,IF(LEN($A128&amp;$B128)=0,"","FIX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month")&amp;IF(BC128=0,";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EH)",""),IF(AS128="None",R128,"Not yet - first day on "&amp;TEXT(S128,"dd/mm/yyyy")))))))))</f>
        <v/>
      </c>
      <c r="AB128" s="15" t="str">
        <f aca="false">IF(OR(AG128=0,T128=""),"",BA128*HoursPerDay-T128)</f>
        <v/>
      </c>
      <c r="AC128" s="14" t="str">
        <f aca="false">IF(AG128=0,"",BC128)</f>
        <v/>
      </c>
      <c r="AD128" s="14" t="str">
        <f aca="false">IF(AG128=0,"",TRIM(IF(OR(ISTEXT($F128),ISTEXT($H128),ISTEXT($I128),ISTEXT($G128),ISTEXT($J128),ISTEXT($D128)),"A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I128&gt;=1,IF(AI128&gt;=3,AO128,IF(AI128=2,AN128,AM128))&lt;&gt;IF($C128="","",IF(OR(ISNUMBER(SEARCH("full",$C128)),UPPER(TRIM($C128))="FT",UPPER(TRIM($C128))="FTE"),"Full-Time",IF(OR(ISNUMBER(SEARCH("part",$C128)),UPPER(TRIM($C128))="PT",UPPER(TRIM($C128))="PTE"),"Part-Time",IF(OR(ISNUMBER(SEARCH("cas",$C128)),UPPER(TRIM($C128))="CAS"),"Casual","Unknown"))))),"EmploymentType does not match latest start date ("&amp;IF(AI128&gt;=3,AO128,IF(AI128=2,AN128,AM128))&amp;"). ","")&amp;IF(AND(AI128&gt;=1,AJ128&lt;&gt;$F128),"Earliest type date should equal StartDate. ","")&amp;IF(AND(AI128&gt;=2,AJ128=AK128),"Two types start on the same date. ","")&amp;IF(AND(OR(ISNUMBER(SEARCH("part",$C128)),UPPER(TRIM($C128))="PT",UPPER(TRIM($C128))="PTE"),$P128=""),"Part-time: enter PT Hrs/Week (blank = 24+). ","")))</f>
        <v/>
      </c>
      <c r="AE128" s="15" t="str">
        <f aca="false">IF(AG128=0,"",O128-BH128)</f>
        <v/>
      </c>
      <c r="AF128" s="12" t="str">
        <f aca="false">IF(OR(AG128=0,AE128="",N(AE128)=0,BI128=""),"",EDATE(AH128,BI128))</f>
        <v/>
      </c>
      <c r="AG128" s="14" t="n">
        <f aca="false">IF(OR(LEN($A128&amp;$B128)=0,$F128=""),0,1)</f>
        <v>0</v>
      </c>
      <c r="AH128" s="12" t="str">
        <f aca="false">IF(AG128=0,"",IF($J128&lt;&gt;"",$J128,IF(OR(CasualCounts="Yes",COUNT($G128:$I128)=0,COUNT($H128:$I128)=0),$F128,MIN($H128:$I128))))</f>
        <v/>
      </c>
      <c r="AI128" s="14" t="str">
        <f aca="false">IF(AG128=0,"",COUNT($G128:$I128))</f>
        <v/>
      </c>
      <c r="AJ128" s="12" t="str">
        <f aca="false">IF(AG128=0,"",IFERROR(SMALL($G128:$I128,1),""))</f>
        <v/>
      </c>
      <c r="AK128" s="12" t="str">
        <f aca="false">IF(AG128=0,"",IFERROR(SMALL($G128:$I128,2),""))</f>
        <v/>
      </c>
      <c r="AL128" s="12" t="str">
        <f aca="false">IF(AG128=0,"",IFERROR(SMALL($G128:$I128,3),""))</f>
        <v/>
      </c>
      <c r="AM128" s="14" t="str">
        <f aca="false">IF(AG128=0,"",IF(AJ128="","",IF(AJ128=$H128,"Part-Time",IF(AJ128=$I128,"Full-Time","Casual"))))</f>
        <v/>
      </c>
      <c r="AN128" s="14" t="str">
        <f aca="false">IF(AG128=0,"",IF(AK128="","",IF(AK128=$H128,"Part-Time",IF(AK128=$I128,"Full-Time","Casual"))))</f>
        <v/>
      </c>
      <c r="AO128" s="14" t="str">
        <f aca="false">IF(AG128=0,"",IF(AL128="","",IF(AL128=$H128,"Part-Time",IF(AL128=$I128,"Full-Time","Casual"))))</f>
        <v/>
      </c>
      <c r="AP128" s="14" t="str">
        <f aca="false">IF(AG128=0,"",IF(AI128=0,IF(OR(ISNUMBER(SEARCH("full",$C128)),UPPER(TRIM($C128))="FT",UPPER(TRIM($C128))="FTE"),"FT",IF(AND(OR(ISNUMBER(SEARCH("part",$C128)),UPPER(TRIM($C128))="PT",UPPER(TRIM($C128))="PTE"),OR($P128="",N($P128)&gt;=PT_MinHours)),"PT","None")),IF(OR(ISNUMBER(SEARCH("full",AM128)),UPPER(TRIM(AM128))="FT",UPPER(TRIM(AM128))="FTE"),"FT",IF(AND(OR(ISNUMBER(SEARCH("part",AM128)),UPPER(TRIM(AM128))="PT",UPPER(TRIM(AM128))="PTE"),OR($P128="",N($P128)&gt;=PT_MinHours)),"PT","None"))))</f>
        <v/>
      </c>
      <c r="AQ128" s="14" t="str">
        <f aca="false">IF(AG128=0,"",IF(AI128&lt;2,"",IF(OR(ISNUMBER(SEARCH("full",AN128)),UPPER(TRIM(AN128))="FT",UPPER(TRIM(AN128))="FTE"),"FT",IF(AND(OR(ISNUMBER(SEARCH("part",AN128)),UPPER(TRIM(AN128))="PT",UPPER(TRIM(AN128))="PTE"),OR($P128="",N($P128)&gt;=PT_MinHours)),"PT","None"))))</f>
        <v/>
      </c>
      <c r="AR128" s="14" t="str">
        <f aca="false">IF(AG128=0,"",IF(AI128&lt;3,"",IF(OR(ISNUMBER(SEARCH("full",AO128)),UPPER(TRIM(AO128))="FT",UPPER(TRIM(AO128))="FTE"),"FT",IF(AND(OR(ISNUMBER(SEARCH("part",AO128)),UPPER(TRIM(AO128))="PT",UPPER(TRIM(AO128))="PTE"),OR($P128="",N($P128)&gt;=PT_MinHours)),"PT","None"))))</f>
        <v/>
      </c>
      <c r="AS128" s="14" t="str">
        <f aca="false">IF(AG128=0,"",IF(AND(AI128&gt;=3,AL128&lt;=AsOfDate),AR128,IF(AND(AI128&gt;=2,AK128&lt;=AsOfDate),AQ128,AP128)))</f>
        <v/>
      </c>
      <c r="AT128" s="14" t="str">
        <f aca="false">IF(AG128=0,"",IF(AsOfDate&lt;AH128,-1,12*(YEAR(AsOfDate)-YEAR(AH128))+MONTH(AsOfDate)-MONTH(AH128)-IF(DAY(AsOfDate)&lt;MIN(DAY(AH128),DAY(EOMONTH(AsOfDate,0))),1,0)))</f>
        <v/>
      </c>
      <c r="AU128" s="14" t="str">
        <f aca="false">IF(AG128=0,"",IF(OR(AI128&lt;2,AK128&gt;AsOfDate),AT128,IF((AK128-1)&lt;AH128,-1,12*(YEAR((AK128-1))-YEAR(AH128))+MONTH((AK128-1))-MONTH(AH128)-IF(DAY((AK128-1))&lt;MIN(DAY(AH128),DAY(EOMONTH((AK128-1),0))),1,0))))</f>
        <v/>
      </c>
      <c r="AV128" s="14" t="str">
        <f aca="false">IF(AG128=0,"",IF(OR(AI128&lt;3,AL128&gt;AsOfDate),AT128,IF((AL128-1)&lt;AH128,-1,12*(YEAR((AL128-1))-YEAR(AH128))+MONTH((AL128-1))-MONTH(AH128)-IF(DAY((AL128-1))&lt;MIN(DAY(AH128),DAY(EOMONTH((AL128-1),0))),1,0))))</f>
        <v/>
      </c>
      <c r="AW128" s="14" t="str">
        <f aca="false">IF(AG128=0,"",IF(PFYDate&lt;AH128,-1,12*(YEAR(PFYDate)-YEAR(AH128))+MONTH(PFYDate)-MONTH(AH128)-IF(DAY(PFYDate)&lt;MIN(DAY(AH128),DAY(EOMONTH(PFYDate,0))),1,0)))</f>
        <v/>
      </c>
      <c r="AX128" s="14" t="str">
        <f aca="false">IF(AG128=0,"",IF(OR(AI128&lt;2,AK128&gt;PFYDate),AW128,IF((AK128-1)&lt;AH128,-1,12*(YEAR((AK128-1))-YEAR(AH128))+MONTH((AK128-1))-MONTH(AH128)-IF(DAY((AK128-1))&lt;MIN(DAY(AH128),DAY(EOMONTH((AK128-1),0))),1,0))))</f>
        <v/>
      </c>
      <c r="AY128" s="14" t="str">
        <f aca="false">IF(AG128=0,"",IF(OR(AI128&lt;3,AL128&gt;PFYDate),AW128,IF((AL128-1)&lt;AH128,-1,12*(YEAR((AL128-1))-YEAR(AH128))+MONTH((AL128-1))-MONTH(AH128)-IF(DAY((AL128-1))&lt;MIN(DAY(AH128),DAY(EOMONTH((AL128-1),0))),1,0))))</f>
        <v/>
      </c>
      <c r="AZ128" s="14" t="str">
        <f aca="false">IF(AG128=0,"",IF(AP128="FT",IF(AU128&lt;FT_First,0,IF(AU128&lt;FT_Y5,1+INT((AU128-FT_First)/FT_Int1),FT_PreY5+FT_PerYear*INT((AU128-FT_Y5)/12)+FT_AnnivDays+INT(MOD(AU128-FT_Y5,12)/FT_Int2))),IF(AP128="PT",IF(AU128&lt;PT_First,0,1+INT((AU128-PT_First)/PT_Int)),0))+IF(AND(AI128&gt;=2,AK128&lt;=AsOfDate),IF(AQ128="FT",IF(AV128&lt;FT_First,0,IF(AV128&lt;FT_Y5,1+INT((AV128-FT_First)/FT_Int1),FT_PreY5+FT_PerYear*INT((AV128-FT_Y5)/12)+FT_AnnivDays+INT(MOD(AV128-FT_Y5,12)/FT_Int2))),IF(AQ128="PT",IF(AV128&lt;PT_First,0,1+INT((AV128-PT_First)/PT_Int)),0))-IF(AQ128="FT",IF(AU128&lt;FT_First,0,IF(AU128&lt;FT_Y5,1+INT((AU128-FT_First)/FT_Int1),FT_PreY5+FT_PerYear*INT((AU128-FT_Y5)/12)+FT_AnnivDays+INT(MOD(AU128-FT_Y5,12)/FT_Int2))),IF(AQ128="PT",IF(AU128&lt;PT_First,0,1+INT((AU128-PT_First)/PT_Int)),0)),0)+IF(AND(AI128&gt;=3,AL128&lt;=AsOfDate),IF(AR128="FT",IF(AT128&lt;FT_First,0,IF(AT128&lt;FT_Y5,1+INT((AT128-FT_First)/FT_Int1),FT_PreY5+FT_PerYear*INT((AT128-FT_Y5)/12)+FT_AnnivDays+INT(MOD(AT128-FT_Y5,12)/FT_Int2))),IF(AR128="PT",IF(AT128&lt;PT_First,0,1+INT((AT128-PT_First)/PT_Int)),0))-IF(AR128="FT",IF(AV128&lt;FT_First,0,IF(AV128&lt;FT_Y5,1+INT((AV128-FT_First)/FT_Int1),FT_PreY5+FT_PerYear*INT((AV128-FT_Y5)/12)+FT_AnnivDays+INT(MOD(AV128-FT_Y5,12)/FT_Int2))),IF(AR128="PT",IF(AV128&lt;PT_First,0,1+INT((AV128-PT_First)/PT_Int)),0)),0))</f>
        <v/>
      </c>
      <c r="BA128" s="14" t="str">
        <f aca="false">IF(AG128=0,"",IF(AP128="FT",IF(AX128&lt;FT_First,0,IF(AX128&lt;FT_Y5,1+INT((AX128-FT_First)/FT_Int1),FT_PreY5+FT_PerYear*INT((AX128-FT_Y5)/12)+FT_AnnivDays+INT(MOD(AX128-FT_Y5,12)/FT_Int2))),IF(AP128="PT",IF(AX128&lt;PT_First,0,1+INT((AX128-PT_First)/PT_Int)),0))+IF(AND(AI128&gt;=2,AK128&lt;=PFYDate),IF(AQ128="FT",IF(AY128&lt;FT_First,0,IF(AY128&lt;FT_Y5,1+INT((AY128-FT_First)/FT_Int1),FT_PreY5+FT_PerYear*INT((AY128-FT_Y5)/12)+FT_AnnivDays+INT(MOD(AY128-FT_Y5,12)/FT_Int2))),IF(AQ128="PT",IF(AY128&lt;PT_First,0,1+INT((AY128-PT_First)/PT_Int)),0))-IF(AQ128="FT",IF(AX128&lt;FT_First,0,IF(AX128&lt;FT_Y5,1+INT((AX128-FT_First)/FT_Int1),FT_PreY5+FT_PerYear*INT((AX128-FT_Y5)/12)+FT_AnnivDays+INT(MOD(AX128-FT_Y5,12)/FT_Int2))),IF(AQ128="PT",IF(AX128&lt;PT_First,0,1+INT((AX128-PT_First)/PT_Int)),0)),0)+IF(AND(AI128&gt;=3,AL128&lt;=PFYDate),IF(AR128="FT",IF(AW128&lt;FT_First,0,IF(AW128&lt;FT_Y5,1+INT((AW128-FT_First)/FT_Int1),FT_PreY5+FT_PerYear*INT((AW128-FT_Y5)/12)+FT_AnnivDays+INT(MOD(AW128-FT_Y5,12)/FT_Int2))),IF(AR128="PT",IF(AW128&lt;PT_First,0,1+INT((AW128-PT_First)/PT_Int)),0))-IF(AR128="FT",IF(AY128&lt;FT_First,0,IF(AY128&lt;FT_Y5,1+INT((AY128-FT_First)/FT_Int1),FT_PreY5+FT_PerYear*INT((AY128-FT_Y5)/12)+FT_AnnivDays+INT(MOD(AY128-FT_Y5,12)/FT_Int2))),IF(AR128="PT",IF(AY128&lt;PT_First,0,1+INT((AY128-PT_First)/PT_Int)),0)),0))</f>
        <v/>
      </c>
      <c r="BB128" s="14" t="str">
        <f aca="false">IF(AG128=0,"",IF(AS128="FT",IF(AT128&lt;FT_First,FT_First,IF(AT128&lt;FT_Y5,MIN(FT_Y5,FT_First+FT_Int1*(INT((AT128-FT_First)/FT_Int1)+1)),FT_Y5+12*INT((AT128-FT_Y5)/12)+FT_Int2*(INT(MOD(AT128-FT_Y5,12)/FT_Int2)+1))),IF(AS128="PT",IF(AT128&lt;PT_First,PT_First,PT_First+PT_Int*(INT((AT128-PT_First)/PT_Int)+1)),"")))</f>
        <v/>
      </c>
      <c r="BC128" s="14" t="str">
        <f aca="false">IF(AG128=0,"",IF(NOT(LH_Ready),0,COUNTIFS(INDEX(LH_Data,0,LH_ColFirst),$A128,INDEX(LH_Data,0,LH_ColSur),$B128,INDEX(LH_Data,0,LH_ColCat),BonusCat)))</f>
        <v/>
      </c>
      <c r="BD128" s="14" t="str">
        <f aca="false">IF(AG128=0,"",IF(OR(NOT(LH_Ready),BC128=0),0,SUMPRODUCT(MAX((INDEX(LH_Data,0,LH_ColFirst)=$A128)*(INDEX(LH_Data,0,LH_ColSur)=$B128)*(INDEX(LH_Data,0,LH_ColCat)=BonusCat)*ROW(LH_Data)))))</f>
        <v/>
      </c>
      <c r="BE128" s="14" t="str">
        <f aca="false">IF(AG128=0,"",IF(EOMONTH(AsOfDate,-1)&lt;AH128,-1,12*(YEAR(EOMONTH(AsOfDate,-1))-YEAR(AH128))+MONTH(EOMONTH(AsOfDate,-1))-MONTH(AH128)-IF(DAY(EOMONTH(AsOfDate,-1))&lt;MIN(DAY(AH128),DAY(EOMONTH(EOMONTH(AsOfDate,-1),0))),1,0)))</f>
        <v/>
      </c>
      <c r="BF128" s="14" t="str">
        <f aca="false">IF(AG128=0,"",IF(OR(AI128&lt;2,AK128&gt;EOMONTH(AsOfDate,-1)),BE128,IF((AK128-1)&lt;AH128,-1,12*(YEAR((AK128-1))-YEAR(AH128))+MONTH((AK128-1))-MONTH(AH128)-IF(DAY((AK128-1))&lt;MIN(DAY(AH128),DAY(EOMONTH((AK128-1),0))),1,0))))</f>
        <v/>
      </c>
      <c r="BG128" s="14" t="str">
        <f aca="false">IF(AG128=0,"",IF(OR(AI128&lt;3,AL128&gt;EOMONTH(AsOfDate,-1)),BE128,IF((AL128-1)&lt;AH128,-1,12*(YEAR((AL128-1))-YEAR(AH128))+MONTH((AL128-1))-MONTH(AH128)-IF(DAY((AL128-1))&lt;MIN(DAY(AH128),DAY(EOMONTH((AL128-1),0))),1,0))))</f>
        <v/>
      </c>
      <c r="BH128" s="14" t="str">
        <f aca="false">IF(AG128=0,"",IF(AP128="FT",IF(BF128&lt;FT_First,0,IF(BF128&lt;FT_Y5,1+INT((BF128-FT_First)/FT_Int1),FT_PreY5+FT_PerYear*INT((BF128-FT_Y5)/12)+FT_AnnivDays+INT(MOD(BF128-FT_Y5,12)/FT_Int2))),IF(AP128="PT",IF(BF128&lt;PT_First,0,1+INT((BF128-PT_First)/PT_Int)),0))+IF(AND(AI128&gt;=2,AK128&lt;=EOMONTH(AsOfDate,-1)),IF(AQ128="FT",IF(BG128&lt;FT_First,0,IF(BG128&lt;FT_Y5,1+INT((BG128-FT_First)/FT_Int1),FT_PreY5+FT_PerYear*INT((BG128-FT_Y5)/12)+FT_AnnivDays+INT(MOD(BG128-FT_Y5,12)/FT_Int2))),IF(AQ128="PT",IF(BG128&lt;PT_First,0,1+INT((BG128-PT_First)/PT_Int)),0))-IF(AQ128="FT",IF(BF128&lt;FT_First,0,IF(BF128&lt;FT_Y5,1+INT((BF128-FT_First)/FT_Int1),FT_PreY5+FT_PerYear*INT((BF128-FT_Y5)/12)+FT_AnnivDays+INT(MOD(BF128-FT_Y5,12)/FT_Int2))),IF(AQ128="PT",IF(BF128&lt;PT_First,0,1+INT((BF128-PT_First)/PT_Int)),0)),0)+IF(AND(AI128&gt;=3,AL128&lt;=EOMONTH(AsOfDate,-1)),IF(AR128="FT",IF(BE128&lt;FT_First,0,IF(BE128&lt;FT_Y5,1+INT((BE128-FT_First)/FT_Int1),FT_PreY5+FT_PerYear*INT((BE128-FT_Y5)/12)+FT_AnnivDays+INT(MOD(BE128-FT_Y5,12)/FT_Int2))),IF(AR128="PT",IF(BE128&lt;PT_First,0,1+INT((BE128-PT_First)/PT_Int)),0))-IF(AR128="FT",IF(BG128&lt;FT_First,0,IF(BG128&lt;FT_Y5,1+INT((BG128-FT_First)/FT_Int1),FT_PreY5+FT_PerYear*INT((BG128-FT_Y5)/12)+FT_AnnivDays+INT(MOD(BG128-FT_Y5,12)/FT_Int2))),IF(AR128="PT",IF(BG128&lt;PT_First,0,1+INT((BG128-PT_First)/PT_Int)),0)),0))</f>
        <v/>
      </c>
      <c r="BI128" s="14" t="str">
        <f aca="false">IF(AG128=0,"",IF(AS128="FT",IF(AT128&lt;FT_First,"",IF(AT128&lt;FT_Y5,FT_First+FT_Int1*INT((AT128-FT_First)/FT_Int1),FT_Y5+FT_Int2*INT((AT128-FT_Y5)/FT_Int2))),IF(AS128="PT",IF(AT128&lt;PT_First,"",PT_First+PT_Int*INT((AT128-PT_First)/PT_Int)),"")))</f>
        <v/>
      </c>
      <c r="BJ128" s="0" t="str">
        <f aca="false">IF(LEN($A128&amp;$B128)=0,"",$A128&amp;" "&amp;$B128)</f>
        <v/>
      </c>
    </row>
    <row r="129" customFormat="false" ht="15" hidden="false" customHeight="false" outlineLevel="0" collapsed="false">
      <c r="A129" s="10"/>
      <c r="B129" s="10"/>
      <c r="C129" s="10"/>
      <c r="D129" s="11"/>
      <c r="E129" s="12" t="str">
        <f aca="false">IF(OR(AG129=0,$D129=""),"",DATE(YEAR(AsOfDate)+IF(DATE(YEAR(AsOfDate),MONTH($D129),DAY($D129))&lt;=AsOfDate,1,0),MONTH($D129),DAY($D129)))</f>
        <v/>
      </c>
      <c r="F129" s="11"/>
      <c r="G129" s="11"/>
      <c r="H129" s="11"/>
      <c r="I129" s="11"/>
      <c r="J129" s="11"/>
      <c r="K129" s="12" t="str">
        <f aca="false">IF(AG129=0,"",DATE(YEAR(AsOfDate)+IF(DATE(YEAR(AsOfDate),MONTH(AH129),DAY(AH129))&lt;=AsOfDate,1,0),MONTH(AH129),DAY(AH129)))</f>
        <v/>
      </c>
      <c r="L129" s="13" t="str">
        <f aca="false">IF(AG129=0,"",ROUND((AsOfDate-AH129)/365.25,1))</f>
        <v/>
      </c>
      <c r="M129" s="14" t="str">
        <f aca="false">IF(AG129=0,"",IF(AsOfDate&lt;AH129,"-",DATEDIF(AH129,AsOfDate,"y")&amp;"y "&amp;DATEDIF(AH129,AsOfDate,"ym")&amp;"m "&amp;DATEDIF(AH129,AsOfDate,"md")&amp;"d"))</f>
        <v/>
      </c>
      <c r="N129" s="15" t="str">
        <f aca="false">IF(AG129=0,"",O129*HoursPerDay)</f>
        <v/>
      </c>
      <c r="O129" s="15" t="str">
        <f aca="false">IF(AG129=0,"",AZ129)</f>
        <v/>
      </c>
      <c r="P129" s="16"/>
      <c r="Q129" s="14" t="str">
        <f aca="false">IF(AG129=0,"",IF(AI129&lt;2,"",AM129&amp;" to "&amp;AN129&amp;" on "&amp;TEXT(AK129,"dd/mm/yyyy")&amp;IF(AK129&gt;AsOfDate," (future)",IF(AP129=AQ129,"",IF(AQ129="None"," - STOPPED accruing",IF(AP129="None"," - commencement for Bonus Leave"," - pathway changed"))))&amp;IF(AI129&lt;3,"","; "&amp;AN129&amp;" to "&amp;AO129&amp;" on "&amp;TEXT(AL129,"dd/mm/yyyy")&amp;IF(AL129&gt;AsOfDate," (future)",IF(AQ129=AR129,"",IF(AR129="None"," - STOPPED accruing",IF(AQ129="None"," - commencement for Bonus Leave"," - pathway changed")))))))</f>
        <v/>
      </c>
      <c r="R129" s="14" t="str">
        <f aca="false">IF(AG129=0,"",IF(AS129="None",IF(O129&gt;0,"No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2" t="str">
        <f aca="false">IF(AG129=0,"",IF(AS129="None","",EDATE(AH129,BB129)))</f>
        <v/>
      </c>
      <c r="T129" s="15" t="str">
        <f aca="false">IF(AG129=0,"",IF(NOT(LH_Ready),"",IF(AH129&gt;PFYDate,0,IF(LH_ColPeriod=0,W129-U129+V129,SUMIFS(INDEX(LH_Data,0,LH_ColAcc),INDEX(LH_Data,0,LH_ColFirst),$A129,INDEX(LH_Data,0,LH_ColSur),$B129,INDEX(LH_Data,0,LH_ColCat),BonusCat,INDEX(LH_Data,0,LH_ColPeriod),LH_OpenLabel)*UnitFactor))))</f>
        <v/>
      </c>
      <c r="U129" s="15" t="str">
        <f aca="false">IF(AG129=0,"",IF(NOT(LH_Ready),"",SUMIFS(INDEX(LH_Data,0,LH_ColAcc),INDEX(LH_Data,0,LH_ColFirst),$A129,INDEX(LH_Data,0,LH_ColSur),$B129,INDEX(LH_Data,0,LH_ColCat),BonusCat,INDEX(LH_Data,0,LH_ColStart),"&gt;="&amp;AH129)*UnitFactor))</f>
        <v/>
      </c>
      <c r="V129" s="15" t="str">
        <f aca="false">IF(AG129=0,"",IF(NOT(LH_Ready),"",SUMIFS(INDEX(LH_Data,0,LH_ColTaken),INDEX(LH_Data,0,LH_ColFirst),$A129,INDEX(LH_Data,0,LH_ColSur),$B129,INDEX(LH_Data,0,LH_ColCat),BonusCat,INDEX(LH_Data,0,LH_ColStart),"&gt;="&amp;AH129)*UnitFactor))</f>
        <v/>
      </c>
      <c r="W129" s="15" t="str">
        <f aca="false">IF(AG129=0,"",IF(NOT(LH_Ready),"",IF(BD129=0,0,INDEX(INDEX(LH_Data,0,LH_ColClose),BD129-1)*UnitFactor)))</f>
        <v/>
      </c>
      <c r="X129" s="15" t="str">
        <f aca="false">IF(AG129=0,"",(AZ129-BA129)*HoursPerDay)</f>
        <v/>
      </c>
      <c r="Y129" s="15" t="str">
        <f aca="false">IF(AG129=0,"",IF(NOT(LH_Ready),"",IF(BC129=0,N129,IF(PFYDate&lt;$F129,N129-N(T129)-N(U129),X129-N(U129)))))</f>
        <v/>
      </c>
      <c r="Z129" s="14" t="str">
        <f aca="false">IF(OR(AG129=0,Y129=""),"",IF(Y129&gt;0,"Yes","No"))</f>
        <v/>
      </c>
      <c r="AA129" s="14" t="str">
        <f aca="false">IF(AG129=0,IF(LEN($A129&amp;$B129)=0,"","FIX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month")&amp;IF(BC129=0,";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EH)",""),IF(AS129="None",R129,"Not yet - first day on "&amp;TEXT(S129,"dd/mm/yyyy")))))))))</f>
        <v/>
      </c>
      <c r="AB129" s="15" t="str">
        <f aca="false">IF(OR(AG129=0,T129=""),"",BA129*HoursPerDay-T129)</f>
        <v/>
      </c>
      <c r="AC129" s="14" t="str">
        <f aca="false">IF(AG129=0,"",BC129)</f>
        <v/>
      </c>
      <c r="AD129" s="14" t="str">
        <f aca="false">IF(AG129=0,"",TRIM(IF(OR(ISTEXT($F129),ISTEXT($H129),ISTEXT($I129),ISTEXT($G129),ISTEXT($J129),ISTEXT($D129)),"A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I129&gt;=1,IF(AI129&gt;=3,AO129,IF(AI129=2,AN129,AM129))&lt;&gt;IF($C129="","",IF(OR(ISNUMBER(SEARCH("full",$C129)),UPPER(TRIM($C129))="FT",UPPER(TRIM($C129))="FTE"),"Full-Time",IF(OR(ISNUMBER(SEARCH("part",$C129)),UPPER(TRIM($C129))="PT",UPPER(TRIM($C129))="PTE"),"Part-Time",IF(OR(ISNUMBER(SEARCH("cas",$C129)),UPPER(TRIM($C129))="CAS"),"Casual","Unknown"))))),"EmploymentType does not match latest start date ("&amp;IF(AI129&gt;=3,AO129,IF(AI129=2,AN129,AM129))&amp;"). ","")&amp;IF(AND(AI129&gt;=1,AJ129&lt;&gt;$F129),"Earliest type date should equal StartDate. ","")&amp;IF(AND(AI129&gt;=2,AJ129=AK129),"Two types start on the same date. ","")&amp;IF(AND(OR(ISNUMBER(SEARCH("part",$C129)),UPPER(TRIM($C129))="PT",UPPER(TRIM($C129))="PTE"),$P129=""),"Part-time: enter PT Hrs/Week (blank = 24+). ","")))</f>
        <v/>
      </c>
      <c r="AE129" s="15" t="str">
        <f aca="false">IF(AG129=0,"",O129-BH129)</f>
        <v/>
      </c>
      <c r="AF129" s="12" t="str">
        <f aca="false">IF(OR(AG129=0,AE129="",N(AE129)=0,BI129=""),"",EDATE(AH129,BI129))</f>
        <v/>
      </c>
      <c r="AG129" s="14" t="n">
        <f aca="false">IF(OR(LEN($A129&amp;$B129)=0,$F129=""),0,1)</f>
        <v>0</v>
      </c>
      <c r="AH129" s="12" t="str">
        <f aca="false">IF(AG129=0,"",IF($J129&lt;&gt;"",$J129,IF(OR(CasualCounts="Yes",COUNT($G129:$I129)=0,COUNT($H129:$I129)=0),$F129,MIN($H129:$I129))))</f>
        <v/>
      </c>
      <c r="AI129" s="14" t="str">
        <f aca="false">IF(AG129=0,"",COUNT($G129:$I129))</f>
        <v/>
      </c>
      <c r="AJ129" s="12" t="str">
        <f aca="false">IF(AG129=0,"",IFERROR(SMALL($G129:$I129,1),""))</f>
        <v/>
      </c>
      <c r="AK129" s="12" t="str">
        <f aca="false">IF(AG129=0,"",IFERROR(SMALL($G129:$I129,2),""))</f>
        <v/>
      </c>
      <c r="AL129" s="12" t="str">
        <f aca="false">IF(AG129=0,"",IFERROR(SMALL($G129:$I129,3),""))</f>
        <v/>
      </c>
      <c r="AM129" s="14" t="str">
        <f aca="false">IF(AG129=0,"",IF(AJ129="","",IF(AJ129=$H129,"Part-Time",IF(AJ129=$I129,"Full-Time","Casual"))))</f>
        <v/>
      </c>
      <c r="AN129" s="14" t="str">
        <f aca="false">IF(AG129=0,"",IF(AK129="","",IF(AK129=$H129,"Part-Time",IF(AK129=$I129,"Full-Time","Casual"))))</f>
        <v/>
      </c>
      <c r="AO129" s="14" t="str">
        <f aca="false">IF(AG129=0,"",IF(AL129="","",IF(AL129=$H129,"Part-Time",IF(AL129=$I129,"Full-Time","Casual"))))</f>
        <v/>
      </c>
      <c r="AP129" s="14" t="str">
        <f aca="false">IF(AG129=0,"",IF(AI129=0,IF(OR(ISNUMBER(SEARCH("full",$C129)),UPPER(TRIM($C129))="FT",UPPER(TRIM($C129))="FTE"),"FT",IF(AND(OR(ISNUMBER(SEARCH("part",$C129)),UPPER(TRIM($C129))="PT",UPPER(TRIM($C129))="PTE"),OR($P129="",N($P129)&gt;=PT_MinHours)),"PT","None")),IF(OR(ISNUMBER(SEARCH("full",AM129)),UPPER(TRIM(AM129))="FT",UPPER(TRIM(AM129))="FTE"),"FT",IF(AND(OR(ISNUMBER(SEARCH("part",AM129)),UPPER(TRIM(AM129))="PT",UPPER(TRIM(AM129))="PTE"),OR($P129="",N($P129)&gt;=PT_MinHours)),"PT","None"))))</f>
        <v/>
      </c>
      <c r="AQ129" s="14" t="str">
        <f aca="false">IF(AG129=0,"",IF(AI129&lt;2,"",IF(OR(ISNUMBER(SEARCH("full",AN129)),UPPER(TRIM(AN129))="FT",UPPER(TRIM(AN129))="FTE"),"FT",IF(AND(OR(ISNUMBER(SEARCH("part",AN129)),UPPER(TRIM(AN129))="PT",UPPER(TRIM(AN129))="PTE"),OR($P129="",N($P129)&gt;=PT_MinHours)),"PT","None"))))</f>
        <v/>
      </c>
      <c r="AR129" s="14" t="str">
        <f aca="false">IF(AG129=0,"",IF(AI129&lt;3,"",IF(OR(ISNUMBER(SEARCH("full",AO129)),UPPER(TRIM(AO129))="FT",UPPER(TRIM(AO129))="FTE"),"FT",IF(AND(OR(ISNUMBER(SEARCH("part",AO129)),UPPER(TRIM(AO129))="PT",UPPER(TRIM(AO129))="PTE"),OR($P129="",N($P129)&gt;=PT_MinHours)),"PT","None"))))</f>
        <v/>
      </c>
      <c r="AS129" s="14" t="str">
        <f aca="false">IF(AG129=0,"",IF(AND(AI129&gt;=3,AL129&lt;=AsOfDate),AR129,IF(AND(AI129&gt;=2,AK129&lt;=AsOfDate),AQ129,AP129)))</f>
        <v/>
      </c>
      <c r="AT129" s="14" t="str">
        <f aca="false">IF(AG129=0,"",IF(AsOfDate&lt;AH129,-1,12*(YEAR(AsOfDate)-YEAR(AH129))+MONTH(AsOfDate)-MONTH(AH129)-IF(DAY(AsOfDate)&lt;MIN(DAY(AH129),DAY(EOMONTH(AsOfDate,0))),1,0)))</f>
        <v/>
      </c>
      <c r="AU129" s="14" t="str">
        <f aca="false">IF(AG129=0,"",IF(OR(AI129&lt;2,AK129&gt;AsOfDate),AT129,IF((AK129-1)&lt;AH129,-1,12*(YEAR((AK129-1))-YEAR(AH129))+MONTH((AK129-1))-MONTH(AH129)-IF(DAY((AK129-1))&lt;MIN(DAY(AH129),DAY(EOMONTH((AK129-1),0))),1,0))))</f>
        <v/>
      </c>
      <c r="AV129" s="14" t="str">
        <f aca="false">IF(AG129=0,"",IF(OR(AI129&lt;3,AL129&gt;AsOfDate),AT129,IF((AL129-1)&lt;AH129,-1,12*(YEAR((AL129-1))-YEAR(AH129))+MONTH((AL129-1))-MONTH(AH129)-IF(DAY((AL129-1))&lt;MIN(DAY(AH129),DAY(EOMONTH((AL129-1),0))),1,0))))</f>
        <v/>
      </c>
      <c r="AW129" s="14" t="str">
        <f aca="false">IF(AG129=0,"",IF(PFYDate&lt;AH129,-1,12*(YEAR(PFYDate)-YEAR(AH129))+MONTH(PFYDate)-MONTH(AH129)-IF(DAY(PFYDate)&lt;MIN(DAY(AH129),DAY(EOMONTH(PFYDate,0))),1,0)))</f>
        <v/>
      </c>
      <c r="AX129" s="14" t="str">
        <f aca="false">IF(AG129=0,"",IF(OR(AI129&lt;2,AK129&gt;PFYDate),AW129,IF((AK129-1)&lt;AH129,-1,12*(YEAR((AK129-1))-YEAR(AH129))+MONTH((AK129-1))-MONTH(AH129)-IF(DAY((AK129-1))&lt;MIN(DAY(AH129),DAY(EOMONTH((AK129-1),0))),1,0))))</f>
        <v/>
      </c>
      <c r="AY129" s="14" t="str">
        <f aca="false">IF(AG129=0,"",IF(OR(AI129&lt;3,AL129&gt;PFYDate),AW129,IF((AL129-1)&lt;AH129,-1,12*(YEAR((AL129-1))-YEAR(AH129))+MONTH((AL129-1))-MONTH(AH129)-IF(DAY((AL129-1))&lt;MIN(DAY(AH129),DAY(EOMONTH((AL129-1),0))),1,0))))</f>
        <v/>
      </c>
      <c r="AZ129" s="14" t="str">
        <f aca="false">IF(AG129=0,"",IF(AP129="FT",IF(AU129&lt;FT_First,0,IF(AU129&lt;FT_Y5,1+INT((AU129-FT_First)/FT_Int1),FT_PreY5+FT_PerYear*INT((AU129-FT_Y5)/12)+FT_AnnivDays+INT(MOD(AU129-FT_Y5,12)/FT_Int2))),IF(AP129="PT",IF(AU129&lt;PT_First,0,1+INT((AU129-PT_First)/PT_Int)),0))+IF(AND(AI129&gt;=2,AK129&lt;=AsOfDate),IF(AQ129="FT",IF(AV129&lt;FT_First,0,IF(AV129&lt;FT_Y5,1+INT((AV129-FT_First)/FT_Int1),FT_PreY5+FT_PerYear*INT((AV129-FT_Y5)/12)+FT_AnnivDays+INT(MOD(AV129-FT_Y5,12)/FT_Int2))),IF(AQ129="PT",IF(AV129&lt;PT_First,0,1+INT((AV129-PT_First)/PT_Int)),0))-IF(AQ129="FT",IF(AU129&lt;FT_First,0,IF(AU129&lt;FT_Y5,1+INT((AU129-FT_First)/FT_Int1),FT_PreY5+FT_PerYear*INT((AU129-FT_Y5)/12)+FT_AnnivDays+INT(MOD(AU129-FT_Y5,12)/FT_Int2))),IF(AQ129="PT",IF(AU129&lt;PT_First,0,1+INT((AU129-PT_First)/PT_Int)),0)),0)+IF(AND(AI129&gt;=3,AL129&lt;=AsOfDate),IF(AR129="FT",IF(AT129&lt;FT_First,0,IF(AT129&lt;FT_Y5,1+INT((AT129-FT_First)/FT_Int1),FT_PreY5+FT_PerYear*INT((AT129-FT_Y5)/12)+FT_AnnivDays+INT(MOD(AT129-FT_Y5,12)/FT_Int2))),IF(AR129="PT",IF(AT129&lt;PT_First,0,1+INT((AT129-PT_First)/PT_Int)),0))-IF(AR129="FT",IF(AV129&lt;FT_First,0,IF(AV129&lt;FT_Y5,1+INT((AV129-FT_First)/FT_Int1),FT_PreY5+FT_PerYear*INT((AV129-FT_Y5)/12)+FT_AnnivDays+INT(MOD(AV129-FT_Y5,12)/FT_Int2))),IF(AR129="PT",IF(AV129&lt;PT_First,0,1+INT((AV129-PT_First)/PT_Int)),0)),0))</f>
        <v/>
      </c>
      <c r="BA129" s="14" t="str">
        <f aca="false">IF(AG129=0,"",IF(AP129="FT",IF(AX129&lt;FT_First,0,IF(AX129&lt;FT_Y5,1+INT((AX129-FT_First)/FT_Int1),FT_PreY5+FT_PerYear*INT((AX129-FT_Y5)/12)+FT_AnnivDays+INT(MOD(AX129-FT_Y5,12)/FT_Int2))),IF(AP129="PT",IF(AX129&lt;PT_First,0,1+INT((AX129-PT_First)/PT_Int)),0))+IF(AND(AI129&gt;=2,AK129&lt;=PFYDate),IF(AQ129="FT",IF(AY129&lt;FT_First,0,IF(AY129&lt;FT_Y5,1+INT((AY129-FT_First)/FT_Int1),FT_PreY5+FT_PerYear*INT((AY129-FT_Y5)/12)+FT_AnnivDays+INT(MOD(AY129-FT_Y5,12)/FT_Int2))),IF(AQ129="PT",IF(AY129&lt;PT_First,0,1+INT((AY129-PT_First)/PT_Int)),0))-IF(AQ129="FT",IF(AX129&lt;FT_First,0,IF(AX129&lt;FT_Y5,1+INT((AX129-FT_First)/FT_Int1),FT_PreY5+FT_PerYear*INT((AX129-FT_Y5)/12)+FT_AnnivDays+INT(MOD(AX129-FT_Y5,12)/FT_Int2))),IF(AQ129="PT",IF(AX129&lt;PT_First,0,1+INT((AX129-PT_First)/PT_Int)),0)),0)+IF(AND(AI129&gt;=3,AL129&lt;=PFYDate),IF(AR129="FT",IF(AW129&lt;FT_First,0,IF(AW129&lt;FT_Y5,1+INT((AW129-FT_First)/FT_Int1),FT_PreY5+FT_PerYear*INT((AW129-FT_Y5)/12)+FT_AnnivDays+INT(MOD(AW129-FT_Y5,12)/FT_Int2))),IF(AR129="PT",IF(AW129&lt;PT_First,0,1+INT((AW129-PT_First)/PT_Int)),0))-IF(AR129="FT",IF(AY129&lt;FT_First,0,IF(AY129&lt;FT_Y5,1+INT((AY129-FT_First)/FT_Int1),FT_PreY5+FT_PerYear*INT((AY129-FT_Y5)/12)+FT_AnnivDays+INT(MOD(AY129-FT_Y5,12)/FT_Int2))),IF(AR129="PT",IF(AY129&lt;PT_First,0,1+INT((AY129-PT_First)/PT_Int)),0)),0))</f>
        <v/>
      </c>
      <c r="BB129" s="14" t="str">
        <f aca="false">IF(AG129=0,"",IF(AS129="FT",IF(AT129&lt;FT_First,FT_First,IF(AT129&lt;FT_Y5,MIN(FT_Y5,FT_First+FT_Int1*(INT((AT129-FT_First)/FT_Int1)+1)),FT_Y5+12*INT((AT129-FT_Y5)/12)+FT_Int2*(INT(MOD(AT129-FT_Y5,12)/FT_Int2)+1))),IF(AS129="PT",IF(AT129&lt;PT_First,PT_First,PT_First+PT_Int*(INT((AT129-PT_First)/PT_Int)+1)),"")))</f>
        <v/>
      </c>
      <c r="BC129" s="14" t="str">
        <f aca="false">IF(AG129=0,"",IF(NOT(LH_Ready),0,COUNTIFS(INDEX(LH_Data,0,LH_ColFirst),$A129,INDEX(LH_Data,0,LH_ColSur),$B129,INDEX(LH_Data,0,LH_ColCat),BonusCat)))</f>
        <v/>
      </c>
      <c r="BD129" s="14" t="str">
        <f aca="false">IF(AG129=0,"",IF(OR(NOT(LH_Ready),BC129=0),0,SUMPRODUCT(MAX((INDEX(LH_Data,0,LH_ColFirst)=$A129)*(INDEX(LH_Data,0,LH_ColSur)=$B129)*(INDEX(LH_Data,0,LH_ColCat)=BonusCat)*ROW(LH_Data)))))</f>
        <v/>
      </c>
      <c r="BE129" s="14" t="str">
        <f aca="false">IF(AG129=0,"",IF(EOMONTH(AsOfDate,-1)&lt;AH129,-1,12*(YEAR(EOMONTH(AsOfDate,-1))-YEAR(AH129))+MONTH(EOMONTH(AsOfDate,-1))-MONTH(AH129)-IF(DAY(EOMONTH(AsOfDate,-1))&lt;MIN(DAY(AH129),DAY(EOMONTH(EOMONTH(AsOfDate,-1),0))),1,0)))</f>
        <v/>
      </c>
      <c r="BF129" s="14" t="str">
        <f aca="false">IF(AG129=0,"",IF(OR(AI129&lt;2,AK129&gt;EOMONTH(AsOfDate,-1)),BE129,IF((AK129-1)&lt;AH129,-1,12*(YEAR((AK129-1))-YEAR(AH129))+MONTH((AK129-1))-MONTH(AH129)-IF(DAY((AK129-1))&lt;MIN(DAY(AH129),DAY(EOMONTH((AK129-1),0))),1,0))))</f>
        <v/>
      </c>
      <c r="BG129" s="14" t="str">
        <f aca="false">IF(AG129=0,"",IF(OR(AI129&lt;3,AL129&gt;EOMONTH(AsOfDate,-1)),BE129,IF((AL129-1)&lt;AH129,-1,12*(YEAR((AL129-1))-YEAR(AH129))+MONTH((AL129-1))-MONTH(AH129)-IF(DAY((AL129-1))&lt;MIN(DAY(AH129),DAY(EOMONTH((AL129-1),0))),1,0))))</f>
        <v/>
      </c>
      <c r="BH129" s="14" t="str">
        <f aca="false">IF(AG129=0,"",IF(AP129="FT",IF(BF129&lt;FT_First,0,IF(BF129&lt;FT_Y5,1+INT((BF129-FT_First)/FT_Int1),FT_PreY5+FT_PerYear*INT((BF129-FT_Y5)/12)+FT_AnnivDays+INT(MOD(BF129-FT_Y5,12)/FT_Int2))),IF(AP129="PT",IF(BF129&lt;PT_First,0,1+INT((BF129-PT_First)/PT_Int)),0))+IF(AND(AI129&gt;=2,AK129&lt;=EOMONTH(AsOfDate,-1)),IF(AQ129="FT",IF(BG129&lt;FT_First,0,IF(BG129&lt;FT_Y5,1+INT((BG129-FT_First)/FT_Int1),FT_PreY5+FT_PerYear*INT((BG129-FT_Y5)/12)+FT_AnnivDays+INT(MOD(BG129-FT_Y5,12)/FT_Int2))),IF(AQ129="PT",IF(BG129&lt;PT_First,0,1+INT((BG129-PT_First)/PT_Int)),0))-IF(AQ129="FT",IF(BF129&lt;FT_First,0,IF(BF129&lt;FT_Y5,1+INT((BF129-FT_First)/FT_Int1),FT_PreY5+FT_PerYear*INT((BF129-FT_Y5)/12)+FT_AnnivDays+INT(MOD(BF129-FT_Y5,12)/FT_Int2))),IF(AQ129="PT",IF(BF129&lt;PT_First,0,1+INT((BF129-PT_First)/PT_Int)),0)),0)+IF(AND(AI129&gt;=3,AL129&lt;=EOMONTH(AsOfDate,-1)),IF(AR129="FT",IF(BE129&lt;FT_First,0,IF(BE129&lt;FT_Y5,1+INT((BE129-FT_First)/FT_Int1),FT_PreY5+FT_PerYear*INT((BE129-FT_Y5)/12)+FT_AnnivDays+INT(MOD(BE129-FT_Y5,12)/FT_Int2))),IF(AR129="PT",IF(BE129&lt;PT_First,0,1+INT((BE129-PT_First)/PT_Int)),0))-IF(AR129="FT",IF(BG129&lt;FT_First,0,IF(BG129&lt;FT_Y5,1+INT((BG129-FT_First)/FT_Int1),FT_PreY5+FT_PerYear*INT((BG129-FT_Y5)/12)+FT_AnnivDays+INT(MOD(BG129-FT_Y5,12)/FT_Int2))),IF(AR129="PT",IF(BG129&lt;PT_First,0,1+INT((BG129-PT_First)/PT_Int)),0)),0))</f>
        <v/>
      </c>
      <c r="BI129" s="14" t="str">
        <f aca="false">IF(AG129=0,"",IF(AS129="FT",IF(AT129&lt;FT_First,"",IF(AT129&lt;FT_Y5,FT_First+FT_Int1*INT((AT129-FT_First)/FT_Int1),FT_Y5+FT_Int2*INT((AT129-FT_Y5)/FT_Int2))),IF(AS129="PT",IF(AT129&lt;PT_First,"",PT_First+PT_Int*INT((AT129-PT_First)/PT_Int)),"")))</f>
        <v/>
      </c>
      <c r="BJ129" s="0" t="str">
        <f aca="false">IF(LEN($A129&amp;$B129)=0,"",$A129&amp;" "&amp;$B129)</f>
        <v/>
      </c>
    </row>
    <row r="130" customFormat="false" ht="15" hidden="false" customHeight="false" outlineLevel="0" collapsed="false">
      <c r="A130" s="10"/>
      <c r="B130" s="10"/>
      <c r="C130" s="10"/>
      <c r="D130" s="11"/>
      <c r="E130" s="12" t="str">
        <f aca="false">IF(OR(AG130=0,$D130=""),"",DATE(YEAR(AsOfDate)+IF(DATE(YEAR(AsOfDate),MONTH($D130),DAY($D130))&lt;=AsOfDate,1,0),MONTH($D130),DAY($D130)))</f>
        <v/>
      </c>
      <c r="F130" s="11"/>
      <c r="G130" s="11"/>
      <c r="H130" s="11"/>
      <c r="I130" s="11"/>
      <c r="J130" s="11"/>
      <c r="K130" s="12" t="str">
        <f aca="false">IF(AG130=0,"",DATE(YEAR(AsOfDate)+IF(DATE(YEAR(AsOfDate),MONTH(AH130),DAY(AH130))&lt;=AsOfDate,1,0),MONTH(AH130),DAY(AH130)))</f>
        <v/>
      </c>
      <c r="L130" s="13" t="str">
        <f aca="false">IF(AG130=0,"",ROUND((AsOfDate-AH130)/365.25,1))</f>
        <v/>
      </c>
      <c r="M130" s="14" t="str">
        <f aca="false">IF(AG130=0,"",IF(AsOfDate&lt;AH130,"-",DATEDIF(AH130,AsOfDate,"y")&amp;"y "&amp;DATEDIF(AH130,AsOfDate,"ym")&amp;"m "&amp;DATEDIF(AH130,AsOfDate,"md")&amp;"d"))</f>
        <v/>
      </c>
      <c r="N130" s="15" t="str">
        <f aca="false">IF(AG130=0,"",O130*HoursPerDay)</f>
        <v/>
      </c>
      <c r="O130" s="15" t="str">
        <f aca="false">IF(AG130=0,"",AZ130)</f>
        <v/>
      </c>
      <c r="P130" s="16"/>
      <c r="Q130" s="14" t="str">
        <f aca="false">IF(AG130=0,"",IF(AI130&lt;2,"",AM130&amp;" to "&amp;AN130&amp;" on "&amp;TEXT(AK130,"dd/mm/yyyy")&amp;IF(AK130&gt;AsOfDate," (future)",IF(AP130=AQ130,"",IF(AQ130="None"," - STOPPED accruing",IF(AP130="None"," - commencement for Bonus Leave"," - pathway changed"))))&amp;IF(AI130&lt;3,"","; "&amp;AN130&amp;" to "&amp;AO130&amp;" on "&amp;TEXT(AL130,"dd/mm/yyyy")&amp;IF(AL130&gt;AsOfDate," (future)",IF(AQ130=AR130,"",IF(AR130="None"," - STOPPED accruing",IF(AQ130="None"," - commencement for Bonus Leave"," - pathway changed")))))))</f>
        <v/>
      </c>
      <c r="R130" s="14" t="str">
        <f aca="false">IF(AG130=0,"",IF(AS130="None",IF(O130&gt;0,"No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2" t="str">
        <f aca="false">IF(AG130=0,"",IF(AS130="None","",EDATE(AH130,BB130)))</f>
        <v/>
      </c>
      <c r="T130" s="15" t="str">
        <f aca="false">IF(AG130=0,"",IF(NOT(LH_Ready),"",IF(AH130&gt;PFYDate,0,IF(LH_ColPeriod=0,W130-U130+V130,SUMIFS(INDEX(LH_Data,0,LH_ColAcc),INDEX(LH_Data,0,LH_ColFirst),$A130,INDEX(LH_Data,0,LH_ColSur),$B130,INDEX(LH_Data,0,LH_ColCat),BonusCat,INDEX(LH_Data,0,LH_ColPeriod),LH_OpenLabel)*UnitFactor))))</f>
        <v/>
      </c>
      <c r="U130" s="15" t="str">
        <f aca="false">IF(AG130=0,"",IF(NOT(LH_Ready),"",SUMIFS(INDEX(LH_Data,0,LH_ColAcc),INDEX(LH_Data,0,LH_ColFirst),$A130,INDEX(LH_Data,0,LH_ColSur),$B130,INDEX(LH_Data,0,LH_ColCat),BonusCat,INDEX(LH_Data,0,LH_ColStart),"&gt;="&amp;AH130)*UnitFactor))</f>
        <v/>
      </c>
      <c r="V130" s="15" t="str">
        <f aca="false">IF(AG130=0,"",IF(NOT(LH_Ready),"",SUMIFS(INDEX(LH_Data,0,LH_ColTaken),INDEX(LH_Data,0,LH_ColFirst),$A130,INDEX(LH_Data,0,LH_ColSur),$B130,INDEX(LH_Data,0,LH_ColCat),BonusCat,INDEX(LH_Data,0,LH_ColStart),"&gt;="&amp;AH130)*UnitFactor))</f>
        <v/>
      </c>
      <c r="W130" s="15" t="str">
        <f aca="false">IF(AG130=0,"",IF(NOT(LH_Ready),"",IF(BD130=0,0,INDEX(INDEX(LH_Data,0,LH_ColClose),BD130-1)*UnitFactor)))</f>
        <v/>
      </c>
      <c r="X130" s="15" t="str">
        <f aca="false">IF(AG130=0,"",(AZ130-BA130)*HoursPerDay)</f>
        <v/>
      </c>
      <c r="Y130" s="15" t="str">
        <f aca="false">IF(AG130=0,"",IF(NOT(LH_Ready),"",IF(BC130=0,N130,IF(PFYDate&lt;$F130,N130-N(T130)-N(U130),X130-N(U130)))))</f>
        <v/>
      </c>
      <c r="Z130" s="14" t="str">
        <f aca="false">IF(OR(AG130=0,Y130=""),"",IF(Y130&gt;0,"Yes","No"))</f>
        <v/>
      </c>
      <c r="AA130" s="14" t="str">
        <f aca="false">IF(AG130=0,IF(LEN($A130&amp;$B130)=0,"","FIX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month")&amp;IF(BC130=0,";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EH)",""),IF(AS130="None",R130,"Not yet - first day on "&amp;TEXT(S130,"dd/mm/yyyy")))))))))</f>
        <v/>
      </c>
      <c r="AB130" s="15" t="str">
        <f aca="false">IF(OR(AG130=0,T130=""),"",BA130*HoursPerDay-T130)</f>
        <v/>
      </c>
      <c r="AC130" s="14" t="str">
        <f aca="false">IF(AG130=0,"",BC130)</f>
        <v/>
      </c>
      <c r="AD130" s="14" t="str">
        <f aca="false">IF(AG130=0,"",TRIM(IF(OR(ISTEXT($F130),ISTEXT($H130),ISTEXT($I130),ISTEXT($G130),ISTEXT($J130),ISTEXT($D130)),"A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I130&gt;=1,IF(AI130&gt;=3,AO130,IF(AI130=2,AN130,AM130))&lt;&gt;IF($C130="","",IF(OR(ISNUMBER(SEARCH("full",$C130)),UPPER(TRIM($C130))="FT",UPPER(TRIM($C130))="FTE"),"Full-Time",IF(OR(ISNUMBER(SEARCH("part",$C130)),UPPER(TRIM($C130))="PT",UPPER(TRIM($C130))="PTE"),"Part-Time",IF(OR(ISNUMBER(SEARCH("cas",$C130)),UPPER(TRIM($C130))="CAS"),"Casual","Unknown"))))),"EmploymentType does not match latest start date ("&amp;IF(AI130&gt;=3,AO130,IF(AI130=2,AN130,AM130))&amp;"). ","")&amp;IF(AND(AI130&gt;=1,AJ130&lt;&gt;$F130),"Earliest type date should equal StartDate. ","")&amp;IF(AND(AI130&gt;=2,AJ130=AK130),"Two types start on the same date. ","")&amp;IF(AND(OR(ISNUMBER(SEARCH("part",$C130)),UPPER(TRIM($C130))="PT",UPPER(TRIM($C130))="PTE"),$P130=""),"Part-time: enter PT Hrs/Week (blank = 24+). ","")))</f>
        <v/>
      </c>
      <c r="AE130" s="15" t="str">
        <f aca="false">IF(AG130=0,"",O130-BH130)</f>
        <v/>
      </c>
      <c r="AF130" s="12" t="str">
        <f aca="false">IF(OR(AG130=0,AE130="",N(AE130)=0,BI130=""),"",EDATE(AH130,BI130))</f>
        <v/>
      </c>
      <c r="AG130" s="14" t="n">
        <f aca="false">IF(OR(LEN($A130&amp;$B130)=0,$F130=""),0,1)</f>
        <v>0</v>
      </c>
      <c r="AH130" s="12" t="str">
        <f aca="false">IF(AG130=0,"",IF($J130&lt;&gt;"",$J130,IF(OR(CasualCounts="Yes",COUNT($G130:$I130)=0,COUNT($H130:$I130)=0),$F130,MIN($H130:$I130))))</f>
        <v/>
      </c>
      <c r="AI130" s="14" t="str">
        <f aca="false">IF(AG130=0,"",COUNT($G130:$I130))</f>
        <v/>
      </c>
      <c r="AJ130" s="12" t="str">
        <f aca="false">IF(AG130=0,"",IFERROR(SMALL($G130:$I130,1),""))</f>
        <v/>
      </c>
      <c r="AK130" s="12" t="str">
        <f aca="false">IF(AG130=0,"",IFERROR(SMALL($G130:$I130,2),""))</f>
        <v/>
      </c>
      <c r="AL130" s="12" t="str">
        <f aca="false">IF(AG130=0,"",IFERROR(SMALL($G130:$I130,3),""))</f>
        <v/>
      </c>
      <c r="AM130" s="14" t="str">
        <f aca="false">IF(AG130=0,"",IF(AJ130="","",IF(AJ130=$H130,"Part-Time",IF(AJ130=$I130,"Full-Time","Casual"))))</f>
        <v/>
      </c>
      <c r="AN130" s="14" t="str">
        <f aca="false">IF(AG130=0,"",IF(AK130="","",IF(AK130=$H130,"Part-Time",IF(AK130=$I130,"Full-Time","Casual"))))</f>
        <v/>
      </c>
      <c r="AO130" s="14" t="str">
        <f aca="false">IF(AG130=0,"",IF(AL130="","",IF(AL130=$H130,"Part-Time",IF(AL130=$I130,"Full-Time","Casual"))))</f>
        <v/>
      </c>
      <c r="AP130" s="14" t="str">
        <f aca="false">IF(AG130=0,"",IF(AI130=0,IF(OR(ISNUMBER(SEARCH("full",$C130)),UPPER(TRIM($C130))="FT",UPPER(TRIM($C130))="FTE"),"FT",IF(AND(OR(ISNUMBER(SEARCH("part",$C130)),UPPER(TRIM($C130))="PT",UPPER(TRIM($C130))="PTE"),OR($P130="",N($P130)&gt;=PT_MinHours)),"PT","None")),IF(OR(ISNUMBER(SEARCH("full",AM130)),UPPER(TRIM(AM130))="FT",UPPER(TRIM(AM130))="FTE"),"FT",IF(AND(OR(ISNUMBER(SEARCH("part",AM130)),UPPER(TRIM(AM130))="PT",UPPER(TRIM(AM130))="PTE"),OR($P130="",N($P130)&gt;=PT_MinHours)),"PT","None"))))</f>
        <v/>
      </c>
      <c r="AQ130" s="14" t="str">
        <f aca="false">IF(AG130=0,"",IF(AI130&lt;2,"",IF(OR(ISNUMBER(SEARCH("full",AN130)),UPPER(TRIM(AN130))="FT",UPPER(TRIM(AN130))="FTE"),"FT",IF(AND(OR(ISNUMBER(SEARCH("part",AN130)),UPPER(TRIM(AN130))="PT",UPPER(TRIM(AN130))="PTE"),OR($P130="",N($P130)&gt;=PT_MinHours)),"PT","None"))))</f>
        <v/>
      </c>
      <c r="AR130" s="14" t="str">
        <f aca="false">IF(AG130=0,"",IF(AI130&lt;3,"",IF(OR(ISNUMBER(SEARCH("full",AO130)),UPPER(TRIM(AO130))="FT",UPPER(TRIM(AO130))="FTE"),"FT",IF(AND(OR(ISNUMBER(SEARCH("part",AO130)),UPPER(TRIM(AO130))="PT",UPPER(TRIM(AO130))="PTE"),OR($P130="",N($P130)&gt;=PT_MinHours)),"PT","None"))))</f>
        <v/>
      </c>
      <c r="AS130" s="14" t="str">
        <f aca="false">IF(AG130=0,"",IF(AND(AI130&gt;=3,AL130&lt;=AsOfDate),AR130,IF(AND(AI130&gt;=2,AK130&lt;=AsOfDate),AQ130,AP130)))</f>
        <v/>
      </c>
      <c r="AT130" s="14" t="str">
        <f aca="false">IF(AG130=0,"",IF(AsOfDate&lt;AH130,-1,12*(YEAR(AsOfDate)-YEAR(AH130))+MONTH(AsOfDate)-MONTH(AH130)-IF(DAY(AsOfDate)&lt;MIN(DAY(AH130),DAY(EOMONTH(AsOfDate,0))),1,0)))</f>
        <v/>
      </c>
      <c r="AU130" s="14" t="str">
        <f aca="false">IF(AG130=0,"",IF(OR(AI130&lt;2,AK130&gt;AsOfDate),AT130,IF((AK130-1)&lt;AH130,-1,12*(YEAR((AK130-1))-YEAR(AH130))+MONTH((AK130-1))-MONTH(AH130)-IF(DAY((AK130-1))&lt;MIN(DAY(AH130),DAY(EOMONTH((AK130-1),0))),1,0))))</f>
        <v/>
      </c>
      <c r="AV130" s="14" t="str">
        <f aca="false">IF(AG130=0,"",IF(OR(AI130&lt;3,AL130&gt;AsOfDate),AT130,IF((AL130-1)&lt;AH130,-1,12*(YEAR((AL130-1))-YEAR(AH130))+MONTH((AL130-1))-MONTH(AH130)-IF(DAY((AL130-1))&lt;MIN(DAY(AH130),DAY(EOMONTH((AL130-1),0))),1,0))))</f>
        <v/>
      </c>
      <c r="AW130" s="14" t="str">
        <f aca="false">IF(AG130=0,"",IF(PFYDate&lt;AH130,-1,12*(YEAR(PFYDate)-YEAR(AH130))+MONTH(PFYDate)-MONTH(AH130)-IF(DAY(PFYDate)&lt;MIN(DAY(AH130),DAY(EOMONTH(PFYDate,0))),1,0)))</f>
        <v/>
      </c>
      <c r="AX130" s="14" t="str">
        <f aca="false">IF(AG130=0,"",IF(OR(AI130&lt;2,AK130&gt;PFYDate),AW130,IF((AK130-1)&lt;AH130,-1,12*(YEAR((AK130-1))-YEAR(AH130))+MONTH((AK130-1))-MONTH(AH130)-IF(DAY((AK130-1))&lt;MIN(DAY(AH130),DAY(EOMONTH((AK130-1),0))),1,0))))</f>
        <v/>
      </c>
      <c r="AY130" s="14" t="str">
        <f aca="false">IF(AG130=0,"",IF(OR(AI130&lt;3,AL130&gt;PFYDate),AW130,IF((AL130-1)&lt;AH130,-1,12*(YEAR((AL130-1))-YEAR(AH130))+MONTH((AL130-1))-MONTH(AH130)-IF(DAY((AL130-1))&lt;MIN(DAY(AH130),DAY(EOMONTH((AL130-1),0))),1,0))))</f>
        <v/>
      </c>
      <c r="AZ130" s="14" t="str">
        <f aca="false">IF(AG130=0,"",IF(AP130="FT",IF(AU130&lt;FT_First,0,IF(AU130&lt;FT_Y5,1+INT((AU130-FT_First)/FT_Int1),FT_PreY5+FT_PerYear*INT((AU130-FT_Y5)/12)+FT_AnnivDays+INT(MOD(AU130-FT_Y5,12)/FT_Int2))),IF(AP130="PT",IF(AU130&lt;PT_First,0,1+INT((AU130-PT_First)/PT_Int)),0))+IF(AND(AI130&gt;=2,AK130&lt;=AsOfDate),IF(AQ130="FT",IF(AV130&lt;FT_First,0,IF(AV130&lt;FT_Y5,1+INT((AV130-FT_First)/FT_Int1),FT_PreY5+FT_PerYear*INT((AV130-FT_Y5)/12)+FT_AnnivDays+INT(MOD(AV130-FT_Y5,12)/FT_Int2))),IF(AQ130="PT",IF(AV130&lt;PT_First,0,1+INT((AV130-PT_First)/PT_Int)),0))-IF(AQ130="FT",IF(AU130&lt;FT_First,0,IF(AU130&lt;FT_Y5,1+INT((AU130-FT_First)/FT_Int1),FT_PreY5+FT_PerYear*INT((AU130-FT_Y5)/12)+FT_AnnivDays+INT(MOD(AU130-FT_Y5,12)/FT_Int2))),IF(AQ130="PT",IF(AU130&lt;PT_First,0,1+INT((AU130-PT_First)/PT_Int)),0)),0)+IF(AND(AI130&gt;=3,AL130&lt;=AsOfDate),IF(AR130="FT",IF(AT130&lt;FT_First,0,IF(AT130&lt;FT_Y5,1+INT((AT130-FT_First)/FT_Int1),FT_PreY5+FT_PerYear*INT((AT130-FT_Y5)/12)+FT_AnnivDays+INT(MOD(AT130-FT_Y5,12)/FT_Int2))),IF(AR130="PT",IF(AT130&lt;PT_First,0,1+INT((AT130-PT_First)/PT_Int)),0))-IF(AR130="FT",IF(AV130&lt;FT_First,0,IF(AV130&lt;FT_Y5,1+INT((AV130-FT_First)/FT_Int1),FT_PreY5+FT_PerYear*INT((AV130-FT_Y5)/12)+FT_AnnivDays+INT(MOD(AV130-FT_Y5,12)/FT_Int2))),IF(AR130="PT",IF(AV130&lt;PT_First,0,1+INT((AV130-PT_First)/PT_Int)),0)),0))</f>
        <v/>
      </c>
      <c r="BA130" s="14" t="str">
        <f aca="false">IF(AG130=0,"",IF(AP130="FT",IF(AX130&lt;FT_First,0,IF(AX130&lt;FT_Y5,1+INT((AX130-FT_First)/FT_Int1),FT_PreY5+FT_PerYear*INT((AX130-FT_Y5)/12)+FT_AnnivDays+INT(MOD(AX130-FT_Y5,12)/FT_Int2))),IF(AP130="PT",IF(AX130&lt;PT_First,0,1+INT((AX130-PT_First)/PT_Int)),0))+IF(AND(AI130&gt;=2,AK130&lt;=PFYDate),IF(AQ130="FT",IF(AY130&lt;FT_First,0,IF(AY130&lt;FT_Y5,1+INT((AY130-FT_First)/FT_Int1),FT_PreY5+FT_PerYear*INT((AY130-FT_Y5)/12)+FT_AnnivDays+INT(MOD(AY130-FT_Y5,12)/FT_Int2))),IF(AQ130="PT",IF(AY130&lt;PT_First,0,1+INT((AY130-PT_First)/PT_Int)),0))-IF(AQ130="FT",IF(AX130&lt;FT_First,0,IF(AX130&lt;FT_Y5,1+INT((AX130-FT_First)/FT_Int1),FT_PreY5+FT_PerYear*INT((AX130-FT_Y5)/12)+FT_AnnivDays+INT(MOD(AX130-FT_Y5,12)/FT_Int2))),IF(AQ130="PT",IF(AX130&lt;PT_First,0,1+INT((AX130-PT_First)/PT_Int)),0)),0)+IF(AND(AI130&gt;=3,AL130&lt;=PFYDate),IF(AR130="FT",IF(AW130&lt;FT_First,0,IF(AW130&lt;FT_Y5,1+INT((AW130-FT_First)/FT_Int1),FT_PreY5+FT_PerYear*INT((AW130-FT_Y5)/12)+FT_AnnivDays+INT(MOD(AW130-FT_Y5,12)/FT_Int2))),IF(AR130="PT",IF(AW130&lt;PT_First,0,1+INT((AW130-PT_First)/PT_Int)),0))-IF(AR130="FT",IF(AY130&lt;FT_First,0,IF(AY130&lt;FT_Y5,1+INT((AY130-FT_First)/FT_Int1),FT_PreY5+FT_PerYear*INT((AY130-FT_Y5)/12)+FT_AnnivDays+INT(MOD(AY130-FT_Y5,12)/FT_Int2))),IF(AR130="PT",IF(AY130&lt;PT_First,0,1+INT((AY130-PT_First)/PT_Int)),0)),0))</f>
        <v/>
      </c>
      <c r="BB130" s="14" t="str">
        <f aca="false">IF(AG130=0,"",IF(AS130="FT",IF(AT130&lt;FT_First,FT_First,IF(AT130&lt;FT_Y5,MIN(FT_Y5,FT_First+FT_Int1*(INT((AT130-FT_First)/FT_Int1)+1)),FT_Y5+12*INT((AT130-FT_Y5)/12)+FT_Int2*(INT(MOD(AT130-FT_Y5,12)/FT_Int2)+1))),IF(AS130="PT",IF(AT130&lt;PT_First,PT_First,PT_First+PT_Int*(INT((AT130-PT_First)/PT_Int)+1)),"")))</f>
        <v/>
      </c>
      <c r="BC130" s="14" t="str">
        <f aca="false">IF(AG130=0,"",IF(NOT(LH_Ready),0,COUNTIFS(INDEX(LH_Data,0,LH_ColFirst),$A130,INDEX(LH_Data,0,LH_ColSur),$B130,INDEX(LH_Data,0,LH_ColCat),BonusCat)))</f>
        <v/>
      </c>
      <c r="BD130" s="14" t="str">
        <f aca="false">IF(AG130=0,"",IF(OR(NOT(LH_Ready),BC130=0),0,SUMPRODUCT(MAX((INDEX(LH_Data,0,LH_ColFirst)=$A130)*(INDEX(LH_Data,0,LH_ColSur)=$B130)*(INDEX(LH_Data,0,LH_ColCat)=BonusCat)*ROW(LH_Data)))))</f>
        <v/>
      </c>
      <c r="BE130" s="14" t="str">
        <f aca="false">IF(AG130=0,"",IF(EOMONTH(AsOfDate,-1)&lt;AH130,-1,12*(YEAR(EOMONTH(AsOfDate,-1))-YEAR(AH130))+MONTH(EOMONTH(AsOfDate,-1))-MONTH(AH130)-IF(DAY(EOMONTH(AsOfDate,-1))&lt;MIN(DAY(AH130),DAY(EOMONTH(EOMONTH(AsOfDate,-1),0))),1,0)))</f>
        <v/>
      </c>
      <c r="BF130" s="14" t="str">
        <f aca="false">IF(AG130=0,"",IF(OR(AI130&lt;2,AK130&gt;EOMONTH(AsOfDate,-1)),BE130,IF((AK130-1)&lt;AH130,-1,12*(YEAR((AK130-1))-YEAR(AH130))+MONTH((AK130-1))-MONTH(AH130)-IF(DAY((AK130-1))&lt;MIN(DAY(AH130),DAY(EOMONTH((AK130-1),0))),1,0))))</f>
        <v/>
      </c>
      <c r="BG130" s="14" t="str">
        <f aca="false">IF(AG130=0,"",IF(OR(AI130&lt;3,AL130&gt;EOMONTH(AsOfDate,-1)),BE130,IF((AL130-1)&lt;AH130,-1,12*(YEAR((AL130-1))-YEAR(AH130))+MONTH((AL130-1))-MONTH(AH130)-IF(DAY((AL130-1))&lt;MIN(DAY(AH130),DAY(EOMONTH((AL130-1),0))),1,0))))</f>
        <v/>
      </c>
      <c r="BH130" s="14" t="str">
        <f aca="false">IF(AG130=0,"",IF(AP130="FT",IF(BF130&lt;FT_First,0,IF(BF130&lt;FT_Y5,1+INT((BF130-FT_First)/FT_Int1),FT_PreY5+FT_PerYear*INT((BF130-FT_Y5)/12)+FT_AnnivDays+INT(MOD(BF130-FT_Y5,12)/FT_Int2))),IF(AP130="PT",IF(BF130&lt;PT_First,0,1+INT((BF130-PT_First)/PT_Int)),0))+IF(AND(AI130&gt;=2,AK130&lt;=EOMONTH(AsOfDate,-1)),IF(AQ130="FT",IF(BG130&lt;FT_First,0,IF(BG130&lt;FT_Y5,1+INT((BG130-FT_First)/FT_Int1),FT_PreY5+FT_PerYear*INT((BG130-FT_Y5)/12)+FT_AnnivDays+INT(MOD(BG130-FT_Y5,12)/FT_Int2))),IF(AQ130="PT",IF(BG130&lt;PT_First,0,1+INT((BG130-PT_First)/PT_Int)),0))-IF(AQ130="FT",IF(BF130&lt;FT_First,0,IF(BF130&lt;FT_Y5,1+INT((BF130-FT_First)/FT_Int1),FT_PreY5+FT_PerYear*INT((BF130-FT_Y5)/12)+FT_AnnivDays+INT(MOD(BF130-FT_Y5,12)/FT_Int2))),IF(AQ130="PT",IF(BF130&lt;PT_First,0,1+INT((BF130-PT_First)/PT_Int)),0)),0)+IF(AND(AI130&gt;=3,AL130&lt;=EOMONTH(AsOfDate,-1)),IF(AR130="FT",IF(BE130&lt;FT_First,0,IF(BE130&lt;FT_Y5,1+INT((BE130-FT_First)/FT_Int1),FT_PreY5+FT_PerYear*INT((BE130-FT_Y5)/12)+FT_AnnivDays+INT(MOD(BE130-FT_Y5,12)/FT_Int2))),IF(AR130="PT",IF(BE130&lt;PT_First,0,1+INT((BE130-PT_First)/PT_Int)),0))-IF(AR130="FT",IF(BG130&lt;FT_First,0,IF(BG130&lt;FT_Y5,1+INT((BG130-FT_First)/FT_Int1),FT_PreY5+FT_PerYear*INT((BG130-FT_Y5)/12)+FT_AnnivDays+INT(MOD(BG130-FT_Y5,12)/FT_Int2))),IF(AR130="PT",IF(BG130&lt;PT_First,0,1+INT((BG130-PT_First)/PT_Int)),0)),0))</f>
        <v/>
      </c>
      <c r="BI130" s="14" t="str">
        <f aca="false">IF(AG130=0,"",IF(AS130="FT",IF(AT130&lt;FT_First,"",IF(AT130&lt;FT_Y5,FT_First+FT_Int1*INT((AT130-FT_First)/FT_Int1),FT_Y5+FT_Int2*INT((AT130-FT_Y5)/FT_Int2))),IF(AS130="PT",IF(AT130&lt;PT_First,"",PT_First+PT_Int*INT((AT130-PT_First)/PT_Int)),"")))</f>
        <v/>
      </c>
      <c r="BJ130" s="0" t="str">
        <f aca="false">IF(LEN($A130&amp;$B130)=0,"",$A130&amp;" "&amp;$B130)</f>
        <v/>
      </c>
    </row>
    <row r="131" customFormat="false" ht="15" hidden="false" customHeight="false" outlineLevel="0" collapsed="false">
      <c r="A131" s="10"/>
      <c r="B131" s="10"/>
      <c r="C131" s="10"/>
      <c r="D131" s="11"/>
      <c r="E131" s="12" t="str">
        <f aca="false">IF(OR(AG131=0,$D131=""),"",DATE(YEAR(AsOfDate)+IF(DATE(YEAR(AsOfDate),MONTH($D131),DAY($D131))&lt;=AsOfDate,1,0),MONTH($D131),DAY($D131)))</f>
        <v/>
      </c>
      <c r="F131" s="11"/>
      <c r="G131" s="11"/>
      <c r="H131" s="11"/>
      <c r="I131" s="11"/>
      <c r="J131" s="11"/>
      <c r="K131" s="12" t="str">
        <f aca="false">IF(AG131=0,"",DATE(YEAR(AsOfDate)+IF(DATE(YEAR(AsOfDate),MONTH(AH131),DAY(AH131))&lt;=AsOfDate,1,0),MONTH(AH131),DAY(AH131)))</f>
        <v/>
      </c>
      <c r="L131" s="13" t="str">
        <f aca="false">IF(AG131=0,"",ROUND((AsOfDate-AH131)/365.25,1))</f>
        <v/>
      </c>
      <c r="M131" s="14" t="str">
        <f aca="false">IF(AG131=0,"",IF(AsOfDate&lt;AH131,"-",DATEDIF(AH131,AsOfDate,"y")&amp;"y "&amp;DATEDIF(AH131,AsOfDate,"ym")&amp;"m "&amp;DATEDIF(AH131,AsOfDate,"md")&amp;"d"))</f>
        <v/>
      </c>
      <c r="N131" s="15" t="str">
        <f aca="false">IF(AG131=0,"",O131*HoursPerDay)</f>
        <v/>
      </c>
      <c r="O131" s="15" t="str">
        <f aca="false">IF(AG131=0,"",AZ131)</f>
        <v/>
      </c>
      <c r="P131" s="16"/>
      <c r="Q131" s="14" t="str">
        <f aca="false">IF(AG131=0,"",IF(AI131&lt;2,"",AM131&amp;" to "&amp;AN131&amp;" on "&amp;TEXT(AK131,"dd/mm/yyyy")&amp;IF(AK131&gt;AsOfDate," (future)",IF(AP131=AQ131,"",IF(AQ131="None"," - STOPPED accruing",IF(AP131="None"," - commencement for Bonus Leave"," - pathway changed"))))&amp;IF(AI131&lt;3,"","; "&amp;AN131&amp;" to "&amp;AO131&amp;" on "&amp;TEXT(AL131,"dd/mm/yyyy")&amp;IF(AL131&gt;AsOfDate," (future)",IF(AQ131=AR131,"",IF(AR131="None"," - STOPPED accruing",IF(AQ131="None"," - commencement for Bonus Leave"," - pathway changed")))))))</f>
        <v/>
      </c>
      <c r="R131" s="14" t="str">
        <f aca="false">IF(AG131=0,"",IF(AS131="None",IF(O131&gt;0,"No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2" t="str">
        <f aca="false">IF(AG131=0,"",IF(AS131="None","",EDATE(AH131,BB131)))</f>
        <v/>
      </c>
      <c r="T131" s="15" t="str">
        <f aca="false">IF(AG131=0,"",IF(NOT(LH_Ready),"",IF(AH131&gt;PFYDate,0,IF(LH_ColPeriod=0,W131-U131+V131,SUMIFS(INDEX(LH_Data,0,LH_ColAcc),INDEX(LH_Data,0,LH_ColFirst),$A131,INDEX(LH_Data,0,LH_ColSur),$B131,INDEX(LH_Data,0,LH_ColCat),BonusCat,INDEX(LH_Data,0,LH_ColPeriod),LH_OpenLabel)*UnitFactor))))</f>
        <v/>
      </c>
      <c r="U131" s="15" t="str">
        <f aca="false">IF(AG131=0,"",IF(NOT(LH_Ready),"",SUMIFS(INDEX(LH_Data,0,LH_ColAcc),INDEX(LH_Data,0,LH_ColFirst),$A131,INDEX(LH_Data,0,LH_ColSur),$B131,INDEX(LH_Data,0,LH_ColCat),BonusCat,INDEX(LH_Data,0,LH_ColStart),"&gt;="&amp;AH131)*UnitFactor))</f>
        <v/>
      </c>
      <c r="V131" s="15" t="str">
        <f aca="false">IF(AG131=0,"",IF(NOT(LH_Ready),"",SUMIFS(INDEX(LH_Data,0,LH_ColTaken),INDEX(LH_Data,0,LH_ColFirst),$A131,INDEX(LH_Data,0,LH_ColSur),$B131,INDEX(LH_Data,0,LH_ColCat),BonusCat,INDEX(LH_Data,0,LH_ColStart),"&gt;="&amp;AH131)*UnitFactor))</f>
        <v/>
      </c>
      <c r="W131" s="15" t="str">
        <f aca="false">IF(AG131=0,"",IF(NOT(LH_Ready),"",IF(BD131=0,0,INDEX(INDEX(LH_Data,0,LH_ColClose),BD131-1)*UnitFactor)))</f>
        <v/>
      </c>
      <c r="X131" s="15" t="str">
        <f aca="false">IF(AG131=0,"",(AZ131-BA131)*HoursPerDay)</f>
        <v/>
      </c>
      <c r="Y131" s="15" t="str">
        <f aca="false">IF(AG131=0,"",IF(NOT(LH_Ready),"",IF(BC131=0,N131,IF(PFYDate&lt;$F131,N131-N(T131)-N(U131),X131-N(U131)))))</f>
        <v/>
      </c>
      <c r="Z131" s="14" t="str">
        <f aca="false">IF(OR(AG131=0,Y131=""),"",IF(Y131&gt;0,"Yes","No"))</f>
        <v/>
      </c>
      <c r="AA131" s="14" t="str">
        <f aca="false">IF(AG131=0,IF(LEN($A131&amp;$B131)=0,"","FIX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month")&amp;IF(BC131=0,";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EH)",""),IF(AS131="None",R131,"Not yet - first day on "&amp;TEXT(S131,"dd/mm/yyyy")))))))))</f>
        <v/>
      </c>
      <c r="AB131" s="15" t="str">
        <f aca="false">IF(OR(AG131=0,T131=""),"",BA131*HoursPerDay-T131)</f>
        <v/>
      </c>
      <c r="AC131" s="14" t="str">
        <f aca="false">IF(AG131=0,"",BC131)</f>
        <v/>
      </c>
      <c r="AD131" s="14" t="str">
        <f aca="false">IF(AG131=0,"",TRIM(IF(OR(ISTEXT($F131),ISTEXT($H131),ISTEXT($I131),ISTEXT($G131),ISTEXT($J131),ISTEXT($D131)),"A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I131&gt;=1,IF(AI131&gt;=3,AO131,IF(AI131=2,AN131,AM131))&lt;&gt;IF($C131="","",IF(OR(ISNUMBER(SEARCH("full",$C131)),UPPER(TRIM($C131))="FT",UPPER(TRIM($C131))="FTE"),"Full-Time",IF(OR(ISNUMBER(SEARCH("part",$C131)),UPPER(TRIM($C131))="PT",UPPER(TRIM($C131))="PTE"),"Part-Time",IF(OR(ISNUMBER(SEARCH("cas",$C131)),UPPER(TRIM($C131))="CAS"),"Casual","Unknown"))))),"EmploymentType does not match latest start date ("&amp;IF(AI131&gt;=3,AO131,IF(AI131=2,AN131,AM131))&amp;"). ","")&amp;IF(AND(AI131&gt;=1,AJ131&lt;&gt;$F131),"Earliest type date should equal StartDate. ","")&amp;IF(AND(AI131&gt;=2,AJ131=AK131),"Two types start on the same date. ","")&amp;IF(AND(OR(ISNUMBER(SEARCH("part",$C131)),UPPER(TRIM($C131))="PT",UPPER(TRIM($C131))="PTE"),$P131=""),"Part-time: enter PT Hrs/Week (blank = 24+). ","")))</f>
        <v/>
      </c>
      <c r="AE131" s="15" t="str">
        <f aca="false">IF(AG131=0,"",O131-BH131)</f>
        <v/>
      </c>
      <c r="AF131" s="12" t="str">
        <f aca="false">IF(OR(AG131=0,AE131="",N(AE131)=0,BI131=""),"",EDATE(AH131,BI131))</f>
        <v/>
      </c>
      <c r="AG131" s="14" t="n">
        <f aca="false">IF(OR(LEN($A131&amp;$B131)=0,$F131=""),0,1)</f>
        <v>0</v>
      </c>
      <c r="AH131" s="12" t="str">
        <f aca="false">IF(AG131=0,"",IF($J131&lt;&gt;"",$J131,IF(OR(CasualCounts="Yes",COUNT($G131:$I131)=0,COUNT($H131:$I131)=0),$F131,MIN($H131:$I131))))</f>
        <v/>
      </c>
      <c r="AI131" s="14" t="str">
        <f aca="false">IF(AG131=0,"",COUNT($G131:$I131))</f>
        <v/>
      </c>
      <c r="AJ131" s="12" t="str">
        <f aca="false">IF(AG131=0,"",IFERROR(SMALL($G131:$I131,1),""))</f>
        <v/>
      </c>
      <c r="AK131" s="12" t="str">
        <f aca="false">IF(AG131=0,"",IFERROR(SMALL($G131:$I131,2),""))</f>
        <v/>
      </c>
      <c r="AL131" s="12" t="str">
        <f aca="false">IF(AG131=0,"",IFERROR(SMALL($G131:$I131,3),""))</f>
        <v/>
      </c>
      <c r="AM131" s="14" t="str">
        <f aca="false">IF(AG131=0,"",IF(AJ131="","",IF(AJ131=$H131,"Part-Time",IF(AJ131=$I131,"Full-Time","Casual"))))</f>
        <v/>
      </c>
      <c r="AN131" s="14" t="str">
        <f aca="false">IF(AG131=0,"",IF(AK131="","",IF(AK131=$H131,"Part-Time",IF(AK131=$I131,"Full-Time","Casual"))))</f>
        <v/>
      </c>
      <c r="AO131" s="14" t="str">
        <f aca="false">IF(AG131=0,"",IF(AL131="","",IF(AL131=$H131,"Part-Time",IF(AL131=$I131,"Full-Time","Casual"))))</f>
        <v/>
      </c>
      <c r="AP131" s="14" t="str">
        <f aca="false">IF(AG131=0,"",IF(AI131=0,IF(OR(ISNUMBER(SEARCH("full",$C131)),UPPER(TRIM($C131))="FT",UPPER(TRIM($C131))="FTE"),"FT",IF(AND(OR(ISNUMBER(SEARCH("part",$C131)),UPPER(TRIM($C131))="PT",UPPER(TRIM($C131))="PTE"),OR($P131="",N($P131)&gt;=PT_MinHours)),"PT","None")),IF(OR(ISNUMBER(SEARCH("full",AM131)),UPPER(TRIM(AM131))="FT",UPPER(TRIM(AM131))="FTE"),"FT",IF(AND(OR(ISNUMBER(SEARCH("part",AM131)),UPPER(TRIM(AM131))="PT",UPPER(TRIM(AM131))="PTE"),OR($P131="",N($P131)&gt;=PT_MinHours)),"PT","None"))))</f>
        <v/>
      </c>
      <c r="AQ131" s="14" t="str">
        <f aca="false">IF(AG131=0,"",IF(AI131&lt;2,"",IF(OR(ISNUMBER(SEARCH("full",AN131)),UPPER(TRIM(AN131))="FT",UPPER(TRIM(AN131))="FTE"),"FT",IF(AND(OR(ISNUMBER(SEARCH("part",AN131)),UPPER(TRIM(AN131))="PT",UPPER(TRIM(AN131))="PTE"),OR($P131="",N($P131)&gt;=PT_MinHours)),"PT","None"))))</f>
        <v/>
      </c>
      <c r="AR131" s="14" t="str">
        <f aca="false">IF(AG131=0,"",IF(AI131&lt;3,"",IF(OR(ISNUMBER(SEARCH("full",AO131)),UPPER(TRIM(AO131))="FT",UPPER(TRIM(AO131))="FTE"),"FT",IF(AND(OR(ISNUMBER(SEARCH("part",AO131)),UPPER(TRIM(AO131))="PT",UPPER(TRIM(AO131))="PTE"),OR($P131="",N($P131)&gt;=PT_MinHours)),"PT","None"))))</f>
        <v/>
      </c>
      <c r="AS131" s="14" t="str">
        <f aca="false">IF(AG131=0,"",IF(AND(AI131&gt;=3,AL131&lt;=AsOfDate),AR131,IF(AND(AI131&gt;=2,AK131&lt;=AsOfDate),AQ131,AP131)))</f>
        <v/>
      </c>
      <c r="AT131" s="14" t="str">
        <f aca="false">IF(AG131=0,"",IF(AsOfDate&lt;AH131,-1,12*(YEAR(AsOfDate)-YEAR(AH131))+MONTH(AsOfDate)-MONTH(AH131)-IF(DAY(AsOfDate)&lt;MIN(DAY(AH131),DAY(EOMONTH(AsOfDate,0))),1,0)))</f>
        <v/>
      </c>
      <c r="AU131" s="14" t="str">
        <f aca="false">IF(AG131=0,"",IF(OR(AI131&lt;2,AK131&gt;AsOfDate),AT131,IF((AK131-1)&lt;AH131,-1,12*(YEAR((AK131-1))-YEAR(AH131))+MONTH((AK131-1))-MONTH(AH131)-IF(DAY((AK131-1))&lt;MIN(DAY(AH131),DAY(EOMONTH((AK131-1),0))),1,0))))</f>
        <v/>
      </c>
      <c r="AV131" s="14" t="str">
        <f aca="false">IF(AG131=0,"",IF(OR(AI131&lt;3,AL131&gt;AsOfDate),AT131,IF((AL131-1)&lt;AH131,-1,12*(YEAR((AL131-1))-YEAR(AH131))+MONTH((AL131-1))-MONTH(AH131)-IF(DAY((AL131-1))&lt;MIN(DAY(AH131),DAY(EOMONTH((AL131-1),0))),1,0))))</f>
        <v/>
      </c>
      <c r="AW131" s="14" t="str">
        <f aca="false">IF(AG131=0,"",IF(PFYDate&lt;AH131,-1,12*(YEAR(PFYDate)-YEAR(AH131))+MONTH(PFYDate)-MONTH(AH131)-IF(DAY(PFYDate)&lt;MIN(DAY(AH131),DAY(EOMONTH(PFYDate,0))),1,0)))</f>
        <v/>
      </c>
      <c r="AX131" s="14" t="str">
        <f aca="false">IF(AG131=0,"",IF(OR(AI131&lt;2,AK131&gt;PFYDate),AW131,IF((AK131-1)&lt;AH131,-1,12*(YEAR((AK131-1))-YEAR(AH131))+MONTH((AK131-1))-MONTH(AH131)-IF(DAY((AK131-1))&lt;MIN(DAY(AH131),DAY(EOMONTH((AK131-1),0))),1,0))))</f>
        <v/>
      </c>
      <c r="AY131" s="14" t="str">
        <f aca="false">IF(AG131=0,"",IF(OR(AI131&lt;3,AL131&gt;PFYDate),AW131,IF((AL131-1)&lt;AH131,-1,12*(YEAR((AL131-1))-YEAR(AH131))+MONTH((AL131-1))-MONTH(AH131)-IF(DAY((AL131-1))&lt;MIN(DAY(AH131),DAY(EOMONTH((AL131-1),0))),1,0))))</f>
        <v/>
      </c>
      <c r="AZ131" s="14" t="str">
        <f aca="false">IF(AG131=0,"",IF(AP131="FT",IF(AU131&lt;FT_First,0,IF(AU131&lt;FT_Y5,1+INT((AU131-FT_First)/FT_Int1),FT_PreY5+FT_PerYear*INT((AU131-FT_Y5)/12)+FT_AnnivDays+INT(MOD(AU131-FT_Y5,12)/FT_Int2))),IF(AP131="PT",IF(AU131&lt;PT_First,0,1+INT((AU131-PT_First)/PT_Int)),0))+IF(AND(AI131&gt;=2,AK131&lt;=AsOfDate),IF(AQ131="FT",IF(AV131&lt;FT_First,0,IF(AV131&lt;FT_Y5,1+INT((AV131-FT_First)/FT_Int1),FT_PreY5+FT_PerYear*INT((AV131-FT_Y5)/12)+FT_AnnivDays+INT(MOD(AV131-FT_Y5,12)/FT_Int2))),IF(AQ131="PT",IF(AV131&lt;PT_First,0,1+INT((AV131-PT_First)/PT_Int)),0))-IF(AQ131="FT",IF(AU131&lt;FT_First,0,IF(AU131&lt;FT_Y5,1+INT((AU131-FT_First)/FT_Int1),FT_PreY5+FT_PerYear*INT((AU131-FT_Y5)/12)+FT_AnnivDays+INT(MOD(AU131-FT_Y5,12)/FT_Int2))),IF(AQ131="PT",IF(AU131&lt;PT_First,0,1+INT((AU131-PT_First)/PT_Int)),0)),0)+IF(AND(AI131&gt;=3,AL131&lt;=AsOfDate),IF(AR131="FT",IF(AT131&lt;FT_First,0,IF(AT131&lt;FT_Y5,1+INT((AT131-FT_First)/FT_Int1),FT_PreY5+FT_PerYear*INT((AT131-FT_Y5)/12)+FT_AnnivDays+INT(MOD(AT131-FT_Y5,12)/FT_Int2))),IF(AR131="PT",IF(AT131&lt;PT_First,0,1+INT((AT131-PT_First)/PT_Int)),0))-IF(AR131="FT",IF(AV131&lt;FT_First,0,IF(AV131&lt;FT_Y5,1+INT((AV131-FT_First)/FT_Int1),FT_PreY5+FT_PerYear*INT((AV131-FT_Y5)/12)+FT_AnnivDays+INT(MOD(AV131-FT_Y5,12)/FT_Int2))),IF(AR131="PT",IF(AV131&lt;PT_First,0,1+INT((AV131-PT_First)/PT_Int)),0)),0))</f>
        <v/>
      </c>
      <c r="BA131" s="14" t="str">
        <f aca="false">IF(AG131=0,"",IF(AP131="FT",IF(AX131&lt;FT_First,0,IF(AX131&lt;FT_Y5,1+INT((AX131-FT_First)/FT_Int1),FT_PreY5+FT_PerYear*INT((AX131-FT_Y5)/12)+FT_AnnivDays+INT(MOD(AX131-FT_Y5,12)/FT_Int2))),IF(AP131="PT",IF(AX131&lt;PT_First,0,1+INT((AX131-PT_First)/PT_Int)),0))+IF(AND(AI131&gt;=2,AK131&lt;=PFYDate),IF(AQ131="FT",IF(AY131&lt;FT_First,0,IF(AY131&lt;FT_Y5,1+INT((AY131-FT_First)/FT_Int1),FT_PreY5+FT_PerYear*INT((AY131-FT_Y5)/12)+FT_AnnivDays+INT(MOD(AY131-FT_Y5,12)/FT_Int2))),IF(AQ131="PT",IF(AY131&lt;PT_First,0,1+INT((AY131-PT_First)/PT_Int)),0))-IF(AQ131="FT",IF(AX131&lt;FT_First,0,IF(AX131&lt;FT_Y5,1+INT((AX131-FT_First)/FT_Int1),FT_PreY5+FT_PerYear*INT((AX131-FT_Y5)/12)+FT_AnnivDays+INT(MOD(AX131-FT_Y5,12)/FT_Int2))),IF(AQ131="PT",IF(AX131&lt;PT_First,0,1+INT((AX131-PT_First)/PT_Int)),0)),0)+IF(AND(AI131&gt;=3,AL131&lt;=PFYDate),IF(AR131="FT",IF(AW131&lt;FT_First,0,IF(AW131&lt;FT_Y5,1+INT((AW131-FT_First)/FT_Int1),FT_PreY5+FT_PerYear*INT((AW131-FT_Y5)/12)+FT_AnnivDays+INT(MOD(AW131-FT_Y5,12)/FT_Int2))),IF(AR131="PT",IF(AW131&lt;PT_First,0,1+INT((AW131-PT_First)/PT_Int)),0))-IF(AR131="FT",IF(AY131&lt;FT_First,0,IF(AY131&lt;FT_Y5,1+INT((AY131-FT_First)/FT_Int1),FT_PreY5+FT_PerYear*INT((AY131-FT_Y5)/12)+FT_AnnivDays+INT(MOD(AY131-FT_Y5,12)/FT_Int2))),IF(AR131="PT",IF(AY131&lt;PT_First,0,1+INT((AY131-PT_First)/PT_Int)),0)),0))</f>
        <v/>
      </c>
      <c r="BB131" s="14" t="str">
        <f aca="false">IF(AG131=0,"",IF(AS131="FT",IF(AT131&lt;FT_First,FT_First,IF(AT131&lt;FT_Y5,MIN(FT_Y5,FT_First+FT_Int1*(INT((AT131-FT_First)/FT_Int1)+1)),FT_Y5+12*INT((AT131-FT_Y5)/12)+FT_Int2*(INT(MOD(AT131-FT_Y5,12)/FT_Int2)+1))),IF(AS131="PT",IF(AT131&lt;PT_First,PT_First,PT_First+PT_Int*(INT((AT131-PT_First)/PT_Int)+1)),"")))</f>
        <v/>
      </c>
      <c r="BC131" s="14" t="str">
        <f aca="false">IF(AG131=0,"",IF(NOT(LH_Ready),0,COUNTIFS(INDEX(LH_Data,0,LH_ColFirst),$A131,INDEX(LH_Data,0,LH_ColSur),$B131,INDEX(LH_Data,0,LH_ColCat),BonusCat)))</f>
        <v/>
      </c>
      <c r="BD131" s="14" t="str">
        <f aca="false">IF(AG131=0,"",IF(OR(NOT(LH_Ready),BC131=0),0,SUMPRODUCT(MAX((INDEX(LH_Data,0,LH_ColFirst)=$A131)*(INDEX(LH_Data,0,LH_ColSur)=$B131)*(INDEX(LH_Data,0,LH_ColCat)=BonusCat)*ROW(LH_Data)))))</f>
        <v/>
      </c>
      <c r="BE131" s="14" t="str">
        <f aca="false">IF(AG131=0,"",IF(EOMONTH(AsOfDate,-1)&lt;AH131,-1,12*(YEAR(EOMONTH(AsOfDate,-1))-YEAR(AH131))+MONTH(EOMONTH(AsOfDate,-1))-MONTH(AH131)-IF(DAY(EOMONTH(AsOfDate,-1))&lt;MIN(DAY(AH131),DAY(EOMONTH(EOMONTH(AsOfDate,-1),0))),1,0)))</f>
        <v/>
      </c>
      <c r="BF131" s="14" t="str">
        <f aca="false">IF(AG131=0,"",IF(OR(AI131&lt;2,AK131&gt;EOMONTH(AsOfDate,-1)),BE131,IF((AK131-1)&lt;AH131,-1,12*(YEAR((AK131-1))-YEAR(AH131))+MONTH((AK131-1))-MONTH(AH131)-IF(DAY((AK131-1))&lt;MIN(DAY(AH131),DAY(EOMONTH((AK131-1),0))),1,0))))</f>
        <v/>
      </c>
      <c r="BG131" s="14" t="str">
        <f aca="false">IF(AG131=0,"",IF(OR(AI131&lt;3,AL131&gt;EOMONTH(AsOfDate,-1)),BE131,IF((AL131-1)&lt;AH131,-1,12*(YEAR((AL131-1))-YEAR(AH131))+MONTH((AL131-1))-MONTH(AH131)-IF(DAY((AL131-1))&lt;MIN(DAY(AH131),DAY(EOMONTH((AL131-1),0))),1,0))))</f>
        <v/>
      </c>
      <c r="BH131" s="14" t="str">
        <f aca="false">IF(AG131=0,"",IF(AP131="FT",IF(BF131&lt;FT_First,0,IF(BF131&lt;FT_Y5,1+INT((BF131-FT_First)/FT_Int1),FT_PreY5+FT_PerYear*INT((BF131-FT_Y5)/12)+FT_AnnivDays+INT(MOD(BF131-FT_Y5,12)/FT_Int2))),IF(AP131="PT",IF(BF131&lt;PT_First,0,1+INT((BF131-PT_First)/PT_Int)),0))+IF(AND(AI131&gt;=2,AK131&lt;=EOMONTH(AsOfDate,-1)),IF(AQ131="FT",IF(BG131&lt;FT_First,0,IF(BG131&lt;FT_Y5,1+INT((BG131-FT_First)/FT_Int1),FT_PreY5+FT_PerYear*INT((BG131-FT_Y5)/12)+FT_AnnivDays+INT(MOD(BG131-FT_Y5,12)/FT_Int2))),IF(AQ131="PT",IF(BG131&lt;PT_First,0,1+INT((BG131-PT_First)/PT_Int)),0))-IF(AQ131="FT",IF(BF131&lt;FT_First,0,IF(BF131&lt;FT_Y5,1+INT((BF131-FT_First)/FT_Int1),FT_PreY5+FT_PerYear*INT((BF131-FT_Y5)/12)+FT_AnnivDays+INT(MOD(BF131-FT_Y5,12)/FT_Int2))),IF(AQ131="PT",IF(BF131&lt;PT_First,0,1+INT((BF131-PT_First)/PT_Int)),0)),0)+IF(AND(AI131&gt;=3,AL131&lt;=EOMONTH(AsOfDate,-1)),IF(AR131="FT",IF(BE131&lt;FT_First,0,IF(BE131&lt;FT_Y5,1+INT((BE131-FT_First)/FT_Int1),FT_PreY5+FT_PerYear*INT((BE131-FT_Y5)/12)+FT_AnnivDays+INT(MOD(BE131-FT_Y5,12)/FT_Int2))),IF(AR131="PT",IF(BE131&lt;PT_First,0,1+INT((BE131-PT_First)/PT_Int)),0))-IF(AR131="FT",IF(BG131&lt;FT_First,0,IF(BG131&lt;FT_Y5,1+INT((BG131-FT_First)/FT_Int1),FT_PreY5+FT_PerYear*INT((BG131-FT_Y5)/12)+FT_AnnivDays+INT(MOD(BG131-FT_Y5,12)/FT_Int2))),IF(AR131="PT",IF(BG131&lt;PT_First,0,1+INT((BG131-PT_First)/PT_Int)),0)),0))</f>
        <v/>
      </c>
      <c r="BI131" s="14" t="str">
        <f aca="false">IF(AG131=0,"",IF(AS131="FT",IF(AT131&lt;FT_First,"",IF(AT131&lt;FT_Y5,FT_First+FT_Int1*INT((AT131-FT_First)/FT_Int1),FT_Y5+FT_Int2*INT((AT131-FT_Y5)/FT_Int2))),IF(AS131="PT",IF(AT131&lt;PT_First,"",PT_First+PT_Int*INT((AT131-PT_First)/PT_Int)),"")))</f>
        <v/>
      </c>
      <c r="BJ131" s="0" t="str">
        <f aca="false">IF(LEN($A131&amp;$B131)=0,"",$A131&amp;" "&amp;$B131)</f>
        <v/>
      </c>
    </row>
    <row r="132" customFormat="false" ht="15" hidden="false" customHeight="false" outlineLevel="0" collapsed="false">
      <c r="A132" s="10"/>
      <c r="B132" s="10"/>
      <c r="C132" s="10"/>
      <c r="D132" s="11"/>
      <c r="E132" s="12" t="str">
        <f aca="false">IF(OR(AG132=0,$D132=""),"",DATE(YEAR(AsOfDate)+IF(DATE(YEAR(AsOfDate),MONTH($D132),DAY($D132))&lt;=AsOfDate,1,0),MONTH($D132),DAY($D132)))</f>
        <v/>
      </c>
      <c r="F132" s="11"/>
      <c r="G132" s="11"/>
      <c r="H132" s="11"/>
      <c r="I132" s="11"/>
      <c r="J132" s="11"/>
      <c r="K132" s="12" t="str">
        <f aca="false">IF(AG132=0,"",DATE(YEAR(AsOfDate)+IF(DATE(YEAR(AsOfDate),MONTH(AH132),DAY(AH132))&lt;=AsOfDate,1,0),MONTH(AH132),DAY(AH132)))</f>
        <v/>
      </c>
      <c r="L132" s="13" t="str">
        <f aca="false">IF(AG132=0,"",ROUND((AsOfDate-AH132)/365.25,1))</f>
        <v/>
      </c>
      <c r="M132" s="14" t="str">
        <f aca="false">IF(AG132=0,"",IF(AsOfDate&lt;AH132,"-",DATEDIF(AH132,AsOfDate,"y")&amp;"y "&amp;DATEDIF(AH132,AsOfDate,"ym")&amp;"m "&amp;DATEDIF(AH132,AsOfDate,"md")&amp;"d"))</f>
        <v/>
      </c>
      <c r="N132" s="15" t="str">
        <f aca="false">IF(AG132=0,"",O132*HoursPerDay)</f>
        <v/>
      </c>
      <c r="O132" s="15" t="str">
        <f aca="false">IF(AG132=0,"",AZ132)</f>
        <v/>
      </c>
      <c r="P132" s="16"/>
      <c r="Q132" s="14" t="str">
        <f aca="false">IF(AG132=0,"",IF(AI132&lt;2,"",AM132&amp;" to "&amp;AN132&amp;" on "&amp;TEXT(AK132,"dd/mm/yyyy")&amp;IF(AK132&gt;AsOfDate," (future)",IF(AP132=AQ132,"",IF(AQ132="None"," - STOPPED accruing",IF(AP132="None"," - commencement for Bonus Leave"," - pathway changed"))))&amp;IF(AI132&lt;3,"","; "&amp;AN132&amp;" to "&amp;AO132&amp;" on "&amp;TEXT(AL132,"dd/mm/yyyy")&amp;IF(AL132&gt;AsOfDate," (future)",IF(AQ132=AR132,"",IF(AR132="None"," - STOPPED accruing",IF(AQ132="None"," - commencement for Bonus Leave"," - pathway changed")))))))</f>
        <v/>
      </c>
      <c r="R132" s="14" t="str">
        <f aca="false">IF(AG132=0,"",IF(AS132="None",IF(O132&gt;0,"No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2" t="str">
        <f aca="false">IF(AG132=0,"",IF(AS132="None","",EDATE(AH132,BB132)))</f>
        <v/>
      </c>
      <c r="T132" s="15" t="str">
        <f aca="false">IF(AG132=0,"",IF(NOT(LH_Ready),"",IF(AH132&gt;PFYDate,0,IF(LH_ColPeriod=0,W132-U132+V132,SUMIFS(INDEX(LH_Data,0,LH_ColAcc),INDEX(LH_Data,0,LH_ColFirst),$A132,INDEX(LH_Data,0,LH_ColSur),$B132,INDEX(LH_Data,0,LH_ColCat),BonusCat,INDEX(LH_Data,0,LH_ColPeriod),LH_OpenLabel)*UnitFactor))))</f>
        <v/>
      </c>
      <c r="U132" s="15" t="str">
        <f aca="false">IF(AG132=0,"",IF(NOT(LH_Ready),"",SUMIFS(INDEX(LH_Data,0,LH_ColAcc),INDEX(LH_Data,0,LH_ColFirst),$A132,INDEX(LH_Data,0,LH_ColSur),$B132,INDEX(LH_Data,0,LH_ColCat),BonusCat,INDEX(LH_Data,0,LH_ColStart),"&gt;="&amp;AH132)*UnitFactor))</f>
        <v/>
      </c>
      <c r="V132" s="15" t="str">
        <f aca="false">IF(AG132=0,"",IF(NOT(LH_Ready),"",SUMIFS(INDEX(LH_Data,0,LH_ColTaken),INDEX(LH_Data,0,LH_ColFirst),$A132,INDEX(LH_Data,0,LH_ColSur),$B132,INDEX(LH_Data,0,LH_ColCat),BonusCat,INDEX(LH_Data,0,LH_ColStart),"&gt;="&amp;AH132)*UnitFactor))</f>
        <v/>
      </c>
      <c r="W132" s="15" t="str">
        <f aca="false">IF(AG132=0,"",IF(NOT(LH_Ready),"",IF(BD132=0,0,INDEX(INDEX(LH_Data,0,LH_ColClose),BD132-1)*UnitFactor)))</f>
        <v/>
      </c>
      <c r="X132" s="15" t="str">
        <f aca="false">IF(AG132=0,"",(AZ132-BA132)*HoursPerDay)</f>
        <v/>
      </c>
      <c r="Y132" s="15" t="str">
        <f aca="false">IF(AG132=0,"",IF(NOT(LH_Ready),"",IF(BC132=0,N132,IF(PFYDate&lt;$F132,N132-N(T132)-N(U132),X132-N(U132)))))</f>
        <v/>
      </c>
      <c r="Z132" s="14" t="str">
        <f aca="false">IF(OR(AG132=0,Y132=""),"",IF(Y132&gt;0,"Yes","No"))</f>
        <v/>
      </c>
      <c r="AA132" s="14" t="str">
        <f aca="false">IF(AG132=0,IF(LEN($A132&amp;$B132)=0,"","FIX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month")&amp;IF(BC132=0,";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EH)",""),IF(AS132="None",R132,"Not yet - first day on "&amp;TEXT(S132,"dd/mm/yyyy")))))))))</f>
        <v/>
      </c>
      <c r="AB132" s="15" t="str">
        <f aca="false">IF(OR(AG132=0,T132=""),"",BA132*HoursPerDay-T132)</f>
        <v/>
      </c>
      <c r="AC132" s="14" t="str">
        <f aca="false">IF(AG132=0,"",BC132)</f>
        <v/>
      </c>
      <c r="AD132" s="14" t="str">
        <f aca="false">IF(AG132=0,"",TRIM(IF(OR(ISTEXT($F132),ISTEXT($H132),ISTEXT($I132),ISTEXT($G132),ISTEXT($J132),ISTEXT($D132)),"A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I132&gt;=1,IF(AI132&gt;=3,AO132,IF(AI132=2,AN132,AM132))&lt;&gt;IF($C132="","",IF(OR(ISNUMBER(SEARCH("full",$C132)),UPPER(TRIM($C132))="FT",UPPER(TRIM($C132))="FTE"),"Full-Time",IF(OR(ISNUMBER(SEARCH("part",$C132)),UPPER(TRIM($C132))="PT",UPPER(TRIM($C132))="PTE"),"Part-Time",IF(OR(ISNUMBER(SEARCH("cas",$C132)),UPPER(TRIM($C132))="CAS"),"Casual","Unknown"))))),"EmploymentType does not match latest start date ("&amp;IF(AI132&gt;=3,AO132,IF(AI132=2,AN132,AM132))&amp;"). ","")&amp;IF(AND(AI132&gt;=1,AJ132&lt;&gt;$F132),"Earliest type date should equal StartDate. ","")&amp;IF(AND(AI132&gt;=2,AJ132=AK132),"Two types start on the same date. ","")&amp;IF(AND(OR(ISNUMBER(SEARCH("part",$C132)),UPPER(TRIM($C132))="PT",UPPER(TRIM($C132))="PTE"),$P132=""),"Part-time: enter PT Hrs/Week (blank = 24+). ","")))</f>
        <v/>
      </c>
      <c r="AE132" s="15" t="str">
        <f aca="false">IF(AG132=0,"",O132-BH132)</f>
        <v/>
      </c>
      <c r="AF132" s="12" t="str">
        <f aca="false">IF(OR(AG132=0,AE132="",N(AE132)=0,BI132=""),"",EDATE(AH132,BI132))</f>
        <v/>
      </c>
      <c r="AG132" s="14" t="n">
        <f aca="false">IF(OR(LEN($A132&amp;$B132)=0,$F132=""),0,1)</f>
        <v>0</v>
      </c>
      <c r="AH132" s="12" t="str">
        <f aca="false">IF(AG132=0,"",IF($J132&lt;&gt;"",$J132,IF(OR(CasualCounts="Yes",COUNT($G132:$I132)=0,COUNT($H132:$I132)=0),$F132,MIN($H132:$I132))))</f>
        <v/>
      </c>
      <c r="AI132" s="14" t="str">
        <f aca="false">IF(AG132=0,"",COUNT($G132:$I132))</f>
        <v/>
      </c>
      <c r="AJ132" s="12" t="str">
        <f aca="false">IF(AG132=0,"",IFERROR(SMALL($G132:$I132,1),""))</f>
        <v/>
      </c>
      <c r="AK132" s="12" t="str">
        <f aca="false">IF(AG132=0,"",IFERROR(SMALL($G132:$I132,2),""))</f>
        <v/>
      </c>
      <c r="AL132" s="12" t="str">
        <f aca="false">IF(AG132=0,"",IFERROR(SMALL($G132:$I132,3),""))</f>
        <v/>
      </c>
      <c r="AM132" s="14" t="str">
        <f aca="false">IF(AG132=0,"",IF(AJ132="","",IF(AJ132=$H132,"Part-Time",IF(AJ132=$I132,"Full-Time","Casual"))))</f>
        <v/>
      </c>
      <c r="AN132" s="14" t="str">
        <f aca="false">IF(AG132=0,"",IF(AK132="","",IF(AK132=$H132,"Part-Time",IF(AK132=$I132,"Full-Time","Casual"))))</f>
        <v/>
      </c>
      <c r="AO132" s="14" t="str">
        <f aca="false">IF(AG132=0,"",IF(AL132="","",IF(AL132=$H132,"Part-Time",IF(AL132=$I132,"Full-Time","Casual"))))</f>
        <v/>
      </c>
      <c r="AP132" s="14" t="str">
        <f aca="false">IF(AG132=0,"",IF(AI132=0,IF(OR(ISNUMBER(SEARCH("full",$C132)),UPPER(TRIM($C132))="FT",UPPER(TRIM($C132))="FTE"),"FT",IF(AND(OR(ISNUMBER(SEARCH("part",$C132)),UPPER(TRIM($C132))="PT",UPPER(TRIM($C132))="PTE"),OR($P132="",N($P132)&gt;=PT_MinHours)),"PT","None")),IF(OR(ISNUMBER(SEARCH("full",AM132)),UPPER(TRIM(AM132))="FT",UPPER(TRIM(AM132))="FTE"),"FT",IF(AND(OR(ISNUMBER(SEARCH("part",AM132)),UPPER(TRIM(AM132))="PT",UPPER(TRIM(AM132))="PTE"),OR($P132="",N($P132)&gt;=PT_MinHours)),"PT","None"))))</f>
        <v/>
      </c>
      <c r="AQ132" s="14" t="str">
        <f aca="false">IF(AG132=0,"",IF(AI132&lt;2,"",IF(OR(ISNUMBER(SEARCH("full",AN132)),UPPER(TRIM(AN132))="FT",UPPER(TRIM(AN132))="FTE"),"FT",IF(AND(OR(ISNUMBER(SEARCH("part",AN132)),UPPER(TRIM(AN132))="PT",UPPER(TRIM(AN132))="PTE"),OR($P132="",N($P132)&gt;=PT_MinHours)),"PT","None"))))</f>
        <v/>
      </c>
      <c r="AR132" s="14" t="str">
        <f aca="false">IF(AG132=0,"",IF(AI132&lt;3,"",IF(OR(ISNUMBER(SEARCH("full",AO132)),UPPER(TRIM(AO132))="FT",UPPER(TRIM(AO132))="FTE"),"FT",IF(AND(OR(ISNUMBER(SEARCH("part",AO132)),UPPER(TRIM(AO132))="PT",UPPER(TRIM(AO132))="PTE"),OR($P132="",N($P132)&gt;=PT_MinHours)),"PT","None"))))</f>
        <v/>
      </c>
      <c r="AS132" s="14" t="str">
        <f aca="false">IF(AG132=0,"",IF(AND(AI132&gt;=3,AL132&lt;=AsOfDate),AR132,IF(AND(AI132&gt;=2,AK132&lt;=AsOfDate),AQ132,AP132)))</f>
        <v/>
      </c>
      <c r="AT132" s="14" t="str">
        <f aca="false">IF(AG132=0,"",IF(AsOfDate&lt;AH132,-1,12*(YEAR(AsOfDate)-YEAR(AH132))+MONTH(AsOfDate)-MONTH(AH132)-IF(DAY(AsOfDate)&lt;MIN(DAY(AH132),DAY(EOMONTH(AsOfDate,0))),1,0)))</f>
        <v/>
      </c>
      <c r="AU132" s="14" t="str">
        <f aca="false">IF(AG132=0,"",IF(OR(AI132&lt;2,AK132&gt;AsOfDate),AT132,IF((AK132-1)&lt;AH132,-1,12*(YEAR((AK132-1))-YEAR(AH132))+MONTH((AK132-1))-MONTH(AH132)-IF(DAY((AK132-1))&lt;MIN(DAY(AH132),DAY(EOMONTH((AK132-1),0))),1,0))))</f>
        <v/>
      </c>
      <c r="AV132" s="14" t="str">
        <f aca="false">IF(AG132=0,"",IF(OR(AI132&lt;3,AL132&gt;AsOfDate),AT132,IF((AL132-1)&lt;AH132,-1,12*(YEAR((AL132-1))-YEAR(AH132))+MONTH((AL132-1))-MONTH(AH132)-IF(DAY((AL132-1))&lt;MIN(DAY(AH132),DAY(EOMONTH((AL132-1),0))),1,0))))</f>
        <v/>
      </c>
      <c r="AW132" s="14" t="str">
        <f aca="false">IF(AG132=0,"",IF(PFYDate&lt;AH132,-1,12*(YEAR(PFYDate)-YEAR(AH132))+MONTH(PFYDate)-MONTH(AH132)-IF(DAY(PFYDate)&lt;MIN(DAY(AH132),DAY(EOMONTH(PFYDate,0))),1,0)))</f>
        <v/>
      </c>
      <c r="AX132" s="14" t="str">
        <f aca="false">IF(AG132=0,"",IF(OR(AI132&lt;2,AK132&gt;PFYDate),AW132,IF((AK132-1)&lt;AH132,-1,12*(YEAR((AK132-1))-YEAR(AH132))+MONTH((AK132-1))-MONTH(AH132)-IF(DAY((AK132-1))&lt;MIN(DAY(AH132),DAY(EOMONTH((AK132-1),0))),1,0))))</f>
        <v/>
      </c>
      <c r="AY132" s="14" t="str">
        <f aca="false">IF(AG132=0,"",IF(OR(AI132&lt;3,AL132&gt;PFYDate),AW132,IF((AL132-1)&lt;AH132,-1,12*(YEAR((AL132-1))-YEAR(AH132))+MONTH((AL132-1))-MONTH(AH132)-IF(DAY((AL132-1))&lt;MIN(DAY(AH132),DAY(EOMONTH((AL132-1),0))),1,0))))</f>
        <v/>
      </c>
      <c r="AZ132" s="14" t="str">
        <f aca="false">IF(AG132=0,"",IF(AP132="FT",IF(AU132&lt;FT_First,0,IF(AU132&lt;FT_Y5,1+INT((AU132-FT_First)/FT_Int1),FT_PreY5+FT_PerYear*INT((AU132-FT_Y5)/12)+FT_AnnivDays+INT(MOD(AU132-FT_Y5,12)/FT_Int2))),IF(AP132="PT",IF(AU132&lt;PT_First,0,1+INT((AU132-PT_First)/PT_Int)),0))+IF(AND(AI132&gt;=2,AK132&lt;=AsOfDate),IF(AQ132="FT",IF(AV132&lt;FT_First,0,IF(AV132&lt;FT_Y5,1+INT((AV132-FT_First)/FT_Int1),FT_PreY5+FT_PerYear*INT((AV132-FT_Y5)/12)+FT_AnnivDays+INT(MOD(AV132-FT_Y5,12)/FT_Int2))),IF(AQ132="PT",IF(AV132&lt;PT_First,0,1+INT((AV132-PT_First)/PT_Int)),0))-IF(AQ132="FT",IF(AU132&lt;FT_First,0,IF(AU132&lt;FT_Y5,1+INT((AU132-FT_First)/FT_Int1),FT_PreY5+FT_PerYear*INT((AU132-FT_Y5)/12)+FT_AnnivDays+INT(MOD(AU132-FT_Y5,12)/FT_Int2))),IF(AQ132="PT",IF(AU132&lt;PT_First,0,1+INT((AU132-PT_First)/PT_Int)),0)),0)+IF(AND(AI132&gt;=3,AL132&lt;=AsOfDate),IF(AR132="FT",IF(AT132&lt;FT_First,0,IF(AT132&lt;FT_Y5,1+INT((AT132-FT_First)/FT_Int1),FT_PreY5+FT_PerYear*INT((AT132-FT_Y5)/12)+FT_AnnivDays+INT(MOD(AT132-FT_Y5,12)/FT_Int2))),IF(AR132="PT",IF(AT132&lt;PT_First,0,1+INT((AT132-PT_First)/PT_Int)),0))-IF(AR132="FT",IF(AV132&lt;FT_First,0,IF(AV132&lt;FT_Y5,1+INT((AV132-FT_First)/FT_Int1),FT_PreY5+FT_PerYear*INT((AV132-FT_Y5)/12)+FT_AnnivDays+INT(MOD(AV132-FT_Y5,12)/FT_Int2))),IF(AR132="PT",IF(AV132&lt;PT_First,0,1+INT((AV132-PT_First)/PT_Int)),0)),0))</f>
        <v/>
      </c>
      <c r="BA132" s="14" t="str">
        <f aca="false">IF(AG132=0,"",IF(AP132="FT",IF(AX132&lt;FT_First,0,IF(AX132&lt;FT_Y5,1+INT((AX132-FT_First)/FT_Int1),FT_PreY5+FT_PerYear*INT((AX132-FT_Y5)/12)+FT_AnnivDays+INT(MOD(AX132-FT_Y5,12)/FT_Int2))),IF(AP132="PT",IF(AX132&lt;PT_First,0,1+INT((AX132-PT_First)/PT_Int)),0))+IF(AND(AI132&gt;=2,AK132&lt;=PFYDate),IF(AQ132="FT",IF(AY132&lt;FT_First,0,IF(AY132&lt;FT_Y5,1+INT((AY132-FT_First)/FT_Int1),FT_PreY5+FT_PerYear*INT((AY132-FT_Y5)/12)+FT_AnnivDays+INT(MOD(AY132-FT_Y5,12)/FT_Int2))),IF(AQ132="PT",IF(AY132&lt;PT_First,0,1+INT((AY132-PT_First)/PT_Int)),0))-IF(AQ132="FT",IF(AX132&lt;FT_First,0,IF(AX132&lt;FT_Y5,1+INT((AX132-FT_First)/FT_Int1),FT_PreY5+FT_PerYear*INT((AX132-FT_Y5)/12)+FT_AnnivDays+INT(MOD(AX132-FT_Y5,12)/FT_Int2))),IF(AQ132="PT",IF(AX132&lt;PT_First,0,1+INT((AX132-PT_First)/PT_Int)),0)),0)+IF(AND(AI132&gt;=3,AL132&lt;=PFYDate),IF(AR132="FT",IF(AW132&lt;FT_First,0,IF(AW132&lt;FT_Y5,1+INT((AW132-FT_First)/FT_Int1),FT_PreY5+FT_PerYear*INT((AW132-FT_Y5)/12)+FT_AnnivDays+INT(MOD(AW132-FT_Y5,12)/FT_Int2))),IF(AR132="PT",IF(AW132&lt;PT_First,0,1+INT((AW132-PT_First)/PT_Int)),0))-IF(AR132="FT",IF(AY132&lt;FT_First,0,IF(AY132&lt;FT_Y5,1+INT((AY132-FT_First)/FT_Int1),FT_PreY5+FT_PerYear*INT((AY132-FT_Y5)/12)+FT_AnnivDays+INT(MOD(AY132-FT_Y5,12)/FT_Int2))),IF(AR132="PT",IF(AY132&lt;PT_First,0,1+INT((AY132-PT_First)/PT_Int)),0)),0))</f>
        <v/>
      </c>
      <c r="BB132" s="14" t="str">
        <f aca="false">IF(AG132=0,"",IF(AS132="FT",IF(AT132&lt;FT_First,FT_First,IF(AT132&lt;FT_Y5,MIN(FT_Y5,FT_First+FT_Int1*(INT((AT132-FT_First)/FT_Int1)+1)),FT_Y5+12*INT((AT132-FT_Y5)/12)+FT_Int2*(INT(MOD(AT132-FT_Y5,12)/FT_Int2)+1))),IF(AS132="PT",IF(AT132&lt;PT_First,PT_First,PT_First+PT_Int*(INT((AT132-PT_First)/PT_Int)+1)),"")))</f>
        <v/>
      </c>
      <c r="BC132" s="14" t="str">
        <f aca="false">IF(AG132=0,"",IF(NOT(LH_Ready),0,COUNTIFS(INDEX(LH_Data,0,LH_ColFirst),$A132,INDEX(LH_Data,0,LH_ColSur),$B132,INDEX(LH_Data,0,LH_ColCat),BonusCat)))</f>
        <v/>
      </c>
      <c r="BD132" s="14" t="str">
        <f aca="false">IF(AG132=0,"",IF(OR(NOT(LH_Ready),BC132=0),0,SUMPRODUCT(MAX((INDEX(LH_Data,0,LH_ColFirst)=$A132)*(INDEX(LH_Data,0,LH_ColSur)=$B132)*(INDEX(LH_Data,0,LH_ColCat)=BonusCat)*ROW(LH_Data)))))</f>
        <v/>
      </c>
      <c r="BE132" s="14" t="str">
        <f aca="false">IF(AG132=0,"",IF(EOMONTH(AsOfDate,-1)&lt;AH132,-1,12*(YEAR(EOMONTH(AsOfDate,-1))-YEAR(AH132))+MONTH(EOMONTH(AsOfDate,-1))-MONTH(AH132)-IF(DAY(EOMONTH(AsOfDate,-1))&lt;MIN(DAY(AH132),DAY(EOMONTH(EOMONTH(AsOfDate,-1),0))),1,0)))</f>
        <v/>
      </c>
      <c r="BF132" s="14" t="str">
        <f aca="false">IF(AG132=0,"",IF(OR(AI132&lt;2,AK132&gt;EOMONTH(AsOfDate,-1)),BE132,IF((AK132-1)&lt;AH132,-1,12*(YEAR((AK132-1))-YEAR(AH132))+MONTH((AK132-1))-MONTH(AH132)-IF(DAY((AK132-1))&lt;MIN(DAY(AH132),DAY(EOMONTH((AK132-1),0))),1,0))))</f>
        <v/>
      </c>
      <c r="BG132" s="14" t="str">
        <f aca="false">IF(AG132=0,"",IF(OR(AI132&lt;3,AL132&gt;EOMONTH(AsOfDate,-1)),BE132,IF((AL132-1)&lt;AH132,-1,12*(YEAR((AL132-1))-YEAR(AH132))+MONTH((AL132-1))-MONTH(AH132)-IF(DAY((AL132-1))&lt;MIN(DAY(AH132),DAY(EOMONTH((AL132-1),0))),1,0))))</f>
        <v/>
      </c>
      <c r="BH132" s="14" t="str">
        <f aca="false">IF(AG132=0,"",IF(AP132="FT",IF(BF132&lt;FT_First,0,IF(BF132&lt;FT_Y5,1+INT((BF132-FT_First)/FT_Int1),FT_PreY5+FT_PerYear*INT((BF132-FT_Y5)/12)+FT_AnnivDays+INT(MOD(BF132-FT_Y5,12)/FT_Int2))),IF(AP132="PT",IF(BF132&lt;PT_First,0,1+INT((BF132-PT_First)/PT_Int)),0))+IF(AND(AI132&gt;=2,AK132&lt;=EOMONTH(AsOfDate,-1)),IF(AQ132="FT",IF(BG132&lt;FT_First,0,IF(BG132&lt;FT_Y5,1+INT((BG132-FT_First)/FT_Int1),FT_PreY5+FT_PerYear*INT((BG132-FT_Y5)/12)+FT_AnnivDays+INT(MOD(BG132-FT_Y5,12)/FT_Int2))),IF(AQ132="PT",IF(BG132&lt;PT_First,0,1+INT((BG132-PT_First)/PT_Int)),0))-IF(AQ132="FT",IF(BF132&lt;FT_First,0,IF(BF132&lt;FT_Y5,1+INT((BF132-FT_First)/FT_Int1),FT_PreY5+FT_PerYear*INT((BF132-FT_Y5)/12)+FT_AnnivDays+INT(MOD(BF132-FT_Y5,12)/FT_Int2))),IF(AQ132="PT",IF(BF132&lt;PT_First,0,1+INT((BF132-PT_First)/PT_Int)),0)),0)+IF(AND(AI132&gt;=3,AL132&lt;=EOMONTH(AsOfDate,-1)),IF(AR132="FT",IF(BE132&lt;FT_First,0,IF(BE132&lt;FT_Y5,1+INT((BE132-FT_First)/FT_Int1),FT_PreY5+FT_PerYear*INT((BE132-FT_Y5)/12)+FT_AnnivDays+INT(MOD(BE132-FT_Y5,12)/FT_Int2))),IF(AR132="PT",IF(BE132&lt;PT_First,0,1+INT((BE132-PT_First)/PT_Int)),0))-IF(AR132="FT",IF(BG132&lt;FT_First,0,IF(BG132&lt;FT_Y5,1+INT((BG132-FT_First)/FT_Int1),FT_PreY5+FT_PerYear*INT((BG132-FT_Y5)/12)+FT_AnnivDays+INT(MOD(BG132-FT_Y5,12)/FT_Int2))),IF(AR132="PT",IF(BG132&lt;PT_First,0,1+INT((BG132-PT_First)/PT_Int)),0)),0))</f>
        <v/>
      </c>
      <c r="BI132" s="14" t="str">
        <f aca="false">IF(AG132=0,"",IF(AS132="FT",IF(AT132&lt;FT_First,"",IF(AT132&lt;FT_Y5,FT_First+FT_Int1*INT((AT132-FT_First)/FT_Int1),FT_Y5+FT_Int2*INT((AT132-FT_Y5)/FT_Int2))),IF(AS132="PT",IF(AT132&lt;PT_First,"",PT_First+PT_Int*INT((AT132-PT_First)/PT_Int)),"")))</f>
        <v/>
      </c>
      <c r="BJ132" s="0" t="str">
        <f aca="false">IF(LEN($A132&amp;$B132)=0,"",$A132&amp;" "&amp;$B132)</f>
        <v/>
      </c>
    </row>
    <row r="133" customFormat="false" ht="15" hidden="false" customHeight="false" outlineLevel="0" collapsed="false">
      <c r="A133" s="10"/>
      <c r="B133" s="10"/>
      <c r="C133" s="10"/>
      <c r="D133" s="11"/>
      <c r="E133" s="12" t="str">
        <f aca="false">IF(OR(AG133=0,$D133=""),"",DATE(YEAR(AsOfDate)+IF(DATE(YEAR(AsOfDate),MONTH($D133),DAY($D133))&lt;=AsOfDate,1,0),MONTH($D133),DAY($D133)))</f>
        <v/>
      </c>
      <c r="F133" s="11"/>
      <c r="G133" s="11"/>
      <c r="H133" s="11"/>
      <c r="I133" s="11"/>
      <c r="J133" s="11"/>
      <c r="K133" s="12" t="str">
        <f aca="false">IF(AG133=0,"",DATE(YEAR(AsOfDate)+IF(DATE(YEAR(AsOfDate),MONTH(AH133),DAY(AH133))&lt;=AsOfDate,1,0),MONTH(AH133),DAY(AH133)))</f>
        <v/>
      </c>
      <c r="L133" s="13" t="str">
        <f aca="false">IF(AG133=0,"",ROUND((AsOfDate-AH133)/365.25,1))</f>
        <v/>
      </c>
      <c r="M133" s="14" t="str">
        <f aca="false">IF(AG133=0,"",IF(AsOfDate&lt;AH133,"-",DATEDIF(AH133,AsOfDate,"y")&amp;"y "&amp;DATEDIF(AH133,AsOfDate,"ym")&amp;"m "&amp;DATEDIF(AH133,AsOfDate,"md")&amp;"d"))</f>
        <v/>
      </c>
      <c r="N133" s="15" t="str">
        <f aca="false">IF(AG133=0,"",O133*HoursPerDay)</f>
        <v/>
      </c>
      <c r="O133" s="15" t="str">
        <f aca="false">IF(AG133=0,"",AZ133)</f>
        <v/>
      </c>
      <c r="P133" s="16"/>
      <c r="Q133" s="14" t="str">
        <f aca="false">IF(AG133=0,"",IF(AI133&lt;2,"",AM133&amp;" to "&amp;AN133&amp;" on "&amp;TEXT(AK133,"dd/mm/yyyy")&amp;IF(AK133&gt;AsOfDate," (future)",IF(AP133=AQ133,"",IF(AQ133="None"," - STOPPED accruing",IF(AP133="None"," - commencement for Bonus Leave"," - pathway changed"))))&amp;IF(AI133&lt;3,"","; "&amp;AN133&amp;" to "&amp;AO133&amp;" on "&amp;TEXT(AL133,"dd/mm/yyyy")&amp;IF(AL133&gt;AsOfDate," (future)",IF(AQ133=AR133,"",IF(AR133="None"," - STOPPED accruing",IF(AQ133="None"," - commencement for Bonus Leave"," - pathway changed")))))))</f>
        <v/>
      </c>
      <c r="R133" s="14" t="str">
        <f aca="false">IF(AG133=0,"",IF(AS133="None",IF(O133&gt;0,"No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2" t="str">
        <f aca="false">IF(AG133=0,"",IF(AS133="None","",EDATE(AH133,BB133)))</f>
        <v/>
      </c>
      <c r="T133" s="15" t="str">
        <f aca="false">IF(AG133=0,"",IF(NOT(LH_Ready),"",IF(AH133&gt;PFYDate,0,IF(LH_ColPeriod=0,W133-U133+V133,SUMIFS(INDEX(LH_Data,0,LH_ColAcc),INDEX(LH_Data,0,LH_ColFirst),$A133,INDEX(LH_Data,0,LH_ColSur),$B133,INDEX(LH_Data,0,LH_ColCat),BonusCat,INDEX(LH_Data,0,LH_ColPeriod),LH_OpenLabel)*UnitFactor))))</f>
        <v/>
      </c>
      <c r="U133" s="15" t="str">
        <f aca="false">IF(AG133=0,"",IF(NOT(LH_Ready),"",SUMIFS(INDEX(LH_Data,0,LH_ColAcc),INDEX(LH_Data,0,LH_ColFirst),$A133,INDEX(LH_Data,0,LH_ColSur),$B133,INDEX(LH_Data,0,LH_ColCat),BonusCat,INDEX(LH_Data,0,LH_ColStart),"&gt;="&amp;AH133)*UnitFactor))</f>
        <v/>
      </c>
      <c r="V133" s="15" t="str">
        <f aca="false">IF(AG133=0,"",IF(NOT(LH_Ready),"",SUMIFS(INDEX(LH_Data,0,LH_ColTaken),INDEX(LH_Data,0,LH_ColFirst),$A133,INDEX(LH_Data,0,LH_ColSur),$B133,INDEX(LH_Data,0,LH_ColCat),BonusCat,INDEX(LH_Data,0,LH_ColStart),"&gt;="&amp;AH133)*UnitFactor))</f>
        <v/>
      </c>
      <c r="W133" s="15" t="str">
        <f aca="false">IF(AG133=0,"",IF(NOT(LH_Ready),"",IF(BD133=0,0,INDEX(INDEX(LH_Data,0,LH_ColClose),BD133-1)*UnitFactor)))</f>
        <v/>
      </c>
      <c r="X133" s="15" t="str">
        <f aca="false">IF(AG133=0,"",(AZ133-BA133)*HoursPerDay)</f>
        <v/>
      </c>
      <c r="Y133" s="15" t="str">
        <f aca="false">IF(AG133=0,"",IF(NOT(LH_Ready),"",IF(BC133=0,N133,IF(PFYDate&lt;$F133,N133-N(T133)-N(U133),X133-N(U133)))))</f>
        <v/>
      </c>
      <c r="Z133" s="14" t="str">
        <f aca="false">IF(OR(AG133=0,Y133=""),"",IF(Y133&gt;0,"Yes","No"))</f>
        <v/>
      </c>
      <c r="AA133" s="14" t="str">
        <f aca="false">IF(AG133=0,IF(LEN($A133&amp;$B133)=0,"","FIX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month")&amp;IF(BC133=0,";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EH)",""),IF(AS133="None",R133,"Not yet - first day on "&amp;TEXT(S133,"dd/mm/yyyy")))))))))</f>
        <v/>
      </c>
      <c r="AB133" s="15" t="str">
        <f aca="false">IF(OR(AG133=0,T133=""),"",BA133*HoursPerDay-T133)</f>
        <v/>
      </c>
      <c r="AC133" s="14" t="str">
        <f aca="false">IF(AG133=0,"",BC133)</f>
        <v/>
      </c>
      <c r="AD133" s="14" t="str">
        <f aca="false">IF(AG133=0,"",TRIM(IF(OR(ISTEXT($F133),ISTEXT($H133),ISTEXT($I133),ISTEXT($G133),ISTEXT($J133),ISTEXT($D133)),"A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I133&gt;=1,IF(AI133&gt;=3,AO133,IF(AI133=2,AN133,AM133))&lt;&gt;IF($C133="","",IF(OR(ISNUMBER(SEARCH("full",$C133)),UPPER(TRIM($C133))="FT",UPPER(TRIM($C133))="FTE"),"Full-Time",IF(OR(ISNUMBER(SEARCH("part",$C133)),UPPER(TRIM($C133))="PT",UPPER(TRIM($C133))="PTE"),"Part-Time",IF(OR(ISNUMBER(SEARCH("cas",$C133)),UPPER(TRIM($C133))="CAS"),"Casual","Unknown"))))),"EmploymentType does not match latest start date ("&amp;IF(AI133&gt;=3,AO133,IF(AI133=2,AN133,AM133))&amp;"). ","")&amp;IF(AND(AI133&gt;=1,AJ133&lt;&gt;$F133),"Earliest type date should equal StartDate. ","")&amp;IF(AND(AI133&gt;=2,AJ133=AK133),"Two types start on the same date. ","")&amp;IF(AND(OR(ISNUMBER(SEARCH("part",$C133)),UPPER(TRIM($C133))="PT",UPPER(TRIM($C133))="PTE"),$P133=""),"Part-time: enter PT Hrs/Week (blank = 24+). ","")))</f>
        <v/>
      </c>
      <c r="AE133" s="15" t="str">
        <f aca="false">IF(AG133=0,"",O133-BH133)</f>
        <v/>
      </c>
      <c r="AF133" s="12" t="str">
        <f aca="false">IF(OR(AG133=0,AE133="",N(AE133)=0,BI133=""),"",EDATE(AH133,BI133))</f>
        <v/>
      </c>
      <c r="AG133" s="14" t="n">
        <f aca="false">IF(OR(LEN($A133&amp;$B133)=0,$F133=""),0,1)</f>
        <v>0</v>
      </c>
      <c r="AH133" s="12" t="str">
        <f aca="false">IF(AG133=0,"",IF($J133&lt;&gt;"",$J133,IF(OR(CasualCounts="Yes",COUNT($G133:$I133)=0,COUNT($H133:$I133)=0),$F133,MIN($H133:$I133))))</f>
        <v/>
      </c>
      <c r="AI133" s="14" t="str">
        <f aca="false">IF(AG133=0,"",COUNT($G133:$I133))</f>
        <v/>
      </c>
      <c r="AJ133" s="12" t="str">
        <f aca="false">IF(AG133=0,"",IFERROR(SMALL($G133:$I133,1),""))</f>
        <v/>
      </c>
      <c r="AK133" s="12" t="str">
        <f aca="false">IF(AG133=0,"",IFERROR(SMALL($G133:$I133,2),""))</f>
        <v/>
      </c>
      <c r="AL133" s="12" t="str">
        <f aca="false">IF(AG133=0,"",IFERROR(SMALL($G133:$I133,3),""))</f>
        <v/>
      </c>
      <c r="AM133" s="14" t="str">
        <f aca="false">IF(AG133=0,"",IF(AJ133="","",IF(AJ133=$H133,"Part-Time",IF(AJ133=$I133,"Full-Time","Casual"))))</f>
        <v/>
      </c>
      <c r="AN133" s="14" t="str">
        <f aca="false">IF(AG133=0,"",IF(AK133="","",IF(AK133=$H133,"Part-Time",IF(AK133=$I133,"Full-Time","Casual"))))</f>
        <v/>
      </c>
      <c r="AO133" s="14" t="str">
        <f aca="false">IF(AG133=0,"",IF(AL133="","",IF(AL133=$H133,"Part-Time",IF(AL133=$I133,"Full-Time","Casual"))))</f>
        <v/>
      </c>
      <c r="AP133" s="14" t="str">
        <f aca="false">IF(AG133=0,"",IF(AI133=0,IF(OR(ISNUMBER(SEARCH("full",$C133)),UPPER(TRIM($C133))="FT",UPPER(TRIM($C133))="FTE"),"FT",IF(AND(OR(ISNUMBER(SEARCH("part",$C133)),UPPER(TRIM($C133))="PT",UPPER(TRIM($C133))="PTE"),OR($P133="",N($P133)&gt;=PT_MinHours)),"PT","None")),IF(OR(ISNUMBER(SEARCH("full",AM133)),UPPER(TRIM(AM133))="FT",UPPER(TRIM(AM133))="FTE"),"FT",IF(AND(OR(ISNUMBER(SEARCH("part",AM133)),UPPER(TRIM(AM133))="PT",UPPER(TRIM(AM133))="PTE"),OR($P133="",N($P133)&gt;=PT_MinHours)),"PT","None"))))</f>
        <v/>
      </c>
      <c r="AQ133" s="14" t="str">
        <f aca="false">IF(AG133=0,"",IF(AI133&lt;2,"",IF(OR(ISNUMBER(SEARCH("full",AN133)),UPPER(TRIM(AN133))="FT",UPPER(TRIM(AN133))="FTE"),"FT",IF(AND(OR(ISNUMBER(SEARCH("part",AN133)),UPPER(TRIM(AN133))="PT",UPPER(TRIM(AN133))="PTE"),OR($P133="",N($P133)&gt;=PT_MinHours)),"PT","None"))))</f>
        <v/>
      </c>
      <c r="AR133" s="14" t="str">
        <f aca="false">IF(AG133=0,"",IF(AI133&lt;3,"",IF(OR(ISNUMBER(SEARCH("full",AO133)),UPPER(TRIM(AO133))="FT",UPPER(TRIM(AO133))="FTE"),"FT",IF(AND(OR(ISNUMBER(SEARCH("part",AO133)),UPPER(TRIM(AO133))="PT",UPPER(TRIM(AO133))="PTE"),OR($P133="",N($P133)&gt;=PT_MinHours)),"PT","None"))))</f>
        <v/>
      </c>
      <c r="AS133" s="14" t="str">
        <f aca="false">IF(AG133=0,"",IF(AND(AI133&gt;=3,AL133&lt;=AsOfDate),AR133,IF(AND(AI133&gt;=2,AK133&lt;=AsOfDate),AQ133,AP133)))</f>
        <v/>
      </c>
      <c r="AT133" s="14" t="str">
        <f aca="false">IF(AG133=0,"",IF(AsOfDate&lt;AH133,-1,12*(YEAR(AsOfDate)-YEAR(AH133))+MONTH(AsOfDate)-MONTH(AH133)-IF(DAY(AsOfDate)&lt;MIN(DAY(AH133),DAY(EOMONTH(AsOfDate,0))),1,0)))</f>
        <v/>
      </c>
      <c r="AU133" s="14" t="str">
        <f aca="false">IF(AG133=0,"",IF(OR(AI133&lt;2,AK133&gt;AsOfDate),AT133,IF((AK133-1)&lt;AH133,-1,12*(YEAR((AK133-1))-YEAR(AH133))+MONTH((AK133-1))-MONTH(AH133)-IF(DAY((AK133-1))&lt;MIN(DAY(AH133),DAY(EOMONTH((AK133-1),0))),1,0))))</f>
        <v/>
      </c>
      <c r="AV133" s="14" t="str">
        <f aca="false">IF(AG133=0,"",IF(OR(AI133&lt;3,AL133&gt;AsOfDate),AT133,IF((AL133-1)&lt;AH133,-1,12*(YEAR((AL133-1))-YEAR(AH133))+MONTH((AL133-1))-MONTH(AH133)-IF(DAY((AL133-1))&lt;MIN(DAY(AH133),DAY(EOMONTH((AL133-1),0))),1,0))))</f>
        <v/>
      </c>
      <c r="AW133" s="14" t="str">
        <f aca="false">IF(AG133=0,"",IF(PFYDate&lt;AH133,-1,12*(YEAR(PFYDate)-YEAR(AH133))+MONTH(PFYDate)-MONTH(AH133)-IF(DAY(PFYDate)&lt;MIN(DAY(AH133),DAY(EOMONTH(PFYDate,0))),1,0)))</f>
        <v/>
      </c>
      <c r="AX133" s="14" t="str">
        <f aca="false">IF(AG133=0,"",IF(OR(AI133&lt;2,AK133&gt;PFYDate),AW133,IF((AK133-1)&lt;AH133,-1,12*(YEAR((AK133-1))-YEAR(AH133))+MONTH((AK133-1))-MONTH(AH133)-IF(DAY((AK133-1))&lt;MIN(DAY(AH133),DAY(EOMONTH((AK133-1),0))),1,0))))</f>
        <v/>
      </c>
      <c r="AY133" s="14" t="str">
        <f aca="false">IF(AG133=0,"",IF(OR(AI133&lt;3,AL133&gt;PFYDate),AW133,IF((AL133-1)&lt;AH133,-1,12*(YEAR((AL133-1))-YEAR(AH133))+MONTH((AL133-1))-MONTH(AH133)-IF(DAY((AL133-1))&lt;MIN(DAY(AH133),DAY(EOMONTH((AL133-1),0))),1,0))))</f>
        <v/>
      </c>
      <c r="AZ133" s="14" t="str">
        <f aca="false">IF(AG133=0,"",IF(AP133="FT",IF(AU133&lt;FT_First,0,IF(AU133&lt;FT_Y5,1+INT((AU133-FT_First)/FT_Int1),FT_PreY5+FT_PerYear*INT((AU133-FT_Y5)/12)+FT_AnnivDays+INT(MOD(AU133-FT_Y5,12)/FT_Int2))),IF(AP133="PT",IF(AU133&lt;PT_First,0,1+INT((AU133-PT_First)/PT_Int)),0))+IF(AND(AI133&gt;=2,AK133&lt;=AsOfDate),IF(AQ133="FT",IF(AV133&lt;FT_First,0,IF(AV133&lt;FT_Y5,1+INT((AV133-FT_First)/FT_Int1),FT_PreY5+FT_PerYear*INT((AV133-FT_Y5)/12)+FT_AnnivDays+INT(MOD(AV133-FT_Y5,12)/FT_Int2))),IF(AQ133="PT",IF(AV133&lt;PT_First,0,1+INT((AV133-PT_First)/PT_Int)),0))-IF(AQ133="FT",IF(AU133&lt;FT_First,0,IF(AU133&lt;FT_Y5,1+INT((AU133-FT_First)/FT_Int1),FT_PreY5+FT_PerYear*INT((AU133-FT_Y5)/12)+FT_AnnivDays+INT(MOD(AU133-FT_Y5,12)/FT_Int2))),IF(AQ133="PT",IF(AU133&lt;PT_First,0,1+INT((AU133-PT_First)/PT_Int)),0)),0)+IF(AND(AI133&gt;=3,AL133&lt;=AsOfDate),IF(AR133="FT",IF(AT133&lt;FT_First,0,IF(AT133&lt;FT_Y5,1+INT((AT133-FT_First)/FT_Int1),FT_PreY5+FT_PerYear*INT((AT133-FT_Y5)/12)+FT_AnnivDays+INT(MOD(AT133-FT_Y5,12)/FT_Int2))),IF(AR133="PT",IF(AT133&lt;PT_First,0,1+INT((AT133-PT_First)/PT_Int)),0))-IF(AR133="FT",IF(AV133&lt;FT_First,0,IF(AV133&lt;FT_Y5,1+INT((AV133-FT_First)/FT_Int1),FT_PreY5+FT_PerYear*INT((AV133-FT_Y5)/12)+FT_AnnivDays+INT(MOD(AV133-FT_Y5,12)/FT_Int2))),IF(AR133="PT",IF(AV133&lt;PT_First,0,1+INT((AV133-PT_First)/PT_Int)),0)),0))</f>
        <v/>
      </c>
      <c r="BA133" s="14" t="str">
        <f aca="false">IF(AG133=0,"",IF(AP133="FT",IF(AX133&lt;FT_First,0,IF(AX133&lt;FT_Y5,1+INT((AX133-FT_First)/FT_Int1),FT_PreY5+FT_PerYear*INT((AX133-FT_Y5)/12)+FT_AnnivDays+INT(MOD(AX133-FT_Y5,12)/FT_Int2))),IF(AP133="PT",IF(AX133&lt;PT_First,0,1+INT((AX133-PT_First)/PT_Int)),0))+IF(AND(AI133&gt;=2,AK133&lt;=PFYDate),IF(AQ133="FT",IF(AY133&lt;FT_First,0,IF(AY133&lt;FT_Y5,1+INT((AY133-FT_First)/FT_Int1),FT_PreY5+FT_PerYear*INT((AY133-FT_Y5)/12)+FT_AnnivDays+INT(MOD(AY133-FT_Y5,12)/FT_Int2))),IF(AQ133="PT",IF(AY133&lt;PT_First,0,1+INT((AY133-PT_First)/PT_Int)),0))-IF(AQ133="FT",IF(AX133&lt;FT_First,0,IF(AX133&lt;FT_Y5,1+INT((AX133-FT_First)/FT_Int1),FT_PreY5+FT_PerYear*INT((AX133-FT_Y5)/12)+FT_AnnivDays+INT(MOD(AX133-FT_Y5,12)/FT_Int2))),IF(AQ133="PT",IF(AX133&lt;PT_First,0,1+INT((AX133-PT_First)/PT_Int)),0)),0)+IF(AND(AI133&gt;=3,AL133&lt;=PFYDate),IF(AR133="FT",IF(AW133&lt;FT_First,0,IF(AW133&lt;FT_Y5,1+INT((AW133-FT_First)/FT_Int1),FT_PreY5+FT_PerYear*INT((AW133-FT_Y5)/12)+FT_AnnivDays+INT(MOD(AW133-FT_Y5,12)/FT_Int2))),IF(AR133="PT",IF(AW133&lt;PT_First,0,1+INT((AW133-PT_First)/PT_Int)),0))-IF(AR133="FT",IF(AY133&lt;FT_First,0,IF(AY133&lt;FT_Y5,1+INT((AY133-FT_First)/FT_Int1),FT_PreY5+FT_PerYear*INT((AY133-FT_Y5)/12)+FT_AnnivDays+INT(MOD(AY133-FT_Y5,12)/FT_Int2))),IF(AR133="PT",IF(AY133&lt;PT_First,0,1+INT((AY133-PT_First)/PT_Int)),0)),0))</f>
        <v/>
      </c>
      <c r="BB133" s="14" t="str">
        <f aca="false">IF(AG133=0,"",IF(AS133="FT",IF(AT133&lt;FT_First,FT_First,IF(AT133&lt;FT_Y5,MIN(FT_Y5,FT_First+FT_Int1*(INT((AT133-FT_First)/FT_Int1)+1)),FT_Y5+12*INT((AT133-FT_Y5)/12)+FT_Int2*(INT(MOD(AT133-FT_Y5,12)/FT_Int2)+1))),IF(AS133="PT",IF(AT133&lt;PT_First,PT_First,PT_First+PT_Int*(INT((AT133-PT_First)/PT_Int)+1)),"")))</f>
        <v/>
      </c>
      <c r="BC133" s="14" t="str">
        <f aca="false">IF(AG133=0,"",IF(NOT(LH_Ready),0,COUNTIFS(INDEX(LH_Data,0,LH_ColFirst),$A133,INDEX(LH_Data,0,LH_ColSur),$B133,INDEX(LH_Data,0,LH_ColCat),BonusCat)))</f>
        <v/>
      </c>
      <c r="BD133" s="14" t="str">
        <f aca="false">IF(AG133=0,"",IF(OR(NOT(LH_Ready),BC133=0),0,SUMPRODUCT(MAX((INDEX(LH_Data,0,LH_ColFirst)=$A133)*(INDEX(LH_Data,0,LH_ColSur)=$B133)*(INDEX(LH_Data,0,LH_ColCat)=BonusCat)*ROW(LH_Data)))))</f>
        <v/>
      </c>
      <c r="BE133" s="14" t="str">
        <f aca="false">IF(AG133=0,"",IF(EOMONTH(AsOfDate,-1)&lt;AH133,-1,12*(YEAR(EOMONTH(AsOfDate,-1))-YEAR(AH133))+MONTH(EOMONTH(AsOfDate,-1))-MONTH(AH133)-IF(DAY(EOMONTH(AsOfDate,-1))&lt;MIN(DAY(AH133),DAY(EOMONTH(EOMONTH(AsOfDate,-1),0))),1,0)))</f>
        <v/>
      </c>
      <c r="BF133" s="14" t="str">
        <f aca="false">IF(AG133=0,"",IF(OR(AI133&lt;2,AK133&gt;EOMONTH(AsOfDate,-1)),BE133,IF((AK133-1)&lt;AH133,-1,12*(YEAR((AK133-1))-YEAR(AH133))+MONTH((AK133-1))-MONTH(AH133)-IF(DAY((AK133-1))&lt;MIN(DAY(AH133),DAY(EOMONTH((AK133-1),0))),1,0))))</f>
        <v/>
      </c>
      <c r="BG133" s="14" t="str">
        <f aca="false">IF(AG133=0,"",IF(OR(AI133&lt;3,AL133&gt;EOMONTH(AsOfDate,-1)),BE133,IF((AL133-1)&lt;AH133,-1,12*(YEAR((AL133-1))-YEAR(AH133))+MONTH((AL133-1))-MONTH(AH133)-IF(DAY((AL133-1))&lt;MIN(DAY(AH133),DAY(EOMONTH((AL133-1),0))),1,0))))</f>
        <v/>
      </c>
      <c r="BH133" s="14" t="str">
        <f aca="false">IF(AG133=0,"",IF(AP133="FT",IF(BF133&lt;FT_First,0,IF(BF133&lt;FT_Y5,1+INT((BF133-FT_First)/FT_Int1),FT_PreY5+FT_PerYear*INT((BF133-FT_Y5)/12)+FT_AnnivDays+INT(MOD(BF133-FT_Y5,12)/FT_Int2))),IF(AP133="PT",IF(BF133&lt;PT_First,0,1+INT((BF133-PT_First)/PT_Int)),0))+IF(AND(AI133&gt;=2,AK133&lt;=EOMONTH(AsOfDate,-1)),IF(AQ133="FT",IF(BG133&lt;FT_First,0,IF(BG133&lt;FT_Y5,1+INT((BG133-FT_First)/FT_Int1),FT_PreY5+FT_PerYear*INT((BG133-FT_Y5)/12)+FT_AnnivDays+INT(MOD(BG133-FT_Y5,12)/FT_Int2))),IF(AQ133="PT",IF(BG133&lt;PT_First,0,1+INT((BG133-PT_First)/PT_Int)),0))-IF(AQ133="FT",IF(BF133&lt;FT_First,0,IF(BF133&lt;FT_Y5,1+INT((BF133-FT_First)/FT_Int1),FT_PreY5+FT_PerYear*INT((BF133-FT_Y5)/12)+FT_AnnivDays+INT(MOD(BF133-FT_Y5,12)/FT_Int2))),IF(AQ133="PT",IF(BF133&lt;PT_First,0,1+INT((BF133-PT_First)/PT_Int)),0)),0)+IF(AND(AI133&gt;=3,AL133&lt;=EOMONTH(AsOfDate,-1)),IF(AR133="FT",IF(BE133&lt;FT_First,0,IF(BE133&lt;FT_Y5,1+INT((BE133-FT_First)/FT_Int1),FT_PreY5+FT_PerYear*INT((BE133-FT_Y5)/12)+FT_AnnivDays+INT(MOD(BE133-FT_Y5,12)/FT_Int2))),IF(AR133="PT",IF(BE133&lt;PT_First,0,1+INT((BE133-PT_First)/PT_Int)),0))-IF(AR133="FT",IF(BG133&lt;FT_First,0,IF(BG133&lt;FT_Y5,1+INT((BG133-FT_First)/FT_Int1),FT_PreY5+FT_PerYear*INT((BG133-FT_Y5)/12)+FT_AnnivDays+INT(MOD(BG133-FT_Y5,12)/FT_Int2))),IF(AR133="PT",IF(BG133&lt;PT_First,0,1+INT((BG133-PT_First)/PT_Int)),0)),0))</f>
        <v/>
      </c>
      <c r="BI133" s="14" t="str">
        <f aca="false">IF(AG133=0,"",IF(AS133="FT",IF(AT133&lt;FT_First,"",IF(AT133&lt;FT_Y5,FT_First+FT_Int1*INT((AT133-FT_First)/FT_Int1),FT_Y5+FT_Int2*INT((AT133-FT_Y5)/FT_Int2))),IF(AS133="PT",IF(AT133&lt;PT_First,"",PT_First+PT_Int*INT((AT133-PT_First)/PT_Int)),"")))</f>
        <v/>
      </c>
      <c r="BJ133" s="0" t="str">
        <f aca="false">IF(LEN($A133&amp;$B133)=0,"",$A133&amp;" "&amp;$B133)</f>
        <v/>
      </c>
    </row>
    <row r="134" customFormat="false" ht="15" hidden="false" customHeight="false" outlineLevel="0" collapsed="false">
      <c r="A134" s="10"/>
      <c r="B134" s="10"/>
      <c r="C134" s="10"/>
      <c r="D134" s="11"/>
      <c r="E134" s="12" t="str">
        <f aca="false">IF(OR(AG134=0,$D134=""),"",DATE(YEAR(AsOfDate)+IF(DATE(YEAR(AsOfDate),MONTH($D134),DAY($D134))&lt;=AsOfDate,1,0),MONTH($D134),DAY($D134)))</f>
        <v/>
      </c>
      <c r="F134" s="11"/>
      <c r="G134" s="11"/>
      <c r="H134" s="11"/>
      <c r="I134" s="11"/>
      <c r="J134" s="11"/>
      <c r="K134" s="12" t="str">
        <f aca="false">IF(AG134=0,"",DATE(YEAR(AsOfDate)+IF(DATE(YEAR(AsOfDate),MONTH(AH134),DAY(AH134))&lt;=AsOfDate,1,0),MONTH(AH134),DAY(AH134)))</f>
        <v/>
      </c>
      <c r="L134" s="13" t="str">
        <f aca="false">IF(AG134=0,"",ROUND((AsOfDate-AH134)/365.25,1))</f>
        <v/>
      </c>
      <c r="M134" s="14" t="str">
        <f aca="false">IF(AG134=0,"",IF(AsOfDate&lt;AH134,"-",DATEDIF(AH134,AsOfDate,"y")&amp;"y "&amp;DATEDIF(AH134,AsOfDate,"ym")&amp;"m "&amp;DATEDIF(AH134,AsOfDate,"md")&amp;"d"))</f>
        <v/>
      </c>
      <c r="N134" s="15" t="str">
        <f aca="false">IF(AG134=0,"",O134*HoursPerDay)</f>
        <v/>
      </c>
      <c r="O134" s="15" t="str">
        <f aca="false">IF(AG134=0,"",AZ134)</f>
        <v/>
      </c>
      <c r="P134" s="16"/>
      <c r="Q134" s="14" t="str">
        <f aca="false">IF(AG134=0,"",IF(AI134&lt;2,"",AM134&amp;" to "&amp;AN134&amp;" on "&amp;TEXT(AK134,"dd/mm/yyyy")&amp;IF(AK134&gt;AsOfDate," (future)",IF(AP134=AQ134,"",IF(AQ134="None"," - STOPPED accruing",IF(AP134="None"," - commencement for Bonus Leave"," - pathway changed"))))&amp;IF(AI134&lt;3,"","; "&amp;AN134&amp;" to "&amp;AO134&amp;" on "&amp;TEXT(AL134,"dd/mm/yyyy")&amp;IF(AL134&gt;AsOfDate," (future)",IF(AQ134=AR134,"",IF(AR134="None"," - STOPPED accruing",IF(AQ134="None"," - commencement for Bonus Leave"," - pathway changed")))))))</f>
        <v/>
      </c>
      <c r="R134" s="14" t="str">
        <f aca="false">IF(AG134=0,"",IF(AS134="None",IF(O134&gt;0,"No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2" t="str">
        <f aca="false">IF(AG134=0,"",IF(AS134="None","",EDATE(AH134,BB134)))</f>
        <v/>
      </c>
      <c r="T134" s="15" t="str">
        <f aca="false">IF(AG134=0,"",IF(NOT(LH_Ready),"",IF(AH134&gt;PFYDate,0,IF(LH_ColPeriod=0,W134-U134+V134,SUMIFS(INDEX(LH_Data,0,LH_ColAcc),INDEX(LH_Data,0,LH_ColFirst),$A134,INDEX(LH_Data,0,LH_ColSur),$B134,INDEX(LH_Data,0,LH_ColCat),BonusCat,INDEX(LH_Data,0,LH_ColPeriod),LH_OpenLabel)*UnitFactor))))</f>
        <v/>
      </c>
      <c r="U134" s="15" t="str">
        <f aca="false">IF(AG134=0,"",IF(NOT(LH_Ready),"",SUMIFS(INDEX(LH_Data,0,LH_ColAcc),INDEX(LH_Data,0,LH_ColFirst),$A134,INDEX(LH_Data,0,LH_ColSur),$B134,INDEX(LH_Data,0,LH_ColCat),BonusCat,INDEX(LH_Data,0,LH_ColStart),"&gt;="&amp;AH134)*UnitFactor))</f>
        <v/>
      </c>
      <c r="V134" s="15" t="str">
        <f aca="false">IF(AG134=0,"",IF(NOT(LH_Ready),"",SUMIFS(INDEX(LH_Data,0,LH_ColTaken),INDEX(LH_Data,0,LH_ColFirst),$A134,INDEX(LH_Data,0,LH_ColSur),$B134,INDEX(LH_Data,0,LH_ColCat),BonusCat,INDEX(LH_Data,0,LH_ColStart),"&gt;="&amp;AH134)*UnitFactor))</f>
        <v/>
      </c>
      <c r="W134" s="15" t="str">
        <f aca="false">IF(AG134=0,"",IF(NOT(LH_Ready),"",IF(BD134=0,0,INDEX(INDEX(LH_Data,0,LH_ColClose),BD134-1)*UnitFactor)))</f>
        <v/>
      </c>
      <c r="X134" s="15" t="str">
        <f aca="false">IF(AG134=0,"",(AZ134-BA134)*HoursPerDay)</f>
        <v/>
      </c>
      <c r="Y134" s="15" t="str">
        <f aca="false">IF(AG134=0,"",IF(NOT(LH_Ready),"",IF(BC134=0,N134,IF(PFYDate&lt;$F134,N134-N(T134)-N(U134),X134-N(U134)))))</f>
        <v/>
      </c>
      <c r="Z134" s="14" t="str">
        <f aca="false">IF(OR(AG134=0,Y134=""),"",IF(Y134&gt;0,"Yes","No"))</f>
        <v/>
      </c>
      <c r="AA134" s="14" t="str">
        <f aca="false">IF(AG134=0,IF(LEN($A134&amp;$B134)=0,"","FIX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month")&amp;IF(BC134=0,";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EH)",""),IF(AS134="None",R134,"Not yet - first day on "&amp;TEXT(S134,"dd/mm/yyyy")))))))))</f>
        <v/>
      </c>
      <c r="AB134" s="15" t="str">
        <f aca="false">IF(OR(AG134=0,T134=""),"",BA134*HoursPerDay-T134)</f>
        <v/>
      </c>
      <c r="AC134" s="14" t="str">
        <f aca="false">IF(AG134=0,"",BC134)</f>
        <v/>
      </c>
      <c r="AD134" s="14" t="str">
        <f aca="false">IF(AG134=0,"",TRIM(IF(OR(ISTEXT($F134),ISTEXT($H134),ISTEXT($I134),ISTEXT($G134),ISTEXT($J134),ISTEXT($D134)),"A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I134&gt;=1,IF(AI134&gt;=3,AO134,IF(AI134=2,AN134,AM134))&lt;&gt;IF($C134="","",IF(OR(ISNUMBER(SEARCH("full",$C134)),UPPER(TRIM($C134))="FT",UPPER(TRIM($C134))="FTE"),"Full-Time",IF(OR(ISNUMBER(SEARCH("part",$C134)),UPPER(TRIM($C134))="PT",UPPER(TRIM($C134))="PTE"),"Part-Time",IF(OR(ISNUMBER(SEARCH("cas",$C134)),UPPER(TRIM($C134))="CAS"),"Casual","Unknown"))))),"EmploymentType does not match latest start date ("&amp;IF(AI134&gt;=3,AO134,IF(AI134=2,AN134,AM134))&amp;"). ","")&amp;IF(AND(AI134&gt;=1,AJ134&lt;&gt;$F134),"Earliest type date should equal StartDate. ","")&amp;IF(AND(AI134&gt;=2,AJ134=AK134),"Two types start on the same date. ","")&amp;IF(AND(OR(ISNUMBER(SEARCH("part",$C134)),UPPER(TRIM($C134))="PT",UPPER(TRIM($C134))="PTE"),$P134=""),"Part-time: enter PT Hrs/Week (blank = 24+). ","")))</f>
        <v/>
      </c>
      <c r="AE134" s="15" t="str">
        <f aca="false">IF(AG134=0,"",O134-BH134)</f>
        <v/>
      </c>
      <c r="AF134" s="12" t="str">
        <f aca="false">IF(OR(AG134=0,AE134="",N(AE134)=0,BI134=""),"",EDATE(AH134,BI134))</f>
        <v/>
      </c>
      <c r="AG134" s="14" t="n">
        <f aca="false">IF(OR(LEN($A134&amp;$B134)=0,$F134=""),0,1)</f>
        <v>0</v>
      </c>
      <c r="AH134" s="12" t="str">
        <f aca="false">IF(AG134=0,"",IF($J134&lt;&gt;"",$J134,IF(OR(CasualCounts="Yes",COUNT($G134:$I134)=0,COUNT($H134:$I134)=0),$F134,MIN($H134:$I134))))</f>
        <v/>
      </c>
      <c r="AI134" s="14" t="str">
        <f aca="false">IF(AG134=0,"",COUNT($G134:$I134))</f>
        <v/>
      </c>
      <c r="AJ134" s="12" t="str">
        <f aca="false">IF(AG134=0,"",IFERROR(SMALL($G134:$I134,1),""))</f>
        <v/>
      </c>
      <c r="AK134" s="12" t="str">
        <f aca="false">IF(AG134=0,"",IFERROR(SMALL($G134:$I134,2),""))</f>
        <v/>
      </c>
      <c r="AL134" s="12" t="str">
        <f aca="false">IF(AG134=0,"",IFERROR(SMALL($G134:$I134,3),""))</f>
        <v/>
      </c>
      <c r="AM134" s="14" t="str">
        <f aca="false">IF(AG134=0,"",IF(AJ134="","",IF(AJ134=$H134,"Part-Time",IF(AJ134=$I134,"Full-Time","Casual"))))</f>
        <v/>
      </c>
      <c r="AN134" s="14" t="str">
        <f aca="false">IF(AG134=0,"",IF(AK134="","",IF(AK134=$H134,"Part-Time",IF(AK134=$I134,"Full-Time","Casual"))))</f>
        <v/>
      </c>
      <c r="AO134" s="14" t="str">
        <f aca="false">IF(AG134=0,"",IF(AL134="","",IF(AL134=$H134,"Part-Time",IF(AL134=$I134,"Full-Time","Casual"))))</f>
        <v/>
      </c>
      <c r="AP134" s="14" t="str">
        <f aca="false">IF(AG134=0,"",IF(AI134=0,IF(OR(ISNUMBER(SEARCH("full",$C134)),UPPER(TRIM($C134))="FT",UPPER(TRIM($C134))="FTE"),"FT",IF(AND(OR(ISNUMBER(SEARCH("part",$C134)),UPPER(TRIM($C134))="PT",UPPER(TRIM($C134))="PTE"),OR($P134="",N($P134)&gt;=PT_MinHours)),"PT","None")),IF(OR(ISNUMBER(SEARCH("full",AM134)),UPPER(TRIM(AM134))="FT",UPPER(TRIM(AM134))="FTE"),"FT",IF(AND(OR(ISNUMBER(SEARCH("part",AM134)),UPPER(TRIM(AM134))="PT",UPPER(TRIM(AM134))="PTE"),OR($P134="",N($P134)&gt;=PT_MinHours)),"PT","None"))))</f>
        <v/>
      </c>
      <c r="AQ134" s="14" t="str">
        <f aca="false">IF(AG134=0,"",IF(AI134&lt;2,"",IF(OR(ISNUMBER(SEARCH("full",AN134)),UPPER(TRIM(AN134))="FT",UPPER(TRIM(AN134))="FTE"),"FT",IF(AND(OR(ISNUMBER(SEARCH("part",AN134)),UPPER(TRIM(AN134))="PT",UPPER(TRIM(AN134))="PTE"),OR($P134="",N($P134)&gt;=PT_MinHours)),"PT","None"))))</f>
        <v/>
      </c>
      <c r="AR134" s="14" t="str">
        <f aca="false">IF(AG134=0,"",IF(AI134&lt;3,"",IF(OR(ISNUMBER(SEARCH("full",AO134)),UPPER(TRIM(AO134))="FT",UPPER(TRIM(AO134))="FTE"),"FT",IF(AND(OR(ISNUMBER(SEARCH("part",AO134)),UPPER(TRIM(AO134))="PT",UPPER(TRIM(AO134))="PTE"),OR($P134="",N($P134)&gt;=PT_MinHours)),"PT","None"))))</f>
        <v/>
      </c>
      <c r="AS134" s="14" t="str">
        <f aca="false">IF(AG134=0,"",IF(AND(AI134&gt;=3,AL134&lt;=AsOfDate),AR134,IF(AND(AI134&gt;=2,AK134&lt;=AsOfDate),AQ134,AP134)))</f>
        <v/>
      </c>
      <c r="AT134" s="14" t="str">
        <f aca="false">IF(AG134=0,"",IF(AsOfDate&lt;AH134,-1,12*(YEAR(AsOfDate)-YEAR(AH134))+MONTH(AsOfDate)-MONTH(AH134)-IF(DAY(AsOfDate)&lt;MIN(DAY(AH134),DAY(EOMONTH(AsOfDate,0))),1,0)))</f>
        <v/>
      </c>
      <c r="AU134" s="14" t="str">
        <f aca="false">IF(AG134=0,"",IF(OR(AI134&lt;2,AK134&gt;AsOfDate),AT134,IF((AK134-1)&lt;AH134,-1,12*(YEAR((AK134-1))-YEAR(AH134))+MONTH((AK134-1))-MONTH(AH134)-IF(DAY((AK134-1))&lt;MIN(DAY(AH134),DAY(EOMONTH((AK134-1),0))),1,0))))</f>
        <v/>
      </c>
      <c r="AV134" s="14" t="str">
        <f aca="false">IF(AG134=0,"",IF(OR(AI134&lt;3,AL134&gt;AsOfDate),AT134,IF((AL134-1)&lt;AH134,-1,12*(YEAR((AL134-1))-YEAR(AH134))+MONTH((AL134-1))-MONTH(AH134)-IF(DAY((AL134-1))&lt;MIN(DAY(AH134),DAY(EOMONTH((AL134-1),0))),1,0))))</f>
        <v/>
      </c>
      <c r="AW134" s="14" t="str">
        <f aca="false">IF(AG134=0,"",IF(PFYDate&lt;AH134,-1,12*(YEAR(PFYDate)-YEAR(AH134))+MONTH(PFYDate)-MONTH(AH134)-IF(DAY(PFYDate)&lt;MIN(DAY(AH134),DAY(EOMONTH(PFYDate,0))),1,0)))</f>
        <v/>
      </c>
      <c r="AX134" s="14" t="str">
        <f aca="false">IF(AG134=0,"",IF(OR(AI134&lt;2,AK134&gt;PFYDate),AW134,IF((AK134-1)&lt;AH134,-1,12*(YEAR((AK134-1))-YEAR(AH134))+MONTH((AK134-1))-MONTH(AH134)-IF(DAY((AK134-1))&lt;MIN(DAY(AH134),DAY(EOMONTH((AK134-1),0))),1,0))))</f>
        <v/>
      </c>
      <c r="AY134" s="14" t="str">
        <f aca="false">IF(AG134=0,"",IF(OR(AI134&lt;3,AL134&gt;PFYDate),AW134,IF((AL134-1)&lt;AH134,-1,12*(YEAR((AL134-1))-YEAR(AH134))+MONTH((AL134-1))-MONTH(AH134)-IF(DAY((AL134-1))&lt;MIN(DAY(AH134),DAY(EOMONTH((AL134-1),0))),1,0))))</f>
        <v/>
      </c>
      <c r="AZ134" s="14" t="str">
        <f aca="false">IF(AG134=0,"",IF(AP134="FT",IF(AU134&lt;FT_First,0,IF(AU134&lt;FT_Y5,1+INT((AU134-FT_First)/FT_Int1),FT_PreY5+FT_PerYear*INT((AU134-FT_Y5)/12)+FT_AnnivDays+INT(MOD(AU134-FT_Y5,12)/FT_Int2))),IF(AP134="PT",IF(AU134&lt;PT_First,0,1+INT((AU134-PT_First)/PT_Int)),0))+IF(AND(AI134&gt;=2,AK134&lt;=AsOfDate),IF(AQ134="FT",IF(AV134&lt;FT_First,0,IF(AV134&lt;FT_Y5,1+INT((AV134-FT_First)/FT_Int1),FT_PreY5+FT_PerYear*INT((AV134-FT_Y5)/12)+FT_AnnivDays+INT(MOD(AV134-FT_Y5,12)/FT_Int2))),IF(AQ134="PT",IF(AV134&lt;PT_First,0,1+INT((AV134-PT_First)/PT_Int)),0))-IF(AQ134="FT",IF(AU134&lt;FT_First,0,IF(AU134&lt;FT_Y5,1+INT((AU134-FT_First)/FT_Int1),FT_PreY5+FT_PerYear*INT((AU134-FT_Y5)/12)+FT_AnnivDays+INT(MOD(AU134-FT_Y5,12)/FT_Int2))),IF(AQ134="PT",IF(AU134&lt;PT_First,0,1+INT((AU134-PT_First)/PT_Int)),0)),0)+IF(AND(AI134&gt;=3,AL134&lt;=AsOfDate),IF(AR134="FT",IF(AT134&lt;FT_First,0,IF(AT134&lt;FT_Y5,1+INT((AT134-FT_First)/FT_Int1),FT_PreY5+FT_PerYear*INT((AT134-FT_Y5)/12)+FT_AnnivDays+INT(MOD(AT134-FT_Y5,12)/FT_Int2))),IF(AR134="PT",IF(AT134&lt;PT_First,0,1+INT((AT134-PT_First)/PT_Int)),0))-IF(AR134="FT",IF(AV134&lt;FT_First,0,IF(AV134&lt;FT_Y5,1+INT((AV134-FT_First)/FT_Int1),FT_PreY5+FT_PerYear*INT((AV134-FT_Y5)/12)+FT_AnnivDays+INT(MOD(AV134-FT_Y5,12)/FT_Int2))),IF(AR134="PT",IF(AV134&lt;PT_First,0,1+INT((AV134-PT_First)/PT_Int)),0)),0))</f>
        <v/>
      </c>
      <c r="BA134" s="14" t="str">
        <f aca="false">IF(AG134=0,"",IF(AP134="FT",IF(AX134&lt;FT_First,0,IF(AX134&lt;FT_Y5,1+INT((AX134-FT_First)/FT_Int1),FT_PreY5+FT_PerYear*INT((AX134-FT_Y5)/12)+FT_AnnivDays+INT(MOD(AX134-FT_Y5,12)/FT_Int2))),IF(AP134="PT",IF(AX134&lt;PT_First,0,1+INT((AX134-PT_First)/PT_Int)),0))+IF(AND(AI134&gt;=2,AK134&lt;=PFYDate),IF(AQ134="FT",IF(AY134&lt;FT_First,0,IF(AY134&lt;FT_Y5,1+INT((AY134-FT_First)/FT_Int1),FT_PreY5+FT_PerYear*INT((AY134-FT_Y5)/12)+FT_AnnivDays+INT(MOD(AY134-FT_Y5,12)/FT_Int2))),IF(AQ134="PT",IF(AY134&lt;PT_First,0,1+INT((AY134-PT_First)/PT_Int)),0))-IF(AQ134="FT",IF(AX134&lt;FT_First,0,IF(AX134&lt;FT_Y5,1+INT((AX134-FT_First)/FT_Int1),FT_PreY5+FT_PerYear*INT((AX134-FT_Y5)/12)+FT_AnnivDays+INT(MOD(AX134-FT_Y5,12)/FT_Int2))),IF(AQ134="PT",IF(AX134&lt;PT_First,0,1+INT((AX134-PT_First)/PT_Int)),0)),0)+IF(AND(AI134&gt;=3,AL134&lt;=PFYDate),IF(AR134="FT",IF(AW134&lt;FT_First,0,IF(AW134&lt;FT_Y5,1+INT((AW134-FT_First)/FT_Int1),FT_PreY5+FT_PerYear*INT((AW134-FT_Y5)/12)+FT_AnnivDays+INT(MOD(AW134-FT_Y5,12)/FT_Int2))),IF(AR134="PT",IF(AW134&lt;PT_First,0,1+INT((AW134-PT_First)/PT_Int)),0))-IF(AR134="FT",IF(AY134&lt;FT_First,0,IF(AY134&lt;FT_Y5,1+INT((AY134-FT_First)/FT_Int1),FT_PreY5+FT_PerYear*INT((AY134-FT_Y5)/12)+FT_AnnivDays+INT(MOD(AY134-FT_Y5,12)/FT_Int2))),IF(AR134="PT",IF(AY134&lt;PT_First,0,1+INT((AY134-PT_First)/PT_Int)),0)),0))</f>
        <v/>
      </c>
      <c r="BB134" s="14" t="str">
        <f aca="false">IF(AG134=0,"",IF(AS134="FT",IF(AT134&lt;FT_First,FT_First,IF(AT134&lt;FT_Y5,MIN(FT_Y5,FT_First+FT_Int1*(INT((AT134-FT_First)/FT_Int1)+1)),FT_Y5+12*INT((AT134-FT_Y5)/12)+FT_Int2*(INT(MOD(AT134-FT_Y5,12)/FT_Int2)+1))),IF(AS134="PT",IF(AT134&lt;PT_First,PT_First,PT_First+PT_Int*(INT((AT134-PT_First)/PT_Int)+1)),"")))</f>
        <v/>
      </c>
      <c r="BC134" s="14" t="str">
        <f aca="false">IF(AG134=0,"",IF(NOT(LH_Ready),0,COUNTIFS(INDEX(LH_Data,0,LH_ColFirst),$A134,INDEX(LH_Data,0,LH_ColSur),$B134,INDEX(LH_Data,0,LH_ColCat),BonusCat)))</f>
        <v/>
      </c>
      <c r="BD134" s="14" t="str">
        <f aca="false">IF(AG134=0,"",IF(OR(NOT(LH_Ready),BC134=0),0,SUMPRODUCT(MAX((INDEX(LH_Data,0,LH_ColFirst)=$A134)*(INDEX(LH_Data,0,LH_ColSur)=$B134)*(INDEX(LH_Data,0,LH_ColCat)=BonusCat)*ROW(LH_Data)))))</f>
        <v/>
      </c>
      <c r="BE134" s="14" t="str">
        <f aca="false">IF(AG134=0,"",IF(EOMONTH(AsOfDate,-1)&lt;AH134,-1,12*(YEAR(EOMONTH(AsOfDate,-1))-YEAR(AH134))+MONTH(EOMONTH(AsOfDate,-1))-MONTH(AH134)-IF(DAY(EOMONTH(AsOfDate,-1))&lt;MIN(DAY(AH134),DAY(EOMONTH(EOMONTH(AsOfDate,-1),0))),1,0)))</f>
        <v/>
      </c>
      <c r="BF134" s="14" t="str">
        <f aca="false">IF(AG134=0,"",IF(OR(AI134&lt;2,AK134&gt;EOMONTH(AsOfDate,-1)),BE134,IF((AK134-1)&lt;AH134,-1,12*(YEAR((AK134-1))-YEAR(AH134))+MONTH((AK134-1))-MONTH(AH134)-IF(DAY((AK134-1))&lt;MIN(DAY(AH134),DAY(EOMONTH((AK134-1),0))),1,0))))</f>
        <v/>
      </c>
      <c r="BG134" s="14" t="str">
        <f aca="false">IF(AG134=0,"",IF(OR(AI134&lt;3,AL134&gt;EOMONTH(AsOfDate,-1)),BE134,IF((AL134-1)&lt;AH134,-1,12*(YEAR((AL134-1))-YEAR(AH134))+MONTH((AL134-1))-MONTH(AH134)-IF(DAY((AL134-1))&lt;MIN(DAY(AH134),DAY(EOMONTH((AL134-1),0))),1,0))))</f>
        <v/>
      </c>
      <c r="BH134" s="14" t="str">
        <f aca="false">IF(AG134=0,"",IF(AP134="FT",IF(BF134&lt;FT_First,0,IF(BF134&lt;FT_Y5,1+INT((BF134-FT_First)/FT_Int1),FT_PreY5+FT_PerYear*INT((BF134-FT_Y5)/12)+FT_AnnivDays+INT(MOD(BF134-FT_Y5,12)/FT_Int2))),IF(AP134="PT",IF(BF134&lt;PT_First,0,1+INT((BF134-PT_First)/PT_Int)),0))+IF(AND(AI134&gt;=2,AK134&lt;=EOMONTH(AsOfDate,-1)),IF(AQ134="FT",IF(BG134&lt;FT_First,0,IF(BG134&lt;FT_Y5,1+INT((BG134-FT_First)/FT_Int1),FT_PreY5+FT_PerYear*INT((BG134-FT_Y5)/12)+FT_AnnivDays+INT(MOD(BG134-FT_Y5,12)/FT_Int2))),IF(AQ134="PT",IF(BG134&lt;PT_First,0,1+INT((BG134-PT_First)/PT_Int)),0))-IF(AQ134="FT",IF(BF134&lt;FT_First,0,IF(BF134&lt;FT_Y5,1+INT((BF134-FT_First)/FT_Int1),FT_PreY5+FT_PerYear*INT((BF134-FT_Y5)/12)+FT_AnnivDays+INT(MOD(BF134-FT_Y5,12)/FT_Int2))),IF(AQ134="PT",IF(BF134&lt;PT_First,0,1+INT((BF134-PT_First)/PT_Int)),0)),0)+IF(AND(AI134&gt;=3,AL134&lt;=EOMONTH(AsOfDate,-1)),IF(AR134="FT",IF(BE134&lt;FT_First,0,IF(BE134&lt;FT_Y5,1+INT((BE134-FT_First)/FT_Int1),FT_PreY5+FT_PerYear*INT((BE134-FT_Y5)/12)+FT_AnnivDays+INT(MOD(BE134-FT_Y5,12)/FT_Int2))),IF(AR134="PT",IF(BE134&lt;PT_First,0,1+INT((BE134-PT_First)/PT_Int)),0))-IF(AR134="FT",IF(BG134&lt;FT_First,0,IF(BG134&lt;FT_Y5,1+INT((BG134-FT_First)/FT_Int1),FT_PreY5+FT_PerYear*INT((BG134-FT_Y5)/12)+FT_AnnivDays+INT(MOD(BG134-FT_Y5,12)/FT_Int2))),IF(AR134="PT",IF(BG134&lt;PT_First,0,1+INT((BG134-PT_First)/PT_Int)),0)),0))</f>
        <v/>
      </c>
      <c r="BI134" s="14" t="str">
        <f aca="false">IF(AG134=0,"",IF(AS134="FT",IF(AT134&lt;FT_First,"",IF(AT134&lt;FT_Y5,FT_First+FT_Int1*INT((AT134-FT_First)/FT_Int1),FT_Y5+FT_Int2*INT((AT134-FT_Y5)/FT_Int2))),IF(AS134="PT",IF(AT134&lt;PT_First,"",PT_First+PT_Int*INT((AT134-PT_First)/PT_Int)),"")))</f>
        <v/>
      </c>
      <c r="BJ134" s="0" t="str">
        <f aca="false">IF(LEN($A134&amp;$B134)=0,"",$A134&amp;" "&amp;$B134)</f>
        <v/>
      </c>
    </row>
    <row r="135" customFormat="false" ht="15" hidden="false" customHeight="false" outlineLevel="0" collapsed="false">
      <c r="A135" s="10"/>
      <c r="B135" s="10"/>
      <c r="C135" s="10"/>
      <c r="D135" s="11"/>
      <c r="E135" s="12" t="str">
        <f aca="false">IF(OR(AG135=0,$D135=""),"",DATE(YEAR(AsOfDate)+IF(DATE(YEAR(AsOfDate),MONTH($D135),DAY($D135))&lt;=AsOfDate,1,0),MONTH($D135),DAY($D135)))</f>
        <v/>
      </c>
      <c r="F135" s="11"/>
      <c r="G135" s="11"/>
      <c r="H135" s="11"/>
      <c r="I135" s="11"/>
      <c r="J135" s="11"/>
      <c r="K135" s="12" t="str">
        <f aca="false">IF(AG135=0,"",DATE(YEAR(AsOfDate)+IF(DATE(YEAR(AsOfDate),MONTH(AH135),DAY(AH135))&lt;=AsOfDate,1,0),MONTH(AH135),DAY(AH135)))</f>
        <v/>
      </c>
      <c r="L135" s="13" t="str">
        <f aca="false">IF(AG135=0,"",ROUND((AsOfDate-AH135)/365.25,1))</f>
        <v/>
      </c>
      <c r="M135" s="14" t="str">
        <f aca="false">IF(AG135=0,"",IF(AsOfDate&lt;AH135,"-",DATEDIF(AH135,AsOfDate,"y")&amp;"y "&amp;DATEDIF(AH135,AsOfDate,"ym")&amp;"m "&amp;DATEDIF(AH135,AsOfDate,"md")&amp;"d"))</f>
        <v/>
      </c>
      <c r="N135" s="15" t="str">
        <f aca="false">IF(AG135=0,"",O135*HoursPerDay)</f>
        <v/>
      </c>
      <c r="O135" s="15" t="str">
        <f aca="false">IF(AG135=0,"",AZ135)</f>
        <v/>
      </c>
      <c r="P135" s="16"/>
      <c r="Q135" s="14" t="str">
        <f aca="false">IF(AG135=0,"",IF(AI135&lt;2,"",AM135&amp;" to "&amp;AN135&amp;" on "&amp;TEXT(AK135,"dd/mm/yyyy")&amp;IF(AK135&gt;AsOfDate," (future)",IF(AP135=AQ135,"",IF(AQ135="None"," - STOPPED accruing",IF(AP135="None"," - commencement for Bonus Leave"," - pathway changed"))))&amp;IF(AI135&lt;3,"","; "&amp;AN135&amp;" to "&amp;AO135&amp;" on "&amp;TEXT(AL135,"dd/mm/yyyy")&amp;IF(AL135&gt;AsOfDate," (future)",IF(AQ135=AR135,"",IF(AR135="None"," - STOPPED accruing",IF(AQ135="None"," - commencement for Bonus Leave"," - pathway changed")))))))</f>
        <v/>
      </c>
      <c r="R135" s="14" t="str">
        <f aca="false">IF(AG135=0,"",IF(AS135="None",IF(O135&gt;0,"No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2" t="str">
        <f aca="false">IF(AG135=0,"",IF(AS135="None","",EDATE(AH135,BB135)))</f>
        <v/>
      </c>
      <c r="T135" s="15" t="str">
        <f aca="false">IF(AG135=0,"",IF(NOT(LH_Ready),"",IF(AH135&gt;PFYDate,0,IF(LH_ColPeriod=0,W135-U135+V135,SUMIFS(INDEX(LH_Data,0,LH_ColAcc),INDEX(LH_Data,0,LH_ColFirst),$A135,INDEX(LH_Data,0,LH_ColSur),$B135,INDEX(LH_Data,0,LH_ColCat),BonusCat,INDEX(LH_Data,0,LH_ColPeriod),LH_OpenLabel)*UnitFactor))))</f>
        <v/>
      </c>
      <c r="U135" s="15" t="str">
        <f aca="false">IF(AG135=0,"",IF(NOT(LH_Ready),"",SUMIFS(INDEX(LH_Data,0,LH_ColAcc),INDEX(LH_Data,0,LH_ColFirst),$A135,INDEX(LH_Data,0,LH_ColSur),$B135,INDEX(LH_Data,0,LH_ColCat),BonusCat,INDEX(LH_Data,0,LH_ColStart),"&gt;="&amp;AH135)*UnitFactor))</f>
        <v/>
      </c>
      <c r="V135" s="15" t="str">
        <f aca="false">IF(AG135=0,"",IF(NOT(LH_Ready),"",SUMIFS(INDEX(LH_Data,0,LH_ColTaken),INDEX(LH_Data,0,LH_ColFirst),$A135,INDEX(LH_Data,0,LH_ColSur),$B135,INDEX(LH_Data,0,LH_ColCat),BonusCat,INDEX(LH_Data,0,LH_ColStart),"&gt;="&amp;AH135)*UnitFactor))</f>
        <v/>
      </c>
      <c r="W135" s="15" t="str">
        <f aca="false">IF(AG135=0,"",IF(NOT(LH_Ready),"",IF(BD135=0,0,INDEX(INDEX(LH_Data,0,LH_ColClose),BD135-1)*UnitFactor)))</f>
        <v/>
      </c>
      <c r="X135" s="15" t="str">
        <f aca="false">IF(AG135=0,"",(AZ135-BA135)*HoursPerDay)</f>
        <v/>
      </c>
      <c r="Y135" s="15" t="str">
        <f aca="false">IF(AG135=0,"",IF(NOT(LH_Ready),"",IF(BC135=0,N135,IF(PFYDate&lt;$F135,N135-N(T135)-N(U135),X135-N(U135)))))</f>
        <v/>
      </c>
      <c r="Z135" s="14" t="str">
        <f aca="false">IF(OR(AG135=0,Y135=""),"",IF(Y135&gt;0,"Yes","No"))</f>
        <v/>
      </c>
      <c r="AA135" s="14" t="str">
        <f aca="false">IF(AG135=0,IF(LEN($A135&amp;$B135)=0,"","FIX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month")&amp;IF(BC135=0,";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EH)",""),IF(AS135="None",R135,"Not yet - first day on "&amp;TEXT(S135,"dd/mm/yyyy")))))))))</f>
        <v/>
      </c>
      <c r="AB135" s="15" t="str">
        <f aca="false">IF(OR(AG135=0,T135=""),"",BA135*HoursPerDay-T135)</f>
        <v/>
      </c>
      <c r="AC135" s="14" t="str">
        <f aca="false">IF(AG135=0,"",BC135)</f>
        <v/>
      </c>
      <c r="AD135" s="14" t="str">
        <f aca="false">IF(AG135=0,"",TRIM(IF(OR(ISTEXT($F135),ISTEXT($H135),ISTEXT($I135),ISTEXT($G135),ISTEXT($J135),ISTEXT($D135)),"A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I135&gt;=1,IF(AI135&gt;=3,AO135,IF(AI135=2,AN135,AM135))&lt;&gt;IF($C135="","",IF(OR(ISNUMBER(SEARCH("full",$C135)),UPPER(TRIM($C135))="FT",UPPER(TRIM($C135))="FTE"),"Full-Time",IF(OR(ISNUMBER(SEARCH("part",$C135)),UPPER(TRIM($C135))="PT",UPPER(TRIM($C135))="PTE"),"Part-Time",IF(OR(ISNUMBER(SEARCH("cas",$C135)),UPPER(TRIM($C135))="CAS"),"Casual","Unknown"))))),"EmploymentType does not match latest start date ("&amp;IF(AI135&gt;=3,AO135,IF(AI135=2,AN135,AM135))&amp;"). ","")&amp;IF(AND(AI135&gt;=1,AJ135&lt;&gt;$F135),"Earliest type date should equal StartDate. ","")&amp;IF(AND(AI135&gt;=2,AJ135=AK135),"Two types start on the same date. ","")&amp;IF(AND(OR(ISNUMBER(SEARCH("part",$C135)),UPPER(TRIM($C135))="PT",UPPER(TRIM($C135))="PTE"),$P135=""),"Part-time: enter PT Hrs/Week (blank = 24+). ","")))</f>
        <v/>
      </c>
      <c r="AE135" s="15" t="str">
        <f aca="false">IF(AG135=0,"",O135-BH135)</f>
        <v/>
      </c>
      <c r="AF135" s="12" t="str">
        <f aca="false">IF(OR(AG135=0,AE135="",N(AE135)=0,BI135=""),"",EDATE(AH135,BI135))</f>
        <v/>
      </c>
      <c r="AG135" s="14" t="n">
        <f aca="false">IF(OR(LEN($A135&amp;$B135)=0,$F135=""),0,1)</f>
        <v>0</v>
      </c>
      <c r="AH135" s="12" t="str">
        <f aca="false">IF(AG135=0,"",IF($J135&lt;&gt;"",$J135,IF(OR(CasualCounts="Yes",COUNT($G135:$I135)=0,COUNT($H135:$I135)=0),$F135,MIN($H135:$I135))))</f>
        <v/>
      </c>
      <c r="AI135" s="14" t="str">
        <f aca="false">IF(AG135=0,"",COUNT($G135:$I135))</f>
        <v/>
      </c>
      <c r="AJ135" s="12" t="str">
        <f aca="false">IF(AG135=0,"",IFERROR(SMALL($G135:$I135,1),""))</f>
        <v/>
      </c>
      <c r="AK135" s="12" t="str">
        <f aca="false">IF(AG135=0,"",IFERROR(SMALL($G135:$I135,2),""))</f>
        <v/>
      </c>
      <c r="AL135" s="12" t="str">
        <f aca="false">IF(AG135=0,"",IFERROR(SMALL($G135:$I135,3),""))</f>
        <v/>
      </c>
      <c r="AM135" s="14" t="str">
        <f aca="false">IF(AG135=0,"",IF(AJ135="","",IF(AJ135=$H135,"Part-Time",IF(AJ135=$I135,"Full-Time","Casual"))))</f>
        <v/>
      </c>
      <c r="AN135" s="14" t="str">
        <f aca="false">IF(AG135=0,"",IF(AK135="","",IF(AK135=$H135,"Part-Time",IF(AK135=$I135,"Full-Time","Casual"))))</f>
        <v/>
      </c>
      <c r="AO135" s="14" t="str">
        <f aca="false">IF(AG135=0,"",IF(AL135="","",IF(AL135=$H135,"Part-Time",IF(AL135=$I135,"Full-Time","Casual"))))</f>
        <v/>
      </c>
      <c r="AP135" s="14" t="str">
        <f aca="false">IF(AG135=0,"",IF(AI135=0,IF(OR(ISNUMBER(SEARCH("full",$C135)),UPPER(TRIM($C135))="FT",UPPER(TRIM($C135))="FTE"),"FT",IF(AND(OR(ISNUMBER(SEARCH("part",$C135)),UPPER(TRIM($C135))="PT",UPPER(TRIM($C135))="PTE"),OR($P135="",N($P135)&gt;=PT_MinHours)),"PT","None")),IF(OR(ISNUMBER(SEARCH("full",AM135)),UPPER(TRIM(AM135))="FT",UPPER(TRIM(AM135))="FTE"),"FT",IF(AND(OR(ISNUMBER(SEARCH("part",AM135)),UPPER(TRIM(AM135))="PT",UPPER(TRIM(AM135))="PTE"),OR($P135="",N($P135)&gt;=PT_MinHours)),"PT","None"))))</f>
        <v/>
      </c>
      <c r="AQ135" s="14" t="str">
        <f aca="false">IF(AG135=0,"",IF(AI135&lt;2,"",IF(OR(ISNUMBER(SEARCH("full",AN135)),UPPER(TRIM(AN135))="FT",UPPER(TRIM(AN135))="FTE"),"FT",IF(AND(OR(ISNUMBER(SEARCH("part",AN135)),UPPER(TRIM(AN135))="PT",UPPER(TRIM(AN135))="PTE"),OR($P135="",N($P135)&gt;=PT_MinHours)),"PT","None"))))</f>
        <v/>
      </c>
      <c r="AR135" s="14" t="str">
        <f aca="false">IF(AG135=0,"",IF(AI135&lt;3,"",IF(OR(ISNUMBER(SEARCH("full",AO135)),UPPER(TRIM(AO135))="FT",UPPER(TRIM(AO135))="FTE"),"FT",IF(AND(OR(ISNUMBER(SEARCH("part",AO135)),UPPER(TRIM(AO135))="PT",UPPER(TRIM(AO135))="PTE"),OR($P135="",N($P135)&gt;=PT_MinHours)),"PT","None"))))</f>
        <v/>
      </c>
      <c r="AS135" s="14" t="str">
        <f aca="false">IF(AG135=0,"",IF(AND(AI135&gt;=3,AL135&lt;=AsOfDate),AR135,IF(AND(AI135&gt;=2,AK135&lt;=AsOfDate),AQ135,AP135)))</f>
        <v/>
      </c>
      <c r="AT135" s="14" t="str">
        <f aca="false">IF(AG135=0,"",IF(AsOfDate&lt;AH135,-1,12*(YEAR(AsOfDate)-YEAR(AH135))+MONTH(AsOfDate)-MONTH(AH135)-IF(DAY(AsOfDate)&lt;MIN(DAY(AH135),DAY(EOMONTH(AsOfDate,0))),1,0)))</f>
        <v/>
      </c>
      <c r="AU135" s="14" t="str">
        <f aca="false">IF(AG135=0,"",IF(OR(AI135&lt;2,AK135&gt;AsOfDate),AT135,IF((AK135-1)&lt;AH135,-1,12*(YEAR((AK135-1))-YEAR(AH135))+MONTH((AK135-1))-MONTH(AH135)-IF(DAY((AK135-1))&lt;MIN(DAY(AH135),DAY(EOMONTH((AK135-1),0))),1,0))))</f>
        <v/>
      </c>
      <c r="AV135" s="14" t="str">
        <f aca="false">IF(AG135=0,"",IF(OR(AI135&lt;3,AL135&gt;AsOfDate),AT135,IF((AL135-1)&lt;AH135,-1,12*(YEAR((AL135-1))-YEAR(AH135))+MONTH((AL135-1))-MONTH(AH135)-IF(DAY((AL135-1))&lt;MIN(DAY(AH135),DAY(EOMONTH((AL135-1),0))),1,0))))</f>
        <v/>
      </c>
      <c r="AW135" s="14" t="str">
        <f aca="false">IF(AG135=0,"",IF(PFYDate&lt;AH135,-1,12*(YEAR(PFYDate)-YEAR(AH135))+MONTH(PFYDate)-MONTH(AH135)-IF(DAY(PFYDate)&lt;MIN(DAY(AH135),DAY(EOMONTH(PFYDate,0))),1,0)))</f>
        <v/>
      </c>
      <c r="AX135" s="14" t="str">
        <f aca="false">IF(AG135=0,"",IF(OR(AI135&lt;2,AK135&gt;PFYDate),AW135,IF((AK135-1)&lt;AH135,-1,12*(YEAR((AK135-1))-YEAR(AH135))+MONTH((AK135-1))-MONTH(AH135)-IF(DAY((AK135-1))&lt;MIN(DAY(AH135),DAY(EOMONTH((AK135-1),0))),1,0))))</f>
        <v/>
      </c>
      <c r="AY135" s="14" t="str">
        <f aca="false">IF(AG135=0,"",IF(OR(AI135&lt;3,AL135&gt;PFYDate),AW135,IF((AL135-1)&lt;AH135,-1,12*(YEAR((AL135-1))-YEAR(AH135))+MONTH((AL135-1))-MONTH(AH135)-IF(DAY((AL135-1))&lt;MIN(DAY(AH135),DAY(EOMONTH((AL135-1),0))),1,0))))</f>
        <v/>
      </c>
      <c r="AZ135" s="14" t="str">
        <f aca="false">IF(AG135=0,"",IF(AP135="FT",IF(AU135&lt;FT_First,0,IF(AU135&lt;FT_Y5,1+INT((AU135-FT_First)/FT_Int1),FT_PreY5+FT_PerYear*INT((AU135-FT_Y5)/12)+FT_AnnivDays+INT(MOD(AU135-FT_Y5,12)/FT_Int2))),IF(AP135="PT",IF(AU135&lt;PT_First,0,1+INT((AU135-PT_First)/PT_Int)),0))+IF(AND(AI135&gt;=2,AK135&lt;=AsOfDate),IF(AQ135="FT",IF(AV135&lt;FT_First,0,IF(AV135&lt;FT_Y5,1+INT((AV135-FT_First)/FT_Int1),FT_PreY5+FT_PerYear*INT((AV135-FT_Y5)/12)+FT_AnnivDays+INT(MOD(AV135-FT_Y5,12)/FT_Int2))),IF(AQ135="PT",IF(AV135&lt;PT_First,0,1+INT((AV135-PT_First)/PT_Int)),0))-IF(AQ135="FT",IF(AU135&lt;FT_First,0,IF(AU135&lt;FT_Y5,1+INT((AU135-FT_First)/FT_Int1),FT_PreY5+FT_PerYear*INT((AU135-FT_Y5)/12)+FT_AnnivDays+INT(MOD(AU135-FT_Y5,12)/FT_Int2))),IF(AQ135="PT",IF(AU135&lt;PT_First,0,1+INT((AU135-PT_First)/PT_Int)),0)),0)+IF(AND(AI135&gt;=3,AL135&lt;=AsOfDate),IF(AR135="FT",IF(AT135&lt;FT_First,0,IF(AT135&lt;FT_Y5,1+INT((AT135-FT_First)/FT_Int1),FT_PreY5+FT_PerYear*INT((AT135-FT_Y5)/12)+FT_AnnivDays+INT(MOD(AT135-FT_Y5,12)/FT_Int2))),IF(AR135="PT",IF(AT135&lt;PT_First,0,1+INT((AT135-PT_First)/PT_Int)),0))-IF(AR135="FT",IF(AV135&lt;FT_First,0,IF(AV135&lt;FT_Y5,1+INT((AV135-FT_First)/FT_Int1),FT_PreY5+FT_PerYear*INT((AV135-FT_Y5)/12)+FT_AnnivDays+INT(MOD(AV135-FT_Y5,12)/FT_Int2))),IF(AR135="PT",IF(AV135&lt;PT_First,0,1+INT((AV135-PT_First)/PT_Int)),0)),0))</f>
        <v/>
      </c>
      <c r="BA135" s="14" t="str">
        <f aca="false">IF(AG135=0,"",IF(AP135="FT",IF(AX135&lt;FT_First,0,IF(AX135&lt;FT_Y5,1+INT((AX135-FT_First)/FT_Int1),FT_PreY5+FT_PerYear*INT((AX135-FT_Y5)/12)+FT_AnnivDays+INT(MOD(AX135-FT_Y5,12)/FT_Int2))),IF(AP135="PT",IF(AX135&lt;PT_First,0,1+INT((AX135-PT_First)/PT_Int)),0))+IF(AND(AI135&gt;=2,AK135&lt;=PFYDate),IF(AQ135="FT",IF(AY135&lt;FT_First,0,IF(AY135&lt;FT_Y5,1+INT((AY135-FT_First)/FT_Int1),FT_PreY5+FT_PerYear*INT((AY135-FT_Y5)/12)+FT_AnnivDays+INT(MOD(AY135-FT_Y5,12)/FT_Int2))),IF(AQ135="PT",IF(AY135&lt;PT_First,0,1+INT((AY135-PT_First)/PT_Int)),0))-IF(AQ135="FT",IF(AX135&lt;FT_First,0,IF(AX135&lt;FT_Y5,1+INT((AX135-FT_First)/FT_Int1),FT_PreY5+FT_PerYear*INT((AX135-FT_Y5)/12)+FT_AnnivDays+INT(MOD(AX135-FT_Y5,12)/FT_Int2))),IF(AQ135="PT",IF(AX135&lt;PT_First,0,1+INT((AX135-PT_First)/PT_Int)),0)),0)+IF(AND(AI135&gt;=3,AL135&lt;=PFYDate),IF(AR135="FT",IF(AW135&lt;FT_First,0,IF(AW135&lt;FT_Y5,1+INT((AW135-FT_First)/FT_Int1),FT_PreY5+FT_PerYear*INT((AW135-FT_Y5)/12)+FT_AnnivDays+INT(MOD(AW135-FT_Y5,12)/FT_Int2))),IF(AR135="PT",IF(AW135&lt;PT_First,0,1+INT((AW135-PT_First)/PT_Int)),0))-IF(AR135="FT",IF(AY135&lt;FT_First,0,IF(AY135&lt;FT_Y5,1+INT((AY135-FT_First)/FT_Int1),FT_PreY5+FT_PerYear*INT((AY135-FT_Y5)/12)+FT_AnnivDays+INT(MOD(AY135-FT_Y5,12)/FT_Int2))),IF(AR135="PT",IF(AY135&lt;PT_First,0,1+INT((AY135-PT_First)/PT_Int)),0)),0))</f>
        <v/>
      </c>
      <c r="BB135" s="14" t="str">
        <f aca="false">IF(AG135=0,"",IF(AS135="FT",IF(AT135&lt;FT_First,FT_First,IF(AT135&lt;FT_Y5,MIN(FT_Y5,FT_First+FT_Int1*(INT((AT135-FT_First)/FT_Int1)+1)),FT_Y5+12*INT((AT135-FT_Y5)/12)+FT_Int2*(INT(MOD(AT135-FT_Y5,12)/FT_Int2)+1))),IF(AS135="PT",IF(AT135&lt;PT_First,PT_First,PT_First+PT_Int*(INT((AT135-PT_First)/PT_Int)+1)),"")))</f>
        <v/>
      </c>
      <c r="BC135" s="14" t="str">
        <f aca="false">IF(AG135=0,"",IF(NOT(LH_Ready),0,COUNTIFS(INDEX(LH_Data,0,LH_ColFirst),$A135,INDEX(LH_Data,0,LH_ColSur),$B135,INDEX(LH_Data,0,LH_ColCat),BonusCat)))</f>
        <v/>
      </c>
      <c r="BD135" s="14" t="str">
        <f aca="false">IF(AG135=0,"",IF(OR(NOT(LH_Ready),BC135=0),0,SUMPRODUCT(MAX((INDEX(LH_Data,0,LH_ColFirst)=$A135)*(INDEX(LH_Data,0,LH_ColSur)=$B135)*(INDEX(LH_Data,0,LH_ColCat)=BonusCat)*ROW(LH_Data)))))</f>
        <v/>
      </c>
      <c r="BE135" s="14" t="str">
        <f aca="false">IF(AG135=0,"",IF(EOMONTH(AsOfDate,-1)&lt;AH135,-1,12*(YEAR(EOMONTH(AsOfDate,-1))-YEAR(AH135))+MONTH(EOMONTH(AsOfDate,-1))-MONTH(AH135)-IF(DAY(EOMONTH(AsOfDate,-1))&lt;MIN(DAY(AH135),DAY(EOMONTH(EOMONTH(AsOfDate,-1),0))),1,0)))</f>
        <v/>
      </c>
      <c r="BF135" s="14" t="str">
        <f aca="false">IF(AG135=0,"",IF(OR(AI135&lt;2,AK135&gt;EOMONTH(AsOfDate,-1)),BE135,IF((AK135-1)&lt;AH135,-1,12*(YEAR((AK135-1))-YEAR(AH135))+MONTH((AK135-1))-MONTH(AH135)-IF(DAY((AK135-1))&lt;MIN(DAY(AH135),DAY(EOMONTH((AK135-1),0))),1,0))))</f>
        <v/>
      </c>
      <c r="BG135" s="14" t="str">
        <f aca="false">IF(AG135=0,"",IF(OR(AI135&lt;3,AL135&gt;EOMONTH(AsOfDate,-1)),BE135,IF((AL135-1)&lt;AH135,-1,12*(YEAR((AL135-1))-YEAR(AH135))+MONTH((AL135-1))-MONTH(AH135)-IF(DAY((AL135-1))&lt;MIN(DAY(AH135),DAY(EOMONTH((AL135-1),0))),1,0))))</f>
        <v/>
      </c>
      <c r="BH135" s="14" t="str">
        <f aca="false">IF(AG135=0,"",IF(AP135="FT",IF(BF135&lt;FT_First,0,IF(BF135&lt;FT_Y5,1+INT((BF135-FT_First)/FT_Int1),FT_PreY5+FT_PerYear*INT((BF135-FT_Y5)/12)+FT_AnnivDays+INT(MOD(BF135-FT_Y5,12)/FT_Int2))),IF(AP135="PT",IF(BF135&lt;PT_First,0,1+INT((BF135-PT_First)/PT_Int)),0))+IF(AND(AI135&gt;=2,AK135&lt;=EOMONTH(AsOfDate,-1)),IF(AQ135="FT",IF(BG135&lt;FT_First,0,IF(BG135&lt;FT_Y5,1+INT((BG135-FT_First)/FT_Int1),FT_PreY5+FT_PerYear*INT((BG135-FT_Y5)/12)+FT_AnnivDays+INT(MOD(BG135-FT_Y5,12)/FT_Int2))),IF(AQ135="PT",IF(BG135&lt;PT_First,0,1+INT((BG135-PT_First)/PT_Int)),0))-IF(AQ135="FT",IF(BF135&lt;FT_First,0,IF(BF135&lt;FT_Y5,1+INT((BF135-FT_First)/FT_Int1),FT_PreY5+FT_PerYear*INT((BF135-FT_Y5)/12)+FT_AnnivDays+INT(MOD(BF135-FT_Y5,12)/FT_Int2))),IF(AQ135="PT",IF(BF135&lt;PT_First,0,1+INT((BF135-PT_First)/PT_Int)),0)),0)+IF(AND(AI135&gt;=3,AL135&lt;=EOMONTH(AsOfDate,-1)),IF(AR135="FT",IF(BE135&lt;FT_First,0,IF(BE135&lt;FT_Y5,1+INT((BE135-FT_First)/FT_Int1),FT_PreY5+FT_PerYear*INT((BE135-FT_Y5)/12)+FT_AnnivDays+INT(MOD(BE135-FT_Y5,12)/FT_Int2))),IF(AR135="PT",IF(BE135&lt;PT_First,0,1+INT((BE135-PT_First)/PT_Int)),0))-IF(AR135="FT",IF(BG135&lt;FT_First,0,IF(BG135&lt;FT_Y5,1+INT((BG135-FT_First)/FT_Int1),FT_PreY5+FT_PerYear*INT((BG135-FT_Y5)/12)+FT_AnnivDays+INT(MOD(BG135-FT_Y5,12)/FT_Int2))),IF(AR135="PT",IF(BG135&lt;PT_First,0,1+INT((BG135-PT_First)/PT_Int)),0)),0))</f>
        <v/>
      </c>
      <c r="BI135" s="14" t="str">
        <f aca="false">IF(AG135=0,"",IF(AS135="FT",IF(AT135&lt;FT_First,"",IF(AT135&lt;FT_Y5,FT_First+FT_Int1*INT((AT135-FT_First)/FT_Int1),FT_Y5+FT_Int2*INT((AT135-FT_Y5)/FT_Int2))),IF(AS135="PT",IF(AT135&lt;PT_First,"",PT_First+PT_Int*INT((AT135-PT_First)/PT_Int)),"")))</f>
        <v/>
      </c>
      <c r="BJ135" s="0" t="str">
        <f aca="false">IF(LEN($A135&amp;$B135)=0,"",$A135&amp;" "&amp;$B135)</f>
        <v/>
      </c>
    </row>
    <row r="136" customFormat="false" ht="15" hidden="false" customHeight="false" outlineLevel="0" collapsed="false">
      <c r="A136" s="10"/>
      <c r="B136" s="10"/>
      <c r="C136" s="10"/>
      <c r="D136" s="11"/>
      <c r="E136" s="12" t="str">
        <f aca="false">IF(OR(AG136=0,$D136=""),"",DATE(YEAR(AsOfDate)+IF(DATE(YEAR(AsOfDate),MONTH($D136),DAY($D136))&lt;=AsOfDate,1,0),MONTH($D136),DAY($D136)))</f>
        <v/>
      </c>
      <c r="F136" s="11"/>
      <c r="G136" s="11"/>
      <c r="H136" s="11"/>
      <c r="I136" s="11"/>
      <c r="J136" s="11"/>
      <c r="K136" s="12" t="str">
        <f aca="false">IF(AG136=0,"",DATE(YEAR(AsOfDate)+IF(DATE(YEAR(AsOfDate),MONTH(AH136),DAY(AH136))&lt;=AsOfDate,1,0),MONTH(AH136),DAY(AH136)))</f>
        <v/>
      </c>
      <c r="L136" s="13" t="str">
        <f aca="false">IF(AG136=0,"",ROUND((AsOfDate-AH136)/365.25,1))</f>
        <v/>
      </c>
      <c r="M136" s="14" t="str">
        <f aca="false">IF(AG136=0,"",IF(AsOfDate&lt;AH136,"-",DATEDIF(AH136,AsOfDate,"y")&amp;"y "&amp;DATEDIF(AH136,AsOfDate,"ym")&amp;"m "&amp;DATEDIF(AH136,AsOfDate,"md")&amp;"d"))</f>
        <v/>
      </c>
      <c r="N136" s="15" t="str">
        <f aca="false">IF(AG136=0,"",O136*HoursPerDay)</f>
        <v/>
      </c>
      <c r="O136" s="15" t="str">
        <f aca="false">IF(AG136=0,"",AZ136)</f>
        <v/>
      </c>
      <c r="P136" s="16"/>
      <c r="Q136" s="14" t="str">
        <f aca="false">IF(AG136=0,"",IF(AI136&lt;2,"",AM136&amp;" to "&amp;AN136&amp;" on "&amp;TEXT(AK136,"dd/mm/yyyy")&amp;IF(AK136&gt;AsOfDate," (future)",IF(AP136=AQ136,"",IF(AQ136="None"," - STOPPED accruing",IF(AP136="None"," - commencement for Bonus Leave"," - pathway changed"))))&amp;IF(AI136&lt;3,"","; "&amp;AN136&amp;" to "&amp;AO136&amp;" on "&amp;TEXT(AL136,"dd/mm/yyyy")&amp;IF(AL136&gt;AsOfDate," (future)",IF(AQ136=AR136,"",IF(AR136="None"," - STOPPED accruing",IF(AQ136="None"," - commencement for Bonus Leave"," - pathway changed")))))))</f>
        <v/>
      </c>
      <c r="R136" s="14" t="str">
        <f aca="false">IF(AG136=0,"",IF(AS136="None",IF(O136&gt;0,"No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2" t="str">
        <f aca="false">IF(AG136=0,"",IF(AS136="None","",EDATE(AH136,BB136)))</f>
        <v/>
      </c>
      <c r="T136" s="15" t="str">
        <f aca="false">IF(AG136=0,"",IF(NOT(LH_Ready),"",IF(AH136&gt;PFYDate,0,IF(LH_ColPeriod=0,W136-U136+V136,SUMIFS(INDEX(LH_Data,0,LH_ColAcc),INDEX(LH_Data,0,LH_ColFirst),$A136,INDEX(LH_Data,0,LH_ColSur),$B136,INDEX(LH_Data,0,LH_ColCat),BonusCat,INDEX(LH_Data,0,LH_ColPeriod),LH_OpenLabel)*UnitFactor))))</f>
        <v/>
      </c>
      <c r="U136" s="15" t="str">
        <f aca="false">IF(AG136=0,"",IF(NOT(LH_Ready),"",SUMIFS(INDEX(LH_Data,0,LH_ColAcc),INDEX(LH_Data,0,LH_ColFirst),$A136,INDEX(LH_Data,0,LH_ColSur),$B136,INDEX(LH_Data,0,LH_ColCat),BonusCat,INDEX(LH_Data,0,LH_ColStart),"&gt;="&amp;AH136)*UnitFactor))</f>
        <v/>
      </c>
      <c r="V136" s="15" t="str">
        <f aca="false">IF(AG136=0,"",IF(NOT(LH_Ready),"",SUMIFS(INDEX(LH_Data,0,LH_ColTaken),INDEX(LH_Data,0,LH_ColFirst),$A136,INDEX(LH_Data,0,LH_ColSur),$B136,INDEX(LH_Data,0,LH_ColCat),BonusCat,INDEX(LH_Data,0,LH_ColStart),"&gt;="&amp;AH136)*UnitFactor))</f>
        <v/>
      </c>
      <c r="W136" s="15" t="str">
        <f aca="false">IF(AG136=0,"",IF(NOT(LH_Ready),"",IF(BD136=0,0,INDEX(INDEX(LH_Data,0,LH_ColClose),BD136-1)*UnitFactor)))</f>
        <v/>
      </c>
      <c r="X136" s="15" t="str">
        <f aca="false">IF(AG136=0,"",(AZ136-BA136)*HoursPerDay)</f>
        <v/>
      </c>
      <c r="Y136" s="15" t="str">
        <f aca="false">IF(AG136=0,"",IF(NOT(LH_Ready),"",IF(BC136=0,N136,IF(PFYDate&lt;$F136,N136-N(T136)-N(U136),X136-N(U136)))))</f>
        <v/>
      </c>
      <c r="Z136" s="14" t="str">
        <f aca="false">IF(OR(AG136=0,Y136=""),"",IF(Y136&gt;0,"Yes","No"))</f>
        <v/>
      </c>
      <c r="AA136" s="14" t="str">
        <f aca="false">IF(AG136=0,IF(LEN($A136&amp;$B136)=0,"","FIX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month")&amp;IF(BC136=0,";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EH)",""),IF(AS136="None",R136,"Not yet - first day on "&amp;TEXT(S136,"dd/mm/yyyy")))))))))</f>
        <v/>
      </c>
      <c r="AB136" s="15" t="str">
        <f aca="false">IF(OR(AG136=0,T136=""),"",BA136*HoursPerDay-T136)</f>
        <v/>
      </c>
      <c r="AC136" s="14" t="str">
        <f aca="false">IF(AG136=0,"",BC136)</f>
        <v/>
      </c>
      <c r="AD136" s="14" t="str">
        <f aca="false">IF(AG136=0,"",TRIM(IF(OR(ISTEXT($F136),ISTEXT($H136),ISTEXT($I136),ISTEXT($G136),ISTEXT($J136),ISTEXT($D136)),"A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I136&gt;=1,IF(AI136&gt;=3,AO136,IF(AI136=2,AN136,AM136))&lt;&gt;IF($C136="","",IF(OR(ISNUMBER(SEARCH("full",$C136)),UPPER(TRIM($C136))="FT",UPPER(TRIM($C136))="FTE"),"Full-Time",IF(OR(ISNUMBER(SEARCH("part",$C136)),UPPER(TRIM($C136))="PT",UPPER(TRIM($C136))="PTE"),"Part-Time",IF(OR(ISNUMBER(SEARCH("cas",$C136)),UPPER(TRIM($C136))="CAS"),"Casual","Unknown"))))),"EmploymentType does not match latest start date ("&amp;IF(AI136&gt;=3,AO136,IF(AI136=2,AN136,AM136))&amp;"). ","")&amp;IF(AND(AI136&gt;=1,AJ136&lt;&gt;$F136),"Earliest type date should equal StartDate. ","")&amp;IF(AND(AI136&gt;=2,AJ136=AK136),"Two types start on the same date. ","")&amp;IF(AND(OR(ISNUMBER(SEARCH("part",$C136)),UPPER(TRIM($C136))="PT",UPPER(TRIM($C136))="PTE"),$P136=""),"Part-time: enter PT Hrs/Week (blank = 24+). ","")))</f>
        <v/>
      </c>
      <c r="AE136" s="15" t="str">
        <f aca="false">IF(AG136=0,"",O136-BH136)</f>
        <v/>
      </c>
      <c r="AF136" s="12" t="str">
        <f aca="false">IF(OR(AG136=0,AE136="",N(AE136)=0,BI136=""),"",EDATE(AH136,BI136))</f>
        <v/>
      </c>
      <c r="AG136" s="14" t="n">
        <f aca="false">IF(OR(LEN($A136&amp;$B136)=0,$F136=""),0,1)</f>
        <v>0</v>
      </c>
      <c r="AH136" s="12" t="str">
        <f aca="false">IF(AG136=0,"",IF($J136&lt;&gt;"",$J136,IF(OR(CasualCounts="Yes",COUNT($G136:$I136)=0,COUNT($H136:$I136)=0),$F136,MIN($H136:$I136))))</f>
        <v/>
      </c>
      <c r="AI136" s="14" t="str">
        <f aca="false">IF(AG136=0,"",COUNT($G136:$I136))</f>
        <v/>
      </c>
      <c r="AJ136" s="12" t="str">
        <f aca="false">IF(AG136=0,"",IFERROR(SMALL($G136:$I136,1),""))</f>
        <v/>
      </c>
      <c r="AK136" s="12" t="str">
        <f aca="false">IF(AG136=0,"",IFERROR(SMALL($G136:$I136,2),""))</f>
        <v/>
      </c>
      <c r="AL136" s="12" t="str">
        <f aca="false">IF(AG136=0,"",IFERROR(SMALL($G136:$I136,3),""))</f>
        <v/>
      </c>
      <c r="AM136" s="14" t="str">
        <f aca="false">IF(AG136=0,"",IF(AJ136="","",IF(AJ136=$H136,"Part-Time",IF(AJ136=$I136,"Full-Time","Casual"))))</f>
        <v/>
      </c>
      <c r="AN136" s="14" t="str">
        <f aca="false">IF(AG136=0,"",IF(AK136="","",IF(AK136=$H136,"Part-Time",IF(AK136=$I136,"Full-Time","Casual"))))</f>
        <v/>
      </c>
      <c r="AO136" s="14" t="str">
        <f aca="false">IF(AG136=0,"",IF(AL136="","",IF(AL136=$H136,"Part-Time",IF(AL136=$I136,"Full-Time","Casual"))))</f>
        <v/>
      </c>
      <c r="AP136" s="14" t="str">
        <f aca="false">IF(AG136=0,"",IF(AI136=0,IF(OR(ISNUMBER(SEARCH("full",$C136)),UPPER(TRIM($C136))="FT",UPPER(TRIM($C136))="FTE"),"FT",IF(AND(OR(ISNUMBER(SEARCH("part",$C136)),UPPER(TRIM($C136))="PT",UPPER(TRIM($C136))="PTE"),OR($P136="",N($P136)&gt;=PT_MinHours)),"PT","None")),IF(OR(ISNUMBER(SEARCH("full",AM136)),UPPER(TRIM(AM136))="FT",UPPER(TRIM(AM136))="FTE"),"FT",IF(AND(OR(ISNUMBER(SEARCH("part",AM136)),UPPER(TRIM(AM136))="PT",UPPER(TRIM(AM136))="PTE"),OR($P136="",N($P136)&gt;=PT_MinHours)),"PT","None"))))</f>
        <v/>
      </c>
      <c r="AQ136" s="14" t="str">
        <f aca="false">IF(AG136=0,"",IF(AI136&lt;2,"",IF(OR(ISNUMBER(SEARCH("full",AN136)),UPPER(TRIM(AN136))="FT",UPPER(TRIM(AN136))="FTE"),"FT",IF(AND(OR(ISNUMBER(SEARCH("part",AN136)),UPPER(TRIM(AN136))="PT",UPPER(TRIM(AN136))="PTE"),OR($P136="",N($P136)&gt;=PT_MinHours)),"PT","None"))))</f>
        <v/>
      </c>
      <c r="AR136" s="14" t="str">
        <f aca="false">IF(AG136=0,"",IF(AI136&lt;3,"",IF(OR(ISNUMBER(SEARCH("full",AO136)),UPPER(TRIM(AO136))="FT",UPPER(TRIM(AO136))="FTE"),"FT",IF(AND(OR(ISNUMBER(SEARCH("part",AO136)),UPPER(TRIM(AO136))="PT",UPPER(TRIM(AO136))="PTE"),OR($P136="",N($P136)&gt;=PT_MinHours)),"PT","None"))))</f>
        <v/>
      </c>
      <c r="AS136" s="14" t="str">
        <f aca="false">IF(AG136=0,"",IF(AND(AI136&gt;=3,AL136&lt;=AsOfDate),AR136,IF(AND(AI136&gt;=2,AK136&lt;=AsOfDate),AQ136,AP136)))</f>
        <v/>
      </c>
      <c r="AT136" s="14" t="str">
        <f aca="false">IF(AG136=0,"",IF(AsOfDate&lt;AH136,-1,12*(YEAR(AsOfDate)-YEAR(AH136))+MONTH(AsOfDate)-MONTH(AH136)-IF(DAY(AsOfDate)&lt;MIN(DAY(AH136),DAY(EOMONTH(AsOfDate,0))),1,0)))</f>
        <v/>
      </c>
      <c r="AU136" s="14" t="str">
        <f aca="false">IF(AG136=0,"",IF(OR(AI136&lt;2,AK136&gt;AsOfDate),AT136,IF((AK136-1)&lt;AH136,-1,12*(YEAR((AK136-1))-YEAR(AH136))+MONTH((AK136-1))-MONTH(AH136)-IF(DAY((AK136-1))&lt;MIN(DAY(AH136),DAY(EOMONTH((AK136-1),0))),1,0))))</f>
        <v/>
      </c>
      <c r="AV136" s="14" t="str">
        <f aca="false">IF(AG136=0,"",IF(OR(AI136&lt;3,AL136&gt;AsOfDate),AT136,IF((AL136-1)&lt;AH136,-1,12*(YEAR((AL136-1))-YEAR(AH136))+MONTH((AL136-1))-MONTH(AH136)-IF(DAY((AL136-1))&lt;MIN(DAY(AH136),DAY(EOMONTH((AL136-1),0))),1,0))))</f>
        <v/>
      </c>
      <c r="AW136" s="14" t="str">
        <f aca="false">IF(AG136=0,"",IF(PFYDate&lt;AH136,-1,12*(YEAR(PFYDate)-YEAR(AH136))+MONTH(PFYDate)-MONTH(AH136)-IF(DAY(PFYDate)&lt;MIN(DAY(AH136),DAY(EOMONTH(PFYDate,0))),1,0)))</f>
        <v/>
      </c>
      <c r="AX136" s="14" t="str">
        <f aca="false">IF(AG136=0,"",IF(OR(AI136&lt;2,AK136&gt;PFYDate),AW136,IF((AK136-1)&lt;AH136,-1,12*(YEAR((AK136-1))-YEAR(AH136))+MONTH((AK136-1))-MONTH(AH136)-IF(DAY((AK136-1))&lt;MIN(DAY(AH136),DAY(EOMONTH((AK136-1),0))),1,0))))</f>
        <v/>
      </c>
      <c r="AY136" s="14" t="str">
        <f aca="false">IF(AG136=0,"",IF(OR(AI136&lt;3,AL136&gt;PFYDate),AW136,IF((AL136-1)&lt;AH136,-1,12*(YEAR((AL136-1))-YEAR(AH136))+MONTH((AL136-1))-MONTH(AH136)-IF(DAY((AL136-1))&lt;MIN(DAY(AH136),DAY(EOMONTH((AL136-1),0))),1,0))))</f>
        <v/>
      </c>
      <c r="AZ136" s="14" t="str">
        <f aca="false">IF(AG136=0,"",IF(AP136="FT",IF(AU136&lt;FT_First,0,IF(AU136&lt;FT_Y5,1+INT((AU136-FT_First)/FT_Int1),FT_PreY5+FT_PerYear*INT((AU136-FT_Y5)/12)+FT_AnnivDays+INT(MOD(AU136-FT_Y5,12)/FT_Int2))),IF(AP136="PT",IF(AU136&lt;PT_First,0,1+INT((AU136-PT_First)/PT_Int)),0))+IF(AND(AI136&gt;=2,AK136&lt;=AsOfDate),IF(AQ136="FT",IF(AV136&lt;FT_First,0,IF(AV136&lt;FT_Y5,1+INT((AV136-FT_First)/FT_Int1),FT_PreY5+FT_PerYear*INT((AV136-FT_Y5)/12)+FT_AnnivDays+INT(MOD(AV136-FT_Y5,12)/FT_Int2))),IF(AQ136="PT",IF(AV136&lt;PT_First,0,1+INT((AV136-PT_First)/PT_Int)),0))-IF(AQ136="FT",IF(AU136&lt;FT_First,0,IF(AU136&lt;FT_Y5,1+INT((AU136-FT_First)/FT_Int1),FT_PreY5+FT_PerYear*INT((AU136-FT_Y5)/12)+FT_AnnivDays+INT(MOD(AU136-FT_Y5,12)/FT_Int2))),IF(AQ136="PT",IF(AU136&lt;PT_First,0,1+INT((AU136-PT_First)/PT_Int)),0)),0)+IF(AND(AI136&gt;=3,AL136&lt;=AsOfDate),IF(AR136="FT",IF(AT136&lt;FT_First,0,IF(AT136&lt;FT_Y5,1+INT((AT136-FT_First)/FT_Int1),FT_PreY5+FT_PerYear*INT((AT136-FT_Y5)/12)+FT_AnnivDays+INT(MOD(AT136-FT_Y5,12)/FT_Int2))),IF(AR136="PT",IF(AT136&lt;PT_First,0,1+INT((AT136-PT_First)/PT_Int)),0))-IF(AR136="FT",IF(AV136&lt;FT_First,0,IF(AV136&lt;FT_Y5,1+INT((AV136-FT_First)/FT_Int1),FT_PreY5+FT_PerYear*INT((AV136-FT_Y5)/12)+FT_AnnivDays+INT(MOD(AV136-FT_Y5,12)/FT_Int2))),IF(AR136="PT",IF(AV136&lt;PT_First,0,1+INT((AV136-PT_First)/PT_Int)),0)),0))</f>
        <v/>
      </c>
      <c r="BA136" s="14" t="str">
        <f aca="false">IF(AG136=0,"",IF(AP136="FT",IF(AX136&lt;FT_First,0,IF(AX136&lt;FT_Y5,1+INT((AX136-FT_First)/FT_Int1),FT_PreY5+FT_PerYear*INT((AX136-FT_Y5)/12)+FT_AnnivDays+INT(MOD(AX136-FT_Y5,12)/FT_Int2))),IF(AP136="PT",IF(AX136&lt;PT_First,0,1+INT((AX136-PT_First)/PT_Int)),0))+IF(AND(AI136&gt;=2,AK136&lt;=PFYDate),IF(AQ136="FT",IF(AY136&lt;FT_First,0,IF(AY136&lt;FT_Y5,1+INT((AY136-FT_First)/FT_Int1),FT_PreY5+FT_PerYear*INT((AY136-FT_Y5)/12)+FT_AnnivDays+INT(MOD(AY136-FT_Y5,12)/FT_Int2))),IF(AQ136="PT",IF(AY136&lt;PT_First,0,1+INT((AY136-PT_First)/PT_Int)),0))-IF(AQ136="FT",IF(AX136&lt;FT_First,0,IF(AX136&lt;FT_Y5,1+INT((AX136-FT_First)/FT_Int1),FT_PreY5+FT_PerYear*INT((AX136-FT_Y5)/12)+FT_AnnivDays+INT(MOD(AX136-FT_Y5,12)/FT_Int2))),IF(AQ136="PT",IF(AX136&lt;PT_First,0,1+INT((AX136-PT_First)/PT_Int)),0)),0)+IF(AND(AI136&gt;=3,AL136&lt;=PFYDate),IF(AR136="FT",IF(AW136&lt;FT_First,0,IF(AW136&lt;FT_Y5,1+INT((AW136-FT_First)/FT_Int1),FT_PreY5+FT_PerYear*INT((AW136-FT_Y5)/12)+FT_AnnivDays+INT(MOD(AW136-FT_Y5,12)/FT_Int2))),IF(AR136="PT",IF(AW136&lt;PT_First,0,1+INT((AW136-PT_First)/PT_Int)),0))-IF(AR136="FT",IF(AY136&lt;FT_First,0,IF(AY136&lt;FT_Y5,1+INT((AY136-FT_First)/FT_Int1),FT_PreY5+FT_PerYear*INT((AY136-FT_Y5)/12)+FT_AnnivDays+INT(MOD(AY136-FT_Y5,12)/FT_Int2))),IF(AR136="PT",IF(AY136&lt;PT_First,0,1+INT((AY136-PT_First)/PT_Int)),0)),0))</f>
        <v/>
      </c>
      <c r="BB136" s="14" t="str">
        <f aca="false">IF(AG136=0,"",IF(AS136="FT",IF(AT136&lt;FT_First,FT_First,IF(AT136&lt;FT_Y5,MIN(FT_Y5,FT_First+FT_Int1*(INT((AT136-FT_First)/FT_Int1)+1)),FT_Y5+12*INT((AT136-FT_Y5)/12)+FT_Int2*(INT(MOD(AT136-FT_Y5,12)/FT_Int2)+1))),IF(AS136="PT",IF(AT136&lt;PT_First,PT_First,PT_First+PT_Int*(INT((AT136-PT_First)/PT_Int)+1)),"")))</f>
        <v/>
      </c>
      <c r="BC136" s="14" t="str">
        <f aca="false">IF(AG136=0,"",IF(NOT(LH_Ready),0,COUNTIFS(INDEX(LH_Data,0,LH_ColFirst),$A136,INDEX(LH_Data,0,LH_ColSur),$B136,INDEX(LH_Data,0,LH_ColCat),BonusCat)))</f>
        <v/>
      </c>
      <c r="BD136" s="14" t="str">
        <f aca="false">IF(AG136=0,"",IF(OR(NOT(LH_Ready),BC136=0),0,SUMPRODUCT(MAX((INDEX(LH_Data,0,LH_ColFirst)=$A136)*(INDEX(LH_Data,0,LH_ColSur)=$B136)*(INDEX(LH_Data,0,LH_ColCat)=BonusCat)*ROW(LH_Data)))))</f>
        <v/>
      </c>
      <c r="BE136" s="14" t="str">
        <f aca="false">IF(AG136=0,"",IF(EOMONTH(AsOfDate,-1)&lt;AH136,-1,12*(YEAR(EOMONTH(AsOfDate,-1))-YEAR(AH136))+MONTH(EOMONTH(AsOfDate,-1))-MONTH(AH136)-IF(DAY(EOMONTH(AsOfDate,-1))&lt;MIN(DAY(AH136),DAY(EOMONTH(EOMONTH(AsOfDate,-1),0))),1,0)))</f>
        <v/>
      </c>
      <c r="BF136" s="14" t="str">
        <f aca="false">IF(AG136=0,"",IF(OR(AI136&lt;2,AK136&gt;EOMONTH(AsOfDate,-1)),BE136,IF((AK136-1)&lt;AH136,-1,12*(YEAR((AK136-1))-YEAR(AH136))+MONTH((AK136-1))-MONTH(AH136)-IF(DAY((AK136-1))&lt;MIN(DAY(AH136),DAY(EOMONTH((AK136-1),0))),1,0))))</f>
        <v/>
      </c>
      <c r="BG136" s="14" t="str">
        <f aca="false">IF(AG136=0,"",IF(OR(AI136&lt;3,AL136&gt;EOMONTH(AsOfDate,-1)),BE136,IF((AL136-1)&lt;AH136,-1,12*(YEAR((AL136-1))-YEAR(AH136))+MONTH((AL136-1))-MONTH(AH136)-IF(DAY((AL136-1))&lt;MIN(DAY(AH136),DAY(EOMONTH((AL136-1),0))),1,0))))</f>
        <v/>
      </c>
      <c r="BH136" s="14" t="str">
        <f aca="false">IF(AG136=0,"",IF(AP136="FT",IF(BF136&lt;FT_First,0,IF(BF136&lt;FT_Y5,1+INT((BF136-FT_First)/FT_Int1),FT_PreY5+FT_PerYear*INT((BF136-FT_Y5)/12)+FT_AnnivDays+INT(MOD(BF136-FT_Y5,12)/FT_Int2))),IF(AP136="PT",IF(BF136&lt;PT_First,0,1+INT((BF136-PT_First)/PT_Int)),0))+IF(AND(AI136&gt;=2,AK136&lt;=EOMONTH(AsOfDate,-1)),IF(AQ136="FT",IF(BG136&lt;FT_First,0,IF(BG136&lt;FT_Y5,1+INT((BG136-FT_First)/FT_Int1),FT_PreY5+FT_PerYear*INT((BG136-FT_Y5)/12)+FT_AnnivDays+INT(MOD(BG136-FT_Y5,12)/FT_Int2))),IF(AQ136="PT",IF(BG136&lt;PT_First,0,1+INT((BG136-PT_First)/PT_Int)),0))-IF(AQ136="FT",IF(BF136&lt;FT_First,0,IF(BF136&lt;FT_Y5,1+INT((BF136-FT_First)/FT_Int1),FT_PreY5+FT_PerYear*INT((BF136-FT_Y5)/12)+FT_AnnivDays+INT(MOD(BF136-FT_Y5,12)/FT_Int2))),IF(AQ136="PT",IF(BF136&lt;PT_First,0,1+INT((BF136-PT_First)/PT_Int)),0)),0)+IF(AND(AI136&gt;=3,AL136&lt;=EOMONTH(AsOfDate,-1)),IF(AR136="FT",IF(BE136&lt;FT_First,0,IF(BE136&lt;FT_Y5,1+INT((BE136-FT_First)/FT_Int1),FT_PreY5+FT_PerYear*INT((BE136-FT_Y5)/12)+FT_AnnivDays+INT(MOD(BE136-FT_Y5,12)/FT_Int2))),IF(AR136="PT",IF(BE136&lt;PT_First,0,1+INT((BE136-PT_First)/PT_Int)),0))-IF(AR136="FT",IF(BG136&lt;FT_First,0,IF(BG136&lt;FT_Y5,1+INT((BG136-FT_First)/FT_Int1),FT_PreY5+FT_PerYear*INT((BG136-FT_Y5)/12)+FT_AnnivDays+INT(MOD(BG136-FT_Y5,12)/FT_Int2))),IF(AR136="PT",IF(BG136&lt;PT_First,0,1+INT((BG136-PT_First)/PT_Int)),0)),0))</f>
        <v/>
      </c>
      <c r="BI136" s="14" t="str">
        <f aca="false">IF(AG136=0,"",IF(AS136="FT",IF(AT136&lt;FT_First,"",IF(AT136&lt;FT_Y5,FT_First+FT_Int1*INT((AT136-FT_First)/FT_Int1),FT_Y5+FT_Int2*INT((AT136-FT_Y5)/FT_Int2))),IF(AS136="PT",IF(AT136&lt;PT_First,"",PT_First+PT_Int*INT((AT136-PT_First)/PT_Int)),"")))</f>
        <v/>
      </c>
      <c r="BJ136" s="0" t="str">
        <f aca="false">IF(LEN($A136&amp;$B136)=0,"",$A136&amp;" "&amp;$B136)</f>
        <v/>
      </c>
    </row>
    <row r="137" customFormat="false" ht="15" hidden="false" customHeight="false" outlineLevel="0" collapsed="false">
      <c r="A137" s="10"/>
      <c r="B137" s="10"/>
      <c r="C137" s="10"/>
      <c r="D137" s="11"/>
      <c r="E137" s="12" t="str">
        <f aca="false">IF(OR(AG137=0,$D137=""),"",DATE(YEAR(AsOfDate)+IF(DATE(YEAR(AsOfDate),MONTH($D137),DAY($D137))&lt;=AsOfDate,1,0),MONTH($D137),DAY($D137)))</f>
        <v/>
      </c>
      <c r="F137" s="11"/>
      <c r="G137" s="11"/>
      <c r="H137" s="11"/>
      <c r="I137" s="11"/>
      <c r="J137" s="11"/>
      <c r="K137" s="12" t="str">
        <f aca="false">IF(AG137=0,"",DATE(YEAR(AsOfDate)+IF(DATE(YEAR(AsOfDate),MONTH(AH137),DAY(AH137))&lt;=AsOfDate,1,0),MONTH(AH137),DAY(AH137)))</f>
        <v/>
      </c>
      <c r="L137" s="13" t="str">
        <f aca="false">IF(AG137=0,"",ROUND((AsOfDate-AH137)/365.25,1))</f>
        <v/>
      </c>
      <c r="M137" s="14" t="str">
        <f aca="false">IF(AG137=0,"",IF(AsOfDate&lt;AH137,"-",DATEDIF(AH137,AsOfDate,"y")&amp;"y "&amp;DATEDIF(AH137,AsOfDate,"ym")&amp;"m "&amp;DATEDIF(AH137,AsOfDate,"md")&amp;"d"))</f>
        <v/>
      </c>
      <c r="N137" s="15" t="str">
        <f aca="false">IF(AG137=0,"",O137*HoursPerDay)</f>
        <v/>
      </c>
      <c r="O137" s="15" t="str">
        <f aca="false">IF(AG137=0,"",AZ137)</f>
        <v/>
      </c>
      <c r="P137" s="16"/>
      <c r="Q137" s="14" t="str">
        <f aca="false">IF(AG137=0,"",IF(AI137&lt;2,"",AM137&amp;" to "&amp;AN137&amp;" on "&amp;TEXT(AK137,"dd/mm/yyyy")&amp;IF(AK137&gt;AsOfDate," (future)",IF(AP137=AQ137,"",IF(AQ137="None"," - STOPPED accruing",IF(AP137="None"," - commencement for Bonus Leave"," - pathway changed"))))&amp;IF(AI137&lt;3,"","; "&amp;AN137&amp;" to "&amp;AO137&amp;" on "&amp;TEXT(AL137,"dd/mm/yyyy")&amp;IF(AL137&gt;AsOfDate," (future)",IF(AQ137=AR137,"",IF(AR137="None"," - STOPPED accruing",IF(AQ137="None"," - commencement for Bonus Leave"," - pathway changed")))))))</f>
        <v/>
      </c>
      <c r="R137" s="14" t="str">
        <f aca="false">IF(AG137=0,"",IF(AS137="None",IF(O137&gt;0,"No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2" t="str">
        <f aca="false">IF(AG137=0,"",IF(AS137="None","",EDATE(AH137,BB137)))</f>
        <v/>
      </c>
      <c r="T137" s="15" t="str">
        <f aca="false">IF(AG137=0,"",IF(NOT(LH_Ready),"",IF(AH137&gt;PFYDate,0,IF(LH_ColPeriod=0,W137-U137+V137,SUMIFS(INDEX(LH_Data,0,LH_ColAcc),INDEX(LH_Data,0,LH_ColFirst),$A137,INDEX(LH_Data,0,LH_ColSur),$B137,INDEX(LH_Data,0,LH_ColCat),BonusCat,INDEX(LH_Data,0,LH_ColPeriod),LH_OpenLabel)*UnitFactor))))</f>
        <v/>
      </c>
      <c r="U137" s="15" t="str">
        <f aca="false">IF(AG137=0,"",IF(NOT(LH_Ready),"",SUMIFS(INDEX(LH_Data,0,LH_ColAcc),INDEX(LH_Data,0,LH_ColFirst),$A137,INDEX(LH_Data,0,LH_ColSur),$B137,INDEX(LH_Data,0,LH_ColCat),BonusCat,INDEX(LH_Data,0,LH_ColStart),"&gt;="&amp;AH137)*UnitFactor))</f>
        <v/>
      </c>
      <c r="V137" s="15" t="str">
        <f aca="false">IF(AG137=0,"",IF(NOT(LH_Ready),"",SUMIFS(INDEX(LH_Data,0,LH_ColTaken),INDEX(LH_Data,0,LH_ColFirst),$A137,INDEX(LH_Data,0,LH_ColSur),$B137,INDEX(LH_Data,0,LH_ColCat),BonusCat,INDEX(LH_Data,0,LH_ColStart),"&gt;="&amp;AH137)*UnitFactor))</f>
        <v/>
      </c>
      <c r="W137" s="15" t="str">
        <f aca="false">IF(AG137=0,"",IF(NOT(LH_Ready),"",IF(BD137=0,0,INDEX(INDEX(LH_Data,0,LH_ColClose),BD137-1)*UnitFactor)))</f>
        <v/>
      </c>
      <c r="X137" s="15" t="str">
        <f aca="false">IF(AG137=0,"",(AZ137-BA137)*HoursPerDay)</f>
        <v/>
      </c>
      <c r="Y137" s="15" t="str">
        <f aca="false">IF(AG137=0,"",IF(NOT(LH_Ready),"",IF(BC137=0,N137,IF(PFYDate&lt;$F137,N137-N(T137)-N(U137),X137-N(U137)))))</f>
        <v/>
      </c>
      <c r="Z137" s="14" t="str">
        <f aca="false">IF(OR(AG137=0,Y137=""),"",IF(Y137&gt;0,"Yes","No"))</f>
        <v/>
      </c>
      <c r="AA137" s="14" t="str">
        <f aca="false">IF(AG137=0,IF(LEN($A137&amp;$B137)=0,"","FIX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month")&amp;IF(BC137=0,";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EH)",""),IF(AS137="None",R137,"Not yet - first day on "&amp;TEXT(S137,"dd/mm/yyyy")))))))))</f>
        <v/>
      </c>
      <c r="AB137" s="15" t="str">
        <f aca="false">IF(OR(AG137=0,T137=""),"",BA137*HoursPerDay-T137)</f>
        <v/>
      </c>
      <c r="AC137" s="14" t="str">
        <f aca="false">IF(AG137=0,"",BC137)</f>
        <v/>
      </c>
      <c r="AD137" s="14" t="str">
        <f aca="false">IF(AG137=0,"",TRIM(IF(OR(ISTEXT($F137),ISTEXT($H137),ISTEXT($I137),ISTEXT($G137),ISTEXT($J137),ISTEXT($D137)),"A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I137&gt;=1,IF(AI137&gt;=3,AO137,IF(AI137=2,AN137,AM137))&lt;&gt;IF($C137="","",IF(OR(ISNUMBER(SEARCH("full",$C137)),UPPER(TRIM($C137))="FT",UPPER(TRIM($C137))="FTE"),"Full-Time",IF(OR(ISNUMBER(SEARCH("part",$C137)),UPPER(TRIM($C137))="PT",UPPER(TRIM($C137))="PTE"),"Part-Time",IF(OR(ISNUMBER(SEARCH("cas",$C137)),UPPER(TRIM($C137))="CAS"),"Casual","Unknown"))))),"EmploymentType does not match latest start date ("&amp;IF(AI137&gt;=3,AO137,IF(AI137=2,AN137,AM137))&amp;"). ","")&amp;IF(AND(AI137&gt;=1,AJ137&lt;&gt;$F137),"Earliest type date should equal StartDate. ","")&amp;IF(AND(AI137&gt;=2,AJ137=AK137),"Two types start on the same date. ","")&amp;IF(AND(OR(ISNUMBER(SEARCH("part",$C137)),UPPER(TRIM($C137))="PT",UPPER(TRIM($C137))="PTE"),$P137=""),"Part-time: enter PT Hrs/Week (blank = 24+). ","")))</f>
        <v/>
      </c>
      <c r="AE137" s="15" t="str">
        <f aca="false">IF(AG137=0,"",O137-BH137)</f>
        <v/>
      </c>
      <c r="AF137" s="12" t="str">
        <f aca="false">IF(OR(AG137=0,AE137="",N(AE137)=0,BI137=""),"",EDATE(AH137,BI137))</f>
        <v/>
      </c>
      <c r="AG137" s="14" t="n">
        <f aca="false">IF(OR(LEN($A137&amp;$B137)=0,$F137=""),0,1)</f>
        <v>0</v>
      </c>
      <c r="AH137" s="12" t="str">
        <f aca="false">IF(AG137=0,"",IF($J137&lt;&gt;"",$J137,IF(OR(CasualCounts="Yes",COUNT($G137:$I137)=0,COUNT($H137:$I137)=0),$F137,MIN($H137:$I137))))</f>
        <v/>
      </c>
      <c r="AI137" s="14" t="str">
        <f aca="false">IF(AG137=0,"",COUNT($G137:$I137))</f>
        <v/>
      </c>
      <c r="AJ137" s="12" t="str">
        <f aca="false">IF(AG137=0,"",IFERROR(SMALL($G137:$I137,1),""))</f>
        <v/>
      </c>
      <c r="AK137" s="12" t="str">
        <f aca="false">IF(AG137=0,"",IFERROR(SMALL($G137:$I137,2),""))</f>
        <v/>
      </c>
      <c r="AL137" s="12" t="str">
        <f aca="false">IF(AG137=0,"",IFERROR(SMALL($G137:$I137,3),""))</f>
        <v/>
      </c>
      <c r="AM137" s="14" t="str">
        <f aca="false">IF(AG137=0,"",IF(AJ137="","",IF(AJ137=$H137,"Part-Time",IF(AJ137=$I137,"Full-Time","Casual"))))</f>
        <v/>
      </c>
      <c r="AN137" s="14" t="str">
        <f aca="false">IF(AG137=0,"",IF(AK137="","",IF(AK137=$H137,"Part-Time",IF(AK137=$I137,"Full-Time","Casual"))))</f>
        <v/>
      </c>
      <c r="AO137" s="14" t="str">
        <f aca="false">IF(AG137=0,"",IF(AL137="","",IF(AL137=$H137,"Part-Time",IF(AL137=$I137,"Full-Time","Casual"))))</f>
        <v/>
      </c>
      <c r="AP137" s="14" t="str">
        <f aca="false">IF(AG137=0,"",IF(AI137=0,IF(OR(ISNUMBER(SEARCH("full",$C137)),UPPER(TRIM($C137))="FT",UPPER(TRIM($C137))="FTE"),"FT",IF(AND(OR(ISNUMBER(SEARCH("part",$C137)),UPPER(TRIM($C137))="PT",UPPER(TRIM($C137))="PTE"),OR($P137="",N($P137)&gt;=PT_MinHours)),"PT","None")),IF(OR(ISNUMBER(SEARCH("full",AM137)),UPPER(TRIM(AM137))="FT",UPPER(TRIM(AM137))="FTE"),"FT",IF(AND(OR(ISNUMBER(SEARCH("part",AM137)),UPPER(TRIM(AM137))="PT",UPPER(TRIM(AM137))="PTE"),OR($P137="",N($P137)&gt;=PT_MinHours)),"PT","None"))))</f>
        <v/>
      </c>
      <c r="AQ137" s="14" t="str">
        <f aca="false">IF(AG137=0,"",IF(AI137&lt;2,"",IF(OR(ISNUMBER(SEARCH("full",AN137)),UPPER(TRIM(AN137))="FT",UPPER(TRIM(AN137))="FTE"),"FT",IF(AND(OR(ISNUMBER(SEARCH("part",AN137)),UPPER(TRIM(AN137))="PT",UPPER(TRIM(AN137))="PTE"),OR($P137="",N($P137)&gt;=PT_MinHours)),"PT","None"))))</f>
        <v/>
      </c>
      <c r="AR137" s="14" t="str">
        <f aca="false">IF(AG137=0,"",IF(AI137&lt;3,"",IF(OR(ISNUMBER(SEARCH("full",AO137)),UPPER(TRIM(AO137))="FT",UPPER(TRIM(AO137))="FTE"),"FT",IF(AND(OR(ISNUMBER(SEARCH("part",AO137)),UPPER(TRIM(AO137))="PT",UPPER(TRIM(AO137))="PTE"),OR($P137="",N($P137)&gt;=PT_MinHours)),"PT","None"))))</f>
        <v/>
      </c>
      <c r="AS137" s="14" t="str">
        <f aca="false">IF(AG137=0,"",IF(AND(AI137&gt;=3,AL137&lt;=AsOfDate),AR137,IF(AND(AI137&gt;=2,AK137&lt;=AsOfDate),AQ137,AP137)))</f>
        <v/>
      </c>
      <c r="AT137" s="14" t="str">
        <f aca="false">IF(AG137=0,"",IF(AsOfDate&lt;AH137,-1,12*(YEAR(AsOfDate)-YEAR(AH137))+MONTH(AsOfDate)-MONTH(AH137)-IF(DAY(AsOfDate)&lt;MIN(DAY(AH137),DAY(EOMONTH(AsOfDate,0))),1,0)))</f>
        <v/>
      </c>
      <c r="AU137" s="14" t="str">
        <f aca="false">IF(AG137=0,"",IF(OR(AI137&lt;2,AK137&gt;AsOfDate),AT137,IF((AK137-1)&lt;AH137,-1,12*(YEAR((AK137-1))-YEAR(AH137))+MONTH((AK137-1))-MONTH(AH137)-IF(DAY((AK137-1))&lt;MIN(DAY(AH137),DAY(EOMONTH((AK137-1),0))),1,0))))</f>
        <v/>
      </c>
      <c r="AV137" s="14" t="str">
        <f aca="false">IF(AG137=0,"",IF(OR(AI137&lt;3,AL137&gt;AsOfDate),AT137,IF((AL137-1)&lt;AH137,-1,12*(YEAR((AL137-1))-YEAR(AH137))+MONTH((AL137-1))-MONTH(AH137)-IF(DAY((AL137-1))&lt;MIN(DAY(AH137),DAY(EOMONTH((AL137-1),0))),1,0))))</f>
        <v/>
      </c>
      <c r="AW137" s="14" t="str">
        <f aca="false">IF(AG137=0,"",IF(PFYDate&lt;AH137,-1,12*(YEAR(PFYDate)-YEAR(AH137))+MONTH(PFYDate)-MONTH(AH137)-IF(DAY(PFYDate)&lt;MIN(DAY(AH137),DAY(EOMONTH(PFYDate,0))),1,0)))</f>
        <v/>
      </c>
      <c r="AX137" s="14" t="str">
        <f aca="false">IF(AG137=0,"",IF(OR(AI137&lt;2,AK137&gt;PFYDate),AW137,IF((AK137-1)&lt;AH137,-1,12*(YEAR((AK137-1))-YEAR(AH137))+MONTH((AK137-1))-MONTH(AH137)-IF(DAY((AK137-1))&lt;MIN(DAY(AH137),DAY(EOMONTH((AK137-1),0))),1,0))))</f>
        <v/>
      </c>
      <c r="AY137" s="14" t="str">
        <f aca="false">IF(AG137=0,"",IF(OR(AI137&lt;3,AL137&gt;PFYDate),AW137,IF((AL137-1)&lt;AH137,-1,12*(YEAR((AL137-1))-YEAR(AH137))+MONTH((AL137-1))-MONTH(AH137)-IF(DAY((AL137-1))&lt;MIN(DAY(AH137),DAY(EOMONTH((AL137-1),0))),1,0))))</f>
        <v/>
      </c>
      <c r="AZ137" s="14" t="str">
        <f aca="false">IF(AG137=0,"",IF(AP137="FT",IF(AU137&lt;FT_First,0,IF(AU137&lt;FT_Y5,1+INT((AU137-FT_First)/FT_Int1),FT_PreY5+FT_PerYear*INT((AU137-FT_Y5)/12)+FT_AnnivDays+INT(MOD(AU137-FT_Y5,12)/FT_Int2))),IF(AP137="PT",IF(AU137&lt;PT_First,0,1+INT((AU137-PT_First)/PT_Int)),0))+IF(AND(AI137&gt;=2,AK137&lt;=AsOfDate),IF(AQ137="FT",IF(AV137&lt;FT_First,0,IF(AV137&lt;FT_Y5,1+INT((AV137-FT_First)/FT_Int1),FT_PreY5+FT_PerYear*INT((AV137-FT_Y5)/12)+FT_AnnivDays+INT(MOD(AV137-FT_Y5,12)/FT_Int2))),IF(AQ137="PT",IF(AV137&lt;PT_First,0,1+INT((AV137-PT_First)/PT_Int)),0))-IF(AQ137="FT",IF(AU137&lt;FT_First,0,IF(AU137&lt;FT_Y5,1+INT((AU137-FT_First)/FT_Int1),FT_PreY5+FT_PerYear*INT((AU137-FT_Y5)/12)+FT_AnnivDays+INT(MOD(AU137-FT_Y5,12)/FT_Int2))),IF(AQ137="PT",IF(AU137&lt;PT_First,0,1+INT((AU137-PT_First)/PT_Int)),0)),0)+IF(AND(AI137&gt;=3,AL137&lt;=AsOfDate),IF(AR137="FT",IF(AT137&lt;FT_First,0,IF(AT137&lt;FT_Y5,1+INT((AT137-FT_First)/FT_Int1),FT_PreY5+FT_PerYear*INT((AT137-FT_Y5)/12)+FT_AnnivDays+INT(MOD(AT137-FT_Y5,12)/FT_Int2))),IF(AR137="PT",IF(AT137&lt;PT_First,0,1+INT((AT137-PT_First)/PT_Int)),0))-IF(AR137="FT",IF(AV137&lt;FT_First,0,IF(AV137&lt;FT_Y5,1+INT((AV137-FT_First)/FT_Int1),FT_PreY5+FT_PerYear*INT((AV137-FT_Y5)/12)+FT_AnnivDays+INT(MOD(AV137-FT_Y5,12)/FT_Int2))),IF(AR137="PT",IF(AV137&lt;PT_First,0,1+INT((AV137-PT_First)/PT_Int)),0)),0))</f>
        <v/>
      </c>
      <c r="BA137" s="14" t="str">
        <f aca="false">IF(AG137=0,"",IF(AP137="FT",IF(AX137&lt;FT_First,0,IF(AX137&lt;FT_Y5,1+INT((AX137-FT_First)/FT_Int1),FT_PreY5+FT_PerYear*INT((AX137-FT_Y5)/12)+FT_AnnivDays+INT(MOD(AX137-FT_Y5,12)/FT_Int2))),IF(AP137="PT",IF(AX137&lt;PT_First,0,1+INT((AX137-PT_First)/PT_Int)),0))+IF(AND(AI137&gt;=2,AK137&lt;=PFYDate),IF(AQ137="FT",IF(AY137&lt;FT_First,0,IF(AY137&lt;FT_Y5,1+INT((AY137-FT_First)/FT_Int1),FT_PreY5+FT_PerYear*INT((AY137-FT_Y5)/12)+FT_AnnivDays+INT(MOD(AY137-FT_Y5,12)/FT_Int2))),IF(AQ137="PT",IF(AY137&lt;PT_First,0,1+INT((AY137-PT_First)/PT_Int)),0))-IF(AQ137="FT",IF(AX137&lt;FT_First,0,IF(AX137&lt;FT_Y5,1+INT((AX137-FT_First)/FT_Int1),FT_PreY5+FT_PerYear*INT((AX137-FT_Y5)/12)+FT_AnnivDays+INT(MOD(AX137-FT_Y5,12)/FT_Int2))),IF(AQ137="PT",IF(AX137&lt;PT_First,0,1+INT((AX137-PT_First)/PT_Int)),0)),0)+IF(AND(AI137&gt;=3,AL137&lt;=PFYDate),IF(AR137="FT",IF(AW137&lt;FT_First,0,IF(AW137&lt;FT_Y5,1+INT((AW137-FT_First)/FT_Int1),FT_PreY5+FT_PerYear*INT((AW137-FT_Y5)/12)+FT_AnnivDays+INT(MOD(AW137-FT_Y5,12)/FT_Int2))),IF(AR137="PT",IF(AW137&lt;PT_First,0,1+INT((AW137-PT_First)/PT_Int)),0))-IF(AR137="FT",IF(AY137&lt;FT_First,0,IF(AY137&lt;FT_Y5,1+INT((AY137-FT_First)/FT_Int1),FT_PreY5+FT_PerYear*INT((AY137-FT_Y5)/12)+FT_AnnivDays+INT(MOD(AY137-FT_Y5,12)/FT_Int2))),IF(AR137="PT",IF(AY137&lt;PT_First,0,1+INT((AY137-PT_First)/PT_Int)),0)),0))</f>
        <v/>
      </c>
      <c r="BB137" s="14" t="str">
        <f aca="false">IF(AG137=0,"",IF(AS137="FT",IF(AT137&lt;FT_First,FT_First,IF(AT137&lt;FT_Y5,MIN(FT_Y5,FT_First+FT_Int1*(INT((AT137-FT_First)/FT_Int1)+1)),FT_Y5+12*INT((AT137-FT_Y5)/12)+FT_Int2*(INT(MOD(AT137-FT_Y5,12)/FT_Int2)+1))),IF(AS137="PT",IF(AT137&lt;PT_First,PT_First,PT_First+PT_Int*(INT((AT137-PT_First)/PT_Int)+1)),"")))</f>
        <v/>
      </c>
      <c r="BC137" s="14" t="str">
        <f aca="false">IF(AG137=0,"",IF(NOT(LH_Ready),0,COUNTIFS(INDEX(LH_Data,0,LH_ColFirst),$A137,INDEX(LH_Data,0,LH_ColSur),$B137,INDEX(LH_Data,0,LH_ColCat),BonusCat)))</f>
        <v/>
      </c>
      <c r="BD137" s="14" t="str">
        <f aca="false">IF(AG137=0,"",IF(OR(NOT(LH_Ready),BC137=0),0,SUMPRODUCT(MAX((INDEX(LH_Data,0,LH_ColFirst)=$A137)*(INDEX(LH_Data,0,LH_ColSur)=$B137)*(INDEX(LH_Data,0,LH_ColCat)=BonusCat)*ROW(LH_Data)))))</f>
        <v/>
      </c>
      <c r="BE137" s="14" t="str">
        <f aca="false">IF(AG137=0,"",IF(EOMONTH(AsOfDate,-1)&lt;AH137,-1,12*(YEAR(EOMONTH(AsOfDate,-1))-YEAR(AH137))+MONTH(EOMONTH(AsOfDate,-1))-MONTH(AH137)-IF(DAY(EOMONTH(AsOfDate,-1))&lt;MIN(DAY(AH137),DAY(EOMONTH(EOMONTH(AsOfDate,-1),0))),1,0)))</f>
        <v/>
      </c>
      <c r="BF137" s="14" t="str">
        <f aca="false">IF(AG137=0,"",IF(OR(AI137&lt;2,AK137&gt;EOMONTH(AsOfDate,-1)),BE137,IF((AK137-1)&lt;AH137,-1,12*(YEAR((AK137-1))-YEAR(AH137))+MONTH((AK137-1))-MONTH(AH137)-IF(DAY((AK137-1))&lt;MIN(DAY(AH137),DAY(EOMONTH((AK137-1),0))),1,0))))</f>
        <v/>
      </c>
      <c r="BG137" s="14" t="str">
        <f aca="false">IF(AG137=0,"",IF(OR(AI137&lt;3,AL137&gt;EOMONTH(AsOfDate,-1)),BE137,IF((AL137-1)&lt;AH137,-1,12*(YEAR((AL137-1))-YEAR(AH137))+MONTH((AL137-1))-MONTH(AH137)-IF(DAY((AL137-1))&lt;MIN(DAY(AH137),DAY(EOMONTH((AL137-1),0))),1,0))))</f>
        <v/>
      </c>
      <c r="BH137" s="14" t="str">
        <f aca="false">IF(AG137=0,"",IF(AP137="FT",IF(BF137&lt;FT_First,0,IF(BF137&lt;FT_Y5,1+INT((BF137-FT_First)/FT_Int1),FT_PreY5+FT_PerYear*INT((BF137-FT_Y5)/12)+FT_AnnivDays+INT(MOD(BF137-FT_Y5,12)/FT_Int2))),IF(AP137="PT",IF(BF137&lt;PT_First,0,1+INT((BF137-PT_First)/PT_Int)),0))+IF(AND(AI137&gt;=2,AK137&lt;=EOMONTH(AsOfDate,-1)),IF(AQ137="FT",IF(BG137&lt;FT_First,0,IF(BG137&lt;FT_Y5,1+INT((BG137-FT_First)/FT_Int1),FT_PreY5+FT_PerYear*INT((BG137-FT_Y5)/12)+FT_AnnivDays+INT(MOD(BG137-FT_Y5,12)/FT_Int2))),IF(AQ137="PT",IF(BG137&lt;PT_First,0,1+INT((BG137-PT_First)/PT_Int)),0))-IF(AQ137="FT",IF(BF137&lt;FT_First,0,IF(BF137&lt;FT_Y5,1+INT((BF137-FT_First)/FT_Int1),FT_PreY5+FT_PerYear*INT((BF137-FT_Y5)/12)+FT_AnnivDays+INT(MOD(BF137-FT_Y5,12)/FT_Int2))),IF(AQ137="PT",IF(BF137&lt;PT_First,0,1+INT((BF137-PT_First)/PT_Int)),0)),0)+IF(AND(AI137&gt;=3,AL137&lt;=EOMONTH(AsOfDate,-1)),IF(AR137="FT",IF(BE137&lt;FT_First,0,IF(BE137&lt;FT_Y5,1+INT((BE137-FT_First)/FT_Int1),FT_PreY5+FT_PerYear*INT((BE137-FT_Y5)/12)+FT_AnnivDays+INT(MOD(BE137-FT_Y5,12)/FT_Int2))),IF(AR137="PT",IF(BE137&lt;PT_First,0,1+INT((BE137-PT_First)/PT_Int)),0))-IF(AR137="FT",IF(BG137&lt;FT_First,0,IF(BG137&lt;FT_Y5,1+INT((BG137-FT_First)/FT_Int1),FT_PreY5+FT_PerYear*INT((BG137-FT_Y5)/12)+FT_AnnivDays+INT(MOD(BG137-FT_Y5,12)/FT_Int2))),IF(AR137="PT",IF(BG137&lt;PT_First,0,1+INT((BG137-PT_First)/PT_Int)),0)),0))</f>
        <v/>
      </c>
      <c r="BI137" s="14" t="str">
        <f aca="false">IF(AG137=0,"",IF(AS137="FT",IF(AT137&lt;FT_First,"",IF(AT137&lt;FT_Y5,FT_First+FT_Int1*INT((AT137-FT_First)/FT_Int1),FT_Y5+FT_Int2*INT((AT137-FT_Y5)/FT_Int2))),IF(AS137="PT",IF(AT137&lt;PT_First,"",PT_First+PT_Int*INT((AT137-PT_First)/PT_Int)),"")))</f>
        <v/>
      </c>
      <c r="BJ137" s="0" t="str">
        <f aca="false">IF(LEN($A137&amp;$B137)=0,"",$A137&amp;" "&amp;$B137)</f>
        <v/>
      </c>
    </row>
    <row r="138" customFormat="false" ht="15" hidden="false" customHeight="false" outlineLevel="0" collapsed="false">
      <c r="A138" s="10"/>
      <c r="B138" s="10"/>
      <c r="C138" s="10"/>
      <c r="D138" s="11"/>
      <c r="E138" s="12" t="str">
        <f aca="false">IF(OR(AG138=0,$D138=""),"",DATE(YEAR(AsOfDate)+IF(DATE(YEAR(AsOfDate),MONTH($D138),DAY($D138))&lt;=AsOfDate,1,0),MONTH($D138),DAY($D138)))</f>
        <v/>
      </c>
      <c r="F138" s="11"/>
      <c r="G138" s="11"/>
      <c r="H138" s="11"/>
      <c r="I138" s="11"/>
      <c r="J138" s="11"/>
      <c r="K138" s="12" t="str">
        <f aca="false">IF(AG138=0,"",DATE(YEAR(AsOfDate)+IF(DATE(YEAR(AsOfDate),MONTH(AH138),DAY(AH138))&lt;=AsOfDate,1,0),MONTH(AH138),DAY(AH138)))</f>
        <v/>
      </c>
      <c r="L138" s="13" t="str">
        <f aca="false">IF(AG138=0,"",ROUND((AsOfDate-AH138)/365.25,1))</f>
        <v/>
      </c>
      <c r="M138" s="14" t="str">
        <f aca="false">IF(AG138=0,"",IF(AsOfDate&lt;AH138,"-",DATEDIF(AH138,AsOfDate,"y")&amp;"y "&amp;DATEDIF(AH138,AsOfDate,"ym")&amp;"m "&amp;DATEDIF(AH138,AsOfDate,"md")&amp;"d"))</f>
        <v/>
      </c>
      <c r="N138" s="15" t="str">
        <f aca="false">IF(AG138=0,"",O138*HoursPerDay)</f>
        <v/>
      </c>
      <c r="O138" s="15" t="str">
        <f aca="false">IF(AG138=0,"",AZ138)</f>
        <v/>
      </c>
      <c r="P138" s="16"/>
      <c r="Q138" s="14" t="str">
        <f aca="false">IF(AG138=0,"",IF(AI138&lt;2,"",AM138&amp;" to "&amp;AN138&amp;" on "&amp;TEXT(AK138,"dd/mm/yyyy")&amp;IF(AK138&gt;AsOfDate," (future)",IF(AP138=AQ138,"",IF(AQ138="None"," - STOPPED accruing",IF(AP138="None"," - commencement for Bonus Leave"," - pathway changed"))))&amp;IF(AI138&lt;3,"","; "&amp;AN138&amp;" to "&amp;AO138&amp;" on "&amp;TEXT(AL138,"dd/mm/yyyy")&amp;IF(AL138&gt;AsOfDate," (future)",IF(AQ138=AR138,"",IF(AR138="None"," - STOPPED accruing",IF(AQ138="None"," - commencement for Bonus Leave"," - pathway changed")))))))</f>
        <v/>
      </c>
      <c r="R138" s="14" t="str">
        <f aca="false">IF(AG138=0,"",IF(AS138="None",IF(O138&gt;0,"No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2" t="str">
        <f aca="false">IF(AG138=0,"",IF(AS138="None","",EDATE(AH138,BB138)))</f>
        <v/>
      </c>
      <c r="T138" s="15" t="str">
        <f aca="false">IF(AG138=0,"",IF(NOT(LH_Ready),"",IF(AH138&gt;PFYDate,0,IF(LH_ColPeriod=0,W138-U138+V138,SUMIFS(INDEX(LH_Data,0,LH_ColAcc),INDEX(LH_Data,0,LH_ColFirst),$A138,INDEX(LH_Data,0,LH_ColSur),$B138,INDEX(LH_Data,0,LH_ColCat),BonusCat,INDEX(LH_Data,0,LH_ColPeriod),LH_OpenLabel)*UnitFactor))))</f>
        <v/>
      </c>
      <c r="U138" s="15" t="str">
        <f aca="false">IF(AG138=0,"",IF(NOT(LH_Ready),"",SUMIFS(INDEX(LH_Data,0,LH_ColAcc),INDEX(LH_Data,0,LH_ColFirst),$A138,INDEX(LH_Data,0,LH_ColSur),$B138,INDEX(LH_Data,0,LH_ColCat),BonusCat,INDEX(LH_Data,0,LH_ColStart),"&gt;="&amp;AH138)*UnitFactor))</f>
        <v/>
      </c>
      <c r="V138" s="15" t="str">
        <f aca="false">IF(AG138=0,"",IF(NOT(LH_Ready),"",SUMIFS(INDEX(LH_Data,0,LH_ColTaken),INDEX(LH_Data,0,LH_ColFirst),$A138,INDEX(LH_Data,0,LH_ColSur),$B138,INDEX(LH_Data,0,LH_ColCat),BonusCat,INDEX(LH_Data,0,LH_ColStart),"&gt;="&amp;AH138)*UnitFactor))</f>
        <v/>
      </c>
      <c r="W138" s="15" t="str">
        <f aca="false">IF(AG138=0,"",IF(NOT(LH_Ready),"",IF(BD138=0,0,INDEX(INDEX(LH_Data,0,LH_ColClose),BD138-1)*UnitFactor)))</f>
        <v/>
      </c>
      <c r="X138" s="15" t="str">
        <f aca="false">IF(AG138=0,"",(AZ138-BA138)*HoursPerDay)</f>
        <v/>
      </c>
      <c r="Y138" s="15" t="str">
        <f aca="false">IF(AG138=0,"",IF(NOT(LH_Ready),"",IF(BC138=0,N138,IF(PFYDate&lt;$F138,N138-N(T138)-N(U138),X138-N(U138)))))</f>
        <v/>
      </c>
      <c r="Z138" s="14" t="str">
        <f aca="false">IF(OR(AG138=0,Y138=""),"",IF(Y138&gt;0,"Yes","No"))</f>
        <v/>
      </c>
      <c r="AA138" s="14" t="str">
        <f aca="false">IF(AG138=0,IF(LEN($A138&amp;$B138)=0,"","FIX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month")&amp;IF(BC138=0,";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EH)",""),IF(AS138="None",R138,"Not yet - first day on "&amp;TEXT(S138,"dd/mm/yyyy")))))))))</f>
        <v/>
      </c>
      <c r="AB138" s="15" t="str">
        <f aca="false">IF(OR(AG138=0,T138=""),"",BA138*HoursPerDay-T138)</f>
        <v/>
      </c>
      <c r="AC138" s="14" t="str">
        <f aca="false">IF(AG138=0,"",BC138)</f>
        <v/>
      </c>
      <c r="AD138" s="14" t="str">
        <f aca="false">IF(AG138=0,"",TRIM(IF(OR(ISTEXT($F138),ISTEXT($H138),ISTEXT($I138),ISTEXT($G138),ISTEXT($J138),ISTEXT($D138)),"A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I138&gt;=1,IF(AI138&gt;=3,AO138,IF(AI138=2,AN138,AM138))&lt;&gt;IF($C138="","",IF(OR(ISNUMBER(SEARCH("full",$C138)),UPPER(TRIM($C138))="FT",UPPER(TRIM($C138))="FTE"),"Full-Time",IF(OR(ISNUMBER(SEARCH("part",$C138)),UPPER(TRIM($C138))="PT",UPPER(TRIM($C138))="PTE"),"Part-Time",IF(OR(ISNUMBER(SEARCH("cas",$C138)),UPPER(TRIM($C138))="CAS"),"Casual","Unknown"))))),"EmploymentType does not match latest start date ("&amp;IF(AI138&gt;=3,AO138,IF(AI138=2,AN138,AM138))&amp;"). ","")&amp;IF(AND(AI138&gt;=1,AJ138&lt;&gt;$F138),"Earliest type date should equal StartDate. ","")&amp;IF(AND(AI138&gt;=2,AJ138=AK138),"Two types start on the same date. ","")&amp;IF(AND(OR(ISNUMBER(SEARCH("part",$C138)),UPPER(TRIM($C138))="PT",UPPER(TRIM($C138))="PTE"),$P138=""),"Part-time: enter PT Hrs/Week (blank = 24+). ","")))</f>
        <v/>
      </c>
      <c r="AE138" s="15" t="str">
        <f aca="false">IF(AG138=0,"",O138-BH138)</f>
        <v/>
      </c>
      <c r="AF138" s="12" t="str">
        <f aca="false">IF(OR(AG138=0,AE138="",N(AE138)=0,BI138=""),"",EDATE(AH138,BI138))</f>
        <v/>
      </c>
      <c r="AG138" s="14" t="n">
        <f aca="false">IF(OR(LEN($A138&amp;$B138)=0,$F138=""),0,1)</f>
        <v>0</v>
      </c>
      <c r="AH138" s="12" t="str">
        <f aca="false">IF(AG138=0,"",IF($J138&lt;&gt;"",$J138,IF(OR(CasualCounts="Yes",COUNT($G138:$I138)=0,COUNT($H138:$I138)=0),$F138,MIN($H138:$I138))))</f>
        <v/>
      </c>
      <c r="AI138" s="14" t="str">
        <f aca="false">IF(AG138=0,"",COUNT($G138:$I138))</f>
        <v/>
      </c>
      <c r="AJ138" s="12" t="str">
        <f aca="false">IF(AG138=0,"",IFERROR(SMALL($G138:$I138,1),""))</f>
        <v/>
      </c>
      <c r="AK138" s="12" t="str">
        <f aca="false">IF(AG138=0,"",IFERROR(SMALL($G138:$I138,2),""))</f>
        <v/>
      </c>
      <c r="AL138" s="12" t="str">
        <f aca="false">IF(AG138=0,"",IFERROR(SMALL($G138:$I138,3),""))</f>
        <v/>
      </c>
      <c r="AM138" s="14" t="str">
        <f aca="false">IF(AG138=0,"",IF(AJ138="","",IF(AJ138=$H138,"Part-Time",IF(AJ138=$I138,"Full-Time","Casual"))))</f>
        <v/>
      </c>
      <c r="AN138" s="14" t="str">
        <f aca="false">IF(AG138=0,"",IF(AK138="","",IF(AK138=$H138,"Part-Time",IF(AK138=$I138,"Full-Time","Casual"))))</f>
        <v/>
      </c>
      <c r="AO138" s="14" t="str">
        <f aca="false">IF(AG138=0,"",IF(AL138="","",IF(AL138=$H138,"Part-Time",IF(AL138=$I138,"Full-Time","Casual"))))</f>
        <v/>
      </c>
      <c r="AP138" s="14" t="str">
        <f aca="false">IF(AG138=0,"",IF(AI138=0,IF(OR(ISNUMBER(SEARCH("full",$C138)),UPPER(TRIM($C138))="FT",UPPER(TRIM($C138))="FTE"),"FT",IF(AND(OR(ISNUMBER(SEARCH("part",$C138)),UPPER(TRIM($C138))="PT",UPPER(TRIM($C138))="PTE"),OR($P138="",N($P138)&gt;=PT_MinHours)),"PT","None")),IF(OR(ISNUMBER(SEARCH("full",AM138)),UPPER(TRIM(AM138))="FT",UPPER(TRIM(AM138))="FTE"),"FT",IF(AND(OR(ISNUMBER(SEARCH("part",AM138)),UPPER(TRIM(AM138))="PT",UPPER(TRIM(AM138))="PTE"),OR($P138="",N($P138)&gt;=PT_MinHours)),"PT","None"))))</f>
        <v/>
      </c>
      <c r="AQ138" s="14" t="str">
        <f aca="false">IF(AG138=0,"",IF(AI138&lt;2,"",IF(OR(ISNUMBER(SEARCH("full",AN138)),UPPER(TRIM(AN138))="FT",UPPER(TRIM(AN138))="FTE"),"FT",IF(AND(OR(ISNUMBER(SEARCH("part",AN138)),UPPER(TRIM(AN138))="PT",UPPER(TRIM(AN138))="PTE"),OR($P138="",N($P138)&gt;=PT_MinHours)),"PT","None"))))</f>
        <v/>
      </c>
      <c r="AR138" s="14" t="str">
        <f aca="false">IF(AG138=0,"",IF(AI138&lt;3,"",IF(OR(ISNUMBER(SEARCH("full",AO138)),UPPER(TRIM(AO138))="FT",UPPER(TRIM(AO138))="FTE"),"FT",IF(AND(OR(ISNUMBER(SEARCH("part",AO138)),UPPER(TRIM(AO138))="PT",UPPER(TRIM(AO138))="PTE"),OR($P138="",N($P138)&gt;=PT_MinHours)),"PT","None"))))</f>
        <v/>
      </c>
      <c r="AS138" s="14" t="str">
        <f aca="false">IF(AG138=0,"",IF(AND(AI138&gt;=3,AL138&lt;=AsOfDate),AR138,IF(AND(AI138&gt;=2,AK138&lt;=AsOfDate),AQ138,AP138)))</f>
        <v/>
      </c>
      <c r="AT138" s="14" t="str">
        <f aca="false">IF(AG138=0,"",IF(AsOfDate&lt;AH138,-1,12*(YEAR(AsOfDate)-YEAR(AH138))+MONTH(AsOfDate)-MONTH(AH138)-IF(DAY(AsOfDate)&lt;MIN(DAY(AH138),DAY(EOMONTH(AsOfDate,0))),1,0)))</f>
        <v/>
      </c>
      <c r="AU138" s="14" t="str">
        <f aca="false">IF(AG138=0,"",IF(OR(AI138&lt;2,AK138&gt;AsOfDate),AT138,IF((AK138-1)&lt;AH138,-1,12*(YEAR((AK138-1))-YEAR(AH138))+MONTH((AK138-1))-MONTH(AH138)-IF(DAY((AK138-1))&lt;MIN(DAY(AH138),DAY(EOMONTH((AK138-1),0))),1,0))))</f>
        <v/>
      </c>
      <c r="AV138" s="14" t="str">
        <f aca="false">IF(AG138=0,"",IF(OR(AI138&lt;3,AL138&gt;AsOfDate),AT138,IF((AL138-1)&lt;AH138,-1,12*(YEAR((AL138-1))-YEAR(AH138))+MONTH((AL138-1))-MONTH(AH138)-IF(DAY((AL138-1))&lt;MIN(DAY(AH138),DAY(EOMONTH((AL138-1),0))),1,0))))</f>
        <v/>
      </c>
      <c r="AW138" s="14" t="str">
        <f aca="false">IF(AG138=0,"",IF(PFYDate&lt;AH138,-1,12*(YEAR(PFYDate)-YEAR(AH138))+MONTH(PFYDate)-MONTH(AH138)-IF(DAY(PFYDate)&lt;MIN(DAY(AH138),DAY(EOMONTH(PFYDate,0))),1,0)))</f>
        <v/>
      </c>
      <c r="AX138" s="14" t="str">
        <f aca="false">IF(AG138=0,"",IF(OR(AI138&lt;2,AK138&gt;PFYDate),AW138,IF((AK138-1)&lt;AH138,-1,12*(YEAR((AK138-1))-YEAR(AH138))+MONTH((AK138-1))-MONTH(AH138)-IF(DAY((AK138-1))&lt;MIN(DAY(AH138),DAY(EOMONTH((AK138-1),0))),1,0))))</f>
        <v/>
      </c>
      <c r="AY138" s="14" t="str">
        <f aca="false">IF(AG138=0,"",IF(OR(AI138&lt;3,AL138&gt;PFYDate),AW138,IF((AL138-1)&lt;AH138,-1,12*(YEAR((AL138-1))-YEAR(AH138))+MONTH((AL138-1))-MONTH(AH138)-IF(DAY((AL138-1))&lt;MIN(DAY(AH138),DAY(EOMONTH((AL138-1),0))),1,0))))</f>
        <v/>
      </c>
      <c r="AZ138" s="14" t="str">
        <f aca="false">IF(AG138=0,"",IF(AP138="FT",IF(AU138&lt;FT_First,0,IF(AU138&lt;FT_Y5,1+INT((AU138-FT_First)/FT_Int1),FT_PreY5+FT_PerYear*INT((AU138-FT_Y5)/12)+FT_AnnivDays+INT(MOD(AU138-FT_Y5,12)/FT_Int2))),IF(AP138="PT",IF(AU138&lt;PT_First,0,1+INT((AU138-PT_First)/PT_Int)),0))+IF(AND(AI138&gt;=2,AK138&lt;=AsOfDate),IF(AQ138="FT",IF(AV138&lt;FT_First,0,IF(AV138&lt;FT_Y5,1+INT((AV138-FT_First)/FT_Int1),FT_PreY5+FT_PerYear*INT((AV138-FT_Y5)/12)+FT_AnnivDays+INT(MOD(AV138-FT_Y5,12)/FT_Int2))),IF(AQ138="PT",IF(AV138&lt;PT_First,0,1+INT((AV138-PT_First)/PT_Int)),0))-IF(AQ138="FT",IF(AU138&lt;FT_First,0,IF(AU138&lt;FT_Y5,1+INT((AU138-FT_First)/FT_Int1),FT_PreY5+FT_PerYear*INT((AU138-FT_Y5)/12)+FT_AnnivDays+INT(MOD(AU138-FT_Y5,12)/FT_Int2))),IF(AQ138="PT",IF(AU138&lt;PT_First,0,1+INT((AU138-PT_First)/PT_Int)),0)),0)+IF(AND(AI138&gt;=3,AL138&lt;=AsOfDate),IF(AR138="FT",IF(AT138&lt;FT_First,0,IF(AT138&lt;FT_Y5,1+INT((AT138-FT_First)/FT_Int1),FT_PreY5+FT_PerYear*INT((AT138-FT_Y5)/12)+FT_AnnivDays+INT(MOD(AT138-FT_Y5,12)/FT_Int2))),IF(AR138="PT",IF(AT138&lt;PT_First,0,1+INT((AT138-PT_First)/PT_Int)),0))-IF(AR138="FT",IF(AV138&lt;FT_First,0,IF(AV138&lt;FT_Y5,1+INT((AV138-FT_First)/FT_Int1),FT_PreY5+FT_PerYear*INT((AV138-FT_Y5)/12)+FT_AnnivDays+INT(MOD(AV138-FT_Y5,12)/FT_Int2))),IF(AR138="PT",IF(AV138&lt;PT_First,0,1+INT((AV138-PT_First)/PT_Int)),0)),0))</f>
        <v/>
      </c>
      <c r="BA138" s="14" t="str">
        <f aca="false">IF(AG138=0,"",IF(AP138="FT",IF(AX138&lt;FT_First,0,IF(AX138&lt;FT_Y5,1+INT((AX138-FT_First)/FT_Int1),FT_PreY5+FT_PerYear*INT((AX138-FT_Y5)/12)+FT_AnnivDays+INT(MOD(AX138-FT_Y5,12)/FT_Int2))),IF(AP138="PT",IF(AX138&lt;PT_First,0,1+INT((AX138-PT_First)/PT_Int)),0))+IF(AND(AI138&gt;=2,AK138&lt;=PFYDate),IF(AQ138="FT",IF(AY138&lt;FT_First,0,IF(AY138&lt;FT_Y5,1+INT((AY138-FT_First)/FT_Int1),FT_PreY5+FT_PerYear*INT((AY138-FT_Y5)/12)+FT_AnnivDays+INT(MOD(AY138-FT_Y5,12)/FT_Int2))),IF(AQ138="PT",IF(AY138&lt;PT_First,0,1+INT((AY138-PT_First)/PT_Int)),0))-IF(AQ138="FT",IF(AX138&lt;FT_First,0,IF(AX138&lt;FT_Y5,1+INT((AX138-FT_First)/FT_Int1),FT_PreY5+FT_PerYear*INT((AX138-FT_Y5)/12)+FT_AnnivDays+INT(MOD(AX138-FT_Y5,12)/FT_Int2))),IF(AQ138="PT",IF(AX138&lt;PT_First,0,1+INT((AX138-PT_First)/PT_Int)),0)),0)+IF(AND(AI138&gt;=3,AL138&lt;=PFYDate),IF(AR138="FT",IF(AW138&lt;FT_First,0,IF(AW138&lt;FT_Y5,1+INT((AW138-FT_First)/FT_Int1),FT_PreY5+FT_PerYear*INT((AW138-FT_Y5)/12)+FT_AnnivDays+INT(MOD(AW138-FT_Y5,12)/FT_Int2))),IF(AR138="PT",IF(AW138&lt;PT_First,0,1+INT((AW138-PT_First)/PT_Int)),0))-IF(AR138="FT",IF(AY138&lt;FT_First,0,IF(AY138&lt;FT_Y5,1+INT((AY138-FT_First)/FT_Int1),FT_PreY5+FT_PerYear*INT((AY138-FT_Y5)/12)+FT_AnnivDays+INT(MOD(AY138-FT_Y5,12)/FT_Int2))),IF(AR138="PT",IF(AY138&lt;PT_First,0,1+INT((AY138-PT_First)/PT_Int)),0)),0))</f>
        <v/>
      </c>
      <c r="BB138" s="14" t="str">
        <f aca="false">IF(AG138=0,"",IF(AS138="FT",IF(AT138&lt;FT_First,FT_First,IF(AT138&lt;FT_Y5,MIN(FT_Y5,FT_First+FT_Int1*(INT((AT138-FT_First)/FT_Int1)+1)),FT_Y5+12*INT((AT138-FT_Y5)/12)+FT_Int2*(INT(MOD(AT138-FT_Y5,12)/FT_Int2)+1))),IF(AS138="PT",IF(AT138&lt;PT_First,PT_First,PT_First+PT_Int*(INT((AT138-PT_First)/PT_Int)+1)),"")))</f>
        <v/>
      </c>
      <c r="BC138" s="14" t="str">
        <f aca="false">IF(AG138=0,"",IF(NOT(LH_Ready),0,COUNTIFS(INDEX(LH_Data,0,LH_ColFirst),$A138,INDEX(LH_Data,0,LH_ColSur),$B138,INDEX(LH_Data,0,LH_ColCat),BonusCat)))</f>
        <v/>
      </c>
      <c r="BD138" s="14" t="str">
        <f aca="false">IF(AG138=0,"",IF(OR(NOT(LH_Ready),BC138=0),0,SUMPRODUCT(MAX((INDEX(LH_Data,0,LH_ColFirst)=$A138)*(INDEX(LH_Data,0,LH_ColSur)=$B138)*(INDEX(LH_Data,0,LH_ColCat)=BonusCat)*ROW(LH_Data)))))</f>
        <v/>
      </c>
      <c r="BE138" s="14" t="str">
        <f aca="false">IF(AG138=0,"",IF(EOMONTH(AsOfDate,-1)&lt;AH138,-1,12*(YEAR(EOMONTH(AsOfDate,-1))-YEAR(AH138))+MONTH(EOMONTH(AsOfDate,-1))-MONTH(AH138)-IF(DAY(EOMONTH(AsOfDate,-1))&lt;MIN(DAY(AH138),DAY(EOMONTH(EOMONTH(AsOfDate,-1),0))),1,0)))</f>
        <v/>
      </c>
      <c r="BF138" s="14" t="str">
        <f aca="false">IF(AG138=0,"",IF(OR(AI138&lt;2,AK138&gt;EOMONTH(AsOfDate,-1)),BE138,IF((AK138-1)&lt;AH138,-1,12*(YEAR((AK138-1))-YEAR(AH138))+MONTH((AK138-1))-MONTH(AH138)-IF(DAY((AK138-1))&lt;MIN(DAY(AH138),DAY(EOMONTH((AK138-1),0))),1,0))))</f>
        <v/>
      </c>
      <c r="BG138" s="14" t="str">
        <f aca="false">IF(AG138=0,"",IF(OR(AI138&lt;3,AL138&gt;EOMONTH(AsOfDate,-1)),BE138,IF((AL138-1)&lt;AH138,-1,12*(YEAR((AL138-1))-YEAR(AH138))+MONTH((AL138-1))-MONTH(AH138)-IF(DAY((AL138-1))&lt;MIN(DAY(AH138),DAY(EOMONTH((AL138-1),0))),1,0))))</f>
        <v/>
      </c>
      <c r="BH138" s="14" t="str">
        <f aca="false">IF(AG138=0,"",IF(AP138="FT",IF(BF138&lt;FT_First,0,IF(BF138&lt;FT_Y5,1+INT((BF138-FT_First)/FT_Int1),FT_PreY5+FT_PerYear*INT((BF138-FT_Y5)/12)+FT_AnnivDays+INT(MOD(BF138-FT_Y5,12)/FT_Int2))),IF(AP138="PT",IF(BF138&lt;PT_First,0,1+INT((BF138-PT_First)/PT_Int)),0))+IF(AND(AI138&gt;=2,AK138&lt;=EOMONTH(AsOfDate,-1)),IF(AQ138="FT",IF(BG138&lt;FT_First,0,IF(BG138&lt;FT_Y5,1+INT((BG138-FT_First)/FT_Int1),FT_PreY5+FT_PerYear*INT((BG138-FT_Y5)/12)+FT_AnnivDays+INT(MOD(BG138-FT_Y5,12)/FT_Int2))),IF(AQ138="PT",IF(BG138&lt;PT_First,0,1+INT((BG138-PT_First)/PT_Int)),0))-IF(AQ138="FT",IF(BF138&lt;FT_First,0,IF(BF138&lt;FT_Y5,1+INT((BF138-FT_First)/FT_Int1),FT_PreY5+FT_PerYear*INT((BF138-FT_Y5)/12)+FT_AnnivDays+INT(MOD(BF138-FT_Y5,12)/FT_Int2))),IF(AQ138="PT",IF(BF138&lt;PT_First,0,1+INT((BF138-PT_First)/PT_Int)),0)),0)+IF(AND(AI138&gt;=3,AL138&lt;=EOMONTH(AsOfDate,-1)),IF(AR138="FT",IF(BE138&lt;FT_First,0,IF(BE138&lt;FT_Y5,1+INT((BE138-FT_First)/FT_Int1),FT_PreY5+FT_PerYear*INT((BE138-FT_Y5)/12)+FT_AnnivDays+INT(MOD(BE138-FT_Y5,12)/FT_Int2))),IF(AR138="PT",IF(BE138&lt;PT_First,0,1+INT((BE138-PT_First)/PT_Int)),0))-IF(AR138="FT",IF(BG138&lt;FT_First,0,IF(BG138&lt;FT_Y5,1+INT((BG138-FT_First)/FT_Int1),FT_PreY5+FT_PerYear*INT((BG138-FT_Y5)/12)+FT_AnnivDays+INT(MOD(BG138-FT_Y5,12)/FT_Int2))),IF(AR138="PT",IF(BG138&lt;PT_First,0,1+INT((BG138-PT_First)/PT_Int)),0)),0))</f>
        <v/>
      </c>
      <c r="BI138" s="14" t="str">
        <f aca="false">IF(AG138=0,"",IF(AS138="FT",IF(AT138&lt;FT_First,"",IF(AT138&lt;FT_Y5,FT_First+FT_Int1*INT((AT138-FT_First)/FT_Int1),FT_Y5+FT_Int2*INT((AT138-FT_Y5)/FT_Int2))),IF(AS138="PT",IF(AT138&lt;PT_First,"",PT_First+PT_Int*INT((AT138-PT_First)/PT_Int)),"")))</f>
        <v/>
      </c>
      <c r="BJ138" s="0" t="str">
        <f aca="false">IF(LEN($A138&amp;$B138)=0,"",$A138&amp;" "&amp;$B138)</f>
        <v/>
      </c>
    </row>
    <row r="139" customFormat="false" ht="15" hidden="false" customHeight="false" outlineLevel="0" collapsed="false">
      <c r="A139" s="10"/>
      <c r="B139" s="10"/>
      <c r="C139" s="10"/>
      <c r="D139" s="11"/>
      <c r="E139" s="12" t="str">
        <f aca="false">IF(OR(AG139=0,$D139=""),"",DATE(YEAR(AsOfDate)+IF(DATE(YEAR(AsOfDate),MONTH($D139),DAY($D139))&lt;=AsOfDate,1,0),MONTH($D139),DAY($D139)))</f>
        <v/>
      </c>
      <c r="F139" s="11"/>
      <c r="G139" s="11"/>
      <c r="H139" s="11"/>
      <c r="I139" s="11"/>
      <c r="J139" s="11"/>
      <c r="K139" s="12" t="str">
        <f aca="false">IF(AG139=0,"",DATE(YEAR(AsOfDate)+IF(DATE(YEAR(AsOfDate),MONTH(AH139),DAY(AH139))&lt;=AsOfDate,1,0),MONTH(AH139),DAY(AH139)))</f>
        <v/>
      </c>
      <c r="L139" s="13" t="str">
        <f aca="false">IF(AG139=0,"",ROUND((AsOfDate-AH139)/365.25,1))</f>
        <v/>
      </c>
      <c r="M139" s="14" t="str">
        <f aca="false">IF(AG139=0,"",IF(AsOfDate&lt;AH139,"-",DATEDIF(AH139,AsOfDate,"y")&amp;"y "&amp;DATEDIF(AH139,AsOfDate,"ym")&amp;"m "&amp;DATEDIF(AH139,AsOfDate,"md")&amp;"d"))</f>
        <v/>
      </c>
      <c r="N139" s="15" t="str">
        <f aca="false">IF(AG139=0,"",O139*HoursPerDay)</f>
        <v/>
      </c>
      <c r="O139" s="15" t="str">
        <f aca="false">IF(AG139=0,"",AZ139)</f>
        <v/>
      </c>
      <c r="P139" s="16"/>
      <c r="Q139" s="14" t="str">
        <f aca="false">IF(AG139=0,"",IF(AI139&lt;2,"",AM139&amp;" to "&amp;AN139&amp;" on "&amp;TEXT(AK139,"dd/mm/yyyy")&amp;IF(AK139&gt;AsOfDate," (future)",IF(AP139=AQ139,"",IF(AQ139="None"," - STOPPED accruing",IF(AP139="None"," - commencement for Bonus Leave"," - pathway changed"))))&amp;IF(AI139&lt;3,"","; "&amp;AN139&amp;" to "&amp;AO139&amp;" on "&amp;TEXT(AL139,"dd/mm/yyyy")&amp;IF(AL139&gt;AsOfDate," (future)",IF(AQ139=AR139,"",IF(AR139="None"," - STOPPED accruing",IF(AQ139="None"," - commencement for Bonus Leave"," - pathway changed")))))))</f>
        <v/>
      </c>
      <c r="R139" s="14" t="str">
        <f aca="false">IF(AG139=0,"",IF(AS139="None",IF(O139&gt;0,"No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2" t="str">
        <f aca="false">IF(AG139=0,"",IF(AS139="None","",EDATE(AH139,BB139)))</f>
        <v/>
      </c>
      <c r="T139" s="15" t="str">
        <f aca="false">IF(AG139=0,"",IF(NOT(LH_Ready),"",IF(AH139&gt;PFYDate,0,IF(LH_ColPeriod=0,W139-U139+V139,SUMIFS(INDEX(LH_Data,0,LH_ColAcc),INDEX(LH_Data,0,LH_ColFirst),$A139,INDEX(LH_Data,0,LH_ColSur),$B139,INDEX(LH_Data,0,LH_ColCat),BonusCat,INDEX(LH_Data,0,LH_ColPeriod),LH_OpenLabel)*UnitFactor))))</f>
        <v/>
      </c>
      <c r="U139" s="15" t="str">
        <f aca="false">IF(AG139=0,"",IF(NOT(LH_Ready),"",SUMIFS(INDEX(LH_Data,0,LH_ColAcc),INDEX(LH_Data,0,LH_ColFirst),$A139,INDEX(LH_Data,0,LH_ColSur),$B139,INDEX(LH_Data,0,LH_ColCat),BonusCat,INDEX(LH_Data,0,LH_ColStart),"&gt;="&amp;AH139)*UnitFactor))</f>
        <v/>
      </c>
      <c r="V139" s="15" t="str">
        <f aca="false">IF(AG139=0,"",IF(NOT(LH_Ready),"",SUMIFS(INDEX(LH_Data,0,LH_ColTaken),INDEX(LH_Data,0,LH_ColFirst),$A139,INDEX(LH_Data,0,LH_ColSur),$B139,INDEX(LH_Data,0,LH_ColCat),BonusCat,INDEX(LH_Data,0,LH_ColStart),"&gt;="&amp;AH139)*UnitFactor))</f>
        <v/>
      </c>
      <c r="W139" s="15" t="str">
        <f aca="false">IF(AG139=0,"",IF(NOT(LH_Ready),"",IF(BD139=0,0,INDEX(INDEX(LH_Data,0,LH_ColClose),BD139-1)*UnitFactor)))</f>
        <v/>
      </c>
      <c r="X139" s="15" t="str">
        <f aca="false">IF(AG139=0,"",(AZ139-BA139)*HoursPerDay)</f>
        <v/>
      </c>
      <c r="Y139" s="15" t="str">
        <f aca="false">IF(AG139=0,"",IF(NOT(LH_Ready),"",IF(BC139=0,N139,IF(PFYDate&lt;$F139,N139-N(T139)-N(U139),X139-N(U139)))))</f>
        <v/>
      </c>
      <c r="Z139" s="14" t="str">
        <f aca="false">IF(OR(AG139=0,Y139=""),"",IF(Y139&gt;0,"Yes","No"))</f>
        <v/>
      </c>
      <c r="AA139" s="14" t="str">
        <f aca="false">IF(AG139=0,IF(LEN($A139&amp;$B139)=0,"","FIX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month")&amp;IF(BC139=0,";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EH)",""),IF(AS139="None",R139,"Not yet - first day on "&amp;TEXT(S139,"dd/mm/yyyy")))))))))</f>
        <v/>
      </c>
      <c r="AB139" s="15" t="str">
        <f aca="false">IF(OR(AG139=0,T139=""),"",BA139*HoursPerDay-T139)</f>
        <v/>
      </c>
      <c r="AC139" s="14" t="str">
        <f aca="false">IF(AG139=0,"",BC139)</f>
        <v/>
      </c>
      <c r="AD139" s="14" t="str">
        <f aca="false">IF(AG139=0,"",TRIM(IF(OR(ISTEXT($F139),ISTEXT($H139),ISTEXT($I139),ISTEXT($G139),ISTEXT($J139),ISTEXT($D139)),"A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I139&gt;=1,IF(AI139&gt;=3,AO139,IF(AI139=2,AN139,AM139))&lt;&gt;IF($C139="","",IF(OR(ISNUMBER(SEARCH("full",$C139)),UPPER(TRIM($C139))="FT",UPPER(TRIM($C139))="FTE"),"Full-Time",IF(OR(ISNUMBER(SEARCH("part",$C139)),UPPER(TRIM($C139))="PT",UPPER(TRIM($C139))="PTE"),"Part-Time",IF(OR(ISNUMBER(SEARCH("cas",$C139)),UPPER(TRIM($C139))="CAS"),"Casual","Unknown"))))),"EmploymentType does not match latest start date ("&amp;IF(AI139&gt;=3,AO139,IF(AI139=2,AN139,AM139))&amp;"). ","")&amp;IF(AND(AI139&gt;=1,AJ139&lt;&gt;$F139),"Earliest type date should equal StartDate. ","")&amp;IF(AND(AI139&gt;=2,AJ139=AK139),"Two types start on the same date. ","")&amp;IF(AND(OR(ISNUMBER(SEARCH("part",$C139)),UPPER(TRIM($C139))="PT",UPPER(TRIM($C139))="PTE"),$P139=""),"Part-time: enter PT Hrs/Week (blank = 24+). ","")))</f>
        <v/>
      </c>
      <c r="AE139" s="15" t="str">
        <f aca="false">IF(AG139=0,"",O139-BH139)</f>
        <v/>
      </c>
      <c r="AF139" s="12" t="str">
        <f aca="false">IF(OR(AG139=0,AE139="",N(AE139)=0,BI139=""),"",EDATE(AH139,BI139))</f>
        <v/>
      </c>
      <c r="AG139" s="14" t="n">
        <f aca="false">IF(OR(LEN($A139&amp;$B139)=0,$F139=""),0,1)</f>
        <v>0</v>
      </c>
      <c r="AH139" s="12" t="str">
        <f aca="false">IF(AG139=0,"",IF($J139&lt;&gt;"",$J139,IF(OR(CasualCounts="Yes",COUNT($G139:$I139)=0,COUNT($H139:$I139)=0),$F139,MIN($H139:$I139))))</f>
        <v/>
      </c>
      <c r="AI139" s="14" t="str">
        <f aca="false">IF(AG139=0,"",COUNT($G139:$I139))</f>
        <v/>
      </c>
      <c r="AJ139" s="12" t="str">
        <f aca="false">IF(AG139=0,"",IFERROR(SMALL($G139:$I139,1),""))</f>
        <v/>
      </c>
      <c r="AK139" s="12" t="str">
        <f aca="false">IF(AG139=0,"",IFERROR(SMALL($G139:$I139,2),""))</f>
        <v/>
      </c>
      <c r="AL139" s="12" t="str">
        <f aca="false">IF(AG139=0,"",IFERROR(SMALL($G139:$I139,3),""))</f>
        <v/>
      </c>
      <c r="AM139" s="14" t="str">
        <f aca="false">IF(AG139=0,"",IF(AJ139="","",IF(AJ139=$H139,"Part-Time",IF(AJ139=$I139,"Full-Time","Casual"))))</f>
        <v/>
      </c>
      <c r="AN139" s="14" t="str">
        <f aca="false">IF(AG139=0,"",IF(AK139="","",IF(AK139=$H139,"Part-Time",IF(AK139=$I139,"Full-Time","Casual"))))</f>
        <v/>
      </c>
      <c r="AO139" s="14" t="str">
        <f aca="false">IF(AG139=0,"",IF(AL139="","",IF(AL139=$H139,"Part-Time",IF(AL139=$I139,"Full-Time","Casual"))))</f>
        <v/>
      </c>
      <c r="AP139" s="14" t="str">
        <f aca="false">IF(AG139=0,"",IF(AI139=0,IF(OR(ISNUMBER(SEARCH("full",$C139)),UPPER(TRIM($C139))="FT",UPPER(TRIM($C139))="FTE"),"FT",IF(AND(OR(ISNUMBER(SEARCH("part",$C139)),UPPER(TRIM($C139))="PT",UPPER(TRIM($C139))="PTE"),OR($P139="",N($P139)&gt;=PT_MinHours)),"PT","None")),IF(OR(ISNUMBER(SEARCH("full",AM139)),UPPER(TRIM(AM139))="FT",UPPER(TRIM(AM139))="FTE"),"FT",IF(AND(OR(ISNUMBER(SEARCH("part",AM139)),UPPER(TRIM(AM139))="PT",UPPER(TRIM(AM139))="PTE"),OR($P139="",N($P139)&gt;=PT_MinHours)),"PT","None"))))</f>
        <v/>
      </c>
      <c r="AQ139" s="14" t="str">
        <f aca="false">IF(AG139=0,"",IF(AI139&lt;2,"",IF(OR(ISNUMBER(SEARCH("full",AN139)),UPPER(TRIM(AN139))="FT",UPPER(TRIM(AN139))="FTE"),"FT",IF(AND(OR(ISNUMBER(SEARCH("part",AN139)),UPPER(TRIM(AN139))="PT",UPPER(TRIM(AN139))="PTE"),OR($P139="",N($P139)&gt;=PT_MinHours)),"PT","None"))))</f>
        <v/>
      </c>
      <c r="AR139" s="14" t="str">
        <f aca="false">IF(AG139=0,"",IF(AI139&lt;3,"",IF(OR(ISNUMBER(SEARCH("full",AO139)),UPPER(TRIM(AO139))="FT",UPPER(TRIM(AO139))="FTE"),"FT",IF(AND(OR(ISNUMBER(SEARCH("part",AO139)),UPPER(TRIM(AO139))="PT",UPPER(TRIM(AO139))="PTE"),OR($P139="",N($P139)&gt;=PT_MinHours)),"PT","None"))))</f>
        <v/>
      </c>
      <c r="AS139" s="14" t="str">
        <f aca="false">IF(AG139=0,"",IF(AND(AI139&gt;=3,AL139&lt;=AsOfDate),AR139,IF(AND(AI139&gt;=2,AK139&lt;=AsOfDate),AQ139,AP139)))</f>
        <v/>
      </c>
      <c r="AT139" s="14" t="str">
        <f aca="false">IF(AG139=0,"",IF(AsOfDate&lt;AH139,-1,12*(YEAR(AsOfDate)-YEAR(AH139))+MONTH(AsOfDate)-MONTH(AH139)-IF(DAY(AsOfDate)&lt;MIN(DAY(AH139),DAY(EOMONTH(AsOfDate,0))),1,0)))</f>
        <v/>
      </c>
      <c r="AU139" s="14" t="str">
        <f aca="false">IF(AG139=0,"",IF(OR(AI139&lt;2,AK139&gt;AsOfDate),AT139,IF((AK139-1)&lt;AH139,-1,12*(YEAR((AK139-1))-YEAR(AH139))+MONTH((AK139-1))-MONTH(AH139)-IF(DAY((AK139-1))&lt;MIN(DAY(AH139),DAY(EOMONTH((AK139-1),0))),1,0))))</f>
        <v/>
      </c>
      <c r="AV139" s="14" t="str">
        <f aca="false">IF(AG139=0,"",IF(OR(AI139&lt;3,AL139&gt;AsOfDate),AT139,IF((AL139-1)&lt;AH139,-1,12*(YEAR((AL139-1))-YEAR(AH139))+MONTH((AL139-1))-MONTH(AH139)-IF(DAY((AL139-1))&lt;MIN(DAY(AH139),DAY(EOMONTH((AL139-1),0))),1,0))))</f>
        <v/>
      </c>
      <c r="AW139" s="14" t="str">
        <f aca="false">IF(AG139=0,"",IF(PFYDate&lt;AH139,-1,12*(YEAR(PFYDate)-YEAR(AH139))+MONTH(PFYDate)-MONTH(AH139)-IF(DAY(PFYDate)&lt;MIN(DAY(AH139),DAY(EOMONTH(PFYDate,0))),1,0)))</f>
        <v/>
      </c>
      <c r="AX139" s="14" t="str">
        <f aca="false">IF(AG139=0,"",IF(OR(AI139&lt;2,AK139&gt;PFYDate),AW139,IF((AK139-1)&lt;AH139,-1,12*(YEAR((AK139-1))-YEAR(AH139))+MONTH((AK139-1))-MONTH(AH139)-IF(DAY((AK139-1))&lt;MIN(DAY(AH139),DAY(EOMONTH((AK139-1),0))),1,0))))</f>
        <v/>
      </c>
      <c r="AY139" s="14" t="str">
        <f aca="false">IF(AG139=0,"",IF(OR(AI139&lt;3,AL139&gt;PFYDate),AW139,IF((AL139-1)&lt;AH139,-1,12*(YEAR((AL139-1))-YEAR(AH139))+MONTH((AL139-1))-MONTH(AH139)-IF(DAY((AL139-1))&lt;MIN(DAY(AH139),DAY(EOMONTH((AL139-1),0))),1,0))))</f>
        <v/>
      </c>
      <c r="AZ139" s="14" t="str">
        <f aca="false">IF(AG139=0,"",IF(AP139="FT",IF(AU139&lt;FT_First,0,IF(AU139&lt;FT_Y5,1+INT((AU139-FT_First)/FT_Int1),FT_PreY5+FT_PerYear*INT((AU139-FT_Y5)/12)+FT_AnnivDays+INT(MOD(AU139-FT_Y5,12)/FT_Int2))),IF(AP139="PT",IF(AU139&lt;PT_First,0,1+INT((AU139-PT_First)/PT_Int)),0))+IF(AND(AI139&gt;=2,AK139&lt;=AsOfDate),IF(AQ139="FT",IF(AV139&lt;FT_First,0,IF(AV139&lt;FT_Y5,1+INT((AV139-FT_First)/FT_Int1),FT_PreY5+FT_PerYear*INT((AV139-FT_Y5)/12)+FT_AnnivDays+INT(MOD(AV139-FT_Y5,12)/FT_Int2))),IF(AQ139="PT",IF(AV139&lt;PT_First,0,1+INT((AV139-PT_First)/PT_Int)),0))-IF(AQ139="FT",IF(AU139&lt;FT_First,0,IF(AU139&lt;FT_Y5,1+INT((AU139-FT_First)/FT_Int1),FT_PreY5+FT_PerYear*INT((AU139-FT_Y5)/12)+FT_AnnivDays+INT(MOD(AU139-FT_Y5,12)/FT_Int2))),IF(AQ139="PT",IF(AU139&lt;PT_First,0,1+INT((AU139-PT_First)/PT_Int)),0)),0)+IF(AND(AI139&gt;=3,AL139&lt;=AsOfDate),IF(AR139="FT",IF(AT139&lt;FT_First,0,IF(AT139&lt;FT_Y5,1+INT((AT139-FT_First)/FT_Int1),FT_PreY5+FT_PerYear*INT((AT139-FT_Y5)/12)+FT_AnnivDays+INT(MOD(AT139-FT_Y5,12)/FT_Int2))),IF(AR139="PT",IF(AT139&lt;PT_First,0,1+INT((AT139-PT_First)/PT_Int)),0))-IF(AR139="FT",IF(AV139&lt;FT_First,0,IF(AV139&lt;FT_Y5,1+INT((AV139-FT_First)/FT_Int1),FT_PreY5+FT_PerYear*INT((AV139-FT_Y5)/12)+FT_AnnivDays+INT(MOD(AV139-FT_Y5,12)/FT_Int2))),IF(AR139="PT",IF(AV139&lt;PT_First,0,1+INT((AV139-PT_First)/PT_Int)),0)),0))</f>
        <v/>
      </c>
      <c r="BA139" s="14" t="str">
        <f aca="false">IF(AG139=0,"",IF(AP139="FT",IF(AX139&lt;FT_First,0,IF(AX139&lt;FT_Y5,1+INT((AX139-FT_First)/FT_Int1),FT_PreY5+FT_PerYear*INT((AX139-FT_Y5)/12)+FT_AnnivDays+INT(MOD(AX139-FT_Y5,12)/FT_Int2))),IF(AP139="PT",IF(AX139&lt;PT_First,0,1+INT((AX139-PT_First)/PT_Int)),0))+IF(AND(AI139&gt;=2,AK139&lt;=PFYDate),IF(AQ139="FT",IF(AY139&lt;FT_First,0,IF(AY139&lt;FT_Y5,1+INT((AY139-FT_First)/FT_Int1),FT_PreY5+FT_PerYear*INT((AY139-FT_Y5)/12)+FT_AnnivDays+INT(MOD(AY139-FT_Y5,12)/FT_Int2))),IF(AQ139="PT",IF(AY139&lt;PT_First,0,1+INT((AY139-PT_First)/PT_Int)),0))-IF(AQ139="FT",IF(AX139&lt;FT_First,0,IF(AX139&lt;FT_Y5,1+INT((AX139-FT_First)/FT_Int1),FT_PreY5+FT_PerYear*INT((AX139-FT_Y5)/12)+FT_AnnivDays+INT(MOD(AX139-FT_Y5,12)/FT_Int2))),IF(AQ139="PT",IF(AX139&lt;PT_First,0,1+INT((AX139-PT_First)/PT_Int)),0)),0)+IF(AND(AI139&gt;=3,AL139&lt;=PFYDate),IF(AR139="FT",IF(AW139&lt;FT_First,0,IF(AW139&lt;FT_Y5,1+INT((AW139-FT_First)/FT_Int1),FT_PreY5+FT_PerYear*INT((AW139-FT_Y5)/12)+FT_AnnivDays+INT(MOD(AW139-FT_Y5,12)/FT_Int2))),IF(AR139="PT",IF(AW139&lt;PT_First,0,1+INT((AW139-PT_First)/PT_Int)),0))-IF(AR139="FT",IF(AY139&lt;FT_First,0,IF(AY139&lt;FT_Y5,1+INT((AY139-FT_First)/FT_Int1),FT_PreY5+FT_PerYear*INT((AY139-FT_Y5)/12)+FT_AnnivDays+INT(MOD(AY139-FT_Y5,12)/FT_Int2))),IF(AR139="PT",IF(AY139&lt;PT_First,0,1+INT((AY139-PT_First)/PT_Int)),0)),0))</f>
        <v/>
      </c>
      <c r="BB139" s="14" t="str">
        <f aca="false">IF(AG139=0,"",IF(AS139="FT",IF(AT139&lt;FT_First,FT_First,IF(AT139&lt;FT_Y5,MIN(FT_Y5,FT_First+FT_Int1*(INT((AT139-FT_First)/FT_Int1)+1)),FT_Y5+12*INT((AT139-FT_Y5)/12)+FT_Int2*(INT(MOD(AT139-FT_Y5,12)/FT_Int2)+1))),IF(AS139="PT",IF(AT139&lt;PT_First,PT_First,PT_First+PT_Int*(INT((AT139-PT_First)/PT_Int)+1)),"")))</f>
        <v/>
      </c>
      <c r="BC139" s="14" t="str">
        <f aca="false">IF(AG139=0,"",IF(NOT(LH_Ready),0,COUNTIFS(INDEX(LH_Data,0,LH_ColFirst),$A139,INDEX(LH_Data,0,LH_ColSur),$B139,INDEX(LH_Data,0,LH_ColCat),BonusCat)))</f>
        <v/>
      </c>
      <c r="BD139" s="14" t="str">
        <f aca="false">IF(AG139=0,"",IF(OR(NOT(LH_Ready),BC139=0),0,SUMPRODUCT(MAX((INDEX(LH_Data,0,LH_ColFirst)=$A139)*(INDEX(LH_Data,0,LH_ColSur)=$B139)*(INDEX(LH_Data,0,LH_ColCat)=BonusCat)*ROW(LH_Data)))))</f>
        <v/>
      </c>
      <c r="BE139" s="14" t="str">
        <f aca="false">IF(AG139=0,"",IF(EOMONTH(AsOfDate,-1)&lt;AH139,-1,12*(YEAR(EOMONTH(AsOfDate,-1))-YEAR(AH139))+MONTH(EOMONTH(AsOfDate,-1))-MONTH(AH139)-IF(DAY(EOMONTH(AsOfDate,-1))&lt;MIN(DAY(AH139),DAY(EOMONTH(EOMONTH(AsOfDate,-1),0))),1,0)))</f>
        <v/>
      </c>
      <c r="BF139" s="14" t="str">
        <f aca="false">IF(AG139=0,"",IF(OR(AI139&lt;2,AK139&gt;EOMONTH(AsOfDate,-1)),BE139,IF((AK139-1)&lt;AH139,-1,12*(YEAR((AK139-1))-YEAR(AH139))+MONTH((AK139-1))-MONTH(AH139)-IF(DAY((AK139-1))&lt;MIN(DAY(AH139),DAY(EOMONTH((AK139-1),0))),1,0))))</f>
        <v/>
      </c>
      <c r="BG139" s="14" t="str">
        <f aca="false">IF(AG139=0,"",IF(OR(AI139&lt;3,AL139&gt;EOMONTH(AsOfDate,-1)),BE139,IF((AL139-1)&lt;AH139,-1,12*(YEAR((AL139-1))-YEAR(AH139))+MONTH((AL139-1))-MONTH(AH139)-IF(DAY((AL139-1))&lt;MIN(DAY(AH139),DAY(EOMONTH((AL139-1),0))),1,0))))</f>
        <v/>
      </c>
      <c r="BH139" s="14" t="str">
        <f aca="false">IF(AG139=0,"",IF(AP139="FT",IF(BF139&lt;FT_First,0,IF(BF139&lt;FT_Y5,1+INT((BF139-FT_First)/FT_Int1),FT_PreY5+FT_PerYear*INT((BF139-FT_Y5)/12)+FT_AnnivDays+INT(MOD(BF139-FT_Y5,12)/FT_Int2))),IF(AP139="PT",IF(BF139&lt;PT_First,0,1+INT((BF139-PT_First)/PT_Int)),0))+IF(AND(AI139&gt;=2,AK139&lt;=EOMONTH(AsOfDate,-1)),IF(AQ139="FT",IF(BG139&lt;FT_First,0,IF(BG139&lt;FT_Y5,1+INT((BG139-FT_First)/FT_Int1),FT_PreY5+FT_PerYear*INT((BG139-FT_Y5)/12)+FT_AnnivDays+INT(MOD(BG139-FT_Y5,12)/FT_Int2))),IF(AQ139="PT",IF(BG139&lt;PT_First,0,1+INT((BG139-PT_First)/PT_Int)),0))-IF(AQ139="FT",IF(BF139&lt;FT_First,0,IF(BF139&lt;FT_Y5,1+INT((BF139-FT_First)/FT_Int1),FT_PreY5+FT_PerYear*INT((BF139-FT_Y5)/12)+FT_AnnivDays+INT(MOD(BF139-FT_Y5,12)/FT_Int2))),IF(AQ139="PT",IF(BF139&lt;PT_First,0,1+INT((BF139-PT_First)/PT_Int)),0)),0)+IF(AND(AI139&gt;=3,AL139&lt;=EOMONTH(AsOfDate,-1)),IF(AR139="FT",IF(BE139&lt;FT_First,0,IF(BE139&lt;FT_Y5,1+INT((BE139-FT_First)/FT_Int1),FT_PreY5+FT_PerYear*INT((BE139-FT_Y5)/12)+FT_AnnivDays+INT(MOD(BE139-FT_Y5,12)/FT_Int2))),IF(AR139="PT",IF(BE139&lt;PT_First,0,1+INT((BE139-PT_First)/PT_Int)),0))-IF(AR139="FT",IF(BG139&lt;FT_First,0,IF(BG139&lt;FT_Y5,1+INT((BG139-FT_First)/FT_Int1),FT_PreY5+FT_PerYear*INT((BG139-FT_Y5)/12)+FT_AnnivDays+INT(MOD(BG139-FT_Y5,12)/FT_Int2))),IF(AR139="PT",IF(BG139&lt;PT_First,0,1+INT((BG139-PT_First)/PT_Int)),0)),0))</f>
        <v/>
      </c>
      <c r="BI139" s="14" t="str">
        <f aca="false">IF(AG139=0,"",IF(AS139="FT",IF(AT139&lt;FT_First,"",IF(AT139&lt;FT_Y5,FT_First+FT_Int1*INT((AT139-FT_First)/FT_Int1),FT_Y5+FT_Int2*INT((AT139-FT_Y5)/FT_Int2))),IF(AS139="PT",IF(AT139&lt;PT_First,"",PT_First+PT_Int*INT((AT139-PT_First)/PT_Int)),"")))</f>
        <v/>
      </c>
      <c r="BJ139" s="0" t="str">
        <f aca="false">IF(LEN($A139&amp;$B139)=0,"",$A139&amp;" "&amp;$B139)</f>
        <v/>
      </c>
    </row>
    <row r="140" customFormat="false" ht="15" hidden="false" customHeight="false" outlineLevel="0" collapsed="false">
      <c r="A140" s="10"/>
      <c r="B140" s="10"/>
      <c r="C140" s="10"/>
      <c r="D140" s="11"/>
      <c r="E140" s="12" t="str">
        <f aca="false">IF(OR(AG140=0,$D140=""),"",DATE(YEAR(AsOfDate)+IF(DATE(YEAR(AsOfDate),MONTH($D140),DAY($D140))&lt;=AsOfDate,1,0),MONTH($D140),DAY($D140)))</f>
        <v/>
      </c>
      <c r="F140" s="11"/>
      <c r="G140" s="11"/>
      <c r="H140" s="11"/>
      <c r="I140" s="11"/>
      <c r="J140" s="11"/>
      <c r="K140" s="12" t="str">
        <f aca="false">IF(AG140=0,"",DATE(YEAR(AsOfDate)+IF(DATE(YEAR(AsOfDate),MONTH(AH140),DAY(AH140))&lt;=AsOfDate,1,0),MONTH(AH140),DAY(AH140)))</f>
        <v/>
      </c>
      <c r="L140" s="13" t="str">
        <f aca="false">IF(AG140=0,"",ROUND((AsOfDate-AH140)/365.25,1))</f>
        <v/>
      </c>
      <c r="M140" s="14" t="str">
        <f aca="false">IF(AG140=0,"",IF(AsOfDate&lt;AH140,"-",DATEDIF(AH140,AsOfDate,"y")&amp;"y "&amp;DATEDIF(AH140,AsOfDate,"ym")&amp;"m "&amp;DATEDIF(AH140,AsOfDate,"md")&amp;"d"))</f>
        <v/>
      </c>
      <c r="N140" s="15" t="str">
        <f aca="false">IF(AG140=0,"",O140*HoursPerDay)</f>
        <v/>
      </c>
      <c r="O140" s="15" t="str">
        <f aca="false">IF(AG140=0,"",AZ140)</f>
        <v/>
      </c>
      <c r="P140" s="16"/>
      <c r="Q140" s="14" t="str">
        <f aca="false">IF(AG140=0,"",IF(AI140&lt;2,"",AM140&amp;" to "&amp;AN140&amp;" on "&amp;TEXT(AK140,"dd/mm/yyyy")&amp;IF(AK140&gt;AsOfDate," (future)",IF(AP140=AQ140,"",IF(AQ140="None"," - STOPPED accruing",IF(AP140="None"," - commencement for Bonus Leave"," - pathway changed"))))&amp;IF(AI140&lt;3,"","; "&amp;AN140&amp;" to "&amp;AO140&amp;" on "&amp;TEXT(AL140,"dd/mm/yyyy")&amp;IF(AL140&gt;AsOfDate," (future)",IF(AQ140=AR140,"",IF(AR140="None"," - STOPPED accruing",IF(AQ140="None"," - commencement for Bonus Leave"," - pathway changed")))))))</f>
        <v/>
      </c>
      <c r="R140" s="14" t="str">
        <f aca="false">IF(AG140=0,"",IF(AS140="None",IF(O140&gt;0,"No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2" t="str">
        <f aca="false">IF(AG140=0,"",IF(AS140="None","",EDATE(AH140,BB140)))</f>
        <v/>
      </c>
      <c r="T140" s="15" t="str">
        <f aca="false">IF(AG140=0,"",IF(NOT(LH_Ready),"",IF(AH140&gt;PFYDate,0,IF(LH_ColPeriod=0,W140-U140+V140,SUMIFS(INDEX(LH_Data,0,LH_ColAcc),INDEX(LH_Data,0,LH_ColFirst),$A140,INDEX(LH_Data,0,LH_ColSur),$B140,INDEX(LH_Data,0,LH_ColCat),BonusCat,INDEX(LH_Data,0,LH_ColPeriod),LH_OpenLabel)*UnitFactor))))</f>
        <v/>
      </c>
      <c r="U140" s="15" t="str">
        <f aca="false">IF(AG140=0,"",IF(NOT(LH_Ready),"",SUMIFS(INDEX(LH_Data,0,LH_ColAcc),INDEX(LH_Data,0,LH_ColFirst),$A140,INDEX(LH_Data,0,LH_ColSur),$B140,INDEX(LH_Data,0,LH_ColCat),BonusCat,INDEX(LH_Data,0,LH_ColStart),"&gt;="&amp;AH140)*UnitFactor))</f>
        <v/>
      </c>
      <c r="V140" s="15" t="str">
        <f aca="false">IF(AG140=0,"",IF(NOT(LH_Ready),"",SUMIFS(INDEX(LH_Data,0,LH_ColTaken),INDEX(LH_Data,0,LH_ColFirst),$A140,INDEX(LH_Data,0,LH_ColSur),$B140,INDEX(LH_Data,0,LH_ColCat),BonusCat,INDEX(LH_Data,0,LH_ColStart),"&gt;="&amp;AH140)*UnitFactor))</f>
        <v/>
      </c>
      <c r="W140" s="15" t="str">
        <f aca="false">IF(AG140=0,"",IF(NOT(LH_Ready),"",IF(BD140=0,0,INDEX(INDEX(LH_Data,0,LH_ColClose),BD140-1)*UnitFactor)))</f>
        <v/>
      </c>
      <c r="X140" s="15" t="str">
        <f aca="false">IF(AG140=0,"",(AZ140-BA140)*HoursPerDay)</f>
        <v/>
      </c>
      <c r="Y140" s="15" t="str">
        <f aca="false">IF(AG140=0,"",IF(NOT(LH_Ready),"",IF(BC140=0,N140,IF(PFYDate&lt;$F140,N140-N(T140)-N(U140),X140-N(U140)))))</f>
        <v/>
      </c>
      <c r="Z140" s="14" t="str">
        <f aca="false">IF(OR(AG140=0,Y140=""),"",IF(Y140&gt;0,"Yes","No"))</f>
        <v/>
      </c>
      <c r="AA140" s="14" t="str">
        <f aca="false">IF(AG140=0,IF(LEN($A140&amp;$B140)=0,"","FIX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month")&amp;IF(BC140=0,";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EH)",""),IF(AS140="None",R140,"Not yet - first day on "&amp;TEXT(S140,"dd/mm/yyyy")))))))))</f>
        <v/>
      </c>
      <c r="AB140" s="15" t="str">
        <f aca="false">IF(OR(AG140=0,T140=""),"",BA140*HoursPerDay-T140)</f>
        <v/>
      </c>
      <c r="AC140" s="14" t="str">
        <f aca="false">IF(AG140=0,"",BC140)</f>
        <v/>
      </c>
      <c r="AD140" s="14" t="str">
        <f aca="false">IF(AG140=0,"",TRIM(IF(OR(ISTEXT($F140),ISTEXT($H140),ISTEXT($I140),ISTEXT($G140),ISTEXT($J140),ISTEXT($D140)),"A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I140&gt;=1,IF(AI140&gt;=3,AO140,IF(AI140=2,AN140,AM140))&lt;&gt;IF($C140="","",IF(OR(ISNUMBER(SEARCH("full",$C140)),UPPER(TRIM($C140))="FT",UPPER(TRIM($C140))="FTE"),"Full-Time",IF(OR(ISNUMBER(SEARCH("part",$C140)),UPPER(TRIM($C140))="PT",UPPER(TRIM($C140))="PTE"),"Part-Time",IF(OR(ISNUMBER(SEARCH("cas",$C140)),UPPER(TRIM($C140))="CAS"),"Casual","Unknown"))))),"EmploymentType does not match latest start date ("&amp;IF(AI140&gt;=3,AO140,IF(AI140=2,AN140,AM140))&amp;"). ","")&amp;IF(AND(AI140&gt;=1,AJ140&lt;&gt;$F140),"Earliest type date should equal StartDate. ","")&amp;IF(AND(AI140&gt;=2,AJ140=AK140),"Two types start on the same date. ","")&amp;IF(AND(OR(ISNUMBER(SEARCH("part",$C140)),UPPER(TRIM($C140))="PT",UPPER(TRIM($C140))="PTE"),$P140=""),"Part-time: enter PT Hrs/Week (blank = 24+). ","")))</f>
        <v/>
      </c>
      <c r="AE140" s="15" t="str">
        <f aca="false">IF(AG140=0,"",O140-BH140)</f>
        <v/>
      </c>
      <c r="AF140" s="12" t="str">
        <f aca="false">IF(OR(AG140=0,AE140="",N(AE140)=0,BI140=""),"",EDATE(AH140,BI140))</f>
        <v/>
      </c>
      <c r="AG140" s="14" t="n">
        <f aca="false">IF(OR(LEN($A140&amp;$B140)=0,$F140=""),0,1)</f>
        <v>0</v>
      </c>
      <c r="AH140" s="12" t="str">
        <f aca="false">IF(AG140=0,"",IF($J140&lt;&gt;"",$J140,IF(OR(CasualCounts="Yes",COUNT($G140:$I140)=0,COUNT($H140:$I140)=0),$F140,MIN($H140:$I140))))</f>
        <v/>
      </c>
      <c r="AI140" s="14" t="str">
        <f aca="false">IF(AG140=0,"",COUNT($G140:$I140))</f>
        <v/>
      </c>
      <c r="AJ140" s="12" t="str">
        <f aca="false">IF(AG140=0,"",IFERROR(SMALL($G140:$I140,1),""))</f>
        <v/>
      </c>
      <c r="AK140" s="12" t="str">
        <f aca="false">IF(AG140=0,"",IFERROR(SMALL($G140:$I140,2),""))</f>
        <v/>
      </c>
      <c r="AL140" s="12" t="str">
        <f aca="false">IF(AG140=0,"",IFERROR(SMALL($G140:$I140,3),""))</f>
        <v/>
      </c>
      <c r="AM140" s="14" t="str">
        <f aca="false">IF(AG140=0,"",IF(AJ140="","",IF(AJ140=$H140,"Part-Time",IF(AJ140=$I140,"Full-Time","Casual"))))</f>
        <v/>
      </c>
      <c r="AN140" s="14" t="str">
        <f aca="false">IF(AG140=0,"",IF(AK140="","",IF(AK140=$H140,"Part-Time",IF(AK140=$I140,"Full-Time","Casual"))))</f>
        <v/>
      </c>
      <c r="AO140" s="14" t="str">
        <f aca="false">IF(AG140=0,"",IF(AL140="","",IF(AL140=$H140,"Part-Time",IF(AL140=$I140,"Full-Time","Casual"))))</f>
        <v/>
      </c>
      <c r="AP140" s="14" t="str">
        <f aca="false">IF(AG140=0,"",IF(AI140=0,IF(OR(ISNUMBER(SEARCH("full",$C140)),UPPER(TRIM($C140))="FT",UPPER(TRIM($C140))="FTE"),"FT",IF(AND(OR(ISNUMBER(SEARCH("part",$C140)),UPPER(TRIM($C140))="PT",UPPER(TRIM($C140))="PTE"),OR($P140="",N($P140)&gt;=PT_MinHours)),"PT","None")),IF(OR(ISNUMBER(SEARCH("full",AM140)),UPPER(TRIM(AM140))="FT",UPPER(TRIM(AM140))="FTE"),"FT",IF(AND(OR(ISNUMBER(SEARCH("part",AM140)),UPPER(TRIM(AM140))="PT",UPPER(TRIM(AM140))="PTE"),OR($P140="",N($P140)&gt;=PT_MinHours)),"PT","None"))))</f>
        <v/>
      </c>
      <c r="AQ140" s="14" t="str">
        <f aca="false">IF(AG140=0,"",IF(AI140&lt;2,"",IF(OR(ISNUMBER(SEARCH("full",AN140)),UPPER(TRIM(AN140))="FT",UPPER(TRIM(AN140))="FTE"),"FT",IF(AND(OR(ISNUMBER(SEARCH("part",AN140)),UPPER(TRIM(AN140))="PT",UPPER(TRIM(AN140))="PTE"),OR($P140="",N($P140)&gt;=PT_MinHours)),"PT","None"))))</f>
        <v/>
      </c>
      <c r="AR140" s="14" t="str">
        <f aca="false">IF(AG140=0,"",IF(AI140&lt;3,"",IF(OR(ISNUMBER(SEARCH("full",AO140)),UPPER(TRIM(AO140))="FT",UPPER(TRIM(AO140))="FTE"),"FT",IF(AND(OR(ISNUMBER(SEARCH("part",AO140)),UPPER(TRIM(AO140))="PT",UPPER(TRIM(AO140))="PTE"),OR($P140="",N($P140)&gt;=PT_MinHours)),"PT","None"))))</f>
        <v/>
      </c>
      <c r="AS140" s="14" t="str">
        <f aca="false">IF(AG140=0,"",IF(AND(AI140&gt;=3,AL140&lt;=AsOfDate),AR140,IF(AND(AI140&gt;=2,AK140&lt;=AsOfDate),AQ140,AP140)))</f>
        <v/>
      </c>
      <c r="AT140" s="14" t="str">
        <f aca="false">IF(AG140=0,"",IF(AsOfDate&lt;AH140,-1,12*(YEAR(AsOfDate)-YEAR(AH140))+MONTH(AsOfDate)-MONTH(AH140)-IF(DAY(AsOfDate)&lt;MIN(DAY(AH140),DAY(EOMONTH(AsOfDate,0))),1,0)))</f>
        <v/>
      </c>
      <c r="AU140" s="14" t="str">
        <f aca="false">IF(AG140=0,"",IF(OR(AI140&lt;2,AK140&gt;AsOfDate),AT140,IF((AK140-1)&lt;AH140,-1,12*(YEAR((AK140-1))-YEAR(AH140))+MONTH((AK140-1))-MONTH(AH140)-IF(DAY((AK140-1))&lt;MIN(DAY(AH140),DAY(EOMONTH((AK140-1),0))),1,0))))</f>
        <v/>
      </c>
      <c r="AV140" s="14" t="str">
        <f aca="false">IF(AG140=0,"",IF(OR(AI140&lt;3,AL140&gt;AsOfDate),AT140,IF((AL140-1)&lt;AH140,-1,12*(YEAR((AL140-1))-YEAR(AH140))+MONTH((AL140-1))-MONTH(AH140)-IF(DAY((AL140-1))&lt;MIN(DAY(AH140),DAY(EOMONTH((AL140-1),0))),1,0))))</f>
        <v/>
      </c>
      <c r="AW140" s="14" t="str">
        <f aca="false">IF(AG140=0,"",IF(PFYDate&lt;AH140,-1,12*(YEAR(PFYDate)-YEAR(AH140))+MONTH(PFYDate)-MONTH(AH140)-IF(DAY(PFYDate)&lt;MIN(DAY(AH140),DAY(EOMONTH(PFYDate,0))),1,0)))</f>
        <v/>
      </c>
      <c r="AX140" s="14" t="str">
        <f aca="false">IF(AG140=0,"",IF(OR(AI140&lt;2,AK140&gt;PFYDate),AW140,IF((AK140-1)&lt;AH140,-1,12*(YEAR((AK140-1))-YEAR(AH140))+MONTH((AK140-1))-MONTH(AH140)-IF(DAY((AK140-1))&lt;MIN(DAY(AH140),DAY(EOMONTH((AK140-1),0))),1,0))))</f>
        <v/>
      </c>
      <c r="AY140" s="14" t="str">
        <f aca="false">IF(AG140=0,"",IF(OR(AI140&lt;3,AL140&gt;PFYDate),AW140,IF((AL140-1)&lt;AH140,-1,12*(YEAR((AL140-1))-YEAR(AH140))+MONTH((AL140-1))-MONTH(AH140)-IF(DAY((AL140-1))&lt;MIN(DAY(AH140),DAY(EOMONTH((AL140-1),0))),1,0))))</f>
        <v/>
      </c>
      <c r="AZ140" s="14" t="str">
        <f aca="false">IF(AG140=0,"",IF(AP140="FT",IF(AU140&lt;FT_First,0,IF(AU140&lt;FT_Y5,1+INT((AU140-FT_First)/FT_Int1),FT_PreY5+FT_PerYear*INT((AU140-FT_Y5)/12)+FT_AnnivDays+INT(MOD(AU140-FT_Y5,12)/FT_Int2))),IF(AP140="PT",IF(AU140&lt;PT_First,0,1+INT((AU140-PT_First)/PT_Int)),0))+IF(AND(AI140&gt;=2,AK140&lt;=AsOfDate),IF(AQ140="FT",IF(AV140&lt;FT_First,0,IF(AV140&lt;FT_Y5,1+INT((AV140-FT_First)/FT_Int1),FT_PreY5+FT_PerYear*INT((AV140-FT_Y5)/12)+FT_AnnivDays+INT(MOD(AV140-FT_Y5,12)/FT_Int2))),IF(AQ140="PT",IF(AV140&lt;PT_First,0,1+INT((AV140-PT_First)/PT_Int)),0))-IF(AQ140="FT",IF(AU140&lt;FT_First,0,IF(AU140&lt;FT_Y5,1+INT((AU140-FT_First)/FT_Int1),FT_PreY5+FT_PerYear*INT((AU140-FT_Y5)/12)+FT_AnnivDays+INT(MOD(AU140-FT_Y5,12)/FT_Int2))),IF(AQ140="PT",IF(AU140&lt;PT_First,0,1+INT((AU140-PT_First)/PT_Int)),0)),0)+IF(AND(AI140&gt;=3,AL140&lt;=AsOfDate),IF(AR140="FT",IF(AT140&lt;FT_First,0,IF(AT140&lt;FT_Y5,1+INT((AT140-FT_First)/FT_Int1),FT_PreY5+FT_PerYear*INT((AT140-FT_Y5)/12)+FT_AnnivDays+INT(MOD(AT140-FT_Y5,12)/FT_Int2))),IF(AR140="PT",IF(AT140&lt;PT_First,0,1+INT((AT140-PT_First)/PT_Int)),0))-IF(AR140="FT",IF(AV140&lt;FT_First,0,IF(AV140&lt;FT_Y5,1+INT((AV140-FT_First)/FT_Int1),FT_PreY5+FT_PerYear*INT((AV140-FT_Y5)/12)+FT_AnnivDays+INT(MOD(AV140-FT_Y5,12)/FT_Int2))),IF(AR140="PT",IF(AV140&lt;PT_First,0,1+INT((AV140-PT_First)/PT_Int)),0)),0))</f>
        <v/>
      </c>
      <c r="BA140" s="14" t="str">
        <f aca="false">IF(AG140=0,"",IF(AP140="FT",IF(AX140&lt;FT_First,0,IF(AX140&lt;FT_Y5,1+INT((AX140-FT_First)/FT_Int1),FT_PreY5+FT_PerYear*INT((AX140-FT_Y5)/12)+FT_AnnivDays+INT(MOD(AX140-FT_Y5,12)/FT_Int2))),IF(AP140="PT",IF(AX140&lt;PT_First,0,1+INT((AX140-PT_First)/PT_Int)),0))+IF(AND(AI140&gt;=2,AK140&lt;=PFYDate),IF(AQ140="FT",IF(AY140&lt;FT_First,0,IF(AY140&lt;FT_Y5,1+INT((AY140-FT_First)/FT_Int1),FT_PreY5+FT_PerYear*INT((AY140-FT_Y5)/12)+FT_AnnivDays+INT(MOD(AY140-FT_Y5,12)/FT_Int2))),IF(AQ140="PT",IF(AY140&lt;PT_First,0,1+INT((AY140-PT_First)/PT_Int)),0))-IF(AQ140="FT",IF(AX140&lt;FT_First,0,IF(AX140&lt;FT_Y5,1+INT((AX140-FT_First)/FT_Int1),FT_PreY5+FT_PerYear*INT((AX140-FT_Y5)/12)+FT_AnnivDays+INT(MOD(AX140-FT_Y5,12)/FT_Int2))),IF(AQ140="PT",IF(AX140&lt;PT_First,0,1+INT((AX140-PT_First)/PT_Int)),0)),0)+IF(AND(AI140&gt;=3,AL140&lt;=PFYDate),IF(AR140="FT",IF(AW140&lt;FT_First,0,IF(AW140&lt;FT_Y5,1+INT((AW140-FT_First)/FT_Int1),FT_PreY5+FT_PerYear*INT((AW140-FT_Y5)/12)+FT_AnnivDays+INT(MOD(AW140-FT_Y5,12)/FT_Int2))),IF(AR140="PT",IF(AW140&lt;PT_First,0,1+INT((AW140-PT_First)/PT_Int)),0))-IF(AR140="FT",IF(AY140&lt;FT_First,0,IF(AY140&lt;FT_Y5,1+INT((AY140-FT_First)/FT_Int1),FT_PreY5+FT_PerYear*INT((AY140-FT_Y5)/12)+FT_AnnivDays+INT(MOD(AY140-FT_Y5,12)/FT_Int2))),IF(AR140="PT",IF(AY140&lt;PT_First,0,1+INT((AY140-PT_First)/PT_Int)),0)),0))</f>
        <v/>
      </c>
      <c r="BB140" s="14" t="str">
        <f aca="false">IF(AG140=0,"",IF(AS140="FT",IF(AT140&lt;FT_First,FT_First,IF(AT140&lt;FT_Y5,MIN(FT_Y5,FT_First+FT_Int1*(INT((AT140-FT_First)/FT_Int1)+1)),FT_Y5+12*INT((AT140-FT_Y5)/12)+FT_Int2*(INT(MOD(AT140-FT_Y5,12)/FT_Int2)+1))),IF(AS140="PT",IF(AT140&lt;PT_First,PT_First,PT_First+PT_Int*(INT((AT140-PT_First)/PT_Int)+1)),"")))</f>
        <v/>
      </c>
      <c r="BC140" s="14" t="str">
        <f aca="false">IF(AG140=0,"",IF(NOT(LH_Ready),0,COUNTIFS(INDEX(LH_Data,0,LH_ColFirst),$A140,INDEX(LH_Data,0,LH_ColSur),$B140,INDEX(LH_Data,0,LH_ColCat),BonusCat)))</f>
        <v/>
      </c>
      <c r="BD140" s="14" t="str">
        <f aca="false">IF(AG140=0,"",IF(OR(NOT(LH_Ready),BC140=0),0,SUMPRODUCT(MAX((INDEX(LH_Data,0,LH_ColFirst)=$A140)*(INDEX(LH_Data,0,LH_ColSur)=$B140)*(INDEX(LH_Data,0,LH_ColCat)=BonusCat)*ROW(LH_Data)))))</f>
        <v/>
      </c>
      <c r="BE140" s="14" t="str">
        <f aca="false">IF(AG140=0,"",IF(EOMONTH(AsOfDate,-1)&lt;AH140,-1,12*(YEAR(EOMONTH(AsOfDate,-1))-YEAR(AH140))+MONTH(EOMONTH(AsOfDate,-1))-MONTH(AH140)-IF(DAY(EOMONTH(AsOfDate,-1))&lt;MIN(DAY(AH140),DAY(EOMONTH(EOMONTH(AsOfDate,-1),0))),1,0)))</f>
        <v/>
      </c>
      <c r="BF140" s="14" t="str">
        <f aca="false">IF(AG140=0,"",IF(OR(AI140&lt;2,AK140&gt;EOMONTH(AsOfDate,-1)),BE140,IF((AK140-1)&lt;AH140,-1,12*(YEAR((AK140-1))-YEAR(AH140))+MONTH((AK140-1))-MONTH(AH140)-IF(DAY((AK140-1))&lt;MIN(DAY(AH140),DAY(EOMONTH((AK140-1),0))),1,0))))</f>
        <v/>
      </c>
      <c r="BG140" s="14" t="str">
        <f aca="false">IF(AG140=0,"",IF(OR(AI140&lt;3,AL140&gt;EOMONTH(AsOfDate,-1)),BE140,IF((AL140-1)&lt;AH140,-1,12*(YEAR((AL140-1))-YEAR(AH140))+MONTH((AL140-1))-MONTH(AH140)-IF(DAY((AL140-1))&lt;MIN(DAY(AH140),DAY(EOMONTH((AL140-1),0))),1,0))))</f>
        <v/>
      </c>
      <c r="BH140" s="14" t="str">
        <f aca="false">IF(AG140=0,"",IF(AP140="FT",IF(BF140&lt;FT_First,0,IF(BF140&lt;FT_Y5,1+INT((BF140-FT_First)/FT_Int1),FT_PreY5+FT_PerYear*INT((BF140-FT_Y5)/12)+FT_AnnivDays+INT(MOD(BF140-FT_Y5,12)/FT_Int2))),IF(AP140="PT",IF(BF140&lt;PT_First,0,1+INT((BF140-PT_First)/PT_Int)),0))+IF(AND(AI140&gt;=2,AK140&lt;=EOMONTH(AsOfDate,-1)),IF(AQ140="FT",IF(BG140&lt;FT_First,0,IF(BG140&lt;FT_Y5,1+INT((BG140-FT_First)/FT_Int1),FT_PreY5+FT_PerYear*INT((BG140-FT_Y5)/12)+FT_AnnivDays+INT(MOD(BG140-FT_Y5,12)/FT_Int2))),IF(AQ140="PT",IF(BG140&lt;PT_First,0,1+INT((BG140-PT_First)/PT_Int)),0))-IF(AQ140="FT",IF(BF140&lt;FT_First,0,IF(BF140&lt;FT_Y5,1+INT((BF140-FT_First)/FT_Int1),FT_PreY5+FT_PerYear*INT((BF140-FT_Y5)/12)+FT_AnnivDays+INT(MOD(BF140-FT_Y5,12)/FT_Int2))),IF(AQ140="PT",IF(BF140&lt;PT_First,0,1+INT((BF140-PT_First)/PT_Int)),0)),0)+IF(AND(AI140&gt;=3,AL140&lt;=EOMONTH(AsOfDate,-1)),IF(AR140="FT",IF(BE140&lt;FT_First,0,IF(BE140&lt;FT_Y5,1+INT((BE140-FT_First)/FT_Int1),FT_PreY5+FT_PerYear*INT((BE140-FT_Y5)/12)+FT_AnnivDays+INT(MOD(BE140-FT_Y5,12)/FT_Int2))),IF(AR140="PT",IF(BE140&lt;PT_First,0,1+INT((BE140-PT_First)/PT_Int)),0))-IF(AR140="FT",IF(BG140&lt;FT_First,0,IF(BG140&lt;FT_Y5,1+INT((BG140-FT_First)/FT_Int1),FT_PreY5+FT_PerYear*INT((BG140-FT_Y5)/12)+FT_AnnivDays+INT(MOD(BG140-FT_Y5,12)/FT_Int2))),IF(AR140="PT",IF(BG140&lt;PT_First,0,1+INT((BG140-PT_First)/PT_Int)),0)),0))</f>
        <v/>
      </c>
      <c r="BI140" s="14" t="str">
        <f aca="false">IF(AG140=0,"",IF(AS140="FT",IF(AT140&lt;FT_First,"",IF(AT140&lt;FT_Y5,FT_First+FT_Int1*INT((AT140-FT_First)/FT_Int1),FT_Y5+FT_Int2*INT((AT140-FT_Y5)/FT_Int2))),IF(AS140="PT",IF(AT140&lt;PT_First,"",PT_First+PT_Int*INT((AT140-PT_First)/PT_Int)),"")))</f>
        <v/>
      </c>
      <c r="BJ140" s="0" t="str">
        <f aca="false">IF(LEN($A140&amp;$B140)=0,"",$A140&amp;" "&amp;$B140)</f>
        <v/>
      </c>
    </row>
    <row r="141" customFormat="false" ht="15" hidden="false" customHeight="false" outlineLevel="0" collapsed="false">
      <c r="A141" s="10"/>
      <c r="B141" s="10"/>
      <c r="C141" s="10"/>
      <c r="D141" s="11"/>
      <c r="E141" s="12" t="str">
        <f aca="false">IF(OR(AG141=0,$D141=""),"",DATE(YEAR(AsOfDate)+IF(DATE(YEAR(AsOfDate),MONTH($D141),DAY($D141))&lt;=AsOfDate,1,0),MONTH($D141),DAY($D141)))</f>
        <v/>
      </c>
      <c r="F141" s="11"/>
      <c r="G141" s="11"/>
      <c r="H141" s="11"/>
      <c r="I141" s="11"/>
      <c r="J141" s="11"/>
      <c r="K141" s="12" t="str">
        <f aca="false">IF(AG141=0,"",DATE(YEAR(AsOfDate)+IF(DATE(YEAR(AsOfDate),MONTH(AH141),DAY(AH141))&lt;=AsOfDate,1,0),MONTH(AH141),DAY(AH141)))</f>
        <v/>
      </c>
      <c r="L141" s="13" t="str">
        <f aca="false">IF(AG141=0,"",ROUND((AsOfDate-AH141)/365.25,1))</f>
        <v/>
      </c>
      <c r="M141" s="14" t="str">
        <f aca="false">IF(AG141=0,"",IF(AsOfDate&lt;AH141,"-",DATEDIF(AH141,AsOfDate,"y")&amp;"y "&amp;DATEDIF(AH141,AsOfDate,"ym")&amp;"m "&amp;DATEDIF(AH141,AsOfDate,"md")&amp;"d"))</f>
        <v/>
      </c>
      <c r="N141" s="15" t="str">
        <f aca="false">IF(AG141=0,"",O141*HoursPerDay)</f>
        <v/>
      </c>
      <c r="O141" s="15" t="str">
        <f aca="false">IF(AG141=0,"",AZ141)</f>
        <v/>
      </c>
      <c r="P141" s="16"/>
      <c r="Q141" s="14" t="str">
        <f aca="false">IF(AG141=0,"",IF(AI141&lt;2,"",AM141&amp;" to "&amp;AN141&amp;" on "&amp;TEXT(AK141,"dd/mm/yyyy")&amp;IF(AK141&gt;AsOfDate," (future)",IF(AP141=AQ141,"",IF(AQ141="None"," - STOPPED accruing",IF(AP141="None"," - commencement for Bonus Leave"," - pathway changed"))))&amp;IF(AI141&lt;3,"","; "&amp;AN141&amp;" to "&amp;AO141&amp;" on "&amp;TEXT(AL141,"dd/mm/yyyy")&amp;IF(AL141&gt;AsOfDate," (future)",IF(AQ141=AR141,"",IF(AR141="None"," - STOPPED accruing",IF(AQ141="None"," - commencement for Bonus Leave"," - pathway changed")))))))</f>
        <v/>
      </c>
      <c r="R141" s="14" t="str">
        <f aca="false">IF(AG141=0,"",IF(AS141="None",IF(O141&gt;0,"No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2" t="str">
        <f aca="false">IF(AG141=0,"",IF(AS141="None","",EDATE(AH141,BB141)))</f>
        <v/>
      </c>
      <c r="T141" s="15" t="str">
        <f aca="false">IF(AG141=0,"",IF(NOT(LH_Ready),"",IF(AH141&gt;PFYDate,0,IF(LH_ColPeriod=0,W141-U141+V141,SUMIFS(INDEX(LH_Data,0,LH_ColAcc),INDEX(LH_Data,0,LH_ColFirst),$A141,INDEX(LH_Data,0,LH_ColSur),$B141,INDEX(LH_Data,0,LH_ColCat),BonusCat,INDEX(LH_Data,0,LH_ColPeriod),LH_OpenLabel)*UnitFactor))))</f>
        <v/>
      </c>
      <c r="U141" s="15" t="str">
        <f aca="false">IF(AG141=0,"",IF(NOT(LH_Ready),"",SUMIFS(INDEX(LH_Data,0,LH_ColAcc),INDEX(LH_Data,0,LH_ColFirst),$A141,INDEX(LH_Data,0,LH_ColSur),$B141,INDEX(LH_Data,0,LH_ColCat),BonusCat,INDEX(LH_Data,0,LH_ColStart),"&gt;="&amp;AH141)*UnitFactor))</f>
        <v/>
      </c>
      <c r="V141" s="15" t="str">
        <f aca="false">IF(AG141=0,"",IF(NOT(LH_Ready),"",SUMIFS(INDEX(LH_Data,0,LH_ColTaken),INDEX(LH_Data,0,LH_ColFirst),$A141,INDEX(LH_Data,0,LH_ColSur),$B141,INDEX(LH_Data,0,LH_ColCat),BonusCat,INDEX(LH_Data,0,LH_ColStart),"&gt;="&amp;AH141)*UnitFactor))</f>
        <v/>
      </c>
      <c r="W141" s="15" t="str">
        <f aca="false">IF(AG141=0,"",IF(NOT(LH_Ready),"",IF(BD141=0,0,INDEX(INDEX(LH_Data,0,LH_ColClose),BD141-1)*UnitFactor)))</f>
        <v/>
      </c>
      <c r="X141" s="15" t="str">
        <f aca="false">IF(AG141=0,"",(AZ141-BA141)*HoursPerDay)</f>
        <v/>
      </c>
      <c r="Y141" s="15" t="str">
        <f aca="false">IF(AG141=0,"",IF(NOT(LH_Ready),"",IF(BC141=0,N141,IF(PFYDate&lt;$F141,N141-N(T141)-N(U141),X141-N(U141)))))</f>
        <v/>
      </c>
      <c r="Z141" s="14" t="str">
        <f aca="false">IF(OR(AG141=0,Y141=""),"",IF(Y141&gt;0,"Yes","No"))</f>
        <v/>
      </c>
      <c r="AA141" s="14" t="str">
        <f aca="false">IF(AG141=0,IF(LEN($A141&amp;$B141)=0,"","FIX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month")&amp;IF(BC141=0,";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EH)",""),IF(AS141="None",R141,"Not yet - first day on "&amp;TEXT(S141,"dd/mm/yyyy")))))))))</f>
        <v/>
      </c>
      <c r="AB141" s="15" t="str">
        <f aca="false">IF(OR(AG141=0,T141=""),"",BA141*HoursPerDay-T141)</f>
        <v/>
      </c>
      <c r="AC141" s="14" t="str">
        <f aca="false">IF(AG141=0,"",BC141)</f>
        <v/>
      </c>
      <c r="AD141" s="14" t="str">
        <f aca="false">IF(AG141=0,"",TRIM(IF(OR(ISTEXT($F141),ISTEXT($H141),ISTEXT($I141),ISTEXT($G141),ISTEXT($J141),ISTEXT($D141)),"A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I141&gt;=1,IF(AI141&gt;=3,AO141,IF(AI141=2,AN141,AM141))&lt;&gt;IF($C141="","",IF(OR(ISNUMBER(SEARCH("full",$C141)),UPPER(TRIM($C141))="FT",UPPER(TRIM($C141))="FTE"),"Full-Time",IF(OR(ISNUMBER(SEARCH("part",$C141)),UPPER(TRIM($C141))="PT",UPPER(TRIM($C141))="PTE"),"Part-Time",IF(OR(ISNUMBER(SEARCH("cas",$C141)),UPPER(TRIM($C141))="CAS"),"Casual","Unknown"))))),"EmploymentType does not match latest start date ("&amp;IF(AI141&gt;=3,AO141,IF(AI141=2,AN141,AM141))&amp;"). ","")&amp;IF(AND(AI141&gt;=1,AJ141&lt;&gt;$F141),"Earliest type date should equal StartDate. ","")&amp;IF(AND(AI141&gt;=2,AJ141=AK141),"Two types start on the same date. ","")&amp;IF(AND(OR(ISNUMBER(SEARCH("part",$C141)),UPPER(TRIM($C141))="PT",UPPER(TRIM($C141))="PTE"),$P141=""),"Part-time: enter PT Hrs/Week (blank = 24+). ","")))</f>
        <v/>
      </c>
      <c r="AE141" s="15" t="str">
        <f aca="false">IF(AG141=0,"",O141-BH141)</f>
        <v/>
      </c>
      <c r="AF141" s="12" t="str">
        <f aca="false">IF(OR(AG141=0,AE141="",N(AE141)=0,BI141=""),"",EDATE(AH141,BI141))</f>
        <v/>
      </c>
      <c r="AG141" s="14" t="n">
        <f aca="false">IF(OR(LEN($A141&amp;$B141)=0,$F141=""),0,1)</f>
        <v>0</v>
      </c>
      <c r="AH141" s="12" t="str">
        <f aca="false">IF(AG141=0,"",IF($J141&lt;&gt;"",$J141,IF(OR(CasualCounts="Yes",COUNT($G141:$I141)=0,COUNT($H141:$I141)=0),$F141,MIN($H141:$I141))))</f>
        <v/>
      </c>
      <c r="AI141" s="14" t="str">
        <f aca="false">IF(AG141=0,"",COUNT($G141:$I141))</f>
        <v/>
      </c>
      <c r="AJ141" s="12" t="str">
        <f aca="false">IF(AG141=0,"",IFERROR(SMALL($G141:$I141,1),""))</f>
        <v/>
      </c>
      <c r="AK141" s="12" t="str">
        <f aca="false">IF(AG141=0,"",IFERROR(SMALL($G141:$I141,2),""))</f>
        <v/>
      </c>
      <c r="AL141" s="12" t="str">
        <f aca="false">IF(AG141=0,"",IFERROR(SMALL($G141:$I141,3),""))</f>
        <v/>
      </c>
      <c r="AM141" s="14" t="str">
        <f aca="false">IF(AG141=0,"",IF(AJ141="","",IF(AJ141=$H141,"Part-Time",IF(AJ141=$I141,"Full-Time","Casual"))))</f>
        <v/>
      </c>
      <c r="AN141" s="14" t="str">
        <f aca="false">IF(AG141=0,"",IF(AK141="","",IF(AK141=$H141,"Part-Time",IF(AK141=$I141,"Full-Time","Casual"))))</f>
        <v/>
      </c>
      <c r="AO141" s="14" t="str">
        <f aca="false">IF(AG141=0,"",IF(AL141="","",IF(AL141=$H141,"Part-Time",IF(AL141=$I141,"Full-Time","Casual"))))</f>
        <v/>
      </c>
      <c r="AP141" s="14" t="str">
        <f aca="false">IF(AG141=0,"",IF(AI141=0,IF(OR(ISNUMBER(SEARCH("full",$C141)),UPPER(TRIM($C141))="FT",UPPER(TRIM($C141))="FTE"),"FT",IF(AND(OR(ISNUMBER(SEARCH("part",$C141)),UPPER(TRIM($C141))="PT",UPPER(TRIM($C141))="PTE"),OR($P141="",N($P141)&gt;=PT_MinHours)),"PT","None")),IF(OR(ISNUMBER(SEARCH("full",AM141)),UPPER(TRIM(AM141))="FT",UPPER(TRIM(AM141))="FTE"),"FT",IF(AND(OR(ISNUMBER(SEARCH("part",AM141)),UPPER(TRIM(AM141))="PT",UPPER(TRIM(AM141))="PTE"),OR($P141="",N($P141)&gt;=PT_MinHours)),"PT","None"))))</f>
        <v/>
      </c>
      <c r="AQ141" s="14" t="str">
        <f aca="false">IF(AG141=0,"",IF(AI141&lt;2,"",IF(OR(ISNUMBER(SEARCH("full",AN141)),UPPER(TRIM(AN141))="FT",UPPER(TRIM(AN141))="FTE"),"FT",IF(AND(OR(ISNUMBER(SEARCH("part",AN141)),UPPER(TRIM(AN141))="PT",UPPER(TRIM(AN141))="PTE"),OR($P141="",N($P141)&gt;=PT_MinHours)),"PT","None"))))</f>
        <v/>
      </c>
      <c r="AR141" s="14" t="str">
        <f aca="false">IF(AG141=0,"",IF(AI141&lt;3,"",IF(OR(ISNUMBER(SEARCH("full",AO141)),UPPER(TRIM(AO141))="FT",UPPER(TRIM(AO141))="FTE"),"FT",IF(AND(OR(ISNUMBER(SEARCH("part",AO141)),UPPER(TRIM(AO141))="PT",UPPER(TRIM(AO141))="PTE"),OR($P141="",N($P141)&gt;=PT_MinHours)),"PT","None"))))</f>
        <v/>
      </c>
      <c r="AS141" s="14" t="str">
        <f aca="false">IF(AG141=0,"",IF(AND(AI141&gt;=3,AL141&lt;=AsOfDate),AR141,IF(AND(AI141&gt;=2,AK141&lt;=AsOfDate),AQ141,AP141)))</f>
        <v/>
      </c>
      <c r="AT141" s="14" t="str">
        <f aca="false">IF(AG141=0,"",IF(AsOfDate&lt;AH141,-1,12*(YEAR(AsOfDate)-YEAR(AH141))+MONTH(AsOfDate)-MONTH(AH141)-IF(DAY(AsOfDate)&lt;MIN(DAY(AH141),DAY(EOMONTH(AsOfDate,0))),1,0)))</f>
        <v/>
      </c>
      <c r="AU141" s="14" t="str">
        <f aca="false">IF(AG141=0,"",IF(OR(AI141&lt;2,AK141&gt;AsOfDate),AT141,IF((AK141-1)&lt;AH141,-1,12*(YEAR((AK141-1))-YEAR(AH141))+MONTH((AK141-1))-MONTH(AH141)-IF(DAY((AK141-1))&lt;MIN(DAY(AH141),DAY(EOMONTH((AK141-1),0))),1,0))))</f>
        <v/>
      </c>
      <c r="AV141" s="14" t="str">
        <f aca="false">IF(AG141=0,"",IF(OR(AI141&lt;3,AL141&gt;AsOfDate),AT141,IF((AL141-1)&lt;AH141,-1,12*(YEAR((AL141-1))-YEAR(AH141))+MONTH((AL141-1))-MONTH(AH141)-IF(DAY((AL141-1))&lt;MIN(DAY(AH141),DAY(EOMONTH((AL141-1),0))),1,0))))</f>
        <v/>
      </c>
      <c r="AW141" s="14" t="str">
        <f aca="false">IF(AG141=0,"",IF(PFYDate&lt;AH141,-1,12*(YEAR(PFYDate)-YEAR(AH141))+MONTH(PFYDate)-MONTH(AH141)-IF(DAY(PFYDate)&lt;MIN(DAY(AH141),DAY(EOMONTH(PFYDate,0))),1,0)))</f>
        <v/>
      </c>
      <c r="AX141" s="14" t="str">
        <f aca="false">IF(AG141=0,"",IF(OR(AI141&lt;2,AK141&gt;PFYDate),AW141,IF((AK141-1)&lt;AH141,-1,12*(YEAR((AK141-1))-YEAR(AH141))+MONTH((AK141-1))-MONTH(AH141)-IF(DAY((AK141-1))&lt;MIN(DAY(AH141),DAY(EOMONTH((AK141-1),0))),1,0))))</f>
        <v/>
      </c>
      <c r="AY141" s="14" t="str">
        <f aca="false">IF(AG141=0,"",IF(OR(AI141&lt;3,AL141&gt;PFYDate),AW141,IF((AL141-1)&lt;AH141,-1,12*(YEAR((AL141-1))-YEAR(AH141))+MONTH((AL141-1))-MONTH(AH141)-IF(DAY((AL141-1))&lt;MIN(DAY(AH141),DAY(EOMONTH((AL141-1),0))),1,0))))</f>
        <v/>
      </c>
      <c r="AZ141" s="14" t="str">
        <f aca="false">IF(AG141=0,"",IF(AP141="FT",IF(AU141&lt;FT_First,0,IF(AU141&lt;FT_Y5,1+INT((AU141-FT_First)/FT_Int1),FT_PreY5+FT_PerYear*INT((AU141-FT_Y5)/12)+FT_AnnivDays+INT(MOD(AU141-FT_Y5,12)/FT_Int2))),IF(AP141="PT",IF(AU141&lt;PT_First,0,1+INT((AU141-PT_First)/PT_Int)),0))+IF(AND(AI141&gt;=2,AK141&lt;=AsOfDate),IF(AQ141="FT",IF(AV141&lt;FT_First,0,IF(AV141&lt;FT_Y5,1+INT((AV141-FT_First)/FT_Int1),FT_PreY5+FT_PerYear*INT((AV141-FT_Y5)/12)+FT_AnnivDays+INT(MOD(AV141-FT_Y5,12)/FT_Int2))),IF(AQ141="PT",IF(AV141&lt;PT_First,0,1+INT((AV141-PT_First)/PT_Int)),0))-IF(AQ141="FT",IF(AU141&lt;FT_First,0,IF(AU141&lt;FT_Y5,1+INT((AU141-FT_First)/FT_Int1),FT_PreY5+FT_PerYear*INT((AU141-FT_Y5)/12)+FT_AnnivDays+INT(MOD(AU141-FT_Y5,12)/FT_Int2))),IF(AQ141="PT",IF(AU141&lt;PT_First,0,1+INT((AU141-PT_First)/PT_Int)),0)),0)+IF(AND(AI141&gt;=3,AL141&lt;=AsOfDate),IF(AR141="FT",IF(AT141&lt;FT_First,0,IF(AT141&lt;FT_Y5,1+INT((AT141-FT_First)/FT_Int1),FT_PreY5+FT_PerYear*INT((AT141-FT_Y5)/12)+FT_AnnivDays+INT(MOD(AT141-FT_Y5,12)/FT_Int2))),IF(AR141="PT",IF(AT141&lt;PT_First,0,1+INT((AT141-PT_First)/PT_Int)),0))-IF(AR141="FT",IF(AV141&lt;FT_First,0,IF(AV141&lt;FT_Y5,1+INT((AV141-FT_First)/FT_Int1),FT_PreY5+FT_PerYear*INT((AV141-FT_Y5)/12)+FT_AnnivDays+INT(MOD(AV141-FT_Y5,12)/FT_Int2))),IF(AR141="PT",IF(AV141&lt;PT_First,0,1+INT((AV141-PT_First)/PT_Int)),0)),0))</f>
        <v/>
      </c>
      <c r="BA141" s="14" t="str">
        <f aca="false">IF(AG141=0,"",IF(AP141="FT",IF(AX141&lt;FT_First,0,IF(AX141&lt;FT_Y5,1+INT((AX141-FT_First)/FT_Int1),FT_PreY5+FT_PerYear*INT((AX141-FT_Y5)/12)+FT_AnnivDays+INT(MOD(AX141-FT_Y5,12)/FT_Int2))),IF(AP141="PT",IF(AX141&lt;PT_First,0,1+INT((AX141-PT_First)/PT_Int)),0))+IF(AND(AI141&gt;=2,AK141&lt;=PFYDate),IF(AQ141="FT",IF(AY141&lt;FT_First,0,IF(AY141&lt;FT_Y5,1+INT((AY141-FT_First)/FT_Int1),FT_PreY5+FT_PerYear*INT((AY141-FT_Y5)/12)+FT_AnnivDays+INT(MOD(AY141-FT_Y5,12)/FT_Int2))),IF(AQ141="PT",IF(AY141&lt;PT_First,0,1+INT((AY141-PT_First)/PT_Int)),0))-IF(AQ141="FT",IF(AX141&lt;FT_First,0,IF(AX141&lt;FT_Y5,1+INT((AX141-FT_First)/FT_Int1),FT_PreY5+FT_PerYear*INT((AX141-FT_Y5)/12)+FT_AnnivDays+INT(MOD(AX141-FT_Y5,12)/FT_Int2))),IF(AQ141="PT",IF(AX141&lt;PT_First,0,1+INT((AX141-PT_First)/PT_Int)),0)),0)+IF(AND(AI141&gt;=3,AL141&lt;=PFYDate),IF(AR141="FT",IF(AW141&lt;FT_First,0,IF(AW141&lt;FT_Y5,1+INT((AW141-FT_First)/FT_Int1),FT_PreY5+FT_PerYear*INT((AW141-FT_Y5)/12)+FT_AnnivDays+INT(MOD(AW141-FT_Y5,12)/FT_Int2))),IF(AR141="PT",IF(AW141&lt;PT_First,0,1+INT((AW141-PT_First)/PT_Int)),0))-IF(AR141="FT",IF(AY141&lt;FT_First,0,IF(AY141&lt;FT_Y5,1+INT((AY141-FT_First)/FT_Int1),FT_PreY5+FT_PerYear*INT((AY141-FT_Y5)/12)+FT_AnnivDays+INT(MOD(AY141-FT_Y5,12)/FT_Int2))),IF(AR141="PT",IF(AY141&lt;PT_First,0,1+INT((AY141-PT_First)/PT_Int)),0)),0))</f>
        <v/>
      </c>
      <c r="BB141" s="14" t="str">
        <f aca="false">IF(AG141=0,"",IF(AS141="FT",IF(AT141&lt;FT_First,FT_First,IF(AT141&lt;FT_Y5,MIN(FT_Y5,FT_First+FT_Int1*(INT((AT141-FT_First)/FT_Int1)+1)),FT_Y5+12*INT((AT141-FT_Y5)/12)+FT_Int2*(INT(MOD(AT141-FT_Y5,12)/FT_Int2)+1))),IF(AS141="PT",IF(AT141&lt;PT_First,PT_First,PT_First+PT_Int*(INT((AT141-PT_First)/PT_Int)+1)),"")))</f>
        <v/>
      </c>
      <c r="BC141" s="14" t="str">
        <f aca="false">IF(AG141=0,"",IF(NOT(LH_Ready),0,COUNTIFS(INDEX(LH_Data,0,LH_ColFirst),$A141,INDEX(LH_Data,0,LH_ColSur),$B141,INDEX(LH_Data,0,LH_ColCat),BonusCat)))</f>
        <v/>
      </c>
      <c r="BD141" s="14" t="str">
        <f aca="false">IF(AG141=0,"",IF(OR(NOT(LH_Ready),BC141=0),0,SUMPRODUCT(MAX((INDEX(LH_Data,0,LH_ColFirst)=$A141)*(INDEX(LH_Data,0,LH_ColSur)=$B141)*(INDEX(LH_Data,0,LH_ColCat)=BonusCat)*ROW(LH_Data)))))</f>
        <v/>
      </c>
      <c r="BE141" s="14" t="str">
        <f aca="false">IF(AG141=0,"",IF(EOMONTH(AsOfDate,-1)&lt;AH141,-1,12*(YEAR(EOMONTH(AsOfDate,-1))-YEAR(AH141))+MONTH(EOMONTH(AsOfDate,-1))-MONTH(AH141)-IF(DAY(EOMONTH(AsOfDate,-1))&lt;MIN(DAY(AH141),DAY(EOMONTH(EOMONTH(AsOfDate,-1),0))),1,0)))</f>
        <v/>
      </c>
      <c r="BF141" s="14" t="str">
        <f aca="false">IF(AG141=0,"",IF(OR(AI141&lt;2,AK141&gt;EOMONTH(AsOfDate,-1)),BE141,IF((AK141-1)&lt;AH141,-1,12*(YEAR((AK141-1))-YEAR(AH141))+MONTH((AK141-1))-MONTH(AH141)-IF(DAY((AK141-1))&lt;MIN(DAY(AH141),DAY(EOMONTH((AK141-1),0))),1,0))))</f>
        <v/>
      </c>
      <c r="BG141" s="14" t="str">
        <f aca="false">IF(AG141=0,"",IF(OR(AI141&lt;3,AL141&gt;EOMONTH(AsOfDate,-1)),BE141,IF((AL141-1)&lt;AH141,-1,12*(YEAR((AL141-1))-YEAR(AH141))+MONTH((AL141-1))-MONTH(AH141)-IF(DAY((AL141-1))&lt;MIN(DAY(AH141),DAY(EOMONTH((AL141-1),0))),1,0))))</f>
        <v/>
      </c>
      <c r="BH141" s="14" t="str">
        <f aca="false">IF(AG141=0,"",IF(AP141="FT",IF(BF141&lt;FT_First,0,IF(BF141&lt;FT_Y5,1+INT((BF141-FT_First)/FT_Int1),FT_PreY5+FT_PerYear*INT((BF141-FT_Y5)/12)+FT_AnnivDays+INT(MOD(BF141-FT_Y5,12)/FT_Int2))),IF(AP141="PT",IF(BF141&lt;PT_First,0,1+INT((BF141-PT_First)/PT_Int)),0))+IF(AND(AI141&gt;=2,AK141&lt;=EOMONTH(AsOfDate,-1)),IF(AQ141="FT",IF(BG141&lt;FT_First,0,IF(BG141&lt;FT_Y5,1+INT((BG141-FT_First)/FT_Int1),FT_PreY5+FT_PerYear*INT((BG141-FT_Y5)/12)+FT_AnnivDays+INT(MOD(BG141-FT_Y5,12)/FT_Int2))),IF(AQ141="PT",IF(BG141&lt;PT_First,0,1+INT((BG141-PT_First)/PT_Int)),0))-IF(AQ141="FT",IF(BF141&lt;FT_First,0,IF(BF141&lt;FT_Y5,1+INT((BF141-FT_First)/FT_Int1),FT_PreY5+FT_PerYear*INT((BF141-FT_Y5)/12)+FT_AnnivDays+INT(MOD(BF141-FT_Y5,12)/FT_Int2))),IF(AQ141="PT",IF(BF141&lt;PT_First,0,1+INT((BF141-PT_First)/PT_Int)),0)),0)+IF(AND(AI141&gt;=3,AL141&lt;=EOMONTH(AsOfDate,-1)),IF(AR141="FT",IF(BE141&lt;FT_First,0,IF(BE141&lt;FT_Y5,1+INT((BE141-FT_First)/FT_Int1),FT_PreY5+FT_PerYear*INT((BE141-FT_Y5)/12)+FT_AnnivDays+INT(MOD(BE141-FT_Y5,12)/FT_Int2))),IF(AR141="PT",IF(BE141&lt;PT_First,0,1+INT((BE141-PT_First)/PT_Int)),0))-IF(AR141="FT",IF(BG141&lt;FT_First,0,IF(BG141&lt;FT_Y5,1+INT((BG141-FT_First)/FT_Int1),FT_PreY5+FT_PerYear*INT((BG141-FT_Y5)/12)+FT_AnnivDays+INT(MOD(BG141-FT_Y5,12)/FT_Int2))),IF(AR141="PT",IF(BG141&lt;PT_First,0,1+INT((BG141-PT_First)/PT_Int)),0)),0))</f>
        <v/>
      </c>
      <c r="BI141" s="14" t="str">
        <f aca="false">IF(AG141=0,"",IF(AS141="FT",IF(AT141&lt;FT_First,"",IF(AT141&lt;FT_Y5,FT_First+FT_Int1*INT((AT141-FT_First)/FT_Int1),FT_Y5+FT_Int2*INT((AT141-FT_Y5)/FT_Int2))),IF(AS141="PT",IF(AT141&lt;PT_First,"",PT_First+PT_Int*INT((AT141-PT_First)/PT_Int)),"")))</f>
        <v/>
      </c>
      <c r="BJ141" s="0" t="str">
        <f aca="false">IF(LEN($A141&amp;$B141)=0,"",$A141&amp;" "&amp;$B141)</f>
        <v/>
      </c>
    </row>
    <row r="142" customFormat="false" ht="15" hidden="false" customHeight="false" outlineLevel="0" collapsed="false">
      <c r="A142" s="10"/>
      <c r="B142" s="10"/>
      <c r="C142" s="10"/>
      <c r="D142" s="11"/>
      <c r="E142" s="12" t="str">
        <f aca="false">IF(OR(AG142=0,$D142=""),"",DATE(YEAR(AsOfDate)+IF(DATE(YEAR(AsOfDate),MONTH($D142),DAY($D142))&lt;=AsOfDate,1,0),MONTH($D142),DAY($D142)))</f>
        <v/>
      </c>
      <c r="F142" s="11"/>
      <c r="G142" s="11"/>
      <c r="H142" s="11"/>
      <c r="I142" s="11"/>
      <c r="J142" s="11"/>
      <c r="K142" s="12" t="str">
        <f aca="false">IF(AG142=0,"",DATE(YEAR(AsOfDate)+IF(DATE(YEAR(AsOfDate),MONTH(AH142),DAY(AH142))&lt;=AsOfDate,1,0),MONTH(AH142),DAY(AH142)))</f>
        <v/>
      </c>
      <c r="L142" s="13" t="str">
        <f aca="false">IF(AG142=0,"",ROUND((AsOfDate-AH142)/365.25,1))</f>
        <v/>
      </c>
      <c r="M142" s="14" t="str">
        <f aca="false">IF(AG142=0,"",IF(AsOfDate&lt;AH142,"-",DATEDIF(AH142,AsOfDate,"y")&amp;"y "&amp;DATEDIF(AH142,AsOfDate,"ym")&amp;"m "&amp;DATEDIF(AH142,AsOfDate,"md")&amp;"d"))</f>
        <v/>
      </c>
      <c r="N142" s="15" t="str">
        <f aca="false">IF(AG142=0,"",O142*HoursPerDay)</f>
        <v/>
      </c>
      <c r="O142" s="15" t="str">
        <f aca="false">IF(AG142=0,"",AZ142)</f>
        <v/>
      </c>
      <c r="P142" s="16"/>
      <c r="Q142" s="14" t="str">
        <f aca="false">IF(AG142=0,"",IF(AI142&lt;2,"",AM142&amp;" to "&amp;AN142&amp;" on "&amp;TEXT(AK142,"dd/mm/yyyy")&amp;IF(AK142&gt;AsOfDate," (future)",IF(AP142=AQ142,"",IF(AQ142="None"," - STOPPED accruing",IF(AP142="None"," - commencement for Bonus Leave"," - pathway changed"))))&amp;IF(AI142&lt;3,"","; "&amp;AN142&amp;" to "&amp;AO142&amp;" on "&amp;TEXT(AL142,"dd/mm/yyyy")&amp;IF(AL142&gt;AsOfDate," (future)",IF(AQ142=AR142,"",IF(AR142="None"," - STOPPED accruing",IF(AQ142="None"," - commencement for Bonus Leave"," - pathway changed")))))))</f>
        <v/>
      </c>
      <c r="R142" s="14" t="str">
        <f aca="false">IF(AG142=0,"",IF(AS142="None",IF(O142&gt;0,"No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2" t="str">
        <f aca="false">IF(AG142=0,"",IF(AS142="None","",EDATE(AH142,BB142)))</f>
        <v/>
      </c>
      <c r="T142" s="15" t="str">
        <f aca="false">IF(AG142=0,"",IF(NOT(LH_Ready),"",IF(AH142&gt;PFYDate,0,IF(LH_ColPeriod=0,W142-U142+V142,SUMIFS(INDEX(LH_Data,0,LH_ColAcc),INDEX(LH_Data,0,LH_ColFirst),$A142,INDEX(LH_Data,0,LH_ColSur),$B142,INDEX(LH_Data,0,LH_ColCat),BonusCat,INDEX(LH_Data,0,LH_ColPeriod),LH_OpenLabel)*UnitFactor))))</f>
        <v/>
      </c>
      <c r="U142" s="15" t="str">
        <f aca="false">IF(AG142=0,"",IF(NOT(LH_Ready),"",SUMIFS(INDEX(LH_Data,0,LH_ColAcc),INDEX(LH_Data,0,LH_ColFirst),$A142,INDEX(LH_Data,0,LH_ColSur),$B142,INDEX(LH_Data,0,LH_ColCat),BonusCat,INDEX(LH_Data,0,LH_ColStart),"&gt;="&amp;AH142)*UnitFactor))</f>
        <v/>
      </c>
      <c r="V142" s="15" t="str">
        <f aca="false">IF(AG142=0,"",IF(NOT(LH_Ready),"",SUMIFS(INDEX(LH_Data,0,LH_ColTaken),INDEX(LH_Data,0,LH_ColFirst),$A142,INDEX(LH_Data,0,LH_ColSur),$B142,INDEX(LH_Data,0,LH_ColCat),BonusCat,INDEX(LH_Data,0,LH_ColStart),"&gt;="&amp;AH142)*UnitFactor))</f>
        <v/>
      </c>
      <c r="W142" s="15" t="str">
        <f aca="false">IF(AG142=0,"",IF(NOT(LH_Ready),"",IF(BD142=0,0,INDEX(INDEX(LH_Data,0,LH_ColClose),BD142-1)*UnitFactor)))</f>
        <v/>
      </c>
      <c r="X142" s="15" t="str">
        <f aca="false">IF(AG142=0,"",(AZ142-BA142)*HoursPerDay)</f>
        <v/>
      </c>
      <c r="Y142" s="15" t="str">
        <f aca="false">IF(AG142=0,"",IF(NOT(LH_Ready),"",IF(BC142=0,N142,IF(PFYDate&lt;$F142,N142-N(T142)-N(U142),X142-N(U142)))))</f>
        <v/>
      </c>
      <c r="Z142" s="14" t="str">
        <f aca="false">IF(OR(AG142=0,Y142=""),"",IF(Y142&gt;0,"Yes","No"))</f>
        <v/>
      </c>
      <c r="AA142" s="14" t="str">
        <f aca="false">IF(AG142=0,IF(LEN($A142&amp;$B142)=0,"","FIX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month")&amp;IF(BC142=0,";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EH)",""),IF(AS142="None",R142,"Not yet - first day on "&amp;TEXT(S142,"dd/mm/yyyy")))))))))</f>
        <v/>
      </c>
      <c r="AB142" s="15" t="str">
        <f aca="false">IF(OR(AG142=0,T142=""),"",BA142*HoursPerDay-T142)</f>
        <v/>
      </c>
      <c r="AC142" s="14" t="str">
        <f aca="false">IF(AG142=0,"",BC142)</f>
        <v/>
      </c>
      <c r="AD142" s="14" t="str">
        <f aca="false">IF(AG142=0,"",TRIM(IF(OR(ISTEXT($F142),ISTEXT($H142),ISTEXT($I142),ISTEXT($G142),ISTEXT($J142),ISTEXT($D142)),"A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I142&gt;=1,IF(AI142&gt;=3,AO142,IF(AI142=2,AN142,AM142))&lt;&gt;IF($C142="","",IF(OR(ISNUMBER(SEARCH("full",$C142)),UPPER(TRIM($C142))="FT",UPPER(TRIM($C142))="FTE"),"Full-Time",IF(OR(ISNUMBER(SEARCH("part",$C142)),UPPER(TRIM($C142))="PT",UPPER(TRIM($C142))="PTE"),"Part-Time",IF(OR(ISNUMBER(SEARCH("cas",$C142)),UPPER(TRIM($C142))="CAS"),"Casual","Unknown"))))),"EmploymentType does not match latest start date ("&amp;IF(AI142&gt;=3,AO142,IF(AI142=2,AN142,AM142))&amp;"). ","")&amp;IF(AND(AI142&gt;=1,AJ142&lt;&gt;$F142),"Earliest type date should equal StartDate. ","")&amp;IF(AND(AI142&gt;=2,AJ142=AK142),"Two types start on the same date. ","")&amp;IF(AND(OR(ISNUMBER(SEARCH("part",$C142)),UPPER(TRIM($C142))="PT",UPPER(TRIM($C142))="PTE"),$P142=""),"Part-time: enter PT Hrs/Week (blank = 24+). ","")))</f>
        <v/>
      </c>
      <c r="AE142" s="15" t="str">
        <f aca="false">IF(AG142=0,"",O142-BH142)</f>
        <v/>
      </c>
      <c r="AF142" s="12" t="str">
        <f aca="false">IF(OR(AG142=0,AE142="",N(AE142)=0,BI142=""),"",EDATE(AH142,BI142))</f>
        <v/>
      </c>
      <c r="AG142" s="14" t="n">
        <f aca="false">IF(OR(LEN($A142&amp;$B142)=0,$F142=""),0,1)</f>
        <v>0</v>
      </c>
      <c r="AH142" s="12" t="str">
        <f aca="false">IF(AG142=0,"",IF($J142&lt;&gt;"",$J142,IF(OR(CasualCounts="Yes",COUNT($G142:$I142)=0,COUNT($H142:$I142)=0),$F142,MIN($H142:$I142))))</f>
        <v/>
      </c>
      <c r="AI142" s="14" t="str">
        <f aca="false">IF(AG142=0,"",COUNT($G142:$I142))</f>
        <v/>
      </c>
      <c r="AJ142" s="12" t="str">
        <f aca="false">IF(AG142=0,"",IFERROR(SMALL($G142:$I142,1),""))</f>
        <v/>
      </c>
      <c r="AK142" s="12" t="str">
        <f aca="false">IF(AG142=0,"",IFERROR(SMALL($G142:$I142,2),""))</f>
        <v/>
      </c>
      <c r="AL142" s="12" t="str">
        <f aca="false">IF(AG142=0,"",IFERROR(SMALL($G142:$I142,3),""))</f>
        <v/>
      </c>
      <c r="AM142" s="14" t="str">
        <f aca="false">IF(AG142=0,"",IF(AJ142="","",IF(AJ142=$H142,"Part-Time",IF(AJ142=$I142,"Full-Time","Casual"))))</f>
        <v/>
      </c>
      <c r="AN142" s="14" t="str">
        <f aca="false">IF(AG142=0,"",IF(AK142="","",IF(AK142=$H142,"Part-Time",IF(AK142=$I142,"Full-Time","Casual"))))</f>
        <v/>
      </c>
      <c r="AO142" s="14" t="str">
        <f aca="false">IF(AG142=0,"",IF(AL142="","",IF(AL142=$H142,"Part-Time",IF(AL142=$I142,"Full-Time","Casual"))))</f>
        <v/>
      </c>
      <c r="AP142" s="14" t="str">
        <f aca="false">IF(AG142=0,"",IF(AI142=0,IF(OR(ISNUMBER(SEARCH("full",$C142)),UPPER(TRIM($C142))="FT",UPPER(TRIM($C142))="FTE"),"FT",IF(AND(OR(ISNUMBER(SEARCH("part",$C142)),UPPER(TRIM($C142))="PT",UPPER(TRIM($C142))="PTE"),OR($P142="",N($P142)&gt;=PT_MinHours)),"PT","None")),IF(OR(ISNUMBER(SEARCH("full",AM142)),UPPER(TRIM(AM142))="FT",UPPER(TRIM(AM142))="FTE"),"FT",IF(AND(OR(ISNUMBER(SEARCH("part",AM142)),UPPER(TRIM(AM142))="PT",UPPER(TRIM(AM142))="PTE"),OR($P142="",N($P142)&gt;=PT_MinHours)),"PT","None"))))</f>
        <v/>
      </c>
      <c r="AQ142" s="14" t="str">
        <f aca="false">IF(AG142=0,"",IF(AI142&lt;2,"",IF(OR(ISNUMBER(SEARCH("full",AN142)),UPPER(TRIM(AN142))="FT",UPPER(TRIM(AN142))="FTE"),"FT",IF(AND(OR(ISNUMBER(SEARCH("part",AN142)),UPPER(TRIM(AN142))="PT",UPPER(TRIM(AN142))="PTE"),OR($P142="",N($P142)&gt;=PT_MinHours)),"PT","None"))))</f>
        <v/>
      </c>
      <c r="AR142" s="14" t="str">
        <f aca="false">IF(AG142=0,"",IF(AI142&lt;3,"",IF(OR(ISNUMBER(SEARCH("full",AO142)),UPPER(TRIM(AO142))="FT",UPPER(TRIM(AO142))="FTE"),"FT",IF(AND(OR(ISNUMBER(SEARCH("part",AO142)),UPPER(TRIM(AO142))="PT",UPPER(TRIM(AO142))="PTE"),OR($P142="",N($P142)&gt;=PT_MinHours)),"PT","None"))))</f>
        <v/>
      </c>
      <c r="AS142" s="14" t="str">
        <f aca="false">IF(AG142=0,"",IF(AND(AI142&gt;=3,AL142&lt;=AsOfDate),AR142,IF(AND(AI142&gt;=2,AK142&lt;=AsOfDate),AQ142,AP142)))</f>
        <v/>
      </c>
      <c r="AT142" s="14" t="str">
        <f aca="false">IF(AG142=0,"",IF(AsOfDate&lt;AH142,-1,12*(YEAR(AsOfDate)-YEAR(AH142))+MONTH(AsOfDate)-MONTH(AH142)-IF(DAY(AsOfDate)&lt;MIN(DAY(AH142),DAY(EOMONTH(AsOfDate,0))),1,0)))</f>
        <v/>
      </c>
      <c r="AU142" s="14" t="str">
        <f aca="false">IF(AG142=0,"",IF(OR(AI142&lt;2,AK142&gt;AsOfDate),AT142,IF((AK142-1)&lt;AH142,-1,12*(YEAR((AK142-1))-YEAR(AH142))+MONTH((AK142-1))-MONTH(AH142)-IF(DAY((AK142-1))&lt;MIN(DAY(AH142),DAY(EOMONTH((AK142-1),0))),1,0))))</f>
        <v/>
      </c>
      <c r="AV142" s="14" t="str">
        <f aca="false">IF(AG142=0,"",IF(OR(AI142&lt;3,AL142&gt;AsOfDate),AT142,IF((AL142-1)&lt;AH142,-1,12*(YEAR((AL142-1))-YEAR(AH142))+MONTH((AL142-1))-MONTH(AH142)-IF(DAY((AL142-1))&lt;MIN(DAY(AH142),DAY(EOMONTH((AL142-1),0))),1,0))))</f>
        <v/>
      </c>
      <c r="AW142" s="14" t="str">
        <f aca="false">IF(AG142=0,"",IF(PFYDate&lt;AH142,-1,12*(YEAR(PFYDate)-YEAR(AH142))+MONTH(PFYDate)-MONTH(AH142)-IF(DAY(PFYDate)&lt;MIN(DAY(AH142),DAY(EOMONTH(PFYDate,0))),1,0)))</f>
        <v/>
      </c>
      <c r="AX142" s="14" t="str">
        <f aca="false">IF(AG142=0,"",IF(OR(AI142&lt;2,AK142&gt;PFYDate),AW142,IF((AK142-1)&lt;AH142,-1,12*(YEAR((AK142-1))-YEAR(AH142))+MONTH((AK142-1))-MONTH(AH142)-IF(DAY((AK142-1))&lt;MIN(DAY(AH142),DAY(EOMONTH((AK142-1),0))),1,0))))</f>
        <v/>
      </c>
      <c r="AY142" s="14" t="str">
        <f aca="false">IF(AG142=0,"",IF(OR(AI142&lt;3,AL142&gt;PFYDate),AW142,IF((AL142-1)&lt;AH142,-1,12*(YEAR((AL142-1))-YEAR(AH142))+MONTH((AL142-1))-MONTH(AH142)-IF(DAY((AL142-1))&lt;MIN(DAY(AH142),DAY(EOMONTH((AL142-1),0))),1,0))))</f>
        <v/>
      </c>
      <c r="AZ142" s="14" t="str">
        <f aca="false">IF(AG142=0,"",IF(AP142="FT",IF(AU142&lt;FT_First,0,IF(AU142&lt;FT_Y5,1+INT((AU142-FT_First)/FT_Int1),FT_PreY5+FT_PerYear*INT((AU142-FT_Y5)/12)+FT_AnnivDays+INT(MOD(AU142-FT_Y5,12)/FT_Int2))),IF(AP142="PT",IF(AU142&lt;PT_First,0,1+INT((AU142-PT_First)/PT_Int)),0))+IF(AND(AI142&gt;=2,AK142&lt;=AsOfDate),IF(AQ142="FT",IF(AV142&lt;FT_First,0,IF(AV142&lt;FT_Y5,1+INT((AV142-FT_First)/FT_Int1),FT_PreY5+FT_PerYear*INT((AV142-FT_Y5)/12)+FT_AnnivDays+INT(MOD(AV142-FT_Y5,12)/FT_Int2))),IF(AQ142="PT",IF(AV142&lt;PT_First,0,1+INT((AV142-PT_First)/PT_Int)),0))-IF(AQ142="FT",IF(AU142&lt;FT_First,0,IF(AU142&lt;FT_Y5,1+INT((AU142-FT_First)/FT_Int1),FT_PreY5+FT_PerYear*INT((AU142-FT_Y5)/12)+FT_AnnivDays+INT(MOD(AU142-FT_Y5,12)/FT_Int2))),IF(AQ142="PT",IF(AU142&lt;PT_First,0,1+INT((AU142-PT_First)/PT_Int)),0)),0)+IF(AND(AI142&gt;=3,AL142&lt;=AsOfDate),IF(AR142="FT",IF(AT142&lt;FT_First,0,IF(AT142&lt;FT_Y5,1+INT((AT142-FT_First)/FT_Int1),FT_PreY5+FT_PerYear*INT((AT142-FT_Y5)/12)+FT_AnnivDays+INT(MOD(AT142-FT_Y5,12)/FT_Int2))),IF(AR142="PT",IF(AT142&lt;PT_First,0,1+INT((AT142-PT_First)/PT_Int)),0))-IF(AR142="FT",IF(AV142&lt;FT_First,0,IF(AV142&lt;FT_Y5,1+INT((AV142-FT_First)/FT_Int1),FT_PreY5+FT_PerYear*INT((AV142-FT_Y5)/12)+FT_AnnivDays+INT(MOD(AV142-FT_Y5,12)/FT_Int2))),IF(AR142="PT",IF(AV142&lt;PT_First,0,1+INT((AV142-PT_First)/PT_Int)),0)),0))</f>
        <v/>
      </c>
      <c r="BA142" s="14" t="str">
        <f aca="false">IF(AG142=0,"",IF(AP142="FT",IF(AX142&lt;FT_First,0,IF(AX142&lt;FT_Y5,1+INT((AX142-FT_First)/FT_Int1),FT_PreY5+FT_PerYear*INT((AX142-FT_Y5)/12)+FT_AnnivDays+INT(MOD(AX142-FT_Y5,12)/FT_Int2))),IF(AP142="PT",IF(AX142&lt;PT_First,0,1+INT((AX142-PT_First)/PT_Int)),0))+IF(AND(AI142&gt;=2,AK142&lt;=PFYDate),IF(AQ142="FT",IF(AY142&lt;FT_First,0,IF(AY142&lt;FT_Y5,1+INT((AY142-FT_First)/FT_Int1),FT_PreY5+FT_PerYear*INT((AY142-FT_Y5)/12)+FT_AnnivDays+INT(MOD(AY142-FT_Y5,12)/FT_Int2))),IF(AQ142="PT",IF(AY142&lt;PT_First,0,1+INT((AY142-PT_First)/PT_Int)),0))-IF(AQ142="FT",IF(AX142&lt;FT_First,0,IF(AX142&lt;FT_Y5,1+INT((AX142-FT_First)/FT_Int1),FT_PreY5+FT_PerYear*INT((AX142-FT_Y5)/12)+FT_AnnivDays+INT(MOD(AX142-FT_Y5,12)/FT_Int2))),IF(AQ142="PT",IF(AX142&lt;PT_First,0,1+INT((AX142-PT_First)/PT_Int)),0)),0)+IF(AND(AI142&gt;=3,AL142&lt;=PFYDate),IF(AR142="FT",IF(AW142&lt;FT_First,0,IF(AW142&lt;FT_Y5,1+INT((AW142-FT_First)/FT_Int1),FT_PreY5+FT_PerYear*INT((AW142-FT_Y5)/12)+FT_AnnivDays+INT(MOD(AW142-FT_Y5,12)/FT_Int2))),IF(AR142="PT",IF(AW142&lt;PT_First,0,1+INT((AW142-PT_First)/PT_Int)),0))-IF(AR142="FT",IF(AY142&lt;FT_First,0,IF(AY142&lt;FT_Y5,1+INT((AY142-FT_First)/FT_Int1),FT_PreY5+FT_PerYear*INT((AY142-FT_Y5)/12)+FT_AnnivDays+INT(MOD(AY142-FT_Y5,12)/FT_Int2))),IF(AR142="PT",IF(AY142&lt;PT_First,0,1+INT((AY142-PT_First)/PT_Int)),0)),0))</f>
        <v/>
      </c>
      <c r="BB142" s="14" t="str">
        <f aca="false">IF(AG142=0,"",IF(AS142="FT",IF(AT142&lt;FT_First,FT_First,IF(AT142&lt;FT_Y5,MIN(FT_Y5,FT_First+FT_Int1*(INT((AT142-FT_First)/FT_Int1)+1)),FT_Y5+12*INT((AT142-FT_Y5)/12)+FT_Int2*(INT(MOD(AT142-FT_Y5,12)/FT_Int2)+1))),IF(AS142="PT",IF(AT142&lt;PT_First,PT_First,PT_First+PT_Int*(INT((AT142-PT_First)/PT_Int)+1)),"")))</f>
        <v/>
      </c>
      <c r="BC142" s="14" t="str">
        <f aca="false">IF(AG142=0,"",IF(NOT(LH_Ready),0,COUNTIFS(INDEX(LH_Data,0,LH_ColFirst),$A142,INDEX(LH_Data,0,LH_ColSur),$B142,INDEX(LH_Data,0,LH_ColCat),BonusCat)))</f>
        <v/>
      </c>
      <c r="BD142" s="14" t="str">
        <f aca="false">IF(AG142=0,"",IF(OR(NOT(LH_Ready),BC142=0),0,SUMPRODUCT(MAX((INDEX(LH_Data,0,LH_ColFirst)=$A142)*(INDEX(LH_Data,0,LH_ColSur)=$B142)*(INDEX(LH_Data,0,LH_ColCat)=BonusCat)*ROW(LH_Data)))))</f>
        <v/>
      </c>
      <c r="BE142" s="14" t="str">
        <f aca="false">IF(AG142=0,"",IF(EOMONTH(AsOfDate,-1)&lt;AH142,-1,12*(YEAR(EOMONTH(AsOfDate,-1))-YEAR(AH142))+MONTH(EOMONTH(AsOfDate,-1))-MONTH(AH142)-IF(DAY(EOMONTH(AsOfDate,-1))&lt;MIN(DAY(AH142),DAY(EOMONTH(EOMONTH(AsOfDate,-1),0))),1,0)))</f>
        <v/>
      </c>
      <c r="BF142" s="14" t="str">
        <f aca="false">IF(AG142=0,"",IF(OR(AI142&lt;2,AK142&gt;EOMONTH(AsOfDate,-1)),BE142,IF((AK142-1)&lt;AH142,-1,12*(YEAR((AK142-1))-YEAR(AH142))+MONTH((AK142-1))-MONTH(AH142)-IF(DAY((AK142-1))&lt;MIN(DAY(AH142),DAY(EOMONTH((AK142-1),0))),1,0))))</f>
        <v/>
      </c>
      <c r="BG142" s="14" t="str">
        <f aca="false">IF(AG142=0,"",IF(OR(AI142&lt;3,AL142&gt;EOMONTH(AsOfDate,-1)),BE142,IF((AL142-1)&lt;AH142,-1,12*(YEAR((AL142-1))-YEAR(AH142))+MONTH((AL142-1))-MONTH(AH142)-IF(DAY((AL142-1))&lt;MIN(DAY(AH142),DAY(EOMONTH((AL142-1),0))),1,0))))</f>
        <v/>
      </c>
      <c r="BH142" s="14" t="str">
        <f aca="false">IF(AG142=0,"",IF(AP142="FT",IF(BF142&lt;FT_First,0,IF(BF142&lt;FT_Y5,1+INT((BF142-FT_First)/FT_Int1),FT_PreY5+FT_PerYear*INT((BF142-FT_Y5)/12)+FT_AnnivDays+INT(MOD(BF142-FT_Y5,12)/FT_Int2))),IF(AP142="PT",IF(BF142&lt;PT_First,0,1+INT((BF142-PT_First)/PT_Int)),0))+IF(AND(AI142&gt;=2,AK142&lt;=EOMONTH(AsOfDate,-1)),IF(AQ142="FT",IF(BG142&lt;FT_First,0,IF(BG142&lt;FT_Y5,1+INT((BG142-FT_First)/FT_Int1),FT_PreY5+FT_PerYear*INT((BG142-FT_Y5)/12)+FT_AnnivDays+INT(MOD(BG142-FT_Y5,12)/FT_Int2))),IF(AQ142="PT",IF(BG142&lt;PT_First,0,1+INT((BG142-PT_First)/PT_Int)),0))-IF(AQ142="FT",IF(BF142&lt;FT_First,0,IF(BF142&lt;FT_Y5,1+INT((BF142-FT_First)/FT_Int1),FT_PreY5+FT_PerYear*INT((BF142-FT_Y5)/12)+FT_AnnivDays+INT(MOD(BF142-FT_Y5,12)/FT_Int2))),IF(AQ142="PT",IF(BF142&lt;PT_First,0,1+INT((BF142-PT_First)/PT_Int)),0)),0)+IF(AND(AI142&gt;=3,AL142&lt;=EOMONTH(AsOfDate,-1)),IF(AR142="FT",IF(BE142&lt;FT_First,0,IF(BE142&lt;FT_Y5,1+INT((BE142-FT_First)/FT_Int1),FT_PreY5+FT_PerYear*INT((BE142-FT_Y5)/12)+FT_AnnivDays+INT(MOD(BE142-FT_Y5,12)/FT_Int2))),IF(AR142="PT",IF(BE142&lt;PT_First,0,1+INT((BE142-PT_First)/PT_Int)),0))-IF(AR142="FT",IF(BG142&lt;FT_First,0,IF(BG142&lt;FT_Y5,1+INT((BG142-FT_First)/FT_Int1),FT_PreY5+FT_PerYear*INT((BG142-FT_Y5)/12)+FT_AnnivDays+INT(MOD(BG142-FT_Y5,12)/FT_Int2))),IF(AR142="PT",IF(BG142&lt;PT_First,0,1+INT((BG142-PT_First)/PT_Int)),0)),0))</f>
        <v/>
      </c>
      <c r="BI142" s="14" t="str">
        <f aca="false">IF(AG142=0,"",IF(AS142="FT",IF(AT142&lt;FT_First,"",IF(AT142&lt;FT_Y5,FT_First+FT_Int1*INT((AT142-FT_First)/FT_Int1),FT_Y5+FT_Int2*INT((AT142-FT_Y5)/FT_Int2))),IF(AS142="PT",IF(AT142&lt;PT_First,"",PT_First+PT_Int*INT((AT142-PT_First)/PT_Int)),"")))</f>
        <v/>
      </c>
      <c r="BJ142" s="0" t="str">
        <f aca="false">IF(LEN($A142&amp;$B142)=0,"",$A142&amp;" "&amp;$B142)</f>
        <v/>
      </c>
    </row>
    <row r="143" customFormat="false" ht="15" hidden="false" customHeight="false" outlineLevel="0" collapsed="false">
      <c r="A143" s="10"/>
      <c r="B143" s="10"/>
      <c r="C143" s="10"/>
      <c r="D143" s="11"/>
      <c r="E143" s="12" t="str">
        <f aca="false">IF(OR(AG143=0,$D143=""),"",DATE(YEAR(AsOfDate)+IF(DATE(YEAR(AsOfDate),MONTH($D143),DAY($D143))&lt;=AsOfDate,1,0),MONTH($D143),DAY($D143)))</f>
        <v/>
      </c>
      <c r="F143" s="11"/>
      <c r="G143" s="11"/>
      <c r="H143" s="11"/>
      <c r="I143" s="11"/>
      <c r="J143" s="11"/>
      <c r="K143" s="12" t="str">
        <f aca="false">IF(AG143=0,"",DATE(YEAR(AsOfDate)+IF(DATE(YEAR(AsOfDate),MONTH(AH143),DAY(AH143))&lt;=AsOfDate,1,0),MONTH(AH143),DAY(AH143)))</f>
        <v/>
      </c>
      <c r="L143" s="13" t="str">
        <f aca="false">IF(AG143=0,"",ROUND((AsOfDate-AH143)/365.25,1))</f>
        <v/>
      </c>
      <c r="M143" s="14" t="str">
        <f aca="false">IF(AG143=0,"",IF(AsOfDate&lt;AH143,"-",DATEDIF(AH143,AsOfDate,"y")&amp;"y "&amp;DATEDIF(AH143,AsOfDate,"ym")&amp;"m "&amp;DATEDIF(AH143,AsOfDate,"md")&amp;"d"))</f>
        <v/>
      </c>
      <c r="N143" s="15" t="str">
        <f aca="false">IF(AG143=0,"",O143*HoursPerDay)</f>
        <v/>
      </c>
      <c r="O143" s="15" t="str">
        <f aca="false">IF(AG143=0,"",AZ143)</f>
        <v/>
      </c>
      <c r="P143" s="16"/>
      <c r="Q143" s="14" t="str">
        <f aca="false">IF(AG143=0,"",IF(AI143&lt;2,"",AM143&amp;" to "&amp;AN143&amp;" on "&amp;TEXT(AK143,"dd/mm/yyyy")&amp;IF(AK143&gt;AsOfDate," (future)",IF(AP143=AQ143,"",IF(AQ143="None"," - STOPPED accruing",IF(AP143="None"," - commencement for Bonus Leave"," - pathway changed"))))&amp;IF(AI143&lt;3,"","; "&amp;AN143&amp;" to "&amp;AO143&amp;" on "&amp;TEXT(AL143,"dd/mm/yyyy")&amp;IF(AL143&gt;AsOfDate," (future)",IF(AQ143=AR143,"",IF(AR143="None"," - STOPPED accruing",IF(AQ143="None"," - commencement for Bonus Leave"," - pathway changed")))))))</f>
        <v/>
      </c>
      <c r="R143" s="14" t="str">
        <f aca="false">IF(AG143=0,"",IF(AS143="None",IF(O143&gt;0,"No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2" t="str">
        <f aca="false">IF(AG143=0,"",IF(AS143="None","",EDATE(AH143,BB143)))</f>
        <v/>
      </c>
      <c r="T143" s="15" t="str">
        <f aca="false">IF(AG143=0,"",IF(NOT(LH_Ready),"",IF(AH143&gt;PFYDate,0,IF(LH_ColPeriod=0,W143-U143+V143,SUMIFS(INDEX(LH_Data,0,LH_ColAcc),INDEX(LH_Data,0,LH_ColFirst),$A143,INDEX(LH_Data,0,LH_ColSur),$B143,INDEX(LH_Data,0,LH_ColCat),BonusCat,INDEX(LH_Data,0,LH_ColPeriod),LH_OpenLabel)*UnitFactor))))</f>
        <v/>
      </c>
      <c r="U143" s="15" t="str">
        <f aca="false">IF(AG143=0,"",IF(NOT(LH_Ready),"",SUMIFS(INDEX(LH_Data,0,LH_ColAcc),INDEX(LH_Data,0,LH_ColFirst),$A143,INDEX(LH_Data,0,LH_ColSur),$B143,INDEX(LH_Data,0,LH_ColCat),BonusCat,INDEX(LH_Data,0,LH_ColStart),"&gt;="&amp;AH143)*UnitFactor))</f>
        <v/>
      </c>
      <c r="V143" s="15" t="str">
        <f aca="false">IF(AG143=0,"",IF(NOT(LH_Ready),"",SUMIFS(INDEX(LH_Data,0,LH_ColTaken),INDEX(LH_Data,0,LH_ColFirst),$A143,INDEX(LH_Data,0,LH_ColSur),$B143,INDEX(LH_Data,0,LH_ColCat),BonusCat,INDEX(LH_Data,0,LH_ColStart),"&gt;="&amp;AH143)*UnitFactor))</f>
        <v/>
      </c>
      <c r="W143" s="15" t="str">
        <f aca="false">IF(AG143=0,"",IF(NOT(LH_Ready),"",IF(BD143=0,0,INDEX(INDEX(LH_Data,0,LH_ColClose),BD143-1)*UnitFactor)))</f>
        <v/>
      </c>
      <c r="X143" s="15" t="str">
        <f aca="false">IF(AG143=0,"",(AZ143-BA143)*HoursPerDay)</f>
        <v/>
      </c>
      <c r="Y143" s="15" t="str">
        <f aca="false">IF(AG143=0,"",IF(NOT(LH_Ready),"",IF(BC143=0,N143,IF(PFYDate&lt;$F143,N143-N(T143)-N(U143),X143-N(U143)))))</f>
        <v/>
      </c>
      <c r="Z143" s="14" t="str">
        <f aca="false">IF(OR(AG143=0,Y143=""),"",IF(Y143&gt;0,"Yes","No"))</f>
        <v/>
      </c>
      <c r="AA143" s="14" t="str">
        <f aca="false">IF(AG143=0,IF(LEN($A143&amp;$B143)=0,"","FIX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month")&amp;IF(BC143=0,";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EH)",""),IF(AS143="None",R143,"Not yet - first day on "&amp;TEXT(S143,"dd/mm/yyyy")))))))))</f>
        <v/>
      </c>
      <c r="AB143" s="15" t="str">
        <f aca="false">IF(OR(AG143=0,T143=""),"",BA143*HoursPerDay-T143)</f>
        <v/>
      </c>
      <c r="AC143" s="14" t="str">
        <f aca="false">IF(AG143=0,"",BC143)</f>
        <v/>
      </c>
      <c r="AD143" s="14" t="str">
        <f aca="false">IF(AG143=0,"",TRIM(IF(OR(ISTEXT($F143),ISTEXT($H143),ISTEXT($I143),ISTEXT($G143),ISTEXT($J143),ISTEXT($D143)),"A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I143&gt;=1,IF(AI143&gt;=3,AO143,IF(AI143=2,AN143,AM143))&lt;&gt;IF($C143="","",IF(OR(ISNUMBER(SEARCH("full",$C143)),UPPER(TRIM($C143))="FT",UPPER(TRIM($C143))="FTE"),"Full-Time",IF(OR(ISNUMBER(SEARCH("part",$C143)),UPPER(TRIM($C143))="PT",UPPER(TRIM($C143))="PTE"),"Part-Time",IF(OR(ISNUMBER(SEARCH("cas",$C143)),UPPER(TRIM($C143))="CAS"),"Casual","Unknown"))))),"EmploymentType does not match latest start date ("&amp;IF(AI143&gt;=3,AO143,IF(AI143=2,AN143,AM143))&amp;"). ","")&amp;IF(AND(AI143&gt;=1,AJ143&lt;&gt;$F143),"Earliest type date should equal StartDate. ","")&amp;IF(AND(AI143&gt;=2,AJ143=AK143),"Two types start on the same date. ","")&amp;IF(AND(OR(ISNUMBER(SEARCH("part",$C143)),UPPER(TRIM($C143))="PT",UPPER(TRIM($C143))="PTE"),$P143=""),"Part-time: enter PT Hrs/Week (blank = 24+). ","")))</f>
        <v/>
      </c>
      <c r="AE143" s="15" t="str">
        <f aca="false">IF(AG143=0,"",O143-BH143)</f>
        <v/>
      </c>
      <c r="AF143" s="12" t="str">
        <f aca="false">IF(OR(AG143=0,AE143="",N(AE143)=0,BI143=""),"",EDATE(AH143,BI143))</f>
        <v/>
      </c>
      <c r="AG143" s="14" t="n">
        <f aca="false">IF(OR(LEN($A143&amp;$B143)=0,$F143=""),0,1)</f>
        <v>0</v>
      </c>
      <c r="AH143" s="12" t="str">
        <f aca="false">IF(AG143=0,"",IF($J143&lt;&gt;"",$J143,IF(OR(CasualCounts="Yes",COUNT($G143:$I143)=0,COUNT($H143:$I143)=0),$F143,MIN($H143:$I143))))</f>
        <v/>
      </c>
      <c r="AI143" s="14" t="str">
        <f aca="false">IF(AG143=0,"",COUNT($G143:$I143))</f>
        <v/>
      </c>
      <c r="AJ143" s="12" t="str">
        <f aca="false">IF(AG143=0,"",IFERROR(SMALL($G143:$I143,1),""))</f>
        <v/>
      </c>
      <c r="AK143" s="12" t="str">
        <f aca="false">IF(AG143=0,"",IFERROR(SMALL($G143:$I143,2),""))</f>
        <v/>
      </c>
      <c r="AL143" s="12" t="str">
        <f aca="false">IF(AG143=0,"",IFERROR(SMALL($G143:$I143,3),""))</f>
        <v/>
      </c>
      <c r="AM143" s="14" t="str">
        <f aca="false">IF(AG143=0,"",IF(AJ143="","",IF(AJ143=$H143,"Part-Time",IF(AJ143=$I143,"Full-Time","Casual"))))</f>
        <v/>
      </c>
      <c r="AN143" s="14" t="str">
        <f aca="false">IF(AG143=0,"",IF(AK143="","",IF(AK143=$H143,"Part-Time",IF(AK143=$I143,"Full-Time","Casual"))))</f>
        <v/>
      </c>
      <c r="AO143" s="14" t="str">
        <f aca="false">IF(AG143=0,"",IF(AL143="","",IF(AL143=$H143,"Part-Time",IF(AL143=$I143,"Full-Time","Casual"))))</f>
        <v/>
      </c>
      <c r="AP143" s="14" t="str">
        <f aca="false">IF(AG143=0,"",IF(AI143=0,IF(OR(ISNUMBER(SEARCH("full",$C143)),UPPER(TRIM($C143))="FT",UPPER(TRIM($C143))="FTE"),"FT",IF(AND(OR(ISNUMBER(SEARCH("part",$C143)),UPPER(TRIM($C143))="PT",UPPER(TRIM($C143))="PTE"),OR($P143="",N($P143)&gt;=PT_MinHours)),"PT","None")),IF(OR(ISNUMBER(SEARCH("full",AM143)),UPPER(TRIM(AM143))="FT",UPPER(TRIM(AM143))="FTE"),"FT",IF(AND(OR(ISNUMBER(SEARCH("part",AM143)),UPPER(TRIM(AM143))="PT",UPPER(TRIM(AM143))="PTE"),OR($P143="",N($P143)&gt;=PT_MinHours)),"PT","None"))))</f>
        <v/>
      </c>
      <c r="AQ143" s="14" t="str">
        <f aca="false">IF(AG143=0,"",IF(AI143&lt;2,"",IF(OR(ISNUMBER(SEARCH("full",AN143)),UPPER(TRIM(AN143))="FT",UPPER(TRIM(AN143))="FTE"),"FT",IF(AND(OR(ISNUMBER(SEARCH("part",AN143)),UPPER(TRIM(AN143))="PT",UPPER(TRIM(AN143))="PTE"),OR($P143="",N($P143)&gt;=PT_MinHours)),"PT","None"))))</f>
        <v/>
      </c>
      <c r="AR143" s="14" t="str">
        <f aca="false">IF(AG143=0,"",IF(AI143&lt;3,"",IF(OR(ISNUMBER(SEARCH("full",AO143)),UPPER(TRIM(AO143))="FT",UPPER(TRIM(AO143))="FTE"),"FT",IF(AND(OR(ISNUMBER(SEARCH("part",AO143)),UPPER(TRIM(AO143))="PT",UPPER(TRIM(AO143))="PTE"),OR($P143="",N($P143)&gt;=PT_MinHours)),"PT","None"))))</f>
        <v/>
      </c>
      <c r="AS143" s="14" t="str">
        <f aca="false">IF(AG143=0,"",IF(AND(AI143&gt;=3,AL143&lt;=AsOfDate),AR143,IF(AND(AI143&gt;=2,AK143&lt;=AsOfDate),AQ143,AP143)))</f>
        <v/>
      </c>
      <c r="AT143" s="14" t="str">
        <f aca="false">IF(AG143=0,"",IF(AsOfDate&lt;AH143,-1,12*(YEAR(AsOfDate)-YEAR(AH143))+MONTH(AsOfDate)-MONTH(AH143)-IF(DAY(AsOfDate)&lt;MIN(DAY(AH143),DAY(EOMONTH(AsOfDate,0))),1,0)))</f>
        <v/>
      </c>
      <c r="AU143" s="14" t="str">
        <f aca="false">IF(AG143=0,"",IF(OR(AI143&lt;2,AK143&gt;AsOfDate),AT143,IF((AK143-1)&lt;AH143,-1,12*(YEAR((AK143-1))-YEAR(AH143))+MONTH((AK143-1))-MONTH(AH143)-IF(DAY((AK143-1))&lt;MIN(DAY(AH143),DAY(EOMONTH((AK143-1),0))),1,0))))</f>
        <v/>
      </c>
      <c r="AV143" s="14" t="str">
        <f aca="false">IF(AG143=0,"",IF(OR(AI143&lt;3,AL143&gt;AsOfDate),AT143,IF((AL143-1)&lt;AH143,-1,12*(YEAR((AL143-1))-YEAR(AH143))+MONTH((AL143-1))-MONTH(AH143)-IF(DAY((AL143-1))&lt;MIN(DAY(AH143),DAY(EOMONTH((AL143-1),0))),1,0))))</f>
        <v/>
      </c>
      <c r="AW143" s="14" t="str">
        <f aca="false">IF(AG143=0,"",IF(PFYDate&lt;AH143,-1,12*(YEAR(PFYDate)-YEAR(AH143))+MONTH(PFYDate)-MONTH(AH143)-IF(DAY(PFYDate)&lt;MIN(DAY(AH143),DAY(EOMONTH(PFYDate,0))),1,0)))</f>
        <v/>
      </c>
      <c r="AX143" s="14" t="str">
        <f aca="false">IF(AG143=0,"",IF(OR(AI143&lt;2,AK143&gt;PFYDate),AW143,IF((AK143-1)&lt;AH143,-1,12*(YEAR((AK143-1))-YEAR(AH143))+MONTH((AK143-1))-MONTH(AH143)-IF(DAY((AK143-1))&lt;MIN(DAY(AH143),DAY(EOMONTH((AK143-1),0))),1,0))))</f>
        <v/>
      </c>
      <c r="AY143" s="14" t="str">
        <f aca="false">IF(AG143=0,"",IF(OR(AI143&lt;3,AL143&gt;PFYDate),AW143,IF((AL143-1)&lt;AH143,-1,12*(YEAR((AL143-1))-YEAR(AH143))+MONTH((AL143-1))-MONTH(AH143)-IF(DAY((AL143-1))&lt;MIN(DAY(AH143),DAY(EOMONTH((AL143-1),0))),1,0))))</f>
        <v/>
      </c>
      <c r="AZ143" s="14" t="str">
        <f aca="false">IF(AG143=0,"",IF(AP143="FT",IF(AU143&lt;FT_First,0,IF(AU143&lt;FT_Y5,1+INT((AU143-FT_First)/FT_Int1),FT_PreY5+FT_PerYear*INT((AU143-FT_Y5)/12)+FT_AnnivDays+INT(MOD(AU143-FT_Y5,12)/FT_Int2))),IF(AP143="PT",IF(AU143&lt;PT_First,0,1+INT((AU143-PT_First)/PT_Int)),0))+IF(AND(AI143&gt;=2,AK143&lt;=AsOfDate),IF(AQ143="FT",IF(AV143&lt;FT_First,0,IF(AV143&lt;FT_Y5,1+INT((AV143-FT_First)/FT_Int1),FT_PreY5+FT_PerYear*INT((AV143-FT_Y5)/12)+FT_AnnivDays+INT(MOD(AV143-FT_Y5,12)/FT_Int2))),IF(AQ143="PT",IF(AV143&lt;PT_First,0,1+INT((AV143-PT_First)/PT_Int)),0))-IF(AQ143="FT",IF(AU143&lt;FT_First,0,IF(AU143&lt;FT_Y5,1+INT((AU143-FT_First)/FT_Int1),FT_PreY5+FT_PerYear*INT((AU143-FT_Y5)/12)+FT_AnnivDays+INT(MOD(AU143-FT_Y5,12)/FT_Int2))),IF(AQ143="PT",IF(AU143&lt;PT_First,0,1+INT((AU143-PT_First)/PT_Int)),0)),0)+IF(AND(AI143&gt;=3,AL143&lt;=AsOfDate),IF(AR143="FT",IF(AT143&lt;FT_First,0,IF(AT143&lt;FT_Y5,1+INT((AT143-FT_First)/FT_Int1),FT_PreY5+FT_PerYear*INT((AT143-FT_Y5)/12)+FT_AnnivDays+INT(MOD(AT143-FT_Y5,12)/FT_Int2))),IF(AR143="PT",IF(AT143&lt;PT_First,0,1+INT((AT143-PT_First)/PT_Int)),0))-IF(AR143="FT",IF(AV143&lt;FT_First,0,IF(AV143&lt;FT_Y5,1+INT((AV143-FT_First)/FT_Int1),FT_PreY5+FT_PerYear*INT((AV143-FT_Y5)/12)+FT_AnnivDays+INT(MOD(AV143-FT_Y5,12)/FT_Int2))),IF(AR143="PT",IF(AV143&lt;PT_First,0,1+INT((AV143-PT_First)/PT_Int)),0)),0))</f>
        <v/>
      </c>
      <c r="BA143" s="14" t="str">
        <f aca="false">IF(AG143=0,"",IF(AP143="FT",IF(AX143&lt;FT_First,0,IF(AX143&lt;FT_Y5,1+INT((AX143-FT_First)/FT_Int1),FT_PreY5+FT_PerYear*INT((AX143-FT_Y5)/12)+FT_AnnivDays+INT(MOD(AX143-FT_Y5,12)/FT_Int2))),IF(AP143="PT",IF(AX143&lt;PT_First,0,1+INT((AX143-PT_First)/PT_Int)),0))+IF(AND(AI143&gt;=2,AK143&lt;=PFYDate),IF(AQ143="FT",IF(AY143&lt;FT_First,0,IF(AY143&lt;FT_Y5,1+INT((AY143-FT_First)/FT_Int1),FT_PreY5+FT_PerYear*INT((AY143-FT_Y5)/12)+FT_AnnivDays+INT(MOD(AY143-FT_Y5,12)/FT_Int2))),IF(AQ143="PT",IF(AY143&lt;PT_First,0,1+INT((AY143-PT_First)/PT_Int)),0))-IF(AQ143="FT",IF(AX143&lt;FT_First,0,IF(AX143&lt;FT_Y5,1+INT((AX143-FT_First)/FT_Int1),FT_PreY5+FT_PerYear*INT((AX143-FT_Y5)/12)+FT_AnnivDays+INT(MOD(AX143-FT_Y5,12)/FT_Int2))),IF(AQ143="PT",IF(AX143&lt;PT_First,0,1+INT((AX143-PT_First)/PT_Int)),0)),0)+IF(AND(AI143&gt;=3,AL143&lt;=PFYDate),IF(AR143="FT",IF(AW143&lt;FT_First,0,IF(AW143&lt;FT_Y5,1+INT((AW143-FT_First)/FT_Int1),FT_PreY5+FT_PerYear*INT((AW143-FT_Y5)/12)+FT_AnnivDays+INT(MOD(AW143-FT_Y5,12)/FT_Int2))),IF(AR143="PT",IF(AW143&lt;PT_First,0,1+INT((AW143-PT_First)/PT_Int)),0))-IF(AR143="FT",IF(AY143&lt;FT_First,0,IF(AY143&lt;FT_Y5,1+INT((AY143-FT_First)/FT_Int1),FT_PreY5+FT_PerYear*INT((AY143-FT_Y5)/12)+FT_AnnivDays+INT(MOD(AY143-FT_Y5,12)/FT_Int2))),IF(AR143="PT",IF(AY143&lt;PT_First,0,1+INT((AY143-PT_First)/PT_Int)),0)),0))</f>
        <v/>
      </c>
      <c r="BB143" s="14" t="str">
        <f aca="false">IF(AG143=0,"",IF(AS143="FT",IF(AT143&lt;FT_First,FT_First,IF(AT143&lt;FT_Y5,MIN(FT_Y5,FT_First+FT_Int1*(INT((AT143-FT_First)/FT_Int1)+1)),FT_Y5+12*INT((AT143-FT_Y5)/12)+FT_Int2*(INT(MOD(AT143-FT_Y5,12)/FT_Int2)+1))),IF(AS143="PT",IF(AT143&lt;PT_First,PT_First,PT_First+PT_Int*(INT((AT143-PT_First)/PT_Int)+1)),"")))</f>
        <v/>
      </c>
      <c r="BC143" s="14" t="str">
        <f aca="false">IF(AG143=0,"",IF(NOT(LH_Ready),0,COUNTIFS(INDEX(LH_Data,0,LH_ColFirst),$A143,INDEX(LH_Data,0,LH_ColSur),$B143,INDEX(LH_Data,0,LH_ColCat),BonusCat)))</f>
        <v/>
      </c>
      <c r="BD143" s="14" t="str">
        <f aca="false">IF(AG143=0,"",IF(OR(NOT(LH_Ready),BC143=0),0,SUMPRODUCT(MAX((INDEX(LH_Data,0,LH_ColFirst)=$A143)*(INDEX(LH_Data,0,LH_ColSur)=$B143)*(INDEX(LH_Data,0,LH_ColCat)=BonusCat)*ROW(LH_Data)))))</f>
        <v/>
      </c>
      <c r="BE143" s="14" t="str">
        <f aca="false">IF(AG143=0,"",IF(EOMONTH(AsOfDate,-1)&lt;AH143,-1,12*(YEAR(EOMONTH(AsOfDate,-1))-YEAR(AH143))+MONTH(EOMONTH(AsOfDate,-1))-MONTH(AH143)-IF(DAY(EOMONTH(AsOfDate,-1))&lt;MIN(DAY(AH143),DAY(EOMONTH(EOMONTH(AsOfDate,-1),0))),1,0)))</f>
        <v/>
      </c>
      <c r="BF143" s="14" t="str">
        <f aca="false">IF(AG143=0,"",IF(OR(AI143&lt;2,AK143&gt;EOMONTH(AsOfDate,-1)),BE143,IF((AK143-1)&lt;AH143,-1,12*(YEAR((AK143-1))-YEAR(AH143))+MONTH((AK143-1))-MONTH(AH143)-IF(DAY((AK143-1))&lt;MIN(DAY(AH143),DAY(EOMONTH((AK143-1),0))),1,0))))</f>
        <v/>
      </c>
      <c r="BG143" s="14" t="str">
        <f aca="false">IF(AG143=0,"",IF(OR(AI143&lt;3,AL143&gt;EOMONTH(AsOfDate,-1)),BE143,IF((AL143-1)&lt;AH143,-1,12*(YEAR((AL143-1))-YEAR(AH143))+MONTH((AL143-1))-MONTH(AH143)-IF(DAY((AL143-1))&lt;MIN(DAY(AH143),DAY(EOMONTH((AL143-1),0))),1,0))))</f>
        <v/>
      </c>
      <c r="BH143" s="14" t="str">
        <f aca="false">IF(AG143=0,"",IF(AP143="FT",IF(BF143&lt;FT_First,0,IF(BF143&lt;FT_Y5,1+INT((BF143-FT_First)/FT_Int1),FT_PreY5+FT_PerYear*INT((BF143-FT_Y5)/12)+FT_AnnivDays+INT(MOD(BF143-FT_Y5,12)/FT_Int2))),IF(AP143="PT",IF(BF143&lt;PT_First,0,1+INT((BF143-PT_First)/PT_Int)),0))+IF(AND(AI143&gt;=2,AK143&lt;=EOMONTH(AsOfDate,-1)),IF(AQ143="FT",IF(BG143&lt;FT_First,0,IF(BG143&lt;FT_Y5,1+INT((BG143-FT_First)/FT_Int1),FT_PreY5+FT_PerYear*INT((BG143-FT_Y5)/12)+FT_AnnivDays+INT(MOD(BG143-FT_Y5,12)/FT_Int2))),IF(AQ143="PT",IF(BG143&lt;PT_First,0,1+INT((BG143-PT_First)/PT_Int)),0))-IF(AQ143="FT",IF(BF143&lt;FT_First,0,IF(BF143&lt;FT_Y5,1+INT((BF143-FT_First)/FT_Int1),FT_PreY5+FT_PerYear*INT((BF143-FT_Y5)/12)+FT_AnnivDays+INT(MOD(BF143-FT_Y5,12)/FT_Int2))),IF(AQ143="PT",IF(BF143&lt;PT_First,0,1+INT((BF143-PT_First)/PT_Int)),0)),0)+IF(AND(AI143&gt;=3,AL143&lt;=EOMONTH(AsOfDate,-1)),IF(AR143="FT",IF(BE143&lt;FT_First,0,IF(BE143&lt;FT_Y5,1+INT((BE143-FT_First)/FT_Int1),FT_PreY5+FT_PerYear*INT((BE143-FT_Y5)/12)+FT_AnnivDays+INT(MOD(BE143-FT_Y5,12)/FT_Int2))),IF(AR143="PT",IF(BE143&lt;PT_First,0,1+INT((BE143-PT_First)/PT_Int)),0))-IF(AR143="FT",IF(BG143&lt;FT_First,0,IF(BG143&lt;FT_Y5,1+INT((BG143-FT_First)/FT_Int1),FT_PreY5+FT_PerYear*INT((BG143-FT_Y5)/12)+FT_AnnivDays+INT(MOD(BG143-FT_Y5,12)/FT_Int2))),IF(AR143="PT",IF(BG143&lt;PT_First,0,1+INT((BG143-PT_First)/PT_Int)),0)),0))</f>
        <v/>
      </c>
      <c r="BI143" s="14" t="str">
        <f aca="false">IF(AG143=0,"",IF(AS143="FT",IF(AT143&lt;FT_First,"",IF(AT143&lt;FT_Y5,FT_First+FT_Int1*INT((AT143-FT_First)/FT_Int1),FT_Y5+FT_Int2*INT((AT143-FT_Y5)/FT_Int2))),IF(AS143="PT",IF(AT143&lt;PT_First,"",PT_First+PT_Int*INT((AT143-PT_First)/PT_Int)),"")))</f>
        <v/>
      </c>
      <c r="BJ143" s="0" t="str">
        <f aca="false">IF(LEN($A143&amp;$B143)=0,"",$A143&amp;" "&amp;$B143)</f>
        <v/>
      </c>
    </row>
    <row r="144" customFormat="false" ht="15" hidden="false" customHeight="false" outlineLevel="0" collapsed="false">
      <c r="A144" s="10"/>
      <c r="B144" s="10"/>
      <c r="C144" s="10"/>
      <c r="D144" s="11"/>
      <c r="E144" s="12" t="str">
        <f aca="false">IF(OR(AG144=0,$D144=""),"",DATE(YEAR(AsOfDate)+IF(DATE(YEAR(AsOfDate),MONTH($D144),DAY($D144))&lt;=AsOfDate,1,0),MONTH($D144),DAY($D144)))</f>
        <v/>
      </c>
      <c r="F144" s="11"/>
      <c r="G144" s="11"/>
      <c r="H144" s="11"/>
      <c r="I144" s="11"/>
      <c r="J144" s="11"/>
      <c r="K144" s="12" t="str">
        <f aca="false">IF(AG144=0,"",DATE(YEAR(AsOfDate)+IF(DATE(YEAR(AsOfDate),MONTH(AH144),DAY(AH144))&lt;=AsOfDate,1,0),MONTH(AH144),DAY(AH144)))</f>
        <v/>
      </c>
      <c r="L144" s="13" t="str">
        <f aca="false">IF(AG144=0,"",ROUND((AsOfDate-AH144)/365.25,1))</f>
        <v/>
      </c>
      <c r="M144" s="14" t="str">
        <f aca="false">IF(AG144=0,"",IF(AsOfDate&lt;AH144,"-",DATEDIF(AH144,AsOfDate,"y")&amp;"y "&amp;DATEDIF(AH144,AsOfDate,"ym")&amp;"m "&amp;DATEDIF(AH144,AsOfDate,"md")&amp;"d"))</f>
        <v/>
      </c>
      <c r="N144" s="15" t="str">
        <f aca="false">IF(AG144=0,"",O144*HoursPerDay)</f>
        <v/>
      </c>
      <c r="O144" s="15" t="str">
        <f aca="false">IF(AG144=0,"",AZ144)</f>
        <v/>
      </c>
      <c r="P144" s="16"/>
      <c r="Q144" s="14" t="str">
        <f aca="false">IF(AG144=0,"",IF(AI144&lt;2,"",AM144&amp;" to "&amp;AN144&amp;" on "&amp;TEXT(AK144,"dd/mm/yyyy")&amp;IF(AK144&gt;AsOfDate," (future)",IF(AP144=AQ144,"",IF(AQ144="None"," - STOPPED accruing",IF(AP144="None"," - commencement for Bonus Leave"," - pathway changed"))))&amp;IF(AI144&lt;3,"","; "&amp;AN144&amp;" to "&amp;AO144&amp;" on "&amp;TEXT(AL144,"dd/mm/yyyy")&amp;IF(AL144&gt;AsOfDate," (future)",IF(AQ144=AR144,"",IF(AR144="None"," - STOPPED accruing",IF(AQ144="None"," - commencement for Bonus Leave"," - pathway changed")))))))</f>
        <v/>
      </c>
      <c r="R144" s="14" t="str">
        <f aca="false">IF(AG144=0,"",IF(AS144="None",IF(O144&gt;0,"No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2" t="str">
        <f aca="false">IF(AG144=0,"",IF(AS144="None","",EDATE(AH144,BB144)))</f>
        <v/>
      </c>
      <c r="T144" s="15" t="str">
        <f aca="false">IF(AG144=0,"",IF(NOT(LH_Ready),"",IF(AH144&gt;PFYDate,0,IF(LH_ColPeriod=0,W144-U144+V144,SUMIFS(INDEX(LH_Data,0,LH_ColAcc),INDEX(LH_Data,0,LH_ColFirst),$A144,INDEX(LH_Data,0,LH_ColSur),$B144,INDEX(LH_Data,0,LH_ColCat),BonusCat,INDEX(LH_Data,0,LH_ColPeriod),LH_OpenLabel)*UnitFactor))))</f>
        <v/>
      </c>
      <c r="U144" s="15" t="str">
        <f aca="false">IF(AG144=0,"",IF(NOT(LH_Ready),"",SUMIFS(INDEX(LH_Data,0,LH_ColAcc),INDEX(LH_Data,0,LH_ColFirst),$A144,INDEX(LH_Data,0,LH_ColSur),$B144,INDEX(LH_Data,0,LH_ColCat),BonusCat,INDEX(LH_Data,0,LH_ColStart),"&gt;="&amp;AH144)*UnitFactor))</f>
        <v/>
      </c>
      <c r="V144" s="15" t="str">
        <f aca="false">IF(AG144=0,"",IF(NOT(LH_Ready),"",SUMIFS(INDEX(LH_Data,0,LH_ColTaken),INDEX(LH_Data,0,LH_ColFirst),$A144,INDEX(LH_Data,0,LH_ColSur),$B144,INDEX(LH_Data,0,LH_ColCat),BonusCat,INDEX(LH_Data,0,LH_ColStart),"&gt;="&amp;AH144)*UnitFactor))</f>
        <v/>
      </c>
      <c r="W144" s="15" t="str">
        <f aca="false">IF(AG144=0,"",IF(NOT(LH_Ready),"",IF(BD144=0,0,INDEX(INDEX(LH_Data,0,LH_ColClose),BD144-1)*UnitFactor)))</f>
        <v/>
      </c>
      <c r="X144" s="15" t="str">
        <f aca="false">IF(AG144=0,"",(AZ144-BA144)*HoursPerDay)</f>
        <v/>
      </c>
      <c r="Y144" s="15" t="str">
        <f aca="false">IF(AG144=0,"",IF(NOT(LH_Ready),"",IF(BC144=0,N144,IF(PFYDate&lt;$F144,N144-N(T144)-N(U144),X144-N(U144)))))</f>
        <v/>
      </c>
      <c r="Z144" s="14" t="str">
        <f aca="false">IF(OR(AG144=0,Y144=""),"",IF(Y144&gt;0,"Yes","No"))</f>
        <v/>
      </c>
      <c r="AA144" s="14" t="str">
        <f aca="false">IF(AG144=0,IF(LEN($A144&amp;$B144)=0,"","FIX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month")&amp;IF(BC144=0,";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EH)",""),IF(AS144="None",R144,"Not yet - first day on "&amp;TEXT(S144,"dd/mm/yyyy")))))))))</f>
        <v/>
      </c>
      <c r="AB144" s="15" t="str">
        <f aca="false">IF(OR(AG144=0,T144=""),"",BA144*HoursPerDay-T144)</f>
        <v/>
      </c>
      <c r="AC144" s="14" t="str">
        <f aca="false">IF(AG144=0,"",BC144)</f>
        <v/>
      </c>
      <c r="AD144" s="14" t="str">
        <f aca="false">IF(AG144=0,"",TRIM(IF(OR(ISTEXT($F144),ISTEXT($H144),ISTEXT($I144),ISTEXT($G144),ISTEXT($J144),ISTEXT($D144)),"A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I144&gt;=1,IF(AI144&gt;=3,AO144,IF(AI144=2,AN144,AM144))&lt;&gt;IF($C144="","",IF(OR(ISNUMBER(SEARCH("full",$C144)),UPPER(TRIM($C144))="FT",UPPER(TRIM($C144))="FTE"),"Full-Time",IF(OR(ISNUMBER(SEARCH("part",$C144)),UPPER(TRIM($C144))="PT",UPPER(TRIM($C144))="PTE"),"Part-Time",IF(OR(ISNUMBER(SEARCH("cas",$C144)),UPPER(TRIM($C144))="CAS"),"Casual","Unknown"))))),"EmploymentType does not match latest start date ("&amp;IF(AI144&gt;=3,AO144,IF(AI144=2,AN144,AM144))&amp;"). ","")&amp;IF(AND(AI144&gt;=1,AJ144&lt;&gt;$F144),"Earliest type date should equal StartDate. ","")&amp;IF(AND(AI144&gt;=2,AJ144=AK144),"Two types start on the same date. ","")&amp;IF(AND(OR(ISNUMBER(SEARCH("part",$C144)),UPPER(TRIM($C144))="PT",UPPER(TRIM($C144))="PTE"),$P144=""),"Part-time: enter PT Hrs/Week (blank = 24+). ","")))</f>
        <v/>
      </c>
      <c r="AE144" s="15" t="str">
        <f aca="false">IF(AG144=0,"",O144-BH144)</f>
        <v/>
      </c>
      <c r="AF144" s="12" t="str">
        <f aca="false">IF(OR(AG144=0,AE144="",N(AE144)=0,BI144=""),"",EDATE(AH144,BI144))</f>
        <v/>
      </c>
      <c r="AG144" s="14" t="n">
        <f aca="false">IF(OR(LEN($A144&amp;$B144)=0,$F144=""),0,1)</f>
        <v>0</v>
      </c>
      <c r="AH144" s="12" t="str">
        <f aca="false">IF(AG144=0,"",IF($J144&lt;&gt;"",$J144,IF(OR(CasualCounts="Yes",COUNT($G144:$I144)=0,COUNT($H144:$I144)=0),$F144,MIN($H144:$I144))))</f>
        <v/>
      </c>
      <c r="AI144" s="14" t="str">
        <f aca="false">IF(AG144=0,"",COUNT($G144:$I144))</f>
        <v/>
      </c>
      <c r="AJ144" s="12" t="str">
        <f aca="false">IF(AG144=0,"",IFERROR(SMALL($G144:$I144,1),""))</f>
        <v/>
      </c>
      <c r="AK144" s="12" t="str">
        <f aca="false">IF(AG144=0,"",IFERROR(SMALL($G144:$I144,2),""))</f>
        <v/>
      </c>
      <c r="AL144" s="12" t="str">
        <f aca="false">IF(AG144=0,"",IFERROR(SMALL($G144:$I144,3),""))</f>
        <v/>
      </c>
      <c r="AM144" s="14" t="str">
        <f aca="false">IF(AG144=0,"",IF(AJ144="","",IF(AJ144=$H144,"Part-Time",IF(AJ144=$I144,"Full-Time","Casual"))))</f>
        <v/>
      </c>
      <c r="AN144" s="14" t="str">
        <f aca="false">IF(AG144=0,"",IF(AK144="","",IF(AK144=$H144,"Part-Time",IF(AK144=$I144,"Full-Time","Casual"))))</f>
        <v/>
      </c>
      <c r="AO144" s="14" t="str">
        <f aca="false">IF(AG144=0,"",IF(AL144="","",IF(AL144=$H144,"Part-Time",IF(AL144=$I144,"Full-Time","Casual"))))</f>
        <v/>
      </c>
      <c r="AP144" s="14" t="str">
        <f aca="false">IF(AG144=0,"",IF(AI144=0,IF(OR(ISNUMBER(SEARCH("full",$C144)),UPPER(TRIM($C144))="FT",UPPER(TRIM($C144))="FTE"),"FT",IF(AND(OR(ISNUMBER(SEARCH("part",$C144)),UPPER(TRIM($C144))="PT",UPPER(TRIM($C144))="PTE"),OR($P144="",N($P144)&gt;=PT_MinHours)),"PT","None")),IF(OR(ISNUMBER(SEARCH("full",AM144)),UPPER(TRIM(AM144))="FT",UPPER(TRIM(AM144))="FTE"),"FT",IF(AND(OR(ISNUMBER(SEARCH("part",AM144)),UPPER(TRIM(AM144))="PT",UPPER(TRIM(AM144))="PTE"),OR($P144="",N($P144)&gt;=PT_MinHours)),"PT","None"))))</f>
        <v/>
      </c>
      <c r="AQ144" s="14" t="str">
        <f aca="false">IF(AG144=0,"",IF(AI144&lt;2,"",IF(OR(ISNUMBER(SEARCH("full",AN144)),UPPER(TRIM(AN144))="FT",UPPER(TRIM(AN144))="FTE"),"FT",IF(AND(OR(ISNUMBER(SEARCH("part",AN144)),UPPER(TRIM(AN144))="PT",UPPER(TRIM(AN144))="PTE"),OR($P144="",N($P144)&gt;=PT_MinHours)),"PT","None"))))</f>
        <v/>
      </c>
      <c r="AR144" s="14" t="str">
        <f aca="false">IF(AG144=0,"",IF(AI144&lt;3,"",IF(OR(ISNUMBER(SEARCH("full",AO144)),UPPER(TRIM(AO144))="FT",UPPER(TRIM(AO144))="FTE"),"FT",IF(AND(OR(ISNUMBER(SEARCH("part",AO144)),UPPER(TRIM(AO144))="PT",UPPER(TRIM(AO144))="PTE"),OR($P144="",N($P144)&gt;=PT_MinHours)),"PT","None"))))</f>
        <v/>
      </c>
      <c r="AS144" s="14" t="str">
        <f aca="false">IF(AG144=0,"",IF(AND(AI144&gt;=3,AL144&lt;=AsOfDate),AR144,IF(AND(AI144&gt;=2,AK144&lt;=AsOfDate),AQ144,AP144)))</f>
        <v/>
      </c>
      <c r="AT144" s="14" t="str">
        <f aca="false">IF(AG144=0,"",IF(AsOfDate&lt;AH144,-1,12*(YEAR(AsOfDate)-YEAR(AH144))+MONTH(AsOfDate)-MONTH(AH144)-IF(DAY(AsOfDate)&lt;MIN(DAY(AH144),DAY(EOMONTH(AsOfDate,0))),1,0)))</f>
        <v/>
      </c>
      <c r="AU144" s="14" t="str">
        <f aca="false">IF(AG144=0,"",IF(OR(AI144&lt;2,AK144&gt;AsOfDate),AT144,IF((AK144-1)&lt;AH144,-1,12*(YEAR((AK144-1))-YEAR(AH144))+MONTH((AK144-1))-MONTH(AH144)-IF(DAY((AK144-1))&lt;MIN(DAY(AH144),DAY(EOMONTH((AK144-1),0))),1,0))))</f>
        <v/>
      </c>
      <c r="AV144" s="14" t="str">
        <f aca="false">IF(AG144=0,"",IF(OR(AI144&lt;3,AL144&gt;AsOfDate),AT144,IF((AL144-1)&lt;AH144,-1,12*(YEAR((AL144-1))-YEAR(AH144))+MONTH((AL144-1))-MONTH(AH144)-IF(DAY((AL144-1))&lt;MIN(DAY(AH144),DAY(EOMONTH((AL144-1),0))),1,0))))</f>
        <v/>
      </c>
      <c r="AW144" s="14" t="str">
        <f aca="false">IF(AG144=0,"",IF(PFYDate&lt;AH144,-1,12*(YEAR(PFYDate)-YEAR(AH144))+MONTH(PFYDate)-MONTH(AH144)-IF(DAY(PFYDate)&lt;MIN(DAY(AH144),DAY(EOMONTH(PFYDate,0))),1,0)))</f>
        <v/>
      </c>
      <c r="AX144" s="14" t="str">
        <f aca="false">IF(AG144=0,"",IF(OR(AI144&lt;2,AK144&gt;PFYDate),AW144,IF((AK144-1)&lt;AH144,-1,12*(YEAR((AK144-1))-YEAR(AH144))+MONTH((AK144-1))-MONTH(AH144)-IF(DAY((AK144-1))&lt;MIN(DAY(AH144),DAY(EOMONTH((AK144-1),0))),1,0))))</f>
        <v/>
      </c>
      <c r="AY144" s="14" t="str">
        <f aca="false">IF(AG144=0,"",IF(OR(AI144&lt;3,AL144&gt;PFYDate),AW144,IF((AL144-1)&lt;AH144,-1,12*(YEAR((AL144-1))-YEAR(AH144))+MONTH((AL144-1))-MONTH(AH144)-IF(DAY((AL144-1))&lt;MIN(DAY(AH144),DAY(EOMONTH((AL144-1),0))),1,0))))</f>
        <v/>
      </c>
      <c r="AZ144" s="14" t="str">
        <f aca="false">IF(AG144=0,"",IF(AP144="FT",IF(AU144&lt;FT_First,0,IF(AU144&lt;FT_Y5,1+INT((AU144-FT_First)/FT_Int1),FT_PreY5+FT_PerYear*INT((AU144-FT_Y5)/12)+FT_AnnivDays+INT(MOD(AU144-FT_Y5,12)/FT_Int2))),IF(AP144="PT",IF(AU144&lt;PT_First,0,1+INT((AU144-PT_First)/PT_Int)),0))+IF(AND(AI144&gt;=2,AK144&lt;=AsOfDate),IF(AQ144="FT",IF(AV144&lt;FT_First,0,IF(AV144&lt;FT_Y5,1+INT((AV144-FT_First)/FT_Int1),FT_PreY5+FT_PerYear*INT((AV144-FT_Y5)/12)+FT_AnnivDays+INT(MOD(AV144-FT_Y5,12)/FT_Int2))),IF(AQ144="PT",IF(AV144&lt;PT_First,0,1+INT((AV144-PT_First)/PT_Int)),0))-IF(AQ144="FT",IF(AU144&lt;FT_First,0,IF(AU144&lt;FT_Y5,1+INT((AU144-FT_First)/FT_Int1),FT_PreY5+FT_PerYear*INT((AU144-FT_Y5)/12)+FT_AnnivDays+INT(MOD(AU144-FT_Y5,12)/FT_Int2))),IF(AQ144="PT",IF(AU144&lt;PT_First,0,1+INT((AU144-PT_First)/PT_Int)),0)),0)+IF(AND(AI144&gt;=3,AL144&lt;=AsOfDate),IF(AR144="FT",IF(AT144&lt;FT_First,0,IF(AT144&lt;FT_Y5,1+INT((AT144-FT_First)/FT_Int1),FT_PreY5+FT_PerYear*INT((AT144-FT_Y5)/12)+FT_AnnivDays+INT(MOD(AT144-FT_Y5,12)/FT_Int2))),IF(AR144="PT",IF(AT144&lt;PT_First,0,1+INT((AT144-PT_First)/PT_Int)),0))-IF(AR144="FT",IF(AV144&lt;FT_First,0,IF(AV144&lt;FT_Y5,1+INT((AV144-FT_First)/FT_Int1),FT_PreY5+FT_PerYear*INT((AV144-FT_Y5)/12)+FT_AnnivDays+INT(MOD(AV144-FT_Y5,12)/FT_Int2))),IF(AR144="PT",IF(AV144&lt;PT_First,0,1+INT((AV144-PT_First)/PT_Int)),0)),0))</f>
        <v/>
      </c>
      <c r="BA144" s="14" t="str">
        <f aca="false">IF(AG144=0,"",IF(AP144="FT",IF(AX144&lt;FT_First,0,IF(AX144&lt;FT_Y5,1+INT((AX144-FT_First)/FT_Int1),FT_PreY5+FT_PerYear*INT((AX144-FT_Y5)/12)+FT_AnnivDays+INT(MOD(AX144-FT_Y5,12)/FT_Int2))),IF(AP144="PT",IF(AX144&lt;PT_First,0,1+INT((AX144-PT_First)/PT_Int)),0))+IF(AND(AI144&gt;=2,AK144&lt;=PFYDate),IF(AQ144="FT",IF(AY144&lt;FT_First,0,IF(AY144&lt;FT_Y5,1+INT((AY144-FT_First)/FT_Int1),FT_PreY5+FT_PerYear*INT((AY144-FT_Y5)/12)+FT_AnnivDays+INT(MOD(AY144-FT_Y5,12)/FT_Int2))),IF(AQ144="PT",IF(AY144&lt;PT_First,0,1+INT((AY144-PT_First)/PT_Int)),0))-IF(AQ144="FT",IF(AX144&lt;FT_First,0,IF(AX144&lt;FT_Y5,1+INT((AX144-FT_First)/FT_Int1),FT_PreY5+FT_PerYear*INT((AX144-FT_Y5)/12)+FT_AnnivDays+INT(MOD(AX144-FT_Y5,12)/FT_Int2))),IF(AQ144="PT",IF(AX144&lt;PT_First,0,1+INT((AX144-PT_First)/PT_Int)),0)),0)+IF(AND(AI144&gt;=3,AL144&lt;=PFYDate),IF(AR144="FT",IF(AW144&lt;FT_First,0,IF(AW144&lt;FT_Y5,1+INT((AW144-FT_First)/FT_Int1),FT_PreY5+FT_PerYear*INT((AW144-FT_Y5)/12)+FT_AnnivDays+INT(MOD(AW144-FT_Y5,12)/FT_Int2))),IF(AR144="PT",IF(AW144&lt;PT_First,0,1+INT((AW144-PT_First)/PT_Int)),0))-IF(AR144="FT",IF(AY144&lt;FT_First,0,IF(AY144&lt;FT_Y5,1+INT((AY144-FT_First)/FT_Int1),FT_PreY5+FT_PerYear*INT((AY144-FT_Y5)/12)+FT_AnnivDays+INT(MOD(AY144-FT_Y5,12)/FT_Int2))),IF(AR144="PT",IF(AY144&lt;PT_First,0,1+INT((AY144-PT_First)/PT_Int)),0)),0))</f>
        <v/>
      </c>
      <c r="BB144" s="14" t="str">
        <f aca="false">IF(AG144=0,"",IF(AS144="FT",IF(AT144&lt;FT_First,FT_First,IF(AT144&lt;FT_Y5,MIN(FT_Y5,FT_First+FT_Int1*(INT((AT144-FT_First)/FT_Int1)+1)),FT_Y5+12*INT((AT144-FT_Y5)/12)+FT_Int2*(INT(MOD(AT144-FT_Y5,12)/FT_Int2)+1))),IF(AS144="PT",IF(AT144&lt;PT_First,PT_First,PT_First+PT_Int*(INT((AT144-PT_First)/PT_Int)+1)),"")))</f>
        <v/>
      </c>
      <c r="BC144" s="14" t="str">
        <f aca="false">IF(AG144=0,"",IF(NOT(LH_Ready),0,COUNTIFS(INDEX(LH_Data,0,LH_ColFirst),$A144,INDEX(LH_Data,0,LH_ColSur),$B144,INDEX(LH_Data,0,LH_ColCat),BonusCat)))</f>
        <v/>
      </c>
      <c r="BD144" s="14" t="str">
        <f aca="false">IF(AG144=0,"",IF(OR(NOT(LH_Ready),BC144=0),0,SUMPRODUCT(MAX((INDEX(LH_Data,0,LH_ColFirst)=$A144)*(INDEX(LH_Data,0,LH_ColSur)=$B144)*(INDEX(LH_Data,0,LH_ColCat)=BonusCat)*ROW(LH_Data)))))</f>
        <v/>
      </c>
      <c r="BE144" s="14" t="str">
        <f aca="false">IF(AG144=0,"",IF(EOMONTH(AsOfDate,-1)&lt;AH144,-1,12*(YEAR(EOMONTH(AsOfDate,-1))-YEAR(AH144))+MONTH(EOMONTH(AsOfDate,-1))-MONTH(AH144)-IF(DAY(EOMONTH(AsOfDate,-1))&lt;MIN(DAY(AH144),DAY(EOMONTH(EOMONTH(AsOfDate,-1),0))),1,0)))</f>
        <v/>
      </c>
      <c r="BF144" s="14" t="str">
        <f aca="false">IF(AG144=0,"",IF(OR(AI144&lt;2,AK144&gt;EOMONTH(AsOfDate,-1)),BE144,IF((AK144-1)&lt;AH144,-1,12*(YEAR((AK144-1))-YEAR(AH144))+MONTH((AK144-1))-MONTH(AH144)-IF(DAY((AK144-1))&lt;MIN(DAY(AH144),DAY(EOMONTH((AK144-1),0))),1,0))))</f>
        <v/>
      </c>
      <c r="BG144" s="14" t="str">
        <f aca="false">IF(AG144=0,"",IF(OR(AI144&lt;3,AL144&gt;EOMONTH(AsOfDate,-1)),BE144,IF((AL144-1)&lt;AH144,-1,12*(YEAR((AL144-1))-YEAR(AH144))+MONTH((AL144-1))-MONTH(AH144)-IF(DAY((AL144-1))&lt;MIN(DAY(AH144),DAY(EOMONTH((AL144-1),0))),1,0))))</f>
        <v/>
      </c>
      <c r="BH144" s="14" t="str">
        <f aca="false">IF(AG144=0,"",IF(AP144="FT",IF(BF144&lt;FT_First,0,IF(BF144&lt;FT_Y5,1+INT((BF144-FT_First)/FT_Int1),FT_PreY5+FT_PerYear*INT((BF144-FT_Y5)/12)+FT_AnnivDays+INT(MOD(BF144-FT_Y5,12)/FT_Int2))),IF(AP144="PT",IF(BF144&lt;PT_First,0,1+INT((BF144-PT_First)/PT_Int)),0))+IF(AND(AI144&gt;=2,AK144&lt;=EOMONTH(AsOfDate,-1)),IF(AQ144="FT",IF(BG144&lt;FT_First,0,IF(BG144&lt;FT_Y5,1+INT((BG144-FT_First)/FT_Int1),FT_PreY5+FT_PerYear*INT((BG144-FT_Y5)/12)+FT_AnnivDays+INT(MOD(BG144-FT_Y5,12)/FT_Int2))),IF(AQ144="PT",IF(BG144&lt;PT_First,0,1+INT((BG144-PT_First)/PT_Int)),0))-IF(AQ144="FT",IF(BF144&lt;FT_First,0,IF(BF144&lt;FT_Y5,1+INT((BF144-FT_First)/FT_Int1),FT_PreY5+FT_PerYear*INT((BF144-FT_Y5)/12)+FT_AnnivDays+INT(MOD(BF144-FT_Y5,12)/FT_Int2))),IF(AQ144="PT",IF(BF144&lt;PT_First,0,1+INT((BF144-PT_First)/PT_Int)),0)),0)+IF(AND(AI144&gt;=3,AL144&lt;=EOMONTH(AsOfDate,-1)),IF(AR144="FT",IF(BE144&lt;FT_First,0,IF(BE144&lt;FT_Y5,1+INT((BE144-FT_First)/FT_Int1),FT_PreY5+FT_PerYear*INT((BE144-FT_Y5)/12)+FT_AnnivDays+INT(MOD(BE144-FT_Y5,12)/FT_Int2))),IF(AR144="PT",IF(BE144&lt;PT_First,0,1+INT((BE144-PT_First)/PT_Int)),0))-IF(AR144="FT",IF(BG144&lt;FT_First,0,IF(BG144&lt;FT_Y5,1+INT((BG144-FT_First)/FT_Int1),FT_PreY5+FT_PerYear*INT((BG144-FT_Y5)/12)+FT_AnnivDays+INT(MOD(BG144-FT_Y5,12)/FT_Int2))),IF(AR144="PT",IF(BG144&lt;PT_First,0,1+INT((BG144-PT_First)/PT_Int)),0)),0))</f>
        <v/>
      </c>
      <c r="BI144" s="14" t="str">
        <f aca="false">IF(AG144=0,"",IF(AS144="FT",IF(AT144&lt;FT_First,"",IF(AT144&lt;FT_Y5,FT_First+FT_Int1*INT((AT144-FT_First)/FT_Int1),FT_Y5+FT_Int2*INT((AT144-FT_Y5)/FT_Int2))),IF(AS144="PT",IF(AT144&lt;PT_First,"",PT_First+PT_Int*INT((AT144-PT_First)/PT_Int)),"")))</f>
        <v/>
      </c>
      <c r="BJ144" s="0" t="str">
        <f aca="false">IF(LEN($A144&amp;$B144)=0,"",$A144&amp;" "&amp;$B144)</f>
        <v/>
      </c>
    </row>
    <row r="145" customFormat="false" ht="15" hidden="false" customHeight="false" outlineLevel="0" collapsed="false">
      <c r="A145" s="10"/>
      <c r="B145" s="10"/>
      <c r="C145" s="10"/>
      <c r="D145" s="11"/>
      <c r="E145" s="12" t="str">
        <f aca="false">IF(OR(AG145=0,$D145=""),"",DATE(YEAR(AsOfDate)+IF(DATE(YEAR(AsOfDate),MONTH($D145),DAY($D145))&lt;=AsOfDate,1,0),MONTH($D145),DAY($D145)))</f>
        <v/>
      </c>
      <c r="F145" s="11"/>
      <c r="G145" s="11"/>
      <c r="H145" s="11"/>
      <c r="I145" s="11"/>
      <c r="J145" s="11"/>
      <c r="K145" s="12" t="str">
        <f aca="false">IF(AG145=0,"",DATE(YEAR(AsOfDate)+IF(DATE(YEAR(AsOfDate),MONTH(AH145),DAY(AH145))&lt;=AsOfDate,1,0),MONTH(AH145),DAY(AH145)))</f>
        <v/>
      </c>
      <c r="L145" s="13" t="str">
        <f aca="false">IF(AG145=0,"",ROUND((AsOfDate-AH145)/365.25,1))</f>
        <v/>
      </c>
      <c r="M145" s="14" t="str">
        <f aca="false">IF(AG145=0,"",IF(AsOfDate&lt;AH145,"-",DATEDIF(AH145,AsOfDate,"y")&amp;"y "&amp;DATEDIF(AH145,AsOfDate,"ym")&amp;"m "&amp;DATEDIF(AH145,AsOfDate,"md")&amp;"d"))</f>
        <v/>
      </c>
      <c r="N145" s="15" t="str">
        <f aca="false">IF(AG145=0,"",O145*HoursPerDay)</f>
        <v/>
      </c>
      <c r="O145" s="15" t="str">
        <f aca="false">IF(AG145=0,"",AZ145)</f>
        <v/>
      </c>
      <c r="P145" s="16"/>
      <c r="Q145" s="14" t="str">
        <f aca="false">IF(AG145=0,"",IF(AI145&lt;2,"",AM145&amp;" to "&amp;AN145&amp;" on "&amp;TEXT(AK145,"dd/mm/yyyy")&amp;IF(AK145&gt;AsOfDate," (future)",IF(AP145=AQ145,"",IF(AQ145="None"," - STOPPED accruing",IF(AP145="None"," - commencement for Bonus Leave"," - pathway changed"))))&amp;IF(AI145&lt;3,"","; "&amp;AN145&amp;" to "&amp;AO145&amp;" on "&amp;TEXT(AL145,"dd/mm/yyyy")&amp;IF(AL145&gt;AsOfDate," (future)",IF(AQ145=AR145,"",IF(AR145="None"," - STOPPED accruing",IF(AQ145="None"," - commencement for Bonus Leave"," - pathway changed")))))))</f>
        <v/>
      </c>
      <c r="R145" s="14" t="str">
        <f aca="false">IF(AG145=0,"",IF(AS145="None",IF(O145&gt;0,"No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2" t="str">
        <f aca="false">IF(AG145=0,"",IF(AS145="None","",EDATE(AH145,BB145)))</f>
        <v/>
      </c>
      <c r="T145" s="15" t="str">
        <f aca="false">IF(AG145=0,"",IF(NOT(LH_Ready),"",IF(AH145&gt;PFYDate,0,IF(LH_ColPeriod=0,W145-U145+V145,SUMIFS(INDEX(LH_Data,0,LH_ColAcc),INDEX(LH_Data,0,LH_ColFirst),$A145,INDEX(LH_Data,0,LH_ColSur),$B145,INDEX(LH_Data,0,LH_ColCat),BonusCat,INDEX(LH_Data,0,LH_ColPeriod),LH_OpenLabel)*UnitFactor))))</f>
        <v/>
      </c>
      <c r="U145" s="15" t="str">
        <f aca="false">IF(AG145=0,"",IF(NOT(LH_Ready),"",SUMIFS(INDEX(LH_Data,0,LH_ColAcc),INDEX(LH_Data,0,LH_ColFirst),$A145,INDEX(LH_Data,0,LH_ColSur),$B145,INDEX(LH_Data,0,LH_ColCat),BonusCat,INDEX(LH_Data,0,LH_ColStart),"&gt;="&amp;AH145)*UnitFactor))</f>
        <v/>
      </c>
      <c r="V145" s="15" t="str">
        <f aca="false">IF(AG145=0,"",IF(NOT(LH_Ready),"",SUMIFS(INDEX(LH_Data,0,LH_ColTaken),INDEX(LH_Data,0,LH_ColFirst),$A145,INDEX(LH_Data,0,LH_ColSur),$B145,INDEX(LH_Data,0,LH_ColCat),BonusCat,INDEX(LH_Data,0,LH_ColStart),"&gt;="&amp;AH145)*UnitFactor))</f>
        <v/>
      </c>
      <c r="W145" s="15" t="str">
        <f aca="false">IF(AG145=0,"",IF(NOT(LH_Ready),"",IF(BD145=0,0,INDEX(INDEX(LH_Data,0,LH_ColClose),BD145-1)*UnitFactor)))</f>
        <v/>
      </c>
      <c r="X145" s="15" t="str">
        <f aca="false">IF(AG145=0,"",(AZ145-BA145)*HoursPerDay)</f>
        <v/>
      </c>
      <c r="Y145" s="15" t="str">
        <f aca="false">IF(AG145=0,"",IF(NOT(LH_Ready),"",IF(BC145=0,N145,IF(PFYDate&lt;$F145,N145-N(T145)-N(U145),X145-N(U145)))))</f>
        <v/>
      </c>
      <c r="Z145" s="14" t="str">
        <f aca="false">IF(OR(AG145=0,Y145=""),"",IF(Y145&gt;0,"Yes","No"))</f>
        <v/>
      </c>
      <c r="AA145" s="14" t="str">
        <f aca="false">IF(AG145=0,IF(LEN($A145&amp;$B145)=0,"","FIX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month")&amp;IF(BC145=0,";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EH)",""),IF(AS145="None",R145,"Not yet - first day on "&amp;TEXT(S145,"dd/mm/yyyy")))))))))</f>
        <v/>
      </c>
      <c r="AB145" s="15" t="str">
        <f aca="false">IF(OR(AG145=0,T145=""),"",BA145*HoursPerDay-T145)</f>
        <v/>
      </c>
      <c r="AC145" s="14" t="str">
        <f aca="false">IF(AG145=0,"",BC145)</f>
        <v/>
      </c>
      <c r="AD145" s="14" t="str">
        <f aca="false">IF(AG145=0,"",TRIM(IF(OR(ISTEXT($F145),ISTEXT($H145),ISTEXT($I145),ISTEXT($G145),ISTEXT($J145),ISTEXT($D145)),"A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I145&gt;=1,IF(AI145&gt;=3,AO145,IF(AI145=2,AN145,AM145))&lt;&gt;IF($C145="","",IF(OR(ISNUMBER(SEARCH("full",$C145)),UPPER(TRIM($C145))="FT",UPPER(TRIM($C145))="FTE"),"Full-Time",IF(OR(ISNUMBER(SEARCH("part",$C145)),UPPER(TRIM($C145))="PT",UPPER(TRIM($C145))="PTE"),"Part-Time",IF(OR(ISNUMBER(SEARCH("cas",$C145)),UPPER(TRIM($C145))="CAS"),"Casual","Unknown"))))),"EmploymentType does not match latest start date ("&amp;IF(AI145&gt;=3,AO145,IF(AI145=2,AN145,AM145))&amp;"). ","")&amp;IF(AND(AI145&gt;=1,AJ145&lt;&gt;$F145),"Earliest type date should equal StartDate. ","")&amp;IF(AND(AI145&gt;=2,AJ145=AK145),"Two types start on the same date. ","")&amp;IF(AND(OR(ISNUMBER(SEARCH("part",$C145)),UPPER(TRIM($C145))="PT",UPPER(TRIM($C145))="PTE"),$P145=""),"Part-time: enter PT Hrs/Week (blank = 24+). ","")))</f>
        <v/>
      </c>
      <c r="AE145" s="15" t="str">
        <f aca="false">IF(AG145=0,"",O145-BH145)</f>
        <v/>
      </c>
      <c r="AF145" s="12" t="str">
        <f aca="false">IF(OR(AG145=0,AE145="",N(AE145)=0,BI145=""),"",EDATE(AH145,BI145))</f>
        <v/>
      </c>
      <c r="AG145" s="14" t="n">
        <f aca="false">IF(OR(LEN($A145&amp;$B145)=0,$F145=""),0,1)</f>
        <v>0</v>
      </c>
      <c r="AH145" s="12" t="str">
        <f aca="false">IF(AG145=0,"",IF($J145&lt;&gt;"",$J145,IF(OR(CasualCounts="Yes",COUNT($G145:$I145)=0,COUNT($H145:$I145)=0),$F145,MIN($H145:$I145))))</f>
        <v/>
      </c>
      <c r="AI145" s="14" t="str">
        <f aca="false">IF(AG145=0,"",COUNT($G145:$I145))</f>
        <v/>
      </c>
      <c r="AJ145" s="12" t="str">
        <f aca="false">IF(AG145=0,"",IFERROR(SMALL($G145:$I145,1),""))</f>
        <v/>
      </c>
      <c r="AK145" s="12" t="str">
        <f aca="false">IF(AG145=0,"",IFERROR(SMALL($G145:$I145,2),""))</f>
        <v/>
      </c>
      <c r="AL145" s="12" t="str">
        <f aca="false">IF(AG145=0,"",IFERROR(SMALL($G145:$I145,3),""))</f>
        <v/>
      </c>
      <c r="AM145" s="14" t="str">
        <f aca="false">IF(AG145=0,"",IF(AJ145="","",IF(AJ145=$H145,"Part-Time",IF(AJ145=$I145,"Full-Time","Casual"))))</f>
        <v/>
      </c>
      <c r="AN145" s="14" t="str">
        <f aca="false">IF(AG145=0,"",IF(AK145="","",IF(AK145=$H145,"Part-Time",IF(AK145=$I145,"Full-Time","Casual"))))</f>
        <v/>
      </c>
      <c r="AO145" s="14" t="str">
        <f aca="false">IF(AG145=0,"",IF(AL145="","",IF(AL145=$H145,"Part-Time",IF(AL145=$I145,"Full-Time","Casual"))))</f>
        <v/>
      </c>
      <c r="AP145" s="14" t="str">
        <f aca="false">IF(AG145=0,"",IF(AI145=0,IF(OR(ISNUMBER(SEARCH("full",$C145)),UPPER(TRIM($C145))="FT",UPPER(TRIM($C145))="FTE"),"FT",IF(AND(OR(ISNUMBER(SEARCH("part",$C145)),UPPER(TRIM($C145))="PT",UPPER(TRIM($C145))="PTE"),OR($P145="",N($P145)&gt;=PT_MinHours)),"PT","None")),IF(OR(ISNUMBER(SEARCH("full",AM145)),UPPER(TRIM(AM145))="FT",UPPER(TRIM(AM145))="FTE"),"FT",IF(AND(OR(ISNUMBER(SEARCH("part",AM145)),UPPER(TRIM(AM145))="PT",UPPER(TRIM(AM145))="PTE"),OR($P145="",N($P145)&gt;=PT_MinHours)),"PT","None"))))</f>
        <v/>
      </c>
      <c r="AQ145" s="14" t="str">
        <f aca="false">IF(AG145=0,"",IF(AI145&lt;2,"",IF(OR(ISNUMBER(SEARCH("full",AN145)),UPPER(TRIM(AN145))="FT",UPPER(TRIM(AN145))="FTE"),"FT",IF(AND(OR(ISNUMBER(SEARCH("part",AN145)),UPPER(TRIM(AN145))="PT",UPPER(TRIM(AN145))="PTE"),OR($P145="",N($P145)&gt;=PT_MinHours)),"PT","None"))))</f>
        <v/>
      </c>
      <c r="AR145" s="14" t="str">
        <f aca="false">IF(AG145=0,"",IF(AI145&lt;3,"",IF(OR(ISNUMBER(SEARCH("full",AO145)),UPPER(TRIM(AO145))="FT",UPPER(TRIM(AO145))="FTE"),"FT",IF(AND(OR(ISNUMBER(SEARCH("part",AO145)),UPPER(TRIM(AO145))="PT",UPPER(TRIM(AO145))="PTE"),OR($P145="",N($P145)&gt;=PT_MinHours)),"PT","None"))))</f>
        <v/>
      </c>
      <c r="AS145" s="14" t="str">
        <f aca="false">IF(AG145=0,"",IF(AND(AI145&gt;=3,AL145&lt;=AsOfDate),AR145,IF(AND(AI145&gt;=2,AK145&lt;=AsOfDate),AQ145,AP145)))</f>
        <v/>
      </c>
      <c r="AT145" s="14" t="str">
        <f aca="false">IF(AG145=0,"",IF(AsOfDate&lt;AH145,-1,12*(YEAR(AsOfDate)-YEAR(AH145))+MONTH(AsOfDate)-MONTH(AH145)-IF(DAY(AsOfDate)&lt;MIN(DAY(AH145),DAY(EOMONTH(AsOfDate,0))),1,0)))</f>
        <v/>
      </c>
      <c r="AU145" s="14" t="str">
        <f aca="false">IF(AG145=0,"",IF(OR(AI145&lt;2,AK145&gt;AsOfDate),AT145,IF((AK145-1)&lt;AH145,-1,12*(YEAR((AK145-1))-YEAR(AH145))+MONTH((AK145-1))-MONTH(AH145)-IF(DAY((AK145-1))&lt;MIN(DAY(AH145),DAY(EOMONTH((AK145-1),0))),1,0))))</f>
        <v/>
      </c>
      <c r="AV145" s="14" t="str">
        <f aca="false">IF(AG145=0,"",IF(OR(AI145&lt;3,AL145&gt;AsOfDate),AT145,IF((AL145-1)&lt;AH145,-1,12*(YEAR((AL145-1))-YEAR(AH145))+MONTH((AL145-1))-MONTH(AH145)-IF(DAY((AL145-1))&lt;MIN(DAY(AH145),DAY(EOMONTH((AL145-1),0))),1,0))))</f>
        <v/>
      </c>
      <c r="AW145" s="14" t="str">
        <f aca="false">IF(AG145=0,"",IF(PFYDate&lt;AH145,-1,12*(YEAR(PFYDate)-YEAR(AH145))+MONTH(PFYDate)-MONTH(AH145)-IF(DAY(PFYDate)&lt;MIN(DAY(AH145),DAY(EOMONTH(PFYDate,0))),1,0)))</f>
        <v/>
      </c>
      <c r="AX145" s="14" t="str">
        <f aca="false">IF(AG145=0,"",IF(OR(AI145&lt;2,AK145&gt;PFYDate),AW145,IF((AK145-1)&lt;AH145,-1,12*(YEAR((AK145-1))-YEAR(AH145))+MONTH((AK145-1))-MONTH(AH145)-IF(DAY((AK145-1))&lt;MIN(DAY(AH145),DAY(EOMONTH((AK145-1),0))),1,0))))</f>
        <v/>
      </c>
      <c r="AY145" s="14" t="str">
        <f aca="false">IF(AG145=0,"",IF(OR(AI145&lt;3,AL145&gt;PFYDate),AW145,IF((AL145-1)&lt;AH145,-1,12*(YEAR((AL145-1))-YEAR(AH145))+MONTH((AL145-1))-MONTH(AH145)-IF(DAY((AL145-1))&lt;MIN(DAY(AH145),DAY(EOMONTH((AL145-1),0))),1,0))))</f>
        <v/>
      </c>
      <c r="AZ145" s="14" t="str">
        <f aca="false">IF(AG145=0,"",IF(AP145="FT",IF(AU145&lt;FT_First,0,IF(AU145&lt;FT_Y5,1+INT((AU145-FT_First)/FT_Int1),FT_PreY5+FT_PerYear*INT((AU145-FT_Y5)/12)+FT_AnnivDays+INT(MOD(AU145-FT_Y5,12)/FT_Int2))),IF(AP145="PT",IF(AU145&lt;PT_First,0,1+INT((AU145-PT_First)/PT_Int)),0))+IF(AND(AI145&gt;=2,AK145&lt;=AsOfDate),IF(AQ145="FT",IF(AV145&lt;FT_First,0,IF(AV145&lt;FT_Y5,1+INT((AV145-FT_First)/FT_Int1),FT_PreY5+FT_PerYear*INT((AV145-FT_Y5)/12)+FT_AnnivDays+INT(MOD(AV145-FT_Y5,12)/FT_Int2))),IF(AQ145="PT",IF(AV145&lt;PT_First,0,1+INT((AV145-PT_First)/PT_Int)),0))-IF(AQ145="FT",IF(AU145&lt;FT_First,0,IF(AU145&lt;FT_Y5,1+INT((AU145-FT_First)/FT_Int1),FT_PreY5+FT_PerYear*INT((AU145-FT_Y5)/12)+FT_AnnivDays+INT(MOD(AU145-FT_Y5,12)/FT_Int2))),IF(AQ145="PT",IF(AU145&lt;PT_First,0,1+INT((AU145-PT_First)/PT_Int)),0)),0)+IF(AND(AI145&gt;=3,AL145&lt;=AsOfDate),IF(AR145="FT",IF(AT145&lt;FT_First,0,IF(AT145&lt;FT_Y5,1+INT((AT145-FT_First)/FT_Int1),FT_PreY5+FT_PerYear*INT((AT145-FT_Y5)/12)+FT_AnnivDays+INT(MOD(AT145-FT_Y5,12)/FT_Int2))),IF(AR145="PT",IF(AT145&lt;PT_First,0,1+INT((AT145-PT_First)/PT_Int)),0))-IF(AR145="FT",IF(AV145&lt;FT_First,0,IF(AV145&lt;FT_Y5,1+INT((AV145-FT_First)/FT_Int1),FT_PreY5+FT_PerYear*INT((AV145-FT_Y5)/12)+FT_AnnivDays+INT(MOD(AV145-FT_Y5,12)/FT_Int2))),IF(AR145="PT",IF(AV145&lt;PT_First,0,1+INT((AV145-PT_First)/PT_Int)),0)),0))</f>
        <v/>
      </c>
      <c r="BA145" s="14" t="str">
        <f aca="false">IF(AG145=0,"",IF(AP145="FT",IF(AX145&lt;FT_First,0,IF(AX145&lt;FT_Y5,1+INT((AX145-FT_First)/FT_Int1),FT_PreY5+FT_PerYear*INT((AX145-FT_Y5)/12)+FT_AnnivDays+INT(MOD(AX145-FT_Y5,12)/FT_Int2))),IF(AP145="PT",IF(AX145&lt;PT_First,0,1+INT((AX145-PT_First)/PT_Int)),0))+IF(AND(AI145&gt;=2,AK145&lt;=PFYDate),IF(AQ145="FT",IF(AY145&lt;FT_First,0,IF(AY145&lt;FT_Y5,1+INT((AY145-FT_First)/FT_Int1),FT_PreY5+FT_PerYear*INT((AY145-FT_Y5)/12)+FT_AnnivDays+INT(MOD(AY145-FT_Y5,12)/FT_Int2))),IF(AQ145="PT",IF(AY145&lt;PT_First,0,1+INT((AY145-PT_First)/PT_Int)),0))-IF(AQ145="FT",IF(AX145&lt;FT_First,0,IF(AX145&lt;FT_Y5,1+INT((AX145-FT_First)/FT_Int1),FT_PreY5+FT_PerYear*INT((AX145-FT_Y5)/12)+FT_AnnivDays+INT(MOD(AX145-FT_Y5,12)/FT_Int2))),IF(AQ145="PT",IF(AX145&lt;PT_First,0,1+INT((AX145-PT_First)/PT_Int)),0)),0)+IF(AND(AI145&gt;=3,AL145&lt;=PFYDate),IF(AR145="FT",IF(AW145&lt;FT_First,0,IF(AW145&lt;FT_Y5,1+INT((AW145-FT_First)/FT_Int1),FT_PreY5+FT_PerYear*INT((AW145-FT_Y5)/12)+FT_AnnivDays+INT(MOD(AW145-FT_Y5,12)/FT_Int2))),IF(AR145="PT",IF(AW145&lt;PT_First,0,1+INT((AW145-PT_First)/PT_Int)),0))-IF(AR145="FT",IF(AY145&lt;FT_First,0,IF(AY145&lt;FT_Y5,1+INT((AY145-FT_First)/FT_Int1),FT_PreY5+FT_PerYear*INT((AY145-FT_Y5)/12)+FT_AnnivDays+INT(MOD(AY145-FT_Y5,12)/FT_Int2))),IF(AR145="PT",IF(AY145&lt;PT_First,0,1+INT((AY145-PT_First)/PT_Int)),0)),0))</f>
        <v/>
      </c>
      <c r="BB145" s="14" t="str">
        <f aca="false">IF(AG145=0,"",IF(AS145="FT",IF(AT145&lt;FT_First,FT_First,IF(AT145&lt;FT_Y5,MIN(FT_Y5,FT_First+FT_Int1*(INT((AT145-FT_First)/FT_Int1)+1)),FT_Y5+12*INT((AT145-FT_Y5)/12)+FT_Int2*(INT(MOD(AT145-FT_Y5,12)/FT_Int2)+1))),IF(AS145="PT",IF(AT145&lt;PT_First,PT_First,PT_First+PT_Int*(INT((AT145-PT_First)/PT_Int)+1)),"")))</f>
        <v/>
      </c>
      <c r="BC145" s="14" t="str">
        <f aca="false">IF(AG145=0,"",IF(NOT(LH_Ready),0,COUNTIFS(INDEX(LH_Data,0,LH_ColFirst),$A145,INDEX(LH_Data,0,LH_ColSur),$B145,INDEX(LH_Data,0,LH_ColCat),BonusCat)))</f>
        <v/>
      </c>
      <c r="BD145" s="14" t="str">
        <f aca="false">IF(AG145=0,"",IF(OR(NOT(LH_Ready),BC145=0),0,SUMPRODUCT(MAX((INDEX(LH_Data,0,LH_ColFirst)=$A145)*(INDEX(LH_Data,0,LH_ColSur)=$B145)*(INDEX(LH_Data,0,LH_ColCat)=BonusCat)*ROW(LH_Data)))))</f>
        <v/>
      </c>
      <c r="BE145" s="14" t="str">
        <f aca="false">IF(AG145=0,"",IF(EOMONTH(AsOfDate,-1)&lt;AH145,-1,12*(YEAR(EOMONTH(AsOfDate,-1))-YEAR(AH145))+MONTH(EOMONTH(AsOfDate,-1))-MONTH(AH145)-IF(DAY(EOMONTH(AsOfDate,-1))&lt;MIN(DAY(AH145),DAY(EOMONTH(EOMONTH(AsOfDate,-1),0))),1,0)))</f>
        <v/>
      </c>
      <c r="BF145" s="14" t="str">
        <f aca="false">IF(AG145=0,"",IF(OR(AI145&lt;2,AK145&gt;EOMONTH(AsOfDate,-1)),BE145,IF((AK145-1)&lt;AH145,-1,12*(YEAR((AK145-1))-YEAR(AH145))+MONTH((AK145-1))-MONTH(AH145)-IF(DAY((AK145-1))&lt;MIN(DAY(AH145),DAY(EOMONTH((AK145-1),0))),1,0))))</f>
        <v/>
      </c>
      <c r="BG145" s="14" t="str">
        <f aca="false">IF(AG145=0,"",IF(OR(AI145&lt;3,AL145&gt;EOMONTH(AsOfDate,-1)),BE145,IF((AL145-1)&lt;AH145,-1,12*(YEAR((AL145-1))-YEAR(AH145))+MONTH((AL145-1))-MONTH(AH145)-IF(DAY((AL145-1))&lt;MIN(DAY(AH145),DAY(EOMONTH((AL145-1),0))),1,0))))</f>
        <v/>
      </c>
      <c r="BH145" s="14" t="str">
        <f aca="false">IF(AG145=0,"",IF(AP145="FT",IF(BF145&lt;FT_First,0,IF(BF145&lt;FT_Y5,1+INT((BF145-FT_First)/FT_Int1),FT_PreY5+FT_PerYear*INT((BF145-FT_Y5)/12)+FT_AnnivDays+INT(MOD(BF145-FT_Y5,12)/FT_Int2))),IF(AP145="PT",IF(BF145&lt;PT_First,0,1+INT((BF145-PT_First)/PT_Int)),0))+IF(AND(AI145&gt;=2,AK145&lt;=EOMONTH(AsOfDate,-1)),IF(AQ145="FT",IF(BG145&lt;FT_First,0,IF(BG145&lt;FT_Y5,1+INT((BG145-FT_First)/FT_Int1),FT_PreY5+FT_PerYear*INT((BG145-FT_Y5)/12)+FT_AnnivDays+INT(MOD(BG145-FT_Y5,12)/FT_Int2))),IF(AQ145="PT",IF(BG145&lt;PT_First,0,1+INT((BG145-PT_First)/PT_Int)),0))-IF(AQ145="FT",IF(BF145&lt;FT_First,0,IF(BF145&lt;FT_Y5,1+INT((BF145-FT_First)/FT_Int1),FT_PreY5+FT_PerYear*INT((BF145-FT_Y5)/12)+FT_AnnivDays+INT(MOD(BF145-FT_Y5,12)/FT_Int2))),IF(AQ145="PT",IF(BF145&lt;PT_First,0,1+INT((BF145-PT_First)/PT_Int)),0)),0)+IF(AND(AI145&gt;=3,AL145&lt;=EOMONTH(AsOfDate,-1)),IF(AR145="FT",IF(BE145&lt;FT_First,0,IF(BE145&lt;FT_Y5,1+INT((BE145-FT_First)/FT_Int1),FT_PreY5+FT_PerYear*INT((BE145-FT_Y5)/12)+FT_AnnivDays+INT(MOD(BE145-FT_Y5,12)/FT_Int2))),IF(AR145="PT",IF(BE145&lt;PT_First,0,1+INT((BE145-PT_First)/PT_Int)),0))-IF(AR145="FT",IF(BG145&lt;FT_First,0,IF(BG145&lt;FT_Y5,1+INT((BG145-FT_First)/FT_Int1),FT_PreY5+FT_PerYear*INT((BG145-FT_Y5)/12)+FT_AnnivDays+INT(MOD(BG145-FT_Y5,12)/FT_Int2))),IF(AR145="PT",IF(BG145&lt;PT_First,0,1+INT((BG145-PT_First)/PT_Int)),0)),0))</f>
        <v/>
      </c>
      <c r="BI145" s="14" t="str">
        <f aca="false">IF(AG145=0,"",IF(AS145="FT",IF(AT145&lt;FT_First,"",IF(AT145&lt;FT_Y5,FT_First+FT_Int1*INT((AT145-FT_First)/FT_Int1),FT_Y5+FT_Int2*INT((AT145-FT_Y5)/FT_Int2))),IF(AS145="PT",IF(AT145&lt;PT_First,"",PT_First+PT_Int*INT((AT145-PT_First)/PT_Int)),"")))</f>
        <v/>
      </c>
      <c r="BJ145" s="0" t="str">
        <f aca="false">IF(LEN($A145&amp;$B145)=0,"",$A145&amp;" "&amp;$B145)</f>
        <v/>
      </c>
    </row>
    <row r="146" customFormat="false" ht="15" hidden="false" customHeight="false" outlineLevel="0" collapsed="false">
      <c r="A146" s="10"/>
      <c r="B146" s="10"/>
      <c r="C146" s="10"/>
      <c r="D146" s="11"/>
      <c r="E146" s="12" t="str">
        <f aca="false">IF(OR(AG146=0,$D146=""),"",DATE(YEAR(AsOfDate)+IF(DATE(YEAR(AsOfDate),MONTH($D146),DAY($D146))&lt;=AsOfDate,1,0),MONTH($D146),DAY($D146)))</f>
        <v/>
      </c>
      <c r="F146" s="11"/>
      <c r="G146" s="11"/>
      <c r="H146" s="11"/>
      <c r="I146" s="11"/>
      <c r="J146" s="11"/>
      <c r="K146" s="12" t="str">
        <f aca="false">IF(AG146=0,"",DATE(YEAR(AsOfDate)+IF(DATE(YEAR(AsOfDate),MONTH(AH146),DAY(AH146))&lt;=AsOfDate,1,0),MONTH(AH146),DAY(AH146)))</f>
        <v/>
      </c>
      <c r="L146" s="13" t="str">
        <f aca="false">IF(AG146=0,"",ROUND((AsOfDate-AH146)/365.25,1))</f>
        <v/>
      </c>
      <c r="M146" s="14" t="str">
        <f aca="false">IF(AG146=0,"",IF(AsOfDate&lt;AH146,"-",DATEDIF(AH146,AsOfDate,"y")&amp;"y "&amp;DATEDIF(AH146,AsOfDate,"ym")&amp;"m "&amp;DATEDIF(AH146,AsOfDate,"md")&amp;"d"))</f>
        <v/>
      </c>
      <c r="N146" s="15" t="str">
        <f aca="false">IF(AG146=0,"",O146*HoursPerDay)</f>
        <v/>
      </c>
      <c r="O146" s="15" t="str">
        <f aca="false">IF(AG146=0,"",AZ146)</f>
        <v/>
      </c>
      <c r="P146" s="16"/>
      <c r="Q146" s="14" t="str">
        <f aca="false">IF(AG146=0,"",IF(AI146&lt;2,"",AM146&amp;" to "&amp;AN146&amp;" on "&amp;TEXT(AK146,"dd/mm/yyyy")&amp;IF(AK146&gt;AsOfDate," (future)",IF(AP146=AQ146,"",IF(AQ146="None"," - STOPPED accruing",IF(AP146="None"," - commencement for Bonus Leave"," - pathway changed"))))&amp;IF(AI146&lt;3,"","; "&amp;AN146&amp;" to "&amp;AO146&amp;" on "&amp;TEXT(AL146,"dd/mm/yyyy")&amp;IF(AL146&gt;AsOfDate," (future)",IF(AQ146=AR146,"",IF(AR146="None"," - STOPPED accruing",IF(AQ146="None"," - commencement for Bonus Leave"," - pathway changed")))))))</f>
        <v/>
      </c>
      <c r="R146" s="14" t="str">
        <f aca="false">IF(AG146=0,"",IF(AS146="None",IF(O146&gt;0,"No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2" t="str">
        <f aca="false">IF(AG146=0,"",IF(AS146="None","",EDATE(AH146,BB146)))</f>
        <v/>
      </c>
      <c r="T146" s="15" t="str">
        <f aca="false">IF(AG146=0,"",IF(NOT(LH_Ready),"",IF(AH146&gt;PFYDate,0,IF(LH_ColPeriod=0,W146-U146+V146,SUMIFS(INDEX(LH_Data,0,LH_ColAcc),INDEX(LH_Data,0,LH_ColFirst),$A146,INDEX(LH_Data,0,LH_ColSur),$B146,INDEX(LH_Data,0,LH_ColCat),BonusCat,INDEX(LH_Data,0,LH_ColPeriod),LH_OpenLabel)*UnitFactor))))</f>
        <v/>
      </c>
      <c r="U146" s="15" t="str">
        <f aca="false">IF(AG146=0,"",IF(NOT(LH_Ready),"",SUMIFS(INDEX(LH_Data,0,LH_ColAcc),INDEX(LH_Data,0,LH_ColFirst),$A146,INDEX(LH_Data,0,LH_ColSur),$B146,INDEX(LH_Data,0,LH_ColCat),BonusCat,INDEX(LH_Data,0,LH_ColStart),"&gt;="&amp;AH146)*UnitFactor))</f>
        <v/>
      </c>
      <c r="V146" s="15" t="str">
        <f aca="false">IF(AG146=0,"",IF(NOT(LH_Ready),"",SUMIFS(INDEX(LH_Data,0,LH_ColTaken),INDEX(LH_Data,0,LH_ColFirst),$A146,INDEX(LH_Data,0,LH_ColSur),$B146,INDEX(LH_Data,0,LH_ColCat),BonusCat,INDEX(LH_Data,0,LH_ColStart),"&gt;="&amp;AH146)*UnitFactor))</f>
        <v/>
      </c>
      <c r="W146" s="15" t="str">
        <f aca="false">IF(AG146=0,"",IF(NOT(LH_Ready),"",IF(BD146=0,0,INDEX(INDEX(LH_Data,0,LH_ColClose),BD146-1)*UnitFactor)))</f>
        <v/>
      </c>
      <c r="X146" s="15" t="str">
        <f aca="false">IF(AG146=0,"",(AZ146-BA146)*HoursPerDay)</f>
        <v/>
      </c>
      <c r="Y146" s="15" t="str">
        <f aca="false">IF(AG146=0,"",IF(NOT(LH_Ready),"",IF(BC146=0,N146,IF(PFYDate&lt;$F146,N146-N(T146)-N(U146),X146-N(U146)))))</f>
        <v/>
      </c>
      <c r="Z146" s="14" t="str">
        <f aca="false">IF(OR(AG146=0,Y146=""),"",IF(Y146&gt;0,"Yes","No"))</f>
        <v/>
      </c>
      <c r="AA146" s="14" t="str">
        <f aca="false">IF(AG146=0,IF(LEN($A146&amp;$B146)=0,"","FIX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month")&amp;IF(BC146=0,";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EH)",""),IF(AS146="None",R146,"Not yet - first day on "&amp;TEXT(S146,"dd/mm/yyyy")))))))))</f>
        <v/>
      </c>
      <c r="AB146" s="15" t="str">
        <f aca="false">IF(OR(AG146=0,T146=""),"",BA146*HoursPerDay-T146)</f>
        <v/>
      </c>
      <c r="AC146" s="14" t="str">
        <f aca="false">IF(AG146=0,"",BC146)</f>
        <v/>
      </c>
      <c r="AD146" s="14" t="str">
        <f aca="false">IF(AG146=0,"",TRIM(IF(OR(ISTEXT($F146),ISTEXT($H146),ISTEXT($I146),ISTEXT($G146),ISTEXT($J146),ISTEXT($D146)),"A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I146&gt;=1,IF(AI146&gt;=3,AO146,IF(AI146=2,AN146,AM146))&lt;&gt;IF($C146="","",IF(OR(ISNUMBER(SEARCH("full",$C146)),UPPER(TRIM($C146))="FT",UPPER(TRIM($C146))="FTE"),"Full-Time",IF(OR(ISNUMBER(SEARCH("part",$C146)),UPPER(TRIM($C146))="PT",UPPER(TRIM($C146))="PTE"),"Part-Time",IF(OR(ISNUMBER(SEARCH("cas",$C146)),UPPER(TRIM($C146))="CAS"),"Casual","Unknown"))))),"EmploymentType does not match latest start date ("&amp;IF(AI146&gt;=3,AO146,IF(AI146=2,AN146,AM146))&amp;"). ","")&amp;IF(AND(AI146&gt;=1,AJ146&lt;&gt;$F146),"Earliest type date should equal StartDate. ","")&amp;IF(AND(AI146&gt;=2,AJ146=AK146),"Two types start on the same date. ","")&amp;IF(AND(OR(ISNUMBER(SEARCH("part",$C146)),UPPER(TRIM($C146))="PT",UPPER(TRIM($C146))="PTE"),$P146=""),"Part-time: enter PT Hrs/Week (blank = 24+). ","")))</f>
        <v/>
      </c>
      <c r="AE146" s="15" t="str">
        <f aca="false">IF(AG146=0,"",O146-BH146)</f>
        <v/>
      </c>
      <c r="AF146" s="12" t="str">
        <f aca="false">IF(OR(AG146=0,AE146="",N(AE146)=0,BI146=""),"",EDATE(AH146,BI146))</f>
        <v/>
      </c>
      <c r="AG146" s="14" t="n">
        <f aca="false">IF(OR(LEN($A146&amp;$B146)=0,$F146=""),0,1)</f>
        <v>0</v>
      </c>
      <c r="AH146" s="12" t="str">
        <f aca="false">IF(AG146=0,"",IF($J146&lt;&gt;"",$J146,IF(OR(CasualCounts="Yes",COUNT($G146:$I146)=0,COUNT($H146:$I146)=0),$F146,MIN($H146:$I146))))</f>
        <v/>
      </c>
      <c r="AI146" s="14" t="str">
        <f aca="false">IF(AG146=0,"",COUNT($G146:$I146))</f>
        <v/>
      </c>
      <c r="AJ146" s="12" t="str">
        <f aca="false">IF(AG146=0,"",IFERROR(SMALL($G146:$I146,1),""))</f>
        <v/>
      </c>
      <c r="AK146" s="12" t="str">
        <f aca="false">IF(AG146=0,"",IFERROR(SMALL($G146:$I146,2),""))</f>
        <v/>
      </c>
      <c r="AL146" s="12" t="str">
        <f aca="false">IF(AG146=0,"",IFERROR(SMALL($G146:$I146,3),""))</f>
        <v/>
      </c>
      <c r="AM146" s="14" t="str">
        <f aca="false">IF(AG146=0,"",IF(AJ146="","",IF(AJ146=$H146,"Part-Time",IF(AJ146=$I146,"Full-Time","Casual"))))</f>
        <v/>
      </c>
      <c r="AN146" s="14" t="str">
        <f aca="false">IF(AG146=0,"",IF(AK146="","",IF(AK146=$H146,"Part-Time",IF(AK146=$I146,"Full-Time","Casual"))))</f>
        <v/>
      </c>
      <c r="AO146" s="14" t="str">
        <f aca="false">IF(AG146=0,"",IF(AL146="","",IF(AL146=$H146,"Part-Time",IF(AL146=$I146,"Full-Time","Casual"))))</f>
        <v/>
      </c>
      <c r="AP146" s="14" t="str">
        <f aca="false">IF(AG146=0,"",IF(AI146=0,IF(OR(ISNUMBER(SEARCH("full",$C146)),UPPER(TRIM($C146))="FT",UPPER(TRIM($C146))="FTE"),"FT",IF(AND(OR(ISNUMBER(SEARCH("part",$C146)),UPPER(TRIM($C146))="PT",UPPER(TRIM($C146))="PTE"),OR($P146="",N($P146)&gt;=PT_MinHours)),"PT","None")),IF(OR(ISNUMBER(SEARCH("full",AM146)),UPPER(TRIM(AM146))="FT",UPPER(TRIM(AM146))="FTE"),"FT",IF(AND(OR(ISNUMBER(SEARCH("part",AM146)),UPPER(TRIM(AM146))="PT",UPPER(TRIM(AM146))="PTE"),OR($P146="",N($P146)&gt;=PT_MinHours)),"PT","None"))))</f>
        <v/>
      </c>
      <c r="AQ146" s="14" t="str">
        <f aca="false">IF(AG146=0,"",IF(AI146&lt;2,"",IF(OR(ISNUMBER(SEARCH("full",AN146)),UPPER(TRIM(AN146))="FT",UPPER(TRIM(AN146))="FTE"),"FT",IF(AND(OR(ISNUMBER(SEARCH("part",AN146)),UPPER(TRIM(AN146))="PT",UPPER(TRIM(AN146))="PTE"),OR($P146="",N($P146)&gt;=PT_MinHours)),"PT","None"))))</f>
        <v/>
      </c>
      <c r="AR146" s="14" t="str">
        <f aca="false">IF(AG146=0,"",IF(AI146&lt;3,"",IF(OR(ISNUMBER(SEARCH("full",AO146)),UPPER(TRIM(AO146))="FT",UPPER(TRIM(AO146))="FTE"),"FT",IF(AND(OR(ISNUMBER(SEARCH("part",AO146)),UPPER(TRIM(AO146))="PT",UPPER(TRIM(AO146))="PTE"),OR($P146="",N($P146)&gt;=PT_MinHours)),"PT","None"))))</f>
        <v/>
      </c>
      <c r="AS146" s="14" t="str">
        <f aca="false">IF(AG146=0,"",IF(AND(AI146&gt;=3,AL146&lt;=AsOfDate),AR146,IF(AND(AI146&gt;=2,AK146&lt;=AsOfDate),AQ146,AP146)))</f>
        <v/>
      </c>
      <c r="AT146" s="14" t="str">
        <f aca="false">IF(AG146=0,"",IF(AsOfDate&lt;AH146,-1,12*(YEAR(AsOfDate)-YEAR(AH146))+MONTH(AsOfDate)-MONTH(AH146)-IF(DAY(AsOfDate)&lt;MIN(DAY(AH146),DAY(EOMONTH(AsOfDate,0))),1,0)))</f>
        <v/>
      </c>
      <c r="AU146" s="14" t="str">
        <f aca="false">IF(AG146=0,"",IF(OR(AI146&lt;2,AK146&gt;AsOfDate),AT146,IF((AK146-1)&lt;AH146,-1,12*(YEAR((AK146-1))-YEAR(AH146))+MONTH((AK146-1))-MONTH(AH146)-IF(DAY((AK146-1))&lt;MIN(DAY(AH146),DAY(EOMONTH((AK146-1),0))),1,0))))</f>
        <v/>
      </c>
      <c r="AV146" s="14" t="str">
        <f aca="false">IF(AG146=0,"",IF(OR(AI146&lt;3,AL146&gt;AsOfDate),AT146,IF((AL146-1)&lt;AH146,-1,12*(YEAR((AL146-1))-YEAR(AH146))+MONTH((AL146-1))-MONTH(AH146)-IF(DAY((AL146-1))&lt;MIN(DAY(AH146),DAY(EOMONTH((AL146-1),0))),1,0))))</f>
        <v/>
      </c>
      <c r="AW146" s="14" t="str">
        <f aca="false">IF(AG146=0,"",IF(PFYDate&lt;AH146,-1,12*(YEAR(PFYDate)-YEAR(AH146))+MONTH(PFYDate)-MONTH(AH146)-IF(DAY(PFYDate)&lt;MIN(DAY(AH146),DAY(EOMONTH(PFYDate,0))),1,0)))</f>
        <v/>
      </c>
      <c r="AX146" s="14" t="str">
        <f aca="false">IF(AG146=0,"",IF(OR(AI146&lt;2,AK146&gt;PFYDate),AW146,IF((AK146-1)&lt;AH146,-1,12*(YEAR((AK146-1))-YEAR(AH146))+MONTH((AK146-1))-MONTH(AH146)-IF(DAY((AK146-1))&lt;MIN(DAY(AH146),DAY(EOMONTH((AK146-1),0))),1,0))))</f>
        <v/>
      </c>
      <c r="AY146" s="14" t="str">
        <f aca="false">IF(AG146=0,"",IF(OR(AI146&lt;3,AL146&gt;PFYDate),AW146,IF((AL146-1)&lt;AH146,-1,12*(YEAR((AL146-1))-YEAR(AH146))+MONTH((AL146-1))-MONTH(AH146)-IF(DAY((AL146-1))&lt;MIN(DAY(AH146),DAY(EOMONTH((AL146-1),0))),1,0))))</f>
        <v/>
      </c>
      <c r="AZ146" s="14" t="str">
        <f aca="false">IF(AG146=0,"",IF(AP146="FT",IF(AU146&lt;FT_First,0,IF(AU146&lt;FT_Y5,1+INT((AU146-FT_First)/FT_Int1),FT_PreY5+FT_PerYear*INT((AU146-FT_Y5)/12)+FT_AnnivDays+INT(MOD(AU146-FT_Y5,12)/FT_Int2))),IF(AP146="PT",IF(AU146&lt;PT_First,0,1+INT((AU146-PT_First)/PT_Int)),0))+IF(AND(AI146&gt;=2,AK146&lt;=AsOfDate),IF(AQ146="FT",IF(AV146&lt;FT_First,0,IF(AV146&lt;FT_Y5,1+INT((AV146-FT_First)/FT_Int1),FT_PreY5+FT_PerYear*INT((AV146-FT_Y5)/12)+FT_AnnivDays+INT(MOD(AV146-FT_Y5,12)/FT_Int2))),IF(AQ146="PT",IF(AV146&lt;PT_First,0,1+INT((AV146-PT_First)/PT_Int)),0))-IF(AQ146="FT",IF(AU146&lt;FT_First,0,IF(AU146&lt;FT_Y5,1+INT((AU146-FT_First)/FT_Int1),FT_PreY5+FT_PerYear*INT((AU146-FT_Y5)/12)+FT_AnnivDays+INT(MOD(AU146-FT_Y5,12)/FT_Int2))),IF(AQ146="PT",IF(AU146&lt;PT_First,0,1+INT((AU146-PT_First)/PT_Int)),0)),0)+IF(AND(AI146&gt;=3,AL146&lt;=AsOfDate),IF(AR146="FT",IF(AT146&lt;FT_First,0,IF(AT146&lt;FT_Y5,1+INT((AT146-FT_First)/FT_Int1),FT_PreY5+FT_PerYear*INT((AT146-FT_Y5)/12)+FT_AnnivDays+INT(MOD(AT146-FT_Y5,12)/FT_Int2))),IF(AR146="PT",IF(AT146&lt;PT_First,0,1+INT((AT146-PT_First)/PT_Int)),0))-IF(AR146="FT",IF(AV146&lt;FT_First,0,IF(AV146&lt;FT_Y5,1+INT((AV146-FT_First)/FT_Int1),FT_PreY5+FT_PerYear*INT((AV146-FT_Y5)/12)+FT_AnnivDays+INT(MOD(AV146-FT_Y5,12)/FT_Int2))),IF(AR146="PT",IF(AV146&lt;PT_First,0,1+INT((AV146-PT_First)/PT_Int)),0)),0))</f>
        <v/>
      </c>
      <c r="BA146" s="14" t="str">
        <f aca="false">IF(AG146=0,"",IF(AP146="FT",IF(AX146&lt;FT_First,0,IF(AX146&lt;FT_Y5,1+INT((AX146-FT_First)/FT_Int1),FT_PreY5+FT_PerYear*INT((AX146-FT_Y5)/12)+FT_AnnivDays+INT(MOD(AX146-FT_Y5,12)/FT_Int2))),IF(AP146="PT",IF(AX146&lt;PT_First,0,1+INT((AX146-PT_First)/PT_Int)),0))+IF(AND(AI146&gt;=2,AK146&lt;=PFYDate),IF(AQ146="FT",IF(AY146&lt;FT_First,0,IF(AY146&lt;FT_Y5,1+INT((AY146-FT_First)/FT_Int1),FT_PreY5+FT_PerYear*INT((AY146-FT_Y5)/12)+FT_AnnivDays+INT(MOD(AY146-FT_Y5,12)/FT_Int2))),IF(AQ146="PT",IF(AY146&lt;PT_First,0,1+INT((AY146-PT_First)/PT_Int)),0))-IF(AQ146="FT",IF(AX146&lt;FT_First,0,IF(AX146&lt;FT_Y5,1+INT((AX146-FT_First)/FT_Int1),FT_PreY5+FT_PerYear*INT((AX146-FT_Y5)/12)+FT_AnnivDays+INT(MOD(AX146-FT_Y5,12)/FT_Int2))),IF(AQ146="PT",IF(AX146&lt;PT_First,0,1+INT((AX146-PT_First)/PT_Int)),0)),0)+IF(AND(AI146&gt;=3,AL146&lt;=PFYDate),IF(AR146="FT",IF(AW146&lt;FT_First,0,IF(AW146&lt;FT_Y5,1+INT((AW146-FT_First)/FT_Int1),FT_PreY5+FT_PerYear*INT((AW146-FT_Y5)/12)+FT_AnnivDays+INT(MOD(AW146-FT_Y5,12)/FT_Int2))),IF(AR146="PT",IF(AW146&lt;PT_First,0,1+INT((AW146-PT_First)/PT_Int)),0))-IF(AR146="FT",IF(AY146&lt;FT_First,0,IF(AY146&lt;FT_Y5,1+INT((AY146-FT_First)/FT_Int1),FT_PreY5+FT_PerYear*INT((AY146-FT_Y5)/12)+FT_AnnivDays+INT(MOD(AY146-FT_Y5,12)/FT_Int2))),IF(AR146="PT",IF(AY146&lt;PT_First,0,1+INT((AY146-PT_First)/PT_Int)),0)),0))</f>
        <v/>
      </c>
      <c r="BB146" s="14" t="str">
        <f aca="false">IF(AG146=0,"",IF(AS146="FT",IF(AT146&lt;FT_First,FT_First,IF(AT146&lt;FT_Y5,MIN(FT_Y5,FT_First+FT_Int1*(INT((AT146-FT_First)/FT_Int1)+1)),FT_Y5+12*INT((AT146-FT_Y5)/12)+FT_Int2*(INT(MOD(AT146-FT_Y5,12)/FT_Int2)+1))),IF(AS146="PT",IF(AT146&lt;PT_First,PT_First,PT_First+PT_Int*(INT((AT146-PT_First)/PT_Int)+1)),"")))</f>
        <v/>
      </c>
      <c r="BC146" s="14" t="str">
        <f aca="false">IF(AG146=0,"",IF(NOT(LH_Ready),0,COUNTIFS(INDEX(LH_Data,0,LH_ColFirst),$A146,INDEX(LH_Data,0,LH_ColSur),$B146,INDEX(LH_Data,0,LH_ColCat),BonusCat)))</f>
        <v/>
      </c>
      <c r="BD146" s="14" t="str">
        <f aca="false">IF(AG146=0,"",IF(OR(NOT(LH_Ready),BC146=0),0,SUMPRODUCT(MAX((INDEX(LH_Data,0,LH_ColFirst)=$A146)*(INDEX(LH_Data,0,LH_ColSur)=$B146)*(INDEX(LH_Data,0,LH_ColCat)=BonusCat)*ROW(LH_Data)))))</f>
        <v/>
      </c>
      <c r="BE146" s="14" t="str">
        <f aca="false">IF(AG146=0,"",IF(EOMONTH(AsOfDate,-1)&lt;AH146,-1,12*(YEAR(EOMONTH(AsOfDate,-1))-YEAR(AH146))+MONTH(EOMONTH(AsOfDate,-1))-MONTH(AH146)-IF(DAY(EOMONTH(AsOfDate,-1))&lt;MIN(DAY(AH146),DAY(EOMONTH(EOMONTH(AsOfDate,-1),0))),1,0)))</f>
        <v/>
      </c>
      <c r="BF146" s="14" t="str">
        <f aca="false">IF(AG146=0,"",IF(OR(AI146&lt;2,AK146&gt;EOMONTH(AsOfDate,-1)),BE146,IF((AK146-1)&lt;AH146,-1,12*(YEAR((AK146-1))-YEAR(AH146))+MONTH((AK146-1))-MONTH(AH146)-IF(DAY((AK146-1))&lt;MIN(DAY(AH146),DAY(EOMONTH((AK146-1),0))),1,0))))</f>
        <v/>
      </c>
      <c r="BG146" s="14" t="str">
        <f aca="false">IF(AG146=0,"",IF(OR(AI146&lt;3,AL146&gt;EOMONTH(AsOfDate,-1)),BE146,IF((AL146-1)&lt;AH146,-1,12*(YEAR((AL146-1))-YEAR(AH146))+MONTH((AL146-1))-MONTH(AH146)-IF(DAY((AL146-1))&lt;MIN(DAY(AH146),DAY(EOMONTH((AL146-1),0))),1,0))))</f>
        <v/>
      </c>
      <c r="BH146" s="14" t="str">
        <f aca="false">IF(AG146=0,"",IF(AP146="FT",IF(BF146&lt;FT_First,0,IF(BF146&lt;FT_Y5,1+INT((BF146-FT_First)/FT_Int1),FT_PreY5+FT_PerYear*INT((BF146-FT_Y5)/12)+FT_AnnivDays+INT(MOD(BF146-FT_Y5,12)/FT_Int2))),IF(AP146="PT",IF(BF146&lt;PT_First,0,1+INT((BF146-PT_First)/PT_Int)),0))+IF(AND(AI146&gt;=2,AK146&lt;=EOMONTH(AsOfDate,-1)),IF(AQ146="FT",IF(BG146&lt;FT_First,0,IF(BG146&lt;FT_Y5,1+INT((BG146-FT_First)/FT_Int1),FT_PreY5+FT_PerYear*INT((BG146-FT_Y5)/12)+FT_AnnivDays+INT(MOD(BG146-FT_Y5,12)/FT_Int2))),IF(AQ146="PT",IF(BG146&lt;PT_First,0,1+INT((BG146-PT_First)/PT_Int)),0))-IF(AQ146="FT",IF(BF146&lt;FT_First,0,IF(BF146&lt;FT_Y5,1+INT((BF146-FT_First)/FT_Int1),FT_PreY5+FT_PerYear*INT((BF146-FT_Y5)/12)+FT_AnnivDays+INT(MOD(BF146-FT_Y5,12)/FT_Int2))),IF(AQ146="PT",IF(BF146&lt;PT_First,0,1+INT((BF146-PT_First)/PT_Int)),0)),0)+IF(AND(AI146&gt;=3,AL146&lt;=EOMONTH(AsOfDate,-1)),IF(AR146="FT",IF(BE146&lt;FT_First,0,IF(BE146&lt;FT_Y5,1+INT((BE146-FT_First)/FT_Int1),FT_PreY5+FT_PerYear*INT((BE146-FT_Y5)/12)+FT_AnnivDays+INT(MOD(BE146-FT_Y5,12)/FT_Int2))),IF(AR146="PT",IF(BE146&lt;PT_First,0,1+INT((BE146-PT_First)/PT_Int)),0))-IF(AR146="FT",IF(BG146&lt;FT_First,0,IF(BG146&lt;FT_Y5,1+INT((BG146-FT_First)/FT_Int1),FT_PreY5+FT_PerYear*INT((BG146-FT_Y5)/12)+FT_AnnivDays+INT(MOD(BG146-FT_Y5,12)/FT_Int2))),IF(AR146="PT",IF(BG146&lt;PT_First,0,1+INT((BG146-PT_First)/PT_Int)),0)),0))</f>
        <v/>
      </c>
      <c r="BI146" s="14" t="str">
        <f aca="false">IF(AG146=0,"",IF(AS146="FT",IF(AT146&lt;FT_First,"",IF(AT146&lt;FT_Y5,FT_First+FT_Int1*INT((AT146-FT_First)/FT_Int1),FT_Y5+FT_Int2*INT((AT146-FT_Y5)/FT_Int2))),IF(AS146="PT",IF(AT146&lt;PT_First,"",PT_First+PT_Int*INT((AT146-PT_First)/PT_Int)),"")))</f>
        <v/>
      </c>
      <c r="BJ146" s="0" t="str">
        <f aca="false">IF(LEN($A146&amp;$B146)=0,"",$A146&amp;" "&amp;$B146)</f>
        <v/>
      </c>
    </row>
    <row r="147" customFormat="false" ht="15" hidden="false" customHeight="false" outlineLevel="0" collapsed="false">
      <c r="A147" s="10"/>
      <c r="B147" s="10"/>
      <c r="C147" s="10"/>
      <c r="D147" s="11"/>
      <c r="E147" s="12" t="str">
        <f aca="false">IF(OR(AG147=0,$D147=""),"",DATE(YEAR(AsOfDate)+IF(DATE(YEAR(AsOfDate),MONTH($D147),DAY($D147))&lt;=AsOfDate,1,0),MONTH($D147),DAY($D147)))</f>
        <v/>
      </c>
      <c r="F147" s="11"/>
      <c r="G147" s="11"/>
      <c r="H147" s="11"/>
      <c r="I147" s="11"/>
      <c r="J147" s="11"/>
      <c r="K147" s="12" t="str">
        <f aca="false">IF(AG147=0,"",DATE(YEAR(AsOfDate)+IF(DATE(YEAR(AsOfDate),MONTH(AH147),DAY(AH147))&lt;=AsOfDate,1,0),MONTH(AH147),DAY(AH147)))</f>
        <v/>
      </c>
      <c r="L147" s="13" t="str">
        <f aca="false">IF(AG147=0,"",ROUND((AsOfDate-AH147)/365.25,1))</f>
        <v/>
      </c>
      <c r="M147" s="14" t="str">
        <f aca="false">IF(AG147=0,"",IF(AsOfDate&lt;AH147,"-",DATEDIF(AH147,AsOfDate,"y")&amp;"y "&amp;DATEDIF(AH147,AsOfDate,"ym")&amp;"m "&amp;DATEDIF(AH147,AsOfDate,"md")&amp;"d"))</f>
        <v/>
      </c>
      <c r="N147" s="15" t="str">
        <f aca="false">IF(AG147=0,"",O147*HoursPerDay)</f>
        <v/>
      </c>
      <c r="O147" s="15" t="str">
        <f aca="false">IF(AG147=0,"",AZ147)</f>
        <v/>
      </c>
      <c r="P147" s="16"/>
      <c r="Q147" s="14" t="str">
        <f aca="false">IF(AG147=0,"",IF(AI147&lt;2,"",AM147&amp;" to "&amp;AN147&amp;" on "&amp;TEXT(AK147,"dd/mm/yyyy")&amp;IF(AK147&gt;AsOfDate," (future)",IF(AP147=AQ147,"",IF(AQ147="None"," - STOPPED accruing",IF(AP147="None"," - commencement for Bonus Leave"," - pathway changed"))))&amp;IF(AI147&lt;3,"","; "&amp;AN147&amp;" to "&amp;AO147&amp;" on "&amp;TEXT(AL147,"dd/mm/yyyy")&amp;IF(AL147&gt;AsOfDate," (future)",IF(AQ147=AR147,"",IF(AR147="None"," - STOPPED accruing",IF(AQ147="None"," - commencement for Bonus Leave"," - pathway changed")))))))</f>
        <v/>
      </c>
      <c r="R147" s="14" t="str">
        <f aca="false">IF(AG147=0,"",IF(AS147="None",IF(O147&gt;0,"No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2" t="str">
        <f aca="false">IF(AG147=0,"",IF(AS147="None","",EDATE(AH147,BB147)))</f>
        <v/>
      </c>
      <c r="T147" s="15" t="str">
        <f aca="false">IF(AG147=0,"",IF(NOT(LH_Ready),"",IF(AH147&gt;PFYDate,0,IF(LH_ColPeriod=0,W147-U147+V147,SUMIFS(INDEX(LH_Data,0,LH_ColAcc),INDEX(LH_Data,0,LH_ColFirst),$A147,INDEX(LH_Data,0,LH_ColSur),$B147,INDEX(LH_Data,0,LH_ColCat),BonusCat,INDEX(LH_Data,0,LH_ColPeriod),LH_OpenLabel)*UnitFactor))))</f>
        <v/>
      </c>
      <c r="U147" s="15" t="str">
        <f aca="false">IF(AG147=0,"",IF(NOT(LH_Ready),"",SUMIFS(INDEX(LH_Data,0,LH_ColAcc),INDEX(LH_Data,0,LH_ColFirst),$A147,INDEX(LH_Data,0,LH_ColSur),$B147,INDEX(LH_Data,0,LH_ColCat),BonusCat,INDEX(LH_Data,0,LH_ColStart),"&gt;="&amp;AH147)*UnitFactor))</f>
        <v/>
      </c>
      <c r="V147" s="15" t="str">
        <f aca="false">IF(AG147=0,"",IF(NOT(LH_Ready),"",SUMIFS(INDEX(LH_Data,0,LH_ColTaken),INDEX(LH_Data,0,LH_ColFirst),$A147,INDEX(LH_Data,0,LH_ColSur),$B147,INDEX(LH_Data,0,LH_ColCat),BonusCat,INDEX(LH_Data,0,LH_ColStart),"&gt;="&amp;AH147)*UnitFactor))</f>
        <v/>
      </c>
      <c r="W147" s="15" t="str">
        <f aca="false">IF(AG147=0,"",IF(NOT(LH_Ready),"",IF(BD147=0,0,INDEX(INDEX(LH_Data,0,LH_ColClose),BD147-1)*UnitFactor)))</f>
        <v/>
      </c>
      <c r="X147" s="15" t="str">
        <f aca="false">IF(AG147=0,"",(AZ147-BA147)*HoursPerDay)</f>
        <v/>
      </c>
      <c r="Y147" s="15" t="str">
        <f aca="false">IF(AG147=0,"",IF(NOT(LH_Ready),"",IF(BC147=0,N147,IF(PFYDate&lt;$F147,N147-N(T147)-N(U147),X147-N(U147)))))</f>
        <v/>
      </c>
      <c r="Z147" s="14" t="str">
        <f aca="false">IF(OR(AG147=0,Y147=""),"",IF(Y147&gt;0,"Yes","No"))</f>
        <v/>
      </c>
      <c r="AA147" s="14" t="str">
        <f aca="false">IF(AG147=0,IF(LEN($A147&amp;$B147)=0,"","FIX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month")&amp;IF(BC147=0,";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EH)",""),IF(AS147="None",R147,"Not yet - first day on "&amp;TEXT(S147,"dd/mm/yyyy")))))))))</f>
        <v/>
      </c>
      <c r="AB147" s="15" t="str">
        <f aca="false">IF(OR(AG147=0,T147=""),"",BA147*HoursPerDay-T147)</f>
        <v/>
      </c>
      <c r="AC147" s="14" t="str">
        <f aca="false">IF(AG147=0,"",BC147)</f>
        <v/>
      </c>
      <c r="AD147" s="14" t="str">
        <f aca="false">IF(AG147=0,"",TRIM(IF(OR(ISTEXT($F147),ISTEXT($H147),ISTEXT($I147),ISTEXT($G147),ISTEXT($J147),ISTEXT($D147)),"A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I147&gt;=1,IF(AI147&gt;=3,AO147,IF(AI147=2,AN147,AM147))&lt;&gt;IF($C147="","",IF(OR(ISNUMBER(SEARCH("full",$C147)),UPPER(TRIM($C147))="FT",UPPER(TRIM($C147))="FTE"),"Full-Time",IF(OR(ISNUMBER(SEARCH("part",$C147)),UPPER(TRIM($C147))="PT",UPPER(TRIM($C147))="PTE"),"Part-Time",IF(OR(ISNUMBER(SEARCH("cas",$C147)),UPPER(TRIM($C147))="CAS"),"Casual","Unknown"))))),"EmploymentType does not match latest start date ("&amp;IF(AI147&gt;=3,AO147,IF(AI147=2,AN147,AM147))&amp;"). ","")&amp;IF(AND(AI147&gt;=1,AJ147&lt;&gt;$F147),"Earliest type date should equal StartDate. ","")&amp;IF(AND(AI147&gt;=2,AJ147=AK147),"Two types start on the same date. ","")&amp;IF(AND(OR(ISNUMBER(SEARCH("part",$C147)),UPPER(TRIM($C147))="PT",UPPER(TRIM($C147))="PTE"),$P147=""),"Part-time: enter PT Hrs/Week (blank = 24+). ","")))</f>
        <v/>
      </c>
      <c r="AE147" s="15" t="str">
        <f aca="false">IF(AG147=0,"",O147-BH147)</f>
        <v/>
      </c>
      <c r="AF147" s="12" t="str">
        <f aca="false">IF(OR(AG147=0,AE147="",N(AE147)=0,BI147=""),"",EDATE(AH147,BI147))</f>
        <v/>
      </c>
      <c r="AG147" s="14" t="n">
        <f aca="false">IF(OR(LEN($A147&amp;$B147)=0,$F147=""),0,1)</f>
        <v>0</v>
      </c>
      <c r="AH147" s="12" t="str">
        <f aca="false">IF(AG147=0,"",IF($J147&lt;&gt;"",$J147,IF(OR(CasualCounts="Yes",COUNT($G147:$I147)=0,COUNT($H147:$I147)=0),$F147,MIN($H147:$I147))))</f>
        <v/>
      </c>
      <c r="AI147" s="14" t="str">
        <f aca="false">IF(AG147=0,"",COUNT($G147:$I147))</f>
        <v/>
      </c>
      <c r="AJ147" s="12" t="str">
        <f aca="false">IF(AG147=0,"",IFERROR(SMALL($G147:$I147,1),""))</f>
        <v/>
      </c>
      <c r="AK147" s="12" t="str">
        <f aca="false">IF(AG147=0,"",IFERROR(SMALL($G147:$I147,2),""))</f>
        <v/>
      </c>
      <c r="AL147" s="12" t="str">
        <f aca="false">IF(AG147=0,"",IFERROR(SMALL($G147:$I147,3),""))</f>
        <v/>
      </c>
      <c r="AM147" s="14" t="str">
        <f aca="false">IF(AG147=0,"",IF(AJ147="","",IF(AJ147=$H147,"Part-Time",IF(AJ147=$I147,"Full-Time","Casual"))))</f>
        <v/>
      </c>
      <c r="AN147" s="14" t="str">
        <f aca="false">IF(AG147=0,"",IF(AK147="","",IF(AK147=$H147,"Part-Time",IF(AK147=$I147,"Full-Time","Casual"))))</f>
        <v/>
      </c>
      <c r="AO147" s="14" t="str">
        <f aca="false">IF(AG147=0,"",IF(AL147="","",IF(AL147=$H147,"Part-Time",IF(AL147=$I147,"Full-Time","Casual"))))</f>
        <v/>
      </c>
      <c r="AP147" s="14" t="str">
        <f aca="false">IF(AG147=0,"",IF(AI147=0,IF(OR(ISNUMBER(SEARCH("full",$C147)),UPPER(TRIM($C147))="FT",UPPER(TRIM($C147))="FTE"),"FT",IF(AND(OR(ISNUMBER(SEARCH("part",$C147)),UPPER(TRIM($C147))="PT",UPPER(TRIM($C147))="PTE"),OR($P147="",N($P147)&gt;=PT_MinHours)),"PT","None")),IF(OR(ISNUMBER(SEARCH("full",AM147)),UPPER(TRIM(AM147))="FT",UPPER(TRIM(AM147))="FTE"),"FT",IF(AND(OR(ISNUMBER(SEARCH("part",AM147)),UPPER(TRIM(AM147))="PT",UPPER(TRIM(AM147))="PTE"),OR($P147="",N($P147)&gt;=PT_MinHours)),"PT","None"))))</f>
        <v/>
      </c>
      <c r="AQ147" s="14" t="str">
        <f aca="false">IF(AG147=0,"",IF(AI147&lt;2,"",IF(OR(ISNUMBER(SEARCH("full",AN147)),UPPER(TRIM(AN147))="FT",UPPER(TRIM(AN147))="FTE"),"FT",IF(AND(OR(ISNUMBER(SEARCH("part",AN147)),UPPER(TRIM(AN147))="PT",UPPER(TRIM(AN147))="PTE"),OR($P147="",N($P147)&gt;=PT_MinHours)),"PT","None"))))</f>
        <v/>
      </c>
      <c r="AR147" s="14" t="str">
        <f aca="false">IF(AG147=0,"",IF(AI147&lt;3,"",IF(OR(ISNUMBER(SEARCH("full",AO147)),UPPER(TRIM(AO147))="FT",UPPER(TRIM(AO147))="FTE"),"FT",IF(AND(OR(ISNUMBER(SEARCH("part",AO147)),UPPER(TRIM(AO147))="PT",UPPER(TRIM(AO147))="PTE"),OR($P147="",N($P147)&gt;=PT_MinHours)),"PT","None"))))</f>
        <v/>
      </c>
      <c r="AS147" s="14" t="str">
        <f aca="false">IF(AG147=0,"",IF(AND(AI147&gt;=3,AL147&lt;=AsOfDate),AR147,IF(AND(AI147&gt;=2,AK147&lt;=AsOfDate),AQ147,AP147)))</f>
        <v/>
      </c>
      <c r="AT147" s="14" t="str">
        <f aca="false">IF(AG147=0,"",IF(AsOfDate&lt;AH147,-1,12*(YEAR(AsOfDate)-YEAR(AH147))+MONTH(AsOfDate)-MONTH(AH147)-IF(DAY(AsOfDate)&lt;MIN(DAY(AH147),DAY(EOMONTH(AsOfDate,0))),1,0)))</f>
        <v/>
      </c>
      <c r="AU147" s="14" t="str">
        <f aca="false">IF(AG147=0,"",IF(OR(AI147&lt;2,AK147&gt;AsOfDate),AT147,IF((AK147-1)&lt;AH147,-1,12*(YEAR((AK147-1))-YEAR(AH147))+MONTH((AK147-1))-MONTH(AH147)-IF(DAY((AK147-1))&lt;MIN(DAY(AH147),DAY(EOMONTH((AK147-1),0))),1,0))))</f>
        <v/>
      </c>
      <c r="AV147" s="14" t="str">
        <f aca="false">IF(AG147=0,"",IF(OR(AI147&lt;3,AL147&gt;AsOfDate),AT147,IF((AL147-1)&lt;AH147,-1,12*(YEAR((AL147-1))-YEAR(AH147))+MONTH((AL147-1))-MONTH(AH147)-IF(DAY((AL147-1))&lt;MIN(DAY(AH147),DAY(EOMONTH((AL147-1),0))),1,0))))</f>
        <v/>
      </c>
      <c r="AW147" s="14" t="str">
        <f aca="false">IF(AG147=0,"",IF(PFYDate&lt;AH147,-1,12*(YEAR(PFYDate)-YEAR(AH147))+MONTH(PFYDate)-MONTH(AH147)-IF(DAY(PFYDate)&lt;MIN(DAY(AH147),DAY(EOMONTH(PFYDate,0))),1,0)))</f>
        <v/>
      </c>
      <c r="AX147" s="14" t="str">
        <f aca="false">IF(AG147=0,"",IF(OR(AI147&lt;2,AK147&gt;PFYDate),AW147,IF((AK147-1)&lt;AH147,-1,12*(YEAR((AK147-1))-YEAR(AH147))+MONTH((AK147-1))-MONTH(AH147)-IF(DAY((AK147-1))&lt;MIN(DAY(AH147),DAY(EOMONTH((AK147-1),0))),1,0))))</f>
        <v/>
      </c>
      <c r="AY147" s="14" t="str">
        <f aca="false">IF(AG147=0,"",IF(OR(AI147&lt;3,AL147&gt;PFYDate),AW147,IF((AL147-1)&lt;AH147,-1,12*(YEAR((AL147-1))-YEAR(AH147))+MONTH((AL147-1))-MONTH(AH147)-IF(DAY((AL147-1))&lt;MIN(DAY(AH147),DAY(EOMONTH((AL147-1),0))),1,0))))</f>
        <v/>
      </c>
      <c r="AZ147" s="14" t="str">
        <f aca="false">IF(AG147=0,"",IF(AP147="FT",IF(AU147&lt;FT_First,0,IF(AU147&lt;FT_Y5,1+INT((AU147-FT_First)/FT_Int1),FT_PreY5+FT_PerYear*INT((AU147-FT_Y5)/12)+FT_AnnivDays+INT(MOD(AU147-FT_Y5,12)/FT_Int2))),IF(AP147="PT",IF(AU147&lt;PT_First,0,1+INT((AU147-PT_First)/PT_Int)),0))+IF(AND(AI147&gt;=2,AK147&lt;=AsOfDate),IF(AQ147="FT",IF(AV147&lt;FT_First,0,IF(AV147&lt;FT_Y5,1+INT((AV147-FT_First)/FT_Int1),FT_PreY5+FT_PerYear*INT((AV147-FT_Y5)/12)+FT_AnnivDays+INT(MOD(AV147-FT_Y5,12)/FT_Int2))),IF(AQ147="PT",IF(AV147&lt;PT_First,0,1+INT((AV147-PT_First)/PT_Int)),0))-IF(AQ147="FT",IF(AU147&lt;FT_First,0,IF(AU147&lt;FT_Y5,1+INT((AU147-FT_First)/FT_Int1),FT_PreY5+FT_PerYear*INT((AU147-FT_Y5)/12)+FT_AnnivDays+INT(MOD(AU147-FT_Y5,12)/FT_Int2))),IF(AQ147="PT",IF(AU147&lt;PT_First,0,1+INT((AU147-PT_First)/PT_Int)),0)),0)+IF(AND(AI147&gt;=3,AL147&lt;=AsOfDate),IF(AR147="FT",IF(AT147&lt;FT_First,0,IF(AT147&lt;FT_Y5,1+INT((AT147-FT_First)/FT_Int1),FT_PreY5+FT_PerYear*INT((AT147-FT_Y5)/12)+FT_AnnivDays+INT(MOD(AT147-FT_Y5,12)/FT_Int2))),IF(AR147="PT",IF(AT147&lt;PT_First,0,1+INT((AT147-PT_First)/PT_Int)),0))-IF(AR147="FT",IF(AV147&lt;FT_First,0,IF(AV147&lt;FT_Y5,1+INT((AV147-FT_First)/FT_Int1),FT_PreY5+FT_PerYear*INT((AV147-FT_Y5)/12)+FT_AnnivDays+INT(MOD(AV147-FT_Y5,12)/FT_Int2))),IF(AR147="PT",IF(AV147&lt;PT_First,0,1+INT((AV147-PT_First)/PT_Int)),0)),0))</f>
        <v/>
      </c>
      <c r="BA147" s="14" t="str">
        <f aca="false">IF(AG147=0,"",IF(AP147="FT",IF(AX147&lt;FT_First,0,IF(AX147&lt;FT_Y5,1+INT((AX147-FT_First)/FT_Int1),FT_PreY5+FT_PerYear*INT((AX147-FT_Y5)/12)+FT_AnnivDays+INT(MOD(AX147-FT_Y5,12)/FT_Int2))),IF(AP147="PT",IF(AX147&lt;PT_First,0,1+INT((AX147-PT_First)/PT_Int)),0))+IF(AND(AI147&gt;=2,AK147&lt;=PFYDate),IF(AQ147="FT",IF(AY147&lt;FT_First,0,IF(AY147&lt;FT_Y5,1+INT((AY147-FT_First)/FT_Int1),FT_PreY5+FT_PerYear*INT((AY147-FT_Y5)/12)+FT_AnnivDays+INT(MOD(AY147-FT_Y5,12)/FT_Int2))),IF(AQ147="PT",IF(AY147&lt;PT_First,0,1+INT((AY147-PT_First)/PT_Int)),0))-IF(AQ147="FT",IF(AX147&lt;FT_First,0,IF(AX147&lt;FT_Y5,1+INT((AX147-FT_First)/FT_Int1),FT_PreY5+FT_PerYear*INT((AX147-FT_Y5)/12)+FT_AnnivDays+INT(MOD(AX147-FT_Y5,12)/FT_Int2))),IF(AQ147="PT",IF(AX147&lt;PT_First,0,1+INT((AX147-PT_First)/PT_Int)),0)),0)+IF(AND(AI147&gt;=3,AL147&lt;=PFYDate),IF(AR147="FT",IF(AW147&lt;FT_First,0,IF(AW147&lt;FT_Y5,1+INT((AW147-FT_First)/FT_Int1),FT_PreY5+FT_PerYear*INT((AW147-FT_Y5)/12)+FT_AnnivDays+INT(MOD(AW147-FT_Y5,12)/FT_Int2))),IF(AR147="PT",IF(AW147&lt;PT_First,0,1+INT((AW147-PT_First)/PT_Int)),0))-IF(AR147="FT",IF(AY147&lt;FT_First,0,IF(AY147&lt;FT_Y5,1+INT((AY147-FT_First)/FT_Int1),FT_PreY5+FT_PerYear*INT((AY147-FT_Y5)/12)+FT_AnnivDays+INT(MOD(AY147-FT_Y5,12)/FT_Int2))),IF(AR147="PT",IF(AY147&lt;PT_First,0,1+INT((AY147-PT_First)/PT_Int)),0)),0))</f>
        <v/>
      </c>
      <c r="BB147" s="14" t="str">
        <f aca="false">IF(AG147=0,"",IF(AS147="FT",IF(AT147&lt;FT_First,FT_First,IF(AT147&lt;FT_Y5,MIN(FT_Y5,FT_First+FT_Int1*(INT((AT147-FT_First)/FT_Int1)+1)),FT_Y5+12*INT((AT147-FT_Y5)/12)+FT_Int2*(INT(MOD(AT147-FT_Y5,12)/FT_Int2)+1))),IF(AS147="PT",IF(AT147&lt;PT_First,PT_First,PT_First+PT_Int*(INT((AT147-PT_First)/PT_Int)+1)),"")))</f>
        <v/>
      </c>
      <c r="BC147" s="14" t="str">
        <f aca="false">IF(AG147=0,"",IF(NOT(LH_Ready),0,COUNTIFS(INDEX(LH_Data,0,LH_ColFirst),$A147,INDEX(LH_Data,0,LH_ColSur),$B147,INDEX(LH_Data,0,LH_ColCat),BonusCat)))</f>
        <v/>
      </c>
      <c r="BD147" s="14" t="str">
        <f aca="false">IF(AG147=0,"",IF(OR(NOT(LH_Ready),BC147=0),0,SUMPRODUCT(MAX((INDEX(LH_Data,0,LH_ColFirst)=$A147)*(INDEX(LH_Data,0,LH_ColSur)=$B147)*(INDEX(LH_Data,0,LH_ColCat)=BonusCat)*ROW(LH_Data)))))</f>
        <v/>
      </c>
      <c r="BE147" s="14" t="str">
        <f aca="false">IF(AG147=0,"",IF(EOMONTH(AsOfDate,-1)&lt;AH147,-1,12*(YEAR(EOMONTH(AsOfDate,-1))-YEAR(AH147))+MONTH(EOMONTH(AsOfDate,-1))-MONTH(AH147)-IF(DAY(EOMONTH(AsOfDate,-1))&lt;MIN(DAY(AH147),DAY(EOMONTH(EOMONTH(AsOfDate,-1),0))),1,0)))</f>
        <v/>
      </c>
      <c r="BF147" s="14" t="str">
        <f aca="false">IF(AG147=0,"",IF(OR(AI147&lt;2,AK147&gt;EOMONTH(AsOfDate,-1)),BE147,IF((AK147-1)&lt;AH147,-1,12*(YEAR((AK147-1))-YEAR(AH147))+MONTH((AK147-1))-MONTH(AH147)-IF(DAY((AK147-1))&lt;MIN(DAY(AH147),DAY(EOMONTH((AK147-1),0))),1,0))))</f>
        <v/>
      </c>
      <c r="BG147" s="14" t="str">
        <f aca="false">IF(AG147=0,"",IF(OR(AI147&lt;3,AL147&gt;EOMONTH(AsOfDate,-1)),BE147,IF((AL147-1)&lt;AH147,-1,12*(YEAR((AL147-1))-YEAR(AH147))+MONTH((AL147-1))-MONTH(AH147)-IF(DAY((AL147-1))&lt;MIN(DAY(AH147),DAY(EOMONTH((AL147-1),0))),1,0))))</f>
        <v/>
      </c>
      <c r="BH147" s="14" t="str">
        <f aca="false">IF(AG147=0,"",IF(AP147="FT",IF(BF147&lt;FT_First,0,IF(BF147&lt;FT_Y5,1+INT((BF147-FT_First)/FT_Int1),FT_PreY5+FT_PerYear*INT((BF147-FT_Y5)/12)+FT_AnnivDays+INT(MOD(BF147-FT_Y5,12)/FT_Int2))),IF(AP147="PT",IF(BF147&lt;PT_First,0,1+INT((BF147-PT_First)/PT_Int)),0))+IF(AND(AI147&gt;=2,AK147&lt;=EOMONTH(AsOfDate,-1)),IF(AQ147="FT",IF(BG147&lt;FT_First,0,IF(BG147&lt;FT_Y5,1+INT((BG147-FT_First)/FT_Int1),FT_PreY5+FT_PerYear*INT((BG147-FT_Y5)/12)+FT_AnnivDays+INT(MOD(BG147-FT_Y5,12)/FT_Int2))),IF(AQ147="PT",IF(BG147&lt;PT_First,0,1+INT((BG147-PT_First)/PT_Int)),0))-IF(AQ147="FT",IF(BF147&lt;FT_First,0,IF(BF147&lt;FT_Y5,1+INT((BF147-FT_First)/FT_Int1),FT_PreY5+FT_PerYear*INT((BF147-FT_Y5)/12)+FT_AnnivDays+INT(MOD(BF147-FT_Y5,12)/FT_Int2))),IF(AQ147="PT",IF(BF147&lt;PT_First,0,1+INT((BF147-PT_First)/PT_Int)),0)),0)+IF(AND(AI147&gt;=3,AL147&lt;=EOMONTH(AsOfDate,-1)),IF(AR147="FT",IF(BE147&lt;FT_First,0,IF(BE147&lt;FT_Y5,1+INT((BE147-FT_First)/FT_Int1),FT_PreY5+FT_PerYear*INT((BE147-FT_Y5)/12)+FT_AnnivDays+INT(MOD(BE147-FT_Y5,12)/FT_Int2))),IF(AR147="PT",IF(BE147&lt;PT_First,0,1+INT((BE147-PT_First)/PT_Int)),0))-IF(AR147="FT",IF(BG147&lt;FT_First,0,IF(BG147&lt;FT_Y5,1+INT((BG147-FT_First)/FT_Int1),FT_PreY5+FT_PerYear*INT((BG147-FT_Y5)/12)+FT_AnnivDays+INT(MOD(BG147-FT_Y5,12)/FT_Int2))),IF(AR147="PT",IF(BG147&lt;PT_First,0,1+INT((BG147-PT_First)/PT_Int)),0)),0))</f>
        <v/>
      </c>
      <c r="BI147" s="14" t="str">
        <f aca="false">IF(AG147=0,"",IF(AS147="FT",IF(AT147&lt;FT_First,"",IF(AT147&lt;FT_Y5,FT_First+FT_Int1*INT((AT147-FT_First)/FT_Int1),FT_Y5+FT_Int2*INT((AT147-FT_Y5)/FT_Int2))),IF(AS147="PT",IF(AT147&lt;PT_First,"",PT_First+PT_Int*INT((AT147-PT_First)/PT_Int)),"")))</f>
        <v/>
      </c>
      <c r="BJ147" s="0" t="str">
        <f aca="false">IF(LEN($A147&amp;$B147)=0,"",$A147&amp;" "&amp;$B147)</f>
        <v/>
      </c>
    </row>
    <row r="148" customFormat="false" ht="15" hidden="false" customHeight="false" outlineLevel="0" collapsed="false">
      <c r="A148" s="10"/>
      <c r="B148" s="10"/>
      <c r="C148" s="10"/>
      <c r="D148" s="11"/>
      <c r="E148" s="12" t="str">
        <f aca="false">IF(OR(AG148=0,$D148=""),"",DATE(YEAR(AsOfDate)+IF(DATE(YEAR(AsOfDate),MONTH($D148),DAY($D148))&lt;=AsOfDate,1,0),MONTH($D148),DAY($D148)))</f>
        <v/>
      </c>
      <c r="F148" s="11"/>
      <c r="G148" s="11"/>
      <c r="H148" s="11"/>
      <c r="I148" s="11"/>
      <c r="J148" s="11"/>
      <c r="K148" s="12" t="str">
        <f aca="false">IF(AG148=0,"",DATE(YEAR(AsOfDate)+IF(DATE(YEAR(AsOfDate),MONTH(AH148),DAY(AH148))&lt;=AsOfDate,1,0),MONTH(AH148),DAY(AH148)))</f>
        <v/>
      </c>
      <c r="L148" s="13" t="str">
        <f aca="false">IF(AG148=0,"",ROUND((AsOfDate-AH148)/365.25,1))</f>
        <v/>
      </c>
      <c r="M148" s="14" t="str">
        <f aca="false">IF(AG148=0,"",IF(AsOfDate&lt;AH148,"-",DATEDIF(AH148,AsOfDate,"y")&amp;"y "&amp;DATEDIF(AH148,AsOfDate,"ym")&amp;"m "&amp;DATEDIF(AH148,AsOfDate,"md")&amp;"d"))</f>
        <v/>
      </c>
      <c r="N148" s="15" t="str">
        <f aca="false">IF(AG148=0,"",O148*HoursPerDay)</f>
        <v/>
      </c>
      <c r="O148" s="15" t="str">
        <f aca="false">IF(AG148=0,"",AZ148)</f>
        <v/>
      </c>
      <c r="P148" s="16"/>
      <c r="Q148" s="14" t="str">
        <f aca="false">IF(AG148=0,"",IF(AI148&lt;2,"",AM148&amp;" to "&amp;AN148&amp;" on "&amp;TEXT(AK148,"dd/mm/yyyy")&amp;IF(AK148&gt;AsOfDate," (future)",IF(AP148=AQ148,"",IF(AQ148="None"," - STOPPED accruing",IF(AP148="None"," - commencement for Bonus Leave"," - pathway changed"))))&amp;IF(AI148&lt;3,"","; "&amp;AN148&amp;" to "&amp;AO148&amp;" on "&amp;TEXT(AL148,"dd/mm/yyyy")&amp;IF(AL148&gt;AsOfDate," (future)",IF(AQ148=AR148,"",IF(AR148="None"," - STOPPED accruing",IF(AQ148="None"," - commencement for Bonus Leave"," - pathway changed")))))))</f>
        <v/>
      </c>
      <c r="R148" s="14" t="str">
        <f aca="false">IF(AG148=0,"",IF(AS148="None",IF(O148&gt;0,"No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2" t="str">
        <f aca="false">IF(AG148=0,"",IF(AS148="None","",EDATE(AH148,BB148)))</f>
        <v/>
      </c>
      <c r="T148" s="15" t="str">
        <f aca="false">IF(AG148=0,"",IF(NOT(LH_Ready),"",IF(AH148&gt;PFYDate,0,IF(LH_ColPeriod=0,W148-U148+V148,SUMIFS(INDEX(LH_Data,0,LH_ColAcc),INDEX(LH_Data,0,LH_ColFirst),$A148,INDEX(LH_Data,0,LH_ColSur),$B148,INDEX(LH_Data,0,LH_ColCat),BonusCat,INDEX(LH_Data,0,LH_ColPeriod),LH_OpenLabel)*UnitFactor))))</f>
        <v/>
      </c>
      <c r="U148" s="15" t="str">
        <f aca="false">IF(AG148=0,"",IF(NOT(LH_Ready),"",SUMIFS(INDEX(LH_Data,0,LH_ColAcc),INDEX(LH_Data,0,LH_ColFirst),$A148,INDEX(LH_Data,0,LH_ColSur),$B148,INDEX(LH_Data,0,LH_ColCat),BonusCat,INDEX(LH_Data,0,LH_ColStart),"&gt;="&amp;AH148)*UnitFactor))</f>
        <v/>
      </c>
      <c r="V148" s="15" t="str">
        <f aca="false">IF(AG148=0,"",IF(NOT(LH_Ready),"",SUMIFS(INDEX(LH_Data,0,LH_ColTaken),INDEX(LH_Data,0,LH_ColFirst),$A148,INDEX(LH_Data,0,LH_ColSur),$B148,INDEX(LH_Data,0,LH_ColCat),BonusCat,INDEX(LH_Data,0,LH_ColStart),"&gt;="&amp;AH148)*UnitFactor))</f>
        <v/>
      </c>
      <c r="W148" s="15" t="str">
        <f aca="false">IF(AG148=0,"",IF(NOT(LH_Ready),"",IF(BD148=0,0,INDEX(INDEX(LH_Data,0,LH_ColClose),BD148-1)*UnitFactor)))</f>
        <v/>
      </c>
      <c r="X148" s="15" t="str">
        <f aca="false">IF(AG148=0,"",(AZ148-BA148)*HoursPerDay)</f>
        <v/>
      </c>
      <c r="Y148" s="15" t="str">
        <f aca="false">IF(AG148=0,"",IF(NOT(LH_Ready),"",IF(BC148=0,N148,IF(PFYDate&lt;$F148,N148-N(T148)-N(U148),X148-N(U148)))))</f>
        <v/>
      </c>
      <c r="Z148" s="14" t="str">
        <f aca="false">IF(OR(AG148=0,Y148=""),"",IF(Y148&gt;0,"Yes","No"))</f>
        <v/>
      </c>
      <c r="AA148" s="14" t="str">
        <f aca="false">IF(AG148=0,IF(LEN($A148&amp;$B148)=0,"","FIX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month")&amp;IF(BC148=0,";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EH)",""),IF(AS148="None",R148,"Not yet - first day on "&amp;TEXT(S148,"dd/mm/yyyy")))))))))</f>
        <v/>
      </c>
      <c r="AB148" s="15" t="str">
        <f aca="false">IF(OR(AG148=0,T148=""),"",BA148*HoursPerDay-T148)</f>
        <v/>
      </c>
      <c r="AC148" s="14" t="str">
        <f aca="false">IF(AG148=0,"",BC148)</f>
        <v/>
      </c>
      <c r="AD148" s="14" t="str">
        <f aca="false">IF(AG148=0,"",TRIM(IF(OR(ISTEXT($F148),ISTEXT($H148),ISTEXT($I148),ISTEXT($G148),ISTEXT($J148),ISTEXT($D148)),"A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I148&gt;=1,IF(AI148&gt;=3,AO148,IF(AI148=2,AN148,AM148))&lt;&gt;IF($C148="","",IF(OR(ISNUMBER(SEARCH("full",$C148)),UPPER(TRIM($C148))="FT",UPPER(TRIM($C148))="FTE"),"Full-Time",IF(OR(ISNUMBER(SEARCH("part",$C148)),UPPER(TRIM($C148))="PT",UPPER(TRIM($C148))="PTE"),"Part-Time",IF(OR(ISNUMBER(SEARCH("cas",$C148)),UPPER(TRIM($C148))="CAS"),"Casual","Unknown"))))),"EmploymentType does not match latest start date ("&amp;IF(AI148&gt;=3,AO148,IF(AI148=2,AN148,AM148))&amp;"). ","")&amp;IF(AND(AI148&gt;=1,AJ148&lt;&gt;$F148),"Earliest type date should equal StartDate. ","")&amp;IF(AND(AI148&gt;=2,AJ148=AK148),"Two types start on the same date. ","")&amp;IF(AND(OR(ISNUMBER(SEARCH("part",$C148)),UPPER(TRIM($C148))="PT",UPPER(TRIM($C148))="PTE"),$P148=""),"Part-time: enter PT Hrs/Week (blank = 24+). ","")))</f>
        <v/>
      </c>
      <c r="AE148" s="15" t="str">
        <f aca="false">IF(AG148=0,"",O148-BH148)</f>
        <v/>
      </c>
      <c r="AF148" s="12" t="str">
        <f aca="false">IF(OR(AG148=0,AE148="",N(AE148)=0,BI148=""),"",EDATE(AH148,BI148))</f>
        <v/>
      </c>
      <c r="AG148" s="14" t="n">
        <f aca="false">IF(OR(LEN($A148&amp;$B148)=0,$F148=""),0,1)</f>
        <v>0</v>
      </c>
      <c r="AH148" s="12" t="str">
        <f aca="false">IF(AG148=0,"",IF($J148&lt;&gt;"",$J148,IF(OR(CasualCounts="Yes",COUNT($G148:$I148)=0,COUNT($H148:$I148)=0),$F148,MIN($H148:$I148))))</f>
        <v/>
      </c>
      <c r="AI148" s="14" t="str">
        <f aca="false">IF(AG148=0,"",COUNT($G148:$I148))</f>
        <v/>
      </c>
      <c r="AJ148" s="12" t="str">
        <f aca="false">IF(AG148=0,"",IFERROR(SMALL($G148:$I148,1),""))</f>
        <v/>
      </c>
      <c r="AK148" s="12" t="str">
        <f aca="false">IF(AG148=0,"",IFERROR(SMALL($G148:$I148,2),""))</f>
        <v/>
      </c>
      <c r="AL148" s="12" t="str">
        <f aca="false">IF(AG148=0,"",IFERROR(SMALL($G148:$I148,3),""))</f>
        <v/>
      </c>
      <c r="AM148" s="14" t="str">
        <f aca="false">IF(AG148=0,"",IF(AJ148="","",IF(AJ148=$H148,"Part-Time",IF(AJ148=$I148,"Full-Time","Casual"))))</f>
        <v/>
      </c>
      <c r="AN148" s="14" t="str">
        <f aca="false">IF(AG148=0,"",IF(AK148="","",IF(AK148=$H148,"Part-Time",IF(AK148=$I148,"Full-Time","Casual"))))</f>
        <v/>
      </c>
      <c r="AO148" s="14" t="str">
        <f aca="false">IF(AG148=0,"",IF(AL148="","",IF(AL148=$H148,"Part-Time",IF(AL148=$I148,"Full-Time","Casual"))))</f>
        <v/>
      </c>
      <c r="AP148" s="14" t="str">
        <f aca="false">IF(AG148=0,"",IF(AI148=0,IF(OR(ISNUMBER(SEARCH("full",$C148)),UPPER(TRIM($C148))="FT",UPPER(TRIM($C148))="FTE"),"FT",IF(AND(OR(ISNUMBER(SEARCH("part",$C148)),UPPER(TRIM($C148))="PT",UPPER(TRIM($C148))="PTE"),OR($P148="",N($P148)&gt;=PT_MinHours)),"PT","None")),IF(OR(ISNUMBER(SEARCH("full",AM148)),UPPER(TRIM(AM148))="FT",UPPER(TRIM(AM148))="FTE"),"FT",IF(AND(OR(ISNUMBER(SEARCH("part",AM148)),UPPER(TRIM(AM148))="PT",UPPER(TRIM(AM148))="PTE"),OR($P148="",N($P148)&gt;=PT_MinHours)),"PT","None"))))</f>
        <v/>
      </c>
      <c r="AQ148" s="14" t="str">
        <f aca="false">IF(AG148=0,"",IF(AI148&lt;2,"",IF(OR(ISNUMBER(SEARCH("full",AN148)),UPPER(TRIM(AN148))="FT",UPPER(TRIM(AN148))="FTE"),"FT",IF(AND(OR(ISNUMBER(SEARCH("part",AN148)),UPPER(TRIM(AN148))="PT",UPPER(TRIM(AN148))="PTE"),OR($P148="",N($P148)&gt;=PT_MinHours)),"PT","None"))))</f>
        <v/>
      </c>
      <c r="AR148" s="14" t="str">
        <f aca="false">IF(AG148=0,"",IF(AI148&lt;3,"",IF(OR(ISNUMBER(SEARCH("full",AO148)),UPPER(TRIM(AO148))="FT",UPPER(TRIM(AO148))="FTE"),"FT",IF(AND(OR(ISNUMBER(SEARCH("part",AO148)),UPPER(TRIM(AO148))="PT",UPPER(TRIM(AO148))="PTE"),OR($P148="",N($P148)&gt;=PT_MinHours)),"PT","None"))))</f>
        <v/>
      </c>
      <c r="AS148" s="14" t="str">
        <f aca="false">IF(AG148=0,"",IF(AND(AI148&gt;=3,AL148&lt;=AsOfDate),AR148,IF(AND(AI148&gt;=2,AK148&lt;=AsOfDate),AQ148,AP148)))</f>
        <v/>
      </c>
      <c r="AT148" s="14" t="str">
        <f aca="false">IF(AG148=0,"",IF(AsOfDate&lt;AH148,-1,12*(YEAR(AsOfDate)-YEAR(AH148))+MONTH(AsOfDate)-MONTH(AH148)-IF(DAY(AsOfDate)&lt;MIN(DAY(AH148),DAY(EOMONTH(AsOfDate,0))),1,0)))</f>
        <v/>
      </c>
      <c r="AU148" s="14" t="str">
        <f aca="false">IF(AG148=0,"",IF(OR(AI148&lt;2,AK148&gt;AsOfDate),AT148,IF((AK148-1)&lt;AH148,-1,12*(YEAR((AK148-1))-YEAR(AH148))+MONTH((AK148-1))-MONTH(AH148)-IF(DAY((AK148-1))&lt;MIN(DAY(AH148),DAY(EOMONTH((AK148-1),0))),1,0))))</f>
        <v/>
      </c>
      <c r="AV148" s="14" t="str">
        <f aca="false">IF(AG148=0,"",IF(OR(AI148&lt;3,AL148&gt;AsOfDate),AT148,IF((AL148-1)&lt;AH148,-1,12*(YEAR((AL148-1))-YEAR(AH148))+MONTH((AL148-1))-MONTH(AH148)-IF(DAY((AL148-1))&lt;MIN(DAY(AH148),DAY(EOMONTH((AL148-1),0))),1,0))))</f>
        <v/>
      </c>
      <c r="AW148" s="14" t="str">
        <f aca="false">IF(AG148=0,"",IF(PFYDate&lt;AH148,-1,12*(YEAR(PFYDate)-YEAR(AH148))+MONTH(PFYDate)-MONTH(AH148)-IF(DAY(PFYDate)&lt;MIN(DAY(AH148),DAY(EOMONTH(PFYDate,0))),1,0)))</f>
        <v/>
      </c>
      <c r="AX148" s="14" t="str">
        <f aca="false">IF(AG148=0,"",IF(OR(AI148&lt;2,AK148&gt;PFYDate),AW148,IF((AK148-1)&lt;AH148,-1,12*(YEAR((AK148-1))-YEAR(AH148))+MONTH((AK148-1))-MONTH(AH148)-IF(DAY((AK148-1))&lt;MIN(DAY(AH148),DAY(EOMONTH((AK148-1),0))),1,0))))</f>
        <v/>
      </c>
      <c r="AY148" s="14" t="str">
        <f aca="false">IF(AG148=0,"",IF(OR(AI148&lt;3,AL148&gt;PFYDate),AW148,IF((AL148-1)&lt;AH148,-1,12*(YEAR((AL148-1))-YEAR(AH148))+MONTH((AL148-1))-MONTH(AH148)-IF(DAY((AL148-1))&lt;MIN(DAY(AH148),DAY(EOMONTH((AL148-1),0))),1,0))))</f>
        <v/>
      </c>
      <c r="AZ148" s="14" t="str">
        <f aca="false">IF(AG148=0,"",IF(AP148="FT",IF(AU148&lt;FT_First,0,IF(AU148&lt;FT_Y5,1+INT((AU148-FT_First)/FT_Int1),FT_PreY5+FT_PerYear*INT((AU148-FT_Y5)/12)+FT_AnnivDays+INT(MOD(AU148-FT_Y5,12)/FT_Int2))),IF(AP148="PT",IF(AU148&lt;PT_First,0,1+INT((AU148-PT_First)/PT_Int)),0))+IF(AND(AI148&gt;=2,AK148&lt;=AsOfDate),IF(AQ148="FT",IF(AV148&lt;FT_First,0,IF(AV148&lt;FT_Y5,1+INT((AV148-FT_First)/FT_Int1),FT_PreY5+FT_PerYear*INT((AV148-FT_Y5)/12)+FT_AnnivDays+INT(MOD(AV148-FT_Y5,12)/FT_Int2))),IF(AQ148="PT",IF(AV148&lt;PT_First,0,1+INT((AV148-PT_First)/PT_Int)),0))-IF(AQ148="FT",IF(AU148&lt;FT_First,0,IF(AU148&lt;FT_Y5,1+INT((AU148-FT_First)/FT_Int1),FT_PreY5+FT_PerYear*INT((AU148-FT_Y5)/12)+FT_AnnivDays+INT(MOD(AU148-FT_Y5,12)/FT_Int2))),IF(AQ148="PT",IF(AU148&lt;PT_First,0,1+INT((AU148-PT_First)/PT_Int)),0)),0)+IF(AND(AI148&gt;=3,AL148&lt;=AsOfDate),IF(AR148="FT",IF(AT148&lt;FT_First,0,IF(AT148&lt;FT_Y5,1+INT((AT148-FT_First)/FT_Int1),FT_PreY5+FT_PerYear*INT((AT148-FT_Y5)/12)+FT_AnnivDays+INT(MOD(AT148-FT_Y5,12)/FT_Int2))),IF(AR148="PT",IF(AT148&lt;PT_First,0,1+INT((AT148-PT_First)/PT_Int)),0))-IF(AR148="FT",IF(AV148&lt;FT_First,0,IF(AV148&lt;FT_Y5,1+INT((AV148-FT_First)/FT_Int1),FT_PreY5+FT_PerYear*INT((AV148-FT_Y5)/12)+FT_AnnivDays+INT(MOD(AV148-FT_Y5,12)/FT_Int2))),IF(AR148="PT",IF(AV148&lt;PT_First,0,1+INT((AV148-PT_First)/PT_Int)),0)),0))</f>
        <v/>
      </c>
      <c r="BA148" s="14" t="str">
        <f aca="false">IF(AG148=0,"",IF(AP148="FT",IF(AX148&lt;FT_First,0,IF(AX148&lt;FT_Y5,1+INT((AX148-FT_First)/FT_Int1),FT_PreY5+FT_PerYear*INT((AX148-FT_Y5)/12)+FT_AnnivDays+INT(MOD(AX148-FT_Y5,12)/FT_Int2))),IF(AP148="PT",IF(AX148&lt;PT_First,0,1+INT((AX148-PT_First)/PT_Int)),0))+IF(AND(AI148&gt;=2,AK148&lt;=PFYDate),IF(AQ148="FT",IF(AY148&lt;FT_First,0,IF(AY148&lt;FT_Y5,1+INT((AY148-FT_First)/FT_Int1),FT_PreY5+FT_PerYear*INT((AY148-FT_Y5)/12)+FT_AnnivDays+INT(MOD(AY148-FT_Y5,12)/FT_Int2))),IF(AQ148="PT",IF(AY148&lt;PT_First,0,1+INT((AY148-PT_First)/PT_Int)),0))-IF(AQ148="FT",IF(AX148&lt;FT_First,0,IF(AX148&lt;FT_Y5,1+INT((AX148-FT_First)/FT_Int1),FT_PreY5+FT_PerYear*INT((AX148-FT_Y5)/12)+FT_AnnivDays+INT(MOD(AX148-FT_Y5,12)/FT_Int2))),IF(AQ148="PT",IF(AX148&lt;PT_First,0,1+INT((AX148-PT_First)/PT_Int)),0)),0)+IF(AND(AI148&gt;=3,AL148&lt;=PFYDate),IF(AR148="FT",IF(AW148&lt;FT_First,0,IF(AW148&lt;FT_Y5,1+INT((AW148-FT_First)/FT_Int1),FT_PreY5+FT_PerYear*INT((AW148-FT_Y5)/12)+FT_AnnivDays+INT(MOD(AW148-FT_Y5,12)/FT_Int2))),IF(AR148="PT",IF(AW148&lt;PT_First,0,1+INT((AW148-PT_First)/PT_Int)),0))-IF(AR148="FT",IF(AY148&lt;FT_First,0,IF(AY148&lt;FT_Y5,1+INT((AY148-FT_First)/FT_Int1),FT_PreY5+FT_PerYear*INT((AY148-FT_Y5)/12)+FT_AnnivDays+INT(MOD(AY148-FT_Y5,12)/FT_Int2))),IF(AR148="PT",IF(AY148&lt;PT_First,0,1+INT((AY148-PT_First)/PT_Int)),0)),0))</f>
        <v/>
      </c>
      <c r="BB148" s="14" t="str">
        <f aca="false">IF(AG148=0,"",IF(AS148="FT",IF(AT148&lt;FT_First,FT_First,IF(AT148&lt;FT_Y5,MIN(FT_Y5,FT_First+FT_Int1*(INT((AT148-FT_First)/FT_Int1)+1)),FT_Y5+12*INT((AT148-FT_Y5)/12)+FT_Int2*(INT(MOD(AT148-FT_Y5,12)/FT_Int2)+1))),IF(AS148="PT",IF(AT148&lt;PT_First,PT_First,PT_First+PT_Int*(INT((AT148-PT_First)/PT_Int)+1)),"")))</f>
        <v/>
      </c>
      <c r="BC148" s="14" t="str">
        <f aca="false">IF(AG148=0,"",IF(NOT(LH_Ready),0,COUNTIFS(INDEX(LH_Data,0,LH_ColFirst),$A148,INDEX(LH_Data,0,LH_ColSur),$B148,INDEX(LH_Data,0,LH_ColCat),BonusCat)))</f>
        <v/>
      </c>
      <c r="BD148" s="14" t="str">
        <f aca="false">IF(AG148=0,"",IF(OR(NOT(LH_Ready),BC148=0),0,SUMPRODUCT(MAX((INDEX(LH_Data,0,LH_ColFirst)=$A148)*(INDEX(LH_Data,0,LH_ColSur)=$B148)*(INDEX(LH_Data,0,LH_ColCat)=BonusCat)*ROW(LH_Data)))))</f>
        <v/>
      </c>
      <c r="BE148" s="14" t="str">
        <f aca="false">IF(AG148=0,"",IF(EOMONTH(AsOfDate,-1)&lt;AH148,-1,12*(YEAR(EOMONTH(AsOfDate,-1))-YEAR(AH148))+MONTH(EOMONTH(AsOfDate,-1))-MONTH(AH148)-IF(DAY(EOMONTH(AsOfDate,-1))&lt;MIN(DAY(AH148),DAY(EOMONTH(EOMONTH(AsOfDate,-1),0))),1,0)))</f>
        <v/>
      </c>
      <c r="BF148" s="14" t="str">
        <f aca="false">IF(AG148=0,"",IF(OR(AI148&lt;2,AK148&gt;EOMONTH(AsOfDate,-1)),BE148,IF((AK148-1)&lt;AH148,-1,12*(YEAR((AK148-1))-YEAR(AH148))+MONTH((AK148-1))-MONTH(AH148)-IF(DAY((AK148-1))&lt;MIN(DAY(AH148),DAY(EOMONTH((AK148-1),0))),1,0))))</f>
        <v/>
      </c>
      <c r="BG148" s="14" t="str">
        <f aca="false">IF(AG148=0,"",IF(OR(AI148&lt;3,AL148&gt;EOMONTH(AsOfDate,-1)),BE148,IF((AL148-1)&lt;AH148,-1,12*(YEAR((AL148-1))-YEAR(AH148))+MONTH((AL148-1))-MONTH(AH148)-IF(DAY((AL148-1))&lt;MIN(DAY(AH148),DAY(EOMONTH((AL148-1),0))),1,0))))</f>
        <v/>
      </c>
      <c r="BH148" s="14" t="str">
        <f aca="false">IF(AG148=0,"",IF(AP148="FT",IF(BF148&lt;FT_First,0,IF(BF148&lt;FT_Y5,1+INT((BF148-FT_First)/FT_Int1),FT_PreY5+FT_PerYear*INT((BF148-FT_Y5)/12)+FT_AnnivDays+INT(MOD(BF148-FT_Y5,12)/FT_Int2))),IF(AP148="PT",IF(BF148&lt;PT_First,0,1+INT((BF148-PT_First)/PT_Int)),0))+IF(AND(AI148&gt;=2,AK148&lt;=EOMONTH(AsOfDate,-1)),IF(AQ148="FT",IF(BG148&lt;FT_First,0,IF(BG148&lt;FT_Y5,1+INT((BG148-FT_First)/FT_Int1),FT_PreY5+FT_PerYear*INT((BG148-FT_Y5)/12)+FT_AnnivDays+INT(MOD(BG148-FT_Y5,12)/FT_Int2))),IF(AQ148="PT",IF(BG148&lt;PT_First,0,1+INT((BG148-PT_First)/PT_Int)),0))-IF(AQ148="FT",IF(BF148&lt;FT_First,0,IF(BF148&lt;FT_Y5,1+INT((BF148-FT_First)/FT_Int1),FT_PreY5+FT_PerYear*INT((BF148-FT_Y5)/12)+FT_AnnivDays+INT(MOD(BF148-FT_Y5,12)/FT_Int2))),IF(AQ148="PT",IF(BF148&lt;PT_First,0,1+INT((BF148-PT_First)/PT_Int)),0)),0)+IF(AND(AI148&gt;=3,AL148&lt;=EOMONTH(AsOfDate,-1)),IF(AR148="FT",IF(BE148&lt;FT_First,0,IF(BE148&lt;FT_Y5,1+INT((BE148-FT_First)/FT_Int1),FT_PreY5+FT_PerYear*INT((BE148-FT_Y5)/12)+FT_AnnivDays+INT(MOD(BE148-FT_Y5,12)/FT_Int2))),IF(AR148="PT",IF(BE148&lt;PT_First,0,1+INT((BE148-PT_First)/PT_Int)),0))-IF(AR148="FT",IF(BG148&lt;FT_First,0,IF(BG148&lt;FT_Y5,1+INT((BG148-FT_First)/FT_Int1),FT_PreY5+FT_PerYear*INT((BG148-FT_Y5)/12)+FT_AnnivDays+INT(MOD(BG148-FT_Y5,12)/FT_Int2))),IF(AR148="PT",IF(BG148&lt;PT_First,0,1+INT((BG148-PT_First)/PT_Int)),0)),0))</f>
        <v/>
      </c>
      <c r="BI148" s="14" t="str">
        <f aca="false">IF(AG148=0,"",IF(AS148="FT",IF(AT148&lt;FT_First,"",IF(AT148&lt;FT_Y5,FT_First+FT_Int1*INT((AT148-FT_First)/FT_Int1),FT_Y5+FT_Int2*INT((AT148-FT_Y5)/FT_Int2))),IF(AS148="PT",IF(AT148&lt;PT_First,"",PT_First+PT_Int*INT((AT148-PT_First)/PT_Int)),"")))</f>
        <v/>
      </c>
      <c r="BJ148" s="0" t="str">
        <f aca="false">IF(LEN($A148&amp;$B148)=0,"",$A148&amp;" "&amp;$B148)</f>
        <v/>
      </c>
    </row>
    <row r="149" customFormat="false" ht="15" hidden="false" customHeight="false" outlineLevel="0" collapsed="false">
      <c r="A149" s="10"/>
      <c r="B149" s="10"/>
      <c r="C149" s="10"/>
      <c r="D149" s="11"/>
      <c r="E149" s="12" t="str">
        <f aca="false">IF(OR(AG149=0,$D149=""),"",DATE(YEAR(AsOfDate)+IF(DATE(YEAR(AsOfDate),MONTH($D149),DAY($D149))&lt;=AsOfDate,1,0),MONTH($D149),DAY($D149)))</f>
        <v/>
      </c>
      <c r="F149" s="11"/>
      <c r="G149" s="11"/>
      <c r="H149" s="11"/>
      <c r="I149" s="11"/>
      <c r="J149" s="11"/>
      <c r="K149" s="12" t="str">
        <f aca="false">IF(AG149=0,"",DATE(YEAR(AsOfDate)+IF(DATE(YEAR(AsOfDate),MONTH(AH149),DAY(AH149))&lt;=AsOfDate,1,0),MONTH(AH149),DAY(AH149)))</f>
        <v/>
      </c>
      <c r="L149" s="13" t="str">
        <f aca="false">IF(AG149=0,"",ROUND((AsOfDate-AH149)/365.25,1))</f>
        <v/>
      </c>
      <c r="M149" s="14" t="str">
        <f aca="false">IF(AG149=0,"",IF(AsOfDate&lt;AH149,"-",DATEDIF(AH149,AsOfDate,"y")&amp;"y "&amp;DATEDIF(AH149,AsOfDate,"ym")&amp;"m "&amp;DATEDIF(AH149,AsOfDate,"md")&amp;"d"))</f>
        <v/>
      </c>
      <c r="N149" s="15" t="str">
        <f aca="false">IF(AG149=0,"",O149*HoursPerDay)</f>
        <v/>
      </c>
      <c r="O149" s="15" t="str">
        <f aca="false">IF(AG149=0,"",AZ149)</f>
        <v/>
      </c>
      <c r="P149" s="16"/>
      <c r="Q149" s="14" t="str">
        <f aca="false">IF(AG149=0,"",IF(AI149&lt;2,"",AM149&amp;" to "&amp;AN149&amp;" on "&amp;TEXT(AK149,"dd/mm/yyyy")&amp;IF(AK149&gt;AsOfDate," (future)",IF(AP149=AQ149,"",IF(AQ149="None"," - STOPPED accruing",IF(AP149="None"," - commencement for Bonus Leave"," - pathway changed"))))&amp;IF(AI149&lt;3,"","; "&amp;AN149&amp;" to "&amp;AO149&amp;" on "&amp;TEXT(AL149,"dd/mm/yyyy")&amp;IF(AL149&gt;AsOfDate," (future)",IF(AQ149=AR149,"",IF(AR149="None"," - STOPPED accruing",IF(AQ149="None"," - commencement for Bonus Leave"," - pathway changed")))))))</f>
        <v/>
      </c>
      <c r="R149" s="14" t="str">
        <f aca="false">IF(AG149=0,"",IF(AS149="None",IF(O149&gt;0,"No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2" t="str">
        <f aca="false">IF(AG149=0,"",IF(AS149="None","",EDATE(AH149,BB149)))</f>
        <v/>
      </c>
      <c r="T149" s="15" t="str">
        <f aca="false">IF(AG149=0,"",IF(NOT(LH_Ready),"",IF(AH149&gt;PFYDate,0,IF(LH_ColPeriod=0,W149-U149+V149,SUMIFS(INDEX(LH_Data,0,LH_ColAcc),INDEX(LH_Data,0,LH_ColFirst),$A149,INDEX(LH_Data,0,LH_ColSur),$B149,INDEX(LH_Data,0,LH_ColCat),BonusCat,INDEX(LH_Data,0,LH_ColPeriod),LH_OpenLabel)*UnitFactor))))</f>
        <v/>
      </c>
      <c r="U149" s="15" t="str">
        <f aca="false">IF(AG149=0,"",IF(NOT(LH_Ready),"",SUMIFS(INDEX(LH_Data,0,LH_ColAcc),INDEX(LH_Data,0,LH_ColFirst),$A149,INDEX(LH_Data,0,LH_ColSur),$B149,INDEX(LH_Data,0,LH_ColCat),BonusCat,INDEX(LH_Data,0,LH_ColStart),"&gt;="&amp;AH149)*UnitFactor))</f>
        <v/>
      </c>
      <c r="V149" s="15" t="str">
        <f aca="false">IF(AG149=0,"",IF(NOT(LH_Ready),"",SUMIFS(INDEX(LH_Data,0,LH_ColTaken),INDEX(LH_Data,0,LH_ColFirst),$A149,INDEX(LH_Data,0,LH_ColSur),$B149,INDEX(LH_Data,0,LH_ColCat),BonusCat,INDEX(LH_Data,0,LH_ColStart),"&gt;="&amp;AH149)*UnitFactor))</f>
        <v/>
      </c>
      <c r="W149" s="15" t="str">
        <f aca="false">IF(AG149=0,"",IF(NOT(LH_Ready),"",IF(BD149=0,0,INDEX(INDEX(LH_Data,0,LH_ColClose),BD149-1)*UnitFactor)))</f>
        <v/>
      </c>
      <c r="X149" s="15" t="str">
        <f aca="false">IF(AG149=0,"",(AZ149-BA149)*HoursPerDay)</f>
        <v/>
      </c>
      <c r="Y149" s="15" t="str">
        <f aca="false">IF(AG149=0,"",IF(NOT(LH_Ready),"",IF(BC149=0,N149,IF(PFYDate&lt;$F149,N149-N(T149)-N(U149),X149-N(U149)))))</f>
        <v/>
      </c>
      <c r="Z149" s="14" t="str">
        <f aca="false">IF(OR(AG149=0,Y149=""),"",IF(Y149&gt;0,"Yes","No"))</f>
        <v/>
      </c>
      <c r="AA149" s="14" t="str">
        <f aca="false">IF(AG149=0,IF(LEN($A149&amp;$B149)=0,"","FIX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month")&amp;IF(BC149=0,";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EH)",""),IF(AS149="None",R149,"Not yet - first day on "&amp;TEXT(S149,"dd/mm/yyyy")))))))))</f>
        <v/>
      </c>
      <c r="AB149" s="15" t="str">
        <f aca="false">IF(OR(AG149=0,T149=""),"",BA149*HoursPerDay-T149)</f>
        <v/>
      </c>
      <c r="AC149" s="14" t="str">
        <f aca="false">IF(AG149=0,"",BC149)</f>
        <v/>
      </c>
      <c r="AD149" s="14" t="str">
        <f aca="false">IF(AG149=0,"",TRIM(IF(OR(ISTEXT($F149),ISTEXT($H149),ISTEXT($I149),ISTEXT($G149),ISTEXT($J149),ISTEXT($D149)),"A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I149&gt;=1,IF(AI149&gt;=3,AO149,IF(AI149=2,AN149,AM149))&lt;&gt;IF($C149="","",IF(OR(ISNUMBER(SEARCH("full",$C149)),UPPER(TRIM($C149))="FT",UPPER(TRIM($C149))="FTE"),"Full-Time",IF(OR(ISNUMBER(SEARCH("part",$C149)),UPPER(TRIM($C149))="PT",UPPER(TRIM($C149))="PTE"),"Part-Time",IF(OR(ISNUMBER(SEARCH("cas",$C149)),UPPER(TRIM($C149))="CAS"),"Casual","Unknown"))))),"EmploymentType does not match latest start date ("&amp;IF(AI149&gt;=3,AO149,IF(AI149=2,AN149,AM149))&amp;"). ","")&amp;IF(AND(AI149&gt;=1,AJ149&lt;&gt;$F149),"Earliest type date should equal StartDate. ","")&amp;IF(AND(AI149&gt;=2,AJ149=AK149),"Two types start on the same date. ","")&amp;IF(AND(OR(ISNUMBER(SEARCH("part",$C149)),UPPER(TRIM($C149))="PT",UPPER(TRIM($C149))="PTE"),$P149=""),"Part-time: enter PT Hrs/Week (blank = 24+). ","")))</f>
        <v/>
      </c>
      <c r="AE149" s="15" t="str">
        <f aca="false">IF(AG149=0,"",O149-BH149)</f>
        <v/>
      </c>
      <c r="AF149" s="12" t="str">
        <f aca="false">IF(OR(AG149=0,AE149="",N(AE149)=0,BI149=""),"",EDATE(AH149,BI149))</f>
        <v/>
      </c>
      <c r="AG149" s="14" t="n">
        <f aca="false">IF(OR(LEN($A149&amp;$B149)=0,$F149=""),0,1)</f>
        <v>0</v>
      </c>
      <c r="AH149" s="12" t="str">
        <f aca="false">IF(AG149=0,"",IF($J149&lt;&gt;"",$J149,IF(OR(CasualCounts="Yes",COUNT($G149:$I149)=0,COUNT($H149:$I149)=0),$F149,MIN($H149:$I149))))</f>
        <v/>
      </c>
      <c r="AI149" s="14" t="str">
        <f aca="false">IF(AG149=0,"",COUNT($G149:$I149))</f>
        <v/>
      </c>
      <c r="AJ149" s="12" t="str">
        <f aca="false">IF(AG149=0,"",IFERROR(SMALL($G149:$I149,1),""))</f>
        <v/>
      </c>
      <c r="AK149" s="12" t="str">
        <f aca="false">IF(AG149=0,"",IFERROR(SMALL($G149:$I149,2),""))</f>
        <v/>
      </c>
      <c r="AL149" s="12" t="str">
        <f aca="false">IF(AG149=0,"",IFERROR(SMALL($G149:$I149,3),""))</f>
        <v/>
      </c>
      <c r="AM149" s="14" t="str">
        <f aca="false">IF(AG149=0,"",IF(AJ149="","",IF(AJ149=$H149,"Part-Time",IF(AJ149=$I149,"Full-Time","Casual"))))</f>
        <v/>
      </c>
      <c r="AN149" s="14" t="str">
        <f aca="false">IF(AG149=0,"",IF(AK149="","",IF(AK149=$H149,"Part-Time",IF(AK149=$I149,"Full-Time","Casual"))))</f>
        <v/>
      </c>
      <c r="AO149" s="14" t="str">
        <f aca="false">IF(AG149=0,"",IF(AL149="","",IF(AL149=$H149,"Part-Time",IF(AL149=$I149,"Full-Time","Casual"))))</f>
        <v/>
      </c>
      <c r="AP149" s="14" t="str">
        <f aca="false">IF(AG149=0,"",IF(AI149=0,IF(OR(ISNUMBER(SEARCH("full",$C149)),UPPER(TRIM($C149))="FT",UPPER(TRIM($C149))="FTE"),"FT",IF(AND(OR(ISNUMBER(SEARCH("part",$C149)),UPPER(TRIM($C149))="PT",UPPER(TRIM($C149))="PTE"),OR($P149="",N($P149)&gt;=PT_MinHours)),"PT","None")),IF(OR(ISNUMBER(SEARCH("full",AM149)),UPPER(TRIM(AM149))="FT",UPPER(TRIM(AM149))="FTE"),"FT",IF(AND(OR(ISNUMBER(SEARCH("part",AM149)),UPPER(TRIM(AM149))="PT",UPPER(TRIM(AM149))="PTE"),OR($P149="",N($P149)&gt;=PT_MinHours)),"PT","None"))))</f>
        <v/>
      </c>
      <c r="AQ149" s="14" t="str">
        <f aca="false">IF(AG149=0,"",IF(AI149&lt;2,"",IF(OR(ISNUMBER(SEARCH("full",AN149)),UPPER(TRIM(AN149))="FT",UPPER(TRIM(AN149))="FTE"),"FT",IF(AND(OR(ISNUMBER(SEARCH("part",AN149)),UPPER(TRIM(AN149))="PT",UPPER(TRIM(AN149))="PTE"),OR($P149="",N($P149)&gt;=PT_MinHours)),"PT","None"))))</f>
        <v/>
      </c>
      <c r="AR149" s="14" t="str">
        <f aca="false">IF(AG149=0,"",IF(AI149&lt;3,"",IF(OR(ISNUMBER(SEARCH("full",AO149)),UPPER(TRIM(AO149))="FT",UPPER(TRIM(AO149))="FTE"),"FT",IF(AND(OR(ISNUMBER(SEARCH("part",AO149)),UPPER(TRIM(AO149))="PT",UPPER(TRIM(AO149))="PTE"),OR($P149="",N($P149)&gt;=PT_MinHours)),"PT","None"))))</f>
        <v/>
      </c>
      <c r="AS149" s="14" t="str">
        <f aca="false">IF(AG149=0,"",IF(AND(AI149&gt;=3,AL149&lt;=AsOfDate),AR149,IF(AND(AI149&gt;=2,AK149&lt;=AsOfDate),AQ149,AP149)))</f>
        <v/>
      </c>
      <c r="AT149" s="14" t="str">
        <f aca="false">IF(AG149=0,"",IF(AsOfDate&lt;AH149,-1,12*(YEAR(AsOfDate)-YEAR(AH149))+MONTH(AsOfDate)-MONTH(AH149)-IF(DAY(AsOfDate)&lt;MIN(DAY(AH149),DAY(EOMONTH(AsOfDate,0))),1,0)))</f>
        <v/>
      </c>
      <c r="AU149" s="14" t="str">
        <f aca="false">IF(AG149=0,"",IF(OR(AI149&lt;2,AK149&gt;AsOfDate),AT149,IF((AK149-1)&lt;AH149,-1,12*(YEAR((AK149-1))-YEAR(AH149))+MONTH((AK149-1))-MONTH(AH149)-IF(DAY((AK149-1))&lt;MIN(DAY(AH149),DAY(EOMONTH((AK149-1),0))),1,0))))</f>
        <v/>
      </c>
      <c r="AV149" s="14" t="str">
        <f aca="false">IF(AG149=0,"",IF(OR(AI149&lt;3,AL149&gt;AsOfDate),AT149,IF((AL149-1)&lt;AH149,-1,12*(YEAR((AL149-1))-YEAR(AH149))+MONTH((AL149-1))-MONTH(AH149)-IF(DAY((AL149-1))&lt;MIN(DAY(AH149),DAY(EOMONTH((AL149-1),0))),1,0))))</f>
        <v/>
      </c>
      <c r="AW149" s="14" t="str">
        <f aca="false">IF(AG149=0,"",IF(PFYDate&lt;AH149,-1,12*(YEAR(PFYDate)-YEAR(AH149))+MONTH(PFYDate)-MONTH(AH149)-IF(DAY(PFYDate)&lt;MIN(DAY(AH149),DAY(EOMONTH(PFYDate,0))),1,0)))</f>
        <v/>
      </c>
      <c r="AX149" s="14" t="str">
        <f aca="false">IF(AG149=0,"",IF(OR(AI149&lt;2,AK149&gt;PFYDate),AW149,IF((AK149-1)&lt;AH149,-1,12*(YEAR((AK149-1))-YEAR(AH149))+MONTH((AK149-1))-MONTH(AH149)-IF(DAY((AK149-1))&lt;MIN(DAY(AH149),DAY(EOMONTH((AK149-1),0))),1,0))))</f>
        <v/>
      </c>
      <c r="AY149" s="14" t="str">
        <f aca="false">IF(AG149=0,"",IF(OR(AI149&lt;3,AL149&gt;PFYDate),AW149,IF((AL149-1)&lt;AH149,-1,12*(YEAR((AL149-1))-YEAR(AH149))+MONTH((AL149-1))-MONTH(AH149)-IF(DAY((AL149-1))&lt;MIN(DAY(AH149),DAY(EOMONTH((AL149-1),0))),1,0))))</f>
        <v/>
      </c>
      <c r="AZ149" s="14" t="str">
        <f aca="false">IF(AG149=0,"",IF(AP149="FT",IF(AU149&lt;FT_First,0,IF(AU149&lt;FT_Y5,1+INT((AU149-FT_First)/FT_Int1),FT_PreY5+FT_PerYear*INT((AU149-FT_Y5)/12)+FT_AnnivDays+INT(MOD(AU149-FT_Y5,12)/FT_Int2))),IF(AP149="PT",IF(AU149&lt;PT_First,0,1+INT((AU149-PT_First)/PT_Int)),0))+IF(AND(AI149&gt;=2,AK149&lt;=AsOfDate),IF(AQ149="FT",IF(AV149&lt;FT_First,0,IF(AV149&lt;FT_Y5,1+INT((AV149-FT_First)/FT_Int1),FT_PreY5+FT_PerYear*INT((AV149-FT_Y5)/12)+FT_AnnivDays+INT(MOD(AV149-FT_Y5,12)/FT_Int2))),IF(AQ149="PT",IF(AV149&lt;PT_First,0,1+INT((AV149-PT_First)/PT_Int)),0))-IF(AQ149="FT",IF(AU149&lt;FT_First,0,IF(AU149&lt;FT_Y5,1+INT((AU149-FT_First)/FT_Int1),FT_PreY5+FT_PerYear*INT((AU149-FT_Y5)/12)+FT_AnnivDays+INT(MOD(AU149-FT_Y5,12)/FT_Int2))),IF(AQ149="PT",IF(AU149&lt;PT_First,0,1+INT((AU149-PT_First)/PT_Int)),0)),0)+IF(AND(AI149&gt;=3,AL149&lt;=AsOfDate),IF(AR149="FT",IF(AT149&lt;FT_First,0,IF(AT149&lt;FT_Y5,1+INT((AT149-FT_First)/FT_Int1),FT_PreY5+FT_PerYear*INT((AT149-FT_Y5)/12)+FT_AnnivDays+INT(MOD(AT149-FT_Y5,12)/FT_Int2))),IF(AR149="PT",IF(AT149&lt;PT_First,0,1+INT((AT149-PT_First)/PT_Int)),0))-IF(AR149="FT",IF(AV149&lt;FT_First,0,IF(AV149&lt;FT_Y5,1+INT((AV149-FT_First)/FT_Int1),FT_PreY5+FT_PerYear*INT((AV149-FT_Y5)/12)+FT_AnnivDays+INT(MOD(AV149-FT_Y5,12)/FT_Int2))),IF(AR149="PT",IF(AV149&lt;PT_First,0,1+INT((AV149-PT_First)/PT_Int)),0)),0))</f>
        <v/>
      </c>
      <c r="BA149" s="14" t="str">
        <f aca="false">IF(AG149=0,"",IF(AP149="FT",IF(AX149&lt;FT_First,0,IF(AX149&lt;FT_Y5,1+INT((AX149-FT_First)/FT_Int1),FT_PreY5+FT_PerYear*INT((AX149-FT_Y5)/12)+FT_AnnivDays+INT(MOD(AX149-FT_Y5,12)/FT_Int2))),IF(AP149="PT",IF(AX149&lt;PT_First,0,1+INT((AX149-PT_First)/PT_Int)),0))+IF(AND(AI149&gt;=2,AK149&lt;=PFYDate),IF(AQ149="FT",IF(AY149&lt;FT_First,0,IF(AY149&lt;FT_Y5,1+INT((AY149-FT_First)/FT_Int1),FT_PreY5+FT_PerYear*INT((AY149-FT_Y5)/12)+FT_AnnivDays+INT(MOD(AY149-FT_Y5,12)/FT_Int2))),IF(AQ149="PT",IF(AY149&lt;PT_First,0,1+INT((AY149-PT_First)/PT_Int)),0))-IF(AQ149="FT",IF(AX149&lt;FT_First,0,IF(AX149&lt;FT_Y5,1+INT((AX149-FT_First)/FT_Int1),FT_PreY5+FT_PerYear*INT((AX149-FT_Y5)/12)+FT_AnnivDays+INT(MOD(AX149-FT_Y5,12)/FT_Int2))),IF(AQ149="PT",IF(AX149&lt;PT_First,0,1+INT((AX149-PT_First)/PT_Int)),0)),0)+IF(AND(AI149&gt;=3,AL149&lt;=PFYDate),IF(AR149="FT",IF(AW149&lt;FT_First,0,IF(AW149&lt;FT_Y5,1+INT((AW149-FT_First)/FT_Int1),FT_PreY5+FT_PerYear*INT((AW149-FT_Y5)/12)+FT_AnnivDays+INT(MOD(AW149-FT_Y5,12)/FT_Int2))),IF(AR149="PT",IF(AW149&lt;PT_First,0,1+INT((AW149-PT_First)/PT_Int)),0))-IF(AR149="FT",IF(AY149&lt;FT_First,0,IF(AY149&lt;FT_Y5,1+INT((AY149-FT_First)/FT_Int1),FT_PreY5+FT_PerYear*INT((AY149-FT_Y5)/12)+FT_AnnivDays+INT(MOD(AY149-FT_Y5,12)/FT_Int2))),IF(AR149="PT",IF(AY149&lt;PT_First,0,1+INT((AY149-PT_First)/PT_Int)),0)),0))</f>
        <v/>
      </c>
      <c r="BB149" s="14" t="str">
        <f aca="false">IF(AG149=0,"",IF(AS149="FT",IF(AT149&lt;FT_First,FT_First,IF(AT149&lt;FT_Y5,MIN(FT_Y5,FT_First+FT_Int1*(INT((AT149-FT_First)/FT_Int1)+1)),FT_Y5+12*INT((AT149-FT_Y5)/12)+FT_Int2*(INT(MOD(AT149-FT_Y5,12)/FT_Int2)+1))),IF(AS149="PT",IF(AT149&lt;PT_First,PT_First,PT_First+PT_Int*(INT((AT149-PT_First)/PT_Int)+1)),"")))</f>
        <v/>
      </c>
      <c r="BC149" s="14" t="str">
        <f aca="false">IF(AG149=0,"",IF(NOT(LH_Ready),0,COUNTIFS(INDEX(LH_Data,0,LH_ColFirst),$A149,INDEX(LH_Data,0,LH_ColSur),$B149,INDEX(LH_Data,0,LH_ColCat),BonusCat)))</f>
        <v/>
      </c>
      <c r="BD149" s="14" t="str">
        <f aca="false">IF(AG149=0,"",IF(OR(NOT(LH_Ready),BC149=0),0,SUMPRODUCT(MAX((INDEX(LH_Data,0,LH_ColFirst)=$A149)*(INDEX(LH_Data,0,LH_ColSur)=$B149)*(INDEX(LH_Data,0,LH_ColCat)=BonusCat)*ROW(LH_Data)))))</f>
        <v/>
      </c>
      <c r="BE149" s="14" t="str">
        <f aca="false">IF(AG149=0,"",IF(EOMONTH(AsOfDate,-1)&lt;AH149,-1,12*(YEAR(EOMONTH(AsOfDate,-1))-YEAR(AH149))+MONTH(EOMONTH(AsOfDate,-1))-MONTH(AH149)-IF(DAY(EOMONTH(AsOfDate,-1))&lt;MIN(DAY(AH149),DAY(EOMONTH(EOMONTH(AsOfDate,-1),0))),1,0)))</f>
        <v/>
      </c>
      <c r="BF149" s="14" t="str">
        <f aca="false">IF(AG149=0,"",IF(OR(AI149&lt;2,AK149&gt;EOMONTH(AsOfDate,-1)),BE149,IF((AK149-1)&lt;AH149,-1,12*(YEAR((AK149-1))-YEAR(AH149))+MONTH((AK149-1))-MONTH(AH149)-IF(DAY((AK149-1))&lt;MIN(DAY(AH149),DAY(EOMONTH((AK149-1),0))),1,0))))</f>
        <v/>
      </c>
      <c r="BG149" s="14" t="str">
        <f aca="false">IF(AG149=0,"",IF(OR(AI149&lt;3,AL149&gt;EOMONTH(AsOfDate,-1)),BE149,IF((AL149-1)&lt;AH149,-1,12*(YEAR((AL149-1))-YEAR(AH149))+MONTH((AL149-1))-MONTH(AH149)-IF(DAY((AL149-1))&lt;MIN(DAY(AH149),DAY(EOMONTH((AL149-1),0))),1,0))))</f>
        <v/>
      </c>
      <c r="BH149" s="14" t="str">
        <f aca="false">IF(AG149=0,"",IF(AP149="FT",IF(BF149&lt;FT_First,0,IF(BF149&lt;FT_Y5,1+INT((BF149-FT_First)/FT_Int1),FT_PreY5+FT_PerYear*INT((BF149-FT_Y5)/12)+FT_AnnivDays+INT(MOD(BF149-FT_Y5,12)/FT_Int2))),IF(AP149="PT",IF(BF149&lt;PT_First,0,1+INT((BF149-PT_First)/PT_Int)),0))+IF(AND(AI149&gt;=2,AK149&lt;=EOMONTH(AsOfDate,-1)),IF(AQ149="FT",IF(BG149&lt;FT_First,0,IF(BG149&lt;FT_Y5,1+INT((BG149-FT_First)/FT_Int1),FT_PreY5+FT_PerYear*INT((BG149-FT_Y5)/12)+FT_AnnivDays+INT(MOD(BG149-FT_Y5,12)/FT_Int2))),IF(AQ149="PT",IF(BG149&lt;PT_First,0,1+INT((BG149-PT_First)/PT_Int)),0))-IF(AQ149="FT",IF(BF149&lt;FT_First,0,IF(BF149&lt;FT_Y5,1+INT((BF149-FT_First)/FT_Int1),FT_PreY5+FT_PerYear*INT((BF149-FT_Y5)/12)+FT_AnnivDays+INT(MOD(BF149-FT_Y5,12)/FT_Int2))),IF(AQ149="PT",IF(BF149&lt;PT_First,0,1+INT((BF149-PT_First)/PT_Int)),0)),0)+IF(AND(AI149&gt;=3,AL149&lt;=EOMONTH(AsOfDate,-1)),IF(AR149="FT",IF(BE149&lt;FT_First,0,IF(BE149&lt;FT_Y5,1+INT((BE149-FT_First)/FT_Int1),FT_PreY5+FT_PerYear*INT((BE149-FT_Y5)/12)+FT_AnnivDays+INT(MOD(BE149-FT_Y5,12)/FT_Int2))),IF(AR149="PT",IF(BE149&lt;PT_First,0,1+INT((BE149-PT_First)/PT_Int)),0))-IF(AR149="FT",IF(BG149&lt;FT_First,0,IF(BG149&lt;FT_Y5,1+INT((BG149-FT_First)/FT_Int1),FT_PreY5+FT_PerYear*INT((BG149-FT_Y5)/12)+FT_AnnivDays+INT(MOD(BG149-FT_Y5,12)/FT_Int2))),IF(AR149="PT",IF(BG149&lt;PT_First,0,1+INT((BG149-PT_First)/PT_Int)),0)),0))</f>
        <v/>
      </c>
      <c r="BI149" s="14" t="str">
        <f aca="false">IF(AG149=0,"",IF(AS149="FT",IF(AT149&lt;FT_First,"",IF(AT149&lt;FT_Y5,FT_First+FT_Int1*INT((AT149-FT_First)/FT_Int1),FT_Y5+FT_Int2*INT((AT149-FT_Y5)/FT_Int2))),IF(AS149="PT",IF(AT149&lt;PT_First,"",PT_First+PT_Int*INT((AT149-PT_First)/PT_Int)),"")))</f>
        <v/>
      </c>
      <c r="BJ149" s="0" t="str">
        <f aca="false">IF(LEN($A149&amp;$B149)=0,"",$A149&amp;" "&amp;$B149)</f>
        <v/>
      </c>
    </row>
    <row r="150" customFormat="false" ht="15" hidden="false" customHeight="false" outlineLevel="0" collapsed="false">
      <c r="A150" s="10"/>
      <c r="B150" s="10"/>
      <c r="C150" s="10"/>
      <c r="D150" s="11"/>
      <c r="E150" s="12" t="str">
        <f aca="false">IF(OR(AG150=0,$D150=""),"",DATE(YEAR(AsOfDate)+IF(DATE(YEAR(AsOfDate),MONTH($D150),DAY($D150))&lt;=AsOfDate,1,0),MONTH($D150),DAY($D150)))</f>
        <v/>
      </c>
      <c r="F150" s="11"/>
      <c r="G150" s="11"/>
      <c r="H150" s="11"/>
      <c r="I150" s="11"/>
      <c r="J150" s="11"/>
      <c r="K150" s="12" t="str">
        <f aca="false">IF(AG150=0,"",DATE(YEAR(AsOfDate)+IF(DATE(YEAR(AsOfDate),MONTH(AH150),DAY(AH150))&lt;=AsOfDate,1,0),MONTH(AH150),DAY(AH150)))</f>
        <v/>
      </c>
      <c r="L150" s="13" t="str">
        <f aca="false">IF(AG150=0,"",ROUND((AsOfDate-AH150)/365.25,1))</f>
        <v/>
      </c>
      <c r="M150" s="14" t="str">
        <f aca="false">IF(AG150=0,"",IF(AsOfDate&lt;AH150,"-",DATEDIF(AH150,AsOfDate,"y")&amp;"y "&amp;DATEDIF(AH150,AsOfDate,"ym")&amp;"m "&amp;DATEDIF(AH150,AsOfDate,"md")&amp;"d"))</f>
        <v/>
      </c>
      <c r="N150" s="15" t="str">
        <f aca="false">IF(AG150=0,"",O150*HoursPerDay)</f>
        <v/>
      </c>
      <c r="O150" s="15" t="str">
        <f aca="false">IF(AG150=0,"",AZ150)</f>
        <v/>
      </c>
      <c r="P150" s="16"/>
      <c r="Q150" s="14" t="str">
        <f aca="false">IF(AG150=0,"",IF(AI150&lt;2,"",AM150&amp;" to "&amp;AN150&amp;" on "&amp;TEXT(AK150,"dd/mm/yyyy")&amp;IF(AK150&gt;AsOfDate," (future)",IF(AP150=AQ150,"",IF(AQ150="None"," - STOPPED accruing",IF(AP150="None"," - commencement for Bonus Leave"," - pathway changed"))))&amp;IF(AI150&lt;3,"","; "&amp;AN150&amp;" to "&amp;AO150&amp;" on "&amp;TEXT(AL150,"dd/mm/yyyy")&amp;IF(AL150&gt;AsOfDate," (future)",IF(AQ150=AR150,"",IF(AR150="None"," - STOPPED accruing",IF(AQ150="None"," - commencement for Bonus Leave"," - pathway changed")))))))</f>
        <v/>
      </c>
      <c r="R150" s="14" t="str">
        <f aca="false">IF(AG150=0,"",IF(AS150="None",IF(O150&gt;0,"No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2" t="str">
        <f aca="false">IF(AG150=0,"",IF(AS150="None","",EDATE(AH150,BB150)))</f>
        <v/>
      </c>
      <c r="T150" s="15" t="str">
        <f aca="false">IF(AG150=0,"",IF(NOT(LH_Ready),"",IF(AH150&gt;PFYDate,0,IF(LH_ColPeriod=0,W150-U150+V150,SUMIFS(INDEX(LH_Data,0,LH_ColAcc),INDEX(LH_Data,0,LH_ColFirst),$A150,INDEX(LH_Data,0,LH_ColSur),$B150,INDEX(LH_Data,0,LH_ColCat),BonusCat,INDEX(LH_Data,0,LH_ColPeriod),LH_OpenLabel)*UnitFactor))))</f>
        <v/>
      </c>
      <c r="U150" s="15" t="str">
        <f aca="false">IF(AG150=0,"",IF(NOT(LH_Ready),"",SUMIFS(INDEX(LH_Data,0,LH_ColAcc),INDEX(LH_Data,0,LH_ColFirst),$A150,INDEX(LH_Data,0,LH_ColSur),$B150,INDEX(LH_Data,0,LH_ColCat),BonusCat,INDEX(LH_Data,0,LH_ColStart),"&gt;="&amp;AH150)*UnitFactor))</f>
        <v/>
      </c>
      <c r="V150" s="15" t="str">
        <f aca="false">IF(AG150=0,"",IF(NOT(LH_Ready),"",SUMIFS(INDEX(LH_Data,0,LH_ColTaken),INDEX(LH_Data,0,LH_ColFirst),$A150,INDEX(LH_Data,0,LH_ColSur),$B150,INDEX(LH_Data,0,LH_ColCat),BonusCat,INDEX(LH_Data,0,LH_ColStart),"&gt;="&amp;AH150)*UnitFactor))</f>
        <v/>
      </c>
      <c r="W150" s="15" t="str">
        <f aca="false">IF(AG150=0,"",IF(NOT(LH_Ready),"",IF(BD150=0,0,INDEX(INDEX(LH_Data,0,LH_ColClose),BD150-1)*UnitFactor)))</f>
        <v/>
      </c>
      <c r="X150" s="15" t="str">
        <f aca="false">IF(AG150=0,"",(AZ150-BA150)*HoursPerDay)</f>
        <v/>
      </c>
      <c r="Y150" s="15" t="str">
        <f aca="false">IF(AG150=0,"",IF(NOT(LH_Ready),"",IF(BC150=0,N150,IF(PFYDate&lt;$F150,N150-N(T150)-N(U150),X150-N(U150)))))</f>
        <v/>
      </c>
      <c r="Z150" s="14" t="str">
        <f aca="false">IF(OR(AG150=0,Y150=""),"",IF(Y150&gt;0,"Yes","No"))</f>
        <v/>
      </c>
      <c r="AA150" s="14" t="str">
        <f aca="false">IF(AG150=0,IF(LEN($A150&amp;$B150)=0,"","FIX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month")&amp;IF(BC150=0,";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EH)",""),IF(AS150="None",R150,"Not yet - first day on "&amp;TEXT(S150,"dd/mm/yyyy")))))))))</f>
        <v/>
      </c>
      <c r="AB150" s="15" t="str">
        <f aca="false">IF(OR(AG150=0,T150=""),"",BA150*HoursPerDay-T150)</f>
        <v/>
      </c>
      <c r="AC150" s="14" t="str">
        <f aca="false">IF(AG150=0,"",BC150)</f>
        <v/>
      </c>
      <c r="AD150" s="14" t="str">
        <f aca="false">IF(AG150=0,"",TRIM(IF(OR(ISTEXT($F150),ISTEXT($H150),ISTEXT($I150),ISTEXT($G150),ISTEXT($J150),ISTEXT($D150)),"A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I150&gt;=1,IF(AI150&gt;=3,AO150,IF(AI150=2,AN150,AM150))&lt;&gt;IF($C150="","",IF(OR(ISNUMBER(SEARCH("full",$C150)),UPPER(TRIM($C150))="FT",UPPER(TRIM($C150))="FTE"),"Full-Time",IF(OR(ISNUMBER(SEARCH("part",$C150)),UPPER(TRIM($C150))="PT",UPPER(TRIM($C150))="PTE"),"Part-Time",IF(OR(ISNUMBER(SEARCH("cas",$C150)),UPPER(TRIM($C150))="CAS"),"Casual","Unknown"))))),"EmploymentType does not match latest start date ("&amp;IF(AI150&gt;=3,AO150,IF(AI150=2,AN150,AM150))&amp;"). ","")&amp;IF(AND(AI150&gt;=1,AJ150&lt;&gt;$F150),"Earliest type date should equal StartDate. ","")&amp;IF(AND(AI150&gt;=2,AJ150=AK150),"Two types start on the same date. ","")&amp;IF(AND(OR(ISNUMBER(SEARCH("part",$C150)),UPPER(TRIM($C150))="PT",UPPER(TRIM($C150))="PTE"),$P150=""),"Part-time: enter PT Hrs/Week (blank = 24+). ","")))</f>
        <v/>
      </c>
      <c r="AE150" s="15" t="str">
        <f aca="false">IF(AG150=0,"",O150-BH150)</f>
        <v/>
      </c>
      <c r="AF150" s="12" t="str">
        <f aca="false">IF(OR(AG150=0,AE150="",N(AE150)=0,BI150=""),"",EDATE(AH150,BI150))</f>
        <v/>
      </c>
      <c r="AG150" s="14" t="n">
        <f aca="false">IF(OR(LEN($A150&amp;$B150)=0,$F150=""),0,1)</f>
        <v>0</v>
      </c>
      <c r="AH150" s="12" t="str">
        <f aca="false">IF(AG150=0,"",IF($J150&lt;&gt;"",$J150,IF(OR(CasualCounts="Yes",COUNT($G150:$I150)=0,COUNT($H150:$I150)=0),$F150,MIN($H150:$I150))))</f>
        <v/>
      </c>
      <c r="AI150" s="14" t="str">
        <f aca="false">IF(AG150=0,"",COUNT($G150:$I150))</f>
        <v/>
      </c>
      <c r="AJ150" s="12" t="str">
        <f aca="false">IF(AG150=0,"",IFERROR(SMALL($G150:$I150,1),""))</f>
        <v/>
      </c>
      <c r="AK150" s="12" t="str">
        <f aca="false">IF(AG150=0,"",IFERROR(SMALL($G150:$I150,2),""))</f>
        <v/>
      </c>
      <c r="AL150" s="12" t="str">
        <f aca="false">IF(AG150=0,"",IFERROR(SMALL($G150:$I150,3),""))</f>
        <v/>
      </c>
      <c r="AM150" s="14" t="str">
        <f aca="false">IF(AG150=0,"",IF(AJ150="","",IF(AJ150=$H150,"Part-Time",IF(AJ150=$I150,"Full-Time","Casual"))))</f>
        <v/>
      </c>
      <c r="AN150" s="14" t="str">
        <f aca="false">IF(AG150=0,"",IF(AK150="","",IF(AK150=$H150,"Part-Time",IF(AK150=$I150,"Full-Time","Casual"))))</f>
        <v/>
      </c>
      <c r="AO150" s="14" t="str">
        <f aca="false">IF(AG150=0,"",IF(AL150="","",IF(AL150=$H150,"Part-Time",IF(AL150=$I150,"Full-Time","Casual"))))</f>
        <v/>
      </c>
      <c r="AP150" s="14" t="str">
        <f aca="false">IF(AG150=0,"",IF(AI150=0,IF(OR(ISNUMBER(SEARCH("full",$C150)),UPPER(TRIM($C150))="FT",UPPER(TRIM($C150))="FTE"),"FT",IF(AND(OR(ISNUMBER(SEARCH("part",$C150)),UPPER(TRIM($C150))="PT",UPPER(TRIM($C150))="PTE"),OR($P150="",N($P150)&gt;=PT_MinHours)),"PT","None")),IF(OR(ISNUMBER(SEARCH("full",AM150)),UPPER(TRIM(AM150))="FT",UPPER(TRIM(AM150))="FTE"),"FT",IF(AND(OR(ISNUMBER(SEARCH("part",AM150)),UPPER(TRIM(AM150))="PT",UPPER(TRIM(AM150))="PTE"),OR($P150="",N($P150)&gt;=PT_MinHours)),"PT","None"))))</f>
        <v/>
      </c>
      <c r="AQ150" s="14" t="str">
        <f aca="false">IF(AG150=0,"",IF(AI150&lt;2,"",IF(OR(ISNUMBER(SEARCH("full",AN150)),UPPER(TRIM(AN150))="FT",UPPER(TRIM(AN150))="FTE"),"FT",IF(AND(OR(ISNUMBER(SEARCH("part",AN150)),UPPER(TRIM(AN150))="PT",UPPER(TRIM(AN150))="PTE"),OR($P150="",N($P150)&gt;=PT_MinHours)),"PT","None"))))</f>
        <v/>
      </c>
      <c r="AR150" s="14" t="str">
        <f aca="false">IF(AG150=0,"",IF(AI150&lt;3,"",IF(OR(ISNUMBER(SEARCH("full",AO150)),UPPER(TRIM(AO150))="FT",UPPER(TRIM(AO150))="FTE"),"FT",IF(AND(OR(ISNUMBER(SEARCH("part",AO150)),UPPER(TRIM(AO150))="PT",UPPER(TRIM(AO150))="PTE"),OR($P150="",N($P150)&gt;=PT_MinHours)),"PT","None"))))</f>
        <v/>
      </c>
      <c r="AS150" s="14" t="str">
        <f aca="false">IF(AG150=0,"",IF(AND(AI150&gt;=3,AL150&lt;=AsOfDate),AR150,IF(AND(AI150&gt;=2,AK150&lt;=AsOfDate),AQ150,AP150)))</f>
        <v/>
      </c>
      <c r="AT150" s="14" t="str">
        <f aca="false">IF(AG150=0,"",IF(AsOfDate&lt;AH150,-1,12*(YEAR(AsOfDate)-YEAR(AH150))+MONTH(AsOfDate)-MONTH(AH150)-IF(DAY(AsOfDate)&lt;MIN(DAY(AH150),DAY(EOMONTH(AsOfDate,0))),1,0)))</f>
        <v/>
      </c>
      <c r="AU150" s="14" t="str">
        <f aca="false">IF(AG150=0,"",IF(OR(AI150&lt;2,AK150&gt;AsOfDate),AT150,IF((AK150-1)&lt;AH150,-1,12*(YEAR((AK150-1))-YEAR(AH150))+MONTH((AK150-1))-MONTH(AH150)-IF(DAY((AK150-1))&lt;MIN(DAY(AH150),DAY(EOMONTH((AK150-1),0))),1,0))))</f>
        <v/>
      </c>
      <c r="AV150" s="14" t="str">
        <f aca="false">IF(AG150=0,"",IF(OR(AI150&lt;3,AL150&gt;AsOfDate),AT150,IF((AL150-1)&lt;AH150,-1,12*(YEAR((AL150-1))-YEAR(AH150))+MONTH((AL150-1))-MONTH(AH150)-IF(DAY((AL150-1))&lt;MIN(DAY(AH150),DAY(EOMONTH((AL150-1),0))),1,0))))</f>
        <v/>
      </c>
      <c r="AW150" s="14" t="str">
        <f aca="false">IF(AG150=0,"",IF(PFYDate&lt;AH150,-1,12*(YEAR(PFYDate)-YEAR(AH150))+MONTH(PFYDate)-MONTH(AH150)-IF(DAY(PFYDate)&lt;MIN(DAY(AH150),DAY(EOMONTH(PFYDate,0))),1,0)))</f>
        <v/>
      </c>
      <c r="AX150" s="14" t="str">
        <f aca="false">IF(AG150=0,"",IF(OR(AI150&lt;2,AK150&gt;PFYDate),AW150,IF((AK150-1)&lt;AH150,-1,12*(YEAR((AK150-1))-YEAR(AH150))+MONTH((AK150-1))-MONTH(AH150)-IF(DAY((AK150-1))&lt;MIN(DAY(AH150),DAY(EOMONTH((AK150-1),0))),1,0))))</f>
        <v/>
      </c>
      <c r="AY150" s="14" t="str">
        <f aca="false">IF(AG150=0,"",IF(OR(AI150&lt;3,AL150&gt;PFYDate),AW150,IF((AL150-1)&lt;AH150,-1,12*(YEAR((AL150-1))-YEAR(AH150))+MONTH((AL150-1))-MONTH(AH150)-IF(DAY((AL150-1))&lt;MIN(DAY(AH150),DAY(EOMONTH((AL150-1),0))),1,0))))</f>
        <v/>
      </c>
      <c r="AZ150" s="14" t="str">
        <f aca="false">IF(AG150=0,"",IF(AP150="FT",IF(AU150&lt;FT_First,0,IF(AU150&lt;FT_Y5,1+INT((AU150-FT_First)/FT_Int1),FT_PreY5+FT_PerYear*INT((AU150-FT_Y5)/12)+FT_AnnivDays+INT(MOD(AU150-FT_Y5,12)/FT_Int2))),IF(AP150="PT",IF(AU150&lt;PT_First,0,1+INT((AU150-PT_First)/PT_Int)),0))+IF(AND(AI150&gt;=2,AK150&lt;=AsOfDate),IF(AQ150="FT",IF(AV150&lt;FT_First,0,IF(AV150&lt;FT_Y5,1+INT((AV150-FT_First)/FT_Int1),FT_PreY5+FT_PerYear*INT((AV150-FT_Y5)/12)+FT_AnnivDays+INT(MOD(AV150-FT_Y5,12)/FT_Int2))),IF(AQ150="PT",IF(AV150&lt;PT_First,0,1+INT((AV150-PT_First)/PT_Int)),0))-IF(AQ150="FT",IF(AU150&lt;FT_First,0,IF(AU150&lt;FT_Y5,1+INT((AU150-FT_First)/FT_Int1),FT_PreY5+FT_PerYear*INT((AU150-FT_Y5)/12)+FT_AnnivDays+INT(MOD(AU150-FT_Y5,12)/FT_Int2))),IF(AQ150="PT",IF(AU150&lt;PT_First,0,1+INT((AU150-PT_First)/PT_Int)),0)),0)+IF(AND(AI150&gt;=3,AL150&lt;=AsOfDate),IF(AR150="FT",IF(AT150&lt;FT_First,0,IF(AT150&lt;FT_Y5,1+INT((AT150-FT_First)/FT_Int1),FT_PreY5+FT_PerYear*INT((AT150-FT_Y5)/12)+FT_AnnivDays+INT(MOD(AT150-FT_Y5,12)/FT_Int2))),IF(AR150="PT",IF(AT150&lt;PT_First,0,1+INT((AT150-PT_First)/PT_Int)),0))-IF(AR150="FT",IF(AV150&lt;FT_First,0,IF(AV150&lt;FT_Y5,1+INT((AV150-FT_First)/FT_Int1),FT_PreY5+FT_PerYear*INT((AV150-FT_Y5)/12)+FT_AnnivDays+INT(MOD(AV150-FT_Y5,12)/FT_Int2))),IF(AR150="PT",IF(AV150&lt;PT_First,0,1+INT((AV150-PT_First)/PT_Int)),0)),0))</f>
        <v/>
      </c>
      <c r="BA150" s="14" t="str">
        <f aca="false">IF(AG150=0,"",IF(AP150="FT",IF(AX150&lt;FT_First,0,IF(AX150&lt;FT_Y5,1+INT((AX150-FT_First)/FT_Int1),FT_PreY5+FT_PerYear*INT((AX150-FT_Y5)/12)+FT_AnnivDays+INT(MOD(AX150-FT_Y5,12)/FT_Int2))),IF(AP150="PT",IF(AX150&lt;PT_First,0,1+INT((AX150-PT_First)/PT_Int)),0))+IF(AND(AI150&gt;=2,AK150&lt;=PFYDate),IF(AQ150="FT",IF(AY150&lt;FT_First,0,IF(AY150&lt;FT_Y5,1+INT((AY150-FT_First)/FT_Int1),FT_PreY5+FT_PerYear*INT((AY150-FT_Y5)/12)+FT_AnnivDays+INT(MOD(AY150-FT_Y5,12)/FT_Int2))),IF(AQ150="PT",IF(AY150&lt;PT_First,0,1+INT((AY150-PT_First)/PT_Int)),0))-IF(AQ150="FT",IF(AX150&lt;FT_First,0,IF(AX150&lt;FT_Y5,1+INT((AX150-FT_First)/FT_Int1),FT_PreY5+FT_PerYear*INT((AX150-FT_Y5)/12)+FT_AnnivDays+INT(MOD(AX150-FT_Y5,12)/FT_Int2))),IF(AQ150="PT",IF(AX150&lt;PT_First,0,1+INT((AX150-PT_First)/PT_Int)),0)),0)+IF(AND(AI150&gt;=3,AL150&lt;=PFYDate),IF(AR150="FT",IF(AW150&lt;FT_First,0,IF(AW150&lt;FT_Y5,1+INT((AW150-FT_First)/FT_Int1),FT_PreY5+FT_PerYear*INT((AW150-FT_Y5)/12)+FT_AnnivDays+INT(MOD(AW150-FT_Y5,12)/FT_Int2))),IF(AR150="PT",IF(AW150&lt;PT_First,0,1+INT((AW150-PT_First)/PT_Int)),0))-IF(AR150="FT",IF(AY150&lt;FT_First,0,IF(AY150&lt;FT_Y5,1+INT((AY150-FT_First)/FT_Int1),FT_PreY5+FT_PerYear*INT((AY150-FT_Y5)/12)+FT_AnnivDays+INT(MOD(AY150-FT_Y5,12)/FT_Int2))),IF(AR150="PT",IF(AY150&lt;PT_First,0,1+INT((AY150-PT_First)/PT_Int)),0)),0))</f>
        <v/>
      </c>
      <c r="BB150" s="14" t="str">
        <f aca="false">IF(AG150=0,"",IF(AS150="FT",IF(AT150&lt;FT_First,FT_First,IF(AT150&lt;FT_Y5,MIN(FT_Y5,FT_First+FT_Int1*(INT((AT150-FT_First)/FT_Int1)+1)),FT_Y5+12*INT((AT150-FT_Y5)/12)+FT_Int2*(INT(MOD(AT150-FT_Y5,12)/FT_Int2)+1))),IF(AS150="PT",IF(AT150&lt;PT_First,PT_First,PT_First+PT_Int*(INT((AT150-PT_First)/PT_Int)+1)),"")))</f>
        <v/>
      </c>
      <c r="BC150" s="14" t="str">
        <f aca="false">IF(AG150=0,"",IF(NOT(LH_Ready),0,COUNTIFS(INDEX(LH_Data,0,LH_ColFirst),$A150,INDEX(LH_Data,0,LH_ColSur),$B150,INDEX(LH_Data,0,LH_ColCat),BonusCat)))</f>
        <v/>
      </c>
      <c r="BD150" s="14" t="str">
        <f aca="false">IF(AG150=0,"",IF(OR(NOT(LH_Ready),BC150=0),0,SUMPRODUCT(MAX((INDEX(LH_Data,0,LH_ColFirst)=$A150)*(INDEX(LH_Data,0,LH_ColSur)=$B150)*(INDEX(LH_Data,0,LH_ColCat)=BonusCat)*ROW(LH_Data)))))</f>
        <v/>
      </c>
      <c r="BE150" s="14" t="str">
        <f aca="false">IF(AG150=0,"",IF(EOMONTH(AsOfDate,-1)&lt;AH150,-1,12*(YEAR(EOMONTH(AsOfDate,-1))-YEAR(AH150))+MONTH(EOMONTH(AsOfDate,-1))-MONTH(AH150)-IF(DAY(EOMONTH(AsOfDate,-1))&lt;MIN(DAY(AH150),DAY(EOMONTH(EOMONTH(AsOfDate,-1),0))),1,0)))</f>
        <v/>
      </c>
      <c r="BF150" s="14" t="str">
        <f aca="false">IF(AG150=0,"",IF(OR(AI150&lt;2,AK150&gt;EOMONTH(AsOfDate,-1)),BE150,IF((AK150-1)&lt;AH150,-1,12*(YEAR((AK150-1))-YEAR(AH150))+MONTH((AK150-1))-MONTH(AH150)-IF(DAY((AK150-1))&lt;MIN(DAY(AH150),DAY(EOMONTH((AK150-1),0))),1,0))))</f>
        <v/>
      </c>
      <c r="BG150" s="14" t="str">
        <f aca="false">IF(AG150=0,"",IF(OR(AI150&lt;3,AL150&gt;EOMONTH(AsOfDate,-1)),BE150,IF((AL150-1)&lt;AH150,-1,12*(YEAR((AL150-1))-YEAR(AH150))+MONTH((AL150-1))-MONTH(AH150)-IF(DAY((AL150-1))&lt;MIN(DAY(AH150),DAY(EOMONTH((AL150-1),0))),1,0))))</f>
        <v/>
      </c>
      <c r="BH150" s="14" t="str">
        <f aca="false">IF(AG150=0,"",IF(AP150="FT",IF(BF150&lt;FT_First,0,IF(BF150&lt;FT_Y5,1+INT((BF150-FT_First)/FT_Int1),FT_PreY5+FT_PerYear*INT((BF150-FT_Y5)/12)+FT_AnnivDays+INT(MOD(BF150-FT_Y5,12)/FT_Int2))),IF(AP150="PT",IF(BF150&lt;PT_First,0,1+INT((BF150-PT_First)/PT_Int)),0))+IF(AND(AI150&gt;=2,AK150&lt;=EOMONTH(AsOfDate,-1)),IF(AQ150="FT",IF(BG150&lt;FT_First,0,IF(BG150&lt;FT_Y5,1+INT((BG150-FT_First)/FT_Int1),FT_PreY5+FT_PerYear*INT((BG150-FT_Y5)/12)+FT_AnnivDays+INT(MOD(BG150-FT_Y5,12)/FT_Int2))),IF(AQ150="PT",IF(BG150&lt;PT_First,0,1+INT((BG150-PT_First)/PT_Int)),0))-IF(AQ150="FT",IF(BF150&lt;FT_First,0,IF(BF150&lt;FT_Y5,1+INT((BF150-FT_First)/FT_Int1),FT_PreY5+FT_PerYear*INT((BF150-FT_Y5)/12)+FT_AnnivDays+INT(MOD(BF150-FT_Y5,12)/FT_Int2))),IF(AQ150="PT",IF(BF150&lt;PT_First,0,1+INT((BF150-PT_First)/PT_Int)),0)),0)+IF(AND(AI150&gt;=3,AL150&lt;=EOMONTH(AsOfDate,-1)),IF(AR150="FT",IF(BE150&lt;FT_First,0,IF(BE150&lt;FT_Y5,1+INT((BE150-FT_First)/FT_Int1),FT_PreY5+FT_PerYear*INT((BE150-FT_Y5)/12)+FT_AnnivDays+INT(MOD(BE150-FT_Y5,12)/FT_Int2))),IF(AR150="PT",IF(BE150&lt;PT_First,0,1+INT((BE150-PT_First)/PT_Int)),0))-IF(AR150="FT",IF(BG150&lt;FT_First,0,IF(BG150&lt;FT_Y5,1+INT((BG150-FT_First)/FT_Int1),FT_PreY5+FT_PerYear*INT((BG150-FT_Y5)/12)+FT_AnnivDays+INT(MOD(BG150-FT_Y5,12)/FT_Int2))),IF(AR150="PT",IF(BG150&lt;PT_First,0,1+INT((BG150-PT_First)/PT_Int)),0)),0))</f>
        <v/>
      </c>
      <c r="BI150" s="14" t="str">
        <f aca="false">IF(AG150=0,"",IF(AS150="FT",IF(AT150&lt;FT_First,"",IF(AT150&lt;FT_Y5,FT_First+FT_Int1*INT((AT150-FT_First)/FT_Int1),FT_Y5+FT_Int2*INT((AT150-FT_Y5)/FT_Int2))),IF(AS150="PT",IF(AT150&lt;PT_First,"",PT_First+PT_Int*INT((AT150-PT_First)/PT_Int)),"")))</f>
        <v/>
      </c>
      <c r="BJ150" s="0" t="str">
        <f aca="false">IF(LEN($A150&amp;$B150)=0,"",$A150&amp;" "&amp;$B150)</f>
        <v/>
      </c>
    </row>
    <row r="151" customFormat="false" ht="15" hidden="false" customHeight="false" outlineLevel="0" collapsed="false">
      <c r="A151" s="10"/>
      <c r="B151" s="10"/>
      <c r="C151" s="10"/>
      <c r="D151" s="11"/>
      <c r="E151" s="12" t="str">
        <f aca="false">IF(OR(AG151=0,$D151=""),"",DATE(YEAR(AsOfDate)+IF(DATE(YEAR(AsOfDate),MONTH($D151),DAY($D151))&lt;=AsOfDate,1,0),MONTH($D151),DAY($D151)))</f>
        <v/>
      </c>
      <c r="F151" s="11"/>
      <c r="G151" s="11"/>
      <c r="H151" s="11"/>
      <c r="I151" s="11"/>
      <c r="J151" s="11"/>
      <c r="K151" s="12" t="str">
        <f aca="false">IF(AG151=0,"",DATE(YEAR(AsOfDate)+IF(DATE(YEAR(AsOfDate),MONTH(AH151),DAY(AH151))&lt;=AsOfDate,1,0),MONTH(AH151),DAY(AH151)))</f>
        <v/>
      </c>
      <c r="L151" s="13" t="str">
        <f aca="false">IF(AG151=0,"",ROUND((AsOfDate-AH151)/365.25,1))</f>
        <v/>
      </c>
      <c r="M151" s="14" t="str">
        <f aca="false">IF(AG151=0,"",IF(AsOfDate&lt;AH151,"-",DATEDIF(AH151,AsOfDate,"y")&amp;"y "&amp;DATEDIF(AH151,AsOfDate,"ym")&amp;"m "&amp;DATEDIF(AH151,AsOfDate,"md")&amp;"d"))</f>
        <v/>
      </c>
      <c r="N151" s="15" t="str">
        <f aca="false">IF(AG151=0,"",O151*HoursPerDay)</f>
        <v/>
      </c>
      <c r="O151" s="15" t="str">
        <f aca="false">IF(AG151=0,"",AZ151)</f>
        <v/>
      </c>
      <c r="P151" s="16"/>
      <c r="Q151" s="14" t="str">
        <f aca="false">IF(AG151=0,"",IF(AI151&lt;2,"",AM151&amp;" to "&amp;AN151&amp;" on "&amp;TEXT(AK151,"dd/mm/yyyy")&amp;IF(AK151&gt;AsOfDate," (future)",IF(AP151=AQ151,"",IF(AQ151="None"," - STOPPED accruing",IF(AP151="None"," - commencement for Bonus Leave"," - pathway changed"))))&amp;IF(AI151&lt;3,"","; "&amp;AN151&amp;" to "&amp;AO151&amp;" on "&amp;TEXT(AL151,"dd/mm/yyyy")&amp;IF(AL151&gt;AsOfDate," (future)",IF(AQ151=AR151,"",IF(AR151="None"," - STOPPED accruing",IF(AQ151="None"," - commencement for Bonus Leave"," - pathway changed")))))))</f>
        <v/>
      </c>
      <c r="R151" s="14" t="str">
        <f aca="false">IF(AG151=0,"",IF(AS151="None",IF(O151&gt;0,"No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2" t="str">
        <f aca="false">IF(AG151=0,"",IF(AS151="None","",EDATE(AH151,BB151)))</f>
        <v/>
      </c>
      <c r="T151" s="15" t="str">
        <f aca="false">IF(AG151=0,"",IF(NOT(LH_Ready),"",IF(AH151&gt;PFYDate,0,IF(LH_ColPeriod=0,W151-U151+V151,SUMIFS(INDEX(LH_Data,0,LH_ColAcc),INDEX(LH_Data,0,LH_ColFirst),$A151,INDEX(LH_Data,0,LH_ColSur),$B151,INDEX(LH_Data,0,LH_ColCat),BonusCat,INDEX(LH_Data,0,LH_ColPeriod),LH_OpenLabel)*UnitFactor))))</f>
        <v/>
      </c>
      <c r="U151" s="15" t="str">
        <f aca="false">IF(AG151=0,"",IF(NOT(LH_Ready),"",SUMIFS(INDEX(LH_Data,0,LH_ColAcc),INDEX(LH_Data,0,LH_ColFirst),$A151,INDEX(LH_Data,0,LH_ColSur),$B151,INDEX(LH_Data,0,LH_ColCat),BonusCat,INDEX(LH_Data,0,LH_ColStart),"&gt;="&amp;AH151)*UnitFactor))</f>
        <v/>
      </c>
      <c r="V151" s="15" t="str">
        <f aca="false">IF(AG151=0,"",IF(NOT(LH_Ready),"",SUMIFS(INDEX(LH_Data,0,LH_ColTaken),INDEX(LH_Data,0,LH_ColFirst),$A151,INDEX(LH_Data,0,LH_ColSur),$B151,INDEX(LH_Data,0,LH_ColCat),BonusCat,INDEX(LH_Data,0,LH_ColStart),"&gt;="&amp;AH151)*UnitFactor))</f>
        <v/>
      </c>
      <c r="W151" s="15" t="str">
        <f aca="false">IF(AG151=0,"",IF(NOT(LH_Ready),"",IF(BD151=0,0,INDEX(INDEX(LH_Data,0,LH_ColClose),BD151-1)*UnitFactor)))</f>
        <v/>
      </c>
      <c r="X151" s="15" t="str">
        <f aca="false">IF(AG151=0,"",(AZ151-BA151)*HoursPerDay)</f>
        <v/>
      </c>
      <c r="Y151" s="15" t="str">
        <f aca="false">IF(AG151=0,"",IF(NOT(LH_Ready),"",IF(BC151=0,N151,IF(PFYDate&lt;$F151,N151-N(T151)-N(U151),X151-N(U151)))))</f>
        <v/>
      </c>
      <c r="Z151" s="14" t="str">
        <f aca="false">IF(OR(AG151=0,Y151=""),"",IF(Y151&gt;0,"Yes","No"))</f>
        <v/>
      </c>
      <c r="AA151" s="14" t="str">
        <f aca="false">IF(AG151=0,IF(LEN($A151&amp;$B151)=0,"","FIX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month")&amp;IF(BC151=0,";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EH)",""),IF(AS151="None",R151,"Not yet - first day on "&amp;TEXT(S151,"dd/mm/yyyy")))))))))</f>
        <v/>
      </c>
      <c r="AB151" s="15" t="str">
        <f aca="false">IF(OR(AG151=0,T151=""),"",BA151*HoursPerDay-T151)</f>
        <v/>
      </c>
      <c r="AC151" s="14" t="str">
        <f aca="false">IF(AG151=0,"",BC151)</f>
        <v/>
      </c>
      <c r="AD151" s="14" t="str">
        <f aca="false">IF(AG151=0,"",TRIM(IF(OR(ISTEXT($F151),ISTEXT($H151),ISTEXT($I151),ISTEXT($G151),ISTEXT($J151),ISTEXT($D151)),"A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I151&gt;=1,IF(AI151&gt;=3,AO151,IF(AI151=2,AN151,AM151))&lt;&gt;IF($C151="","",IF(OR(ISNUMBER(SEARCH("full",$C151)),UPPER(TRIM($C151))="FT",UPPER(TRIM($C151))="FTE"),"Full-Time",IF(OR(ISNUMBER(SEARCH("part",$C151)),UPPER(TRIM($C151))="PT",UPPER(TRIM($C151))="PTE"),"Part-Time",IF(OR(ISNUMBER(SEARCH("cas",$C151)),UPPER(TRIM($C151))="CAS"),"Casual","Unknown"))))),"EmploymentType does not match latest start date ("&amp;IF(AI151&gt;=3,AO151,IF(AI151=2,AN151,AM151))&amp;"). ","")&amp;IF(AND(AI151&gt;=1,AJ151&lt;&gt;$F151),"Earliest type date should equal StartDate. ","")&amp;IF(AND(AI151&gt;=2,AJ151=AK151),"Two types start on the same date. ","")&amp;IF(AND(OR(ISNUMBER(SEARCH("part",$C151)),UPPER(TRIM($C151))="PT",UPPER(TRIM($C151))="PTE"),$P151=""),"Part-time: enter PT Hrs/Week (blank = 24+). ","")))</f>
        <v/>
      </c>
      <c r="AE151" s="15" t="str">
        <f aca="false">IF(AG151=0,"",O151-BH151)</f>
        <v/>
      </c>
      <c r="AF151" s="12" t="str">
        <f aca="false">IF(OR(AG151=0,AE151="",N(AE151)=0,BI151=""),"",EDATE(AH151,BI151))</f>
        <v/>
      </c>
      <c r="AG151" s="14" t="n">
        <f aca="false">IF(OR(LEN($A151&amp;$B151)=0,$F151=""),0,1)</f>
        <v>0</v>
      </c>
      <c r="AH151" s="12" t="str">
        <f aca="false">IF(AG151=0,"",IF($J151&lt;&gt;"",$J151,IF(OR(CasualCounts="Yes",COUNT($G151:$I151)=0,COUNT($H151:$I151)=0),$F151,MIN($H151:$I151))))</f>
        <v/>
      </c>
      <c r="AI151" s="14" t="str">
        <f aca="false">IF(AG151=0,"",COUNT($G151:$I151))</f>
        <v/>
      </c>
      <c r="AJ151" s="12" t="str">
        <f aca="false">IF(AG151=0,"",IFERROR(SMALL($G151:$I151,1),""))</f>
        <v/>
      </c>
      <c r="AK151" s="12" t="str">
        <f aca="false">IF(AG151=0,"",IFERROR(SMALL($G151:$I151,2),""))</f>
        <v/>
      </c>
      <c r="AL151" s="12" t="str">
        <f aca="false">IF(AG151=0,"",IFERROR(SMALL($G151:$I151,3),""))</f>
        <v/>
      </c>
      <c r="AM151" s="14" t="str">
        <f aca="false">IF(AG151=0,"",IF(AJ151="","",IF(AJ151=$H151,"Part-Time",IF(AJ151=$I151,"Full-Time","Casual"))))</f>
        <v/>
      </c>
      <c r="AN151" s="14" t="str">
        <f aca="false">IF(AG151=0,"",IF(AK151="","",IF(AK151=$H151,"Part-Time",IF(AK151=$I151,"Full-Time","Casual"))))</f>
        <v/>
      </c>
      <c r="AO151" s="14" t="str">
        <f aca="false">IF(AG151=0,"",IF(AL151="","",IF(AL151=$H151,"Part-Time",IF(AL151=$I151,"Full-Time","Casual"))))</f>
        <v/>
      </c>
      <c r="AP151" s="14" t="str">
        <f aca="false">IF(AG151=0,"",IF(AI151=0,IF(OR(ISNUMBER(SEARCH("full",$C151)),UPPER(TRIM($C151))="FT",UPPER(TRIM($C151))="FTE"),"FT",IF(AND(OR(ISNUMBER(SEARCH("part",$C151)),UPPER(TRIM($C151))="PT",UPPER(TRIM($C151))="PTE"),OR($P151="",N($P151)&gt;=PT_MinHours)),"PT","None")),IF(OR(ISNUMBER(SEARCH("full",AM151)),UPPER(TRIM(AM151))="FT",UPPER(TRIM(AM151))="FTE"),"FT",IF(AND(OR(ISNUMBER(SEARCH("part",AM151)),UPPER(TRIM(AM151))="PT",UPPER(TRIM(AM151))="PTE"),OR($P151="",N($P151)&gt;=PT_MinHours)),"PT","None"))))</f>
        <v/>
      </c>
      <c r="AQ151" s="14" t="str">
        <f aca="false">IF(AG151=0,"",IF(AI151&lt;2,"",IF(OR(ISNUMBER(SEARCH("full",AN151)),UPPER(TRIM(AN151))="FT",UPPER(TRIM(AN151))="FTE"),"FT",IF(AND(OR(ISNUMBER(SEARCH("part",AN151)),UPPER(TRIM(AN151))="PT",UPPER(TRIM(AN151))="PTE"),OR($P151="",N($P151)&gt;=PT_MinHours)),"PT","None"))))</f>
        <v/>
      </c>
      <c r="AR151" s="14" t="str">
        <f aca="false">IF(AG151=0,"",IF(AI151&lt;3,"",IF(OR(ISNUMBER(SEARCH("full",AO151)),UPPER(TRIM(AO151))="FT",UPPER(TRIM(AO151))="FTE"),"FT",IF(AND(OR(ISNUMBER(SEARCH("part",AO151)),UPPER(TRIM(AO151))="PT",UPPER(TRIM(AO151))="PTE"),OR($P151="",N($P151)&gt;=PT_MinHours)),"PT","None"))))</f>
        <v/>
      </c>
      <c r="AS151" s="14" t="str">
        <f aca="false">IF(AG151=0,"",IF(AND(AI151&gt;=3,AL151&lt;=AsOfDate),AR151,IF(AND(AI151&gt;=2,AK151&lt;=AsOfDate),AQ151,AP151)))</f>
        <v/>
      </c>
      <c r="AT151" s="14" t="str">
        <f aca="false">IF(AG151=0,"",IF(AsOfDate&lt;AH151,-1,12*(YEAR(AsOfDate)-YEAR(AH151))+MONTH(AsOfDate)-MONTH(AH151)-IF(DAY(AsOfDate)&lt;MIN(DAY(AH151),DAY(EOMONTH(AsOfDate,0))),1,0)))</f>
        <v/>
      </c>
      <c r="AU151" s="14" t="str">
        <f aca="false">IF(AG151=0,"",IF(OR(AI151&lt;2,AK151&gt;AsOfDate),AT151,IF((AK151-1)&lt;AH151,-1,12*(YEAR((AK151-1))-YEAR(AH151))+MONTH((AK151-1))-MONTH(AH151)-IF(DAY((AK151-1))&lt;MIN(DAY(AH151),DAY(EOMONTH((AK151-1),0))),1,0))))</f>
        <v/>
      </c>
      <c r="AV151" s="14" t="str">
        <f aca="false">IF(AG151=0,"",IF(OR(AI151&lt;3,AL151&gt;AsOfDate),AT151,IF((AL151-1)&lt;AH151,-1,12*(YEAR((AL151-1))-YEAR(AH151))+MONTH((AL151-1))-MONTH(AH151)-IF(DAY((AL151-1))&lt;MIN(DAY(AH151),DAY(EOMONTH((AL151-1),0))),1,0))))</f>
        <v/>
      </c>
      <c r="AW151" s="14" t="str">
        <f aca="false">IF(AG151=0,"",IF(PFYDate&lt;AH151,-1,12*(YEAR(PFYDate)-YEAR(AH151))+MONTH(PFYDate)-MONTH(AH151)-IF(DAY(PFYDate)&lt;MIN(DAY(AH151),DAY(EOMONTH(PFYDate,0))),1,0)))</f>
        <v/>
      </c>
      <c r="AX151" s="14" t="str">
        <f aca="false">IF(AG151=0,"",IF(OR(AI151&lt;2,AK151&gt;PFYDate),AW151,IF((AK151-1)&lt;AH151,-1,12*(YEAR((AK151-1))-YEAR(AH151))+MONTH((AK151-1))-MONTH(AH151)-IF(DAY((AK151-1))&lt;MIN(DAY(AH151),DAY(EOMONTH((AK151-1),0))),1,0))))</f>
        <v/>
      </c>
      <c r="AY151" s="14" t="str">
        <f aca="false">IF(AG151=0,"",IF(OR(AI151&lt;3,AL151&gt;PFYDate),AW151,IF((AL151-1)&lt;AH151,-1,12*(YEAR((AL151-1))-YEAR(AH151))+MONTH((AL151-1))-MONTH(AH151)-IF(DAY((AL151-1))&lt;MIN(DAY(AH151),DAY(EOMONTH((AL151-1),0))),1,0))))</f>
        <v/>
      </c>
      <c r="AZ151" s="14" t="str">
        <f aca="false">IF(AG151=0,"",IF(AP151="FT",IF(AU151&lt;FT_First,0,IF(AU151&lt;FT_Y5,1+INT((AU151-FT_First)/FT_Int1),FT_PreY5+FT_PerYear*INT((AU151-FT_Y5)/12)+FT_AnnivDays+INT(MOD(AU151-FT_Y5,12)/FT_Int2))),IF(AP151="PT",IF(AU151&lt;PT_First,0,1+INT((AU151-PT_First)/PT_Int)),0))+IF(AND(AI151&gt;=2,AK151&lt;=AsOfDate),IF(AQ151="FT",IF(AV151&lt;FT_First,0,IF(AV151&lt;FT_Y5,1+INT((AV151-FT_First)/FT_Int1),FT_PreY5+FT_PerYear*INT((AV151-FT_Y5)/12)+FT_AnnivDays+INT(MOD(AV151-FT_Y5,12)/FT_Int2))),IF(AQ151="PT",IF(AV151&lt;PT_First,0,1+INT((AV151-PT_First)/PT_Int)),0))-IF(AQ151="FT",IF(AU151&lt;FT_First,0,IF(AU151&lt;FT_Y5,1+INT((AU151-FT_First)/FT_Int1),FT_PreY5+FT_PerYear*INT((AU151-FT_Y5)/12)+FT_AnnivDays+INT(MOD(AU151-FT_Y5,12)/FT_Int2))),IF(AQ151="PT",IF(AU151&lt;PT_First,0,1+INT((AU151-PT_First)/PT_Int)),0)),0)+IF(AND(AI151&gt;=3,AL151&lt;=AsOfDate),IF(AR151="FT",IF(AT151&lt;FT_First,0,IF(AT151&lt;FT_Y5,1+INT((AT151-FT_First)/FT_Int1),FT_PreY5+FT_PerYear*INT((AT151-FT_Y5)/12)+FT_AnnivDays+INT(MOD(AT151-FT_Y5,12)/FT_Int2))),IF(AR151="PT",IF(AT151&lt;PT_First,0,1+INT((AT151-PT_First)/PT_Int)),0))-IF(AR151="FT",IF(AV151&lt;FT_First,0,IF(AV151&lt;FT_Y5,1+INT((AV151-FT_First)/FT_Int1),FT_PreY5+FT_PerYear*INT((AV151-FT_Y5)/12)+FT_AnnivDays+INT(MOD(AV151-FT_Y5,12)/FT_Int2))),IF(AR151="PT",IF(AV151&lt;PT_First,0,1+INT((AV151-PT_First)/PT_Int)),0)),0))</f>
        <v/>
      </c>
      <c r="BA151" s="14" t="str">
        <f aca="false">IF(AG151=0,"",IF(AP151="FT",IF(AX151&lt;FT_First,0,IF(AX151&lt;FT_Y5,1+INT((AX151-FT_First)/FT_Int1),FT_PreY5+FT_PerYear*INT((AX151-FT_Y5)/12)+FT_AnnivDays+INT(MOD(AX151-FT_Y5,12)/FT_Int2))),IF(AP151="PT",IF(AX151&lt;PT_First,0,1+INT((AX151-PT_First)/PT_Int)),0))+IF(AND(AI151&gt;=2,AK151&lt;=PFYDate),IF(AQ151="FT",IF(AY151&lt;FT_First,0,IF(AY151&lt;FT_Y5,1+INT((AY151-FT_First)/FT_Int1),FT_PreY5+FT_PerYear*INT((AY151-FT_Y5)/12)+FT_AnnivDays+INT(MOD(AY151-FT_Y5,12)/FT_Int2))),IF(AQ151="PT",IF(AY151&lt;PT_First,0,1+INT((AY151-PT_First)/PT_Int)),0))-IF(AQ151="FT",IF(AX151&lt;FT_First,0,IF(AX151&lt;FT_Y5,1+INT((AX151-FT_First)/FT_Int1),FT_PreY5+FT_PerYear*INT((AX151-FT_Y5)/12)+FT_AnnivDays+INT(MOD(AX151-FT_Y5,12)/FT_Int2))),IF(AQ151="PT",IF(AX151&lt;PT_First,0,1+INT((AX151-PT_First)/PT_Int)),0)),0)+IF(AND(AI151&gt;=3,AL151&lt;=PFYDate),IF(AR151="FT",IF(AW151&lt;FT_First,0,IF(AW151&lt;FT_Y5,1+INT((AW151-FT_First)/FT_Int1),FT_PreY5+FT_PerYear*INT((AW151-FT_Y5)/12)+FT_AnnivDays+INT(MOD(AW151-FT_Y5,12)/FT_Int2))),IF(AR151="PT",IF(AW151&lt;PT_First,0,1+INT((AW151-PT_First)/PT_Int)),0))-IF(AR151="FT",IF(AY151&lt;FT_First,0,IF(AY151&lt;FT_Y5,1+INT((AY151-FT_First)/FT_Int1),FT_PreY5+FT_PerYear*INT((AY151-FT_Y5)/12)+FT_AnnivDays+INT(MOD(AY151-FT_Y5,12)/FT_Int2))),IF(AR151="PT",IF(AY151&lt;PT_First,0,1+INT((AY151-PT_First)/PT_Int)),0)),0))</f>
        <v/>
      </c>
      <c r="BB151" s="14" t="str">
        <f aca="false">IF(AG151=0,"",IF(AS151="FT",IF(AT151&lt;FT_First,FT_First,IF(AT151&lt;FT_Y5,MIN(FT_Y5,FT_First+FT_Int1*(INT((AT151-FT_First)/FT_Int1)+1)),FT_Y5+12*INT((AT151-FT_Y5)/12)+FT_Int2*(INT(MOD(AT151-FT_Y5,12)/FT_Int2)+1))),IF(AS151="PT",IF(AT151&lt;PT_First,PT_First,PT_First+PT_Int*(INT((AT151-PT_First)/PT_Int)+1)),"")))</f>
        <v/>
      </c>
      <c r="BC151" s="14" t="str">
        <f aca="false">IF(AG151=0,"",IF(NOT(LH_Ready),0,COUNTIFS(INDEX(LH_Data,0,LH_ColFirst),$A151,INDEX(LH_Data,0,LH_ColSur),$B151,INDEX(LH_Data,0,LH_ColCat),BonusCat)))</f>
        <v/>
      </c>
      <c r="BD151" s="14" t="str">
        <f aca="false">IF(AG151=0,"",IF(OR(NOT(LH_Ready),BC151=0),0,SUMPRODUCT(MAX((INDEX(LH_Data,0,LH_ColFirst)=$A151)*(INDEX(LH_Data,0,LH_ColSur)=$B151)*(INDEX(LH_Data,0,LH_ColCat)=BonusCat)*ROW(LH_Data)))))</f>
        <v/>
      </c>
      <c r="BE151" s="14" t="str">
        <f aca="false">IF(AG151=0,"",IF(EOMONTH(AsOfDate,-1)&lt;AH151,-1,12*(YEAR(EOMONTH(AsOfDate,-1))-YEAR(AH151))+MONTH(EOMONTH(AsOfDate,-1))-MONTH(AH151)-IF(DAY(EOMONTH(AsOfDate,-1))&lt;MIN(DAY(AH151),DAY(EOMONTH(EOMONTH(AsOfDate,-1),0))),1,0)))</f>
        <v/>
      </c>
      <c r="BF151" s="14" t="str">
        <f aca="false">IF(AG151=0,"",IF(OR(AI151&lt;2,AK151&gt;EOMONTH(AsOfDate,-1)),BE151,IF((AK151-1)&lt;AH151,-1,12*(YEAR((AK151-1))-YEAR(AH151))+MONTH((AK151-1))-MONTH(AH151)-IF(DAY((AK151-1))&lt;MIN(DAY(AH151),DAY(EOMONTH((AK151-1),0))),1,0))))</f>
        <v/>
      </c>
      <c r="BG151" s="14" t="str">
        <f aca="false">IF(AG151=0,"",IF(OR(AI151&lt;3,AL151&gt;EOMONTH(AsOfDate,-1)),BE151,IF((AL151-1)&lt;AH151,-1,12*(YEAR((AL151-1))-YEAR(AH151))+MONTH((AL151-1))-MONTH(AH151)-IF(DAY((AL151-1))&lt;MIN(DAY(AH151),DAY(EOMONTH((AL151-1),0))),1,0))))</f>
        <v/>
      </c>
      <c r="BH151" s="14" t="str">
        <f aca="false">IF(AG151=0,"",IF(AP151="FT",IF(BF151&lt;FT_First,0,IF(BF151&lt;FT_Y5,1+INT((BF151-FT_First)/FT_Int1),FT_PreY5+FT_PerYear*INT((BF151-FT_Y5)/12)+FT_AnnivDays+INT(MOD(BF151-FT_Y5,12)/FT_Int2))),IF(AP151="PT",IF(BF151&lt;PT_First,0,1+INT((BF151-PT_First)/PT_Int)),0))+IF(AND(AI151&gt;=2,AK151&lt;=EOMONTH(AsOfDate,-1)),IF(AQ151="FT",IF(BG151&lt;FT_First,0,IF(BG151&lt;FT_Y5,1+INT((BG151-FT_First)/FT_Int1),FT_PreY5+FT_PerYear*INT((BG151-FT_Y5)/12)+FT_AnnivDays+INT(MOD(BG151-FT_Y5,12)/FT_Int2))),IF(AQ151="PT",IF(BG151&lt;PT_First,0,1+INT((BG151-PT_First)/PT_Int)),0))-IF(AQ151="FT",IF(BF151&lt;FT_First,0,IF(BF151&lt;FT_Y5,1+INT((BF151-FT_First)/FT_Int1),FT_PreY5+FT_PerYear*INT((BF151-FT_Y5)/12)+FT_AnnivDays+INT(MOD(BF151-FT_Y5,12)/FT_Int2))),IF(AQ151="PT",IF(BF151&lt;PT_First,0,1+INT((BF151-PT_First)/PT_Int)),0)),0)+IF(AND(AI151&gt;=3,AL151&lt;=EOMONTH(AsOfDate,-1)),IF(AR151="FT",IF(BE151&lt;FT_First,0,IF(BE151&lt;FT_Y5,1+INT((BE151-FT_First)/FT_Int1),FT_PreY5+FT_PerYear*INT((BE151-FT_Y5)/12)+FT_AnnivDays+INT(MOD(BE151-FT_Y5,12)/FT_Int2))),IF(AR151="PT",IF(BE151&lt;PT_First,0,1+INT((BE151-PT_First)/PT_Int)),0))-IF(AR151="FT",IF(BG151&lt;FT_First,0,IF(BG151&lt;FT_Y5,1+INT((BG151-FT_First)/FT_Int1),FT_PreY5+FT_PerYear*INT((BG151-FT_Y5)/12)+FT_AnnivDays+INT(MOD(BG151-FT_Y5,12)/FT_Int2))),IF(AR151="PT",IF(BG151&lt;PT_First,0,1+INT((BG151-PT_First)/PT_Int)),0)),0))</f>
        <v/>
      </c>
      <c r="BI151" s="14" t="str">
        <f aca="false">IF(AG151=0,"",IF(AS151="FT",IF(AT151&lt;FT_First,"",IF(AT151&lt;FT_Y5,FT_First+FT_Int1*INT((AT151-FT_First)/FT_Int1),FT_Y5+FT_Int2*INT((AT151-FT_Y5)/FT_Int2))),IF(AS151="PT",IF(AT151&lt;PT_First,"",PT_First+PT_Int*INT((AT151-PT_First)/PT_Int)),"")))</f>
        <v/>
      </c>
      <c r="BJ151" s="0" t="str">
        <f aca="false">IF(LEN($A151&amp;$B151)=0,"",$A151&amp;" "&amp;$B151)</f>
        <v/>
      </c>
    </row>
    <row r="152" customFormat="false" ht="15" hidden="false" customHeight="false" outlineLevel="0" collapsed="false">
      <c r="A152" s="10"/>
      <c r="B152" s="10"/>
      <c r="C152" s="10"/>
      <c r="D152" s="11"/>
      <c r="E152" s="12" t="str">
        <f aca="false">IF(OR(AG152=0,$D152=""),"",DATE(YEAR(AsOfDate)+IF(DATE(YEAR(AsOfDate),MONTH($D152),DAY($D152))&lt;=AsOfDate,1,0),MONTH($D152),DAY($D152)))</f>
        <v/>
      </c>
      <c r="F152" s="11"/>
      <c r="G152" s="11"/>
      <c r="H152" s="11"/>
      <c r="I152" s="11"/>
      <c r="J152" s="11"/>
      <c r="K152" s="12" t="str">
        <f aca="false">IF(AG152=0,"",DATE(YEAR(AsOfDate)+IF(DATE(YEAR(AsOfDate),MONTH(AH152),DAY(AH152))&lt;=AsOfDate,1,0),MONTH(AH152),DAY(AH152)))</f>
        <v/>
      </c>
      <c r="L152" s="13" t="str">
        <f aca="false">IF(AG152=0,"",ROUND((AsOfDate-AH152)/365.25,1))</f>
        <v/>
      </c>
      <c r="M152" s="14" t="str">
        <f aca="false">IF(AG152=0,"",IF(AsOfDate&lt;AH152,"-",DATEDIF(AH152,AsOfDate,"y")&amp;"y "&amp;DATEDIF(AH152,AsOfDate,"ym")&amp;"m "&amp;DATEDIF(AH152,AsOfDate,"md")&amp;"d"))</f>
        <v/>
      </c>
      <c r="N152" s="15" t="str">
        <f aca="false">IF(AG152=0,"",O152*HoursPerDay)</f>
        <v/>
      </c>
      <c r="O152" s="15" t="str">
        <f aca="false">IF(AG152=0,"",AZ152)</f>
        <v/>
      </c>
      <c r="P152" s="16"/>
      <c r="Q152" s="14" t="str">
        <f aca="false">IF(AG152=0,"",IF(AI152&lt;2,"",AM152&amp;" to "&amp;AN152&amp;" on "&amp;TEXT(AK152,"dd/mm/yyyy")&amp;IF(AK152&gt;AsOfDate," (future)",IF(AP152=AQ152,"",IF(AQ152="None"," - STOPPED accruing",IF(AP152="None"," - commencement for Bonus Leave"," - pathway changed"))))&amp;IF(AI152&lt;3,"","; "&amp;AN152&amp;" to "&amp;AO152&amp;" on "&amp;TEXT(AL152,"dd/mm/yyyy")&amp;IF(AL152&gt;AsOfDate," (future)",IF(AQ152=AR152,"",IF(AR152="None"," - STOPPED accruing",IF(AQ152="None"," - commencement for Bonus Leave"," - pathway changed")))))))</f>
        <v/>
      </c>
      <c r="R152" s="14" t="str">
        <f aca="false">IF(AG152=0,"",IF(AS152="None",IF(O152&gt;0,"No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2" t="str">
        <f aca="false">IF(AG152=0,"",IF(AS152="None","",EDATE(AH152,BB152)))</f>
        <v/>
      </c>
      <c r="T152" s="15" t="str">
        <f aca="false">IF(AG152=0,"",IF(NOT(LH_Ready),"",IF(AH152&gt;PFYDate,0,IF(LH_ColPeriod=0,W152-U152+V152,SUMIFS(INDEX(LH_Data,0,LH_ColAcc),INDEX(LH_Data,0,LH_ColFirst),$A152,INDEX(LH_Data,0,LH_ColSur),$B152,INDEX(LH_Data,0,LH_ColCat),BonusCat,INDEX(LH_Data,0,LH_ColPeriod),LH_OpenLabel)*UnitFactor))))</f>
        <v/>
      </c>
      <c r="U152" s="15" t="str">
        <f aca="false">IF(AG152=0,"",IF(NOT(LH_Ready),"",SUMIFS(INDEX(LH_Data,0,LH_ColAcc),INDEX(LH_Data,0,LH_ColFirst),$A152,INDEX(LH_Data,0,LH_ColSur),$B152,INDEX(LH_Data,0,LH_ColCat),BonusCat,INDEX(LH_Data,0,LH_ColStart),"&gt;="&amp;AH152)*UnitFactor))</f>
        <v/>
      </c>
      <c r="V152" s="15" t="str">
        <f aca="false">IF(AG152=0,"",IF(NOT(LH_Ready),"",SUMIFS(INDEX(LH_Data,0,LH_ColTaken),INDEX(LH_Data,0,LH_ColFirst),$A152,INDEX(LH_Data,0,LH_ColSur),$B152,INDEX(LH_Data,0,LH_ColCat),BonusCat,INDEX(LH_Data,0,LH_ColStart),"&gt;="&amp;AH152)*UnitFactor))</f>
        <v/>
      </c>
      <c r="W152" s="15" t="str">
        <f aca="false">IF(AG152=0,"",IF(NOT(LH_Ready),"",IF(BD152=0,0,INDEX(INDEX(LH_Data,0,LH_ColClose),BD152-1)*UnitFactor)))</f>
        <v/>
      </c>
      <c r="X152" s="15" t="str">
        <f aca="false">IF(AG152=0,"",(AZ152-BA152)*HoursPerDay)</f>
        <v/>
      </c>
      <c r="Y152" s="15" t="str">
        <f aca="false">IF(AG152=0,"",IF(NOT(LH_Ready),"",IF(BC152=0,N152,IF(PFYDate&lt;$F152,N152-N(T152)-N(U152),X152-N(U152)))))</f>
        <v/>
      </c>
      <c r="Z152" s="14" t="str">
        <f aca="false">IF(OR(AG152=0,Y152=""),"",IF(Y152&gt;0,"Yes","No"))</f>
        <v/>
      </c>
      <c r="AA152" s="14" t="str">
        <f aca="false">IF(AG152=0,IF(LEN($A152&amp;$B152)=0,"","FIX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month")&amp;IF(BC152=0,";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EH)",""),IF(AS152="None",R152,"Not yet - first day on "&amp;TEXT(S152,"dd/mm/yyyy")))))))))</f>
        <v/>
      </c>
      <c r="AB152" s="15" t="str">
        <f aca="false">IF(OR(AG152=0,T152=""),"",BA152*HoursPerDay-T152)</f>
        <v/>
      </c>
      <c r="AC152" s="14" t="str">
        <f aca="false">IF(AG152=0,"",BC152)</f>
        <v/>
      </c>
      <c r="AD152" s="14" t="str">
        <f aca="false">IF(AG152=0,"",TRIM(IF(OR(ISTEXT($F152),ISTEXT($H152),ISTEXT($I152),ISTEXT($G152),ISTEXT($J152),ISTEXT($D152)),"A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I152&gt;=1,IF(AI152&gt;=3,AO152,IF(AI152=2,AN152,AM152))&lt;&gt;IF($C152="","",IF(OR(ISNUMBER(SEARCH("full",$C152)),UPPER(TRIM($C152))="FT",UPPER(TRIM($C152))="FTE"),"Full-Time",IF(OR(ISNUMBER(SEARCH("part",$C152)),UPPER(TRIM($C152))="PT",UPPER(TRIM($C152))="PTE"),"Part-Time",IF(OR(ISNUMBER(SEARCH("cas",$C152)),UPPER(TRIM($C152))="CAS"),"Casual","Unknown"))))),"EmploymentType does not match latest start date ("&amp;IF(AI152&gt;=3,AO152,IF(AI152=2,AN152,AM152))&amp;"). ","")&amp;IF(AND(AI152&gt;=1,AJ152&lt;&gt;$F152),"Earliest type date should equal StartDate. ","")&amp;IF(AND(AI152&gt;=2,AJ152=AK152),"Two types start on the same date. ","")&amp;IF(AND(OR(ISNUMBER(SEARCH("part",$C152)),UPPER(TRIM($C152))="PT",UPPER(TRIM($C152))="PTE"),$P152=""),"Part-time: enter PT Hrs/Week (blank = 24+). ","")))</f>
        <v/>
      </c>
      <c r="AE152" s="15" t="str">
        <f aca="false">IF(AG152=0,"",O152-BH152)</f>
        <v/>
      </c>
      <c r="AF152" s="12" t="str">
        <f aca="false">IF(OR(AG152=0,AE152="",N(AE152)=0,BI152=""),"",EDATE(AH152,BI152))</f>
        <v/>
      </c>
      <c r="AG152" s="14" t="n">
        <f aca="false">IF(OR(LEN($A152&amp;$B152)=0,$F152=""),0,1)</f>
        <v>0</v>
      </c>
      <c r="AH152" s="12" t="str">
        <f aca="false">IF(AG152=0,"",IF($J152&lt;&gt;"",$J152,IF(OR(CasualCounts="Yes",COUNT($G152:$I152)=0,COUNT($H152:$I152)=0),$F152,MIN($H152:$I152))))</f>
        <v/>
      </c>
      <c r="AI152" s="14" t="str">
        <f aca="false">IF(AG152=0,"",COUNT($G152:$I152))</f>
        <v/>
      </c>
      <c r="AJ152" s="12" t="str">
        <f aca="false">IF(AG152=0,"",IFERROR(SMALL($G152:$I152,1),""))</f>
        <v/>
      </c>
      <c r="AK152" s="12" t="str">
        <f aca="false">IF(AG152=0,"",IFERROR(SMALL($G152:$I152,2),""))</f>
        <v/>
      </c>
      <c r="AL152" s="12" t="str">
        <f aca="false">IF(AG152=0,"",IFERROR(SMALL($G152:$I152,3),""))</f>
        <v/>
      </c>
      <c r="AM152" s="14" t="str">
        <f aca="false">IF(AG152=0,"",IF(AJ152="","",IF(AJ152=$H152,"Part-Time",IF(AJ152=$I152,"Full-Time","Casual"))))</f>
        <v/>
      </c>
      <c r="AN152" s="14" t="str">
        <f aca="false">IF(AG152=0,"",IF(AK152="","",IF(AK152=$H152,"Part-Time",IF(AK152=$I152,"Full-Time","Casual"))))</f>
        <v/>
      </c>
      <c r="AO152" s="14" t="str">
        <f aca="false">IF(AG152=0,"",IF(AL152="","",IF(AL152=$H152,"Part-Time",IF(AL152=$I152,"Full-Time","Casual"))))</f>
        <v/>
      </c>
      <c r="AP152" s="14" t="str">
        <f aca="false">IF(AG152=0,"",IF(AI152=0,IF(OR(ISNUMBER(SEARCH("full",$C152)),UPPER(TRIM($C152))="FT",UPPER(TRIM($C152))="FTE"),"FT",IF(AND(OR(ISNUMBER(SEARCH("part",$C152)),UPPER(TRIM($C152))="PT",UPPER(TRIM($C152))="PTE"),OR($P152="",N($P152)&gt;=PT_MinHours)),"PT","None")),IF(OR(ISNUMBER(SEARCH("full",AM152)),UPPER(TRIM(AM152))="FT",UPPER(TRIM(AM152))="FTE"),"FT",IF(AND(OR(ISNUMBER(SEARCH("part",AM152)),UPPER(TRIM(AM152))="PT",UPPER(TRIM(AM152))="PTE"),OR($P152="",N($P152)&gt;=PT_MinHours)),"PT","None"))))</f>
        <v/>
      </c>
      <c r="AQ152" s="14" t="str">
        <f aca="false">IF(AG152=0,"",IF(AI152&lt;2,"",IF(OR(ISNUMBER(SEARCH("full",AN152)),UPPER(TRIM(AN152))="FT",UPPER(TRIM(AN152))="FTE"),"FT",IF(AND(OR(ISNUMBER(SEARCH("part",AN152)),UPPER(TRIM(AN152))="PT",UPPER(TRIM(AN152))="PTE"),OR($P152="",N($P152)&gt;=PT_MinHours)),"PT","None"))))</f>
        <v/>
      </c>
      <c r="AR152" s="14" t="str">
        <f aca="false">IF(AG152=0,"",IF(AI152&lt;3,"",IF(OR(ISNUMBER(SEARCH("full",AO152)),UPPER(TRIM(AO152))="FT",UPPER(TRIM(AO152))="FTE"),"FT",IF(AND(OR(ISNUMBER(SEARCH("part",AO152)),UPPER(TRIM(AO152))="PT",UPPER(TRIM(AO152))="PTE"),OR($P152="",N($P152)&gt;=PT_MinHours)),"PT","None"))))</f>
        <v/>
      </c>
      <c r="AS152" s="14" t="str">
        <f aca="false">IF(AG152=0,"",IF(AND(AI152&gt;=3,AL152&lt;=AsOfDate),AR152,IF(AND(AI152&gt;=2,AK152&lt;=AsOfDate),AQ152,AP152)))</f>
        <v/>
      </c>
      <c r="AT152" s="14" t="str">
        <f aca="false">IF(AG152=0,"",IF(AsOfDate&lt;AH152,-1,12*(YEAR(AsOfDate)-YEAR(AH152))+MONTH(AsOfDate)-MONTH(AH152)-IF(DAY(AsOfDate)&lt;MIN(DAY(AH152),DAY(EOMONTH(AsOfDate,0))),1,0)))</f>
        <v/>
      </c>
      <c r="AU152" s="14" t="str">
        <f aca="false">IF(AG152=0,"",IF(OR(AI152&lt;2,AK152&gt;AsOfDate),AT152,IF((AK152-1)&lt;AH152,-1,12*(YEAR((AK152-1))-YEAR(AH152))+MONTH((AK152-1))-MONTH(AH152)-IF(DAY((AK152-1))&lt;MIN(DAY(AH152),DAY(EOMONTH((AK152-1),0))),1,0))))</f>
        <v/>
      </c>
      <c r="AV152" s="14" t="str">
        <f aca="false">IF(AG152=0,"",IF(OR(AI152&lt;3,AL152&gt;AsOfDate),AT152,IF((AL152-1)&lt;AH152,-1,12*(YEAR((AL152-1))-YEAR(AH152))+MONTH((AL152-1))-MONTH(AH152)-IF(DAY((AL152-1))&lt;MIN(DAY(AH152),DAY(EOMONTH((AL152-1),0))),1,0))))</f>
        <v/>
      </c>
      <c r="AW152" s="14" t="str">
        <f aca="false">IF(AG152=0,"",IF(PFYDate&lt;AH152,-1,12*(YEAR(PFYDate)-YEAR(AH152))+MONTH(PFYDate)-MONTH(AH152)-IF(DAY(PFYDate)&lt;MIN(DAY(AH152),DAY(EOMONTH(PFYDate,0))),1,0)))</f>
        <v/>
      </c>
      <c r="AX152" s="14" t="str">
        <f aca="false">IF(AG152=0,"",IF(OR(AI152&lt;2,AK152&gt;PFYDate),AW152,IF((AK152-1)&lt;AH152,-1,12*(YEAR((AK152-1))-YEAR(AH152))+MONTH((AK152-1))-MONTH(AH152)-IF(DAY((AK152-1))&lt;MIN(DAY(AH152),DAY(EOMONTH((AK152-1),0))),1,0))))</f>
        <v/>
      </c>
      <c r="AY152" s="14" t="str">
        <f aca="false">IF(AG152=0,"",IF(OR(AI152&lt;3,AL152&gt;PFYDate),AW152,IF((AL152-1)&lt;AH152,-1,12*(YEAR((AL152-1))-YEAR(AH152))+MONTH((AL152-1))-MONTH(AH152)-IF(DAY((AL152-1))&lt;MIN(DAY(AH152),DAY(EOMONTH((AL152-1),0))),1,0))))</f>
        <v/>
      </c>
      <c r="AZ152" s="14" t="str">
        <f aca="false">IF(AG152=0,"",IF(AP152="FT",IF(AU152&lt;FT_First,0,IF(AU152&lt;FT_Y5,1+INT((AU152-FT_First)/FT_Int1),FT_PreY5+FT_PerYear*INT((AU152-FT_Y5)/12)+FT_AnnivDays+INT(MOD(AU152-FT_Y5,12)/FT_Int2))),IF(AP152="PT",IF(AU152&lt;PT_First,0,1+INT((AU152-PT_First)/PT_Int)),0))+IF(AND(AI152&gt;=2,AK152&lt;=AsOfDate),IF(AQ152="FT",IF(AV152&lt;FT_First,0,IF(AV152&lt;FT_Y5,1+INT((AV152-FT_First)/FT_Int1),FT_PreY5+FT_PerYear*INT((AV152-FT_Y5)/12)+FT_AnnivDays+INT(MOD(AV152-FT_Y5,12)/FT_Int2))),IF(AQ152="PT",IF(AV152&lt;PT_First,0,1+INT((AV152-PT_First)/PT_Int)),0))-IF(AQ152="FT",IF(AU152&lt;FT_First,0,IF(AU152&lt;FT_Y5,1+INT((AU152-FT_First)/FT_Int1),FT_PreY5+FT_PerYear*INT((AU152-FT_Y5)/12)+FT_AnnivDays+INT(MOD(AU152-FT_Y5,12)/FT_Int2))),IF(AQ152="PT",IF(AU152&lt;PT_First,0,1+INT((AU152-PT_First)/PT_Int)),0)),0)+IF(AND(AI152&gt;=3,AL152&lt;=AsOfDate),IF(AR152="FT",IF(AT152&lt;FT_First,0,IF(AT152&lt;FT_Y5,1+INT((AT152-FT_First)/FT_Int1),FT_PreY5+FT_PerYear*INT((AT152-FT_Y5)/12)+FT_AnnivDays+INT(MOD(AT152-FT_Y5,12)/FT_Int2))),IF(AR152="PT",IF(AT152&lt;PT_First,0,1+INT((AT152-PT_First)/PT_Int)),0))-IF(AR152="FT",IF(AV152&lt;FT_First,0,IF(AV152&lt;FT_Y5,1+INT((AV152-FT_First)/FT_Int1),FT_PreY5+FT_PerYear*INT((AV152-FT_Y5)/12)+FT_AnnivDays+INT(MOD(AV152-FT_Y5,12)/FT_Int2))),IF(AR152="PT",IF(AV152&lt;PT_First,0,1+INT((AV152-PT_First)/PT_Int)),0)),0))</f>
        <v/>
      </c>
      <c r="BA152" s="14" t="str">
        <f aca="false">IF(AG152=0,"",IF(AP152="FT",IF(AX152&lt;FT_First,0,IF(AX152&lt;FT_Y5,1+INT((AX152-FT_First)/FT_Int1),FT_PreY5+FT_PerYear*INT((AX152-FT_Y5)/12)+FT_AnnivDays+INT(MOD(AX152-FT_Y5,12)/FT_Int2))),IF(AP152="PT",IF(AX152&lt;PT_First,0,1+INT((AX152-PT_First)/PT_Int)),0))+IF(AND(AI152&gt;=2,AK152&lt;=PFYDate),IF(AQ152="FT",IF(AY152&lt;FT_First,0,IF(AY152&lt;FT_Y5,1+INT((AY152-FT_First)/FT_Int1),FT_PreY5+FT_PerYear*INT((AY152-FT_Y5)/12)+FT_AnnivDays+INT(MOD(AY152-FT_Y5,12)/FT_Int2))),IF(AQ152="PT",IF(AY152&lt;PT_First,0,1+INT((AY152-PT_First)/PT_Int)),0))-IF(AQ152="FT",IF(AX152&lt;FT_First,0,IF(AX152&lt;FT_Y5,1+INT((AX152-FT_First)/FT_Int1),FT_PreY5+FT_PerYear*INT((AX152-FT_Y5)/12)+FT_AnnivDays+INT(MOD(AX152-FT_Y5,12)/FT_Int2))),IF(AQ152="PT",IF(AX152&lt;PT_First,0,1+INT((AX152-PT_First)/PT_Int)),0)),0)+IF(AND(AI152&gt;=3,AL152&lt;=PFYDate),IF(AR152="FT",IF(AW152&lt;FT_First,0,IF(AW152&lt;FT_Y5,1+INT((AW152-FT_First)/FT_Int1),FT_PreY5+FT_PerYear*INT((AW152-FT_Y5)/12)+FT_AnnivDays+INT(MOD(AW152-FT_Y5,12)/FT_Int2))),IF(AR152="PT",IF(AW152&lt;PT_First,0,1+INT((AW152-PT_First)/PT_Int)),0))-IF(AR152="FT",IF(AY152&lt;FT_First,0,IF(AY152&lt;FT_Y5,1+INT((AY152-FT_First)/FT_Int1),FT_PreY5+FT_PerYear*INT((AY152-FT_Y5)/12)+FT_AnnivDays+INT(MOD(AY152-FT_Y5,12)/FT_Int2))),IF(AR152="PT",IF(AY152&lt;PT_First,0,1+INT((AY152-PT_First)/PT_Int)),0)),0))</f>
        <v/>
      </c>
      <c r="BB152" s="14" t="str">
        <f aca="false">IF(AG152=0,"",IF(AS152="FT",IF(AT152&lt;FT_First,FT_First,IF(AT152&lt;FT_Y5,MIN(FT_Y5,FT_First+FT_Int1*(INT((AT152-FT_First)/FT_Int1)+1)),FT_Y5+12*INT((AT152-FT_Y5)/12)+FT_Int2*(INT(MOD(AT152-FT_Y5,12)/FT_Int2)+1))),IF(AS152="PT",IF(AT152&lt;PT_First,PT_First,PT_First+PT_Int*(INT((AT152-PT_First)/PT_Int)+1)),"")))</f>
        <v/>
      </c>
      <c r="BC152" s="14" t="str">
        <f aca="false">IF(AG152=0,"",IF(NOT(LH_Ready),0,COUNTIFS(INDEX(LH_Data,0,LH_ColFirst),$A152,INDEX(LH_Data,0,LH_ColSur),$B152,INDEX(LH_Data,0,LH_ColCat),BonusCat)))</f>
        <v/>
      </c>
      <c r="BD152" s="14" t="str">
        <f aca="false">IF(AG152=0,"",IF(OR(NOT(LH_Ready),BC152=0),0,SUMPRODUCT(MAX((INDEX(LH_Data,0,LH_ColFirst)=$A152)*(INDEX(LH_Data,0,LH_ColSur)=$B152)*(INDEX(LH_Data,0,LH_ColCat)=BonusCat)*ROW(LH_Data)))))</f>
        <v/>
      </c>
      <c r="BE152" s="14" t="str">
        <f aca="false">IF(AG152=0,"",IF(EOMONTH(AsOfDate,-1)&lt;AH152,-1,12*(YEAR(EOMONTH(AsOfDate,-1))-YEAR(AH152))+MONTH(EOMONTH(AsOfDate,-1))-MONTH(AH152)-IF(DAY(EOMONTH(AsOfDate,-1))&lt;MIN(DAY(AH152),DAY(EOMONTH(EOMONTH(AsOfDate,-1),0))),1,0)))</f>
        <v/>
      </c>
      <c r="BF152" s="14" t="str">
        <f aca="false">IF(AG152=0,"",IF(OR(AI152&lt;2,AK152&gt;EOMONTH(AsOfDate,-1)),BE152,IF((AK152-1)&lt;AH152,-1,12*(YEAR((AK152-1))-YEAR(AH152))+MONTH((AK152-1))-MONTH(AH152)-IF(DAY((AK152-1))&lt;MIN(DAY(AH152),DAY(EOMONTH((AK152-1),0))),1,0))))</f>
        <v/>
      </c>
      <c r="BG152" s="14" t="str">
        <f aca="false">IF(AG152=0,"",IF(OR(AI152&lt;3,AL152&gt;EOMONTH(AsOfDate,-1)),BE152,IF((AL152-1)&lt;AH152,-1,12*(YEAR((AL152-1))-YEAR(AH152))+MONTH((AL152-1))-MONTH(AH152)-IF(DAY((AL152-1))&lt;MIN(DAY(AH152),DAY(EOMONTH((AL152-1),0))),1,0))))</f>
        <v/>
      </c>
      <c r="BH152" s="14" t="str">
        <f aca="false">IF(AG152=0,"",IF(AP152="FT",IF(BF152&lt;FT_First,0,IF(BF152&lt;FT_Y5,1+INT((BF152-FT_First)/FT_Int1),FT_PreY5+FT_PerYear*INT((BF152-FT_Y5)/12)+FT_AnnivDays+INT(MOD(BF152-FT_Y5,12)/FT_Int2))),IF(AP152="PT",IF(BF152&lt;PT_First,0,1+INT((BF152-PT_First)/PT_Int)),0))+IF(AND(AI152&gt;=2,AK152&lt;=EOMONTH(AsOfDate,-1)),IF(AQ152="FT",IF(BG152&lt;FT_First,0,IF(BG152&lt;FT_Y5,1+INT((BG152-FT_First)/FT_Int1),FT_PreY5+FT_PerYear*INT((BG152-FT_Y5)/12)+FT_AnnivDays+INT(MOD(BG152-FT_Y5,12)/FT_Int2))),IF(AQ152="PT",IF(BG152&lt;PT_First,0,1+INT((BG152-PT_First)/PT_Int)),0))-IF(AQ152="FT",IF(BF152&lt;FT_First,0,IF(BF152&lt;FT_Y5,1+INT((BF152-FT_First)/FT_Int1),FT_PreY5+FT_PerYear*INT((BF152-FT_Y5)/12)+FT_AnnivDays+INT(MOD(BF152-FT_Y5,12)/FT_Int2))),IF(AQ152="PT",IF(BF152&lt;PT_First,0,1+INT((BF152-PT_First)/PT_Int)),0)),0)+IF(AND(AI152&gt;=3,AL152&lt;=EOMONTH(AsOfDate,-1)),IF(AR152="FT",IF(BE152&lt;FT_First,0,IF(BE152&lt;FT_Y5,1+INT((BE152-FT_First)/FT_Int1),FT_PreY5+FT_PerYear*INT((BE152-FT_Y5)/12)+FT_AnnivDays+INT(MOD(BE152-FT_Y5,12)/FT_Int2))),IF(AR152="PT",IF(BE152&lt;PT_First,0,1+INT((BE152-PT_First)/PT_Int)),0))-IF(AR152="FT",IF(BG152&lt;FT_First,0,IF(BG152&lt;FT_Y5,1+INT((BG152-FT_First)/FT_Int1),FT_PreY5+FT_PerYear*INT((BG152-FT_Y5)/12)+FT_AnnivDays+INT(MOD(BG152-FT_Y5,12)/FT_Int2))),IF(AR152="PT",IF(BG152&lt;PT_First,0,1+INT((BG152-PT_First)/PT_Int)),0)),0))</f>
        <v/>
      </c>
      <c r="BI152" s="14" t="str">
        <f aca="false">IF(AG152=0,"",IF(AS152="FT",IF(AT152&lt;FT_First,"",IF(AT152&lt;FT_Y5,FT_First+FT_Int1*INT((AT152-FT_First)/FT_Int1),FT_Y5+FT_Int2*INT((AT152-FT_Y5)/FT_Int2))),IF(AS152="PT",IF(AT152&lt;PT_First,"",PT_First+PT_Int*INT((AT152-PT_First)/PT_Int)),"")))</f>
        <v/>
      </c>
      <c r="BJ152" s="0" t="str">
        <f aca="false">IF(LEN($A152&amp;$B152)=0,"",$A152&amp;" "&amp;$B152)</f>
        <v/>
      </c>
    </row>
    <row r="153" customFormat="false" ht="15" hidden="false" customHeight="false" outlineLevel="0" collapsed="false">
      <c r="A153" s="10"/>
      <c r="B153" s="10"/>
      <c r="C153" s="10"/>
      <c r="D153" s="11"/>
      <c r="E153" s="12" t="str">
        <f aca="false">IF(OR(AG153=0,$D153=""),"",DATE(YEAR(AsOfDate)+IF(DATE(YEAR(AsOfDate),MONTH($D153),DAY($D153))&lt;=AsOfDate,1,0),MONTH($D153),DAY($D153)))</f>
        <v/>
      </c>
      <c r="F153" s="11"/>
      <c r="G153" s="11"/>
      <c r="H153" s="11"/>
      <c r="I153" s="11"/>
      <c r="J153" s="11"/>
      <c r="K153" s="12" t="str">
        <f aca="false">IF(AG153=0,"",DATE(YEAR(AsOfDate)+IF(DATE(YEAR(AsOfDate),MONTH(AH153),DAY(AH153))&lt;=AsOfDate,1,0),MONTH(AH153),DAY(AH153)))</f>
        <v/>
      </c>
      <c r="L153" s="13" t="str">
        <f aca="false">IF(AG153=0,"",ROUND((AsOfDate-AH153)/365.25,1))</f>
        <v/>
      </c>
      <c r="M153" s="14" t="str">
        <f aca="false">IF(AG153=0,"",IF(AsOfDate&lt;AH153,"-",DATEDIF(AH153,AsOfDate,"y")&amp;"y "&amp;DATEDIF(AH153,AsOfDate,"ym")&amp;"m "&amp;DATEDIF(AH153,AsOfDate,"md")&amp;"d"))</f>
        <v/>
      </c>
      <c r="N153" s="15" t="str">
        <f aca="false">IF(AG153=0,"",O153*HoursPerDay)</f>
        <v/>
      </c>
      <c r="O153" s="15" t="str">
        <f aca="false">IF(AG153=0,"",AZ153)</f>
        <v/>
      </c>
      <c r="P153" s="16"/>
      <c r="Q153" s="14" t="str">
        <f aca="false">IF(AG153=0,"",IF(AI153&lt;2,"",AM153&amp;" to "&amp;AN153&amp;" on "&amp;TEXT(AK153,"dd/mm/yyyy")&amp;IF(AK153&gt;AsOfDate," (future)",IF(AP153=AQ153,"",IF(AQ153="None"," - STOPPED accruing",IF(AP153="None"," - commencement for Bonus Leave"," - pathway changed"))))&amp;IF(AI153&lt;3,"","; "&amp;AN153&amp;" to "&amp;AO153&amp;" on "&amp;TEXT(AL153,"dd/mm/yyyy")&amp;IF(AL153&gt;AsOfDate," (future)",IF(AQ153=AR153,"",IF(AR153="None"," - STOPPED accruing",IF(AQ153="None"," - commencement for Bonus Leave"," - pathway changed")))))))</f>
        <v/>
      </c>
      <c r="R153" s="14" t="str">
        <f aca="false">IF(AG153=0,"",IF(AS153="None",IF(O153&gt;0,"No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2" t="str">
        <f aca="false">IF(AG153=0,"",IF(AS153="None","",EDATE(AH153,BB153)))</f>
        <v/>
      </c>
      <c r="T153" s="15" t="str">
        <f aca="false">IF(AG153=0,"",IF(NOT(LH_Ready),"",IF(AH153&gt;PFYDate,0,IF(LH_ColPeriod=0,W153-U153+V153,SUMIFS(INDEX(LH_Data,0,LH_ColAcc),INDEX(LH_Data,0,LH_ColFirst),$A153,INDEX(LH_Data,0,LH_ColSur),$B153,INDEX(LH_Data,0,LH_ColCat),BonusCat,INDEX(LH_Data,0,LH_ColPeriod),LH_OpenLabel)*UnitFactor))))</f>
        <v/>
      </c>
      <c r="U153" s="15" t="str">
        <f aca="false">IF(AG153=0,"",IF(NOT(LH_Ready),"",SUMIFS(INDEX(LH_Data,0,LH_ColAcc),INDEX(LH_Data,0,LH_ColFirst),$A153,INDEX(LH_Data,0,LH_ColSur),$B153,INDEX(LH_Data,0,LH_ColCat),BonusCat,INDEX(LH_Data,0,LH_ColStart),"&gt;="&amp;AH153)*UnitFactor))</f>
        <v/>
      </c>
      <c r="V153" s="15" t="str">
        <f aca="false">IF(AG153=0,"",IF(NOT(LH_Ready),"",SUMIFS(INDEX(LH_Data,0,LH_ColTaken),INDEX(LH_Data,0,LH_ColFirst),$A153,INDEX(LH_Data,0,LH_ColSur),$B153,INDEX(LH_Data,0,LH_ColCat),BonusCat,INDEX(LH_Data,0,LH_ColStart),"&gt;="&amp;AH153)*UnitFactor))</f>
        <v/>
      </c>
      <c r="W153" s="15" t="str">
        <f aca="false">IF(AG153=0,"",IF(NOT(LH_Ready),"",IF(BD153=0,0,INDEX(INDEX(LH_Data,0,LH_ColClose),BD153-1)*UnitFactor)))</f>
        <v/>
      </c>
      <c r="X153" s="15" t="str">
        <f aca="false">IF(AG153=0,"",(AZ153-BA153)*HoursPerDay)</f>
        <v/>
      </c>
      <c r="Y153" s="15" t="str">
        <f aca="false">IF(AG153=0,"",IF(NOT(LH_Ready),"",IF(BC153=0,N153,IF(PFYDate&lt;$F153,N153-N(T153)-N(U153),X153-N(U153)))))</f>
        <v/>
      </c>
      <c r="Z153" s="14" t="str">
        <f aca="false">IF(OR(AG153=0,Y153=""),"",IF(Y153&gt;0,"Yes","No"))</f>
        <v/>
      </c>
      <c r="AA153" s="14" t="str">
        <f aca="false">IF(AG153=0,IF(LEN($A153&amp;$B153)=0,"","FIX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month")&amp;IF(BC153=0,";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EH)",""),IF(AS153="None",R153,"Not yet - first day on "&amp;TEXT(S153,"dd/mm/yyyy")))))))))</f>
        <v/>
      </c>
      <c r="AB153" s="15" t="str">
        <f aca="false">IF(OR(AG153=0,T153=""),"",BA153*HoursPerDay-T153)</f>
        <v/>
      </c>
      <c r="AC153" s="14" t="str">
        <f aca="false">IF(AG153=0,"",BC153)</f>
        <v/>
      </c>
      <c r="AD153" s="14" t="str">
        <f aca="false">IF(AG153=0,"",TRIM(IF(OR(ISTEXT($F153),ISTEXT($H153),ISTEXT($I153),ISTEXT($G153),ISTEXT($J153),ISTEXT($D153)),"A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I153&gt;=1,IF(AI153&gt;=3,AO153,IF(AI153=2,AN153,AM153))&lt;&gt;IF($C153="","",IF(OR(ISNUMBER(SEARCH("full",$C153)),UPPER(TRIM($C153))="FT",UPPER(TRIM($C153))="FTE"),"Full-Time",IF(OR(ISNUMBER(SEARCH("part",$C153)),UPPER(TRIM($C153))="PT",UPPER(TRIM($C153))="PTE"),"Part-Time",IF(OR(ISNUMBER(SEARCH("cas",$C153)),UPPER(TRIM($C153))="CAS"),"Casual","Unknown"))))),"EmploymentType does not match latest start date ("&amp;IF(AI153&gt;=3,AO153,IF(AI153=2,AN153,AM153))&amp;"). ","")&amp;IF(AND(AI153&gt;=1,AJ153&lt;&gt;$F153),"Earliest type date should equal StartDate. ","")&amp;IF(AND(AI153&gt;=2,AJ153=AK153),"Two types start on the same date. ","")&amp;IF(AND(OR(ISNUMBER(SEARCH("part",$C153)),UPPER(TRIM($C153))="PT",UPPER(TRIM($C153))="PTE"),$P153=""),"Part-time: enter PT Hrs/Week (blank = 24+). ","")))</f>
        <v/>
      </c>
      <c r="AE153" s="15" t="str">
        <f aca="false">IF(AG153=0,"",O153-BH153)</f>
        <v/>
      </c>
      <c r="AF153" s="12" t="str">
        <f aca="false">IF(OR(AG153=0,AE153="",N(AE153)=0,BI153=""),"",EDATE(AH153,BI153))</f>
        <v/>
      </c>
      <c r="AG153" s="14" t="n">
        <f aca="false">IF(OR(LEN($A153&amp;$B153)=0,$F153=""),0,1)</f>
        <v>0</v>
      </c>
      <c r="AH153" s="12" t="str">
        <f aca="false">IF(AG153=0,"",IF($J153&lt;&gt;"",$J153,IF(OR(CasualCounts="Yes",COUNT($G153:$I153)=0,COUNT($H153:$I153)=0),$F153,MIN($H153:$I153))))</f>
        <v/>
      </c>
      <c r="AI153" s="14" t="str">
        <f aca="false">IF(AG153=0,"",COUNT($G153:$I153))</f>
        <v/>
      </c>
      <c r="AJ153" s="12" t="str">
        <f aca="false">IF(AG153=0,"",IFERROR(SMALL($G153:$I153,1),""))</f>
        <v/>
      </c>
      <c r="AK153" s="12" t="str">
        <f aca="false">IF(AG153=0,"",IFERROR(SMALL($G153:$I153,2),""))</f>
        <v/>
      </c>
      <c r="AL153" s="12" t="str">
        <f aca="false">IF(AG153=0,"",IFERROR(SMALL($G153:$I153,3),""))</f>
        <v/>
      </c>
      <c r="AM153" s="14" t="str">
        <f aca="false">IF(AG153=0,"",IF(AJ153="","",IF(AJ153=$H153,"Part-Time",IF(AJ153=$I153,"Full-Time","Casual"))))</f>
        <v/>
      </c>
      <c r="AN153" s="14" t="str">
        <f aca="false">IF(AG153=0,"",IF(AK153="","",IF(AK153=$H153,"Part-Time",IF(AK153=$I153,"Full-Time","Casual"))))</f>
        <v/>
      </c>
      <c r="AO153" s="14" t="str">
        <f aca="false">IF(AG153=0,"",IF(AL153="","",IF(AL153=$H153,"Part-Time",IF(AL153=$I153,"Full-Time","Casual"))))</f>
        <v/>
      </c>
      <c r="AP153" s="14" t="str">
        <f aca="false">IF(AG153=0,"",IF(AI153=0,IF(OR(ISNUMBER(SEARCH("full",$C153)),UPPER(TRIM($C153))="FT",UPPER(TRIM($C153))="FTE"),"FT",IF(AND(OR(ISNUMBER(SEARCH("part",$C153)),UPPER(TRIM($C153))="PT",UPPER(TRIM($C153))="PTE"),OR($P153="",N($P153)&gt;=PT_MinHours)),"PT","None")),IF(OR(ISNUMBER(SEARCH("full",AM153)),UPPER(TRIM(AM153))="FT",UPPER(TRIM(AM153))="FTE"),"FT",IF(AND(OR(ISNUMBER(SEARCH("part",AM153)),UPPER(TRIM(AM153))="PT",UPPER(TRIM(AM153))="PTE"),OR($P153="",N($P153)&gt;=PT_MinHours)),"PT","None"))))</f>
        <v/>
      </c>
      <c r="AQ153" s="14" t="str">
        <f aca="false">IF(AG153=0,"",IF(AI153&lt;2,"",IF(OR(ISNUMBER(SEARCH("full",AN153)),UPPER(TRIM(AN153))="FT",UPPER(TRIM(AN153))="FTE"),"FT",IF(AND(OR(ISNUMBER(SEARCH("part",AN153)),UPPER(TRIM(AN153))="PT",UPPER(TRIM(AN153))="PTE"),OR($P153="",N($P153)&gt;=PT_MinHours)),"PT","None"))))</f>
        <v/>
      </c>
      <c r="AR153" s="14" t="str">
        <f aca="false">IF(AG153=0,"",IF(AI153&lt;3,"",IF(OR(ISNUMBER(SEARCH("full",AO153)),UPPER(TRIM(AO153))="FT",UPPER(TRIM(AO153))="FTE"),"FT",IF(AND(OR(ISNUMBER(SEARCH("part",AO153)),UPPER(TRIM(AO153))="PT",UPPER(TRIM(AO153))="PTE"),OR($P153="",N($P153)&gt;=PT_MinHours)),"PT","None"))))</f>
        <v/>
      </c>
      <c r="AS153" s="14" t="str">
        <f aca="false">IF(AG153=0,"",IF(AND(AI153&gt;=3,AL153&lt;=AsOfDate),AR153,IF(AND(AI153&gt;=2,AK153&lt;=AsOfDate),AQ153,AP153)))</f>
        <v/>
      </c>
      <c r="AT153" s="14" t="str">
        <f aca="false">IF(AG153=0,"",IF(AsOfDate&lt;AH153,-1,12*(YEAR(AsOfDate)-YEAR(AH153))+MONTH(AsOfDate)-MONTH(AH153)-IF(DAY(AsOfDate)&lt;MIN(DAY(AH153),DAY(EOMONTH(AsOfDate,0))),1,0)))</f>
        <v/>
      </c>
      <c r="AU153" s="14" t="str">
        <f aca="false">IF(AG153=0,"",IF(OR(AI153&lt;2,AK153&gt;AsOfDate),AT153,IF((AK153-1)&lt;AH153,-1,12*(YEAR((AK153-1))-YEAR(AH153))+MONTH((AK153-1))-MONTH(AH153)-IF(DAY((AK153-1))&lt;MIN(DAY(AH153),DAY(EOMONTH((AK153-1),0))),1,0))))</f>
        <v/>
      </c>
      <c r="AV153" s="14" t="str">
        <f aca="false">IF(AG153=0,"",IF(OR(AI153&lt;3,AL153&gt;AsOfDate),AT153,IF((AL153-1)&lt;AH153,-1,12*(YEAR((AL153-1))-YEAR(AH153))+MONTH((AL153-1))-MONTH(AH153)-IF(DAY((AL153-1))&lt;MIN(DAY(AH153),DAY(EOMONTH((AL153-1),0))),1,0))))</f>
        <v/>
      </c>
      <c r="AW153" s="14" t="str">
        <f aca="false">IF(AG153=0,"",IF(PFYDate&lt;AH153,-1,12*(YEAR(PFYDate)-YEAR(AH153))+MONTH(PFYDate)-MONTH(AH153)-IF(DAY(PFYDate)&lt;MIN(DAY(AH153),DAY(EOMONTH(PFYDate,0))),1,0)))</f>
        <v/>
      </c>
      <c r="AX153" s="14" t="str">
        <f aca="false">IF(AG153=0,"",IF(OR(AI153&lt;2,AK153&gt;PFYDate),AW153,IF((AK153-1)&lt;AH153,-1,12*(YEAR((AK153-1))-YEAR(AH153))+MONTH((AK153-1))-MONTH(AH153)-IF(DAY((AK153-1))&lt;MIN(DAY(AH153),DAY(EOMONTH((AK153-1),0))),1,0))))</f>
        <v/>
      </c>
      <c r="AY153" s="14" t="str">
        <f aca="false">IF(AG153=0,"",IF(OR(AI153&lt;3,AL153&gt;PFYDate),AW153,IF((AL153-1)&lt;AH153,-1,12*(YEAR((AL153-1))-YEAR(AH153))+MONTH((AL153-1))-MONTH(AH153)-IF(DAY((AL153-1))&lt;MIN(DAY(AH153),DAY(EOMONTH((AL153-1),0))),1,0))))</f>
        <v/>
      </c>
      <c r="AZ153" s="14" t="str">
        <f aca="false">IF(AG153=0,"",IF(AP153="FT",IF(AU153&lt;FT_First,0,IF(AU153&lt;FT_Y5,1+INT((AU153-FT_First)/FT_Int1),FT_PreY5+FT_PerYear*INT((AU153-FT_Y5)/12)+FT_AnnivDays+INT(MOD(AU153-FT_Y5,12)/FT_Int2))),IF(AP153="PT",IF(AU153&lt;PT_First,0,1+INT((AU153-PT_First)/PT_Int)),0))+IF(AND(AI153&gt;=2,AK153&lt;=AsOfDate),IF(AQ153="FT",IF(AV153&lt;FT_First,0,IF(AV153&lt;FT_Y5,1+INT((AV153-FT_First)/FT_Int1),FT_PreY5+FT_PerYear*INT((AV153-FT_Y5)/12)+FT_AnnivDays+INT(MOD(AV153-FT_Y5,12)/FT_Int2))),IF(AQ153="PT",IF(AV153&lt;PT_First,0,1+INT((AV153-PT_First)/PT_Int)),0))-IF(AQ153="FT",IF(AU153&lt;FT_First,0,IF(AU153&lt;FT_Y5,1+INT((AU153-FT_First)/FT_Int1),FT_PreY5+FT_PerYear*INT((AU153-FT_Y5)/12)+FT_AnnivDays+INT(MOD(AU153-FT_Y5,12)/FT_Int2))),IF(AQ153="PT",IF(AU153&lt;PT_First,0,1+INT((AU153-PT_First)/PT_Int)),0)),0)+IF(AND(AI153&gt;=3,AL153&lt;=AsOfDate),IF(AR153="FT",IF(AT153&lt;FT_First,0,IF(AT153&lt;FT_Y5,1+INT((AT153-FT_First)/FT_Int1),FT_PreY5+FT_PerYear*INT((AT153-FT_Y5)/12)+FT_AnnivDays+INT(MOD(AT153-FT_Y5,12)/FT_Int2))),IF(AR153="PT",IF(AT153&lt;PT_First,0,1+INT((AT153-PT_First)/PT_Int)),0))-IF(AR153="FT",IF(AV153&lt;FT_First,0,IF(AV153&lt;FT_Y5,1+INT((AV153-FT_First)/FT_Int1),FT_PreY5+FT_PerYear*INT((AV153-FT_Y5)/12)+FT_AnnivDays+INT(MOD(AV153-FT_Y5,12)/FT_Int2))),IF(AR153="PT",IF(AV153&lt;PT_First,0,1+INT((AV153-PT_First)/PT_Int)),0)),0))</f>
        <v/>
      </c>
      <c r="BA153" s="14" t="str">
        <f aca="false">IF(AG153=0,"",IF(AP153="FT",IF(AX153&lt;FT_First,0,IF(AX153&lt;FT_Y5,1+INT((AX153-FT_First)/FT_Int1),FT_PreY5+FT_PerYear*INT((AX153-FT_Y5)/12)+FT_AnnivDays+INT(MOD(AX153-FT_Y5,12)/FT_Int2))),IF(AP153="PT",IF(AX153&lt;PT_First,0,1+INT((AX153-PT_First)/PT_Int)),0))+IF(AND(AI153&gt;=2,AK153&lt;=PFYDate),IF(AQ153="FT",IF(AY153&lt;FT_First,0,IF(AY153&lt;FT_Y5,1+INT((AY153-FT_First)/FT_Int1),FT_PreY5+FT_PerYear*INT((AY153-FT_Y5)/12)+FT_AnnivDays+INT(MOD(AY153-FT_Y5,12)/FT_Int2))),IF(AQ153="PT",IF(AY153&lt;PT_First,0,1+INT((AY153-PT_First)/PT_Int)),0))-IF(AQ153="FT",IF(AX153&lt;FT_First,0,IF(AX153&lt;FT_Y5,1+INT((AX153-FT_First)/FT_Int1),FT_PreY5+FT_PerYear*INT((AX153-FT_Y5)/12)+FT_AnnivDays+INT(MOD(AX153-FT_Y5,12)/FT_Int2))),IF(AQ153="PT",IF(AX153&lt;PT_First,0,1+INT((AX153-PT_First)/PT_Int)),0)),0)+IF(AND(AI153&gt;=3,AL153&lt;=PFYDate),IF(AR153="FT",IF(AW153&lt;FT_First,0,IF(AW153&lt;FT_Y5,1+INT((AW153-FT_First)/FT_Int1),FT_PreY5+FT_PerYear*INT((AW153-FT_Y5)/12)+FT_AnnivDays+INT(MOD(AW153-FT_Y5,12)/FT_Int2))),IF(AR153="PT",IF(AW153&lt;PT_First,0,1+INT((AW153-PT_First)/PT_Int)),0))-IF(AR153="FT",IF(AY153&lt;FT_First,0,IF(AY153&lt;FT_Y5,1+INT((AY153-FT_First)/FT_Int1),FT_PreY5+FT_PerYear*INT((AY153-FT_Y5)/12)+FT_AnnivDays+INT(MOD(AY153-FT_Y5,12)/FT_Int2))),IF(AR153="PT",IF(AY153&lt;PT_First,0,1+INT((AY153-PT_First)/PT_Int)),0)),0))</f>
        <v/>
      </c>
      <c r="BB153" s="14" t="str">
        <f aca="false">IF(AG153=0,"",IF(AS153="FT",IF(AT153&lt;FT_First,FT_First,IF(AT153&lt;FT_Y5,MIN(FT_Y5,FT_First+FT_Int1*(INT((AT153-FT_First)/FT_Int1)+1)),FT_Y5+12*INT((AT153-FT_Y5)/12)+FT_Int2*(INT(MOD(AT153-FT_Y5,12)/FT_Int2)+1))),IF(AS153="PT",IF(AT153&lt;PT_First,PT_First,PT_First+PT_Int*(INT((AT153-PT_First)/PT_Int)+1)),"")))</f>
        <v/>
      </c>
      <c r="BC153" s="14" t="str">
        <f aca="false">IF(AG153=0,"",IF(NOT(LH_Ready),0,COUNTIFS(INDEX(LH_Data,0,LH_ColFirst),$A153,INDEX(LH_Data,0,LH_ColSur),$B153,INDEX(LH_Data,0,LH_ColCat),BonusCat)))</f>
        <v/>
      </c>
      <c r="BD153" s="14" t="str">
        <f aca="false">IF(AG153=0,"",IF(OR(NOT(LH_Ready),BC153=0),0,SUMPRODUCT(MAX((INDEX(LH_Data,0,LH_ColFirst)=$A153)*(INDEX(LH_Data,0,LH_ColSur)=$B153)*(INDEX(LH_Data,0,LH_ColCat)=BonusCat)*ROW(LH_Data)))))</f>
        <v/>
      </c>
      <c r="BE153" s="14" t="str">
        <f aca="false">IF(AG153=0,"",IF(EOMONTH(AsOfDate,-1)&lt;AH153,-1,12*(YEAR(EOMONTH(AsOfDate,-1))-YEAR(AH153))+MONTH(EOMONTH(AsOfDate,-1))-MONTH(AH153)-IF(DAY(EOMONTH(AsOfDate,-1))&lt;MIN(DAY(AH153),DAY(EOMONTH(EOMONTH(AsOfDate,-1),0))),1,0)))</f>
        <v/>
      </c>
      <c r="BF153" s="14" t="str">
        <f aca="false">IF(AG153=0,"",IF(OR(AI153&lt;2,AK153&gt;EOMONTH(AsOfDate,-1)),BE153,IF((AK153-1)&lt;AH153,-1,12*(YEAR((AK153-1))-YEAR(AH153))+MONTH((AK153-1))-MONTH(AH153)-IF(DAY((AK153-1))&lt;MIN(DAY(AH153),DAY(EOMONTH((AK153-1),0))),1,0))))</f>
        <v/>
      </c>
      <c r="BG153" s="14" t="str">
        <f aca="false">IF(AG153=0,"",IF(OR(AI153&lt;3,AL153&gt;EOMONTH(AsOfDate,-1)),BE153,IF((AL153-1)&lt;AH153,-1,12*(YEAR((AL153-1))-YEAR(AH153))+MONTH((AL153-1))-MONTH(AH153)-IF(DAY((AL153-1))&lt;MIN(DAY(AH153),DAY(EOMONTH((AL153-1),0))),1,0))))</f>
        <v/>
      </c>
      <c r="BH153" s="14" t="str">
        <f aca="false">IF(AG153=0,"",IF(AP153="FT",IF(BF153&lt;FT_First,0,IF(BF153&lt;FT_Y5,1+INT((BF153-FT_First)/FT_Int1),FT_PreY5+FT_PerYear*INT((BF153-FT_Y5)/12)+FT_AnnivDays+INT(MOD(BF153-FT_Y5,12)/FT_Int2))),IF(AP153="PT",IF(BF153&lt;PT_First,0,1+INT((BF153-PT_First)/PT_Int)),0))+IF(AND(AI153&gt;=2,AK153&lt;=EOMONTH(AsOfDate,-1)),IF(AQ153="FT",IF(BG153&lt;FT_First,0,IF(BG153&lt;FT_Y5,1+INT((BG153-FT_First)/FT_Int1),FT_PreY5+FT_PerYear*INT((BG153-FT_Y5)/12)+FT_AnnivDays+INT(MOD(BG153-FT_Y5,12)/FT_Int2))),IF(AQ153="PT",IF(BG153&lt;PT_First,0,1+INT((BG153-PT_First)/PT_Int)),0))-IF(AQ153="FT",IF(BF153&lt;FT_First,0,IF(BF153&lt;FT_Y5,1+INT((BF153-FT_First)/FT_Int1),FT_PreY5+FT_PerYear*INT((BF153-FT_Y5)/12)+FT_AnnivDays+INT(MOD(BF153-FT_Y5,12)/FT_Int2))),IF(AQ153="PT",IF(BF153&lt;PT_First,0,1+INT((BF153-PT_First)/PT_Int)),0)),0)+IF(AND(AI153&gt;=3,AL153&lt;=EOMONTH(AsOfDate,-1)),IF(AR153="FT",IF(BE153&lt;FT_First,0,IF(BE153&lt;FT_Y5,1+INT((BE153-FT_First)/FT_Int1),FT_PreY5+FT_PerYear*INT((BE153-FT_Y5)/12)+FT_AnnivDays+INT(MOD(BE153-FT_Y5,12)/FT_Int2))),IF(AR153="PT",IF(BE153&lt;PT_First,0,1+INT((BE153-PT_First)/PT_Int)),0))-IF(AR153="FT",IF(BG153&lt;FT_First,0,IF(BG153&lt;FT_Y5,1+INT((BG153-FT_First)/FT_Int1),FT_PreY5+FT_PerYear*INT((BG153-FT_Y5)/12)+FT_AnnivDays+INT(MOD(BG153-FT_Y5,12)/FT_Int2))),IF(AR153="PT",IF(BG153&lt;PT_First,0,1+INT((BG153-PT_First)/PT_Int)),0)),0))</f>
        <v/>
      </c>
      <c r="BI153" s="14" t="str">
        <f aca="false">IF(AG153=0,"",IF(AS153="FT",IF(AT153&lt;FT_First,"",IF(AT153&lt;FT_Y5,FT_First+FT_Int1*INT((AT153-FT_First)/FT_Int1),FT_Y5+FT_Int2*INT((AT153-FT_Y5)/FT_Int2))),IF(AS153="PT",IF(AT153&lt;PT_First,"",PT_First+PT_Int*INT((AT153-PT_First)/PT_Int)),"")))</f>
        <v/>
      </c>
      <c r="BJ153" s="0" t="str">
        <f aca="false">IF(LEN($A153&amp;$B153)=0,"",$A153&amp;" "&amp;$B153)</f>
        <v/>
      </c>
    </row>
    <row r="154" customFormat="false" ht="15" hidden="false" customHeight="false" outlineLevel="0" collapsed="false">
      <c r="A154" s="10"/>
      <c r="B154" s="10"/>
      <c r="C154" s="10"/>
      <c r="D154" s="11"/>
      <c r="E154" s="12" t="str">
        <f aca="false">IF(OR(AG154=0,$D154=""),"",DATE(YEAR(AsOfDate)+IF(DATE(YEAR(AsOfDate),MONTH($D154),DAY($D154))&lt;=AsOfDate,1,0),MONTH($D154),DAY($D154)))</f>
        <v/>
      </c>
      <c r="F154" s="11"/>
      <c r="G154" s="11"/>
      <c r="H154" s="11"/>
      <c r="I154" s="11"/>
      <c r="J154" s="11"/>
      <c r="K154" s="12" t="str">
        <f aca="false">IF(AG154=0,"",DATE(YEAR(AsOfDate)+IF(DATE(YEAR(AsOfDate),MONTH(AH154),DAY(AH154))&lt;=AsOfDate,1,0),MONTH(AH154),DAY(AH154)))</f>
        <v/>
      </c>
      <c r="L154" s="13" t="str">
        <f aca="false">IF(AG154=0,"",ROUND((AsOfDate-AH154)/365.25,1))</f>
        <v/>
      </c>
      <c r="M154" s="14" t="str">
        <f aca="false">IF(AG154=0,"",IF(AsOfDate&lt;AH154,"-",DATEDIF(AH154,AsOfDate,"y")&amp;"y "&amp;DATEDIF(AH154,AsOfDate,"ym")&amp;"m "&amp;DATEDIF(AH154,AsOfDate,"md")&amp;"d"))</f>
        <v/>
      </c>
      <c r="N154" s="15" t="str">
        <f aca="false">IF(AG154=0,"",O154*HoursPerDay)</f>
        <v/>
      </c>
      <c r="O154" s="15" t="str">
        <f aca="false">IF(AG154=0,"",AZ154)</f>
        <v/>
      </c>
      <c r="P154" s="16"/>
      <c r="Q154" s="14" t="str">
        <f aca="false">IF(AG154=0,"",IF(AI154&lt;2,"",AM154&amp;" to "&amp;AN154&amp;" on "&amp;TEXT(AK154,"dd/mm/yyyy")&amp;IF(AK154&gt;AsOfDate," (future)",IF(AP154=AQ154,"",IF(AQ154="None"," - STOPPED accruing",IF(AP154="None"," - commencement for Bonus Leave"," - pathway changed"))))&amp;IF(AI154&lt;3,"","; "&amp;AN154&amp;" to "&amp;AO154&amp;" on "&amp;TEXT(AL154,"dd/mm/yyyy")&amp;IF(AL154&gt;AsOfDate," (future)",IF(AQ154=AR154,"",IF(AR154="None"," - STOPPED accruing",IF(AQ154="None"," - commencement for Bonus Leave"," - pathway changed")))))))</f>
        <v/>
      </c>
      <c r="R154" s="14" t="str">
        <f aca="false">IF(AG154=0,"",IF(AS154="None",IF(O154&gt;0,"No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2" t="str">
        <f aca="false">IF(AG154=0,"",IF(AS154="None","",EDATE(AH154,BB154)))</f>
        <v/>
      </c>
      <c r="T154" s="15" t="str">
        <f aca="false">IF(AG154=0,"",IF(NOT(LH_Ready),"",IF(AH154&gt;PFYDate,0,IF(LH_ColPeriod=0,W154-U154+V154,SUMIFS(INDEX(LH_Data,0,LH_ColAcc),INDEX(LH_Data,0,LH_ColFirst),$A154,INDEX(LH_Data,0,LH_ColSur),$B154,INDEX(LH_Data,0,LH_ColCat),BonusCat,INDEX(LH_Data,0,LH_ColPeriod),LH_OpenLabel)*UnitFactor))))</f>
        <v/>
      </c>
      <c r="U154" s="15" t="str">
        <f aca="false">IF(AG154=0,"",IF(NOT(LH_Ready),"",SUMIFS(INDEX(LH_Data,0,LH_ColAcc),INDEX(LH_Data,0,LH_ColFirst),$A154,INDEX(LH_Data,0,LH_ColSur),$B154,INDEX(LH_Data,0,LH_ColCat),BonusCat,INDEX(LH_Data,0,LH_ColStart),"&gt;="&amp;AH154)*UnitFactor))</f>
        <v/>
      </c>
      <c r="V154" s="15" t="str">
        <f aca="false">IF(AG154=0,"",IF(NOT(LH_Ready),"",SUMIFS(INDEX(LH_Data,0,LH_ColTaken),INDEX(LH_Data,0,LH_ColFirst),$A154,INDEX(LH_Data,0,LH_ColSur),$B154,INDEX(LH_Data,0,LH_ColCat),BonusCat,INDEX(LH_Data,0,LH_ColStart),"&gt;="&amp;AH154)*UnitFactor))</f>
        <v/>
      </c>
      <c r="W154" s="15" t="str">
        <f aca="false">IF(AG154=0,"",IF(NOT(LH_Ready),"",IF(BD154=0,0,INDEX(INDEX(LH_Data,0,LH_ColClose),BD154-1)*UnitFactor)))</f>
        <v/>
      </c>
      <c r="X154" s="15" t="str">
        <f aca="false">IF(AG154=0,"",(AZ154-BA154)*HoursPerDay)</f>
        <v/>
      </c>
      <c r="Y154" s="15" t="str">
        <f aca="false">IF(AG154=0,"",IF(NOT(LH_Ready),"",IF(BC154=0,N154,IF(PFYDate&lt;$F154,N154-N(T154)-N(U154),X154-N(U154)))))</f>
        <v/>
      </c>
      <c r="Z154" s="14" t="str">
        <f aca="false">IF(OR(AG154=0,Y154=""),"",IF(Y154&gt;0,"Yes","No"))</f>
        <v/>
      </c>
      <c r="AA154" s="14" t="str">
        <f aca="false">IF(AG154=0,IF(LEN($A154&amp;$B154)=0,"","FIX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month")&amp;IF(BC154=0,";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EH)",""),IF(AS154="None",R154,"Not yet - first day on "&amp;TEXT(S154,"dd/mm/yyyy")))))))))</f>
        <v/>
      </c>
      <c r="AB154" s="15" t="str">
        <f aca="false">IF(OR(AG154=0,T154=""),"",BA154*HoursPerDay-T154)</f>
        <v/>
      </c>
      <c r="AC154" s="14" t="str">
        <f aca="false">IF(AG154=0,"",BC154)</f>
        <v/>
      </c>
      <c r="AD154" s="14" t="str">
        <f aca="false">IF(AG154=0,"",TRIM(IF(OR(ISTEXT($F154),ISTEXT($H154),ISTEXT($I154),ISTEXT($G154),ISTEXT($J154),ISTEXT($D154)),"A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I154&gt;=1,IF(AI154&gt;=3,AO154,IF(AI154=2,AN154,AM154))&lt;&gt;IF($C154="","",IF(OR(ISNUMBER(SEARCH("full",$C154)),UPPER(TRIM($C154))="FT",UPPER(TRIM($C154))="FTE"),"Full-Time",IF(OR(ISNUMBER(SEARCH("part",$C154)),UPPER(TRIM($C154))="PT",UPPER(TRIM($C154))="PTE"),"Part-Time",IF(OR(ISNUMBER(SEARCH("cas",$C154)),UPPER(TRIM($C154))="CAS"),"Casual","Unknown"))))),"EmploymentType does not match latest start date ("&amp;IF(AI154&gt;=3,AO154,IF(AI154=2,AN154,AM154))&amp;"). ","")&amp;IF(AND(AI154&gt;=1,AJ154&lt;&gt;$F154),"Earliest type date should equal StartDate. ","")&amp;IF(AND(AI154&gt;=2,AJ154=AK154),"Two types start on the same date. ","")&amp;IF(AND(OR(ISNUMBER(SEARCH("part",$C154)),UPPER(TRIM($C154))="PT",UPPER(TRIM($C154))="PTE"),$P154=""),"Part-time: enter PT Hrs/Week (blank = 24+). ","")))</f>
        <v/>
      </c>
      <c r="AE154" s="15" t="str">
        <f aca="false">IF(AG154=0,"",O154-BH154)</f>
        <v/>
      </c>
      <c r="AF154" s="12" t="str">
        <f aca="false">IF(OR(AG154=0,AE154="",N(AE154)=0,BI154=""),"",EDATE(AH154,BI154))</f>
        <v/>
      </c>
      <c r="AG154" s="14" t="n">
        <f aca="false">IF(OR(LEN($A154&amp;$B154)=0,$F154=""),0,1)</f>
        <v>0</v>
      </c>
      <c r="AH154" s="12" t="str">
        <f aca="false">IF(AG154=0,"",IF($J154&lt;&gt;"",$J154,IF(OR(CasualCounts="Yes",COUNT($G154:$I154)=0,COUNT($H154:$I154)=0),$F154,MIN($H154:$I154))))</f>
        <v/>
      </c>
      <c r="AI154" s="14" t="str">
        <f aca="false">IF(AG154=0,"",COUNT($G154:$I154))</f>
        <v/>
      </c>
      <c r="AJ154" s="12" t="str">
        <f aca="false">IF(AG154=0,"",IFERROR(SMALL($G154:$I154,1),""))</f>
        <v/>
      </c>
      <c r="AK154" s="12" t="str">
        <f aca="false">IF(AG154=0,"",IFERROR(SMALL($G154:$I154,2),""))</f>
        <v/>
      </c>
      <c r="AL154" s="12" t="str">
        <f aca="false">IF(AG154=0,"",IFERROR(SMALL($G154:$I154,3),""))</f>
        <v/>
      </c>
      <c r="AM154" s="14" t="str">
        <f aca="false">IF(AG154=0,"",IF(AJ154="","",IF(AJ154=$H154,"Part-Time",IF(AJ154=$I154,"Full-Time","Casual"))))</f>
        <v/>
      </c>
      <c r="AN154" s="14" t="str">
        <f aca="false">IF(AG154=0,"",IF(AK154="","",IF(AK154=$H154,"Part-Time",IF(AK154=$I154,"Full-Time","Casual"))))</f>
        <v/>
      </c>
      <c r="AO154" s="14" t="str">
        <f aca="false">IF(AG154=0,"",IF(AL154="","",IF(AL154=$H154,"Part-Time",IF(AL154=$I154,"Full-Time","Casual"))))</f>
        <v/>
      </c>
      <c r="AP154" s="14" t="str">
        <f aca="false">IF(AG154=0,"",IF(AI154=0,IF(OR(ISNUMBER(SEARCH("full",$C154)),UPPER(TRIM($C154))="FT",UPPER(TRIM($C154))="FTE"),"FT",IF(AND(OR(ISNUMBER(SEARCH("part",$C154)),UPPER(TRIM($C154))="PT",UPPER(TRIM($C154))="PTE"),OR($P154="",N($P154)&gt;=PT_MinHours)),"PT","None")),IF(OR(ISNUMBER(SEARCH("full",AM154)),UPPER(TRIM(AM154))="FT",UPPER(TRIM(AM154))="FTE"),"FT",IF(AND(OR(ISNUMBER(SEARCH("part",AM154)),UPPER(TRIM(AM154))="PT",UPPER(TRIM(AM154))="PTE"),OR($P154="",N($P154)&gt;=PT_MinHours)),"PT","None"))))</f>
        <v/>
      </c>
      <c r="AQ154" s="14" t="str">
        <f aca="false">IF(AG154=0,"",IF(AI154&lt;2,"",IF(OR(ISNUMBER(SEARCH("full",AN154)),UPPER(TRIM(AN154))="FT",UPPER(TRIM(AN154))="FTE"),"FT",IF(AND(OR(ISNUMBER(SEARCH("part",AN154)),UPPER(TRIM(AN154))="PT",UPPER(TRIM(AN154))="PTE"),OR($P154="",N($P154)&gt;=PT_MinHours)),"PT","None"))))</f>
        <v/>
      </c>
      <c r="AR154" s="14" t="str">
        <f aca="false">IF(AG154=0,"",IF(AI154&lt;3,"",IF(OR(ISNUMBER(SEARCH("full",AO154)),UPPER(TRIM(AO154))="FT",UPPER(TRIM(AO154))="FTE"),"FT",IF(AND(OR(ISNUMBER(SEARCH("part",AO154)),UPPER(TRIM(AO154))="PT",UPPER(TRIM(AO154))="PTE"),OR($P154="",N($P154)&gt;=PT_MinHours)),"PT","None"))))</f>
        <v/>
      </c>
      <c r="AS154" s="14" t="str">
        <f aca="false">IF(AG154=0,"",IF(AND(AI154&gt;=3,AL154&lt;=AsOfDate),AR154,IF(AND(AI154&gt;=2,AK154&lt;=AsOfDate),AQ154,AP154)))</f>
        <v/>
      </c>
      <c r="AT154" s="14" t="str">
        <f aca="false">IF(AG154=0,"",IF(AsOfDate&lt;AH154,-1,12*(YEAR(AsOfDate)-YEAR(AH154))+MONTH(AsOfDate)-MONTH(AH154)-IF(DAY(AsOfDate)&lt;MIN(DAY(AH154),DAY(EOMONTH(AsOfDate,0))),1,0)))</f>
        <v/>
      </c>
      <c r="AU154" s="14" t="str">
        <f aca="false">IF(AG154=0,"",IF(OR(AI154&lt;2,AK154&gt;AsOfDate),AT154,IF((AK154-1)&lt;AH154,-1,12*(YEAR((AK154-1))-YEAR(AH154))+MONTH((AK154-1))-MONTH(AH154)-IF(DAY((AK154-1))&lt;MIN(DAY(AH154),DAY(EOMONTH((AK154-1),0))),1,0))))</f>
        <v/>
      </c>
      <c r="AV154" s="14" t="str">
        <f aca="false">IF(AG154=0,"",IF(OR(AI154&lt;3,AL154&gt;AsOfDate),AT154,IF((AL154-1)&lt;AH154,-1,12*(YEAR((AL154-1))-YEAR(AH154))+MONTH((AL154-1))-MONTH(AH154)-IF(DAY((AL154-1))&lt;MIN(DAY(AH154),DAY(EOMONTH((AL154-1),0))),1,0))))</f>
        <v/>
      </c>
      <c r="AW154" s="14" t="str">
        <f aca="false">IF(AG154=0,"",IF(PFYDate&lt;AH154,-1,12*(YEAR(PFYDate)-YEAR(AH154))+MONTH(PFYDate)-MONTH(AH154)-IF(DAY(PFYDate)&lt;MIN(DAY(AH154),DAY(EOMONTH(PFYDate,0))),1,0)))</f>
        <v/>
      </c>
      <c r="AX154" s="14" t="str">
        <f aca="false">IF(AG154=0,"",IF(OR(AI154&lt;2,AK154&gt;PFYDate),AW154,IF((AK154-1)&lt;AH154,-1,12*(YEAR((AK154-1))-YEAR(AH154))+MONTH((AK154-1))-MONTH(AH154)-IF(DAY((AK154-1))&lt;MIN(DAY(AH154),DAY(EOMONTH((AK154-1),0))),1,0))))</f>
        <v/>
      </c>
      <c r="AY154" s="14" t="str">
        <f aca="false">IF(AG154=0,"",IF(OR(AI154&lt;3,AL154&gt;PFYDate),AW154,IF((AL154-1)&lt;AH154,-1,12*(YEAR((AL154-1))-YEAR(AH154))+MONTH((AL154-1))-MONTH(AH154)-IF(DAY((AL154-1))&lt;MIN(DAY(AH154),DAY(EOMONTH((AL154-1),0))),1,0))))</f>
        <v/>
      </c>
      <c r="AZ154" s="14" t="str">
        <f aca="false">IF(AG154=0,"",IF(AP154="FT",IF(AU154&lt;FT_First,0,IF(AU154&lt;FT_Y5,1+INT((AU154-FT_First)/FT_Int1),FT_PreY5+FT_PerYear*INT((AU154-FT_Y5)/12)+FT_AnnivDays+INT(MOD(AU154-FT_Y5,12)/FT_Int2))),IF(AP154="PT",IF(AU154&lt;PT_First,0,1+INT((AU154-PT_First)/PT_Int)),0))+IF(AND(AI154&gt;=2,AK154&lt;=AsOfDate),IF(AQ154="FT",IF(AV154&lt;FT_First,0,IF(AV154&lt;FT_Y5,1+INT((AV154-FT_First)/FT_Int1),FT_PreY5+FT_PerYear*INT((AV154-FT_Y5)/12)+FT_AnnivDays+INT(MOD(AV154-FT_Y5,12)/FT_Int2))),IF(AQ154="PT",IF(AV154&lt;PT_First,0,1+INT((AV154-PT_First)/PT_Int)),0))-IF(AQ154="FT",IF(AU154&lt;FT_First,0,IF(AU154&lt;FT_Y5,1+INT((AU154-FT_First)/FT_Int1),FT_PreY5+FT_PerYear*INT((AU154-FT_Y5)/12)+FT_AnnivDays+INT(MOD(AU154-FT_Y5,12)/FT_Int2))),IF(AQ154="PT",IF(AU154&lt;PT_First,0,1+INT((AU154-PT_First)/PT_Int)),0)),0)+IF(AND(AI154&gt;=3,AL154&lt;=AsOfDate),IF(AR154="FT",IF(AT154&lt;FT_First,0,IF(AT154&lt;FT_Y5,1+INT((AT154-FT_First)/FT_Int1),FT_PreY5+FT_PerYear*INT((AT154-FT_Y5)/12)+FT_AnnivDays+INT(MOD(AT154-FT_Y5,12)/FT_Int2))),IF(AR154="PT",IF(AT154&lt;PT_First,0,1+INT((AT154-PT_First)/PT_Int)),0))-IF(AR154="FT",IF(AV154&lt;FT_First,0,IF(AV154&lt;FT_Y5,1+INT((AV154-FT_First)/FT_Int1),FT_PreY5+FT_PerYear*INT((AV154-FT_Y5)/12)+FT_AnnivDays+INT(MOD(AV154-FT_Y5,12)/FT_Int2))),IF(AR154="PT",IF(AV154&lt;PT_First,0,1+INT((AV154-PT_First)/PT_Int)),0)),0))</f>
        <v/>
      </c>
      <c r="BA154" s="14" t="str">
        <f aca="false">IF(AG154=0,"",IF(AP154="FT",IF(AX154&lt;FT_First,0,IF(AX154&lt;FT_Y5,1+INT((AX154-FT_First)/FT_Int1),FT_PreY5+FT_PerYear*INT((AX154-FT_Y5)/12)+FT_AnnivDays+INT(MOD(AX154-FT_Y5,12)/FT_Int2))),IF(AP154="PT",IF(AX154&lt;PT_First,0,1+INT((AX154-PT_First)/PT_Int)),0))+IF(AND(AI154&gt;=2,AK154&lt;=PFYDate),IF(AQ154="FT",IF(AY154&lt;FT_First,0,IF(AY154&lt;FT_Y5,1+INT((AY154-FT_First)/FT_Int1),FT_PreY5+FT_PerYear*INT((AY154-FT_Y5)/12)+FT_AnnivDays+INT(MOD(AY154-FT_Y5,12)/FT_Int2))),IF(AQ154="PT",IF(AY154&lt;PT_First,0,1+INT((AY154-PT_First)/PT_Int)),0))-IF(AQ154="FT",IF(AX154&lt;FT_First,0,IF(AX154&lt;FT_Y5,1+INT((AX154-FT_First)/FT_Int1),FT_PreY5+FT_PerYear*INT((AX154-FT_Y5)/12)+FT_AnnivDays+INT(MOD(AX154-FT_Y5,12)/FT_Int2))),IF(AQ154="PT",IF(AX154&lt;PT_First,0,1+INT((AX154-PT_First)/PT_Int)),0)),0)+IF(AND(AI154&gt;=3,AL154&lt;=PFYDate),IF(AR154="FT",IF(AW154&lt;FT_First,0,IF(AW154&lt;FT_Y5,1+INT((AW154-FT_First)/FT_Int1),FT_PreY5+FT_PerYear*INT((AW154-FT_Y5)/12)+FT_AnnivDays+INT(MOD(AW154-FT_Y5,12)/FT_Int2))),IF(AR154="PT",IF(AW154&lt;PT_First,0,1+INT((AW154-PT_First)/PT_Int)),0))-IF(AR154="FT",IF(AY154&lt;FT_First,0,IF(AY154&lt;FT_Y5,1+INT((AY154-FT_First)/FT_Int1),FT_PreY5+FT_PerYear*INT((AY154-FT_Y5)/12)+FT_AnnivDays+INT(MOD(AY154-FT_Y5,12)/FT_Int2))),IF(AR154="PT",IF(AY154&lt;PT_First,0,1+INT((AY154-PT_First)/PT_Int)),0)),0))</f>
        <v/>
      </c>
      <c r="BB154" s="14" t="str">
        <f aca="false">IF(AG154=0,"",IF(AS154="FT",IF(AT154&lt;FT_First,FT_First,IF(AT154&lt;FT_Y5,MIN(FT_Y5,FT_First+FT_Int1*(INT((AT154-FT_First)/FT_Int1)+1)),FT_Y5+12*INT((AT154-FT_Y5)/12)+FT_Int2*(INT(MOD(AT154-FT_Y5,12)/FT_Int2)+1))),IF(AS154="PT",IF(AT154&lt;PT_First,PT_First,PT_First+PT_Int*(INT((AT154-PT_First)/PT_Int)+1)),"")))</f>
        <v/>
      </c>
      <c r="BC154" s="14" t="str">
        <f aca="false">IF(AG154=0,"",IF(NOT(LH_Ready),0,COUNTIFS(INDEX(LH_Data,0,LH_ColFirst),$A154,INDEX(LH_Data,0,LH_ColSur),$B154,INDEX(LH_Data,0,LH_ColCat),BonusCat)))</f>
        <v/>
      </c>
      <c r="BD154" s="14" t="str">
        <f aca="false">IF(AG154=0,"",IF(OR(NOT(LH_Ready),BC154=0),0,SUMPRODUCT(MAX((INDEX(LH_Data,0,LH_ColFirst)=$A154)*(INDEX(LH_Data,0,LH_ColSur)=$B154)*(INDEX(LH_Data,0,LH_ColCat)=BonusCat)*ROW(LH_Data)))))</f>
        <v/>
      </c>
      <c r="BE154" s="14" t="str">
        <f aca="false">IF(AG154=0,"",IF(EOMONTH(AsOfDate,-1)&lt;AH154,-1,12*(YEAR(EOMONTH(AsOfDate,-1))-YEAR(AH154))+MONTH(EOMONTH(AsOfDate,-1))-MONTH(AH154)-IF(DAY(EOMONTH(AsOfDate,-1))&lt;MIN(DAY(AH154),DAY(EOMONTH(EOMONTH(AsOfDate,-1),0))),1,0)))</f>
        <v/>
      </c>
      <c r="BF154" s="14" t="str">
        <f aca="false">IF(AG154=0,"",IF(OR(AI154&lt;2,AK154&gt;EOMONTH(AsOfDate,-1)),BE154,IF((AK154-1)&lt;AH154,-1,12*(YEAR((AK154-1))-YEAR(AH154))+MONTH((AK154-1))-MONTH(AH154)-IF(DAY((AK154-1))&lt;MIN(DAY(AH154),DAY(EOMONTH((AK154-1),0))),1,0))))</f>
        <v/>
      </c>
      <c r="BG154" s="14" t="str">
        <f aca="false">IF(AG154=0,"",IF(OR(AI154&lt;3,AL154&gt;EOMONTH(AsOfDate,-1)),BE154,IF((AL154-1)&lt;AH154,-1,12*(YEAR((AL154-1))-YEAR(AH154))+MONTH((AL154-1))-MONTH(AH154)-IF(DAY((AL154-1))&lt;MIN(DAY(AH154),DAY(EOMONTH((AL154-1),0))),1,0))))</f>
        <v/>
      </c>
      <c r="BH154" s="14" t="str">
        <f aca="false">IF(AG154=0,"",IF(AP154="FT",IF(BF154&lt;FT_First,0,IF(BF154&lt;FT_Y5,1+INT((BF154-FT_First)/FT_Int1),FT_PreY5+FT_PerYear*INT((BF154-FT_Y5)/12)+FT_AnnivDays+INT(MOD(BF154-FT_Y5,12)/FT_Int2))),IF(AP154="PT",IF(BF154&lt;PT_First,0,1+INT((BF154-PT_First)/PT_Int)),0))+IF(AND(AI154&gt;=2,AK154&lt;=EOMONTH(AsOfDate,-1)),IF(AQ154="FT",IF(BG154&lt;FT_First,0,IF(BG154&lt;FT_Y5,1+INT((BG154-FT_First)/FT_Int1),FT_PreY5+FT_PerYear*INT((BG154-FT_Y5)/12)+FT_AnnivDays+INT(MOD(BG154-FT_Y5,12)/FT_Int2))),IF(AQ154="PT",IF(BG154&lt;PT_First,0,1+INT((BG154-PT_First)/PT_Int)),0))-IF(AQ154="FT",IF(BF154&lt;FT_First,0,IF(BF154&lt;FT_Y5,1+INT((BF154-FT_First)/FT_Int1),FT_PreY5+FT_PerYear*INT((BF154-FT_Y5)/12)+FT_AnnivDays+INT(MOD(BF154-FT_Y5,12)/FT_Int2))),IF(AQ154="PT",IF(BF154&lt;PT_First,0,1+INT((BF154-PT_First)/PT_Int)),0)),0)+IF(AND(AI154&gt;=3,AL154&lt;=EOMONTH(AsOfDate,-1)),IF(AR154="FT",IF(BE154&lt;FT_First,0,IF(BE154&lt;FT_Y5,1+INT((BE154-FT_First)/FT_Int1),FT_PreY5+FT_PerYear*INT((BE154-FT_Y5)/12)+FT_AnnivDays+INT(MOD(BE154-FT_Y5,12)/FT_Int2))),IF(AR154="PT",IF(BE154&lt;PT_First,0,1+INT((BE154-PT_First)/PT_Int)),0))-IF(AR154="FT",IF(BG154&lt;FT_First,0,IF(BG154&lt;FT_Y5,1+INT((BG154-FT_First)/FT_Int1),FT_PreY5+FT_PerYear*INT((BG154-FT_Y5)/12)+FT_AnnivDays+INT(MOD(BG154-FT_Y5,12)/FT_Int2))),IF(AR154="PT",IF(BG154&lt;PT_First,0,1+INT((BG154-PT_First)/PT_Int)),0)),0))</f>
        <v/>
      </c>
      <c r="BI154" s="14" t="str">
        <f aca="false">IF(AG154=0,"",IF(AS154="FT",IF(AT154&lt;FT_First,"",IF(AT154&lt;FT_Y5,FT_First+FT_Int1*INT((AT154-FT_First)/FT_Int1),FT_Y5+FT_Int2*INT((AT154-FT_Y5)/FT_Int2))),IF(AS154="PT",IF(AT154&lt;PT_First,"",PT_First+PT_Int*INT((AT154-PT_First)/PT_Int)),"")))</f>
        <v/>
      </c>
      <c r="BJ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 t="s">
        <v>90</v>
      </c>
      <c r="B1" s="3" t="s">
        <v>91</v>
      </c>
      <c r="C1" s="3" t="s">
        <v>92</v>
      </c>
      <c r="D1" s="3" t="s">
        <v>29</v>
      </c>
      <c r="E1" s="3" t="s">
        <v>93</v>
      </c>
      <c r="F1" s="3" t="s">
        <v>94</v>
      </c>
      <c r="G1" s="3" t="s">
        <v>95</v>
      </c>
      <c r="H1" s="3" t="s">
        <v>96</v>
      </c>
      <c r="I1" s="3" t="s">
        <v>97</v>
      </c>
      <c r="J1" s="3" t="s">
        <v>98</v>
      </c>
      <c r="K1" s="3" t="s">
        <v>99</v>
      </c>
      <c r="L1" s="3" t="s">
        <v>100</v>
      </c>
      <c r="N1" s="17" t="s">
        <v>101</v>
      </c>
      <c r="O1" s="17" t="s">
        <v>102</v>
      </c>
    </row>
    <row r="2" customFormat="false" ht="15" hidden="false" customHeight="false" outlineLevel="0" collapsed="false">
      <c r="N2" s="2" t="str">
        <f aca="false">IF(H2="","",IFERROR(LEFT(H2,FIND(" ",H2)-1),H2))</f>
        <v/>
      </c>
      <c r="O2" s="18" t="n">
        <f aca="false">IFERROR(DATE(VALUE(MID(N2,FIND("/",N2,FIND("/",N2)+1)+1,4)),VALUE(MID(N2,FIND("/",N2)+1,FIND("/",N2,FIND("/",N2)+1)-FIND("/",N2)-1)),VALUE(LEFT(N2,FIND("/",N2)-1))),0)</f>
        <v>0</v>
      </c>
      <c r="Q2" s="2" t="s">
        <v>103</v>
      </c>
    </row>
    <row r="3" customFormat="false" ht="15" hidden="false" customHeight="false" outlineLevel="0" collapsed="false">
      <c r="N3" s="0" t="str">
        <f aca="false">IF(H3="","",IFERROR(LEFT(H3,FIND(" ",H3)-1),H3))</f>
        <v/>
      </c>
      <c r="O3" s="18" t="n">
        <f aca="false">IFERROR(DATE(VALUE(MID(N3,FIND("/",N3,FIND("/",N3)+1)+1,4)),VALUE(MID(N3,FIND("/",N3)+1,FIND("/",N3,FIND("/",N3)+1)-FIND("/",N3)-1)),VALUE(LEFT(N3,FIND("/",N3)-1))),0)</f>
        <v>0</v>
      </c>
    </row>
    <row r="4" customFormat="false" ht="15" hidden="false" customHeight="false" outlineLevel="0" collapsed="false">
      <c r="N4" s="0" t="str">
        <f aca="false">IF(H4="","",IFERROR(LEFT(H4,FIND(" ",H4)-1),H4))</f>
        <v/>
      </c>
      <c r="O4" s="18" t="n">
        <f aca="false">IFERROR(DATE(VALUE(MID(N4,FIND("/",N4,FIND("/",N4)+1)+1,4)),VALUE(MID(N4,FIND("/",N4)+1,FIND("/",N4,FIND("/",N4)+1)-FIND("/",N4)-1)),VALUE(LEFT(N4,FIND("/",N4)-1))),0)</f>
        <v>0</v>
      </c>
    </row>
    <row r="5" customFormat="false" ht="15" hidden="false" customHeight="false" outlineLevel="0" collapsed="false">
      <c r="N5" s="0" t="str">
        <f aca="false">IF(H5="","",IFERROR(LEFT(H5,FIND(" ",H5)-1),H5))</f>
        <v/>
      </c>
      <c r="O5" s="18" t="n">
        <f aca="false">IFERROR(DATE(VALUE(MID(N5,FIND("/",N5,FIND("/",N5)+1)+1,4)),VALUE(MID(N5,FIND("/",N5)+1,FIND("/",N5,FIND("/",N5)+1)-FIND("/",N5)-1)),VALUE(LEFT(N5,FIND("/",N5)-1))),0)</f>
        <v>0</v>
      </c>
    </row>
    <row r="6" customFormat="false" ht="15" hidden="false" customHeight="false" outlineLevel="0" collapsed="false">
      <c r="N6" s="0" t="str">
        <f aca="false">IF(H6="","",IFERROR(LEFT(H6,FIND(" ",H6)-1),H6))</f>
        <v/>
      </c>
      <c r="O6" s="18" t="n">
        <f aca="false">IFERROR(DATE(VALUE(MID(N6,FIND("/",N6,FIND("/",N6)+1)+1,4)),VALUE(MID(N6,FIND("/",N6)+1,FIND("/",N6,FIND("/",N6)+1)-FIND("/",N6)-1)),VALUE(LEFT(N6,FIND("/",N6)-1))),0)</f>
        <v>0</v>
      </c>
    </row>
    <row r="7" customFormat="false" ht="15" hidden="false" customHeight="false" outlineLevel="0" collapsed="false">
      <c r="N7" s="0" t="str">
        <f aca="false">IF(H7="","",IFERROR(LEFT(H7,FIND(" ",H7)-1),H7))</f>
        <v/>
      </c>
      <c r="O7" s="18" t="n">
        <f aca="false">IFERROR(DATE(VALUE(MID(N7,FIND("/",N7,FIND("/",N7)+1)+1,4)),VALUE(MID(N7,FIND("/",N7)+1,FIND("/",N7,FIND("/",N7)+1)-FIND("/",N7)-1)),VALUE(LEFT(N7,FIND("/",N7)-1))),0)</f>
        <v>0</v>
      </c>
    </row>
    <row r="8" customFormat="false" ht="15" hidden="false" customHeight="false" outlineLevel="0" collapsed="false">
      <c r="N8" s="0" t="str">
        <f aca="false">IF(H8="","",IFERROR(LEFT(H8,FIND(" ",H8)-1),H8))</f>
        <v/>
      </c>
      <c r="O8" s="18" t="n">
        <f aca="false">IFERROR(DATE(VALUE(MID(N8,FIND("/",N8,FIND("/",N8)+1)+1,4)),VALUE(MID(N8,FIND("/",N8)+1,FIND("/",N8,FIND("/",N8)+1)-FIND("/",N8)-1)),VALUE(LEFT(N8,FIND("/",N8)-1))),0)</f>
        <v>0</v>
      </c>
    </row>
    <row r="9" customFormat="false" ht="15" hidden="false" customHeight="false" outlineLevel="0" collapsed="false">
      <c r="N9" s="0" t="str">
        <f aca="false">IF(H9="","",IFERROR(LEFT(H9,FIND(" ",H9)-1),H9))</f>
        <v/>
      </c>
      <c r="O9" s="18" t="n">
        <f aca="false">IFERROR(DATE(VALUE(MID(N9,FIND("/",N9,FIND("/",N9)+1)+1,4)),VALUE(MID(N9,FIND("/",N9)+1,FIND("/",N9,FIND("/",N9)+1)-FIND("/",N9)-1)),VALUE(LEFT(N9,FIND("/",N9)-1))),0)</f>
        <v>0</v>
      </c>
    </row>
    <row r="10" customFormat="false" ht="15" hidden="false" customHeight="false" outlineLevel="0" collapsed="false">
      <c r="N10" s="0" t="str">
        <f aca="false">IF(H10="","",IFERROR(LEFT(H10,FIND(" ",H10)-1),H10))</f>
        <v/>
      </c>
      <c r="O10" s="18"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18"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18"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18"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18"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18"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18"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18"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18"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18"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18"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18"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18"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18"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18"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18"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18"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18"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18"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18"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18"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18"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18"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18"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18"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18"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18"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18"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18"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18"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18"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18"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18"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18"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18"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18"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18"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18"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18"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18"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18"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18"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18"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18"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18"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18"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18"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18"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18"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18"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18"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18"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18"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18"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18"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18"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18"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18"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18"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18"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18"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18"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18"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18"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18"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18"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18"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18"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18"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18"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18"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18"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18"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18"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18"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18"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18"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18"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18"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18"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18"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18"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18"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18"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18"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18"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18"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18"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18"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18"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18"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18"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18"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18"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18"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18"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18"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18"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18"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18"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18"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18"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18"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18"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18"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18"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18"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18"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18"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18"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18"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18"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18"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18"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18"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18"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18"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18"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18"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18"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18"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18"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18"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18"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18"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18"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18"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18"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18"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18"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18"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18"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18"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18"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18"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18"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18"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18"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18"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18"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18"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18"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18"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18"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18"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18"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18"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18"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18"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18"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18"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18"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18"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18"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18"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18"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18"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18"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18"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18"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18"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18"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18"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18"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18"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18"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18"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18"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18"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18"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18"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18"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18"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18"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18"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18"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18"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18"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18"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18"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18"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18"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18"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18"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18"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18"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18"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18"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18"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18"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18"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18"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18"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18"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18"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18"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18"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18"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18"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18"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18"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18"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18"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18"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18"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18"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18"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18"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18"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18"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18"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18"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18"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18"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18"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18"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18"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18"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18"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18"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18"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18"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18"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18"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18"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18"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18"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18"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18"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18"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18"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18"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18"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18"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18"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18"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18"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18"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18"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18"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18"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18"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18"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18"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18"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18"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18"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18"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18"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18"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18"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18"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18"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18"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18"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18"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18"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18"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18"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18"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18"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18"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18"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18"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18"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18"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18"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18"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18"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18"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18"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18"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18"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18"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18"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18"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18"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18"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18"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18"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18"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18"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18"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18"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18"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18"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18"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18"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18"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18"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18"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18"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18"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18"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18"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18"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18"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18"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18"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18"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18"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18"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18"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18"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18"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18"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18"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18"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18"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18"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18"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18"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18"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18"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18"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18"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18"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18"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18"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18"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18"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18"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18"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18"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18"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18"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18"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18"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18"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18"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18"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18"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18"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18"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18"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18"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18"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18"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18"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18"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18"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18"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18"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18"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18"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18"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18"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18"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18"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18"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18"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18"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18"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18"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18"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18"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18"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18"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18"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18"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18"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18"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18"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18"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18"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18"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18"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18"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18"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18"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18"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18"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18"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18"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18"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18"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18"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18"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18"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18"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18"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18"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18"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18"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18"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18"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18"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18"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18"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18"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18"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18"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18"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18"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18"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18"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18"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18"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18"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18"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18"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18"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18"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18"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18"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18"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18"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18"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18"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18"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18"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18"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18"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18"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18"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18"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18"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18"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18"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18"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18"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18"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18"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18"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18"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18"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18"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18"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18"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18"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18"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18"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18"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18"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18"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18"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18"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18"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18"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18"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18"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18"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18"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18"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18"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18"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18"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18"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18"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18"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18"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18"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18"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18"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18"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18"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18"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18"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18"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18"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18"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18"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18"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18"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18"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18"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18"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18"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18"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18"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18"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18"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18"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18"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18"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18"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18"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18"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18"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18"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18"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18"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18"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18"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18"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18"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18"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18"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18"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18"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18"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18"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18"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18"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18"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18"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18"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18"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18"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18"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18"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18"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18"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18"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18"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18"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18"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18"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18"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18"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18"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18"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18"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18"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18"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18"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18"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18"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18"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18"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18"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18"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18"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18"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18"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18"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18"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18"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18"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18"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18"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18"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18"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18"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18"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18"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18"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18"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18"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18"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18"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18"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18"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18"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18"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18"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18"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18"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18"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18"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18"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18"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18"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18"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18"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18"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18"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18"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18"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18"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18"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18"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18"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18"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18"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18"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18"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18"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18"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18"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18"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18"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18"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18"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18"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18"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18"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18"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18"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18"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18"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18"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18"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18"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18"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18"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18"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18"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18"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18"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18"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18"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18"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18"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18"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18"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18"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18"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18"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18"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18"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18"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18"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18"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18"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18"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18"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18"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18"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18"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18"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18"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18"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18"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18"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18"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18"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18"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18"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18"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18"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18"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18"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18"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18"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18"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18"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18"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18"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18"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18"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18"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18"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18"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18"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18"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18"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18"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18"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18"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18"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18"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18"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18"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18"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18"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18"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18"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18"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18"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18"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18"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18"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18"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18"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18"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18"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18"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18"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18"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18"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18"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18"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18"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18"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18"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18"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18"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18"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18"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18"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18"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18"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18"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18"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18"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18"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18"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18"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18"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18"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18"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18"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18"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18"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18"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18"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18"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18"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18"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18"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18"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18"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18"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18"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18"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18"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18"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18"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18"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18"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18"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18"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18"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18"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18"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18"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18"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18"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18"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18"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18"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18"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18"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18"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18"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18"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18"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18"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18"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18"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18"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18"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18"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18"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18"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18"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18"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18"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18"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18"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18"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18"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18"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18"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18"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18"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18"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18"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18"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18"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18"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18"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18"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18"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18"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18"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18"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18"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18"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18"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18"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18"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18"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18"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18"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18"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18"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18"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18"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18"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18"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18"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18"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18"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18"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18"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18"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18"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18"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18"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18"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18"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18"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18"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18"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18"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18"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18"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18"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18"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18"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18"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18"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18"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18"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18"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18"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18"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18"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18"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18"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18"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18"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18"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18"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18"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18"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18"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18"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18"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18"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18"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18"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18"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18"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18"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18"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18"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18"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18"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18"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18"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18"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18"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18"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18"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18"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18"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18"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18"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18"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18"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18"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18"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18"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18"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18"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18"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18"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18"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18"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18"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18"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18"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18"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18"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18"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18"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18"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18"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18"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18"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18"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18"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18"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18"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18"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18"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18"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18"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18"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18"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18"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18"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18"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18"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18"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18"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18"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18"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18"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18"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18"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18"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18"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18"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18"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18"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18"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18"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18"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18"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18"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18"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18"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18"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18"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18"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18"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18"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18"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18"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18"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18"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18"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18"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18"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18"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18"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18"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18"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18"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18"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18"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18"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18"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18"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18"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18"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18"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18"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18"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18"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18"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18"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18"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18"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18"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18"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18"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18"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18"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18"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18"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18"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18"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18"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18"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18"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18"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18"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18"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18"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18"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18"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18"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18"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18"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18"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18"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18"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18"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18"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18"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18"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18"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18"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18"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18"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18"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18"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18"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18"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18"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18"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18"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18"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18"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18"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18"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18"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18"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18"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18"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18"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18"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18"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18"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18"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18"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18"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18"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18"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18"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18"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18"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18"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18"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18"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18"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18"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18"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18"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18"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18"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18"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18"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18"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18"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18"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18"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18"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18"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18"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18"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18"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18"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18"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18"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18"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18"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18"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18"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18"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18"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18"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18"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18"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18"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18"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18"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18"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18"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18"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18"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18"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18"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18"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18"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18"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18"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18"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18"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18"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18"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18"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18"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18"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18"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18"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18"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18"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18"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18"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18"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18"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18"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18"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18"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18"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18"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18"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18"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18"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18"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18"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18"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18"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18"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18"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18"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18"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18"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18"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18"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18"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18"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18"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18"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18"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18"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18"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18"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18"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18"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18"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18"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18"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18"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18"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18"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18"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18"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18"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18"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18"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18"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18"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18"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18"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18"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18"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18"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18"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18"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18"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18"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18"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18"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18"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18"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18"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18"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18"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18"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18"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18"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18"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18"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18"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18"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18"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18"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18"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18"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18"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18"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18"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18"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18"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18"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18"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18"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18"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18"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18"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18"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18"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18"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18"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18"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18"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18"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18"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18"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18"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18"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18"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18"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18"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18"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18"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18"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18"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18"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18"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18"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18"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18"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18"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18"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18"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18"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18"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18"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18"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18"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18"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18"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18"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18"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18"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18"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18"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18"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18"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18"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18"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18"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18"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18"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18"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18"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18"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18"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18"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18"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18"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18"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18"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18"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18"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18"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18"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18"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18"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18"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18"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18"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18"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18"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18"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18"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18"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18"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18"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18"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18"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18"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18"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18"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18"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18"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18"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18"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18"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18"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18"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18"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18"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18"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18"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18"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18"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18"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18"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18"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18"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18"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18"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18"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18"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18"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18"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18"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18"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18"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18"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18"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18"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18"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18"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18"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18"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18"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18"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18"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18"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18"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18"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18"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18"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18"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18"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18"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18"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18"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18"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18"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18"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18"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18"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18"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18"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18"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18"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18"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18"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18"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18"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18"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18"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18"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18"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18"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18"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18"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18"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18"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18"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18"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18"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18"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18"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18"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18"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18"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18"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18"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18"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18"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18"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18"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18"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18"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18"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18"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18"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18"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18"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18"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18"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18"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18"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18"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18"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18"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18"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18"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18"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18"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18"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18"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18"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18"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18"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18"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18"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18"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18"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18"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18"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18"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18"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18"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18"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18"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18"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18"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18"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18"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18"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18"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18"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18"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18"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18"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18"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18"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18"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18"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18"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18"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18"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18"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18"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18"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18"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18"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18"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18"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18"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18"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18"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18"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18"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18"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18"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18"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18"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18"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18"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18"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18"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18"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18"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18"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18"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18"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18"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18"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18"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18"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18"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18"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18"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18"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18"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18"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18"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18"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18"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18"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18"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18"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18"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18"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18"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18"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18"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18"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18"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18"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18"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18"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18"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18"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18"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18"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18"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18"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18"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18"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18"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18"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18"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18"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18"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18"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18"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18"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18"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18"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18"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18"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18"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18"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18"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18"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18"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18"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18"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18"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18"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18"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18"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18"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18"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18"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18"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18"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18"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18"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18"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18"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18"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18"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18"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18"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18"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18"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18"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18"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18"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18"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18"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18"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18"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18"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18"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18"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18"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18"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18"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18"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18"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18"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18"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18"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18"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18"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18"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18"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18"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18"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18"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18"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18"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18"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18"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18"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18"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18"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18"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18"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18"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18"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18"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18"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18"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18"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18"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18"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18"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18"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18"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18"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18"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18"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18"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18"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18"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18"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18"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18"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18"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18"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18"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18"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18"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18"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18"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18"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18"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18"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18"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18"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18"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18"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18"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18"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18"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18"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18"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18"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18"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18"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18"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18"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18"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18"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18"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18"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18"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18"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18"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18"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18"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18"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18"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18"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18"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18"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18"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18"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18"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18"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18"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18"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18"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18"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18"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18"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18"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18"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18"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18"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18"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18"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18"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18"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18"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18"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18"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18"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18"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18"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18"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18"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18"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18"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18"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18"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18"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18"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18"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18"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18"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18"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18"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18"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18"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18"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18"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18"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18"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18"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18"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18"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18"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18"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18"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18"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18"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18"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18"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18"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18"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18"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18"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18"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18"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18"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18"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18"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18"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18"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18"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18"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18"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18"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18"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18"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18"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18"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18"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18"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18"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18"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18"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18"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18"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18"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18"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18"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18"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18"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18"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18"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18"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18"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18"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18"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18"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18"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18"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18"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18"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18"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18"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18"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18"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18"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18"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18"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18"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18"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18"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18"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18"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18"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18"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18"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18"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18"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18"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18"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18"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18"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18"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18"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18"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18"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18"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18"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18"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18"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18"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18"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18"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18"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18"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18"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18"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18"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18"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18"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18"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18"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18"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18"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18"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18"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18"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18"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18"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18"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18"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18"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18"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18"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18"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18"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18"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18"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18"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18"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18"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18"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18"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18"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18"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18"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18"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18"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18"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18"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18"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18"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18"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18"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18"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18"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18"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18"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18"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18"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18"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18"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18"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18"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18"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18"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18"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18"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18"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18"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18"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18"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18"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18"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18"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18"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18"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18"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18"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18"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18"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18"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18"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18"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18"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18"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18"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18"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18"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18"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18"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18"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18"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18"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18"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18"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18"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18"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18"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18"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18"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18"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18"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18"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18"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18"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18"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18"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18"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18"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18"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18"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18"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18"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18"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18"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18"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18"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18"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18"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18"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18"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18"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18"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18"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18"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18"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18"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18"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18"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18"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18"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18"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18"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18"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18"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18"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18"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18"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18"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18"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18"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18"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18"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18"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18"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18"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18"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18"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18"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18"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18"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18"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18"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18"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18"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18"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18"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18"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18"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18"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18"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18"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18"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18"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18"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18"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18"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18"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18"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18"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18"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18"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18"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18"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18"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18"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18"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18"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18"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18"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18"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18"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18"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18"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18"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18"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18"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18"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18"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18"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18"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18"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18"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18"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18"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18"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18"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18"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18"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18"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18"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18"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18"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18"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18"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18"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18"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18"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18"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18"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18"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18"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18"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18"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18"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18"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18"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18"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18"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18"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18"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18"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18"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18"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18"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18"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18"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18"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18"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18"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18"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18"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18"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18"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18"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18"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18"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18"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18"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18"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18"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18"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18"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18"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18"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18"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18"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18"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18"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18"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18"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18"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18"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18"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18"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18"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18"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18"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18"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18"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18"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18"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18"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18"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18"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18"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18"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18"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18"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18"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18"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18"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18"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18"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18"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18"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18"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18"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18"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18"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18"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18"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18"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18"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18"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18"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18"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18"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18"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18"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18"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18"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18"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18"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18"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18"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18"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18"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18"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18"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18"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18"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18"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18"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18"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18"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18"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18"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18"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18"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18"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18"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18"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18"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18"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18"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18"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18"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18"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18"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18"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18"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18"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18"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18"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18"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18"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18"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18"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18"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18"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18"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18"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18"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18"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18"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18"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18"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18"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18"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18"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18"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18"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18"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18"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18"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18"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18"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18"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18"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18"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18"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18"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18"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18"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18"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18"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18"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18"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18"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18"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18"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18"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18"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18"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18"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18"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18"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18"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18"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18"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18"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18"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18"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18"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18"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18"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18"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18"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18"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18"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18"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18"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18"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18"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18"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18"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18"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18"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18"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18"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18"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18"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18"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18"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18"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18"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18"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18"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18"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18"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18"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18"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18"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18"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18"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18"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18"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18"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18"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18"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18"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18"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18"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18"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18"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18"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18"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18"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18"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18"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18"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18"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18"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18"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18"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18"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18"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18"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18"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18"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18"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18"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18"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18"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18"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18"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18"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18"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18"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18"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18"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18"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18"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18"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18"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18"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18"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18"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18"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18"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18"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18"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18"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18"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18"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18"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18"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18"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18"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18"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18"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18"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18"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18"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18"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18"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18"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18"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18"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18"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18"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18"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18"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18"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18"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18"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18"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18"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18"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18"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18"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18"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18"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18"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18"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18"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18"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18"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18"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18"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18"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18"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18"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18"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18"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18"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18"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18"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18"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18"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18"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18"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18"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18"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18"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18"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18"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18"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18"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18"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18"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18"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18"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18"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18"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18"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18"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18"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18"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18"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18"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18"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18"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18"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18"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18"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18"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18"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18"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18"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18"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18"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18"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18"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18"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18"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18"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18"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18"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18"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18"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18"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18"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18"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18"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18"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18"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18"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18"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18"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18"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18"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18"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18"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18"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18"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18"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18"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18"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18"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18"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18"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18"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18"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18"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18"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18"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18"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18"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18"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18"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18"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18"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18"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18"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18"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18"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18"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18"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18"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18"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18"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18"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18"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18"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18"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18"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18"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18"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18"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18"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18"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18"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18"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18"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18"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18"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18"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18"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18"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18"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18"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18"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18"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18"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18"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18"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18"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18"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18"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18"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18"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18"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18"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18"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18"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18"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18"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18"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18"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18"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18"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18"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18"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18"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18"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18"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18"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18"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18"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18"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18"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18"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18"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18"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18"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18"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18"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18"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18"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18"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18"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18"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18"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18"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18"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18"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18"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18"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18"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18"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18"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18"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18"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18"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18"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18"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18"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18"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18"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18"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18"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18"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18"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18"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18"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18"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18"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18"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18"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18"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18"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18"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18"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18"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18"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18"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18"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18"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18"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18"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18"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18"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18"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18"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18"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18"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18"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18"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18"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18"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18"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18"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18"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18"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18"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18"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18"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18"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18"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18"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18"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18"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18"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18"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18"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18"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18"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18"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18"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18"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18"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18"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18"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18"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18"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18"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18"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18"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18"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18"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18"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18"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18"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18"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18"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18"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18"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18"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18"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18"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18"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18"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18"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18"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18"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18"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18"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18"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18"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18"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18"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18"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18"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18"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18"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18"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18"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18"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18"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18"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18"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18"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18"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18"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18"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18"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18"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18"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18"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18"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18"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18"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18"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18"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18"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18"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18"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18"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18"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18"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18"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18"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18"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18"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18"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18"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18"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18"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18"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18"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18"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18"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18"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18"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18"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18"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18"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18"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18"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18"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18"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18"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18"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18"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18"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18"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18"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18"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18"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18"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18"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18"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18"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18"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18"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18"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18"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18"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18"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18"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18"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18"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18"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18"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18"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18"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18"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18"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18"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18"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18"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18"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18"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18"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18"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18"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18"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18"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18"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18"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18"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18"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18"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18"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18"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18"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18"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18"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18"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18"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18"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18"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18"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18"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18"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18"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18"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18"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18"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18"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18"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18"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18"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18"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18"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18"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18"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18"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18"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18"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18"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18"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18"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18"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18"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18"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18"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18"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18"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18"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18"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18"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18"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18"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18"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18"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18"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18"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18"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18"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18"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18"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18"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18"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18"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18"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18"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18"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18"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18"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18"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18"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18"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18"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18"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18"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18"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18"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18"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18"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18"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18"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18"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18"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18"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18"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18"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18"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18"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18"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18"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18"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18"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18"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18"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18"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18"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18"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18"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18"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18"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18"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18"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18"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18"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18"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18"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18"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18"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18"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18"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18"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18"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18"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18"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18"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18"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18"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18"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18"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18"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18"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18"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18"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18"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18"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18"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18"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18"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18"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18"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18"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18"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18"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18"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18"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18"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18"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18"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18"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18"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18"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18"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18"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18"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18"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18"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18"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18"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18"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18"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18"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18"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18"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18"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18"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18"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18"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18"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18"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18"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18"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18"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18"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18"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18"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18"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18"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18"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18"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18"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18"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18"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18"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18"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18"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18"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18"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18"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18"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18"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18"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18"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18"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18"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18"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18"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18"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18"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18"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18"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18"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18"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18"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18"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18"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18"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18"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18"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18"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18"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18"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18"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18"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18"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18"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18"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18"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18"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18"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18"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18"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18"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18"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18"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18"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18"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18"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18"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18"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18"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18"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18"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18"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18"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18"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18"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18"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18"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18"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18"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18"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18"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18"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18"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18"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18"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18"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18"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18"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18"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18"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18"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18"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18"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18"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18"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18"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18"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18"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18"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18"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18"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18"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18"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18"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18"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18"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18"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18"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18"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18"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18"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18"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18"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18"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18"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18"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18"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18"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18"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18"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18"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18"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18"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18"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18"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18"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18"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18"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18"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18"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18"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18"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18"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18"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18"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18"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18"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18"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18"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18"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18"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18"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18"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18"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18"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18"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18"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18"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18"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18"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18"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18"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18"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18"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18"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18"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18"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18"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18"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18"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18"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18"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18"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18"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18"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18"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18"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18"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18"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18"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18"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18"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18"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18"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18"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18"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18"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18"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18"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18"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18"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18"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18"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18"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18"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18"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18"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18"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18"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18"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18"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18"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18"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18"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18"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18"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18"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18"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18"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18"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18"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18"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18"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18"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18"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18"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18"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18"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18"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18"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18"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18"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18"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18"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18"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18"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18"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18"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18"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18"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18"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18"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18"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18"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18"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18"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18"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18"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18"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18"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18"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18"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18"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18"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18"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18"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18"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18"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18"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18"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18"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18"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18"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18"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18"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18"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18"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18"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18"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18"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18"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18"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18"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18"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18"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18"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18"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18"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18"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18"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18"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18"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18"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18"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18"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18"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18"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18"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18"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18"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18"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18"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18"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18"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18"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18"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18"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18"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18"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18"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18"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18"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18"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18"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18"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18"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18"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18"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18"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18"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18"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18"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18"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18"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18"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18"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18"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18"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18"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18"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18"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18"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18"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18"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18"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18"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18"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18"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18"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18"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18"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18"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18"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18"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18"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18"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18"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18"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18"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18"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18"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18"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18"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18"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18"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18"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18"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18"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18"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18"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18"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18"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18"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18"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18"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18"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18"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18"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18"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18"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18"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18"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18"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18"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18"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18"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18"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18"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18"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18"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18"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18"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18"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18"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18"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18"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18"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18"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18"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18"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18"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18"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18"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18"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18"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18"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18"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18"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18"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18"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18"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18"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18"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18"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18"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18"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18"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18"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18"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18"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18"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18"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18"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18"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18"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18"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18"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18"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18"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18"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18"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18"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18"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18"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18"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18"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18"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18"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1" t="s">
        <v>104</v>
      </c>
    </row>
    <row r="3" customFormat="false" ht="15" hidden="false" customHeight="false" outlineLevel="0" collapsed="false">
      <c r="B3" s="2" t="s">
        <v>105</v>
      </c>
    </row>
    <row r="5" customFormat="false" ht="15" hidden="false" customHeight="false" outlineLevel="0" collapsed="false">
      <c r="B5" s="3" t="s">
        <v>106</v>
      </c>
      <c r="C5" s="19" t="str">
        <f aca="false">Staff!BJ5</f>
        <v/>
      </c>
    </row>
    <row r="6" customFormat="false" ht="15" hidden="false" customHeight="false" outlineLevel="0" collapsed="false">
      <c r="B6" s="20" t="s">
        <v>107</v>
      </c>
      <c r="C6" s="21" t="str">
        <f aca="false">IF(ISNUMBER(MATCH($C$5,Staff!$BJ$5:$BJ$154,0)),"Yes","NO - pick from the list")</f>
        <v>Yes</v>
      </c>
    </row>
    <row r="8" customFormat="false" ht="15" hidden="false" customHeight="false" outlineLevel="0" collapsed="false">
      <c r="B8" s="22" t="s">
        <v>108</v>
      </c>
      <c r="C8" s="12" t="str">
        <f aca="false">IF($C$6&lt;&gt;"Yes","",INDEX(Staff!$AH$5:$AH$154,MATCH($C$5,Staff!$BJ$5:$BJ$154,0)))</f>
        <v/>
      </c>
      <c r="E8" s="22" t="s">
        <v>109</v>
      </c>
      <c r="F8" s="12" t="n">
        <f aca="false">AsOfDate</f>
        <v>46303</v>
      </c>
    </row>
    <row r="9" customFormat="false" ht="15" hidden="false" customHeight="false" outlineLevel="0" collapsed="false">
      <c r="B9" s="22" t="s">
        <v>110</v>
      </c>
      <c r="C9" s="14" t="n">
        <f aca="false">IF($C$6&lt;&gt;"Yes","",INDEX(Staff!$C$5:$C$154,MATCH($C$5,Staff!$BJ$5:$BJ$154,0)))</f>
        <v>0</v>
      </c>
      <c r="E9" s="22" t="s">
        <v>111</v>
      </c>
      <c r="F9" s="23" t="str">
        <f aca="false">IF($C$6&lt;&gt;"Yes","",INDEX(Staff!$O$5:$O$154,MATCH($C$5,Staff!$BJ$5:$BJ$154,0)))</f>
        <v/>
      </c>
    </row>
    <row r="10" customFormat="false" ht="15" hidden="false" customHeight="false" outlineLevel="0" collapsed="false">
      <c r="B10" s="22" t="s">
        <v>112</v>
      </c>
      <c r="C10" s="15" t="n">
        <f aca="false">IF($C$6&lt;&gt;"Yes","",INDEX(Staff!$P$5:$P$154,MATCH($C$5,Staff!$BJ$5:$BJ$154,0)))</f>
        <v>0</v>
      </c>
      <c r="E10" s="22" t="s">
        <v>113</v>
      </c>
      <c r="F10" s="23" t="n">
        <f aca="false">IF($C$6&lt;&gt;"Yes","",SUM($O$20:$O$109)+SUM($X$20:$X$109))</f>
        <v>0</v>
      </c>
    </row>
    <row r="11" customFormat="false" ht="15" hidden="false" customHeight="false" outlineLevel="0" collapsed="false">
      <c r="B11" s="22" t="s">
        <v>114</v>
      </c>
      <c r="C11" s="14" t="str">
        <f aca="false">IF($C$6&lt;&gt;"Yes","",INDEX(Staff!$AM$5:$AM$154,MATCH($C$5,Staff!$BJ$5:$BJ$154,0)))</f>
        <v/>
      </c>
      <c r="E11" s="22" t="s">
        <v>115</v>
      </c>
      <c r="F11" s="23" t="str">
        <f aca="false">IF($C$6&lt;&gt;"Yes","",IF(ABS(N(F9)-N(F10))&lt;0.001,"Yes","NO - check inputs"))</f>
        <v>Yes</v>
      </c>
    </row>
    <row r="12" customFormat="false" ht="15" hidden="false" customHeight="false" outlineLevel="0" collapsed="false">
      <c r="B12" s="22" t="s">
        <v>116</v>
      </c>
      <c r="C12" s="12" t="str">
        <f aca="false">IF($C$6&lt;&gt;"Yes","",INDEX(Staff!$AK$5:$AK$154,MATCH($C$5,Staff!$BJ$5:$BJ$154,0)))</f>
        <v/>
      </c>
      <c r="E12" s="22" t="s">
        <v>117</v>
      </c>
      <c r="F12" s="14" t="n">
        <f aca="false">HoursPerDay</f>
        <v>8</v>
      </c>
    </row>
    <row r="13" customFormat="false" ht="15" hidden="false" customHeight="false" outlineLevel="0" collapsed="false">
      <c r="B13" s="22" t="s">
        <v>118</v>
      </c>
      <c r="C13" s="14" t="str">
        <f aca="false">IF($C$6&lt;&gt;"Yes","",INDEX(Staff!$AN$5:$AN$154,MATCH($C$5,Staff!$BJ$5:$BJ$154,0)))</f>
        <v/>
      </c>
      <c r="E13" s="22" t="s">
        <v>119</v>
      </c>
      <c r="F13" s="23" t="n">
        <f aca="false">IF($C$6&lt;&gt;"Yes","",F10*HoursPerDay)</f>
        <v>0</v>
      </c>
    </row>
    <row r="14" customFormat="false" ht="15" hidden="false" customHeight="false" outlineLevel="0" collapsed="false">
      <c r="B14" s="22" t="s">
        <v>120</v>
      </c>
      <c r="C14" s="12" t="str">
        <f aca="false">IF($C$6&lt;&gt;"Yes","",INDEX(Staff!$AL$5:$AL$154,MATCH($C$5,Staff!$BJ$5:$BJ$154,0)))</f>
        <v/>
      </c>
    </row>
    <row r="15" customFormat="false" ht="15" hidden="false" customHeight="false" outlineLevel="0" collapsed="false">
      <c r="B15" s="22" t="s">
        <v>121</v>
      </c>
      <c r="C15" s="14" t="str">
        <f aca="false">IF($C$6&lt;&gt;"Yes","",INDEX(Staff!$AO$5:$AO$154,MATCH($C$5,Staff!$BJ$5:$BJ$154,0)))</f>
        <v/>
      </c>
    </row>
    <row r="16" customFormat="false" ht="15" hidden="false" customHeight="false" outlineLevel="0" collapsed="false">
      <c r="B16" s="22" t="s">
        <v>122</v>
      </c>
      <c r="C16" s="14" t="str">
        <f aca="false">IF($C$6&lt;&gt;"Yes","",INDEX(Staff!$AI$5:$AI$154,MATCH($C$5,Staff!$BJ$5:$BJ$154,0)))</f>
        <v/>
      </c>
    </row>
    <row r="18" customFormat="false" ht="15" hidden="false" customHeight="true" outlineLevel="0" collapsed="false">
      <c r="H18" s="24" t="s">
        <v>123</v>
      </c>
      <c r="I18" s="24"/>
      <c r="J18" s="24"/>
      <c r="K18" s="24"/>
      <c r="L18" s="24"/>
      <c r="M18" s="24"/>
      <c r="N18" s="24"/>
      <c r="O18" s="24"/>
      <c r="Q18" s="24" t="s">
        <v>124</v>
      </c>
      <c r="R18" s="24"/>
      <c r="S18" s="24"/>
      <c r="T18" s="24"/>
      <c r="U18" s="24"/>
      <c r="V18" s="24"/>
      <c r="W18" s="24"/>
      <c r="X18" s="24"/>
      <c r="Z18" s="2" t="s">
        <v>125</v>
      </c>
    </row>
    <row r="19" customFormat="false" ht="39.75" hidden="false" customHeight="true" outlineLevel="0" collapsed="false">
      <c r="H19" s="6" t="s">
        <v>126</v>
      </c>
      <c r="I19" s="6" t="s">
        <v>127</v>
      </c>
      <c r="J19" s="6" t="s">
        <v>128</v>
      </c>
      <c r="K19" s="6" t="s">
        <v>129</v>
      </c>
      <c r="L19" s="6" t="s">
        <v>130</v>
      </c>
      <c r="M19" s="6" t="s">
        <v>131</v>
      </c>
      <c r="N19" s="6" t="s">
        <v>132</v>
      </c>
      <c r="O19" s="6" t="s">
        <v>133</v>
      </c>
      <c r="Q19" s="6" t="s">
        <v>126</v>
      </c>
      <c r="R19" s="6" t="s">
        <v>127</v>
      </c>
      <c r="S19" s="6" t="s">
        <v>128</v>
      </c>
      <c r="T19" s="6" t="s">
        <v>129</v>
      </c>
      <c r="U19" s="6" t="s">
        <v>130</v>
      </c>
      <c r="V19" s="6" t="s">
        <v>131</v>
      </c>
      <c r="W19" s="6" t="s">
        <v>132</v>
      </c>
      <c r="X19" s="6" t="s">
        <v>133</v>
      </c>
      <c r="Z19" s="25" t="s">
        <v>134</v>
      </c>
      <c r="AA19" s="25" t="s">
        <v>135</v>
      </c>
      <c r="AB19" s="25" t="s">
        <v>131</v>
      </c>
      <c r="AC19" s="25" t="s">
        <v>42</v>
      </c>
    </row>
    <row r="20" customFormat="false" ht="15" hidden="false" customHeight="false" outlineLevel="0" collapsed="false">
      <c r="H20" s="14" t="n">
        <v>1</v>
      </c>
      <c r="I20" s="14" t="n">
        <f aca="false">IF(0&lt;FT_PreY5,FT_First+FT_Int1*0,FT_Y5+FT_Int2*(0-FT_PreY5))</f>
        <v>36</v>
      </c>
      <c r="J20" s="14" t="str">
        <f aca="false">INT(I20/12)&amp;"y "&amp;MOD(I20,12)&amp;"m"</f>
        <v>3y 0m</v>
      </c>
      <c r="K20" s="12" t="str">
        <f aca="false">IF(OR($C$6&lt;&gt;"Yes",$C$8=""),"",EDATE($C$8,I20))</f>
        <v/>
      </c>
      <c r="L20" s="14" t="str">
        <f aca="false">IF(K20="","",IF($C$16=0,$C$9,IF(AND($C$14&lt;&gt;"",K20&gt;=$C$14),$C$15,IF(AND($C$12&lt;&gt;"",K20&gt;=$C$12),$C$13,$C$11))))</f>
        <v/>
      </c>
      <c r="M20" s="14" t="str">
        <f aca="false">IF(K20="","",IF(OR(ISNUMBER(SEARCH("full",L20)),UPPER(TRIM(L20))="FT",UPPER(TRIM(L20))="FTE"),"FT",IF(AND(OR(ISNUMBER(SEARCH("part",L20)),UPPER(TRIM(L20))="PT",UPPER(TRIM(L20))="PTE"),OR($C$10="",N($C$10)&gt;=PT_MinHours)),"PT","None")))</f>
        <v/>
      </c>
      <c r="N20" s="14" t="n">
        <f aca="false">IF(I20&lt;FT_Y5,1,IF(MOD(I20-FT_Y5,12)=0,FT_AnnivDays,1))</f>
        <v>1</v>
      </c>
      <c r="O20" s="14" t="str">
        <f aca="false">IF(K20="","",IF(AND(M20="FT",K20&lt;=AsOfDate),N20,0))</f>
        <v/>
      </c>
      <c r="Q20" s="14" t="n">
        <v>1</v>
      </c>
      <c r="R20" s="14" t="n">
        <f aca="false">PT_First+PT_Int*0</f>
        <v>60</v>
      </c>
      <c r="S20" s="14" t="str">
        <f aca="false">INT(R20/12)&amp;"y "&amp;MOD(R20,12)&amp;"m"</f>
        <v>5y 0m</v>
      </c>
      <c r="T20" s="12" t="str">
        <f aca="false">IF(OR($C$6&lt;&gt;"Yes",$C$8=""),"",EDATE($C$8,R20))</f>
        <v/>
      </c>
      <c r="U20" s="14" t="str">
        <f aca="false">IF(T20="","",IF($C$16=0,$C$9,IF(AND($C$14&lt;&gt;"",T20&gt;=$C$14),$C$15,IF(AND($C$12&lt;&gt;"",T20&gt;=$C$12),$C$13,$C$11))))</f>
        <v/>
      </c>
      <c r="V20" s="14" t="str">
        <f aca="false">IF(T20="","",IF(OR(ISNUMBER(SEARCH("full",U20)),UPPER(TRIM(U20))="FT",UPPER(TRIM(U20))="FTE"),"FT",IF(AND(OR(ISNUMBER(SEARCH("part",U20)),UPPER(TRIM(U20))="PT",UPPER(TRIM(U20))="PTE"),OR($C$10="",N($C$10)&gt;=PT_MinHours)),"PT","None")))</f>
        <v/>
      </c>
      <c r="W20" s="14" t="n">
        <v>1</v>
      </c>
      <c r="X20" s="14" t="str">
        <f aca="false">IF(T20="","",IF(AND(V20="PT",T20&lt;=AsOfDate),W20,0))</f>
        <v/>
      </c>
      <c r="Z20" s="17" t="n">
        <f aca="false">I20</f>
        <v>36</v>
      </c>
      <c r="AA20" s="17" t="n">
        <f aca="false">SMALL($Z$20:$Z$199,1)</f>
        <v>36</v>
      </c>
      <c r="AB20" s="17" t="str">
        <f aca="false">IF(1-COUNTIF($Z$20:$Z$199,"&lt;"&amp;AA20)=1,IF(COUNTIF($I$20:$I$109,AA20)&gt;0,"FT","PT"),"PT")</f>
        <v>FT</v>
      </c>
      <c r="AC20" s="17" t="n">
        <f aca="false">IF(AB20="FT",INDEX($N$20:$N$109,MATCH(AA20,$I$20:$I$109,0)),1)</f>
        <v>1</v>
      </c>
    </row>
    <row r="21" customFormat="false" ht="15" hidden="false" customHeight="false" outlineLevel="0" collapsed="false">
      <c r="H21" s="14" t="n">
        <v>2</v>
      </c>
      <c r="I21" s="14" t="n">
        <f aca="false">IF(1&lt;FT_PreY5,FT_First+FT_Int1*1,FT_Y5+FT_Int2*(1-FT_PreY5))</f>
        <v>40</v>
      </c>
      <c r="J21" s="14" t="str">
        <f aca="false">INT(I21/12)&amp;"y "&amp;MOD(I21,12)&amp;"m"</f>
        <v>3y 4m</v>
      </c>
      <c r="K21" s="12" t="str">
        <f aca="false">IF(OR($C$6&lt;&gt;"Yes",$C$8=""),"",EDATE($C$8,I21))</f>
        <v/>
      </c>
      <c r="L21" s="14" t="str">
        <f aca="false">IF(K21="","",IF($C$16=0,$C$9,IF(AND($C$14&lt;&gt;"",K21&gt;=$C$14),$C$15,IF(AND($C$12&lt;&gt;"",K21&gt;=$C$12),$C$13,$C$11))))</f>
        <v/>
      </c>
      <c r="M21" s="14" t="str">
        <f aca="false">IF(K21="","",IF(OR(ISNUMBER(SEARCH("full",L21)),UPPER(TRIM(L21))="FT",UPPER(TRIM(L21))="FTE"),"FT",IF(AND(OR(ISNUMBER(SEARCH("part",L21)),UPPER(TRIM(L21))="PT",UPPER(TRIM(L21))="PTE"),OR($C$10="",N($C$10)&gt;=PT_MinHours)),"PT","None")))</f>
        <v/>
      </c>
      <c r="N21" s="14" t="n">
        <f aca="false">IF(I21&lt;FT_Y5,1,IF(MOD(I21-FT_Y5,12)=0,FT_AnnivDays,1))</f>
        <v>1</v>
      </c>
      <c r="O21" s="14" t="str">
        <f aca="false">IF(K21="","",IF(AND(M21="FT",K21&lt;=AsOfDate),N21,0))</f>
        <v/>
      </c>
      <c r="Q21" s="14" t="n">
        <v>2</v>
      </c>
      <c r="R21" s="14" t="n">
        <f aca="false">PT_First+PT_Int*1</f>
        <v>64</v>
      </c>
      <c r="S21" s="14" t="str">
        <f aca="false">INT(R21/12)&amp;"y "&amp;MOD(R21,12)&amp;"m"</f>
        <v>5y 4m</v>
      </c>
      <c r="T21" s="12" t="str">
        <f aca="false">IF(OR($C$6&lt;&gt;"Yes",$C$8=""),"",EDATE($C$8,R21))</f>
        <v/>
      </c>
      <c r="U21" s="14" t="str">
        <f aca="false">IF(T21="","",IF($C$16=0,$C$9,IF(AND($C$14&lt;&gt;"",T21&gt;=$C$14),$C$15,IF(AND($C$12&lt;&gt;"",T21&gt;=$C$12),$C$13,$C$11))))</f>
        <v/>
      </c>
      <c r="V21" s="14" t="str">
        <f aca="false">IF(T21="","",IF(OR(ISNUMBER(SEARCH("full",U21)),UPPER(TRIM(U21))="FT",UPPER(TRIM(U21))="FTE"),"FT",IF(AND(OR(ISNUMBER(SEARCH("part",U21)),UPPER(TRIM(U21))="PT",UPPER(TRIM(U21))="PTE"),OR($C$10="",N($C$10)&gt;=PT_MinHours)),"PT","None")))</f>
        <v/>
      </c>
      <c r="W21" s="14" t="n">
        <v>1</v>
      </c>
      <c r="X21" s="14" t="str">
        <f aca="false">IF(T21="","",IF(AND(V21="PT",T21&lt;=AsOfDate),W21,0))</f>
        <v/>
      </c>
      <c r="Z21" s="17" t="n">
        <f aca="false">I21</f>
        <v>40</v>
      </c>
      <c r="AA21" s="17" t="n">
        <f aca="false">SMALL($Z$20:$Z$199,2)</f>
        <v>40</v>
      </c>
      <c r="AB21" s="17" t="str">
        <f aca="false">IF(2-COUNTIF($Z$20:$Z$199,"&lt;"&amp;AA21)=1,IF(COUNTIF($I$20:$I$109,AA21)&gt;0,"FT","PT"),"PT")</f>
        <v>FT</v>
      </c>
      <c r="AC21" s="17" t="n">
        <f aca="false">IF(AB21="FT",INDEX($N$20:$N$109,MATCH(AA21,$I$20:$I$109,0)),1)</f>
        <v>1</v>
      </c>
    </row>
    <row r="22" customFormat="false" ht="15" hidden="false" customHeight="false" outlineLevel="0" collapsed="false">
      <c r="H22" s="14" t="n">
        <v>3</v>
      </c>
      <c r="I22" s="14" t="n">
        <f aca="false">IF(2&lt;FT_PreY5,FT_First+FT_Int1*2,FT_Y5+FT_Int2*(2-FT_PreY5))</f>
        <v>44</v>
      </c>
      <c r="J22" s="14" t="str">
        <f aca="false">INT(I22/12)&amp;"y "&amp;MOD(I22,12)&amp;"m"</f>
        <v>3y 8m</v>
      </c>
      <c r="K22" s="12" t="str">
        <f aca="false">IF(OR($C$6&lt;&gt;"Yes",$C$8=""),"",EDATE($C$8,I22))</f>
        <v/>
      </c>
      <c r="L22" s="14" t="str">
        <f aca="false">IF(K22="","",IF($C$16=0,$C$9,IF(AND($C$14&lt;&gt;"",K22&gt;=$C$14),$C$15,IF(AND($C$12&lt;&gt;"",K22&gt;=$C$12),$C$13,$C$11))))</f>
        <v/>
      </c>
      <c r="M22" s="14" t="str">
        <f aca="false">IF(K22="","",IF(OR(ISNUMBER(SEARCH("full",L22)),UPPER(TRIM(L22))="FT",UPPER(TRIM(L22))="FTE"),"FT",IF(AND(OR(ISNUMBER(SEARCH("part",L22)),UPPER(TRIM(L22))="PT",UPPER(TRIM(L22))="PTE"),OR($C$10="",N($C$10)&gt;=PT_MinHours)),"PT","None")))</f>
        <v/>
      </c>
      <c r="N22" s="14" t="n">
        <f aca="false">IF(I22&lt;FT_Y5,1,IF(MOD(I22-FT_Y5,12)=0,FT_AnnivDays,1))</f>
        <v>1</v>
      </c>
      <c r="O22" s="14" t="str">
        <f aca="false">IF(K22="","",IF(AND(M22="FT",K22&lt;=AsOfDate),N22,0))</f>
        <v/>
      </c>
      <c r="Q22" s="14" t="n">
        <v>3</v>
      </c>
      <c r="R22" s="14" t="n">
        <f aca="false">PT_First+PT_Int*2</f>
        <v>68</v>
      </c>
      <c r="S22" s="14" t="str">
        <f aca="false">INT(R22/12)&amp;"y "&amp;MOD(R22,12)&amp;"m"</f>
        <v>5y 8m</v>
      </c>
      <c r="T22" s="12" t="str">
        <f aca="false">IF(OR($C$6&lt;&gt;"Yes",$C$8=""),"",EDATE($C$8,R22))</f>
        <v/>
      </c>
      <c r="U22" s="14" t="str">
        <f aca="false">IF(T22="","",IF($C$16=0,$C$9,IF(AND($C$14&lt;&gt;"",T22&gt;=$C$14),$C$15,IF(AND($C$12&lt;&gt;"",T22&gt;=$C$12),$C$13,$C$11))))</f>
        <v/>
      </c>
      <c r="V22" s="14" t="str">
        <f aca="false">IF(T22="","",IF(OR(ISNUMBER(SEARCH("full",U22)),UPPER(TRIM(U22))="FT",UPPER(TRIM(U22))="FTE"),"FT",IF(AND(OR(ISNUMBER(SEARCH("part",U22)),UPPER(TRIM(U22))="PT",UPPER(TRIM(U22))="PTE"),OR($C$10="",N($C$10)&gt;=PT_MinHours)),"PT","None")))</f>
        <v/>
      </c>
      <c r="W22" s="14" t="n">
        <v>1</v>
      </c>
      <c r="X22" s="14" t="str">
        <f aca="false">IF(T22="","",IF(AND(V22="PT",T22&lt;=AsOfDate),W22,0))</f>
        <v/>
      </c>
      <c r="Z22" s="17" t="n">
        <f aca="false">I22</f>
        <v>44</v>
      </c>
      <c r="AA22" s="17" t="n">
        <f aca="false">SMALL($Z$20:$Z$199,3)</f>
        <v>44</v>
      </c>
      <c r="AB22" s="17" t="str">
        <f aca="false">IF(3-COUNTIF($Z$20:$Z$199,"&lt;"&amp;AA22)=1,IF(COUNTIF($I$20:$I$109,AA22)&gt;0,"FT","PT"),"PT")</f>
        <v>FT</v>
      </c>
      <c r="AC22" s="17" t="n">
        <f aca="false">IF(AB22="FT",INDEX($N$20:$N$109,MATCH(AA22,$I$20:$I$109,0)),1)</f>
        <v>1</v>
      </c>
    </row>
    <row r="23" customFormat="false" ht="15" hidden="false" customHeight="false" outlineLevel="0" collapsed="false">
      <c r="H23" s="14" t="n">
        <v>4</v>
      </c>
      <c r="I23" s="14" t="n">
        <f aca="false">IF(3&lt;FT_PreY5,FT_First+FT_Int1*3,FT_Y5+FT_Int2*(3-FT_PreY5))</f>
        <v>48</v>
      </c>
      <c r="J23" s="14" t="str">
        <f aca="false">INT(I23/12)&amp;"y "&amp;MOD(I23,12)&amp;"m"</f>
        <v>4y 0m</v>
      </c>
      <c r="K23" s="12" t="str">
        <f aca="false">IF(OR($C$6&lt;&gt;"Yes",$C$8=""),"",EDATE($C$8,I23))</f>
        <v/>
      </c>
      <c r="L23" s="14" t="str">
        <f aca="false">IF(K23="","",IF($C$16=0,$C$9,IF(AND($C$14&lt;&gt;"",K23&gt;=$C$14),$C$15,IF(AND($C$12&lt;&gt;"",K23&gt;=$C$12),$C$13,$C$11))))</f>
        <v/>
      </c>
      <c r="M23" s="14" t="str">
        <f aca="false">IF(K23="","",IF(OR(ISNUMBER(SEARCH("full",L23)),UPPER(TRIM(L23))="FT",UPPER(TRIM(L23))="FTE"),"FT",IF(AND(OR(ISNUMBER(SEARCH("part",L23)),UPPER(TRIM(L23))="PT",UPPER(TRIM(L23))="PTE"),OR($C$10="",N($C$10)&gt;=PT_MinHours)),"PT","None")))</f>
        <v/>
      </c>
      <c r="N23" s="14" t="n">
        <f aca="false">IF(I23&lt;FT_Y5,1,IF(MOD(I23-FT_Y5,12)=0,FT_AnnivDays,1))</f>
        <v>1</v>
      </c>
      <c r="O23" s="14" t="str">
        <f aca="false">IF(K23="","",IF(AND(M23="FT",K23&lt;=AsOfDate),N23,0))</f>
        <v/>
      </c>
      <c r="Q23" s="14" t="n">
        <v>4</v>
      </c>
      <c r="R23" s="14" t="n">
        <f aca="false">PT_First+PT_Int*3</f>
        <v>72</v>
      </c>
      <c r="S23" s="14" t="str">
        <f aca="false">INT(R23/12)&amp;"y "&amp;MOD(R23,12)&amp;"m"</f>
        <v>6y 0m</v>
      </c>
      <c r="T23" s="12" t="str">
        <f aca="false">IF(OR($C$6&lt;&gt;"Yes",$C$8=""),"",EDATE($C$8,R23))</f>
        <v/>
      </c>
      <c r="U23" s="14" t="str">
        <f aca="false">IF(T23="","",IF($C$16=0,$C$9,IF(AND($C$14&lt;&gt;"",T23&gt;=$C$14),$C$15,IF(AND($C$12&lt;&gt;"",T23&gt;=$C$12),$C$13,$C$11))))</f>
        <v/>
      </c>
      <c r="V23" s="14" t="str">
        <f aca="false">IF(T23="","",IF(OR(ISNUMBER(SEARCH("full",U23)),UPPER(TRIM(U23))="FT",UPPER(TRIM(U23))="FTE"),"FT",IF(AND(OR(ISNUMBER(SEARCH("part",U23)),UPPER(TRIM(U23))="PT",UPPER(TRIM(U23))="PTE"),OR($C$10="",N($C$10)&gt;=PT_MinHours)),"PT","None")))</f>
        <v/>
      </c>
      <c r="W23" s="14" t="n">
        <v>1</v>
      </c>
      <c r="X23" s="14" t="str">
        <f aca="false">IF(T23="","",IF(AND(V23="PT",T23&lt;=AsOfDate),W23,0))</f>
        <v/>
      </c>
      <c r="Z23" s="17" t="n">
        <f aca="false">I23</f>
        <v>48</v>
      </c>
      <c r="AA23" s="17" t="n">
        <f aca="false">SMALL($Z$20:$Z$199,4)</f>
        <v>48</v>
      </c>
      <c r="AB23" s="17" t="str">
        <f aca="false">IF(4-COUNTIF($Z$20:$Z$199,"&lt;"&amp;AA23)=1,IF(COUNTIF($I$20:$I$109,AA23)&gt;0,"FT","PT"),"PT")</f>
        <v>FT</v>
      </c>
      <c r="AC23" s="17" t="n">
        <f aca="false">IF(AB23="FT",INDEX($N$20:$N$109,MATCH(AA23,$I$20:$I$109,0)),1)</f>
        <v>1</v>
      </c>
    </row>
    <row r="24" customFormat="false" ht="15" hidden="false" customHeight="false" outlineLevel="0" collapsed="false">
      <c r="H24" s="14" t="n">
        <v>5</v>
      </c>
      <c r="I24" s="14" t="n">
        <f aca="false">IF(4&lt;FT_PreY5,FT_First+FT_Int1*4,FT_Y5+FT_Int2*(4-FT_PreY5))</f>
        <v>52</v>
      </c>
      <c r="J24" s="14" t="str">
        <f aca="false">INT(I24/12)&amp;"y "&amp;MOD(I24,12)&amp;"m"</f>
        <v>4y 4m</v>
      </c>
      <c r="K24" s="12" t="str">
        <f aca="false">IF(OR($C$6&lt;&gt;"Yes",$C$8=""),"",EDATE($C$8,I24))</f>
        <v/>
      </c>
      <c r="L24" s="14" t="str">
        <f aca="false">IF(K24="","",IF($C$16=0,$C$9,IF(AND($C$14&lt;&gt;"",K24&gt;=$C$14),$C$15,IF(AND($C$12&lt;&gt;"",K24&gt;=$C$12),$C$13,$C$11))))</f>
        <v/>
      </c>
      <c r="M24" s="14" t="str">
        <f aca="false">IF(K24="","",IF(OR(ISNUMBER(SEARCH("full",L24)),UPPER(TRIM(L24))="FT",UPPER(TRIM(L24))="FTE"),"FT",IF(AND(OR(ISNUMBER(SEARCH("part",L24)),UPPER(TRIM(L24))="PT",UPPER(TRIM(L24))="PTE"),OR($C$10="",N($C$10)&gt;=PT_MinHours)),"PT","None")))</f>
        <v/>
      </c>
      <c r="N24" s="14" t="n">
        <f aca="false">IF(I24&lt;FT_Y5,1,IF(MOD(I24-FT_Y5,12)=0,FT_AnnivDays,1))</f>
        <v>1</v>
      </c>
      <c r="O24" s="14" t="str">
        <f aca="false">IF(K24="","",IF(AND(M24="FT",K24&lt;=AsOfDate),N24,0))</f>
        <v/>
      </c>
      <c r="Q24" s="14" t="n">
        <v>5</v>
      </c>
      <c r="R24" s="14" t="n">
        <f aca="false">PT_First+PT_Int*4</f>
        <v>76</v>
      </c>
      <c r="S24" s="14" t="str">
        <f aca="false">INT(R24/12)&amp;"y "&amp;MOD(R24,12)&amp;"m"</f>
        <v>6y 4m</v>
      </c>
      <c r="T24" s="12" t="str">
        <f aca="false">IF(OR($C$6&lt;&gt;"Yes",$C$8=""),"",EDATE($C$8,R24))</f>
        <v/>
      </c>
      <c r="U24" s="14" t="str">
        <f aca="false">IF(T24="","",IF($C$16=0,$C$9,IF(AND($C$14&lt;&gt;"",T24&gt;=$C$14),$C$15,IF(AND($C$12&lt;&gt;"",T24&gt;=$C$12),$C$13,$C$11))))</f>
        <v/>
      </c>
      <c r="V24" s="14" t="str">
        <f aca="false">IF(T24="","",IF(OR(ISNUMBER(SEARCH("full",U24)),UPPER(TRIM(U24))="FT",UPPER(TRIM(U24))="FTE"),"FT",IF(AND(OR(ISNUMBER(SEARCH("part",U24)),UPPER(TRIM(U24))="PT",UPPER(TRIM(U24))="PTE"),OR($C$10="",N($C$10)&gt;=PT_MinHours)),"PT","None")))</f>
        <v/>
      </c>
      <c r="W24" s="14" t="n">
        <v>1</v>
      </c>
      <c r="X24" s="14" t="str">
        <f aca="false">IF(T24="","",IF(AND(V24="PT",T24&lt;=AsOfDate),W24,0))</f>
        <v/>
      </c>
      <c r="Z24" s="17" t="n">
        <f aca="false">I24</f>
        <v>52</v>
      </c>
      <c r="AA24" s="17" t="n">
        <f aca="false">SMALL($Z$20:$Z$199,5)</f>
        <v>52</v>
      </c>
      <c r="AB24" s="17" t="str">
        <f aca="false">IF(5-COUNTIF($Z$20:$Z$199,"&lt;"&amp;AA24)=1,IF(COUNTIF($I$20:$I$109,AA24)&gt;0,"FT","PT"),"PT")</f>
        <v>FT</v>
      </c>
      <c r="AC24" s="17" t="n">
        <f aca="false">IF(AB24="FT",INDEX($N$20:$N$109,MATCH(AA24,$I$20:$I$109,0)),1)</f>
        <v>1</v>
      </c>
    </row>
    <row r="25" customFormat="false" ht="15" hidden="false" customHeight="false" outlineLevel="0" collapsed="false">
      <c r="H25" s="14" t="n">
        <v>6</v>
      </c>
      <c r="I25" s="14" t="n">
        <f aca="false">IF(5&lt;FT_PreY5,FT_First+FT_Int1*5,FT_Y5+FT_Int2*(5-FT_PreY5))</f>
        <v>56</v>
      </c>
      <c r="J25" s="14" t="str">
        <f aca="false">INT(I25/12)&amp;"y "&amp;MOD(I25,12)&amp;"m"</f>
        <v>4y 8m</v>
      </c>
      <c r="K25" s="12" t="str">
        <f aca="false">IF(OR($C$6&lt;&gt;"Yes",$C$8=""),"",EDATE($C$8,I25))</f>
        <v/>
      </c>
      <c r="L25" s="14" t="str">
        <f aca="false">IF(K25="","",IF($C$16=0,$C$9,IF(AND($C$14&lt;&gt;"",K25&gt;=$C$14),$C$15,IF(AND($C$12&lt;&gt;"",K25&gt;=$C$12),$C$13,$C$11))))</f>
        <v/>
      </c>
      <c r="M25" s="14" t="str">
        <f aca="false">IF(K25="","",IF(OR(ISNUMBER(SEARCH("full",L25)),UPPER(TRIM(L25))="FT",UPPER(TRIM(L25))="FTE"),"FT",IF(AND(OR(ISNUMBER(SEARCH("part",L25)),UPPER(TRIM(L25))="PT",UPPER(TRIM(L25))="PTE"),OR($C$10="",N($C$10)&gt;=PT_MinHours)),"PT","None")))</f>
        <v/>
      </c>
      <c r="N25" s="14" t="n">
        <f aca="false">IF(I25&lt;FT_Y5,1,IF(MOD(I25-FT_Y5,12)=0,FT_AnnivDays,1))</f>
        <v>1</v>
      </c>
      <c r="O25" s="14" t="str">
        <f aca="false">IF(K25="","",IF(AND(M25="FT",K25&lt;=AsOfDate),N25,0))</f>
        <v/>
      </c>
      <c r="Q25" s="14" t="n">
        <v>6</v>
      </c>
      <c r="R25" s="14" t="n">
        <f aca="false">PT_First+PT_Int*5</f>
        <v>80</v>
      </c>
      <c r="S25" s="14" t="str">
        <f aca="false">INT(R25/12)&amp;"y "&amp;MOD(R25,12)&amp;"m"</f>
        <v>6y 8m</v>
      </c>
      <c r="T25" s="12" t="str">
        <f aca="false">IF(OR($C$6&lt;&gt;"Yes",$C$8=""),"",EDATE($C$8,R25))</f>
        <v/>
      </c>
      <c r="U25" s="14" t="str">
        <f aca="false">IF(T25="","",IF($C$16=0,$C$9,IF(AND($C$14&lt;&gt;"",T25&gt;=$C$14),$C$15,IF(AND($C$12&lt;&gt;"",T25&gt;=$C$12),$C$13,$C$11))))</f>
        <v/>
      </c>
      <c r="V25" s="14" t="str">
        <f aca="false">IF(T25="","",IF(OR(ISNUMBER(SEARCH("full",U25)),UPPER(TRIM(U25))="FT",UPPER(TRIM(U25))="FTE"),"FT",IF(AND(OR(ISNUMBER(SEARCH("part",U25)),UPPER(TRIM(U25))="PT",UPPER(TRIM(U25))="PTE"),OR($C$10="",N($C$10)&gt;=PT_MinHours)),"PT","None")))</f>
        <v/>
      </c>
      <c r="W25" s="14" t="n">
        <v>1</v>
      </c>
      <c r="X25" s="14" t="str">
        <f aca="false">IF(T25="","",IF(AND(V25="PT",T25&lt;=AsOfDate),W25,0))</f>
        <v/>
      </c>
      <c r="Z25" s="17" t="n">
        <f aca="false">I25</f>
        <v>56</v>
      </c>
      <c r="AA25" s="17" t="n">
        <f aca="false">SMALL($Z$20:$Z$199,6)</f>
        <v>56</v>
      </c>
      <c r="AB25" s="17" t="str">
        <f aca="false">IF(6-COUNTIF($Z$20:$Z$199,"&lt;"&amp;AA25)=1,IF(COUNTIF($I$20:$I$109,AA25)&gt;0,"FT","PT"),"PT")</f>
        <v>FT</v>
      </c>
      <c r="AC25" s="17" t="n">
        <f aca="false">IF(AB25="FT",INDEX($N$20:$N$109,MATCH(AA25,$I$20:$I$109,0)),1)</f>
        <v>1</v>
      </c>
    </row>
    <row r="26" customFormat="false" ht="15" hidden="false" customHeight="false" outlineLevel="0" collapsed="false">
      <c r="H26" s="14" t="n">
        <v>7</v>
      </c>
      <c r="I26" s="14" t="n">
        <f aca="false">IF(6&lt;FT_PreY5,FT_First+FT_Int1*6,FT_Y5+FT_Int2*(6-FT_PreY5))</f>
        <v>60</v>
      </c>
      <c r="J26" s="14" t="str">
        <f aca="false">INT(I26/12)&amp;"y "&amp;MOD(I26,12)&amp;"m"</f>
        <v>5y 0m</v>
      </c>
      <c r="K26" s="12" t="str">
        <f aca="false">IF(OR($C$6&lt;&gt;"Yes",$C$8=""),"",EDATE($C$8,I26))</f>
        <v/>
      </c>
      <c r="L26" s="14" t="str">
        <f aca="false">IF(K26="","",IF($C$16=0,$C$9,IF(AND($C$14&lt;&gt;"",K26&gt;=$C$14),$C$15,IF(AND($C$12&lt;&gt;"",K26&gt;=$C$12),$C$13,$C$11))))</f>
        <v/>
      </c>
      <c r="M26" s="14" t="str">
        <f aca="false">IF(K26="","",IF(OR(ISNUMBER(SEARCH("full",L26)),UPPER(TRIM(L26))="FT",UPPER(TRIM(L26))="FTE"),"FT",IF(AND(OR(ISNUMBER(SEARCH("part",L26)),UPPER(TRIM(L26))="PT",UPPER(TRIM(L26))="PTE"),OR($C$10="",N($C$10)&gt;=PT_MinHours)),"PT","None")))</f>
        <v/>
      </c>
      <c r="N26" s="14" t="n">
        <f aca="false">IF(I26&lt;FT_Y5,1,IF(MOD(I26-FT_Y5,12)=0,FT_AnnivDays,1))</f>
        <v>2</v>
      </c>
      <c r="O26" s="14" t="str">
        <f aca="false">IF(K26="","",IF(AND(M26="FT",K26&lt;=AsOfDate),N26,0))</f>
        <v/>
      </c>
      <c r="Q26" s="14" t="n">
        <v>7</v>
      </c>
      <c r="R26" s="14" t="n">
        <f aca="false">PT_First+PT_Int*6</f>
        <v>84</v>
      </c>
      <c r="S26" s="14" t="str">
        <f aca="false">INT(R26/12)&amp;"y "&amp;MOD(R26,12)&amp;"m"</f>
        <v>7y 0m</v>
      </c>
      <c r="T26" s="12" t="str">
        <f aca="false">IF(OR($C$6&lt;&gt;"Yes",$C$8=""),"",EDATE($C$8,R26))</f>
        <v/>
      </c>
      <c r="U26" s="14" t="str">
        <f aca="false">IF(T26="","",IF($C$16=0,$C$9,IF(AND($C$14&lt;&gt;"",T26&gt;=$C$14),$C$15,IF(AND($C$12&lt;&gt;"",T26&gt;=$C$12),$C$13,$C$11))))</f>
        <v/>
      </c>
      <c r="V26" s="14" t="str">
        <f aca="false">IF(T26="","",IF(OR(ISNUMBER(SEARCH("full",U26)),UPPER(TRIM(U26))="FT",UPPER(TRIM(U26))="FTE"),"FT",IF(AND(OR(ISNUMBER(SEARCH("part",U26)),UPPER(TRIM(U26))="PT",UPPER(TRIM(U26))="PTE"),OR($C$10="",N($C$10)&gt;=PT_MinHours)),"PT","None")))</f>
        <v/>
      </c>
      <c r="W26" s="14" t="n">
        <v>1</v>
      </c>
      <c r="X26" s="14" t="str">
        <f aca="false">IF(T26="","",IF(AND(V26="PT",T26&lt;=AsOfDate),W26,0))</f>
        <v/>
      </c>
      <c r="Z26" s="17" t="n">
        <f aca="false">I26</f>
        <v>60</v>
      </c>
      <c r="AA26" s="17" t="n">
        <f aca="false">SMALL($Z$20:$Z$199,7)</f>
        <v>60</v>
      </c>
      <c r="AB26" s="17" t="str">
        <f aca="false">IF(7-COUNTIF($Z$20:$Z$199,"&lt;"&amp;AA26)=1,IF(COUNTIF($I$20:$I$109,AA26)&gt;0,"FT","PT"),"PT")</f>
        <v>FT</v>
      </c>
      <c r="AC26" s="17" t="n">
        <f aca="false">IF(AB26="FT",INDEX($N$20:$N$109,MATCH(AA26,$I$20:$I$109,0)),1)</f>
        <v>2</v>
      </c>
    </row>
    <row r="27" customFormat="false" ht="15" hidden="false" customHeight="false" outlineLevel="0" collapsed="false">
      <c r="H27" s="14" t="n">
        <v>8</v>
      </c>
      <c r="I27" s="14" t="n">
        <f aca="false">IF(7&lt;FT_PreY5,FT_First+FT_Int1*7,FT_Y5+FT_Int2*(7-FT_PreY5))</f>
        <v>63</v>
      </c>
      <c r="J27" s="14" t="str">
        <f aca="false">INT(I27/12)&amp;"y "&amp;MOD(I27,12)&amp;"m"</f>
        <v>5y 3m</v>
      </c>
      <c r="K27" s="12" t="str">
        <f aca="false">IF(OR($C$6&lt;&gt;"Yes",$C$8=""),"",EDATE($C$8,I27))</f>
        <v/>
      </c>
      <c r="L27" s="14" t="str">
        <f aca="false">IF(K27="","",IF($C$16=0,$C$9,IF(AND($C$14&lt;&gt;"",K27&gt;=$C$14),$C$15,IF(AND($C$12&lt;&gt;"",K27&gt;=$C$12),$C$13,$C$11))))</f>
        <v/>
      </c>
      <c r="M27" s="14" t="str">
        <f aca="false">IF(K27="","",IF(OR(ISNUMBER(SEARCH("full",L27)),UPPER(TRIM(L27))="FT",UPPER(TRIM(L27))="FTE"),"FT",IF(AND(OR(ISNUMBER(SEARCH("part",L27)),UPPER(TRIM(L27))="PT",UPPER(TRIM(L27))="PTE"),OR($C$10="",N($C$10)&gt;=PT_MinHours)),"PT","None")))</f>
        <v/>
      </c>
      <c r="N27" s="14" t="n">
        <f aca="false">IF(I27&lt;FT_Y5,1,IF(MOD(I27-FT_Y5,12)=0,FT_AnnivDays,1))</f>
        <v>1</v>
      </c>
      <c r="O27" s="14" t="str">
        <f aca="false">IF(K27="","",IF(AND(M27="FT",K27&lt;=AsOfDate),N27,0))</f>
        <v/>
      </c>
      <c r="Q27" s="14" t="n">
        <v>8</v>
      </c>
      <c r="R27" s="14" t="n">
        <f aca="false">PT_First+PT_Int*7</f>
        <v>88</v>
      </c>
      <c r="S27" s="14" t="str">
        <f aca="false">INT(R27/12)&amp;"y "&amp;MOD(R27,12)&amp;"m"</f>
        <v>7y 4m</v>
      </c>
      <c r="T27" s="12" t="str">
        <f aca="false">IF(OR($C$6&lt;&gt;"Yes",$C$8=""),"",EDATE($C$8,R27))</f>
        <v/>
      </c>
      <c r="U27" s="14" t="str">
        <f aca="false">IF(T27="","",IF($C$16=0,$C$9,IF(AND($C$14&lt;&gt;"",T27&gt;=$C$14),$C$15,IF(AND($C$12&lt;&gt;"",T27&gt;=$C$12),$C$13,$C$11))))</f>
        <v/>
      </c>
      <c r="V27" s="14" t="str">
        <f aca="false">IF(T27="","",IF(OR(ISNUMBER(SEARCH("full",U27)),UPPER(TRIM(U27))="FT",UPPER(TRIM(U27))="FTE"),"FT",IF(AND(OR(ISNUMBER(SEARCH("part",U27)),UPPER(TRIM(U27))="PT",UPPER(TRIM(U27))="PTE"),OR($C$10="",N($C$10)&gt;=PT_MinHours)),"PT","None")))</f>
        <v/>
      </c>
      <c r="W27" s="14" t="n">
        <v>1</v>
      </c>
      <c r="X27" s="14" t="str">
        <f aca="false">IF(T27="","",IF(AND(V27="PT",T27&lt;=AsOfDate),W27,0))</f>
        <v/>
      </c>
      <c r="Z27" s="17" t="n">
        <f aca="false">I27</f>
        <v>63</v>
      </c>
      <c r="AA27" s="17" t="n">
        <f aca="false">SMALL($Z$20:$Z$199,8)</f>
        <v>60</v>
      </c>
      <c r="AB27" s="17" t="str">
        <f aca="false">IF(8-COUNTIF($Z$20:$Z$199,"&lt;"&amp;AA27)=1,IF(COUNTIF($I$20:$I$109,AA27)&gt;0,"FT","PT"),"PT")</f>
        <v>PT</v>
      </c>
      <c r="AC27" s="17" t="n">
        <f aca="false">IF(AB27="FT",INDEX($N$20:$N$109,MATCH(AA27,$I$20:$I$109,0)),1)</f>
        <v>1</v>
      </c>
    </row>
    <row r="28" customFormat="false" ht="15" hidden="false" customHeight="false" outlineLevel="0" collapsed="false">
      <c r="H28" s="14" t="n">
        <v>9</v>
      </c>
      <c r="I28" s="14" t="n">
        <f aca="false">IF(8&lt;FT_PreY5,FT_First+FT_Int1*8,FT_Y5+FT_Int2*(8-FT_PreY5))</f>
        <v>66</v>
      </c>
      <c r="J28" s="14" t="str">
        <f aca="false">INT(I28/12)&amp;"y "&amp;MOD(I28,12)&amp;"m"</f>
        <v>5y 6m</v>
      </c>
      <c r="K28" s="12" t="str">
        <f aca="false">IF(OR($C$6&lt;&gt;"Yes",$C$8=""),"",EDATE($C$8,I28))</f>
        <v/>
      </c>
      <c r="L28" s="14" t="str">
        <f aca="false">IF(K28="","",IF($C$16=0,$C$9,IF(AND($C$14&lt;&gt;"",K28&gt;=$C$14),$C$15,IF(AND($C$12&lt;&gt;"",K28&gt;=$C$12),$C$13,$C$11))))</f>
        <v/>
      </c>
      <c r="M28" s="14" t="str">
        <f aca="false">IF(K28="","",IF(OR(ISNUMBER(SEARCH("full",L28)),UPPER(TRIM(L28))="FT",UPPER(TRIM(L28))="FTE"),"FT",IF(AND(OR(ISNUMBER(SEARCH("part",L28)),UPPER(TRIM(L28))="PT",UPPER(TRIM(L28))="PTE"),OR($C$10="",N($C$10)&gt;=PT_MinHours)),"PT","None")))</f>
        <v/>
      </c>
      <c r="N28" s="14" t="n">
        <f aca="false">IF(I28&lt;FT_Y5,1,IF(MOD(I28-FT_Y5,12)=0,FT_AnnivDays,1))</f>
        <v>1</v>
      </c>
      <c r="O28" s="14" t="str">
        <f aca="false">IF(K28="","",IF(AND(M28="FT",K28&lt;=AsOfDate),N28,0))</f>
        <v/>
      </c>
      <c r="Q28" s="14" t="n">
        <v>9</v>
      </c>
      <c r="R28" s="14" t="n">
        <f aca="false">PT_First+PT_Int*8</f>
        <v>92</v>
      </c>
      <c r="S28" s="14" t="str">
        <f aca="false">INT(R28/12)&amp;"y "&amp;MOD(R28,12)&amp;"m"</f>
        <v>7y 8m</v>
      </c>
      <c r="T28" s="12" t="str">
        <f aca="false">IF(OR($C$6&lt;&gt;"Yes",$C$8=""),"",EDATE($C$8,R28))</f>
        <v/>
      </c>
      <c r="U28" s="14" t="str">
        <f aca="false">IF(T28="","",IF($C$16=0,$C$9,IF(AND($C$14&lt;&gt;"",T28&gt;=$C$14),$C$15,IF(AND($C$12&lt;&gt;"",T28&gt;=$C$12),$C$13,$C$11))))</f>
        <v/>
      </c>
      <c r="V28" s="14" t="str">
        <f aca="false">IF(T28="","",IF(OR(ISNUMBER(SEARCH("full",U28)),UPPER(TRIM(U28))="FT",UPPER(TRIM(U28))="FTE"),"FT",IF(AND(OR(ISNUMBER(SEARCH("part",U28)),UPPER(TRIM(U28))="PT",UPPER(TRIM(U28))="PTE"),OR($C$10="",N($C$10)&gt;=PT_MinHours)),"PT","None")))</f>
        <v/>
      </c>
      <c r="W28" s="14" t="n">
        <v>1</v>
      </c>
      <c r="X28" s="14" t="str">
        <f aca="false">IF(T28="","",IF(AND(V28="PT",T28&lt;=AsOfDate),W28,0))</f>
        <v/>
      </c>
      <c r="Z28" s="17" t="n">
        <f aca="false">I28</f>
        <v>66</v>
      </c>
      <c r="AA28" s="17" t="n">
        <f aca="false">SMALL($Z$20:$Z$199,9)</f>
        <v>63</v>
      </c>
      <c r="AB28" s="17" t="str">
        <f aca="false">IF(9-COUNTIF($Z$20:$Z$199,"&lt;"&amp;AA28)=1,IF(COUNTIF($I$20:$I$109,AA28)&gt;0,"FT","PT"),"PT")</f>
        <v>FT</v>
      </c>
      <c r="AC28" s="17" t="n">
        <f aca="false">IF(AB28="FT",INDEX($N$20:$N$109,MATCH(AA28,$I$20:$I$109,0)),1)</f>
        <v>1</v>
      </c>
    </row>
    <row r="29" customFormat="false" ht="15" hidden="false" customHeight="false" outlineLevel="0" collapsed="false">
      <c r="H29" s="14" t="n">
        <v>10</v>
      </c>
      <c r="I29" s="14" t="n">
        <f aca="false">IF(9&lt;FT_PreY5,FT_First+FT_Int1*9,FT_Y5+FT_Int2*(9-FT_PreY5))</f>
        <v>69</v>
      </c>
      <c r="J29" s="14" t="str">
        <f aca="false">INT(I29/12)&amp;"y "&amp;MOD(I29,12)&amp;"m"</f>
        <v>5y 9m</v>
      </c>
      <c r="K29" s="12" t="str">
        <f aca="false">IF(OR($C$6&lt;&gt;"Yes",$C$8=""),"",EDATE($C$8,I29))</f>
        <v/>
      </c>
      <c r="L29" s="14" t="str">
        <f aca="false">IF(K29="","",IF($C$16=0,$C$9,IF(AND($C$14&lt;&gt;"",K29&gt;=$C$14),$C$15,IF(AND($C$12&lt;&gt;"",K29&gt;=$C$12),$C$13,$C$11))))</f>
        <v/>
      </c>
      <c r="M29" s="14" t="str">
        <f aca="false">IF(K29="","",IF(OR(ISNUMBER(SEARCH("full",L29)),UPPER(TRIM(L29))="FT",UPPER(TRIM(L29))="FTE"),"FT",IF(AND(OR(ISNUMBER(SEARCH("part",L29)),UPPER(TRIM(L29))="PT",UPPER(TRIM(L29))="PTE"),OR($C$10="",N($C$10)&gt;=PT_MinHours)),"PT","None")))</f>
        <v/>
      </c>
      <c r="N29" s="14" t="n">
        <f aca="false">IF(I29&lt;FT_Y5,1,IF(MOD(I29-FT_Y5,12)=0,FT_AnnivDays,1))</f>
        <v>1</v>
      </c>
      <c r="O29" s="14" t="str">
        <f aca="false">IF(K29="","",IF(AND(M29="FT",K29&lt;=AsOfDate),N29,0))</f>
        <v/>
      </c>
      <c r="Q29" s="14" t="n">
        <v>10</v>
      </c>
      <c r="R29" s="14" t="n">
        <f aca="false">PT_First+PT_Int*9</f>
        <v>96</v>
      </c>
      <c r="S29" s="14" t="str">
        <f aca="false">INT(R29/12)&amp;"y "&amp;MOD(R29,12)&amp;"m"</f>
        <v>8y 0m</v>
      </c>
      <c r="T29" s="12" t="str">
        <f aca="false">IF(OR($C$6&lt;&gt;"Yes",$C$8=""),"",EDATE($C$8,R29))</f>
        <v/>
      </c>
      <c r="U29" s="14" t="str">
        <f aca="false">IF(T29="","",IF($C$16=0,$C$9,IF(AND($C$14&lt;&gt;"",T29&gt;=$C$14),$C$15,IF(AND($C$12&lt;&gt;"",T29&gt;=$C$12),$C$13,$C$11))))</f>
        <v/>
      </c>
      <c r="V29" s="14" t="str">
        <f aca="false">IF(T29="","",IF(OR(ISNUMBER(SEARCH("full",U29)),UPPER(TRIM(U29))="FT",UPPER(TRIM(U29))="FTE"),"FT",IF(AND(OR(ISNUMBER(SEARCH("part",U29)),UPPER(TRIM(U29))="PT",UPPER(TRIM(U29))="PTE"),OR($C$10="",N($C$10)&gt;=PT_MinHours)),"PT","None")))</f>
        <v/>
      </c>
      <c r="W29" s="14" t="n">
        <v>1</v>
      </c>
      <c r="X29" s="14" t="str">
        <f aca="false">IF(T29="","",IF(AND(V29="PT",T29&lt;=AsOfDate),W29,0))</f>
        <v/>
      </c>
      <c r="Z29" s="17" t="n">
        <f aca="false">I29</f>
        <v>69</v>
      </c>
      <c r="AA29" s="17" t="n">
        <f aca="false">SMALL($Z$20:$Z$199,10)</f>
        <v>64</v>
      </c>
      <c r="AB29" s="17" t="str">
        <f aca="false">IF(10-COUNTIF($Z$20:$Z$199,"&lt;"&amp;AA29)=1,IF(COUNTIF($I$20:$I$109,AA29)&gt;0,"FT","PT"),"PT")</f>
        <v>PT</v>
      </c>
      <c r="AC29" s="17" t="n">
        <f aca="false">IF(AB29="FT",INDEX($N$20:$N$109,MATCH(AA29,$I$20:$I$109,0)),1)</f>
        <v>1</v>
      </c>
    </row>
    <row r="30" customFormat="false" ht="15" hidden="false" customHeight="false" outlineLevel="0" collapsed="false">
      <c r="H30" s="14" t="n">
        <v>11</v>
      </c>
      <c r="I30" s="14" t="n">
        <f aca="false">IF(10&lt;FT_PreY5,FT_First+FT_Int1*10,FT_Y5+FT_Int2*(10-FT_PreY5))</f>
        <v>72</v>
      </c>
      <c r="J30" s="14" t="str">
        <f aca="false">INT(I30/12)&amp;"y "&amp;MOD(I30,12)&amp;"m"</f>
        <v>6y 0m</v>
      </c>
      <c r="K30" s="12" t="str">
        <f aca="false">IF(OR($C$6&lt;&gt;"Yes",$C$8=""),"",EDATE($C$8,I30))</f>
        <v/>
      </c>
      <c r="L30" s="14" t="str">
        <f aca="false">IF(K30="","",IF($C$16=0,$C$9,IF(AND($C$14&lt;&gt;"",K30&gt;=$C$14),$C$15,IF(AND($C$12&lt;&gt;"",K30&gt;=$C$12),$C$13,$C$11))))</f>
        <v/>
      </c>
      <c r="M30" s="14" t="str">
        <f aca="false">IF(K30="","",IF(OR(ISNUMBER(SEARCH("full",L30)),UPPER(TRIM(L30))="FT",UPPER(TRIM(L30))="FTE"),"FT",IF(AND(OR(ISNUMBER(SEARCH("part",L30)),UPPER(TRIM(L30))="PT",UPPER(TRIM(L30))="PTE"),OR($C$10="",N($C$10)&gt;=PT_MinHours)),"PT","None")))</f>
        <v/>
      </c>
      <c r="N30" s="14" t="n">
        <f aca="false">IF(I30&lt;FT_Y5,1,IF(MOD(I30-FT_Y5,12)=0,FT_AnnivDays,1))</f>
        <v>2</v>
      </c>
      <c r="O30" s="14" t="str">
        <f aca="false">IF(K30="","",IF(AND(M30="FT",K30&lt;=AsOfDate),N30,0))</f>
        <v/>
      </c>
      <c r="Q30" s="14" t="n">
        <v>11</v>
      </c>
      <c r="R30" s="14" t="n">
        <f aca="false">PT_First+PT_Int*10</f>
        <v>100</v>
      </c>
      <c r="S30" s="14" t="str">
        <f aca="false">INT(R30/12)&amp;"y "&amp;MOD(R30,12)&amp;"m"</f>
        <v>8y 4m</v>
      </c>
      <c r="T30" s="12" t="str">
        <f aca="false">IF(OR($C$6&lt;&gt;"Yes",$C$8=""),"",EDATE($C$8,R30))</f>
        <v/>
      </c>
      <c r="U30" s="14" t="str">
        <f aca="false">IF(T30="","",IF($C$16=0,$C$9,IF(AND($C$14&lt;&gt;"",T30&gt;=$C$14),$C$15,IF(AND($C$12&lt;&gt;"",T30&gt;=$C$12),$C$13,$C$11))))</f>
        <v/>
      </c>
      <c r="V30" s="14" t="str">
        <f aca="false">IF(T30="","",IF(OR(ISNUMBER(SEARCH("full",U30)),UPPER(TRIM(U30))="FT",UPPER(TRIM(U30))="FTE"),"FT",IF(AND(OR(ISNUMBER(SEARCH("part",U30)),UPPER(TRIM(U30))="PT",UPPER(TRIM(U30))="PTE"),OR($C$10="",N($C$10)&gt;=PT_MinHours)),"PT","None")))</f>
        <v/>
      </c>
      <c r="W30" s="14" t="n">
        <v>1</v>
      </c>
      <c r="X30" s="14" t="str">
        <f aca="false">IF(T30="","",IF(AND(V30="PT",T30&lt;=AsOfDate),W30,0))</f>
        <v/>
      </c>
      <c r="Z30" s="17" t="n">
        <f aca="false">I30</f>
        <v>72</v>
      </c>
      <c r="AA30" s="17" t="n">
        <f aca="false">SMALL($Z$20:$Z$199,11)</f>
        <v>66</v>
      </c>
      <c r="AB30" s="17" t="str">
        <f aca="false">IF(11-COUNTIF($Z$20:$Z$199,"&lt;"&amp;AA30)=1,IF(COUNTIF($I$20:$I$109,AA30)&gt;0,"FT","PT"),"PT")</f>
        <v>FT</v>
      </c>
      <c r="AC30" s="17" t="n">
        <f aca="false">IF(AB30="FT",INDEX($N$20:$N$109,MATCH(AA30,$I$20:$I$109,0)),1)</f>
        <v>1</v>
      </c>
    </row>
    <row r="31" customFormat="false" ht="15" hidden="false" customHeight="false" outlineLevel="0" collapsed="false">
      <c r="H31" s="14" t="n">
        <v>12</v>
      </c>
      <c r="I31" s="14" t="n">
        <f aca="false">IF(11&lt;FT_PreY5,FT_First+FT_Int1*11,FT_Y5+FT_Int2*(11-FT_PreY5))</f>
        <v>75</v>
      </c>
      <c r="J31" s="14" t="str">
        <f aca="false">INT(I31/12)&amp;"y "&amp;MOD(I31,12)&amp;"m"</f>
        <v>6y 3m</v>
      </c>
      <c r="K31" s="12" t="str">
        <f aca="false">IF(OR($C$6&lt;&gt;"Yes",$C$8=""),"",EDATE($C$8,I31))</f>
        <v/>
      </c>
      <c r="L31" s="14" t="str">
        <f aca="false">IF(K31="","",IF($C$16=0,$C$9,IF(AND($C$14&lt;&gt;"",K31&gt;=$C$14),$C$15,IF(AND($C$12&lt;&gt;"",K31&gt;=$C$12),$C$13,$C$11))))</f>
        <v/>
      </c>
      <c r="M31" s="14" t="str">
        <f aca="false">IF(K31="","",IF(OR(ISNUMBER(SEARCH("full",L31)),UPPER(TRIM(L31))="FT",UPPER(TRIM(L31))="FTE"),"FT",IF(AND(OR(ISNUMBER(SEARCH("part",L31)),UPPER(TRIM(L31))="PT",UPPER(TRIM(L31))="PTE"),OR($C$10="",N($C$10)&gt;=PT_MinHours)),"PT","None")))</f>
        <v/>
      </c>
      <c r="N31" s="14" t="n">
        <f aca="false">IF(I31&lt;FT_Y5,1,IF(MOD(I31-FT_Y5,12)=0,FT_AnnivDays,1))</f>
        <v>1</v>
      </c>
      <c r="O31" s="14" t="str">
        <f aca="false">IF(K31="","",IF(AND(M31="FT",K31&lt;=AsOfDate),N31,0))</f>
        <v/>
      </c>
      <c r="Q31" s="14" t="n">
        <v>12</v>
      </c>
      <c r="R31" s="14" t="n">
        <f aca="false">PT_First+PT_Int*11</f>
        <v>104</v>
      </c>
      <c r="S31" s="14" t="str">
        <f aca="false">INT(R31/12)&amp;"y "&amp;MOD(R31,12)&amp;"m"</f>
        <v>8y 8m</v>
      </c>
      <c r="T31" s="12" t="str">
        <f aca="false">IF(OR($C$6&lt;&gt;"Yes",$C$8=""),"",EDATE($C$8,R31))</f>
        <v/>
      </c>
      <c r="U31" s="14" t="str">
        <f aca="false">IF(T31="","",IF($C$16=0,$C$9,IF(AND($C$14&lt;&gt;"",T31&gt;=$C$14),$C$15,IF(AND($C$12&lt;&gt;"",T31&gt;=$C$12),$C$13,$C$11))))</f>
        <v/>
      </c>
      <c r="V31" s="14" t="str">
        <f aca="false">IF(T31="","",IF(OR(ISNUMBER(SEARCH("full",U31)),UPPER(TRIM(U31))="FT",UPPER(TRIM(U31))="FTE"),"FT",IF(AND(OR(ISNUMBER(SEARCH("part",U31)),UPPER(TRIM(U31))="PT",UPPER(TRIM(U31))="PTE"),OR($C$10="",N($C$10)&gt;=PT_MinHours)),"PT","None")))</f>
        <v/>
      </c>
      <c r="W31" s="14" t="n">
        <v>1</v>
      </c>
      <c r="X31" s="14" t="str">
        <f aca="false">IF(T31="","",IF(AND(V31="PT",T31&lt;=AsOfDate),W31,0))</f>
        <v/>
      </c>
      <c r="Z31" s="17" t="n">
        <f aca="false">I31</f>
        <v>75</v>
      </c>
      <c r="AA31" s="17" t="n">
        <f aca="false">SMALL($Z$20:$Z$199,12)</f>
        <v>68</v>
      </c>
      <c r="AB31" s="17" t="str">
        <f aca="false">IF(12-COUNTIF($Z$20:$Z$199,"&lt;"&amp;AA31)=1,IF(COUNTIF($I$20:$I$109,AA31)&gt;0,"FT","PT"),"PT")</f>
        <v>PT</v>
      </c>
      <c r="AC31" s="17" t="n">
        <f aca="false">IF(AB31="FT",INDEX($N$20:$N$109,MATCH(AA31,$I$20:$I$109,0)),1)</f>
        <v>1</v>
      </c>
    </row>
    <row r="32" customFormat="false" ht="15" hidden="false" customHeight="false" outlineLevel="0" collapsed="false">
      <c r="H32" s="14" t="n">
        <v>13</v>
      </c>
      <c r="I32" s="14" t="n">
        <f aca="false">IF(12&lt;FT_PreY5,FT_First+FT_Int1*12,FT_Y5+FT_Int2*(12-FT_PreY5))</f>
        <v>78</v>
      </c>
      <c r="J32" s="14" t="str">
        <f aca="false">INT(I32/12)&amp;"y "&amp;MOD(I32,12)&amp;"m"</f>
        <v>6y 6m</v>
      </c>
      <c r="K32" s="12" t="str">
        <f aca="false">IF(OR($C$6&lt;&gt;"Yes",$C$8=""),"",EDATE($C$8,I32))</f>
        <v/>
      </c>
      <c r="L32" s="14" t="str">
        <f aca="false">IF(K32="","",IF($C$16=0,$C$9,IF(AND($C$14&lt;&gt;"",K32&gt;=$C$14),$C$15,IF(AND($C$12&lt;&gt;"",K32&gt;=$C$12),$C$13,$C$11))))</f>
        <v/>
      </c>
      <c r="M32" s="14" t="str">
        <f aca="false">IF(K32="","",IF(OR(ISNUMBER(SEARCH("full",L32)),UPPER(TRIM(L32))="FT",UPPER(TRIM(L32))="FTE"),"FT",IF(AND(OR(ISNUMBER(SEARCH("part",L32)),UPPER(TRIM(L32))="PT",UPPER(TRIM(L32))="PTE"),OR($C$10="",N($C$10)&gt;=PT_MinHours)),"PT","None")))</f>
        <v/>
      </c>
      <c r="N32" s="14" t="n">
        <f aca="false">IF(I32&lt;FT_Y5,1,IF(MOD(I32-FT_Y5,12)=0,FT_AnnivDays,1))</f>
        <v>1</v>
      </c>
      <c r="O32" s="14" t="str">
        <f aca="false">IF(K32="","",IF(AND(M32="FT",K32&lt;=AsOfDate),N32,0))</f>
        <v/>
      </c>
      <c r="Q32" s="14" t="n">
        <v>13</v>
      </c>
      <c r="R32" s="14" t="n">
        <f aca="false">PT_First+PT_Int*12</f>
        <v>108</v>
      </c>
      <c r="S32" s="14" t="str">
        <f aca="false">INT(R32/12)&amp;"y "&amp;MOD(R32,12)&amp;"m"</f>
        <v>9y 0m</v>
      </c>
      <c r="T32" s="12" t="str">
        <f aca="false">IF(OR($C$6&lt;&gt;"Yes",$C$8=""),"",EDATE($C$8,R32))</f>
        <v/>
      </c>
      <c r="U32" s="14" t="str">
        <f aca="false">IF(T32="","",IF($C$16=0,$C$9,IF(AND($C$14&lt;&gt;"",T32&gt;=$C$14),$C$15,IF(AND($C$12&lt;&gt;"",T32&gt;=$C$12),$C$13,$C$11))))</f>
        <v/>
      </c>
      <c r="V32" s="14" t="str">
        <f aca="false">IF(T32="","",IF(OR(ISNUMBER(SEARCH("full",U32)),UPPER(TRIM(U32))="FT",UPPER(TRIM(U32))="FTE"),"FT",IF(AND(OR(ISNUMBER(SEARCH("part",U32)),UPPER(TRIM(U32))="PT",UPPER(TRIM(U32))="PTE"),OR($C$10="",N($C$10)&gt;=PT_MinHours)),"PT","None")))</f>
        <v/>
      </c>
      <c r="W32" s="14" t="n">
        <v>1</v>
      </c>
      <c r="X32" s="14" t="str">
        <f aca="false">IF(T32="","",IF(AND(V32="PT",T32&lt;=AsOfDate),W32,0))</f>
        <v/>
      </c>
      <c r="Z32" s="17" t="n">
        <f aca="false">I32</f>
        <v>78</v>
      </c>
      <c r="AA32" s="17" t="n">
        <f aca="false">SMALL($Z$20:$Z$199,13)</f>
        <v>69</v>
      </c>
      <c r="AB32" s="17" t="str">
        <f aca="false">IF(13-COUNTIF($Z$20:$Z$199,"&lt;"&amp;AA32)=1,IF(COUNTIF($I$20:$I$109,AA32)&gt;0,"FT","PT"),"PT")</f>
        <v>FT</v>
      </c>
      <c r="AC32" s="17" t="n">
        <f aca="false">IF(AB32="FT",INDEX($N$20:$N$109,MATCH(AA32,$I$20:$I$109,0)),1)</f>
        <v>1</v>
      </c>
    </row>
    <row r="33" customFormat="false" ht="15" hidden="false" customHeight="false" outlineLevel="0" collapsed="false">
      <c r="H33" s="14" t="n">
        <v>14</v>
      </c>
      <c r="I33" s="14" t="n">
        <f aca="false">IF(13&lt;FT_PreY5,FT_First+FT_Int1*13,FT_Y5+FT_Int2*(13-FT_PreY5))</f>
        <v>81</v>
      </c>
      <c r="J33" s="14" t="str">
        <f aca="false">INT(I33/12)&amp;"y "&amp;MOD(I33,12)&amp;"m"</f>
        <v>6y 9m</v>
      </c>
      <c r="K33" s="12" t="str">
        <f aca="false">IF(OR($C$6&lt;&gt;"Yes",$C$8=""),"",EDATE($C$8,I33))</f>
        <v/>
      </c>
      <c r="L33" s="14" t="str">
        <f aca="false">IF(K33="","",IF($C$16=0,$C$9,IF(AND($C$14&lt;&gt;"",K33&gt;=$C$14),$C$15,IF(AND($C$12&lt;&gt;"",K33&gt;=$C$12),$C$13,$C$11))))</f>
        <v/>
      </c>
      <c r="M33" s="14" t="str">
        <f aca="false">IF(K33="","",IF(OR(ISNUMBER(SEARCH("full",L33)),UPPER(TRIM(L33))="FT",UPPER(TRIM(L33))="FTE"),"FT",IF(AND(OR(ISNUMBER(SEARCH("part",L33)),UPPER(TRIM(L33))="PT",UPPER(TRIM(L33))="PTE"),OR($C$10="",N($C$10)&gt;=PT_MinHours)),"PT","None")))</f>
        <v/>
      </c>
      <c r="N33" s="14" t="n">
        <f aca="false">IF(I33&lt;FT_Y5,1,IF(MOD(I33-FT_Y5,12)=0,FT_AnnivDays,1))</f>
        <v>1</v>
      </c>
      <c r="O33" s="14" t="str">
        <f aca="false">IF(K33="","",IF(AND(M33="FT",K33&lt;=AsOfDate),N33,0))</f>
        <v/>
      </c>
      <c r="Q33" s="14" t="n">
        <v>14</v>
      </c>
      <c r="R33" s="14" t="n">
        <f aca="false">PT_First+PT_Int*13</f>
        <v>112</v>
      </c>
      <c r="S33" s="14" t="str">
        <f aca="false">INT(R33/12)&amp;"y "&amp;MOD(R33,12)&amp;"m"</f>
        <v>9y 4m</v>
      </c>
      <c r="T33" s="12" t="str">
        <f aca="false">IF(OR($C$6&lt;&gt;"Yes",$C$8=""),"",EDATE($C$8,R33))</f>
        <v/>
      </c>
      <c r="U33" s="14" t="str">
        <f aca="false">IF(T33="","",IF($C$16=0,$C$9,IF(AND($C$14&lt;&gt;"",T33&gt;=$C$14),$C$15,IF(AND($C$12&lt;&gt;"",T33&gt;=$C$12),$C$13,$C$11))))</f>
        <v/>
      </c>
      <c r="V33" s="14" t="str">
        <f aca="false">IF(T33="","",IF(OR(ISNUMBER(SEARCH("full",U33)),UPPER(TRIM(U33))="FT",UPPER(TRIM(U33))="FTE"),"FT",IF(AND(OR(ISNUMBER(SEARCH("part",U33)),UPPER(TRIM(U33))="PT",UPPER(TRIM(U33))="PTE"),OR($C$10="",N($C$10)&gt;=PT_MinHours)),"PT","None")))</f>
        <v/>
      </c>
      <c r="W33" s="14" t="n">
        <v>1</v>
      </c>
      <c r="X33" s="14" t="str">
        <f aca="false">IF(T33="","",IF(AND(V33="PT",T33&lt;=AsOfDate),W33,0))</f>
        <v/>
      </c>
      <c r="Z33" s="17" t="n">
        <f aca="false">I33</f>
        <v>81</v>
      </c>
      <c r="AA33" s="17" t="n">
        <f aca="false">SMALL($Z$20:$Z$199,14)</f>
        <v>72</v>
      </c>
      <c r="AB33" s="17" t="str">
        <f aca="false">IF(14-COUNTIF($Z$20:$Z$199,"&lt;"&amp;AA33)=1,IF(COUNTIF($I$20:$I$109,AA33)&gt;0,"FT","PT"),"PT")</f>
        <v>FT</v>
      </c>
      <c r="AC33" s="17" t="n">
        <f aca="false">IF(AB33="FT",INDEX($N$20:$N$109,MATCH(AA33,$I$20:$I$109,0)),1)</f>
        <v>2</v>
      </c>
    </row>
    <row r="34" customFormat="false" ht="15" hidden="false" customHeight="false" outlineLevel="0" collapsed="false">
      <c r="H34" s="14" t="n">
        <v>15</v>
      </c>
      <c r="I34" s="14" t="n">
        <f aca="false">IF(14&lt;FT_PreY5,FT_First+FT_Int1*14,FT_Y5+FT_Int2*(14-FT_PreY5))</f>
        <v>84</v>
      </c>
      <c r="J34" s="14" t="str">
        <f aca="false">INT(I34/12)&amp;"y "&amp;MOD(I34,12)&amp;"m"</f>
        <v>7y 0m</v>
      </c>
      <c r="K34" s="12" t="str">
        <f aca="false">IF(OR($C$6&lt;&gt;"Yes",$C$8=""),"",EDATE($C$8,I34))</f>
        <v/>
      </c>
      <c r="L34" s="14" t="str">
        <f aca="false">IF(K34="","",IF($C$16=0,$C$9,IF(AND($C$14&lt;&gt;"",K34&gt;=$C$14),$C$15,IF(AND($C$12&lt;&gt;"",K34&gt;=$C$12),$C$13,$C$11))))</f>
        <v/>
      </c>
      <c r="M34" s="14" t="str">
        <f aca="false">IF(K34="","",IF(OR(ISNUMBER(SEARCH("full",L34)),UPPER(TRIM(L34))="FT",UPPER(TRIM(L34))="FTE"),"FT",IF(AND(OR(ISNUMBER(SEARCH("part",L34)),UPPER(TRIM(L34))="PT",UPPER(TRIM(L34))="PTE"),OR($C$10="",N($C$10)&gt;=PT_MinHours)),"PT","None")))</f>
        <v/>
      </c>
      <c r="N34" s="14" t="n">
        <f aca="false">IF(I34&lt;FT_Y5,1,IF(MOD(I34-FT_Y5,12)=0,FT_AnnivDays,1))</f>
        <v>2</v>
      </c>
      <c r="O34" s="14" t="str">
        <f aca="false">IF(K34="","",IF(AND(M34="FT",K34&lt;=AsOfDate),N34,0))</f>
        <v/>
      </c>
      <c r="Q34" s="14" t="n">
        <v>15</v>
      </c>
      <c r="R34" s="14" t="n">
        <f aca="false">PT_First+PT_Int*14</f>
        <v>116</v>
      </c>
      <c r="S34" s="14" t="str">
        <f aca="false">INT(R34/12)&amp;"y "&amp;MOD(R34,12)&amp;"m"</f>
        <v>9y 8m</v>
      </c>
      <c r="T34" s="12" t="str">
        <f aca="false">IF(OR($C$6&lt;&gt;"Yes",$C$8=""),"",EDATE($C$8,R34))</f>
        <v/>
      </c>
      <c r="U34" s="14" t="str">
        <f aca="false">IF(T34="","",IF($C$16=0,$C$9,IF(AND($C$14&lt;&gt;"",T34&gt;=$C$14),$C$15,IF(AND($C$12&lt;&gt;"",T34&gt;=$C$12),$C$13,$C$11))))</f>
        <v/>
      </c>
      <c r="V34" s="14" t="str">
        <f aca="false">IF(T34="","",IF(OR(ISNUMBER(SEARCH("full",U34)),UPPER(TRIM(U34))="FT",UPPER(TRIM(U34))="FTE"),"FT",IF(AND(OR(ISNUMBER(SEARCH("part",U34)),UPPER(TRIM(U34))="PT",UPPER(TRIM(U34))="PTE"),OR($C$10="",N($C$10)&gt;=PT_MinHours)),"PT","None")))</f>
        <v/>
      </c>
      <c r="W34" s="14" t="n">
        <v>1</v>
      </c>
      <c r="X34" s="14" t="str">
        <f aca="false">IF(T34="","",IF(AND(V34="PT",T34&lt;=AsOfDate),W34,0))</f>
        <v/>
      </c>
      <c r="Z34" s="17" t="n">
        <f aca="false">I34</f>
        <v>84</v>
      </c>
      <c r="AA34" s="17" t="n">
        <f aca="false">SMALL($Z$20:$Z$199,15)</f>
        <v>72</v>
      </c>
      <c r="AB34" s="17" t="str">
        <f aca="false">IF(15-COUNTIF($Z$20:$Z$199,"&lt;"&amp;AA34)=1,IF(COUNTIF($I$20:$I$109,AA34)&gt;0,"FT","PT"),"PT")</f>
        <v>PT</v>
      </c>
      <c r="AC34" s="17" t="n">
        <f aca="false">IF(AB34="FT",INDEX($N$20:$N$109,MATCH(AA34,$I$20:$I$109,0)),1)</f>
        <v>1</v>
      </c>
    </row>
    <row r="35" customFormat="false" ht="15" hidden="false" customHeight="false" outlineLevel="0" collapsed="false">
      <c r="H35" s="14" t="n">
        <v>16</v>
      </c>
      <c r="I35" s="14" t="n">
        <f aca="false">IF(15&lt;FT_PreY5,FT_First+FT_Int1*15,FT_Y5+FT_Int2*(15-FT_PreY5))</f>
        <v>87</v>
      </c>
      <c r="J35" s="14" t="str">
        <f aca="false">INT(I35/12)&amp;"y "&amp;MOD(I35,12)&amp;"m"</f>
        <v>7y 3m</v>
      </c>
      <c r="K35" s="12" t="str">
        <f aca="false">IF(OR($C$6&lt;&gt;"Yes",$C$8=""),"",EDATE($C$8,I35))</f>
        <v/>
      </c>
      <c r="L35" s="14" t="str">
        <f aca="false">IF(K35="","",IF($C$16=0,$C$9,IF(AND($C$14&lt;&gt;"",K35&gt;=$C$14),$C$15,IF(AND($C$12&lt;&gt;"",K35&gt;=$C$12),$C$13,$C$11))))</f>
        <v/>
      </c>
      <c r="M35" s="14" t="str">
        <f aca="false">IF(K35="","",IF(OR(ISNUMBER(SEARCH("full",L35)),UPPER(TRIM(L35))="FT",UPPER(TRIM(L35))="FTE"),"FT",IF(AND(OR(ISNUMBER(SEARCH("part",L35)),UPPER(TRIM(L35))="PT",UPPER(TRIM(L35))="PTE"),OR($C$10="",N($C$10)&gt;=PT_MinHours)),"PT","None")))</f>
        <v/>
      </c>
      <c r="N35" s="14" t="n">
        <f aca="false">IF(I35&lt;FT_Y5,1,IF(MOD(I35-FT_Y5,12)=0,FT_AnnivDays,1))</f>
        <v>1</v>
      </c>
      <c r="O35" s="14" t="str">
        <f aca="false">IF(K35="","",IF(AND(M35="FT",K35&lt;=AsOfDate),N35,0))</f>
        <v/>
      </c>
      <c r="Q35" s="14" t="n">
        <v>16</v>
      </c>
      <c r="R35" s="14" t="n">
        <f aca="false">PT_First+PT_Int*15</f>
        <v>120</v>
      </c>
      <c r="S35" s="14" t="str">
        <f aca="false">INT(R35/12)&amp;"y "&amp;MOD(R35,12)&amp;"m"</f>
        <v>10y 0m</v>
      </c>
      <c r="T35" s="12" t="str">
        <f aca="false">IF(OR($C$6&lt;&gt;"Yes",$C$8=""),"",EDATE($C$8,R35))</f>
        <v/>
      </c>
      <c r="U35" s="14" t="str">
        <f aca="false">IF(T35="","",IF($C$16=0,$C$9,IF(AND($C$14&lt;&gt;"",T35&gt;=$C$14),$C$15,IF(AND($C$12&lt;&gt;"",T35&gt;=$C$12),$C$13,$C$11))))</f>
        <v/>
      </c>
      <c r="V35" s="14" t="str">
        <f aca="false">IF(T35="","",IF(OR(ISNUMBER(SEARCH("full",U35)),UPPER(TRIM(U35))="FT",UPPER(TRIM(U35))="FTE"),"FT",IF(AND(OR(ISNUMBER(SEARCH("part",U35)),UPPER(TRIM(U35))="PT",UPPER(TRIM(U35))="PTE"),OR($C$10="",N($C$10)&gt;=PT_MinHours)),"PT","None")))</f>
        <v/>
      </c>
      <c r="W35" s="14" t="n">
        <v>1</v>
      </c>
      <c r="X35" s="14" t="str">
        <f aca="false">IF(T35="","",IF(AND(V35="PT",T35&lt;=AsOfDate),W35,0))</f>
        <v/>
      </c>
      <c r="Z35" s="17" t="n">
        <f aca="false">I35</f>
        <v>87</v>
      </c>
      <c r="AA35" s="17" t="n">
        <f aca="false">SMALL($Z$20:$Z$199,16)</f>
        <v>75</v>
      </c>
      <c r="AB35" s="17" t="str">
        <f aca="false">IF(16-COUNTIF($Z$20:$Z$199,"&lt;"&amp;AA35)=1,IF(COUNTIF($I$20:$I$109,AA35)&gt;0,"FT","PT"),"PT")</f>
        <v>FT</v>
      </c>
      <c r="AC35" s="17" t="n">
        <f aca="false">IF(AB35="FT",INDEX($N$20:$N$109,MATCH(AA35,$I$20:$I$109,0)),1)</f>
        <v>1</v>
      </c>
    </row>
    <row r="36" customFormat="false" ht="15" hidden="false" customHeight="false" outlineLevel="0" collapsed="false">
      <c r="H36" s="14" t="n">
        <v>17</v>
      </c>
      <c r="I36" s="14" t="n">
        <f aca="false">IF(16&lt;FT_PreY5,FT_First+FT_Int1*16,FT_Y5+FT_Int2*(16-FT_PreY5))</f>
        <v>90</v>
      </c>
      <c r="J36" s="14" t="str">
        <f aca="false">INT(I36/12)&amp;"y "&amp;MOD(I36,12)&amp;"m"</f>
        <v>7y 6m</v>
      </c>
      <c r="K36" s="12" t="str">
        <f aca="false">IF(OR($C$6&lt;&gt;"Yes",$C$8=""),"",EDATE($C$8,I36))</f>
        <v/>
      </c>
      <c r="L36" s="14" t="str">
        <f aca="false">IF(K36="","",IF($C$16=0,$C$9,IF(AND($C$14&lt;&gt;"",K36&gt;=$C$14),$C$15,IF(AND($C$12&lt;&gt;"",K36&gt;=$C$12),$C$13,$C$11))))</f>
        <v/>
      </c>
      <c r="M36" s="14" t="str">
        <f aca="false">IF(K36="","",IF(OR(ISNUMBER(SEARCH("full",L36)),UPPER(TRIM(L36))="FT",UPPER(TRIM(L36))="FTE"),"FT",IF(AND(OR(ISNUMBER(SEARCH("part",L36)),UPPER(TRIM(L36))="PT",UPPER(TRIM(L36))="PTE"),OR($C$10="",N($C$10)&gt;=PT_MinHours)),"PT","None")))</f>
        <v/>
      </c>
      <c r="N36" s="14" t="n">
        <f aca="false">IF(I36&lt;FT_Y5,1,IF(MOD(I36-FT_Y5,12)=0,FT_AnnivDays,1))</f>
        <v>1</v>
      </c>
      <c r="O36" s="14" t="str">
        <f aca="false">IF(K36="","",IF(AND(M36="FT",K36&lt;=AsOfDate),N36,0))</f>
        <v/>
      </c>
      <c r="Q36" s="14" t="n">
        <v>17</v>
      </c>
      <c r="R36" s="14" t="n">
        <f aca="false">PT_First+PT_Int*16</f>
        <v>124</v>
      </c>
      <c r="S36" s="14" t="str">
        <f aca="false">INT(R36/12)&amp;"y "&amp;MOD(R36,12)&amp;"m"</f>
        <v>10y 4m</v>
      </c>
      <c r="T36" s="12" t="str">
        <f aca="false">IF(OR($C$6&lt;&gt;"Yes",$C$8=""),"",EDATE($C$8,R36))</f>
        <v/>
      </c>
      <c r="U36" s="14" t="str">
        <f aca="false">IF(T36="","",IF($C$16=0,$C$9,IF(AND($C$14&lt;&gt;"",T36&gt;=$C$14),$C$15,IF(AND($C$12&lt;&gt;"",T36&gt;=$C$12),$C$13,$C$11))))</f>
        <v/>
      </c>
      <c r="V36" s="14" t="str">
        <f aca="false">IF(T36="","",IF(OR(ISNUMBER(SEARCH("full",U36)),UPPER(TRIM(U36))="FT",UPPER(TRIM(U36))="FTE"),"FT",IF(AND(OR(ISNUMBER(SEARCH("part",U36)),UPPER(TRIM(U36))="PT",UPPER(TRIM(U36))="PTE"),OR($C$10="",N($C$10)&gt;=PT_MinHours)),"PT","None")))</f>
        <v/>
      </c>
      <c r="W36" s="14" t="n">
        <v>1</v>
      </c>
      <c r="X36" s="14" t="str">
        <f aca="false">IF(T36="","",IF(AND(V36="PT",T36&lt;=AsOfDate),W36,0))</f>
        <v/>
      </c>
      <c r="Z36" s="17" t="n">
        <f aca="false">I36</f>
        <v>90</v>
      </c>
      <c r="AA36" s="17" t="n">
        <f aca="false">SMALL($Z$20:$Z$199,17)</f>
        <v>76</v>
      </c>
      <c r="AB36" s="17" t="str">
        <f aca="false">IF(17-COUNTIF($Z$20:$Z$199,"&lt;"&amp;AA36)=1,IF(COUNTIF($I$20:$I$109,AA36)&gt;0,"FT","PT"),"PT")</f>
        <v>PT</v>
      </c>
      <c r="AC36" s="17" t="n">
        <f aca="false">IF(AB36="FT",INDEX($N$20:$N$109,MATCH(AA36,$I$20:$I$109,0)),1)</f>
        <v>1</v>
      </c>
    </row>
    <row r="37" customFormat="false" ht="15" hidden="false" customHeight="false" outlineLevel="0" collapsed="false">
      <c r="H37" s="14" t="n">
        <v>18</v>
      </c>
      <c r="I37" s="14" t="n">
        <f aca="false">IF(17&lt;FT_PreY5,FT_First+FT_Int1*17,FT_Y5+FT_Int2*(17-FT_PreY5))</f>
        <v>93</v>
      </c>
      <c r="J37" s="14" t="str">
        <f aca="false">INT(I37/12)&amp;"y "&amp;MOD(I37,12)&amp;"m"</f>
        <v>7y 9m</v>
      </c>
      <c r="K37" s="12" t="str">
        <f aca="false">IF(OR($C$6&lt;&gt;"Yes",$C$8=""),"",EDATE($C$8,I37))</f>
        <v/>
      </c>
      <c r="L37" s="14" t="str">
        <f aca="false">IF(K37="","",IF($C$16=0,$C$9,IF(AND($C$14&lt;&gt;"",K37&gt;=$C$14),$C$15,IF(AND($C$12&lt;&gt;"",K37&gt;=$C$12),$C$13,$C$11))))</f>
        <v/>
      </c>
      <c r="M37" s="14" t="str">
        <f aca="false">IF(K37="","",IF(OR(ISNUMBER(SEARCH("full",L37)),UPPER(TRIM(L37))="FT",UPPER(TRIM(L37))="FTE"),"FT",IF(AND(OR(ISNUMBER(SEARCH("part",L37)),UPPER(TRIM(L37))="PT",UPPER(TRIM(L37))="PTE"),OR($C$10="",N($C$10)&gt;=PT_MinHours)),"PT","None")))</f>
        <v/>
      </c>
      <c r="N37" s="14" t="n">
        <f aca="false">IF(I37&lt;FT_Y5,1,IF(MOD(I37-FT_Y5,12)=0,FT_AnnivDays,1))</f>
        <v>1</v>
      </c>
      <c r="O37" s="14" t="str">
        <f aca="false">IF(K37="","",IF(AND(M37="FT",K37&lt;=AsOfDate),N37,0))</f>
        <v/>
      </c>
      <c r="Q37" s="14" t="n">
        <v>18</v>
      </c>
      <c r="R37" s="14" t="n">
        <f aca="false">PT_First+PT_Int*17</f>
        <v>128</v>
      </c>
      <c r="S37" s="14" t="str">
        <f aca="false">INT(R37/12)&amp;"y "&amp;MOD(R37,12)&amp;"m"</f>
        <v>10y 8m</v>
      </c>
      <c r="T37" s="12" t="str">
        <f aca="false">IF(OR($C$6&lt;&gt;"Yes",$C$8=""),"",EDATE($C$8,R37))</f>
        <v/>
      </c>
      <c r="U37" s="14" t="str">
        <f aca="false">IF(T37="","",IF($C$16=0,$C$9,IF(AND($C$14&lt;&gt;"",T37&gt;=$C$14),$C$15,IF(AND($C$12&lt;&gt;"",T37&gt;=$C$12),$C$13,$C$11))))</f>
        <v/>
      </c>
      <c r="V37" s="14" t="str">
        <f aca="false">IF(T37="","",IF(OR(ISNUMBER(SEARCH("full",U37)),UPPER(TRIM(U37))="FT",UPPER(TRIM(U37))="FTE"),"FT",IF(AND(OR(ISNUMBER(SEARCH("part",U37)),UPPER(TRIM(U37))="PT",UPPER(TRIM(U37))="PTE"),OR($C$10="",N($C$10)&gt;=PT_MinHours)),"PT","None")))</f>
        <v/>
      </c>
      <c r="W37" s="14" t="n">
        <v>1</v>
      </c>
      <c r="X37" s="14" t="str">
        <f aca="false">IF(T37="","",IF(AND(V37="PT",T37&lt;=AsOfDate),W37,0))</f>
        <v/>
      </c>
      <c r="Z37" s="17" t="n">
        <f aca="false">I37</f>
        <v>93</v>
      </c>
      <c r="AA37" s="17" t="n">
        <f aca="false">SMALL($Z$20:$Z$199,18)</f>
        <v>78</v>
      </c>
      <c r="AB37" s="17" t="str">
        <f aca="false">IF(18-COUNTIF($Z$20:$Z$199,"&lt;"&amp;AA37)=1,IF(COUNTIF($I$20:$I$109,AA37)&gt;0,"FT","PT"),"PT")</f>
        <v>FT</v>
      </c>
      <c r="AC37" s="17" t="n">
        <f aca="false">IF(AB37="FT",INDEX($N$20:$N$109,MATCH(AA37,$I$20:$I$109,0)),1)</f>
        <v>1</v>
      </c>
    </row>
    <row r="38" customFormat="false" ht="15" hidden="false" customHeight="false" outlineLevel="0" collapsed="false">
      <c r="H38" s="14" t="n">
        <v>19</v>
      </c>
      <c r="I38" s="14" t="n">
        <f aca="false">IF(18&lt;FT_PreY5,FT_First+FT_Int1*18,FT_Y5+FT_Int2*(18-FT_PreY5))</f>
        <v>96</v>
      </c>
      <c r="J38" s="14" t="str">
        <f aca="false">INT(I38/12)&amp;"y "&amp;MOD(I38,12)&amp;"m"</f>
        <v>8y 0m</v>
      </c>
      <c r="K38" s="12" t="str">
        <f aca="false">IF(OR($C$6&lt;&gt;"Yes",$C$8=""),"",EDATE($C$8,I38))</f>
        <v/>
      </c>
      <c r="L38" s="14" t="str">
        <f aca="false">IF(K38="","",IF($C$16=0,$C$9,IF(AND($C$14&lt;&gt;"",K38&gt;=$C$14),$C$15,IF(AND($C$12&lt;&gt;"",K38&gt;=$C$12),$C$13,$C$11))))</f>
        <v/>
      </c>
      <c r="M38" s="14" t="str">
        <f aca="false">IF(K38="","",IF(OR(ISNUMBER(SEARCH("full",L38)),UPPER(TRIM(L38))="FT",UPPER(TRIM(L38))="FTE"),"FT",IF(AND(OR(ISNUMBER(SEARCH("part",L38)),UPPER(TRIM(L38))="PT",UPPER(TRIM(L38))="PTE"),OR($C$10="",N($C$10)&gt;=PT_MinHours)),"PT","None")))</f>
        <v/>
      </c>
      <c r="N38" s="14" t="n">
        <f aca="false">IF(I38&lt;FT_Y5,1,IF(MOD(I38-FT_Y5,12)=0,FT_AnnivDays,1))</f>
        <v>2</v>
      </c>
      <c r="O38" s="14" t="str">
        <f aca="false">IF(K38="","",IF(AND(M38="FT",K38&lt;=AsOfDate),N38,0))</f>
        <v/>
      </c>
      <c r="Q38" s="14" t="n">
        <v>19</v>
      </c>
      <c r="R38" s="14" t="n">
        <f aca="false">PT_First+PT_Int*18</f>
        <v>132</v>
      </c>
      <c r="S38" s="14" t="str">
        <f aca="false">INT(R38/12)&amp;"y "&amp;MOD(R38,12)&amp;"m"</f>
        <v>11y 0m</v>
      </c>
      <c r="T38" s="12" t="str">
        <f aca="false">IF(OR($C$6&lt;&gt;"Yes",$C$8=""),"",EDATE($C$8,R38))</f>
        <v/>
      </c>
      <c r="U38" s="14" t="str">
        <f aca="false">IF(T38="","",IF($C$16=0,$C$9,IF(AND($C$14&lt;&gt;"",T38&gt;=$C$14),$C$15,IF(AND($C$12&lt;&gt;"",T38&gt;=$C$12),$C$13,$C$11))))</f>
        <v/>
      </c>
      <c r="V38" s="14" t="str">
        <f aca="false">IF(T38="","",IF(OR(ISNUMBER(SEARCH("full",U38)),UPPER(TRIM(U38))="FT",UPPER(TRIM(U38))="FTE"),"FT",IF(AND(OR(ISNUMBER(SEARCH("part",U38)),UPPER(TRIM(U38))="PT",UPPER(TRIM(U38))="PTE"),OR($C$10="",N($C$10)&gt;=PT_MinHours)),"PT","None")))</f>
        <v/>
      </c>
      <c r="W38" s="14" t="n">
        <v>1</v>
      </c>
      <c r="X38" s="14" t="str">
        <f aca="false">IF(T38="","",IF(AND(V38="PT",T38&lt;=AsOfDate),W38,0))</f>
        <v/>
      </c>
      <c r="Z38" s="17" t="n">
        <f aca="false">I38</f>
        <v>96</v>
      </c>
      <c r="AA38" s="17" t="n">
        <f aca="false">SMALL($Z$20:$Z$199,19)</f>
        <v>80</v>
      </c>
      <c r="AB38" s="17" t="str">
        <f aca="false">IF(19-COUNTIF($Z$20:$Z$199,"&lt;"&amp;AA38)=1,IF(COUNTIF($I$20:$I$109,AA38)&gt;0,"FT","PT"),"PT")</f>
        <v>PT</v>
      </c>
      <c r="AC38" s="17" t="n">
        <f aca="false">IF(AB38="FT",INDEX($N$20:$N$109,MATCH(AA38,$I$20:$I$109,0)),1)</f>
        <v>1</v>
      </c>
    </row>
    <row r="39" customFormat="false" ht="15" hidden="false" customHeight="false" outlineLevel="0" collapsed="false">
      <c r="H39" s="14" t="n">
        <v>20</v>
      </c>
      <c r="I39" s="14" t="n">
        <f aca="false">IF(19&lt;FT_PreY5,FT_First+FT_Int1*19,FT_Y5+FT_Int2*(19-FT_PreY5))</f>
        <v>99</v>
      </c>
      <c r="J39" s="14" t="str">
        <f aca="false">INT(I39/12)&amp;"y "&amp;MOD(I39,12)&amp;"m"</f>
        <v>8y 3m</v>
      </c>
      <c r="K39" s="12" t="str">
        <f aca="false">IF(OR($C$6&lt;&gt;"Yes",$C$8=""),"",EDATE($C$8,I39))</f>
        <v/>
      </c>
      <c r="L39" s="14" t="str">
        <f aca="false">IF(K39="","",IF($C$16=0,$C$9,IF(AND($C$14&lt;&gt;"",K39&gt;=$C$14),$C$15,IF(AND($C$12&lt;&gt;"",K39&gt;=$C$12),$C$13,$C$11))))</f>
        <v/>
      </c>
      <c r="M39" s="14" t="str">
        <f aca="false">IF(K39="","",IF(OR(ISNUMBER(SEARCH("full",L39)),UPPER(TRIM(L39))="FT",UPPER(TRIM(L39))="FTE"),"FT",IF(AND(OR(ISNUMBER(SEARCH("part",L39)),UPPER(TRIM(L39))="PT",UPPER(TRIM(L39))="PTE"),OR($C$10="",N($C$10)&gt;=PT_MinHours)),"PT","None")))</f>
        <v/>
      </c>
      <c r="N39" s="14" t="n">
        <f aca="false">IF(I39&lt;FT_Y5,1,IF(MOD(I39-FT_Y5,12)=0,FT_AnnivDays,1))</f>
        <v>1</v>
      </c>
      <c r="O39" s="14" t="str">
        <f aca="false">IF(K39="","",IF(AND(M39="FT",K39&lt;=AsOfDate),N39,0))</f>
        <v/>
      </c>
      <c r="Q39" s="14" t="n">
        <v>20</v>
      </c>
      <c r="R39" s="14" t="n">
        <f aca="false">PT_First+PT_Int*19</f>
        <v>136</v>
      </c>
      <c r="S39" s="14" t="str">
        <f aca="false">INT(R39/12)&amp;"y "&amp;MOD(R39,12)&amp;"m"</f>
        <v>11y 4m</v>
      </c>
      <c r="T39" s="12" t="str">
        <f aca="false">IF(OR($C$6&lt;&gt;"Yes",$C$8=""),"",EDATE($C$8,R39))</f>
        <v/>
      </c>
      <c r="U39" s="14" t="str">
        <f aca="false">IF(T39="","",IF($C$16=0,$C$9,IF(AND($C$14&lt;&gt;"",T39&gt;=$C$14),$C$15,IF(AND($C$12&lt;&gt;"",T39&gt;=$C$12),$C$13,$C$11))))</f>
        <v/>
      </c>
      <c r="V39" s="14" t="str">
        <f aca="false">IF(T39="","",IF(OR(ISNUMBER(SEARCH("full",U39)),UPPER(TRIM(U39))="FT",UPPER(TRIM(U39))="FTE"),"FT",IF(AND(OR(ISNUMBER(SEARCH("part",U39)),UPPER(TRIM(U39))="PT",UPPER(TRIM(U39))="PTE"),OR($C$10="",N($C$10)&gt;=PT_MinHours)),"PT","None")))</f>
        <v/>
      </c>
      <c r="W39" s="14" t="n">
        <v>1</v>
      </c>
      <c r="X39" s="14" t="str">
        <f aca="false">IF(T39="","",IF(AND(V39="PT",T39&lt;=AsOfDate),W39,0))</f>
        <v/>
      </c>
      <c r="Z39" s="17" t="n">
        <f aca="false">I39</f>
        <v>99</v>
      </c>
      <c r="AA39" s="17" t="n">
        <f aca="false">SMALL($Z$20:$Z$199,20)</f>
        <v>81</v>
      </c>
      <c r="AB39" s="17" t="str">
        <f aca="false">IF(20-COUNTIF($Z$20:$Z$199,"&lt;"&amp;AA39)=1,IF(COUNTIF($I$20:$I$109,AA39)&gt;0,"FT","PT"),"PT")</f>
        <v>FT</v>
      </c>
      <c r="AC39" s="17" t="n">
        <f aca="false">IF(AB39="FT",INDEX($N$20:$N$109,MATCH(AA39,$I$20:$I$109,0)),1)</f>
        <v>1</v>
      </c>
    </row>
    <row r="40" customFormat="false" ht="15" hidden="false" customHeight="false" outlineLevel="0" collapsed="false">
      <c r="H40" s="14" t="n">
        <v>21</v>
      </c>
      <c r="I40" s="14" t="n">
        <f aca="false">IF(20&lt;FT_PreY5,FT_First+FT_Int1*20,FT_Y5+FT_Int2*(20-FT_PreY5))</f>
        <v>102</v>
      </c>
      <c r="J40" s="14" t="str">
        <f aca="false">INT(I40/12)&amp;"y "&amp;MOD(I40,12)&amp;"m"</f>
        <v>8y 6m</v>
      </c>
      <c r="K40" s="12" t="str">
        <f aca="false">IF(OR($C$6&lt;&gt;"Yes",$C$8=""),"",EDATE($C$8,I40))</f>
        <v/>
      </c>
      <c r="L40" s="14" t="str">
        <f aca="false">IF(K40="","",IF($C$16=0,$C$9,IF(AND($C$14&lt;&gt;"",K40&gt;=$C$14),$C$15,IF(AND($C$12&lt;&gt;"",K40&gt;=$C$12),$C$13,$C$11))))</f>
        <v/>
      </c>
      <c r="M40" s="14" t="str">
        <f aca="false">IF(K40="","",IF(OR(ISNUMBER(SEARCH("full",L40)),UPPER(TRIM(L40))="FT",UPPER(TRIM(L40))="FTE"),"FT",IF(AND(OR(ISNUMBER(SEARCH("part",L40)),UPPER(TRIM(L40))="PT",UPPER(TRIM(L40))="PTE"),OR($C$10="",N($C$10)&gt;=PT_MinHours)),"PT","None")))</f>
        <v/>
      </c>
      <c r="N40" s="14" t="n">
        <f aca="false">IF(I40&lt;FT_Y5,1,IF(MOD(I40-FT_Y5,12)=0,FT_AnnivDays,1))</f>
        <v>1</v>
      </c>
      <c r="O40" s="14" t="str">
        <f aca="false">IF(K40="","",IF(AND(M40="FT",K40&lt;=AsOfDate),N40,0))</f>
        <v/>
      </c>
      <c r="Q40" s="14" t="n">
        <v>21</v>
      </c>
      <c r="R40" s="14" t="n">
        <f aca="false">PT_First+PT_Int*20</f>
        <v>140</v>
      </c>
      <c r="S40" s="14" t="str">
        <f aca="false">INT(R40/12)&amp;"y "&amp;MOD(R40,12)&amp;"m"</f>
        <v>11y 8m</v>
      </c>
      <c r="T40" s="12" t="str">
        <f aca="false">IF(OR($C$6&lt;&gt;"Yes",$C$8=""),"",EDATE($C$8,R40))</f>
        <v/>
      </c>
      <c r="U40" s="14" t="str">
        <f aca="false">IF(T40="","",IF($C$16=0,$C$9,IF(AND($C$14&lt;&gt;"",T40&gt;=$C$14),$C$15,IF(AND($C$12&lt;&gt;"",T40&gt;=$C$12),$C$13,$C$11))))</f>
        <v/>
      </c>
      <c r="V40" s="14" t="str">
        <f aca="false">IF(T40="","",IF(OR(ISNUMBER(SEARCH("full",U40)),UPPER(TRIM(U40))="FT",UPPER(TRIM(U40))="FTE"),"FT",IF(AND(OR(ISNUMBER(SEARCH("part",U40)),UPPER(TRIM(U40))="PT",UPPER(TRIM(U40))="PTE"),OR($C$10="",N($C$10)&gt;=PT_MinHours)),"PT","None")))</f>
        <v/>
      </c>
      <c r="W40" s="14" t="n">
        <v>1</v>
      </c>
      <c r="X40" s="14" t="str">
        <f aca="false">IF(T40="","",IF(AND(V40="PT",T40&lt;=AsOfDate),W40,0))</f>
        <v/>
      </c>
      <c r="Z40" s="17" t="n">
        <f aca="false">I40</f>
        <v>102</v>
      </c>
      <c r="AA40" s="17" t="n">
        <f aca="false">SMALL($Z$20:$Z$199,21)</f>
        <v>84</v>
      </c>
      <c r="AB40" s="17" t="str">
        <f aca="false">IF(21-COUNTIF($Z$20:$Z$199,"&lt;"&amp;AA40)=1,IF(COUNTIF($I$20:$I$109,AA40)&gt;0,"FT","PT"),"PT")</f>
        <v>FT</v>
      </c>
      <c r="AC40" s="17" t="n">
        <f aca="false">IF(AB40="FT",INDEX($N$20:$N$109,MATCH(AA40,$I$20:$I$109,0)),1)</f>
        <v>2</v>
      </c>
    </row>
    <row r="41" customFormat="false" ht="15" hidden="false" customHeight="false" outlineLevel="0" collapsed="false">
      <c r="H41" s="14" t="n">
        <v>22</v>
      </c>
      <c r="I41" s="14" t="n">
        <f aca="false">IF(21&lt;FT_PreY5,FT_First+FT_Int1*21,FT_Y5+FT_Int2*(21-FT_PreY5))</f>
        <v>105</v>
      </c>
      <c r="J41" s="14" t="str">
        <f aca="false">INT(I41/12)&amp;"y "&amp;MOD(I41,12)&amp;"m"</f>
        <v>8y 9m</v>
      </c>
      <c r="K41" s="12" t="str">
        <f aca="false">IF(OR($C$6&lt;&gt;"Yes",$C$8=""),"",EDATE($C$8,I41))</f>
        <v/>
      </c>
      <c r="L41" s="14" t="str">
        <f aca="false">IF(K41="","",IF($C$16=0,$C$9,IF(AND($C$14&lt;&gt;"",K41&gt;=$C$14),$C$15,IF(AND($C$12&lt;&gt;"",K41&gt;=$C$12),$C$13,$C$11))))</f>
        <v/>
      </c>
      <c r="M41" s="14" t="str">
        <f aca="false">IF(K41="","",IF(OR(ISNUMBER(SEARCH("full",L41)),UPPER(TRIM(L41))="FT",UPPER(TRIM(L41))="FTE"),"FT",IF(AND(OR(ISNUMBER(SEARCH("part",L41)),UPPER(TRIM(L41))="PT",UPPER(TRIM(L41))="PTE"),OR($C$10="",N($C$10)&gt;=PT_MinHours)),"PT","None")))</f>
        <v/>
      </c>
      <c r="N41" s="14" t="n">
        <f aca="false">IF(I41&lt;FT_Y5,1,IF(MOD(I41-FT_Y5,12)=0,FT_AnnivDays,1))</f>
        <v>1</v>
      </c>
      <c r="O41" s="14" t="str">
        <f aca="false">IF(K41="","",IF(AND(M41="FT",K41&lt;=AsOfDate),N41,0))</f>
        <v/>
      </c>
      <c r="Q41" s="14" t="n">
        <v>22</v>
      </c>
      <c r="R41" s="14" t="n">
        <f aca="false">PT_First+PT_Int*21</f>
        <v>144</v>
      </c>
      <c r="S41" s="14" t="str">
        <f aca="false">INT(R41/12)&amp;"y "&amp;MOD(R41,12)&amp;"m"</f>
        <v>12y 0m</v>
      </c>
      <c r="T41" s="12" t="str">
        <f aca="false">IF(OR($C$6&lt;&gt;"Yes",$C$8=""),"",EDATE($C$8,R41))</f>
        <v/>
      </c>
      <c r="U41" s="14" t="str">
        <f aca="false">IF(T41="","",IF($C$16=0,$C$9,IF(AND($C$14&lt;&gt;"",T41&gt;=$C$14),$C$15,IF(AND($C$12&lt;&gt;"",T41&gt;=$C$12),$C$13,$C$11))))</f>
        <v/>
      </c>
      <c r="V41" s="14" t="str">
        <f aca="false">IF(T41="","",IF(OR(ISNUMBER(SEARCH("full",U41)),UPPER(TRIM(U41))="FT",UPPER(TRIM(U41))="FTE"),"FT",IF(AND(OR(ISNUMBER(SEARCH("part",U41)),UPPER(TRIM(U41))="PT",UPPER(TRIM(U41))="PTE"),OR($C$10="",N($C$10)&gt;=PT_MinHours)),"PT","None")))</f>
        <v/>
      </c>
      <c r="W41" s="14" t="n">
        <v>1</v>
      </c>
      <c r="X41" s="14" t="str">
        <f aca="false">IF(T41="","",IF(AND(V41="PT",T41&lt;=AsOfDate),W41,0))</f>
        <v/>
      </c>
      <c r="Z41" s="17" t="n">
        <f aca="false">I41</f>
        <v>105</v>
      </c>
      <c r="AA41" s="17" t="n">
        <f aca="false">SMALL($Z$20:$Z$199,22)</f>
        <v>84</v>
      </c>
      <c r="AB41" s="17" t="str">
        <f aca="false">IF(22-COUNTIF($Z$20:$Z$199,"&lt;"&amp;AA41)=1,IF(COUNTIF($I$20:$I$109,AA41)&gt;0,"FT","PT"),"PT")</f>
        <v>PT</v>
      </c>
      <c r="AC41" s="17" t="n">
        <f aca="false">IF(AB41="FT",INDEX($N$20:$N$109,MATCH(AA41,$I$20:$I$109,0)),1)</f>
        <v>1</v>
      </c>
    </row>
    <row r="42" customFormat="false" ht="15" hidden="false" customHeight="false" outlineLevel="0" collapsed="false">
      <c r="H42" s="14" t="n">
        <v>23</v>
      </c>
      <c r="I42" s="14" t="n">
        <f aca="false">IF(22&lt;FT_PreY5,FT_First+FT_Int1*22,FT_Y5+FT_Int2*(22-FT_PreY5))</f>
        <v>108</v>
      </c>
      <c r="J42" s="14" t="str">
        <f aca="false">INT(I42/12)&amp;"y "&amp;MOD(I42,12)&amp;"m"</f>
        <v>9y 0m</v>
      </c>
      <c r="K42" s="12" t="str">
        <f aca="false">IF(OR($C$6&lt;&gt;"Yes",$C$8=""),"",EDATE($C$8,I42))</f>
        <v/>
      </c>
      <c r="L42" s="14" t="str">
        <f aca="false">IF(K42="","",IF($C$16=0,$C$9,IF(AND($C$14&lt;&gt;"",K42&gt;=$C$14),$C$15,IF(AND($C$12&lt;&gt;"",K42&gt;=$C$12),$C$13,$C$11))))</f>
        <v/>
      </c>
      <c r="M42" s="14" t="str">
        <f aca="false">IF(K42="","",IF(OR(ISNUMBER(SEARCH("full",L42)),UPPER(TRIM(L42))="FT",UPPER(TRIM(L42))="FTE"),"FT",IF(AND(OR(ISNUMBER(SEARCH("part",L42)),UPPER(TRIM(L42))="PT",UPPER(TRIM(L42))="PTE"),OR($C$10="",N($C$10)&gt;=PT_MinHours)),"PT","None")))</f>
        <v/>
      </c>
      <c r="N42" s="14" t="n">
        <f aca="false">IF(I42&lt;FT_Y5,1,IF(MOD(I42-FT_Y5,12)=0,FT_AnnivDays,1))</f>
        <v>2</v>
      </c>
      <c r="O42" s="14" t="str">
        <f aca="false">IF(K42="","",IF(AND(M42="FT",K42&lt;=AsOfDate),N42,0))</f>
        <v/>
      </c>
      <c r="Q42" s="14" t="n">
        <v>23</v>
      </c>
      <c r="R42" s="14" t="n">
        <f aca="false">PT_First+PT_Int*22</f>
        <v>148</v>
      </c>
      <c r="S42" s="14" t="str">
        <f aca="false">INT(R42/12)&amp;"y "&amp;MOD(R42,12)&amp;"m"</f>
        <v>12y 4m</v>
      </c>
      <c r="T42" s="12" t="str">
        <f aca="false">IF(OR($C$6&lt;&gt;"Yes",$C$8=""),"",EDATE($C$8,R42))</f>
        <v/>
      </c>
      <c r="U42" s="14" t="str">
        <f aca="false">IF(T42="","",IF($C$16=0,$C$9,IF(AND($C$14&lt;&gt;"",T42&gt;=$C$14),$C$15,IF(AND($C$12&lt;&gt;"",T42&gt;=$C$12),$C$13,$C$11))))</f>
        <v/>
      </c>
      <c r="V42" s="14" t="str">
        <f aca="false">IF(T42="","",IF(OR(ISNUMBER(SEARCH("full",U42)),UPPER(TRIM(U42))="FT",UPPER(TRIM(U42))="FTE"),"FT",IF(AND(OR(ISNUMBER(SEARCH("part",U42)),UPPER(TRIM(U42))="PT",UPPER(TRIM(U42))="PTE"),OR($C$10="",N($C$10)&gt;=PT_MinHours)),"PT","None")))</f>
        <v/>
      </c>
      <c r="W42" s="14" t="n">
        <v>1</v>
      </c>
      <c r="X42" s="14" t="str">
        <f aca="false">IF(T42="","",IF(AND(V42="PT",T42&lt;=AsOfDate),W42,0))</f>
        <v/>
      </c>
      <c r="Z42" s="17" t="n">
        <f aca="false">I42</f>
        <v>108</v>
      </c>
      <c r="AA42" s="17" t="n">
        <f aca="false">SMALL($Z$20:$Z$199,23)</f>
        <v>87</v>
      </c>
      <c r="AB42" s="17" t="str">
        <f aca="false">IF(23-COUNTIF($Z$20:$Z$199,"&lt;"&amp;AA42)=1,IF(COUNTIF($I$20:$I$109,AA42)&gt;0,"FT","PT"),"PT")</f>
        <v>FT</v>
      </c>
      <c r="AC42" s="17" t="n">
        <f aca="false">IF(AB42="FT",INDEX($N$20:$N$109,MATCH(AA42,$I$20:$I$109,0)),1)</f>
        <v>1</v>
      </c>
    </row>
    <row r="43" customFormat="false" ht="15" hidden="false" customHeight="false" outlineLevel="0" collapsed="false">
      <c r="H43" s="14" t="n">
        <v>24</v>
      </c>
      <c r="I43" s="14" t="n">
        <f aca="false">IF(23&lt;FT_PreY5,FT_First+FT_Int1*23,FT_Y5+FT_Int2*(23-FT_PreY5))</f>
        <v>111</v>
      </c>
      <c r="J43" s="14" t="str">
        <f aca="false">INT(I43/12)&amp;"y "&amp;MOD(I43,12)&amp;"m"</f>
        <v>9y 3m</v>
      </c>
      <c r="K43" s="12" t="str">
        <f aca="false">IF(OR($C$6&lt;&gt;"Yes",$C$8=""),"",EDATE($C$8,I43))</f>
        <v/>
      </c>
      <c r="L43" s="14" t="str">
        <f aca="false">IF(K43="","",IF($C$16=0,$C$9,IF(AND($C$14&lt;&gt;"",K43&gt;=$C$14),$C$15,IF(AND($C$12&lt;&gt;"",K43&gt;=$C$12),$C$13,$C$11))))</f>
        <v/>
      </c>
      <c r="M43" s="14" t="str">
        <f aca="false">IF(K43="","",IF(OR(ISNUMBER(SEARCH("full",L43)),UPPER(TRIM(L43))="FT",UPPER(TRIM(L43))="FTE"),"FT",IF(AND(OR(ISNUMBER(SEARCH("part",L43)),UPPER(TRIM(L43))="PT",UPPER(TRIM(L43))="PTE"),OR($C$10="",N($C$10)&gt;=PT_MinHours)),"PT","None")))</f>
        <v/>
      </c>
      <c r="N43" s="14" t="n">
        <f aca="false">IF(I43&lt;FT_Y5,1,IF(MOD(I43-FT_Y5,12)=0,FT_AnnivDays,1))</f>
        <v>1</v>
      </c>
      <c r="O43" s="14" t="str">
        <f aca="false">IF(K43="","",IF(AND(M43="FT",K43&lt;=AsOfDate),N43,0))</f>
        <v/>
      </c>
      <c r="Q43" s="14" t="n">
        <v>24</v>
      </c>
      <c r="R43" s="14" t="n">
        <f aca="false">PT_First+PT_Int*23</f>
        <v>152</v>
      </c>
      <c r="S43" s="14" t="str">
        <f aca="false">INT(R43/12)&amp;"y "&amp;MOD(R43,12)&amp;"m"</f>
        <v>12y 8m</v>
      </c>
      <c r="T43" s="12" t="str">
        <f aca="false">IF(OR($C$6&lt;&gt;"Yes",$C$8=""),"",EDATE($C$8,R43))</f>
        <v/>
      </c>
      <c r="U43" s="14" t="str">
        <f aca="false">IF(T43="","",IF($C$16=0,$C$9,IF(AND($C$14&lt;&gt;"",T43&gt;=$C$14),$C$15,IF(AND($C$12&lt;&gt;"",T43&gt;=$C$12),$C$13,$C$11))))</f>
        <v/>
      </c>
      <c r="V43" s="14" t="str">
        <f aca="false">IF(T43="","",IF(OR(ISNUMBER(SEARCH("full",U43)),UPPER(TRIM(U43))="FT",UPPER(TRIM(U43))="FTE"),"FT",IF(AND(OR(ISNUMBER(SEARCH("part",U43)),UPPER(TRIM(U43))="PT",UPPER(TRIM(U43))="PTE"),OR($C$10="",N($C$10)&gt;=PT_MinHours)),"PT","None")))</f>
        <v/>
      </c>
      <c r="W43" s="14" t="n">
        <v>1</v>
      </c>
      <c r="X43" s="14" t="str">
        <f aca="false">IF(T43="","",IF(AND(V43="PT",T43&lt;=AsOfDate),W43,0))</f>
        <v/>
      </c>
      <c r="Z43" s="17" t="n">
        <f aca="false">I43</f>
        <v>111</v>
      </c>
      <c r="AA43" s="17" t="n">
        <f aca="false">SMALL($Z$20:$Z$199,24)</f>
        <v>88</v>
      </c>
      <c r="AB43" s="17" t="str">
        <f aca="false">IF(24-COUNTIF($Z$20:$Z$199,"&lt;"&amp;AA43)=1,IF(COUNTIF($I$20:$I$109,AA43)&gt;0,"FT","PT"),"PT")</f>
        <v>PT</v>
      </c>
      <c r="AC43" s="17" t="n">
        <f aca="false">IF(AB43="FT",INDEX($N$20:$N$109,MATCH(AA43,$I$20:$I$109,0)),1)</f>
        <v>1</v>
      </c>
    </row>
    <row r="44" customFormat="false" ht="15" hidden="false" customHeight="false" outlineLevel="0" collapsed="false">
      <c r="H44" s="14" t="n">
        <v>25</v>
      </c>
      <c r="I44" s="14" t="n">
        <f aca="false">IF(24&lt;FT_PreY5,FT_First+FT_Int1*24,FT_Y5+FT_Int2*(24-FT_PreY5))</f>
        <v>114</v>
      </c>
      <c r="J44" s="14" t="str">
        <f aca="false">INT(I44/12)&amp;"y "&amp;MOD(I44,12)&amp;"m"</f>
        <v>9y 6m</v>
      </c>
      <c r="K44" s="12" t="str">
        <f aca="false">IF(OR($C$6&lt;&gt;"Yes",$C$8=""),"",EDATE($C$8,I44))</f>
        <v/>
      </c>
      <c r="L44" s="14" t="str">
        <f aca="false">IF(K44="","",IF($C$16=0,$C$9,IF(AND($C$14&lt;&gt;"",K44&gt;=$C$14),$C$15,IF(AND($C$12&lt;&gt;"",K44&gt;=$C$12),$C$13,$C$11))))</f>
        <v/>
      </c>
      <c r="M44" s="14" t="str">
        <f aca="false">IF(K44="","",IF(OR(ISNUMBER(SEARCH("full",L44)),UPPER(TRIM(L44))="FT",UPPER(TRIM(L44))="FTE"),"FT",IF(AND(OR(ISNUMBER(SEARCH("part",L44)),UPPER(TRIM(L44))="PT",UPPER(TRIM(L44))="PTE"),OR($C$10="",N($C$10)&gt;=PT_MinHours)),"PT","None")))</f>
        <v/>
      </c>
      <c r="N44" s="14" t="n">
        <f aca="false">IF(I44&lt;FT_Y5,1,IF(MOD(I44-FT_Y5,12)=0,FT_AnnivDays,1))</f>
        <v>1</v>
      </c>
      <c r="O44" s="14" t="str">
        <f aca="false">IF(K44="","",IF(AND(M44="FT",K44&lt;=AsOfDate),N44,0))</f>
        <v/>
      </c>
      <c r="Q44" s="14" t="n">
        <v>25</v>
      </c>
      <c r="R44" s="14" t="n">
        <f aca="false">PT_First+PT_Int*24</f>
        <v>156</v>
      </c>
      <c r="S44" s="14" t="str">
        <f aca="false">INT(R44/12)&amp;"y "&amp;MOD(R44,12)&amp;"m"</f>
        <v>13y 0m</v>
      </c>
      <c r="T44" s="12" t="str">
        <f aca="false">IF(OR($C$6&lt;&gt;"Yes",$C$8=""),"",EDATE($C$8,R44))</f>
        <v/>
      </c>
      <c r="U44" s="14" t="str">
        <f aca="false">IF(T44="","",IF($C$16=0,$C$9,IF(AND($C$14&lt;&gt;"",T44&gt;=$C$14),$C$15,IF(AND($C$12&lt;&gt;"",T44&gt;=$C$12),$C$13,$C$11))))</f>
        <v/>
      </c>
      <c r="V44" s="14" t="str">
        <f aca="false">IF(T44="","",IF(OR(ISNUMBER(SEARCH("full",U44)),UPPER(TRIM(U44))="FT",UPPER(TRIM(U44))="FTE"),"FT",IF(AND(OR(ISNUMBER(SEARCH("part",U44)),UPPER(TRIM(U44))="PT",UPPER(TRIM(U44))="PTE"),OR($C$10="",N($C$10)&gt;=PT_MinHours)),"PT","None")))</f>
        <v/>
      </c>
      <c r="W44" s="14" t="n">
        <v>1</v>
      </c>
      <c r="X44" s="14" t="str">
        <f aca="false">IF(T44="","",IF(AND(V44="PT",T44&lt;=AsOfDate),W44,0))</f>
        <v/>
      </c>
      <c r="Z44" s="17" t="n">
        <f aca="false">I44</f>
        <v>114</v>
      </c>
      <c r="AA44" s="17" t="n">
        <f aca="false">SMALL($Z$20:$Z$199,25)</f>
        <v>90</v>
      </c>
      <c r="AB44" s="17" t="str">
        <f aca="false">IF(25-COUNTIF($Z$20:$Z$199,"&lt;"&amp;AA44)=1,IF(COUNTIF($I$20:$I$109,AA44)&gt;0,"FT","PT"),"PT")</f>
        <v>FT</v>
      </c>
      <c r="AC44" s="17" t="n">
        <f aca="false">IF(AB44="FT",INDEX($N$20:$N$109,MATCH(AA44,$I$20:$I$109,0)),1)</f>
        <v>1</v>
      </c>
    </row>
    <row r="45" customFormat="false" ht="15" hidden="false" customHeight="false" outlineLevel="0" collapsed="false">
      <c r="H45" s="14" t="n">
        <v>26</v>
      </c>
      <c r="I45" s="14" t="n">
        <f aca="false">IF(25&lt;FT_PreY5,FT_First+FT_Int1*25,FT_Y5+FT_Int2*(25-FT_PreY5))</f>
        <v>117</v>
      </c>
      <c r="J45" s="14" t="str">
        <f aca="false">INT(I45/12)&amp;"y "&amp;MOD(I45,12)&amp;"m"</f>
        <v>9y 9m</v>
      </c>
      <c r="K45" s="12" t="str">
        <f aca="false">IF(OR($C$6&lt;&gt;"Yes",$C$8=""),"",EDATE($C$8,I45))</f>
        <v/>
      </c>
      <c r="L45" s="14" t="str">
        <f aca="false">IF(K45="","",IF($C$16=0,$C$9,IF(AND($C$14&lt;&gt;"",K45&gt;=$C$14),$C$15,IF(AND($C$12&lt;&gt;"",K45&gt;=$C$12),$C$13,$C$11))))</f>
        <v/>
      </c>
      <c r="M45" s="14" t="str">
        <f aca="false">IF(K45="","",IF(OR(ISNUMBER(SEARCH("full",L45)),UPPER(TRIM(L45))="FT",UPPER(TRIM(L45))="FTE"),"FT",IF(AND(OR(ISNUMBER(SEARCH("part",L45)),UPPER(TRIM(L45))="PT",UPPER(TRIM(L45))="PTE"),OR($C$10="",N($C$10)&gt;=PT_MinHours)),"PT","None")))</f>
        <v/>
      </c>
      <c r="N45" s="14" t="n">
        <f aca="false">IF(I45&lt;FT_Y5,1,IF(MOD(I45-FT_Y5,12)=0,FT_AnnivDays,1))</f>
        <v>1</v>
      </c>
      <c r="O45" s="14" t="str">
        <f aca="false">IF(K45="","",IF(AND(M45="FT",K45&lt;=AsOfDate),N45,0))</f>
        <v/>
      </c>
      <c r="Q45" s="14" t="n">
        <v>26</v>
      </c>
      <c r="R45" s="14" t="n">
        <f aca="false">PT_First+PT_Int*25</f>
        <v>160</v>
      </c>
      <c r="S45" s="14" t="str">
        <f aca="false">INT(R45/12)&amp;"y "&amp;MOD(R45,12)&amp;"m"</f>
        <v>13y 4m</v>
      </c>
      <c r="T45" s="12" t="str">
        <f aca="false">IF(OR($C$6&lt;&gt;"Yes",$C$8=""),"",EDATE($C$8,R45))</f>
        <v/>
      </c>
      <c r="U45" s="14" t="str">
        <f aca="false">IF(T45="","",IF($C$16=0,$C$9,IF(AND($C$14&lt;&gt;"",T45&gt;=$C$14),$C$15,IF(AND($C$12&lt;&gt;"",T45&gt;=$C$12),$C$13,$C$11))))</f>
        <v/>
      </c>
      <c r="V45" s="14" t="str">
        <f aca="false">IF(T45="","",IF(OR(ISNUMBER(SEARCH("full",U45)),UPPER(TRIM(U45))="FT",UPPER(TRIM(U45))="FTE"),"FT",IF(AND(OR(ISNUMBER(SEARCH("part",U45)),UPPER(TRIM(U45))="PT",UPPER(TRIM(U45))="PTE"),OR($C$10="",N($C$10)&gt;=PT_MinHours)),"PT","None")))</f>
        <v/>
      </c>
      <c r="W45" s="14" t="n">
        <v>1</v>
      </c>
      <c r="X45" s="14" t="str">
        <f aca="false">IF(T45="","",IF(AND(V45="PT",T45&lt;=AsOfDate),W45,0))</f>
        <v/>
      </c>
      <c r="Z45" s="17" t="n">
        <f aca="false">I45</f>
        <v>117</v>
      </c>
      <c r="AA45" s="17" t="n">
        <f aca="false">SMALL($Z$20:$Z$199,26)</f>
        <v>92</v>
      </c>
      <c r="AB45" s="17" t="str">
        <f aca="false">IF(26-COUNTIF($Z$20:$Z$199,"&lt;"&amp;AA45)=1,IF(COUNTIF($I$20:$I$109,AA45)&gt;0,"FT","PT"),"PT")</f>
        <v>PT</v>
      </c>
      <c r="AC45" s="17" t="n">
        <f aca="false">IF(AB45="FT",INDEX($N$20:$N$109,MATCH(AA45,$I$20:$I$109,0)),1)</f>
        <v>1</v>
      </c>
    </row>
    <row r="46" customFormat="false" ht="15" hidden="false" customHeight="false" outlineLevel="0" collapsed="false">
      <c r="H46" s="14" t="n">
        <v>27</v>
      </c>
      <c r="I46" s="14" t="n">
        <f aca="false">IF(26&lt;FT_PreY5,FT_First+FT_Int1*26,FT_Y5+FT_Int2*(26-FT_PreY5))</f>
        <v>120</v>
      </c>
      <c r="J46" s="14" t="str">
        <f aca="false">INT(I46/12)&amp;"y "&amp;MOD(I46,12)&amp;"m"</f>
        <v>10y 0m</v>
      </c>
      <c r="K46" s="12" t="str">
        <f aca="false">IF(OR($C$6&lt;&gt;"Yes",$C$8=""),"",EDATE($C$8,I46))</f>
        <v/>
      </c>
      <c r="L46" s="14" t="str">
        <f aca="false">IF(K46="","",IF($C$16=0,$C$9,IF(AND($C$14&lt;&gt;"",K46&gt;=$C$14),$C$15,IF(AND($C$12&lt;&gt;"",K46&gt;=$C$12),$C$13,$C$11))))</f>
        <v/>
      </c>
      <c r="M46" s="14" t="str">
        <f aca="false">IF(K46="","",IF(OR(ISNUMBER(SEARCH("full",L46)),UPPER(TRIM(L46))="FT",UPPER(TRIM(L46))="FTE"),"FT",IF(AND(OR(ISNUMBER(SEARCH("part",L46)),UPPER(TRIM(L46))="PT",UPPER(TRIM(L46))="PTE"),OR($C$10="",N($C$10)&gt;=PT_MinHours)),"PT","None")))</f>
        <v/>
      </c>
      <c r="N46" s="14" t="n">
        <f aca="false">IF(I46&lt;FT_Y5,1,IF(MOD(I46-FT_Y5,12)=0,FT_AnnivDays,1))</f>
        <v>2</v>
      </c>
      <c r="O46" s="14" t="str">
        <f aca="false">IF(K46="","",IF(AND(M46="FT",K46&lt;=AsOfDate),N46,0))</f>
        <v/>
      </c>
      <c r="Q46" s="14" t="n">
        <v>27</v>
      </c>
      <c r="R46" s="14" t="n">
        <f aca="false">PT_First+PT_Int*26</f>
        <v>164</v>
      </c>
      <c r="S46" s="14" t="str">
        <f aca="false">INT(R46/12)&amp;"y "&amp;MOD(R46,12)&amp;"m"</f>
        <v>13y 8m</v>
      </c>
      <c r="T46" s="12" t="str">
        <f aca="false">IF(OR($C$6&lt;&gt;"Yes",$C$8=""),"",EDATE($C$8,R46))</f>
        <v/>
      </c>
      <c r="U46" s="14" t="str">
        <f aca="false">IF(T46="","",IF($C$16=0,$C$9,IF(AND($C$14&lt;&gt;"",T46&gt;=$C$14),$C$15,IF(AND($C$12&lt;&gt;"",T46&gt;=$C$12),$C$13,$C$11))))</f>
        <v/>
      </c>
      <c r="V46" s="14" t="str">
        <f aca="false">IF(T46="","",IF(OR(ISNUMBER(SEARCH("full",U46)),UPPER(TRIM(U46))="FT",UPPER(TRIM(U46))="FTE"),"FT",IF(AND(OR(ISNUMBER(SEARCH("part",U46)),UPPER(TRIM(U46))="PT",UPPER(TRIM(U46))="PTE"),OR($C$10="",N($C$10)&gt;=PT_MinHours)),"PT","None")))</f>
        <v/>
      </c>
      <c r="W46" s="14" t="n">
        <v>1</v>
      </c>
      <c r="X46" s="14" t="str">
        <f aca="false">IF(T46="","",IF(AND(V46="PT",T46&lt;=AsOfDate),W46,0))</f>
        <v/>
      </c>
      <c r="Z46" s="17" t="n">
        <f aca="false">I46</f>
        <v>120</v>
      </c>
      <c r="AA46" s="17" t="n">
        <f aca="false">SMALL($Z$20:$Z$199,27)</f>
        <v>93</v>
      </c>
      <c r="AB46" s="17" t="str">
        <f aca="false">IF(27-COUNTIF($Z$20:$Z$199,"&lt;"&amp;AA46)=1,IF(COUNTIF($I$20:$I$109,AA46)&gt;0,"FT","PT"),"PT")</f>
        <v>FT</v>
      </c>
      <c r="AC46" s="17" t="n">
        <f aca="false">IF(AB46="FT",INDEX($N$20:$N$109,MATCH(AA46,$I$20:$I$109,0)),1)</f>
        <v>1</v>
      </c>
    </row>
    <row r="47" customFormat="false" ht="15" hidden="false" customHeight="false" outlineLevel="0" collapsed="false">
      <c r="H47" s="14" t="n">
        <v>28</v>
      </c>
      <c r="I47" s="14" t="n">
        <f aca="false">IF(27&lt;FT_PreY5,FT_First+FT_Int1*27,FT_Y5+FT_Int2*(27-FT_PreY5))</f>
        <v>123</v>
      </c>
      <c r="J47" s="14" t="str">
        <f aca="false">INT(I47/12)&amp;"y "&amp;MOD(I47,12)&amp;"m"</f>
        <v>10y 3m</v>
      </c>
      <c r="K47" s="12" t="str">
        <f aca="false">IF(OR($C$6&lt;&gt;"Yes",$C$8=""),"",EDATE($C$8,I47))</f>
        <v/>
      </c>
      <c r="L47" s="14" t="str">
        <f aca="false">IF(K47="","",IF($C$16=0,$C$9,IF(AND($C$14&lt;&gt;"",K47&gt;=$C$14),$C$15,IF(AND($C$12&lt;&gt;"",K47&gt;=$C$12),$C$13,$C$11))))</f>
        <v/>
      </c>
      <c r="M47" s="14" t="str">
        <f aca="false">IF(K47="","",IF(OR(ISNUMBER(SEARCH("full",L47)),UPPER(TRIM(L47))="FT",UPPER(TRIM(L47))="FTE"),"FT",IF(AND(OR(ISNUMBER(SEARCH("part",L47)),UPPER(TRIM(L47))="PT",UPPER(TRIM(L47))="PTE"),OR($C$10="",N($C$10)&gt;=PT_MinHours)),"PT","None")))</f>
        <v/>
      </c>
      <c r="N47" s="14" t="n">
        <f aca="false">IF(I47&lt;FT_Y5,1,IF(MOD(I47-FT_Y5,12)=0,FT_AnnivDays,1))</f>
        <v>1</v>
      </c>
      <c r="O47" s="14" t="str">
        <f aca="false">IF(K47="","",IF(AND(M47="FT",K47&lt;=AsOfDate),N47,0))</f>
        <v/>
      </c>
      <c r="Q47" s="14" t="n">
        <v>28</v>
      </c>
      <c r="R47" s="14" t="n">
        <f aca="false">PT_First+PT_Int*27</f>
        <v>168</v>
      </c>
      <c r="S47" s="14" t="str">
        <f aca="false">INT(R47/12)&amp;"y "&amp;MOD(R47,12)&amp;"m"</f>
        <v>14y 0m</v>
      </c>
      <c r="T47" s="12" t="str">
        <f aca="false">IF(OR($C$6&lt;&gt;"Yes",$C$8=""),"",EDATE($C$8,R47))</f>
        <v/>
      </c>
      <c r="U47" s="14" t="str">
        <f aca="false">IF(T47="","",IF($C$16=0,$C$9,IF(AND($C$14&lt;&gt;"",T47&gt;=$C$14),$C$15,IF(AND($C$12&lt;&gt;"",T47&gt;=$C$12),$C$13,$C$11))))</f>
        <v/>
      </c>
      <c r="V47" s="14" t="str">
        <f aca="false">IF(T47="","",IF(OR(ISNUMBER(SEARCH("full",U47)),UPPER(TRIM(U47))="FT",UPPER(TRIM(U47))="FTE"),"FT",IF(AND(OR(ISNUMBER(SEARCH("part",U47)),UPPER(TRIM(U47))="PT",UPPER(TRIM(U47))="PTE"),OR($C$10="",N($C$10)&gt;=PT_MinHours)),"PT","None")))</f>
        <v/>
      </c>
      <c r="W47" s="14" t="n">
        <v>1</v>
      </c>
      <c r="X47" s="14" t="str">
        <f aca="false">IF(T47="","",IF(AND(V47="PT",T47&lt;=AsOfDate),W47,0))</f>
        <v/>
      </c>
      <c r="Z47" s="17" t="n">
        <f aca="false">I47</f>
        <v>123</v>
      </c>
      <c r="AA47" s="17" t="n">
        <f aca="false">SMALL($Z$20:$Z$199,28)</f>
        <v>96</v>
      </c>
      <c r="AB47" s="17" t="str">
        <f aca="false">IF(28-COUNTIF($Z$20:$Z$199,"&lt;"&amp;AA47)=1,IF(COUNTIF($I$20:$I$109,AA47)&gt;0,"FT","PT"),"PT")</f>
        <v>FT</v>
      </c>
      <c r="AC47" s="17" t="n">
        <f aca="false">IF(AB47="FT",INDEX($N$20:$N$109,MATCH(AA47,$I$20:$I$109,0)),1)</f>
        <v>2</v>
      </c>
    </row>
    <row r="48" customFormat="false" ht="15" hidden="false" customHeight="false" outlineLevel="0" collapsed="false">
      <c r="H48" s="14" t="n">
        <v>29</v>
      </c>
      <c r="I48" s="14" t="n">
        <f aca="false">IF(28&lt;FT_PreY5,FT_First+FT_Int1*28,FT_Y5+FT_Int2*(28-FT_PreY5))</f>
        <v>126</v>
      </c>
      <c r="J48" s="14" t="str">
        <f aca="false">INT(I48/12)&amp;"y "&amp;MOD(I48,12)&amp;"m"</f>
        <v>10y 6m</v>
      </c>
      <c r="K48" s="12" t="str">
        <f aca="false">IF(OR($C$6&lt;&gt;"Yes",$C$8=""),"",EDATE($C$8,I48))</f>
        <v/>
      </c>
      <c r="L48" s="14" t="str">
        <f aca="false">IF(K48="","",IF($C$16=0,$C$9,IF(AND($C$14&lt;&gt;"",K48&gt;=$C$14),$C$15,IF(AND($C$12&lt;&gt;"",K48&gt;=$C$12),$C$13,$C$11))))</f>
        <v/>
      </c>
      <c r="M48" s="14" t="str">
        <f aca="false">IF(K48="","",IF(OR(ISNUMBER(SEARCH("full",L48)),UPPER(TRIM(L48))="FT",UPPER(TRIM(L48))="FTE"),"FT",IF(AND(OR(ISNUMBER(SEARCH("part",L48)),UPPER(TRIM(L48))="PT",UPPER(TRIM(L48))="PTE"),OR($C$10="",N($C$10)&gt;=PT_MinHours)),"PT","None")))</f>
        <v/>
      </c>
      <c r="N48" s="14" t="n">
        <f aca="false">IF(I48&lt;FT_Y5,1,IF(MOD(I48-FT_Y5,12)=0,FT_AnnivDays,1))</f>
        <v>1</v>
      </c>
      <c r="O48" s="14" t="str">
        <f aca="false">IF(K48="","",IF(AND(M48="FT",K48&lt;=AsOfDate),N48,0))</f>
        <v/>
      </c>
      <c r="Q48" s="14" t="n">
        <v>29</v>
      </c>
      <c r="R48" s="14" t="n">
        <f aca="false">PT_First+PT_Int*28</f>
        <v>172</v>
      </c>
      <c r="S48" s="14" t="str">
        <f aca="false">INT(R48/12)&amp;"y "&amp;MOD(R48,12)&amp;"m"</f>
        <v>14y 4m</v>
      </c>
      <c r="T48" s="12" t="str">
        <f aca="false">IF(OR($C$6&lt;&gt;"Yes",$C$8=""),"",EDATE($C$8,R48))</f>
        <v/>
      </c>
      <c r="U48" s="14" t="str">
        <f aca="false">IF(T48="","",IF($C$16=0,$C$9,IF(AND($C$14&lt;&gt;"",T48&gt;=$C$14),$C$15,IF(AND($C$12&lt;&gt;"",T48&gt;=$C$12),$C$13,$C$11))))</f>
        <v/>
      </c>
      <c r="V48" s="14" t="str">
        <f aca="false">IF(T48="","",IF(OR(ISNUMBER(SEARCH("full",U48)),UPPER(TRIM(U48))="FT",UPPER(TRIM(U48))="FTE"),"FT",IF(AND(OR(ISNUMBER(SEARCH("part",U48)),UPPER(TRIM(U48))="PT",UPPER(TRIM(U48))="PTE"),OR($C$10="",N($C$10)&gt;=PT_MinHours)),"PT","None")))</f>
        <v/>
      </c>
      <c r="W48" s="14" t="n">
        <v>1</v>
      </c>
      <c r="X48" s="14" t="str">
        <f aca="false">IF(T48="","",IF(AND(V48="PT",T48&lt;=AsOfDate),W48,0))</f>
        <v/>
      </c>
      <c r="Z48" s="17" t="n">
        <f aca="false">I48</f>
        <v>126</v>
      </c>
      <c r="AA48" s="17" t="n">
        <f aca="false">SMALL($Z$20:$Z$199,29)</f>
        <v>96</v>
      </c>
      <c r="AB48" s="17" t="str">
        <f aca="false">IF(29-COUNTIF($Z$20:$Z$199,"&lt;"&amp;AA48)=1,IF(COUNTIF($I$20:$I$109,AA48)&gt;0,"FT","PT"),"PT")</f>
        <v>PT</v>
      </c>
      <c r="AC48" s="17" t="n">
        <f aca="false">IF(AB48="FT",INDEX($N$20:$N$109,MATCH(AA48,$I$20:$I$109,0)),1)</f>
        <v>1</v>
      </c>
    </row>
    <row r="49" customFormat="false" ht="15" hidden="false" customHeight="false" outlineLevel="0" collapsed="false">
      <c r="H49" s="14" t="n">
        <v>30</v>
      </c>
      <c r="I49" s="14" t="n">
        <f aca="false">IF(29&lt;FT_PreY5,FT_First+FT_Int1*29,FT_Y5+FT_Int2*(29-FT_PreY5))</f>
        <v>129</v>
      </c>
      <c r="J49" s="14" t="str">
        <f aca="false">INT(I49/12)&amp;"y "&amp;MOD(I49,12)&amp;"m"</f>
        <v>10y 9m</v>
      </c>
      <c r="K49" s="12" t="str">
        <f aca="false">IF(OR($C$6&lt;&gt;"Yes",$C$8=""),"",EDATE($C$8,I49))</f>
        <v/>
      </c>
      <c r="L49" s="14" t="str">
        <f aca="false">IF(K49="","",IF($C$16=0,$C$9,IF(AND($C$14&lt;&gt;"",K49&gt;=$C$14),$C$15,IF(AND($C$12&lt;&gt;"",K49&gt;=$C$12),$C$13,$C$11))))</f>
        <v/>
      </c>
      <c r="M49" s="14" t="str">
        <f aca="false">IF(K49="","",IF(OR(ISNUMBER(SEARCH("full",L49)),UPPER(TRIM(L49))="FT",UPPER(TRIM(L49))="FTE"),"FT",IF(AND(OR(ISNUMBER(SEARCH("part",L49)),UPPER(TRIM(L49))="PT",UPPER(TRIM(L49))="PTE"),OR($C$10="",N($C$10)&gt;=PT_MinHours)),"PT","None")))</f>
        <v/>
      </c>
      <c r="N49" s="14" t="n">
        <f aca="false">IF(I49&lt;FT_Y5,1,IF(MOD(I49-FT_Y5,12)=0,FT_AnnivDays,1))</f>
        <v>1</v>
      </c>
      <c r="O49" s="14" t="str">
        <f aca="false">IF(K49="","",IF(AND(M49="FT",K49&lt;=AsOfDate),N49,0))</f>
        <v/>
      </c>
      <c r="Q49" s="14" t="n">
        <v>30</v>
      </c>
      <c r="R49" s="14" t="n">
        <f aca="false">PT_First+PT_Int*29</f>
        <v>176</v>
      </c>
      <c r="S49" s="14" t="str">
        <f aca="false">INT(R49/12)&amp;"y "&amp;MOD(R49,12)&amp;"m"</f>
        <v>14y 8m</v>
      </c>
      <c r="T49" s="12" t="str">
        <f aca="false">IF(OR($C$6&lt;&gt;"Yes",$C$8=""),"",EDATE($C$8,R49))</f>
        <v/>
      </c>
      <c r="U49" s="14" t="str">
        <f aca="false">IF(T49="","",IF($C$16=0,$C$9,IF(AND($C$14&lt;&gt;"",T49&gt;=$C$14),$C$15,IF(AND($C$12&lt;&gt;"",T49&gt;=$C$12),$C$13,$C$11))))</f>
        <v/>
      </c>
      <c r="V49" s="14" t="str">
        <f aca="false">IF(T49="","",IF(OR(ISNUMBER(SEARCH("full",U49)),UPPER(TRIM(U49))="FT",UPPER(TRIM(U49))="FTE"),"FT",IF(AND(OR(ISNUMBER(SEARCH("part",U49)),UPPER(TRIM(U49))="PT",UPPER(TRIM(U49))="PTE"),OR($C$10="",N($C$10)&gt;=PT_MinHours)),"PT","None")))</f>
        <v/>
      </c>
      <c r="W49" s="14" t="n">
        <v>1</v>
      </c>
      <c r="X49" s="14" t="str">
        <f aca="false">IF(T49="","",IF(AND(V49="PT",T49&lt;=AsOfDate),W49,0))</f>
        <v/>
      </c>
      <c r="Z49" s="17" t="n">
        <f aca="false">I49</f>
        <v>129</v>
      </c>
      <c r="AA49" s="17" t="n">
        <f aca="false">SMALL($Z$20:$Z$199,30)</f>
        <v>99</v>
      </c>
      <c r="AB49" s="17" t="str">
        <f aca="false">IF(30-COUNTIF($Z$20:$Z$199,"&lt;"&amp;AA49)=1,IF(COUNTIF($I$20:$I$109,AA49)&gt;0,"FT","PT"),"PT")</f>
        <v>FT</v>
      </c>
      <c r="AC49" s="17" t="n">
        <f aca="false">IF(AB49="FT",INDEX($N$20:$N$109,MATCH(AA49,$I$20:$I$109,0)),1)</f>
        <v>1</v>
      </c>
    </row>
    <row r="50" customFormat="false" ht="15" hidden="false" customHeight="false" outlineLevel="0" collapsed="false">
      <c r="H50" s="14" t="n">
        <v>31</v>
      </c>
      <c r="I50" s="14" t="n">
        <f aca="false">IF(30&lt;FT_PreY5,FT_First+FT_Int1*30,FT_Y5+FT_Int2*(30-FT_PreY5))</f>
        <v>132</v>
      </c>
      <c r="J50" s="14" t="str">
        <f aca="false">INT(I50/12)&amp;"y "&amp;MOD(I50,12)&amp;"m"</f>
        <v>11y 0m</v>
      </c>
      <c r="K50" s="12" t="str">
        <f aca="false">IF(OR($C$6&lt;&gt;"Yes",$C$8=""),"",EDATE($C$8,I50))</f>
        <v/>
      </c>
      <c r="L50" s="14" t="str">
        <f aca="false">IF(K50="","",IF($C$16=0,$C$9,IF(AND($C$14&lt;&gt;"",K50&gt;=$C$14),$C$15,IF(AND($C$12&lt;&gt;"",K50&gt;=$C$12),$C$13,$C$11))))</f>
        <v/>
      </c>
      <c r="M50" s="14" t="str">
        <f aca="false">IF(K50="","",IF(OR(ISNUMBER(SEARCH("full",L50)),UPPER(TRIM(L50))="FT",UPPER(TRIM(L50))="FTE"),"FT",IF(AND(OR(ISNUMBER(SEARCH("part",L50)),UPPER(TRIM(L50))="PT",UPPER(TRIM(L50))="PTE"),OR($C$10="",N($C$10)&gt;=PT_MinHours)),"PT","None")))</f>
        <v/>
      </c>
      <c r="N50" s="14" t="n">
        <f aca="false">IF(I50&lt;FT_Y5,1,IF(MOD(I50-FT_Y5,12)=0,FT_AnnivDays,1))</f>
        <v>2</v>
      </c>
      <c r="O50" s="14" t="str">
        <f aca="false">IF(K50="","",IF(AND(M50="FT",K50&lt;=AsOfDate),N50,0))</f>
        <v/>
      </c>
      <c r="Q50" s="14" t="n">
        <v>31</v>
      </c>
      <c r="R50" s="14" t="n">
        <f aca="false">PT_First+PT_Int*30</f>
        <v>180</v>
      </c>
      <c r="S50" s="14" t="str">
        <f aca="false">INT(R50/12)&amp;"y "&amp;MOD(R50,12)&amp;"m"</f>
        <v>15y 0m</v>
      </c>
      <c r="T50" s="12" t="str">
        <f aca="false">IF(OR($C$6&lt;&gt;"Yes",$C$8=""),"",EDATE($C$8,R50))</f>
        <v/>
      </c>
      <c r="U50" s="14" t="str">
        <f aca="false">IF(T50="","",IF($C$16=0,$C$9,IF(AND($C$14&lt;&gt;"",T50&gt;=$C$14),$C$15,IF(AND($C$12&lt;&gt;"",T50&gt;=$C$12),$C$13,$C$11))))</f>
        <v/>
      </c>
      <c r="V50" s="14" t="str">
        <f aca="false">IF(T50="","",IF(OR(ISNUMBER(SEARCH("full",U50)),UPPER(TRIM(U50))="FT",UPPER(TRIM(U50))="FTE"),"FT",IF(AND(OR(ISNUMBER(SEARCH("part",U50)),UPPER(TRIM(U50))="PT",UPPER(TRIM(U50))="PTE"),OR($C$10="",N($C$10)&gt;=PT_MinHours)),"PT","None")))</f>
        <v/>
      </c>
      <c r="W50" s="14" t="n">
        <v>1</v>
      </c>
      <c r="X50" s="14" t="str">
        <f aca="false">IF(T50="","",IF(AND(V50="PT",T50&lt;=AsOfDate),W50,0))</f>
        <v/>
      </c>
      <c r="Z50" s="17" t="n">
        <f aca="false">I50</f>
        <v>132</v>
      </c>
      <c r="AA50" s="17" t="n">
        <f aca="false">SMALL($Z$20:$Z$199,31)</f>
        <v>100</v>
      </c>
      <c r="AB50" s="17" t="str">
        <f aca="false">IF(31-COUNTIF($Z$20:$Z$199,"&lt;"&amp;AA50)=1,IF(COUNTIF($I$20:$I$109,AA50)&gt;0,"FT","PT"),"PT")</f>
        <v>PT</v>
      </c>
      <c r="AC50" s="17" t="n">
        <f aca="false">IF(AB50="FT",INDEX($N$20:$N$109,MATCH(AA50,$I$20:$I$109,0)),1)</f>
        <v>1</v>
      </c>
    </row>
    <row r="51" customFormat="false" ht="15" hidden="false" customHeight="false" outlineLevel="0" collapsed="false">
      <c r="H51" s="14" t="n">
        <v>32</v>
      </c>
      <c r="I51" s="14" t="n">
        <f aca="false">IF(31&lt;FT_PreY5,FT_First+FT_Int1*31,FT_Y5+FT_Int2*(31-FT_PreY5))</f>
        <v>135</v>
      </c>
      <c r="J51" s="14" t="str">
        <f aca="false">INT(I51/12)&amp;"y "&amp;MOD(I51,12)&amp;"m"</f>
        <v>11y 3m</v>
      </c>
      <c r="K51" s="12" t="str">
        <f aca="false">IF(OR($C$6&lt;&gt;"Yes",$C$8=""),"",EDATE($C$8,I51))</f>
        <v/>
      </c>
      <c r="L51" s="14" t="str">
        <f aca="false">IF(K51="","",IF($C$16=0,$C$9,IF(AND($C$14&lt;&gt;"",K51&gt;=$C$14),$C$15,IF(AND($C$12&lt;&gt;"",K51&gt;=$C$12),$C$13,$C$11))))</f>
        <v/>
      </c>
      <c r="M51" s="14" t="str">
        <f aca="false">IF(K51="","",IF(OR(ISNUMBER(SEARCH("full",L51)),UPPER(TRIM(L51))="FT",UPPER(TRIM(L51))="FTE"),"FT",IF(AND(OR(ISNUMBER(SEARCH("part",L51)),UPPER(TRIM(L51))="PT",UPPER(TRIM(L51))="PTE"),OR($C$10="",N($C$10)&gt;=PT_MinHours)),"PT","None")))</f>
        <v/>
      </c>
      <c r="N51" s="14" t="n">
        <f aca="false">IF(I51&lt;FT_Y5,1,IF(MOD(I51-FT_Y5,12)=0,FT_AnnivDays,1))</f>
        <v>1</v>
      </c>
      <c r="O51" s="14" t="str">
        <f aca="false">IF(K51="","",IF(AND(M51="FT",K51&lt;=AsOfDate),N51,0))</f>
        <v/>
      </c>
      <c r="Q51" s="14" t="n">
        <v>32</v>
      </c>
      <c r="R51" s="14" t="n">
        <f aca="false">PT_First+PT_Int*31</f>
        <v>184</v>
      </c>
      <c r="S51" s="14" t="str">
        <f aca="false">INT(R51/12)&amp;"y "&amp;MOD(R51,12)&amp;"m"</f>
        <v>15y 4m</v>
      </c>
      <c r="T51" s="12" t="str">
        <f aca="false">IF(OR($C$6&lt;&gt;"Yes",$C$8=""),"",EDATE($C$8,R51))</f>
        <v/>
      </c>
      <c r="U51" s="14" t="str">
        <f aca="false">IF(T51="","",IF($C$16=0,$C$9,IF(AND($C$14&lt;&gt;"",T51&gt;=$C$14),$C$15,IF(AND($C$12&lt;&gt;"",T51&gt;=$C$12),$C$13,$C$11))))</f>
        <v/>
      </c>
      <c r="V51" s="14" t="str">
        <f aca="false">IF(T51="","",IF(OR(ISNUMBER(SEARCH("full",U51)),UPPER(TRIM(U51))="FT",UPPER(TRIM(U51))="FTE"),"FT",IF(AND(OR(ISNUMBER(SEARCH("part",U51)),UPPER(TRIM(U51))="PT",UPPER(TRIM(U51))="PTE"),OR($C$10="",N($C$10)&gt;=PT_MinHours)),"PT","None")))</f>
        <v/>
      </c>
      <c r="W51" s="14" t="n">
        <v>1</v>
      </c>
      <c r="X51" s="14" t="str">
        <f aca="false">IF(T51="","",IF(AND(V51="PT",T51&lt;=AsOfDate),W51,0))</f>
        <v/>
      </c>
      <c r="Z51" s="17" t="n">
        <f aca="false">I51</f>
        <v>135</v>
      </c>
      <c r="AA51" s="17" t="n">
        <f aca="false">SMALL($Z$20:$Z$199,32)</f>
        <v>102</v>
      </c>
      <c r="AB51" s="17" t="str">
        <f aca="false">IF(32-COUNTIF($Z$20:$Z$199,"&lt;"&amp;AA51)=1,IF(COUNTIF($I$20:$I$109,AA51)&gt;0,"FT","PT"),"PT")</f>
        <v>FT</v>
      </c>
      <c r="AC51" s="17" t="n">
        <f aca="false">IF(AB51="FT",INDEX($N$20:$N$109,MATCH(AA51,$I$20:$I$109,0)),1)</f>
        <v>1</v>
      </c>
    </row>
    <row r="52" customFormat="false" ht="15" hidden="false" customHeight="false" outlineLevel="0" collapsed="false">
      <c r="H52" s="14" t="n">
        <v>33</v>
      </c>
      <c r="I52" s="14" t="n">
        <f aca="false">IF(32&lt;FT_PreY5,FT_First+FT_Int1*32,FT_Y5+FT_Int2*(32-FT_PreY5))</f>
        <v>138</v>
      </c>
      <c r="J52" s="14" t="str">
        <f aca="false">INT(I52/12)&amp;"y "&amp;MOD(I52,12)&amp;"m"</f>
        <v>11y 6m</v>
      </c>
      <c r="K52" s="12" t="str">
        <f aca="false">IF(OR($C$6&lt;&gt;"Yes",$C$8=""),"",EDATE($C$8,I52))</f>
        <v/>
      </c>
      <c r="L52" s="14" t="str">
        <f aca="false">IF(K52="","",IF($C$16=0,$C$9,IF(AND($C$14&lt;&gt;"",K52&gt;=$C$14),$C$15,IF(AND($C$12&lt;&gt;"",K52&gt;=$C$12),$C$13,$C$11))))</f>
        <v/>
      </c>
      <c r="M52" s="14" t="str">
        <f aca="false">IF(K52="","",IF(OR(ISNUMBER(SEARCH("full",L52)),UPPER(TRIM(L52))="FT",UPPER(TRIM(L52))="FTE"),"FT",IF(AND(OR(ISNUMBER(SEARCH("part",L52)),UPPER(TRIM(L52))="PT",UPPER(TRIM(L52))="PTE"),OR($C$10="",N($C$10)&gt;=PT_MinHours)),"PT","None")))</f>
        <v/>
      </c>
      <c r="N52" s="14" t="n">
        <f aca="false">IF(I52&lt;FT_Y5,1,IF(MOD(I52-FT_Y5,12)=0,FT_AnnivDays,1))</f>
        <v>1</v>
      </c>
      <c r="O52" s="14" t="str">
        <f aca="false">IF(K52="","",IF(AND(M52="FT",K52&lt;=AsOfDate),N52,0))</f>
        <v/>
      </c>
      <c r="Q52" s="14" t="n">
        <v>33</v>
      </c>
      <c r="R52" s="14" t="n">
        <f aca="false">PT_First+PT_Int*32</f>
        <v>188</v>
      </c>
      <c r="S52" s="14" t="str">
        <f aca="false">INT(R52/12)&amp;"y "&amp;MOD(R52,12)&amp;"m"</f>
        <v>15y 8m</v>
      </c>
      <c r="T52" s="12" t="str">
        <f aca="false">IF(OR($C$6&lt;&gt;"Yes",$C$8=""),"",EDATE($C$8,R52))</f>
        <v/>
      </c>
      <c r="U52" s="14" t="str">
        <f aca="false">IF(T52="","",IF($C$16=0,$C$9,IF(AND($C$14&lt;&gt;"",T52&gt;=$C$14),$C$15,IF(AND($C$12&lt;&gt;"",T52&gt;=$C$12),$C$13,$C$11))))</f>
        <v/>
      </c>
      <c r="V52" s="14" t="str">
        <f aca="false">IF(T52="","",IF(OR(ISNUMBER(SEARCH("full",U52)),UPPER(TRIM(U52))="FT",UPPER(TRIM(U52))="FTE"),"FT",IF(AND(OR(ISNUMBER(SEARCH("part",U52)),UPPER(TRIM(U52))="PT",UPPER(TRIM(U52))="PTE"),OR($C$10="",N($C$10)&gt;=PT_MinHours)),"PT","None")))</f>
        <v/>
      </c>
      <c r="W52" s="14" t="n">
        <v>1</v>
      </c>
      <c r="X52" s="14" t="str">
        <f aca="false">IF(T52="","",IF(AND(V52="PT",T52&lt;=AsOfDate),W52,0))</f>
        <v/>
      </c>
      <c r="Z52" s="17" t="n">
        <f aca="false">I52</f>
        <v>138</v>
      </c>
      <c r="AA52" s="17" t="n">
        <f aca="false">SMALL($Z$20:$Z$199,33)</f>
        <v>104</v>
      </c>
      <c r="AB52" s="17" t="str">
        <f aca="false">IF(33-COUNTIF($Z$20:$Z$199,"&lt;"&amp;AA52)=1,IF(COUNTIF($I$20:$I$109,AA52)&gt;0,"FT","PT"),"PT")</f>
        <v>PT</v>
      </c>
      <c r="AC52" s="17" t="n">
        <f aca="false">IF(AB52="FT",INDEX($N$20:$N$109,MATCH(AA52,$I$20:$I$109,0)),1)</f>
        <v>1</v>
      </c>
    </row>
    <row r="53" customFormat="false" ht="15" hidden="false" customHeight="false" outlineLevel="0" collapsed="false">
      <c r="H53" s="14" t="n">
        <v>34</v>
      </c>
      <c r="I53" s="14" t="n">
        <f aca="false">IF(33&lt;FT_PreY5,FT_First+FT_Int1*33,FT_Y5+FT_Int2*(33-FT_PreY5))</f>
        <v>141</v>
      </c>
      <c r="J53" s="14" t="str">
        <f aca="false">INT(I53/12)&amp;"y "&amp;MOD(I53,12)&amp;"m"</f>
        <v>11y 9m</v>
      </c>
      <c r="K53" s="12" t="str">
        <f aca="false">IF(OR($C$6&lt;&gt;"Yes",$C$8=""),"",EDATE($C$8,I53))</f>
        <v/>
      </c>
      <c r="L53" s="14" t="str">
        <f aca="false">IF(K53="","",IF($C$16=0,$C$9,IF(AND($C$14&lt;&gt;"",K53&gt;=$C$14),$C$15,IF(AND($C$12&lt;&gt;"",K53&gt;=$C$12),$C$13,$C$11))))</f>
        <v/>
      </c>
      <c r="M53" s="14" t="str">
        <f aca="false">IF(K53="","",IF(OR(ISNUMBER(SEARCH("full",L53)),UPPER(TRIM(L53))="FT",UPPER(TRIM(L53))="FTE"),"FT",IF(AND(OR(ISNUMBER(SEARCH("part",L53)),UPPER(TRIM(L53))="PT",UPPER(TRIM(L53))="PTE"),OR($C$10="",N($C$10)&gt;=PT_MinHours)),"PT","None")))</f>
        <v/>
      </c>
      <c r="N53" s="14" t="n">
        <f aca="false">IF(I53&lt;FT_Y5,1,IF(MOD(I53-FT_Y5,12)=0,FT_AnnivDays,1))</f>
        <v>1</v>
      </c>
      <c r="O53" s="14" t="str">
        <f aca="false">IF(K53="","",IF(AND(M53="FT",K53&lt;=AsOfDate),N53,0))</f>
        <v/>
      </c>
      <c r="Q53" s="14" t="n">
        <v>34</v>
      </c>
      <c r="R53" s="14" t="n">
        <f aca="false">PT_First+PT_Int*33</f>
        <v>192</v>
      </c>
      <c r="S53" s="14" t="str">
        <f aca="false">INT(R53/12)&amp;"y "&amp;MOD(R53,12)&amp;"m"</f>
        <v>16y 0m</v>
      </c>
      <c r="T53" s="12" t="str">
        <f aca="false">IF(OR($C$6&lt;&gt;"Yes",$C$8=""),"",EDATE($C$8,R53))</f>
        <v/>
      </c>
      <c r="U53" s="14" t="str">
        <f aca="false">IF(T53="","",IF($C$16=0,$C$9,IF(AND($C$14&lt;&gt;"",T53&gt;=$C$14),$C$15,IF(AND($C$12&lt;&gt;"",T53&gt;=$C$12),$C$13,$C$11))))</f>
        <v/>
      </c>
      <c r="V53" s="14" t="str">
        <f aca="false">IF(T53="","",IF(OR(ISNUMBER(SEARCH("full",U53)),UPPER(TRIM(U53))="FT",UPPER(TRIM(U53))="FTE"),"FT",IF(AND(OR(ISNUMBER(SEARCH("part",U53)),UPPER(TRIM(U53))="PT",UPPER(TRIM(U53))="PTE"),OR($C$10="",N($C$10)&gt;=PT_MinHours)),"PT","None")))</f>
        <v/>
      </c>
      <c r="W53" s="14" t="n">
        <v>1</v>
      </c>
      <c r="X53" s="14" t="str">
        <f aca="false">IF(T53="","",IF(AND(V53="PT",T53&lt;=AsOfDate),W53,0))</f>
        <v/>
      </c>
      <c r="Z53" s="17" t="n">
        <f aca="false">I53</f>
        <v>141</v>
      </c>
      <c r="AA53" s="17" t="n">
        <f aca="false">SMALL($Z$20:$Z$199,34)</f>
        <v>105</v>
      </c>
      <c r="AB53" s="17" t="str">
        <f aca="false">IF(34-COUNTIF($Z$20:$Z$199,"&lt;"&amp;AA53)=1,IF(COUNTIF($I$20:$I$109,AA53)&gt;0,"FT","PT"),"PT")</f>
        <v>FT</v>
      </c>
      <c r="AC53" s="17" t="n">
        <f aca="false">IF(AB53="FT",INDEX($N$20:$N$109,MATCH(AA53,$I$20:$I$109,0)),1)</f>
        <v>1</v>
      </c>
    </row>
    <row r="54" customFormat="false" ht="15" hidden="false" customHeight="false" outlineLevel="0" collapsed="false">
      <c r="H54" s="14" t="n">
        <v>35</v>
      </c>
      <c r="I54" s="14" t="n">
        <f aca="false">IF(34&lt;FT_PreY5,FT_First+FT_Int1*34,FT_Y5+FT_Int2*(34-FT_PreY5))</f>
        <v>144</v>
      </c>
      <c r="J54" s="14" t="str">
        <f aca="false">INT(I54/12)&amp;"y "&amp;MOD(I54,12)&amp;"m"</f>
        <v>12y 0m</v>
      </c>
      <c r="K54" s="12" t="str">
        <f aca="false">IF(OR($C$6&lt;&gt;"Yes",$C$8=""),"",EDATE($C$8,I54))</f>
        <v/>
      </c>
      <c r="L54" s="14" t="str">
        <f aca="false">IF(K54="","",IF($C$16=0,$C$9,IF(AND($C$14&lt;&gt;"",K54&gt;=$C$14),$C$15,IF(AND($C$12&lt;&gt;"",K54&gt;=$C$12),$C$13,$C$11))))</f>
        <v/>
      </c>
      <c r="M54" s="14" t="str">
        <f aca="false">IF(K54="","",IF(OR(ISNUMBER(SEARCH("full",L54)),UPPER(TRIM(L54))="FT",UPPER(TRIM(L54))="FTE"),"FT",IF(AND(OR(ISNUMBER(SEARCH("part",L54)),UPPER(TRIM(L54))="PT",UPPER(TRIM(L54))="PTE"),OR($C$10="",N($C$10)&gt;=PT_MinHours)),"PT","None")))</f>
        <v/>
      </c>
      <c r="N54" s="14" t="n">
        <f aca="false">IF(I54&lt;FT_Y5,1,IF(MOD(I54-FT_Y5,12)=0,FT_AnnivDays,1))</f>
        <v>2</v>
      </c>
      <c r="O54" s="14" t="str">
        <f aca="false">IF(K54="","",IF(AND(M54="FT",K54&lt;=AsOfDate),N54,0))</f>
        <v/>
      </c>
      <c r="Q54" s="14" t="n">
        <v>35</v>
      </c>
      <c r="R54" s="14" t="n">
        <f aca="false">PT_First+PT_Int*34</f>
        <v>196</v>
      </c>
      <c r="S54" s="14" t="str">
        <f aca="false">INT(R54/12)&amp;"y "&amp;MOD(R54,12)&amp;"m"</f>
        <v>16y 4m</v>
      </c>
      <c r="T54" s="12" t="str">
        <f aca="false">IF(OR($C$6&lt;&gt;"Yes",$C$8=""),"",EDATE($C$8,R54))</f>
        <v/>
      </c>
      <c r="U54" s="14" t="str">
        <f aca="false">IF(T54="","",IF($C$16=0,$C$9,IF(AND($C$14&lt;&gt;"",T54&gt;=$C$14),$C$15,IF(AND($C$12&lt;&gt;"",T54&gt;=$C$12),$C$13,$C$11))))</f>
        <v/>
      </c>
      <c r="V54" s="14" t="str">
        <f aca="false">IF(T54="","",IF(OR(ISNUMBER(SEARCH("full",U54)),UPPER(TRIM(U54))="FT",UPPER(TRIM(U54))="FTE"),"FT",IF(AND(OR(ISNUMBER(SEARCH("part",U54)),UPPER(TRIM(U54))="PT",UPPER(TRIM(U54))="PTE"),OR($C$10="",N($C$10)&gt;=PT_MinHours)),"PT","None")))</f>
        <v/>
      </c>
      <c r="W54" s="14" t="n">
        <v>1</v>
      </c>
      <c r="X54" s="14" t="str">
        <f aca="false">IF(T54="","",IF(AND(V54="PT",T54&lt;=AsOfDate),W54,0))</f>
        <v/>
      </c>
      <c r="Z54" s="17" t="n">
        <f aca="false">I54</f>
        <v>144</v>
      </c>
      <c r="AA54" s="17" t="n">
        <f aca="false">SMALL($Z$20:$Z$199,35)</f>
        <v>108</v>
      </c>
      <c r="AB54" s="17" t="str">
        <f aca="false">IF(35-COUNTIF($Z$20:$Z$199,"&lt;"&amp;AA54)=1,IF(COUNTIF($I$20:$I$109,AA54)&gt;0,"FT","PT"),"PT")</f>
        <v>FT</v>
      </c>
      <c r="AC54" s="17" t="n">
        <f aca="false">IF(AB54="FT",INDEX($N$20:$N$109,MATCH(AA54,$I$20:$I$109,0)),1)</f>
        <v>2</v>
      </c>
    </row>
    <row r="55" customFormat="false" ht="15" hidden="false" customHeight="false" outlineLevel="0" collapsed="false">
      <c r="H55" s="14" t="n">
        <v>36</v>
      </c>
      <c r="I55" s="14" t="n">
        <f aca="false">IF(35&lt;FT_PreY5,FT_First+FT_Int1*35,FT_Y5+FT_Int2*(35-FT_PreY5))</f>
        <v>147</v>
      </c>
      <c r="J55" s="14" t="str">
        <f aca="false">INT(I55/12)&amp;"y "&amp;MOD(I55,12)&amp;"m"</f>
        <v>12y 3m</v>
      </c>
      <c r="K55" s="12" t="str">
        <f aca="false">IF(OR($C$6&lt;&gt;"Yes",$C$8=""),"",EDATE($C$8,I55))</f>
        <v/>
      </c>
      <c r="L55" s="14" t="str">
        <f aca="false">IF(K55="","",IF($C$16=0,$C$9,IF(AND($C$14&lt;&gt;"",K55&gt;=$C$14),$C$15,IF(AND($C$12&lt;&gt;"",K55&gt;=$C$12),$C$13,$C$11))))</f>
        <v/>
      </c>
      <c r="M55" s="14" t="str">
        <f aca="false">IF(K55="","",IF(OR(ISNUMBER(SEARCH("full",L55)),UPPER(TRIM(L55))="FT",UPPER(TRIM(L55))="FTE"),"FT",IF(AND(OR(ISNUMBER(SEARCH("part",L55)),UPPER(TRIM(L55))="PT",UPPER(TRIM(L55))="PTE"),OR($C$10="",N($C$10)&gt;=PT_MinHours)),"PT","None")))</f>
        <v/>
      </c>
      <c r="N55" s="14" t="n">
        <f aca="false">IF(I55&lt;FT_Y5,1,IF(MOD(I55-FT_Y5,12)=0,FT_AnnivDays,1))</f>
        <v>1</v>
      </c>
      <c r="O55" s="14" t="str">
        <f aca="false">IF(K55="","",IF(AND(M55="FT",K55&lt;=AsOfDate),N55,0))</f>
        <v/>
      </c>
      <c r="Q55" s="14" t="n">
        <v>36</v>
      </c>
      <c r="R55" s="14" t="n">
        <f aca="false">PT_First+PT_Int*35</f>
        <v>200</v>
      </c>
      <c r="S55" s="14" t="str">
        <f aca="false">INT(R55/12)&amp;"y "&amp;MOD(R55,12)&amp;"m"</f>
        <v>16y 8m</v>
      </c>
      <c r="T55" s="12" t="str">
        <f aca="false">IF(OR($C$6&lt;&gt;"Yes",$C$8=""),"",EDATE($C$8,R55))</f>
        <v/>
      </c>
      <c r="U55" s="14" t="str">
        <f aca="false">IF(T55="","",IF($C$16=0,$C$9,IF(AND($C$14&lt;&gt;"",T55&gt;=$C$14),$C$15,IF(AND($C$12&lt;&gt;"",T55&gt;=$C$12),$C$13,$C$11))))</f>
        <v/>
      </c>
      <c r="V55" s="14" t="str">
        <f aca="false">IF(T55="","",IF(OR(ISNUMBER(SEARCH("full",U55)),UPPER(TRIM(U55))="FT",UPPER(TRIM(U55))="FTE"),"FT",IF(AND(OR(ISNUMBER(SEARCH("part",U55)),UPPER(TRIM(U55))="PT",UPPER(TRIM(U55))="PTE"),OR($C$10="",N($C$10)&gt;=PT_MinHours)),"PT","None")))</f>
        <v/>
      </c>
      <c r="W55" s="14" t="n">
        <v>1</v>
      </c>
      <c r="X55" s="14" t="str">
        <f aca="false">IF(T55="","",IF(AND(V55="PT",T55&lt;=AsOfDate),W55,0))</f>
        <v/>
      </c>
      <c r="Z55" s="17" t="n">
        <f aca="false">I55</f>
        <v>147</v>
      </c>
      <c r="AA55" s="17" t="n">
        <f aca="false">SMALL($Z$20:$Z$199,36)</f>
        <v>108</v>
      </c>
      <c r="AB55" s="17" t="str">
        <f aca="false">IF(36-COUNTIF($Z$20:$Z$199,"&lt;"&amp;AA55)=1,IF(COUNTIF($I$20:$I$109,AA55)&gt;0,"FT","PT"),"PT")</f>
        <v>PT</v>
      </c>
      <c r="AC55" s="17" t="n">
        <f aca="false">IF(AB55="FT",INDEX($N$20:$N$109,MATCH(AA55,$I$20:$I$109,0)),1)</f>
        <v>1</v>
      </c>
    </row>
    <row r="56" customFormat="false" ht="15" hidden="false" customHeight="false" outlineLevel="0" collapsed="false">
      <c r="H56" s="14" t="n">
        <v>37</v>
      </c>
      <c r="I56" s="14" t="n">
        <f aca="false">IF(36&lt;FT_PreY5,FT_First+FT_Int1*36,FT_Y5+FT_Int2*(36-FT_PreY5))</f>
        <v>150</v>
      </c>
      <c r="J56" s="14" t="str">
        <f aca="false">INT(I56/12)&amp;"y "&amp;MOD(I56,12)&amp;"m"</f>
        <v>12y 6m</v>
      </c>
      <c r="K56" s="12" t="str">
        <f aca="false">IF(OR($C$6&lt;&gt;"Yes",$C$8=""),"",EDATE($C$8,I56))</f>
        <v/>
      </c>
      <c r="L56" s="14" t="str">
        <f aca="false">IF(K56="","",IF($C$16=0,$C$9,IF(AND($C$14&lt;&gt;"",K56&gt;=$C$14),$C$15,IF(AND($C$12&lt;&gt;"",K56&gt;=$C$12),$C$13,$C$11))))</f>
        <v/>
      </c>
      <c r="M56" s="14" t="str">
        <f aca="false">IF(K56="","",IF(OR(ISNUMBER(SEARCH("full",L56)),UPPER(TRIM(L56))="FT",UPPER(TRIM(L56))="FTE"),"FT",IF(AND(OR(ISNUMBER(SEARCH("part",L56)),UPPER(TRIM(L56))="PT",UPPER(TRIM(L56))="PTE"),OR($C$10="",N($C$10)&gt;=PT_MinHours)),"PT","None")))</f>
        <v/>
      </c>
      <c r="N56" s="14" t="n">
        <f aca="false">IF(I56&lt;FT_Y5,1,IF(MOD(I56-FT_Y5,12)=0,FT_AnnivDays,1))</f>
        <v>1</v>
      </c>
      <c r="O56" s="14" t="str">
        <f aca="false">IF(K56="","",IF(AND(M56="FT",K56&lt;=AsOfDate),N56,0))</f>
        <v/>
      </c>
      <c r="Q56" s="14" t="n">
        <v>37</v>
      </c>
      <c r="R56" s="14" t="n">
        <f aca="false">PT_First+PT_Int*36</f>
        <v>204</v>
      </c>
      <c r="S56" s="14" t="str">
        <f aca="false">INT(R56/12)&amp;"y "&amp;MOD(R56,12)&amp;"m"</f>
        <v>17y 0m</v>
      </c>
      <c r="T56" s="12" t="str">
        <f aca="false">IF(OR($C$6&lt;&gt;"Yes",$C$8=""),"",EDATE($C$8,R56))</f>
        <v/>
      </c>
      <c r="U56" s="14" t="str">
        <f aca="false">IF(T56="","",IF($C$16=0,$C$9,IF(AND($C$14&lt;&gt;"",T56&gt;=$C$14),$C$15,IF(AND($C$12&lt;&gt;"",T56&gt;=$C$12),$C$13,$C$11))))</f>
        <v/>
      </c>
      <c r="V56" s="14" t="str">
        <f aca="false">IF(T56="","",IF(OR(ISNUMBER(SEARCH("full",U56)),UPPER(TRIM(U56))="FT",UPPER(TRIM(U56))="FTE"),"FT",IF(AND(OR(ISNUMBER(SEARCH("part",U56)),UPPER(TRIM(U56))="PT",UPPER(TRIM(U56))="PTE"),OR($C$10="",N($C$10)&gt;=PT_MinHours)),"PT","None")))</f>
        <v/>
      </c>
      <c r="W56" s="14" t="n">
        <v>1</v>
      </c>
      <c r="X56" s="14" t="str">
        <f aca="false">IF(T56="","",IF(AND(V56="PT",T56&lt;=AsOfDate),W56,0))</f>
        <v/>
      </c>
      <c r="Z56" s="17" t="n">
        <f aca="false">I56</f>
        <v>150</v>
      </c>
      <c r="AA56" s="17" t="n">
        <f aca="false">SMALL($Z$20:$Z$199,37)</f>
        <v>111</v>
      </c>
      <c r="AB56" s="17" t="str">
        <f aca="false">IF(37-COUNTIF($Z$20:$Z$199,"&lt;"&amp;AA56)=1,IF(COUNTIF($I$20:$I$109,AA56)&gt;0,"FT","PT"),"PT")</f>
        <v>FT</v>
      </c>
      <c r="AC56" s="17" t="n">
        <f aca="false">IF(AB56="FT",INDEX($N$20:$N$109,MATCH(AA56,$I$20:$I$109,0)),1)</f>
        <v>1</v>
      </c>
    </row>
    <row r="57" customFormat="false" ht="15" hidden="false" customHeight="false" outlineLevel="0" collapsed="false">
      <c r="H57" s="14" t="n">
        <v>38</v>
      </c>
      <c r="I57" s="14" t="n">
        <f aca="false">IF(37&lt;FT_PreY5,FT_First+FT_Int1*37,FT_Y5+FT_Int2*(37-FT_PreY5))</f>
        <v>153</v>
      </c>
      <c r="J57" s="14" t="str">
        <f aca="false">INT(I57/12)&amp;"y "&amp;MOD(I57,12)&amp;"m"</f>
        <v>12y 9m</v>
      </c>
      <c r="K57" s="12" t="str">
        <f aca="false">IF(OR($C$6&lt;&gt;"Yes",$C$8=""),"",EDATE($C$8,I57))</f>
        <v/>
      </c>
      <c r="L57" s="14" t="str">
        <f aca="false">IF(K57="","",IF($C$16=0,$C$9,IF(AND($C$14&lt;&gt;"",K57&gt;=$C$14),$C$15,IF(AND($C$12&lt;&gt;"",K57&gt;=$C$12),$C$13,$C$11))))</f>
        <v/>
      </c>
      <c r="M57" s="14" t="str">
        <f aca="false">IF(K57="","",IF(OR(ISNUMBER(SEARCH("full",L57)),UPPER(TRIM(L57))="FT",UPPER(TRIM(L57))="FTE"),"FT",IF(AND(OR(ISNUMBER(SEARCH("part",L57)),UPPER(TRIM(L57))="PT",UPPER(TRIM(L57))="PTE"),OR($C$10="",N($C$10)&gt;=PT_MinHours)),"PT","None")))</f>
        <v/>
      </c>
      <c r="N57" s="14" t="n">
        <f aca="false">IF(I57&lt;FT_Y5,1,IF(MOD(I57-FT_Y5,12)=0,FT_AnnivDays,1))</f>
        <v>1</v>
      </c>
      <c r="O57" s="14" t="str">
        <f aca="false">IF(K57="","",IF(AND(M57="FT",K57&lt;=AsOfDate),N57,0))</f>
        <v/>
      </c>
      <c r="Q57" s="14" t="n">
        <v>38</v>
      </c>
      <c r="R57" s="14" t="n">
        <f aca="false">PT_First+PT_Int*37</f>
        <v>208</v>
      </c>
      <c r="S57" s="14" t="str">
        <f aca="false">INT(R57/12)&amp;"y "&amp;MOD(R57,12)&amp;"m"</f>
        <v>17y 4m</v>
      </c>
      <c r="T57" s="12" t="str">
        <f aca="false">IF(OR($C$6&lt;&gt;"Yes",$C$8=""),"",EDATE($C$8,R57))</f>
        <v/>
      </c>
      <c r="U57" s="14" t="str">
        <f aca="false">IF(T57="","",IF($C$16=0,$C$9,IF(AND($C$14&lt;&gt;"",T57&gt;=$C$14),$C$15,IF(AND($C$12&lt;&gt;"",T57&gt;=$C$12),$C$13,$C$11))))</f>
        <v/>
      </c>
      <c r="V57" s="14" t="str">
        <f aca="false">IF(T57="","",IF(OR(ISNUMBER(SEARCH("full",U57)),UPPER(TRIM(U57))="FT",UPPER(TRIM(U57))="FTE"),"FT",IF(AND(OR(ISNUMBER(SEARCH("part",U57)),UPPER(TRIM(U57))="PT",UPPER(TRIM(U57))="PTE"),OR($C$10="",N($C$10)&gt;=PT_MinHours)),"PT","None")))</f>
        <v/>
      </c>
      <c r="W57" s="14" t="n">
        <v>1</v>
      </c>
      <c r="X57" s="14" t="str">
        <f aca="false">IF(T57="","",IF(AND(V57="PT",T57&lt;=AsOfDate),W57,0))</f>
        <v/>
      </c>
      <c r="Z57" s="17" t="n">
        <f aca="false">I57</f>
        <v>153</v>
      </c>
      <c r="AA57" s="17" t="n">
        <f aca="false">SMALL($Z$20:$Z$199,38)</f>
        <v>112</v>
      </c>
      <c r="AB57" s="17" t="str">
        <f aca="false">IF(38-COUNTIF($Z$20:$Z$199,"&lt;"&amp;AA57)=1,IF(COUNTIF($I$20:$I$109,AA57)&gt;0,"FT","PT"),"PT")</f>
        <v>PT</v>
      </c>
      <c r="AC57" s="17" t="n">
        <f aca="false">IF(AB57="FT",INDEX($N$20:$N$109,MATCH(AA57,$I$20:$I$109,0)),1)</f>
        <v>1</v>
      </c>
    </row>
    <row r="58" customFormat="false" ht="15" hidden="false" customHeight="false" outlineLevel="0" collapsed="false">
      <c r="H58" s="14" t="n">
        <v>39</v>
      </c>
      <c r="I58" s="14" t="n">
        <f aca="false">IF(38&lt;FT_PreY5,FT_First+FT_Int1*38,FT_Y5+FT_Int2*(38-FT_PreY5))</f>
        <v>156</v>
      </c>
      <c r="J58" s="14" t="str">
        <f aca="false">INT(I58/12)&amp;"y "&amp;MOD(I58,12)&amp;"m"</f>
        <v>13y 0m</v>
      </c>
      <c r="K58" s="12" t="str">
        <f aca="false">IF(OR($C$6&lt;&gt;"Yes",$C$8=""),"",EDATE($C$8,I58))</f>
        <v/>
      </c>
      <c r="L58" s="14" t="str">
        <f aca="false">IF(K58="","",IF($C$16=0,$C$9,IF(AND($C$14&lt;&gt;"",K58&gt;=$C$14),$C$15,IF(AND($C$12&lt;&gt;"",K58&gt;=$C$12),$C$13,$C$11))))</f>
        <v/>
      </c>
      <c r="M58" s="14" t="str">
        <f aca="false">IF(K58="","",IF(OR(ISNUMBER(SEARCH("full",L58)),UPPER(TRIM(L58))="FT",UPPER(TRIM(L58))="FTE"),"FT",IF(AND(OR(ISNUMBER(SEARCH("part",L58)),UPPER(TRIM(L58))="PT",UPPER(TRIM(L58))="PTE"),OR($C$10="",N($C$10)&gt;=PT_MinHours)),"PT","None")))</f>
        <v/>
      </c>
      <c r="N58" s="14" t="n">
        <f aca="false">IF(I58&lt;FT_Y5,1,IF(MOD(I58-FT_Y5,12)=0,FT_AnnivDays,1))</f>
        <v>2</v>
      </c>
      <c r="O58" s="14" t="str">
        <f aca="false">IF(K58="","",IF(AND(M58="FT",K58&lt;=AsOfDate),N58,0))</f>
        <v/>
      </c>
      <c r="Q58" s="14" t="n">
        <v>39</v>
      </c>
      <c r="R58" s="14" t="n">
        <f aca="false">PT_First+PT_Int*38</f>
        <v>212</v>
      </c>
      <c r="S58" s="14" t="str">
        <f aca="false">INT(R58/12)&amp;"y "&amp;MOD(R58,12)&amp;"m"</f>
        <v>17y 8m</v>
      </c>
      <c r="T58" s="12" t="str">
        <f aca="false">IF(OR($C$6&lt;&gt;"Yes",$C$8=""),"",EDATE($C$8,R58))</f>
        <v/>
      </c>
      <c r="U58" s="14" t="str">
        <f aca="false">IF(T58="","",IF($C$16=0,$C$9,IF(AND($C$14&lt;&gt;"",T58&gt;=$C$14),$C$15,IF(AND($C$12&lt;&gt;"",T58&gt;=$C$12),$C$13,$C$11))))</f>
        <v/>
      </c>
      <c r="V58" s="14" t="str">
        <f aca="false">IF(T58="","",IF(OR(ISNUMBER(SEARCH("full",U58)),UPPER(TRIM(U58))="FT",UPPER(TRIM(U58))="FTE"),"FT",IF(AND(OR(ISNUMBER(SEARCH("part",U58)),UPPER(TRIM(U58))="PT",UPPER(TRIM(U58))="PTE"),OR($C$10="",N($C$10)&gt;=PT_MinHours)),"PT","None")))</f>
        <v/>
      </c>
      <c r="W58" s="14" t="n">
        <v>1</v>
      </c>
      <c r="X58" s="14" t="str">
        <f aca="false">IF(T58="","",IF(AND(V58="PT",T58&lt;=AsOfDate),W58,0))</f>
        <v/>
      </c>
      <c r="Z58" s="17" t="n">
        <f aca="false">I58</f>
        <v>156</v>
      </c>
      <c r="AA58" s="17" t="n">
        <f aca="false">SMALL($Z$20:$Z$199,39)</f>
        <v>114</v>
      </c>
      <c r="AB58" s="17" t="str">
        <f aca="false">IF(39-COUNTIF($Z$20:$Z$199,"&lt;"&amp;AA58)=1,IF(COUNTIF($I$20:$I$109,AA58)&gt;0,"FT","PT"),"PT")</f>
        <v>FT</v>
      </c>
      <c r="AC58" s="17" t="n">
        <f aca="false">IF(AB58="FT",INDEX($N$20:$N$109,MATCH(AA58,$I$20:$I$109,0)),1)</f>
        <v>1</v>
      </c>
    </row>
    <row r="59" customFormat="false" ht="15" hidden="false" customHeight="false" outlineLevel="0" collapsed="false">
      <c r="H59" s="14" t="n">
        <v>40</v>
      </c>
      <c r="I59" s="14" t="n">
        <f aca="false">IF(39&lt;FT_PreY5,FT_First+FT_Int1*39,FT_Y5+FT_Int2*(39-FT_PreY5))</f>
        <v>159</v>
      </c>
      <c r="J59" s="14" t="str">
        <f aca="false">INT(I59/12)&amp;"y "&amp;MOD(I59,12)&amp;"m"</f>
        <v>13y 3m</v>
      </c>
      <c r="K59" s="12" t="str">
        <f aca="false">IF(OR($C$6&lt;&gt;"Yes",$C$8=""),"",EDATE($C$8,I59))</f>
        <v/>
      </c>
      <c r="L59" s="14" t="str">
        <f aca="false">IF(K59="","",IF($C$16=0,$C$9,IF(AND($C$14&lt;&gt;"",K59&gt;=$C$14),$C$15,IF(AND($C$12&lt;&gt;"",K59&gt;=$C$12),$C$13,$C$11))))</f>
        <v/>
      </c>
      <c r="M59" s="14" t="str">
        <f aca="false">IF(K59="","",IF(OR(ISNUMBER(SEARCH("full",L59)),UPPER(TRIM(L59))="FT",UPPER(TRIM(L59))="FTE"),"FT",IF(AND(OR(ISNUMBER(SEARCH("part",L59)),UPPER(TRIM(L59))="PT",UPPER(TRIM(L59))="PTE"),OR($C$10="",N($C$10)&gt;=PT_MinHours)),"PT","None")))</f>
        <v/>
      </c>
      <c r="N59" s="14" t="n">
        <f aca="false">IF(I59&lt;FT_Y5,1,IF(MOD(I59-FT_Y5,12)=0,FT_AnnivDays,1))</f>
        <v>1</v>
      </c>
      <c r="O59" s="14" t="str">
        <f aca="false">IF(K59="","",IF(AND(M59="FT",K59&lt;=AsOfDate),N59,0))</f>
        <v/>
      </c>
      <c r="Q59" s="14" t="n">
        <v>40</v>
      </c>
      <c r="R59" s="14" t="n">
        <f aca="false">PT_First+PT_Int*39</f>
        <v>216</v>
      </c>
      <c r="S59" s="14" t="str">
        <f aca="false">INT(R59/12)&amp;"y "&amp;MOD(R59,12)&amp;"m"</f>
        <v>18y 0m</v>
      </c>
      <c r="T59" s="12" t="str">
        <f aca="false">IF(OR($C$6&lt;&gt;"Yes",$C$8=""),"",EDATE($C$8,R59))</f>
        <v/>
      </c>
      <c r="U59" s="14" t="str">
        <f aca="false">IF(T59="","",IF($C$16=0,$C$9,IF(AND($C$14&lt;&gt;"",T59&gt;=$C$14),$C$15,IF(AND($C$12&lt;&gt;"",T59&gt;=$C$12),$C$13,$C$11))))</f>
        <v/>
      </c>
      <c r="V59" s="14" t="str">
        <f aca="false">IF(T59="","",IF(OR(ISNUMBER(SEARCH("full",U59)),UPPER(TRIM(U59))="FT",UPPER(TRIM(U59))="FTE"),"FT",IF(AND(OR(ISNUMBER(SEARCH("part",U59)),UPPER(TRIM(U59))="PT",UPPER(TRIM(U59))="PTE"),OR($C$10="",N($C$10)&gt;=PT_MinHours)),"PT","None")))</f>
        <v/>
      </c>
      <c r="W59" s="14" t="n">
        <v>1</v>
      </c>
      <c r="X59" s="14" t="str">
        <f aca="false">IF(T59="","",IF(AND(V59="PT",T59&lt;=AsOfDate),W59,0))</f>
        <v/>
      </c>
      <c r="Z59" s="17" t="n">
        <f aca="false">I59</f>
        <v>159</v>
      </c>
      <c r="AA59" s="17" t="n">
        <f aca="false">SMALL($Z$20:$Z$199,40)</f>
        <v>116</v>
      </c>
      <c r="AB59" s="17" t="str">
        <f aca="false">IF(40-COUNTIF($Z$20:$Z$199,"&lt;"&amp;AA59)=1,IF(COUNTIF($I$20:$I$109,AA59)&gt;0,"FT","PT"),"PT")</f>
        <v>PT</v>
      </c>
      <c r="AC59" s="17" t="n">
        <f aca="false">IF(AB59="FT",INDEX($N$20:$N$109,MATCH(AA59,$I$20:$I$109,0)),1)</f>
        <v>1</v>
      </c>
    </row>
    <row r="60" customFormat="false" ht="15" hidden="false" customHeight="false" outlineLevel="0" collapsed="false">
      <c r="H60" s="14" t="n">
        <v>41</v>
      </c>
      <c r="I60" s="14" t="n">
        <f aca="false">IF(40&lt;FT_PreY5,FT_First+FT_Int1*40,FT_Y5+FT_Int2*(40-FT_PreY5))</f>
        <v>162</v>
      </c>
      <c r="J60" s="14" t="str">
        <f aca="false">INT(I60/12)&amp;"y "&amp;MOD(I60,12)&amp;"m"</f>
        <v>13y 6m</v>
      </c>
      <c r="K60" s="12" t="str">
        <f aca="false">IF(OR($C$6&lt;&gt;"Yes",$C$8=""),"",EDATE($C$8,I60))</f>
        <v/>
      </c>
      <c r="L60" s="14" t="str">
        <f aca="false">IF(K60="","",IF($C$16=0,$C$9,IF(AND($C$14&lt;&gt;"",K60&gt;=$C$14),$C$15,IF(AND($C$12&lt;&gt;"",K60&gt;=$C$12),$C$13,$C$11))))</f>
        <v/>
      </c>
      <c r="M60" s="14" t="str">
        <f aca="false">IF(K60="","",IF(OR(ISNUMBER(SEARCH("full",L60)),UPPER(TRIM(L60))="FT",UPPER(TRIM(L60))="FTE"),"FT",IF(AND(OR(ISNUMBER(SEARCH("part",L60)),UPPER(TRIM(L60))="PT",UPPER(TRIM(L60))="PTE"),OR($C$10="",N($C$10)&gt;=PT_MinHours)),"PT","None")))</f>
        <v/>
      </c>
      <c r="N60" s="14" t="n">
        <f aca="false">IF(I60&lt;FT_Y5,1,IF(MOD(I60-FT_Y5,12)=0,FT_AnnivDays,1))</f>
        <v>1</v>
      </c>
      <c r="O60" s="14" t="str">
        <f aca="false">IF(K60="","",IF(AND(M60="FT",K60&lt;=AsOfDate),N60,0))</f>
        <v/>
      </c>
      <c r="Q60" s="14" t="n">
        <v>41</v>
      </c>
      <c r="R60" s="14" t="n">
        <f aca="false">PT_First+PT_Int*40</f>
        <v>220</v>
      </c>
      <c r="S60" s="14" t="str">
        <f aca="false">INT(R60/12)&amp;"y "&amp;MOD(R60,12)&amp;"m"</f>
        <v>18y 4m</v>
      </c>
      <c r="T60" s="12" t="str">
        <f aca="false">IF(OR($C$6&lt;&gt;"Yes",$C$8=""),"",EDATE($C$8,R60))</f>
        <v/>
      </c>
      <c r="U60" s="14" t="str">
        <f aca="false">IF(T60="","",IF($C$16=0,$C$9,IF(AND($C$14&lt;&gt;"",T60&gt;=$C$14),$C$15,IF(AND($C$12&lt;&gt;"",T60&gt;=$C$12),$C$13,$C$11))))</f>
        <v/>
      </c>
      <c r="V60" s="14" t="str">
        <f aca="false">IF(T60="","",IF(OR(ISNUMBER(SEARCH("full",U60)),UPPER(TRIM(U60))="FT",UPPER(TRIM(U60))="FTE"),"FT",IF(AND(OR(ISNUMBER(SEARCH("part",U60)),UPPER(TRIM(U60))="PT",UPPER(TRIM(U60))="PTE"),OR($C$10="",N($C$10)&gt;=PT_MinHours)),"PT","None")))</f>
        <v/>
      </c>
      <c r="W60" s="14" t="n">
        <v>1</v>
      </c>
      <c r="X60" s="14" t="str">
        <f aca="false">IF(T60="","",IF(AND(V60="PT",T60&lt;=AsOfDate),W60,0))</f>
        <v/>
      </c>
      <c r="Z60" s="17" t="n">
        <f aca="false">I60</f>
        <v>162</v>
      </c>
      <c r="AA60" s="17" t="n">
        <f aca="false">SMALL($Z$20:$Z$199,41)</f>
        <v>117</v>
      </c>
      <c r="AB60" s="17" t="str">
        <f aca="false">IF(41-COUNTIF($Z$20:$Z$199,"&lt;"&amp;AA60)=1,IF(COUNTIF($I$20:$I$109,AA60)&gt;0,"FT","PT"),"PT")</f>
        <v>FT</v>
      </c>
      <c r="AC60" s="17" t="n">
        <f aca="false">IF(AB60="FT",INDEX($N$20:$N$109,MATCH(AA60,$I$20:$I$109,0)),1)</f>
        <v>1</v>
      </c>
    </row>
    <row r="61" customFormat="false" ht="15" hidden="false" customHeight="false" outlineLevel="0" collapsed="false">
      <c r="H61" s="14" t="n">
        <v>42</v>
      </c>
      <c r="I61" s="14" t="n">
        <f aca="false">IF(41&lt;FT_PreY5,FT_First+FT_Int1*41,FT_Y5+FT_Int2*(41-FT_PreY5))</f>
        <v>165</v>
      </c>
      <c r="J61" s="14" t="str">
        <f aca="false">INT(I61/12)&amp;"y "&amp;MOD(I61,12)&amp;"m"</f>
        <v>13y 9m</v>
      </c>
      <c r="K61" s="12" t="str">
        <f aca="false">IF(OR($C$6&lt;&gt;"Yes",$C$8=""),"",EDATE($C$8,I61))</f>
        <v/>
      </c>
      <c r="L61" s="14" t="str">
        <f aca="false">IF(K61="","",IF($C$16=0,$C$9,IF(AND($C$14&lt;&gt;"",K61&gt;=$C$14),$C$15,IF(AND($C$12&lt;&gt;"",K61&gt;=$C$12),$C$13,$C$11))))</f>
        <v/>
      </c>
      <c r="M61" s="14" t="str">
        <f aca="false">IF(K61="","",IF(OR(ISNUMBER(SEARCH("full",L61)),UPPER(TRIM(L61))="FT",UPPER(TRIM(L61))="FTE"),"FT",IF(AND(OR(ISNUMBER(SEARCH("part",L61)),UPPER(TRIM(L61))="PT",UPPER(TRIM(L61))="PTE"),OR($C$10="",N($C$10)&gt;=PT_MinHours)),"PT","None")))</f>
        <v/>
      </c>
      <c r="N61" s="14" t="n">
        <f aca="false">IF(I61&lt;FT_Y5,1,IF(MOD(I61-FT_Y5,12)=0,FT_AnnivDays,1))</f>
        <v>1</v>
      </c>
      <c r="O61" s="14" t="str">
        <f aca="false">IF(K61="","",IF(AND(M61="FT",K61&lt;=AsOfDate),N61,0))</f>
        <v/>
      </c>
      <c r="Q61" s="14" t="n">
        <v>42</v>
      </c>
      <c r="R61" s="14" t="n">
        <f aca="false">PT_First+PT_Int*41</f>
        <v>224</v>
      </c>
      <c r="S61" s="14" t="str">
        <f aca="false">INT(R61/12)&amp;"y "&amp;MOD(R61,12)&amp;"m"</f>
        <v>18y 8m</v>
      </c>
      <c r="T61" s="12" t="str">
        <f aca="false">IF(OR($C$6&lt;&gt;"Yes",$C$8=""),"",EDATE($C$8,R61))</f>
        <v/>
      </c>
      <c r="U61" s="14" t="str">
        <f aca="false">IF(T61="","",IF($C$16=0,$C$9,IF(AND($C$14&lt;&gt;"",T61&gt;=$C$14),$C$15,IF(AND($C$12&lt;&gt;"",T61&gt;=$C$12),$C$13,$C$11))))</f>
        <v/>
      </c>
      <c r="V61" s="14" t="str">
        <f aca="false">IF(T61="","",IF(OR(ISNUMBER(SEARCH("full",U61)),UPPER(TRIM(U61))="FT",UPPER(TRIM(U61))="FTE"),"FT",IF(AND(OR(ISNUMBER(SEARCH("part",U61)),UPPER(TRIM(U61))="PT",UPPER(TRIM(U61))="PTE"),OR($C$10="",N($C$10)&gt;=PT_MinHours)),"PT","None")))</f>
        <v/>
      </c>
      <c r="W61" s="14" t="n">
        <v>1</v>
      </c>
      <c r="X61" s="14" t="str">
        <f aca="false">IF(T61="","",IF(AND(V61="PT",T61&lt;=AsOfDate),W61,0))</f>
        <v/>
      </c>
      <c r="Z61" s="17" t="n">
        <f aca="false">I61</f>
        <v>165</v>
      </c>
      <c r="AA61" s="17" t="n">
        <f aca="false">SMALL($Z$20:$Z$199,42)</f>
        <v>120</v>
      </c>
      <c r="AB61" s="17" t="str">
        <f aca="false">IF(42-COUNTIF($Z$20:$Z$199,"&lt;"&amp;AA61)=1,IF(COUNTIF($I$20:$I$109,AA61)&gt;0,"FT","PT"),"PT")</f>
        <v>FT</v>
      </c>
      <c r="AC61" s="17" t="n">
        <f aca="false">IF(AB61="FT",INDEX($N$20:$N$109,MATCH(AA61,$I$20:$I$109,0)),1)</f>
        <v>2</v>
      </c>
    </row>
    <row r="62" customFormat="false" ht="15" hidden="false" customHeight="false" outlineLevel="0" collapsed="false">
      <c r="H62" s="14" t="n">
        <v>43</v>
      </c>
      <c r="I62" s="14" t="n">
        <f aca="false">IF(42&lt;FT_PreY5,FT_First+FT_Int1*42,FT_Y5+FT_Int2*(42-FT_PreY5))</f>
        <v>168</v>
      </c>
      <c r="J62" s="14" t="str">
        <f aca="false">INT(I62/12)&amp;"y "&amp;MOD(I62,12)&amp;"m"</f>
        <v>14y 0m</v>
      </c>
      <c r="K62" s="12" t="str">
        <f aca="false">IF(OR($C$6&lt;&gt;"Yes",$C$8=""),"",EDATE($C$8,I62))</f>
        <v/>
      </c>
      <c r="L62" s="14" t="str">
        <f aca="false">IF(K62="","",IF($C$16=0,$C$9,IF(AND($C$14&lt;&gt;"",K62&gt;=$C$14),$C$15,IF(AND($C$12&lt;&gt;"",K62&gt;=$C$12),$C$13,$C$11))))</f>
        <v/>
      </c>
      <c r="M62" s="14" t="str">
        <f aca="false">IF(K62="","",IF(OR(ISNUMBER(SEARCH("full",L62)),UPPER(TRIM(L62))="FT",UPPER(TRIM(L62))="FTE"),"FT",IF(AND(OR(ISNUMBER(SEARCH("part",L62)),UPPER(TRIM(L62))="PT",UPPER(TRIM(L62))="PTE"),OR($C$10="",N($C$10)&gt;=PT_MinHours)),"PT","None")))</f>
        <v/>
      </c>
      <c r="N62" s="14" t="n">
        <f aca="false">IF(I62&lt;FT_Y5,1,IF(MOD(I62-FT_Y5,12)=0,FT_AnnivDays,1))</f>
        <v>2</v>
      </c>
      <c r="O62" s="14" t="str">
        <f aca="false">IF(K62="","",IF(AND(M62="FT",K62&lt;=AsOfDate),N62,0))</f>
        <v/>
      </c>
      <c r="Q62" s="14" t="n">
        <v>43</v>
      </c>
      <c r="R62" s="14" t="n">
        <f aca="false">PT_First+PT_Int*42</f>
        <v>228</v>
      </c>
      <c r="S62" s="14" t="str">
        <f aca="false">INT(R62/12)&amp;"y "&amp;MOD(R62,12)&amp;"m"</f>
        <v>19y 0m</v>
      </c>
      <c r="T62" s="12" t="str">
        <f aca="false">IF(OR($C$6&lt;&gt;"Yes",$C$8=""),"",EDATE($C$8,R62))</f>
        <v/>
      </c>
      <c r="U62" s="14" t="str">
        <f aca="false">IF(T62="","",IF($C$16=0,$C$9,IF(AND($C$14&lt;&gt;"",T62&gt;=$C$14),$C$15,IF(AND($C$12&lt;&gt;"",T62&gt;=$C$12),$C$13,$C$11))))</f>
        <v/>
      </c>
      <c r="V62" s="14" t="str">
        <f aca="false">IF(T62="","",IF(OR(ISNUMBER(SEARCH("full",U62)),UPPER(TRIM(U62))="FT",UPPER(TRIM(U62))="FTE"),"FT",IF(AND(OR(ISNUMBER(SEARCH("part",U62)),UPPER(TRIM(U62))="PT",UPPER(TRIM(U62))="PTE"),OR($C$10="",N($C$10)&gt;=PT_MinHours)),"PT","None")))</f>
        <v/>
      </c>
      <c r="W62" s="14" t="n">
        <v>1</v>
      </c>
      <c r="X62" s="14" t="str">
        <f aca="false">IF(T62="","",IF(AND(V62="PT",T62&lt;=AsOfDate),W62,0))</f>
        <v/>
      </c>
      <c r="Z62" s="17" t="n">
        <f aca="false">I62</f>
        <v>168</v>
      </c>
      <c r="AA62" s="17" t="n">
        <f aca="false">SMALL($Z$20:$Z$199,43)</f>
        <v>120</v>
      </c>
      <c r="AB62" s="17" t="str">
        <f aca="false">IF(43-COUNTIF($Z$20:$Z$199,"&lt;"&amp;AA62)=1,IF(COUNTIF($I$20:$I$109,AA62)&gt;0,"FT","PT"),"PT")</f>
        <v>PT</v>
      </c>
      <c r="AC62" s="17" t="n">
        <f aca="false">IF(AB62="FT",INDEX($N$20:$N$109,MATCH(AA62,$I$20:$I$109,0)),1)</f>
        <v>1</v>
      </c>
    </row>
    <row r="63" customFormat="false" ht="15" hidden="false" customHeight="false" outlineLevel="0" collapsed="false">
      <c r="H63" s="14" t="n">
        <v>44</v>
      </c>
      <c r="I63" s="14" t="n">
        <f aca="false">IF(43&lt;FT_PreY5,FT_First+FT_Int1*43,FT_Y5+FT_Int2*(43-FT_PreY5))</f>
        <v>171</v>
      </c>
      <c r="J63" s="14" t="str">
        <f aca="false">INT(I63/12)&amp;"y "&amp;MOD(I63,12)&amp;"m"</f>
        <v>14y 3m</v>
      </c>
      <c r="K63" s="12" t="str">
        <f aca="false">IF(OR($C$6&lt;&gt;"Yes",$C$8=""),"",EDATE($C$8,I63))</f>
        <v/>
      </c>
      <c r="L63" s="14" t="str">
        <f aca="false">IF(K63="","",IF($C$16=0,$C$9,IF(AND($C$14&lt;&gt;"",K63&gt;=$C$14),$C$15,IF(AND($C$12&lt;&gt;"",K63&gt;=$C$12),$C$13,$C$11))))</f>
        <v/>
      </c>
      <c r="M63" s="14" t="str">
        <f aca="false">IF(K63="","",IF(OR(ISNUMBER(SEARCH("full",L63)),UPPER(TRIM(L63))="FT",UPPER(TRIM(L63))="FTE"),"FT",IF(AND(OR(ISNUMBER(SEARCH("part",L63)),UPPER(TRIM(L63))="PT",UPPER(TRIM(L63))="PTE"),OR($C$10="",N($C$10)&gt;=PT_MinHours)),"PT","None")))</f>
        <v/>
      </c>
      <c r="N63" s="14" t="n">
        <f aca="false">IF(I63&lt;FT_Y5,1,IF(MOD(I63-FT_Y5,12)=0,FT_AnnivDays,1))</f>
        <v>1</v>
      </c>
      <c r="O63" s="14" t="str">
        <f aca="false">IF(K63="","",IF(AND(M63="FT",K63&lt;=AsOfDate),N63,0))</f>
        <v/>
      </c>
      <c r="Q63" s="14" t="n">
        <v>44</v>
      </c>
      <c r="R63" s="14" t="n">
        <f aca="false">PT_First+PT_Int*43</f>
        <v>232</v>
      </c>
      <c r="S63" s="14" t="str">
        <f aca="false">INT(R63/12)&amp;"y "&amp;MOD(R63,12)&amp;"m"</f>
        <v>19y 4m</v>
      </c>
      <c r="T63" s="12" t="str">
        <f aca="false">IF(OR($C$6&lt;&gt;"Yes",$C$8=""),"",EDATE($C$8,R63))</f>
        <v/>
      </c>
      <c r="U63" s="14" t="str">
        <f aca="false">IF(T63="","",IF($C$16=0,$C$9,IF(AND($C$14&lt;&gt;"",T63&gt;=$C$14),$C$15,IF(AND($C$12&lt;&gt;"",T63&gt;=$C$12),$C$13,$C$11))))</f>
        <v/>
      </c>
      <c r="V63" s="14" t="str">
        <f aca="false">IF(T63="","",IF(OR(ISNUMBER(SEARCH("full",U63)),UPPER(TRIM(U63))="FT",UPPER(TRIM(U63))="FTE"),"FT",IF(AND(OR(ISNUMBER(SEARCH("part",U63)),UPPER(TRIM(U63))="PT",UPPER(TRIM(U63))="PTE"),OR($C$10="",N($C$10)&gt;=PT_MinHours)),"PT","None")))</f>
        <v/>
      </c>
      <c r="W63" s="14" t="n">
        <v>1</v>
      </c>
      <c r="X63" s="14" t="str">
        <f aca="false">IF(T63="","",IF(AND(V63="PT",T63&lt;=AsOfDate),W63,0))</f>
        <v/>
      </c>
      <c r="Z63" s="17" t="n">
        <f aca="false">I63</f>
        <v>171</v>
      </c>
      <c r="AA63" s="17" t="n">
        <f aca="false">SMALL($Z$20:$Z$199,44)</f>
        <v>123</v>
      </c>
      <c r="AB63" s="17" t="str">
        <f aca="false">IF(44-COUNTIF($Z$20:$Z$199,"&lt;"&amp;AA63)=1,IF(COUNTIF($I$20:$I$109,AA63)&gt;0,"FT","PT"),"PT")</f>
        <v>FT</v>
      </c>
      <c r="AC63" s="17" t="n">
        <f aca="false">IF(AB63="FT",INDEX($N$20:$N$109,MATCH(AA63,$I$20:$I$109,0)),1)</f>
        <v>1</v>
      </c>
    </row>
    <row r="64" customFormat="false" ht="15" hidden="false" customHeight="false" outlineLevel="0" collapsed="false">
      <c r="H64" s="14" t="n">
        <v>45</v>
      </c>
      <c r="I64" s="14" t="n">
        <f aca="false">IF(44&lt;FT_PreY5,FT_First+FT_Int1*44,FT_Y5+FT_Int2*(44-FT_PreY5))</f>
        <v>174</v>
      </c>
      <c r="J64" s="14" t="str">
        <f aca="false">INT(I64/12)&amp;"y "&amp;MOD(I64,12)&amp;"m"</f>
        <v>14y 6m</v>
      </c>
      <c r="K64" s="12" t="str">
        <f aca="false">IF(OR($C$6&lt;&gt;"Yes",$C$8=""),"",EDATE($C$8,I64))</f>
        <v/>
      </c>
      <c r="L64" s="14" t="str">
        <f aca="false">IF(K64="","",IF($C$16=0,$C$9,IF(AND($C$14&lt;&gt;"",K64&gt;=$C$14),$C$15,IF(AND($C$12&lt;&gt;"",K64&gt;=$C$12),$C$13,$C$11))))</f>
        <v/>
      </c>
      <c r="M64" s="14" t="str">
        <f aca="false">IF(K64="","",IF(OR(ISNUMBER(SEARCH("full",L64)),UPPER(TRIM(L64))="FT",UPPER(TRIM(L64))="FTE"),"FT",IF(AND(OR(ISNUMBER(SEARCH("part",L64)),UPPER(TRIM(L64))="PT",UPPER(TRIM(L64))="PTE"),OR($C$10="",N($C$10)&gt;=PT_MinHours)),"PT","None")))</f>
        <v/>
      </c>
      <c r="N64" s="14" t="n">
        <f aca="false">IF(I64&lt;FT_Y5,1,IF(MOD(I64-FT_Y5,12)=0,FT_AnnivDays,1))</f>
        <v>1</v>
      </c>
      <c r="O64" s="14" t="str">
        <f aca="false">IF(K64="","",IF(AND(M64="FT",K64&lt;=AsOfDate),N64,0))</f>
        <v/>
      </c>
      <c r="Q64" s="14" t="n">
        <v>45</v>
      </c>
      <c r="R64" s="14" t="n">
        <f aca="false">PT_First+PT_Int*44</f>
        <v>236</v>
      </c>
      <c r="S64" s="14" t="str">
        <f aca="false">INT(R64/12)&amp;"y "&amp;MOD(R64,12)&amp;"m"</f>
        <v>19y 8m</v>
      </c>
      <c r="T64" s="12" t="str">
        <f aca="false">IF(OR($C$6&lt;&gt;"Yes",$C$8=""),"",EDATE($C$8,R64))</f>
        <v/>
      </c>
      <c r="U64" s="14" t="str">
        <f aca="false">IF(T64="","",IF($C$16=0,$C$9,IF(AND($C$14&lt;&gt;"",T64&gt;=$C$14),$C$15,IF(AND($C$12&lt;&gt;"",T64&gt;=$C$12),$C$13,$C$11))))</f>
        <v/>
      </c>
      <c r="V64" s="14" t="str">
        <f aca="false">IF(T64="","",IF(OR(ISNUMBER(SEARCH("full",U64)),UPPER(TRIM(U64))="FT",UPPER(TRIM(U64))="FTE"),"FT",IF(AND(OR(ISNUMBER(SEARCH("part",U64)),UPPER(TRIM(U64))="PT",UPPER(TRIM(U64))="PTE"),OR($C$10="",N($C$10)&gt;=PT_MinHours)),"PT","None")))</f>
        <v/>
      </c>
      <c r="W64" s="14" t="n">
        <v>1</v>
      </c>
      <c r="X64" s="14" t="str">
        <f aca="false">IF(T64="","",IF(AND(V64="PT",T64&lt;=AsOfDate),W64,0))</f>
        <v/>
      </c>
      <c r="Z64" s="17" t="n">
        <f aca="false">I64</f>
        <v>174</v>
      </c>
      <c r="AA64" s="17" t="n">
        <f aca="false">SMALL($Z$20:$Z$199,45)</f>
        <v>124</v>
      </c>
      <c r="AB64" s="17" t="str">
        <f aca="false">IF(45-COUNTIF($Z$20:$Z$199,"&lt;"&amp;AA64)=1,IF(COUNTIF($I$20:$I$109,AA64)&gt;0,"FT","PT"),"PT")</f>
        <v>PT</v>
      </c>
      <c r="AC64" s="17" t="n">
        <f aca="false">IF(AB64="FT",INDEX($N$20:$N$109,MATCH(AA64,$I$20:$I$109,0)),1)</f>
        <v>1</v>
      </c>
    </row>
    <row r="65" customFormat="false" ht="15" hidden="false" customHeight="false" outlineLevel="0" collapsed="false">
      <c r="H65" s="14" t="n">
        <v>46</v>
      </c>
      <c r="I65" s="14" t="n">
        <f aca="false">IF(45&lt;FT_PreY5,FT_First+FT_Int1*45,FT_Y5+FT_Int2*(45-FT_PreY5))</f>
        <v>177</v>
      </c>
      <c r="J65" s="14" t="str">
        <f aca="false">INT(I65/12)&amp;"y "&amp;MOD(I65,12)&amp;"m"</f>
        <v>14y 9m</v>
      </c>
      <c r="K65" s="12" t="str">
        <f aca="false">IF(OR($C$6&lt;&gt;"Yes",$C$8=""),"",EDATE($C$8,I65))</f>
        <v/>
      </c>
      <c r="L65" s="14" t="str">
        <f aca="false">IF(K65="","",IF($C$16=0,$C$9,IF(AND($C$14&lt;&gt;"",K65&gt;=$C$14),$C$15,IF(AND($C$12&lt;&gt;"",K65&gt;=$C$12),$C$13,$C$11))))</f>
        <v/>
      </c>
      <c r="M65" s="14" t="str">
        <f aca="false">IF(K65="","",IF(OR(ISNUMBER(SEARCH("full",L65)),UPPER(TRIM(L65))="FT",UPPER(TRIM(L65))="FTE"),"FT",IF(AND(OR(ISNUMBER(SEARCH("part",L65)),UPPER(TRIM(L65))="PT",UPPER(TRIM(L65))="PTE"),OR($C$10="",N($C$10)&gt;=PT_MinHours)),"PT","None")))</f>
        <v/>
      </c>
      <c r="N65" s="14" t="n">
        <f aca="false">IF(I65&lt;FT_Y5,1,IF(MOD(I65-FT_Y5,12)=0,FT_AnnivDays,1))</f>
        <v>1</v>
      </c>
      <c r="O65" s="14" t="str">
        <f aca="false">IF(K65="","",IF(AND(M65="FT",K65&lt;=AsOfDate),N65,0))</f>
        <v/>
      </c>
      <c r="Q65" s="14" t="n">
        <v>46</v>
      </c>
      <c r="R65" s="14" t="n">
        <f aca="false">PT_First+PT_Int*45</f>
        <v>240</v>
      </c>
      <c r="S65" s="14" t="str">
        <f aca="false">INT(R65/12)&amp;"y "&amp;MOD(R65,12)&amp;"m"</f>
        <v>20y 0m</v>
      </c>
      <c r="T65" s="12" t="str">
        <f aca="false">IF(OR($C$6&lt;&gt;"Yes",$C$8=""),"",EDATE($C$8,R65))</f>
        <v/>
      </c>
      <c r="U65" s="14" t="str">
        <f aca="false">IF(T65="","",IF($C$16=0,$C$9,IF(AND($C$14&lt;&gt;"",T65&gt;=$C$14),$C$15,IF(AND($C$12&lt;&gt;"",T65&gt;=$C$12),$C$13,$C$11))))</f>
        <v/>
      </c>
      <c r="V65" s="14" t="str">
        <f aca="false">IF(T65="","",IF(OR(ISNUMBER(SEARCH("full",U65)),UPPER(TRIM(U65))="FT",UPPER(TRIM(U65))="FTE"),"FT",IF(AND(OR(ISNUMBER(SEARCH("part",U65)),UPPER(TRIM(U65))="PT",UPPER(TRIM(U65))="PTE"),OR($C$10="",N($C$10)&gt;=PT_MinHours)),"PT","None")))</f>
        <v/>
      </c>
      <c r="W65" s="14" t="n">
        <v>1</v>
      </c>
      <c r="X65" s="14" t="str">
        <f aca="false">IF(T65="","",IF(AND(V65="PT",T65&lt;=AsOfDate),W65,0))</f>
        <v/>
      </c>
      <c r="Z65" s="17" t="n">
        <f aca="false">I65</f>
        <v>177</v>
      </c>
      <c r="AA65" s="17" t="n">
        <f aca="false">SMALL($Z$20:$Z$199,46)</f>
        <v>126</v>
      </c>
      <c r="AB65" s="17" t="str">
        <f aca="false">IF(46-COUNTIF($Z$20:$Z$199,"&lt;"&amp;AA65)=1,IF(COUNTIF($I$20:$I$109,AA65)&gt;0,"FT","PT"),"PT")</f>
        <v>FT</v>
      </c>
      <c r="AC65" s="17" t="n">
        <f aca="false">IF(AB65="FT",INDEX($N$20:$N$109,MATCH(AA65,$I$20:$I$109,0)),1)</f>
        <v>1</v>
      </c>
    </row>
    <row r="66" customFormat="false" ht="15" hidden="false" customHeight="false" outlineLevel="0" collapsed="false">
      <c r="H66" s="14" t="n">
        <v>47</v>
      </c>
      <c r="I66" s="14" t="n">
        <f aca="false">IF(46&lt;FT_PreY5,FT_First+FT_Int1*46,FT_Y5+FT_Int2*(46-FT_PreY5))</f>
        <v>180</v>
      </c>
      <c r="J66" s="14" t="str">
        <f aca="false">INT(I66/12)&amp;"y "&amp;MOD(I66,12)&amp;"m"</f>
        <v>15y 0m</v>
      </c>
      <c r="K66" s="12" t="str">
        <f aca="false">IF(OR($C$6&lt;&gt;"Yes",$C$8=""),"",EDATE($C$8,I66))</f>
        <v/>
      </c>
      <c r="L66" s="14" t="str">
        <f aca="false">IF(K66="","",IF($C$16=0,$C$9,IF(AND($C$14&lt;&gt;"",K66&gt;=$C$14),$C$15,IF(AND($C$12&lt;&gt;"",K66&gt;=$C$12),$C$13,$C$11))))</f>
        <v/>
      </c>
      <c r="M66" s="14" t="str">
        <f aca="false">IF(K66="","",IF(OR(ISNUMBER(SEARCH("full",L66)),UPPER(TRIM(L66))="FT",UPPER(TRIM(L66))="FTE"),"FT",IF(AND(OR(ISNUMBER(SEARCH("part",L66)),UPPER(TRIM(L66))="PT",UPPER(TRIM(L66))="PTE"),OR($C$10="",N($C$10)&gt;=PT_MinHours)),"PT","None")))</f>
        <v/>
      </c>
      <c r="N66" s="14" t="n">
        <f aca="false">IF(I66&lt;FT_Y5,1,IF(MOD(I66-FT_Y5,12)=0,FT_AnnivDays,1))</f>
        <v>2</v>
      </c>
      <c r="O66" s="14" t="str">
        <f aca="false">IF(K66="","",IF(AND(M66="FT",K66&lt;=AsOfDate),N66,0))</f>
        <v/>
      </c>
      <c r="Q66" s="14" t="n">
        <v>47</v>
      </c>
      <c r="R66" s="14" t="n">
        <f aca="false">PT_First+PT_Int*46</f>
        <v>244</v>
      </c>
      <c r="S66" s="14" t="str">
        <f aca="false">INT(R66/12)&amp;"y "&amp;MOD(R66,12)&amp;"m"</f>
        <v>20y 4m</v>
      </c>
      <c r="T66" s="12" t="str">
        <f aca="false">IF(OR($C$6&lt;&gt;"Yes",$C$8=""),"",EDATE($C$8,R66))</f>
        <v/>
      </c>
      <c r="U66" s="14" t="str">
        <f aca="false">IF(T66="","",IF($C$16=0,$C$9,IF(AND($C$14&lt;&gt;"",T66&gt;=$C$14),$C$15,IF(AND($C$12&lt;&gt;"",T66&gt;=$C$12),$C$13,$C$11))))</f>
        <v/>
      </c>
      <c r="V66" s="14" t="str">
        <f aca="false">IF(T66="","",IF(OR(ISNUMBER(SEARCH("full",U66)),UPPER(TRIM(U66))="FT",UPPER(TRIM(U66))="FTE"),"FT",IF(AND(OR(ISNUMBER(SEARCH("part",U66)),UPPER(TRIM(U66))="PT",UPPER(TRIM(U66))="PTE"),OR($C$10="",N($C$10)&gt;=PT_MinHours)),"PT","None")))</f>
        <v/>
      </c>
      <c r="W66" s="14" t="n">
        <v>1</v>
      </c>
      <c r="X66" s="14" t="str">
        <f aca="false">IF(T66="","",IF(AND(V66="PT",T66&lt;=AsOfDate),W66,0))</f>
        <v/>
      </c>
      <c r="Z66" s="17" t="n">
        <f aca="false">I66</f>
        <v>180</v>
      </c>
      <c r="AA66" s="17" t="n">
        <f aca="false">SMALL($Z$20:$Z$199,47)</f>
        <v>128</v>
      </c>
      <c r="AB66" s="17" t="str">
        <f aca="false">IF(47-COUNTIF($Z$20:$Z$199,"&lt;"&amp;AA66)=1,IF(COUNTIF($I$20:$I$109,AA66)&gt;0,"FT","PT"),"PT")</f>
        <v>PT</v>
      </c>
      <c r="AC66" s="17" t="n">
        <f aca="false">IF(AB66="FT",INDEX($N$20:$N$109,MATCH(AA66,$I$20:$I$109,0)),1)</f>
        <v>1</v>
      </c>
    </row>
    <row r="67" customFormat="false" ht="15" hidden="false" customHeight="false" outlineLevel="0" collapsed="false">
      <c r="H67" s="14" t="n">
        <v>48</v>
      </c>
      <c r="I67" s="14" t="n">
        <f aca="false">IF(47&lt;FT_PreY5,FT_First+FT_Int1*47,FT_Y5+FT_Int2*(47-FT_PreY5))</f>
        <v>183</v>
      </c>
      <c r="J67" s="14" t="str">
        <f aca="false">INT(I67/12)&amp;"y "&amp;MOD(I67,12)&amp;"m"</f>
        <v>15y 3m</v>
      </c>
      <c r="K67" s="12" t="str">
        <f aca="false">IF(OR($C$6&lt;&gt;"Yes",$C$8=""),"",EDATE($C$8,I67))</f>
        <v/>
      </c>
      <c r="L67" s="14" t="str">
        <f aca="false">IF(K67="","",IF($C$16=0,$C$9,IF(AND($C$14&lt;&gt;"",K67&gt;=$C$14),$C$15,IF(AND($C$12&lt;&gt;"",K67&gt;=$C$12),$C$13,$C$11))))</f>
        <v/>
      </c>
      <c r="M67" s="14" t="str">
        <f aca="false">IF(K67="","",IF(OR(ISNUMBER(SEARCH("full",L67)),UPPER(TRIM(L67))="FT",UPPER(TRIM(L67))="FTE"),"FT",IF(AND(OR(ISNUMBER(SEARCH("part",L67)),UPPER(TRIM(L67))="PT",UPPER(TRIM(L67))="PTE"),OR($C$10="",N($C$10)&gt;=PT_MinHours)),"PT","None")))</f>
        <v/>
      </c>
      <c r="N67" s="14" t="n">
        <f aca="false">IF(I67&lt;FT_Y5,1,IF(MOD(I67-FT_Y5,12)=0,FT_AnnivDays,1))</f>
        <v>1</v>
      </c>
      <c r="O67" s="14" t="str">
        <f aca="false">IF(K67="","",IF(AND(M67="FT",K67&lt;=AsOfDate),N67,0))</f>
        <v/>
      </c>
      <c r="Q67" s="14" t="n">
        <v>48</v>
      </c>
      <c r="R67" s="14" t="n">
        <f aca="false">PT_First+PT_Int*47</f>
        <v>248</v>
      </c>
      <c r="S67" s="14" t="str">
        <f aca="false">INT(R67/12)&amp;"y "&amp;MOD(R67,12)&amp;"m"</f>
        <v>20y 8m</v>
      </c>
      <c r="T67" s="12" t="str">
        <f aca="false">IF(OR($C$6&lt;&gt;"Yes",$C$8=""),"",EDATE($C$8,R67))</f>
        <v/>
      </c>
      <c r="U67" s="14" t="str">
        <f aca="false">IF(T67="","",IF($C$16=0,$C$9,IF(AND($C$14&lt;&gt;"",T67&gt;=$C$14),$C$15,IF(AND($C$12&lt;&gt;"",T67&gt;=$C$12),$C$13,$C$11))))</f>
        <v/>
      </c>
      <c r="V67" s="14" t="str">
        <f aca="false">IF(T67="","",IF(OR(ISNUMBER(SEARCH("full",U67)),UPPER(TRIM(U67))="FT",UPPER(TRIM(U67))="FTE"),"FT",IF(AND(OR(ISNUMBER(SEARCH("part",U67)),UPPER(TRIM(U67))="PT",UPPER(TRIM(U67))="PTE"),OR($C$10="",N($C$10)&gt;=PT_MinHours)),"PT","None")))</f>
        <v/>
      </c>
      <c r="W67" s="14" t="n">
        <v>1</v>
      </c>
      <c r="X67" s="14" t="str">
        <f aca="false">IF(T67="","",IF(AND(V67="PT",T67&lt;=AsOfDate),W67,0))</f>
        <v/>
      </c>
      <c r="Z67" s="17" t="n">
        <f aca="false">I67</f>
        <v>183</v>
      </c>
      <c r="AA67" s="17" t="n">
        <f aca="false">SMALL($Z$20:$Z$199,48)</f>
        <v>129</v>
      </c>
      <c r="AB67" s="17" t="str">
        <f aca="false">IF(48-COUNTIF($Z$20:$Z$199,"&lt;"&amp;AA67)=1,IF(COUNTIF($I$20:$I$109,AA67)&gt;0,"FT","PT"),"PT")</f>
        <v>FT</v>
      </c>
      <c r="AC67" s="17" t="n">
        <f aca="false">IF(AB67="FT",INDEX($N$20:$N$109,MATCH(AA67,$I$20:$I$109,0)),1)</f>
        <v>1</v>
      </c>
    </row>
    <row r="68" customFormat="false" ht="15" hidden="false" customHeight="false" outlineLevel="0" collapsed="false">
      <c r="H68" s="14" t="n">
        <v>49</v>
      </c>
      <c r="I68" s="14" t="n">
        <f aca="false">IF(48&lt;FT_PreY5,FT_First+FT_Int1*48,FT_Y5+FT_Int2*(48-FT_PreY5))</f>
        <v>186</v>
      </c>
      <c r="J68" s="14" t="str">
        <f aca="false">INT(I68/12)&amp;"y "&amp;MOD(I68,12)&amp;"m"</f>
        <v>15y 6m</v>
      </c>
      <c r="K68" s="12" t="str">
        <f aca="false">IF(OR($C$6&lt;&gt;"Yes",$C$8=""),"",EDATE($C$8,I68))</f>
        <v/>
      </c>
      <c r="L68" s="14" t="str">
        <f aca="false">IF(K68="","",IF($C$16=0,$C$9,IF(AND($C$14&lt;&gt;"",K68&gt;=$C$14),$C$15,IF(AND($C$12&lt;&gt;"",K68&gt;=$C$12),$C$13,$C$11))))</f>
        <v/>
      </c>
      <c r="M68" s="14" t="str">
        <f aca="false">IF(K68="","",IF(OR(ISNUMBER(SEARCH("full",L68)),UPPER(TRIM(L68))="FT",UPPER(TRIM(L68))="FTE"),"FT",IF(AND(OR(ISNUMBER(SEARCH("part",L68)),UPPER(TRIM(L68))="PT",UPPER(TRIM(L68))="PTE"),OR($C$10="",N($C$10)&gt;=PT_MinHours)),"PT","None")))</f>
        <v/>
      </c>
      <c r="N68" s="14" t="n">
        <f aca="false">IF(I68&lt;FT_Y5,1,IF(MOD(I68-FT_Y5,12)=0,FT_AnnivDays,1))</f>
        <v>1</v>
      </c>
      <c r="O68" s="14" t="str">
        <f aca="false">IF(K68="","",IF(AND(M68="FT",K68&lt;=AsOfDate),N68,0))</f>
        <v/>
      </c>
      <c r="Q68" s="14" t="n">
        <v>49</v>
      </c>
      <c r="R68" s="14" t="n">
        <f aca="false">PT_First+PT_Int*48</f>
        <v>252</v>
      </c>
      <c r="S68" s="14" t="str">
        <f aca="false">INT(R68/12)&amp;"y "&amp;MOD(R68,12)&amp;"m"</f>
        <v>21y 0m</v>
      </c>
      <c r="T68" s="12" t="str">
        <f aca="false">IF(OR($C$6&lt;&gt;"Yes",$C$8=""),"",EDATE($C$8,R68))</f>
        <v/>
      </c>
      <c r="U68" s="14" t="str">
        <f aca="false">IF(T68="","",IF($C$16=0,$C$9,IF(AND($C$14&lt;&gt;"",T68&gt;=$C$14),$C$15,IF(AND($C$12&lt;&gt;"",T68&gt;=$C$12),$C$13,$C$11))))</f>
        <v/>
      </c>
      <c r="V68" s="14" t="str">
        <f aca="false">IF(T68="","",IF(OR(ISNUMBER(SEARCH("full",U68)),UPPER(TRIM(U68))="FT",UPPER(TRIM(U68))="FTE"),"FT",IF(AND(OR(ISNUMBER(SEARCH("part",U68)),UPPER(TRIM(U68))="PT",UPPER(TRIM(U68))="PTE"),OR($C$10="",N($C$10)&gt;=PT_MinHours)),"PT","None")))</f>
        <v/>
      </c>
      <c r="W68" s="14" t="n">
        <v>1</v>
      </c>
      <c r="X68" s="14" t="str">
        <f aca="false">IF(T68="","",IF(AND(V68="PT",T68&lt;=AsOfDate),W68,0))</f>
        <v/>
      </c>
      <c r="Z68" s="17" t="n">
        <f aca="false">I68</f>
        <v>186</v>
      </c>
      <c r="AA68" s="17" t="n">
        <f aca="false">SMALL($Z$20:$Z$199,49)</f>
        <v>132</v>
      </c>
      <c r="AB68" s="17" t="str">
        <f aca="false">IF(49-COUNTIF($Z$20:$Z$199,"&lt;"&amp;AA68)=1,IF(COUNTIF($I$20:$I$109,AA68)&gt;0,"FT","PT"),"PT")</f>
        <v>FT</v>
      </c>
      <c r="AC68" s="17" t="n">
        <f aca="false">IF(AB68="FT",INDEX($N$20:$N$109,MATCH(AA68,$I$20:$I$109,0)),1)</f>
        <v>2</v>
      </c>
    </row>
    <row r="69" customFormat="false" ht="15" hidden="false" customHeight="false" outlineLevel="0" collapsed="false">
      <c r="H69" s="14" t="n">
        <v>50</v>
      </c>
      <c r="I69" s="14" t="n">
        <f aca="false">IF(49&lt;FT_PreY5,FT_First+FT_Int1*49,FT_Y5+FT_Int2*(49-FT_PreY5))</f>
        <v>189</v>
      </c>
      <c r="J69" s="14" t="str">
        <f aca="false">INT(I69/12)&amp;"y "&amp;MOD(I69,12)&amp;"m"</f>
        <v>15y 9m</v>
      </c>
      <c r="K69" s="12" t="str">
        <f aca="false">IF(OR($C$6&lt;&gt;"Yes",$C$8=""),"",EDATE($C$8,I69))</f>
        <v/>
      </c>
      <c r="L69" s="14" t="str">
        <f aca="false">IF(K69="","",IF($C$16=0,$C$9,IF(AND($C$14&lt;&gt;"",K69&gt;=$C$14),$C$15,IF(AND($C$12&lt;&gt;"",K69&gt;=$C$12),$C$13,$C$11))))</f>
        <v/>
      </c>
      <c r="M69" s="14" t="str">
        <f aca="false">IF(K69="","",IF(OR(ISNUMBER(SEARCH("full",L69)),UPPER(TRIM(L69))="FT",UPPER(TRIM(L69))="FTE"),"FT",IF(AND(OR(ISNUMBER(SEARCH("part",L69)),UPPER(TRIM(L69))="PT",UPPER(TRIM(L69))="PTE"),OR($C$10="",N($C$10)&gt;=PT_MinHours)),"PT","None")))</f>
        <v/>
      </c>
      <c r="N69" s="14" t="n">
        <f aca="false">IF(I69&lt;FT_Y5,1,IF(MOD(I69-FT_Y5,12)=0,FT_AnnivDays,1))</f>
        <v>1</v>
      </c>
      <c r="O69" s="14" t="str">
        <f aca="false">IF(K69="","",IF(AND(M69="FT",K69&lt;=AsOfDate),N69,0))</f>
        <v/>
      </c>
      <c r="Q69" s="14" t="n">
        <v>50</v>
      </c>
      <c r="R69" s="14" t="n">
        <f aca="false">PT_First+PT_Int*49</f>
        <v>256</v>
      </c>
      <c r="S69" s="14" t="str">
        <f aca="false">INT(R69/12)&amp;"y "&amp;MOD(R69,12)&amp;"m"</f>
        <v>21y 4m</v>
      </c>
      <c r="T69" s="12" t="str">
        <f aca="false">IF(OR($C$6&lt;&gt;"Yes",$C$8=""),"",EDATE($C$8,R69))</f>
        <v/>
      </c>
      <c r="U69" s="14" t="str">
        <f aca="false">IF(T69="","",IF($C$16=0,$C$9,IF(AND($C$14&lt;&gt;"",T69&gt;=$C$14),$C$15,IF(AND($C$12&lt;&gt;"",T69&gt;=$C$12),$C$13,$C$11))))</f>
        <v/>
      </c>
      <c r="V69" s="14" t="str">
        <f aca="false">IF(T69="","",IF(OR(ISNUMBER(SEARCH("full",U69)),UPPER(TRIM(U69))="FT",UPPER(TRIM(U69))="FTE"),"FT",IF(AND(OR(ISNUMBER(SEARCH("part",U69)),UPPER(TRIM(U69))="PT",UPPER(TRIM(U69))="PTE"),OR($C$10="",N($C$10)&gt;=PT_MinHours)),"PT","None")))</f>
        <v/>
      </c>
      <c r="W69" s="14" t="n">
        <v>1</v>
      </c>
      <c r="X69" s="14" t="str">
        <f aca="false">IF(T69="","",IF(AND(V69="PT",T69&lt;=AsOfDate),W69,0))</f>
        <v/>
      </c>
      <c r="Z69" s="17" t="n">
        <f aca="false">I69</f>
        <v>189</v>
      </c>
      <c r="AA69" s="17" t="n">
        <f aca="false">SMALL($Z$20:$Z$199,50)</f>
        <v>132</v>
      </c>
      <c r="AB69" s="17" t="str">
        <f aca="false">IF(50-COUNTIF($Z$20:$Z$199,"&lt;"&amp;AA69)=1,IF(COUNTIF($I$20:$I$109,AA69)&gt;0,"FT","PT"),"PT")</f>
        <v>PT</v>
      </c>
      <c r="AC69" s="17" t="n">
        <f aca="false">IF(AB69="FT",INDEX($N$20:$N$109,MATCH(AA69,$I$20:$I$109,0)),1)</f>
        <v>1</v>
      </c>
    </row>
    <row r="70" customFormat="false" ht="15" hidden="false" customHeight="false" outlineLevel="0" collapsed="false">
      <c r="H70" s="14" t="n">
        <v>51</v>
      </c>
      <c r="I70" s="14" t="n">
        <f aca="false">IF(50&lt;FT_PreY5,FT_First+FT_Int1*50,FT_Y5+FT_Int2*(50-FT_PreY5))</f>
        <v>192</v>
      </c>
      <c r="J70" s="14" t="str">
        <f aca="false">INT(I70/12)&amp;"y "&amp;MOD(I70,12)&amp;"m"</f>
        <v>16y 0m</v>
      </c>
      <c r="K70" s="12" t="str">
        <f aca="false">IF(OR($C$6&lt;&gt;"Yes",$C$8=""),"",EDATE($C$8,I70))</f>
        <v/>
      </c>
      <c r="L70" s="14" t="str">
        <f aca="false">IF(K70="","",IF($C$16=0,$C$9,IF(AND($C$14&lt;&gt;"",K70&gt;=$C$14),$C$15,IF(AND($C$12&lt;&gt;"",K70&gt;=$C$12),$C$13,$C$11))))</f>
        <v/>
      </c>
      <c r="M70" s="14" t="str">
        <f aca="false">IF(K70="","",IF(OR(ISNUMBER(SEARCH("full",L70)),UPPER(TRIM(L70))="FT",UPPER(TRIM(L70))="FTE"),"FT",IF(AND(OR(ISNUMBER(SEARCH("part",L70)),UPPER(TRIM(L70))="PT",UPPER(TRIM(L70))="PTE"),OR($C$10="",N($C$10)&gt;=PT_MinHours)),"PT","None")))</f>
        <v/>
      </c>
      <c r="N70" s="14" t="n">
        <f aca="false">IF(I70&lt;FT_Y5,1,IF(MOD(I70-FT_Y5,12)=0,FT_AnnivDays,1))</f>
        <v>2</v>
      </c>
      <c r="O70" s="14" t="str">
        <f aca="false">IF(K70="","",IF(AND(M70="FT",K70&lt;=AsOfDate),N70,0))</f>
        <v/>
      </c>
      <c r="Q70" s="14" t="n">
        <v>51</v>
      </c>
      <c r="R70" s="14" t="n">
        <f aca="false">PT_First+PT_Int*50</f>
        <v>260</v>
      </c>
      <c r="S70" s="14" t="str">
        <f aca="false">INT(R70/12)&amp;"y "&amp;MOD(R70,12)&amp;"m"</f>
        <v>21y 8m</v>
      </c>
      <c r="T70" s="12" t="str">
        <f aca="false">IF(OR($C$6&lt;&gt;"Yes",$C$8=""),"",EDATE($C$8,R70))</f>
        <v/>
      </c>
      <c r="U70" s="14" t="str">
        <f aca="false">IF(T70="","",IF($C$16=0,$C$9,IF(AND($C$14&lt;&gt;"",T70&gt;=$C$14),$C$15,IF(AND($C$12&lt;&gt;"",T70&gt;=$C$12),$C$13,$C$11))))</f>
        <v/>
      </c>
      <c r="V70" s="14" t="str">
        <f aca="false">IF(T70="","",IF(OR(ISNUMBER(SEARCH("full",U70)),UPPER(TRIM(U70))="FT",UPPER(TRIM(U70))="FTE"),"FT",IF(AND(OR(ISNUMBER(SEARCH("part",U70)),UPPER(TRIM(U70))="PT",UPPER(TRIM(U70))="PTE"),OR($C$10="",N($C$10)&gt;=PT_MinHours)),"PT","None")))</f>
        <v/>
      </c>
      <c r="W70" s="14" t="n">
        <v>1</v>
      </c>
      <c r="X70" s="14" t="str">
        <f aca="false">IF(T70="","",IF(AND(V70="PT",T70&lt;=AsOfDate),W70,0))</f>
        <v/>
      </c>
      <c r="Z70" s="17" t="n">
        <f aca="false">I70</f>
        <v>192</v>
      </c>
      <c r="AA70" s="17" t="n">
        <f aca="false">SMALL($Z$20:$Z$199,51)</f>
        <v>135</v>
      </c>
      <c r="AB70" s="17" t="str">
        <f aca="false">IF(51-COUNTIF($Z$20:$Z$199,"&lt;"&amp;AA70)=1,IF(COUNTIF($I$20:$I$109,AA70)&gt;0,"FT","PT"),"PT")</f>
        <v>FT</v>
      </c>
      <c r="AC70" s="17" t="n">
        <f aca="false">IF(AB70="FT",INDEX($N$20:$N$109,MATCH(AA70,$I$20:$I$109,0)),1)</f>
        <v>1</v>
      </c>
    </row>
    <row r="71" customFormat="false" ht="15" hidden="false" customHeight="false" outlineLevel="0" collapsed="false">
      <c r="H71" s="14" t="n">
        <v>52</v>
      </c>
      <c r="I71" s="14" t="n">
        <f aca="false">IF(51&lt;FT_PreY5,FT_First+FT_Int1*51,FT_Y5+FT_Int2*(51-FT_PreY5))</f>
        <v>195</v>
      </c>
      <c r="J71" s="14" t="str">
        <f aca="false">INT(I71/12)&amp;"y "&amp;MOD(I71,12)&amp;"m"</f>
        <v>16y 3m</v>
      </c>
      <c r="K71" s="12" t="str">
        <f aca="false">IF(OR($C$6&lt;&gt;"Yes",$C$8=""),"",EDATE($C$8,I71))</f>
        <v/>
      </c>
      <c r="L71" s="14" t="str">
        <f aca="false">IF(K71="","",IF($C$16=0,$C$9,IF(AND($C$14&lt;&gt;"",K71&gt;=$C$14),$C$15,IF(AND($C$12&lt;&gt;"",K71&gt;=$C$12),$C$13,$C$11))))</f>
        <v/>
      </c>
      <c r="M71" s="14" t="str">
        <f aca="false">IF(K71="","",IF(OR(ISNUMBER(SEARCH("full",L71)),UPPER(TRIM(L71))="FT",UPPER(TRIM(L71))="FTE"),"FT",IF(AND(OR(ISNUMBER(SEARCH("part",L71)),UPPER(TRIM(L71))="PT",UPPER(TRIM(L71))="PTE"),OR($C$10="",N($C$10)&gt;=PT_MinHours)),"PT","None")))</f>
        <v/>
      </c>
      <c r="N71" s="14" t="n">
        <f aca="false">IF(I71&lt;FT_Y5,1,IF(MOD(I71-FT_Y5,12)=0,FT_AnnivDays,1))</f>
        <v>1</v>
      </c>
      <c r="O71" s="14" t="str">
        <f aca="false">IF(K71="","",IF(AND(M71="FT",K71&lt;=AsOfDate),N71,0))</f>
        <v/>
      </c>
      <c r="Q71" s="14" t="n">
        <v>52</v>
      </c>
      <c r="R71" s="14" t="n">
        <f aca="false">PT_First+PT_Int*51</f>
        <v>264</v>
      </c>
      <c r="S71" s="14" t="str">
        <f aca="false">INT(R71/12)&amp;"y "&amp;MOD(R71,12)&amp;"m"</f>
        <v>22y 0m</v>
      </c>
      <c r="T71" s="12" t="str">
        <f aca="false">IF(OR($C$6&lt;&gt;"Yes",$C$8=""),"",EDATE($C$8,R71))</f>
        <v/>
      </c>
      <c r="U71" s="14" t="str">
        <f aca="false">IF(T71="","",IF($C$16=0,$C$9,IF(AND($C$14&lt;&gt;"",T71&gt;=$C$14),$C$15,IF(AND($C$12&lt;&gt;"",T71&gt;=$C$12),$C$13,$C$11))))</f>
        <v/>
      </c>
      <c r="V71" s="14" t="str">
        <f aca="false">IF(T71="","",IF(OR(ISNUMBER(SEARCH("full",U71)),UPPER(TRIM(U71))="FT",UPPER(TRIM(U71))="FTE"),"FT",IF(AND(OR(ISNUMBER(SEARCH("part",U71)),UPPER(TRIM(U71))="PT",UPPER(TRIM(U71))="PTE"),OR($C$10="",N($C$10)&gt;=PT_MinHours)),"PT","None")))</f>
        <v/>
      </c>
      <c r="W71" s="14" t="n">
        <v>1</v>
      </c>
      <c r="X71" s="14" t="str">
        <f aca="false">IF(T71="","",IF(AND(V71="PT",T71&lt;=AsOfDate),W71,0))</f>
        <v/>
      </c>
      <c r="Z71" s="17" t="n">
        <f aca="false">I71</f>
        <v>195</v>
      </c>
      <c r="AA71" s="17" t="n">
        <f aca="false">SMALL($Z$20:$Z$199,52)</f>
        <v>136</v>
      </c>
      <c r="AB71" s="17" t="str">
        <f aca="false">IF(52-COUNTIF($Z$20:$Z$199,"&lt;"&amp;AA71)=1,IF(COUNTIF($I$20:$I$109,AA71)&gt;0,"FT","PT"),"PT")</f>
        <v>PT</v>
      </c>
      <c r="AC71" s="17" t="n">
        <f aca="false">IF(AB71="FT",INDEX($N$20:$N$109,MATCH(AA71,$I$20:$I$109,0)),1)</f>
        <v>1</v>
      </c>
    </row>
    <row r="72" customFormat="false" ht="15" hidden="false" customHeight="false" outlineLevel="0" collapsed="false">
      <c r="H72" s="14" t="n">
        <v>53</v>
      </c>
      <c r="I72" s="14" t="n">
        <f aca="false">IF(52&lt;FT_PreY5,FT_First+FT_Int1*52,FT_Y5+FT_Int2*(52-FT_PreY5))</f>
        <v>198</v>
      </c>
      <c r="J72" s="14" t="str">
        <f aca="false">INT(I72/12)&amp;"y "&amp;MOD(I72,12)&amp;"m"</f>
        <v>16y 6m</v>
      </c>
      <c r="K72" s="12" t="str">
        <f aca="false">IF(OR($C$6&lt;&gt;"Yes",$C$8=""),"",EDATE($C$8,I72))</f>
        <v/>
      </c>
      <c r="L72" s="14" t="str">
        <f aca="false">IF(K72="","",IF($C$16=0,$C$9,IF(AND($C$14&lt;&gt;"",K72&gt;=$C$14),$C$15,IF(AND($C$12&lt;&gt;"",K72&gt;=$C$12),$C$13,$C$11))))</f>
        <v/>
      </c>
      <c r="M72" s="14" t="str">
        <f aca="false">IF(K72="","",IF(OR(ISNUMBER(SEARCH("full",L72)),UPPER(TRIM(L72))="FT",UPPER(TRIM(L72))="FTE"),"FT",IF(AND(OR(ISNUMBER(SEARCH("part",L72)),UPPER(TRIM(L72))="PT",UPPER(TRIM(L72))="PTE"),OR($C$10="",N($C$10)&gt;=PT_MinHours)),"PT","None")))</f>
        <v/>
      </c>
      <c r="N72" s="14" t="n">
        <f aca="false">IF(I72&lt;FT_Y5,1,IF(MOD(I72-FT_Y5,12)=0,FT_AnnivDays,1))</f>
        <v>1</v>
      </c>
      <c r="O72" s="14" t="str">
        <f aca="false">IF(K72="","",IF(AND(M72="FT",K72&lt;=AsOfDate),N72,0))</f>
        <v/>
      </c>
      <c r="Q72" s="14" t="n">
        <v>53</v>
      </c>
      <c r="R72" s="14" t="n">
        <f aca="false">PT_First+PT_Int*52</f>
        <v>268</v>
      </c>
      <c r="S72" s="14" t="str">
        <f aca="false">INT(R72/12)&amp;"y "&amp;MOD(R72,12)&amp;"m"</f>
        <v>22y 4m</v>
      </c>
      <c r="T72" s="12" t="str">
        <f aca="false">IF(OR($C$6&lt;&gt;"Yes",$C$8=""),"",EDATE($C$8,R72))</f>
        <v/>
      </c>
      <c r="U72" s="14" t="str">
        <f aca="false">IF(T72="","",IF($C$16=0,$C$9,IF(AND($C$14&lt;&gt;"",T72&gt;=$C$14),$C$15,IF(AND($C$12&lt;&gt;"",T72&gt;=$C$12),$C$13,$C$11))))</f>
        <v/>
      </c>
      <c r="V72" s="14" t="str">
        <f aca="false">IF(T72="","",IF(OR(ISNUMBER(SEARCH("full",U72)),UPPER(TRIM(U72))="FT",UPPER(TRIM(U72))="FTE"),"FT",IF(AND(OR(ISNUMBER(SEARCH("part",U72)),UPPER(TRIM(U72))="PT",UPPER(TRIM(U72))="PTE"),OR($C$10="",N($C$10)&gt;=PT_MinHours)),"PT","None")))</f>
        <v/>
      </c>
      <c r="W72" s="14" t="n">
        <v>1</v>
      </c>
      <c r="X72" s="14" t="str">
        <f aca="false">IF(T72="","",IF(AND(V72="PT",T72&lt;=AsOfDate),W72,0))</f>
        <v/>
      </c>
      <c r="Z72" s="17" t="n">
        <f aca="false">I72</f>
        <v>198</v>
      </c>
      <c r="AA72" s="17" t="n">
        <f aca="false">SMALL($Z$20:$Z$199,53)</f>
        <v>138</v>
      </c>
      <c r="AB72" s="17" t="str">
        <f aca="false">IF(53-COUNTIF($Z$20:$Z$199,"&lt;"&amp;AA72)=1,IF(COUNTIF($I$20:$I$109,AA72)&gt;0,"FT","PT"),"PT")</f>
        <v>FT</v>
      </c>
      <c r="AC72" s="17" t="n">
        <f aca="false">IF(AB72="FT",INDEX($N$20:$N$109,MATCH(AA72,$I$20:$I$109,0)),1)</f>
        <v>1</v>
      </c>
    </row>
    <row r="73" customFormat="false" ht="15" hidden="false" customHeight="false" outlineLevel="0" collapsed="false">
      <c r="H73" s="14" t="n">
        <v>54</v>
      </c>
      <c r="I73" s="14" t="n">
        <f aca="false">IF(53&lt;FT_PreY5,FT_First+FT_Int1*53,FT_Y5+FT_Int2*(53-FT_PreY5))</f>
        <v>201</v>
      </c>
      <c r="J73" s="14" t="str">
        <f aca="false">INT(I73/12)&amp;"y "&amp;MOD(I73,12)&amp;"m"</f>
        <v>16y 9m</v>
      </c>
      <c r="K73" s="12" t="str">
        <f aca="false">IF(OR($C$6&lt;&gt;"Yes",$C$8=""),"",EDATE($C$8,I73))</f>
        <v/>
      </c>
      <c r="L73" s="14" t="str">
        <f aca="false">IF(K73="","",IF($C$16=0,$C$9,IF(AND($C$14&lt;&gt;"",K73&gt;=$C$14),$C$15,IF(AND($C$12&lt;&gt;"",K73&gt;=$C$12),$C$13,$C$11))))</f>
        <v/>
      </c>
      <c r="M73" s="14" t="str">
        <f aca="false">IF(K73="","",IF(OR(ISNUMBER(SEARCH("full",L73)),UPPER(TRIM(L73))="FT",UPPER(TRIM(L73))="FTE"),"FT",IF(AND(OR(ISNUMBER(SEARCH("part",L73)),UPPER(TRIM(L73))="PT",UPPER(TRIM(L73))="PTE"),OR($C$10="",N($C$10)&gt;=PT_MinHours)),"PT","None")))</f>
        <v/>
      </c>
      <c r="N73" s="14" t="n">
        <f aca="false">IF(I73&lt;FT_Y5,1,IF(MOD(I73-FT_Y5,12)=0,FT_AnnivDays,1))</f>
        <v>1</v>
      </c>
      <c r="O73" s="14" t="str">
        <f aca="false">IF(K73="","",IF(AND(M73="FT",K73&lt;=AsOfDate),N73,0))</f>
        <v/>
      </c>
      <c r="Q73" s="14" t="n">
        <v>54</v>
      </c>
      <c r="R73" s="14" t="n">
        <f aca="false">PT_First+PT_Int*53</f>
        <v>272</v>
      </c>
      <c r="S73" s="14" t="str">
        <f aca="false">INT(R73/12)&amp;"y "&amp;MOD(R73,12)&amp;"m"</f>
        <v>22y 8m</v>
      </c>
      <c r="T73" s="12" t="str">
        <f aca="false">IF(OR($C$6&lt;&gt;"Yes",$C$8=""),"",EDATE($C$8,R73))</f>
        <v/>
      </c>
      <c r="U73" s="14" t="str">
        <f aca="false">IF(T73="","",IF($C$16=0,$C$9,IF(AND($C$14&lt;&gt;"",T73&gt;=$C$14),$C$15,IF(AND($C$12&lt;&gt;"",T73&gt;=$C$12),$C$13,$C$11))))</f>
        <v/>
      </c>
      <c r="V73" s="14" t="str">
        <f aca="false">IF(T73="","",IF(OR(ISNUMBER(SEARCH("full",U73)),UPPER(TRIM(U73))="FT",UPPER(TRIM(U73))="FTE"),"FT",IF(AND(OR(ISNUMBER(SEARCH("part",U73)),UPPER(TRIM(U73))="PT",UPPER(TRIM(U73))="PTE"),OR($C$10="",N($C$10)&gt;=PT_MinHours)),"PT","None")))</f>
        <v/>
      </c>
      <c r="W73" s="14" t="n">
        <v>1</v>
      </c>
      <c r="X73" s="14" t="str">
        <f aca="false">IF(T73="","",IF(AND(V73="PT",T73&lt;=AsOfDate),W73,0))</f>
        <v/>
      </c>
      <c r="Z73" s="17" t="n">
        <f aca="false">I73</f>
        <v>201</v>
      </c>
      <c r="AA73" s="17" t="n">
        <f aca="false">SMALL($Z$20:$Z$199,54)</f>
        <v>140</v>
      </c>
      <c r="AB73" s="17" t="str">
        <f aca="false">IF(54-COUNTIF($Z$20:$Z$199,"&lt;"&amp;AA73)=1,IF(COUNTIF($I$20:$I$109,AA73)&gt;0,"FT","PT"),"PT")</f>
        <v>PT</v>
      </c>
      <c r="AC73" s="17" t="n">
        <f aca="false">IF(AB73="FT",INDEX($N$20:$N$109,MATCH(AA73,$I$20:$I$109,0)),1)</f>
        <v>1</v>
      </c>
    </row>
    <row r="74" customFormat="false" ht="15" hidden="false" customHeight="false" outlineLevel="0" collapsed="false">
      <c r="H74" s="14" t="n">
        <v>55</v>
      </c>
      <c r="I74" s="14" t="n">
        <f aca="false">IF(54&lt;FT_PreY5,FT_First+FT_Int1*54,FT_Y5+FT_Int2*(54-FT_PreY5))</f>
        <v>204</v>
      </c>
      <c r="J74" s="14" t="str">
        <f aca="false">INT(I74/12)&amp;"y "&amp;MOD(I74,12)&amp;"m"</f>
        <v>17y 0m</v>
      </c>
      <c r="K74" s="12" t="str">
        <f aca="false">IF(OR($C$6&lt;&gt;"Yes",$C$8=""),"",EDATE($C$8,I74))</f>
        <v/>
      </c>
      <c r="L74" s="14" t="str">
        <f aca="false">IF(K74="","",IF($C$16=0,$C$9,IF(AND($C$14&lt;&gt;"",K74&gt;=$C$14),$C$15,IF(AND($C$12&lt;&gt;"",K74&gt;=$C$12),$C$13,$C$11))))</f>
        <v/>
      </c>
      <c r="M74" s="14" t="str">
        <f aca="false">IF(K74="","",IF(OR(ISNUMBER(SEARCH("full",L74)),UPPER(TRIM(L74))="FT",UPPER(TRIM(L74))="FTE"),"FT",IF(AND(OR(ISNUMBER(SEARCH("part",L74)),UPPER(TRIM(L74))="PT",UPPER(TRIM(L74))="PTE"),OR($C$10="",N($C$10)&gt;=PT_MinHours)),"PT","None")))</f>
        <v/>
      </c>
      <c r="N74" s="14" t="n">
        <f aca="false">IF(I74&lt;FT_Y5,1,IF(MOD(I74-FT_Y5,12)=0,FT_AnnivDays,1))</f>
        <v>2</v>
      </c>
      <c r="O74" s="14" t="str">
        <f aca="false">IF(K74="","",IF(AND(M74="FT",K74&lt;=AsOfDate),N74,0))</f>
        <v/>
      </c>
      <c r="Q74" s="14" t="n">
        <v>55</v>
      </c>
      <c r="R74" s="14" t="n">
        <f aca="false">PT_First+PT_Int*54</f>
        <v>276</v>
      </c>
      <c r="S74" s="14" t="str">
        <f aca="false">INT(R74/12)&amp;"y "&amp;MOD(R74,12)&amp;"m"</f>
        <v>23y 0m</v>
      </c>
      <c r="T74" s="12" t="str">
        <f aca="false">IF(OR($C$6&lt;&gt;"Yes",$C$8=""),"",EDATE($C$8,R74))</f>
        <v/>
      </c>
      <c r="U74" s="14" t="str">
        <f aca="false">IF(T74="","",IF($C$16=0,$C$9,IF(AND($C$14&lt;&gt;"",T74&gt;=$C$14),$C$15,IF(AND($C$12&lt;&gt;"",T74&gt;=$C$12),$C$13,$C$11))))</f>
        <v/>
      </c>
      <c r="V74" s="14" t="str">
        <f aca="false">IF(T74="","",IF(OR(ISNUMBER(SEARCH("full",U74)),UPPER(TRIM(U74))="FT",UPPER(TRIM(U74))="FTE"),"FT",IF(AND(OR(ISNUMBER(SEARCH("part",U74)),UPPER(TRIM(U74))="PT",UPPER(TRIM(U74))="PTE"),OR($C$10="",N($C$10)&gt;=PT_MinHours)),"PT","None")))</f>
        <v/>
      </c>
      <c r="W74" s="14" t="n">
        <v>1</v>
      </c>
      <c r="X74" s="14" t="str">
        <f aca="false">IF(T74="","",IF(AND(V74="PT",T74&lt;=AsOfDate),W74,0))</f>
        <v/>
      </c>
      <c r="Z74" s="17" t="n">
        <f aca="false">I74</f>
        <v>204</v>
      </c>
      <c r="AA74" s="17" t="n">
        <f aca="false">SMALL($Z$20:$Z$199,55)</f>
        <v>141</v>
      </c>
      <c r="AB74" s="17" t="str">
        <f aca="false">IF(55-COUNTIF($Z$20:$Z$199,"&lt;"&amp;AA74)=1,IF(COUNTIF($I$20:$I$109,AA74)&gt;0,"FT","PT"),"PT")</f>
        <v>FT</v>
      </c>
      <c r="AC74" s="17" t="n">
        <f aca="false">IF(AB74="FT",INDEX($N$20:$N$109,MATCH(AA74,$I$20:$I$109,0)),1)</f>
        <v>1</v>
      </c>
    </row>
    <row r="75" customFormat="false" ht="15" hidden="false" customHeight="false" outlineLevel="0" collapsed="false">
      <c r="H75" s="14" t="n">
        <v>56</v>
      </c>
      <c r="I75" s="14" t="n">
        <f aca="false">IF(55&lt;FT_PreY5,FT_First+FT_Int1*55,FT_Y5+FT_Int2*(55-FT_PreY5))</f>
        <v>207</v>
      </c>
      <c r="J75" s="14" t="str">
        <f aca="false">INT(I75/12)&amp;"y "&amp;MOD(I75,12)&amp;"m"</f>
        <v>17y 3m</v>
      </c>
      <c r="K75" s="12" t="str">
        <f aca="false">IF(OR($C$6&lt;&gt;"Yes",$C$8=""),"",EDATE($C$8,I75))</f>
        <v/>
      </c>
      <c r="L75" s="14" t="str">
        <f aca="false">IF(K75="","",IF($C$16=0,$C$9,IF(AND($C$14&lt;&gt;"",K75&gt;=$C$14),$C$15,IF(AND($C$12&lt;&gt;"",K75&gt;=$C$12),$C$13,$C$11))))</f>
        <v/>
      </c>
      <c r="M75" s="14" t="str">
        <f aca="false">IF(K75="","",IF(OR(ISNUMBER(SEARCH("full",L75)),UPPER(TRIM(L75))="FT",UPPER(TRIM(L75))="FTE"),"FT",IF(AND(OR(ISNUMBER(SEARCH("part",L75)),UPPER(TRIM(L75))="PT",UPPER(TRIM(L75))="PTE"),OR($C$10="",N($C$10)&gt;=PT_MinHours)),"PT","None")))</f>
        <v/>
      </c>
      <c r="N75" s="14" t="n">
        <f aca="false">IF(I75&lt;FT_Y5,1,IF(MOD(I75-FT_Y5,12)=0,FT_AnnivDays,1))</f>
        <v>1</v>
      </c>
      <c r="O75" s="14" t="str">
        <f aca="false">IF(K75="","",IF(AND(M75="FT",K75&lt;=AsOfDate),N75,0))</f>
        <v/>
      </c>
      <c r="Q75" s="14" t="n">
        <v>56</v>
      </c>
      <c r="R75" s="14" t="n">
        <f aca="false">PT_First+PT_Int*55</f>
        <v>280</v>
      </c>
      <c r="S75" s="14" t="str">
        <f aca="false">INT(R75/12)&amp;"y "&amp;MOD(R75,12)&amp;"m"</f>
        <v>23y 4m</v>
      </c>
      <c r="T75" s="12" t="str">
        <f aca="false">IF(OR($C$6&lt;&gt;"Yes",$C$8=""),"",EDATE($C$8,R75))</f>
        <v/>
      </c>
      <c r="U75" s="14" t="str">
        <f aca="false">IF(T75="","",IF($C$16=0,$C$9,IF(AND($C$14&lt;&gt;"",T75&gt;=$C$14),$C$15,IF(AND($C$12&lt;&gt;"",T75&gt;=$C$12),$C$13,$C$11))))</f>
        <v/>
      </c>
      <c r="V75" s="14" t="str">
        <f aca="false">IF(T75="","",IF(OR(ISNUMBER(SEARCH("full",U75)),UPPER(TRIM(U75))="FT",UPPER(TRIM(U75))="FTE"),"FT",IF(AND(OR(ISNUMBER(SEARCH("part",U75)),UPPER(TRIM(U75))="PT",UPPER(TRIM(U75))="PTE"),OR($C$10="",N($C$10)&gt;=PT_MinHours)),"PT","None")))</f>
        <v/>
      </c>
      <c r="W75" s="14" t="n">
        <v>1</v>
      </c>
      <c r="X75" s="14" t="str">
        <f aca="false">IF(T75="","",IF(AND(V75="PT",T75&lt;=AsOfDate),W75,0))</f>
        <v/>
      </c>
      <c r="Z75" s="17" t="n">
        <f aca="false">I75</f>
        <v>207</v>
      </c>
      <c r="AA75" s="17" t="n">
        <f aca="false">SMALL($Z$20:$Z$199,56)</f>
        <v>144</v>
      </c>
      <c r="AB75" s="17" t="str">
        <f aca="false">IF(56-COUNTIF($Z$20:$Z$199,"&lt;"&amp;AA75)=1,IF(COUNTIF($I$20:$I$109,AA75)&gt;0,"FT","PT"),"PT")</f>
        <v>FT</v>
      </c>
      <c r="AC75" s="17" t="n">
        <f aca="false">IF(AB75="FT",INDEX($N$20:$N$109,MATCH(AA75,$I$20:$I$109,0)),1)</f>
        <v>2</v>
      </c>
    </row>
    <row r="76" customFormat="false" ht="15" hidden="false" customHeight="false" outlineLevel="0" collapsed="false">
      <c r="H76" s="14" t="n">
        <v>57</v>
      </c>
      <c r="I76" s="14" t="n">
        <f aca="false">IF(56&lt;FT_PreY5,FT_First+FT_Int1*56,FT_Y5+FT_Int2*(56-FT_PreY5))</f>
        <v>210</v>
      </c>
      <c r="J76" s="14" t="str">
        <f aca="false">INT(I76/12)&amp;"y "&amp;MOD(I76,12)&amp;"m"</f>
        <v>17y 6m</v>
      </c>
      <c r="K76" s="12" t="str">
        <f aca="false">IF(OR($C$6&lt;&gt;"Yes",$C$8=""),"",EDATE($C$8,I76))</f>
        <v/>
      </c>
      <c r="L76" s="14" t="str">
        <f aca="false">IF(K76="","",IF($C$16=0,$C$9,IF(AND($C$14&lt;&gt;"",K76&gt;=$C$14),$C$15,IF(AND($C$12&lt;&gt;"",K76&gt;=$C$12),$C$13,$C$11))))</f>
        <v/>
      </c>
      <c r="M76" s="14" t="str">
        <f aca="false">IF(K76="","",IF(OR(ISNUMBER(SEARCH("full",L76)),UPPER(TRIM(L76))="FT",UPPER(TRIM(L76))="FTE"),"FT",IF(AND(OR(ISNUMBER(SEARCH("part",L76)),UPPER(TRIM(L76))="PT",UPPER(TRIM(L76))="PTE"),OR($C$10="",N($C$10)&gt;=PT_MinHours)),"PT","None")))</f>
        <v/>
      </c>
      <c r="N76" s="14" t="n">
        <f aca="false">IF(I76&lt;FT_Y5,1,IF(MOD(I76-FT_Y5,12)=0,FT_AnnivDays,1))</f>
        <v>1</v>
      </c>
      <c r="O76" s="14" t="str">
        <f aca="false">IF(K76="","",IF(AND(M76="FT",K76&lt;=AsOfDate),N76,0))</f>
        <v/>
      </c>
      <c r="Q76" s="14" t="n">
        <v>57</v>
      </c>
      <c r="R76" s="14" t="n">
        <f aca="false">PT_First+PT_Int*56</f>
        <v>284</v>
      </c>
      <c r="S76" s="14" t="str">
        <f aca="false">INT(R76/12)&amp;"y "&amp;MOD(R76,12)&amp;"m"</f>
        <v>23y 8m</v>
      </c>
      <c r="T76" s="12" t="str">
        <f aca="false">IF(OR($C$6&lt;&gt;"Yes",$C$8=""),"",EDATE($C$8,R76))</f>
        <v/>
      </c>
      <c r="U76" s="14" t="str">
        <f aca="false">IF(T76="","",IF($C$16=0,$C$9,IF(AND($C$14&lt;&gt;"",T76&gt;=$C$14),$C$15,IF(AND($C$12&lt;&gt;"",T76&gt;=$C$12),$C$13,$C$11))))</f>
        <v/>
      </c>
      <c r="V76" s="14" t="str">
        <f aca="false">IF(T76="","",IF(OR(ISNUMBER(SEARCH("full",U76)),UPPER(TRIM(U76))="FT",UPPER(TRIM(U76))="FTE"),"FT",IF(AND(OR(ISNUMBER(SEARCH("part",U76)),UPPER(TRIM(U76))="PT",UPPER(TRIM(U76))="PTE"),OR($C$10="",N($C$10)&gt;=PT_MinHours)),"PT","None")))</f>
        <v/>
      </c>
      <c r="W76" s="14" t="n">
        <v>1</v>
      </c>
      <c r="X76" s="14" t="str">
        <f aca="false">IF(T76="","",IF(AND(V76="PT",T76&lt;=AsOfDate),W76,0))</f>
        <v/>
      </c>
      <c r="Z76" s="17" t="n">
        <f aca="false">I76</f>
        <v>210</v>
      </c>
      <c r="AA76" s="17" t="n">
        <f aca="false">SMALL($Z$20:$Z$199,57)</f>
        <v>144</v>
      </c>
      <c r="AB76" s="17" t="str">
        <f aca="false">IF(57-COUNTIF($Z$20:$Z$199,"&lt;"&amp;AA76)=1,IF(COUNTIF($I$20:$I$109,AA76)&gt;0,"FT","PT"),"PT")</f>
        <v>PT</v>
      </c>
      <c r="AC76" s="17" t="n">
        <f aca="false">IF(AB76="FT",INDEX($N$20:$N$109,MATCH(AA76,$I$20:$I$109,0)),1)</f>
        <v>1</v>
      </c>
    </row>
    <row r="77" customFormat="false" ht="15" hidden="false" customHeight="false" outlineLevel="0" collapsed="false">
      <c r="H77" s="14" t="n">
        <v>58</v>
      </c>
      <c r="I77" s="14" t="n">
        <f aca="false">IF(57&lt;FT_PreY5,FT_First+FT_Int1*57,FT_Y5+FT_Int2*(57-FT_PreY5))</f>
        <v>213</v>
      </c>
      <c r="J77" s="14" t="str">
        <f aca="false">INT(I77/12)&amp;"y "&amp;MOD(I77,12)&amp;"m"</f>
        <v>17y 9m</v>
      </c>
      <c r="K77" s="12" t="str">
        <f aca="false">IF(OR($C$6&lt;&gt;"Yes",$C$8=""),"",EDATE($C$8,I77))</f>
        <v/>
      </c>
      <c r="L77" s="14" t="str">
        <f aca="false">IF(K77="","",IF($C$16=0,$C$9,IF(AND($C$14&lt;&gt;"",K77&gt;=$C$14),$C$15,IF(AND($C$12&lt;&gt;"",K77&gt;=$C$12),$C$13,$C$11))))</f>
        <v/>
      </c>
      <c r="M77" s="14" t="str">
        <f aca="false">IF(K77="","",IF(OR(ISNUMBER(SEARCH("full",L77)),UPPER(TRIM(L77))="FT",UPPER(TRIM(L77))="FTE"),"FT",IF(AND(OR(ISNUMBER(SEARCH("part",L77)),UPPER(TRIM(L77))="PT",UPPER(TRIM(L77))="PTE"),OR($C$10="",N($C$10)&gt;=PT_MinHours)),"PT","None")))</f>
        <v/>
      </c>
      <c r="N77" s="14" t="n">
        <f aca="false">IF(I77&lt;FT_Y5,1,IF(MOD(I77-FT_Y5,12)=0,FT_AnnivDays,1))</f>
        <v>1</v>
      </c>
      <c r="O77" s="14" t="str">
        <f aca="false">IF(K77="","",IF(AND(M77="FT",K77&lt;=AsOfDate),N77,0))</f>
        <v/>
      </c>
      <c r="Q77" s="14" t="n">
        <v>58</v>
      </c>
      <c r="R77" s="14" t="n">
        <f aca="false">PT_First+PT_Int*57</f>
        <v>288</v>
      </c>
      <c r="S77" s="14" t="str">
        <f aca="false">INT(R77/12)&amp;"y "&amp;MOD(R77,12)&amp;"m"</f>
        <v>24y 0m</v>
      </c>
      <c r="T77" s="12" t="str">
        <f aca="false">IF(OR($C$6&lt;&gt;"Yes",$C$8=""),"",EDATE($C$8,R77))</f>
        <v/>
      </c>
      <c r="U77" s="14" t="str">
        <f aca="false">IF(T77="","",IF($C$16=0,$C$9,IF(AND($C$14&lt;&gt;"",T77&gt;=$C$14),$C$15,IF(AND($C$12&lt;&gt;"",T77&gt;=$C$12),$C$13,$C$11))))</f>
        <v/>
      </c>
      <c r="V77" s="14" t="str">
        <f aca="false">IF(T77="","",IF(OR(ISNUMBER(SEARCH("full",U77)),UPPER(TRIM(U77))="FT",UPPER(TRIM(U77))="FTE"),"FT",IF(AND(OR(ISNUMBER(SEARCH("part",U77)),UPPER(TRIM(U77))="PT",UPPER(TRIM(U77))="PTE"),OR($C$10="",N($C$10)&gt;=PT_MinHours)),"PT","None")))</f>
        <v/>
      </c>
      <c r="W77" s="14" t="n">
        <v>1</v>
      </c>
      <c r="X77" s="14" t="str">
        <f aca="false">IF(T77="","",IF(AND(V77="PT",T77&lt;=AsOfDate),W77,0))</f>
        <v/>
      </c>
      <c r="Z77" s="17" t="n">
        <f aca="false">I77</f>
        <v>213</v>
      </c>
      <c r="AA77" s="17" t="n">
        <f aca="false">SMALL($Z$20:$Z$199,58)</f>
        <v>147</v>
      </c>
      <c r="AB77" s="17" t="str">
        <f aca="false">IF(58-COUNTIF($Z$20:$Z$199,"&lt;"&amp;AA77)=1,IF(COUNTIF($I$20:$I$109,AA77)&gt;0,"FT","PT"),"PT")</f>
        <v>FT</v>
      </c>
      <c r="AC77" s="17" t="n">
        <f aca="false">IF(AB77="FT",INDEX($N$20:$N$109,MATCH(AA77,$I$20:$I$109,0)),1)</f>
        <v>1</v>
      </c>
    </row>
    <row r="78" customFormat="false" ht="15" hidden="false" customHeight="false" outlineLevel="0" collapsed="false">
      <c r="H78" s="14" t="n">
        <v>59</v>
      </c>
      <c r="I78" s="14" t="n">
        <f aca="false">IF(58&lt;FT_PreY5,FT_First+FT_Int1*58,FT_Y5+FT_Int2*(58-FT_PreY5))</f>
        <v>216</v>
      </c>
      <c r="J78" s="14" t="str">
        <f aca="false">INT(I78/12)&amp;"y "&amp;MOD(I78,12)&amp;"m"</f>
        <v>18y 0m</v>
      </c>
      <c r="K78" s="12" t="str">
        <f aca="false">IF(OR($C$6&lt;&gt;"Yes",$C$8=""),"",EDATE($C$8,I78))</f>
        <v/>
      </c>
      <c r="L78" s="14" t="str">
        <f aca="false">IF(K78="","",IF($C$16=0,$C$9,IF(AND($C$14&lt;&gt;"",K78&gt;=$C$14),$C$15,IF(AND($C$12&lt;&gt;"",K78&gt;=$C$12),$C$13,$C$11))))</f>
        <v/>
      </c>
      <c r="M78" s="14" t="str">
        <f aca="false">IF(K78="","",IF(OR(ISNUMBER(SEARCH("full",L78)),UPPER(TRIM(L78))="FT",UPPER(TRIM(L78))="FTE"),"FT",IF(AND(OR(ISNUMBER(SEARCH("part",L78)),UPPER(TRIM(L78))="PT",UPPER(TRIM(L78))="PTE"),OR($C$10="",N($C$10)&gt;=PT_MinHours)),"PT","None")))</f>
        <v/>
      </c>
      <c r="N78" s="14" t="n">
        <f aca="false">IF(I78&lt;FT_Y5,1,IF(MOD(I78-FT_Y5,12)=0,FT_AnnivDays,1))</f>
        <v>2</v>
      </c>
      <c r="O78" s="14" t="str">
        <f aca="false">IF(K78="","",IF(AND(M78="FT",K78&lt;=AsOfDate),N78,0))</f>
        <v/>
      </c>
      <c r="Q78" s="14" t="n">
        <v>59</v>
      </c>
      <c r="R78" s="14" t="n">
        <f aca="false">PT_First+PT_Int*58</f>
        <v>292</v>
      </c>
      <c r="S78" s="14" t="str">
        <f aca="false">INT(R78/12)&amp;"y "&amp;MOD(R78,12)&amp;"m"</f>
        <v>24y 4m</v>
      </c>
      <c r="T78" s="12" t="str">
        <f aca="false">IF(OR($C$6&lt;&gt;"Yes",$C$8=""),"",EDATE($C$8,R78))</f>
        <v/>
      </c>
      <c r="U78" s="14" t="str">
        <f aca="false">IF(T78="","",IF($C$16=0,$C$9,IF(AND($C$14&lt;&gt;"",T78&gt;=$C$14),$C$15,IF(AND($C$12&lt;&gt;"",T78&gt;=$C$12),$C$13,$C$11))))</f>
        <v/>
      </c>
      <c r="V78" s="14" t="str">
        <f aca="false">IF(T78="","",IF(OR(ISNUMBER(SEARCH("full",U78)),UPPER(TRIM(U78))="FT",UPPER(TRIM(U78))="FTE"),"FT",IF(AND(OR(ISNUMBER(SEARCH("part",U78)),UPPER(TRIM(U78))="PT",UPPER(TRIM(U78))="PTE"),OR($C$10="",N($C$10)&gt;=PT_MinHours)),"PT","None")))</f>
        <v/>
      </c>
      <c r="W78" s="14" t="n">
        <v>1</v>
      </c>
      <c r="X78" s="14" t="str">
        <f aca="false">IF(T78="","",IF(AND(V78="PT",T78&lt;=AsOfDate),W78,0))</f>
        <v/>
      </c>
      <c r="Z78" s="17" t="n">
        <f aca="false">I78</f>
        <v>216</v>
      </c>
      <c r="AA78" s="17" t="n">
        <f aca="false">SMALL($Z$20:$Z$199,59)</f>
        <v>148</v>
      </c>
      <c r="AB78" s="17" t="str">
        <f aca="false">IF(59-COUNTIF($Z$20:$Z$199,"&lt;"&amp;AA78)=1,IF(COUNTIF($I$20:$I$109,AA78)&gt;0,"FT","PT"),"PT")</f>
        <v>PT</v>
      </c>
      <c r="AC78" s="17" t="n">
        <f aca="false">IF(AB78="FT",INDEX($N$20:$N$109,MATCH(AA78,$I$20:$I$109,0)),1)</f>
        <v>1</v>
      </c>
    </row>
    <row r="79" customFormat="false" ht="15" hidden="false" customHeight="false" outlineLevel="0" collapsed="false">
      <c r="H79" s="14" t="n">
        <v>60</v>
      </c>
      <c r="I79" s="14" t="n">
        <f aca="false">IF(59&lt;FT_PreY5,FT_First+FT_Int1*59,FT_Y5+FT_Int2*(59-FT_PreY5))</f>
        <v>219</v>
      </c>
      <c r="J79" s="14" t="str">
        <f aca="false">INT(I79/12)&amp;"y "&amp;MOD(I79,12)&amp;"m"</f>
        <v>18y 3m</v>
      </c>
      <c r="K79" s="12" t="str">
        <f aca="false">IF(OR($C$6&lt;&gt;"Yes",$C$8=""),"",EDATE($C$8,I79))</f>
        <v/>
      </c>
      <c r="L79" s="14" t="str">
        <f aca="false">IF(K79="","",IF($C$16=0,$C$9,IF(AND($C$14&lt;&gt;"",K79&gt;=$C$14),$C$15,IF(AND($C$12&lt;&gt;"",K79&gt;=$C$12),$C$13,$C$11))))</f>
        <v/>
      </c>
      <c r="M79" s="14" t="str">
        <f aca="false">IF(K79="","",IF(OR(ISNUMBER(SEARCH("full",L79)),UPPER(TRIM(L79))="FT",UPPER(TRIM(L79))="FTE"),"FT",IF(AND(OR(ISNUMBER(SEARCH("part",L79)),UPPER(TRIM(L79))="PT",UPPER(TRIM(L79))="PTE"),OR($C$10="",N($C$10)&gt;=PT_MinHours)),"PT","None")))</f>
        <v/>
      </c>
      <c r="N79" s="14" t="n">
        <f aca="false">IF(I79&lt;FT_Y5,1,IF(MOD(I79-FT_Y5,12)=0,FT_AnnivDays,1))</f>
        <v>1</v>
      </c>
      <c r="O79" s="14" t="str">
        <f aca="false">IF(K79="","",IF(AND(M79="FT",K79&lt;=AsOfDate),N79,0))</f>
        <v/>
      </c>
      <c r="Q79" s="14" t="n">
        <v>60</v>
      </c>
      <c r="R79" s="14" t="n">
        <f aca="false">PT_First+PT_Int*59</f>
        <v>296</v>
      </c>
      <c r="S79" s="14" t="str">
        <f aca="false">INT(R79/12)&amp;"y "&amp;MOD(R79,12)&amp;"m"</f>
        <v>24y 8m</v>
      </c>
      <c r="T79" s="12" t="str">
        <f aca="false">IF(OR($C$6&lt;&gt;"Yes",$C$8=""),"",EDATE($C$8,R79))</f>
        <v/>
      </c>
      <c r="U79" s="14" t="str">
        <f aca="false">IF(T79="","",IF($C$16=0,$C$9,IF(AND($C$14&lt;&gt;"",T79&gt;=$C$14),$C$15,IF(AND($C$12&lt;&gt;"",T79&gt;=$C$12),$C$13,$C$11))))</f>
        <v/>
      </c>
      <c r="V79" s="14" t="str">
        <f aca="false">IF(T79="","",IF(OR(ISNUMBER(SEARCH("full",U79)),UPPER(TRIM(U79))="FT",UPPER(TRIM(U79))="FTE"),"FT",IF(AND(OR(ISNUMBER(SEARCH("part",U79)),UPPER(TRIM(U79))="PT",UPPER(TRIM(U79))="PTE"),OR($C$10="",N($C$10)&gt;=PT_MinHours)),"PT","None")))</f>
        <v/>
      </c>
      <c r="W79" s="14" t="n">
        <v>1</v>
      </c>
      <c r="X79" s="14" t="str">
        <f aca="false">IF(T79="","",IF(AND(V79="PT",T79&lt;=AsOfDate),W79,0))</f>
        <v/>
      </c>
      <c r="Z79" s="17" t="n">
        <f aca="false">I79</f>
        <v>219</v>
      </c>
      <c r="AA79" s="17" t="n">
        <f aca="false">SMALL($Z$20:$Z$199,60)</f>
        <v>150</v>
      </c>
      <c r="AB79" s="17" t="str">
        <f aca="false">IF(60-COUNTIF($Z$20:$Z$199,"&lt;"&amp;AA79)=1,IF(COUNTIF($I$20:$I$109,AA79)&gt;0,"FT","PT"),"PT")</f>
        <v>FT</v>
      </c>
      <c r="AC79" s="17" t="n">
        <f aca="false">IF(AB79="FT",INDEX($N$20:$N$109,MATCH(AA79,$I$20:$I$109,0)),1)</f>
        <v>1</v>
      </c>
    </row>
    <row r="80" customFormat="false" ht="15" hidden="false" customHeight="false" outlineLevel="0" collapsed="false">
      <c r="H80" s="14" t="n">
        <v>61</v>
      </c>
      <c r="I80" s="14" t="n">
        <f aca="false">IF(60&lt;FT_PreY5,FT_First+FT_Int1*60,FT_Y5+FT_Int2*(60-FT_PreY5))</f>
        <v>222</v>
      </c>
      <c r="J80" s="14" t="str">
        <f aca="false">INT(I80/12)&amp;"y "&amp;MOD(I80,12)&amp;"m"</f>
        <v>18y 6m</v>
      </c>
      <c r="K80" s="12" t="str">
        <f aca="false">IF(OR($C$6&lt;&gt;"Yes",$C$8=""),"",EDATE($C$8,I80))</f>
        <v/>
      </c>
      <c r="L80" s="14" t="str">
        <f aca="false">IF(K80="","",IF($C$16=0,$C$9,IF(AND($C$14&lt;&gt;"",K80&gt;=$C$14),$C$15,IF(AND($C$12&lt;&gt;"",K80&gt;=$C$12),$C$13,$C$11))))</f>
        <v/>
      </c>
      <c r="M80" s="14" t="str">
        <f aca="false">IF(K80="","",IF(OR(ISNUMBER(SEARCH("full",L80)),UPPER(TRIM(L80))="FT",UPPER(TRIM(L80))="FTE"),"FT",IF(AND(OR(ISNUMBER(SEARCH("part",L80)),UPPER(TRIM(L80))="PT",UPPER(TRIM(L80))="PTE"),OR($C$10="",N($C$10)&gt;=PT_MinHours)),"PT","None")))</f>
        <v/>
      </c>
      <c r="N80" s="14" t="n">
        <f aca="false">IF(I80&lt;FT_Y5,1,IF(MOD(I80-FT_Y5,12)=0,FT_AnnivDays,1))</f>
        <v>1</v>
      </c>
      <c r="O80" s="14" t="str">
        <f aca="false">IF(K80="","",IF(AND(M80="FT",K80&lt;=AsOfDate),N80,0))</f>
        <v/>
      </c>
      <c r="Q80" s="14" t="n">
        <v>61</v>
      </c>
      <c r="R80" s="14" t="n">
        <f aca="false">PT_First+PT_Int*60</f>
        <v>300</v>
      </c>
      <c r="S80" s="14" t="str">
        <f aca="false">INT(R80/12)&amp;"y "&amp;MOD(R80,12)&amp;"m"</f>
        <v>25y 0m</v>
      </c>
      <c r="T80" s="12" t="str">
        <f aca="false">IF(OR($C$6&lt;&gt;"Yes",$C$8=""),"",EDATE($C$8,R80))</f>
        <v/>
      </c>
      <c r="U80" s="14" t="str">
        <f aca="false">IF(T80="","",IF($C$16=0,$C$9,IF(AND($C$14&lt;&gt;"",T80&gt;=$C$14),$C$15,IF(AND($C$12&lt;&gt;"",T80&gt;=$C$12),$C$13,$C$11))))</f>
        <v/>
      </c>
      <c r="V80" s="14" t="str">
        <f aca="false">IF(T80="","",IF(OR(ISNUMBER(SEARCH("full",U80)),UPPER(TRIM(U80))="FT",UPPER(TRIM(U80))="FTE"),"FT",IF(AND(OR(ISNUMBER(SEARCH("part",U80)),UPPER(TRIM(U80))="PT",UPPER(TRIM(U80))="PTE"),OR($C$10="",N($C$10)&gt;=PT_MinHours)),"PT","None")))</f>
        <v/>
      </c>
      <c r="W80" s="14" t="n">
        <v>1</v>
      </c>
      <c r="X80" s="14" t="str">
        <f aca="false">IF(T80="","",IF(AND(V80="PT",T80&lt;=AsOfDate),W80,0))</f>
        <v/>
      </c>
      <c r="Z80" s="17" t="n">
        <f aca="false">I80</f>
        <v>222</v>
      </c>
      <c r="AA80" s="17" t="n">
        <f aca="false">SMALL($Z$20:$Z$199,61)</f>
        <v>152</v>
      </c>
      <c r="AB80" s="17" t="str">
        <f aca="false">IF(61-COUNTIF($Z$20:$Z$199,"&lt;"&amp;AA80)=1,IF(COUNTIF($I$20:$I$109,AA80)&gt;0,"FT","PT"),"PT")</f>
        <v>PT</v>
      </c>
      <c r="AC80" s="17" t="n">
        <f aca="false">IF(AB80="FT",INDEX($N$20:$N$109,MATCH(AA80,$I$20:$I$109,0)),1)</f>
        <v>1</v>
      </c>
    </row>
    <row r="81" customFormat="false" ht="15" hidden="false" customHeight="false" outlineLevel="0" collapsed="false">
      <c r="H81" s="14" t="n">
        <v>62</v>
      </c>
      <c r="I81" s="14" t="n">
        <f aca="false">IF(61&lt;FT_PreY5,FT_First+FT_Int1*61,FT_Y5+FT_Int2*(61-FT_PreY5))</f>
        <v>225</v>
      </c>
      <c r="J81" s="14" t="str">
        <f aca="false">INT(I81/12)&amp;"y "&amp;MOD(I81,12)&amp;"m"</f>
        <v>18y 9m</v>
      </c>
      <c r="K81" s="12" t="str">
        <f aca="false">IF(OR($C$6&lt;&gt;"Yes",$C$8=""),"",EDATE($C$8,I81))</f>
        <v/>
      </c>
      <c r="L81" s="14" t="str">
        <f aca="false">IF(K81="","",IF($C$16=0,$C$9,IF(AND($C$14&lt;&gt;"",K81&gt;=$C$14),$C$15,IF(AND($C$12&lt;&gt;"",K81&gt;=$C$12),$C$13,$C$11))))</f>
        <v/>
      </c>
      <c r="M81" s="14" t="str">
        <f aca="false">IF(K81="","",IF(OR(ISNUMBER(SEARCH("full",L81)),UPPER(TRIM(L81))="FT",UPPER(TRIM(L81))="FTE"),"FT",IF(AND(OR(ISNUMBER(SEARCH("part",L81)),UPPER(TRIM(L81))="PT",UPPER(TRIM(L81))="PTE"),OR($C$10="",N($C$10)&gt;=PT_MinHours)),"PT","None")))</f>
        <v/>
      </c>
      <c r="N81" s="14" t="n">
        <f aca="false">IF(I81&lt;FT_Y5,1,IF(MOD(I81-FT_Y5,12)=0,FT_AnnivDays,1))</f>
        <v>1</v>
      </c>
      <c r="O81" s="14" t="str">
        <f aca="false">IF(K81="","",IF(AND(M81="FT",K81&lt;=AsOfDate),N81,0))</f>
        <v/>
      </c>
      <c r="Q81" s="14" t="n">
        <v>62</v>
      </c>
      <c r="R81" s="14" t="n">
        <f aca="false">PT_First+PT_Int*61</f>
        <v>304</v>
      </c>
      <c r="S81" s="14" t="str">
        <f aca="false">INT(R81/12)&amp;"y "&amp;MOD(R81,12)&amp;"m"</f>
        <v>25y 4m</v>
      </c>
      <c r="T81" s="12" t="str">
        <f aca="false">IF(OR($C$6&lt;&gt;"Yes",$C$8=""),"",EDATE($C$8,R81))</f>
        <v/>
      </c>
      <c r="U81" s="14" t="str">
        <f aca="false">IF(T81="","",IF($C$16=0,$C$9,IF(AND($C$14&lt;&gt;"",T81&gt;=$C$14),$C$15,IF(AND($C$12&lt;&gt;"",T81&gt;=$C$12),$C$13,$C$11))))</f>
        <v/>
      </c>
      <c r="V81" s="14" t="str">
        <f aca="false">IF(T81="","",IF(OR(ISNUMBER(SEARCH("full",U81)),UPPER(TRIM(U81))="FT",UPPER(TRIM(U81))="FTE"),"FT",IF(AND(OR(ISNUMBER(SEARCH("part",U81)),UPPER(TRIM(U81))="PT",UPPER(TRIM(U81))="PTE"),OR($C$10="",N($C$10)&gt;=PT_MinHours)),"PT","None")))</f>
        <v/>
      </c>
      <c r="W81" s="14" t="n">
        <v>1</v>
      </c>
      <c r="X81" s="14" t="str">
        <f aca="false">IF(T81="","",IF(AND(V81="PT",T81&lt;=AsOfDate),W81,0))</f>
        <v/>
      </c>
      <c r="Z81" s="17" t="n">
        <f aca="false">I81</f>
        <v>225</v>
      </c>
      <c r="AA81" s="17" t="n">
        <f aca="false">SMALL($Z$20:$Z$199,62)</f>
        <v>153</v>
      </c>
      <c r="AB81" s="17" t="str">
        <f aca="false">IF(62-COUNTIF($Z$20:$Z$199,"&lt;"&amp;AA81)=1,IF(COUNTIF($I$20:$I$109,AA81)&gt;0,"FT","PT"),"PT")</f>
        <v>FT</v>
      </c>
      <c r="AC81" s="17" t="n">
        <f aca="false">IF(AB81="FT",INDEX($N$20:$N$109,MATCH(AA81,$I$20:$I$109,0)),1)</f>
        <v>1</v>
      </c>
    </row>
    <row r="82" customFormat="false" ht="15" hidden="false" customHeight="false" outlineLevel="0" collapsed="false">
      <c r="H82" s="14" t="n">
        <v>63</v>
      </c>
      <c r="I82" s="14" t="n">
        <f aca="false">IF(62&lt;FT_PreY5,FT_First+FT_Int1*62,FT_Y5+FT_Int2*(62-FT_PreY5))</f>
        <v>228</v>
      </c>
      <c r="J82" s="14" t="str">
        <f aca="false">INT(I82/12)&amp;"y "&amp;MOD(I82,12)&amp;"m"</f>
        <v>19y 0m</v>
      </c>
      <c r="K82" s="12" t="str">
        <f aca="false">IF(OR($C$6&lt;&gt;"Yes",$C$8=""),"",EDATE($C$8,I82))</f>
        <v/>
      </c>
      <c r="L82" s="14" t="str">
        <f aca="false">IF(K82="","",IF($C$16=0,$C$9,IF(AND($C$14&lt;&gt;"",K82&gt;=$C$14),$C$15,IF(AND($C$12&lt;&gt;"",K82&gt;=$C$12),$C$13,$C$11))))</f>
        <v/>
      </c>
      <c r="M82" s="14" t="str">
        <f aca="false">IF(K82="","",IF(OR(ISNUMBER(SEARCH("full",L82)),UPPER(TRIM(L82))="FT",UPPER(TRIM(L82))="FTE"),"FT",IF(AND(OR(ISNUMBER(SEARCH("part",L82)),UPPER(TRIM(L82))="PT",UPPER(TRIM(L82))="PTE"),OR($C$10="",N($C$10)&gt;=PT_MinHours)),"PT","None")))</f>
        <v/>
      </c>
      <c r="N82" s="14" t="n">
        <f aca="false">IF(I82&lt;FT_Y5,1,IF(MOD(I82-FT_Y5,12)=0,FT_AnnivDays,1))</f>
        <v>2</v>
      </c>
      <c r="O82" s="14" t="str">
        <f aca="false">IF(K82="","",IF(AND(M82="FT",K82&lt;=AsOfDate),N82,0))</f>
        <v/>
      </c>
      <c r="Q82" s="14" t="n">
        <v>63</v>
      </c>
      <c r="R82" s="14" t="n">
        <f aca="false">PT_First+PT_Int*62</f>
        <v>308</v>
      </c>
      <c r="S82" s="14" t="str">
        <f aca="false">INT(R82/12)&amp;"y "&amp;MOD(R82,12)&amp;"m"</f>
        <v>25y 8m</v>
      </c>
      <c r="T82" s="12" t="str">
        <f aca="false">IF(OR($C$6&lt;&gt;"Yes",$C$8=""),"",EDATE($C$8,R82))</f>
        <v/>
      </c>
      <c r="U82" s="14" t="str">
        <f aca="false">IF(T82="","",IF($C$16=0,$C$9,IF(AND($C$14&lt;&gt;"",T82&gt;=$C$14),$C$15,IF(AND($C$12&lt;&gt;"",T82&gt;=$C$12),$C$13,$C$11))))</f>
        <v/>
      </c>
      <c r="V82" s="14" t="str">
        <f aca="false">IF(T82="","",IF(OR(ISNUMBER(SEARCH("full",U82)),UPPER(TRIM(U82))="FT",UPPER(TRIM(U82))="FTE"),"FT",IF(AND(OR(ISNUMBER(SEARCH("part",U82)),UPPER(TRIM(U82))="PT",UPPER(TRIM(U82))="PTE"),OR($C$10="",N($C$10)&gt;=PT_MinHours)),"PT","None")))</f>
        <v/>
      </c>
      <c r="W82" s="14" t="n">
        <v>1</v>
      </c>
      <c r="X82" s="14" t="str">
        <f aca="false">IF(T82="","",IF(AND(V82="PT",T82&lt;=AsOfDate),W82,0))</f>
        <v/>
      </c>
      <c r="Z82" s="17" t="n">
        <f aca="false">I82</f>
        <v>228</v>
      </c>
      <c r="AA82" s="17" t="n">
        <f aca="false">SMALL($Z$20:$Z$199,63)</f>
        <v>156</v>
      </c>
      <c r="AB82" s="17" t="str">
        <f aca="false">IF(63-COUNTIF($Z$20:$Z$199,"&lt;"&amp;AA82)=1,IF(COUNTIF($I$20:$I$109,AA82)&gt;0,"FT","PT"),"PT")</f>
        <v>FT</v>
      </c>
      <c r="AC82" s="17" t="n">
        <f aca="false">IF(AB82="FT",INDEX($N$20:$N$109,MATCH(AA82,$I$20:$I$109,0)),1)</f>
        <v>2</v>
      </c>
    </row>
    <row r="83" customFormat="false" ht="15" hidden="false" customHeight="false" outlineLevel="0" collapsed="false">
      <c r="H83" s="14" t="n">
        <v>64</v>
      </c>
      <c r="I83" s="14" t="n">
        <f aca="false">IF(63&lt;FT_PreY5,FT_First+FT_Int1*63,FT_Y5+FT_Int2*(63-FT_PreY5))</f>
        <v>231</v>
      </c>
      <c r="J83" s="14" t="str">
        <f aca="false">INT(I83/12)&amp;"y "&amp;MOD(I83,12)&amp;"m"</f>
        <v>19y 3m</v>
      </c>
      <c r="K83" s="12" t="str">
        <f aca="false">IF(OR($C$6&lt;&gt;"Yes",$C$8=""),"",EDATE($C$8,I83))</f>
        <v/>
      </c>
      <c r="L83" s="14" t="str">
        <f aca="false">IF(K83="","",IF($C$16=0,$C$9,IF(AND($C$14&lt;&gt;"",K83&gt;=$C$14),$C$15,IF(AND($C$12&lt;&gt;"",K83&gt;=$C$12),$C$13,$C$11))))</f>
        <v/>
      </c>
      <c r="M83" s="14" t="str">
        <f aca="false">IF(K83="","",IF(OR(ISNUMBER(SEARCH("full",L83)),UPPER(TRIM(L83))="FT",UPPER(TRIM(L83))="FTE"),"FT",IF(AND(OR(ISNUMBER(SEARCH("part",L83)),UPPER(TRIM(L83))="PT",UPPER(TRIM(L83))="PTE"),OR($C$10="",N($C$10)&gt;=PT_MinHours)),"PT","None")))</f>
        <v/>
      </c>
      <c r="N83" s="14" t="n">
        <f aca="false">IF(I83&lt;FT_Y5,1,IF(MOD(I83-FT_Y5,12)=0,FT_AnnivDays,1))</f>
        <v>1</v>
      </c>
      <c r="O83" s="14" t="str">
        <f aca="false">IF(K83="","",IF(AND(M83="FT",K83&lt;=AsOfDate),N83,0))</f>
        <v/>
      </c>
      <c r="Q83" s="14" t="n">
        <v>64</v>
      </c>
      <c r="R83" s="14" t="n">
        <f aca="false">PT_First+PT_Int*63</f>
        <v>312</v>
      </c>
      <c r="S83" s="14" t="str">
        <f aca="false">INT(R83/12)&amp;"y "&amp;MOD(R83,12)&amp;"m"</f>
        <v>26y 0m</v>
      </c>
      <c r="T83" s="12" t="str">
        <f aca="false">IF(OR($C$6&lt;&gt;"Yes",$C$8=""),"",EDATE($C$8,R83))</f>
        <v/>
      </c>
      <c r="U83" s="14" t="str">
        <f aca="false">IF(T83="","",IF($C$16=0,$C$9,IF(AND($C$14&lt;&gt;"",T83&gt;=$C$14),$C$15,IF(AND($C$12&lt;&gt;"",T83&gt;=$C$12),$C$13,$C$11))))</f>
        <v/>
      </c>
      <c r="V83" s="14" t="str">
        <f aca="false">IF(T83="","",IF(OR(ISNUMBER(SEARCH("full",U83)),UPPER(TRIM(U83))="FT",UPPER(TRIM(U83))="FTE"),"FT",IF(AND(OR(ISNUMBER(SEARCH("part",U83)),UPPER(TRIM(U83))="PT",UPPER(TRIM(U83))="PTE"),OR($C$10="",N($C$10)&gt;=PT_MinHours)),"PT","None")))</f>
        <v/>
      </c>
      <c r="W83" s="14" t="n">
        <v>1</v>
      </c>
      <c r="X83" s="14" t="str">
        <f aca="false">IF(T83="","",IF(AND(V83="PT",T83&lt;=AsOfDate),W83,0))</f>
        <v/>
      </c>
      <c r="Z83" s="17" t="n">
        <f aca="false">I83</f>
        <v>231</v>
      </c>
      <c r="AA83" s="17" t="n">
        <f aca="false">SMALL($Z$20:$Z$199,64)</f>
        <v>156</v>
      </c>
      <c r="AB83" s="17" t="str">
        <f aca="false">IF(64-COUNTIF($Z$20:$Z$199,"&lt;"&amp;AA83)=1,IF(COUNTIF($I$20:$I$109,AA83)&gt;0,"FT","PT"),"PT")</f>
        <v>PT</v>
      </c>
      <c r="AC83" s="17" t="n">
        <f aca="false">IF(AB83="FT",INDEX($N$20:$N$109,MATCH(AA83,$I$20:$I$109,0)),1)</f>
        <v>1</v>
      </c>
    </row>
    <row r="84" customFormat="false" ht="15" hidden="false" customHeight="false" outlineLevel="0" collapsed="false">
      <c r="H84" s="14" t="n">
        <v>65</v>
      </c>
      <c r="I84" s="14" t="n">
        <f aca="false">IF(64&lt;FT_PreY5,FT_First+FT_Int1*64,FT_Y5+FT_Int2*(64-FT_PreY5))</f>
        <v>234</v>
      </c>
      <c r="J84" s="14" t="str">
        <f aca="false">INT(I84/12)&amp;"y "&amp;MOD(I84,12)&amp;"m"</f>
        <v>19y 6m</v>
      </c>
      <c r="K84" s="12" t="str">
        <f aca="false">IF(OR($C$6&lt;&gt;"Yes",$C$8=""),"",EDATE($C$8,I84))</f>
        <v/>
      </c>
      <c r="L84" s="14" t="str">
        <f aca="false">IF(K84="","",IF($C$16=0,$C$9,IF(AND($C$14&lt;&gt;"",K84&gt;=$C$14),$C$15,IF(AND($C$12&lt;&gt;"",K84&gt;=$C$12),$C$13,$C$11))))</f>
        <v/>
      </c>
      <c r="M84" s="14" t="str">
        <f aca="false">IF(K84="","",IF(OR(ISNUMBER(SEARCH("full",L84)),UPPER(TRIM(L84))="FT",UPPER(TRIM(L84))="FTE"),"FT",IF(AND(OR(ISNUMBER(SEARCH("part",L84)),UPPER(TRIM(L84))="PT",UPPER(TRIM(L84))="PTE"),OR($C$10="",N($C$10)&gt;=PT_MinHours)),"PT","None")))</f>
        <v/>
      </c>
      <c r="N84" s="14" t="n">
        <f aca="false">IF(I84&lt;FT_Y5,1,IF(MOD(I84-FT_Y5,12)=0,FT_AnnivDays,1))</f>
        <v>1</v>
      </c>
      <c r="O84" s="14" t="str">
        <f aca="false">IF(K84="","",IF(AND(M84="FT",K84&lt;=AsOfDate),N84,0))</f>
        <v/>
      </c>
      <c r="Q84" s="14" t="n">
        <v>65</v>
      </c>
      <c r="R84" s="14" t="n">
        <f aca="false">PT_First+PT_Int*64</f>
        <v>316</v>
      </c>
      <c r="S84" s="14" t="str">
        <f aca="false">INT(R84/12)&amp;"y "&amp;MOD(R84,12)&amp;"m"</f>
        <v>26y 4m</v>
      </c>
      <c r="T84" s="12" t="str">
        <f aca="false">IF(OR($C$6&lt;&gt;"Yes",$C$8=""),"",EDATE($C$8,R84))</f>
        <v/>
      </c>
      <c r="U84" s="14" t="str">
        <f aca="false">IF(T84="","",IF($C$16=0,$C$9,IF(AND($C$14&lt;&gt;"",T84&gt;=$C$14),$C$15,IF(AND($C$12&lt;&gt;"",T84&gt;=$C$12),$C$13,$C$11))))</f>
        <v/>
      </c>
      <c r="V84" s="14" t="str">
        <f aca="false">IF(T84="","",IF(OR(ISNUMBER(SEARCH("full",U84)),UPPER(TRIM(U84))="FT",UPPER(TRIM(U84))="FTE"),"FT",IF(AND(OR(ISNUMBER(SEARCH("part",U84)),UPPER(TRIM(U84))="PT",UPPER(TRIM(U84))="PTE"),OR($C$10="",N($C$10)&gt;=PT_MinHours)),"PT","None")))</f>
        <v/>
      </c>
      <c r="W84" s="14" t="n">
        <v>1</v>
      </c>
      <c r="X84" s="14" t="str">
        <f aca="false">IF(T84="","",IF(AND(V84="PT",T84&lt;=AsOfDate),W84,0))</f>
        <v/>
      </c>
      <c r="Z84" s="17" t="n">
        <f aca="false">I84</f>
        <v>234</v>
      </c>
      <c r="AA84" s="17" t="n">
        <f aca="false">SMALL($Z$20:$Z$199,65)</f>
        <v>159</v>
      </c>
      <c r="AB84" s="17" t="str">
        <f aca="false">IF(65-COUNTIF($Z$20:$Z$199,"&lt;"&amp;AA84)=1,IF(COUNTIF($I$20:$I$109,AA84)&gt;0,"FT","PT"),"PT")</f>
        <v>FT</v>
      </c>
      <c r="AC84" s="17" t="n">
        <f aca="false">IF(AB84="FT",INDEX($N$20:$N$109,MATCH(AA84,$I$20:$I$109,0)),1)</f>
        <v>1</v>
      </c>
    </row>
    <row r="85" customFormat="false" ht="15" hidden="false" customHeight="false" outlineLevel="0" collapsed="false">
      <c r="H85" s="14" t="n">
        <v>66</v>
      </c>
      <c r="I85" s="14" t="n">
        <f aca="false">IF(65&lt;FT_PreY5,FT_First+FT_Int1*65,FT_Y5+FT_Int2*(65-FT_PreY5))</f>
        <v>237</v>
      </c>
      <c r="J85" s="14" t="str">
        <f aca="false">INT(I85/12)&amp;"y "&amp;MOD(I85,12)&amp;"m"</f>
        <v>19y 9m</v>
      </c>
      <c r="K85" s="12" t="str">
        <f aca="false">IF(OR($C$6&lt;&gt;"Yes",$C$8=""),"",EDATE($C$8,I85))</f>
        <v/>
      </c>
      <c r="L85" s="14" t="str">
        <f aca="false">IF(K85="","",IF($C$16=0,$C$9,IF(AND($C$14&lt;&gt;"",K85&gt;=$C$14),$C$15,IF(AND($C$12&lt;&gt;"",K85&gt;=$C$12),$C$13,$C$11))))</f>
        <v/>
      </c>
      <c r="M85" s="14" t="str">
        <f aca="false">IF(K85="","",IF(OR(ISNUMBER(SEARCH("full",L85)),UPPER(TRIM(L85))="FT",UPPER(TRIM(L85))="FTE"),"FT",IF(AND(OR(ISNUMBER(SEARCH("part",L85)),UPPER(TRIM(L85))="PT",UPPER(TRIM(L85))="PTE"),OR($C$10="",N($C$10)&gt;=PT_MinHours)),"PT","None")))</f>
        <v/>
      </c>
      <c r="N85" s="14" t="n">
        <f aca="false">IF(I85&lt;FT_Y5,1,IF(MOD(I85-FT_Y5,12)=0,FT_AnnivDays,1))</f>
        <v>1</v>
      </c>
      <c r="O85" s="14" t="str">
        <f aca="false">IF(K85="","",IF(AND(M85="FT",K85&lt;=AsOfDate),N85,0))</f>
        <v/>
      </c>
      <c r="Q85" s="14" t="n">
        <v>66</v>
      </c>
      <c r="R85" s="14" t="n">
        <f aca="false">PT_First+PT_Int*65</f>
        <v>320</v>
      </c>
      <c r="S85" s="14" t="str">
        <f aca="false">INT(R85/12)&amp;"y "&amp;MOD(R85,12)&amp;"m"</f>
        <v>26y 8m</v>
      </c>
      <c r="T85" s="12" t="str">
        <f aca="false">IF(OR($C$6&lt;&gt;"Yes",$C$8=""),"",EDATE($C$8,R85))</f>
        <v/>
      </c>
      <c r="U85" s="14" t="str">
        <f aca="false">IF(T85="","",IF($C$16=0,$C$9,IF(AND($C$14&lt;&gt;"",T85&gt;=$C$14),$C$15,IF(AND($C$12&lt;&gt;"",T85&gt;=$C$12),$C$13,$C$11))))</f>
        <v/>
      </c>
      <c r="V85" s="14" t="str">
        <f aca="false">IF(T85="","",IF(OR(ISNUMBER(SEARCH("full",U85)),UPPER(TRIM(U85))="FT",UPPER(TRIM(U85))="FTE"),"FT",IF(AND(OR(ISNUMBER(SEARCH("part",U85)),UPPER(TRIM(U85))="PT",UPPER(TRIM(U85))="PTE"),OR($C$10="",N($C$10)&gt;=PT_MinHours)),"PT","None")))</f>
        <v/>
      </c>
      <c r="W85" s="14" t="n">
        <v>1</v>
      </c>
      <c r="X85" s="14" t="str">
        <f aca="false">IF(T85="","",IF(AND(V85="PT",T85&lt;=AsOfDate),W85,0))</f>
        <v/>
      </c>
      <c r="Z85" s="17" t="n">
        <f aca="false">I85</f>
        <v>237</v>
      </c>
      <c r="AA85" s="17" t="n">
        <f aca="false">SMALL($Z$20:$Z$199,66)</f>
        <v>160</v>
      </c>
      <c r="AB85" s="17" t="str">
        <f aca="false">IF(66-COUNTIF($Z$20:$Z$199,"&lt;"&amp;AA85)=1,IF(COUNTIF($I$20:$I$109,AA85)&gt;0,"FT","PT"),"PT")</f>
        <v>PT</v>
      </c>
      <c r="AC85" s="17" t="n">
        <f aca="false">IF(AB85="FT",INDEX($N$20:$N$109,MATCH(AA85,$I$20:$I$109,0)),1)</f>
        <v>1</v>
      </c>
    </row>
    <row r="86" customFormat="false" ht="15" hidden="false" customHeight="false" outlineLevel="0" collapsed="false">
      <c r="H86" s="14" t="n">
        <v>67</v>
      </c>
      <c r="I86" s="14" t="n">
        <f aca="false">IF(66&lt;FT_PreY5,FT_First+FT_Int1*66,FT_Y5+FT_Int2*(66-FT_PreY5))</f>
        <v>240</v>
      </c>
      <c r="J86" s="14" t="str">
        <f aca="false">INT(I86/12)&amp;"y "&amp;MOD(I86,12)&amp;"m"</f>
        <v>20y 0m</v>
      </c>
      <c r="K86" s="12" t="str">
        <f aca="false">IF(OR($C$6&lt;&gt;"Yes",$C$8=""),"",EDATE($C$8,I86))</f>
        <v/>
      </c>
      <c r="L86" s="14" t="str">
        <f aca="false">IF(K86="","",IF($C$16=0,$C$9,IF(AND($C$14&lt;&gt;"",K86&gt;=$C$14),$C$15,IF(AND($C$12&lt;&gt;"",K86&gt;=$C$12),$C$13,$C$11))))</f>
        <v/>
      </c>
      <c r="M86" s="14" t="str">
        <f aca="false">IF(K86="","",IF(OR(ISNUMBER(SEARCH("full",L86)),UPPER(TRIM(L86))="FT",UPPER(TRIM(L86))="FTE"),"FT",IF(AND(OR(ISNUMBER(SEARCH("part",L86)),UPPER(TRIM(L86))="PT",UPPER(TRIM(L86))="PTE"),OR($C$10="",N($C$10)&gt;=PT_MinHours)),"PT","None")))</f>
        <v/>
      </c>
      <c r="N86" s="14" t="n">
        <f aca="false">IF(I86&lt;FT_Y5,1,IF(MOD(I86-FT_Y5,12)=0,FT_AnnivDays,1))</f>
        <v>2</v>
      </c>
      <c r="O86" s="14" t="str">
        <f aca="false">IF(K86="","",IF(AND(M86="FT",K86&lt;=AsOfDate),N86,0))</f>
        <v/>
      </c>
      <c r="Q86" s="14" t="n">
        <v>67</v>
      </c>
      <c r="R86" s="14" t="n">
        <f aca="false">PT_First+PT_Int*66</f>
        <v>324</v>
      </c>
      <c r="S86" s="14" t="str">
        <f aca="false">INT(R86/12)&amp;"y "&amp;MOD(R86,12)&amp;"m"</f>
        <v>27y 0m</v>
      </c>
      <c r="T86" s="12" t="str">
        <f aca="false">IF(OR($C$6&lt;&gt;"Yes",$C$8=""),"",EDATE($C$8,R86))</f>
        <v/>
      </c>
      <c r="U86" s="14" t="str">
        <f aca="false">IF(T86="","",IF($C$16=0,$C$9,IF(AND($C$14&lt;&gt;"",T86&gt;=$C$14),$C$15,IF(AND($C$12&lt;&gt;"",T86&gt;=$C$12),$C$13,$C$11))))</f>
        <v/>
      </c>
      <c r="V86" s="14" t="str">
        <f aca="false">IF(T86="","",IF(OR(ISNUMBER(SEARCH("full",U86)),UPPER(TRIM(U86))="FT",UPPER(TRIM(U86))="FTE"),"FT",IF(AND(OR(ISNUMBER(SEARCH("part",U86)),UPPER(TRIM(U86))="PT",UPPER(TRIM(U86))="PTE"),OR($C$10="",N($C$10)&gt;=PT_MinHours)),"PT","None")))</f>
        <v/>
      </c>
      <c r="W86" s="14" t="n">
        <v>1</v>
      </c>
      <c r="X86" s="14" t="str">
        <f aca="false">IF(T86="","",IF(AND(V86="PT",T86&lt;=AsOfDate),W86,0))</f>
        <v/>
      </c>
      <c r="Z86" s="17" t="n">
        <f aca="false">I86</f>
        <v>240</v>
      </c>
      <c r="AA86" s="17" t="n">
        <f aca="false">SMALL($Z$20:$Z$199,67)</f>
        <v>162</v>
      </c>
      <c r="AB86" s="17" t="str">
        <f aca="false">IF(67-COUNTIF($Z$20:$Z$199,"&lt;"&amp;AA86)=1,IF(COUNTIF($I$20:$I$109,AA86)&gt;0,"FT","PT"),"PT")</f>
        <v>FT</v>
      </c>
      <c r="AC86" s="17" t="n">
        <f aca="false">IF(AB86="FT",INDEX($N$20:$N$109,MATCH(AA86,$I$20:$I$109,0)),1)</f>
        <v>1</v>
      </c>
    </row>
    <row r="87" customFormat="false" ht="15" hidden="false" customHeight="false" outlineLevel="0" collapsed="false">
      <c r="H87" s="14" t="n">
        <v>68</v>
      </c>
      <c r="I87" s="14" t="n">
        <f aca="false">IF(67&lt;FT_PreY5,FT_First+FT_Int1*67,FT_Y5+FT_Int2*(67-FT_PreY5))</f>
        <v>243</v>
      </c>
      <c r="J87" s="14" t="str">
        <f aca="false">INT(I87/12)&amp;"y "&amp;MOD(I87,12)&amp;"m"</f>
        <v>20y 3m</v>
      </c>
      <c r="K87" s="12" t="str">
        <f aca="false">IF(OR($C$6&lt;&gt;"Yes",$C$8=""),"",EDATE($C$8,I87))</f>
        <v/>
      </c>
      <c r="L87" s="14" t="str">
        <f aca="false">IF(K87="","",IF($C$16=0,$C$9,IF(AND($C$14&lt;&gt;"",K87&gt;=$C$14),$C$15,IF(AND($C$12&lt;&gt;"",K87&gt;=$C$12),$C$13,$C$11))))</f>
        <v/>
      </c>
      <c r="M87" s="14" t="str">
        <f aca="false">IF(K87="","",IF(OR(ISNUMBER(SEARCH("full",L87)),UPPER(TRIM(L87))="FT",UPPER(TRIM(L87))="FTE"),"FT",IF(AND(OR(ISNUMBER(SEARCH("part",L87)),UPPER(TRIM(L87))="PT",UPPER(TRIM(L87))="PTE"),OR($C$10="",N($C$10)&gt;=PT_MinHours)),"PT","None")))</f>
        <v/>
      </c>
      <c r="N87" s="14" t="n">
        <f aca="false">IF(I87&lt;FT_Y5,1,IF(MOD(I87-FT_Y5,12)=0,FT_AnnivDays,1))</f>
        <v>1</v>
      </c>
      <c r="O87" s="14" t="str">
        <f aca="false">IF(K87="","",IF(AND(M87="FT",K87&lt;=AsOfDate),N87,0))</f>
        <v/>
      </c>
      <c r="Q87" s="14" t="n">
        <v>68</v>
      </c>
      <c r="R87" s="14" t="n">
        <f aca="false">PT_First+PT_Int*67</f>
        <v>328</v>
      </c>
      <c r="S87" s="14" t="str">
        <f aca="false">INT(R87/12)&amp;"y "&amp;MOD(R87,12)&amp;"m"</f>
        <v>27y 4m</v>
      </c>
      <c r="T87" s="12" t="str">
        <f aca="false">IF(OR($C$6&lt;&gt;"Yes",$C$8=""),"",EDATE($C$8,R87))</f>
        <v/>
      </c>
      <c r="U87" s="14" t="str">
        <f aca="false">IF(T87="","",IF($C$16=0,$C$9,IF(AND($C$14&lt;&gt;"",T87&gt;=$C$14),$C$15,IF(AND($C$12&lt;&gt;"",T87&gt;=$C$12),$C$13,$C$11))))</f>
        <v/>
      </c>
      <c r="V87" s="14" t="str">
        <f aca="false">IF(T87="","",IF(OR(ISNUMBER(SEARCH("full",U87)),UPPER(TRIM(U87))="FT",UPPER(TRIM(U87))="FTE"),"FT",IF(AND(OR(ISNUMBER(SEARCH("part",U87)),UPPER(TRIM(U87))="PT",UPPER(TRIM(U87))="PTE"),OR($C$10="",N($C$10)&gt;=PT_MinHours)),"PT","None")))</f>
        <v/>
      </c>
      <c r="W87" s="14" t="n">
        <v>1</v>
      </c>
      <c r="X87" s="14" t="str">
        <f aca="false">IF(T87="","",IF(AND(V87="PT",T87&lt;=AsOfDate),W87,0))</f>
        <v/>
      </c>
      <c r="Z87" s="17" t="n">
        <f aca="false">I87</f>
        <v>243</v>
      </c>
      <c r="AA87" s="17" t="n">
        <f aca="false">SMALL($Z$20:$Z$199,68)</f>
        <v>164</v>
      </c>
      <c r="AB87" s="17" t="str">
        <f aca="false">IF(68-COUNTIF($Z$20:$Z$199,"&lt;"&amp;AA87)=1,IF(COUNTIF($I$20:$I$109,AA87)&gt;0,"FT","PT"),"PT")</f>
        <v>PT</v>
      </c>
      <c r="AC87" s="17" t="n">
        <f aca="false">IF(AB87="FT",INDEX($N$20:$N$109,MATCH(AA87,$I$20:$I$109,0)),1)</f>
        <v>1</v>
      </c>
    </row>
    <row r="88" customFormat="false" ht="15" hidden="false" customHeight="false" outlineLevel="0" collapsed="false">
      <c r="H88" s="14" t="n">
        <v>69</v>
      </c>
      <c r="I88" s="14" t="n">
        <f aca="false">IF(68&lt;FT_PreY5,FT_First+FT_Int1*68,FT_Y5+FT_Int2*(68-FT_PreY5))</f>
        <v>246</v>
      </c>
      <c r="J88" s="14" t="str">
        <f aca="false">INT(I88/12)&amp;"y "&amp;MOD(I88,12)&amp;"m"</f>
        <v>20y 6m</v>
      </c>
      <c r="K88" s="12" t="str">
        <f aca="false">IF(OR($C$6&lt;&gt;"Yes",$C$8=""),"",EDATE($C$8,I88))</f>
        <v/>
      </c>
      <c r="L88" s="14" t="str">
        <f aca="false">IF(K88="","",IF($C$16=0,$C$9,IF(AND($C$14&lt;&gt;"",K88&gt;=$C$14),$C$15,IF(AND($C$12&lt;&gt;"",K88&gt;=$C$12),$C$13,$C$11))))</f>
        <v/>
      </c>
      <c r="M88" s="14" t="str">
        <f aca="false">IF(K88="","",IF(OR(ISNUMBER(SEARCH("full",L88)),UPPER(TRIM(L88))="FT",UPPER(TRIM(L88))="FTE"),"FT",IF(AND(OR(ISNUMBER(SEARCH("part",L88)),UPPER(TRIM(L88))="PT",UPPER(TRIM(L88))="PTE"),OR($C$10="",N($C$10)&gt;=PT_MinHours)),"PT","None")))</f>
        <v/>
      </c>
      <c r="N88" s="14" t="n">
        <f aca="false">IF(I88&lt;FT_Y5,1,IF(MOD(I88-FT_Y5,12)=0,FT_AnnivDays,1))</f>
        <v>1</v>
      </c>
      <c r="O88" s="14" t="str">
        <f aca="false">IF(K88="","",IF(AND(M88="FT",K88&lt;=AsOfDate),N88,0))</f>
        <v/>
      </c>
      <c r="Q88" s="14" t="n">
        <v>69</v>
      </c>
      <c r="R88" s="14" t="n">
        <f aca="false">PT_First+PT_Int*68</f>
        <v>332</v>
      </c>
      <c r="S88" s="14" t="str">
        <f aca="false">INT(R88/12)&amp;"y "&amp;MOD(R88,12)&amp;"m"</f>
        <v>27y 8m</v>
      </c>
      <c r="T88" s="12" t="str">
        <f aca="false">IF(OR($C$6&lt;&gt;"Yes",$C$8=""),"",EDATE($C$8,R88))</f>
        <v/>
      </c>
      <c r="U88" s="14" t="str">
        <f aca="false">IF(T88="","",IF($C$16=0,$C$9,IF(AND($C$14&lt;&gt;"",T88&gt;=$C$14),$C$15,IF(AND($C$12&lt;&gt;"",T88&gt;=$C$12),$C$13,$C$11))))</f>
        <v/>
      </c>
      <c r="V88" s="14" t="str">
        <f aca="false">IF(T88="","",IF(OR(ISNUMBER(SEARCH("full",U88)),UPPER(TRIM(U88))="FT",UPPER(TRIM(U88))="FTE"),"FT",IF(AND(OR(ISNUMBER(SEARCH("part",U88)),UPPER(TRIM(U88))="PT",UPPER(TRIM(U88))="PTE"),OR($C$10="",N($C$10)&gt;=PT_MinHours)),"PT","None")))</f>
        <v/>
      </c>
      <c r="W88" s="14" t="n">
        <v>1</v>
      </c>
      <c r="X88" s="14" t="str">
        <f aca="false">IF(T88="","",IF(AND(V88="PT",T88&lt;=AsOfDate),W88,0))</f>
        <v/>
      </c>
      <c r="Z88" s="17" t="n">
        <f aca="false">I88</f>
        <v>246</v>
      </c>
      <c r="AA88" s="17" t="n">
        <f aca="false">SMALL($Z$20:$Z$199,69)</f>
        <v>165</v>
      </c>
      <c r="AB88" s="17" t="str">
        <f aca="false">IF(69-COUNTIF($Z$20:$Z$199,"&lt;"&amp;AA88)=1,IF(COUNTIF($I$20:$I$109,AA88)&gt;0,"FT","PT"),"PT")</f>
        <v>FT</v>
      </c>
      <c r="AC88" s="17" t="n">
        <f aca="false">IF(AB88="FT",INDEX($N$20:$N$109,MATCH(AA88,$I$20:$I$109,0)),1)</f>
        <v>1</v>
      </c>
    </row>
    <row r="89" customFormat="false" ht="15" hidden="false" customHeight="false" outlineLevel="0" collapsed="false">
      <c r="H89" s="14" t="n">
        <v>70</v>
      </c>
      <c r="I89" s="14" t="n">
        <f aca="false">IF(69&lt;FT_PreY5,FT_First+FT_Int1*69,FT_Y5+FT_Int2*(69-FT_PreY5))</f>
        <v>249</v>
      </c>
      <c r="J89" s="14" t="str">
        <f aca="false">INT(I89/12)&amp;"y "&amp;MOD(I89,12)&amp;"m"</f>
        <v>20y 9m</v>
      </c>
      <c r="K89" s="12" t="str">
        <f aca="false">IF(OR($C$6&lt;&gt;"Yes",$C$8=""),"",EDATE($C$8,I89))</f>
        <v/>
      </c>
      <c r="L89" s="14" t="str">
        <f aca="false">IF(K89="","",IF($C$16=0,$C$9,IF(AND($C$14&lt;&gt;"",K89&gt;=$C$14),$C$15,IF(AND($C$12&lt;&gt;"",K89&gt;=$C$12),$C$13,$C$11))))</f>
        <v/>
      </c>
      <c r="M89" s="14" t="str">
        <f aca="false">IF(K89="","",IF(OR(ISNUMBER(SEARCH("full",L89)),UPPER(TRIM(L89))="FT",UPPER(TRIM(L89))="FTE"),"FT",IF(AND(OR(ISNUMBER(SEARCH("part",L89)),UPPER(TRIM(L89))="PT",UPPER(TRIM(L89))="PTE"),OR($C$10="",N($C$10)&gt;=PT_MinHours)),"PT","None")))</f>
        <v/>
      </c>
      <c r="N89" s="14" t="n">
        <f aca="false">IF(I89&lt;FT_Y5,1,IF(MOD(I89-FT_Y5,12)=0,FT_AnnivDays,1))</f>
        <v>1</v>
      </c>
      <c r="O89" s="14" t="str">
        <f aca="false">IF(K89="","",IF(AND(M89="FT",K89&lt;=AsOfDate),N89,0))</f>
        <v/>
      </c>
      <c r="Q89" s="14" t="n">
        <v>70</v>
      </c>
      <c r="R89" s="14" t="n">
        <f aca="false">PT_First+PT_Int*69</f>
        <v>336</v>
      </c>
      <c r="S89" s="14" t="str">
        <f aca="false">INT(R89/12)&amp;"y "&amp;MOD(R89,12)&amp;"m"</f>
        <v>28y 0m</v>
      </c>
      <c r="T89" s="12" t="str">
        <f aca="false">IF(OR($C$6&lt;&gt;"Yes",$C$8=""),"",EDATE($C$8,R89))</f>
        <v/>
      </c>
      <c r="U89" s="14" t="str">
        <f aca="false">IF(T89="","",IF($C$16=0,$C$9,IF(AND($C$14&lt;&gt;"",T89&gt;=$C$14),$C$15,IF(AND($C$12&lt;&gt;"",T89&gt;=$C$12),$C$13,$C$11))))</f>
        <v/>
      </c>
      <c r="V89" s="14" t="str">
        <f aca="false">IF(T89="","",IF(OR(ISNUMBER(SEARCH("full",U89)),UPPER(TRIM(U89))="FT",UPPER(TRIM(U89))="FTE"),"FT",IF(AND(OR(ISNUMBER(SEARCH("part",U89)),UPPER(TRIM(U89))="PT",UPPER(TRIM(U89))="PTE"),OR($C$10="",N($C$10)&gt;=PT_MinHours)),"PT","None")))</f>
        <v/>
      </c>
      <c r="W89" s="14" t="n">
        <v>1</v>
      </c>
      <c r="X89" s="14" t="str">
        <f aca="false">IF(T89="","",IF(AND(V89="PT",T89&lt;=AsOfDate),W89,0))</f>
        <v/>
      </c>
      <c r="Z89" s="17" t="n">
        <f aca="false">I89</f>
        <v>249</v>
      </c>
      <c r="AA89" s="17" t="n">
        <f aca="false">SMALL($Z$20:$Z$199,70)</f>
        <v>168</v>
      </c>
      <c r="AB89" s="17" t="str">
        <f aca="false">IF(70-COUNTIF($Z$20:$Z$199,"&lt;"&amp;AA89)=1,IF(COUNTIF($I$20:$I$109,AA89)&gt;0,"FT","PT"),"PT")</f>
        <v>FT</v>
      </c>
      <c r="AC89" s="17" t="n">
        <f aca="false">IF(AB89="FT",INDEX($N$20:$N$109,MATCH(AA89,$I$20:$I$109,0)),1)</f>
        <v>2</v>
      </c>
    </row>
    <row r="90" customFormat="false" ht="15" hidden="false" customHeight="false" outlineLevel="0" collapsed="false">
      <c r="H90" s="14" t="n">
        <v>71</v>
      </c>
      <c r="I90" s="14" t="n">
        <f aca="false">IF(70&lt;FT_PreY5,FT_First+FT_Int1*70,FT_Y5+FT_Int2*(70-FT_PreY5))</f>
        <v>252</v>
      </c>
      <c r="J90" s="14" t="str">
        <f aca="false">INT(I90/12)&amp;"y "&amp;MOD(I90,12)&amp;"m"</f>
        <v>21y 0m</v>
      </c>
      <c r="K90" s="12" t="str">
        <f aca="false">IF(OR($C$6&lt;&gt;"Yes",$C$8=""),"",EDATE($C$8,I90))</f>
        <v/>
      </c>
      <c r="L90" s="14" t="str">
        <f aca="false">IF(K90="","",IF($C$16=0,$C$9,IF(AND($C$14&lt;&gt;"",K90&gt;=$C$14),$C$15,IF(AND($C$12&lt;&gt;"",K90&gt;=$C$12),$C$13,$C$11))))</f>
        <v/>
      </c>
      <c r="M90" s="14" t="str">
        <f aca="false">IF(K90="","",IF(OR(ISNUMBER(SEARCH("full",L90)),UPPER(TRIM(L90))="FT",UPPER(TRIM(L90))="FTE"),"FT",IF(AND(OR(ISNUMBER(SEARCH("part",L90)),UPPER(TRIM(L90))="PT",UPPER(TRIM(L90))="PTE"),OR($C$10="",N($C$10)&gt;=PT_MinHours)),"PT","None")))</f>
        <v/>
      </c>
      <c r="N90" s="14" t="n">
        <f aca="false">IF(I90&lt;FT_Y5,1,IF(MOD(I90-FT_Y5,12)=0,FT_AnnivDays,1))</f>
        <v>2</v>
      </c>
      <c r="O90" s="14" t="str">
        <f aca="false">IF(K90="","",IF(AND(M90="FT",K90&lt;=AsOfDate),N90,0))</f>
        <v/>
      </c>
      <c r="Q90" s="14" t="n">
        <v>71</v>
      </c>
      <c r="R90" s="14" t="n">
        <f aca="false">PT_First+PT_Int*70</f>
        <v>340</v>
      </c>
      <c r="S90" s="14" t="str">
        <f aca="false">INT(R90/12)&amp;"y "&amp;MOD(R90,12)&amp;"m"</f>
        <v>28y 4m</v>
      </c>
      <c r="T90" s="12" t="str">
        <f aca="false">IF(OR($C$6&lt;&gt;"Yes",$C$8=""),"",EDATE($C$8,R90))</f>
        <v/>
      </c>
      <c r="U90" s="14" t="str">
        <f aca="false">IF(T90="","",IF($C$16=0,$C$9,IF(AND($C$14&lt;&gt;"",T90&gt;=$C$14),$C$15,IF(AND($C$12&lt;&gt;"",T90&gt;=$C$12),$C$13,$C$11))))</f>
        <v/>
      </c>
      <c r="V90" s="14" t="str">
        <f aca="false">IF(T90="","",IF(OR(ISNUMBER(SEARCH("full",U90)),UPPER(TRIM(U90))="FT",UPPER(TRIM(U90))="FTE"),"FT",IF(AND(OR(ISNUMBER(SEARCH("part",U90)),UPPER(TRIM(U90))="PT",UPPER(TRIM(U90))="PTE"),OR($C$10="",N($C$10)&gt;=PT_MinHours)),"PT","None")))</f>
        <v/>
      </c>
      <c r="W90" s="14" t="n">
        <v>1</v>
      </c>
      <c r="X90" s="14" t="str">
        <f aca="false">IF(T90="","",IF(AND(V90="PT",T90&lt;=AsOfDate),W90,0))</f>
        <v/>
      </c>
      <c r="Z90" s="17" t="n">
        <f aca="false">I90</f>
        <v>252</v>
      </c>
      <c r="AA90" s="17" t="n">
        <f aca="false">SMALL($Z$20:$Z$199,71)</f>
        <v>168</v>
      </c>
      <c r="AB90" s="17" t="str">
        <f aca="false">IF(71-COUNTIF($Z$20:$Z$199,"&lt;"&amp;AA90)=1,IF(COUNTIF($I$20:$I$109,AA90)&gt;0,"FT","PT"),"PT")</f>
        <v>PT</v>
      </c>
      <c r="AC90" s="17" t="n">
        <f aca="false">IF(AB90="FT",INDEX($N$20:$N$109,MATCH(AA90,$I$20:$I$109,0)),1)</f>
        <v>1</v>
      </c>
    </row>
    <row r="91" customFormat="false" ht="15" hidden="false" customHeight="false" outlineLevel="0" collapsed="false">
      <c r="H91" s="14" t="n">
        <v>72</v>
      </c>
      <c r="I91" s="14" t="n">
        <f aca="false">IF(71&lt;FT_PreY5,FT_First+FT_Int1*71,FT_Y5+FT_Int2*(71-FT_PreY5))</f>
        <v>255</v>
      </c>
      <c r="J91" s="14" t="str">
        <f aca="false">INT(I91/12)&amp;"y "&amp;MOD(I91,12)&amp;"m"</f>
        <v>21y 3m</v>
      </c>
      <c r="K91" s="12" t="str">
        <f aca="false">IF(OR($C$6&lt;&gt;"Yes",$C$8=""),"",EDATE($C$8,I91))</f>
        <v/>
      </c>
      <c r="L91" s="14" t="str">
        <f aca="false">IF(K91="","",IF($C$16=0,$C$9,IF(AND($C$14&lt;&gt;"",K91&gt;=$C$14),$C$15,IF(AND($C$12&lt;&gt;"",K91&gt;=$C$12),$C$13,$C$11))))</f>
        <v/>
      </c>
      <c r="M91" s="14" t="str">
        <f aca="false">IF(K91="","",IF(OR(ISNUMBER(SEARCH("full",L91)),UPPER(TRIM(L91))="FT",UPPER(TRIM(L91))="FTE"),"FT",IF(AND(OR(ISNUMBER(SEARCH("part",L91)),UPPER(TRIM(L91))="PT",UPPER(TRIM(L91))="PTE"),OR($C$10="",N($C$10)&gt;=PT_MinHours)),"PT","None")))</f>
        <v/>
      </c>
      <c r="N91" s="14" t="n">
        <f aca="false">IF(I91&lt;FT_Y5,1,IF(MOD(I91-FT_Y5,12)=0,FT_AnnivDays,1))</f>
        <v>1</v>
      </c>
      <c r="O91" s="14" t="str">
        <f aca="false">IF(K91="","",IF(AND(M91="FT",K91&lt;=AsOfDate),N91,0))</f>
        <v/>
      </c>
      <c r="Q91" s="14" t="n">
        <v>72</v>
      </c>
      <c r="R91" s="14" t="n">
        <f aca="false">PT_First+PT_Int*71</f>
        <v>344</v>
      </c>
      <c r="S91" s="14" t="str">
        <f aca="false">INT(R91/12)&amp;"y "&amp;MOD(R91,12)&amp;"m"</f>
        <v>28y 8m</v>
      </c>
      <c r="T91" s="12" t="str">
        <f aca="false">IF(OR($C$6&lt;&gt;"Yes",$C$8=""),"",EDATE($C$8,R91))</f>
        <v/>
      </c>
      <c r="U91" s="14" t="str">
        <f aca="false">IF(T91="","",IF($C$16=0,$C$9,IF(AND($C$14&lt;&gt;"",T91&gt;=$C$14),$C$15,IF(AND($C$12&lt;&gt;"",T91&gt;=$C$12),$C$13,$C$11))))</f>
        <v/>
      </c>
      <c r="V91" s="14" t="str">
        <f aca="false">IF(T91="","",IF(OR(ISNUMBER(SEARCH("full",U91)),UPPER(TRIM(U91))="FT",UPPER(TRIM(U91))="FTE"),"FT",IF(AND(OR(ISNUMBER(SEARCH("part",U91)),UPPER(TRIM(U91))="PT",UPPER(TRIM(U91))="PTE"),OR($C$10="",N($C$10)&gt;=PT_MinHours)),"PT","None")))</f>
        <v/>
      </c>
      <c r="W91" s="14" t="n">
        <v>1</v>
      </c>
      <c r="X91" s="14" t="str">
        <f aca="false">IF(T91="","",IF(AND(V91="PT",T91&lt;=AsOfDate),W91,0))</f>
        <v/>
      </c>
      <c r="Z91" s="17" t="n">
        <f aca="false">I91</f>
        <v>255</v>
      </c>
      <c r="AA91" s="17" t="n">
        <f aca="false">SMALL($Z$20:$Z$199,72)</f>
        <v>171</v>
      </c>
      <c r="AB91" s="17" t="str">
        <f aca="false">IF(72-COUNTIF($Z$20:$Z$199,"&lt;"&amp;AA91)=1,IF(COUNTIF($I$20:$I$109,AA91)&gt;0,"FT","PT"),"PT")</f>
        <v>FT</v>
      </c>
      <c r="AC91" s="17" t="n">
        <f aca="false">IF(AB91="FT",INDEX($N$20:$N$109,MATCH(AA91,$I$20:$I$109,0)),1)</f>
        <v>1</v>
      </c>
    </row>
    <row r="92" customFormat="false" ht="15" hidden="false" customHeight="false" outlineLevel="0" collapsed="false">
      <c r="H92" s="14" t="n">
        <v>73</v>
      </c>
      <c r="I92" s="14" t="n">
        <f aca="false">IF(72&lt;FT_PreY5,FT_First+FT_Int1*72,FT_Y5+FT_Int2*(72-FT_PreY5))</f>
        <v>258</v>
      </c>
      <c r="J92" s="14" t="str">
        <f aca="false">INT(I92/12)&amp;"y "&amp;MOD(I92,12)&amp;"m"</f>
        <v>21y 6m</v>
      </c>
      <c r="K92" s="12" t="str">
        <f aca="false">IF(OR($C$6&lt;&gt;"Yes",$C$8=""),"",EDATE($C$8,I92))</f>
        <v/>
      </c>
      <c r="L92" s="14" t="str">
        <f aca="false">IF(K92="","",IF($C$16=0,$C$9,IF(AND($C$14&lt;&gt;"",K92&gt;=$C$14),$C$15,IF(AND($C$12&lt;&gt;"",K92&gt;=$C$12),$C$13,$C$11))))</f>
        <v/>
      </c>
      <c r="M92" s="14" t="str">
        <f aca="false">IF(K92="","",IF(OR(ISNUMBER(SEARCH("full",L92)),UPPER(TRIM(L92))="FT",UPPER(TRIM(L92))="FTE"),"FT",IF(AND(OR(ISNUMBER(SEARCH("part",L92)),UPPER(TRIM(L92))="PT",UPPER(TRIM(L92))="PTE"),OR($C$10="",N($C$10)&gt;=PT_MinHours)),"PT","None")))</f>
        <v/>
      </c>
      <c r="N92" s="14" t="n">
        <f aca="false">IF(I92&lt;FT_Y5,1,IF(MOD(I92-FT_Y5,12)=0,FT_AnnivDays,1))</f>
        <v>1</v>
      </c>
      <c r="O92" s="14" t="str">
        <f aca="false">IF(K92="","",IF(AND(M92="FT",K92&lt;=AsOfDate),N92,0))</f>
        <v/>
      </c>
      <c r="Q92" s="14" t="n">
        <v>73</v>
      </c>
      <c r="R92" s="14" t="n">
        <f aca="false">PT_First+PT_Int*72</f>
        <v>348</v>
      </c>
      <c r="S92" s="14" t="str">
        <f aca="false">INT(R92/12)&amp;"y "&amp;MOD(R92,12)&amp;"m"</f>
        <v>29y 0m</v>
      </c>
      <c r="T92" s="12" t="str">
        <f aca="false">IF(OR($C$6&lt;&gt;"Yes",$C$8=""),"",EDATE($C$8,R92))</f>
        <v/>
      </c>
      <c r="U92" s="14" t="str">
        <f aca="false">IF(T92="","",IF($C$16=0,$C$9,IF(AND($C$14&lt;&gt;"",T92&gt;=$C$14),$C$15,IF(AND($C$12&lt;&gt;"",T92&gt;=$C$12),$C$13,$C$11))))</f>
        <v/>
      </c>
      <c r="V92" s="14" t="str">
        <f aca="false">IF(T92="","",IF(OR(ISNUMBER(SEARCH("full",U92)),UPPER(TRIM(U92))="FT",UPPER(TRIM(U92))="FTE"),"FT",IF(AND(OR(ISNUMBER(SEARCH("part",U92)),UPPER(TRIM(U92))="PT",UPPER(TRIM(U92))="PTE"),OR($C$10="",N($C$10)&gt;=PT_MinHours)),"PT","None")))</f>
        <v/>
      </c>
      <c r="W92" s="14" t="n">
        <v>1</v>
      </c>
      <c r="X92" s="14" t="str">
        <f aca="false">IF(T92="","",IF(AND(V92="PT",T92&lt;=AsOfDate),W92,0))</f>
        <v/>
      </c>
      <c r="Z92" s="17" t="n">
        <f aca="false">I92</f>
        <v>258</v>
      </c>
      <c r="AA92" s="17" t="n">
        <f aca="false">SMALL($Z$20:$Z$199,73)</f>
        <v>172</v>
      </c>
      <c r="AB92" s="17" t="str">
        <f aca="false">IF(73-COUNTIF($Z$20:$Z$199,"&lt;"&amp;AA92)=1,IF(COUNTIF($I$20:$I$109,AA92)&gt;0,"FT","PT"),"PT")</f>
        <v>PT</v>
      </c>
      <c r="AC92" s="17" t="n">
        <f aca="false">IF(AB92="FT",INDEX($N$20:$N$109,MATCH(AA92,$I$20:$I$109,0)),1)</f>
        <v>1</v>
      </c>
    </row>
    <row r="93" customFormat="false" ht="15" hidden="false" customHeight="false" outlineLevel="0" collapsed="false">
      <c r="H93" s="14" t="n">
        <v>74</v>
      </c>
      <c r="I93" s="14" t="n">
        <f aca="false">IF(73&lt;FT_PreY5,FT_First+FT_Int1*73,FT_Y5+FT_Int2*(73-FT_PreY5))</f>
        <v>261</v>
      </c>
      <c r="J93" s="14" t="str">
        <f aca="false">INT(I93/12)&amp;"y "&amp;MOD(I93,12)&amp;"m"</f>
        <v>21y 9m</v>
      </c>
      <c r="K93" s="12" t="str">
        <f aca="false">IF(OR($C$6&lt;&gt;"Yes",$C$8=""),"",EDATE($C$8,I93))</f>
        <v/>
      </c>
      <c r="L93" s="14" t="str">
        <f aca="false">IF(K93="","",IF($C$16=0,$C$9,IF(AND($C$14&lt;&gt;"",K93&gt;=$C$14),$C$15,IF(AND($C$12&lt;&gt;"",K93&gt;=$C$12),$C$13,$C$11))))</f>
        <v/>
      </c>
      <c r="M93" s="14" t="str">
        <f aca="false">IF(K93="","",IF(OR(ISNUMBER(SEARCH("full",L93)),UPPER(TRIM(L93))="FT",UPPER(TRIM(L93))="FTE"),"FT",IF(AND(OR(ISNUMBER(SEARCH("part",L93)),UPPER(TRIM(L93))="PT",UPPER(TRIM(L93))="PTE"),OR($C$10="",N($C$10)&gt;=PT_MinHours)),"PT","None")))</f>
        <v/>
      </c>
      <c r="N93" s="14" t="n">
        <f aca="false">IF(I93&lt;FT_Y5,1,IF(MOD(I93-FT_Y5,12)=0,FT_AnnivDays,1))</f>
        <v>1</v>
      </c>
      <c r="O93" s="14" t="str">
        <f aca="false">IF(K93="","",IF(AND(M93="FT",K93&lt;=AsOfDate),N93,0))</f>
        <v/>
      </c>
      <c r="Q93" s="14" t="n">
        <v>74</v>
      </c>
      <c r="R93" s="14" t="n">
        <f aca="false">PT_First+PT_Int*73</f>
        <v>352</v>
      </c>
      <c r="S93" s="14" t="str">
        <f aca="false">INT(R93/12)&amp;"y "&amp;MOD(R93,12)&amp;"m"</f>
        <v>29y 4m</v>
      </c>
      <c r="T93" s="12" t="str">
        <f aca="false">IF(OR($C$6&lt;&gt;"Yes",$C$8=""),"",EDATE($C$8,R93))</f>
        <v/>
      </c>
      <c r="U93" s="14" t="str">
        <f aca="false">IF(T93="","",IF($C$16=0,$C$9,IF(AND($C$14&lt;&gt;"",T93&gt;=$C$14),$C$15,IF(AND($C$12&lt;&gt;"",T93&gt;=$C$12),$C$13,$C$11))))</f>
        <v/>
      </c>
      <c r="V93" s="14" t="str">
        <f aca="false">IF(T93="","",IF(OR(ISNUMBER(SEARCH("full",U93)),UPPER(TRIM(U93))="FT",UPPER(TRIM(U93))="FTE"),"FT",IF(AND(OR(ISNUMBER(SEARCH("part",U93)),UPPER(TRIM(U93))="PT",UPPER(TRIM(U93))="PTE"),OR($C$10="",N($C$10)&gt;=PT_MinHours)),"PT","None")))</f>
        <v/>
      </c>
      <c r="W93" s="14" t="n">
        <v>1</v>
      </c>
      <c r="X93" s="14" t="str">
        <f aca="false">IF(T93="","",IF(AND(V93="PT",T93&lt;=AsOfDate),W93,0))</f>
        <v/>
      </c>
      <c r="Z93" s="17" t="n">
        <f aca="false">I93</f>
        <v>261</v>
      </c>
      <c r="AA93" s="17" t="n">
        <f aca="false">SMALL($Z$20:$Z$199,74)</f>
        <v>174</v>
      </c>
      <c r="AB93" s="17" t="str">
        <f aca="false">IF(74-COUNTIF($Z$20:$Z$199,"&lt;"&amp;AA93)=1,IF(COUNTIF($I$20:$I$109,AA93)&gt;0,"FT","PT"),"PT")</f>
        <v>FT</v>
      </c>
      <c r="AC93" s="17" t="n">
        <f aca="false">IF(AB93="FT",INDEX($N$20:$N$109,MATCH(AA93,$I$20:$I$109,0)),1)</f>
        <v>1</v>
      </c>
    </row>
    <row r="94" customFormat="false" ht="15" hidden="false" customHeight="false" outlineLevel="0" collapsed="false">
      <c r="H94" s="14" t="n">
        <v>75</v>
      </c>
      <c r="I94" s="14" t="n">
        <f aca="false">IF(74&lt;FT_PreY5,FT_First+FT_Int1*74,FT_Y5+FT_Int2*(74-FT_PreY5))</f>
        <v>264</v>
      </c>
      <c r="J94" s="14" t="str">
        <f aca="false">INT(I94/12)&amp;"y "&amp;MOD(I94,12)&amp;"m"</f>
        <v>22y 0m</v>
      </c>
      <c r="K94" s="12" t="str">
        <f aca="false">IF(OR($C$6&lt;&gt;"Yes",$C$8=""),"",EDATE($C$8,I94))</f>
        <v/>
      </c>
      <c r="L94" s="14" t="str">
        <f aca="false">IF(K94="","",IF($C$16=0,$C$9,IF(AND($C$14&lt;&gt;"",K94&gt;=$C$14),$C$15,IF(AND($C$12&lt;&gt;"",K94&gt;=$C$12),$C$13,$C$11))))</f>
        <v/>
      </c>
      <c r="M94" s="14" t="str">
        <f aca="false">IF(K94="","",IF(OR(ISNUMBER(SEARCH("full",L94)),UPPER(TRIM(L94))="FT",UPPER(TRIM(L94))="FTE"),"FT",IF(AND(OR(ISNUMBER(SEARCH("part",L94)),UPPER(TRIM(L94))="PT",UPPER(TRIM(L94))="PTE"),OR($C$10="",N($C$10)&gt;=PT_MinHours)),"PT","None")))</f>
        <v/>
      </c>
      <c r="N94" s="14" t="n">
        <f aca="false">IF(I94&lt;FT_Y5,1,IF(MOD(I94-FT_Y5,12)=0,FT_AnnivDays,1))</f>
        <v>2</v>
      </c>
      <c r="O94" s="14" t="str">
        <f aca="false">IF(K94="","",IF(AND(M94="FT",K94&lt;=AsOfDate),N94,0))</f>
        <v/>
      </c>
      <c r="Q94" s="14" t="n">
        <v>75</v>
      </c>
      <c r="R94" s="14" t="n">
        <f aca="false">PT_First+PT_Int*74</f>
        <v>356</v>
      </c>
      <c r="S94" s="14" t="str">
        <f aca="false">INT(R94/12)&amp;"y "&amp;MOD(R94,12)&amp;"m"</f>
        <v>29y 8m</v>
      </c>
      <c r="T94" s="12" t="str">
        <f aca="false">IF(OR($C$6&lt;&gt;"Yes",$C$8=""),"",EDATE($C$8,R94))</f>
        <v/>
      </c>
      <c r="U94" s="14" t="str">
        <f aca="false">IF(T94="","",IF($C$16=0,$C$9,IF(AND($C$14&lt;&gt;"",T94&gt;=$C$14),$C$15,IF(AND($C$12&lt;&gt;"",T94&gt;=$C$12),$C$13,$C$11))))</f>
        <v/>
      </c>
      <c r="V94" s="14" t="str">
        <f aca="false">IF(T94="","",IF(OR(ISNUMBER(SEARCH("full",U94)),UPPER(TRIM(U94))="FT",UPPER(TRIM(U94))="FTE"),"FT",IF(AND(OR(ISNUMBER(SEARCH("part",U94)),UPPER(TRIM(U94))="PT",UPPER(TRIM(U94))="PTE"),OR($C$10="",N($C$10)&gt;=PT_MinHours)),"PT","None")))</f>
        <v/>
      </c>
      <c r="W94" s="14" t="n">
        <v>1</v>
      </c>
      <c r="X94" s="14" t="str">
        <f aca="false">IF(T94="","",IF(AND(V94="PT",T94&lt;=AsOfDate),W94,0))</f>
        <v/>
      </c>
      <c r="Z94" s="17" t="n">
        <f aca="false">I94</f>
        <v>264</v>
      </c>
      <c r="AA94" s="17" t="n">
        <f aca="false">SMALL($Z$20:$Z$199,75)</f>
        <v>176</v>
      </c>
      <c r="AB94" s="17" t="str">
        <f aca="false">IF(75-COUNTIF($Z$20:$Z$199,"&lt;"&amp;AA94)=1,IF(COUNTIF($I$20:$I$109,AA94)&gt;0,"FT","PT"),"PT")</f>
        <v>PT</v>
      </c>
      <c r="AC94" s="17" t="n">
        <f aca="false">IF(AB94="FT",INDEX($N$20:$N$109,MATCH(AA94,$I$20:$I$109,0)),1)</f>
        <v>1</v>
      </c>
    </row>
    <row r="95" customFormat="false" ht="15" hidden="false" customHeight="false" outlineLevel="0" collapsed="false">
      <c r="H95" s="14" t="n">
        <v>76</v>
      </c>
      <c r="I95" s="14" t="n">
        <f aca="false">IF(75&lt;FT_PreY5,FT_First+FT_Int1*75,FT_Y5+FT_Int2*(75-FT_PreY5))</f>
        <v>267</v>
      </c>
      <c r="J95" s="14" t="str">
        <f aca="false">INT(I95/12)&amp;"y "&amp;MOD(I95,12)&amp;"m"</f>
        <v>22y 3m</v>
      </c>
      <c r="K95" s="12" t="str">
        <f aca="false">IF(OR($C$6&lt;&gt;"Yes",$C$8=""),"",EDATE($C$8,I95))</f>
        <v/>
      </c>
      <c r="L95" s="14" t="str">
        <f aca="false">IF(K95="","",IF($C$16=0,$C$9,IF(AND($C$14&lt;&gt;"",K95&gt;=$C$14),$C$15,IF(AND($C$12&lt;&gt;"",K95&gt;=$C$12),$C$13,$C$11))))</f>
        <v/>
      </c>
      <c r="M95" s="14" t="str">
        <f aca="false">IF(K95="","",IF(OR(ISNUMBER(SEARCH("full",L95)),UPPER(TRIM(L95))="FT",UPPER(TRIM(L95))="FTE"),"FT",IF(AND(OR(ISNUMBER(SEARCH("part",L95)),UPPER(TRIM(L95))="PT",UPPER(TRIM(L95))="PTE"),OR($C$10="",N($C$10)&gt;=PT_MinHours)),"PT","None")))</f>
        <v/>
      </c>
      <c r="N95" s="14" t="n">
        <f aca="false">IF(I95&lt;FT_Y5,1,IF(MOD(I95-FT_Y5,12)=0,FT_AnnivDays,1))</f>
        <v>1</v>
      </c>
      <c r="O95" s="14" t="str">
        <f aca="false">IF(K95="","",IF(AND(M95="FT",K95&lt;=AsOfDate),N95,0))</f>
        <v/>
      </c>
      <c r="Q95" s="14" t="n">
        <v>76</v>
      </c>
      <c r="R95" s="14" t="n">
        <f aca="false">PT_First+PT_Int*75</f>
        <v>360</v>
      </c>
      <c r="S95" s="14" t="str">
        <f aca="false">INT(R95/12)&amp;"y "&amp;MOD(R95,12)&amp;"m"</f>
        <v>30y 0m</v>
      </c>
      <c r="T95" s="12" t="str">
        <f aca="false">IF(OR($C$6&lt;&gt;"Yes",$C$8=""),"",EDATE($C$8,R95))</f>
        <v/>
      </c>
      <c r="U95" s="14" t="str">
        <f aca="false">IF(T95="","",IF($C$16=0,$C$9,IF(AND($C$14&lt;&gt;"",T95&gt;=$C$14),$C$15,IF(AND($C$12&lt;&gt;"",T95&gt;=$C$12),$C$13,$C$11))))</f>
        <v/>
      </c>
      <c r="V95" s="14" t="str">
        <f aca="false">IF(T95="","",IF(OR(ISNUMBER(SEARCH("full",U95)),UPPER(TRIM(U95))="FT",UPPER(TRIM(U95))="FTE"),"FT",IF(AND(OR(ISNUMBER(SEARCH("part",U95)),UPPER(TRIM(U95))="PT",UPPER(TRIM(U95))="PTE"),OR($C$10="",N($C$10)&gt;=PT_MinHours)),"PT","None")))</f>
        <v/>
      </c>
      <c r="W95" s="14" t="n">
        <v>1</v>
      </c>
      <c r="X95" s="14" t="str">
        <f aca="false">IF(T95="","",IF(AND(V95="PT",T95&lt;=AsOfDate),W95,0))</f>
        <v/>
      </c>
      <c r="Z95" s="17" t="n">
        <f aca="false">I95</f>
        <v>267</v>
      </c>
      <c r="AA95" s="17" t="n">
        <f aca="false">SMALL($Z$20:$Z$199,76)</f>
        <v>177</v>
      </c>
      <c r="AB95" s="17" t="str">
        <f aca="false">IF(76-COUNTIF($Z$20:$Z$199,"&lt;"&amp;AA95)=1,IF(COUNTIF($I$20:$I$109,AA95)&gt;0,"FT","PT"),"PT")</f>
        <v>FT</v>
      </c>
      <c r="AC95" s="17" t="n">
        <f aca="false">IF(AB95="FT",INDEX($N$20:$N$109,MATCH(AA95,$I$20:$I$109,0)),1)</f>
        <v>1</v>
      </c>
    </row>
    <row r="96" customFormat="false" ht="15" hidden="false" customHeight="false" outlineLevel="0" collapsed="false">
      <c r="H96" s="14" t="n">
        <v>77</v>
      </c>
      <c r="I96" s="14" t="n">
        <f aca="false">IF(76&lt;FT_PreY5,FT_First+FT_Int1*76,FT_Y5+FT_Int2*(76-FT_PreY5))</f>
        <v>270</v>
      </c>
      <c r="J96" s="14" t="str">
        <f aca="false">INT(I96/12)&amp;"y "&amp;MOD(I96,12)&amp;"m"</f>
        <v>22y 6m</v>
      </c>
      <c r="K96" s="12" t="str">
        <f aca="false">IF(OR($C$6&lt;&gt;"Yes",$C$8=""),"",EDATE($C$8,I96))</f>
        <v/>
      </c>
      <c r="L96" s="14" t="str">
        <f aca="false">IF(K96="","",IF($C$16=0,$C$9,IF(AND($C$14&lt;&gt;"",K96&gt;=$C$14),$C$15,IF(AND($C$12&lt;&gt;"",K96&gt;=$C$12),$C$13,$C$11))))</f>
        <v/>
      </c>
      <c r="M96" s="14" t="str">
        <f aca="false">IF(K96="","",IF(OR(ISNUMBER(SEARCH("full",L96)),UPPER(TRIM(L96))="FT",UPPER(TRIM(L96))="FTE"),"FT",IF(AND(OR(ISNUMBER(SEARCH("part",L96)),UPPER(TRIM(L96))="PT",UPPER(TRIM(L96))="PTE"),OR($C$10="",N($C$10)&gt;=PT_MinHours)),"PT","None")))</f>
        <v/>
      </c>
      <c r="N96" s="14" t="n">
        <f aca="false">IF(I96&lt;FT_Y5,1,IF(MOD(I96-FT_Y5,12)=0,FT_AnnivDays,1))</f>
        <v>1</v>
      </c>
      <c r="O96" s="14" t="str">
        <f aca="false">IF(K96="","",IF(AND(M96="FT",K96&lt;=AsOfDate),N96,0))</f>
        <v/>
      </c>
      <c r="Q96" s="14" t="n">
        <v>77</v>
      </c>
      <c r="R96" s="14" t="n">
        <f aca="false">PT_First+PT_Int*76</f>
        <v>364</v>
      </c>
      <c r="S96" s="14" t="str">
        <f aca="false">INT(R96/12)&amp;"y "&amp;MOD(R96,12)&amp;"m"</f>
        <v>30y 4m</v>
      </c>
      <c r="T96" s="12" t="str">
        <f aca="false">IF(OR($C$6&lt;&gt;"Yes",$C$8=""),"",EDATE($C$8,R96))</f>
        <v/>
      </c>
      <c r="U96" s="14" t="str">
        <f aca="false">IF(T96="","",IF($C$16=0,$C$9,IF(AND($C$14&lt;&gt;"",T96&gt;=$C$14),$C$15,IF(AND($C$12&lt;&gt;"",T96&gt;=$C$12),$C$13,$C$11))))</f>
        <v/>
      </c>
      <c r="V96" s="14" t="str">
        <f aca="false">IF(T96="","",IF(OR(ISNUMBER(SEARCH("full",U96)),UPPER(TRIM(U96))="FT",UPPER(TRIM(U96))="FTE"),"FT",IF(AND(OR(ISNUMBER(SEARCH("part",U96)),UPPER(TRIM(U96))="PT",UPPER(TRIM(U96))="PTE"),OR($C$10="",N($C$10)&gt;=PT_MinHours)),"PT","None")))</f>
        <v/>
      </c>
      <c r="W96" s="14" t="n">
        <v>1</v>
      </c>
      <c r="X96" s="14" t="str">
        <f aca="false">IF(T96="","",IF(AND(V96="PT",T96&lt;=AsOfDate),W96,0))</f>
        <v/>
      </c>
      <c r="Z96" s="17" t="n">
        <f aca="false">I96</f>
        <v>270</v>
      </c>
      <c r="AA96" s="17" t="n">
        <f aca="false">SMALL($Z$20:$Z$199,77)</f>
        <v>180</v>
      </c>
      <c r="AB96" s="17" t="str">
        <f aca="false">IF(77-COUNTIF($Z$20:$Z$199,"&lt;"&amp;AA96)=1,IF(COUNTIF($I$20:$I$109,AA96)&gt;0,"FT","PT"),"PT")</f>
        <v>FT</v>
      </c>
      <c r="AC96" s="17" t="n">
        <f aca="false">IF(AB96="FT",INDEX($N$20:$N$109,MATCH(AA96,$I$20:$I$109,0)),1)</f>
        <v>2</v>
      </c>
    </row>
    <row r="97" customFormat="false" ht="15" hidden="false" customHeight="false" outlineLevel="0" collapsed="false">
      <c r="H97" s="14" t="n">
        <v>78</v>
      </c>
      <c r="I97" s="14" t="n">
        <f aca="false">IF(77&lt;FT_PreY5,FT_First+FT_Int1*77,FT_Y5+FT_Int2*(77-FT_PreY5))</f>
        <v>273</v>
      </c>
      <c r="J97" s="14" t="str">
        <f aca="false">INT(I97/12)&amp;"y "&amp;MOD(I97,12)&amp;"m"</f>
        <v>22y 9m</v>
      </c>
      <c r="K97" s="12" t="str">
        <f aca="false">IF(OR($C$6&lt;&gt;"Yes",$C$8=""),"",EDATE($C$8,I97))</f>
        <v/>
      </c>
      <c r="L97" s="14" t="str">
        <f aca="false">IF(K97="","",IF($C$16=0,$C$9,IF(AND($C$14&lt;&gt;"",K97&gt;=$C$14),$C$15,IF(AND($C$12&lt;&gt;"",K97&gt;=$C$12),$C$13,$C$11))))</f>
        <v/>
      </c>
      <c r="M97" s="14" t="str">
        <f aca="false">IF(K97="","",IF(OR(ISNUMBER(SEARCH("full",L97)),UPPER(TRIM(L97))="FT",UPPER(TRIM(L97))="FTE"),"FT",IF(AND(OR(ISNUMBER(SEARCH("part",L97)),UPPER(TRIM(L97))="PT",UPPER(TRIM(L97))="PTE"),OR($C$10="",N($C$10)&gt;=PT_MinHours)),"PT","None")))</f>
        <v/>
      </c>
      <c r="N97" s="14" t="n">
        <f aca="false">IF(I97&lt;FT_Y5,1,IF(MOD(I97-FT_Y5,12)=0,FT_AnnivDays,1))</f>
        <v>1</v>
      </c>
      <c r="O97" s="14" t="str">
        <f aca="false">IF(K97="","",IF(AND(M97="FT",K97&lt;=AsOfDate),N97,0))</f>
        <v/>
      </c>
      <c r="Q97" s="14" t="n">
        <v>78</v>
      </c>
      <c r="R97" s="14" t="n">
        <f aca="false">PT_First+PT_Int*77</f>
        <v>368</v>
      </c>
      <c r="S97" s="14" t="str">
        <f aca="false">INT(R97/12)&amp;"y "&amp;MOD(R97,12)&amp;"m"</f>
        <v>30y 8m</v>
      </c>
      <c r="T97" s="12" t="str">
        <f aca="false">IF(OR($C$6&lt;&gt;"Yes",$C$8=""),"",EDATE($C$8,R97))</f>
        <v/>
      </c>
      <c r="U97" s="14" t="str">
        <f aca="false">IF(T97="","",IF($C$16=0,$C$9,IF(AND($C$14&lt;&gt;"",T97&gt;=$C$14),$C$15,IF(AND($C$12&lt;&gt;"",T97&gt;=$C$12),$C$13,$C$11))))</f>
        <v/>
      </c>
      <c r="V97" s="14" t="str">
        <f aca="false">IF(T97="","",IF(OR(ISNUMBER(SEARCH("full",U97)),UPPER(TRIM(U97))="FT",UPPER(TRIM(U97))="FTE"),"FT",IF(AND(OR(ISNUMBER(SEARCH("part",U97)),UPPER(TRIM(U97))="PT",UPPER(TRIM(U97))="PTE"),OR($C$10="",N($C$10)&gt;=PT_MinHours)),"PT","None")))</f>
        <v/>
      </c>
      <c r="W97" s="14" t="n">
        <v>1</v>
      </c>
      <c r="X97" s="14" t="str">
        <f aca="false">IF(T97="","",IF(AND(V97="PT",T97&lt;=AsOfDate),W97,0))</f>
        <v/>
      </c>
      <c r="Z97" s="17" t="n">
        <f aca="false">I97</f>
        <v>273</v>
      </c>
      <c r="AA97" s="17" t="n">
        <f aca="false">SMALL($Z$20:$Z$199,78)</f>
        <v>180</v>
      </c>
      <c r="AB97" s="17" t="str">
        <f aca="false">IF(78-COUNTIF($Z$20:$Z$199,"&lt;"&amp;AA97)=1,IF(COUNTIF($I$20:$I$109,AA97)&gt;0,"FT","PT"),"PT")</f>
        <v>PT</v>
      </c>
      <c r="AC97" s="17" t="n">
        <f aca="false">IF(AB97="FT",INDEX($N$20:$N$109,MATCH(AA97,$I$20:$I$109,0)),1)</f>
        <v>1</v>
      </c>
    </row>
    <row r="98" customFormat="false" ht="15" hidden="false" customHeight="false" outlineLevel="0" collapsed="false">
      <c r="H98" s="14" t="n">
        <v>79</v>
      </c>
      <c r="I98" s="14" t="n">
        <f aca="false">IF(78&lt;FT_PreY5,FT_First+FT_Int1*78,FT_Y5+FT_Int2*(78-FT_PreY5))</f>
        <v>276</v>
      </c>
      <c r="J98" s="14" t="str">
        <f aca="false">INT(I98/12)&amp;"y "&amp;MOD(I98,12)&amp;"m"</f>
        <v>23y 0m</v>
      </c>
      <c r="K98" s="12" t="str">
        <f aca="false">IF(OR($C$6&lt;&gt;"Yes",$C$8=""),"",EDATE($C$8,I98))</f>
        <v/>
      </c>
      <c r="L98" s="14" t="str">
        <f aca="false">IF(K98="","",IF($C$16=0,$C$9,IF(AND($C$14&lt;&gt;"",K98&gt;=$C$14),$C$15,IF(AND($C$12&lt;&gt;"",K98&gt;=$C$12),$C$13,$C$11))))</f>
        <v/>
      </c>
      <c r="M98" s="14" t="str">
        <f aca="false">IF(K98="","",IF(OR(ISNUMBER(SEARCH("full",L98)),UPPER(TRIM(L98))="FT",UPPER(TRIM(L98))="FTE"),"FT",IF(AND(OR(ISNUMBER(SEARCH("part",L98)),UPPER(TRIM(L98))="PT",UPPER(TRIM(L98))="PTE"),OR($C$10="",N($C$10)&gt;=PT_MinHours)),"PT","None")))</f>
        <v/>
      </c>
      <c r="N98" s="14" t="n">
        <f aca="false">IF(I98&lt;FT_Y5,1,IF(MOD(I98-FT_Y5,12)=0,FT_AnnivDays,1))</f>
        <v>2</v>
      </c>
      <c r="O98" s="14" t="str">
        <f aca="false">IF(K98="","",IF(AND(M98="FT",K98&lt;=AsOfDate),N98,0))</f>
        <v/>
      </c>
      <c r="Q98" s="14" t="n">
        <v>79</v>
      </c>
      <c r="R98" s="14" t="n">
        <f aca="false">PT_First+PT_Int*78</f>
        <v>372</v>
      </c>
      <c r="S98" s="14" t="str">
        <f aca="false">INT(R98/12)&amp;"y "&amp;MOD(R98,12)&amp;"m"</f>
        <v>31y 0m</v>
      </c>
      <c r="T98" s="12" t="str">
        <f aca="false">IF(OR($C$6&lt;&gt;"Yes",$C$8=""),"",EDATE($C$8,R98))</f>
        <v/>
      </c>
      <c r="U98" s="14" t="str">
        <f aca="false">IF(T98="","",IF($C$16=0,$C$9,IF(AND($C$14&lt;&gt;"",T98&gt;=$C$14),$C$15,IF(AND($C$12&lt;&gt;"",T98&gt;=$C$12),$C$13,$C$11))))</f>
        <v/>
      </c>
      <c r="V98" s="14" t="str">
        <f aca="false">IF(T98="","",IF(OR(ISNUMBER(SEARCH("full",U98)),UPPER(TRIM(U98))="FT",UPPER(TRIM(U98))="FTE"),"FT",IF(AND(OR(ISNUMBER(SEARCH("part",U98)),UPPER(TRIM(U98))="PT",UPPER(TRIM(U98))="PTE"),OR($C$10="",N($C$10)&gt;=PT_MinHours)),"PT","None")))</f>
        <v/>
      </c>
      <c r="W98" s="14" t="n">
        <v>1</v>
      </c>
      <c r="X98" s="14" t="str">
        <f aca="false">IF(T98="","",IF(AND(V98="PT",T98&lt;=AsOfDate),W98,0))</f>
        <v/>
      </c>
      <c r="Z98" s="17" t="n">
        <f aca="false">I98</f>
        <v>276</v>
      </c>
      <c r="AA98" s="17" t="n">
        <f aca="false">SMALL($Z$20:$Z$199,79)</f>
        <v>183</v>
      </c>
      <c r="AB98" s="17" t="str">
        <f aca="false">IF(79-COUNTIF($Z$20:$Z$199,"&lt;"&amp;AA98)=1,IF(COUNTIF($I$20:$I$109,AA98)&gt;0,"FT","PT"),"PT")</f>
        <v>FT</v>
      </c>
      <c r="AC98" s="17" t="n">
        <f aca="false">IF(AB98="FT",INDEX($N$20:$N$109,MATCH(AA98,$I$20:$I$109,0)),1)</f>
        <v>1</v>
      </c>
    </row>
    <row r="99" customFormat="false" ht="15" hidden="false" customHeight="false" outlineLevel="0" collapsed="false">
      <c r="H99" s="14" t="n">
        <v>80</v>
      </c>
      <c r="I99" s="14" t="n">
        <f aca="false">IF(79&lt;FT_PreY5,FT_First+FT_Int1*79,FT_Y5+FT_Int2*(79-FT_PreY5))</f>
        <v>279</v>
      </c>
      <c r="J99" s="14" t="str">
        <f aca="false">INT(I99/12)&amp;"y "&amp;MOD(I99,12)&amp;"m"</f>
        <v>23y 3m</v>
      </c>
      <c r="K99" s="12" t="str">
        <f aca="false">IF(OR($C$6&lt;&gt;"Yes",$C$8=""),"",EDATE($C$8,I99))</f>
        <v/>
      </c>
      <c r="L99" s="14" t="str">
        <f aca="false">IF(K99="","",IF($C$16=0,$C$9,IF(AND($C$14&lt;&gt;"",K99&gt;=$C$14),$C$15,IF(AND($C$12&lt;&gt;"",K99&gt;=$C$12),$C$13,$C$11))))</f>
        <v/>
      </c>
      <c r="M99" s="14" t="str">
        <f aca="false">IF(K99="","",IF(OR(ISNUMBER(SEARCH("full",L99)),UPPER(TRIM(L99))="FT",UPPER(TRIM(L99))="FTE"),"FT",IF(AND(OR(ISNUMBER(SEARCH("part",L99)),UPPER(TRIM(L99))="PT",UPPER(TRIM(L99))="PTE"),OR($C$10="",N($C$10)&gt;=PT_MinHours)),"PT","None")))</f>
        <v/>
      </c>
      <c r="N99" s="14" t="n">
        <f aca="false">IF(I99&lt;FT_Y5,1,IF(MOD(I99-FT_Y5,12)=0,FT_AnnivDays,1))</f>
        <v>1</v>
      </c>
      <c r="O99" s="14" t="str">
        <f aca="false">IF(K99="","",IF(AND(M99="FT",K99&lt;=AsOfDate),N99,0))</f>
        <v/>
      </c>
      <c r="Q99" s="14" t="n">
        <v>80</v>
      </c>
      <c r="R99" s="14" t="n">
        <f aca="false">PT_First+PT_Int*79</f>
        <v>376</v>
      </c>
      <c r="S99" s="14" t="str">
        <f aca="false">INT(R99/12)&amp;"y "&amp;MOD(R99,12)&amp;"m"</f>
        <v>31y 4m</v>
      </c>
      <c r="T99" s="12" t="str">
        <f aca="false">IF(OR($C$6&lt;&gt;"Yes",$C$8=""),"",EDATE($C$8,R99))</f>
        <v/>
      </c>
      <c r="U99" s="14" t="str">
        <f aca="false">IF(T99="","",IF($C$16=0,$C$9,IF(AND($C$14&lt;&gt;"",T99&gt;=$C$14),$C$15,IF(AND($C$12&lt;&gt;"",T99&gt;=$C$12),$C$13,$C$11))))</f>
        <v/>
      </c>
      <c r="V99" s="14" t="str">
        <f aca="false">IF(T99="","",IF(OR(ISNUMBER(SEARCH("full",U99)),UPPER(TRIM(U99))="FT",UPPER(TRIM(U99))="FTE"),"FT",IF(AND(OR(ISNUMBER(SEARCH("part",U99)),UPPER(TRIM(U99))="PT",UPPER(TRIM(U99))="PTE"),OR($C$10="",N($C$10)&gt;=PT_MinHours)),"PT","None")))</f>
        <v/>
      </c>
      <c r="W99" s="14" t="n">
        <v>1</v>
      </c>
      <c r="X99" s="14" t="str">
        <f aca="false">IF(T99="","",IF(AND(V99="PT",T99&lt;=AsOfDate),W99,0))</f>
        <v/>
      </c>
      <c r="Z99" s="17" t="n">
        <f aca="false">I99</f>
        <v>279</v>
      </c>
      <c r="AA99" s="17" t="n">
        <f aca="false">SMALL($Z$20:$Z$199,80)</f>
        <v>184</v>
      </c>
      <c r="AB99" s="17" t="str">
        <f aca="false">IF(80-COUNTIF($Z$20:$Z$199,"&lt;"&amp;AA99)=1,IF(COUNTIF($I$20:$I$109,AA99)&gt;0,"FT","PT"),"PT")</f>
        <v>PT</v>
      </c>
      <c r="AC99" s="17" t="n">
        <f aca="false">IF(AB99="FT",INDEX($N$20:$N$109,MATCH(AA99,$I$20:$I$109,0)),1)</f>
        <v>1</v>
      </c>
    </row>
    <row r="100" customFormat="false" ht="15" hidden="false" customHeight="false" outlineLevel="0" collapsed="false">
      <c r="H100" s="14" t="n">
        <v>81</v>
      </c>
      <c r="I100" s="14" t="n">
        <f aca="false">IF(80&lt;FT_PreY5,FT_First+FT_Int1*80,FT_Y5+FT_Int2*(80-FT_PreY5))</f>
        <v>282</v>
      </c>
      <c r="J100" s="14" t="str">
        <f aca="false">INT(I100/12)&amp;"y "&amp;MOD(I100,12)&amp;"m"</f>
        <v>23y 6m</v>
      </c>
      <c r="K100" s="12" t="str">
        <f aca="false">IF(OR($C$6&lt;&gt;"Yes",$C$8=""),"",EDATE($C$8,I100))</f>
        <v/>
      </c>
      <c r="L100" s="14" t="str">
        <f aca="false">IF(K100="","",IF($C$16=0,$C$9,IF(AND($C$14&lt;&gt;"",K100&gt;=$C$14),$C$15,IF(AND($C$12&lt;&gt;"",K100&gt;=$C$12),$C$13,$C$11))))</f>
        <v/>
      </c>
      <c r="M100" s="14" t="str">
        <f aca="false">IF(K100="","",IF(OR(ISNUMBER(SEARCH("full",L100)),UPPER(TRIM(L100))="FT",UPPER(TRIM(L100))="FTE"),"FT",IF(AND(OR(ISNUMBER(SEARCH("part",L100)),UPPER(TRIM(L100))="PT",UPPER(TRIM(L100))="PTE"),OR($C$10="",N($C$10)&gt;=PT_MinHours)),"PT","None")))</f>
        <v/>
      </c>
      <c r="N100" s="14" t="n">
        <f aca="false">IF(I100&lt;FT_Y5,1,IF(MOD(I100-FT_Y5,12)=0,FT_AnnivDays,1))</f>
        <v>1</v>
      </c>
      <c r="O100" s="14" t="str">
        <f aca="false">IF(K100="","",IF(AND(M100="FT",K100&lt;=AsOfDate),N100,0))</f>
        <v/>
      </c>
      <c r="Q100" s="14" t="n">
        <v>81</v>
      </c>
      <c r="R100" s="14" t="n">
        <f aca="false">PT_First+PT_Int*80</f>
        <v>380</v>
      </c>
      <c r="S100" s="14" t="str">
        <f aca="false">INT(R100/12)&amp;"y "&amp;MOD(R100,12)&amp;"m"</f>
        <v>31y 8m</v>
      </c>
      <c r="T100" s="12" t="str">
        <f aca="false">IF(OR($C$6&lt;&gt;"Yes",$C$8=""),"",EDATE($C$8,R100))</f>
        <v/>
      </c>
      <c r="U100" s="14" t="str">
        <f aca="false">IF(T100="","",IF($C$16=0,$C$9,IF(AND($C$14&lt;&gt;"",T100&gt;=$C$14),$C$15,IF(AND($C$12&lt;&gt;"",T100&gt;=$C$12),$C$13,$C$11))))</f>
        <v/>
      </c>
      <c r="V100" s="14" t="str">
        <f aca="false">IF(T100="","",IF(OR(ISNUMBER(SEARCH("full",U100)),UPPER(TRIM(U100))="FT",UPPER(TRIM(U100))="FTE"),"FT",IF(AND(OR(ISNUMBER(SEARCH("part",U100)),UPPER(TRIM(U100))="PT",UPPER(TRIM(U100))="PTE"),OR($C$10="",N($C$10)&gt;=PT_MinHours)),"PT","None")))</f>
        <v/>
      </c>
      <c r="W100" s="14" t="n">
        <v>1</v>
      </c>
      <c r="X100" s="14" t="str">
        <f aca="false">IF(T100="","",IF(AND(V100="PT",T100&lt;=AsOfDate),W100,0))</f>
        <v/>
      </c>
      <c r="Z100" s="17" t="n">
        <f aca="false">I100</f>
        <v>282</v>
      </c>
      <c r="AA100" s="17" t="n">
        <f aca="false">SMALL($Z$20:$Z$199,81)</f>
        <v>186</v>
      </c>
      <c r="AB100" s="17" t="str">
        <f aca="false">IF(81-COUNTIF($Z$20:$Z$199,"&lt;"&amp;AA100)=1,IF(COUNTIF($I$20:$I$109,AA100)&gt;0,"FT","PT"),"PT")</f>
        <v>FT</v>
      </c>
      <c r="AC100" s="17" t="n">
        <f aca="false">IF(AB100="FT",INDEX($N$20:$N$109,MATCH(AA100,$I$20:$I$109,0)),1)</f>
        <v>1</v>
      </c>
    </row>
    <row r="101" customFormat="false" ht="15" hidden="false" customHeight="false" outlineLevel="0" collapsed="false">
      <c r="H101" s="14" t="n">
        <v>82</v>
      </c>
      <c r="I101" s="14" t="n">
        <f aca="false">IF(81&lt;FT_PreY5,FT_First+FT_Int1*81,FT_Y5+FT_Int2*(81-FT_PreY5))</f>
        <v>285</v>
      </c>
      <c r="J101" s="14" t="str">
        <f aca="false">INT(I101/12)&amp;"y "&amp;MOD(I101,12)&amp;"m"</f>
        <v>23y 9m</v>
      </c>
      <c r="K101" s="12" t="str">
        <f aca="false">IF(OR($C$6&lt;&gt;"Yes",$C$8=""),"",EDATE($C$8,I101))</f>
        <v/>
      </c>
      <c r="L101" s="14" t="str">
        <f aca="false">IF(K101="","",IF($C$16=0,$C$9,IF(AND($C$14&lt;&gt;"",K101&gt;=$C$14),$C$15,IF(AND($C$12&lt;&gt;"",K101&gt;=$C$12),$C$13,$C$11))))</f>
        <v/>
      </c>
      <c r="M101" s="14" t="str">
        <f aca="false">IF(K101="","",IF(OR(ISNUMBER(SEARCH("full",L101)),UPPER(TRIM(L101))="FT",UPPER(TRIM(L101))="FTE"),"FT",IF(AND(OR(ISNUMBER(SEARCH("part",L101)),UPPER(TRIM(L101))="PT",UPPER(TRIM(L101))="PTE"),OR($C$10="",N($C$10)&gt;=PT_MinHours)),"PT","None")))</f>
        <v/>
      </c>
      <c r="N101" s="14" t="n">
        <f aca="false">IF(I101&lt;FT_Y5,1,IF(MOD(I101-FT_Y5,12)=0,FT_AnnivDays,1))</f>
        <v>1</v>
      </c>
      <c r="O101" s="14" t="str">
        <f aca="false">IF(K101="","",IF(AND(M101="FT",K101&lt;=AsOfDate),N101,0))</f>
        <v/>
      </c>
      <c r="Q101" s="14" t="n">
        <v>82</v>
      </c>
      <c r="R101" s="14" t="n">
        <f aca="false">PT_First+PT_Int*81</f>
        <v>384</v>
      </c>
      <c r="S101" s="14" t="str">
        <f aca="false">INT(R101/12)&amp;"y "&amp;MOD(R101,12)&amp;"m"</f>
        <v>32y 0m</v>
      </c>
      <c r="T101" s="12" t="str">
        <f aca="false">IF(OR($C$6&lt;&gt;"Yes",$C$8=""),"",EDATE($C$8,R101))</f>
        <v/>
      </c>
      <c r="U101" s="14" t="str">
        <f aca="false">IF(T101="","",IF($C$16=0,$C$9,IF(AND($C$14&lt;&gt;"",T101&gt;=$C$14),$C$15,IF(AND($C$12&lt;&gt;"",T101&gt;=$C$12),$C$13,$C$11))))</f>
        <v/>
      </c>
      <c r="V101" s="14" t="str">
        <f aca="false">IF(T101="","",IF(OR(ISNUMBER(SEARCH("full",U101)),UPPER(TRIM(U101))="FT",UPPER(TRIM(U101))="FTE"),"FT",IF(AND(OR(ISNUMBER(SEARCH("part",U101)),UPPER(TRIM(U101))="PT",UPPER(TRIM(U101))="PTE"),OR($C$10="",N($C$10)&gt;=PT_MinHours)),"PT","None")))</f>
        <v/>
      </c>
      <c r="W101" s="14" t="n">
        <v>1</v>
      </c>
      <c r="X101" s="14" t="str">
        <f aca="false">IF(T101="","",IF(AND(V101="PT",T101&lt;=AsOfDate),W101,0))</f>
        <v/>
      </c>
      <c r="Z101" s="17" t="n">
        <f aca="false">I101</f>
        <v>285</v>
      </c>
      <c r="AA101" s="17" t="n">
        <f aca="false">SMALL($Z$20:$Z$199,82)</f>
        <v>188</v>
      </c>
      <c r="AB101" s="17" t="str">
        <f aca="false">IF(82-COUNTIF($Z$20:$Z$199,"&lt;"&amp;AA101)=1,IF(COUNTIF($I$20:$I$109,AA101)&gt;0,"FT","PT"),"PT")</f>
        <v>PT</v>
      </c>
      <c r="AC101" s="17" t="n">
        <f aca="false">IF(AB101="FT",INDEX($N$20:$N$109,MATCH(AA101,$I$20:$I$109,0)),1)</f>
        <v>1</v>
      </c>
    </row>
    <row r="102" customFormat="false" ht="15" hidden="false" customHeight="false" outlineLevel="0" collapsed="false">
      <c r="H102" s="14" t="n">
        <v>83</v>
      </c>
      <c r="I102" s="14" t="n">
        <f aca="false">IF(82&lt;FT_PreY5,FT_First+FT_Int1*82,FT_Y5+FT_Int2*(82-FT_PreY5))</f>
        <v>288</v>
      </c>
      <c r="J102" s="14" t="str">
        <f aca="false">INT(I102/12)&amp;"y "&amp;MOD(I102,12)&amp;"m"</f>
        <v>24y 0m</v>
      </c>
      <c r="K102" s="12" t="str">
        <f aca="false">IF(OR($C$6&lt;&gt;"Yes",$C$8=""),"",EDATE($C$8,I102))</f>
        <v/>
      </c>
      <c r="L102" s="14" t="str">
        <f aca="false">IF(K102="","",IF($C$16=0,$C$9,IF(AND($C$14&lt;&gt;"",K102&gt;=$C$14),$C$15,IF(AND($C$12&lt;&gt;"",K102&gt;=$C$12),$C$13,$C$11))))</f>
        <v/>
      </c>
      <c r="M102" s="14" t="str">
        <f aca="false">IF(K102="","",IF(OR(ISNUMBER(SEARCH("full",L102)),UPPER(TRIM(L102))="FT",UPPER(TRIM(L102))="FTE"),"FT",IF(AND(OR(ISNUMBER(SEARCH("part",L102)),UPPER(TRIM(L102))="PT",UPPER(TRIM(L102))="PTE"),OR($C$10="",N($C$10)&gt;=PT_MinHours)),"PT","None")))</f>
        <v/>
      </c>
      <c r="N102" s="14" t="n">
        <f aca="false">IF(I102&lt;FT_Y5,1,IF(MOD(I102-FT_Y5,12)=0,FT_AnnivDays,1))</f>
        <v>2</v>
      </c>
      <c r="O102" s="14" t="str">
        <f aca="false">IF(K102="","",IF(AND(M102="FT",K102&lt;=AsOfDate),N102,0))</f>
        <v/>
      </c>
      <c r="Q102" s="14" t="n">
        <v>83</v>
      </c>
      <c r="R102" s="14" t="n">
        <f aca="false">PT_First+PT_Int*82</f>
        <v>388</v>
      </c>
      <c r="S102" s="14" t="str">
        <f aca="false">INT(R102/12)&amp;"y "&amp;MOD(R102,12)&amp;"m"</f>
        <v>32y 4m</v>
      </c>
      <c r="T102" s="12" t="str">
        <f aca="false">IF(OR($C$6&lt;&gt;"Yes",$C$8=""),"",EDATE($C$8,R102))</f>
        <v/>
      </c>
      <c r="U102" s="14" t="str">
        <f aca="false">IF(T102="","",IF($C$16=0,$C$9,IF(AND($C$14&lt;&gt;"",T102&gt;=$C$14),$C$15,IF(AND($C$12&lt;&gt;"",T102&gt;=$C$12),$C$13,$C$11))))</f>
        <v/>
      </c>
      <c r="V102" s="14" t="str">
        <f aca="false">IF(T102="","",IF(OR(ISNUMBER(SEARCH("full",U102)),UPPER(TRIM(U102))="FT",UPPER(TRIM(U102))="FTE"),"FT",IF(AND(OR(ISNUMBER(SEARCH("part",U102)),UPPER(TRIM(U102))="PT",UPPER(TRIM(U102))="PTE"),OR($C$10="",N($C$10)&gt;=PT_MinHours)),"PT","None")))</f>
        <v/>
      </c>
      <c r="W102" s="14" t="n">
        <v>1</v>
      </c>
      <c r="X102" s="14" t="str">
        <f aca="false">IF(T102="","",IF(AND(V102="PT",T102&lt;=AsOfDate),W102,0))</f>
        <v/>
      </c>
      <c r="Z102" s="17" t="n">
        <f aca="false">I102</f>
        <v>288</v>
      </c>
      <c r="AA102" s="17" t="n">
        <f aca="false">SMALL($Z$20:$Z$199,83)</f>
        <v>189</v>
      </c>
      <c r="AB102" s="17" t="str">
        <f aca="false">IF(83-COUNTIF($Z$20:$Z$199,"&lt;"&amp;AA102)=1,IF(COUNTIF($I$20:$I$109,AA102)&gt;0,"FT","PT"),"PT")</f>
        <v>FT</v>
      </c>
      <c r="AC102" s="17" t="n">
        <f aca="false">IF(AB102="FT",INDEX($N$20:$N$109,MATCH(AA102,$I$20:$I$109,0)),1)</f>
        <v>1</v>
      </c>
    </row>
    <row r="103" customFormat="false" ht="15" hidden="false" customHeight="false" outlineLevel="0" collapsed="false">
      <c r="H103" s="14" t="n">
        <v>84</v>
      </c>
      <c r="I103" s="14" t="n">
        <f aca="false">IF(83&lt;FT_PreY5,FT_First+FT_Int1*83,FT_Y5+FT_Int2*(83-FT_PreY5))</f>
        <v>291</v>
      </c>
      <c r="J103" s="14" t="str">
        <f aca="false">INT(I103/12)&amp;"y "&amp;MOD(I103,12)&amp;"m"</f>
        <v>24y 3m</v>
      </c>
      <c r="K103" s="12" t="str">
        <f aca="false">IF(OR($C$6&lt;&gt;"Yes",$C$8=""),"",EDATE($C$8,I103))</f>
        <v/>
      </c>
      <c r="L103" s="14" t="str">
        <f aca="false">IF(K103="","",IF($C$16=0,$C$9,IF(AND($C$14&lt;&gt;"",K103&gt;=$C$14),$C$15,IF(AND($C$12&lt;&gt;"",K103&gt;=$C$12),$C$13,$C$11))))</f>
        <v/>
      </c>
      <c r="M103" s="14" t="str">
        <f aca="false">IF(K103="","",IF(OR(ISNUMBER(SEARCH("full",L103)),UPPER(TRIM(L103))="FT",UPPER(TRIM(L103))="FTE"),"FT",IF(AND(OR(ISNUMBER(SEARCH("part",L103)),UPPER(TRIM(L103))="PT",UPPER(TRIM(L103))="PTE"),OR($C$10="",N($C$10)&gt;=PT_MinHours)),"PT","None")))</f>
        <v/>
      </c>
      <c r="N103" s="14" t="n">
        <f aca="false">IF(I103&lt;FT_Y5,1,IF(MOD(I103-FT_Y5,12)=0,FT_AnnivDays,1))</f>
        <v>1</v>
      </c>
      <c r="O103" s="14" t="str">
        <f aca="false">IF(K103="","",IF(AND(M103="FT",K103&lt;=AsOfDate),N103,0))</f>
        <v/>
      </c>
      <c r="Q103" s="14" t="n">
        <v>84</v>
      </c>
      <c r="R103" s="14" t="n">
        <f aca="false">PT_First+PT_Int*83</f>
        <v>392</v>
      </c>
      <c r="S103" s="14" t="str">
        <f aca="false">INT(R103/12)&amp;"y "&amp;MOD(R103,12)&amp;"m"</f>
        <v>32y 8m</v>
      </c>
      <c r="T103" s="12" t="str">
        <f aca="false">IF(OR($C$6&lt;&gt;"Yes",$C$8=""),"",EDATE($C$8,R103))</f>
        <v/>
      </c>
      <c r="U103" s="14" t="str">
        <f aca="false">IF(T103="","",IF($C$16=0,$C$9,IF(AND($C$14&lt;&gt;"",T103&gt;=$C$14),$C$15,IF(AND($C$12&lt;&gt;"",T103&gt;=$C$12),$C$13,$C$11))))</f>
        <v/>
      </c>
      <c r="V103" s="14" t="str">
        <f aca="false">IF(T103="","",IF(OR(ISNUMBER(SEARCH("full",U103)),UPPER(TRIM(U103))="FT",UPPER(TRIM(U103))="FTE"),"FT",IF(AND(OR(ISNUMBER(SEARCH("part",U103)),UPPER(TRIM(U103))="PT",UPPER(TRIM(U103))="PTE"),OR($C$10="",N($C$10)&gt;=PT_MinHours)),"PT","None")))</f>
        <v/>
      </c>
      <c r="W103" s="14" t="n">
        <v>1</v>
      </c>
      <c r="X103" s="14" t="str">
        <f aca="false">IF(T103="","",IF(AND(V103="PT",T103&lt;=AsOfDate),W103,0))</f>
        <v/>
      </c>
      <c r="Z103" s="17" t="n">
        <f aca="false">I103</f>
        <v>291</v>
      </c>
      <c r="AA103" s="17" t="n">
        <f aca="false">SMALL($Z$20:$Z$199,84)</f>
        <v>192</v>
      </c>
      <c r="AB103" s="17" t="str">
        <f aca="false">IF(84-COUNTIF($Z$20:$Z$199,"&lt;"&amp;AA103)=1,IF(COUNTIF($I$20:$I$109,AA103)&gt;0,"FT","PT"),"PT")</f>
        <v>FT</v>
      </c>
      <c r="AC103" s="17" t="n">
        <f aca="false">IF(AB103="FT",INDEX($N$20:$N$109,MATCH(AA103,$I$20:$I$109,0)),1)</f>
        <v>2</v>
      </c>
    </row>
    <row r="104" customFormat="false" ht="15" hidden="false" customHeight="false" outlineLevel="0" collapsed="false">
      <c r="H104" s="14" t="n">
        <v>85</v>
      </c>
      <c r="I104" s="14" t="n">
        <f aca="false">IF(84&lt;FT_PreY5,FT_First+FT_Int1*84,FT_Y5+FT_Int2*(84-FT_PreY5))</f>
        <v>294</v>
      </c>
      <c r="J104" s="14" t="str">
        <f aca="false">INT(I104/12)&amp;"y "&amp;MOD(I104,12)&amp;"m"</f>
        <v>24y 6m</v>
      </c>
      <c r="K104" s="12" t="str">
        <f aca="false">IF(OR($C$6&lt;&gt;"Yes",$C$8=""),"",EDATE($C$8,I104))</f>
        <v/>
      </c>
      <c r="L104" s="14" t="str">
        <f aca="false">IF(K104="","",IF($C$16=0,$C$9,IF(AND($C$14&lt;&gt;"",K104&gt;=$C$14),$C$15,IF(AND($C$12&lt;&gt;"",K104&gt;=$C$12),$C$13,$C$11))))</f>
        <v/>
      </c>
      <c r="M104" s="14" t="str">
        <f aca="false">IF(K104="","",IF(OR(ISNUMBER(SEARCH("full",L104)),UPPER(TRIM(L104))="FT",UPPER(TRIM(L104))="FTE"),"FT",IF(AND(OR(ISNUMBER(SEARCH("part",L104)),UPPER(TRIM(L104))="PT",UPPER(TRIM(L104))="PTE"),OR($C$10="",N($C$10)&gt;=PT_MinHours)),"PT","None")))</f>
        <v/>
      </c>
      <c r="N104" s="14" t="n">
        <f aca="false">IF(I104&lt;FT_Y5,1,IF(MOD(I104-FT_Y5,12)=0,FT_AnnivDays,1))</f>
        <v>1</v>
      </c>
      <c r="O104" s="14" t="str">
        <f aca="false">IF(K104="","",IF(AND(M104="FT",K104&lt;=AsOfDate),N104,0))</f>
        <v/>
      </c>
      <c r="Q104" s="14" t="n">
        <v>85</v>
      </c>
      <c r="R104" s="14" t="n">
        <f aca="false">PT_First+PT_Int*84</f>
        <v>396</v>
      </c>
      <c r="S104" s="14" t="str">
        <f aca="false">INT(R104/12)&amp;"y "&amp;MOD(R104,12)&amp;"m"</f>
        <v>33y 0m</v>
      </c>
      <c r="T104" s="12" t="str">
        <f aca="false">IF(OR($C$6&lt;&gt;"Yes",$C$8=""),"",EDATE($C$8,R104))</f>
        <v/>
      </c>
      <c r="U104" s="14" t="str">
        <f aca="false">IF(T104="","",IF($C$16=0,$C$9,IF(AND($C$14&lt;&gt;"",T104&gt;=$C$14),$C$15,IF(AND($C$12&lt;&gt;"",T104&gt;=$C$12),$C$13,$C$11))))</f>
        <v/>
      </c>
      <c r="V104" s="14" t="str">
        <f aca="false">IF(T104="","",IF(OR(ISNUMBER(SEARCH("full",U104)),UPPER(TRIM(U104))="FT",UPPER(TRIM(U104))="FTE"),"FT",IF(AND(OR(ISNUMBER(SEARCH("part",U104)),UPPER(TRIM(U104))="PT",UPPER(TRIM(U104))="PTE"),OR($C$10="",N($C$10)&gt;=PT_MinHours)),"PT","None")))</f>
        <v/>
      </c>
      <c r="W104" s="14" t="n">
        <v>1</v>
      </c>
      <c r="X104" s="14" t="str">
        <f aca="false">IF(T104="","",IF(AND(V104="PT",T104&lt;=AsOfDate),W104,0))</f>
        <v/>
      </c>
      <c r="Z104" s="17" t="n">
        <f aca="false">I104</f>
        <v>294</v>
      </c>
      <c r="AA104" s="17" t="n">
        <f aca="false">SMALL($Z$20:$Z$199,85)</f>
        <v>192</v>
      </c>
      <c r="AB104" s="17" t="str">
        <f aca="false">IF(85-COUNTIF($Z$20:$Z$199,"&lt;"&amp;AA104)=1,IF(COUNTIF($I$20:$I$109,AA104)&gt;0,"FT","PT"),"PT")</f>
        <v>PT</v>
      </c>
      <c r="AC104" s="17" t="n">
        <f aca="false">IF(AB104="FT",INDEX($N$20:$N$109,MATCH(AA104,$I$20:$I$109,0)),1)</f>
        <v>1</v>
      </c>
    </row>
    <row r="105" customFormat="false" ht="15" hidden="false" customHeight="false" outlineLevel="0" collapsed="false">
      <c r="H105" s="14" t="n">
        <v>86</v>
      </c>
      <c r="I105" s="14" t="n">
        <f aca="false">IF(85&lt;FT_PreY5,FT_First+FT_Int1*85,FT_Y5+FT_Int2*(85-FT_PreY5))</f>
        <v>297</v>
      </c>
      <c r="J105" s="14" t="str">
        <f aca="false">INT(I105/12)&amp;"y "&amp;MOD(I105,12)&amp;"m"</f>
        <v>24y 9m</v>
      </c>
      <c r="K105" s="12" t="str">
        <f aca="false">IF(OR($C$6&lt;&gt;"Yes",$C$8=""),"",EDATE($C$8,I105))</f>
        <v/>
      </c>
      <c r="L105" s="14" t="str">
        <f aca="false">IF(K105="","",IF($C$16=0,$C$9,IF(AND($C$14&lt;&gt;"",K105&gt;=$C$14),$C$15,IF(AND($C$12&lt;&gt;"",K105&gt;=$C$12),$C$13,$C$11))))</f>
        <v/>
      </c>
      <c r="M105" s="14" t="str">
        <f aca="false">IF(K105="","",IF(OR(ISNUMBER(SEARCH("full",L105)),UPPER(TRIM(L105))="FT",UPPER(TRIM(L105))="FTE"),"FT",IF(AND(OR(ISNUMBER(SEARCH("part",L105)),UPPER(TRIM(L105))="PT",UPPER(TRIM(L105))="PTE"),OR($C$10="",N($C$10)&gt;=PT_MinHours)),"PT","None")))</f>
        <v/>
      </c>
      <c r="N105" s="14" t="n">
        <f aca="false">IF(I105&lt;FT_Y5,1,IF(MOD(I105-FT_Y5,12)=0,FT_AnnivDays,1))</f>
        <v>1</v>
      </c>
      <c r="O105" s="14" t="str">
        <f aca="false">IF(K105="","",IF(AND(M105="FT",K105&lt;=AsOfDate),N105,0))</f>
        <v/>
      </c>
      <c r="Q105" s="14" t="n">
        <v>86</v>
      </c>
      <c r="R105" s="14" t="n">
        <f aca="false">PT_First+PT_Int*85</f>
        <v>400</v>
      </c>
      <c r="S105" s="14" t="str">
        <f aca="false">INT(R105/12)&amp;"y "&amp;MOD(R105,12)&amp;"m"</f>
        <v>33y 4m</v>
      </c>
      <c r="T105" s="12" t="str">
        <f aca="false">IF(OR($C$6&lt;&gt;"Yes",$C$8=""),"",EDATE($C$8,R105))</f>
        <v/>
      </c>
      <c r="U105" s="14" t="str">
        <f aca="false">IF(T105="","",IF($C$16=0,$C$9,IF(AND($C$14&lt;&gt;"",T105&gt;=$C$14),$C$15,IF(AND($C$12&lt;&gt;"",T105&gt;=$C$12),$C$13,$C$11))))</f>
        <v/>
      </c>
      <c r="V105" s="14" t="str">
        <f aca="false">IF(T105="","",IF(OR(ISNUMBER(SEARCH("full",U105)),UPPER(TRIM(U105))="FT",UPPER(TRIM(U105))="FTE"),"FT",IF(AND(OR(ISNUMBER(SEARCH("part",U105)),UPPER(TRIM(U105))="PT",UPPER(TRIM(U105))="PTE"),OR($C$10="",N($C$10)&gt;=PT_MinHours)),"PT","None")))</f>
        <v/>
      </c>
      <c r="W105" s="14" t="n">
        <v>1</v>
      </c>
      <c r="X105" s="14" t="str">
        <f aca="false">IF(T105="","",IF(AND(V105="PT",T105&lt;=AsOfDate),W105,0))</f>
        <v/>
      </c>
      <c r="Z105" s="17" t="n">
        <f aca="false">I105</f>
        <v>297</v>
      </c>
      <c r="AA105" s="17" t="n">
        <f aca="false">SMALL($Z$20:$Z$199,86)</f>
        <v>195</v>
      </c>
      <c r="AB105" s="17" t="str">
        <f aca="false">IF(86-COUNTIF($Z$20:$Z$199,"&lt;"&amp;AA105)=1,IF(COUNTIF($I$20:$I$109,AA105)&gt;0,"FT","PT"),"PT")</f>
        <v>FT</v>
      </c>
      <c r="AC105" s="17" t="n">
        <f aca="false">IF(AB105="FT",INDEX($N$20:$N$109,MATCH(AA105,$I$20:$I$109,0)),1)</f>
        <v>1</v>
      </c>
    </row>
    <row r="106" customFormat="false" ht="15" hidden="false" customHeight="false" outlineLevel="0" collapsed="false">
      <c r="H106" s="14" t="n">
        <v>87</v>
      </c>
      <c r="I106" s="14" t="n">
        <f aca="false">IF(86&lt;FT_PreY5,FT_First+FT_Int1*86,FT_Y5+FT_Int2*(86-FT_PreY5))</f>
        <v>300</v>
      </c>
      <c r="J106" s="14" t="str">
        <f aca="false">INT(I106/12)&amp;"y "&amp;MOD(I106,12)&amp;"m"</f>
        <v>25y 0m</v>
      </c>
      <c r="K106" s="12" t="str">
        <f aca="false">IF(OR($C$6&lt;&gt;"Yes",$C$8=""),"",EDATE($C$8,I106))</f>
        <v/>
      </c>
      <c r="L106" s="14" t="str">
        <f aca="false">IF(K106="","",IF($C$16=0,$C$9,IF(AND($C$14&lt;&gt;"",K106&gt;=$C$14),$C$15,IF(AND($C$12&lt;&gt;"",K106&gt;=$C$12),$C$13,$C$11))))</f>
        <v/>
      </c>
      <c r="M106" s="14" t="str">
        <f aca="false">IF(K106="","",IF(OR(ISNUMBER(SEARCH("full",L106)),UPPER(TRIM(L106))="FT",UPPER(TRIM(L106))="FTE"),"FT",IF(AND(OR(ISNUMBER(SEARCH("part",L106)),UPPER(TRIM(L106))="PT",UPPER(TRIM(L106))="PTE"),OR($C$10="",N($C$10)&gt;=PT_MinHours)),"PT","None")))</f>
        <v/>
      </c>
      <c r="N106" s="14" t="n">
        <f aca="false">IF(I106&lt;FT_Y5,1,IF(MOD(I106-FT_Y5,12)=0,FT_AnnivDays,1))</f>
        <v>2</v>
      </c>
      <c r="O106" s="14" t="str">
        <f aca="false">IF(K106="","",IF(AND(M106="FT",K106&lt;=AsOfDate),N106,0))</f>
        <v/>
      </c>
      <c r="Q106" s="14" t="n">
        <v>87</v>
      </c>
      <c r="R106" s="14" t="n">
        <f aca="false">PT_First+PT_Int*86</f>
        <v>404</v>
      </c>
      <c r="S106" s="14" t="str">
        <f aca="false">INT(R106/12)&amp;"y "&amp;MOD(R106,12)&amp;"m"</f>
        <v>33y 8m</v>
      </c>
      <c r="T106" s="12" t="str">
        <f aca="false">IF(OR($C$6&lt;&gt;"Yes",$C$8=""),"",EDATE($C$8,R106))</f>
        <v/>
      </c>
      <c r="U106" s="14" t="str">
        <f aca="false">IF(T106="","",IF($C$16=0,$C$9,IF(AND($C$14&lt;&gt;"",T106&gt;=$C$14),$C$15,IF(AND($C$12&lt;&gt;"",T106&gt;=$C$12),$C$13,$C$11))))</f>
        <v/>
      </c>
      <c r="V106" s="14" t="str">
        <f aca="false">IF(T106="","",IF(OR(ISNUMBER(SEARCH("full",U106)),UPPER(TRIM(U106))="FT",UPPER(TRIM(U106))="FTE"),"FT",IF(AND(OR(ISNUMBER(SEARCH("part",U106)),UPPER(TRIM(U106))="PT",UPPER(TRIM(U106))="PTE"),OR($C$10="",N($C$10)&gt;=PT_MinHours)),"PT","None")))</f>
        <v/>
      </c>
      <c r="W106" s="14" t="n">
        <v>1</v>
      </c>
      <c r="X106" s="14" t="str">
        <f aca="false">IF(T106="","",IF(AND(V106="PT",T106&lt;=AsOfDate),W106,0))</f>
        <v/>
      </c>
      <c r="Z106" s="17" t="n">
        <f aca="false">I106</f>
        <v>300</v>
      </c>
      <c r="AA106" s="17" t="n">
        <f aca="false">SMALL($Z$20:$Z$199,87)</f>
        <v>196</v>
      </c>
      <c r="AB106" s="17" t="str">
        <f aca="false">IF(87-COUNTIF($Z$20:$Z$199,"&lt;"&amp;AA106)=1,IF(COUNTIF($I$20:$I$109,AA106)&gt;0,"FT","PT"),"PT")</f>
        <v>PT</v>
      </c>
      <c r="AC106" s="17" t="n">
        <f aca="false">IF(AB106="FT",INDEX($N$20:$N$109,MATCH(AA106,$I$20:$I$109,0)),1)</f>
        <v>1</v>
      </c>
    </row>
    <row r="107" customFormat="false" ht="15" hidden="false" customHeight="false" outlineLevel="0" collapsed="false">
      <c r="H107" s="14" t="n">
        <v>88</v>
      </c>
      <c r="I107" s="14" t="n">
        <f aca="false">IF(87&lt;FT_PreY5,FT_First+FT_Int1*87,FT_Y5+FT_Int2*(87-FT_PreY5))</f>
        <v>303</v>
      </c>
      <c r="J107" s="14" t="str">
        <f aca="false">INT(I107/12)&amp;"y "&amp;MOD(I107,12)&amp;"m"</f>
        <v>25y 3m</v>
      </c>
      <c r="K107" s="12" t="str">
        <f aca="false">IF(OR($C$6&lt;&gt;"Yes",$C$8=""),"",EDATE($C$8,I107))</f>
        <v/>
      </c>
      <c r="L107" s="14" t="str">
        <f aca="false">IF(K107="","",IF($C$16=0,$C$9,IF(AND($C$14&lt;&gt;"",K107&gt;=$C$14),$C$15,IF(AND($C$12&lt;&gt;"",K107&gt;=$C$12),$C$13,$C$11))))</f>
        <v/>
      </c>
      <c r="M107" s="14" t="str">
        <f aca="false">IF(K107="","",IF(OR(ISNUMBER(SEARCH("full",L107)),UPPER(TRIM(L107))="FT",UPPER(TRIM(L107))="FTE"),"FT",IF(AND(OR(ISNUMBER(SEARCH("part",L107)),UPPER(TRIM(L107))="PT",UPPER(TRIM(L107))="PTE"),OR($C$10="",N($C$10)&gt;=PT_MinHours)),"PT","None")))</f>
        <v/>
      </c>
      <c r="N107" s="14" t="n">
        <f aca="false">IF(I107&lt;FT_Y5,1,IF(MOD(I107-FT_Y5,12)=0,FT_AnnivDays,1))</f>
        <v>1</v>
      </c>
      <c r="O107" s="14" t="str">
        <f aca="false">IF(K107="","",IF(AND(M107="FT",K107&lt;=AsOfDate),N107,0))</f>
        <v/>
      </c>
      <c r="Q107" s="14" t="n">
        <v>88</v>
      </c>
      <c r="R107" s="14" t="n">
        <f aca="false">PT_First+PT_Int*87</f>
        <v>408</v>
      </c>
      <c r="S107" s="14" t="str">
        <f aca="false">INT(R107/12)&amp;"y "&amp;MOD(R107,12)&amp;"m"</f>
        <v>34y 0m</v>
      </c>
      <c r="T107" s="12" t="str">
        <f aca="false">IF(OR($C$6&lt;&gt;"Yes",$C$8=""),"",EDATE($C$8,R107))</f>
        <v/>
      </c>
      <c r="U107" s="14" t="str">
        <f aca="false">IF(T107="","",IF($C$16=0,$C$9,IF(AND($C$14&lt;&gt;"",T107&gt;=$C$14),$C$15,IF(AND($C$12&lt;&gt;"",T107&gt;=$C$12),$C$13,$C$11))))</f>
        <v/>
      </c>
      <c r="V107" s="14" t="str">
        <f aca="false">IF(T107="","",IF(OR(ISNUMBER(SEARCH("full",U107)),UPPER(TRIM(U107))="FT",UPPER(TRIM(U107))="FTE"),"FT",IF(AND(OR(ISNUMBER(SEARCH("part",U107)),UPPER(TRIM(U107))="PT",UPPER(TRIM(U107))="PTE"),OR($C$10="",N($C$10)&gt;=PT_MinHours)),"PT","None")))</f>
        <v/>
      </c>
      <c r="W107" s="14" t="n">
        <v>1</v>
      </c>
      <c r="X107" s="14" t="str">
        <f aca="false">IF(T107="","",IF(AND(V107="PT",T107&lt;=AsOfDate),W107,0))</f>
        <v/>
      </c>
      <c r="Z107" s="17" t="n">
        <f aca="false">I107</f>
        <v>303</v>
      </c>
      <c r="AA107" s="17" t="n">
        <f aca="false">SMALL($Z$20:$Z$199,88)</f>
        <v>198</v>
      </c>
      <c r="AB107" s="17" t="str">
        <f aca="false">IF(88-COUNTIF($Z$20:$Z$199,"&lt;"&amp;AA107)=1,IF(COUNTIF($I$20:$I$109,AA107)&gt;0,"FT","PT"),"PT")</f>
        <v>FT</v>
      </c>
      <c r="AC107" s="17" t="n">
        <f aca="false">IF(AB107="FT",INDEX($N$20:$N$109,MATCH(AA107,$I$20:$I$109,0)),1)</f>
        <v>1</v>
      </c>
    </row>
    <row r="108" customFormat="false" ht="15" hidden="false" customHeight="false" outlineLevel="0" collapsed="false">
      <c r="H108" s="14" t="n">
        <v>89</v>
      </c>
      <c r="I108" s="14" t="n">
        <f aca="false">IF(88&lt;FT_PreY5,FT_First+FT_Int1*88,FT_Y5+FT_Int2*(88-FT_PreY5))</f>
        <v>306</v>
      </c>
      <c r="J108" s="14" t="str">
        <f aca="false">INT(I108/12)&amp;"y "&amp;MOD(I108,12)&amp;"m"</f>
        <v>25y 6m</v>
      </c>
      <c r="K108" s="12" t="str">
        <f aca="false">IF(OR($C$6&lt;&gt;"Yes",$C$8=""),"",EDATE($C$8,I108))</f>
        <v/>
      </c>
      <c r="L108" s="14" t="str">
        <f aca="false">IF(K108="","",IF($C$16=0,$C$9,IF(AND($C$14&lt;&gt;"",K108&gt;=$C$14),$C$15,IF(AND($C$12&lt;&gt;"",K108&gt;=$C$12),$C$13,$C$11))))</f>
        <v/>
      </c>
      <c r="M108" s="14" t="str">
        <f aca="false">IF(K108="","",IF(OR(ISNUMBER(SEARCH("full",L108)),UPPER(TRIM(L108))="FT",UPPER(TRIM(L108))="FTE"),"FT",IF(AND(OR(ISNUMBER(SEARCH("part",L108)),UPPER(TRIM(L108))="PT",UPPER(TRIM(L108))="PTE"),OR($C$10="",N($C$10)&gt;=PT_MinHours)),"PT","None")))</f>
        <v/>
      </c>
      <c r="N108" s="14" t="n">
        <f aca="false">IF(I108&lt;FT_Y5,1,IF(MOD(I108-FT_Y5,12)=0,FT_AnnivDays,1))</f>
        <v>1</v>
      </c>
      <c r="O108" s="14" t="str">
        <f aca="false">IF(K108="","",IF(AND(M108="FT",K108&lt;=AsOfDate),N108,0))</f>
        <v/>
      </c>
      <c r="Q108" s="14" t="n">
        <v>89</v>
      </c>
      <c r="R108" s="14" t="n">
        <f aca="false">PT_First+PT_Int*88</f>
        <v>412</v>
      </c>
      <c r="S108" s="14" t="str">
        <f aca="false">INT(R108/12)&amp;"y "&amp;MOD(R108,12)&amp;"m"</f>
        <v>34y 4m</v>
      </c>
      <c r="T108" s="12" t="str">
        <f aca="false">IF(OR($C$6&lt;&gt;"Yes",$C$8=""),"",EDATE($C$8,R108))</f>
        <v/>
      </c>
      <c r="U108" s="14" t="str">
        <f aca="false">IF(T108="","",IF($C$16=0,$C$9,IF(AND($C$14&lt;&gt;"",T108&gt;=$C$14),$C$15,IF(AND($C$12&lt;&gt;"",T108&gt;=$C$12),$C$13,$C$11))))</f>
        <v/>
      </c>
      <c r="V108" s="14" t="str">
        <f aca="false">IF(T108="","",IF(OR(ISNUMBER(SEARCH("full",U108)),UPPER(TRIM(U108))="FT",UPPER(TRIM(U108))="FTE"),"FT",IF(AND(OR(ISNUMBER(SEARCH("part",U108)),UPPER(TRIM(U108))="PT",UPPER(TRIM(U108))="PTE"),OR($C$10="",N($C$10)&gt;=PT_MinHours)),"PT","None")))</f>
        <v/>
      </c>
      <c r="W108" s="14" t="n">
        <v>1</v>
      </c>
      <c r="X108" s="14" t="str">
        <f aca="false">IF(T108="","",IF(AND(V108="PT",T108&lt;=AsOfDate),W108,0))</f>
        <v/>
      </c>
      <c r="Z108" s="17" t="n">
        <f aca="false">I108</f>
        <v>306</v>
      </c>
      <c r="AA108" s="17" t="n">
        <f aca="false">SMALL($Z$20:$Z$199,89)</f>
        <v>200</v>
      </c>
      <c r="AB108" s="17" t="str">
        <f aca="false">IF(89-COUNTIF($Z$20:$Z$199,"&lt;"&amp;AA108)=1,IF(COUNTIF($I$20:$I$109,AA108)&gt;0,"FT","PT"),"PT")</f>
        <v>PT</v>
      </c>
      <c r="AC108" s="17" t="n">
        <f aca="false">IF(AB108="FT",INDEX($N$20:$N$109,MATCH(AA108,$I$20:$I$109,0)),1)</f>
        <v>1</v>
      </c>
    </row>
    <row r="109" customFormat="false" ht="15" hidden="false" customHeight="false" outlineLevel="0" collapsed="false">
      <c r="H109" s="14" t="n">
        <v>90</v>
      </c>
      <c r="I109" s="14" t="n">
        <f aca="false">IF(89&lt;FT_PreY5,FT_First+FT_Int1*89,FT_Y5+FT_Int2*(89-FT_PreY5))</f>
        <v>309</v>
      </c>
      <c r="J109" s="14" t="str">
        <f aca="false">INT(I109/12)&amp;"y "&amp;MOD(I109,12)&amp;"m"</f>
        <v>25y 9m</v>
      </c>
      <c r="K109" s="12" t="str">
        <f aca="false">IF(OR($C$6&lt;&gt;"Yes",$C$8=""),"",EDATE($C$8,I109))</f>
        <v/>
      </c>
      <c r="L109" s="14" t="str">
        <f aca="false">IF(K109="","",IF($C$16=0,$C$9,IF(AND($C$14&lt;&gt;"",K109&gt;=$C$14),$C$15,IF(AND($C$12&lt;&gt;"",K109&gt;=$C$12),$C$13,$C$11))))</f>
        <v/>
      </c>
      <c r="M109" s="14" t="str">
        <f aca="false">IF(K109="","",IF(OR(ISNUMBER(SEARCH("full",L109)),UPPER(TRIM(L109))="FT",UPPER(TRIM(L109))="FTE"),"FT",IF(AND(OR(ISNUMBER(SEARCH("part",L109)),UPPER(TRIM(L109))="PT",UPPER(TRIM(L109))="PTE"),OR($C$10="",N($C$10)&gt;=PT_MinHours)),"PT","None")))</f>
        <v/>
      </c>
      <c r="N109" s="14" t="n">
        <f aca="false">IF(I109&lt;FT_Y5,1,IF(MOD(I109-FT_Y5,12)=0,FT_AnnivDays,1))</f>
        <v>1</v>
      </c>
      <c r="O109" s="14" t="str">
        <f aca="false">IF(K109="","",IF(AND(M109="FT",K109&lt;=AsOfDate),N109,0))</f>
        <v/>
      </c>
      <c r="Q109" s="14" t="n">
        <v>90</v>
      </c>
      <c r="R109" s="14" t="n">
        <f aca="false">PT_First+PT_Int*89</f>
        <v>416</v>
      </c>
      <c r="S109" s="14" t="str">
        <f aca="false">INT(R109/12)&amp;"y "&amp;MOD(R109,12)&amp;"m"</f>
        <v>34y 8m</v>
      </c>
      <c r="T109" s="12" t="str">
        <f aca="false">IF(OR($C$6&lt;&gt;"Yes",$C$8=""),"",EDATE($C$8,R109))</f>
        <v/>
      </c>
      <c r="U109" s="14" t="str">
        <f aca="false">IF(T109="","",IF($C$16=0,$C$9,IF(AND($C$14&lt;&gt;"",T109&gt;=$C$14),$C$15,IF(AND($C$12&lt;&gt;"",T109&gt;=$C$12),$C$13,$C$11))))</f>
        <v/>
      </c>
      <c r="V109" s="14" t="str">
        <f aca="false">IF(T109="","",IF(OR(ISNUMBER(SEARCH("full",U109)),UPPER(TRIM(U109))="FT",UPPER(TRIM(U109))="FTE"),"FT",IF(AND(OR(ISNUMBER(SEARCH("part",U109)),UPPER(TRIM(U109))="PT",UPPER(TRIM(U109))="PTE"),OR($C$10="",N($C$10)&gt;=PT_MinHours)),"PT","None")))</f>
        <v/>
      </c>
      <c r="W109" s="14" t="n">
        <v>1</v>
      </c>
      <c r="X109" s="14" t="str">
        <f aca="false">IF(T109="","",IF(AND(V109="PT",T109&lt;=AsOfDate),W109,0))</f>
        <v/>
      </c>
      <c r="Z109" s="17" t="n">
        <f aca="false">I109</f>
        <v>309</v>
      </c>
      <c r="AA109" s="17" t="n">
        <f aca="false">SMALL($Z$20:$Z$199,90)</f>
        <v>201</v>
      </c>
      <c r="AB109" s="17" t="str">
        <f aca="false">IF(90-COUNTIF($Z$20:$Z$199,"&lt;"&amp;AA109)=1,IF(COUNTIF($I$20:$I$109,AA109)&gt;0,"FT","PT"),"PT")</f>
        <v>FT</v>
      </c>
      <c r="AC109" s="17" t="n">
        <f aca="false">IF(AB109="FT",INDEX($N$20:$N$109,MATCH(AA109,$I$20:$I$109,0)),1)</f>
        <v>1</v>
      </c>
    </row>
    <row r="110" customFormat="false" ht="15" hidden="false" customHeight="false" outlineLevel="0" collapsed="false">
      <c r="Z110" s="17" t="n">
        <f aca="false">R20</f>
        <v>60</v>
      </c>
      <c r="AA110" s="17" t="n">
        <f aca="false">SMALL($Z$20:$Z$199,91)</f>
        <v>204</v>
      </c>
      <c r="AB110" s="17" t="str">
        <f aca="false">IF(91-COUNTIF($Z$20:$Z$199,"&lt;"&amp;AA110)=1,IF(COUNTIF($I$20:$I$109,AA110)&gt;0,"FT","PT"),"PT")</f>
        <v>FT</v>
      </c>
      <c r="AC110" s="17" t="n">
        <f aca="false">IF(AB110="FT",INDEX($N$20:$N$109,MATCH(AA110,$I$20:$I$109,0)),1)</f>
        <v>2</v>
      </c>
    </row>
    <row r="111" customFormat="false" ht="15" hidden="false" customHeight="false" outlineLevel="0" collapsed="false">
      <c r="Z111" s="17" t="n">
        <f aca="false">R21</f>
        <v>64</v>
      </c>
      <c r="AA111" s="17" t="n">
        <f aca="false">SMALL($Z$20:$Z$199,92)</f>
        <v>204</v>
      </c>
      <c r="AB111" s="17" t="str">
        <f aca="false">IF(92-COUNTIF($Z$20:$Z$199,"&lt;"&amp;AA111)=1,IF(COUNTIF($I$20:$I$109,AA111)&gt;0,"FT","PT"),"PT")</f>
        <v>PT</v>
      </c>
      <c r="AC111" s="17" t="n">
        <f aca="false">IF(AB111="FT",INDEX($N$20:$N$109,MATCH(AA111,$I$20:$I$109,0)),1)</f>
        <v>1</v>
      </c>
    </row>
    <row r="112" customFormat="false" ht="15" hidden="false" customHeight="false" outlineLevel="0" collapsed="false">
      <c r="Z112" s="17" t="n">
        <f aca="false">R22</f>
        <v>68</v>
      </c>
      <c r="AA112" s="17" t="n">
        <f aca="false">SMALL($Z$20:$Z$199,93)</f>
        <v>207</v>
      </c>
      <c r="AB112" s="17" t="str">
        <f aca="false">IF(93-COUNTIF($Z$20:$Z$199,"&lt;"&amp;AA112)=1,IF(COUNTIF($I$20:$I$109,AA112)&gt;0,"FT","PT"),"PT")</f>
        <v>FT</v>
      </c>
      <c r="AC112" s="17" t="n">
        <f aca="false">IF(AB112="FT",INDEX($N$20:$N$109,MATCH(AA112,$I$20:$I$109,0)),1)</f>
        <v>1</v>
      </c>
    </row>
    <row r="113" customFormat="false" ht="15" hidden="false" customHeight="false" outlineLevel="0" collapsed="false">
      <c r="Z113" s="17" t="n">
        <f aca="false">R23</f>
        <v>72</v>
      </c>
      <c r="AA113" s="17" t="n">
        <f aca="false">SMALL($Z$20:$Z$199,94)</f>
        <v>208</v>
      </c>
      <c r="AB113" s="17" t="str">
        <f aca="false">IF(94-COUNTIF($Z$20:$Z$199,"&lt;"&amp;AA113)=1,IF(COUNTIF($I$20:$I$109,AA113)&gt;0,"FT","PT"),"PT")</f>
        <v>PT</v>
      </c>
      <c r="AC113" s="17" t="n">
        <f aca="false">IF(AB113="FT",INDEX($N$20:$N$109,MATCH(AA113,$I$20:$I$109,0)),1)</f>
        <v>1</v>
      </c>
    </row>
    <row r="114" customFormat="false" ht="15" hidden="false" customHeight="false" outlineLevel="0" collapsed="false">
      <c r="Z114" s="17" t="n">
        <f aca="false">R24</f>
        <v>76</v>
      </c>
      <c r="AA114" s="17" t="n">
        <f aca="false">SMALL($Z$20:$Z$199,95)</f>
        <v>210</v>
      </c>
      <c r="AB114" s="17" t="str">
        <f aca="false">IF(95-COUNTIF($Z$20:$Z$199,"&lt;"&amp;AA114)=1,IF(COUNTIF($I$20:$I$109,AA114)&gt;0,"FT","PT"),"PT")</f>
        <v>FT</v>
      </c>
      <c r="AC114" s="17" t="n">
        <f aca="false">IF(AB114="FT",INDEX($N$20:$N$109,MATCH(AA114,$I$20:$I$109,0)),1)</f>
        <v>1</v>
      </c>
    </row>
    <row r="115" customFormat="false" ht="15" hidden="false" customHeight="false" outlineLevel="0" collapsed="false">
      <c r="Z115" s="17" t="n">
        <f aca="false">R25</f>
        <v>80</v>
      </c>
      <c r="AA115" s="17" t="n">
        <f aca="false">SMALL($Z$20:$Z$199,96)</f>
        <v>212</v>
      </c>
      <c r="AB115" s="17" t="str">
        <f aca="false">IF(96-COUNTIF($Z$20:$Z$199,"&lt;"&amp;AA115)=1,IF(COUNTIF($I$20:$I$109,AA115)&gt;0,"FT","PT"),"PT")</f>
        <v>PT</v>
      </c>
      <c r="AC115" s="17" t="n">
        <f aca="false">IF(AB115="FT",INDEX($N$20:$N$109,MATCH(AA115,$I$20:$I$109,0)),1)</f>
        <v>1</v>
      </c>
    </row>
    <row r="116" customFormat="false" ht="15" hidden="false" customHeight="false" outlineLevel="0" collapsed="false">
      <c r="Z116" s="17" t="n">
        <f aca="false">R26</f>
        <v>84</v>
      </c>
      <c r="AA116" s="17" t="n">
        <f aca="false">SMALL($Z$20:$Z$199,97)</f>
        <v>213</v>
      </c>
      <c r="AB116" s="17" t="str">
        <f aca="false">IF(97-COUNTIF($Z$20:$Z$199,"&lt;"&amp;AA116)=1,IF(COUNTIF($I$20:$I$109,AA116)&gt;0,"FT","PT"),"PT")</f>
        <v>FT</v>
      </c>
      <c r="AC116" s="17" t="n">
        <f aca="false">IF(AB116="FT",INDEX($N$20:$N$109,MATCH(AA116,$I$20:$I$109,0)),1)</f>
        <v>1</v>
      </c>
    </row>
    <row r="117" customFormat="false" ht="15" hidden="false" customHeight="false" outlineLevel="0" collapsed="false">
      <c r="Z117" s="17" t="n">
        <f aca="false">R27</f>
        <v>88</v>
      </c>
      <c r="AA117" s="17" t="n">
        <f aca="false">SMALL($Z$20:$Z$199,98)</f>
        <v>216</v>
      </c>
      <c r="AB117" s="17" t="str">
        <f aca="false">IF(98-COUNTIF($Z$20:$Z$199,"&lt;"&amp;AA117)=1,IF(COUNTIF($I$20:$I$109,AA117)&gt;0,"FT","PT"),"PT")</f>
        <v>FT</v>
      </c>
      <c r="AC117" s="17" t="n">
        <f aca="false">IF(AB117="FT",INDEX($N$20:$N$109,MATCH(AA117,$I$20:$I$109,0)),1)</f>
        <v>2</v>
      </c>
    </row>
    <row r="118" customFormat="false" ht="15" hidden="false" customHeight="false" outlineLevel="0" collapsed="false">
      <c r="Z118" s="17" t="n">
        <f aca="false">R28</f>
        <v>92</v>
      </c>
      <c r="AA118" s="17" t="n">
        <f aca="false">SMALL($Z$20:$Z$199,99)</f>
        <v>216</v>
      </c>
      <c r="AB118" s="17" t="str">
        <f aca="false">IF(99-COUNTIF($Z$20:$Z$199,"&lt;"&amp;AA118)=1,IF(COUNTIF($I$20:$I$109,AA118)&gt;0,"FT","PT"),"PT")</f>
        <v>PT</v>
      </c>
      <c r="AC118" s="17" t="n">
        <f aca="false">IF(AB118="FT",INDEX($N$20:$N$109,MATCH(AA118,$I$20:$I$109,0)),1)</f>
        <v>1</v>
      </c>
    </row>
    <row r="119" customFormat="false" ht="15" hidden="false" customHeight="false" outlineLevel="0" collapsed="false">
      <c r="Z119" s="17" t="n">
        <f aca="false">R29</f>
        <v>96</v>
      </c>
      <c r="AA119" s="17" t="n">
        <f aca="false">SMALL($Z$20:$Z$199,100)</f>
        <v>219</v>
      </c>
      <c r="AB119" s="17" t="str">
        <f aca="false">IF(100-COUNTIF($Z$20:$Z$199,"&lt;"&amp;AA119)=1,IF(COUNTIF($I$20:$I$109,AA119)&gt;0,"FT","PT"),"PT")</f>
        <v>FT</v>
      </c>
      <c r="AC119" s="17" t="n">
        <f aca="false">IF(AB119="FT",INDEX($N$20:$N$109,MATCH(AA119,$I$20:$I$109,0)),1)</f>
        <v>1</v>
      </c>
    </row>
    <row r="120" customFormat="false" ht="15" hidden="false" customHeight="false" outlineLevel="0" collapsed="false">
      <c r="Z120" s="17" t="n">
        <f aca="false">R30</f>
        <v>100</v>
      </c>
      <c r="AA120" s="17" t="n">
        <f aca="false">SMALL($Z$20:$Z$199,101)</f>
        <v>220</v>
      </c>
      <c r="AB120" s="17" t="str">
        <f aca="false">IF(101-COUNTIF($Z$20:$Z$199,"&lt;"&amp;AA120)=1,IF(COUNTIF($I$20:$I$109,AA120)&gt;0,"FT","PT"),"PT")</f>
        <v>PT</v>
      </c>
      <c r="AC120" s="17" t="n">
        <f aca="false">IF(AB120="FT",INDEX($N$20:$N$109,MATCH(AA120,$I$20:$I$109,0)),1)</f>
        <v>1</v>
      </c>
    </row>
    <row r="121" customFormat="false" ht="15" hidden="false" customHeight="false" outlineLevel="0" collapsed="false">
      <c r="Z121" s="17" t="n">
        <f aca="false">R31</f>
        <v>104</v>
      </c>
      <c r="AA121" s="17" t="n">
        <f aca="false">SMALL($Z$20:$Z$199,102)</f>
        <v>222</v>
      </c>
      <c r="AB121" s="17" t="str">
        <f aca="false">IF(102-COUNTIF($Z$20:$Z$199,"&lt;"&amp;AA121)=1,IF(COUNTIF($I$20:$I$109,AA121)&gt;0,"FT","PT"),"PT")</f>
        <v>FT</v>
      </c>
      <c r="AC121" s="17" t="n">
        <f aca="false">IF(AB121="FT",INDEX($N$20:$N$109,MATCH(AA121,$I$20:$I$109,0)),1)</f>
        <v>1</v>
      </c>
    </row>
    <row r="122" customFormat="false" ht="15" hidden="false" customHeight="false" outlineLevel="0" collapsed="false">
      <c r="Z122" s="17" t="n">
        <f aca="false">R32</f>
        <v>108</v>
      </c>
      <c r="AA122" s="17" t="n">
        <f aca="false">SMALL($Z$20:$Z$199,103)</f>
        <v>224</v>
      </c>
      <c r="AB122" s="17" t="str">
        <f aca="false">IF(103-COUNTIF($Z$20:$Z$199,"&lt;"&amp;AA122)=1,IF(COUNTIF($I$20:$I$109,AA122)&gt;0,"FT","PT"),"PT")</f>
        <v>PT</v>
      </c>
      <c r="AC122" s="17" t="n">
        <f aca="false">IF(AB122="FT",INDEX($N$20:$N$109,MATCH(AA122,$I$20:$I$109,0)),1)</f>
        <v>1</v>
      </c>
    </row>
    <row r="123" customFormat="false" ht="15" hidden="false" customHeight="false" outlineLevel="0" collapsed="false">
      <c r="Z123" s="17" t="n">
        <f aca="false">R33</f>
        <v>112</v>
      </c>
      <c r="AA123" s="17" t="n">
        <f aca="false">SMALL($Z$20:$Z$199,104)</f>
        <v>225</v>
      </c>
      <c r="AB123" s="17" t="str">
        <f aca="false">IF(104-COUNTIF($Z$20:$Z$199,"&lt;"&amp;AA123)=1,IF(COUNTIF($I$20:$I$109,AA123)&gt;0,"FT","PT"),"PT")</f>
        <v>FT</v>
      </c>
      <c r="AC123" s="17" t="n">
        <f aca="false">IF(AB123="FT",INDEX($N$20:$N$109,MATCH(AA123,$I$20:$I$109,0)),1)</f>
        <v>1</v>
      </c>
    </row>
    <row r="124" customFormat="false" ht="15" hidden="false" customHeight="false" outlineLevel="0" collapsed="false">
      <c r="Z124" s="17" t="n">
        <f aca="false">R34</f>
        <v>116</v>
      </c>
      <c r="AA124" s="17" t="n">
        <f aca="false">SMALL($Z$20:$Z$199,105)</f>
        <v>228</v>
      </c>
      <c r="AB124" s="17" t="str">
        <f aca="false">IF(105-COUNTIF($Z$20:$Z$199,"&lt;"&amp;AA124)=1,IF(COUNTIF($I$20:$I$109,AA124)&gt;0,"FT","PT"),"PT")</f>
        <v>FT</v>
      </c>
      <c r="AC124" s="17" t="n">
        <f aca="false">IF(AB124="FT",INDEX($N$20:$N$109,MATCH(AA124,$I$20:$I$109,0)),1)</f>
        <v>2</v>
      </c>
    </row>
    <row r="125" customFormat="false" ht="15" hidden="false" customHeight="false" outlineLevel="0" collapsed="false">
      <c r="Z125" s="17" t="n">
        <f aca="false">R35</f>
        <v>120</v>
      </c>
      <c r="AA125" s="17" t="n">
        <f aca="false">SMALL($Z$20:$Z$199,106)</f>
        <v>228</v>
      </c>
      <c r="AB125" s="17" t="str">
        <f aca="false">IF(106-COUNTIF($Z$20:$Z$199,"&lt;"&amp;AA125)=1,IF(COUNTIF($I$20:$I$109,AA125)&gt;0,"FT","PT"),"PT")</f>
        <v>PT</v>
      </c>
      <c r="AC125" s="17" t="n">
        <f aca="false">IF(AB125="FT",INDEX($N$20:$N$109,MATCH(AA125,$I$20:$I$109,0)),1)</f>
        <v>1</v>
      </c>
    </row>
    <row r="126" customFormat="false" ht="15" hidden="false" customHeight="false" outlineLevel="0" collapsed="false">
      <c r="Z126" s="17" t="n">
        <f aca="false">R36</f>
        <v>124</v>
      </c>
      <c r="AA126" s="17" t="n">
        <f aca="false">SMALL($Z$20:$Z$199,107)</f>
        <v>231</v>
      </c>
      <c r="AB126" s="17" t="str">
        <f aca="false">IF(107-COUNTIF($Z$20:$Z$199,"&lt;"&amp;AA126)=1,IF(COUNTIF($I$20:$I$109,AA126)&gt;0,"FT","PT"),"PT")</f>
        <v>FT</v>
      </c>
      <c r="AC126" s="17" t="n">
        <f aca="false">IF(AB126="FT",INDEX($N$20:$N$109,MATCH(AA126,$I$20:$I$109,0)),1)</f>
        <v>1</v>
      </c>
    </row>
    <row r="127" customFormat="false" ht="15" hidden="false" customHeight="false" outlineLevel="0" collapsed="false">
      <c r="Z127" s="17" t="n">
        <f aca="false">R37</f>
        <v>128</v>
      </c>
      <c r="AA127" s="17" t="n">
        <f aca="false">SMALL($Z$20:$Z$199,108)</f>
        <v>232</v>
      </c>
      <c r="AB127" s="17" t="str">
        <f aca="false">IF(108-COUNTIF($Z$20:$Z$199,"&lt;"&amp;AA127)=1,IF(COUNTIF($I$20:$I$109,AA127)&gt;0,"FT","PT"),"PT")</f>
        <v>PT</v>
      </c>
      <c r="AC127" s="17" t="n">
        <f aca="false">IF(AB127="FT",INDEX($N$20:$N$109,MATCH(AA127,$I$20:$I$109,0)),1)</f>
        <v>1</v>
      </c>
    </row>
    <row r="128" customFormat="false" ht="15" hidden="false" customHeight="false" outlineLevel="0" collapsed="false">
      <c r="Z128" s="17" t="n">
        <f aca="false">R38</f>
        <v>132</v>
      </c>
      <c r="AA128" s="17" t="n">
        <f aca="false">SMALL($Z$20:$Z$199,109)</f>
        <v>234</v>
      </c>
      <c r="AB128" s="17" t="str">
        <f aca="false">IF(109-COUNTIF($Z$20:$Z$199,"&lt;"&amp;AA128)=1,IF(COUNTIF($I$20:$I$109,AA128)&gt;0,"FT","PT"),"PT")</f>
        <v>FT</v>
      </c>
      <c r="AC128" s="17" t="n">
        <f aca="false">IF(AB128="FT",INDEX($N$20:$N$109,MATCH(AA128,$I$20:$I$109,0)),1)</f>
        <v>1</v>
      </c>
    </row>
    <row r="129" customFormat="false" ht="15" hidden="false" customHeight="false" outlineLevel="0" collapsed="false">
      <c r="Z129" s="17" t="n">
        <f aca="false">R39</f>
        <v>136</v>
      </c>
      <c r="AA129" s="17" t="n">
        <f aca="false">SMALL($Z$20:$Z$199,110)</f>
        <v>236</v>
      </c>
      <c r="AB129" s="17" t="str">
        <f aca="false">IF(110-COUNTIF($Z$20:$Z$199,"&lt;"&amp;AA129)=1,IF(COUNTIF($I$20:$I$109,AA129)&gt;0,"FT","PT"),"PT")</f>
        <v>PT</v>
      </c>
      <c r="AC129" s="17" t="n">
        <f aca="false">IF(AB129="FT",INDEX($N$20:$N$109,MATCH(AA129,$I$20:$I$109,0)),1)</f>
        <v>1</v>
      </c>
    </row>
    <row r="130" customFormat="false" ht="15" hidden="false" customHeight="false" outlineLevel="0" collapsed="false">
      <c r="Z130" s="17" t="n">
        <f aca="false">R40</f>
        <v>140</v>
      </c>
      <c r="AA130" s="17" t="n">
        <f aca="false">SMALL($Z$20:$Z$199,111)</f>
        <v>237</v>
      </c>
      <c r="AB130" s="17" t="str">
        <f aca="false">IF(111-COUNTIF($Z$20:$Z$199,"&lt;"&amp;AA130)=1,IF(COUNTIF($I$20:$I$109,AA130)&gt;0,"FT","PT"),"PT")</f>
        <v>FT</v>
      </c>
      <c r="AC130" s="17" t="n">
        <f aca="false">IF(AB130="FT",INDEX($N$20:$N$109,MATCH(AA130,$I$20:$I$109,0)),1)</f>
        <v>1</v>
      </c>
    </row>
    <row r="131" customFormat="false" ht="15" hidden="false" customHeight="false" outlineLevel="0" collapsed="false">
      <c r="Z131" s="17" t="n">
        <f aca="false">R41</f>
        <v>144</v>
      </c>
      <c r="AA131" s="17" t="n">
        <f aca="false">SMALL($Z$20:$Z$199,112)</f>
        <v>240</v>
      </c>
      <c r="AB131" s="17" t="str">
        <f aca="false">IF(112-COUNTIF($Z$20:$Z$199,"&lt;"&amp;AA131)=1,IF(COUNTIF($I$20:$I$109,AA131)&gt;0,"FT","PT"),"PT")</f>
        <v>FT</v>
      </c>
      <c r="AC131" s="17" t="n">
        <f aca="false">IF(AB131="FT",INDEX($N$20:$N$109,MATCH(AA131,$I$20:$I$109,0)),1)</f>
        <v>2</v>
      </c>
    </row>
    <row r="132" customFormat="false" ht="15" hidden="false" customHeight="false" outlineLevel="0" collapsed="false">
      <c r="Z132" s="17" t="n">
        <f aca="false">R42</f>
        <v>148</v>
      </c>
      <c r="AA132" s="17" t="n">
        <f aca="false">SMALL($Z$20:$Z$199,113)</f>
        <v>240</v>
      </c>
      <c r="AB132" s="17" t="str">
        <f aca="false">IF(113-COUNTIF($Z$20:$Z$199,"&lt;"&amp;AA132)=1,IF(COUNTIF($I$20:$I$109,AA132)&gt;0,"FT","PT"),"PT")</f>
        <v>PT</v>
      </c>
      <c r="AC132" s="17" t="n">
        <f aca="false">IF(AB132="FT",INDEX($N$20:$N$109,MATCH(AA132,$I$20:$I$109,0)),1)</f>
        <v>1</v>
      </c>
    </row>
    <row r="133" customFormat="false" ht="15" hidden="false" customHeight="false" outlineLevel="0" collapsed="false">
      <c r="Z133" s="17" t="n">
        <f aca="false">R43</f>
        <v>152</v>
      </c>
      <c r="AA133" s="17" t="n">
        <f aca="false">SMALL($Z$20:$Z$199,114)</f>
        <v>243</v>
      </c>
      <c r="AB133" s="17" t="str">
        <f aca="false">IF(114-COUNTIF($Z$20:$Z$199,"&lt;"&amp;AA133)=1,IF(COUNTIF($I$20:$I$109,AA133)&gt;0,"FT","PT"),"PT")</f>
        <v>FT</v>
      </c>
      <c r="AC133" s="17" t="n">
        <f aca="false">IF(AB133="FT",INDEX($N$20:$N$109,MATCH(AA133,$I$20:$I$109,0)),1)</f>
        <v>1</v>
      </c>
    </row>
    <row r="134" customFormat="false" ht="15" hidden="false" customHeight="false" outlineLevel="0" collapsed="false">
      <c r="Z134" s="17" t="n">
        <f aca="false">R44</f>
        <v>156</v>
      </c>
      <c r="AA134" s="17" t="n">
        <f aca="false">SMALL($Z$20:$Z$199,115)</f>
        <v>244</v>
      </c>
      <c r="AB134" s="17" t="str">
        <f aca="false">IF(115-COUNTIF($Z$20:$Z$199,"&lt;"&amp;AA134)=1,IF(COUNTIF($I$20:$I$109,AA134)&gt;0,"FT","PT"),"PT")</f>
        <v>PT</v>
      </c>
      <c r="AC134" s="17" t="n">
        <f aca="false">IF(AB134="FT",INDEX($N$20:$N$109,MATCH(AA134,$I$20:$I$109,0)),1)</f>
        <v>1</v>
      </c>
    </row>
    <row r="135" customFormat="false" ht="15" hidden="false" customHeight="false" outlineLevel="0" collapsed="false">
      <c r="Z135" s="17" t="n">
        <f aca="false">R45</f>
        <v>160</v>
      </c>
      <c r="AA135" s="17" t="n">
        <f aca="false">SMALL($Z$20:$Z$199,116)</f>
        <v>246</v>
      </c>
      <c r="AB135" s="17" t="str">
        <f aca="false">IF(116-COUNTIF($Z$20:$Z$199,"&lt;"&amp;AA135)=1,IF(COUNTIF($I$20:$I$109,AA135)&gt;0,"FT","PT"),"PT")</f>
        <v>FT</v>
      </c>
      <c r="AC135" s="17" t="n">
        <f aca="false">IF(AB135="FT",INDEX($N$20:$N$109,MATCH(AA135,$I$20:$I$109,0)),1)</f>
        <v>1</v>
      </c>
    </row>
    <row r="136" customFormat="false" ht="15" hidden="false" customHeight="false" outlineLevel="0" collapsed="false">
      <c r="Z136" s="17" t="n">
        <f aca="false">R46</f>
        <v>164</v>
      </c>
      <c r="AA136" s="17" t="n">
        <f aca="false">SMALL($Z$20:$Z$199,117)</f>
        <v>248</v>
      </c>
      <c r="AB136" s="17" t="str">
        <f aca="false">IF(117-COUNTIF($Z$20:$Z$199,"&lt;"&amp;AA136)=1,IF(COUNTIF($I$20:$I$109,AA136)&gt;0,"FT","PT"),"PT")</f>
        <v>PT</v>
      </c>
      <c r="AC136" s="17" t="n">
        <f aca="false">IF(AB136="FT",INDEX($N$20:$N$109,MATCH(AA136,$I$20:$I$109,0)),1)</f>
        <v>1</v>
      </c>
    </row>
    <row r="137" customFormat="false" ht="15" hidden="false" customHeight="false" outlineLevel="0" collapsed="false">
      <c r="Z137" s="17" t="n">
        <f aca="false">R47</f>
        <v>168</v>
      </c>
      <c r="AA137" s="17" t="n">
        <f aca="false">SMALL($Z$20:$Z$199,118)</f>
        <v>249</v>
      </c>
      <c r="AB137" s="17" t="str">
        <f aca="false">IF(118-COUNTIF($Z$20:$Z$199,"&lt;"&amp;AA137)=1,IF(COUNTIF($I$20:$I$109,AA137)&gt;0,"FT","PT"),"PT")</f>
        <v>FT</v>
      </c>
      <c r="AC137" s="17" t="n">
        <f aca="false">IF(AB137="FT",INDEX($N$20:$N$109,MATCH(AA137,$I$20:$I$109,0)),1)</f>
        <v>1</v>
      </c>
    </row>
    <row r="138" customFormat="false" ht="15" hidden="false" customHeight="false" outlineLevel="0" collapsed="false">
      <c r="Z138" s="17" t="n">
        <f aca="false">R48</f>
        <v>172</v>
      </c>
      <c r="AA138" s="17" t="n">
        <f aca="false">SMALL($Z$20:$Z$199,119)</f>
        <v>252</v>
      </c>
      <c r="AB138" s="17" t="str">
        <f aca="false">IF(119-COUNTIF($Z$20:$Z$199,"&lt;"&amp;AA138)=1,IF(COUNTIF($I$20:$I$109,AA138)&gt;0,"FT","PT"),"PT")</f>
        <v>FT</v>
      </c>
      <c r="AC138" s="17" t="n">
        <f aca="false">IF(AB138="FT",INDEX($N$20:$N$109,MATCH(AA138,$I$20:$I$109,0)),1)</f>
        <v>2</v>
      </c>
    </row>
    <row r="139" customFormat="false" ht="15" hidden="false" customHeight="false" outlineLevel="0" collapsed="false">
      <c r="Z139" s="17" t="n">
        <f aca="false">R49</f>
        <v>176</v>
      </c>
      <c r="AA139" s="17" t="n">
        <f aca="false">SMALL($Z$20:$Z$199,120)</f>
        <v>252</v>
      </c>
      <c r="AB139" s="17" t="str">
        <f aca="false">IF(120-COUNTIF($Z$20:$Z$199,"&lt;"&amp;AA139)=1,IF(COUNTIF($I$20:$I$109,AA139)&gt;0,"FT","PT"),"PT")</f>
        <v>PT</v>
      </c>
      <c r="AC139" s="17" t="n">
        <f aca="false">IF(AB139="FT",INDEX($N$20:$N$109,MATCH(AA139,$I$20:$I$109,0)),1)</f>
        <v>1</v>
      </c>
    </row>
    <row r="140" customFormat="false" ht="15" hidden="false" customHeight="false" outlineLevel="0" collapsed="false">
      <c r="Z140" s="17" t="n">
        <f aca="false">R50</f>
        <v>180</v>
      </c>
      <c r="AA140" s="17" t="n">
        <f aca="false">SMALL($Z$20:$Z$199,121)</f>
        <v>255</v>
      </c>
      <c r="AB140" s="17" t="str">
        <f aca="false">IF(121-COUNTIF($Z$20:$Z$199,"&lt;"&amp;AA140)=1,IF(COUNTIF($I$20:$I$109,AA140)&gt;0,"FT","PT"),"PT")</f>
        <v>FT</v>
      </c>
      <c r="AC140" s="17" t="n">
        <f aca="false">IF(AB140="FT",INDEX($N$20:$N$109,MATCH(AA140,$I$20:$I$109,0)),1)</f>
        <v>1</v>
      </c>
    </row>
    <row r="141" customFormat="false" ht="15" hidden="false" customHeight="false" outlineLevel="0" collapsed="false">
      <c r="Z141" s="17" t="n">
        <f aca="false">R51</f>
        <v>184</v>
      </c>
      <c r="AA141" s="17" t="n">
        <f aca="false">SMALL($Z$20:$Z$199,122)</f>
        <v>256</v>
      </c>
      <c r="AB141" s="17" t="str">
        <f aca="false">IF(122-COUNTIF($Z$20:$Z$199,"&lt;"&amp;AA141)=1,IF(COUNTIF($I$20:$I$109,AA141)&gt;0,"FT","PT"),"PT")</f>
        <v>PT</v>
      </c>
      <c r="AC141" s="17" t="n">
        <f aca="false">IF(AB141="FT",INDEX($N$20:$N$109,MATCH(AA141,$I$20:$I$109,0)),1)</f>
        <v>1</v>
      </c>
    </row>
    <row r="142" customFormat="false" ht="15" hidden="false" customHeight="false" outlineLevel="0" collapsed="false">
      <c r="Z142" s="17" t="n">
        <f aca="false">R52</f>
        <v>188</v>
      </c>
      <c r="AA142" s="17" t="n">
        <f aca="false">SMALL($Z$20:$Z$199,123)</f>
        <v>258</v>
      </c>
      <c r="AB142" s="17" t="str">
        <f aca="false">IF(123-COUNTIF($Z$20:$Z$199,"&lt;"&amp;AA142)=1,IF(COUNTIF($I$20:$I$109,AA142)&gt;0,"FT","PT"),"PT")</f>
        <v>FT</v>
      </c>
      <c r="AC142" s="17" t="n">
        <f aca="false">IF(AB142="FT",INDEX($N$20:$N$109,MATCH(AA142,$I$20:$I$109,0)),1)</f>
        <v>1</v>
      </c>
    </row>
    <row r="143" customFormat="false" ht="15" hidden="false" customHeight="false" outlineLevel="0" collapsed="false">
      <c r="Z143" s="17" t="n">
        <f aca="false">R53</f>
        <v>192</v>
      </c>
      <c r="AA143" s="17" t="n">
        <f aca="false">SMALL($Z$20:$Z$199,124)</f>
        <v>260</v>
      </c>
      <c r="AB143" s="17" t="str">
        <f aca="false">IF(124-COUNTIF($Z$20:$Z$199,"&lt;"&amp;AA143)=1,IF(COUNTIF($I$20:$I$109,AA143)&gt;0,"FT","PT"),"PT")</f>
        <v>PT</v>
      </c>
      <c r="AC143" s="17" t="n">
        <f aca="false">IF(AB143="FT",INDEX($N$20:$N$109,MATCH(AA143,$I$20:$I$109,0)),1)</f>
        <v>1</v>
      </c>
    </row>
    <row r="144" customFormat="false" ht="15" hidden="false" customHeight="false" outlineLevel="0" collapsed="false">
      <c r="Z144" s="17" t="n">
        <f aca="false">R54</f>
        <v>196</v>
      </c>
      <c r="AA144" s="17" t="n">
        <f aca="false">SMALL($Z$20:$Z$199,125)</f>
        <v>261</v>
      </c>
      <c r="AB144" s="17" t="str">
        <f aca="false">IF(125-COUNTIF($Z$20:$Z$199,"&lt;"&amp;AA144)=1,IF(COUNTIF($I$20:$I$109,AA144)&gt;0,"FT","PT"),"PT")</f>
        <v>FT</v>
      </c>
      <c r="AC144" s="17" t="n">
        <f aca="false">IF(AB144="FT",INDEX($N$20:$N$109,MATCH(AA144,$I$20:$I$109,0)),1)</f>
        <v>1</v>
      </c>
    </row>
    <row r="145" customFormat="false" ht="15" hidden="false" customHeight="false" outlineLevel="0" collapsed="false">
      <c r="Z145" s="17" t="n">
        <f aca="false">R55</f>
        <v>200</v>
      </c>
      <c r="AA145" s="17" t="n">
        <f aca="false">SMALL($Z$20:$Z$199,126)</f>
        <v>264</v>
      </c>
      <c r="AB145" s="17" t="str">
        <f aca="false">IF(126-COUNTIF($Z$20:$Z$199,"&lt;"&amp;AA145)=1,IF(COUNTIF($I$20:$I$109,AA145)&gt;0,"FT","PT"),"PT")</f>
        <v>FT</v>
      </c>
      <c r="AC145" s="17" t="n">
        <f aca="false">IF(AB145="FT",INDEX($N$20:$N$109,MATCH(AA145,$I$20:$I$109,0)),1)</f>
        <v>2</v>
      </c>
    </row>
    <row r="146" customFormat="false" ht="15" hidden="false" customHeight="false" outlineLevel="0" collapsed="false">
      <c r="Z146" s="17" t="n">
        <f aca="false">R56</f>
        <v>204</v>
      </c>
      <c r="AA146" s="17" t="n">
        <f aca="false">SMALL($Z$20:$Z$199,127)</f>
        <v>264</v>
      </c>
      <c r="AB146" s="17" t="str">
        <f aca="false">IF(127-COUNTIF($Z$20:$Z$199,"&lt;"&amp;AA146)=1,IF(COUNTIF($I$20:$I$109,AA146)&gt;0,"FT","PT"),"PT")</f>
        <v>PT</v>
      </c>
      <c r="AC146" s="17" t="n">
        <f aca="false">IF(AB146="FT",INDEX($N$20:$N$109,MATCH(AA146,$I$20:$I$109,0)),1)</f>
        <v>1</v>
      </c>
    </row>
    <row r="147" customFormat="false" ht="15" hidden="false" customHeight="false" outlineLevel="0" collapsed="false">
      <c r="Z147" s="17" t="n">
        <f aca="false">R57</f>
        <v>208</v>
      </c>
      <c r="AA147" s="17" t="n">
        <f aca="false">SMALL($Z$20:$Z$199,128)</f>
        <v>267</v>
      </c>
      <c r="AB147" s="17" t="str">
        <f aca="false">IF(128-COUNTIF($Z$20:$Z$199,"&lt;"&amp;AA147)=1,IF(COUNTIF($I$20:$I$109,AA147)&gt;0,"FT","PT"),"PT")</f>
        <v>FT</v>
      </c>
      <c r="AC147" s="17" t="n">
        <f aca="false">IF(AB147="FT",INDEX($N$20:$N$109,MATCH(AA147,$I$20:$I$109,0)),1)</f>
        <v>1</v>
      </c>
    </row>
    <row r="148" customFormat="false" ht="15" hidden="false" customHeight="false" outlineLevel="0" collapsed="false">
      <c r="Z148" s="17" t="n">
        <f aca="false">R58</f>
        <v>212</v>
      </c>
      <c r="AA148" s="17" t="n">
        <f aca="false">SMALL($Z$20:$Z$199,129)</f>
        <v>268</v>
      </c>
      <c r="AB148" s="17" t="str">
        <f aca="false">IF(129-COUNTIF($Z$20:$Z$199,"&lt;"&amp;AA148)=1,IF(COUNTIF($I$20:$I$109,AA148)&gt;0,"FT","PT"),"PT")</f>
        <v>PT</v>
      </c>
      <c r="AC148" s="17" t="n">
        <f aca="false">IF(AB148="FT",INDEX($N$20:$N$109,MATCH(AA148,$I$20:$I$109,0)),1)</f>
        <v>1</v>
      </c>
    </row>
    <row r="149" customFormat="false" ht="15" hidden="false" customHeight="false" outlineLevel="0" collapsed="false">
      <c r="Z149" s="17" t="n">
        <f aca="false">R59</f>
        <v>216</v>
      </c>
      <c r="AA149" s="17" t="n">
        <f aca="false">SMALL($Z$20:$Z$199,130)</f>
        <v>270</v>
      </c>
      <c r="AB149" s="17" t="str">
        <f aca="false">IF(130-COUNTIF($Z$20:$Z$199,"&lt;"&amp;AA149)=1,IF(COUNTIF($I$20:$I$109,AA149)&gt;0,"FT","PT"),"PT")</f>
        <v>FT</v>
      </c>
      <c r="AC149" s="17" t="n">
        <f aca="false">IF(AB149="FT",INDEX($N$20:$N$109,MATCH(AA149,$I$20:$I$109,0)),1)</f>
        <v>1</v>
      </c>
    </row>
    <row r="150" customFormat="false" ht="15" hidden="false" customHeight="false" outlineLevel="0" collapsed="false">
      <c r="Z150" s="17" t="n">
        <f aca="false">R60</f>
        <v>220</v>
      </c>
      <c r="AA150" s="17" t="n">
        <f aca="false">SMALL($Z$20:$Z$199,131)</f>
        <v>272</v>
      </c>
      <c r="AB150" s="17" t="str">
        <f aca="false">IF(131-COUNTIF($Z$20:$Z$199,"&lt;"&amp;AA150)=1,IF(COUNTIF($I$20:$I$109,AA150)&gt;0,"FT","PT"),"PT")</f>
        <v>PT</v>
      </c>
      <c r="AC150" s="17" t="n">
        <f aca="false">IF(AB150="FT",INDEX($N$20:$N$109,MATCH(AA150,$I$20:$I$109,0)),1)</f>
        <v>1</v>
      </c>
    </row>
    <row r="151" customFormat="false" ht="15" hidden="false" customHeight="false" outlineLevel="0" collapsed="false">
      <c r="Z151" s="17" t="n">
        <f aca="false">R61</f>
        <v>224</v>
      </c>
      <c r="AA151" s="17" t="n">
        <f aca="false">SMALL($Z$20:$Z$199,132)</f>
        <v>273</v>
      </c>
      <c r="AB151" s="17" t="str">
        <f aca="false">IF(132-COUNTIF($Z$20:$Z$199,"&lt;"&amp;AA151)=1,IF(COUNTIF($I$20:$I$109,AA151)&gt;0,"FT","PT"),"PT")</f>
        <v>FT</v>
      </c>
      <c r="AC151" s="17" t="n">
        <f aca="false">IF(AB151="FT",INDEX($N$20:$N$109,MATCH(AA151,$I$20:$I$109,0)),1)</f>
        <v>1</v>
      </c>
    </row>
    <row r="152" customFormat="false" ht="15" hidden="false" customHeight="false" outlineLevel="0" collapsed="false">
      <c r="Z152" s="17" t="n">
        <f aca="false">R62</f>
        <v>228</v>
      </c>
      <c r="AA152" s="17" t="n">
        <f aca="false">SMALL($Z$20:$Z$199,133)</f>
        <v>276</v>
      </c>
      <c r="AB152" s="17" t="str">
        <f aca="false">IF(133-COUNTIF($Z$20:$Z$199,"&lt;"&amp;AA152)=1,IF(COUNTIF($I$20:$I$109,AA152)&gt;0,"FT","PT"),"PT")</f>
        <v>FT</v>
      </c>
      <c r="AC152" s="17" t="n">
        <f aca="false">IF(AB152="FT",INDEX($N$20:$N$109,MATCH(AA152,$I$20:$I$109,0)),1)</f>
        <v>2</v>
      </c>
    </row>
    <row r="153" customFormat="false" ht="15" hidden="false" customHeight="false" outlineLevel="0" collapsed="false">
      <c r="Z153" s="17" t="n">
        <f aca="false">R63</f>
        <v>232</v>
      </c>
      <c r="AA153" s="17" t="n">
        <f aca="false">SMALL($Z$20:$Z$199,134)</f>
        <v>276</v>
      </c>
      <c r="AB153" s="17" t="str">
        <f aca="false">IF(134-COUNTIF($Z$20:$Z$199,"&lt;"&amp;AA153)=1,IF(COUNTIF($I$20:$I$109,AA153)&gt;0,"FT","PT"),"PT")</f>
        <v>PT</v>
      </c>
      <c r="AC153" s="17" t="n">
        <f aca="false">IF(AB153="FT",INDEX($N$20:$N$109,MATCH(AA153,$I$20:$I$109,0)),1)</f>
        <v>1</v>
      </c>
    </row>
    <row r="154" customFormat="false" ht="15" hidden="false" customHeight="false" outlineLevel="0" collapsed="false">
      <c r="Z154" s="17" t="n">
        <f aca="false">R64</f>
        <v>236</v>
      </c>
      <c r="AA154" s="17" t="n">
        <f aca="false">SMALL($Z$20:$Z$199,135)</f>
        <v>279</v>
      </c>
      <c r="AB154" s="17" t="str">
        <f aca="false">IF(135-COUNTIF($Z$20:$Z$199,"&lt;"&amp;AA154)=1,IF(COUNTIF($I$20:$I$109,AA154)&gt;0,"FT","PT"),"PT")</f>
        <v>FT</v>
      </c>
      <c r="AC154" s="17" t="n">
        <f aca="false">IF(AB154="FT",INDEX($N$20:$N$109,MATCH(AA154,$I$20:$I$109,0)),1)</f>
        <v>1</v>
      </c>
    </row>
    <row r="155" customFormat="false" ht="15" hidden="false" customHeight="false" outlineLevel="0" collapsed="false">
      <c r="Z155" s="17" t="n">
        <f aca="false">R65</f>
        <v>240</v>
      </c>
      <c r="AA155" s="17" t="n">
        <f aca="false">SMALL($Z$20:$Z$199,136)</f>
        <v>280</v>
      </c>
      <c r="AB155" s="17" t="str">
        <f aca="false">IF(136-COUNTIF($Z$20:$Z$199,"&lt;"&amp;AA155)=1,IF(COUNTIF($I$20:$I$109,AA155)&gt;0,"FT","PT"),"PT")</f>
        <v>PT</v>
      </c>
      <c r="AC155" s="17" t="n">
        <f aca="false">IF(AB155="FT",INDEX($N$20:$N$109,MATCH(AA155,$I$20:$I$109,0)),1)</f>
        <v>1</v>
      </c>
    </row>
    <row r="156" customFormat="false" ht="15" hidden="false" customHeight="false" outlineLevel="0" collapsed="false">
      <c r="Z156" s="17" t="n">
        <f aca="false">R66</f>
        <v>244</v>
      </c>
      <c r="AA156" s="17" t="n">
        <f aca="false">SMALL($Z$20:$Z$199,137)</f>
        <v>282</v>
      </c>
      <c r="AB156" s="17" t="str">
        <f aca="false">IF(137-COUNTIF($Z$20:$Z$199,"&lt;"&amp;AA156)=1,IF(COUNTIF($I$20:$I$109,AA156)&gt;0,"FT","PT"),"PT")</f>
        <v>FT</v>
      </c>
      <c r="AC156" s="17" t="n">
        <f aca="false">IF(AB156="FT",INDEX($N$20:$N$109,MATCH(AA156,$I$20:$I$109,0)),1)</f>
        <v>1</v>
      </c>
    </row>
    <row r="157" customFormat="false" ht="15" hidden="false" customHeight="false" outlineLevel="0" collapsed="false">
      <c r="Z157" s="17" t="n">
        <f aca="false">R67</f>
        <v>248</v>
      </c>
      <c r="AA157" s="17" t="n">
        <f aca="false">SMALL($Z$20:$Z$199,138)</f>
        <v>284</v>
      </c>
      <c r="AB157" s="17" t="str">
        <f aca="false">IF(138-COUNTIF($Z$20:$Z$199,"&lt;"&amp;AA157)=1,IF(COUNTIF($I$20:$I$109,AA157)&gt;0,"FT","PT"),"PT")</f>
        <v>PT</v>
      </c>
      <c r="AC157" s="17" t="n">
        <f aca="false">IF(AB157="FT",INDEX($N$20:$N$109,MATCH(AA157,$I$20:$I$109,0)),1)</f>
        <v>1</v>
      </c>
    </row>
    <row r="158" customFormat="false" ht="15" hidden="false" customHeight="false" outlineLevel="0" collapsed="false">
      <c r="Z158" s="17" t="n">
        <f aca="false">R68</f>
        <v>252</v>
      </c>
      <c r="AA158" s="17" t="n">
        <f aca="false">SMALL($Z$20:$Z$199,139)</f>
        <v>285</v>
      </c>
      <c r="AB158" s="17" t="str">
        <f aca="false">IF(139-COUNTIF($Z$20:$Z$199,"&lt;"&amp;AA158)=1,IF(COUNTIF($I$20:$I$109,AA158)&gt;0,"FT","PT"),"PT")</f>
        <v>FT</v>
      </c>
      <c r="AC158" s="17" t="n">
        <f aca="false">IF(AB158="FT",INDEX($N$20:$N$109,MATCH(AA158,$I$20:$I$109,0)),1)</f>
        <v>1</v>
      </c>
    </row>
    <row r="159" customFormat="false" ht="15" hidden="false" customHeight="false" outlineLevel="0" collapsed="false">
      <c r="Z159" s="17" t="n">
        <f aca="false">R69</f>
        <v>256</v>
      </c>
      <c r="AA159" s="17" t="n">
        <f aca="false">SMALL($Z$20:$Z$199,140)</f>
        <v>288</v>
      </c>
      <c r="AB159" s="17" t="str">
        <f aca="false">IF(140-COUNTIF($Z$20:$Z$199,"&lt;"&amp;AA159)=1,IF(COUNTIF($I$20:$I$109,AA159)&gt;0,"FT","PT"),"PT")</f>
        <v>FT</v>
      </c>
      <c r="AC159" s="17" t="n">
        <f aca="false">IF(AB159="FT",INDEX($N$20:$N$109,MATCH(AA159,$I$20:$I$109,0)),1)</f>
        <v>2</v>
      </c>
    </row>
    <row r="160" customFormat="false" ht="15" hidden="false" customHeight="false" outlineLevel="0" collapsed="false">
      <c r="Z160" s="17" t="n">
        <f aca="false">R70</f>
        <v>260</v>
      </c>
      <c r="AA160" s="17" t="n">
        <f aca="false">SMALL($Z$20:$Z$199,141)</f>
        <v>288</v>
      </c>
      <c r="AB160" s="17" t="str">
        <f aca="false">IF(141-COUNTIF($Z$20:$Z$199,"&lt;"&amp;AA160)=1,IF(COUNTIF($I$20:$I$109,AA160)&gt;0,"FT","PT"),"PT")</f>
        <v>PT</v>
      </c>
      <c r="AC160" s="17" t="n">
        <f aca="false">IF(AB160="FT",INDEX($N$20:$N$109,MATCH(AA160,$I$20:$I$109,0)),1)</f>
        <v>1</v>
      </c>
    </row>
    <row r="161" customFormat="false" ht="15" hidden="false" customHeight="false" outlineLevel="0" collapsed="false">
      <c r="Z161" s="17" t="n">
        <f aca="false">R71</f>
        <v>264</v>
      </c>
      <c r="AA161" s="17" t="n">
        <f aca="false">SMALL($Z$20:$Z$199,142)</f>
        <v>291</v>
      </c>
      <c r="AB161" s="17" t="str">
        <f aca="false">IF(142-COUNTIF($Z$20:$Z$199,"&lt;"&amp;AA161)=1,IF(COUNTIF($I$20:$I$109,AA161)&gt;0,"FT","PT"),"PT")</f>
        <v>FT</v>
      </c>
      <c r="AC161" s="17" t="n">
        <f aca="false">IF(AB161="FT",INDEX($N$20:$N$109,MATCH(AA161,$I$20:$I$109,0)),1)</f>
        <v>1</v>
      </c>
    </row>
    <row r="162" customFormat="false" ht="15" hidden="false" customHeight="false" outlineLevel="0" collapsed="false">
      <c r="Z162" s="17" t="n">
        <f aca="false">R72</f>
        <v>268</v>
      </c>
      <c r="AA162" s="17" t="n">
        <f aca="false">SMALL($Z$20:$Z$199,143)</f>
        <v>292</v>
      </c>
      <c r="AB162" s="17" t="str">
        <f aca="false">IF(143-COUNTIF($Z$20:$Z$199,"&lt;"&amp;AA162)=1,IF(COUNTIF($I$20:$I$109,AA162)&gt;0,"FT","PT"),"PT")</f>
        <v>PT</v>
      </c>
      <c r="AC162" s="17" t="n">
        <f aca="false">IF(AB162="FT",INDEX($N$20:$N$109,MATCH(AA162,$I$20:$I$109,0)),1)</f>
        <v>1</v>
      </c>
    </row>
    <row r="163" customFormat="false" ht="15" hidden="false" customHeight="false" outlineLevel="0" collapsed="false">
      <c r="Z163" s="17" t="n">
        <f aca="false">R73</f>
        <v>272</v>
      </c>
      <c r="AA163" s="17" t="n">
        <f aca="false">SMALL($Z$20:$Z$199,144)</f>
        <v>294</v>
      </c>
      <c r="AB163" s="17" t="str">
        <f aca="false">IF(144-COUNTIF($Z$20:$Z$199,"&lt;"&amp;AA163)=1,IF(COUNTIF($I$20:$I$109,AA163)&gt;0,"FT","PT"),"PT")</f>
        <v>FT</v>
      </c>
      <c r="AC163" s="17" t="n">
        <f aca="false">IF(AB163="FT",INDEX($N$20:$N$109,MATCH(AA163,$I$20:$I$109,0)),1)</f>
        <v>1</v>
      </c>
    </row>
    <row r="164" customFormat="false" ht="15" hidden="false" customHeight="false" outlineLevel="0" collapsed="false">
      <c r="Z164" s="17" t="n">
        <f aca="false">R74</f>
        <v>276</v>
      </c>
      <c r="AA164" s="17" t="n">
        <f aca="false">SMALL($Z$20:$Z$199,145)</f>
        <v>296</v>
      </c>
      <c r="AB164" s="17" t="str">
        <f aca="false">IF(145-COUNTIF($Z$20:$Z$199,"&lt;"&amp;AA164)=1,IF(COUNTIF($I$20:$I$109,AA164)&gt;0,"FT","PT"),"PT")</f>
        <v>PT</v>
      </c>
      <c r="AC164" s="17" t="n">
        <f aca="false">IF(AB164="FT",INDEX($N$20:$N$109,MATCH(AA164,$I$20:$I$109,0)),1)</f>
        <v>1</v>
      </c>
    </row>
    <row r="165" customFormat="false" ht="15" hidden="false" customHeight="false" outlineLevel="0" collapsed="false">
      <c r="Z165" s="17" t="n">
        <f aca="false">R75</f>
        <v>280</v>
      </c>
      <c r="AA165" s="17" t="n">
        <f aca="false">SMALL($Z$20:$Z$199,146)</f>
        <v>297</v>
      </c>
      <c r="AB165" s="17" t="str">
        <f aca="false">IF(146-COUNTIF($Z$20:$Z$199,"&lt;"&amp;AA165)=1,IF(COUNTIF($I$20:$I$109,AA165)&gt;0,"FT","PT"),"PT")</f>
        <v>FT</v>
      </c>
      <c r="AC165" s="17" t="n">
        <f aca="false">IF(AB165="FT",INDEX($N$20:$N$109,MATCH(AA165,$I$20:$I$109,0)),1)</f>
        <v>1</v>
      </c>
    </row>
    <row r="166" customFormat="false" ht="15" hidden="false" customHeight="false" outlineLevel="0" collapsed="false">
      <c r="Z166" s="17" t="n">
        <f aca="false">R76</f>
        <v>284</v>
      </c>
      <c r="AA166" s="17" t="n">
        <f aca="false">SMALL($Z$20:$Z$199,147)</f>
        <v>300</v>
      </c>
      <c r="AB166" s="17" t="str">
        <f aca="false">IF(147-COUNTIF($Z$20:$Z$199,"&lt;"&amp;AA166)=1,IF(COUNTIF($I$20:$I$109,AA166)&gt;0,"FT","PT"),"PT")</f>
        <v>FT</v>
      </c>
      <c r="AC166" s="17" t="n">
        <f aca="false">IF(AB166="FT",INDEX($N$20:$N$109,MATCH(AA166,$I$20:$I$109,0)),1)</f>
        <v>2</v>
      </c>
    </row>
    <row r="167" customFormat="false" ht="15" hidden="false" customHeight="false" outlineLevel="0" collapsed="false">
      <c r="Z167" s="17" t="n">
        <f aca="false">R77</f>
        <v>288</v>
      </c>
      <c r="AA167" s="17" t="n">
        <f aca="false">SMALL($Z$20:$Z$199,148)</f>
        <v>300</v>
      </c>
      <c r="AB167" s="17" t="str">
        <f aca="false">IF(148-COUNTIF($Z$20:$Z$199,"&lt;"&amp;AA167)=1,IF(COUNTIF($I$20:$I$109,AA167)&gt;0,"FT","PT"),"PT")</f>
        <v>PT</v>
      </c>
      <c r="AC167" s="17" t="n">
        <f aca="false">IF(AB167="FT",INDEX($N$20:$N$109,MATCH(AA167,$I$20:$I$109,0)),1)</f>
        <v>1</v>
      </c>
    </row>
    <row r="168" customFormat="false" ht="15" hidden="false" customHeight="false" outlineLevel="0" collapsed="false">
      <c r="Z168" s="17" t="n">
        <f aca="false">R78</f>
        <v>292</v>
      </c>
      <c r="AA168" s="17" t="n">
        <f aca="false">SMALL($Z$20:$Z$199,149)</f>
        <v>303</v>
      </c>
      <c r="AB168" s="17" t="str">
        <f aca="false">IF(149-COUNTIF($Z$20:$Z$199,"&lt;"&amp;AA168)=1,IF(COUNTIF($I$20:$I$109,AA168)&gt;0,"FT","PT"),"PT")</f>
        <v>FT</v>
      </c>
      <c r="AC168" s="17" t="n">
        <f aca="false">IF(AB168="FT",INDEX($N$20:$N$109,MATCH(AA168,$I$20:$I$109,0)),1)</f>
        <v>1</v>
      </c>
    </row>
    <row r="169" customFormat="false" ht="15" hidden="false" customHeight="false" outlineLevel="0" collapsed="false">
      <c r="Z169" s="17" t="n">
        <f aca="false">R79</f>
        <v>296</v>
      </c>
      <c r="AA169" s="17" t="n">
        <f aca="false">SMALL($Z$20:$Z$199,150)</f>
        <v>304</v>
      </c>
      <c r="AB169" s="17" t="str">
        <f aca="false">IF(150-COUNTIF($Z$20:$Z$199,"&lt;"&amp;AA169)=1,IF(COUNTIF($I$20:$I$109,AA169)&gt;0,"FT","PT"),"PT")</f>
        <v>PT</v>
      </c>
      <c r="AC169" s="17" t="n">
        <f aca="false">IF(AB169="FT",INDEX($N$20:$N$109,MATCH(AA169,$I$20:$I$109,0)),1)</f>
        <v>1</v>
      </c>
    </row>
    <row r="170" customFormat="false" ht="15" hidden="false" customHeight="false" outlineLevel="0" collapsed="false">
      <c r="Z170" s="17" t="n">
        <f aca="false">R80</f>
        <v>300</v>
      </c>
      <c r="AA170" s="17" t="n">
        <f aca="false">SMALL($Z$20:$Z$199,151)</f>
        <v>306</v>
      </c>
      <c r="AB170" s="17" t="str">
        <f aca="false">IF(151-COUNTIF($Z$20:$Z$199,"&lt;"&amp;AA170)=1,IF(COUNTIF($I$20:$I$109,AA170)&gt;0,"FT","PT"),"PT")</f>
        <v>FT</v>
      </c>
      <c r="AC170" s="17" t="n">
        <f aca="false">IF(AB170="FT",INDEX($N$20:$N$109,MATCH(AA170,$I$20:$I$109,0)),1)</f>
        <v>1</v>
      </c>
    </row>
    <row r="171" customFormat="false" ht="15" hidden="false" customHeight="false" outlineLevel="0" collapsed="false">
      <c r="Z171" s="17" t="n">
        <f aca="false">R81</f>
        <v>304</v>
      </c>
      <c r="AA171" s="17" t="n">
        <f aca="false">SMALL($Z$20:$Z$199,152)</f>
        <v>308</v>
      </c>
      <c r="AB171" s="17" t="str">
        <f aca="false">IF(152-COUNTIF($Z$20:$Z$199,"&lt;"&amp;AA171)=1,IF(COUNTIF($I$20:$I$109,AA171)&gt;0,"FT","PT"),"PT")</f>
        <v>PT</v>
      </c>
      <c r="AC171" s="17" t="n">
        <f aca="false">IF(AB171="FT",INDEX($N$20:$N$109,MATCH(AA171,$I$20:$I$109,0)),1)</f>
        <v>1</v>
      </c>
    </row>
    <row r="172" customFormat="false" ht="15" hidden="false" customHeight="false" outlineLevel="0" collapsed="false">
      <c r="Z172" s="17" t="n">
        <f aca="false">R82</f>
        <v>308</v>
      </c>
      <c r="AA172" s="17" t="n">
        <f aca="false">SMALL($Z$20:$Z$199,153)</f>
        <v>309</v>
      </c>
      <c r="AB172" s="17" t="str">
        <f aca="false">IF(153-COUNTIF($Z$20:$Z$199,"&lt;"&amp;AA172)=1,IF(COUNTIF($I$20:$I$109,AA172)&gt;0,"FT","PT"),"PT")</f>
        <v>FT</v>
      </c>
      <c r="AC172" s="17" t="n">
        <f aca="false">IF(AB172="FT",INDEX($N$20:$N$109,MATCH(AA172,$I$20:$I$109,0)),1)</f>
        <v>1</v>
      </c>
    </row>
    <row r="173" customFormat="false" ht="15" hidden="false" customHeight="false" outlineLevel="0" collapsed="false">
      <c r="Z173" s="17" t="n">
        <f aca="false">R83</f>
        <v>312</v>
      </c>
      <c r="AA173" s="17" t="n">
        <f aca="false">SMALL($Z$20:$Z$199,154)</f>
        <v>312</v>
      </c>
      <c r="AB173" s="17" t="str">
        <f aca="false">IF(154-COUNTIF($Z$20:$Z$199,"&lt;"&amp;AA173)=1,IF(COUNTIF($I$20:$I$109,AA173)&gt;0,"FT","PT"),"PT")</f>
        <v>PT</v>
      </c>
      <c r="AC173" s="17" t="n">
        <f aca="false">IF(AB173="FT",INDEX($N$20:$N$109,MATCH(AA173,$I$20:$I$109,0)),1)</f>
        <v>1</v>
      </c>
    </row>
    <row r="174" customFormat="false" ht="15" hidden="false" customHeight="false" outlineLevel="0" collapsed="false">
      <c r="Z174" s="17" t="n">
        <f aca="false">R84</f>
        <v>316</v>
      </c>
      <c r="AA174" s="17" t="n">
        <f aca="false">SMALL($Z$20:$Z$199,155)</f>
        <v>316</v>
      </c>
      <c r="AB174" s="17" t="str">
        <f aca="false">IF(155-COUNTIF($Z$20:$Z$199,"&lt;"&amp;AA174)=1,IF(COUNTIF($I$20:$I$109,AA174)&gt;0,"FT","PT"),"PT")</f>
        <v>PT</v>
      </c>
      <c r="AC174" s="17" t="n">
        <f aca="false">IF(AB174="FT",INDEX($N$20:$N$109,MATCH(AA174,$I$20:$I$109,0)),1)</f>
        <v>1</v>
      </c>
    </row>
    <row r="175" customFormat="false" ht="15" hidden="false" customHeight="false" outlineLevel="0" collapsed="false">
      <c r="Z175" s="17" t="n">
        <f aca="false">R85</f>
        <v>320</v>
      </c>
      <c r="AA175" s="17" t="n">
        <f aca="false">SMALL($Z$20:$Z$199,156)</f>
        <v>320</v>
      </c>
      <c r="AB175" s="17" t="str">
        <f aca="false">IF(156-COUNTIF($Z$20:$Z$199,"&lt;"&amp;AA175)=1,IF(COUNTIF($I$20:$I$109,AA175)&gt;0,"FT","PT"),"PT")</f>
        <v>PT</v>
      </c>
      <c r="AC175" s="17" t="n">
        <f aca="false">IF(AB175="FT",INDEX($N$20:$N$109,MATCH(AA175,$I$20:$I$109,0)),1)</f>
        <v>1</v>
      </c>
    </row>
    <row r="176" customFormat="false" ht="15" hidden="false" customHeight="false" outlineLevel="0" collapsed="false">
      <c r="Z176" s="17" t="n">
        <f aca="false">R86</f>
        <v>324</v>
      </c>
      <c r="AA176" s="17" t="n">
        <f aca="false">SMALL($Z$20:$Z$199,157)</f>
        <v>324</v>
      </c>
      <c r="AB176" s="17" t="str">
        <f aca="false">IF(157-COUNTIF($Z$20:$Z$199,"&lt;"&amp;AA176)=1,IF(COUNTIF($I$20:$I$109,AA176)&gt;0,"FT","PT"),"PT")</f>
        <v>PT</v>
      </c>
      <c r="AC176" s="17" t="n">
        <f aca="false">IF(AB176="FT",INDEX($N$20:$N$109,MATCH(AA176,$I$20:$I$109,0)),1)</f>
        <v>1</v>
      </c>
    </row>
    <row r="177" customFormat="false" ht="15" hidden="false" customHeight="false" outlineLevel="0" collapsed="false">
      <c r="Z177" s="17" t="n">
        <f aca="false">R87</f>
        <v>328</v>
      </c>
      <c r="AA177" s="17" t="n">
        <f aca="false">SMALL($Z$20:$Z$199,158)</f>
        <v>328</v>
      </c>
      <c r="AB177" s="17" t="str">
        <f aca="false">IF(158-COUNTIF($Z$20:$Z$199,"&lt;"&amp;AA177)=1,IF(COUNTIF($I$20:$I$109,AA177)&gt;0,"FT","PT"),"PT")</f>
        <v>PT</v>
      </c>
      <c r="AC177" s="17" t="n">
        <f aca="false">IF(AB177="FT",INDEX($N$20:$N$109,MATCH(AA177,$I$20:$I$109,0)),1)</f>
        <v>1</v>
      </c>
    </row>
    <row r="178" customFormat="false" ht="15" hidden="false" customHeight="false" outlineLevel="0" collapsed="false">
      <c r="Z178" s="17" t="n">
        <f aca="false">R88</f>
        <v>332</v>
      </c>
      <c r="AA178" s="17" t="n">
        <f aca="false">SMALL($Z$20:$Z$199,159)</f>
        <v>332</v>
      </c>
      <c r="AB178" s="17" t="str">
        <f aca="false">IF(159-COUNTIF($Z$20:$Z$199,"&lt;"&amp;AA178)=1,IF(COUNTIF($I$20:$I$109,AA178)&gt;0,"FT","PT"),"PT")</f>
        <v>PT</v>
      </c>
      <c r="AC178" s="17" t="n">
        <f aca="false">IF(AB178="FT",INDEX($N$20:$N$109,MATCH(AA178,$I$20:$I$109,0)),1)</f>
        <v>1</v>
      </c>
    </row>
    <row r="179" customFormat="false" ht="15" hidden="false" customHeight="false" outlineLevel="0" collapsed="false">
      <c r="Z179" s="17" t="n">
        <f aca="false">R89</f>
        <v>336</v>
      </c>
      <c r="AA179" s="17" t="n">
        <f aca="false">SMALL($Z$20:$Z$199,160)</f>
        <v>336</v>
      </c>
      <c r="AB179" s="17" t="str">
        <f aca="false">IF(160-COUNTIF($Z$20:$Z$199,"&lt;"&amp;AA179)=1,IF(COUNTIF($I$20:$I$109,AA179)&gt;0,"FT","PT"),"PT")</f>
        <v>PT</v>
      </c>
      <c r="AC179" s="17" t="n">
        <f aca="false">IF(AB179="FT",INDEX($N$20:$N$109,MATCH(AA179,$I$20:$I$109,0)),1)</f>
        <v>1</v>
      </c>
    </row>
    <row r="180" customFormat="false" ht="15" hidden="false" customHeight="false" outlineLevel="0" collapsed="false">
      <c r="Z180" s="17" t="n">
        <f aca="false">R90</f>
        <v>340</v>
      </c>
      <c r="AA180" s="17" t="n">
        <f aca="false">SMALL($Z$20:$Z$199,161)</f>
        <v>340</v>
      </c>
      <c r="AB180" s="17" t="str">
        <f aca="false">IF(161-COUNTIF($Z$20:$Z$199,"&lt;"&amp;AA180)=1,IF(COUNTIF($I$20:$I$109,AA180)&gt;0,"FT","PT"),"PT")</f>
        <v>PT</v>
      </c>
      <c r="AC180" s="17" t="n">
        <f aca="false">IF(AB180="FT",INDEX($N$20:$N$109,MATCH(AA180,$I$20:$I$109,0)),1)</f>
        <v>1</v>
      </c>
    </row>
    <row r="181" customFormat="false" ht="15" hidden="false" customHeight="false" outlineLevel="0" collapsed="false">
      <c r="Z181" s="17" t="n">
        <f aca="false">R91</f>
        <v>344</v>
      </c>
      <c r="AA181" s="17" t="n">
        <f aca="false">SMALL($Z$20:$Z$199,162)</f>
        <v>344</v>
      </c>
      <c r="AB181" s="17" t="str">
        <f aca="false">IF(162-COUNTIF($Z$20:$Z$199,"&lt;"&amp;AA181)=1,IF(COUNTIF($I$20:$I$109,AA181)&gt;0,"FT","PT"),"PT")</f>
        <v>PT</v>
      </c>
      <c r="AC181" s="17" t="n">
        <f aca="false">IF(AB181="FT",INDEX($N$20:$N$109,MATCH(AA181,$I$20:$I$109,0)),1)</f>
        <v>1</v>
      </c>
    </row>
    <row r="182" customFormat="false" ht="15" hidden="false" customHeight="false" outlineLevel="0" collapsed="false">
      <c r="Z182" s="17" t="n">
        <f aca="false">R92</f>
        <v>348</v>
      </c>
      <c r="AA182" s="17" t="n">
        <f aca="false">SMALL($Z$20:$Z$199,163)</f>
        <v>348</v>
      </c>
      <c r="AB182" s="17" t="str">
        <f aca="false">IF(163-COUNTIF($Z$20:$Z$199,"&lt;"&amp;AA182)=1,IF(COUNTIF($I$20:$I$109,AA182)&gt;0,"FT","PT"),"PT")</f>
        <v>PT</v>
      </c>
      <c r="AC182" s="17" t="n">
        <f aca="false">IF(AB182="FT",INDEX($N$20:$N$109,MATCH(AA182,$I$20:$I$109,0)),1)</f>
        <v>1</v>
      </c>
    </row>
    <row r="183" customFormat="false" ht="15" hidden="false" customHeight="false" outlineLevel="0" collapsed="false">
      <c r="Z183" s="17" t="n">
        <f aca="false">R93</f>
        <v>352</v>
      </c>
      <c r="AA183" s="17" t="n">
        <f aca="false">SMALL($Z$20:$Z$199,164)</f>
        <v>352</v>
      </c>
      <c r="AB183" s="17" t="str">
        <f aca="false">IF(164-COUNTIF($Z$20:$Z$199,"&lt;"&amp;AA183)=1,IF(COUNTIF($I$20:$I$109,AA183)&gt;0,"FT","PT"),"PT")</f>
        <v>PT</v>
      </c>
      <c r="AC183" s="17" t="n">
        <f aca="false">IF(AB183="FT",INDEX($N$20:$N$109,MATCH(AA183,$I$20:$I$109,0)),1)</f>
        <v>1</v>
      </c>
    </row>
    <row r="184" customFormat="false" ht="15" hidden="false" customHeight="false" outlineLevel="0" collapsed="false">
      <c r="Z184" s="17" t="n">
        <f aca="false">R94</f>
        <v>356</v>
      </c>
      <c r="AA184" s="17" t="n">
        <f aca="false">SMALL($Z$20:$Z$199,165)</f>
        <v>356</v>
      </c>
      <c r="AB184" s="17" t="str">
        <f aca="false">IF(165-COUNTIF($Z$20:$Z$199,"&lt;"&amp;AA184)=1,IF(COUNTIF($I$20:$I$109,AA184)&gt;0,"FT","PT"),"PT")</f>
        <v>PT</v>
      </c>
      <c r="AC184" s="17" t="n">
        <f aca="false">IF(AB184="FT",INDEX($N$20:$N$109,MATCH(AA184,$I$20:$I$109,0)),1)</f>
        <v>1</v>
      </c>
    </row>
    <row r="185" customFormat="false" ht="15" hidden="false" customHeight="false" outlineLevel="0" collapsed="false">
      <c r="Z185" s="17" t="n">
        <f aca="false">R95</f>
        <v>360</v>
      </c>
      <c r="AA185" s="17" t="n">
        <f aca="false">SMALL($Z$20:$Z$199,166)</f>
        <v>360</v>
      </c>
      <c r="AB185" s="17" t="str">
        <f aca="false">IF(166-COUNTIF($Z$20:$Z$199,"&lt;"&amp;AA185)=1,IF(COUNTIF($I$20:$I$109,AA185)&gt;0,"FT","PT"),"PT")</f>
        <v>PT</v>
      </c>
      <c r="AC185" s="17" t="n">
        <f aca="false">IF(AB185="FT",INDEX($N$20:$N$109,MATCH(AA185,$I$20:$I$109,0)),1)</f>
        <v>1</v>
      </c>
    </row>
    <row r="186" customFormat="false" ht="15" hidden="false" customHeight="false" outlineLevel="0" collapsed="false">
      <c r="Z186" s="17" t="n">
        <f aca="false">R96</f>
        <v>364</v>
      </c>
      <c r="AA186" s="17" t="n">
        <f aca="false">SMALL($Z$20:$Z$199,167)</f>
        <v>364</v>
      </c>
      <c r="AB186" s="17" t="str">
        <f aca="false">IF(167-COUNTIF($Z$20:$Z$199,"&lt;"&amp;AA186)=1,IF(COUNTIF($I$20:$I$109,AA186)&gt;0,"FT","PT"),"PT")</f>
        <v>PT</v>
      </c>
      <c r="AC186" s="17" t="n">
        <f aca="false">IF(AB186="FT",INDEX($N$20:$N$109,MATCH(AA186,$I$20:$I$109,0)),1)</f>
        <v>1</v>
      </c>
    </row>
    <row r="187" customFormat="false" ht="15" hidden="false" customHeight="false" outlineLevel="0" collapsed="false">
      <c r="Z187" s="17" t="n">
        <f aca="false">R97</f>
        <v>368</v>
      </c>
      <c r="AA187" s="17" t="n">
        <f aca="false">SMALL($Z$20:$Z$199,168)</f>
        <v>368</v>
      </c>
      <c r="AB187" s="17" t="str">
        <f aca="false">IF(168-COUNTIF($Z$20:$Z$199,"&lt;"&amp;AA187)=1,IF(COUNTIF($I$20:$I$109,AA187)&gt;0,"FT","PT"),"PT")</f>
        <v>PT</v>
      </c>
      <c r="AC187" s="17" t="n">
        <f aca="false">IF(AB187="FT",INDEX($N$20:$N$109,MATCH(AA187,$I$20:$I$109,0)),1)</f>
        <v>1</v>
      </c>
    </row>
    <row r="188" customFormat="false" ht="15" hidden="false" customHeight="false" outlineLevel="0" collapsed="false">
      <c r="Z188" s="17" t="n">
        <f aca="false">R98</f>
        <v>372</v>
      </c>
      <c r="AA188" s="17" t="n">
        <f aca="false">SMALL($Z$20:$Z$199,169)</f>
        <v>372</v>
      </c>
      <c r="AB188" s="17" t="str">
        <f aca="false">IF(169-COUNTIF($Z$20:$Z$199,"&lt;"&amp;AA188)=1,IF(COUNTIF($I$20:$I$109,AA188)&gt;0,"FT","PT"),"PT")</f>
        <v>PT</v>
      </c>
      <c r="AC188" s="17" t="n">
        <f aca="false">IF(AB188="FT",INDEX($N$20:$N$109,MATCH(AA188,$I$20:$I$109,0)),1)</f>
        <v>1</v>
      </c>
    </row>
    <row r="189" customFormat="false" ht="15" hidden="false" customHeight="false" outlineLevel="0" collapsed="false">
      <c r="Z189" s="17" t="n">
        <f aca="false">R99</f>
        <v>376</v>
      </c>
      <c r="AA189" s="17" t="n">
        <f aca="false">SMALL($Z$20:$Z$199,170)</f>
        <v>376</v>
      </c>
      <c r="AB189" s="17" t="str">
        <f aca="false">IF(170-COUNTIF($Z$20:$Z$199,"&lt;"&amp;AA189)=1,IF(COUNTIF($I$20:$I$109,AA189)&gt;0,"FT","PT"),"PT")</f>
        <v>PT</v>
      </c>
      <c r="AC189" s="17" t="n">
        <f aca="false">IF(AB189="FT",INDEX($N$20:$N$109,MATCH(AA189,$I$20:$I$109,0)),1)</f>
        <v>1</v>
      </c>
    </row>
    <row r="190" customFormat="false" ht="15" hidden="false" customHeight="false" outlineLevel="0" collapsed="false">
      <c r="Z190" s="17" t="n">
        <f aca="false">R100</f>
        <v>380</v>
      </c>
      <c r="AA190" s="17" t="n">
        <f aca="false">SMALL($Z$20:$Z$199,171)</f>
        <v>380</v>
      </c>
      <c r="AB190" s="17" t="str">
        <f aca="false">IF(171-COUNTIF($Z$20:$Z$199,"&lt;"&amp;AA190)=1,IF(COUNTIF($I$20:$I$109,AA190)&gt;0,"FT","PT"),"PT")</f>
        <v>PT</v>
      </c>
      <c r="AC190" s="17" t="n">
        <f aca="false">IF(AB190="FT",INDEX($N$20:$N$109,MATCH(AA190,$I$20:$I$109,0)),1)</f>
        <v>1</v>
      </c>
    </row>
    <row r="191" customFormat="false" ht="15" hidden="false" customHeight="false" outlineLevel="0" collapsed="false">
      <c r="Z191" s="17" t="n">
        <f aca="false">R101</f>
        <v>384</v>
      </c>
      <c r="AA191" s="17" t="n">
        <f aca="false">SMALL($Z$20:$Z$199,172)</f>
        <v>384</v>
      </c>
      <c r="AB191" s="17" t="str">
        <f aca="false">IF(172-COUNTIF($Z$20:$Z$199,"&lt;"&amp;AA191)=1,IF(COUNTIF($I$20:$I$109,AA191)&gt;0,"FT","PT"),"PT")</f>
        <v>PT</v>
      </c>
      <c r="AC191" s="17" t="n">
        <f aca="false">IF(AB191="FT",INDEX($N$20:$N$109,MATCH(AA191,$I$20:$I$109,0)),1)</f>
        <v>1</v>
      </c>
    </row>
    <row r="192" customFormat="false" ht="15" hidden="false" customHeight="false" outlineLevel="0" collapsed="false">
      <c r="Z192" s="17" t="n">
        <f aca="false">R102</f>
        <v>388</v>
      </c>
      <c r="AA192" s="17" t="n">
        <f aca="false">SMALL($Z$20:$Z$199,173)</f>
        <v>388</v>
      </c>
      <c r="AB192" s="17" t="str">
        <f aca="false">IF(173-COUNTIF($Z$20:$Z$199,"&lt;"&amp;AA192)=1,IF(COUNTIF($I$20:$I$109,AA192)&gt;0,"FT","PT"),"PT")</f>
        <v>PT</v>
      </c>
      <c r="AC192" s="17" t="n">
        <f aca="false">IF(AB192="FT",INDEX($N$20:$N$109,MATCH(AA192,$I$20:$I$109,0)),1)</f>
        <v>1</v>
      </c>
    </row>
    <row r="193" customFormat="false" ht="15" hidden="false" customHeight="false" outlineLevel="0" collapsed="false">
      <c r="Z193" s="17" t="n">
        <f aca="false">R103</f>
        <v>392</v>
      </c>
      <c r="AA193" s="17" t="n">
        <f aca="false">SMALL($Z$20:$Z$199,174)</f>
        <v>392</v>
      </c>
      <c r="AB193" s="17" t="str">
        <f aca="false">IF(174-COUNTIF($Z$20:$Z$199,"&lt;"&amp;AA193)=1,IF(COUNTIF($I$20:$I$109,AA193)&gt;0,"FT","PT"),"PT")</f>
        <v>PT</v>
      </c>
      <c r="AC193" s="17" t="n">
        <f aca="false">IF(AB193="FT",INDEX($N$20:$N$109,MATCH(AA193,$I$20:$I$109,0)),1)</f>
        <v>1</v>
      </c>
    </row>
    <row r="194" customFormat="false" ht="15" hidden="false" customHeight="false" outlineLevel="0" collapsed="false">
      <c r="Z194" s="17" t="n">
        <f aca="false">R104</f>
        <v>396</v>
      </c>
      <c r="AA194" s="17" t="n">
        <f aca="false">SMALL($Z$20:$Z$199,175)</f>
        <v>396</v>
      </c>
      <c r="AB194" s="17" t="str">
        <f aca="false">IF(175-COUNTIF($Z$20:$Z$199,"&lt;"&amp;AA194)=1,IF(COUNTIF($I$20:$I$109,AA194)&gt;0,"FT","PT"),"PT")</f>
        <v>PT</v>
      </c>
      <c r="AC194" s="17" t="n">
        <f aca="false">IF(AB194="FT",INDEX($N$20:$N$109,MATCH(AA194,$I$20:$I$109,0)),1)</f>
        <v>1</v>
      </c>
    </row>
    <row r="195" customFormat="false" ht="15" hidden="false" customHeight="false" outlineLevel="0" collapsed="false">
      <c r="Z195" s="17" t="n">
        <f aca="false">R105</f>
        <v>400</v>
      </c>
      <c r="AA195" s="17" t="n">
        <f aca="false">SMALL($Z$20:$Z$199,176)</f>
        <v>400</v>
      </c>
      <c r="AB195" s="17" t="str">
        <f aca="false">IF(176-COUNTIF($Z$20:$Z$199,"&lt;"&amp;AA195)=1,IF(COUNTIF($I$20:$I$109,AA195)&gt;0,"FT","PT"),"PT")</f>
        <v>PT</v>
      </c>
      <c r="AC195" s="17" t="n">
        <f aca="false">IF(AB195="FT",INDEX($N$20:$N$109,MATCH(AA195,$I$20:$I$109,0)),1)</f>
        <v>1</v>
      </c>
    </row>
    <row r="196" customFormat="false" ht="15" hidden="false" customHeight="false" outlineLevel="0" collapsed="false">
      <c r="Z196" s="17" t="n">
        <f aca="false">R106</f>
        <v>404</v>
      </c>
      <c r="AA196" s="17" t="n">
        <f aca="false">SMALL($Z$20:$Z$199,177)</f>
        <v>404</v>
      </c>
      <c r="AB196" s="17" t="str">
        <f aca="false">IF(177-COUNTIF($Z$20:$Z$199,"&lt;"&amp;AA196)=1,IF(COUNTIF($I$20:$I$109,AA196)&gt;0,"FT","PT"),"PT")</f>
        <v>PT</v>
      </c>
      <c r="AC196" s="17" t="n">
        <f aca="false">IF(AB196="FT",INDEX($N$20:$N$109,MATCH(AA196,$I$20:$I$109,0)),1)</f>
        <v>1</v>
      </c>
    </row>
    <row r="197" customFormat="false" ht="15" hidden="false" customHeight="false" outlineLevel="0" collapsed="false">
      <c r="Z197" s="17" t="n">
        <f aca="false">R107</f>
        <v>408</v>
      </c>
      <c r="AA197" s="17" t="n">
        <f aca="false">SMALL($Z$20:$Z$199,178)</f>
        <v>408</v>
      </c>
      <c r="AB197" s="17" t="str">
        <f aca="false">IF(178-COUNTIF($Z$20:$Z$199,"&lt;"&amp;AA197)=1,IF(COUNTIF($I$20:$I$109,AA197)&gt;0,"FT","PT"),"PT")</f>
        <v>PT</v>
      </c>
      <c r="AC197" s="17" t="n">
        <f aca="false">IF(AB197="FT",INDEX($N$20:$N$109,MATCH(AA197,$I$20:$I$109,0)),1)</f>
        <v>1</v>
      </c>
    </row>
    <row r="198" customFormat="false" ht="15" hidden="false" customHeight="false" outlineLevel="0" collapsed="false">
      <c r="Z198" s="17" t="n">
        <f aca="false">R108</f>
        <v>412</v>
      </c>
      <c r="AA198" s="17" t="n">
        <f aca="false">SMALL($Z$20:$Z$199,179)</f>
        <v>412</v>
      </c>
      <c r="AB198" s="17" t="str">
        <f aca="false">IF(179-COUNTIF($Z$20:$Z$199,"&lt;"&amp;AA198)=1,IF(COUNTIF($I$20:$I$109,AA198)&gt;0,"FT","PT"),"PT")</f>
        <v>PT</v>
      </c>
      <c r="AC198" s="17" t="n">
        <f aca="false">IF(AB198="FT",INDEX($N$20:$N$109,MATCH(AA198,$I$20:$I$109,0)),1)</f>
        <v>1</v>
      </c>
    </row>
    <row r="199" customFormat="false" ht="15" hidden="false" customHeight="false" outlineLevel="0" collapsed="false">
      <c r="Z199" s="17" t="n">
        <f aca="false">R109</f>
        <v>416</v>
      </c>
      <c r="AA199" s="17" t="n">
        <f aca="false">SMALL($Z$20:$Z$199,180)</f>
        <v>416</v>
      </c>
      <c r="AB199" s="17" t="str">
        <f aca="false">IF(180-COUNTIF($Z$20:$Z$199,"&lt;"&amp;AA199)=1,IF(COUNTIF($I$20:$I$109,AA199)&gt;0,"FT","PT"),"PT")</f>
        <v>PT</v>
      </c>
      <c r="AC199" s="17" t="n">
        <f aca="false">IF(AB199="FT",INDEX($N$20:$N$109,MATCH(AA199,$I$20:$I$109,0)),1)</f>
        <v>1</v>
      </c>
    </row>
  </sheetData>
  <mergeCells count="2">
    <mergeCell ref="H18:O18"/>
    <mergeCell ref="Q18:X18"/>
  </mergeCells>
  <conditionalFormatting sqref="H20:O109">
    <cfRule type="expression" priority="2" aboveAverage="0" equalAverage="0" bottom="0" percent="0" rank="0" text="" dxfId="12">
      <formula>N($O20)&gt;0</formula>
    </cfRule>
    <cfRule type="expression" priority="3" aboveAverage="0" equalAverage="0" bottom="0" percent="0" rank="0" text="" dxfId="15">
      <formula>AND($K20&lt;&gt;"",$K20&gt;AsOfDate)</formula>
    </cfRule>
  </conditionalFormatting>
  <conditionalFormatting sqref="Q20:X109">
    <cfRule type="expression" priority="4" aboveAverage="0" equalAverage="0" bottom="0" percent="0" rank="0" text="" dxfId="12">
      <formula>N($X20)&gt;0</formula>
    </cfRule>
    <cfRule type="expression" priority="5"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Staff!$BJ$5:$BJ$154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X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24" min="9" style="0" width="13"/>
  </cols>
  <sheetData>
    <row r="1" customFormat="false" ht="17.35" hidden="false" customHeight="false" outlineLevel="0" collapsed="false">
      <c r="A1" s="1" t="s">
        <v>136</v>
      </c>
    </row>
    <row r="2" customFormat="false" ht="15" hidden="false" customHeight="false" outlineLevel="0" collapsed="false">
      <c r="A2" s="2" t="str">
        <f aca="false">"Accruing for "&amp;UPPER(TEXT(AsOfDate,"mmmm yyyy"))&amp;" (as at "&amp;TEXT(AsOfDate,"dd/mm/yyyy")&amp;"). Each entry is: milestone date, pathway on that date (FT or PT), days earned. Only milestones already reached are listed."</f>
        <v>Accruing for OCTOBER 2026 (as at 08/10/2026). Each entry is: milestone date, pathway on that date (FT or PT), days earned. Only milestones already reached are listed.</v>
      </c>
    </row>
    <row r="4" customFormat="false" ht="35.05" hidden="false" customHeight="false" outlineLevel="0" collapsed="false">
      <c r="A4" s="6" t="s">
        <v>28</v>
      </c>
      <c r="B4" s="6" t="s">
        <v>29</v>
      </c>
      <c r="C4" s="6" t="s">
        <v>137</v>
      </c>
      <c r="D4" s="6" t="s">
        <v>138</v>
      </c>
      <c r="E4" s="6" t="s">
        <v>42</v>
      </c>
      <c r="F4" s="6" t="s">
        <v>139</v>
      </c>
      <c r="G4" s="6" t="s">
        <v>58</v>
      </c>
      <c r="H4" s="6" t="s">
        <v>140</v>
      </c>
      <c r="I4" s="9" t="s">
        <v>141</v>
      </c>
      <c r="J4" s="9" t="s">
        <v>141</v>
      </c>
      <c r="K4" s="9" t="s">
        <v>141</v>
      </c>
      <c r="L4" s="9" t="s">
        <v>141</v>
      </c>
      <c r="M4" s="9" t="s">
        <v>141</v>
      </c>
      <c r="N4" s="9" t="s">
        <v>141</v>
      </c>
      <c r="O4" s="9" t="s">
        <v>141</v>
      </c>
      <c r="P4" s="9" t="s">
        <v>141</v>
      </c>
      <c r="Q4" s="9" t="s">
        <v>141</v>
      </c>
      <c r="R4" s="9" t="s">
        <v>62</v>
      </c>
      <c r="S4" s="9" t="s">
        <v>64</v>
      </c>
      <c r="T4" s="9" t="s">
        <v>65</v>
      </c>
      <c r="U4" s="9" t="s">
        <v>69</v>
      </c>
      <c r="V4" s="9" t="s">
        <v>70</v>
      </c>
      <c r="W4" s="9" t="s">
        <v>71</v>
      </c>
      <c r="X4" s="9" t="s">
        <v>72</v>
      </c>
    </row>
    <row r="5" customFormat="false" ht="15" hidden="false" customHeight="false" outlineLevel="0" collapsed="false">
      <c r="A5" s="14" t="str">
        <f aca="false">IF(Staff!$A5="","",Staff!$A5)</f>
        <v/>
      </c>
      <c r="B5" s="14" t="str">
        <f aca="false">IF(Staff!$A5="","",Staff!$B5)</f>
        <v/>
      </c>
      <c r="C5" s="14" t="str">
        <f aca="false">IF(Staff!$A5="","",Staff!$C5)</f>
        <v/>
      </c>
      <c r="D5" s="12" t="str">
        <f aca="false">IF(Staff!$A5="","",Staff!$AH5)</f>
        <v/>
      </c>
      <c r="E5" s="14" t="str">
        <f aca="false">IF(Staff!$A5="","",Staff!$O5)</f>
        <v/>
      </c>
      <c r="F5" s="14" t="str">
        <f aca="false">IF(E5="","",E5*HoursPerDay)</f>
        <v/>
      </c>
      <c r="G5" s="14" t="str">
        <f aca="false">IF(Staff!$A5="","",Staff!$AE5)</f>
        <v/>
      </c>
      <c r="H5" s="26" t="str">
        <f aca="false">IF($A5="","",I5&amp;J5&amp;K5&amp;L5&amp;M5&amp;N5&amp;O5&amp;P5&amp;Q5)</f>
        <v/>
      </c>
      <c r="I5" s="0" t="str">
        <f aca="false">IF(OR($A5="",$D5=""),"",IF(AND(EDATE($D5,Milestones!$AA$20)&lt;=AsOfDate,IF($R5=0,$X5,IF(AND($T5&lt;&gt;"",EDATE($D5,Milestones!$AA$20)&gt;=$T5),$W5,IF(AND($S5&lt;&gt;"",EDATE($D5,Milestones!$AA$20)&gt;=$S5),$V5,$U5)))=Milestones!$AB$20),UPPER(TEXT(EDATE($D5,Milestones!$AA$20),"dd mmm yy"))&amp;" "&amp;Milestones!$AB$20&amp;" "&amp;Milestones!$AC$20&amp;";  ","")&amp;IF(AND(EDATE($D5,Milestones!$AA$21)&lt;=AsOfDate,IF($R5=0,$X5,IF(AND($T5&lt;&gt;"",EDATE($D5,Milestones!$AA$21)&gt;=$T5),$W5,IF(AND($S5&lt;&gt;"",EDATE($D5,Milestones!$AA$21)&gt;=$S5),$V5,$U5)))=Milestones!$AB$21),UPPER(TEXT(EDATE($D5,Milestones!$AA$21),"dd mmm yy"))&amp;" "&amp;Milestones!$AB$21&amp;" "&amp;Milestones!$AC$21&amp;";  ","")&amp;IF(AND(EDATE($D5,Milestones!$AA$22)&lt;=AsOfDate,IF($R5=0,$X5,IF(AND($T5&lt;&gt;"",EDATE($D5,Milestones!$AA$22)&gt;=$T5),$W5,IF(AND($S5&lt;&gt;"",EDATE($D5,Milestones!$AA$22)&gt;=$S5),$V5,$U5)))=Milestones!$AB$22),UPPER(TEXT(EDATE($D5,Milestones!$AA$22),"dd mmm yy"))&amp;" "&amp;Milestones!$AB$22&amp;" "&amp;Milestones!$AC$22&amp;";  ","")&amp;IF(AND(EDATE($D5,Milestones!$AA$23)&lt;=AsOfDate,IF($R5=0,$X5,IF(AND($T5&lt;&gt;"",EDATE($D5,Milestones!$AA$23)&gt;=$T5),$W5,IF(AND($S5&lt;&gt;"",EDATE($D5,Milestones!$AA$23)&gt;=$S5),$V5,$U5)))=Milestones!$AB$23),UPPER(TEXT(EDATE($D5,Milestones!$AA$23),"dd mmm yy"))&amp;" "&amp;Milestones!$AB$23&amp;" "&amp;Milestones!$AC$23&amp;";  ","")&amp;IF(AND(EDATE($D5,Milestones!$AA$24)&lt;=AsOfDate,IF($R5=0,$X5,IF(AND($T5&lt;&gt;"",EDATE($D5,Milestones!$AA$24)&gt;=$T5),$W5,IF(AND($S5&lt;&gt;"",EDATE($D5,Milestones!$AA$24)&gt;=$S5),$V5,$U5)))=Milestones!$AB$24),UPPER(TEXT(EDATE($D5,Milestones!$AA$24),"dd mmm yy"))&amp;" "&amp;Milestones!$AB$24&amp;" "&amp;Milestones!$AC$24&amp;";  ","")&amp;IF(AND(EDATE($D5,Milestones!$AA$25)&lt;=AsOfDate,IF($R5=0,$X5,IF(AND($T5&lt;&gt;"",EDATE($D5,Milestones!$AA$25)&gt;=$T5),$W5,IF(AND($S5&lt;&gt;"",EDATE($D5,Milestones!$AA$25)&gt;=$S5),$V5,$U5)))=Milestones!$AB$25),UPPER(TEXT(EDATE($D5,Milestones!$AA$25),"dd mmm yy"))&amp;" "&amp;Milestones!$AB$25&amp;" "&amp;Milestones!$AC$25&amp;";  ","")&amp;IF(AND(EDATE($D5,Milestones!$AA$26)&lt;=AsOfDate,IF($R5=0,$X5,IF(AND($T5&lt;&gt;"",EDATE($D5,Milestones!$AA$26)&gt;=$T5),$W5,IF(AND($S5&lt;&gt;"",EDATE($D5,Milestones!$AA$26)&gt;=$S5),$V5,$U5)))=Milestones!$AB$26),UPPER(TEXT(EDATE($D5,Milestones!$AA$26),"dd mmm yy"))&amp;" "&amp;Milestones!$AB$26&amp;" "&amp;Milestones!$AC$26&amp;";  ","")&amp;IF(AND(EDATE($D5,Milestones!$AA$27)&lt;=AsOfDate,IF($R5=0,$X5,IF(AND($T5&lt;&gt;"",EDATE($D5,Milestones!$AA$27)&gt;=$T5),$W5,IF(AND($S5&lt;&gt;"",EDATE($D5,Milestones!$AA$27)&gt;=$S5),$V5,$U5)))=Milestones!$AB$27),UPPER(TEXT(EDATE($D5,Milestones!$AA$27),"dd mmm yy"))&amp;" "&amp;Milestones!$AB$27&amp;" "&amp;Milestones!$AC$27&amp;";  ","")&amp;IF(AND(EDATE($D5,Milestones!$AA$28)&lt;=AsOfDate,IF($R5=0,$X5,IF(AND($T5&lt;&gt;"",EDATE($D5,Milestones!$AA$28)&gt;=$T5),$W5,IF(AND($S5&lt;&gt;"",EDATE($D5,Milestones!$AA$28)&gt;=$S5),$V5,$U5)))=Milestones!$AB$28),UPPER(TEXT(EDATE($D5,Milestones!$AA$28),"dd mmm yy"))&amp;" "&amp;Milestones!$AB$28&amp;" "&amp;Milestones!$AC$28&amp;";  ","")&amp;IF(AND(EDATE($D5,Milestones!$AA$29)&lt;=AsOfDate,IF($R5=0,$X5,IF(AND($T5&lt;&gt;"",EDATE($D5,Milestones!$AA$29)&gt;=$T5),$W5,IF(AND($S5&lt;&gt;"",EDATE($D5,Milestones!$AA$29)&gt;=$S5),$V5,$U5)))=Milestones!$AB$29),UPPER(TEXT(EDATE($D5,Milestones!$AA$29),"dd mmm yy"))&amp;" "&amp;Milestones!$AB$29&amp;" "&amp;Milestones!$AC$29&amp;";  ","")&amp;IF(AND(EDATE($D5,Milestones!$AA$30)&lt;=AsOfDate,IF($R5=0,$X5,IF(AND($T5&lt;&gt;"",EDATE($D5,Milestones!$AA$30)&gt;=$T5),$W5,IF(AND($S5&lt;&gt;"",EDATE($D5,Milestones!$AA$30)&gt;=$S5),$V5,$U5)))=Milestones!$AB$30),UPPER(TEXT(EDATE($D5,Milestones!$AA$30),"dd mmm yy"))&amp;" "&amp;Milestones!$AB$30&amp;" "&amp;Milestones!$AC$30&amp;";  ","")&amp;IF(AND(EDATE($D5,Milestones!$AA$31)&lt;=AsOfDate,IF($R5=0,$X5,IF(AND($T5&lt;&gt;"",EDATE($D5,Milestones!$AA$31)&gt;=$T5),$W5,IF(AND($S5&lt;&gt;"",EDATE($D5,Milestones!$AA$31)&gt;=$S5),$V5,$U5)))=Milestones!$AB$31),UPPER(TEXT(EDATE($D5,Milestones!$AA$31),"dd mmm yy"))&amp;" "&amp;Milestones!$AB$31&amp;" "&amp;Milestones!$AC$31&amp;";  ","")&amp;IF(AND(EDATE($D5,Milestones!$AA$32)&lt;=AsOfDate,IF($R5=0,$X5,IF(AND($T5&lt;&gt;"",EDATE($D5,Milestones!$AA$32)&gt;=$T5),$W5,IF(AND($S5&lt;&gt;"",EDATE($D5,Milestones!$AA$32)&gt;=$S5),$V5,$U5)))=Milestones!$AB$32),UPPER(TEXT(EDATE($D5,Milestones!$AA$32),"dd mmm yy"))&amp;" "&amp;Milestones!$AB$32&amp;" "&amp;Milestones!$AC$32&amp;";  ","")&amp;IF(AND(EDATE($D5,Milestones!$AA$33)&lt;=AsOfDate,IF($R5=0,$X5,IF(AND($T5&lt;&gt;"",EDATE($D5,Milestones!$AA$33)&gt;=$T5),$W5,IF(AND($S5&lt;&gt;"",EDATE($D5,Milestones!$AA$33)&gt;=$S5),$V5,$U5)))=Milestones!$AB$33),UPPER(TEXT(EDATE($D5,Milestones!$AA$33),"dd mmm yy"))&amp;" "&amp;Milestones!$AB$33&amp;" "&amp;Milestones!$AC$33&amp;";  ","")&amp;IF(AND(EDATE($D5,Milestones!$AA$34)&lt;=AsOfDate,IF($R5=0,$X5,IF(AND($T5&lt;&gt;"",EDATE($D5,Milestones!$AA$34)&gt;=$T5),$W5,IF(AND($S5&lt;&gt;"",EDATE($D5,Milestones!$AA$34)&gt;=$S5),$V5,$U5)))=Milestones!$AB$34),UPPER(TEXT(EDATE($D5,Milestones!$AA$34),"dd mmm yy"))&amp;" "&amp;Milestones!$AB$34&amp;" "&amp;Milestones!$AC$34&amp;";  ","")&amp;IF(AND(EDATE($D5,Milestones!$AA$35)&lt;=AsOfDate,IF($R5=0,$X5,IF(AND($T5&lt;&gt;"",EDATE($D5,Milestones!$AA$35)&gt;=$T5),$W5,IF(AND($S5&lt;&gt;"",EDATE($D5,Milestones!$AA$35)&gt;=$S5),$V5,$U5)))=Milestones!$AB$35),UPPER(TEXT(EDATE($D5,Milestones!$AA$35),"dd mmm yy"))&amp;" "&amp;Milestones!$AB$35&amp;" "&amp;Milestones!$AC$35&amp;";  ","")&amp;IF(AND(EDATE($D5,Milestones!$AA$36)&lt;=AsOfDate,IF($R5=0,$X5,IF(AND($T5&lt;&gt;"",EDATE($D5,Milestones!$AA$36)&gt;=$T5),$W5,IF(AND($S5&lt;&gt;"",EDATE($D5,Milestones!$AA$36)&gt;=$S5),$V5,$U5)))=Milestones!$AB$36),UPPER(TEXT(EDATE($D5,Milestones!$AA$36),"dd mmm yy"))&amp;" "&amp;Milestones!$AB$36&amp;" "&amp;Milestones!$AC$36&amp;";  ","")&amp;IF(AND(EDATE($D5,Milestones!$AA$37)&lt;=AsOfDate,IF($R5=0,$X5,IF(AND($T5&lt;&gt;"",EDATE($D5,Milestones!$AA$37)&gt;=$T5),$W5,IF(AND($S5&lt;&gt;"",EDATE($D5,Milestones!$AA$37)&gt;=$S5),$V5,$U5)))=Milestones!$AB$37),UPPER(TEXT(EDATE($D5,Milestones!$AA$37),"dd mmm yy"))&amp;" "&amp;Milestones!$AB$37&amp;" "&amp;Milestones!$AC$37&amp;";  ","")&amp;IF(AND(EDATE($D5,Milestones!$AA$38)&lt;=AsOfDate,IF($R5=0,$X5,IF(AND($T5&lt;&gt;"",EDATE($D5,Milestones!$AA$38)&gt;=$T5),$W5,IF(AND($S5&lt;&gt;"",EDATE($D5,Milestones!$AA$38)&gt;=$S5),$V5,$U5)))=Milestones!$AB$38),UPPER(TEXT(EDATE($D5,Milestones!$AA$38),"dd mmm yy"))&amp;" "&amp;Milestones!$AB$38&amp;" "&amp;Milestones!$AC$38&amp;";  ","")&amp;IF(AND(EDATE($D5,Milestones!$AA$39)&lt;=AsOfDate,IF($R5=0,$X5,IF(AND($T5&lt;&gt;"",EDATE($D5,Milestones!$AA$39)&gt;=$T5),$W5,IF(AND($S5&lt;&gt;"",EDATE($D5,Milestones!$AA$39)&gt;=$S5),$V5,$U5)))=Milestones!$AB$39),UPPER(TEXT(EDATE($D5,Milestones!$AA$39),"dd mmm yy"))&amp;" "&amp;Milestones!$AB$39&amp;" "&amp;Milestones!$AC$39&amp;";  ",""))</f>
        <v/>
      </c>
      <c r="J5" s="0" t="str">
        <f aca="false">IF(OR($A5="",$D5=""),"",IF(AND(EDATE($D5,Milestones!$AA$40)&lt;=AsOfDate,IF($R5=0,$X5,IF(AND($T5&lt;&gt;"",EDATE($D5,Milestones!$AA$40)&gt;=$T5),$W5,IF(AND($S5&lt;&gt;"",EDATE($D5,Milestones!$AA$40)&gt;=$S5),$V5,$U5)))=Milestones!$AB$40),UPPER(TEXT(EDATE($D5,Milestones!$AA$40),"dd mmm yy"))&amp;" "&amp;Milestones!$AB$40&amp;" "&amp;Milestones!$AC$40&amp;";  ","")&amp;IF(AND(EDATE($D5,Milestones!$AA$41)&lt;=AsOfDate,IF($R5=0,$X5,IF(AND($T5&lt;&gt;"",EDATE($D5,Milestones!$AA$41)&gt;=$T5),$W5,IF(AND($S5&lt;&gt;"",EDATE($D5,Milestones!$AA$41)&gt;=$S5),$V5,$U5)))=Milestones!$AB$41),UPPER(TEXT(EDATE($D5,Milestones!$AA$41),"dd mmm yy"))&amp;" "&amp;Milestones!$AB$41&amp;" "&amp;Milestones!$AC$41&amp;";  ","")&amp;IF(AND(EDATE($D5,Milestones!$AA$42)&lt;=AsOfDate,IF($R5=0,$X5,IF(AND($T5&lt;&gt;"",EDATE($D5,Milestones!$AA$42)&gt;=$T5),$W5,IF(AND($S5&lt;&gt;"",EDATE($D5,Milestones!$AA$42)&gt;=$S5),$V5,$U5)))=Milestones!$AB$42),UPPER(TEXT(EDATE($D5,Milestones!$AA$42),"dd mmm yy"))&amp;" "&amp;Milestones!$AB$42&amp;" "&amp;Milestones!$AC$42&amp;";  ","")&amp;IF(AND(EDATE($D5,Milestones!$AA$43)&lt;=AsOfDate,IF($R5=0,$X5,IF(AND($T5&lt;&gt;"",EDATE($D5,Milestones!$AA$43)&gt;=$T5),$W5,IF(AND($S5&lt;&gt;"",EDATE($D5,Milestones!$AA$43)&gt;=$S5),$V5,$U5)))=Milestones!$AB$43),UPPER(TEXT(EDATE($D5,Milestones!$AA$43),"dd mmm yy"))&amp;" "&amp;Milestones!$AB$43&amp;" "&amp;Milestones!$AC$43&amp;";  ","")&amp;IF(AND(EDATE($D5,Milestones!$AA$44)&lt;=AsOfDate,IF($R5=0,$X5,IF(AND($T5&lt;&gt;"",EDATE($D5,Milestones!$AA$44)&gt;=$T5),$W5,IF(AND($S5&lt;&gt;"",EDATE($D5,Milestones!$AA$44)&gt;=$S5),$V5,$U5)))=Milestones!$AB$44),UPPER(TEXT(EDATE($D5,Milestones!$AA$44),"dd mmm yy"))&amp;" "&amp;Milestones!$AB$44&amp;" "&amp;Milestones!$AC$44&amp;";  ","")&amp;IF(AND(EDATE($D5,Milestones!$AA$45)&lt;=AsOfDate,IF($R5=0,$X5,IF(AND($T5&lt;&gt;"",EDATE($D5,Milestones!$AA$45)&gt;=$T5),$W5,IF(AND($S5&lt;&gt;"",EDATE($D5,Milestones!$AA$45)&gt;=$S5),$V5,$U5)))=Milestones!$AB$45),UPPER(TEXT(EDATE($D5,Milestones!$AA$45),"dd mmm yy"))&amp;" "&amp;Milestones!$AB$45&amp;" "&amp;Milestones!$AC$45&amp;";  ","")&amp;IF(AND(EDATE($D5,Milestones!$AA$46)&lt;=AsOfDate,IF($R5=0,$X5,IF(AND($T5&lt;&gt;"",EDATE($D5,Milestones!$AA$46)&gt;=$T5),$W5,IF(AND($S5&lt;&gt;"",EDATE($D5,Milestones!$AA$46)&gt;=$S5),$V5,$U5)))=Milestones!$AB$46),UPPER(TEXT(EDATE($D5,Milestones!$AA$46),"dd mmm yy"))&amp;" "&amp;Milestones!$AB$46&amp;" "&amp;Milestones!$AC$46&amp;";  ","")&amp;IF(AND(EDATE($D5,Milestones!$AA$47)&lt;=AsOfDate,IF($R5=0,$X5,IF(AND($T5&lt;&gt;"",EDATE($D5,Milestones!$AA$47)&gt;=$T5),$W5,IF(AND($S5&lt;&gt;"",EDATE($D5,Milestones!$AA$47)&gt;=$S5),$V5,$U5)))=Milestones!$AB$47),UPPER(TEXT(EDATE($D5,Milestones!$AA$47),"dd mmm yy"))&amp;" "&amp;Milestones!$AB$47&amp;" "&amp;Milestones!$AC$47&amp;";  ","")&amp;IF(AND(EDATE($D5,Milestones!$AA$48)&lt;=AsOfDate,IF($R5=0,$X5,IF(AND($T5&lt;&gt;"",EDATE($D5,Milestones!$AA$48)&gt;=$T5),$W5,IF(AND($S5&lt;&gt;"",EDATE($D5,Milestones!$AA$48)&gt;=$S5),$V5,$U5)))=Milestones!$AB$48),UPPER(TEXT(EDATE($D5,Milestones!$AA$48),"dd mmm yy"))&amp;" "&amp;Milestones!$AB$48&amp;" "&amp;Milestones!$AC$48&amp;";  ","")&amp;IF(AND(EDATE($D5,Milestones!$AA$49)&lt;=AsOfDate,IF($R5=0,$X5,IF(AND($T5&lt;&gt;"",EDATE($D5,Milestones!$AA$49)&gt;=$T5),$W5,IF(AND($S5&lt;&gt;"",EDATE($D5,Milestones!$AA$49)&gt;=$S5),$V5,$U5)))=Milestones!$AB$49),UPPER(TEXT(EDATE($D5,Milestones!$AA$49),"dd mmm yy"))&amp;" "&amp;Milestones!$AB$49&amp;" "&amp;Milestones!$AC$49&amp;";  ","")&amp;IF(AND(EDATE($D5,Milestones!$AA$50)&lt;=AsOfDate,IF($R5=0,$X5,IF(AND($T5&lt;&gt;"",EDATE($D5,Milestones!$AA$50)&gt;=$T5),$W5,IF(AND($S5&lt;&gt;"",EDATE($D5,Milestones!$AA$50)&gt;=$S5),$V5,$U5)))=Milestones!$AB$50),UPPER(TEXT(EDATE($D5,Milestones!$AA$50),"dd mmm yy"))&amp;" "&amp;Milestones!$AB$50&amp;" "&amp;Milestones!$AC$50&amp;";  ","")&amp;IF(AND(EDATE($D5,Milestones!$AA$51)&lt;=AsOfDate,IF($R5=0,$X5,IF(AND($T5&lt;&gt;"",EDATE($D5,Milestones!$AA$51)&gt;=$T5),$W5,IF(AND($S5&lt;&gt;"",EDATE($D5,Milestones!$AA$51)&gt;=$S5),$V5,$U5)))=Milestones!$AB$51),UPPER(TEXT(EDATE($D5,Milestones!$AA$51),"dd mmm yy"))&amp;" "&amp;Milestones!$AB$51&amp;" "&amp;Milestones!$AC$51&amp;";  ","")&amp;IF(AND(EDATE($D5,Milestones!$AA$52)&lt;=AsOfDate,IF($R5=0,$X5,IF(AND($T5&lt;&gt;"",EDATE($D5,Milestones!$AA$52)&gt;=$T5),$W5,IF(AND($S5&lt;&gt;"",EDATE($D5,Milestones!$AA$52)&gt;=$S5),$V5,$U5)))=Milestones!$AB$52),UPPER(TEXT(EDATE($D5,Milestones!$AA$52),"dd mmm yy"))&amp;" "&amp;Milestones!$AB$52&amp;" "&amp;Milestones!$AC$52&amp;";  ","")&amp;IF(AND(EDATE($D5,Milestones!$AA$53)&lt;=AsOfDate,IF($R5=0,$X5,IF(AND($T5&lt;&gt;"",EDATE($D5,Milestones!$AA$53)&gt;=$T5),$W5,IF(AND($S5&lt;&gt;"",EDATE($D5,Milestones!$AA$53)&gt;=$S5),$V5,$U5)))=Milestones!$AB$53),UPPER(TEXT(EDATE($D5,Milestones!$AA$53),"dd mmm yy"))&amp;" "&amp;Milestones!$AB$53&amp;" "&amp;Milestones!$AC$53&amp;";  ","")&amp;IF(AND(EDATE($D5,Milestones!$AA$54)&lt;=AsOfDate,IF($R5=0,$X5,IF(AND($T5&lt;&gt;"",EDATE($D5,Milestones!$AA$54)&gt;=$T5),$W5,IF(AND($S5&lt;&gt;"",EDATE($D5,Milestones!$AA$54)&gt;=$S5),$V5,$U5)))=Milestones!$AB$54),UPPER(TEXT(EDATE($D5,Milestones!$AA$54),"dd mmm yy"))&amp;" "&amp;Milestones!$AB$54&amp;" "&amp;Milestones!$AC$54&amp;";  ","")&amp;IF(AND(EDATE($D5,Milestones!$AA$55)&lt;=AsOfDate,IF($R5=0,$X5,IF(AND($T5&lt;&gt;"",EDATE($D5,Milestones!$AA$55)&gt;=$T5),$W5,IF(AND($S5&lt;&gt;"",EDATE($D5,Milestones!$AA$55)&gt;=$S5),$V5,$U5)))=Milestones!$AB$55),UPPER(TEXT(EDATE($D5,Milestones!$AA$55),"dd mmm yy"))&amp;" "&amp;Milestones!$AB$55&amp;" "&amp;Milestones!$AC$55&amp;";  ","")&amp;IF(AND(EDATE($D5,Milestones!$AA$56)&lt;=AsOfDate,IF($R5=0,$X5,IF(AND($T5&lt;&gt;"",EDATE($D5,Milestones!$AA$56)&gt;=$T5),$W5,IF(AND($S5&lt;&gt;"",EDATE($D5,Milestones!$AA$56)&gt;=$S5),$V5,$U5)))=Milestones!$AB$56),UPPER(TEXT(EDATE($D5,Milestones!$AA$56),"dd mmm yy"))&amp;" "&amp;Milestones!$AB$56&amp;" "&amp;Milestones!$AC$56&amp;";  ","")&amp;IF(AND(EDATE($D5,Milestones!$AA$57)&lt;=AsOfDate,IF($R5=0,$X5,IF(AND($T5&lt;&gt;"",EDATE($D5,Milestones!$AA$57)&gt;=$T5),$W5,IF(AND($S5&lt;&gt;"",EDATE($D5,Milestones!$AA$57)&gt;=$S5),$V5,$U5)))=Milestones!$AB$57),UPPER(TEXT(EDATE($D5,Milestones!$AA$57),"dd mmm yy"))&amp;" "&amp;Milestones!$AB$57&amp;" "&amp;Milestones!$AC$57&amp;";  ","")&amp;IF(AND(EDATE($D5,Milestones!$AA$58)&lt;=AsOfDate,IF($R5=0,$X5,IF(AND($T5&lt;&gt;"",EDATE($D5,Milestones!$AA$58)&gt;=$T5),$W5,IF(AND($S5&lt;&gt;"",EDATE($D5,Milestones!$AA$58)&gt;=$S5),$V5,$U5)))=Milestones!$AB$58),UPPER(TEXT(EDATE($D5,Milestones!$AA$58),"dd mmm yy"))&amp;" "&amp;Milestones!$AB$58&amp;" "&amp;Milestones!$AC$58&amp;";  ","")&amp;IF(AND(EDATE($D5,Milestones!$AA$59)&lt;=AsOfDate,IF($R5=0,$X5,IF(AND($T5&lt;&gt;"",EDATE($D5,Milestones!$AA$59)&gt;=$T5),$W5,IF(AND($S5&lt;&gt;"",EDATE($D5,Milestones!$AA$59)&gt;=$S5),$V5,$U5)))=Milestones!$AB$59),UPPER(TEXT(EDATE($D5,Milestones!$AA$59),"dd mmm yy"))&amp;" "&amp;Milestones!$AB$59&amp;" "&amp;Milestones!$AC$59&amp;";  ",""))</f>
        <v/>
      </c>
      <c r="K5" s="0" t="str">
        <f aca="false">IF(OR($A5="",$D5=""),"",IF(AND(EDATE($D5,Milestones!$AA$60)&lt;=AsOfDate,IF($R5=0,$X5,IF(AND($T5&lt;&gt;"",EDATE($D5,Milestones!$AA$60)&gt;=$T5),$W5,IF(AND($S5&lt;&gt;"",EDATE($D5,Milestones!$AA$60)&gt;=$S5),$V5,$U5)))=Milestones!$AB$60),UPPER(TEXT(EDATE($D5,Milestones!$AA$60),"dd mmm yy"))&amp;" "&amp;Milestones!$AB$60&amp;" "&amp;Milestones!$AC$60&amp;";  ","")&amp;IF(AND(EDATE($D5,Milestones!$AA$61)&lt;=AsOfDate,IF($R5=0,$X5,IF(AND($T5&lt;&gt;"",EDATE($D5,Milestones!$AA$61)&gt;=$T5),$W5,IF(AND($S5&lt;&gt;"",EDATE($D5,Milestones!$AA$61)&gt;=$S5),$V5,$U5)))=Milestones!$AB$61),UPPER(TEXT(EDATE($D5,Milestones!$AA$61),"dd mmm yy"))&amp;" "&amp;Milestones!$AB$61&amp;" "&amp;Milestones!$AC$61&amp;";  ","")&amp;IF(AND(EDATE($D5,Milestones!$AA$62)&lt;=AsOfDate,IF($R5=0,$X5,IF(AND($T5&lt;&gt;"",EDATE($D5,Milestones!$AA$62)&gt;=$T5),$W5,IF(AND($S5&lt;&gt;"",EDATE($D5,Milestones!$AA$62)&gt;=$S5),$V5,$U5)))=Milestones!$AB$62),UPPER(TEXT(EDATE($D5,Milestones!$AA$62),"dd mmm yy"))&amp;" "&amp;Milestones!$AB$62&amp;" "&amp;Milestones!$AC$62&amp;";  ","")&amp;IF(AND(EDATE($D5,Milestones!$AA$63)&lt;=AsOfDate,IF($R5=0,$X5,IF(AND($T5&lt;&gt;"",EDATE($D5,Milestones!$AA$63)&gt;=$T5),$W5,IF(AND($S5&lt;&gt;"",EDATE($D5,Milestones!$AA$63)&gt;=$S5),$V5,$U5)))=Milestones!$AB$63),UPPER(TEXT(EDATE($D5,Milestones!$AA$63),"dd mmm yy"))&amp;" "&amp;Milestones!$AB$63&amp;" "&amp;Milestones!$AC$63&amp;";  ","")&amp;IF(AND(EDATE($D5,Milestones!$AA$64)&lt;=AsOfDate,IF($R5=0,$X5,IF(AND($T5&lt;&gt;"",EDATE($D5,Milestones!$AA$64)&gt;=$T5),$W5,IF(AND($S5&lt;&gt;"",EDATE($D5,Milestones!$AA$64)&gt;=$S5),$V5,$U5)))=Milestones!$AB$64),UPPER(TEXT(EDATE($D5,Milestones!$AA$64),"dd mmm yy"))&amp;" "&amp;Milestones!$AB$64&amp;" "&amp;Milestones!$AC$64&amp;";  ","")&amp;IF(AND(EDATE($D5,Milestones!$AA$65)&lt;=AsOfDate,IF($R5=0,$X5,IF(AND($T5&lt;&gt;"",EDATE($D5,Milestones!$AA$65)&gt;=$T5),$W5,IF(AND($S5&lt;&gt;"",EDATE($D5,Milestones!$AA$65)&gt;=$S5),$V5,$U5)))=Milestones!$AB$65),UPPER(TEXT(EDATE($D5,Milestones!$AA$65),"dd mmm yy"))&amp;" "&amp;Milestones!$AB$65&amp;" "&amp;Milestones!$AC$65&amp;";  ","")&amp;IF(AND(EDATE($D5,Milestones!$AA$66)&lt;=AsOfDate,IF($R5=0,$X5,IF(AND($T5&lt;&gt;"",EDATE($D5,Milestones!$AA$66)&gt;=$T5),$W5,IF(AND($S5&lt;&gt;"",EDATE($D5,Milestones!$AA$66)&gt;=$S5),$V5,$U5)))=Milestones!$AB$66),UPPER(TEXT(EDATE($D5,Milestones!$AA$66),"dd mmm yy"))&amp;" "&amp;Milestones!$AB$66&amp;" "&amp;Milestones!$AC$66&amp;";  ","")&amp;IF(AND(EDATE($D5,Milestones!$AA$67)&lt;=AsOfDate,IF($R5=0,$X5,IF(AND($T5&lt;&gt;"",EDATE($D5,Milestones!$AA$67)&gt;=$T5),$W5,IF(AND($S5&lt;&gt;"",EDATE($D5,Milestones!$AA$67)&gt;=$S5),$V5,$U5)))=Milestones!$AB$67),UPPER(TEXT(EDATE($D5,Milestones!$AA$67),"dd mmm yy"))&amp;" "&amp;Milestones!$AB$67&amp;" "&amp;Milestones!$AC$67&amp;";  ","")&amp;IF(AND(EDATE($D5,Milestones!$AA$68)&lt;=AsOfDate,IF($R5=0,$X5,IF(AND($T5&lt;&gt;"",EDATE($D5,Milestones!$AA$68)&gt;=$T5),$W5,IF(AND($S5&lt;&gt;"",EDATE($D5,Milestones!$AA$68)&gt;=$S5),$V5,$U5)))=Milestones!$AB$68),UPPER(TEXT(EDATE($D5,Milestones!$AA$68),"dd mmm yy"))&amp;" "&amp;Milestones!$AB$68&amp;" "&amp;Milestones!$AC$68&amp;";  ","")&amp;IF(AND(EDATE($D5,Milestones!$AA$69)&lt;=AsOfDate,IF($R5=0,$X5,IF(AND($T5&lt;&gt;"",EDATE($D5,Milestones!$AA$69)&gt;=$T5),$W5,IF(AND($S5&lt;&gt;"",EDATE($D5,Milestones!$AA$69)&gt;=$S5),$V5,$U5)))=Milestones!$AB$69),UPPER(TEXT(EDATE($D5,Milestones!$AA$69),"dd mmm yy"))&amp;" "&amp;Milestones!$AB$69&amp;" "&amp;Milestones!$AC$69&amp;";  ","")&amp;IF(AND(EDATE($D5,Milestones!$AA$70)&lt;=AsOfDate,IF($R5=0,$X5,IF(AND($T5&lt;&gt;"",EDATE($D5,Milestones!$AA$70)&gt;=$T5),$W5,IF(AND($S5&lt;&gt;"",EDATE($D5,Milestones!$AA$70)&gt;=$S5),$V5,$U5)))=Milestones!$AB$70),UPPER(TEXT(EDATE($D5,Milestones!$AA$70),"dd mmm yy"))&amp;" "&amp;Milestones!$AB$70&amp;" "&amp;Milestones!$AC$70&amp;";  ","")&amp;IF(AND(EDATE($D5,Milestones!$AA$71)&lt;=AsOfDate,IF($R5=0,$X5,IF(AND($T5&lt;&gt;"",EDATE($D5,Milestones!$AA$71)&gt;=$T5),$W5,IF(AND($S5&lt;&gt;"",EDATE($D5,Milestones!$AA$71)&gt;=$S5),$V5,$U5)))=Milestones!$AB$71),UPPER(TEXT(EDATE($D5,Milestones!$AA$71),"dd mmm yy"))&amp;" "&amp;Milestones!$AB$71&amp;" "&amp;Milestones!$AC$71&amp;";  ","")&amp;IF(AND(EDATE($D5,Milestones!$AA$72)&lt;=AsOfDate,IF($R5=0,$X5,IF(AND($T5&lt;&gt;"",EDATE($D5,Milestones!$AA$72)&gt;=$T5),$W5,IF(AND($S5&lt;&gt;"",EDATE($D5,Milestones!$AA$72)&gt;=$S5),$V5,$U5)))=Milestones!$AB$72),UPPER(TEXT(EDATE($D5,Milestones!$AA$72),"dd mmm yy"))&amp;" "&amp;Milestones!$AB$72&amp;" "&amp;Milestones!$AC$72&amp;";  ","")&amp;IF(AND(EDATE($D5,Milestones!$AA$73)&lt;=AsOfDate,IF($R5=0,$X5,IF(AND($T5&lt;&gt;"",EDATE($D5,Milestones!$AA$73)&gt;=$T5),$W5,IF(AND($S5&lt;&gt;"",EDATE($D5,Milestones!$AA$73)&gt;=$S5),$V5,$U5)))=Milestones!$AB$73),UPPER(TEXT(EDATE($D5,Milestones!$AA$73),"dd mmm yy"))&amp;" "&amp;Milestones!$AB$73&amp;" "&amp;Milestones!$AC$73&amp;";  ","")&amp;IF(AND(EDATE($D5,Milestones!$AA$74)&lt;=AsOfDate,IF($R5=0,$X5,IF(AND($T5&lt;&gt;"",EDATE($D5,Milestones!$AA$74)&gt;=$T5),$W5,IF(AND($S5&lt;&gt;"",EDATE($D5,Milestones!$AA$74)&gt;=$S5),$V5,$U5)))=Milestones!$AB$74),UPPER(TEXT(EDATE($D5,Milestones!$AA$74),"dd mmm yy"))&amp;" "&amp;Milestones!$AB$74&amp;" "&amp;Milestones!$AC$74&amp;";  ","")&amp;IF(AND(EDATE($D5,Milestones!$AA$75)&lt;=AsOfDate,IF($R5=0,$X5,IF(AND($T5&lt;&gt;"",EDATE($D5,Milestones!$AA$75)&gt;=$T5),$W5,IF(AND($S5&lt;&gt;"",EDATE($D5,Milestones!$AA$75)&gt;=$S5),$V5,$U5)))=Milestones!$AB$75),UPPER(TEXT(EDATE($D5,Milestones!$AA$75),"dd mmm yy"))&amp;" "&amp;Milestones!$AB$75&amp;" "&amp;Milestones!$AC$75&amp;";  ","")&amp;IF(AND(EDATE($D5,Milestones!$AA$76)&lt;=AsOfDate,IF($R5=0,$X5,IF(AND($T5&lt;&gt;"",EDATE($D5,Milestones!$AA$76)&gt;=$T5),$W5,IF(AND($S5&lt;&gt;"",EDATE($D5,Milestones!$AA$76)&gt;=$S5),$V5,$U5)))=Milestones!$AB$76),UPPER(TEXT(EDATE($D5,Milestones!$AA$76),"dd mmm yy"))&amp;" "&amp;Milestones!$AB$76&amp;" "&amp;Milestones!$AC$76&amp;";  ","")&amp;IF(AND(EDATE($D5,Milestones!$AA$77)&lt;=AsOfDate,IF($R5=0,$X5,IF(AND($T5&lt;&gt;"",EDATE($D5,Milestones!$AA$77)&gt;=$T5),$W5,IF(AND($S5&lt;&gt;"",EDATE($D5,Milestones!$AA$77)&gt;=$S5),$V5,$U5)))=Milestones!$AB$77),UPPER(TEXT(EDATE($D5,Milestones!$AA$77),"dd mmm yy"))&amp;" "&amp;Milestones!$AB$77&amp;" "&amp;Milestones!$AC$77&amp;";  ","")&amp;IF(AND(EDATE($D5,Milestones!$AA$78)&lt;=AsOfDate,IF($R5=0,$X5,IF(AND($T5&lt;&gt;"",EDATE($D5,Milestones!$AA$78)&gt;=$T5),$W5,IF(AND($S5&lt;&gt;"",EDATE($D5,Milestones!$AA$78)&gt;=$S5),$V5,$U5)))=Milestones!$AB$78),UPPER(TEXT(EDATE($D5,Milestones!$AA$78),"dd mmm yy"))&amp;" "&amp;Milestones!$AB$78&amp;" "&amp;Milestones!$AC$78&amp;";  ","")&amp;IF(AND(EDATE($D5,Milestones!$AA$79)&lt;=AsOfDate,IF($R5=0,$X5,IF(AND($T5&lt;&gt;"",EDATE($D5,Milestones!$AA$79)&gt;=$T5),$W5,IF(AND($S5&lt;&gt;"",EDATE($D5,Milestones!$AA$79)&gt;=$S5),$V5,$U5)))=Milestones!$AB$79),UPPER(TEXT(EDATE($D5,Milestones!$AA$79),"dd mmm yy"))&amp;" "&amp;Milestones!$AB$79&amp;" "&amp;Milestones!$AC$79&amp;";  ",""))</f>
        <v/>
      </c>
      <c r="L5" s="0" t="str">
        <f aca="false">IF(OR($A5="",$D5=""),"",IF(AND(EDATE($D5,Milestones!$AA$80)&lt;=AsOfDate,IF($R5=0,$X5,IF(AND($T5&lt;&gt;"",EDATE($D5,Milestones!$AA$80)&gt;=$T5),$W5,IF(AND($S5&lt;&gt;"",EDATE($D5,Milestones!$AA$80)&gt;=$S5),$V5,$U5)))=Milestones!$AB$80),UPPER(TEXT(EDATE($D5,Milestones!$AA$80),"dd mmm yy"))&amp;" "&amp;Milestones!$AB$80&amp;" "&amp;Milestones!$AC$80&amp;";  ","")&amp;IF(AND(EDATE($D5,Milestones!$AA$81)&lt;=AsOfDate,IF($R5=0,$X5,IF(AND($T5&lt;&gt;"",EDATE($D5,Milestones!$AA$81)&gt;=$T5),$W5,IF(AND($S5&lt;&gt;"",EDATE($D5,Milestones!$AA$81)&gt;=$S5),$V5,$U5)))=Milestones!$AB$81),UPPER(TEXT(EDATE($D5,Milestones!$AA$81),"dd mmm yy"))&amp;" "&amp;Milestones!$AB$81&amp;" "&amp;Milestones!$AC$81&amp;";  ","")&amp;IF(AND(EDATE($D5,Milestones!$AA$82)&lt;=AsOfDate,IF($R5=0,$X5,IF(AND($T5&lt;&gt;"",EDATE($D5,Milestones!$AA$82)&gt;=$T5),$W5,IF(AND($S5&lt;&gt;"",EDATE($D5,Milestones!$AA$82)&gt;=$S5),$V5,$U5)))=Milestones!$AB$82),UPPER(TEXT(EDATE($D5,Milestones!$AA$82),"dd mmm yy"))&amp;" "&amp;Milestones!$AB$82&amp;" "&amp;Milestones!$AC$82&amp;";  ","")&amp;IF(AND(EDATE($D5,Milestones!$AA$83)&lt;=AsOfDate,IF($R5=0,$X5,IF(AND($T5&lt;&gt;"",EDATE($D5,Milestones!$AA$83)&gt;=$T5),$W5,IF(AND($S5&lt;&gt;"",EDATE($D5,Milestones!$AA$83)&gt;=$S5),$V5,$U5)))=Milestones!$AB$83),UPPER(TEXT(EDATE($D5,Milestones!$AA$83),"dd mmm yy"))&amp;" "&amp;Milestones!$AB$83&amp;" "&amp;Milestones!$AC$83&amp;";  ","")&amp;IF(AND(EDATE($D5,Milestones!$AA$84)&lt;=AsOfDate,IF($R5=0,$X5,IF(AND($T5&lt;&gt;"",EDATE($D5,Milestones!$AA$84)&gt;=$T5),$W5,IF(AND($S5&lt;&gt;"",EDATE($D5,Milestones!$AA$84)&gt;=$S5),$V5,$U5)))=Milestones!$AB$84),UPPER(TEXT(EDATE($D5,Milestones!$AA$84),"dd mmm yy"))&amp;" "&amp;Milestones!$AB$84&amp;" "&amp;Milestones!$AC$84&amp;";  ","")&amp;IF(AND(EDATE($D5,Milestones!$AA$85)&lt;=AsOfDate,IF($R5=0,$X5,IF(AND($T5&lt;&gt;"",EDATE($D5,Milestones!$AA$85)&gt;=$T5),$W5,IF(AND($S5&lt;&gt;"",EDATE($D5,Milestones!$AA$85)&gt;=$S5),$V5,$U5)))=Milestones!$AB$85),UPPER(TEXT(EDATE($D5,Milestones!$AA$85),"dd mmm yy"))&amp;" "&amp;Milestones!$AB$85&amp;" "&amp;Milestones!$AC$85&amp;";  ","")&amp;IF(AND(EDATE($D5,Milestones!$AA$86)&lt;=AsOfDate,IF($R5=0,$X5,IF(AND($T5&lt;&gt;"",EDATE($D5,Milestones!$AA$86)&gt;=$T5),$W5,IF(AND($S5&lt;&gt;"",EDATE($D5,Milestones!$AA$86)&gt;=$S5),$V5,$U5)))=Milestones!$AB$86),UPPER(TEXT(EDATE($D5,Milestones!$AA$86),"dd mmm yy"))&amp;" "&amp;Milestones!$AB$86&amp;" "&amp;Milestones!$AC$86&amp;";  ","")&amp;IF(AND(EDATE($D5,Milestones!$AA$87)&lt;=AsOfDate,IF($R5=0,$X5,IF(AND($T5&lt;&gt;"",EDATE($D5,Milestones!$AA$87)&gt;=$T5),$W5,IF(AND($S5&lt;&gt;"",EDATE($D5,Milestones!$AA$87)&gt;=$S5),$V5,$U5)))=Milestones!$AB$87),UPPER(TEXT(EDATE($D5,Milestones!$AA$87),"dd mmm yy"))&amp;" "&amp;Milestones!$AB$87&amp;" "&amp;Milestones!$AC$87&amp;";  ","")&amp;IF(AND(EDATE($D5,Milestones!$AA$88)&lt;=AsOfDate,IF($R5=0,$X5,IF(AND($T5&lt;&gt;"",EDATE($D5,Milestones!$AA$88)&gt;=$T5),$W5,IF(AND($S5&lt;&gt;"",EDATE($D5,Milestones!$AA$88)&gt;=$S5),$V5,$U5)))=Milestones!$AB$88),UPPER(TEXT(EDATE($D5,Milestones!$AA$88),"dd mmm yy"))&amp;" "&amp;Milestones!$AB$88&amp;" "&amp;Milestones!$AC$88&amp;";  ","")&amp;IF(AND(EDATE($D5,Milestones!$AA$89)&lt;=AsOfDate,IF($R5=0,$X5,IF(AND($T5&lt;&gt;"",EDATE($D5,Milestones!$AA$89)&gt;=$T5),$W5,IF(AND($S5&lt;&gt;"",EDATE($D5,Milestones!$AA$89)&gt;=$S5),$V5,$U5)))=Milestones!$AB$89),UPPER(TEXT(EDATE($D5,Milestones!$AA$89),"dd mmm yy"))&amp;" "&amp;Milestones!$AB$89&amp;" "&amp;Milestones!$AC$89&amp;";  ","")&amp;IF(AND(EDATE($D5,Milestones!$AA$90)&lt;=AsOfDate,IF($R5=0,$X5,IF(AND($T5&lt;&gt;"",EDATE($D5,Milestones!$AA$90)&gt;=$T5),$W5,IF(AND($S5&lt;&gt;"",EDATE($D5,Milestones!$AA$90)&gt;=$S5),$V5,$U5)))=Milestones!$AB$90),UPPER(TEXT(EDATE($D5,Milestones!$AA$90),"dd mmm yy"))&amp;" "&amp;Milestones!$AB$90&amp;" "&amp;Milestones!$AC$90&amp;";  ","")&amp;IF(AND(EDATE($D5,Milestones!$AA$91)&lt;=AsOfDate,IF($R5=0,$X5,IF(AND($T5&lt;&gt;"",EDATE($D5,Milestones!$AA$91)&gt;=$T5),$W5,IF(AND($S5&lt;&gt;"",EDATE($D5,Milestones!$AA$91)&gt;=$S5),$V5,$U5)))=Milestones!$AB$91),UPPER(TEXT(EDATE($D5,Milestones!$AA$91),"dd mmm yy"))&amp;" "&amp;Milestones!$AB$91&amp;" "&amp;Milestones!$AC$91&amp;";  ","")&amp;IF(AND(EDATE($D5,Milestones!$AA$92)&lt;=AsOfDate,IF($R5=0,$X5,IF(AND($T5&lt;&gt;"",EDATE($D5,Milestones!$AA$92)&gt;=$T5),$W5,IF(AND($S5&lt;&gt;"",EDATE($D5,Milestones!$AA$92)&gt;=$S5),$V5,$U5)))=Milestones!$AB$92),UPPER(TEXT(EDATE($D5,Milestones!$AA$92),"dd mmm yy"))&amp;" "&amp;Milestones!$AB$92&amp;" "&amp;Milestones!$AC$92&amp;";  ","")&amp;IF(AND(EDATE($D5,Milestones!$AA$93)&lt;=AsOfDate,IF($R5=0,$X5,IF(AND($T5&lt;&gt;"",EDATE($D5,Milestones!$AA$93)&gt;=$T5),$W5,IF(AND($S5&lt;&gt;"",EDATE($D5,Milestones!$AA$93)&gt;=$S5),$V5,$U5)))=Milestones!$AB$93),UPPER(TEXT(EDATE($D5,Milestones!$AA$93),"dd mmm yy"))&amp;" "&amp;Milestones!$AB$93&amp;" "&amp;Milestones!$AC$93&amp;";  ","")&amp;IF(AND(EDATE($D5,Milestones!$AA$94)&lt;=AsOfDate,IF($R5=0,$X5,IF(AND($T5&lt;&gt;"",EDATE($D5,Milestones!$AA$94)&gt;=$T5),$W5,IF(AND($S5&lt;&gt;"",EDATE($D5,Milestones!$AA$94)&gt;=$S5),$V5,$U5)))=Milestones!$AB$94),UPPER(TEXT(EDATE($D5,Milestones!$AA$94),"dd mmm yy"))&amp;" "&amp;Milestones!$AB$94&amp;" "&amp;Milestones!$AC$94&amp;";  ","")&amp;IF(AND(EDATE($D5,Milestones!$AA$95)&lt;=AsOfDate,IF($R5=0,$X5,IF(AND($T5&lt;&gt;"",EDATE($D5,Milestones!$AA$95)&gt;=$T5),$W5,IF(AND($S5&lt;&gt;"",EDATE($D5,Milestones!$AA$95)&gt;=$S5),$V5,$U5)))=Milestones!$AB$95),UPPER(TEXT(EDATE($D5,Milestones!$AA$95),"dd mmm yy"))&amp;" "&amp;Milestones!$AB$95&amp;" "&amp;Milestones!$AC$95&amp;";  ","")&amp;IF(AND(EDATE($D5,Milestones!$AA$96)&lt;=AsOfDate,IF($R5=0,$X5,IF(AND($T5&lt;&gt;"",EDATE($D5,Milestones!$AA$96)&gt;=$T5),$W5,IF(AND($S5&lt;&gt;"",EDATE($D5,Milestones!$AA$96)&gt;=$S5),$V5,$U5)))=Milestones!$AB$96),UPPER(TEXT(EDATE($D5,Milestones!$AA$96),"dd mmm yy"))&amp;" "&amp;Milestones!$AB$96&amp;" "&amp;Milestones!$AC$96&amp;";  ","")&amp;IF(AND(EDATE($D5,Milestones!$AA$97)&lt;=AsOfDate,IF($R5=0,$X5,IF(AND($T5&lt;&gt;"",EDATE($D5,Milestones!$AA$97)&gt;=$T5),$W5,IF(AND($S5&lt;&gt;"",EDATE($D5,Milestones!$AA$97)&gt;=$S5),$V5,$U5)))=Milestones!$AB$97),UPPER(TEXT(EDATE($D5,Milestones!$AA$97),"dd mmm yy"))&amp;" "&amp;Milestones!$AB$97&amp;" "&amp;Milestones!$AC$97&amp;";  ","")&amp;IF(AND(EDATE($D5,Milestones!$AA$98)&lt;=AsOfDate,IF($R5=0,$X5,IF(AND($T5&lt;&gt;"",EDATE($D5,Milestones!$AA$98)&gt;=$T5),$W5,IF(AND($S5&lt;&gt;"",EDATE($D5,Milestones!$AA$98)&gt;=$S5),$V5,$U5)))=Milestones!$AB$98),UPPER(TEXT(EDATE($D5,Milestones!$AA$98),"dd mmm yy"))&amp;" "&amp;Milestones!$AB$98&amp;" "&amp;Milestones!$AC$98&amp;";  ","")&amp;IF(AND(EDATE($D5,Milestones!$AA$99)&lt;=AsOfDate,IF($R5=0,$X5,IF(AND($T5&lt;&gt;"",EDATE($D5,Milestones!$AA$99)&gt;=$T5),$W5,IF(AND($S5&lt;&gt;"",EDATE($D5,Milestones!$AA$99)&gt;=$S5),$V5,$U5)))=Milestones!$AB$99),UPPER(TEXT(EDATE($D5,Milestones!$AA$99),"dd mmm yy"))&amp;" "&amp;Milestones!$AB$99&amp;" "&amp;Milestones!$AC$99&amp;";  ",""))</f>
        <v/>
      </c>
      <c r="M5" s="0" t="str">
        <f aca="false">IF(OR($A5="",$D5=""),"",IF(AND(EDATE($D5,Milestones!$AA$100)&lt;=AsOfDate,IF($R5=0,$X5,IF(AND($T5&lt;&gt;"",EDATE($D5,Milestones!$AA$100)&gt;=$T5),$W5,IF(AND($S5&lt;&gt;"",EDATE($D5,Milestones!$AA$100)&gt;=$S5),$V5,$U5)))=Milestones!$AB$100),UPPER(TEXT(EDATE($D5,Milestones!$AA$100),"dd mmm yy"))&amp;" "&amp;Milestones!$AB$100&amp;" "&amp;Milestones!$AC$100&amp;";  ","")&amp;IF(AND(EDATE($D5,Milestones!$AA$101)&lt;=AsOfDate,IF($R5=0,$X5,IF(AND($T5&lt;&gt;"",EDATE($D5,Milestones!$AA$101)&gt;=$T5),$W5,IF(AND($S5&lt;&gt;"",EDATE($D5,Milestones!$AA$101)&gt;=$S5),$V5,$U5)))=Milestones!$AB$101),UPPER(TEXT(EDATE($D5,Milestones!$AA$101),"dd mmm yy"))&amp;" "&amp;Milestones!$AB$101&amp;" "&amp;Milestones!$AC$101&amp;";  ","")&amp;IF(AND(EDATE($D5,Milestones!$AA$102)&lt;=AsOfDate,IF($R5=0,$X5,IF(AND($T5&lt;&gt;"",EDATE($D5,Milestones!$AA$102)&gt;=$T5),$W5,IF(AND($S5&lt;&gt;"",EDATE($D5,Milestones!$AA$102)&gt;=$S5),$V5,$U5)))=Milestones!$AB$102),UPPER(TEXT(EDATE($D5,Milestones!$AA$102),"dd mmm yy"))&amp;" "&amp;Milestones!$AB$102&amp;" "&amp;Milestones!$AC$102&amp;";  ","")&amp;IF(AND(EDATE($D5,Milestones!$AA$103)&lt;=AsOfDate,IF($R5=0,$X5,IF(AND($T5&lt;&gt;"",EDATE($D5,Milestones!$AA$103)&gt;=$T5),$W5,IF(AND($S5&lt;&gt;"",EDATE($D5,Milestones!$AA$103)&gt;=$S5),$V5,$U5)))=Milestones!$AB$103),UPPER(TEXT(EDATE($D5,Milestones!$AA$103),"dd mmm yy"))&amp;" "&amp;Milestones!$AB$103&amp;" "&amp;Milestones!$AC$103&amp;";  ","")&amp;IF(AND(EDATE($D5,Milestones!$AA$104)&lt;=AsOfDate,IF($R5=0,$X5,IF(AND($T5&lt;&gt;"",EDATE($D5,Milestones!$AA$104)&gt;=$T5),$W5,IF(AND($S5&lt;&gt;"",EDATE($D5,Milestones!$AA$104)&gt;=$S5),$V5,$U5)))=Milestones!$AB$104),UPPER(TEXT(EDATE($D5,Milestones!$AA$104),"dd mmm yy"))&amp;" "&amp;Milestones!$AB$104&amp;" "&amp;Milestones!$AC$104&amp;";  ","")&amp;IF(AND(EDATE($D5,Milestones!$AA$105)&lt;=AsOfDate,IF($R5=0,$X5,IF(AND($T5&lt;&gt;"",EDATE($D5,Milestones!$AA$105)&gt;=$T5),$W5,IF(AND($S5&lt;&gt;"",EDATE($D5,Milestones!$AA$105)&gt;=$S5),$V5,$U5)))=Milestones!$AB$105),UPPER(TEXT(EDATE($D5,Milestones!$AA$105),"dd mmm yy"))&amp;" "&amp;Milestones!$AB$105&amp;" "&amp;Milestones!$AC$105&amp;";  ","")&amp;IF(AND(EDATE($D5,Milestones!$AA$106)&lt;=AsOfDate,IF($R5=0,$X5,IF(AND($T5&lt;&gt;"",EDATE($D5,Milestones!$AA$106)&gt;=$T5),$W5,IF(AND($S5&lt;&gt;"",EDATE($D5,Milestones!$AA$106)&gt;=$S5),$V5,$U5)))=Milestones!$AB$106),UPPER(TEXT(EDATE($D5,Milestones!$AA$106),"dd mmm yy"))&amp;" "&amp;Milestones!$AB$106&amp;" "&amp;Milestones!$AC$106&amp;";  ","")&amp;IF(AND(EDATE($D5,Milestones!$AA$107)&lt;=AsOfDate,IF($R5=0,$X5,IF(AND($T5&lt;&gt;"",EDATE($D5,Milestones!$AA$107)&gt;=$T5),$W5,IF(AND($S5&lt;&gt;"",EDATE($D5,Milestones!$AA$107)&gt;=$S5),$V5,$U5)))=Milestones!$AB$107),UPPER(TEXT(EDATE($D5,Milestones!$AA$107),"dd mmm yy"))&amp;" "&amp;Milestones!$AB$107&amp;" "&amp;Milestones!$AC$107&amp;";  ","")&amp;IF(AND(EDATE($D5,Milestones!$AA$108)&lt;=AsOfDate,IF($R5=0,$X5,IF(AND($T5&lt;&gt;"",EDATE($D5,Milestones!$AA$108)&gt;=$T5),$W5,IF(AND($S5&lt;&gt;"",EDATE($D5,Milestones!$AA$108)&gt;=$S5),$V5,$U5)))=Milestones!$AB$108),UPPER(TEXT(EDATE($D5,Milestones!$AA$108),"dd mmm yy"))&amp;" "&amp;Milestones!$AB$108&amp;" "&amp;Milestones!$AC$108&amp;";  ","")&amp;IF(AND(EDATE($D5,Milestones!$AA$109)&lt;=AsOfDate,IF($R5=0,$X5,IF(AND($T5&lt;&gt;"",EDATE($D5,Milestones!$AA$109)&gt;=$T5),$W5,IF(AND($S5&lt;&gt;"",EDATE($D5,Milestones!$AA$109)&gt;=$S5),$V5,$U5)))=Milestones!$AB$109),UPPER(TEXT(EDATE($D5,Milestones!$AA$109),"dd mmm yy"))&amp;" "&amp;Milestones!$AB$109&amp;" "&amp;Milestones!$AC$109&amp;";  ","")&amp;IF(AND(EDATE($D5,Milestones!$AA$110)&lt;=AsOfDate,IF($R5=0,$X5,IF(AND($T5&lt;&gt;"",EDATE($D5,Milestones!$AA$110)&gt;=$T5),$W5,IF(AND($S5&lt;&gt;"",EDATE($D5,Milestones!$AA$110)&gt;=$S5),$V5,$U5)))=Milestones!$AB$110),UPPER(TEXT(EDATE($D5,Milestones!$AA$110),"dd mmm yy"))&amp;" "&amp;Milestones!$AB$110&amp;" "&amp;Milestones!$AC$110&amp;";  ","")&amp;IF(AND(EDATE($D5,Milestones!$AA$111)&lt;=AsOfDate,IF($R5=0,$X5,IF(AND($T5&lt;&gt;"",EDATE($D5,Milestones!$AA$111)&gt;=$T5),$W5,IF(AND($S5&lt;&gt;"",EDATE($D5,Milestones!$AA$111)&gt;=$S5),$V5,$U5)))=Milestones!$AB$111),UPPER(TEXT(EDATE($D5,Milestones!$AA$111),"dd mmm yy"))&amp;" "&amp;Milestones!$AB$111&amp;" "&amp;Milestones!$AC$111&amp;";  ","")&amp;IF(AND(EDATE($D5,Milestones!$AA$112)&lt;=AsOfDate,IF($R5=0,$X5,IF(AND($T5&lt;&gt;"",EDATE($D5,Milestones!$AA$112)&gt;=$T5),$W5,IF(AND($S5&lt;&gt;"",EDATE($D5,Milestones!$AA$112)&gt;=$S5),$V5,$U5)))=Milestones!$AB$112),UPPER(TEXT(EDATE($D5,Milestones!$AA$112),"dd mmm yy"))&amp;" "&amp;Milestones!$AB$112&amp;" "&amp;Milestones!$AC$112&amp;";  ","")&amp;IF(AND(EDATE($D5,Milestones!$AA$113)&lt;=AsOfDate,IF($R5=0,$X5,IF(AND($T5&lt;&gt;"",EDATE($D5,Milestones!$AA$113)&gt;=$T5),$W5,IF(AND($S5&lt;&gt;"",EDATE($D5,Milestones!$AA$113)&gt;=$S5),$V5,$U5)))=Milestones!$AB$113),UPPER(TEXT(EDATE($D5,Milestones!$AA$113),"dd mmm yy"))&amp;" "&amp;Milestones!$AB$113&amp;" "&amp;Milestones!$AC$113&amp;";  ","")&amp;IF(AND(EDATE($D5,Milestones!$AA$114)&lt;=AsOfDate,IF($R5=0,$X5,IF(AND($T5&lt;&gt;"",EDATE($D5,Milestones!$AA$114)&gt;=$T5),$W5,IF(AND($S5&lt;&gt;"",EDATE($D5,Milestones!$AA$114)&gt;=$S5),$V5,$U5)))=Milestones!$AB$114),UPPER(TEXT(EDATE($D5,Milestones!$AA$114),"dd mmm yy"))&amp;" "&amp;Milestones!$AB$114&amp;" "&amp;Milestones!$AC$114&amp;";  ","")&amp;IF(AND(EDATE($D5,Milestones!$AA$115)&lt;=AsOfDate,IF($R5=0,$X5,IF(AND($T5&lt;&gt;"",EDATE($D5,Milestones!$AA$115)&gt;=$T5),$W5,IF(AND($S5&lt;&gt;"",EDATE($D5,Milestones!$AA$115)&gt;=$S5),$V5,$U5)))=Milestones!$AB$115),UPPER(TEXT(EDATE($D5,Milestones!$AA$115),"dd mmm yy"))&amp;" "&amp;Milestones!$AB$115&amp;" "&amp;Milestones!$AC$115&amp;";  ","")&amp;IF(AND(EDATE($D5,Milestones!$AA$116)&lt;=AsOfDate,IF($R5=0,$X5,IF(AND($T5&lt;&gt;"",EDATE($D5,Milestones!$AA$116)&gt;=$T5),$W5,IF(AND($S5&lt;&gt;"",EDATE($D5,Milestones!$AA$116)&gt;=$S5),$V5,$U5)))=Milestones!$AB$116),UPPER(TEXT(EDATE($D5,Milestones!$AA$116),"dd mmm yy"))&amp;" "&amp;Milestones!$AB$116&amp;" "&amp;Milestones!$AC$116&amp;";  ","")&amp;IF(AND(EDATE($D5,Milestones!$AA$117)&lt;=AsOfDate,IF($R5=0,$X5,IF(AND($T5&lt;&gt;"",EDATE($D5,Milestones!$AA$117)&gt;=$T5),$W5,IF(AND($S5&lt;&gt;"",EDATE($D5,Milestones!$AA$117)&gt;=$S5),$V5,$U5)))=Milestones!$AB$117),UPPER(TEXT(EDATE($D5,Milestones!$AA$117),"dd mmm yy"))&amp;" "&amp;Milestones!$AB$117&amp;" "&amp;Milestones!$AC$117&amp;";  ","")&amp;IF(AND(EDATE($D5,Milestones!$AA$118)&lt;=AsOfDate,IF($R5=0,$X5,IF(AND($T5&lt;&gt;"",EDATE($D5,Milestones!$AA$118)&gt;=$T5),$W5,IF(AND($S5&lt;&gt;"",EDATE($D5,Milestones!$AA$118)&gt;=$S5),$V5,$U5)))=Milestones!$AB$118),UPPER(TEXT(EDATE($D5,Milestones!$AA$118),"dd mmm yy"))&amp;" "&amp;Milestones!$AB$118&amp;" "&amp;Milestones!$AC$118&amp;";  ","")&amp;IF(AND(EDATE($D5,Milestones!$AA$119)&lt;=AsOfDate,IF($R5=0,$X5,IF(AND($T5&lt;&gt;"",EDATE($D5,Milestones!$AA$119)&gt;=$T5),$W5,IF(AND($S5&lt;&gt;"",EDATE($D5,Milestones!$AA$119)&gt;=$S5),$V5,$U5)))=Milestones!$AB$119),UPPER(TEXT(EDATE($D5,Milestones!$AA$119),"dd mmm yy"))&amp;" "&amp;Milestones!$AB$119&amp;" "&amp;Milestones!$AC$119&amp;";  ",""))</f>
        <v/>
      </c>
      <c r="N5" s="0" t="str">
        <f aca="false">IF(OR($A5="",$D5=""),"",IF(AND(EDATE($D5,Milestones!$AA$120)&lt;=AsOfDate,IF($R5=0,$X5,IF(AND($T5&lt;&gt;"",EDATE($D5,Milestones!$AA$120)&gt;=$T5),$W5,IF(AND($S5&lt;&gt;"",EDATE($D5,Milestones!$AA$120)&gt;=$S5),$V5,$U5)))=Milestones!$AB$120),UPPER(TEXT(EDATE($D5,Milestones!$AA$120),"dd mmm yy"))&amp;" "&amp;Milestones!$AB$120&amp;" "&amp;Milestones!$AC$120&amp;";  ","")&amp;IF(AND(EDATE($D5,Milestones!$AA$121)&lt;=AsOfDate,IF($R5=0,$X5,IF(AND($T5&lt;&gt;"",EDATE($D5,Milestones!$AA$121)&gt;=$T5),$W5,IF(AND($S5&lt;&gt;"",EDATE($D5,Milestones!$AA$121)&gt;=$S5),$V5,$U5)))=Milestones!$AB$121),UPPER(TEXT(EDATE($D5,Milestones!$AA$121),"dd mmm yy"))&amp;" "&amp;Milestones!$AB$121&amp;" "&amp;Milestones!$AC$121&amp;";  ","")&amp;IF(AND(EDATE($D5,Milestones!$AA$122)&lt;=AsOfDate,IF($R5=0,$X5,IF(AND($T5&lt;&gt;"",EDATE($D5,Milestones!$AA$122)&gt;=$T5),$W5,IF(AND($S5&lt;&gt;"",EDATE($D5,Milestones!$AA$122)&gt;=$S5),$V5,$U5)))=Milestones!$AB$122),UPPER(TEXT(EDATE($D5,Milestones!$AA$122),"dd mmm yy"))&amp;" "&amp;Milestones!$AB$122&amp;" "&amp;Milestones!$AC$122&amp;";  ","")&amp;IF(AND(EDATE($D5,Milestones!$AA$123)&lt;=AsOfDate,IF($R5=0,$X5,IF(AND($T5&lt;&gt;"",EDATE($D5,Milestones!$AA$123)&gt;=$T5),$W5,IF(AND($S5&lt;&gt;"",EDATE($D5,Milestones!$AA$123)&gt;=$S5),$V5,$U5)))=Milestones!$AB$123),UPPER(TEXT(EDATE($D5,Milestones!$AA$123),"dd mmm yy"))&amp;" "&amp;Milestones!$AB$123&amp;" "&amp;Milestones!$AC$123&amp;";  ","")&amp;IF(AND(EDATE($D5,Milestones!$AA$124)&lt;=AsOfDate,IF($R5=0,$X5,IF(AND($T5&lt;&gt;"",EDATE($D5,Milestones!$AA$124)&gt;=$T5),$W5,IF(AND($S5&lt;&gt;"",EDATE($D5,Milestones!$AA$124)&gt;=$S5),$V5,$U5)))=Milestones!$AB$124),UPPER(TEXT(EDATE($D5,Milestones!$AA$124),"dd mmm yy"))&amp;" "&amp;Milestones!$AB$124&amp;" "&amp;Milestones!$AC$124&amp;";  ","")&amp;IF(AND(EDATE($D5,Milestones!$AA$125)&lt;=AsOfDate,IF($R5=0,$X5,IF(AND($T5&lt;&gt;"",EDATE($D5,Milestones!$AA$125)&gt;=$T5),$W5,IF(AND($S5&lt;&gt;"",EDATE($D5,Milestones!$AA$125)&gt;=$S5),$V5,$U5)))=Milestones!$AB$125),UPPER(TEXT(EDATE($D5,Milestones!$AA$125),"dd mmm yy"))&amp;" "&amp;Milestones!$AB$125&amp;" "&amp;Milestones!$AC$125&amp;";  ","")&amp;IF(AND(EDATE($D5,Milestones!$AA$126)&lt;=AsOfDate,IF($R5=0,$X5,IF(AND($T5&lt;&gt;"",EDATE($D5,Milestones!$AA$126)&gt;=$T5),$W5,IF(AND($S5&lt;&gt;"",EDATE($D5,Milestones!$AA$126)&gt;=$S5),$V5,$U5)))=Milestones!$AB$126),UPPER(TEXT(EDATE($D5,Milestones!$AA$126),"dd mmm yy"))&amp;" "&amp;Milestones!$AB$126&amp;" "&amp;Milestones!$AC$126&amp;";  ","")&amp;IF(AND(EDATE($D5,Milestones!$AA$127)&lt;=AsOfDate,IF($R5=0,$X5,IF(AND($T5&lt;&gt;"",EDATE($D5,Milestones!$AA$127)&gt;=$T5),$W5,IF(AND($S5&lt;&gt;"",EDATE($D5,Milestones!$AA$127)&gt;=$S5),$V5,$U5)))=Milestones!$AB$127),UPPER(TEXT(EDATE($D5,Milestones!$AA$127),"dd mmm yy"))&amp;" "&amp;Milestones!$AB$127&amp;" "&amp;Milestones!$AC$127&amp;";  ","")&amp;IF(AND(EDATE($D5,Milestones!$AA$128)&lt;=AsOfDate,IF($R5=0,$X5,IF(AND($T5&lt;&gt;"",EDATE($D5,Milestones!$AA$128)&gt;=$T5),$W5,IF(AND($S5&lt;&gt;"",EDATE($D5,Milestones!$AA$128)&gt;=$S5),$V5,$U5)))=Milestones!$AB$128),UPPER(TEXT(EDATE($D5,Milestones!$AA$128),"dd mmm yy"))&amp;" "&amp;Milestones!$AB$128&amp;" "&amp;Milestones!$AC$128&amp;";  ","")&amp;IF(AND(EDATE($D5,Milestones!$AA$129)&lt;=AsOfDate,IF($R5=0,$X5,IF(AND($T5&lt;&gt;"",EDATE($D5,Milestones!$AA$129)&gt;=$T5),$W5,IF(AND($S5&lt;&gt;"",EDATE($D5,Milestones!$AA$129)&gt;=$S5),$V5,$U5)))=Milestones!$AB$129),UPPER(TEXT(EDATE($D5,Milestones!$AA$129),"dd mmm yy"))&amp;" "&amp;Milestones!$AB$129&amp;" "&amp;Milestones!$AC$129&amp;";  ","")&amp;IF(AND(EDATE($D5,Milestones!$AA$130)&lt;=AsOfDate,IF($R5=0,$X5,IF(AND($T5&lt;&gt;"",EDATE($D5,Milestones!$AA$130)&gt;=$T5),$W5,IF(AND($S5&lt;&gt;"",EDATE($D5,Milestones!$AA$130)&gt;=$S5),$V5,$U5)))=Milestones!$AB$130),UPPER(TEXT(EDATE($D5,Milestones!$AA$130),"dd mmm yy"))&amp;" "&amp;Milestones!$AB$130&amp;" "&amp;Milestones!$AC$130&amp;";  ","")&amp;IF(AND(EDATE($D5,Milestones!$AA$131)&lt;=AsOfDate,IF($R5=0,$X5,IF(AND($T5&lt;&gt;"",EDATE($D5,Milestones!$AA$131)&gt;=$T5),$W5,IF(AND($S5&lt;&gt;"",EDATE($D5,Milestones!$AA$131)&gt;=$S5),$V5,$U5)))=Milestones!$AB$131),UPPER(TEXT(EDATE($D5,Milestones!$AA$131),"dd mmm yy"))&amp;" "&amp;Milestones!$AB$131&amp;" "&amp;Milestones!$AC$131&amp;";  ","")&amp;IF(AND(EDATE($D5,Milestones!$AA$132)&lt;=AsOfDate,IF($R5=0,$X5,IF(AND($T5&lt;&gt;"",EDATE($D5,Milestones!$AA$132)&gt;=$T5),$W5,IF(AND($S5&lt;&gt;"",EDATE($D5,Milestones!$AA$132)&gt;=$S5),$V5,$U5)))=Milestones!$AB$132),UPPER(TEXT(EDATE($D5,Milestones!$AA$132),"dd mmm yy"))&amp;" "&amp;Milestones!$AB$132&amp;" "&amp;Milestones!$AC$132&amp;";  ","")&amp;IF(AND(EDATE($D5,Milestones!$AA$133)&lt;=AsOfDate,IF($R5=0,$X5,IF(AND($T5&lt;&gt;"",EDATE($D5,Milestones!$AA$133)&gt;=$T5),$W5,IF(AND($S5&lt;&gt;"",EDATE($D5,Milestones!$AA$133)&gt;=$S5),$V5,$U5)))=Milestones!$AB$133),UPPER(TEXT(EDATE($D5,Milestones!$AA$133),"dd mmm yy"))&amp;" "&amp;Milestones!$AB$133&amp;" "&amp;Milestones!$AC$133&amp;";  ","")&amp;IF(AND(EDATE($D5,Milestones!$AA$134)&lt;=AsOfDate,IF($R5=0,$X5,IF(AND($T5&lt;&gt;"",EDATE($D5,Milestones!$AA$134)&gt;=$T5),$W5,IF(AND($S5&lt;&gt;"",EDATE($D5,Milestones!$AA$134)&gt;=$S5),$V5,$U5)))=Milestones!$AB$134),UPPER(TEXT(EDATE($D5,Milestones!$AA$134),"dd mmm yy"))&amp;" "&amp;Milestones!$AB$134&amp;" "&amp;Milestones!$AC$134&amp;";  ","")&amp;IF(AND(EDATE($D5,Milestones!$AA$135)&lt;=AsOfDate,IF($R5=0,$X5,IF(AND($T5&lt;&gt;"",EDATE($D5,Milestones!$AA$135)&gt;=$T5),$W5,IF(AND($S5&lt;&gt;"",EDATE($D5,Milestones!$AA$135)&gt;=$S5),$V5,$U5)))=Milestones!$AB$135),UPPER(TEXT(EDATE($D5,Milestones!$AA$135),"dd mmm yy"))&amp;" "&amp;Milestones!$AB$135&amp;" "&amp;Milestones!$AC$135&amp;";  ","")&amp;IF(AND(EDATE($D5,Milestones!$AA$136)&lt;=AsOfDate,IF($R5=0,$X5,IF(AND($T5&lt;&gt;"",EDATE($D5,Milestones!$AA$136)&gt;=$T5),$W5,IF(AND($S5&lt;&gt;"",EDATE($D5,Milestones!$AA$136)&gt;=$S5),$V5,$U5)))=Milestones!$AB$136),UPPER(TEXT(EDATE($D5,Milestones!$AA$136),"dd mmm yy"))&amp;" "&amp;Milestones!$AB$136&amp;" "&amp;Milestones!$AC$136&amp;";  ","")&amp;IF(AND(EDATE($D5,Milestones!$AA$137)&lt;=AsOfDate,IF($R5=0,$X5,IF(AND($T5&lt;&gt;"",EDATE($D5,Milestones!$AA$137)&gt;=$T5),$W5,IF(AND($S5&lt;&gt;"",EDATE($D5,Milestones!$AA$137)&gt;=$S5),$V5,$U5)))=Milestones!$AB$137),UPPER(TEXT(EDATE($D5,Milestones!$AA$137),"dd mmm yy"))&amp;" "&amp;Milestones!$AB$137&amp;" "&amp;Milestones!$AC$137&amp;";  ","")&amp;IF(AND(EDATE($D5,Milestones!$AA$138)&lt;=AsOfDate,IF($R5=0,$X5,IF(AND($T5&lt;&gt;"",EDATE($D5,Milestones!$AA$138)&gt;=$T5),$W5,IF(AND($S5&lt;&gt;"",EDATE($D5,Milestones!$AA$138)&gt;=$S5),$V5,$U5)))=Milestones!$AB$138),UPPER(TEXT(EDATE($D5,Milestones!$AA$138),"dd mmm yy"))&amp;" "&amp;Milestones!$AB$138&amp;" "&amp;Milestones!$AC$138&amp;";  ","")&amp;IF(AND(EDATE($D5,Milestones!$AA$139)&lt;=AsOfDate,IF($R5=0,$X5,IF(AND($T5&lt;&gt;"",EDATE($D5,Milestones!$AA$139)&gt;=$T5),$W5,IF(AND($S5&lt;&gt;"",EDATE($D5,Milestones!$AA$139)&gt;=$S5),$V5,$U5)))=Milestones!$AB$139),UPPER(TEXT(EDATE($D5,Milestones!$AA$139),"dd mmm yy"))&amp;" "&amp;Milestones!$AB$139&amp;" "&amp;Milestones!$AC$139&amp;";  ",""))</f>
        <v/>
      </c>
      <c r="O5" s="0" t="str">
        <f aca="false">IF(OR($A5="",$D5=""),"",IF(AND(EDATE($D5,Milestones!$AA$140)&lt;=AsOfDate,IF($R5=0,$X5,IF(AND($T5&lt;&gt;"",EDATE($D5,Milestones!$AA$140)&gt;=$T5),$W5,IF(AND($S5&lt;&gt;"",EDATE($D5,Milestones!$AA$140)&gt;=$S5),$V5,$U5)))=Milestones!$AB$140),UPPER(TEXT(EDATE($D5,Milestones!$AA$140),"dd mmm yy"))&amp;" "&amp;Milestones!$AB$140&amp;" "&amp;Milestones!$AC$140&amp;";  ","")&amp;IF(AND(EDATE($D5,Milestones!$AA$141)&lt;=AsOfDate,IF($R5=0,$X5,IF(AND($T5&lt;&gt;"",EDATE($D5,Milestones!$AA$141)&gt;=$T5),$W5,IF(AND($S5&lt;&gt;"",EDATE($D5,Milestones!$AA$141)&gt;=$S5),$V5,$U5)))=Milestones!$AB$141),UPPER(TEXT(EDATE($D5,Milestones!$AA$141),"dd mmm yy"))&amp;" "&amp;Milestones!$AB$141&amp;" "&amp;Milestones!$AC$141&amp;";  ","")&amp;IF(AND(EDATE($D5,Milestones!$AA$142)&lt;=AsOfDate,IF($R5=0,$X5,IF(AND($T5&lt;&gt;"",EDATE($D5,Milestones!$AA$142)&gt;=$T5),$W5,IF(AND($S5&lt;&gt;"",EDATE($D5,Milestones!$AA$142)&gt;=$S5),$V5,$U5)))=Milestones!$AB$142),UPPER(TEXT(EDATE($D5,Milestones!$AA$142),"dd mmm yy"))&amp;" "&amp;Milestones!$AB$142&amp;" "&amp;Milestones!$AC$142&amp;";  ","")&amp;IF(AND(EDATE($D5,Milestones!$AA$143)&lt;=AsOfDate,IF($R5=0,$X5,IF(AND($T5&lt;&gt;"",EDATE($D5,Milestones!$AA$143)&gt;=$T5),$W5,IF(AND($S5&lt;&gt;"",EDATE($D5,Milestones!$AA$143)&gt;=$S5),$V5,$U5)))=Milestones!$AB$143),UPPER(TEXT(EDATE($D5,Milestones!$AA$143),"dd mmm yy"))&amp;" "&amp;Milestones!$AB$143&amp;" "&amp;Milestones!$AC$143&amp;";  ","")&amp;IF(AND(EDATE($D5,Milestones!$AA$144)&lt;=AsOfDate,IF($R5=0,$X5,IF(AND($T5&lt;&gt;"",EDATE($D5,Milestones!$AA$144)&gt;=$T5),$W5,IF(AND($S5&lt;&gt;"",EDATE($D5,Milestones!$AA$144)&gt;=$S5),$V5,$U5)))=Milestones!$AB$144),UPPER(TEXT(EDATE($D5,Milestones!$AA$144),"dd mmm yy"))&amp;" "&amp;Milestones!$AB$144&amp;" "&amp;Milestones!$AC$144&amp;";  ","")&amp;IF(AND(EDATE($D5,Milestones!$AA$145)&lt;=AsOfDate,IF($R5=0,$X5,IF(AND($T5&lt;&gt;"",EDATE($D5,Milestones!$AA$145)&gt;=$T5),$W5,IF(AND($S5&lt;&gt;"",EDATE($D5,Milestones!$AA$145)&gt;=$S5),$V5,$U5)))=Milestones!$AB$145),UPPER(TEXT(EDATE($D5,Milestones!$AA$145),"dd mmm yy"))&amp;" "&amp;Milestones!$AB$145&amp;" "&amp;Milestones!$AC$145&amp;";  ","")&amp;IF(AND(EDATE($D5,Milestones!$AA$146)&lt;=AsOfDate,IF($R5=0,$X5,IF(AND($T5&lt;&gt;"",EDATE($D5,Milestones!$AA$146)&gt;=$T5),$W5,IF(AND($S5&lt;&gt;"",EDATE($D5,Milestones!$AA$146)&gt;=$S5),$V5,$U5)))=Milestones!$AB$146),UPPER(TEXT(EDATE($D5,Milestones!$AA$146),"dd mmm yy"))&amp;" "&amp;Milestones!$AB$146&amp;" "&amp;Milestones!$AC$146&amp;";  ","")&amp;IF(AND(EDATE($D5,Milestones!$AA$147)&lt;=AsOfDate,IF($R5=0,$X5,IF(AND($T5&lt;&gt;"",EDATE($D5,Milestones!$AA$147)&gt;=$T5),$W5,IF(AND($S5&lt;&gt;"",EDATE($D5,Milestones!$AA$147)&gt;=$S5),$V5,$U5)))=Milestones!$AB$147),UPPER(TEXT(EDATE($D5,Milestones!$AA$147),"dd mmm yy"))&amp;" "&amp;Milestones!$AB$147&amp;" "&amp;Milestones!$AC$147&amp;";  ","")&amp;IF(AND(EDATE($D5,Milestones!$AA$148)&lt;=AsOfDate,IF($R5=0,$X5,IF(AND($T5&lt;&gt;"",EDATE($D5,Milestones!$AA$148)&gt;=$T5),$W5,IF(AND($S5&lt;&gt;"",EDATE($D5,Milestones!$AA$148)&gt;=$S5),$V5,$U5)))=Milestones!$AB$148),UPPER(TEXT(EDATE($D5,Milestones!$AA$148),"dd mmm yy"))&amp;" "&amp;Milestones!$AB$148&amp;" "&amp;Milestones!$AC$148&amp;";  ","")&amp;IF(AND(EDATE($D5,Milestones!$AA$149)&lt;=AsOfDate,IF($R5=0,$X5,IF(AND($T5&lt;&gt;"",EDATE($D5,Milestones!$AA$149)&gt;=$T5),$W5,IF(AND($S5&lt;&gt;"",EDATE($D5,Milestones!$AA$149)&gt;=$S5),$V5,$U5)))=Milestones!$AB$149),UPPER(TEXT(EDATE($D5,Milestones!$AA$149),"dd mmm yy"))&amp;" "&amp;Milestones!$AB$149&amp;" "&amp;Milestones!$AC$149&amp;";  ","")&amp;IF(AND(EDATE($D5,Milestones!$AA$150)&lt;=AsOfDate,IF($R5=0,$X5,IF(AND($T5&lt;&gt;"",EDATE($D5,Milestones!$AA$150)&gt;=$T5),$W5,IF(AND($S5&lt;&gt;"",EDATE($D5,Milestones!$AA$150)&gt;=$S5),$V5,$U5)))=Milestones!$AB$150),UPPER(TEXT(EDATE($D5,Milestones!$AA$150),"dd mmm yy"))&amp;" "&amp;Milestones!$AB$150&amp;" "&amp;Milestones!$AC$150&amp;";  ","")&amp;IF(AND(EDATE($D5,Milestones!$AA$151)&lt;=AsOfDate,IF($R5=0,$X5,IF(AND($T5&lt;&gt;"",EDATE($D5,Milestones!$AA$151)&gt;=$T5),$W5,IF(AND($S5&lt;&gt;"",EDATE($D5,Milestones!$AA$151)&gt;=$S5),$V5,$U5)))=Milestones!$AB$151),UPPER(TEXT(EDATE($D5,Milestones!$AA$151),"dd mmm yy"))&amp;" "&amp;Milestones!$AB$151&amp;" "&amp;Milestones!$AC$151&amp;";  ","")&amp;IF(AND(EDATE($D5,Milestones!$AA$152)&lt;=AsOfDate,IF($R5=0,$X5,IF(AND($T5&lt;&gt;"",EDATE($D5,Milestones!$AA$152)&gt;=$T5),$W5,IF(AND($S5&lt;&gt;"",EDATE($D5,Milestones!$AA$152)&gt;=$S5),$V5,$U5)))=Milestones!$AB$152),UPPER(TEXT(EDATE($D5,Milestones!$AA$152),"dd mmm yy"))&amp;" "&amp;Milestones!$AB$152&amp;" "&amp;Milestones!$AC$152&amp;";  ","")&amp;IF(AND(EDATE($D5,Milestones!$AA$153)&lt;=AsOfDate,IF($R5=0,$X5,IF(AND($T5&lt;&gt;"",EDATE($D5,Milestones!$AA$153)&gt;=$T5),$W5,IF(AND($S5&lt;&gt;"",EDATE($D5,Milestones!$AA$153)&gt;=$S5),$V5,$U5)))=Milestones!$AB$153),UPPER(TEXT(EDATE($D5,Milestones!$AA$153),"dd mmm yy"))&amp;" "&amp;Milestones!$AB$153&amp;" "&amp;Milestones!$AC$153&amp;";  ","")&amp;IF(AND(EDATE($D5,Milestones!$AA$154)&lt;=AsOfDate,IF($R5=0,$X5,IF(AND($T5&lt;&gt;"",EDATE($D5,Milestones!$AA$154)&gt;=$T5),$W5,IF(AND($S5&lt;&gt;"",EDATE($D5,Milestones!$AA$154)&gt;=$S5),$V5,$U5)))=Milestones!$AB$154),UPPER(TEXT(EDATE($D5,Milestones!$AA$154),"dd mmm yy"))&amp;" "&amp;Milestones!$AB$154&amp;" "&amp;Milestones!$AC$154&amp;";  ","")&amp;IF(AND(EDATE($D5,Milestones!$AA$155)&lt;=AsOfDate,IF($R5=0,$X5,IF(AND($T5&lt;&gt;"",EDATE($D5,Milestones!$AA$155)&gt;=$T5),$W5,IF(AND($S5&lt;&gt;"",EDATE($D5,Milestones!$AA$155)&gt;=$S5),$V5,$U5)))=Milestones!$AB$155),UPPER(TEXT(EDATE($D5,Milestones!$AA$155),"dd mmm yy"))&amp;" "&amp;Milestones!$AB$155&amp;" "&amp;Milestones!$AC$155&amp;";  ","")&amp;IF(AND(EDATE($D5,Milestones!$AA$156)&lt;=AsOfDate,IF($R5=0,$X5,IF(AND($T5&lt;&gt;"",EDATE($D5,Milestones!$AA$156)&gt;=$T5),$W5,IF(AND($S5&lt;&gt;"",EDATE($D5,Milestones!$AA$156)&gt;=$S5),$V5,$U5)))=Milestones!$AB$156),UPPER(TEXT(EDATE($D5,Milestones!$AA$156),"dd mmm yy"))&amp;" "&amp;Milestones!$AB$156&amp;" "&amp;Milestones!$AC$156&amp;";  ","")&amp;IF(AND(EDATE($D5,Milestones!$AA$157)&lt;=AsOfDate,IF($R5=0,$X5,IF(AND($T5&lt;&gt;"",EDATE($D5,Milestones!$AA$157)&gt;=$T5),$W5,IF(AND($S5&lt;&gt;"",EDATE($D5,Milestones!$AA$157)&gt;=$S5),$V5,$U5)))=Milestones!$AB$157),UPPER(TEXT(EDATE($D5,Milestones!$AA$157),"dd mmm yy"))&amp;" "&amp;Milestones!$AB$157&amp;" "&amp;Milestones!$AC$157&amp;";  ","")&amp;IF(AND(EDATE($D5,Milestones!$AA$158)&lt;=AsOfDate,IF($R5=0,$X5,IF(AND($T5&lt;&gt;"",EDATE($D5,Milestones!$AA$158)&gt;=$T5),$W5,IF(AND($S5&lt;&gt;"",EDATE($D5,Milestones!$AA$158)&gt;=$S5),$V5,$U5)))=Milestones!$AB$158),UPPER(TEXT(EDATE($D5,Milestones!$AA$158),"dd mmm yy"))&amp;" "&amp;Milestones!$AB$158&amp;" "&amp;Milestones!$AC$158&amp;";  ","")&amp;IF(AND(EDATE($D5,Milestones!$AA$159)&lt;=AsOfDate,IF($R5=0,$X5,IF(AND($T5&lt;&gt;"",EDATE($D5,Milestones!$AA$159)&gt;=$T5),$W5,IF(AND($S5&lt;&gt;"",EDATE($D5,Milestones!$AA$159)&gt;=$S5),$V5,$U5)))=Milestones!$AB$159),UPPER(TEXT(EDATE($D5,Milestones!$AA$159),"dd mmm yy"))&amp;" "&amp;Milestones!$AB$159&amp;" "&amp;Milestones!$AC$159&amp;";  ",""))</f>
        <v/>
      </c>
      <c r="P5" s="0" t="str">
        <f aca="false">IF(OR($A5="",$D5=""),"",IF(AND(EDATE($D5,Milestones!$AA$160)&lt;=AsOfDate,IF($R5=0,$X5,IF(AND($T5&lt;&gt;"",EDATE($D5,Milestones!$AA$160)&gt;=$T5),$W5,IF(AND($S5&lt;&gt;"",EDATE($D5,Milestones!$AA$160)&gt;=$S5),$V5,$U5)))=Milestones!$AB$160),UPPER(TEXT(EDATE($D5,Milestones!$AA$160),"dd mmm yy"))&amp;" "&amp;Milestones!$AB$160&amp;" "&amp;Milestones!$AC$160&amp;";  ","")&amp;IF(AND(EDATE($D5,Milestones!$AA$161)&lt;=AsOfDate,IF($R5=0,$X5,IF(AND($T5&lt;&gt;"",EDATE($D5,Milestones!$AA$161)&gt;=$T5),$W5,IF(AND($S5&lt;&gt;"",EDATE($D5,Milestones!$AA$161)&gt;=$S5),$V5,$U5)))=Milestones!$AB$161),UPPER(TEXT(EDATE($D5,Milestones!$AA$161),"dd mmm yy"))&amp;" "&amp;Milestones!$AB$161&amp;" "&amp;Milestones!$AC$161&amp;";  ","")&amp;IF(AND(EDATE($D5,Milestones!$AA$162)&lt;=AsOfDate,IF($R5=0,$X5,IF(AND($T5&lt;&gt;"",EDATE($D5,Milestones!$AA$162)&gt;=$T5),$W5,IF(AND($S5&lt;&gt;"",EDATE($D5,Milestones!$AA$162)&gt;=$S5),$V5,$U5)))=Milestones!$AB$162),UPPER(TEXT(EDATE($D5,Milestones!$AA$162),"dd mmm yy"))&amp;" "&amp;Milestones!$AB$162&amp;" "&amp;Milestones!$AC$162&amp;";  ","")&amp;IF(AND(EDATE($D5,Milestones!$AA$163)&lt;=AsOfDate,IF($R5=0,$X5,IF(AND($T5&lt;&gt;"",EDATE($D5,Milestones!$AA$163)&gt;=$T5),$W5,IF(AND($S5&lt;&gt;"",EDATE($D5,Milestones!$AA$163)&gt;=$S5),$V5,$U5)))=Milestones!$AB$163),UPPER(TEXT(EDATE($D5,Milestones!$AA$163),"dd mmm yy"))&amp;" "&amp;Milestones!$AB$163&amp;" "&amp;Milestones!$AC$163&amp;";  ","")&amp;IF(AND(EDATE($D5,Milestones!$AA$164)&lt;=AsOfDate,IF($R5=0,$X5,IF(AND($T5&lt;&gt;"",EDATE($D5,Milestones!$AA$164)&gt;=$T5),$W5,IF(AND($S5&lt;&gt;"",EDATE($D5,Milestones!$AA$164)&gt;=$S5),$V5,$U5)))=Milestones!$AB$164),UPPER(TEXT(EDATE($D5,Milestones!$AA$164),"dd mmm yy"))&amp;" "&amp;Milestones!$AB$164&amp;" "&amp;Milestones!$AC$164&amp;";  ","")&amp;IF(AND(EDATE($D5,Milestones!$AA$165)&lt;=AsOfDate,IF($R5=0,$X5,IF(AND($T5&lt;&gt;"",EDATE($D5,Milestones!$AA$165)&gt;=$T5),$W5,IF(AND($S5&lt;&gt;"",EDATE($D5,Milestones!$AA$165)&gt;=$S5),$V5,$U5)))=Milestones!$AB$165),UPPER(TEXT(EDATE($D5,Milestones!$AA$165),"dd mmm yy"))&amp;" "&amp;Milestones!$AB$165&amp;" "&amp;Milestones!$AC$165&amp;";  ","")&amp;IF(AND(EDATE($D5,Milestones!$AA$166)&lt;=AsOfDate,IF($R5=0,$X5,IF(AND($T5&lt;&gt;"",EDATE($D5,Milestones!$AA$166)&gt;=$T5),$W5,IF(AND($S5&lt;&gt;"",EDATE($D5,Milestones!$AA$166)&gt;=$S5),$V5,$U5)))=Milestones!$AB$166),UPPER(TEXT(EDATE($D5,Milestones!$AA$166),"dd mmm yy"))&amp;" "&amp;Milestones!$AB$166&amp;" "&amp;Milestones!$AC$166&amp;";  ","")&amp;IF(AND(EDATE($D5,Milestones!$AA$167)&lt;=AsOfDate,IF($R5=0,$X5,IF(AND($T5&lt;&gt;"",EDATE($D5,Milestones!$AA$167)&gt;=$T5),$W5,IF(AND($S5&lt;&gt;"",EDATE($D5,Milestones!$AA$167)&gt;=$S5),$V5,$U5)))=Milestones!$AB$167),UPPER(TEXT(EDATE($D5,Milestones!$AA$167),"dd mmm yy"))&amp;" "&amp;Milestones!$AB$167&amp;" "&amp;Milestones!$AC$167&amp;";  ","")&amp;IF(AND(EDATE($D5,Milestones!$AA$168)&lt;=AsOfDate,IF($R5=0,$X5,IF(AND($T5&lt;&gt;"",EDATE($D5,Milestones!$AA$168)&gt;=$T5),$W5,IF(AND($S5&lt;&gt;"",EDATE($D5,Milestones!$AA$168)&gt;=$S5),$V5,$U5)))=Milestones!$AB$168),UPPER(TEXT(EDATE($D5,Milestones!$AA$168),"dd mmm yy"))&amp;" "&amp;Milestones!$AB$168&amp;" "&amp;Milestones!$AC$168&amp;";  ","")&amp;IF(AND(EDATE($D5,Milestones!$AA$169)&lt;=AsOfDate,IF($R5=0,$X5,IF(AND($T5&lt;&gt;"",EDATE($D5,Milestones!$AA$169)&gt;=$T5),$W5,IF(AND($S5&lt;&gt;"",EDATE($D5,Milestones!$AA$169)&gt;=$S5),$V5,$U5)))=Milestones!$AB$169),UPPER(TEXT(EDATE($D5,Milestones!$AA$169),"dd mmm yy"))&amp;" "&amp;Milestones!$AB$169&amp;" "&amp;Milestones!$AC$169&amp;";  ","")&amp;IF(AND(EDATE($D5,Milestones!$AA$170)&lt;=AsOfDate,IF($R5=0,$X5,IF(AND($T5&lt;&gt;"",EDATE($D5,Milestones!$AA$170)&gt;=$T5),$W5,IF(AND($S5&lt;&gt;"",EDATE($D5,Milestones!$AA$170)&gt;=$S5),$V5,$U5)))=Milestones!$AB$170),UPPER(TEXT(EDATE($D5,Milestones!$AA$170),"dd mmm yy"))&amp;" "&amp;Milestones!$AB$170&amp;" "&amp;Milestones!$AC$170&amp;";  ","")&amp;IF(AND(EDATE($D5,Milestones!$AA$171)&lt;=AsOfDate,IF($R5=0,$X5,IF(AND($T5&lt;&gt;"",EDATE($D5,Milestones!$AA$171)&gt;=$T5),$W5,IF(AND($S5&lt;&gt;"",EDATE($D5,Milestones!$AA$171)&gt;=$S5),$V5,$U5)))=Milestones!$AB$171),UPPER(TEXT(EDATE($D5,Milestones!$AA$171),"dd mmm yy"))&amp;" "&amp;Milestones!$AB$171&amp;" "&amp;Milestones!$AC$171&amp;";  ","")&amp;IF(AND(EDATE($D5,Milestones!$AA$172)&lt;=AsOfDate,IF($R5=0,$X5,IF(AND($T5&lt;&gt;"",EDATE($D5,Milestones!$AA$172)&gt;=$T5),$W5,IF(AND($S5&lt;&gt;"",EDATE($D5,Milestones!$AA$172)&gt;=$S5),$V5,$U5)))=Milestones!$AB$172),UPPER(TEXT(EDATE($D5,Milestones!$AA$172),"dd mmm yy"))&amp;" "&amp;Milestones!$AB$172&amp;" "&amp;Milestones!$AC$172&amp;";  ","")&amp;IF(AND(EDATE($D5,Milestones!$AA$173)&lt;=AsOfDate,IF($R5=0,$X5,IF(AND($T5&lt;&gt;"",EDATE($D5,Milestones!$AA$173)&gt;=$T5),$W5,IF(AND($S5&lt;&gt;"",EDATE($D5,Milestones!$AA$173)&gt;=$S5),$V5,$U5)))=Milestones!$AB$173),UPPER(TEXT(EDATE($D5,Milestones!$AA$173),"dd mmm yy"))&amp;" "&amp;Milestones!$AB$173&amp;" "&amp;Milestones!$AC$173&amp;";  ","")&amp;IF(AND(EDATE($D5,Milestones!$AA$174)&lt;=AsOfDate,IF($R5=0,$X5,IF(AND($T5&lt;&gt;"",EDATE($D5,Milestones!$AA$174)&gt;=$T5),$W5,IF(AND($S5&lt;&gt;"",EDATE($D5,Milestones!$AA$174)&gt;=$S5),$V5,$U5)))=Milestones!$AB$174),UPPER(TEXT(EDATE($D5,Milestones!$AA$174),"dd mmm yy"))&amp;" "&amp;Milestones!$AB$174&amp;" "&amp;Milestones!$AC$174&amp;";  ","")&amp;IF(AND(EDATE($D5,Milestones!$AA$175)&lt;=AsOfDate,IF($R5=0,$X5,IF(AND($T5&lt;&gt;"",EDATE($D5,Milestones!$AA$175)&gt;=$T5),$W5,IF(AND($S5&lt;&gt;"",EDATE($D5,Milestones!$AA$175)&gt;=$S5),$V5,$U5)))=Milestones!$AB$175),UPPER(TEXT(EDATE($D5,Milestones!$AA$175),"dd mmm yy"))&amp;" "&amp;Milestones!$AB$175&amp;" "&amp;Milestones!$AC$175&amp;";  ","")&amp;IF(AND(EDATE($D5,Milestones!$AA$176)&lt;=AsOfDate,IF($R5=0,$X5,IF(AND($T5&lt;&gt;"",EDATE($D5,Milestones!$AA$176)&gt;=$T5),$W5,IF(AND($S5&lt;&gt;"",EDATE($D5,Milestones!$AA$176)&gt;=$S5),$V5,$U5)))=Milestones!$AB$176),UPPER(TEXT(EDATE($D5,Milestones!$AA$176),"dd mmm yy"))&amp;" "&amp;Milestones!$AB$176&amp;" "&amp;Milestones!$AC$176&amp;";  ","")&amp;IF(AND(EDATE($D5,Milestones!$AA$177)&lt;=AsOfDate,IF($R5=0,$X5,IF(AND($T5&lt;&gt;"",EDATE($D5,Milestones!$AA$177)&gt;=$T5),$W5,IF(AND($S5&lt;&gt;"",EDATE($D5,Milestones!$AA$177)&gt;=$S5),$V5,$U5)))=Milestones!$AB$177),UPPER(TEXT(EDATE($D5,Milestones!$AA$177),"dd mmm yy"))&amp;" "&amp;Milestones!$AB$177&amp;" "&amp;Milestones!$AC$177&amp;";  ","")&amp;IF(AND(EDATE($D5,Milestones!$AA$178)&lt;=AsOfDate,IF($R5=0,$X5,IF(AND($T5&lt;&gt;"",EDATE($D5,Milestones!$AA$178)&gt;=$T5),$W5,IF(AND($S5&lt;&gt;"",EDATE($D5,Milestones!$AA$178)&gt;=$S5),$V5,$U5)))=Milestones!$AB$178),UPPER(TEXT(EDATE($D5,Milestones!$AA$178),"dd mmm yy"))&amp;" "&amp;Milestones!$AB$178&amp;" "&amp;Milestones!$AC$178&amp;";  ","")&amp;IF(AND(EDATE($D5,Milestones!$AA$179)&lt;=AsOfDate,IF($R5=0,$X5,IF(AND($T5&lt;&gt;"",EDATE($D5,Milestones!$AA$179)&gt;=$T5),$W5,IF(AND($S5&lt;&gt;"",EDATE($D5,Milestones!$AA$179)&gt;=$S5),$V5,$U5)))=Milestones!$AB$179),UPPER(TEXT(EDATE($D5,Milestones!$AA$179),"dd mmm yy"))&amp;" "&amp;Milestones!$AB$179&amp;" "&amp;Milestones!$AC$179&amp;";  ",""))</f>
        <v/>
      </c>
      <c r="Q5" s="0" t="str">
        <f aca="false">IF(OR($A5="",$D5=""),"",IF(AND(EDATE($D5,Milestones!$AA$180)&lt;=AsOfDate,IF($R5=0,$X5,IF(AND($T5&lt;&gt;"",EDATE($D5,Milestones!$AA$180)&gt;=$T5),$W5,IF(AND($S5&lt;&gt;"",EDATE($D5,Milestones!$AA$180)&gt;=$S5),$V5,$U5)))=Milestones!$AB$180),UPPER(TEXT(EDATE($D5,Milestones!$AA$180),"dd mmm yy"))&amp;" "&amp;Milestones!$AB$180&amp;" "&amp;Milestones!$AC$180&amp;";  ","")&amp;IF(AND(EDATE($D5,Milestones!$AA$181)&lt;=AsOfDate,IF($R5=0,$X5,IF(AND($T5&lt;&gt;"",EDATE($D5,Milestones!$AA$181)&gt;=$T5),$W5,IF(AND($S5&lt;&gt;"",EDATE($D5,Milestones!$AA$181)&gt;=$S5),$V5,$U5)))=Milestones!$AB$181),UPPER(TEXT(EDATE($D5,Milestones!$AA$181),"dd mmm yy"))&amp;" "&amp;Milestones!$AB$181&amp;" "&amp;Milestones!$AC$181&amp;";  ","")&amp;IF(AND(EDATE($D5,Milestones!$AA$182)&lt;=AsOfDate,IF($R5=0,$X5,IF(AND($T5&lt;&gt;"",EDATE($D5,Milestones!$AA$182)&gt;=$T5),$W5,IF(AND($S5&lt;&gt;"",EDATE($D5,Milestones!$AA$182)&gt;=$S5),$V5,$U5)))=Milestones!$AB$182),UPPER(TEXT(EDATE($D5,Milestones!$AA$182),"dd mmm yy"))&amp;" "&amp;Milestones!$AB$182&amp;" "&amp;Milestones!$AC$182&amp;";  ","")&amp;IF(AND(EDATE($D5,Milestones!$AA$183)&lt;=AsOfDate,IF($R5=0,$X5,IF(AND($T5&lt;&gt;"",EDATE($D5,Milestones!$AA$183)&gt;=$T5),$W5,IF(AND($S5&lt;&gt;"",EDATE($D5,Milestones!$AA$183)&gt;=$S5),$V5,$U5)))=Milestones!$AB$183),UPPER(TEXT(EDATE($D5,Milestones!$AA$183),"dd mmm yy"))&amp;" "&amp;Milestones!$AB$183&amp;" "&amp;Milestones!$AC$183&amp;";  ","")&amp;IF(AND(EDATE($D5,Milestones!$AA$184)&lt;=AsOfDate,IF($R5=0,$X5,IF(AND($T5&lt;&gt;"",EDATE($D5,Milestones!$AA$184)&gt;=$T5),$W5,IF(AND($S5&lt;&gt;"",EDATE($D5,Milestones!$AA$184)&gt;=$S5),$V5,$U5)))=Milestones!$AB$184),UPPER(TEXT(EDATE($D5,Milestones!$AA$184),"dd mmm yy"))&amp;" "&amp;Milestones!$AB$184&amp;" "&amp;Milestones!$AC$184&amp;";  ","")&amp;IF(AND(EDATE($D5,Milestones!$AA$185)&lt;=AsOfDate,IF($R5=0,$X5,IF(AND($T5&lt;&gt;"",EDATE($D5,Milestones!$AA$185)&gt;=$T5),$W5,IF(AND($S5&lt;&gt;"",EDATE($D5,Milestones!$AA$185)&gt;=$S5),$V5,$U5)))=Milestones!$AB$185),UPPER(TEXT(EDATE($D5,Milestones!$AA$185),"dd mmm yy"))&amp;" "&amp;Milestones!$AB$185&amp;" "&amp;Milestones!$AC$185&amp;";  ","")&amp;IF(AND(EDATE($D5,Milestones!$AA$186)&lt;=AsOfDate,IF($R5=0,$X5,IF(AND($T5&lt;&gt;"",EDATE($D5,Milestones!$AA$186)&gt;=$T5),$W5,IF(AND($S5&lt;&gt;"",EDATE($D5,Milestones!$AA$186)&gt;=$S5),$V5,$U5)))=Milestones!$AB$186),UPPER(TEXT(EDATE($D5,Milestones!$AA$186),"dd mmm yy"))&amp;" "&amp;Milestones!$AB$186&amp;" "&amp;Milestones!$AC$186&amp;";  ","")&amp;IF(AND(EDATE($D5,Milestones!$AA$187)&lt;=AsOfDate,IF($R5=0,$X5,IF(AND($T5&lt;&gt;"",EDATE($D5,Milestones!$AA$187)&gt;=$T5),$W5,IF(AND($S5&lt;&gt;"",EDATE($D5,Milestones!$AA$187)&gt;=$S5),$V5,$U5)))=Milestones!$AB$187),UPPER(TEXT(EDATE($D5,Milestones!$AA$187),"dd mmm yy"))&amp;" "&amp;Milestones!$AB$187&amp;" "&amp;Milestones!$AC$187&amp;";  ","")&amp;IF(AND(EDATE($D5,Milestones!$AA$188)&lt;=AsOfDate,IF($R5=0,$X5,IF(AND($T5&lt;&gt;"",EDATE($D5,Milestones!$AA$188)&gt;=$T5),$W5,IF(AND($S5&lt;&gt;"",EDATE($D5,Milestones!$AA$188)&gt;=$S5),$V5,$U5)))=Milestones!$AB$188),UPPER(TEXT(EDATE($D5,Milestones!$AA$188),"dd mmm yy"))&amp;" "&amp;Milestones!$AB$188&amp;" "&amp;Milestones!$AC$188&amp;";  ","")&amp;IF(AND(EDATE($D5,Milestones!$AA$189)&lt;=AsOfDate,IF($R5=0,$X5,IF(AND($T5&lt;&gt;"",EDATE($D5,Milestones!$AA$189)&gt;=$T5),$W5,IF(AND($S5&lt;&gt;"",EDATE($D5,Milestones!$AA$189)&gt;=$S5),$V5,$U5)))=Milestones!$AB$189),UPPER(TEXT(EDATE($D5,Milestones!$AA$189),"dd mmm yy"))&amp;" "&amp;Milestones!$AB$189&amp;" "&amp;Milestones!$AC$189&amp;";  ","")&amp;IF(AND(EDATE($D5,Milestones!$AA$190)&lt;=AsOfDate,IF($R5=0,$X5,IF(AND($T5&lt;&gt;"",EDATE($D5,Milestones!$AA$190)&gt;=$T5),$W5,IF(AND($S5&lt;&gt;"",EDATE($D5,Milestones!$AA$190)&gt;=$S5),$V5,$U5)))=Milestones!$AB$190),UPPER(TEXT(EDATE($D5,Milestones!$AA$190),"dd mmm yy"))&amp;" "&amp;Milestones!$AB$190&amp;" "&amp;Milestones!$AC$190&amp;";  ","")&amp;IF(AND(EDATE($D5,Milestones!$AA$191)&lt;=AsOfDate,IF($R5=0,$X5,IF(AND($T5&lt;&gt;"",EDATE($D5,Milestones!$AA$191)&gt;=$T5),$W5,IF(AND($S5&lt;&gt;"",EDATE($D5,Milestones!$AA$191)&gt;=$S5),$V5,$U5)))=Milestones!$AB$191),UPPER(TEXT(EDATE($D5,Milestones!$AA$191),"dd mmm yy"))&amp;" "&amp;Milestones!$AB$191&amp;" "&amp;Milestones!$AC$191&amp;";  ","")&amp;IF(AND(EDATE($D5,Milestones!$AA$192)&lt;=AsOfDate,IF($R5=0,$X5,IF(AND($T5&lt;&gt;"",EDATE($D5,Milestones!$AA$192)&gt;=$T5),$W5,IF(AND($S5&lt;&gt;"",EDATE($D5,Milestones!$AA$192)&gt;=$S5),$V5,$U5)))=Milestones!$AB$192),UPPER(TEXT(EDATE($D5,Milestones!$AA$192),"dd mmm yy"))&amp;" "&amp;Milestones!$AB$192&amp;" "&amp;Milestones!$AC$192&amp;";  ","")&amp;IF(AND(EDATE($D5,Milestones!$AA$193)&lt;=AsOfDate,IF($R5=0,$X5,IF(AND($T5&lt;&gt;"",EDATE($D5,Milestones!$AA$193)&gt;=$T5),$W5,IF(AND($S5&lt;&gt;"",EDATE($D5,Milestones!$AA$193)&gt;=$S5),$V5,$U5)))=Milestones!$AB$193),UPPER(TEXT(EDATE($D5,Milestones!$AA$193),"dd mmm yy"))&amp;" "&amp;Milestones!$AB$193&amp;" "&amp;Milestones!$AC$193&amp;";  ","")&amp;IF(AND(EDATE($D5,Milestones!$AA$194)&lt;=AsOfDate,IF($R5=0,$X5,IF(AND($T5&lt;&gt;"",EDATE($D5,Milestones!$AA$194)&gt;=$T5),$W5,IF(AND($S5&lt;&gt;"",EDATE($D5,Milestones!$AA$194)&gt;=$S5),$V5,$U5)))=Milestones!$AB$194),UPPER(TEXT(EDATE($D5,Milestones!$AA$194),"dd mmm yy"))&amp;" "&amp;Milestones!$AB$194&amp;" "&amp;Milestones!$AC$194&amp;";  ","")&amp;IF(AND(EDATE($D5,Milestones!$AA$195)&lt;=AsOfDate,IF($R5=0,$X5,IF(AND($T5&lt;&gt;"",EDATE($D5,Milestones!$AA$195)&gt;=$T5),$W5,IF(AND($S5&lt;&gt;"",EDATE($D5,Milestones!$AA$195)&gt;=$S5),$V5,$U5)))=Milestones!$AB$195),UPPER(TEXT(EDATE($D5,Milestones!$AA$195),"dd mmm yy"))&amp;" "&amp;Milestones!$AB$195&amp;" "&amp;Milestones!$AC$195&amp;";  ","")&amp;IF(AND(EDATE($D5,Milestones!$AA$196)&lt;=AsOfDate,IF($R5=0,$X5,IF(AND($T5&lt;&gt;"",EDATE($D5,Milestones!$AA$196)&gt;=$T5),$W5,IF(AND($S5&lt;&gt;"",EDATE($D5,Milestones!$AA$196)&gt;=$S5),$V5,$U5)))=Milestones!$AB$196),UPPER(TEXT(EDATE($D5,Milestones!$AA$196),"dd mmm yy"))&amp;" "&amp;Milestones!$AB$196&amp;" "&amp;Milestones!$AC$196&amp;";  ","")&amp;IF(AND(EDATE($D5,Milestones!$AA$197)&lt;=AsOfDate,IF($R5=0,$X5,IF(AND($T5&lt;&gt;"",EDATE($D5,Milestones!$AA$197)&gt;=$T5),$W5,IF(AND($S5&lt;&gt;"",EDATE($D5,Milestones!$AA$197)&gt;=$S5),$V5,$U5)))=Milestones!$AB$197),UPPER(TEXT(EDATE($D5,Milestones!$AA$197),"dd mmm yy"))&amp;" "&amp;Milestones!$AB$197&amp;" "&amp;Milestones!$AC$197&amp;";  ","")&amp;IF(AND(EDATE($D5,Milestones!$AA$198)&lt;=AsOfDate,IF($R5=0,$X5,IF(AND($T5&lt;&gt;"",EDATE($D5,Milestones!$AA$198)&gt;=$T5),$W5,IF(AND($S5&lt;&gt;"",EDATE($D5,Milestones!$AA$198)&gt;=$S5),$V5,$U5)))=Milestones!$AB$198),UPPER(TEXT(EDATE($D5,Milestones!$AA$198),"dd mmm yy"))&amp;" "&amp;Milestones!$AB$198&amp;" "&amp;Milestones!$AC$198&amp;";  ","")&amp;IF(AND(EDATE($D5,Milestones!$AA$199)&lt;=AsOfDate,IF($R5=0,$X5,IF(AND($T5&lt;&gt;"",EDATE($D5,Milestones!$AA$199)&gt;=$T5),$W5,IF(AND($S5&lt;&gt;"",EDATE($D5,Milestones!$AA$199)&gt;=$S5),$V5,$U5)))=Milestones!$AB$199),UPPER(TEXT(EDATE($D5,Milestones!$AA$199),"dd mmm yy"))&amp;" "&amp;Milestones!$AB$199&amp;" "&amp;Milestones!$AC$199&amp;";  ",""))</f>
        <v/>
      </c>
      <c r="R5" s="0" t="str">
        <f aca="false">IF(Staff!$A5="","",Staff!$AI5)</f>
        <v/>
      </c>
      <c r="S5" s="0" t="str">
        <f aca="false">IF(Staff!$A5="","",Staff!$AK5)</f>
        <v/>
      </c>
      <c r="T5" s="0" t="str">
        <f aca="false">IF(Staff!$A5="","",Staff!$AL5)</f>
        <v/>
      </c>
      <c r="U5" s="0" t="str">
        <f aca="false">IF(Staff!$A5="","",Staff!$AP5)</f>
        <v/>
      </c>
      <c r="V5" s="0" t="str">
        <f aca="false">IF(Staff!$A5="","",Staff!$AQ5)</f>
        <v/>
      </c>
      <c r="W5" s="0" t="str">
        <f aca="false">IF(Staff!$A5="","",Staff!$AR5)</f>
        <v/>
      </c>
      <c r="X5" s="0" t="str">
        <f aca="false">IF(Staff!$A5="","",Staff!$AS5)</f>
        <v/>
      </c>
    </row>
    <row r="6" customFormat="false" ht="15" hidden="false" customHeight="false" outlineLevel="0" collapsed="false">
      <c r="A6" s="14" t="str">
        <f aca="false">IF(Staff!$A6="","",Staff!$A6)</f>
        <v/>
      </c>
      <c r="B6" s="14" t="str">
        <f aca="false">IF(Staff!$A6="","",Staff!$B6)</f>
        <v/>
      </c>
      <c r="C6" s="14" t="str">
        <f aca="false">IF(Staff!$A6="","",Staff!$C6)</f>
        <v/>
      </c>
      <c r="D6" s="12" t="str">
        <f aca="false">IF(Staff!$A6="","",Staff!$AH6)</f>
        <v/>
      </c>
      <c r="E6" s="14" t="str">
        <f aca="false">IF(Staff!$A6="","",Staff!$O6)</f>
        <v/>
      </c>
      <c r="F6" s="14" t="str">
        <f aca="false">IF(E6="","",E6*HoursPerDay)</f>
        <v/>
      </c>
      <c r="G6" s="14" t="str">
        <f aca="false">IF(Staff!$A6="","",Staff!$AE6)</f>
        <v/>
      </c>
      <c r="H6" s="26" t="str">
        <f aca="false">IF($A6="","",I6&amp;J6&amp;K6&amp;L6&amp;M6&amp;N6&amp;O6&amp;P6&amp;Q6)</f>
        <v/>
      </c>
      <c r="I6" s="0" t="str">
        <f aca="false">IF(OR($A6="",$D6=""),"",IF(AND(EDATE($D6,Milestones!$AA$20)&lt;=AsOfDate,IF($R6=0,$X6,IF(AND($T6&lt;&gt;"",EDATE($D6,Milestones!$AA$20)&gt;=$T6),$W6,IF(AND($S6&lt;&gt;"",EDATE($D6,Milestones!$AA$20)&gt;=$S6),$V6,$U6)))=Milestones!$AB$20),UPPER(TEXT(EDATE($D6,Milestones!$AA$20),"dd mmm yy"))&amp;" "&amp;Milestones!$AB$20&amp;" "&amp;Milestones!$AC$20&amp;";  ","")&amp;IF(AND(EDATE($D6,Milestones!$AA$21)&lt;=AsOfDate,IF($R6=0,$X6,IF(AND($T6&lt;&gt;"",EDATE($D6,Milestones!$AA$21)&gt;=$T6),$W6,IF(AND($S6&lt;&gt;"",EDATE($D6,Milestones!$AA$21)&gt;=$S6),$V6,$U6)))=Milestones!$AB$21),UPPER(TEXT(EDATE($D6,Milestones!$AA$21),"dd mmm yy"))&amp;" "&amp;Milestones!$AB$21&amp;" "&amp;Milestones!$AC$21&amp;";  ","")&amp;IF(AND(EDATE($D6,Milestones!$AA$22)&lt;=AsOfDate,IF($R6=0,$X6,IF(AND($T6&lt;&gt;"",EDATE($D6,Milestones!$AA$22)&gt;=$T6),$W6,IF(AND($S6&lt;&gt;"",EDATE($D6,Milestones!$AA$22)&gt;=$S6),$V6,$U6)))=Milestones!$AB$22),UPPER(TEXT(EDATE($D6,Milestones!$AA$22),"dd mmm yy"))&amp;" "&amp;Milestones!$AB$22&amp;" "&amp;Milestones!$AC$22&amp;";  ","")&amp;IF(AND(EDATE($D6,Milestones!$AA$23)&lt;=AsOfDate,IF($R6=0,$X6,IF(AND($T6&lt;&gt;"",EDATE($D6,Milestones!$AA$23)&gt;=$T6),$W6,IF(AND($S6&lt;&gt;"",EDATE($D6,Milestones!$AA$23)&gt;=$S6),$V6,$U6)))=Milestones!$AB$23),UPPER(TEXT(EDATE($D6,Milestones!$AA$23),"dd mmm yy"))&amp;" "&amp;Milestones!$AB$23&amp;" "&amp;Milestones!$AC$23&amp;";  ","")&amp;IF(AND(EDATE($D6,Milestones!$AA$24)&lt;=AsOfDate,IF($R6=0,$X6,IF(AND($T6&lt;&gt;"",EDATE($D6,Milestones!$AA$24)&gt;=$T6),$W6,IF(AND($S6&lt;&gt;"",EDATE($D6,Milestones!$AA$24)&gt;=$S6),$V6,$U6)))=Milestones!$AB$24),UPPER(TEXT(EDATE($D6,Milestones!$AA$24),"dd mmm yy"))&amp;" "&amp;Milestones!$AB$24&amp;" "&amp;Milestones!$AC$24&amp;";  ","")&amp;IF(AND(EDATE($D6,Milestones!$AA$25)&lt;=AsOfDate,IF($R6=0,$X6,IF(AND($T6&lt;&gt;"",EDATE($D6,Milestones!$AA$25)&gt;=$T6),$W6,IF(AND($S6&lt;&gt;"",EDATE($D6,Milestones!$AA$25)&gt;=$S6),$V6,$U6)))=Milestones!$AB$25),UPPER(TEXT(EDATE($D6,Milestones!$AA$25),"dd mmm yy"))&amp;" "&amp;Milestones!$AB$25&amp;" "&amp;Milestones!$AC$25&amp;";  ","")&amp;IF(AND(EDATE($D6,Milestones!$AA$26)&lt;=AsOfDate,IF($R6=0,$X6,IF(AND($T6&lt;&gt;"",EDATE($D6,Milestones!$AA$26)&gt;=$T6),$W6,IF(AND($S6&lt;&gt;"",EDATE($D6,Milestones!$AA$26)&gt;=$S6),$V6,$U6)))=Milestones!$AB$26),UPPER(TEXT(EDATE($D6,Milestones!$AA$26),"dd mmm yy"))&amp;" "&amp;Milestones!$AB$26&amp;" "&amp;Milestones!$AC$26&amp;";  ","")&amp;IF(AND(EDATE($D6,Milestones!$AA$27)&lt;=AsOfDate,IF($R6=0,$X6,IF(AND($T6&lt;&gt;"",EDATE($D6,Milestones!$AA$27)&gt;=$T6),$W6,IF(AND($S6&lt;&gt;"",EDATE($D6,Milestones!$AA$27)&gt;=$S6),$V6,$U6)))=Milestones!$AB$27),UPPER(TEXT(EDATE($D6,Milestones!$AA$27),"dd mmm yy"))&amp;" "&amp;Milestones!$AB$27&amp;" "&amp;Milestones!$AC$27&amp;";  ","")&amp;IF(AND(EDATE($D6,Milestones!$AA$28)&lt;=AsOfDate,IF($R6=0,$X6,IF(AND($T6&lt;&gt;"",EDATE($D6,Milestones!$AA$28)&gt;=$T6),$W6,IF(AND($S6&lt;&gt;"",EDATE($D6,Milestones!$AA$28)&gt;=$S6),$V6,$U6)))=Milestones!$AB$28),UPPER(TEXT(EDATE($D6,Milestones!$AA$28),"dd mmm yy"))&amp;" "&amp;Milestones!$AB$28&amp;" "&amp;Milestones!$AC$28&amp;";  ","")&amp;IF(AND(EDATE($D6,Milestones!$AA$29)&lt;=AsOfDate,IF($R6=0,$X6,IF(AND($T6&lt;&gt;"",EDATE($D6,Milestones!$AA$29)&gt;=$T6),$W6,IF(AND($S6&lt;&gt;"",EDATE($D6,Milestones!$AA$29)&gt;=$S6),$V6,$U6)))=Milestones!$AB$29),UPPER(TEXT(EDATE($D6,Milestones!$AA$29),"dd mmm yy"))&amp;" "&amp;Milestones!$AB$29&amp;" "&amp;Milestones!$AC$29&amp;";  ","")&amp;IF(AND(EDATE($D6,Milestones!$AA$30)&lt;=AsOfDate,IF($R6=0,$X6,IF(AND($T6&lt;&gt;"",EDATE($D6,Milestones!$AA$30)&gt;=$T6),$W6,IF(AND($S6&lt;&gt;"",EDATE($D6,Milestones!$AA$30)&gt;=$S6),$V6,$U6)))=Milestones!$AB$30),UPPER(TEXT(EDATE($D6,Milestones!$AA$30),"dd mmm yy"))&amp;" "&amp;Milestones!$AB$30&amp;" "&amp;Milestones!$AC$30&amp;";  ","")&amp;IF(AND(EDATE($D6,Milestones!$AA$31)&lt;=AsOfDate,IF($R6=0,$X6,IF(AND($T6&lt;&gt;"",EDATE($D6,Milestones!$AA$31)&gt;=$T6),$W6,IF(AND($S6&lt;&gt;"",EDATE($D6,Milestones!$AA$31)&gt;=$S6),$V6,$U6)))=Milestones!$AB$31),UPPER(TEXT(EDATE($D6,Milestones!$AA$31),"dd mmm yy"))&amp;" "&amp;Milestones!$AB$31&amp;" "&amp;Milestones!$AC$31&amp;";  ","")&amp;IF(AND(EDATE($D6,Milestones!$AA$32)&lt;=AsOfDate,IF($R6=0,$X6,IF(AND($T6&lt;&gt;"",EDATE($D6,Milestones!$AA$32)&gt;=$T6),$W6,IF(AND($S6&lt;&gt;"",EDATE($D6,Milestones!$AA$32)&gt;=$S6),$V6,$U6)))=Milestones!$AB$32),UPPER(TEXT(EDATE($D6,Milestones!$AA$32),"dd mmm yy"))&amp;" "&amp;Milestones!$AB$32&amp;" "&amp;Milestones!$AC$32&amp;";  ","")&amp;IF(AND(EDATE($D6,Milestones!$AA$33)&lt;=AsOfDate,IF($R6=0,$X6,IF(AND($T6&lt;&gt;"",EDATE($D6,Milestones!$AA$33)&gt;=$T6),$W6,IF(AND($S6&lt;&gt;"",EDATE($D6,Milestones!$AA$33)&gt;=$S6),$V6,$U6)))=Milestones!$AB$33),UPPER(TEXT(EDATE($D6,Milestones!$AA$33),"dd mmm yy"))&amp;" "&amp;Milestones!$AB$33&amp;" "&amp;Milestones!$AC$33&amp;";  ","")&amp;IF(AND(EDATE($D6,Milestones!$AA$34)&lt;=AsOfDate,IF($R6=0,$X6,IF(AND($T6&lt;&gt;"",EDATE($D6,Milestones!$AA$34)&gt;=$T6),$W6,IF(AND($S6&lt;&gt;"",EDATE($D6,Milestones!$AA$34)&gt;=$S6),$V6,$U6)))=Milestones!$AB$34),UPPER(TEXT(EDATE($D6,Milestones!$AA$34),"dd mmm yy"))&amp;" "&amp;Milestones!$AB$34&amp;" "&amp;Milestones!$AC$34&amp;";  ","")&amp;IF(AND(EDATE($D6,Milestones!$AA$35)&lt;=AsOfDate,IF($R6=0,$X6,IF(AND($T6&lt;&gt;"",EDATE($D6,Milestones!$AA$35)&gt;=$T6),$W6,IF(AND($S6&lt;&gt;"",EDATE($D6,Milestones!$AA$35)&gt;=$S6),$V6,$U6)))=Milestones!$AB$35),UPPER(TEXT(EDATE($D6,Milestones!$AA$35),"dd mmm yy"))&amp;" "&amp;Milestones!$AB$35&amp;" "&amp;Milestones!$AC$35&amp;";  ","")&amp;IF(AND(EDATE($D6,Milestones!$AA$36)&lt;=AsOfDate,IF($R6=0,$X6,IF(AND($T6&lt;&gt;"",EDATE($D6,Milestones!$AA$36)&gt;=$T6),$W6,IF(AND($S6&lt;&gt;"",EDATE($D6,Milestones!$AA$36)&gt;=$S6),$V6,$U6)))=Milestones!$AB$36),UPPER(TEXT(EDATE($D6,Milestones!$AA$36),"dd mmm yy"))&amp;" "&amp;Milestones!$AB$36&amp;" "&amp;Milestones!$AC$36&amp;";  ","")&amp;IF(AND(EDATE($D6,Milestones!$AA$37)&lt;=AsOfDate,IF($R6=0,$X6,IF(AND($T6&lt;&gt;"",EDATE($D6,Milestones!$AA$37)&gt;=$T6),$W6,IF(AND($S6&lt;&gt;"",EDATE($D6,Milestones!$AA$37)&gt;=$S6),$V6,$U6)))=Milestones!$AB$37),UPPER(TEXT(EDATE($D6,Milestones!$AA$37),"dd mmm yy"))&amp;" "&amp;Milestones!$AB$37&amp;" "&amp;Milestones!$AC$37&amp;";  ","")&amp;IF(AND(EDATE($D6,Milestones!$AA$38)&lt;=AsOfDate,IF($R6=0,$X6,IF(AND($T6&lt;&gt;"",EDATE($D6,Milestones!$AA$38)&gt;=$T6),$W6,IF(AND($S6&lt;&gt;"",EDATE($D6,Milestones!$AA$38)&gt;=$S6),$V6,$U6)))=Milestones!$AB$38),UPPER(TEXT(EDATE($D6,Milestones!$AA$38),"dd mmm yy"))&amp;" "&amp;Milestones!$AB$38&amp;" "&amp;Milestones!$AC$38&amp;";  ","")&amp;IF(AND(EDATE($D6,Milestones!$AA$39)&lt;=AsOfDate,IF($R6=0,$X6,IF(AND($T6&lt;&gt;"",EDATE($D6,Milestones!$AA$39)&gt;=$T6),$W6,IF(AND($S6&lt;&gt;"",EDATE($D6,Milestones!$AA$39)&gt;=$S6),$V6,$U6)))=Milestones!$AB$39),UPPER(TEXT(EDATE($D6,Milestones!$AA$39),"dd mmm yy"))&amp;" "&amp;Milestones!$AB$39&amp;" "&amp;Milestones!$AC$39&amp;";  ",""))</f>
        <v/>
      </c>
      <c r="J6" s="0" t="str">
        <f aca="false">IF(OR($A6="",$D6=""),"",IF(AND(EDATE($D6,Milestones!$AA$40)&lt;=AsOfDate,IF($R6=0,$X6,IF(AND($T6&lt;&gt;"",EDATE($D6,Milestones!$AA$40)&gt;=$T6),$W6,IF(AND($S6&lt;&gt;"",EDATE($D6,Milestones!$AA$40)&gt;=$S6),$V6,$U6)))=Milestones!$AB$40),UPPER(TEXT(EDATE($D6,Milestones!$AA$40),"dd mmm yy"))&amp;" "&amp;Milestones!$AB$40&amp;" "&amp;Milestones!$AC$40&amp;";  ","")&amp;IF(AND(EDATE($D6,Milestones!$AA$41)&lt;=AsOfDate,IF($R6=0,$X6,IF(AND($T6&lt;&gt;"",EDATE($D6,Milestones!$AA$41)&gt;=$T6),$W6,IF(AND($S6&lt;&gt;"",EDATE($D6,Milestones!$AA$41)&gt;=$S6),$V6,$U6)))=Milestones!$AB$41),UPPER(TEXT(EDATE($D6,Milestones!$AA$41),"dd mmm yy"))&amp;" "&amp;Milestones!$AB$41&amp;" "&amp;Milestones!$AC$41&amp;";  ","")&amp;IF(AND(EDATE($D6,Milestones!$AA$42)&lt;=AsOfDate,IF($R6=0,$X6,IF(AND($T6&lt;&gt;"",EDATE($D6,Milestones!$AA$42)&gt;=$T6),$W6,IF(AND($S6&lt;&gt;"",EDATE($D6,Milestones!$AA$42)&gt;=$S6),$V6,$U6)))=Milestones!$AB$42),UPPER(TEXT(EDATE($D6,Milestones!$AA$42),"dd mmm yy"))&amp;" "&amp;Milestones!$AB$42&amp;" "&amp;Milestones!$AC$42&amp;";  ","")&amp;IF(AND(EDATE($D6,Milestones!$AA$43)&lt;=AsOfDate,IF($R6=0,$X6,IF(AND($T6&lt;&gt;"",EDATE($D6,Milestones!$AA$43)&gt;=$T6),$W6,IF(AND($S6&lt;&gt;"",EDATE($D6,Milestones!$AA$43)&gt;=$S6),$V6,$U6)))=Milestones!$AB$43),UPPER(TEXT(EDATE($D6,Milestones!$AA$43),"dd mmm yy"))&amp;" "&amp;Milestones!$AB$43&amp;" "&amp;Milestones!$AC$43&amp;";  ","")&amp;IF(AND(EDATE($D6,Milestones!$AA$44)&lt;=AsOfDate,IF($R6=0,$X6,IF(AND($T6&lt;&gt;"",EDATE($D6,Milestones!$AA$44)&gt;=$T6),$W6,IF(AND($S6&lt;&gt;"",EDATE($D6,Milestones!$AA$44)&gt;=$S6),$V6,$U6)))=Milestones!$AB$44),UPPER(TEXT(EDATE($D6,Milestones!$AA$44),"dd mmm yy"))&amp;" "&amp;Milestones!$AB$44&amp;" "&amp;Milestones!$AC$44&amp;";  ","")&amp;IF(AND(EDATE($D6,Milestones!$AA$45)&lt;=AsOfDate,IF($R6=0,$X6,IF(AND($T6&lt;&gt;"",EDATE($D6,Milestones!$AA$45)&gt;=$T6),$W6,IF(AND($S6&lt;&gt;"",EDATE($D6,Milestones!$AA$45)&gt;=$S6),$V6,$U6)))=Milestones!$AB$45),UPPER(TEXT(EDATE($D6,Milestones!$AA$45),"dd mmm yy"))&amp;" "&amp;Milestones!$AB$45&amp;" "&amp;Milestones!$AC$45&amp;";  ","")&amp;IF(AND(EDATE($D6,Milestones!$AA$46)&lt;=AsOfDate,IF($R6=0,$X6,IF(AND($T6&lt;&gt;"",EDATE($D6,Milestones!$AA$46)&gt;=$T6),$W6,IF(AND($S6&lt;&gt;"",EDATE($D6,Milestones!$AA$46)&gt;=$S6),$V6,$U6)))=Milestones!$AB$46),UPPER(TEXT(EDATE($D6,Milestones!$AA$46),"dd mmm yy"))&amp;" "&amp;Milestones!$AB$46&amp;" "&amp;Milestones!$AC$46&amp;";  ","")&amp;IF(AND(EDATE($D6,Milestones!$AA$47)&lt;=AsOfDate,IF($R6=0,$X6,IF(AND($T6&lt;&gt;"",EDATE($D6,Milestones!$AA$47)&gt;=$T6),$W6,IF(AND($S6&lt;&gt;"",EDATE($D6,Milestones!$AA$47)&gt;=$S6),$V6,$U6)))=Milestones!$AB$47),UPPER(TEXT(EDATE($D6,Milestones!$AA$47),"dd mmm yy"))&amp;" "&amp;Milestones!$AB$47&amp;" "&amp;Milestones!$AC$47&amp;";  ","")&amp;IF(AND(EDATE($D6,Milestones!$AA$48)&lt;=AsOfDate,IF($R6=0,$X6,IF(AND($T6&lt;&gt;"",EDATE($D6,Milestones!$AA$48)&gt;=$T6),$W6,IF(AND($S6&lt;&gt;"",EDATE($D6,Milestones!$AA$48)&gt;=$S6),$V6,$U6)))=Milestones!$AB$48),UPPER(TEXT(EDATE($D6,Milestones!$AA$48),"dd mmm yy"))&amp;" "&amp;Milestones!$AB$48&amp;" "&amp;Milestones!$AC$48&amp;";  ","")&amp;IF(AND(EDATE($D6,Milestones!$AA$49)&lt;=AsOfDate,IF($R6=0,$X6,IF(AND($T6&lt;&gt;"",EDATE($D6,Milestones!$AA$49)&gt;=$T6),$W6,IF(AND($S6&lt;&gt;"",EDATE($D6,Milestones!$AA$49)&gt;=$S6),$V6,$U6)))=Milestones!$AB$49),UPPER(TEXT(EDATE($D6,Milestones!$AA$49),"dd mmm yy"))&amp;" "&amp;Milestones!$AB$49&amp;" "&amp;Milestones!$AC$49&amp;";  ","")&amp;IF(AND(EDATE($D6,Milestones!$AA$50)&lt;=AsOfDate,IF($R6=0,$X6,IF(AND($T6&lt;&gt;"",EDATE($D6,Milestones!$AA$50)&gt;=$T6),$W6,IF(AND($S6&lt;&gt;"",EDATE($D6,Milestones!$AA$50)&gt;=$S6),$V6,$U6)))=Milestones!$AB$50),UPPER(TEXT(EDATE($D6,Milestones!$AA$50),"dd mmm yy"))&amp;" "&amp;Milestones!$AB$50&amp;" "&amp;Milestones!$AC$50&amp;";  ","")&amp;IF(AND(EDATE($D6,Milestones!$AA$51)&lt;=AsOfDate,IF($R6=0,$X6,IF(AND($T6&lt;&gt;"",EDATE($D6,Milestones!$AA$51)&gt;=$T6),$W6,IF(AND($S6&lt;&gt;"",EDATE($D6,Milestones!$AA$51)&gt;=$S6),$V6,$U6)))=Milestones!$AB$51),UPPER(TEXT(EDATE($D6,Milestones!$AA$51),"dd mmm yy"))&amp;" "&amp;Milestones!$AB$51&amp;" "&amp;Milestones!$AC$51&amp;";  ","")&amp;IF(AND(EDATE($D6,Milestones!$AA$52)&lt;=AsOfDate,IF($R6=0,$X6,IF(AND($T6&lt;&gt;"",EDATE($D6,Milestones!$AA$52)&gt;=$T6),$W6,IF(AND($S6&lt;&gt;"",EDATE($D6,Milestones!$AA$52)&gt;=$S6),$V6,$U6)))=Milestones!$AB$52),UPPER(TEXT(EDATE($D6,Milestones!$AA$52),"dd mmm yy"))&amp;" "&amp;Milestones!$AB$52&amp;" "&amp;Milestones!$AC$52&amp;";  ","")&amp;IF(AND(EDATE($D6,Milestones!$AA$53)&lt;=AsOfDate,IF($R6=0,$X6,IF(AND($T6&lt;&gt;"",EDATE($D6,Milestones!$AA$53)&gt;=$T6),$W6,IF(AND($S6&lt;&gt;"",EDATE($D6,Milestones!$AA$53)&gt;=$S6),$V6,$U6)))=Milestones!$AB$53),UPPER(TEXT(EDATE($D6,Milestones!$AA$53),"dd mmm yy"))&amp;" "&amp;Milestones!$AB$53&amp;" "&amp;Milestones!$AC$53&amp;";  ","")&amp;IF(AND(EDATE($D6,Milestones!$AA$54)&lt;=AsOfDate,IF($R6=0,$X6,IF(AND($T6&lt;&gt;"",EDATE($D6,Milestones!$AA$54)&gt;=$T6),$W6,IF(AND($S6&lt;&gt;"",EDATE($D6,Milestones!$AA$54)&gt;=$S6),$V6,$U6)))=Milestones!$AB$54),UPPER(TEXT(EDATE($D6,Milestones!$AA$54),"dd mmm yy"))&amp;" "&amp;Milestones!$AB$54&amp;" "&amp;Milestones!$AC$54&amp;";  ","")&amp;IF(AND(EDATE($D6,Milestones!$AA$55)&lt;=AsOfDate,IF($R6=0,$X6,IF(AND($T6&lt;&gt;"",EDATE($D6,Milestones!$AA$55)&gt;=$T6),$W6,IF(AND($S6&lt;&gt;"",EDATE($D6,Milestones!$AA$55)&gt;=$S6),$V6,$U6)))=Milestones!$AB$55),UPPER(TEXT(EDATE($D6,Milestones!$AA$55),"dd mmm yy"))&amp;" "&amp;Milestones!$AB$55&amp;" "&amp;Milestones!$AC$55&amp;";  ","")&amp;IF(AND(EDATE($D6,Milestones!$AA$56)&lt;=AsOfDate,IF($R6=0,$X6,IF(AND($T6&lt;&gt;"",EDATE($D6,Milestones!$AA$56)&gt;=$T6),$W6,IF(AND($S6&lt;&gt;"",EDATE($D6,Milestones!$AA$56)&gt;=$S6),$V6,$U6)))=Milestones!$AB$56),UPPER(TEXT(EDATE($D6,Milestones!$AA$56),"dd mmm yy"))&amp;" "&amp;Milestones!$AB$56&amp;" "&amp;Milestones!$AC$56&amp;";  ","")&amp;IF(AND(EDATE($D6,Milestones!$AA$57)&lt;=AsOfDate,IF($R6=0,$X6,IF(AND($T6&lt;&gt;"",EDATE($D6,Milestones!$AA$57)&gt;=$T6),$W6,IF(AND($S6&lt;&gt;"",EDATE($D6,Milestones!$AA$57)&gt;=$S6),$V6,$U6)))=Milestones!$AB$57),UPPER(TEXT(EDATE($D6,Milestones!$AA$57),"dd mmm yy"))&amp;" "&amp;Milestones!$AB$57&amp;" "&amp;Milestones!$AC$57&amp;";  ","")&amp;IF(AND(EDATE($D6,Milestones!$AA$58)&lt;=AsOfDate,IF($R6=0,$X6,IF(AND($T6&lt;&gt;"",EDATE($D6,Milestones!$AA$58)&gt;=$T6),$W6,IF(AND($S6&lt;&gt;"",EDATE($D6,Milestones!$AA$58)&gt;=$S6),$V6,$U6)))=Milestones!$AB$58),UPPER(TEXT(EDATE($D6,Milestones!$AA$58),"dd mmm yy"))&amp;" "&amp;Milestones!$AB$58&amp;" "&amp;Milestones!$AC$58&amp;";  ","")&amp;IF(AND(EDATE($D6,Milestones!$AA$59)&lt;=AsOfDate,IF($R6=0,$X6,IF(AND($T6&lt;&gt;"",EDATE($D6,Milestones!$AA$59)&gt;=$T6),$W6,IF(AND($S6&lt;&gt;"",EDATE($D6,Milestones!$AA$59)&gt;=$S6),$V6,$U6)))=Milestones!$AB$59),UPPER(TEXT(EDATE($D6,Milestones!$AA$59),"dd mmm yy"))&amp;" "&amp;Milestones!$AB$59&amp;" "&amp;Milestones!$AC$59&amp;";  ",""))</f>
        <v/>
      </c>
      <c r="K6" s="0" t="str">
        <f aca="false">IF(OR($A6="",$D6=""),"",IF(AND(EDATE($D6,Milestones!$AA$60)&lt;=AsOfDate,IF($R6=0,$X6,IF(AND($T6&lt;&gt;"",EDATE($D6,Milestones!$AA$60)&gt;=$T6),$W6,IF(AND($S6&lt;&gt;"",EDATE($D6,Milestones!$AA$60)&gt;=$S6),$V6,$U6)))=Milestones!$AB$60),UPPER(TEXT(EDATE($D6,Milestones!$AA$60),"dd mmm yy"))&amp;" "&amp;Milestones!$AB$60&amp;" "&amp;Milestones!$AC$60&amp;";  ","")&amp;IF(AND(EDATE($D6,Milestones!$AA$61)&lt;=AsOfDate,IF($R6=0,$X6,IF(AND($T6&lt;&gt;"",EDATE($D6,Milestones!$AA$61)&gt;=$T6),$W6,IF(AND($S6&lt;&gt;"",EDATE($D6,Milestones!$AA$61)&gt;=$S6),$V6,$U6)))=Milestones!$AB$61),UPPER(TEXT(EDATE($D6,Milestones!$AA$61),"dd mmm yy"))&amp;" "&amp;Milestones!$AB$61&amp;" "&amp;Milestones!$AC$61&amp;";  ","")&amp;IF(AND(EDATE($D6,Milestones!$AA$62)&lt;=AsOfDate,IF($R6=0,$X6,IF(AND($T6&lt;&gt;"",EDATE($D6,Milestones!$AA$62)&gt;=$T6),$W6,IF(AND($S6&lt;&gt;"",EDATE($D6,Milestones!$AA$62)&gt;=$S6),$V6,$U6)))=Milestones!$AB$62),UPPER(TEXT(EDATE($D6,Milestones!$AA$62),"dd mmm yy"))&amp;" "&amp;Milestones!$AB$62&amp;" "&amp;Milestones!$AC$62&amp;";  ","")&amp;IF(AND(EDATE($D6,Milestones!$AA$63)&lt;=AsOfDate,IF($R6=0,$X6,IF(AND($T6&lt;&gt;"",EDATE($D6,Milestones!$AA$63)&gt;=$T6),$W6,IF(AND($S6&lt;&gt;"",EDATE($D6,Milestones!$AA$63)&gt;=$S6),$V6,$U6)))=Milestones!$AB$63),UPPER(TEXT(EDATE($D6,Milestones!$AA$63),"dd mmm yy"))&amp;" "&amp;Milestones!$AB$63&amp;" "&amp;Milestones!$AC$63&amp;";  ","")&amp;IF(AND(EDATE($D6,Milestones!$AA$64)&lt;=AsOfDate,IF($R6=0,$X6,IF(AND($T6&lt;&gt;"",EDATE($D6,Milestones!$AA$64)&gt;=$T6),$W6,IF(AND($S6&lt;&gt;"",EDATE($D6,Milestones!$AA$64)&gt;=$S6),$V6,$U6)))=Milestones!$AB$64),UPPER(TEXT(EDATE($D6,Milestones!$AA$64),"dd mmm yy"))&amp;" "&amp;Milestones!$AB$64&amp;" "&amp;Milestones!$AC$64&amp;";  ","")&amp;IF(AND(EDATE($D6,Milestones!$AA$65)&lt;=AsOfDate,IF($R6=0,$X6,IF(AND($T6&lt;&gt;"",EDATE($D6,Milestones!$AA$65)&gt;=$T6),$W6,IF(AND($S6&lt;&gt;"",EDATE($D6,Milestones!$AA$65)&gt;=$S6),$V6,$U6)))=Milestones!$AB$65),UPPER(TEXT(EDATE($D6,Milestones!$AA$65),"dd mmm yy"))&amp;" "&amp;Milestones!$AB$65&amp;" "&amp;Milestones!$AC$65&amp;";  ","")&amp;IF(AND(EDATE($D6,Milestones!$AA$66)&lt;=AsOfDate,IF($R6=0,$X6,IF(AND($T6&lt;&gt;"",EDATE($D6,Milestones!$AA$66)&gt;=$T6),$W6,IF(AND($S6&lt;&gt;"",EDATE($D6,Milestones!$AA$66)&gt;=$S6),$V6,$U6)))=Milestones!$AB$66),UPPER(TEXT(EDATE($D6,Milestones!$AA$66),"dd mmm yy"))&amp;" "&amp;Milestones!$AB$66&amp;" "&amp;Milestones!$AC$66&amp;";  ","")&amp;IF(AND(EDATE($D6,Milestones!$AA$67)&lt;=AsOfDate,IF($R6=0,$X6,IF(AND($T6&lt;&gt;"",EDATE($D6,Milestones!$AA$67)&gt;=$T6),$W6,IF(AND($S6&lt;&gt;"",EDATE($D6,Milestones!$AA$67)&gt;=$S6),$V6,$U6)))=Milestones!$AB$67),UPPER(TEXT(EDATE($D6,Milestones!$AA$67),"dd mmm yy"))&amp;" "&amp;Milestones!$AB$67&amp;" "&amp;Milestones!$AC$67&amp;";  ","")&amp;IF(AND(EDATE($D6,Milestones!$AA$68)&lt;=AsOfDate,IF($R6=0,$X6,IF(AND($T6&lt;&gt;"",EDATE($D6,Milestones!$AA$68)&gt;=$T6),$W6,IF(AND($S6&lt;&gt;"",EDATE($D6,Milestones!$AA$68)&gt;=$S6),$V6,$U6)))=Milestones!$AB$68),UPPER(TEXT(EDATE($D6,Milestones!$AA$68),"dd mmm yy"))&amp;" "&amp;Milestones!$AB$68&amp;" "&amp;Milestones!$AC$68&amp;";  ","")&amp;IF(AND(EDATE($D6,Milestones!$AA$69)&lt;=AsOfDate,IF($R6=0,$X6,IF(AND($T6&lt;&gt;"",EDATE($D6,Milestones!$AA$69)&gt;=$T6),$W6,IF(AND($S6&lt;&gt;"",EDATE($D6,Milestones!$AA$69)&gt;=$S6),$V6,$U6)))=Milestones!$AB$69),UPPER(TEXT(EDATE($D6,Milestones!$AA$69),"dd mmm yy"))&amp;" "&amp;Milestones!$AB$69&amp;" "&amp;Milestones!$AC$69&amp;";  ","")&amp;IF(AND(EDATE($D6,Milestones!$AA$70)&lt;=AsOfDate,IF($R6=0,$X6,IF(AND($T6&lt;&gt;"",EDATE($D6,Milestones!$AA$70)&gt;=$T6),$W6,IF(AND($S6&lt;&gt;"",EDATE($D6,Milestones!$AA$70)&gt;=$S6),$V6,$U6)))=Milestones!$AB$70),UPPER(TEXT(EDATE($D6,Milestones!$AA$70),"dd mmm yy"))&amp;" "&amp;Milestones!$AB$70&amp;" "&amp;Milestones!$AC$70&amp;";  ","")&amp;IF(AND(EDATE($D6,Milestones!$AA$71)&lt;=AsOfDate,IF($R6=0,$X6,IF(AND($T6&lt;&gt;"",EDATE($D6,Milestones!$AA$71)&gt;=$T6),$W6,IF(AND($S6&lt;&gt;"",EDATE($D6,Milestones!$AA$71)&gt;=$S6),$V6,$U6)))=Milestones!$AB$71),UPPER(TEXT(EDATE($D6,Milestones!$AA$71),"dd mmm yy"))&amp;" "&amp;Milestones!$AB$71&amp;" "&amp;Milestones!$AC$71&amp;";  ","")&amp;IF(AND(EDATE($D6,Milestones!$AA$72)&lt;=AsOfDate,IF($R6=0,$X6,IF(AND($T6&lt;&gt;"",EDATE($D6,Milestones!$AA$72)&gt;=$T6),$W6,IF(AND($S6&lt;&gt;"",EDATE($D6,Milestones!$AA$72)&gt;=$S6),$V6,$U6)))=Milestones!$AB$72),UPPER(TEXT(EDATE($D6,Milestones!$AA$72),"dd mmm yy"))&amp;" "&amp;Milestones!$AB$72&amp;" "&amp;Milestones!$AC$72&amp;";  ","")&amp;IF(AND(EDATE($D6,Milestones!$AA$73)&lt;=AsOfDate,IF($R6=0,$X6,IF(AND($T6&lt;&gt;"",EDATE($D6,Milestones!$AA$73)&gt;=$T6),$W6,IF(AND($S6&lt;&gt;"",EDATE($D6,Milestones!$AA$73)&gt;=$S6),$V6,$U6)))=Milestones!$AB$73),UPPER(TEXT(EDATE($D6,Milestones!$AA$73),"dd mmm yy"))&amp;" "&amp;Milestones!$AB$73&amp;" "&amp;Milestones!$AC$73&amp;";  ","")&amp;IF(AND(EDATE($D6,Milestones!$AA$74)&lt;=AsOfDate,IF($R6=0,$X6,IF(AND($T6&lt;&gt;"",EDATE($D6,Milestones!$AA$74)&gt;=$T6),$W6,IF(AND($S6&lt;&gt;"",EDATE($D6,Milestones!$AA$74)&gt;=$S6),$V6,$U6)))=Milestones!$AB$74),UPPER(TEXT(EDATE($D6,Milestones!$AA$74),"dd mmm yy"))&amp;" "&amp;Milestones!$AB$74&amp;" "&amp;Milestones!$AC$74&amp;";  ","")&amp;IF(AND(EDATE($D6,Milestones!$AA$75)&lt;=AsOfDate,IF($R6=0,$X6,IF(AND($T6&lt;&gt;"",EDATE($D6,Milestones!$AA$75)&gt;=$T6),$W6,IF(AND($S6&lt;&gt;"",EDATE($D6,Milestones!$AA$75)&gt;=$S6),$V6,$U6)))=Milestones!$AB$75),UPPER(TEXT(EDATE($D6,Milestones!$AA$75),"dd mmm yy"))&amp;" "&amp;Milestones!$AB$75&amp;" "&amp;Milestones!$AC$75&amp;";  ","")&amp;IF(AND(EDATE($D6,Milestones!$AA$76)&lt;=AsOfDate,IF($R6=0,$X6,IF(AND($T6&lt;&gt;"",EDATE($D6,Milestones!$AA$76)&gt;=$T6),$W6,IF(AND($S6&lt;&gt;"",EDATE($D6,Milestones!$AA$76)&gt;=$S6),$V6,$U6)))=Milestones!$AB$76),UPPER(TEXT(EDATE($D6,Milestones!$AA$76),"dd mmm yy"))&amp;" "&amp;Milestones!$AB$76&amp;" "&amp;Milestones!$AC$76&amp;";  ","")&amp;IF(AND(EDATE($D6,Milestones!$AA$77)&lt;=AsOfDate,IF($R6=0,$X6,IF(AND($T6&lt;&gt;"",EDATE($D6,Milestones!$AA$77)&gt;=$T6),$W6,IF(AND($S6&lt;&gt;"",EDATE($D6,Milestones!$AA$77)&gt;=$S6),$V6,$U6)))=Milestones!$AB$77),UPPER(TEXT(EDATE($D6,Milestones!$AA$77),"dd mmm yy"))&amp;" "&amp;Milestones!$AB$77&amp;" "&amp;Milestones!$AC$77&amp;";  ","")&amp;IF(AND(EDATE($D6,Milestones!$AA$78)&lt;=AsOfDate,IF($R6=0,$X6,IF(AND($T6&lt;&gt;"",EDATE($D6,Milestones!$AA$78)&gt;=$T6),$W6,IF(AND($S6&lt;&gt;"",EDATE($D6,Milestones!$AA$78)&gt;=$S6),$V6,$U6)))=Milestones!$AB$78),UPPER(TEXT(EDATE($D6,Milestones!$AA$78),"dd mmm yy"))&amp;" "&amp;Milestones!$AB$78&amp;" "&amp;Milestones!$AC$78&amp;";  ","")&amp;IF(AND(EDATE($D6,Milestones!$AA$79)&lt;=AsOfDate,IF($R6=0,$X6,IF(AND($T6&lt;&gt;"",EDATE($D6,Milestones!$AA$79)&gt;=$T6),$W6,IF(AND($S6&lt;&gt;"",EDATE($D6,Milestones!$AA$79)&gt;=$S6),$V6,$U6)))=Milestones!$AB$79),UPPER(TEXT(EDATE($D6,Milestones!$AA$79),"dd mmm yy"))&amp;" "&amp;Milestones!$AB$79&amp;" "&amp;Milestones!$AC$79&amp;";  ",""))</f>
        <v/>
      </c>
      <c r="L6" s="0" t="str">
        <f aca="false">IF(OR($A6="",$D6=""),"",IF(AND(EDATE($D6,Milestones!$AA$80)&lt;=AsOfDate,IF($R6=0,$X6,IF(AND($T6&lt;&gt;"",EDATE($D6,Milestones!$AA$80)&gt;=$T6),$W6,IF(AND($S6&lt;&gt;"",EDATE($D6,Milestones!$AA$80)&gt;=$S6),$V6,$U6)))=Milestones!$AB$80),UPPER(TEXT(EDATE($D6,Milestones!$AA$80),"dd mmm yy"))&amp;" "&amp;Milestones!$AB$80&amp;" "&amp;Milestones!$AC$80&amp;";  ","")&amp;IF(AND(EDATE($D6,Milestones!$AA$81)&lt;=AsOfDate,IF($R6=0,$X6,IF(AND($T6&lt;&gt;"",EDATE($D6,Milestones!$AA$81)&gt;=$T6),$W6,IF(AND($S6&lt;&gt;"",EDATE($D6,Milestones!$AA$81)&gt;=$S6),$V6,$U6)))=Milestones!$AB$81),UPPER(TEXT(EDATE($D6,Milestones!$AA$81),"dd mmm yy"))&amp;" "&amp;Milestones!$AB$81&amp;" "&amp;Milestones!$AC$81&amp;";  ","")&amp;IF(AND(EDATE($D6,Milestones!$AA$82)&lt;=AsOfDate,IF($R6=0,$X6,IF(AND($T6&lt;&gt;"",EDATE($D6,Milestones!$AA$82)&gt;=$T6),$W6,IF(AND($S6&lt;&gt;"",EDATE($D6,Milestones!$AA$82)&gt;=$S6),$V6,$U6)))=Milestones!$AB$82),UPPER(TEXT(EDATE($D6,Milestones!$AA$82),"dd mmm yy"))&amp;" "&amp;Milestones!$AB$82&amp;" "&amp;Milestones!$AC$82&amp;";  ","")&amp;IF(AND(EDATE($D6,Milestones!$AA$83)&lt;=AsOfDate,IF($R6=0,$X6,IF(AND($T6&lt;&gt;"",EDATE($D6,Milestones!$AA$83)&gt;=$T6),$W6,IF(AND($S6&lt;&gt;"",EDATE($D6,Milestones!$AA$83)&gt;=$S6),$V6,$U6)))=Milestones!$AB$83),UPPER(TEXT(EDATE($D6,Milestones!$AA$83),"dd mmm yy"))&amp;" "&amp;Milestones!$AB$83&amp;" "&amp;Milestones!$AC$83&amp;";  ","")&amp;IF(AND(EDATE($D6,Milestones!$AA$84)&lt;=AsOfDate,IF($R6=0,$X6,IF(AND($T6&lt;&gt;"",EDATE($D6,Milestones!$AA$84)&gt;=$T6),$W6,IF(AND($S6&lt;&gt;"",EDATE($D6,Milestones!$AA$84)&gt;=$S6),$V6,$U6)))=Milestones!$AB$84),UPPER(TEXT(EDATE($D6,Milestones!$AA$84),"dd mmm yy"))&amp;" "&amp;Milestones!$AB$84&amp;" "&amp;Milestones!$AC$84&amp;";  ","")&amp;IF(AND(EDATE($D6,Milestones!$AA$85)&lt;=AsOfDate,IF($R6=0,$X6,IF(AND($T6&lt;&gt;"",EDATE($D6,Milestones!$AA$85)&gt;=$T6),$W6,IF(AND($S6&lt;&gt;"",EDATE($D6,Milestones!$AA$85)&gt;=$S6),$V6,$U6)))=Milestones!$AB$85),UPPER(TEXT(EDATE($D6,Milestones!$AA$85),"dd mmm yy"))&amp;" "&amp;Milestones!$AB$85&amp;" "&amp;Milestones!$AC$85&amp;";  ","")&amp;IF(AND(EDATE($D6,Milestones!$AA$86)&lt;=AsOfDate,IF($R6=0,$X6,IF(AND($T6&lt;&gt;"",EDATE($D6,Milestones!$AA$86)&gt;=$T6),$W6,IF(AND($S6&lt;&gt;"",EDATE($D6,Milestones!$AA$86)&gt;=$S6),$V6,$U6)))=Milestones!$AB$86),UPPER(TEXT(EDATE($D6,Milestones!$AA$86),"dd mmm yy"))&amp;" "&amp;Milestones!$AB$86&amp;" "&amp;Milestones!$AC$86&amp;";  ","")&amp;IF(AND(EDATE($D6,Milestones!$AA$87)&lt;=AsOfDate,IF($R6=0,$X6,IF(AND($T6&lt;&gt;"",EDATE($D6,Milestones!$AA$87)&gt;=$T6),$W6,IF(AND($S6&lt;&gt;"",EDATE($D6,Milestones!$AA$87)&gt;=$S6),$V6,$U6)))=Milestones!$AB$87),UPPER(TEXT(EDATE($D6,Milestones!$AA$87),"dd mmm yy"))&amp;" "&amp;Milestones!$AB$87&amp;" "&amp;Milestones!$AC$87&amp;";  ","")&amp;IF(AND(EDATE($D6,Milestones!$AA$88)&lt;=AsOfDate,IF($R6=0,$X6,IF(AND($T6&lt;&gt;"",EDATE($D6,Milestones!$AA$88)&gt;=$T6),$W6,IF(AND($S6&lt;&gt;"",EDATE($D6,Milestones!$AA$88)&gt;=$S6),$V6,$U6)))=Milestones!$AB$88),UPPER(TEXT(EDATE($D6,Milestones!$AA$88),"dd mmm yy"))&amp;" "&amp;Milestones!$AB$88&amp;" "&amp;Milestones!$AC$88&amp;";  ","")&amp;IF(AND(EDATE($D6,Milestones!$AA$89)&lt;=AsOfDate,IF($R6=0,$X6,IF(AND($T6&lt;&gt;"",EDATE($D6,Milestones!$AA$89)&gt;=$T6),$W6,IF(AND($S6&lt;&gt;"",EDATE($D6,Milestones!$AA$89)&gt;=$S6),$V6,$U6)))=Milestones!$AB$89),UPPER(TEXT(EDATE($D6,Milestones!$AA$89),"dd mmm yy"))&amp;" "&amp;Milestones!$AB$89&amp;" "&amp;Milestones!$AC$89&amp;";  ","")&amp;IF(AND(EDATE($D6,Milestones!$AA$90)&lt;=AsOfDate,IF($R6=0,$X6,IF(AND($T6&lt;&gt;"",EDATE($D6,Milestones!$AA$90)&gt;=$T6),$W6,IF(AND($S6&lt;&gt;"",EDATE($D6,Milestones!$AA$90)&gt;=$S6),$V6,$U6)))=Milestones!$AB$90),UPPER(TEXT(EDATE($D6,Milestones!$AA$90),"dd mmm yy"))&amp;" "&amp;Milestones!$AB$90&amp;" "&amp;Milestones!$AC$90&amp;";  ","")&amp;IF(AND(EDATE($D6,Milestones!$AA$91)&lt;=AsOfDate,IF($R6=0,$X6,IF(AND($T6&lt;&gt;"",EDATE($D6,Milestones!$AA$91)&gt;=$T6),$W6,IF(AND($S6&lt;&gt;"",EDATE($D6,Milestones!$AA$91)&gt;=$S6),$V6,$U6)))=Milestones!$AB$91),UPPER(TEXT(EDATE($D6,Milestones!$AA$91),"dd mmm yy"))&amp;" "&amp;Milestones!$AB$91&amp;" "&amp;Milestones!$AC$91&amp;";  ","")&amp;IF(AND(EDATE($D6,Milestones!$AA$92)&lt;=AsOfDate,IF($R6=0,$X6,IF(AND($T6&lt;&gt;"",EDATE($D6,Milestones!$AA$92)&gt;=$T6),$W6,IF(AND($S6&lt;&gt;"",EDATE($D6,Milestones!$AA$92)&gt;=$S6),$V6,$U6)))=Milestones!$AB$92),UPPER(TEXT(EDATE($D6,Milestones!$AA$92),"dd mmm yy"))&amp;" "&amp;Milestones!$AB$92&amp;" "&amp;Milestones!$AC$92&amp;";  ","")&amp;IF(AND(EDATE($D6,Milestones!$AA$93)&lt;=AsOfDate,IF($R6=0,$X6,IF(AND($T6&lt;&gt;"",EDATE($D6,Milestones!$AA$93)&gt;=$T6),$W6,IF(AND($S6&lt;&gt;"",EDATE($D6,Milestones!$AA$93)&gt;=$S6),$V6,$U6)))=Milestones!$AB$93),UPPER(TEXT(EDATE($D6,Milestones!$AA$93),"dd mmm yy"))&amp;" "&amp;Milestones!$AB$93&amp;" "&amp;Milestones!$AC$93&amp;";  ","")&amp;IF(AND(EDATE($D6,Milestones!$AA$94)&lt;=AsOfDate,IF($R6=0,$X6,IF(AND($T6&lt;&gt;"",EDATE($D6,Milestones!$AA$94)&gt;=$T6),$W6,IF(AND($S6&lt;&gt;"",EDATE($D6,Milestones!$AA$94)&gt;=$S6),$V6,$U6)))=Milestones!$AB$94),UPPER(TEXT(EDATE($D6,Milestones!$AA$94),"dd mmm yy"))&amp;" "&amp;Milestones!$AB$94&amp;" "&amp;Milestones!$AC$94&amp;";  ","")&amp;IF(AND(EDATE($D6,Milestones!$AA$95)&lt;=AsOfDate,IF($R6=0,$X6,IF(AND($T6&lt;&gt;"",EDATE($D6,Milestones!$AA$95)&gt;=$T6),$W6,IF(AND($S6&lt;&gt;"",EDATE($D6,Milestones!$AA$95)&gt;=$S6),$V6,$U6)))=Milestones!$AB$95),UPPER(TEXT(EDATE($D6,Milestones!$AA$95),"dd mmm yy"))&amp;" "&amp;Milestones!$AB$95&amp;" "&amp;Milestones!$AC$95&amp;";  ","")&amp;IF(AND(EDATE($D6,Milestones!$AA$96)&lt;=AsOfDate,IF($R6=0,$X6,IF(AND($T6&lt;&gt;"",EDATE($D6,Milestones!$AA$96)&gt;=$T6),$W6,IF(AND($S6&lt;&gt;"",EDATE($D6,Milestones!$AA$96)&gt;=$S6),$V6,$U6)))=Milestones!$AB$96),UPPER(TEXT(EDATE($D6,Milestones!$AA$96),"dd mmm yy"))&amp;" "&amp;Milestones!$AB$96&amp;" "&amp;Milestones!$AC$96&amp;";  ","")&amp;IF(AND(EDATE($D6,Milestones!$AA$97)&lt;=AsOfDate,IF($R6=0,$X6,IF(AND($T6&lt;&gt;"",EDATE($D6,Milestones!$AA$97)&gt;=$T6),$W6,IF(AND($S6&lt;&gt;"",EDATE($D6,Milestones!$AA$97)&gt;=$S6),$V6,$U6)))=Milestones!$AB$97),UPPER(TEXT(EDATE($D6,Milestones!$AA$97),"dd mmm yy"))&amp;" "&amp;Milestones!$AB$97&amp;" "&amp;Milestones!$AC$97&amp;";  ","")&amp;IF(AND(EDATE($D6,Milestones!$AA$98)&lt;=AsOfDate,IF($R6=0,$X6,IF(AND($T6&lt;&gt;"",EDATE($D6,Milestones!$AA$98)&gt;=$T6),$W6,IF(AND($S6&lt;&gt;"",EDATE($D6,Milestones!$AA$98)&gt;=$S6),$V6,$U6)))=Milestones!$AB$98),UPPER(TEXT(EDATE($D6,Milestones!$AA$98),"dd mmm yy"))&amp;" "&amp;Milestones!$AB$98&amp;" "&amp;Milestones!$AC$98&amp;";  ","")&amp;IF(AND(EDATE($D6,Milestones!$AA$99)&lt;=AsOfDate,IF($R6=0,$X6,IF(AND($T6&lt;&gt;"",EDATE($D6,Milestones!$AA$99)&gt;=$T6),$W6,IF(AND($S6&lt;&gt;"",EDATE($D6,Milestones!$AA$99)&gt;=$S6),$V6,$U6)))=Milestones!$AB$99),UPPER(TEXT(EDATE($D6,Milestones!$AA$99),"dd mmm yy"))&amp;" "&amp;Milestones!$AB$99&amp;" "&amp;Milestones!$AC$99&amp;";  ",""))</f>
        <v/>
      </c>
      <c r="M6" s="0" t="str">
        <f aca="false">IF(OR($A6="",$D6=""),"",IF(AND(EDATE($D6,Milestones!$AA$100)&lt;=AsOfDate,IF($R6=0,$X6,IF(AND($T6&lt;&gt;"",EDATE($D6,Milestones!$AA$100)&gt;=$T6),$W6,IF(AND($S6&lt;&gt;"",EDATE($D6,Milestones!$AA$100)&gt;=$S6),$V6,$U6)))=Milestones!$AB$100),UPPER(TEXT(EDATE($D6,Milestones!$AA$100),"dd mmm yy"))&amp;" "&amp;Milestones!$AB$100&amp;" "&amp;Milestones!$AC$100&amp;";  ","")&amp;IF(AND(EDATE($D6,Milestones!$AA$101)&lt;=AsOfDate,IF($R6=0,$X6,IF(AND($T6&lt;&gt;"",EDATE($D6,Milestones!$AA$101)&gt;=$T6),$W6,IF(AND($S6&lt;&gt;"",EDATE($D6,Milestones!$AA$101)&gt;=$S6),$V6,$U6)))=Milestones!$AB$101),UPPER(TEXT(EDATE($D6,Milestones!$AA$101),"dd mmm yy"))&amp;" "&amp;Milestones!$AB$101&amp;" "&amp;Milestones!$AC$101&amp;";  ","")&amp;IF(AND(EDATE($D6,Milestones!$AA$102)&lt;=AsOfDate,IF($R6=0,$X6,IF(AND($T6&lt;&gt;"",EDATE($D6,Milestones!$AA$102)&gt;=$T6),$W6,IF(AND($S6&lt;&gt;"",EDATE($D6,Milestones!$AA$102)&gt;=$S6),$V6,$U6)))=Milestones!$AB$102),UPPER(TEXT(EDATE($D6,Milestones!$AA$102),"dd mmm yy"))&amp;" "&amp;Milestones!$AB$102&amp;" "&amp;Milestones!$AC$102&amp;";  ","")&amp;IF(AND(EDATE($D6,Milestones!$AA$103)&lt;=AsOfDate,IF($R6=0,$X6,IF(AND($T6&lt;&gt;"",EDATE($D6,Milestones!$AA$103)&gt;=$T6),$W6,IF(AND($S6&lt;&gt;"",EDATE($D6,Milestones!$AA$103)&gt;=$S6),$V6,$U6)))=Milestones!$AB$103),UPPER(TEXT(EDATE($D6,Milestones!$AA$103),"dd mmm yy"))&amp;" "&amp;Milestones!$AB$103&amp;" "&amp;Milestones!$AC$103&amp;";  ","")&amp;IF(AND(EDATE($D6,Milestones!$AA$104)&lt;=AsOfDate,IF($R6=0,$X6,IF(AND($T6&lt;&gt;"",EDATE($D6,Milestones!$AA$104)&gt;=$T6),$W6,IF(AND($S6&lt;&gt;"",EDATE($D6,Milestones!$AA$104)&gt;=$S6),$V6,$U6)))=Milestones!$AB$104),UPPER(TEXT(EDATE($D6,Milestones!$AA$104),"dd mmm yy"))&amp;" "&amp;Milestones!$AB$104&amp;" "&amp;Milestones!$AC$104&amp;";  ","")&amp;IF(AND(EDATE($D6,Milestones!$AA$105)&lt;=AsOfDate,IF($R6=0,$X6,IF(AND($T6&lt;&gt;"",EDATE($D6,Milestones!$AA$105)&gt;=$T6),$W6,IF(AND($S6&lt;&gt;"",EDATE($D6,Milestones!$AA$105)&gt;=$S6),$V6,$U6)))=Milestones!$AB$105),UPPER(TEXT(EDATE($D6,Milestones!$AA$105),"dd mmm yy"))&amp;" "&amp;Milestones!$AB$105&amp;" "&amp;Milestones!$AC$105&amp;";  ","")&amp;IF(AND(EDATE($D6,Milestones!$AA$106)&lt;=AsOfDate,IF($R6=0,$X6,IF(AND($T6&lt;&gt;"",EDATE($D6,Milestones!$AA$106)&gt;=$T6),$W6,IF(AND($S6&lt;&gt;"",EDATE($D6,Milestones!$AA$106)&gt;=$S6),$V6,$U6)))=Milestones!$AB$106),UPPER(TEXT(EDATE($D6,Milestones!$AA$106),"dd mmm yy"))&amp;" "&amp;Milestones!$AB$106&amp;" "&amp;Milestones!$AC$106&amp;";  ","")&amp;IF(AND(EDATE($D6,Milestones!$AA$107)&lt;=AsOfDate,IF($R6=0,$X6,IF(AND($T6&lt;&gt;"",EDATE($D6,Milestones!$AA$107)&gt;=$T6),$W6,IF(AND($S6&lt;&gt;"",EDATE($D6,Milestones!$AA$107)&gt;=$S6),$V6,$U6)))=Milestones!$AB$107),UPPER(TEXT(EDATE($D6,Milestones!$AA$107),"dd mmm yy"))&amp;" "&amp;Milestones!$AB$107&amp;" "&amp;Milestones!$AC$107&amp;";  ","")&amp;IF(AND(EDATE($D6,Milestones!$AA$108)&lt;=AsOfDate,IF($R6=0,$X6,IF(AND($T6&lt;&gt;"",EDATE($D6,Milestones!$AA$108)&gt;=$T6),$W6,IF(AND($S6&lt;&gt;"",EDATE($D6,Milestones!$AA$108)&gt;=$S6),$V6,$U6)))=Milestones!$AB$108),UPPER(TEXT(EDATE($D6,Milestones!$AA$108),"dd mmm yy"))&amp;" "&amp;Milestones!$AB$108&amp;" "&amp;Milestones!$AC$108&amp;";  ","")&amp;IF(AND(EDATE($D6,Milestones!$AA$109)&lt;=AsOfDate,IF($R6=0,$X6,IF(AND($T6&lt;&gt;"",EDATE($D6,Milestones!$AA$109)&gt;=$T6),$W6,IF(AND($S6&lt;&gt;"",EDATE($D6,Milestones!$AA$109)&gt;=$S6),$V6,$U6)))=Milestones!$AB$109),UPPER(TEXT(EDATE($D6,Milestones!$AA$109),"dd mmm yy"))&amp;" "&amp;Milestones!$AB$109&amp;" "&amp;Milestones!$AC$109&amp;";  ","")&amp;IF(AND(EDATE($D6,Milestones!$AA$110)&lt;=AsOfDate,IF($R6=0,$X6,IF(AND($T6&lt;&gt;"",EDATE($D6,Milestones!$AA$110)&gt;=$T6),$W6,IF(AND($S6&lt;&gt;"",EDATE($D6,Milestones!$AA$110)&gt;=$S6),$V6,$U6)))=Milestones!$AB$110),UPPER(TEXT(EDATE($D6,Milestones!$AA$110),"dd mmm yy"))&amp;" "&amp;Milestones!$AB$110&amp;" "&amp;Milestones!$AC$110&amp;";  ","")&amp;IF(AND(EDATE($D6,Milestones!$AA$111)&lt;=AsOfDate,IF($R6=0,$X6,IF(AND($T6&lt;&gt;"",EDATE($D6,Milestones!$AA$111)&gt;=$T6),$W6,IF(AND($S6&lt;&gt;"",EDATE($D6,Milestones!$AA$111)&gt;=$S6),$V6,$U6)))=Milestones!$AB$111),UPPER(TEXT(EDATE($D6,Milestones!$AA$111),"dd mmm yy"))&amp;" "&amp;Milestones!$AB$111&amp;" "&amp;Milestones!$AC$111&amp;";  ","")&amp;IF(AND(EDATE($D6,Milestones!$AA$112)&lt;=AsOfDate,IF($R6=0,$X6,IF(AND($T6&lt;&gt;"",EDATE($D6,Milestones!$AA$112)&gt;=$T6),$W6,IF(AND($S6&lt;&gt;"",EDATE($D6,Milestones!$AA$112)&gt;=$S6),$V6,$U6)))=Milestones!$AB$112),UPPER(TEXT(EDATE($D6,Milestones!$AA$112),"dd mmm yy"))&amp;" "&amp;Milestones!$AB$112&amp;" "&amp;Milestones!$AC$112&amp;";  ","")&amp;IF(AND(EDATE($D6,Milestones!$AA$113)&lt;=AsOfDate,IF($R6=0,$X6,IF(AND($T6&lt;&gt;"",EDATE($D6,Milestones!$AA$113)&gt;=$T6),$W6,IF(AND($S6&lt;&gt;"",EDATE($D6,Milestones!$AA$113)&gt;=$S6),$V6,$U6)))=Milestones!$AB$113),UPPER(TEXT(EDATE($D6,Milestones!$AA$113),"dd mmm yy"))&amp;" "&amp;Milestones!$AB$113&amp;" "&amp;Milestones!$AC$113&amp;";  ","")&amp;IF(AND(EDATE($D6,Milestones!$AA$114)&lt;=AsOfDate,IF($R6=0,$X6,IF(AND($T6&lt;&gt;"",EDATE($D6,Milestones!$AA$114)&gt;=$T6),$W6,IF(AND($S6&lt;&gt;"",EDATE($D6,Milestones!$AA$114)&gt;=$S6),$V6,$U6)))=Milestones!$AB$114),UPPER(TEXT(EDATE($D6,Milestones!$AA$114),"dd mmm yy"))&amp;" "&amp;Milestones!$AB$114&amp;" "&amp;Milestones!$AC$114&amp;";  ","")&amp;IF(AND(EDATE($D6,Milestones!$AA$115)&lt;=AsOfDate,IF($R6=0,$X6,IF(AND($T6&lt;&gt;"",EDATE($D6,Milestones!$AA$115)&gt;=$T6),$W6,IF(AND($S6&lt;&gt;"",EDATE($D6,Milestones!$AA$115)&gt;=$S6),$V6,$U6)))=Milestones!$AB$115),UPPER(TEXT(EDATE($D6,Milestones!$AA$115),"dd mmm yy"))&amp;" "&amp;Milestones!$AB$115&amp;" "&amp;Milestones!$AC$115&amp;";  ","")&amp;IF(AND(EDATE($D6,Milestones!$AA$116)&lt;=AsOfDate,IF($R6=0,$X6,IF(AND($T6&lt;&gt;"",EDATE($D6,Milestones!$AA$116)&gt;=$T6),$W6,IF(AND($S6&lt;&gt;"",EDATE($D6,Milestones!$AA$116)&gt;=$S6),$V6,$U6)))=Milestones!$AB$116),UPPER(TEXT(EDATE($D6,Milestones!$AA$116),"dd mmm yy"))&amp;" "&amp;Milestones!$AB$116&amp;" "&amp;Milestones!$AC$116&amp;";  ","")&amp;IF(AND(EDATE($D6,Milestones!$AA$117)&lt;=AsOfDate,IF($R6=0,$X6,IF(AND($T6&lt;&gt;"",EDATE($D6,Milestones!$AA$117)&gt;=$T6),$W6,IF(AND($S6&lt;&gt;"",EDATE($D6,Milestones!$AA$117)&gt;=$S6),$V6,$U6)))=Milestones!$AB$117),UPPER(TEXT(EDATE($D6,Milestones!$AA$117),"dd mmm yy"))&amp;" "&amp;Milestones!$AB$117&amp;" "&amp;Milestones!$AC$117&amp;";  ","")&amp;IF(AND(EDATE($D6,Milestones!$AA$118)&lt;=AsOfDate,IF($R6=0,$X6,IF(AND($T6&lt;&gt;"",EDATE($D6,Milestones!$AA$118)&gt;=$T6),$W6,IF(AND($S6&lt;&gt;"",EDATE($D6,Milestones!$AA$118)&gt;=$S6),$V6,$U6)))=Milestones!$AB$118),UPPER(TEXT(EDATE($D6,Milestones!$AA$118),"dd mmm yy"))&amp;" "&amp;Milestones!$AB$118&amp;" "&amp;Milestones!$AC$118&amp;";  ","")&amp;IF(AND(EDATE($D6,Milestones!$AA$119)&lt;=AsOfDate,IF($R6=0,$X6,IF(AND($T6&lt;&gt;"",EDATE($D6,Milestones!$AA$119)&gt;=$T6),$W6,IF(AND($S6&lt;&gt;"",EDATE($D6,Milestones!$AA$119)&gt;=$S6),$V6,$U6)))=Milestones!$AB$119),UPPER(TEXT(EDATE($D6,Milestones!$AA$119),"dd mmm yy"))&amp;" "&amp;Milestones!$AB$119&amp;" "&amp;Milestones!$AC$119&amp;";  ",""))</f>
        <v/>
      </c>
      <c r="N6" s="0" t="str">
        <f aca="false">IF(OR($A6="",$D6=""),"",IF(AND(EDATE($D6,Milestones!$AA$120)&lt;=AsOfDate,IF($R6=0,$X6,IF(AND($T6&lt;&gt;"",EDATE($D6,Milestones!$AA$120)&gt;=$T6),$W6,IF(AND($S6&lt;&gt;"",EDATE($D6,Milestones!$AA$120)&gt;=$S6),$V6,$U6)))=Milestones!$AB$120),UPPER(TEXT(EDATE($D6,Milestones!$AA$120),"dd mmm yy"))&amp;" "&amp;Milestones!$AB$120&amp;" "&amp;Milestones!$AC$120&amp;";  ","")&amp;IF(AND(EDATE($D6,Milestones!$AA$121)&lt;=AsOfDate,IF($R6=0,$X6,IF(AND($T6&lt;&gt;"",EDATE($D6,Milestones!$AA$121)&gt;=$T6),$W6,IF(AND($S6&lt;&gt;"",EDATE($D6,Milestones!$AA$121)&gt;=$S6),$V6,$U6)))=Milestones!$AB$121),UPPER(TEXT(EDATE($D6,Milestones!$AA$121),"dd mmm yy"))&amp;" "&amp;Milestones!$AB$121&amp;" "&amp;Milestones!$AC$121&amp;";  ","")&amp;IF(AND(EDATE($D6,Milestones!$AA$122)&lt;=AsOfDate,IF($R6=0,$X6,IF(AND($T6&lt;&gt;"",EDATE($D6,Milestones!$AA$122)&gt;=$T6),$W6,IF(AND($S6&lt;&gt;"",EDATE($D6,Milestones!$AA$122)&gt;=$S6),$V6,$U6)))=Milestones!$AB$122),UPPER(TEXT(EDATE($D6,Milestones!$AA$122),"dd mmm yy"))&amp;" "&amp;Milestones!$AB$122&amp;" "&amp;Milestones!$AC$122&amp;";  ","")&amp;IF(AND(EDATE($D6,Milestones!$AA$123)&lt;=AsOfDate,IF($R6=0,$X6,IF(AND($T6&lt;&gt;"",EDATE($D6,Milestones!$AA$123)&gt;=$T6),$W6,IF(AND($S6&lt;&gt;"",EDATE($D6,Milestones!$AA$123)&gt;=$S6),$V6,$U6)))=Milestones!$AB$123),UPPER(TEXT(EDATE($D6,Milestones!$AA$123),"dd mmm yy"))&amp;" "&amp;Milestones!$AB$123&amp;" "&amp;Milestones!$AC$123&amp;";  ","")&amp;IF(AND(EDATE($D6,Milestones!$AA$124)&lt;=AsOfDate,IF($R6=0,$X6,IF(AND($T6&lt;&gt;"",EDATE($D6,Milestones!$AA$124)&gt;=$T6),$W6,IF(AND($S6&lt;&gt;"",EDATE($D6,Milestones!$AA$124)&gt;=$S6),$V6,$U6)))=Milestones!$AB$124),UPPER(TEXT(EDATE($D6,Milestones!$AA$124),"dd mmm yy"))&amp;" "&amp;Milestones!$AB$124&amp;" "&amp;Milestones!$AC$124&amp;";  ","")&amp;IF(AND(EDATE($D6,Milestones!$AA$125)&lt;=AsOfDate,IF($R6=0,$X6,IF(AND($T6&lt;&gt;"",EDATE($D6,Milestones!$AA$125)&gt;=$T6),$W6,IF(AND($S6&lt;&gt;"",EDATE($D6,Milestones!$AA$125)&gt;=$S6),$V6,$U6)))=Milestones!$AB$125),UPPER(TEXT(EDATE($D6,Milestones!$AA$125),"dd mmm yy"))&amp;" "&amp;Milestones!$AB$125&amp;" "&amp;Milestones!$AC$125&amp;";  ","")&amp;IF(AND(EDATE($D6,Milestones!$AA$126)&lt;=AsOfDate,IF($R6=0,$X6,IF(AND($T6&lt;&gt;"",EDATE($D6,Milestones!$AA$126)&gt;=$T6),$W6,IF(AND($S6&lt;&gt;"",EDATE($D6,Milestones!$AA$126)&gt;=$S6),$V6,$U6)))=Milestones!$AB$126),UPPER(TEXT(EDATE($D6,Milestones!$AA$126),"dd mmm yy"))&amp;" "&amp;Milestones!$AB$126&amp;" "&amp;Milestones!$AC$126&amp;";  ","")&amp;IF(AND(EDATE($D6,Milestones!$AA$127)&lt;=AsOfDate,IF($R6=0,$X6,IF(AND($T6&lt;&gt;"",EDATE($D6,Milestones!$AA$127)&gt;=$T6),$W6,IF(AND($S6&lt;&gt;"",EDATE($D6,Milestones!$AA$127)&gt;=$S6),$V6,$U6)))=Milestones!$AB$127),UPPER(TEXT(EDATE($D6,Milestones!$AA$127),"dd mmm yy"))&amp;" "&amp;Milestones!$AB$127&amp;" "&amp;Milestones!$AC$127&amp;";  ","")&amp;IF(AND(EDATE($D6,Milestones!$AA$128)&lt;=AsOfDate,IF($R6=0,$X6,IF(AND($T6&lt;&gt;"",EDATE($D6,Milestones!$AA$128)&gt;=$T6),$W6,IF(AND($S6&lt;&gt;"",EDATE($D6,Milestones!$AA$128)&gt;=$S6),$V6,$U6)))=Milestones!$AB$128),UPPER(TEXT(EDATE($D6,Milestones!$AA$128),"dd mmm yy"))&amp;" "&amp;Milestones!$AB$128&amp;" "&amp;Milestones!$AC$128&amp;";  ","")&amp;IF(AND(EDATE($D6,Milestones!$AA$129)&lt;=AsOfDate,IF($R6=0,$X6,IF(AND($T6&lt;&gt;"",EDATE($D6,Milestones!$AA$129)&gt;=$T6),$W6,IF(AND($S6&lt;&gt;"",EDATE($D6,Milestones!$AA$129)&gt;=$S6),$V6,$U6)))=Milestones!$AB$129),UPPER(TEXT(EDATE($D6,Milestones!$AA$129),"dd mmm yy"))&amp;" "&amp;Milestones!$AB$129&amp;" "&amp;Milestones!$AC$129&amp;";  ","")&amp;IF(AND(EDATE($D6,Milestones!$AA$130)&lt;=AsOfDate,IF($R6=0,$X6,IF(AND($T6&lt;&gt;"",EDATE($D6,Milestones!$AA$130)&gt;=$T6),$W6,IF(AND($S6&lt;&gt;"",EDATE($D6,Milestones!$AA$130)&gt;=$S6),$V6,$U6)))=Milestones!$AB$130),UPPER(TEXT(EDATE($D6,Milestones!$AA$130),"dd mmm yy"))&amp;" "&amp;Milestones!$AB$130&amp;" "&amp;Milestones!$AC$130&amp;";  ","")&amp;IF(AND(EDATE($D6,Milestones!$AA$131)&lt;=AsOfDate,IF($R6=0,$X6,IF(AND($T6&lt;&gt;"",EDATE($D6,Milestones!$AA$131)&gt;=$T6),$W6,IF(AND($S6&lt;&gt;"",EDATE($D6,Milestones!$AA$131)&gt;=$S6),$V6,$U6)))=Milestones!$AB$131),UPPER(TEXT(EDATE($D6,Milestones!$AA$131),"dd mmm yy"))&amp;" "&amp;Milestones!$AB$131&amp;" "&amp;Milestones!$AC$131&amp;";  ","")&amp;IF(AND(EDATE($D6,Milestones!$AA$132)&lt;=AsOfDate,IF($R6=0,$X6,IF(AND($T6&lt;&gt;"",EDATE($D6,Milestones!$AA$132)&gt;=$T6),$W6,IF(AND($S6&lt;&gt;"",EDATE($D6,Milestones!$AA$132)&gt;=$S6),$V6,$U6)))=Milestones!$AB$132),UPPER(TEXT(EDATE($D6,Milestones!$AA$132),"dd mmm yy"))&amp;" "&amp;Milestones!$AB$132&amp;" "&amp;Milestones!$AC$132&amp;";  ","")&amp;IF(AND(EDATE($D6,Milestones!$AA$133)&lt;=AsOfDate,IF($R6=0,$X6,IF(AND($T6&lt;&gt;"",EDATE($D6,Milestones!$AA$133)&gt;=$T6),$W6,IF(AND($S6&lt;&gt;"",EDATE($D6,Milestones!$AA$133)&gt;=$S6),$V6,$U6)))=Milestones!$AB$133),UPPER(TEXT(EDATE($D6,Milestones!$AA$133),"dd mmm yy"))&amp;" "&amp;Milestones!$AB$133&amp;" "&amp;Milestones!$AC$133&amp;";  ","")&amp;IF(AND(EDATE($D6,Milestones!$AA$134)&lt;=AsOfDate,IF($R6=0,$X6,IF(AND($T6&lt;&gt;"",EDATE($D6,Milestones!$AA$134)&gt;=$T6),$W6,IF(AND($S6&lt;&gt;"",EDATE($D6,Milestones!$AA$134)&gt;=$S6),$V6,$U6)))=Milestones!$AB$134),UPPER(TEXT(EDATE($D6,Milestones!$AA$134),"dd mmm yy"))&amp;" "&amp;Milestones!$AB$134&amp;" "&amp;Milestones!$AC$134&amp;";  ","")&amp;IF(AND(EDATE($D6,Milestones!$AA$135)&lt;=AsOfDate,IF($R6=0,$X6,IF(AND($T6&lt;&gt;"",EDATE($D6,Milestones!$AA$135)&gt;=$T6),$W6,IF(AND($S6&lt;&gt;"",EDATE($D6,Milestones!$AA$135)&gt;=$S6),$V6,$U6)))=Milestones!$AB$135),UPPER(TEXT(EDATE($D6,Milestones!$AA$135),"dd mmm yy"))&amp;" "&amp;Milestones!$AB$135&amp;" "&amp;Milestones!$AC$135&amp;";  ","")&amp;IF(AND(EDATE($D6,Milestones!$AA$136)&lt;=AsOfDate,IF($R6=0,$X6,IF(AND($T6&lt;&gt;"",EDATE($D6,Milestones!$AA$136)&gt;=$T6),$W6,IF(AND($S6&lt;&gt;"",EDATE($D6,Milestones!$AA$136)&gt;=$S6),$V6,$U6)))=Milestones!$AB$136),UPPER(TEXT(EDATE($D6,Milestones!$AA$136),"dd mmm yy"))&amp;" "&amp;Milestones!$AB$136&amp;" "&amp;Milestones!$AC$136&amp;";  ","")&amp;IF(AND(EDATE($D6,Milestones!$AA$137)&lt;=AsOfDate,IF($R6=0,$X6,IF(AND($T6&lt;&gt;"",EDATE($D6,Milestones!$AA$137)&gt;=$T6),$W6,IF(AND($S6&lt;&gt;"",EDATE($D6,Milestones!$AA$137)&gt;=$S6),$V6,$U6)))=Milestones!$AB$137),UPPER(TEXT(EDATE($D6,Milestones!$AA$137),"dd mmm yy"))&amp;" "&amp;Milestones!$AB$137&amp;" "&amp;Milestones!$AC$137&amp;";  ","")&amp;IF(AND(EDATE($D6,Milestones!$AA$138)&lt;=AsOfDate,IF($R6=0,$X6,IF(AND($T6&lt;&gt;"",EDATE($D6,Milestones!$AA$138)&gt;=$T6),$W6,IF(AND($S6&lt;&gt;"",EDATE($D6,Milestones!$AA$138)&gt;=$S6),$V6,$U6)))=Milestones!$AB$138),UPPER(TEXT(EDATE($D6,Milestones!$AA$138),"dd mmm yy"))&amp;" "&amp;Milestones!$AB$138&amp;" "&amp;Milestones!$AC$138&amp;";  ","")&amp;IF(AND(EDATE($D6,Milestones!$AA$139)&lt;=AsOfDate,IF($R6=0,$X6,IF(AND($T6&lt;&gt;"",EDATE($D6,Milestones!$AA$139)&gt;=$T6),$W6,IF(AND($S6&lt;&gt;"",EDATE($D6,Milestones!$AA$139)&gt;=$S6),$V6,$U6)))=Milestones!$AB$139),UPPER(TEXT(EDATE($D6,Milestones!$AA$139),"dd mmm yy"))&amp;" "&amp;Milestones!$AB$139&amp;" "&amp;Milestones!$AC$139&amp;";  ",""))</f>
        <v/>
      </c>
      <c r="O6" s="0" t="str">
        <f aca="false">IF(OR($A6="",$D6=""),"",IF(AND(EDATE($D6,Milestones!$AA$140)&lt;=AsOfDate,IF($R6=0,$X6,IF(AND($T6&lt;&gt;"",EDATE($D6,Milestones!$AA$140)&gt;=$T6),$W6,IF(AND($S6&lt;&gt;"",EDATE($D6,Milestones!$AA$140)&gt;=$S6),$V6,$U6)))=Milestones!$AB$140),UPPER(TEXT(EDATE($D6,Milestones!$AA$140),"dd mmm yy"))&amp;" "&amp;Milestones!$AB$140&amp;" "&amp;Milestones!$AC$140&amp;";  ","")&amp;IF(AND(EDATE($D6,Milestones!$AA$141)&lt;=AsOfDate,IF($R6=0,$X6,IF(AND($T6&lt;&gt;"",EDATE($D6,Milestones!$AA$141)&gt;=$T6),$W6,IF(AND($S6&lt;&gt;"",EDATE($D6,Milestones!$AA$141)&gt;=$S6),$V6,$U6)))=Milestones!$AB$141),UPPER(TEXT(EDATE($D6,Milestones!$AA$141),"dd mmm yy"))&amp;" "&amp;Milestones!$AB$141&amp;" "&amp;Milestones!$AC$141&amp;";  ","")&amp;IF(AND(EDATE($D6,Milestones!$AA$142)&lt;=AsOfDate,IF($R6=0,$X6,IF(AND($T6&lt;&gt;"",EDATE($D6,Milestones!$AA$142)&gt;=$T6),$W6,IF(AND($S6&lt;&gt;"",EDATE($D6,Milestones!$AA$142)&gt;=$S6),$V6,$U6)))=Milestones!$AB$142),UPPER(TEXT(EDATE($D6,Milestones!$AA$142),"dd mmm yy"))&amp;" "&amp;Milestones!$AB$142&amp;" "&amp;Milestones!$AC$142&amp;";  ","")&amp;IF(AND(EDATE($D6,Milestones!$AA$143)&lt;=AsOfDate,IF($R6=0,$X6,IF(AND($T6&lt;&gt;"",EDATE($D6,Milestones!$AA$143)&gt;=$T6),$W6,IF(AND($S6&lt;&gt;"",EDATE($D6,Milestones!$AA$143)&gt;=$S6),$V6,$U6)))=Milestones!$AB$143),UPPER(TEXT(EDATE($D6,Milestones!$AA$143),"dd mmm yy"))&amp;" "&amp;Milestones!$AB$143&amp;" "&amp;Milestones!$AC$143&amp;";  ","")&amp;IF(AND(EDATE($D6,Milestones!$AA$144)&lt;=AsOfDate,IF($R6=0,$X6,IF(AND($T6&lt;&gt;"",EDATE($D6,Milestones!$AA$144)&gt;=$T6),$W6,IF(AND($S6&lt;&gt;"",EDATE($D6,Milestones!$AA$144)&gt;=$S6),$V6,$U6)))=Milestones!$AB$144),UPPER(TEXT(EDATE($D6,Milestones!$AA$144),"dd mmm yy"))&amp;" "&amp;Milestones!$AB$144&amp;" "&amp;Milestones!$AC$144&amp;";  ","")&amp;IF(AND(EDATE($D6,Milestones!$AA$145)&lt;=AsOfDate,IF($R6=0,$X6,IF(AND($T6&lt;&gt;"",EDATE($D6,Milestones!$AA$145)&gt;=$T6),$W6,IF(AND($S6&lt;&gt;"",EDATE($D6,Milestones!$AA$145)&gt;=$S6),$V6,$U6)))=Milestones!$AB$145),UPPER(TEXT(EDATE($D6,Milestones!$AA$145),"dd mmm yy"))&amp;" "&amp;Milestones!$AB$145&amp;" "&amp;Milestones!$AC$145&amp;";  ","")&amp;IF(AND(EDATE($D6,Milestones!$AA$146)&lt;=AsOfDate,IF($R6=0,$X6,IF(AND($T6&lt;&gt;"",EDATE($D6,Milestones!$AA$146)&gt;=$T6),$W6,IF(AND($S6&lt;&gt;"",EDATE($D6,Milestones!$AA$146)&gt;=$S6),$V6,$U6)))=Milestones!$AB$146),UPPER(TEXT(EDATE($D6,Milestones!$AA$146),"dd mmm yy"))&amp;" "&amp;Milestones!$AB$146&amp;" "&amp;Milestones!$AC$146&amp;";  ","")&amp;IF(AND(EDATE($D6,Milestones!$AA$147)&lt;=AsOfDate,IF($R6=0,$X6,IF(AND($T6&lt;&gt;"",EDATE($D6,Milestones!$AA$147)&gt;=$T6),$W6,IF(AND($S6&lt;&gt;"",EDATE($D6,Milestones!$AA$147)&gt;=$S6),$V6,$U6)))=Milestones!$AB$147),UPPER(TEXT(EDATE($D6,Milestones!$AA$147),"dd mmm yy"))&amp;" "&amp;Milestones!$AB$147&amp;" "&amp;Milestones!$AC$147&amp;";  ","")&amp;IF(AND(EDATE($D6,Milestones!$AA$148)&lt;=AsOfDate,IF($R6=0,$X6,IF(AND($T6&lt;&gt;"",EDATE($D6,Milestones!$AA$148)&gt;=$T6),$W6,IF(AND($S6&lt;&gt;"",EDATE($D6,Milestones!$AA$148)&gt;=$S6),$V6,$U6)))=Milestones!$AB$148),UPPER(TEXT(EDATE($D6,Milestones!$AA$148),"dd mmm yy"))&amp;" "&amp;Milestones!$AB$148&amp;" "&amp;Milestones!$AC$148&amp;";  ","")&amp;IF(AND(EDATE($D6,Milestones!$AA$149)&lt;=AsOfDate,IF($R6=0,$X6,IF(AND($T6&lt;&gt;"",EDATE($D6,Milestones!$AA$149)&gt;=$T6),$W6,IF(AND($S6&lt;&gt;"",EDATE($D6,Milestones!$AA$149)&gt;=$S6),$V6,$U6)))=Milestones!$AB$149),UPPER(TEXT(EDATE($D6,Milestones!$AA$149),"dd mmm yy"))&amp;" "&amp;Milestones!$AB$149&amp;" "&amp;Milestones!$AC$149&amp;";  ","")&amp;IF(AND(EDATE($D6,Milestones!$AA$150)&lt;=AsOfDate,IF($R6=0,$X6,IF(AND($T6&lt;&gt;"",EDATE($D6,Milestones!$AA$150)&gt;=$T6),$W6,IF(AND($S6&lt;&gt;"",EDATE($D6,Milestones!$AA$150)&gt;=$S6),$V6,$U6)))=Milestones!$AB$150),UPPER(TEXT(EDATE($D6,Milestones!$AA$150),"dd mmm yy"))&amp;" "&amp;Milestones!$AB$150&amp;" "&amp;Milestones!$AC$150&amp;";  ","")&amp;IF(AND(EDATE($D6,Milestones!$AA$151)&lt;=AsOfDate,IF($R6=0,$X6,IF(AND($T6&lt;&gt;"",EDATE($D6,Milestones!$AA$151)&gt;=$T6),$W6,IF(AND($S6&lt;&gt;"",EDATE($D6,Milestones!$AA$151)&gt;=$S6),$V6,$U6)))=Milestones!$AB$151),UPPER(TEXT(EDATE($D6,Milestones!$AA$151),"dd mmm yy"))&amp;" "&amp;Milestones!$AB$151&amp;" "&amp;Milestones!$AC$151&amp;";  ","")&amp;IF(AND(EDATE($D6,Milestones!$AA$152)&lt;=AsOfDate,IF($R6=0,$X6,IF(AND($T6&lt;&gt;"",EDATE($D6,Milestones!$AA$152)&gt;=$T6),$W6,IF(AND($S6&lt;&gt;"",EDATE($D6,Milestones!$AA$152)&gt;=$S6),$V6,$U6)))=Milestones!$AB$152),UPPER(TEXT(EDATE($D6,Milestones!$AA$152),"dd mmm yy"))&amp;" "&amp;Milestones!$AB$152&amp;" "&amp;Milestones!$AC$152&amp;";  ","")&amp;IF(AND(EDATE($D6,Milestones!$AA$153)&lt;=AsOfDate,IF($R6=0,$X6,IF(AND($T6&lt;&gt;"",EDATE($D6,Milestones!$AA$153)&gt;=$T6),$W6,IF(AND($S6&lt;&gt;"",EDATE($D6,Milestones!$AA$153)&gt;=$S6),$V6,$U6)))=Milestones!$AB$153),UPPER(TEXT(EDATE($D6,Milestones!$AA$153),"dd mmm yy"))&amp;" "&amp;Milestones!$AB$153&amp;" "&amp;Milestones!$AC$153&amp;";  ","")&amp;IF(AND(EDATE($D6,Milestones!$AA$154)&lt;=AsOfDate,IF($R6=0,$X6,IF(AND($T6&lt;&gt;"",EDATE($D6,Milestones!$AA$154)&gt;=$T6),$W6,IF(AND($S6&lt;&gt;"",EDATE($D6,Milestones!$AA$154)&gt;=$S6),$V6,$U6)))=Milestones!$AB$154),UPPER(TEXT(EDATE($D6,Milestones!$AA$154),"dd mmm yy"))&amp;" "&amp;Milestones!$AB$154&amp;" "&amp;Milestones!$AC$154&amp;";  ","")&amp;IF(AND(EDATE($D6,Milestones!$AA$155)&lt;=AsOfDate,IF($R6=0,$X6,IF(AND($T6&lt;&gt;"",EDATE($D6,Milestones!$AA$155)&gt;=$T6),$W6,IF(AND($S6&lt;&gt;"",EDATE($D6,Milestones!$AA$155)&gt;=$S6),$V6,$U6)))=Milestones!$AB$155),UPPER(TEXT(EDATE($D6,Milestones!$AA$155),"dd mmm yy"))&amp;" "&amp;Milestones!$AB$155&amp;" "&amp;Milestones!$AC$155&amp;";  ","")&amp;IF(AND(EDATE($D6,Milestones!$AA$156)&lt;=AsOfDate,IF($R6=0,$X6,IF(AND($T6&lt;&gt;"",EDATE($D6,Milestones!$AA$156)&gt;=$T6),$W6,IF(AND($S6&lt;&gt;"",EDATE($D6,Milestones!$AA$156)&gt;=$S6),$V6,$U6)))=Milestones!$AB$156),UPPER(TEXT(EDATE($D6,Milestones!$AA$156),"dd mmm yy"))&amp;" "&amp;Milestones!$AB$156&amp;" "&amp;Milestones!$AC$156&amp;";  ","")&amp;IF(AND(EDATE($D6,Milestones!$AA$157)&lt;=AsOfDate,IF($R6=0,$X6,IF(AND($T6&lt;&gt;"",EDATE($D6,Milestones!$AA$157)&gt;=$T6),$W6,IF(AND($S6&lt;&gt;"",EDATE($D6,Milestones!$AA$157)&gt;=$S6),$V6,$U6)))=Milestones!$AB$157),UPPER(TEXT(EDATE($D6,Milestones!$AA$157),"dd mmm yy"))&amp;" "&amp;Milestones!$AB$157&amp;" "&amp;Milestones!$AC$157&amp;";  ","")&amp;IF(AND(EDATE($D6,Milestones!$AA$158)&lt;=AsOfDate,IF($R6=0,$X6,IF(AND($T6&lt;&gt;"",EDATE($D6,Milestones!$AA$158)&gt;=$T6),$W6,IF(AND($S6&lt;&gt;"",EDATE($D6,Milestones!$AA$158)&gt;=$S6),$V6,$U6)))=Milestones!$AB$158),UPPER(TEXT(EDATE($D6,Milestones!$AA$158),"dd mmm yy"))&amp;" "&amp;Milestones!$AB$158&amp;" "&amp;Milestones!$AC$158&amp;";  ","")&amp;IF(AND(EDATE($D6,Milestones!$AA$159)&lt;=AsOfDate,IF($R6=0,$X6,IF(AND($T6&lt;&gt;"",EDATE($D6,Milestones!$AA$159)&gt;=$T6),$W6,IF(AND($S6&lt;&gt;"",EDATE($D6,Milestones!$AA$159)&gt;=$S6),$V6,$U6)))=Milestones!$AB$159),UPPER(TEXT(EDATE($D6,Milestones!$AA$159),"dd mmm yy"))&amp;" "&amp;Milestones!$AB$159&amp;" "&amp;Milestones!$AC$159&amp;";  ",""))</f>
        <v/>
      </c>
      <c r="P6" s="0" t="str">
        <f aca="false">IF(OR($A6="",$D6=""),"",IF(AND(EDATE($D6,Milestones!$AA$160)&lt;=AsOfDate,IF($R6=0,$X6,IF(AND($T6&lt;&gt;"",EDATE($D6,Milestones!$AA$160)&gt;=$T6),$W6,IF(AND($S6&lt;&gt;"",EDATE($D6,Milestones!$AA$160)&gt;=$S6),$V6,$U6)))=Milestones!$AB$160),UPPER(TEXT(EDATE($D6,Milestones!$AA$160),"dd mmm yy"))&amp;" "&amp;Milestones!$AB$160&amp;" "&amp;Milestones!$AC$160&amp;";  ","")&amp;IF(AND(EDATE($D6,Milestones!$AA$161)&lt;=AsOfDate,IF($R6=0,$X6,IF(AND($T6&lt;&gt;"",EDATE($D6,Milestones!$AA$161)&gt;=$T6),$W6,IF(AND($S6&lt;&gt;"",EDATE($D6,Milestones!$AA$161)&gt;=$S6),$V6,$U6)))=Milestones!$AB$161),UPPER(TEXT(EDATE($D6,Milestones!$AA$161),"dd mmm yy"))&amp;" "&amp;Milestones!$AB$161&amp;" "&amp;Milestones!$AC$161&amp;";  ","")&amp;IF(AND(EDATE($D6,Milestones!$AA$162)&lt;=AsOfDate,IF($R6=0,$X6,IF(AND($T6&lt;&gt;"",EDATE($D6,Milestones!$AA$162)&gt;=$T6),$W6,IF(AND($S6&lt;&gt;"",EDATE($D6,Milestones!$AA$162)&gt;=$S6),$V6,$U6)))=Milestones!$AB$162),UPPER(TEXT(EDATE($D6,Milestones!$AA$162),"dd mmm yy"))&amp;" "&amp;Milestones!$AB$162&amp;" "&amp;Milestones!$AC$162&amp;";  ","")&amp;IF(AND(EDATE($D6,Milestones!$AA$163)&lt;=AsOfDate,IF($R6=0,$X6,IF(AND($T6&lt;&gt;"",EDATE($D6,Milestones!$AA$163)&gt;=$T6),$W6,IF(AND($S6&lt;&gt;"",EDATE($D6,Milestones!$AA$163)&gt;=$S6),$V6,$U6)))=Milestones!$AB$163),UPPER(TEXT(EDATE($D6,Milestones!$AA$163),"dd mmm yy"))&amp;" "&amp;Milestones!$AB$163&amp;" "&amp;Milestones!$AC$163&amp;";  ","")&amp;IF(AND(EDATE($D6,Milestones!$AA$164)&lt;=AsOfDate,IF($R6=0,$X6,IF(AND($T6&lt;&gt;"",EDATE($D6,Milestones!$AA$164)&gt;=$T6),$W6,IF(AND($S6&lt;&gt;"",EDATE($D6,Milestones!$AA$164)&gt;=$S6),$V6,$U6)))=Milestones!$AB$164),UPPER(TEXT(EDATE($D6,Milestones!$AA$164),"dd mmm yy"))&amp;" "&amp;Milestones!$AB$164&amp;" "&amp;Milestones!$AC$164&amp;";  ","")&amp;IF(AND(EDATE($D6,Milestones!$AA$165)&lt;=AsOfDate,IF($R6=0,$X6,IF(AND($T6&lt;&gt;"",EDATE($D6,Milestones!$AA$165)&gt;=$T6),$W6,IF(AND($S6&lt;&gt;"",EDATE($D6,Milestones!$AA$165)&gt;=$S6),$V6,$U6)))=Milestones!$AB$165),UPPER(TEXT(EDATE($D6,Milestones!$AA$165),"dd mmm yy"))&amp;" "&amp;Milestones!$AB$165&amp;" "&amp;Milestones!$AC$165&amp;";  ","")&amp;IF(AND(EDATE($D6,Milestones!$AA$166)&lt;=AsOfDate,IF($R6=0,$X6,IF(AND($T6&lt;&gt;"",EDATE($D6,Milestones!$AA$166)&gt;=$T6),$W6,IF(AND($S6&lt;&gt;"",EDATE($D6,Milestones!$AA$166)&gt;=$S6),$V6,$U6)))=Milestones!$AB$166),UPPER(TEXT(EDATE($D6,Milestones!$AA$166),"dd mmm yy"))&amp;" "&amp;Milestones!$AB$166&amp;" "&amp;Milestones!$AC$166&amp;";  ","")&amp;IF(AND(EDATE($D6,Milestones!$AA$167)&lt;=AsOfDate,IF($R6=0,$X6,IF(AND($T6&lt;&gt;"",EDATE($D6,Milestones!$AA$167)&gt;=$T6),$W6,IF(AND($S6&lt;&gt;"",EDATE($D6,Milestones!$AA$167)&gt;=$S6),$V6,$U6)))=Milestones!$AB$167),UPPER(TEXT(EDATE($D6,Milestones!$AA$167),"dd mmm yy"))&amp;" "&amp;Milestones!$AB$167&amp;" "&amp;Milestones!$AC$167&amp;";  ","")&amp;IF(AND(EDATE($D6,Milestones!$AA$168)&lt;=AsOfDate,IF($R6=0,$X6,IF(AND($T6&lt;&gt;"",EDATE($D6,Milestones!$AA$168)&gt;=$T6),$W6,IF(AND($S6&lt;&gt;"",EDATE($D6,Milestones!$AA$168)&gt;=$S6),$V6,$U6)))=Milestones!$AB$168),UPPER(TEXT(EDATE($D6,Milestones!$AA$168),"dd mmm yy"))&amp;" "&amp;Milestones!$AB$168&amp;" "&amp;Milestones!$AC$168&amp;";  ","")&amp;IF(AND(EDATE($D6,Milestones!$AA$169)&lt;=AsOfDate,IF($R6=0,$X6,IF(AND($T6&lt;&gt;"",EDATE($D6,Milestones!$AA$169)&gt;=$T6),$W6,IF(AND($S6&lt;&gt;"",EDATE($D6,Milestones!$AA$169)&gt;=$S6),$V6,$U6)))=Milestones!$AB$169),UPPER(TEXT(EDATE($D6,Milestones!$AA$169),"dd mmm yy"))&amp;" "&amp;Milestones!$AB$169&amp;" "&amp;Milestones!$AC$169&amp;";  ","")&amp;IF(AND(EDATE($D6,Milestones!$AA$170)&lt;=AsOfDate,IF($R6=0,$X6,IF(AND($T6&lt;&gt;"",EDATE($D6,Milestones!$AA$170)&gt;=$T6),$W6,IF(AND($S6&lt;&gt;"",EDATE($D6,Milestones!$AA$170)&gt;=$S6),$V6,$U6)))=Milestones!$AB$170),UPPER(TEXT(EDATE($D6,Milestones!$AA$170),"dd mmm yy"))&amp;" "&amp;Milestones!$AB$170&amp;" "&amp;Milestones!$AC$170&amp;";  ","")&amp;IF(AND(EDATE($D6,Milestones!$AA$171)&lt;=AsOfDate,IF($R6=0,$X6,IF(AND($T6&lt;&gt;"",EDATE($D6,Milestones!$AA$171)&gt;=$T6),$W6,IF(AND($S6&lt;&gt;"",EDATE($D6,Milestones!$AA$171)&gt;=$S6),$V6,$U6)))=Milestones!$AB$171),UPPER(TEXT(EDATE($D6,Milestones!$AA$171),"dd mmm yy"))&amp;" "&amp;Milestones!$AB$171&amp;" "&amp;Milestones!$AC$171&amp;";  ","")&amp;IF(AND(EDATE($D6,Milestones!$AA$172)&lt;=AsOfDate,IF($R6=0,$X6,IF(AND($T6&lt;&gt;"",EDATE($D6,Milestones!$AA$172)&gt;=$T6),$W6,IF(AND($S6&lt;&gt;"",EDATE($D6,Milestones!$AA$172)&gt;=$S6),$V6,$U6)))=Milestones!$AB$172),UPPER(TEXT(EDATE($D6,Milestones!$AA$172),"dd mmm yy"))&amp;" "&amp;Milestones!$AB$172&amp;" "&amp;Milestones!$AC$172&amp;";  ","")&amp;IF(AND(EDATE($D6,Milestones!$AA$173)&lt;=AsOfDate,IF($R6=0,$X6,IF(AND($T6&lt;&gt;"",EDATE($D6,Milestones!$AA$173)&gt;=$T6),$W6,IF(AND($S6&lt;&gt;"",EDATE($D6,Milestones!$AA$173)&gt;=$S6),$V6,$U6)))=Milestones!$AB$173),UPPER(TEXT(EDATE($D6,Milestones!$AA$173),"dd mmm yy"))&amp;" "&amp;Milestones!$AB$173&amp;" "&amp;Milestones!$AC$173&amp;";  ","")&amp;IF(AND(EDATE($D6,Milestones!$AA$174)&lt;=AsOfDate,IF($R6=0,$X6,IF(AND($T6&lt;&gt;"",EDATE($D6,Milestones!$AA$174)&gt;=$T6),$W6,IF(AND($S6&lt;&gt;"",EDATE($D6,Milestones!$AA$174)&gt;=$S6),$V6,$U6)))=Milestones!$AB$174),UPPER(TEXT(EDATE($D6,Milestones!$AA$174),"dd mmm yy"))&amp;" "&amp;Milestones!$AB$174&amp;" "&amp;Milestones!$AC$174&amp;";  ","")&amp;IF(AND(EDATE($D6,Milestones!$AA$175)&lt;=AsOfDate,IF($R6=0,$X6,IF(AND($T6&lt;&gt;"",EDATE($D6,Milestones!$AA$175)&gt;=$T6),$W6,IF(AND($S6&lt;&gt;"",EDATE($D6,Milestones!$AA$175)&gt;=$S6),$V6,$U6)))=Milestones!$AB$175),UPPER(TEXT(EDATE($D6,Milestones!$AA$175),"dd mmm yy"))&amp;" "&amp;Milestones!$AB$175&amp;" "&amp;Milestones!$AC$175&amp;";  ","")&amp;IF(AND(EDATE($D6,Milestones!$AA$176)&lt;=AsOfDate,IF($R6=0,$X6,IF(AND($T6&lt;&gt;"",EDATE($D6,Milestones!$AA$176)&gt;=$T6),$W6,IF(AND($S6&lt;&gt;"",EDATE($D6,Milestones!$AA$176)&gt;=$S6),$V6,$U6)))=Milestones!$AB$176),UPPER(TEXT(EDATE($D6,Milestones!$AA$176),"dd mmm yy"))&amp;" "&amp;Milestones!$AB$176&amp;" "&amp;Milestones!$AC$176&amp;";  ","")&amp;IF(AND(EDATE($D6,Milestones!$AA$177)&lt;=AsOfDate,IF($R6=0,$X6,IF(AND($T6&lt;&gt;"",EDATE($D6,Milestones!$AA$177)&gt;=$T6),$W6,IF(AND($S6&lt;&gt;"",EDATE($D6,Milestones!$AA$177)&gt;=$S6),$V6,$U6)))=Milestones!$AB$177),UPPER(TEXT(EDATE($D6,Milestones!$AA$177),"dd mmm yy"))&amp;" "&amp;Milestones!$AB$177&amp;" "&amp;Milestones!$AC$177&amp;";  ","")&amp;IF(AND(EDATE($D6,Milestones!$AA$178)&lt;=AsOfDate,IF($R6=0,$X6,IF(AND($T6&lt;&gt;"",EDATE($D6,Milestones!$AA$178)&gt;=$T6),$W6,IF(AND($S6&lt;&gt;"",EDATE($D6,Milestones!$AA$178)&gt;=$S6),$V6,$U6)))=Milestones!$AB$178),UPPER(TEXT(EDATE($D6,Milestones!$AA$178),"dd mmm yy"))&amp;" "&amp;Milestones!$AB$178&amp;" "&amp;Milestones!$AC$178&amp;";  ","")&amp;IF(AND(EDATE($D6,Milestones!$AA$179)&lt;=AsOfDate,IF($R6=0,$X6,IF(AND($T6&lt;&gt;"",EDATE($D6,Milestones!$AA$179)&gt;=$T6),$W6,IF(AND($S6&lt;&gt;"",EDATE($D6,Milestones!$AA$179)&gt;=$S6),$V6,$U6)))=Milestones!$AB$179),UPPER(TEXT(EDATE($D6,Milestones!$AA$179),"dd mmm yy"))&amp;" "&amp;Milestones!$AB$179&amp;" "&amp;Milestones!$AC$179&amp;";  ",""))</f>
        <v/>
      </c>
      <c r="Q6" s="0" t="str">
        <f aca="false">IF(OR($A6="",$D6=""),"",IF(AND(EDATE($D6,Milestones!$AA$180)&lt;=AsOfDate,IF($R6=0,$X6,IF(AND($T6&lt;&gt;"",EDATE($D6,Milestones!$AA$180)&gt;=$T6),$W6,IF(AND($S6&lt;&gt;"",EDATE($D6,Milestones!$AA$180)&gt;=$S6),$V6,$U6)))=Milestones!$AB$180),UPPER(TEXT(EDATE($D6,Milestones!$AA$180),"dd mmm yy"))&amp;" "&amp;Milestones!$AB$180&amp;" "&amp;Milestones!$AC$180&amp;";  ","")&amp;IF(AND(EDATE($D6,Milestones!$AA$181)&lt;=AsOfDate,IF($R6=0,$X6,IF(AND($T6&lt;&gt;"",EDATE($D6,Milestones!$AA$181)&gt;=$T6),$W6,IF(AND($S6&lt;&gt;"",EDATE($D6,Milestones!$AA$181)&gt;=$S6),$V6,$U6)))=Milestones!$AB$181),UPPER(TEXT(EDATE($D6,Milestones!$AA$181),"dd mmm yy"))&amp;" "&amp;Milestones!$AB$181&amp;" "&amp;Milestones!$AC$181&amp;";  ","")&amp;IF(AND(EDATE($D6,Milestones!$AA$182)&lt;=AsOfDate,IF($R6=0,$X6,IF(AND($T6&lt;&gt;"",EDATE($D6,Milestones!$AA$182)&gt;=$T6),$W6,IF(AND($S6&lt;&gt;"",EDATE($D6,Milestones!$AA$182)&gt;=$S6),$V6,$U6)))=Milestones!$AB$182),UPPER(TEXT(EDATE($D6,Milestones!$AA$182),"dd mmm yy"))&amp;" "&amp;Milestones!$AB$182&amp;" "&amp;Milestones!$AC$182&amp;";  ","")&amp;IF(AND(EDATE($D6,Milestones!$AA$183)&lt;=AsOfDate,IF($R6=0,$X6,IF(AND($T6&lt;&gt;"",EDATE($D6,Milestones!$AA$183)&gt;=$T6),$W6,IF(AND($S6&lt;&gt;"",EDATE($D6,Milestones!$AA$183)&gt;=$S6),$V6,$U6)))=Milestones!$AB$183),UPPER(TEXT(EDATE($D6,Milestones!$AA$183),"dd mmm yy"))&amp;" "&amp;Milestones!$AB$183&amp;" "&amp;Milestones!$AC$183&amp;";  ","")&amp;IF(AND(EDATE($D6,Milestones!$AA$184)&lt;=AsOfDate,IF($R6=0,$X6,IF(AND($T6&lt;&gt;"",EDATE($D6,Milestones!$AA$184)&gt;=$T6),$W6,IF(AND($S6&lt;&gt;"",EDATE($D6,Milestones!$AA$184)&gt;=$S6),$V6,$U6)))=Milestones!$AB$184),UPPER(TEXT(EDATE($D6,Milestones!$AA$184),"dd mmm yy"))&amp;" "&amp;Milestones!$AB$184&amp;" "&amp;Milestones!$AC$184&amp;";  ","")&amp;IF(AND(EDATE($D6,Milestones!$AA$185)&lt;=AsOfDate,IF($R6=0,$X6,IF(AND($T6&lt;&gt;"",EDATE($D6,Milestones!$AA$185)&gt;=$T6),$W6,IF(AND($S6&lt;&gt;"",EDATE($D6,Milestones!$AA$185)&gt;=$S6),$V6,$U6)))=Milestones!$AB$185),UPPER(TEXT(EDATE($D6,Milestones!$AA$185),"dd mmm yy"))&amp;" "&amp;Milestones!$AB$185&amp;" "&amp;Milestones!$AC$185&amp;";  ","")&amp;IF(AND(EDATE($D6,Milestones!$AA$186)&lt;=AsOfDate,IF($R6=0,$X6,IF(AND($T6&lt;&gt;"",EDATE($D6,Milestones!$AA$186)&gt;=$T6),$W6,IF(AND($S6&lt;&gt;"",EDATE($D6,Milestones!$AA$186)&gt;=$S6),$V6,$U6)))=Milestones!$AB$186),UPPER(TEXT(EDATE($D6,Milestones!$AA$186),"dd mmm yy"))&amp;" "&amp;Milestones!$AB$186&amp;" "&amp;Milestones!$AC$186&amp;";  ","")&amp;IF(AND(EDATE($D6,Milestones!$AA$187)&lt;=AsOfDate,IF($R6=0,$X6,IF(AND($T6&lt;&gt;"",EDATE($D6,Milestones!$AA$187)&gt;=$T6),$W6,IF(AND($S6&lt;&gt;"",EDATE($D6,Milestones!$AA$187)&gt;=$S6),$V6,$U6)))=Milestones!$AB$187),UPPER(TEXT(EDATE($D6,Milestones!$AA$187),"dd mmm yy"))&amp;" "&amp;Milestones!$AB$187&amp;" "&amp;Milestones!$AC$187&amp;";  ","")&amp;IF(AND(EDATE($D6,Milestones!$AA$188)&lt;=AsOfDate,IF($R6=0,$X6,IF(AND($T6&lt;&gt;"",EDATE($D6,Milestones!$AA$188)&gt;=$T6),$W6,IF(AND($S6&lt;&gt;"",EDATE($D6,Milestones!$AA$188)&gt;=$S6),$V6,$U6)))=Milestones!$AB$188),UPPER(TEXT(EDATE($D6,Milestones!$AA$188),"dd mmm yy"))&amp;" "&amp;Milestones!$AB$188&amp;" "&amp;Milestones!$AC$188&amp;";  ","")&amp;IF(AND(EDATE($D6,Milestones!$AA$189)&lt;=AsOfDate,IF($R6=0,$X6,IF(AND($T6&lt;&gt;"",EDATE($D6,Milestones!$AA$189)&gt;=$T6),$W6,IF(AND($S6&lt;&gt;"",EDATE($D6,Milestones!$AA$189)&gt;=$S6),$V6,$U6)))=Milestones!$AB$189),UPPER(TEXT(EDATE($D6,Milestones!$AA$189),"dd mmm yy"))&amp;" "&amp;Milestones!$AB$189&amp;" "&amp;Milestones!$AC$189&amp;";  ","")&amp;IF(AND(EDATE($D6,Milestones!$AA$190)&lt;=AsOfDate,IF($R6=0,$X6,IF(AND($T6&lt;&gt;"",EDATE($D6,Milestones!$AA$190)&gt;=$T6),$W6,IF(AND($S6&lt;&gt;"",EDATE($D6,Milestones!$AA$190)&gt;=$S6),$V6,$U6)))=Milestones!$AB$190),UPPER(TEXT(EDATE($D6,Milestones!$AA$190),"dd mmm yy"))&amp;" "&amp;Milestones!$AB$190&amp;" "&amp;Milestones!$AC$190&amp;";  ","")&amp;IF(AND(EDATE($D6,Milestones!$AA$191)&lt;=AsOfDate,IF($R6=0,$X6,IF(AND($T6&lt;&gt;"",EDATE($D6,Milestones!$AA$191)&gt;=$T6),$W6,IF(AND($S6&lt;&gt;"",EDATE($D6,Milestones!$AA$191)&gt;=$S6),$V6,$U6)))=Milestones!$AB$191),UPPER(TEXT(EDATE($D6,Milestones!$AA$191),"dd mmm yy"))&amp;" "&amp;Milestones!$AB$191&amp;" "&amp;Milestones!$AC$191&amp;";  ","")&amp;IF(AND(EDATE($D6,Milestones!$AA$192)&lt;=AsOfDate,IF($R6=0,$X6,IF(AND($T6&lt;&gt;"",EDATE($D6,Milestones!$AA$192)&gt;=$T6),$W6,IF(AND($S6&lt;&gt;"",EDATE($D6,Milestones!$AA$192)&gt;=$S6),$V6,$U6)))=Milestones!$AB$192),UPPER(TEXT(EDATE($D6,Milestones!$AA$192),"dd mmm yy"))&amp;" "&amp;Milestones!$AB$192&amp;" "&amp;Milestones!$AC$192&amp;";  ","")&amp;IF(AND(EDATE($D6,Milestones!$AA$193)&lt;=AsOfDate,IF($R6=0,$X6,IF(AND($T6&lt;&gt;"",EDATE($D6,Milestones!$AA$193)&gt;=$T6),$W6,IF(AND($S6&lt;&gt;"",EDATE($D6,Milestones!$AA$193)&gt;=$S6),$V6,$U6)))=Milestones!$AB$193),UPPER(TEXT(EDATE($D6,Milestones!$AA$193),"dd mmm yy"))&amp;" "&amp;Milestones!$AB$193&amp;" "&amp;Milestones!$AC$193&amp;";  ","")&amp;IF(AND(EDATE($D6,Milestones!$AA$194)&lt;=AsOfDate,IF($R6=0,$X6,IF(AND($T6&lt;&gt;"",EDATE($D6,Milestones!$AA$194)&gt;=$T6),$W6,IF(AND($S6&lt;&gt;"",EDATE($D6,Milestones!$AA$194)&gt;=$S6),$V6,$U6)))=Milestones!$AB$194),UPPER(TEXT(EDATE($D6,Milestones!$AA$194),"dd mmm yy"))&amp;" "&amp;Milestones!$AB$194&amp;" "&amp;Milestones!$AC$194&amp;";  ","")&amp;IF(AND(EDATE($D6,Milestones!$AA$195)&lt;=AsOfDate,IF($R6=0,$X6,IF(AND($T6&lt;&gt;"",EDATE($D6,Milestones!$AA$195)&gt;=$T6),$W6,IF(AND($S6&lt;&gt;"",EDATE($D6,Milestones!$AA$195)&gt;=$S6),$V6,$U6)))=Milestones!$AB$195),UPPER(TEXT(EDATE($D6,Milestones!$AA$195),"dd mmm yy"))&amp;" "&amp;Milestones!$AB$195&amp;" "&amp;Milestones!$AC$195&amp;";  ","")&amp;IF(AND(EDATE($D6,Milestones!$AA$196)&lt;=AsOfDate,IF($R6=0,$X6,IF(AND($T6&lt;&gt;"",EDATE($D6,Milestones!$AA$196)&gt;=$T6),$W6,IF(AND($S6&lt;&gt;"",EDATE($D6,Milestones!$AA$196)&gt;=$S6),$V6,$U6)))=Milestones!$AB$196),UPPER(TEXT(EDATE($D6,Milestones!$AA$196),"dd mmm yy"))&amp;" "&amp;Milestones!$AB$196&amp;" "&amp;Milestones!$AC$196&amp;";  ","")&amp;IF(AND(EDATE($D6,Milestones!$AA$197)&lt;=AsOfDate,IF($R6=0,$X6,IF(AND($T6&lt;&gt;"",EDATE($D6,Milestones!$AA$197)&gt;=$T6),$W6,IF(AND($S6&lt;&gt;"",EDATE($D6,Milestones!$AA$197)&gt;=$S6),$V6,$U6)))=Milestones!$AB$197),UPPER(TEXT(EDATE($D6,Milestones!$AA$197),"dd mmm yy"))&amp;" "&amp;Milestones!$AB$197&amp;" "&amp;Milestones!$AC$197&amp;";  ","")&amp;IF(AND(EDATE($D6,Milestones!$AA$198)&lt;=AsOfDate,IF($R6=0,$X6,IF(AND($T6&lt;&gt;"",EDATE($D6,Milestones!$AA$198)&gt;=$T6),$W6,IF(AND($S6&lt;&gt;"",EDATE($D6,Milestones!$AA$198)&gt;=$S6),$V6,$U6)))=Milestones!$AB$198),UPPER(TEXT(EDATE($D6,Milestones!$AA$198),"dd mmm yy"))&amp;" "&amp;Milestones!$AB$198&amp;" "&amp;Milestones!$AC$198&amp;";  ","")&amp;IF(AND(EDATE($D6,Milestones!$AA$199)&lt;=AsOfDate,IF($R6=0,$X6,IF(AND($T6&lt;&gt;"",EDATE($D6,Milestones!$AA$199)&gt;=$T6),$W6,IF(AND($S6&lt;&gt;"",EDATE($D6,Milestones!$AA$199)&gt;=$S6),$V6,$U6)))=Milestones!$AB$199),UPPER(TEXT(EDATE($D6,Milestones!$AA$199),"dd mmm yy"))&amp;" "&amp;Milestones!$AB$199&amp;" "&amp;Milestones!$AC$199&amp;";  ",""))</f>
        <v/>
      </c>
      <c r="R6" s="0" t="str">
        <f aca="false">IF(Staff!$A6="","",Staff!$AI6)</f>
        <v/>
      </c>
      <c r="S6" s="0" t="str">
        <f aca="false">IF(Staff!$A6="","",Staff!$AK6)</f>
        <v/>
      </c>
      <c r="T6" s="0" t="str">
        <f aca="false">IF(Staff!$A6="","",Staff!$AL6)</f>
        <v/>
      </c>
      <c r="U6" s="0" t="str">
        <f aca="false">IF(Staff!$A6="","",Staff!$AP6)</f>
        <v/>
      </c>
      <c r="V6" s="0" t="str">
        <f aca="false">IF(Staff!$A6="","",Staff!$AQ6)</f>
        <v/>
      </c>
      <c r="W6" s="0" t="str">
        <f aca="false">IF(Staff!$A6="","",Staff!$AR6)</f>
        <v/>
      </c>
      <c r="X6" s="0" t="str">
        <f aca="false">IF(Staff!$A6="","",Staff!$AS6)</f>
        <v/>
      </c>
    </row>
    <row r="7" customFormat="false" ht="15" hidden="false" customHeight="false" outlineLevel="0" collapsed="false">
      <c r="A7" s="14" t="str">
        <f aca="false">IF(Staff!$A7="","",Staff!$A7)</f>
        <v/>
      </c>
      <c r="B7" s="14" t="str">
        <f aca="false">IF(Staff!$A7="","",Staff!$B7)</f>
        <v/>
      </c>
      <c r="C7" s="14" t="str">
        <f aca="false">IF(Staff!$A7="","",Staff!$C7)</f>
        <v/>
      </c>
      <c r="D7" s="12" t="str">
        <f aca="false">IF(Staff!$A7="","",Staff!$AH7)</f>
        <v/>
      </c>
      <c r="E7" s="14" t="str">
        <f aca="false">IF(Staff!$A7="","",Staff!$O7)</f>
        <v/>
      </c>
      <c r="F7" s="14" t="str">
        <f aca="false">IF(E7="","",E7*HoursPerDay)</f>
        <v/>
      </c>
      <c r="G7" s="14" t="str">
        <f aca="false">IF(Staff!$A7="","",Staff!$AE7)</f>
        <v/>
      </c>
      <c r="H7" s="26" t="str">
        <f aca="false">IF($A7="","",I7&amp;J7&amp;K7&amp;L7&amp;M7&amp;N7&amp;O7&amp;P7&amp;Q7)</f>
        <v/>
      </c>
      <c r="I7" s="0" t="str">
        <f aca="false">IF(OR($A7="",$D7=""),"",IF(AND(EDATE($D7,Milestones!$AA$20)&lt;=AsOfDate,IF($R7=0,$X7,IF(AND($T7&lt;&gt;"",EDATE($D7,Milestones!$AA$20)&gt;=$T7),$W7,IF(AND($S7&lt;&gt;"",EDATE($D7,Milestones!$AA$20)&gt;=$S7),$V7,$U7)))=Milestones!$AB$20),UPPER(TEXT(EDATE($D7,Milestones!$AA$20),"dd mmm yy"))&amp;" "&amp;Milestones!$AB$20&amp;" "&amp;Milestones!$AC$20&amp;";  ","")&amp;IF(AND(EDATE($D7,Milestones!$AA$21)&lt;=AsOfDate,IF($R7=0,$X7,IF(AND($T7&lt;&gt;"",EDATE($D7,Milestones!$AA$21)&gt;=$T7),$W7,IF(AND($S7&lt;&gt;"",EDATE($D7,Milestones!$AA$21)&gt;=$S7),$V7,$U7)))=Milestones!$AB$21),UPPER(TEXT(EDATE($D7,Milestones!$AA$21),"dd mmm yy"))&amp;" "&amp;Milestones!$AB$21&amp;" "&amp;Milestones!$AC$21&amp;";  ","")&amp;IF(AND(EDATE($D7,Milestones!$AA$22)&lt;=AsOfDate,IF($R7=0,$X7,IF(AND($T7&lt;&gt;"",EDATE($D7,Milestones!$AA$22)&gt;=$T7),$W7,IF(AND($S7&lt;&gt;"",EDATE($D7,Milestones!$AA$22)&gt;=$S7),$V7,$U7)))=Milestones!$AB$22),UPPER(TEXT(EDATE($D7,Milestones!$AA$22),"dd mmm yy"))&amp;" "&amp;Milestones!$AB$22&amp;" "&amp;Milestones!$AC$22&amp;";  ","")&amp;IF(AND(EDATE($D7,Milestones!$AA$23)&lt;=AsOfDate,IF($R7=0,$X7,IF(AND($T7&lt;&gt;"",EDATE($D7,Milestones!$AA$23)&gt;=$T7),$W7,IF(AND($S7&lt;&gt;"",EDATE($D7,Milestones!$AA$23)&gt;=$S7),$V7,$U7)))=Milestones!$AB$23),UPPER(TEXT(EDATE($D7,Milestones!$AA$23),"dd mmm yy"))&amp;" "&amp;Milestones!$AB$23&amp;" "&amp;Milestones!$AC$23&amp;";  ","")&amp;IF(AND(EDATE($D7,Milestones!$AA$24)&lt;=AsOfDate,IF($R7=0,$X7,IF(AND($T7&lt;&gt;"",EDATE($D7,Milestones!$AA$24)&gt;=$T7),$W7,IF(AND($S7&lt;&gt;"",EDATE($D7,Milestones!$AA$24)&gt;=$S7),$V7,$U7)))=Milestones!$AB$24),UPPER(TEXT(EDATE($D7,Milestones!$AA$24),"dd mmm yy"))&amp;" "&amp;Milestones!$AB$24&amp;" "&amp;Milestones!$AC$24&amp;";  ","")&amp;IF(AND(EDATE($D7,Milestones!$AA$25)&lt;=AsOfDate,IF($R7=0,$X7,IF(AND($T7&lt;&gt;"",EDATE($D7,Milestones!$AA$25)&gt;=$T7),$W7,IF(AND($S7&lt;&gt;"",EDATE($D7,Milestones!$AA$25)&gt;=$S7),$V7,$U7)))=Milestones!$AB$25),UPPER(TEXT(EDATE($D7,Milestones!$AA$25),"dd mmm yy"))&amp;" "&amp;Milestones!$AB$25&amp;" "&amp;Milestones!$AC$25&amp;";  ","")&amp;IF(AND(EDATE($D7,Milestones!$AA$26)&lt;=AsOfDate,IF($R7=0,$X7,IF(AND($T7&lt;&gt;"",EDATE($D7,Milestones!$AA$26)&gt;=$T7),$W7,IF(AND($S7&lt;&gt;"",EDATE($D7,Milestones!$AA$26)&gt;=$S7),$V7,$U7)))=Milestones!$AB$26),UPPER(TEXT(EDATE($D7,Milestones!$AA$26),"dd mmm yy"))&amp;" "&amp;Milestones!$AB$26&amp;" "&amp;Milestones!$AC$26&amp;";  ","")&amp;IF(AND(EDATE($D7,Milestones!$AA$27)&lt;=AsOfDate,IF($R7=0,$X7,IF(AND($T7&lt;&gt;"",EDATE($D7,Milestones!$AA$27)&gt;=$T7),$W7,IF(AND($S7&lt;&gt;"",EDATE($D7,Milestones!$AA$27)&gt;=$S7),$V7,$U7)))=Milestones!$AB$27),UPPER(TEXT(EDATE($D7,Milestones!$AA$27),"dd mmm yy"))&amp;" "&amp;Milestones!$AB$27&amp;" "&amp;Milestones!$AC$27&amp;";  ","")&amp;IF(AND(EDATE($D7,Milestones!$AA$28)&lt;=AsOfDate,IF($R7=0,$X7,IF(AND($T7&lt;&gt;"",EDATE($D7,Milestones!$AA$28)&gt;=$T7),$W7,IF(AND($S7&lt;&gt;"",EDATE($D7,Milestones!$AA$28)&gt;=$S7),$V7,$U7)))=Milestones!$AB$28),UPPER(TEXT(EDATE($D7,Milestones!$AA$28),"dd mmm yy"))&amp;" "&amp;Milestones!$AB$28&amp;" "&amp;Milestones!$AC$28&amp;";  ","")&amp;IF(AND(EDATE($D7,Milestones!$AA$29)&lt;=AsOfDate,IF($R7=0,$X7,IF(AND($T7&lt;&gt;"",EDATE($D7,Milestones!$AA$29)&gt;=$T7),$W7,IF(AND($S7&lt;&gt;"",EDATE($D7,Milestones!$AA$29)&gt;=$S7),$V7,$U7)))=Milestones!$AB$29),UPPER(TEXT(EDATE($D7,Milestones!$AA$29),"dd mmm yy"))&amp;" "&amp;Milestones!$AB$29&amp;" "&amp;Milestones!$AC$29&amp;";  ","")&amp;IF(AND(EDATE($D7,Milestones!$AA$30)&lt;=AsOfDate,IF($R7=0,$X7,IF(AND($T7&lt;&gt;"",EDATE($D7,Milestones!$AA$30)&gt;=$T7),$W7,IF(AND($S7&lt;&gt;"",EDATE($D7,Milestones!$AA$30)&gt;=$S7),$V7,$U7)))=Milestones!$AB$30),UPPER(TEXT(EDATE($D7,Milestones!$AA$30),"dd mmm yy"))&amp;" "&amp;Milestones!$AB$30&amp;" "&amp;Milestones!$AC$30&amp;";  ","")&amp;IF(AND(EDATE($D7,Milestones!$AA$31)&lt;=AsOfDate,IF($R7=0,$X7,IF(AND($T7&lt;&gt;"",EDATE($D7,Milestones!$AA$31)&gt;=$T7),$W7,IF(AND($S7&lt;&gt;"",EDATE($D7,Milestones!$AA$31)&gt;=$S7),$V7,$U7)))=Milestones!$AB$31),UPPER(TEXT(EDATE($D7,Milestones!$AA$31),"dd mmm yy"))&amp;" "&amp;Milestones!$AB$31&amp;" "&amp;Milestones!$AC$31&amp;";  ","")&amp;IF(AND(EDATE($D7,Milestones!$AA$32)&lt;=AsOfDate,IF($R7=0,$X7,IF(AND($T7&lt;&gt;"",EDATE($D7,Milestones!$AA$32)&gt;=$T7),$W7,IF(AND($S7&lt;&gt;"",EDATE($D7,Milestones!$AA$32)&gt;=$S7),$V7,$U7)))=Milestones!$AB$32),UPPER(TEXT(EDATE($D7,Milestones!$AA$32),"dd mmm yy"))&amp;" "&amp;Milestones!$AB$32&amp;" "&amp;Milestones!$AC$32&amp;";  ","")&amp;IF(AND(EDATE($D7,Milestones!$AA$33)&lt;=AsOfDate,IF($R7=0,$X7,IF(AND($T7&lt;&gt;"",EDATE($D7,Milestones!$AA$33)&gt;=$T7),$W7,IF(AND($S7&lt;&gt;"",EDATE($D7,Milestones!$AA$33)&gt;=$S7),$V7,$U7)))=Milestones!$AB$33),UPPER(TEXT(EDATE($D7,Milestones!$AA$33),"dd mmm yy"))&amp;" "&amp;Milestones!$AB$33&amp;" "&amp;Milestones!$AC$33&amp;";  ","")&amp;IF(AND(EDATE($D7,Milestones!$AA$34)&lt;=AsOfDate,IF($R7=0,$X7,IF(AND($T7&lt;&gt;"",EDATE($D7,Milestones!$AA$34)&gt;=$T7),$W7,IF(AND($S7&lt;&gt;"",EDATE($D7,Milestones!$AA$34)&gt;=$S7),$V7,$U7)))=Milestones!$AB$34),UPPER(TEXT(EDATE($D7,Milestones!$AA$34),"dd mmm yy"))&amp;" "&amp;Milestones!$AB$34&amp;" "&amp;Milestones!$AC$34&amp;";  ","")&amp;IF(AND(EDATE($D7,Milestones!$AA$35)&lt;=AsOfDate,IF($R7=0,$X7,IF(AND($T7&lt;&gt;"",EDATE($D7,Milestones!$AA$35)&gt;=$T7),$W7,IF(AND($S7&lt;&gt;"",EDATE($D7,Milestones!$AA$35)&gt;=$S7),$V7,$U7)))=Milestones!$AB$35),UPPER(TEXT(EDATE($D7,Milestones!$AA$35),"dd mmm yy"))&amp;" "&amp;Milestones!$AB$35&amp;" "&amp;Milestones!$AC$35&amp;";  ","")&amp;IF(AND(EDATE($D7,Milestones!$AA$36)&lt;=AsOfDate,IF($R7=0,$X7,IF(AND($T7&lt;&gt;"",EDATE($D7,Milestones!$AA$36)&gt;=$T7),$W7,IF(AND($S7&lt;&gt;"",EDATE($D7,Milestones!$AA$36)&gt;=$S7),$V7,$U7)))=Milestones!$AB$36),UPPER(TEXT(EDATE($D7,Milestones!$AA$36),"dd mmm yy"))&amp;" "&amp;Milestones!$AB$36&amp;" "&amp;Milestones!$AC$36&amp;";  ","")&amp;IF(AND(EDATE($D7,Milestones!$AA$37)&lt;=AsOfDate,IF($R7=0,$X7,IF(AND($T7&lt;&gt;"",EDATE($D7,Milestones!$AA$37)&gt;=$T7),$W7,IF(AND($S7&lt;&gt;"",EDATE($D7,Milestones!$AA$37)&gt;=$S7),$V7,$U7)))=Milestones!$AB$37),UPPER(TEXT(EDATE($D7,Milestones!$AA$37),"dd mmm yy"))&amp;" "&amp;Milestones!$AB$37&amp;" "&amp;Milestones!$AC$37&amp;";  ","")&amp;IF(AND(EDATE($D7,Milestones!$AA$38)&lt;=AsOfDate,IF($R7=0,$X7,IF(AND($T7&lt;&gt;"",EDATE($D7,Milestones!$AA$38)&gt;=$T7),$W7,IF(AND($S7&lt;&gt;"",EDATE($D7,Milestones!$AA$38)&gt;=$S7),$V7,$U7)))=Milestones!$AB$38),UPPER(TEXT(EDATE($D7,Milestones!$AA$38),"dd mmm yy"))&amp;" "&amp;Milestones!$AB$38&amp;" "&amp;Milestones!$AC$38&amp;";  ","")&amp;IF(AND(EDATE($D7,Milestones!$AA$39)&lt;=AsOfDate,IF($R7=0,$X7,IF(AND($T7&lt;&gt;"",EDATE($D7,Milestones!$AA$39)&gt;=$T7),$W7,IF(AND($S7&lt;&gt;"",EDATE($D7,Milestones!$AA$39)&gt;=$S7),$V7,$U7)))=Milestones!$AB$39),UPPER(TEXT(EDATE($D7,Milestones!$AA$39),"dd mmm yy"))&amp;" "&amp;Milestones!$AB$39&amp;" "&amp;Milestones!$AC$39&amp;";  ",""))</f>
        <v/>
      </c>
      <c r="J7" s="0" t="str">
        <f aca="false">IF(OR($A7="",$D7=""),"",IF(AND(EDATE($D7,Milestones!$AA$40)&lt;=AsOfDate,IF($R7=0,$X7,IF(AND($T7&lt;&gt;"",EDATE($D7,Milestones!$AA$40)&gt;=$T7),$W7,IF(AND($S7&lt;&gt;"",EDATE($D7,Milestones!$AA$40)&gt;=$S7),$V7,$U7)))=Milestones!$AB$40),UPPER(TEXT(EDATE($D7,Milestones!$AA$40),"dd mmm yy"))&amp;" "&amp;Milestones!$AB$40&amp;" "&amp;Milestones!$AC$40&amp;";  ","")&amp;IF(AND(EDATE($D7,Milestones!$AA$41)&lt;=AsOfDate,IF($R7=0,$X7,IF(AND($T7&lt;&gt;"",EDATE($D7,Milestones!$AA$41)&gt;=$T7),$W7,IF(AND($S7&lt;&gt;"",EDATE($D7,Milestones!$AA$41)&gt;=$S7),$V7,$U7)))=Milestones!$AB$41),UPPER(TEXT(EDATE($D7,Milestones!$AA$41),"dd mmm yy"))&amp;" "&amp;Milestones!$AB$41&amp;" "&amp;Milestones!$AC$41&amp;";  ","")&amp;IF(AND(EDATE($D7,Milestones!$AA$42)&lt;=AsOfDate,IF($R7=0,$X7,IF(AND($T7&lt;&gt;"",EDATE($D7,Milestones!$AA$42)&gt;=$T7),$W7,IF(AND($S7&lt;&gt;"",EDATE($D7,Milestones!$AA$42)&gt;=$S7),$V7,$U7)))=Milestones!$AB$42),UPPER(TEXT(EDATE($D7,Milestones!$AA$42),"dd mmm yy"))&amp;" "&amp;Milestones!$AB$42&amp;" "&amp;Milestones!$AC$42&amp;";  ","")&amp;IF(AND(EDATE($D7,Milestones!$AA$43)&lt;=AsOfDate,IF($R7=0,$X7,IF(AND($T7&lt;&gt;"",EDATE($D7,Milestones!$AA$43)&gt;=$T7),$W7,IF(AND($S7&lt;&gt;"",EDATE($D7,Milestones!$AA$43)&gt;=$S7),$V7,$U7)))=Milestones!$AB$43),UPPER(TEXT(EDATE($D7,Milestones!$AA$43),"dd mmm yy"))&amp;" "&amp;Milestones!$AB$43&amp;" "&amp;Milestones!$AC$43&amp;";  ","")&amp;IF(AND(EDATE($D7,Milestones!$AA$44)&lt;=AsOfDate,IF($R7=0,$X7,IF(AND($T7&lt;&gt;"",EDATE($D7,Milestones!$AA$44)&gt;=$T7),$W7,IF(AND($S7&lt;&gt;"",EDATE($D7,Milestones!$AA$44)&gt;=$S7),$V7,$U7)))=Milestones!$AB$44),UPPER(TEXT(EDATE($D7,Milestones!$AA$44),"dd mmm yy"))&amp;" "&amp;Milestones!$AB$44&amp;" "&amp;Milestones!$AC$44&amp;";  ","")&amp;IF(AND(EDATE($D7,Milestones!$AA$45)&lt;=AsOfDate,IF($R7=0,$X7,IF(AND($T7&lt;&gt;"",EDATE($D7,Milestones!$AA$45)&gt;=$T7),$W7,IF(AND($S7&lt;&gt;"",EDATE($D7,Milestones!$AA$45)&gt;=$S7),$V7,$U7)))=Milestones!$AB$45),UPPER(TEXT(EDATE($D7,Milestones!$AA$45),"dd mmm yy"))&amp;" "&amp;Milestones!$AB$45&amp;" "&amp;Milestones!$AC$45&amp;";  ","")&amp;IF(AND(EDATE($D7,Milestones!$AA$46)&lt;=AsOfDate,IF($R7=0,$X7,IF(AND($T7&lt;&gt;"",EDATE($D7,Milestones!$AA$46)&gt;=$T7),$W7,IF(AND($S7&lt;&gt;"",EDATE($D7,Milestones!$AA$46)&gt;=$S7),$V7,$U7)))=Milestones!$AB$46),UPPER(TEXT(EDATE($D7,Milestones!$AA$46),"dd mmm yy"))&amp;" "&amp;Milestones!$AB$46&amp;" "&amp;Milestones!$AC$46&amp;";  ","")&amp;IF(AND(EDATE($D7,Milestones!$AA$47)&lt;=AsOfDate,IF($R7=0,$X7,IF(AND($T7&lt;&gt;"",EDATE($D7,Milestones!$AA$47)&gt;=$T7),$W7,IF(AND($S7&lt;&gt;"",EDATE($D7,Milestones!$AA$47)&gt;=$S7),$V7,$U7)))=Milestones!$AB$47),UPPER(TEXT(EDATE($D7,Milestones!$AA$47),"dd mmm yy"))&amp;" "&amp;Milestones!$AB$47&amp;" "&amp;Milestones!$AC$47&amp;";  ","")&amp;IF(AND(EDATE($D7,Milestones!$AA$48)&lt;=AsOfDate,IF($R7=0,$X7,IF(AND($T7&lt;&gt;"",EDATE($D7,Milestones!$AA$48)&gt;=$T7),$W7,IF(AND($S7&lt;&gt;"",EDATE($D7,Milestones!$AA$48)&gt;=$S7),$V7,$U7)))=Milestones!$AB$48),UPPER(TEXT(EDATE($D7,Milestones!$AA$48),"dd mmm yy"))&amp;" "&amp;Milestones!$AB$48&amp;" "&amp;Milestones!$AC$48&amp;";  ","")&amp;IF(AND(EDATE($D7,Milestones!$AA$49)&lt;=AsOfDate,IF($R7=0,$X7,IF(AND($T7&lt;&gt;"",EDATE($D7,Milestones!$AA$49)&gt;=$T7),$W7,IF(AND($S7&lt;&gt;"",EDATE($D7,Milestones!$AA$49)&gt;=$S7),$V7,$U7)))=Milestones!$AB$49),UPPER(TEXT(EDATE($D7,Milestones!$AA$49),"dd mmm yy"))&amp;" "&amp;Milestones!$AB$49&amp;" "&amp;Milestones!$AC$49&amp;";  ","")&amp;IF(AND(EDATE($D7,Milestones!$AA$50)&lt;=AsOfDate,IF($R7=0,$X7,IF(AND($T7&lt;&gt;"",EDATE($D7,Milestones!$AA$50)&gt;=$T7),$W7,IF(AND($S7&lt;&gt;"",EDATE($D7,Milestones!$AA$50)&gt;=$S7),$V7,$U7)))=Milestones!$AB$50),UPPER(TEXT(EDATE($D7,Milestones!$AA$50),"dd mmm yy"))&amp;" "&amp;Milestones!$AB$50&amp;" "&amp;Milestones!$AC$50&amp;";  ","")&amp;IF(AND(EDATE($D7,Milestones!$AA$51)&lt;=AsOfDate,IF($R7=0,$X7,IF(AND($T7&lt;&gt;"",EDATE($D7,Milestones!$AA$51)&gt;=$T7),$W7,IF(AND($S7&lt;&gt;"",EDATE($D7,Milestones!$AA$51)&gt;=$S7),$V7,$U7)))=Milestones!$AB$51),UPPER(TEXT(EDATE($D7,Milestones!$AA$51),"dd mmm yy"))&amp;" "&amp;Milestones!$AB$51&amp;" "&amp;Milestones!$AC$51&amp;";  ","")&amp;IF(AND(EDATE($D7,Milestones!$AA$52)&lt;=AsOfDate,IF($R7=0,$X7,IF(AND($T7&lt;&gt;"",EDATE($D7,Milestones!$AA$52)&gt;=$T7),$W7,IF(AND($S7&lt;&gt;"",EDATE($D7,Milestones!$AA$52)&gt;=$S7),$V7,$U7)))=Milestones!$AB$52),UPPER(TEXT(EDATE($D7,Milestones!$AA$52),"dd mmm yy"))&amp;" "&amp;Milestones!$AB$52&amp;" "&amp;Milestones!$AC$52&amp;";  ","")&amp;IF(AND(EDATE($D7,Milestones!$AA$53)&lt;=AsOfDate,IF($R7=0,$X7,IF(AND($T7&lt;&gt;"",EDATE($D7,Milestones!$AA$53)&gt;=$T7),$W7,IF(AND($S7&lt;&gt;"",EDATE($D7,Milestones!$AA$53)&gt;=$S7),$V7,$U7)))=Milestones!$AB$53),UPPER(TEXT(EDATE($D7,Milestones!$AA$53),"dd mmm yy"))&amp;" "&amp;Milestones!$AB$53&amp;" "&amp;Milestones!$AC$53&amp;";  ","")&amp;IF(AND(EDATE($D7,Milestones!$AA$54)&lt;=AsOfDate,IF($R7=0,$X7,IF(AND($T7&lt;&gt;"",EDATE($D7,Milestones!$AA$54)&gt;=$T7),$W7,IF(AND($S7&lt;&gt;"",EDATE($D7,Milestones!$AA$54)&gt;=$S7),$V7,$U7)))=Milestones!$AB$54),UPPER(TEXT(EDATE($D7,Milestones!$AA$54),"dd mmm yy"))&amp;" "&amp;Milestones!$AB$54&amp;" "&amp;Milestones!$AC$54&amp;";  ","")&amp;IF(AND(EDATE($D7,Milestones!$AA$55)&lt;=AsOfDate,IF($R7=0,$X7,IF(AND($T7&lt;&gt;"",EDATE($D7,Milestones!$AA$55)&gt;=$T7),$W7,IF(AND($S7&lt;&gt;"",EDATE($D7,Milestones!$AA$55)&gt;=$S7),$V7,$U7)))=Milestones!$AB$55),UPPER(TEXT(EDATE($D7,Milestones!$AA$55),"dd mmm yy"))&amp;" "&amp;Milestones!$AB$55&amp;" "&amp;Milestones!$AC$55&amp;";  ","")&amp;IF(AND(EDATE($D7,Milestones!$AA$56)&lt;=AsOfDate,IF($R7=0,$X7,IF(AND($T7&lt;&gt;"",EDATE($D7,Milestones!$AA$56)&gt;=$T7),$W7,IF(AND($S7&lt;&gt;"",EDATE($D7,Milestones!$AA$56)&gt;=$S7),$V7,$U7)))=Milestones!$AB$56),UPPER(TEXT(EDATE($D7,Milestones!$AA$56),"dd mmm yy"))&amp;" "&amp;Milestones!$AB$56&amp;" "&amp;Milestones!$AC$56&amp;";  ","")&amp;IF(AND(EDATE($D7,Milestones!$AA$57)&lt;=AsOfDate,IF($R7=0,$X7,IF(AND($T7&lt;&gt;"",EDATE($D7,Milestones!$AA$57)&gt;=$T7),$W7,IF(AND($S7&lt;&gt;"",EDATE($D7,Milestones!$AA$57)&gt;=$S7),$V7,$U7)))=Milestones!$AB$57),UPPER(TEXT(EDATE($D7,Milestones!$AA$57),"dd mmm yy"))&amp;" "&amp;Milestones!$AB$57&amp;" "&amp;Milestones!$AC$57&amp;";  ","")&amp;IF(AND(EDATE($D7,Milestones!$AA$58)&lt;=AsOfDate,IF($R7=0,$X7,IF(AND($T7&lt;&gt;"",EDATE($D7,Milestones!$AA$58)&gt;=$T7),$W7,IF(AND($S7&lt;&gt;"",EDATE($D7,Milestones!$AA$58)&gt;=$S7),$V7,$U7)))=Milestones!$AB$58),UPPER(TEXT(EDATE($D7,Milestones!$AA$58),"dd mmm yy"))&amp;" "&amp;Milestones!$AB$58&amp;" "&amp;Milestones!$AC$58&amp;";  ","")&amp;IF(AND(EDATE($D7,Milestones!$AA$59)&lt;=AsOfDate,IF($R7=0,$X7,IF(AND($T7&lt;&gt;"",EDATE($D7,Milestones!$AA$59)&gt;=$T7),$W7,IF(AND($S7&lt;&gt;"",EDATE($D7,Milestones!$AA$59)&gt;=$S7),$V7,$U7)))=Milestones!$AB$59),UPPER(TEXT(EDATE($D7,Milestones!$AA$59),"dd mmm yy"))&amp;" "&amp;Milestones!$AB$59&amp;" "&amp;Milestones!$AC$59&amp;";  ",""))</f>
        <v/>
      </c>
      <c r="K7" s="0" t="str">
        <f aca="false">IF(OR($A7="",$D7=""),"",IF(AND(EDATE($D7,Milestones!$AA$60)&lt;=AsOfDate,IF($R7=0,$X7,IF(AND($T7&lt;&gt;"",EDATE($D7,Milestones!$AA$60)&gt;=$T7),$W7,IF(AND($S7&lt;&gt;"",EDATE($D7,Milestones!$AA$60)&gt;=$S7),$V7,$U7)))=Milestones!$AB$60),UPPER(TEXT(EDATE($D7,Milestones!$AA$60),"dd mmm yy"))&amp;" "&amp;Milestones!$AB$60&amp;" "&amp;Milestones!$AC$60&amp;";  ","")&amp;IF(AND(EDATE($D7,Milestones!$AA$61)&lt;=AsOfDate,IF($R7=0,$X7,IF(AND($T7&lt;&gt;"",EDATE($D7,Milestones!$AA$61)&gt;=$T7),$W7,IF(AND($S7&lt;&gt;"",EDATE($D7,Milestones!$AA$61)&gt;=$S7),$V7,$U7)))=Milestones!$AB$61),UPPER(TEXT(EDATE($D7,Milestones!$AA$61),"dd mmm yy"))&amp;" "&amp;Milestones!$AB$61&amp;" "&amp;Milestones!$AC$61&amp;";  ","")&amp;IF(AND(EDATE($D7,Milestones!$AA$62)&lt;=AsOfDate,IF($R7=0,$X7,IF(AND($T7&lt;&gt;"",EDATE($D7,Milestones!$AA$62)&gt;=$T7),$W7,IF(AND($S7&lt;&gt;"",EDATE($D7,Milestones!$AA$62)&gt;=$S7),$V7,$U7)))=Milestones!$AB$62),UPPER(TEXT(EDATE($D7,Milestones!$AA$62),"dd mmm yy"))&amp;" "&amp;Milestones!$AB$62&amp;" "&amp;Milestones!$AC$62&amp;";  ","")&amp;IF(AND(EDATE($D7,Milestones!$AA$63)&lt;=AsOfDate,IF($R7=0,$X7,IF(AND($T7&lt;&gt;"",EDATE($D7,Milestones!$AA$63)&gt;=$T7),$W7,IF(AND($S7&lt;&gt;"",EDATE($D7,Milestones!$AA$63)&gt;=$S7),$V7,$U7)))=Milestones!$AB$63),UPPER(TEXT(EDATE($D7,Milestones!$AA$63),"dd mmm yy"))&amp;" "&amp;Milestones!$AB$63&amp;" "&amp;Milestones!$AC$63&amp;";  ","")&amp;IF(AND(EDATE($D7,Milestones!$AA$64)&lt;=AsOfDate,IF($R7=0,$X7,IF(AND($T7&lt;&gt;"",EDATE($D7,Milestones!$AA$64)&gt;=$T7),$W7,IF(AND($S7&lt;&gt;"",EDATE($D7,Milestones!$AA$64)&gt;=$S7),$V7,$U7)))=Milestones!$AB$64),UPPER(TEXT(EDATE($D7,Milestones!$AA$64),"dd mmm yy"))&amp;" "&amp;Milestones!$AB$64&amp;" "&amp;Milestones!$AC$64&amp;";  ","")&amp;IF(AND(EDATE($D7,Milestones!$AA$65)&lt;=AsOfDate,IF($R7=0,$X7,IF(AND($T7&lt;&gt;"",EDATE($D7,Milestones!$AA$65)&gt;=$T7),$W7,IF(AND($S7&lt;&gt;"",EDATE($D7,Milestones!$AA$65)&gt;=$S7),$V7,$U7)))=Milestones!$AB$65),UPPER(TEXT(EDATE($D7,Milestones!$AA$65),"dd mmm yy"))&amp;" "&amp;Milestones!$AB$65&amp;" "&amp;Milestones!$AC$65&amp;";  ","")&amp;IF(AND(EDATE($D7,Milestones!$AA$66)&lt;=AsOfDate,IF($R7=0,$X7,IF(AND($T7&lt;&gt;"",EDATE($D7,Milestones!$AA$66)&gt;=$T7),$W7,IF(AND($S7&lt;&gt;"",EDATE($D7,Milestones!$AA$66)&gt;=$S7),$V7,$U7)))=Milestones!$AB$66),UPPER(TEXT(EDATE($D7,Milestones!$AA$66),"dd mmm yy"))&amp;" "&amp;Milestones!$AB$66&amp;" "&amp;Milestones!$AC$66&amp;";  ","")&amp;IF(AND(EDATE($D7,Milestones!$AA$67)&lt;=AsOfDate,IF($R7=0,$X7,IF(AND($T7&lt;&gt;"",EDATE($D7,Milestones!$AA$67)&gt;=$T7),$W7,IF(AND($S7&lt;&gt;"",EDATE($D7,Milestones!$AA$67)&gt;=$S7),$V7,$U7)))=Milestones!$AB$67),UPPER(TEXT(EDATE($D7,Milestones!$AA$67),"dd mmm yy"))&amp;" "&amp;Milestones!$AB$67&amp;" "&amp;Milestones!$AC$67&amp;";  ","")&amp;IF(AND(EDATE($D7,Milestones!$AA$68)&lt;=AsOfDate,IF($R7=0,$X7,IF(AND($T7&lt;&gt;"",EDATE($D7,Milestones!$AA$68)&gt;=$T7),$W7,IF(AND($S7&lt;&gt;"",EDATE($D7,Milestones!$AA$68)&gt;=$S7),$V7,$U7)))=Milestones!$AB$68),UPPER(TEXT(EDATE($D7,Milestones!$AA$68),"dd mmm yy"))&amp;" "&amp;Milestones!$AB$68&amp;" "&amp;Milestones!$AC$68&amp;";  ","")&amp;IF(AND(EDATE($D7,Milestones!$AA$69)&lt;=AsOfDate,IF($R7=0,$X7,IF(AND($T7&lt;&gt;"",EDATE($D7,Milestones!$AA$69)&gt;=$T7),$W7,IF(AND($S7&lt;&gt;"",EDATE($D7,Milestones!$AA$69)&gt;=$S7),$V7,$U7)))=Milestones!$AB$69),UPPER(TEXT(EDATE($D7,Milestones!$AA$69),"dd mmm yy"))&amp;" "&amp;Milestones!$AB$69&amp;" "&amp;Milestones!$AC$69&amp;";  ","")&amp;IF(AND(EDATE($D7,Milestones!$AA$70)&lt;=AsOfDate,IF($R7=0,$X7,IF(AND($T7&lt;&gt;"",EDATE($D7,Milestones!$AA$70)&gt;=$T7),$W7,IF(AND($S7&lt;&gt;"",EDATE($D7,Milestones!$AA$70)&gt;=$S7),$V7,$U7)))=Milestones!$AB$70),UPPER(TEXT(EDATE($D7,Milestones!$AA$70),"dd mmm yy"))&amp;" "&amp;Milestones!$AB$70&amp;" "&amp;Milestones!$AC$70&amp;";  ","")&amp;IF(AND(EDATE($D7,Milestones!$AA$71)&lt;=AsOfDate,IF($R7=0,$X7,IF(AND($T7&lt;&gt;"",EDATE($D7,Milestones!$AA$71)&gt;=$T7),$W7,IF(AND($S7&lt;&gt;"",EDATE($D7,Milestones!$AA$71)&gt;=$S7),$V7,$U7)))=Milestones!$AB$71),UPPER(TEXT(EDATE($D7,Milestones!$AA$71),"dd mmm yy"))&amp;" "&amp;Milestones!$AB$71&amp;" "&amp;Milestones!$AC$71&amp;";  ","")&amp;IF(AND(EDATE($D7,Milestones!$AA$72)&lt;=AsOfDate,IF($R7=0,$X7,IF(AND($T7&lt;&gt;"",EDATE($D7,Milestones!$AA$72)&gt;=$T7),$W7,IF(AND($S7&lt;&gt;"",EDATE($D7,Milestones!$AA$72)&gt;=$S7),$V7,$U7)))=Milestones!$AB$72),UPPER(TEXT(EDATE($D7,Milestones!$AA$72),"dd mmm yy"))&amp;" "&amp;Milestones!$AB$72&amp;" "&amp;Milestones!$AC$72&amp;";  ","")&amp;IF(AND(EDATE($D7,Milestones!$AA$73)&lt;=AsOfDate,IF($R7=0,$X7,IF(AND($T7&lt;&gt;"",EDATE($D7,Milestones!$AA$73)&gt;=$T7),$W7,IF(AND($S7&lt;&gt;"",EDATE($D7,Milestones!$AA$73)&gt;=$S7),$V7,$U7)))=Milestones!$AB$73),UPPER(TEXT(EDATE($D7,Milestones!$AA$73),"dd mmm yy"))&amp;" "&amp;Milestones!$AB$73&amp;" "&amp;Milestones!$AC$73&amp;";  ","")&amp;IF(AND(EDATE($D7,Milestones!$AA$74)&lt;=AsOfDate,IF($R7=0,$X7,IF(AND($T7&lt;&gt;"",EDATE($D7,Milestones!$AA$74)&gt;=$T7),$W7,IF(AND($S7&lt;&gt;"",EDATE($D7,Milestones!$AA$74)&gt;=$S7),$V7,$U7)))=Milestones!$AB$74),UPPER(TEXT(EDATE($D7,Milestones!$AA$74),"dd mmm yy"))&amp;" "&amp;Milestones!$AB$74&amp;" "&amp;Milestones!$AC$74&amp;";  ","")&amp;IF(AND(EDATE($D7,Milestones!$AA$75)&lt;=AsOfDate,IF($R7=0,$X7,IF(AND($T7&lt;&gt;"",EDATE($D7,Milestones!$AA$75)&gt;=$T7),$W7,IF(AND($S7&lt;&gt;"",EDATE($D7,Milestones!$AA$75)&gt;=$S7),$V7,$U7)))=Milestones!$AB$75),UPPER(TEXT(EDATE($D7,Milestones!$AA$75),"dd mmm yy"))&amp;" "&amp;Milestones!$AB$75&amp;" "&amp;Milestones!$AC$75&amp;";  ","")&amp;IF(AND(EDATE($D7,Milestones!$AA$76)&lt;=AsOfDate,IF($R7=0,$X7,IF(AND($T7&lt;&gt;"",EDATE($D7,Milestones!$AA$76)&gt;=$T7),$W7,IF(AND($S7&lt;&gt;"",EDATE($D7,Milestones!$AA$76)&gt;=$S7),$V7,$U7)))=Milestones!$AB$76),UPPER(TEXT(EDATE($D7,Milestones!$AA$76),"dd mmm yy"))&amp;" "&amp;Milestones!$AB$76&amp;" "&amp;Milestones!$AC$76&amp;";  ","")&amp;IF(AND(EDATE($D7,Milestones!$AA$77)&lt;=AsOfDate,IF($R7=0,$X7,IF(AND($T7&lt;&gt;"",EDATE($D7,Milestones!$AA$77)&gt;=$T7),$W7,IF(AND($S7&lt;&gt;"",EDATE($D7,Milestones!$AA$77)&gt;=$S7),$V7,$U7)))=Milestones!$AB$77),UPPER(TEXT(EDATE($D7,Milestones!$AA$77),"dd mmm yy"))&amp;" "&amp;Milestones!$AB$77&amp;" "&amp;Milestones!$AC$77&amp;";  ","")&amp;IF(AND(EDATE($D7,Milestones!$AA$78)&lt;=AsOfDate,IF($R7=0,$X7,IF(AND($T7&lt;&gt;"",EDATE($D7,Milestones!$AA$78)&gt;=$T7),$W7,IF(AND($S7&lt;&gt;"",EDATE($D7,Milestones!$AA$78)&gt;=$S7),$V7,$U7)))=Milestones!$AB$78),UPPER(TEXT(EDATE($D7,Milestones!$AA$78),"dd mmm yy"))&amp;" "&amp;Milestones!$AB$78&amp;" "&amp;Milestones!$AC$78&amp;";  ","")&amp;IF(AND(EDATE($D7,Milestones!$AA$79)&lt;=AsOfDate,IF($R7=0,$X7,IF(AND($T7&lt;&gt;"",EDATE($D7,Milestones!$AA$79)&gt;=$T7),$W7,IF(AND($S7&lt;&gt;"",EDATE($D7,Milestones!$AA$79)&gt;=$S7),$V7,$U7)))=Milestones!$AB$79),UPPER(TEXT(EDATE($D7,Milestones!$AA$79),"dd mmm yy"))&amp;" "&amp;Milestones!$AB$79&amp;" "&amp;Milestones!$AC$79&amp;";  ",""))</f>
        <v/>
      </c>
      <c r="L7" s="0" t="str">
        <f aca="false">IF(OR($A7="",$D7=""),"",IF(AND(EDATE($D7,Milestones!$AA$80)&lt;=AsOfDate,IF($R7=0,$X7,IF(AND($T7&lt;&gt;"",EDATE($D7,Milestones!$AA$80)&gt;=$T7),$W7,IF(AND($S7&lt;&gt;"",EDATE($D7,Milestones!$AA$80)&gt;=$S7),$V7,$U7)))=Milestones!$AB$80),UPPER(TEXT(EDATE($D7,Milestones!$AA$80),"dd mmm yy"))&amp;" "&amp;Milestones!$AB$80&amp;" "&amp;Milestones!$AC$80&amp;";  ","")&amp;IF(AND(EDATE($D7,Milestones!$AA$81)&lt;=AsOfDate,IF($R7=0,$X7,IF(AND($T7&lt;&gt;"",EDATE($D7,Milestones!$AA$81)&gt;=$T7),$W7,IF(AND($S7&lt;&gt;"",EDATE($D7,Milestones!$AA$81)&gt;=$S7),$V7,$U7)))=Milestones!$AB$81),UPPER(TEXT(EDATE($D7,Milestones!$AA$81),"dd mmm yy"))&amp;" "&amp;Milestones!$AB$81&amp;" "&amp;Milestones!$AC$81&amp;";  ","")&amp;IF(AND(EDATE($D7,Milestones!$AA$82)&lt;=AsOfDate,IF($R7=0,$X7,IF(AND($T7&lt;&gt;"",EDATE($D7,Milestones!$AA$82)&gt;=$T7),$W7,IF(AND($S7&lt;&gt;"",EDATE($D7,Milestones!$AA$82)&gt;=$S7),$V7,$U7)))=Milestones!$AB$82),UPPER(TEXT(EDATE($D7,Milestones!$AA$82),"dd mmm yy"))&amp;" "&amp;Milestones!$AB$82&amp;" "&amp;Milestones!$AC$82&amp;";  ","")&amp;IF(AND(EDATE($D7,Milestones!$AA$83)&lt;=AsOfDate,IF($R7=0,$X7,IF(AND($T7&lt;&gt;"",EDATE($D7,Milestones!$AA$83)&gt;=$T7),$W7,IF(AND($S7&lt;&gt;"",EDATE($D7,Milestones!$AA$83)&gt;=$S7),$V7,$U7)))=Milestones!$AB$83),UPPER(TEXT(EDATE($D7,Milestones!$AA$83),"dd mmm yy"))&amp;" "&amp;Milestones!$AB$83&amp;" "&amp;Milestones!$AC$83&amp;";  ","")&amp;IF(AND(EDATE($D7,Milestones!$AA$84)&lt;=AsOfDate,IF($R7=0,$X7,IF(AND($T7&lt;&gt;"",EDATE($D7,Milestones!$AA$84)&gt;=$T7),$W7,IF(AND($S7&lt;&gt;"",EDATE($D7,Milestones!$AA$84)&gt;=$S7),$V7,$U7)))=Milestones!$AB$84),UPPER(TEXT(EDATE($D7,Milestones!$AA$84),"dd mmm yy"))&amp;" "&amp;Milestones!$AB$84&amp;" "&amp;Milestones!$AC$84&amp;";  ","")&amp;IF(AND(EDATE($D7,Milestones!$AA$85)&lt;=AsOfDate,IF($R7=0,$X7,IF(AND($T7&lt;&gt;"",EDATE($D7,Milestones!$AA$85)&gt;=$T7),$W7,IF(AND($S7&lt;&gt;"",EDATE($D7,Milestones!$AA$85)&gt;=$S7),$V7,$U7)))=Milestones!$AB$85),UPPER(TEXT(EDATE($D7,Milestones!$AA$85),"dd mmm yy"))&amp;" "&amp;Milestones!$AB$85&amp;" "&amp;Milestones!$AC$85&amp;";  ","")&amp;IF(AND(EDATE($D7,Milestones!$AA$86)&lt;=AsOfDate,IF($R7=0,$X7,IF(AND($T7&lt;&gt;"",EDATE($D7,Milestones!$AA$86)&gt;=$T7),$W7,IF(AND($S7&lt;&gt;"",EDATE($D7,Milestones!$AA$86)&gt;=$S7),$V7,$U7)))=Milestones!$AB$86),UPPER(TEXT(EDATE($D7,Milestones!$AA$86),"dd mmm yy"))&amp;" "&amp;Milestones!$AB$86&amp;" "&amp;Milestones!$AC$86&amp;";  ","")&amp;IF(AND(EDATE($D7,Milestones!$AA$87)&lt;=AsOfDate,IF($R7=0,$X7,IF(AND($T7&lt;&gt;"",EDATE($D7,Milestones!$AA$87)&gt;=$T7),$W7,IF(AND($S7&lt;&gt;"",EDATE($D7,Milestones!$AA$87)&gt;=$S7),$V7,$U7)))=Milestones!$AB$87),UPPER(TEXT(EDATE($D7,Milestones!$AA$87),"dd mmm yy"))&amp;" "&amp;Milestones!$AB$87&amp;" "&amp;Milestones!$AC$87&amp;";  ","")&amp;IF(AND(EDATE($D7,Milestones!$AA$88)&lt;=AsOfDate,IF($R7=0,$X7,IF(AND($T7&lt;&gt;"",EDATE($D7,Milestones!$AA$88)&gt;=$T7),$W7,IF(AND($S7&lt;&gt;"",EDATE($D7,Milestones!$AA$88)&gt;=$S7),$V7,$U7)))=Milestones!$AB$88),UPPER(TEXT(EDATE($D7,Milestones!$AA$88),"dd mmm yy"))&amp;" "&amp;Milestones!$AB$88&amp;" "&amp;Milestones!$AC$88&amp;";  ","")&amp;IF(AND(EDATE($D7,Milestones!$AA$89)&lt;=AsOfDate,IF($R7=0,$X7,IF(AND($T7&lt;&gt;"",EDATE($D7,Milestones!$AA$89)&gt;=$T7),$W7,IF(AND($S7&lt;&gt;"",EDATE($D7,Milestones!$AA$89)&gt;=$S7),$V7,$U7)))=Milestones!$AB$89),UPPER(TEXT(EDATE($D7,Milestones!$AA$89),"dd mmm yy"))&amp;" "&amp;Milestones!$AB$89&amp;" "&amp;Milestones!$AC$89&amp;";  ","")&amp;IF(AND(EDATE($D7,Milestones!$AA$90)&lt;=AsOfDate,IF($R7=0,$X7,IF(AND($T7&lt;&gt;"",EDATE($D7,Milestones!$AA$90)&gt;=$T7),$W7,IF(AND($S7&lt;&gt;"",EDATE($D7,Milestones!$AA$90)&gt;=$S7),$V7,$U7)))=Milestones!$AB$90),UPPER(TEXT(EDATE($D7,Milestones!$AA$90),"dd mmm yy"))&amp;" "&amp;Milestones!$AB$90&amp;" "&amp;Milestones!$AC$90&amp;";  ","")&amp;IF(AND(EDATE($D7,Milestones!$AA$91)&lt;=AsOfDate,IF($R7=0,$X7,IF(AND($T7&lt;&gt;"",EDATE($D7,Milestones!$AA$91)&gt;=$T7),$W7,IF(AND($S7&lt;&gt;"",EDATE($D7,Milestones!$AA$91)&gt;=$S7),$V7,$U7)))=Milestones!$AB$91),UPPER(TEXT(EDATE($D7,Milestones!$AA$91),"dd mmm yy"))&amp;" "&amp;Milestones!$AB$91&amp;" "&amp;Milestones!$AC$91&amp;";  ","")&amp;IF(AND(EDATE($D7,Milestones!$AA$92)&lt;=AsOfDate,IF($R7=0,$X7,IF(AND($T7&lt;&gt;"",EDATE($D7,Milestones!$AA$92)&gt;=$T7),$W7,IF(AND($S7&lt;&gt;"",EDATE($D7,Milestones!$AA$92)&gt;=$S7),$V7,$U7)))=Milestones!$AB$92),UPPER(TEXT(EDATE($D7,Milestones!$AA$92),"dd mmm yy"))&amp;" "&amp;Milestones!$AB$92&amp;" "&amp;Milestones!$AC$92&amp;";  ","")&amp;IF(AND(EDATE($D7,Milestones!$AA$93)&lt;=AsOfDate,IF($R7=0,$X7,IF(AND($T7&lt;&gt;"",EDATE($D7,Milestones!$AA$93)&gt;=$T7),$W7,IF(AND($S7&lt;&gt;"",EDATE($D7,Milestones!$AA$93)&gt;=$S7),$V7,$U7)))=Milestones!$AB$93),UPPER(TEXT(EDATE($D7,Milestones!$AA$93),"dd mmm yy"))&amp;" "&amp;Milestones!$AB$93&amp;" "&amp;Milestones!$AC$93&amp;";  ","")&amp;IF(AND(EDATE($D7,Milestones!$AA$94)&lt;=AsOfDate,IF($R7=0,$X7,IF(AND($T7&lt;&gt;"",EDATE($D7,Milestones!$AA$94)&gt;=$T7),$W7,IF(AND($S7&lt;&gt;"",EDATE($D7,Milestones!$AA$94)&gt;=$S7),$V7,$U7)))=Milestones!$AB$94),UPPER(TEXT(EDATE($D7,Milestones!$AA$94),"dd mmm yy"))&amp;" "&amp;Milestones!$AB$94&amp;" "&amp;Milestones!$AC$94&amp;";  ","")&amp;IF(AND(EDATE($D7,Milestones!$AA$95)&lt;=AsOfDate,IF($R7=0,$X7,IF(AND($T7&lt;&gt;"",EDATE($D7,Milestones!$AA$95)&gt;=$T7),$W7,IF(AND($S7&lt;&gt;"",EDATE($D7,Milestones!$AA$95)&gt;=$S7),$V7,$U7)))=Milestones!$AB$95),UPPER(TEXT(EDATE($D7,Milestones!$AA$95),"dd mmm yy"))&amp;" "&amp;Milestones!$AB$95&amp;" "&amp;Milestones!$AC$95&amp;";  ","")&amp;IF(AND(EDATE($D7,Milestones!$AA$96)&lt;=AsOfDate,IF($R7=0,$X7,IF(AND($T7&lt;&gt;"",EDATE($D7,Milestones!$AA$96)&gt;=$T7),$W7,IF(AND($S7&lt;&gt;"",EDATE($D7,Milestones!$AA$96)&gt;=$S7),$V7,$U7)))=Milestones!$AB$96),UPPER(TEXT(EDATE($D7,Milestones!$AA$96),"dd mmm yy"))&amp;" "&amp;Milestones!$AB$96&amp;" "&amp;Milestones!$AC$96&amp;";  ","")&amp;IF(AND(EDATE($D7,Milestones!$AA$97)&lt;=AsOfDate,IF($R7=0,$X7,IF(AND($T7&lt;&gt;"",EDATE($D7,Milestones!$AA$97)&gt;=$T7),$W7,IF(AND($S7&lt;&gt;"",EDATE($D7,Milestones!$AA$97)&gt;=$S7),$V7,$U7)))=Milestones!$AB$97),UPPER(TEXT(EDATE($D7,Milestones!$AA$97),"dd mmm yy"))&amp;" "&amp;Milestones!$AB$97&amp;" "&amp;Milestones!$AC$97&amp;";  ","")&amp;IF(AND(EDATE($D7,Milestones!$AA$98)&lt;=AsOfDate,IF($R7=0,$X7,IF(AND($T7&lt;&gt;"",EDATE($D7,Milestones!$AA$98)&gt;=$T7),$W7,IF(AND($S7&lt;&gt;"",EDATE($D7,Milestones!$AA$98)&gt;=$S7),$V7,$U7)))=Milestones!$AB$98),UPPER(TEXT(EDATE($D7,Milestones!$AA$98),"dd mmm yy"))&amp;" "&amp;Milestones!$AB$98&amp;" "&amp;Milestones!$AC$98&amp;";  ","")&amp;IF(AND(EDATE($D7,Milestones!$AA$99)&lt;=AsOfDate,IF($R7=0,$X7,IF(AND($T7&lt;&gt;"",EDATE($D7,Milestones!$AA$99)&gt;=$T7),$W7,IF(AND($S7&lt;&gt;"",EDATE($D7,Milestones!$AA$99)&gt;=$S7),$V7,$U7)))=Milestones!$AB$99),UPPER(TEXT(EDATE($D7,Milestones!$AA$99),"dd mmm yy"))&amp;" "&amp;Milestones!$AB$99&amp;" "&amp;Milestones!$AC$99&amp;";  ",""))</f>
        <v/>
      </c>
      <c r="M7" s="0" t="str">
        <f aca="false">IF(OR($A7="",$D7=""),"",IF(AND(EDATE($D7,Milestones!$AA$100)&lt;=AsOfDate,IF($R7=0,$X7,IF(AND($T7&lt;&gt;"",EDATE($D7,Milestones!$AA$100)&gt;=$T7),$W7,IF(AND($S7&lt;&gt;"",EDATE($D7,Milestones!$AA$100)&gt;=$S7),$V7,$U7)))=Milestones!$AB$100),UPPER(TEXT(EDATE($D7,Milestones!$AA$100),"dd mmm yy"))&amp;" "&amp;Milestones!$AB$100&amp;" "&amp;Milestones!$AC$100&amp;";  ","")&amp;IF(AND(EDATE($D7,Milestones!$AA$101)&lt;=AsOfDate,IF($R7=0,$X7,IF(AND($T7&lt;&gt;"",EDATE($D7,Milestones!$AA$101)&gt;=$T7),$W7,IF(AND($S7&lt;&gt;"",EDATE($D7,Milestones!$AA$101)&gt;=$S7),$V7,$U7)))=Milestones!$AB$101),UPPER(TEXT(EDATE($D7,Milestones!$AA$101),"dd mmm yy"))&amp;" "&amp;Milestones!$AB$101&amp;" "&amp;Milestones!$AC$101&amp;";  ","")&amp;IF(AND(EDATE($D7,Milestones!$AA$102)&lt;=AsOfDate,IF($R7=0,$X7,IF(AND($T7&lt;&gt;"",EDATE($D7,Milestones!$AA$102)&gt;=$T7),$W7,IF(AND($S7&lt;&gt;"",EDATE($D7,Milestones!$AA$102)&gt;=$S7),$V7,$U7)))=Milestones!$AB$102),UPPER(TEXT(EDATE($D7,Milestones!$AA$102),"dd mmm yy"))&amp;" "&amp;Milestones!$AB$102&amp;" "&amp;Milestones!$AC$102&amp;";  ","")&amp;IF(AND(EDATE($D7,Milestones!$AA$103)&lt;=AsOfDate,IF($R7=0,$X7,IF(AND($T7&lt;&gt;"",EDATE($D7,Milestones!$AA$103)&gt;=$T7),$W7,IF(AND($S7&lt;&gt;"",EDATE($D7,Milestones!$AA$103)&gt;=$S7),$V7,$U7)))=Milestones!$AB$103),UPPER(TEXT(EDATE($D7,Milestones!$AA$103),"dd mmm yy"))&amp;" "&amp;Milestones!$AB$103&amp;" "&amp;Milestones!$AC$103&amp;";  ","")&amp;IF(AND(EDATE($D7,Milestones!$AA$104)&lt;=AsOfDate,IF($R7=0,$X7,IF(AND($T7&lt;&gt;"",EDATE($D7,Milestones!$AA$104)&gt;=$T7),$W7,IF(AND($S7&lt;&gt;"",EDATE($D7,Milestones!$AA$104)&gt;=$S7),$V7,$U7)))=Milestones!$AB$104),UPPER(TEXT(EDATE($D7,Milestones!$AA$104),"dd mmm yy"))&amp;" "&amp;Milestones!$AB$104&amp;" "&amp;Milestones!$AC$104&amp;";  ","")&amp;IF(AND(EDATE($D7,Milestones!$AA$105)&lt;=AsOfDate,IF($R7=0,$X7,IF(AND($T7&lt;&gt;"",EDATE($D7,Milestones!$AA$105)&gt;=$T7),$W7,IF(AND($S7&lt;&gt;"",EDATE($D7,Milestones!$AA$105)&gt;=$S7),$V7,$U7)))=Milestones!$AB$105),UPPER(TEXT(EDATE($D7,Milestones!$AA$105),"dd mmm yy"))&amp;" "&amp;Milestones!$AB$105&amp;" "&amp;Milestones!$AC$105&amp;";  ","")&amp;IF(AND(EDATE($D7,Milestones!$AA$106)&lt;=AsOfDate,IF($R7=0,$X7,IF(AND($T7&lt;&gt;"",EDATE($D7,Milestones!$AA$106)&gt;=$T7),$W7,IF(AND($S7&lt;&gt;"",EDATE($D7,Milestones!$AA$106)&gt;=$S7),$V7,$U7)))=Milestones!$AB$106),UPPER(TEXT(EDATE($D7,Milestones!$AA$106),"dd mmm yy"))&amp;" "&amp;Milestones!$AB$106&amp;" "&amp;Milestones!$AC$106&amp;";  ","")&amp;IF(AND(EDATE($D7,Milestones!$AA$107)&lt;=AsOfDate,IF($R7=0,$X7,IF(AND($T7&lt;&gt;"",EDATE($D7,Milestones!$AA$107)&gt;=$T7),$W7,IF(AND($S7&lt;&gt;"",EDATE($D7,Milestones!$AA$107)&gt;=$S7),$V7,$U7)))=Milestones!$AB$107),UPPER(TEXT(EDATE($D7,Milestones!$AA$107),"dd mmm yy"))&amp;" "&amp;Milestones!$AB$107&amp;" "&amp;Milestones!$AC$107&amp;";  ","")&amp;IF(AND(EDATE($D7,Milestones!$AA$108)&lt;=AsOfDate,IF($R7=0,$X7,IF(AND($T7&lt;&gt;"",EDATE($D7,Milestones!$AA$108)&gt;=$T7),$W7,IF(AND($S7&lt;&gt;"",EDATE($D7,Milestones!$AA$108)&gt;=$S7),$V7,$U7)))=Milestones!$AB$108),UPPER(TEXT(EDATE($D7,Milestones!$AA$108),"dd mmm yy"))&amp;" "&amp;Milestones!$AB$108&amp;" "&amp;Milestones!$AC$108&amp;";  ","")&amp;IF(AND(EDATE($D7,Milestones!$AA$109)&lt;=AsOfDate,IF($R7=0,$X7,IF(AND($T7&lt;&gt;"",EDATE($D7,Milestones!$AA$109)&gt;=$T7),$W7,IF(AND($S7&lt;&gt;"",EDATE($D7,Milestones!$AA$109)&gt;=$S7),$V7,$U7)))=Milestones!$AB$109),UPPER(TEXT(EDATE($D7,Milestones!$AA$109),"dd mmm yy"))&amp;" "&amp;Milestones!$AB$109&amp;" "&amp;Milestones!$AC$109&amp;";  ","")&amp;IF(AND(EDATE($D7,Milestones!$AA$110)&lt;=AsOfDate,IF($R7=0,$X7,IF(AND($T7&lt;&gt;"",EDATE($D7,Milestones!$AA$110)&gt;=$T7),$W7,IF(AND($S7&lt;&gt;"",EDATE($D7,Milestones!$AA$110)&gt;=$S7),$V7,$U7)))=Milestones!$AB$110),UPPER(TEXT(EDATE($D7,Milestones!$AA$110),"dd mmm yy"))&amp;" "&amp;Milestones!$AB$110&amp;" "&amp;Milestones!$AC$110&amp;";  ","")&amp;IF(AND(EDATE($D7,Milestones!$AA$111)&lt;=AsOfDate,IF($R7=0,$X7,IF(AND($T7&lt;&gt;"",EDATE($D7,Milestones!$AA$111)&gt;=$T7),$W7,IF(AND($S7&lt;&gt;"",EDATE($D7,Milestones!$AA$111)&gt;=$S7),$V7,$U7)))=Milestones!$AB$111),UPPER(TEXT(EDATE($D7,Milestones!$AA$111),"dd mmm yy"))&amp;" "&amp;Milestones!$AB$111&amp;" "&amp;Milestones!$AC$111&amp;";  ","")&amp;IF(AND(EDATE($D7,Milestones!$AA$112)&lt;=AsOfDate,IF($R7=0,$X7,IF(AND($T7&lt;&gt;"",EDATE($D7,Milestones!$AA$112)&gt;=$T7),$W7,IF(AND($S7&lt;&gt;"",EDATE($D7,Milestones!$AA$112)&gt;=$S7),$V7,$U7)))=Milestones!$AB$112),UPPER(TEXT(EDATE($D7,Milestones!$AA$112),"dd mmm yy"))&amp;" "&amp;Milestones!$AB$112&amp;" "&amp;Milestones!$AC$112&amp;";  ","")&amp;IF(AND(EDATE($D7,Milestones!$AA$113)&lt;=AsOfDate,IF($R7=0,$X7,IF(AND($T7&lt;&gt;"",EDATE($D7,Milestones!$AA$113)&gt;=$T7),$W7,IF(AND($S7&lt;&gt;"",EDATE($D7,Milestones!$AA$113)&gt;=$S7),$V7,$U7)))=Milestones!$AB$113),UPPER(TEXT(EDATE($D7,Milestones!$AA$113),"dd mmm yy"))&amp;" "&amp;Milestones!$AB$113&amp;" "&amp;Milestones!$AC$113&amp;";  ","")&amp;IF(AND(EDATE($D7,Milestones!$AA$114)&lt;=AsOfDate,IF($R7=0,$X7,IF(AND($T7&lt;&gt;"",EDATE($D7,Milestones!$AA$114)&gt;=$T7),$W7,IF(AND($S7&lt;&gt;"",EDATE($D7,Milestones!$AA$114)&gt;=$S7),$V7,$U7)))=Milestones!$AB$114),UPPER(TEXT(EDATE($D7,Milestones!$AA$114),"dd mmm yy"))&amp;" "&amp;Milestones!$AB$114&amp;" "&amp;Milestones!$AC$114&amp;";  ","")&amp;IF(AND(EDATE($D7,Milestones!$AA$115)&lt;=AsOfDate,IF($R7=0,$X7,IF(AND($T7&lt;&gt;"",EDATE($D7,Milestones!$AA$115)&gt;=$T7),$W7,IF(AND($S7&lt;&gt;"",EDATE($D7,Milestones!$AA$115)&gt;=$S7),$V7,$U7)))=Milestones!$AB$115),UPPER(TEXT(EDATE($D7,Milestones!$AA$115),"dd mmm yy"))&amp;" "&amp;Milestones!$AB$115&amp;" "&amp;Milestones!$AC$115&amp;";  ","")&amp;IF(AND(EDATE($D7,Milestones!$AA$116)&lt;=AsOfDate,IF($R7=0,$X7,IF(AND($T7&lt;&gt;"",EDATE($D7,Milestones!$AA$116)&gt;=$T7),$W7,IF(AND($S7&lt;&gt;"",EDATE($D7,Milestones!$AA$116)&gt;=$S7),$V7,$U7)))=Milestones!$AB$116),UPPER(TEXT(EDATE($D7,Milestones!$AA$116),"dd mmm yy"))&amp;" "&amp;Milestones!$AB$116&amp;" "&amp;Milestones!$AC$116&amp;";  ","")&amp;IF(AND(EDATE($D7,Milestones!$AA$117)&lt;=AsOfDate,IF($R7=0,$X7,IF(AND($T7&lt;&gt;"",EDATE($D7,Milestones!$AA$117)&gt;=$T7),$W7,IF(AND($S7&lt;&gt;"",EDATE($D7,Milestones!$AA$117)&gt;=$S7),$V7,$U7)))=Milestones!$AB$117),UPPER(TEXT(EDATE($D7,Milestones!$AA$117),"dd mmm yy"))&amp;" "&amp;Milestones!$AB$117&amp;" "&amp;Milestones!$AC$117&amp;";  ","")&amp;IF(AND(EDATE($D7,Milestones!$AA$118)&lt;=AsOfDate,IF($R7=0,$X7,IF(AND($T7&lt;&gt;"",EDATE($D7,Milestones!$AA$118)&gt;=$T7),$W7,IF(AND($S7&lt;&gt;"",EDATE($D7,Milestones!$AA$118)&gt;=$S7),$V7,$U7)))=Milestones!$AB$118),UPPER(TEXT(EDATE($D7,Milestones!$AA$118),"dd mmm yy"))&amp;" "&amp;Milestones!$AB$118&amp;" "&amp;Milestones!$AC$118&amp;";  ","")&amp;IF(AND(EDATE($D7,Milestones!$AA$119)&lt;=AsOfDate,IF($R7=0,$X7,IF(AND($T7&lt;&gt;"",EDATE($D7,Milestones!$AA$119)&gt;=$T7),$W7,IF(AND($S7&lt;&gt;"",EDATE($D7,Milestones!$AA$119)&gt;=$S7),$V7,$U7)))=Milestones!$AB$119),UPPER(TEXT(EDATE($D7,Milestones!$AA$119),"dd mmm yy"))&amp;" "&amp;Milestones!$AB$119&amp;" "&amp;Milestones!$AC$119&amp;";  ",""))</f>
        <v/>
      </c>
      <c r="N7" s="0" t="str">
        <f aca="false">IF(OR($A7="",$D7=""),"",IF(AND(EDATE($D7,Milestones!$AA$120)&lt;=AsOfDate,IF($R7=0,$X7,IF(AND($T7&lt;&gt;"",EDATE($D7,Milestones!$AA$120)&gt;=$T7),$W7,IF(AND($S7&lt;&gt;"",EDATE($D7,Milestones!$AA$120)&gt;=$S7),$V7,$U7)))=Milestones!$AB$120),UPPER(TEXT(EDATE($D7,Milestones!$AA$120),"dd mmm yy"))&amp;" "&amp;Milestones!$AB$120&amp;" "&amp;Milestones!$AC$120&amp;";  ","")&amp;IF(AND(EDATE($D7,Milestones!$AA$121)&lt;=AsOfDate,IF($R7=0,$X7,IF(AND($T7&lt;&gt;"",EDATE($D7,Milestones!$AA$121)&gt;=$T7),$W7,IF(AND($S7&lt;&gt;"",EDATE($D7,Milestones!$AA$121)&gt;=$S7),$V7,$U7)))=Milestones!$AB$121),UPPER(TEXT(EDATE($D7,Milestones!$AA$121),"dd mmm yy"))&amp;" "&amp;Milestones!$AB$121&amp;" "&amp;Milestones!$AC$121&amp;";  ","")&amp;IF(AND(EDATE($D7,Milestones!$AA$122)&lt;=AsOfDate,IF($R7=0,$X7,IF(AND($T7&lt;&gt;"",EDATE($D7,Milestones!$AA$122)&gt;=$T7),$W7,IF(AND($S7&lt;&gt;"",EDATE($D7,Milestones!$AA$122)&gt;=$S7),$V7,$U7)))=Milestones!$AB$122),UPPER(TEXT(EDATE($D7,Milestones!$AA$122),"dd mmm yy"))&amp;" "&amp;Milestones!$AB$122&amp;" "&amp;Milestones!$AC$122&amp;";  ","")&amp;IF(AND(EDATE($D7,Milestones!$AA$123)&lt;=AsOfDate,IF($R7=0,$X7,IF(AND($T7&lt;&gt;"",EDATE($D7,Milestones!$AA$123)&gt;=$T7),$W7,IF(AND($S7&lt;&gt;"",EDATE($D7,Milestones!$AA$123)&gt;=$S7),$V7,$U7)))=Milestones!$AB$123),UPPER(TEXT(EDATE($D7,Milestones!$AA$123),"dd mmm yy"))&amp;" "&amp;Milestones!$AB$123&amp;" "&amp;Milestones!$AC$123&amp;";  ","")&amp;IF(AND(EDATE($D7,Milestones!$AA$124)&lt;=AsOfDate,IF($R7=0,$X7,IF(AND($T7&lt;&gt;"",EDATE($D7,Milestones!$AA$124)&gt;=$T7),$W7,IF(AND($S7&lt;&gt;"",EDATE($D7,Milestones!$AA$124)&gt;=$S7),$V7,$U7)))=Milestones!$AB$124),UPPER(TEXT(EDATE($D7,Milestones!$AA$124),"dd mmm yy"))&amp;" "&amp;Milestones!$AB$124&amp;" "&amp;Milestones!$AC$124&amp;";  ","")&amp;IF(AND(EDATE($D7,Milestones!$AA$125)&lt;=AsOfDate,IF($R7=0,$X7,IF(AND($T7&lt;&gt;"",EDATE($D7,Milestones!$AA$125)&gt;=$T7),$W7,IF(AND($S7&lt;&gt;"",EDATE($D7,Milestones!$AA$125)&gt;=$S7),$V7,$U7)))=Milestones!$AB$125),UPPER(TEXT(EDATE($D7,Milestones!$AA$125),"dd mmm yy"))&amp;" "&amp;Milestones!$AB$125&amp;" "&amp;Milestones!$AC$125&amp;";  ","")&amp;IF(AND(EDATE($D7,Milestones!$AA$126)&lt;=AsOfDate,IF($R7=0,$X7,IF(AND($T7&lt;&gt;"",EDATE($D7,Milestones!$AA$126)&gt;=$T7),$W7,IF(AND($S7&lt;&gt;"",EDATE($D7,Milestones!$AA$126)&gt;=$S7),$V7,$U7)))=Milestones!$AB$126),UPPER(TEXT(EDATE($D7,Milestones!$AA$126),"dd mmm yy"))&amp;" "&amp;Milestones!$AB$126&amp;" "&amp;Milestones!$AC$126&amp;";  ","")&amp;IF(AND(EDATE($D7,Milestones!$AA$127)&lt;=AsOfDate,IF($R7=0,$X7,IF(AND($T7&lt;&gt;"",EDATE($D7,Milestones!$AA$127)&gt;=$T7),$W7,IF(AND($S7&lt;&gt;"",EDATE($D7,Milestones!$AA$127)&gt;=$S7),$V7,$U7)))=Milestones!$AB$127),UPPER(TEXT(EDATE($D7,Milestones!$AA$127),"dd mmm yy"))&amp;" "&amp;Milestones!$AB$127&amp;" "&amp;Milestones!$AC$127&amp;";  ","")&amp;IF(AND(EDATE($D7,Milestones!$AA$128)&lt;=AsOfDate,IF($R7=0,$X7,IF(AND($T7&lt;&gt;"",EDATE($D7,Milestones!$AA$128)&gt;=$T7),$W7,IF(AND($S7&lt;&gt;"",EDATE($D7,Milestones!$AA$128)&gt;=$S7),$V7,$U7)))=Milestones!$AB$128),UPPER(TEXT(EDATE($D7,Milestones!$AA$128),"dd mmm yy"))&amp;" "&amp;Milestones!$AB$128&amp;" "&amp;Milestones!$AC$128&amp;";  ","")&amp;IF(AND(EDATE($D7,Milestones!$AA$129)&lt;=AsOfDate,IF($R7=0,$X7,IF(AND($T7&lt;&gt;"",EDATE($D7,Milestones!$AA$129)&gt;=$T7),$W7,IF(AND($S7&lt;&gt;"",EDATE($D7,Milestones!$AA$129)&gt;=$S7),$V7,$U7)))=Milestones!$AB$129),UPPER(TEXT(EDATE($D7,Milestones!$AA$129),"dd mmm yy"))&amp;" "&amp;Milestones!$AB$129&amp;" "&amp;Milestones!$AC$129&amp;";  ","")&amp;IF(AND(EDATE($D7,Milestones!$AA$130)&lt;=AsOfDate,IF($R7=0,$X7,IF(AND($T7&lt;&gt;"",EDATE($D7,Milestones!$AA$130)&gt;=$T7),$W7,IF(AND($S7&lt;&gt;"",EDATE($D7,Milestones!$AA$130)&gt;=$S7),$V7,$U7)))=Milestones!$AB$130),UPPER(TEXT(EDATE($D7,Milestones!$AA$130),"dd mmm yy"))&amp;" "&amp;Milestones!$AB$130&amp;" "&amp;Milestones!$AC$130&amp;";  ","")&amp;IF(AND(EDATE($D7,Milestones!$AA$131)&lt;=AsOfDate,IF($R7=0,$X7,IF(AND($T7&lt;&gt;"",EDATE($D7,Milestones!$AA$131)&gt;=$T7),$W7,IF(AND($S7&lt;&gt;"",EDATE($D7,Milestones!$AA$131)&gt;=$S7),$V7,$U7)))=Milestones!$AB$131),UPPER(TEXT(EDATE($D7,Milestones!$AA$131),"dd mmm yy"))&amp;" "&amp;Milestones!$AB$131&amp;" "&amp;Milestones!$AC$131&amp;";  ","")&amp;IF(AND(EDATE($D7,Milestones!$AA$132)&lt;=AsOfDate,IF($R7=0,$X7,IF(AND($T7&lt;&gt;"",EDATE($D7,Milestones!$AA$132)&gt;=$T7),$W7,IF(AND($S7&lt;&gt;"",EDATE($D7,Milestones!$AA$132)&gt;=$S7),$V7,$U7)))=Milestones!$AB$132),UPPER(TEXT(EDATE($D7,Milestones!$AA$132),"dd mmm yy"))&amp;" "&amp;Milestones!$AB$132&amp;" "&amp;Milestones!$AC$132&amp;";  ","")&amp;IF(AND(EDATE($D7,Milestones!$AA$133)&lt;=AsOfDate,IF($R7=0,$X7,IF(AND($T7&lt;&gt;"",EDATE($D7,Milestones!$AA$133)&gt;=$T7),$W7,IF(AND($S7&lt;&gt;"",EDATE($D7,Milestones!$AA$133)&gt;=$S7),$V7,$U7)))=Milestones!$AB$133),UPPER(TEXT(EDATE($D7,Milestones!$AA$133),"dd mmm yy"))&amp;" "&amp;Milestones!$AB$133&amp;" "&amp;Milestones!$AC$133&amp;";  ","")&amp;IF(AND(EDATE($D7,Milestones!$AA$134)&lt;=AsOfDate,IF($R7=0,$X7,IF(AND($T7&lt;&gt;"",EDATE($D7,Milestones!$AA$134)&gt;=$T7),$W7,IF(AND($S7&lt;&gt;"",EDATE($D7,Milestones!$AA$134)&gt;=$S7),$V7,$U7)))=Milestones!$AB$134),UPPER(TEXT(EDATE($D7,Milestones!$AA$134),"dd mmm yy"))&amp;" "&amp;Milestones!$AB$134&amp;" "&amp;Milestones!$AC$134&amp;";  ","")&amp;IF(AND(EDATE($D7,Milestones!$AA$135)&lt;=AsOfDate,IF($R7=0,$X7,IF(AND($T7&lt;&gt;"",EDATE($D7,Milestones!$AA$135)&gt;=$T7),$W7,IF(AND($S7&lt;&gt;"",EDATE($D7,Milestones!$AA$135)&gt;=$S7),$V7,$U7)))=Milestones!$AB$135),UPPER(TEXT(EDATE($D7,Milestones!$AA$135),"dd mmm yy"))&amp;" "&amp;Milestones!$AB$135&amp;" "&amp;Milestones!$AC$135&amp;";  ","")&amp;IF(AND(EDATE($D7,Milestones!$AA$136)&lt;=AsOfDate,IF($R7=0,$X7,IF(AND($T7&lt;&gt;"",EDATE($D7,Milestones!$AA$136)&gt;=$T7),$W7,IF(AND($S7&lt;&gt;"",EDATE($D7,Milestones!$AA$136)&gt;=$S7),$V7,$U7)))=Milestones!$AB$136),UPPER(TEXT(EDATE($D7,Milestones!$AA$136),"dd mmm yy"))&amp;" "&amp;Milestones!$AB$136&amp;" "&amp;Milestones!$AC$136&amp;";  ","")&amp;IF(AND(EDATE($D7,Milestones!$AA$137)&lt;=AsOfDate,IF($R7=0,$X7,IF(AND($T7&lt;&gt;"",EDATE($D7,Milestones!$AA$137)&gt;=$T7),$W7,IF(AND($S7&lt;&gt;"",EDATE($D7,Milestones!$AA$137)&gt;=$S7),$V7,$U7)))=Milestones!$AB$137),UPPER(TEXT(EDATE($D7,Milestones!$AA$137),"dd mmm yy"))&amp;" "&amp;Milestones!$AB$137&amp;" "&amp;Milestones!$AC$137&amp;";  ","")&amp;IF(AND(EDATE($D7,Milestones!$AA$138)&lt;=AsOfDate,IF($R7=0,$X7,IF(AND($T7&lt;&gt;"",EDATE($D7,Milestones!$AA$138)&gt;=$T7),$W7,IF(AND($S7&lt;&gt;"",EDATE($D7,Milestones!$AA$138)&gt;=$S7),$V7,$U7)))=Milestones!$AB$138),UPPER(TEXT(EDATE($D7,Milestones!$AA$138),"dd mmm yy"))&amp;" "&amp;Milestones!$AB$138&amp;" "&amp;Milestones!$AC$138&amp;";  ","")&amp;IF(AND(EDATE($D7,Milestones!$AA$139)&lt;=AsOfDate,IF($R7=0,$X7,IF(AND($T7&lt;&gt;"",EDATE($D7,Milestones!$AA$139)&gt;=$T7),$W7,IF(AND($S7&lt;&gt;"",EDATE($D7,Milestones!$AA$139)&gt;=$S7),$V7,$U7)))=Milestones!$AB$139),UPPER(TEXT(EDATE($D7,Milestones!$AA$139),"dd mmm yy"))&amp;" "&amp;Milestones!$AB$139&amp;" "&amp;Milestones!$AC$139&amp;";  ",""))</f>
        <v/>
      </c>
      <c r="O7" s="0" t="str">
        <f aca="false">IF(OR($A7="",$D7=""),"",IF(AND(EDATE($D7,Milestones!$AA$140)&lt;=AsOfDate,IF($R7=0,$X7,IF(AND($T7&lt;&gt;"",EDATE($D7,Milestones!$AA$140)&gt;=$T7),$W7,IF(AND($S7&lt;&gt;"",EDATE($D7,Milestones!$AA$140)&gt;=$S7),$V7,$U7)))=Milestones!$AB$140),UPPER(TEXT(EDATE($D7,Milestones!$AA$140),"dd mmm yy"))&amp;" "&amp;Milestones!$AB$140&amp;" "&amp;Milestones!$AC$140&amp;";  ","")&amp;IF(AND(EDATE($D7,Milestones!$AA$141)&lt;=AsOfDate,IF($R7=0,$X7,IF(AND($T7&lt;&gt;"",EDATE($D7,Milestones!$AA$141)&gt;=$T7),$W7,IF(AND($S7&lt;&gt;"",EDATE($D7,Milestones!$AA$141)&gt;=$S7),$V7,$U7)))=Milestones!$AB$141),UPPER(TEXT(EDATE($D7,Milestones!$AA$141),"dd mmm yy"))&amp;" "&amp;Milestones!$AB$141&amp;" "&amp;Milestones!$AC$141&amp;";  ","")&amp;IF(AND(EDATE($D7,Milestones!$AA$142)&lt;=AsOfDate,IF($R7=0,$X7,IF(AND($T7&lt;&gt;"",EDATE($D7,Milestones!$AA$142)&gt;=$T7),$W7,IF(AND($S7&lt;&gt;"",EDATE($D7,Milestones!$AA$142)&gt;=$S7),$V7,$U7)))=Milestones!$AB$142),UPPER(TEXT(EDATE($D7,Milestones!$AA$142),"dd mmm yy"))&amp;" "&amp;Milestones!$AB$142&amp;" "&amp;Milestones!$AC$142&amp;";  ","")&amp;IF(AND(EDATE($D7,Milestones!$AA$143)&lt;=AsOfDate,IF($R7=0,$X7,IF(AND($T7&lt;&gt;"",EDATE($D7,Milestones!$AA$143)&gt;=$T7),$W7,IF(AND($S7&lt;&gt;"",EDATE($D7,Milestones!$AA$143)&gt;=$S7),$V7,$U7)))=Milestones!$AB$143),UPPER(TEXT(EDATE($D7,Milestones!$AA$143),"dd mmm yy"))&amp;" "&amp;Milestones!$AB$143&amp;" "&amp;Milestones!$AC$143&amp;";  ","")&amp;IF(AND(EDATE($D7,Milestones!$AA$144)&lt;=AsOfDate,IF($R7=0,$X7,IF(AND($T7&lt;&gt;"",EDATE($D7,Milestones!$AA$144)&gt;=$T7),$W7,IF(AND($S7&lt;&gt;"",EDATE($D7,Milestones!$AA$144)&gt;=$S7),$V7,$U7)))=Milestones!$AB$144),UPPER(TEXT(EDATE($D7,Milestones!$AA$144),"dd mmm yy"))&amp;" "&amp;Milestones!$AB$144&amp;" "&amp;Milestones!$AC$144&amp;";  ","")&amp;IF(AND(EDATE($D7,Milestones!$AA$145)&lt;=AsOfDate,IF($R7=0,$X7,IF(AND($T7&lt;&gt;"",EDATE($D7,Milestones!$AA$145)&gt;=$T7),$W7,IF(AND($S7&lt;&gt;"",EDATE($D7,Milestones!$AA$145)&gt;=$S7),$V7,$U7)))=Milestones!$AB$145),UPPER(TEXT(EDATE($D7,Milestones!$AA$145),"dd mmm yy"))&amp;" "&amp;Milestones!$AB$145&amp;" "&amp;Milestones!$AC$145&amp;";  ","")&amp;IF(AND(EDATE($D7,Milestones!$AA$146)&lt;=AsOfDate,IF($R7=0,$X7,IF(AND($T7&lt;&gt;"",EDATE($D7,Milestones!$AA$146)&gt;=$T7),$W7,IF(AND($S7&lt;&gt;"",EDATE($D7,Milestones!$AA$146)&gt;=$S7),$V7,$U7)))=Milestones!$AB$146),UPPER(TEXT(EDATE($D7,Milestones!$AA$146),"dd mmm yy"))&amp;" "&amp;Milestones!$AB$146&amp;" "&amp;Milestones!$AC$146&amp;";  ","")&amp;IF(AND(EDATE($D7,Milestones!$AA$147)&lt;=AsOfDate,IF($R7=0,$X7,IF(AND($T7&lt;&gt;"",EDATE($D7,Milestones!$AA$147)&gt;=$T7),$W7,IF(AND($S7&lt;&gt;"",EDATE($D7,Milestones!$AA$147)&gt;=$S7),$V7,$U7)))=Milestones!$AB$147),UPPER(TEXT(EDATE($D7,Milestones!$AA$147),"dd mmm yy"))&amp;" "&amp;Milestones!$AB$147&amp;" "&amp;Milestones!$AC$147&amp;";  ","")&amp;IF(AND(EDATE($D7,Milestones!$AA$148)&lt;=AsOfDate,IF($R7=0,$X7,IF(AND($T7&lt;&gt;"",EDATE($D7,Milestones!$AA$148)&gt;=$T7),$W7,IF(AND($S7&lt;&gt;"",EDATE($D7,Milestones!$AA$148)&gt;=$S7),$V7,$U7)))=Milestones!$AB$148),UPPER(TEXT(EDATE($D7,Milestones!$AA$148),"dd mmm yy"))&amp;" "&amp;Milestones!$AB$148&amp;" "&amp;Milestones!$AC$148&amp;";  ","")&amp;IF(AND(EDATE($D7,Milestones!$AA$149)&lt;=AsOfDate,IF($R7=0,$X7,IF(AND($T7&lt;&gt;"",EDATE($D7,Milestones!$AA$149)&gt;=$T7),$W7,IF(AND($S7&lt;&gt;"",EDATE($D7,Milestones!$AA$149)&gt;=$S7),$V7,$U7)))=Milestones!$AB$149),UPPER(TEXT(EDATE($D7,Milestones!$AA$149),"dd mmm yy"))&amp;" "&amp;Milestones!$AB$149&amp;" "&amp;Milestones!$AC$149&amp;";  ","")&amp;IF(AND(EDATE($D7,Milestones!$AA$150)&lt;=AsOfDate,IF($R7=0,$X7,IF(AND($T7&lt;&gt;"",EDATE($D7,Milestones!$AA$150)&gt;=$T7),$W7,IF(AND($S7&lt;&gt;"",EDATE($D7,Milestones!$AA$150)&gt;=$S7),$V7,$U7)))=Milestones!$AB$150),UPPER(TEXT(EDATE($D7,Milestones!$AA$150),"dd mmm yy"))&amp;" "&amp;Milestones!$AB$150&amp;" "&amp;Milestones!$AC$150&amp;";  ","")&amp;IF(AND(EDATE($D7,Milestones!$AA$151)&lt;=AsOfDate,IF($R7=0,$X7,IF(AND($T7&lt;&gt;"",EDATE($D7,Milestones!$AA$151)&gt;=$T7),$W7,IF(AND($S7&lt;&gt;"",EDATE($D7,Milestones!$AA$151)&gt;=$S7),$V7,$U7)))=Milestones!$AB$151),UPPER(TEXT(EDATE($D7,Milestones!$AA$151),"dd mmm yy"))&amp;" "&amp;Milestones!$AB$151&amp;" "&amp;Milestones!$AC$151&amp;";  ","")&amp;IF(AND(EDATE($D7,Milestones!$AA$152)&lt;=AsOfDate,IF($R7=0,$X7,IF(AND($T7&lt;&gt;"",EDATE($D7,Milestones!$AA$152)&gt;=$T7),$W7,IF(AND($S7&lt;&gt;"",EDATE($D7,Milestones!$AA$152)&gt;=$S7),$V7,$U7)))=Milestones!$AB$152),UPPER(TEXT(EDATE($D7,Milestones!$AA$152),"dd mmm yy"))&amp;" "&amp;Milestones!$AB$152&amp;" "&amp;Milestones!$AC$152&amp;";  ","")&amp;IF(AND(EDATE($D7,Milestones!$AA$153)&lt;=AsOfDate,IF($R7=0,$X7,IF(AND($T7&lt;&gt;"",EDATE($D7,Milestones!$AA$153)&gt;=$T7),$W7,IF(AND($S7&lt;&gt;"",EDATE($D7,Milestones!$AA$153)&gt;=$S7),$V7,$U7)))=Milestones!$AB$153),UPPER(TEXT(EDATE($D7,Milestones!$AA$153),"dd mmm yy"))&amp;" "&amp;Milestones!$AB$153&amp;" "&amp;Milestones!$AC$153&amp;";  ","")&amp;IF(AND(EDATE($D7,Milestones!$AA$154)&lt;=AsOfDate,IF($R7=0,$X7,IF(AND($T7&lt;&gt;"",EDATE($D7,Milestones!$AA$154)&gt;=$T7),$W7,IF(AND($S7&lt;&gt;"",EDATE($D7,Milestones!$AA$154)&gt;=$S7),$V7,$U7)))=Milestones!$AB$154),UPPER(TEXT(EDATE($D7,Milestones!$AA$154),"dd mmm yy"))&amp;" "&amp;Milestones!$AB$154&amp;" "&amp;Milestones!$AC$154&amp;";  ","")&amp;IF(AND(EDATE($D7,Milestones!$AA$155)&lt;=AsOfDate,IF($R7=0,$X7,IF(AND($T7&lt;&gt;"",EDATE($D7,Milestones!$AA$155)&gt;=$T7),$W7,IF(AND($S7&lt;&gt;"",EDATE($D7,Milestones!$AA$155)&gt;=$S7),$V7,$U7)))=Milestones!$AB$155),UPPER(TEXT(EDATE($D7,Milestones!$AA$155),"dd mmm yy"))&amp;" "&amp;Milestones!$AB$155&amp;" "&amp;Milestones!$AC$155&amp;";  ","")&amp;IF(AND(EDATE($D7,Milestones!$AA$156)&lt;=AsOfDate,IF($R7=0,$X7,IF(AND($T7&lt;&gt;"",EDATE($D7,Milestones!$AA$156)&gt;=$T7),$W7,IF(AND($S7&lt;&gt;"",EDATE($D7,Milestones!$AA$156)&gt;=$S7),$V7,$U7)))=Milestones!$AB$156),UPPER(TEXT(EDATE($D7,Milestones!$AA$156),"dd mmm yy"))&amp;" "&amp;Milestones!$AB$156&amp;" "&amp;Milestones!$AC$156&amp;";  ","")&amp;IF(AND(EDATE($D7,Milestones!$AA$157)&lt;=AsOfDate,IF($R7=0,$X7,IF(AND($T7&lt;&gt;"",EDATE($D7,Milestones!$AA$157)&gt;=$T7),$W7,IF(AND($S7&lt;&gt;"",EDATE($D7,Milestones!$AA$157)&gt;=$S7),$V7,$U7)))=Milestones!$AB$157),UPPER(TEXT(EDATE($D7,Milestones!$AA$157),"dd mmm yy"))&amp;" "&amp;Milestones!$AB$157&amp;" "&amp;Milestones!$AC$157&amp;";  ","")&amp;IF(AND(EDATE($D7,Milestones!$AA$158)&lt;=AsOfDate,IF($R7=0,$X7,IF(AND($T7&lt;&gt;"",EDATE($D7,Milestones!$AA$158)&gt;=$T7),$W7,IF(AND($S7&lt;&gt;"",EDATE($D7,Milestones!$AA$158)&gt;=$S7),$V7,$U7)))=Milestones!$AB$158),UPPER(TEXT(EDATE($D7,Milestones!$AA$158),"dd mmm yy"))&amp;" "&amp;Milestones!$AB$158&amp;" "&amp;Milestones!$AC$158&amp;";  ","")&amp;IF(AND(EDATE($D7,Milestones!$AA$159)&lt;=AsOfDate,IF($R7=0,$X7,IF(AND($T7&lt;&gt;"",EDATE($D7,Milestones!$AA$159)&gt;=$T7),$W7,IF(AND($S7&lt;&gt;"",EDATE($D7,Milestones!$AA$159)&gt;=$S7),$V7,$U7)))=Milestones!$AB$159),UPPER(TEXT(EDATE($D7,Milestones!$AA$159),"dd mmm yy"))&amp;" "&amp;Milestones!$AB$159&amp;" "&amp;Milestones!$AC$159&amp;";  ",""))</f>
        <v/>
      </c>
      <c r="P7" s="0" t="str">
        <f aca="false">IF(OR($A7="",$D7=""),"",IF(AND(EDATE($D7,Milestones!$AA$160)&lt;=AsOfDate,IF($R7=0,$X7,IF(AND($T7&lt;&gt;"",EDATE($D7,Milestones!$AA$160)&gt;=$T7),$W7,IF(AND($S7&lt;&gt;"",EDATE($D7,Milestones!$AA$160)&gt;=$S7),$V7,$U7)))=Milestones!$AB$160),UPPER(TEXT(EDATE($D7,Milestones!$AA$160),"dd mmm yy"))&amp;" "&amp;Milestones!$AB$160&amp;" "&amp;Milestones!$AC$160&amp;";  ","")&amp;IF(AND(EDATE($D7,Milestones!$AA$161)&lt;=AsOfDate,IF($R7=0,$X7,IF(AND($T7&lt;&gt;"",EDATE($D7,Milestones!$AA$161)&gt;=$T7),$W7,IF(AND($S7&lt;&gt;"",EDATE($D7,Milestones!$AA$161)&gt;=$S7),$V7,$U7)))=Milestones!$AB$161),UPPER(TEXT(EDATE($D7,Milestones!$AA$161),"dd mmm yy"))&amp;" "&amp;Milestones!$AB$161&amp;" "&amp;Milestones!$AC$161&amp;";  ","")&amp;IF(AND(EDATE($D7,Milestones!$AA$162)&lt;=AsOfDate,IF($R7=0,$X7,IF(AND($T7&lt;&gt;"",EDATE($D7,Milestones!$AA$162)&gt;=$T7),$W7,IF(AND($S7&lt;&gt;"",EDATE($D7,Milestones!$AA$162)&gt;=$S7),$V7,$U7)))=Milestones!$AB$162),UPPER(TEXT(EDATE($D7,Milestones!$AA$162),"dd mmm yy"))&amp;" "&amp;Milestones!$AB$162&amp;" "&amp;Milestones!$AC$162&amp;";  ","")&amp;IF(AND(EDATE($D7,Milestones!$AA$163)&lt;=AsOfDate,IF($R7=0,$X7,IF(AND($T7&lt;&gt;"",EDATE($D7,Milestones!$AA$163)&gt;=$T7),$W7,IF(AND($S7&lt;&gt;"",EDATE($D7,Milestones!$AA$163)&gt;=$S7),$V7,$U7)))=Milestones!$AB$163),UPPER(TEXT(EDATE($D7,Milestones!$AA$163),"dd mmm yy"))&amp;" "&amp;Milestones!$AB$163&amp;" "&amp;Milestones!$AC$163&amp;";  ","")&amp;IF(AND(EDATE($D7,Milestones!$AA$164)&lt;=AsOfDate,IF($R7=0,$X7,IF(AND($T7&lt;&gt;"",EDATE($D7,Milestones!$AA$164)&gt;=$T7),$W7,IF(AND($S7&lt;&gt;"",EDATE($D7,Milestones!$AA$164)&gt;=$S7),$V7,$U7)))=Milestones!$AB$164),UPPER(TEXT(EDATE($D7,Milestones!$AA$164),"dd mmm yy"))&amp;" "&amp;Milestones!$AB$164&amp;" "&amp;Milestones!$AC$164&amp;";  ","")&amp;IF(AND(EDATE($D7,Milestones!$AA$165)&lt;=AsOfDate,IF($R7=0,$X7,IF(AND($T7&lt;&gt;"",EDATE($D7,Milestones!$AA$165)&gt;=$T7),$W7,IF(AND($S7&lt;&gt;"",EDATE($D7,Milestones!$AA$165)&gt;=$S7),$V7,$U7)))=Milestones!$AB$165),UPPER(TEXT(EDATE($D7,Milestones!$AA$165),"dd mmm yy"))&amp;" "&amp;Milestones!$AB$165&amp;" "&amp;Milestones!$AC$165&amp;";  ","")&amp;IF(AND(EDATE($D7,Milestones!$AA$166)&lt;=AsOfDate,IF($R7=0,$X7,IF(AND($T7&lt;&gt;"",EDATE($D7,Milestones!$AA$166)&gt;=$T7),$W7,IF(AND($S7&lt;&gt;"",EDATE($D7,Milestones!$AA$166)&gt;=$S7),$V7,$U7)))=Milestones!$AB$166),UPPER(TEXT(EDATE($D7,Milestones!$AA$166),"dd mmm yy"))&amp;" "&amp;Milestones!$AB$166&amp;" "&amp;Milestones!$AC$166&amp;";  ","")&amp;IF(AND(EDATE($D7,Milestones!$AA$167)&lt;=AsOfDate,IF($R7=0,$X7,IF(AND($T7&lt;&gt;"",EDATE($D7,Milestones!$AA$167)&gt;=$T7),$W7,IF(AND($S7&lt;&gt;"",EDATE($D7,Milestones!$AA$167)&gt;=$S7),$V7,$U7)))=Milestones!$AB$167),UPPER(TEXT(EDATE($D7,Milestones!$AA$167),"dd mmm yy"))&amp;" "&amp;Milestones!$AB$167&amp;" "&amp;Milestones!$AC$167&amp;";  ","")&amp;IF(AND(EDATE($D7,Milestones!$AA$168)&lt;=AsOfDate,IF($R7=0,$X7,IF(AND($T7&lt;&gt;"",EDATE($D7,Milestones!$AA$168)&gt;=$T7),$W7,IF(AND($S7&lt;&gt;"",EDATE($D7,Milestones!$AA$168)&gt;=$S7),$V7,$U7)))=Milestones!$AB$168),UPPER(TEXT(EDATE($D7,Milestones!$AA$168),"dd mmm yy"))&amp;" "&amp;Milestones!$AB$168&amp;" "&amp;Milestones!$AC$168&amp;";  ","")&amp;IF(AND(EDATE($D7,Milestones!$AA$169)&lt;=AsOfDate,IF($R7=0,$X7,IF(AND($T7&lt;&gt;"",EDATE($D7,Milestones!$AA$169)&gt;=$T7),$W7,IF(AND($S7&lt;&gt;"",EDATE($D7,Milestones!$AA$169)&gt;=$S7),$V7,$U7)))=Milestones!$AB$169),UPPER(TEXT(EDATE($D7,Milestones!$AA$169),"dd mmm yy"))&amp;" "&amp;Milestones!$AB$169&amp;" "&amp;Milestones!$AC$169&amp;";  ","")&amp;IF(AND(EDATE($D7,Milestones!$AA$170)&lt;=AsOfDate,IF($R7=0,$X7,IF(AND($T7&lt;&gt;"",EDATE($D7,Milestones!$AA$170)&gt;=$T7),$W7,IF(AND($S7&lt;&gt;"",EDATE($D7,Milestones!$AA$170)&gt;=$S7),$V7,$U7)))=Milestones!$AB$170),UPPER(TEXT(EDATE($D7,Milestones!$AA$170),"dd mmm yy"))&amp;" "&amp;Milestones!$AB$170&amp;" "&amp;Milestones!$AC$170&amp;";  ","")&amp;IF(AND(EDATE($D7,Milestones!$AA$171)&lt;=AsOfDate,IF($R7=0,$X7,IF(AND($T7&lt;&gt;"",EDATE($D7,Milestones!$AA$171)&gt;=$T7),$W7,IF(AND($S7&lt;&gt;"",EDATE($D7,Milestones!$AA$171)&gt;=$S7),$V7,$U7)))=Milestones!$AB$171),UPPER(TEXT(EDATE($D7,Milestones!$AA$171),"dd mmm yy"))&amp;" "&amp;Milestones!$AB$171&amp;" "&amp;Milestones!$AC$171&amp;";  ","")&amp;IF(AND(EDATE($D7,Milestones!$AA$172)&lt;=AsOfDate,IF($R7=0,$X7,IF(AND($T7&lt;&gt;"",EDATE($D7,Milestones!$AA$172)&gt;=$T7),$W7,IF(AND($S7&lt;&gt;"",EDATE($D7,Milestones!$AA$172)&gt;=$S7),$V7,$U7)))=Milestones!$AB$172),UPPER(TEXT(EDATE($D7,Milestones!$AA$172),"dd mmm yy"))&amp;" "&amp;Milestones!$AB$172&amp;" "&amp;Milestones!$AC$172&amp;";  ","")&amp;IF(AND(EDATE($D7,Milestones!$AA$173)&lt;=AsOfDate,IF($R7=0,$X7,IF(AND($T7&lt;&gt;"",EDATE($D7,Milestones!$AA$173)&gt;=$T7),$W7,IF(AND($S7&lt;&gt;"",EDATE($D7,Milestones!$AA$173)&gt;=$S7),$V7,$U7)))=Milestones!$AB$173),UPPER(TEXT(EDATE($D7,Milestones!$AA$173),"dd mmm yy"))&amp;" "&amp;Milestones!$AB$173&amp;" "&amp;Milestones!$AC$173&amp;";  ","")&amp;IF(AND(EDATE($D7,Milestones!$AA$174)&lt;=AsOfDate,IF($R7=0,$X7,IF(AND($T7&lt;&gt;"",EDATE($D7,Milestones!$AA$174)&gt;=$T7),$W7,IF(AND($S7&lt;&gt;"",EDATE($D7,Milestones!$AA$174)&gt;=$S7),$V7,$U7)))=Milestones!$AB$174),UPPER(TEXT(EDATE($D7,Milestones!$AA$174),"dd mmm yy"))&amp;" "&amp;Milestones!$AB$174&amp;" "&amp;Milestones!$AC$174&amp;";  ","")&amp;IF(AND(EDATE($D7,Milestones!$AA$175)&lt;=AsOfDate,IF($R7=0,$X7,IF(AND($T7&lt;&gt;"",EDATE($D7,Milestones!$AA$175)&gt;=$T7),$W7,IF(AND($S7&lt;&gt;"",EDATE($D7,Milestones!$AA$175)&gt;=$S7),$V7,$U7)))=Milestones!$AB$175),UPPER(TEXT(EDATE($D7,Milestones!$AA$175),"dd mmm yy"))&amp;" "&amp;Milestones!$AB$175&amp;" "&amp;Milestones!$AC$175&amp;";  ","")&amp;IF(AND(EDATE($D7,Milestones!$AA$176)&lt;=AsOfDate,IF($R7=0,$X7,IF(AND($T7&lt;&gt;"",EDATE($D7,Milestones!$AA$176)&gt;=$T7),$W7,IF(AND($S7&lt;&gt;"",EDATE($D7,Milestones!$AA$176)&gt;=$S7),$V7,$U7)))=Milestones!$AB$176),UPPER(TEXT(EDATE($D7,Milestones!$AA$176),"dd mmm yy"))&amp;" "&amp;Milestones!$AB$176&amp;" "&amp;Milestones!$AC$176&amp;";  ","")&amp;IF(AND(EDATE($D7,Milestones!$AA$177)&lt;=AsOfDate,IF($R7=0,$X7,IF(AND($T7&lt;&gt;"",EDATE($D7,Milestones!$AA$177)&gt;=$T7),$W7,IF(AND($S7&lt;&gt;"",EDATE($D7,Milestones!$AA$177)&gt;=$S7),$V7,$U7)))=Milestones!$AB$177),UPPER(TEXT(EDATE($D7,Milestones!$AA$177),"dd mmm yy"))&amp;" "&amp;Milestones!$AB$177&amp;" "&amp;Milestones!$AC$177&amp;";  ","")&amp;IF(AND(EDATE($D7,Milestones!$AA$178)&lt;=AsOfDate,IF($R7=0,$X7,IF(AND($T7&lt;&gt;"",EDATE($D7,Milestones!$AA$178)&gt;=$T7),$W7,IF(AND($S7&lt;&gt;"",EDATE($D7,Milestones!$AA$178)&gt;=$S7),$V7,$U7)))=Milestones!$AB$178),UPPER(TEXT(EDATE($D7,Milestones!$AA$178),"dd mmm yy"))&amp;" "&amp;Milestones!$AB$178&amp;" "&amp;Milestones!$AC$178&amp;";  ","")&amp;IF(AND(EDATE($D7,Milestones!$AA$179)&lt;=AsOfDate,IF($R7=0,$X7,IF(AND($T7&lt;&gt;"",EDATE($D7,Milestones!$AA$179)&gt;=$T7),$W7,IF(AND($S7&lt;&gt;"",EDATE($D7,Milestones!$AA$179)&gt;=$S7),$V7,$U7)))=Milestones!$AB$179),UPPER(TEXT(EDATE($D7,Milestones!$AA$179),"dd mmm yy"))&amp;" "&amp;Milestones!$AB$179&amp;" "&amp;Milestones!$AC$179&amp;";  ",""))</f>
        <v/>
      </c>
      <c r="Q7" s="0" t="str">
        <f aca="false">IF(OR($A7="",$D7=""),"",IF(AND(EDATE($D7,Milestones!$AA$180)&lt;=AsOfDate,IF($R7=0,$X7,IF(AND($T7&lt;&gt;"",EDATE($D7,Milestones!$AA$180)&gt;=$T7),$W7,IF(AND($S7&lt;&gt;"",EDATE($D7,Milestones!$AA$180)&gt;=$S7),$V7,$U7)))=Milestones!$AB$180),UPPER(TEXT(EDATE($D7,Milestones!$AA$180),"dd mmm yy"))&amp;" "&amp;Milestones!$AB$180&amp;" "&amp;Milestones!$AC$180&amp;";  ","")&amp;IF(AND(EDATE($D7,Milestones!$AA$181)&lt;=AsOfDate,IF($R7=0,$X7,IF(AND($T7&lt;&gt;"",EDATE($D7,Milestones!$AA$181)&gt;=$T7),$W7,IF(AND($S7&lt;&gt;"",EDATE($D7,Milestones!$AA$181)&gt;=$S7),$V7,$U7)))=Milestones!$AB$181),UPPER(TEXT(EDATE($D7,Milestones!$AA$181),"dd mmm yy"))&amp;" "&amp;Milestones!$AB$181&amp;" "&amp;Milestones!$AC$181&amp;";  ","")&amp;IF(AND(EDATE($D7,Milestones!$AA$182)&lt;=AsOfDate,IF($R7=0,$X7,IF(AND($T7&lt;&gt;"",EDATE($D7,Milestones!$AA$182)&gt;=$T7),$W7,IF(AND($S7&lt;&gt;"",EDATE($D7,Milestones!$AA$182)&gt;=$S7),$V7,$U7)))=Milestones!$AB$182),UPPER(TEXT(EDATE($D7,Milestones!$AA$182),"dd mmm yy"))&amp;" "&amp;Milestones!$AB$182&amp;" "&amp;Milestones!$AC$182&amp;";  ","")&amp;IF(AND(EDATE($D7,Milestones!$AA$183)&lt;=AsOfDate,IF($R7=0,$X7,IF(AND($T7&lt;&gt;"",EDATE($D7,Milestones!$AA$183)&gt;=$T7),$W7,IF(AND($S7&lt;&gt;"",EDATE($D7,Milestones!$AA$183)&gt;=$S7),$V7,$U7)))=Milestones!$AB$183),UPPER(TEXT(EDATE($D7,Milestones!$AA$183),"dd mmm yy"))&amp;" "&amp;Milestones!$AB$183&amp;" "&amp;Milestones!$AC$183&amp;";  ","")&amp;IF(AND(EDATE($D7,Milestones!$AA$184)&lt;=AsOfDate,IF($R7=0,$X7,IF(AND($T7&lt;&gt;"",EDATE($D7,Milestones!$AA$184)&gt;=$T7),$W7,IF(AND($S7&lt;&gt;"",EDATE($D7,Milestones!$AA$184)&gt;=$S7),$V7,$U7)))=Milestones!$AB$184),UPPER(TEXT(EDATE($D7,Milestones!$AA$184),"dd mmm yy"))&amp;" "&amp;Milestones!$AB$184&amp;" "&amp;Milestones!$AC$184&amp;";  ","")&amp;IF(AND(EDATE($D7,Milestones!$AA$185)&lt;=AsOfDate,IF($R7=0,$X7,IF(AND($T7&lt;&gt;"",EDATE($D7,Milestones!$AA$185)&gt;=$T7),$W7,IF(AND($S7&lt;&gt;"",EDATE($D7,Milestones!$AA$185)&gt;=$S7),$V7,$U7)))=Milestones!$AB$185),UPPER(TEXT(EDATE($D7,Milestones!$AA$185),"dd mmm yy"))&amp;" "&amp;Milestones!$AB$185&amp;" "&amp;Milestones!$AC$185&amp;";  ","")&amp;IF(AND(EDATE($D7,Milestones!$AA$186)&lt;=AsOfDate,IF($R7=0,$X7,IF(AND($T7&lt;&gt;"",EDATE($D7,Milestones!$AA$186)&gt;=$T7),$W7,IF(AND($S7&lt;&gt;"",EDATE($D7,Milestones!$AA$186)&gt;=$S7),$V7,$U7)))=Milestones!$AB$186),UPPER(TEXT(EDATE($D7,Milestones!$AA$186),"dd mmm yy"))&amp;" "&amp;Milestones!$AB$186&amp;" "&amp;Milestones!$AC$186&amp;";  ","")&amp;IF(AND(EDATE($D7,Milestones!$AA$187)&lt;=AsOfDate,IF($R7=0,$X7,IF(AND($T7&lt;&gt;"",EDATE($D7,Milestones!$AA$187)&gt;=$T7),$W7,IF(AND($S7&lt;&gt;"",EDATE($D7,Milestones!$AA$187)&gt;=$S7),$V7,$U7)))=Milestones!$AB$187),UPPER(TEXT(EDATE($D7,Milestones!$AA$187),"dd mmm yy"))&amp;" "&amp;Milestones!$AB$187&amp;" "&amp;Milestones!$AC$187&amp;";  ","")&amp;IF(AND(EDATE($D7,Milestones!$AA$188)&lt;=AsOfDate,IF($R7=0,$X7,IF(AND($T7&lt;&gt;"",EDATE($D7,Milestones!$AA$188)&gt;=$T7),$W7,IF(AND($S7&lt;&gt;"",EDATE($D7,Milestones!$AA$188)&gt;=$S7),$V7,$U7)))=Milestones!$AB$188),UPPER(TEXT(EDATE($D7,Milestones!$AA$188),"dd mmm yy"))&amp;" "&amp;Milestones!$AB$188&amp;" "&amp;Milestones!$AC$188&amp;";  ","")&amp;IF(AND(EDATE($D7,Milestones!$AA$189)&lt;=AsOfDate,IF($R7=0,$X7,IF(AND($T7&lt;&gt;"",EDATE($D7,Milestones!$AA$189)&gt;=$T7),$W7,IF(AND($S7&lt;&gt;"",EDATE($D7,Milestones!$AA$189)&gt;=$S7),$V7,$U7)))=Milestones!$AB$189),UPPER(TEXT(EDATE($D7,Milestones!$AA$189),"dd mmm yy"))&amp;" "&amp;Milestones!$AB$189&amp;" "&amp;Milestones!$AC$189&amp;";  ","")&amp;IF(AND(EDATE($D7,Milestones!$AA$190)&lt;=AsOfDate,IF($R7=0,$X7,IF(AND($T7&lt;&gt;"",EDATE($D7,Milestones!$AA$190)&gt;=$T7),$W7,IF(AND($S7&lt;&gt;"",EDATE($D7,Milestones!$AA$190)&gt;=$S7),$V7,$U7)))=Milestones!$AB$190),UPPER(TEXT(EDATE($D7,Milestones!$AA$190),"dd mmm yy"))&amp;" "&amp;Milestones!$AB$190&amp;" "&amp;Milestones!$AC$190&amp;";  ","")&amp;IF(AND(EDATE($D7,Milestones!$AA$191)&lt;=AsOfDate,IF($R7=0,$X7,IF(AND($T7&lt;&gt;"",EDATE($D7,Milestones!$AA$191)&gt;=$T7),$W7,IF(AND($S7&lt;&gt;"",EDATE($D7,Milestones!$AA$191)&gt;=$S7),$V7,$U7)))=Milestones!$AB$191),UPPER(TEXT(EDATE($D7,Milestones!$AA$191),"dd mmm yy"))&amp;" "&amp;Milestones!$AB$191&amp;" "&amp;Milestones!$AC$191&amp;";  ","")&amp;IF(AND(EDATE($D7,Milestones!$AA$192)&lt;=AsOfDate,IF($R7=0,$X7,IF(AND($T7&lt;&gt;"",EDATE($D7,Milestones!$AA$192)&gt;=$T7),$W7,IF(AND($S7&lt;&gt;"",EDATE($D7,Milestones!$AA$192)&gt;=$S7),$V7,$U7)))=Milestones!$AB$192),UPPER(TEXT(EDATE($D7,Milestones!$AA$192),"dd mmm yy"))&amp;" "&amp;Milestones!$AB$192&amp;" "&amp;Milestones!$AC$192&amp;";  ","")&amp;IF(AND(EDATE($D7,Milestones!$AA$193)&lt;=AsOfDate,IF($R7=0,$X7,IF(AND($T7&lt;&gt;"",EDATE($D7,Milestones!$AA$193)&gt;=$T7),$W7,IF(AND($S7&lt;&gt;"",EDATE($D7,Milestones!$AA$193)&gt;=$S7),$V7,$U7)))=Milestones!$AB$193),UPPER(TEXT(EDATE($D7,Milestones!$AA$193),"dd mmm yy"))&amp;" "&amp;Milestones!$AB$193&amp;" "&amp;Milestones!$AC$193&amp;";  ","")&amp;IF(AND(EDATE($D7,Milestones!$AA$194)&lt;=AsOfDate,IF($R7=0,$X7,IF(AND($T7&lt;&gt;"",EDATE($D7,Milestones!$AA$194)&gt;=$T7),$W7,IF(AND($S7&lt;&gt;"",EDATE($D7,Milestones!$AA$194)&gt;=$S7),$V7,$U7)))=Milestones!$AB$194),UPPER(TEXT(EDATE($D7,Milestones!$AA$194),"dd mmm yy"))&amp;" "&amp;Milestones!$AB$194&amp;" "&amp;Milestones!$AC$194&amp;";  ","")&amp;IF(AND(EDATE($D7,Milestones!$AA$195)&lt;=AsOfDate,IF($R7=0,$X7,IF(AND($T7&lt;&gt;"",EDATE($D7,Milestones!$AA$195)&gt;=$T7),$W7,IF(AND($S7&lt;&gt;"",EDATE($D7,Milestones!$AA$195)&gt;=$S7),$V7,$U7)))=Milestones!$AB$195),UPPER(TEXT(EDATE($D7,Milestones!$AA$195),"dd mmm yy"))&amp;" "&amp;Milestones!$AB$195&amp;" "&amp;Milestones!$AC$195&amp;";  ","")&amp;IF(AND(EDATE($D7,Milestones!$AA$196)&lt;=AsOfDate,IF($R7=0,$X7,IF(AND($T7&lt;&gt;"",EDATE($D7,Milestones!$AA$196)&gt;=$T7),$W7,IF(AND($S7&lt;&gt;"",EDATE($D7,Milestones!$AA$196)&gt;=$S7),$V7,$U7)))=Milestones!$AB$196),UPPER(TEXT(EDATE($D7,Milestones!$AA$196),"dd mmm yy"))&amp;" "&amp;Milestones!$AB$196&amp;" "&amp;Milestones!$AC$196&amp;";  ","")&amp;IF(AND(EDATE($D7,Milestones!$AA$197)&lt;=AsOfDate,IF($R7=0,$X7,IF(AND($T7&lt;&gt;"",EDATE($D7,Milestones!$AA$197)&gt;=$T7),$W7,IF(AND($S7&lt;&gt;"",EDATE($D7,Milestones!$AA$197)&gt;=$S7),$V7,$U7)))=Milestones!$AB$197),UPPER(TEXT(EDATE($D7,Milestones!$AA$197),"dd mmm yy"))&amp;" "&amp;Milestones!$AB$197&amp;" "&amp;Milestones!$AC$197&amp;";  ","")&amp;IF(AND(EDATE($D7,Milestones!$AA$198)&lt;=AsOfDate,IF($R7=0,$X7,IF(AND($T7&lt;&gt;"",EDATE($D7,Milestones!$AA$198)&gt;=$T7),$W7,IF(AND($S7&lt;&gt;"",EDATE($D7,Milestones!$AA$198)&gt;=$S7),$V7,$U7)))=Milestones!$AB$198),UPPER(TEXT(EDATE($D7,Milestones!$AA$198),"dd mmm yy"))&amp;" "&amp;Milestones!$AB$198&amp;" "&amp;Milestones!$AC$198&amp;";  ","")&amp;IF(AND(EDATE($D7,Milestones!$AA$199)&lt;=AsOfDate,IF($R7=0,$X7,IF(AND($T7&lt;&gt;"",EDATE($D7,Milestones!$AA$199)&gt;=$T7),$W7,IF(AND($S7&lt;&gt;"",EDATE($D7,Milestones!$AA$199)&gt;=$S7),$V7,$U7)))=Milestones!$AB$199),UPPER(TEXT(EDATE($D7,Milestones!$AA$199),"dd mmm yy"))&amp;" "&amp;Milestones!$AB$199&amp;" "&amp;Milestones!$AC$199&amp;";  ",""))</f>
        <v/>
      </c>
      <c r="R7" s="0" t="str">
        <f aca="false">IF(Staff!$A7="","",Staff!$AI7)</f>
        <v/>
      </c>
      <c r="S7" s="0" t="str">
        <f aca="false">IF(Staff!$A7="","",Staff!$AK7)</f>
        <v/>
      </c>
      <c r="T7" s="0" t="str">
        <f aca="false">IF(Staff!$A7="","",Staff!$AL7)</f>
        <v/>
      </c>
      <c r="U7" s="0" t="str">
        <f aca="false">IF(Staff!$A7="","",Staff!$AP7)</f>
        <v/>
      </c>
      <c r="V7" s="0" t="str">
        <f aca="false">IF(Staff!$A7="","",Staff!$AQ7)</f>
        <v/>
      </c>
      <c r="W7" s="0" t="str">
        <f aca="false">IF(Staff!$A7="","",Staff!$AR7)</f>
        <v/>
      </c>
      <c r="X7" s="0" t="str">
        <f aca="false">IF(Staff!$A7="","",Staff!$AS7)</f>
        <v/>
      </c>
    </row>
    <row r="8" customFormat="false" ht="15" hidden="false" customHeight="false" outlineLevel="0" collapsed="false">
      <c r="A8" s="14" t="str">
        <f aca="false">IF(Staff!$A8="","",Staff!$A8)</f>
        <v/>
      </c>
      <c r="B8" s="14" t="str">
        <f aca="false">IF(Staff!$A8="","",Staff!$B8)</f>
        <v/>
      </c>
      <c r="C8" s="14" t="str">
        <f aca="false">IF(Staff!$A8="","",Staff!$C8)</f>
        <v/>
      </c>
      <c r="D8" s="12" t="str">
        <f aca="false">IF(Staff!$A8="","",Staff!$AH8)</f>
        <v/>
      </c>
      <c r="E8" s="14" t="str">
        <f aca="false">IF(Staff!$A8="","",Staff!$O8)</f>
        <v/>
      </c>
      <c r="F8" s="14" t="str">
        <f aca="false">IF(E8="","",E8*HoursPerDay)</f>
        <v/>
      </c>
      <c r="G8" s="14" t="str">
        <f aca="false">IF(Staff!$A8="","",Staff!$AE8)</f>
        <v/>
      </c>
      <c r="H8" s="26" t="str">
        <f aca="false">IF($A8="","",I8&amp;J8&amp;K8&amp;L8&amp;M8&amp;N8&amp;O8&amp;P8&amp;Q8)</f>
        <v/>
      </c>
      <c r="I8" s="0" t="str">
        <f aca="false">IF(OR($A8="",$D8=""),"",IF(AND(EDATE($D8,Milestones!$AA$20)&lt;=AsOfDate,IF($R8=0,$X8,IF(AND($T8&lt;&gt;"",EDATE($D8,Milestones!$AA$20)&gt;=$T8),$W8,IF(AND($S8&lt;&gt;"",EDATE($D8,Milestones!$AA$20)&gt;=$S8),$V8,$U8)))=Milestones!$AB$20),UPPER(TEXT(EDATE($D8,Milestones!$AA$20),"dd mmm yy"))&amp;" "&amp;Milestones!$AB$20&amp;" "&amp;Milestones!$AC$20&amp;";  ","")&amp;IF(AND(EDATE($D8,Milestones!$AA$21)&lt;=AsOfDate,IF($R8=0,$X8,IF(AND($T8&lt;&gt;"",EDATE($D8,Milestones!$AA$21)&gt;=$T8),$W8,IF(AND($S8&lt;&gt;"",EDATE($D8,Milestones!$AA$21)&gt;=$S8),$V8,$U8)))=Milestones!$AB$21),UPPER(TEXT(EDATE($D8,Milestones!$AA$21),"dd mmm yy"))&amp;" "&amp;Milestones!$AB$21&amp;" "&amp;Milestones!$AC$21&amp;";  ","")&amp;IF(AND(EDATE($D8,Milestones!$AA$22)&lt;=AsOfDate,IF($R8=0,$X8,IF(AND($T8&lt;&gt;"",EDATE($D8,Milestones!$AA$22)&gt;=$T8),$W8,IF(AND($S8&lt;&gt;"",EDATE($D8,Milestones!$AA$22)&gt;=$S8),$V8,$U8)))=Milestones!$AB$22),UPPER(TEXT(EDATE($D8,Milestones!$AA$22),"dd mmm yy"))&amp;" "&amp;Milestones!$AB$22&amp;" "&amp;Milestones!$AC$22&amp;";  ","")&amp;IF(AND(EDATE($D8,Milestones!$AA$23)&lt;=AsOfDate,IF($R8=0,$X8,IF(AND($T8&lt;&gt;"",EDATE($D8,Milestones!$AA$23)&gt;=$T8),$W8,IF(AND($S8&lt;&gt;"",EDATE($D8,Milestones!$AA$23)&gt;=$S8),$V8,$U8)))=Milestones!$AB$23),UPPER(TEXT(EDATE($D8,Milestones!$AA$23),"dd mmm yy"))&amp;" "&amp;Milestones!$AB$23&amp;" "&amp;Milestones!$AC$23&amp;";  ","")&amp;IF(AND(EDATE($D8,Milestones!$AA$24)&lt;=AsOfDate,IF($R8=0,$X8,IF(AND($T8&lt;&gt;"",EDATE($D8,Milestones!$AA$24)&gt;=$T8),$W8,IF(AND($S8&lt;&gt;"",EDATE($D8,Milestones!$AA$24)&gt;=$S8),$V8,$U8)))=Milestones!$AB$24),UPPER(TEXT(EDATE($D8,Milestones!$AA$24),"dd mmm yy"))&amp;" "&amp;Milestones!$AB$24&amp;" "&amp;Milestones!$AC$24&amp;";  ","")&amp;IF(AND(EDATE($D8,Milestones!$AA$25)&lt;=AsOfDate,IF($R8=0,$X8,IF(AND($T8&lt;&gt;"",EDATE($D8,Milestones!$AA$25)&gt;=$T8),$W8,IF(AND($S8&lt;&gt;"",EDATE($D8,Milestones!$AA$25)&gt;=$S8),$V8,$U8)))=Milestones!$AB$25),UPPER(TEXT(EDATE($D8,Milestones!$AA$25),"dd mmm yy"))&amp;" "&amp;Milestones!$AB$25&amp;" "&amp;Milestones!$AC$25&amp;";  ","")&amp;IF(AND(EDATE($D8,Milestones!$AA$26)&lt;=AsOfDate,IF($R8=0,$X8,IF(AND($T8&lt;&gt;"",EDATE($D8,Milestones!$AA$26)&gt;=$T8),$W8,IF(AND($S8&lt;&gt;"",EDATE($D8,Milestones!$AA$26)&gt;=$S8),$V8,$U8)))=Milestones!$AB$26),UPPER(TEXT(EDATE($D8,Milestones!$AA$26),"dd mmm yy"))&amp;" "&amp;Milestones!$AB$26&amp;" "&amp;Milestones!$AC$26&amp;";  ","")&amp;IF(AND(EDATE($D8,Milestones!$AA$27)&lt;=AsOfDate,IF($R8=0,$X8,IF(AND($T8&lt;&gt;"",EDATE($D8,Milestones!$AA$27)&gt;=$T8),$W8,IF(AND($S8&lt;&gt;"",EDATE($D8,Milestones!$AA$27)&gt;=$S8),$V8,$U8)))=Milestones!$AB$27),UPPER(TEXT(EDATE($D8,Milestones!$AA$27),"dd mmm yy"))&amp;" "&amp;Milestones!$AB$27&amp;" "&amp;Milestones!$AC$27&amp;";  ","")&amp;IF(AND(EDATE($D8,Milestones!$AA$28)&lt;=AsOfDate,IF($R8=0,$X8,IF(AND($T8&lt;&gt;"",EDATE($D8,Milestones!$AA$28)&gt;=$T8),$W8,IF(AND($S8&lt;&gt;"",EDATE($D8,Milestones!$AA$28)&gt;=$S8),$V8,$U8)))=Milestones!$AB$28),UPPER(TEXT(EDATE($D8,Milestones!$AA$28),"dd mmm yy"))&amp;" "&amp;Milestones!$AB$28&amp;" "&amp;Milestones!$AC$28&amp;";  ","")&amp;IF(AND(EDATE($D8,Milestones!$AA$29)&lt;=AsOfDate,IF($R8=0,$X8,IF(AND($T8&lt;&gt;"",EDATE($D8,Milestones!$AA$29)&gt;=$T8),$W8,IF(AND($S8&lt;&gt;"",EDATE($D8,Milestones!$AA$29)&gt;=$S8),$V8,$U8)))=Milestones!$AB$29),UPPER(TEXT(EDATE($D8,Milestones!$AA$29),"dd mmm yy"))&amp;" "&amp;Milestones!$AB$29&amp;" "&amp;Milestones!$AC$29&amp;";  ","")&amp;IF(AND(EDATE($D8,Milestones!$AA$30)&lt;=AsOfDate,IF($R8=0,$X8,IF(AND($T8&lt;&gt;"",EDATE($D8,Milestones!$AA$30)&gt;=$T8),$W8,IF(AND($S8&lt;&gt;"",EDATE($D8,Milestones!$AA$30)&gt;=$S8),$V8,$U8)))=Milestones!$AB$30),UPPER(TEXT(EDATE($D8,Milestones!$AA$30),"dd mmm yy"))&amp;" "&amp;Milestones!$AB$30&amp;" "&amp;Milestones!$AC$30&amp;";  ","")&amp;IF(AND(EDATE($D8,Milestones!$AA$31)&lt;=AsOfDate,IF($R8=0,$X8,IF(AND($T8&lt;&gt;"",EDATE($D8,Milestones!$AA$31)&gt;=$T8),$W8,IF(AND($S8&lt;&gt;"",EDATE($D8,Milestones!$AA$31)&gt;=$S8),$V8,$U8)))=Milestones!$AB$31),UPPER(TEXT(EDATE($D8,Milestones!$AA$31),"dd mmm yy"))&amp;" "&amp;Milestones!$AB$31&amp;" "&amp;Milestones!$AC$31&amp;";  ","")&amp;IF(AND(EDATE($D8,Milestones!$AA$32)&lt;=AsOfDate,IF($R8=0,$X8,IF(AND($T8&lt;&gt;"",EDATE($D8,Milestones!$AA$32)&gt;=$T8),$W8,IF(AND($S8&lt;&gt;"",EDATE($D8,Milestones!$AA$32)&gt;=$S8),$V8,$U8)))=Milestones!$AB$32),UPPER(TEXT(EDATE($D8,Milestones!$AA$32),"dd mmm yy"))&amp;" "&amp;Milestones!$AB$32&amp;" "&amp;Milestones!$AC$32&amp;";  ","")&amp;IF(AND(EDATE($D8,Milestones!$AA$33)&lt;=AsOfDate,IF($R8=0,$X8,IF(AND($T8&lt;&gt;"",EDATE($D8,Milestones!$AA$33)&gt;=$T8),$W8,IF(AND($S8&lt;&gt;"",EDATE($D8,Milestones!$AA$33)&gt;=$S8),$V8,$U8)))=Milestones!$AB$33),UPPER(TEXT(EDATE($D8,Milestones!$AA$33),"dd mmm yy"))&amp;" "&amp;Milestones!$AB$33&amp;" "&amp;Milestones!$AC$33&amp;";  ","")&amp;IF(AND(EDATE($D8,Milestones!$AA$34)&lt;=AsOfDate,IF($R8=0,$X8,IF(AND($T8&lt;&gt;"",EDATE($D8,Milestones!$AA$34)&gt;=$T8),$W8,IF(AND($S8&lt;&gt;"",EDATE($D8,Milestones!$AA$34)&gt;=$S8),$V8,$U8)))=Milestones!$AB$34),UPPER(TEXT(EDATE($D8,Milestones!$AA$34),"dd mmm yy"))&amp;" "&amp;Milestones!$AB$34&amp;" "&amp;Milestones!$AC$34&amp;";  ","")&amp;IF(AND(EDATE($D8,Milestones!$AA$35)&lt;=AsOfDate,IF($R8=0,$X8,IF(AND($T8&lt;&gt;"",EDATE($D8,Milestones!$AA$35)&gt;=$T8),$W8,IF(AND($S8&lt;&gt;"",EDATE($D8,Milestones!$AA$35)&gt;=$S8),$V8,$U8)))=Milestones!$AB$35),UPPER(TEXT(EDATE($D8,Milestones!$AA$35),"dd mmm yy"))&amp;" "&amp;Milestones!$AB$35&amp;" "&amp;Milestones!$AC$35&amp;";  ","")&amp;IF(AND(EDATE($D8,Milestones!$AA$36)&lt;=AsOfDate,IF($R8=0,$X8,IF(AND($T8&lt;&gt;"",EDATE($D8,Milestones!$AA$36)&gt;=$T8),$W8,IF(AND($S8&lt;&gt;"",EDATE($D8,Milestones!$AA$36)&gt;=$S8),$V8,$U8)))=Milestones!$AB$36),UPPER(TEXT(EDATE($D8,Milestones!$AA$36),"dd mmm yy"))&amp;" "&amp;Milestones!$AB$36&amp;" "&amp;Milestones!$AC$36&amp;";  ","")&amp;IF(AND(EDATE($D8,Milestones!$AA$37)&lt;=AsOfDate,IF($R8=0,$X8,IF(AND($T8&lt;&gt;"",EDATE($D8,Milestones!$AA$37)&gt;=$T8),$W8,IF(AND($S8&lt;&gt;"",EDATE($D8,Milestones!$AA$37)&gt;=$S8),$V8,$U8)))=Milestones!$AB$37),UPPER(TEXT(EDATE($D8,Milestones!$AA$37),"dd mmm yy"))&amp;" "&amp;Milestones!$AB$37&amp;" "&amp;Milestones!$AC$37&amp;";  ","")&amp;IF(AND(EDATE($D8,Milestones!$AA$38)&lt;=AsOfDate,IF($R8=0,$X8,IF(AND($T8&lt;&gt;"",EDATE($D8,Milestones!$AA$38)&gt;=$T8),$W8,IF(AND($S8&lt;&gt;"",EDATE($D8,Milestones!$AA$38)&gt;=$S8),$V8,$U8)))=Milestones!$AB$38),UPPER(TEXT(EDATE($D8,Milestones!$AA$38),"dd mmm yy"))&amp;" "&amp;Milestones!$AB$38&amp;" "&amp;Milestones!$AC$38&amp;";  ","")&amp;IF(AND(EDATE($D8,Milestones!$AA$39)&lt;=AsOfDate,IF($R8=0,$X8,IF(AND($T8&lt;&gt;"",EDATE($D8,Milestones!$AA$39)&gt;=$T8),$W8,IF(AND($S8&lt;&gt;"",EDATE($D8,Milestones!$AA$39)&gt;=$S8),$V8,$U8)))=Milestones!$AB$39),UPPER(TEXT(EDATE($D8,Milestones!$AA$39),"dd mmm yy"))&amp;" "&amp;Milestones!$AB$39&amp;" "&amp;Milestones!$AC$39&amp;";  ",""))</f>
        <v/>
      </c>
      <c r="J8" s="0" t="str">
        <f aca="false">IF(OR($A8="",$D8=""),"",IF(AND(EDATE($D8,Milestones!$AA$40)&lt;=AsOfDate,IF($R8=0,$X8,IF(AND($T8&lt;&gt;"",EDATE($D8,Milestones!$AA$40)&gt;=$T8),$W8,IF(AND($S8&lt;&gt;"",EDATE($D8,Milestones!$AA$40)&gt;=$S8),$V8,$U8)))=Milestones!$AB$40),UPPER(TEXT(EDATE($D8,Milestones!$AA$40),"dd mmm yy"))&amp;" "&amp;Milestones!$AB$40&amp;" "&amp;Milestones!$AC$40&amp;";  ","")&amp;IF(AND(EDATE($D8,Milestones!$AA$41)&lt;=AsOfDate,IF($R8=0,$X8,IF(AND($T8&lt;&gt;"",EDATE($D8,Milestones!$AA$41)&gt;=$T8),$W8,IF(AND($S8&lt;&gt;"",EDATE($D8,Milestones!$AA$41)&gt;=$S8),$V8,$U8)))=Milestones!$AB$41),UPPER(TEXT(EDATE($D8,Milestones!$AA$41),"dd mmm yy"))&amp;" "&amp;Milestones!$AB$41&amp;" "&amp;Milestones!$AC$41&amp;";  ","")&amp;IF(AND(EDATE($D8,Milestones!$AA$42)&lt;=AsOfDate,IF($R8=0,$X8,IF(AND($T8&lt;&gt;"",EDATE($D8,Milestones!$AA$42)&gt;=$T8),$W8,IF(AND($S8&lt;&gt;"",EDATE($D8,Milestones!$AA$42)&gt;=$S8),$V8,$U8)))=Milestones!$AB$42),UPPER(TEXT(EDATE($D8,Milestones!$AA$42),"dd mmm yy"))&amp;" "&amp;Milestones!$AB$42&amp;" "&amp;Milestones!$AC$42&amp;";  ","")&amp;IF(AND(EDATE($D8,Milestones!$AA$43)&lt;=AsOfDate,IF($R8=0,$X8,IF(AND($T8&lt;&gt;"",EDATE($D8,Milestones!$AA$43)&gt;=$T8),$W8,IF(AND($S8&lt;&gt;"",EDATE($D8,Milestones!$AA$43)&gt;=$S8),$V8,$U8)))=Milestones!$AB$43),UPPER(TEXT(EDATE($D8,Milestones!$AA$43),"dd mmm yy"))&amp;" "&amp;Milestones!$AB$43&amp;" "&amp;Milestones!$AC$43&amp;";  ","")&amp;IF(AND(EDATE($D8,Milestones!$AA$44)&lt;=AsOfDate,IF($R8=0,$X8,IF(AND($T8&lt;&gt;"",EDATE($D8,Milestones!$AA$44)&gt;=$T8),$W8,IF(AND($S8&lt;&gt;"",EDATE($D8,Milestones!$AA$44)&gt;=$S8),$V8,$U8)))=Milestones!$AB$44),UPPER(TEXT(EDATE($D8,Milestones!$AA$44),"dd mmm yy"))&amp;" "&amp;Milestones!$AB$44&amp;" "&amp;Milestones!$AC$44&amp;";  ","")&amp;IF(AND(EDATE($D8,Milestones!$AA$45)&lt;=AsOfDate,IF($R8=0,$X8,IF(AND($T8&lt;&gt;"",EDATE($D8,Milestones!$AA$45)&gt;=$T8),$W8,IF(AND($S8&lt;&gt;"",EDATE($D8,Milestones!$AA$45)&gt;=$S8),$V8,$U8)))=Milestones!$AB$45),UPPER(TEXT(EDATE($D8,Milestones!$AA$45),"dd mmm yy"))&amp;" "&amp;Milestones!$AB$45&amp;" "&amp;Milestones!$AC$45&amp;";  ","")&amp;IF(AND(EDATE($D8,Milestones!$AA$46)&lt;=AsOfDate,IF($R8=0,$X8,IF(AND($T8&lt;&gt;"",EDATE($D8,Milestones!$AA$46)&gt;=$T8),$W8,IF(AND($S8&lt;&gt;"",EDATE($D8,Milestones!$AA$46)&gt;=$S8),$V8,$U8)))=Milestones!$AB$46),UPPER(TEXT(EDATE($D8,Milestones!$AA$46),"dd mmm yy"))&amp;" "&amp;Milestones!$AB$46&amp;" "&amp;Milestones!$AC$46&amp;";  ","")&amp;IF(AND(EDATE($D8,Milestones!$AA$47)&lt;=AsOfDate,IF($R8=0,$X8,IF(AND($T8&lt;&gt;"",EDATE($D8,Milestones!$AA$47)&gt;=$T8),$W8,IF(AND($S8&lt;&gt;"",EDATE($D8,Milestones!$AA$47)&gt;=$S8),$V8,$U8)))=Milestones!$AB$47),UPPER(TEXT(EDATE($D8,Milestones!$AA$47),"dd mmm yy"))&amp;" "&amp;Milestones!$AB$47&amp;" "&amp;Milestones!$AC$47&amp;";  ","")&amp;IF(AND(EDATE($D8,Milestones!$AA$48)&lt;=AsOfDate,IF($R8=0,$X8,IF(AND($T8&lt;&gt;"",EDATE($D8,Milestones!$AA$48)&gt;=$T8),$W8,IF(AND($S8&lt;&gt;"",EDATE($D8,Milestones!$AA$48)&gt;=$S8),$V8,$U8)))=Milestones!$AB$48),UPPER(TEXT(EDATE($D8,Milestones!$AA$48),"dd mmm yy"))&amp;" "&amp;Milestones!$AB$48&amp;" "&amp;Milestones!$AC$48&amp;";  ","")&amp;IF(AND(EDATE($D8,Milestones!$AA$49)&lt;=AsOfDate,IF($R8=0,$X8,IF(AND($T8&lt;&gt;"",EDATE($D8,Milestones!$AA$49)&gt;=$T8),$W8,IF(AND($S8&lt;&gt;"",EDATE($D8,Milestones!$AA$49)&gt;=$S8),$V8,$U8)))=Milestones!$AB$49),UPPER(TEXT(EDATE($D8,Milestones!$AA$49),"dd mmm yy"))&amp;" "&amp;Milestones!$AB$49&amp;" "&amp;Milestones!$AC$49&amp;";  ","")&amp;IF(AND(EDATE($D8,Milestones!$AA$50)&lt;=AsOfDate,IF($R8=0,$X8,IF(AND($T8&lt;&gt;"",EDATE($D8,Milestones!$AA$50)&gt;=$T8),$W8,IF(AND($S8&lt;&gt;"",EDATE($D8,Milestones!$AA$50)&gt;=$S8),$V8,$U8)))=Milestones!$AB$50),UPPER(TEXT(EDATE($D8,Milestones!$AA$50),"dd mmm yy"))&amp;" "&amp;Milestones!$AB$50&amp;" "&amp;Milestones!$AC$50&amp;";  ","")&amp;IF(AND(EDATE($D8,Milestones!$AA$51)&lt;=AsOfDate,IF($R8=0,$X8,IF(AND($T8&lt;&gt;"",EDATE($D8,Milestones!$AA$51)&gt;=$T8),$W8,IF(AND($S8&lt;&gt;"",EDATE($D8,Milestones!$AA$51)&gt;=$S8),$V8,$U8)))=Milestones!$AB$51),UPPER(TEXT(EDATE($D8,Milestones!$AA$51),"dd mmm yy"))&amp;" "&amp;Milestones!$AB$51&amp;" "&amp;Milestones!$AC$51&amp;";  ","")&amp;IF(AND(EDATE($D8,Milestones!$AA$52)&lt;=AsOfDate,IF($R8=0,$X8,IF(AND($T8&lt;&gt;"",EDATE($D8,Milestones!$AA$52)&gt;=$T8),$W8,IF(AND($S8&lt;&gt;"",EDATE($D8,Milestones!$AA$52)&gt;=$S8),$V8,$U8)))=Milestones!$AB$52),UPPER(TEXT(EDATE($D8,Milestones!$AA$52),"dd mmm yy"))&amp;" "&amp;Milestones!$AB$52&amp;" "&amp;Milestones!$AC$52&amp;";  ","")&amp;IF(AND(EDATE($D8,Milestones!$AA$53)&lt;=AsOfDate,IF($R8=0,$X8,IF(AND($T8&lt;&gt;"",EDATE($D8,Milestones!$AA$53)&gt;=$T8),$W8,IF(AND($S8&lt;&gt;"",EDATE($D8,Milestones!$AA$53)&gt;=$S8),$V8,$U8)))=Milestones!$AB$53),UPPER(TEXT(EDATE($D8,Milestones!$AA$53),"dd mmm yy"))&amp;" "&amp;Milestones!$AB$53&amp;" "&amp;Milestones!$AC$53&amp;";  ","")&amp;IF(AND(EDATE($D8,Milestones!$AA$54)&lt;=AsOfDate,IF($R8=0,$X8,IF(AND($T8&lt;&gt;"",EDATE($D8,Milestones!$AA$54)&gt;=$T8),$W8,IF(AND($S8&lt;&gt;"",EDATE($D8,Milestones!$AA$54)&gt;=$S8),$V8,$U8)))=Milestones!$AB$54),UPPER(TEXT(EDATE($D8,Milestones!$AA$54),"dd mmm yy"))&amp;" "&amp;Milestones!$AB$54&amp;" "&amp;Milestones!$AC$54&amp;";  ","")&amp;IF(AND(EDATE($D8,Milestones!$AA$55)&lt;=AsOfDate,IF($R8=0,$X8,IF(AND($T8&lt;&gt;"",EDATE($D8,Milestones!$AA$55)&gt;=$T8),$W8,IF(AND($S8&lt;&gt;"",EDATE($D8,Milestones!$AA$55)&gt;=$S8),$V8,$U8)))=Milestones!$AB$55),UPPER(TEXT(EDATE($D8,Milestones!$AA$55),"dd mmm yy"))&amp;" "&amp;Milestones!$AB$55&amp;" "&amp;Milestones!$AC$55&amp;";  ","")&amp;IF(AND(EDATE($D8,Milestones!$AA$56)&lt;=AsOfDate,IF($R8=0,$X8,IF(AND($T8&lt;&gt;"",EDATE($D8,Milestones!$AA$56)&gt;=$T8),$W8,IF(AND($S8&lt;&gt;"",EDATE($D8,Milestones!$AA$56)&gt;=$S8),$V8,$U8)))=Milestones!$AB$56),UPPER(TEXT(EDATE($D8,Milestones!$AA$56),"dd mmm yy"))&amp;" "&amp;Milestones!$AB$56&amp;" "&amp;Milestones!$AC$56&amp;";  ","")&amp;IF(AND(EDATE($D8,Milestones!$AA$57)&lt;=AsOfDate,IF($R8=0,$X8,IF(AND($T8&lt;&gt;"",EDATE($D8,Milestones!$AA$57)&gt;=$T8),$W8,IF(AND($S8&lt;&gt;"",EDATE($D8,Milestones!$AA$57)&gt;=$S8),$V8,$U8)))=Milestones!$AB$57),UPPER(TEXT(EDATE($D8,Milestones!$AA$57),"dd mmm yy"))&amp;" "&amp;Milestones!$AB$57&amp;" "&amp;Milestones!$AC$57&amp;";  ","")&amp;IF(AND(EDATE($D8,Milestones!$AA$58)&lt;=AsOfDate,IF($R8=0,$X8,IF(AND($T8&lt;&gt;"",EDATE($D8,Milestones!$AA$58)&gt;=$T8),$W8,IF(AND($S8&lt;&gt;"",EDATE($D8,Milestones!$AA$58)&gt;=$S8),$V8,$U8)))=Milestones!$AB$58),UPPER(TEXT(EDATE($D8,Milestones!$AA$58),"dd mmm yy"))&amp;" "&amp;Milestones!$AB$58&amp;" "&amp;Milestones!$AC$58&amp;";  ","")&amp;IF(AND(EDATE($D8,Milestones!$AA$59)&lt;=AsOfDate,IF($R8=0,$X8,IF(AND($T8&lt;&gt;"",EDATE($D8,Milestones!$AA$59)&gt;=$T8),$W8,IF(AND($S8&lt;&gt;"",EDATE($D8,Milestones!$AA$59)&gt;=$S8),$V8,$U8)))=Milestones!$AB$59),UPPER(TEXT(EDATE($D8,Milestones!$AA$59),"dd mmm yy"))&amp;" "&amp;Milestones!$AB$59&amp;" "&amp;Milestones!$AC$59&amp;";  ",""))</f>
        <v/>
      </c>
      <c r="K8" s="0" t="str">
        <f aca="false">IF(OR($A8="",$D8=""),"",IF(AND(EDATE($D8,Milestones!$AA$60)&lt;=AsOfDate,IF($R8=0,$X8,IF(AND($T8&lt;&gt;"",EDATE($D8,Milestones!$AA$60)&gt;=$T8),$W8,IF(AND($S8&lt;&gt;"",EDATE($D8,Milestones!$AA$60)&gt;=$S8),$V8,$U8)))=Milestones!$AB$60),UPPER(TEXT(EDATE($D8,Milestones!$AA$60),"dd mmm yy"))&amp;" "&amp;Milestones!$AB$60&amp;" "&amp;Milestones!$AC$60&amp;";  ","")&amp;IF(AND(EDATE($D8,Milestones!$AA$61)&lt;=AsOfDate,IF($R8=0,$X8,IF(AND($T8&lt;&gt;"",EDATE($D8,Milestones!$AA$61)&gt;=$T8),$W8,IF(AND($S8&lt;&gt;"",EDATE($D8,Milestones!$AA$61)&gt;=$S8),$V8,$U8)))=Milestones!$AB$61),UPPER(TEXT(EDATE($D8,Milestones!$AA$61),"dd mmm yy"))&amp;" "&amp;Milestones!$AB$61&amp;" "&amp;Milestones!$AC$61&amp;";  ","")&amp;IF(AND(EDATE($D8,Milestones!$AA$62)&lt;=AsOfDate,IF($R8=0,$X8,IF(AND($T8&lt;&gt;"",EDATE($D8,Milestones!$AA$62)&gt;=$T8),$W8,IF(AND($S8&lt;&gt;"",EDATE($D8,Milestones!$AA$62)&gt;=$S8),$V8,$U8)))=Milestones!$AB$62),UPPER(TEXT(EDATE($D8,Milestones!$AA$62),"dd mmm yy"))&amp;" "&amp;Milestones!$AB$62&amp;" "&amp;Milestones!$AC$62&amp;";  ","")&amp;IF(AND(EDATE($D8,Milestones!$AA$63)&lt;=AsOfDate,IF($R8=0,$X8,IF(AND($T8&lt;&gt;"",EDATE($D8,Milestones!$AA$63)&gt;=$T8),$W8,IF(AND($S8&lt;&gt;"",EDATE($D8,Milestones!$AA$63)&gt;=$S8),$V8,$U8)))=Milestones!$AB$63),UPPER(TEXT(EDATE($D8,Milestones!$AA$63),"dd mmm yy"))&amp;" "&amp;Milestones!$AB$63&amp;" "&amp;Milestones!$AC$63&amp;";  ","")&amp;IF(AND(EDATE($D8,Milestones!$AA$64)&lt;=AsOfDate,IF($R8=0,$X8,IF(AND($T8&lt;&gt;"",EDATE($D8,Milestones!$AA$64)&gt;=$T8),$W8,IF(AND($S8&lt;&gt;"",EDATE($D8,Milestones!$AA$64)&gt;=$S8),$V8,$U8)))=Milestones!$AB$64),UPPER(TEXT(EDATE($D8,Milestones!$AA$64),"dd mmm yy"))&amp;" "&amp;Milestones!$AB$64&amp;" "&amp;Milestones!$AC$64&amp;";  ","")&amp;IF(AND(EDATE($D8,Milestones!$AA$65)&lt;=AsOfDate,IF($R8=0,$X8,IF(AND($T8&lt;&gt;"",EDATE($D8,Milestones!$AA$65)&gt;=$T8),$W8,IF(AND($S8&lt;&gt;"",EDATE($D8,Milestones!$AA$65)&gt;=$S8),$V8,$U8)))=Milestones!$AB$65),UPPER(TEXT(EDATE($D8,Milestones!$AA$65),"dd mmm yy"))&amp;" "&amp;Milestones!$AB$65&amp;" "&amp;Milestones!$AC$65&amp;";  ","")&amp;IF(AND(EDATE($D8,Milestones!$AA$66)&lt;=AsOfDate,IF($R8=0,$X8,IF(AND($T8&lt;&gt;"",EDATE($D8,Milestones!$AA$66)&gt;=$T8),$W8,IF(AND($S8&lt;&gt;"",EDATE($D8,Milestones!$AA$66)&gt;=$S8),$V8,$U8)))=Milestones!$AB$66),UPPER(TEXT(EDATE($D8,Milestones!$AA$66),"dd mmm yy"))&amp;" "&amp;Milestones!$AB$66&amp;" "&amp;Milestones!$AC$66&amp;";  ","")&amp;IF(AND(EDATE($D8,Milestones!$AA$67)&lt;=AsOfDate,IF($R8=0,$X8,IF(AND($T8&lt;&gt;"",EDATE($D8,Milestones!$AA$67)&gt;=$T8),$W8,IF(AND($S8&lt;&gt;"",EDATE($D8,Milestones!$AA$67)&gt;=$S8),$V8,$U8)))=Milestones!$AB$67),UPPER(TEXT(EDATE($D8,Milestones!$AA$67),"dd mmm yy"))&amp;" "&amp;Milestones!$AB$67&amp;" "&amp;Milestones!$AC$67&amp;";  ","")&amp;IF(AND(EDATE($D8,Milestones!$AA$68)&lt;=AsOfDate,IF($R8=0,$X8,IF(AND($T8&lt;&gt;"",EDATE($D8,Milestones!$AA$68)&gt;=$T8),$W8,IF(AND($S8&lt;&gt;"",EDATE($D8,Milestones!$AA$68)&gt;=$S8),$V8,$U8)))=Milestones!$AB$68),UPPER(TEXT(EDATE($D8,Milestones!$AA$68),"dd mmm yy"))&amp;" "&amp;Milestones!$AB$68&amp;" "&amp;Milestones!$AC$68&amp;";  ","")&amp;IF(AND(EDATE($D8,Milestones!$AA$69)&lt;=AsOfDate,IF($R8=0,$X8,IF(AND($T8&lt;&gt;"",EDATE($D8,Milestones!$AA$69)&gt;=$T8),$W8,IF(AND($S8&lt;&gt;"",EDATE($D8,Milestones!$AA$69)&gt;=$S8),$V8,$U8)))=Milestones!$AB$69),UPPER(TEXT(EDATE($D8,Milestones!$AA$69),"dd mmm yy"))&amp;" "&amp;Milestones!$AB$69&amp;" "&amp;Milestones!$AC$69&amp;";  ","")&amp;IF(AND(EDATE($D8,Milestones!$AA$70)&lt;=AsOfDate,IF($R8=0,$X8,IF(AND($T8&lt;&gt;"",EDATE($D8,Milestones!$AA$70)&gt;=$T8),$W8,IF(AND($S8&lt;&gt;"",EDATE($D8,Milestones!$AA$70)&gt;=$S8),$V8,$U8)))=Milestones!$AB$70),UPPER(TEXT(EDATE($D8,Milestones!$AA$70),"dd mmm yy"))&amp;" "&amp;Milestones!$AB$70&amp;" "&amp;Milestones!$AC$70&amp;";  ","")&amp;IF(AND(EDATE($D8,Milestones!$AA$71)&lt;=AsOfDate,IF($R8=0,$X8,IF(AND($T8&lt;&gt;"",EDATE($D8,Milestones!$AA$71)&gt;=$T8),$W8,IF(AND($S8&lt;&gt;"",EDATE($D8,Milestones!$AA$71)&gt;=$S8),$V8,$U8)))=Milestones!$AB$71),UPPER(TEXT(EDATE($D8,Milestones!$AA$71),"dd mmm yy"))&amp;" "&amp;Milestones!$AB$71&amp;" "&amp;Milestones!$AC$71&amp;";  ","")&amp;IF(AND(EDATE($D8,Milestones!$AA$72)&lt;=AsOfDate,IF($R8=0,$X8,IF(AND($T8&lt;&gt;"",EDATE($D8,Milestones!$AA$72)&gt;=$T8),$W8,IF(AND($S8&lt;&gt;"",EDATE($D8,Milestones!$AA$72)&gt;=$S8),$V8,$U8)))=Milestones!$AB$72),UPPER(TEXT(EDATE($D8,Milestones!$AA$72),"dd mmm yy"))&amp;" "&amp;Milestones!$AB$72&amp;" "&amp;Milestones!$AC$72&amp;";  ","")&amp;IF(AND(EDATE($D8,Milestones!$AA$73)&lt;=AsOfDate,IF($R8=0,$X8,IF(AND($T8&lt;&gt;"",EDATE($D8,Milestones!$AA$73)&gt;=$T8),$W8,IF(AND($S8&lt;&gt;"",EDATE($D8,Milestones!$AA$73)&gt;=$S8),$V8,$U8)))=Milestones!$AB$73),UPPER(TEXT(EDATE($D8,Milestones!$AA$73),"dd mmm yy"))&amp;" "&amp;Milestones!$AB$73&amp;" "&amp;Milestones!$AC$73&amp;";  ","")&amp;IF(AND(EDATE($D8,Milestones!$AA$74)&lt;=AsOfDate,IF($R8=0,$X8,IF(AND($T8&lt;&gt;"",EDATE($D8,Milestones!$AA$74)&gt;=$T8),$W8,IF(AND($S8&lt;&gt;"",EDATE($D8,Milestones!$AA$74)&gt;=$S8),$V8,$U8)))=Milestones!$AB$74),UPPER(TEXT(EDATE($D8,Milestones!$AA$74),"dd mmm yy"))&amp;" "&amp;Milestones!$AB$74&amp;" "&amp;Milestones!$AC$74&amp;";  ","")&amp;IF(AND(EDATE($D8,Milestones!$AA$75)&lt;=AsOfDate,IF($R8=0,$X8,IF(AND($T8&lt;&gt;"",EDATE($D8,Milestones!$AA$75)&gt;=$T8),$W8,IF(AND($S8&lt;&gt;"",EDATE($D8,Milestones!$AA$75)&gt;=$S8),$V8,$U8)))=Milestones!$AB$75),UPPER(TEXT(EDATE($D8,Milestones!$AA$75),"dd mmm yy"))&amp;" "&amp;Milestones!$AB$75&amp;" "&amp;Milestones!$AC$75&amp;";  ","")&amp;IF(AND(EDATE($D8,Milestones!$AA$76)&lt;=AsOfDate,IF($R8=0,$X8,IF(AND($T8&lt;&gt;"",EDATE($D8,Milestones!$AA$76)&gt;=$T8),$W8,IF(AND($S8&lt;&gt;"",EDATE($D8,Milestones!$AA$76)&gt;=$S8),$V8,$U8)))=Milestones!$AB$76),UPPER(TEXT(EDATE($D8,Milestones!$AA$76),"dd mmm yy"))&amp;" "&amp;Milestones!$AB$76&amp;" "&amp;Milestones!$AC$76&amp;";  ","")&amp;IF(AND(EDATE($D8,Milestones!$AA$77)&lt;=AsOfDate,IF($R8=0,$X8,IF(AND($T8&lt;&gt;"",EDATE($D8,Milestones!$AA$77)&gt;=$T8),$W8,IF(AND($S8&lt;&gt;"",EDATE($D8,Milestones!$AA$77)&gt;=$S8),$V8,$U8)))=Milestones!$AB$77),UPPER(TEXT(EDATE($D8,Milestones!$AA$77),"dd mmm yy"))&amp;" "&amp;Milestones!$AB$77&amp;" "&amp;Milestones!$AC$77&amp;";  ","")&amp;IF(AND(EDATE($D8,Milestones!$AA$78)&lt;=AsOfDate,IF($R8=0,$X8,IF(AND($T8&lt;&gt;"",EDATE($D8,Milestones!$AA$78)&gt;=$T8),$W8,IF(AND($S8&lt;&gt;"",EDATE($D8,Milestones!$AA$78)&gt;=$S8),$V8,$U8)))=Milestones!$AB$78),UPPER(TEXT(EDATE($D8,Milestones!$AA$78),"dd mmm yy"))&amp;" "&amp;Milestones!$AB$78&amp;" "&amp;Milestones!$AC$78&amp;";  ","")&amp;IF(AND(EDATE($D8,Milestones!$AA$79)&lt;=AsOfDate,IF($R8=0,$X8,IF(AND($T8&lt;&gt;"",EDATE($D8,Milestones!$AA$79)&gt;=$T8),$W8,IF(AND($S8&lt;&gt;"",EDATE($D8,Milestones!$AA$79)&gt;=$S8),$V8,$U8)))=Milestones!$AB$79),UPPER(TEXT(EDATE($D8,Milestones!$AA$79),"dd mmm yy"))&amp;" "&amp;Milestones!$AB$79&amp;" "&amp;Milestones!$AC$79&amp;";  ",""))</f>
        <v/>
      </c>
      <c r="L8" s="0" t="str">
        <f aca="false">IF(OR($A8="",$D8=""),"",IF(AND(EDATE($D8,Milestones!$AA$80)&lt;=AsOfDate,IF($R8=0,$X8,IF(AND($T8&lt;&gt;"",EDATE($D8,Milestones!$AA$80)&gt;=$T8),$W8,IF(AND($S8&lt;&gt;"",EDATE($D8,Milestones!$AA$80)&gt;=$S8),$V8,$U8)))=Milestones!$AB$80),UPPER(TEXT(EDATE($D8,Milestones!$AA$80),"dd mmm yy"))&amp;" "&amp;Milestones!$AB$80&amp;" "&amp;Milestones!$AC$80&amp;";  ","")&amp;IF(AND(EDATE($D8,Milestones!$AA$81)&lt;=AsOfDate,IF($R8=0,$X8,IF(AND($T8&lt;&gt;"",EDATE($D8,Milestones!$AA$81)&gt;=$T8),$W8,IF(AND($S8&lt;&gt;"",EDATE($D8,Milestones!$AA$81)&gt;=$S8),$V8,$U8)))=Milestones!$AB$81),UPPER(TEXT(EDATE($D8,Milestones!$AA$81),"dd mmm yy"))&amp;" "&amp;Milestones!$AB$81&amp;" "&amp;Milestones!$AC$81&amp;";  ","")&amp;IF(AND(EDATE($D8,Milestones!$AA$82)&lt;=AsOfDate,IF($R8=0,$X8,IF(AND($T8&lt;&gt;"",EDATE($D8,Milestones!$AA$82)&gt;=$T8),$W8,IF(AND($S8&lt;&gt;"",EDATE($D8,Milestones!$AA$82)&gt;=$S8),$V8,$U8)))=Milestones!$AB$82),UPPER(TEXT(EDATE($D8,Milestones!$AA$82),"dd mmm yy"))&amp;" "&amp;Milestones!$AB$82&amp;" "&amp;Milestones!$AC$82&amp;";  ","")&amp;IF(AND(EDATE($D8,Milestones!$AA$83)&lt;=AsOfDate,IF($R8=0,$X8,IF(AND($T8&lt;&gt;"",EDATE($D8,Milestones!$AA$83)&gt;=$T8),$W8,IF(AND($S8&lt;&gt;"",EDATE($D8,Milestones!$AA$83)&gt;=$S8),$V8,$U8)))=Milestones!$AB$83),UPPER(TEXT(EDATE($D8,Milestones!$AA$83),"dd mmm yy"))&amp;" "&amp;Milestones!$AB$83&amp;" "&amp;Milestones!$AC$83&amp;";  ","")&amp;IF(AND(EDATE($D8,Milestones!$AA$84)&lt;=AsOfDate,IF($R8=0,$X8,IF(AND($T8&lt;&gt;"",EDATE($D8,Milestones!$AA$84)&gt;=$T8),$W8,IF(AND($S8&lt;&gt;"",EDATE($D8,Milestones!$AA$84)&gt;=$S8),$V8,$U8)))=Milestones!$AB$84),UPPER(TEXT(EDATE($D8,Milestones!$AA$84),"dd mmm yy"))&amp;" "&amp;Milestones!$AB$84&amp;" "&amp;Milestones!$AC$84&amp;";  ","")&amp;IF(AND(EDATE($D8,Milestones!$AA$85)&lt;=AsOfDate,IF($R8=0,$X8,IF(AND($T8&lt;&gt;"",EDATE($D8,Milestones!$AA$85)&gt;=$T8),$W8,IF(AND($S8&lt;&gt;"",EDATE($D8,Milestones!$AA$85)&gt;=$S8),$V8,$U8)))=Milestones!$AB$85),UPPER(TEXT(EDATE($D8,Milestones!$AA$85),"dd mmm yy"))&amp;" "&amp;Milestones!$AB$85&amp;" "&amp;Milestones!$AC$85&amp;";  ","")&amp;IF(AND(EDATE($D8,Milestones!$AA$86)&lt;=AsOfDate,IF($R8=0,$X8,IF(AND($T8&lt;&gt;"",EDATE($D8,Milestones!$AA$86)&gt;=$T8),$W8,IF(AND($S8&lt;&gt;"",EDATE($D8,Milestones!$AA$86)&gt;=$S8),$V8,$U8)))=Milestones!$AB$86),UPPER(TEXT(EDATE($D8,Milestones!$AA$86),"dd mmm yy"))&amp;" "&amp;Milestones!$AB$86&amp;" "&amp;Milestones!$AC$86&amp;";  ","")&amp;IF(AND(EDATE($D8,Milestones!$AA$87)&lt;=AsOfDate,IF($R8=0,$X8,IF(AND($T8&lt;&gt;"",EDATE($D8,Milestones!$AA$87)&gt;=$T8),$W8,IF(AND($S8&lt;&gt;"",EDATE($D8,Milestones!$AA$87)&gt;=$S8),$V8,$U8)))=Milestones!$AB$87),UPPER(TEXT(EDATE($D8,Milestones!$AA$87),"dd mmm yy"))&amp;" "&amp;Milestones!$AB$87&amp;" "&amp;Milestones!$AC$87&amp;";  ","")&amp;IF(AND(EDATE($D8,Milestones!$AA$88)&lt;=AsOfDate,IF($R8=0,$X8,IF(AND($T8&lt;&gt;"",EDATE($D8,Milestones!$AA$88)&gt;=$T8),$W8,IF(AND($S8&lt;&gt;"",EDATE($D8,Milestones!$AA$88)&gt;=$S8),$V8,$U8)))=Milestones!$AB$88),UPPER(TEXT(EDATE($D8,Milestones!$AA$88),"dd mmm yy"))&amp;" "&amp;Milestones!$AB$88&amp;" "&amp;Milestones!$AC$88&amp;";  ","")&amp;IF(AND(EDATE($D8,Milestones!$AA$89)&lt;=AsOfDate,IF($R8=0,$X8,IF(AND($T8&lt;&gt;"",EDATE($D8,Milestones!$AA$89)&gt;=$T8),$W8,IF(AND($S8&lt;&gt;"",EDATE($D8,Milestones!$AA$89)&gt;=$S8),$V8,$U8)))=Milestones!$AB$89),UPPER(TEXT(EDATE($D8,Milestones!$AA$89),"dd mmm yy"))&amp;" "&amp;Milestones!$AB$89&amp;" "&amp;Milestones!$AC$89&amp;";  ","")&amp;IF(AND(EDATE($D8,Milestones!$AA$90)&lt;=AsOfDate,IF($R8=0,$X8,IF(AND($T8&lt;&gt;"",EDATE($D8,Milestones!$AA$90)&gt;=$T8),$W8,IF(AND($S8&lt;&gt;"",EDATE($D8,Milestones!$AA$90)&gt;=$S8),$V8,$U8)))=Milestones!$AB$90),UPPER(TEXT(EDATE($D8,Milestones!$AA$90),"dd mmm yy"))&amp;" "&amp;Milestones!$AB$90&amp;" "&amp;Milestones!$AC$90&amp;";  ","")&amp;IF(AND(EDATE($D8,Milestones!$AA$91)&lt;=AsOfDate,IF($R8=0,$X8,IF(AND($T8&lt;&gt;"",EDATE($D8,Milestones!$AA$91)&gt;=$T8),$W8,IF(AND($S8&lt;&gt;"",EDATE($D8,Milestones!$AA$91)&gt;=$S8),$V8,$U8)))=Milestones!$AB$91),UPPER(TEXT(EDATE($D8,Milestones!$AA$91),"dd mmm yy"))&amp;" "&amp;Milestones!$AB$91&amp;" "&amp;Milestones!$AC$91&amp;";  ","")&amp;IF(AND(EDATE($D8,Milestones!$AA$92)&lt;=AsOfDate,IF($R8=0,$X8,IF(AND($T8&lt;&gt;"",EDATE($D8,Milestones!$AA$92)&gt;=$T8),$W8,IF(AND($S8&lt;&gt;"",EDATE($D8,Milestones!$AA$92)&gt;=$S8),$V8,$U8)))=Milestones!$AB$92),UPPER(TEXT(EDATE($D8,Milestones!$AA$92),"dd mmm yy"))&amp;" "&amp;Milestones!$AB$92&amp;" "&amp;Milestones!$AC$92&amp;";  ","")&amp;IF(AND(EDATE($D8,Milestones!$AA$93)&lt;=AsOfDate,IF($R8=0,$X8,IF(AND($T8&lt;&gt;"",EDATE($D8,Milestones!$AA$93)&gt;=$T8),$W8,IF(AND($S8&lt;&gt;"",EDATE($D8,Milestones!$AA$93)&gt;=$S8),$V8,$U8)))=Milestones!$AB$93),UPPER(TEXT(EDATE($D8,Milestones!$AA$93),"dd mmm yy"))&amp;" "&amp;Milestones!$AB$93&amp;" "&amp;Milestones!$AC$93&amp;";  ","")&amp;IF(AND(EDATE($D8,Milestones!$AA$94)&lt;=AsOfDate,IF($R8=0,$X8,IF(AND($T8&lt;&gt;"",EDATE($D8,Milestones!$AA$94)&gt;=$T8),$W8,IF(AND($S8&lt;&gt;"",EDATE($D8,Milestones!$AA$94)&gt;=$S8),$V8,$U8)))=Milestones!$AB$94),UPPER(TEXT(EDATE($D8,Milestones!$AA$94),"dd mmm yy"))&amp;" "&amp;Milestones!$AB$94&amp;" "&amp;Milestones!$AC$94&amp;";  ","")&amp;IF(AND(EDATE($D8,Milestones!$AA$95)&lt;=AsOfDate,IF($R8=0,$X8,IF(AND($T8&lt;&gt;"",EDATE($D8,Milestones!$AA$95)&gt;=$T8),$W8,IF(AND($S8&lt;&gt;"",EDATE($D8,Milestones!$AA$95)&gt;=$S8),$V8,$U8)))=Milestones!$AB$95),UPPER(TEXT(EDATE($D8,Milestones!$AA$95),"dd mmm yy"))&amp;" "&amp;Milestones!$AB$95&amp;" "&amp;Milestones!$AC$95&amp;";  ","")&amp;IF(AND(EDATE($D8,Milestones!$AA$96)&lt;=AsOfDate,IF($R8=0,$X8,IF(AND($T8&lt;&gt;"",EDATE($D8,Milestones!$AA$96)&gt;=$T8),$W8,IF(AND($S8&lt;&gt;"",EDATE($D8,Milestones!$AA$96)&gt;=$S8),$V8,$U8)))=Milestones!$AB$96),UPPER(TEXT(EDATE($D8,Milestones!$AA$96),"dd mmm yy"))&amp;" "&amp;Milestones!$AB$96&amp;" "&amp;Milestones!$AC$96&amp;";  ","")&amp;IF(AND(EDATE($D8,Milestones!$AA$97)&lt;=AsOfDate,IF($R8=0,$X8,IF(AND($T8&lt;&gt;"",EDATE($D8,Milestones!$AA$97)&gt;=$T8),$W8,IF(AND($S8&lt;&gt;"",EDATE($D8,Milestones!$AA$97)&gt;=$S8),$V8,$U8)))=Milestones!$AB$97),UPPER(TEXT(EDATE($D8,Milestones!$AA$97),"dd mmm yy"))&amp;" "&amp;Milestones!$AB$97&amp;" "&amp;Milestones!$AC$97&amp;";  ","")&amp;IF(AND(EDATE($D8,Milestones!$AA$98)&lt;=AsOfDate,IF($R8=0,$X8,IF(AND($T8&lt;&gt;"",EDATE($D8,Milestones!$AA$98)&gt;=$T8),$W8,IF(AND($S8&lt;&gt;"",EDATE($D8,Milestones!$AA$98)&gt;=$S8),$V8,$U8)))=Milestones!$AB$98),UPPER(TEXT(EDATE($D8,Milestones!$AA$98),"dd mmm yy"))&amp;" "&amp;Milestones!$AB$98&amp;" "&amp;Milestones!$AC$98&amp;";  ","")&amp;IF(AND(EDATE($D8,Milestones!$AA$99)&lt;=AsOfDate,IF($R8=0,$X8,IF(AND($T8&lt;&gt;"",EDATE($D8,Milestones!$AA$99)&gt;=$T8),$W8,IF(AND($S8&lt;&gt;"",EDATE($D8,Milestones!$AA$99)&gt;=$S8),$V8,$U8)))=Milestones!$AB$99),UPPER(TEXT(EDATE($D8,Milestones!$AA$99),"dd mmm yy"))&amp;" "&amp;Milestones!$AB$99&amp;" "&amp;Milestones!$AC$99&amp;";  ",""))</f>
        <v/>
      </c>
      <c r="M8" s="0" t="str">
        <f aca="false">IF(OR($A8="",$D8=""),"",IF(AND(EDATE($D8,Milestones!$AA$100)&lt;=AsOfDate,IF($R8=0,$X8,IF(AND($T8&lt;&gt;"",EDATE($D8,Milestones!$AA$100)&gt;=$T8),$W8,IF(AND($S8&lt;&gt;"",EDATE($D8,Milestones!$AA$100)&gt;=$S8),$V8,$U8)))=Milestones!$AB$100),UPPER(TEXT(EDATE($D8,Milestones!$AA$100),"dd mmm yy"))&amp;" "&amp;Milestones!$AB$100&amp;" "&amp;Milestones!$AC$100&amp;";  ","")&amp;IF(AND(EDATE($D8,Milestones!$AA$101)&lt;=AsOfDate,IF($R8=0,$X8,IF(AND($T8&lt;&gt;"",EDATE($D8,Milestones!$AA$101)&gt;=$T8),$W8,IF(AND($S8&lt;&gt;"",EDATE($D8,Milestones!$AA$101)&gt;=$S8),$V8,$U8)))=Milestones!$AB$101),UPPER(TEXT(EDATE($D8,Milestones!$AA$101),"dd mmm yy"))&amp;" "&amp;Milestones!$AB$101&amp;" "&amp;Milestones!$AC$101&amp;";  ","")&amp;IF(AND(EDATE($D8,Milestones!$AA$102)&lt;=AsOfDate,IF($R8=0,$X8,IF(AND($T8&lt;&gt;"",EDATE($D8,Milestones!$AA$102)&gt;=$T8),$W8,IF(AND($S8&lt;&gt;"",EDATE($D8,Milestones!$AA$102)&gt;=$S8),$V8,$U8)))=Milestones!$AB$102),UPPER(TEXT(EDATE($D8,Milestones!$AA$102),"dd mmm yy"))&amp;" "&amp;Milestones!$AB$102&amp;" "&amp;Milestones!$AC$102&amp;";  ","")&amp;IF(AND(EDATE($D8,Milestones!$AA$103)&lt;=AsOfDate,IF($R8=0,$X8,IF(AND($T8&lt;&gt;"",EDATE($D8,Milestones!$AA$103)&gt;=$T8),$W8,IF(AND($S8&lt;&gt;"",EDATE($D8,Milestones!$AA$103)&gt;=$S8),$V8,$U8)))=Milestones!$AB$103),UPPER(TEXT(EDATE($D8,Milestones!$AA$103),"dd mmm yy"))&amp;" "&amp;Milestones!$AB$103&amp;" "&amp;Milestones!$AC$103&amp;";  ","")&amp;IF(AND(EDATE($D8,Milestones!$AA$104)&lt;=AsOfDate,IF($R8=0,$X8,IF(AND($T8&lt;&gt;"",EDATE($D8,Milestones!$AA$104)&gt;=$T8),$W8,IF(AND($S8&lt;&gt;"",EDATE($D8,Milestones!$AA$104)&gt;=$S8),$V8,$U8)))=Milestones!$AB$104),UPPER(TEXT(EDATE($D8,Milestones!$AA$104),"dd mmm yy"))&amp;" "&amp;Milestones!$AB$104&amp;" "&amp;Milestones!$AC$104&amp;";  ","")&amp;IF(AND(EDATE($D8,Milestones!$AA$105)&lt;=AsOfDate,IF($R8=0,$X8,IF(AND($T8&lt;&gt;"",EDATE($D8,Milestones!$AA$105)&gt;=$T8),$W8,IF(AND($S8&lt;&gt;"",EDATE($D8,Milestones!$AA$105)&gt;=$S8),$V8,$U8)))=Milestones!$AB$105),UPPER(TEXT(EDATE($D8,Milestones!$AA$105),"dd mmm yy"))&amp;" "&amp;Milestones!$AB$105&amp;" "&amp;Milestones!$AC$105&amp;";  ","")&amp;IF(AND(EDATE($D8,Milestones!$AA$106)&lt;=AsOfDate,IF($R8=0,$X8,IF(AND($T8&lt;&gt;"",EDATE($D8,Milestones!$AA$106)&gt;=$T8),$W8,IF(AND($S8&lt;&gt;"",EDATE($D8,Milestones!$AA$106)&gt;=$S8),$V8,$U8)))=Milestones!$AB$106),UPPER(TEXT(EDATE($D8,Milestones!$AA$106),"dd mmm yy"))&amp;" "&amp;Milestones!$AB$106&amp;" "&amp;Milestones!$AC$106&amp;";  ","")&amp;IF(AND(EDATE($D8,Milestones!$AA$107)&lt;=AsOfDate,IF($R8=0,$X8,IF(AND($T8&lt;&gt;"",EDATE($D8,Milestones!$AA$107)&gt;=$T8),$W8,IF(AND($S8&lt;&gt;"",EDATE($D8,Milestones!$AA$107)&gt;=$S8),$V8,$U8)))=Milestones!$AB$107),UPPER(TEXT(EDATE($D8,Milestones!$AA$107),"dd mmm yy"))&amp;" "&amp;Milestones!$AB$107&amp;" "&amp;Milestones!$AC$107&amp;";  ","")&amp;IF(AND(EDATE($D8,Milestones!$AA$108)&lt;=AsOfDate,IF($R8=0,$X8,IF(AND($T8&lt;&gt;"",EDATE($D8,Milestones!$AA$108)&gt;=$T8),$W8,IF(AND($S8&lt;&gt;"",EDATE($D8,Milestones!$AA$108)&gt;=$S8),$V8,$U8)))=Milestones!$AB$108),UPPER(TEXT(EDATE($D8,Milestones!$AA$108),"dd mmm yy"))&amp;" "&amp;Milestones!$AB$108&amp;" "&amp;Milestones!$AC$108&amp;";  ","")&amp;IF(AND(EDATE($D8,Milestones!$AA$109)&lt;=AsOfDate,IF($R8=0,$X8,IF(AND($T8&lt;&gt;"",EDATE($D8,Milestones!$AA$109)&gt;=$T8),$W8,IF(AND($S8&lt;&gt;"",EDATE($D8,Milestones!$AA$109)&gt;=$S8),$V8,$U8)))=Milestones!$AB$109),UPPER(TEXT(EDATE($D8,Milestones!$AA$109),"dd mmm yy"))&amp;" "&amp;Milestones!$AB$109&amp;" "&amp;Milestones!$AC$109&amp;";  ","")&amp;IF(AND(EDATE($D8,Milestones!$AA$110)&lt;=AsOfDate,IF($R8=0,$X8,IF(AND($T8&lt;&gt;"",EDATE($D8,Milestones!$AA$110)&gt;=$T8),$W8,IF(AND($S8&lt;&gt;"",EDATE($D8,Milestones!$AA$110)&gt;=$S8),$V8,$U8)))=Milestones!$AB$110),UPPER(TEXT(EDATE($D8,Milestones!$AA$110),"dd mmm yy"))&amp;" "&amp;Milestones!$AB$110&amp;" "&amp;Milestones!$AC$110&amp;";  ","")&amp;IF(AND(EDATE($D8,Milestones!$AA$111)&lt;=AsOfDate,IF($R8=0,$X8,IF(AND($T8&lt;&gt;"",EDATE($D8,Milestones!$AA$111)&gt;=$T8),$W8,IF(AND($S8&lt;&gt;"",EDATE($D8,Milestones!$AA$111)&gt;=$S8),$V8,$U8)))=Milestones!$AB$111),UPPER(TEXT(EDATE($D8,Milestones!$AA$111),"dd mmm yy"))&amp;" "&amp;Milestones!$AB$111&amp;" "&amp;Milestones!$AC$111&amp;";  ","")&amp;IF(AND(EDATE($D8,Milestones!$AA$112)&lt;=AsOfDate,IF($R8=0,$X8,IF(AND($T8&lt;&gt;"",EDATE($D8,Milestones!$AA$112)&gt;=$T8),$W8,IF(AND($S8&lt;&gt;"",EDATE($D8,Milestones!$AA$112)&gt;=$S8),$V8,$U8)))=Milestones!$AB$112),UPPER(TEXT(EDATE($D8,Milestones!$AA$112),"dd mmm yy"))&amp;" "&amp;Milestones!$AB$112&amp;" "&amp;Milestones!$AC$112&amp;";  ","")&amp;IF(AND(EDATE($D8,Milestones!$AA$113)&lt;=AsOfDate,IF($R8=0,$X8,IF(AND($T8&lt;&gt;"",EDATE($D8,Milestones!$AA$113)&gt;=$T8),$W8,IF(AND($S8&lt;&gt;"",EDATE($D8,Milestones!$AA$113)&gt;=$S8),$V8,$U8)))=Milestones!$AB$113),UPPER(TEXT(EDATE($D8,Milestones!$AA$113),"dd mmm yy"))&amp;" "&amp;Milestones!$AB$113&amp;" "&amp;Milestones!$AC$113&amp;";  ","")&amp;IF(AND(EDATE($D8,Milestones!$AA$114)&lt;=AsOfDate,IF($R8=0,$X8,IF(AND($T8&lt;&gt;"",EDATE($D8,Milestones!$AA$114)&gt;=$T8),$W8,IF(AND($S8&lt;&gt;"",EDATE($D8,Milestones!$AA$114)&gt;=$S8),$V8,$U8)))=Milestones!$AB$114),UPPER(TEXT(EDATE($D8,Milestones!$AA$114),"dd mmm yy"))&amp;" "&amp;Milestones!$AB$114&amp;" "&amp;Milestones!$AC$114&amp;";  ","")&amp;IF(AND(EDATE($D8,Milestones!$AA$115)&lt;=AsOfDate,IF($R8=0,$X8,IF(AND($T8&lt;&gt;"",EDATE($D8,Milestones!$AA$115)&gt;=$T8),$W8,IF(AND($S8&lt;&gt;"",EDATE($D8,Milestones!$AA$115)&gt;=$S8),$V8,$U8)))=Milestones!$AB$115),UPPER(TEXT(EDATE($D8,Milestones!$AA$115),"dd mmm yy"))&amp;" "&amp;Milestones!$AB$115&amp;" "&amp;Milestones!$AC$115&amp;";  ","")&amp;IF(AND(EDATE($D8,Milestones!$AA$116)&lt;=AsOfDate,IF($R8=0,$X8,IF(AND($T8&lt;&gt;"",EDATE($D8,Milestones!$AA$116)&gt;=$T8),$W8,IF(AND($S8&lt;&gt;"",EDATE($D8,Milestones!$AA$116)&gt;=$S8),$V8,$U8)))=Milestones!$AB$116),UPPER(TEXT(EDATE($D8,Milestones!$AA$116),"dd mmm yy"))&amp;" "&amp;Milestones!$AB$116&amp;" "&amp;Milestones!$AC$116&amp;";  ","")&amp;IF(AND(EDATE($D8,Milestones!$AA$117)&lt;=AsOfDate,IF($R8=0,$X8,IF(AND($T8&lt;&gt;"",EDATE($D8,Milestones!$AA$117)&gt;=$T8),$W8,IF(AND($S8&lt;&gt;"",EDATE($D8,Milestones!$AA$117)&gt;=$S8),$V8,$U8)))=Milestones!$AB$117),UPPER(TEXT(EDATE($D8,Milestones!$AA$117),"dd mmm yy"))&amp;" "&amp;Milestones!$AB$117&amp;" "&amp;Milestones!$AC$117&amp;";  ","")&amp;IF(AND(EDATE($D8,Milestones!$AA$118)&lt;=AsOfDate,IF($R8=0,$X8,IF(AND($T8&lt;&gt;"",EDATE($D8,Milestones!$AA$118)&gt;=$T8),$W8,IF(AND($S8&lt;&gt;"",EDATE($D8,Milestones!$AA$118)&gt;=$S8),$V8,$U8)))=Milestones!$AB$118),UPPER(TEXT(EDATE($D8,Milestones!$AA$118),"dd mmm yy"))&amp;" "&amp;Milestones!$AB$118&amp;" "&amp;Milestones!$AC$118&amp;";  ","")&amp;IF(AND(EDATE($D8,Milestones!$AA$119)&lt;=AsOfDate,IF($R8=0,$X8,IF(AND($T8&lt;&gt;"",EDATE($D8,Milestones!$AA$119)&gt;=$T8),$W8,IF(AND($S8&lt;&gt;"",EDATE($D8,Milestones!$AA$119)&gt;=$S8),$V8,$U8)))=Milestones!$AB$119),UPPER(TEXT(EDATE($D8,Milestones!$AA$119),"dd mmm yy"))&amp;" "&amp;Milestones!$AB$119&amp;" "&amp;Milestones!$AC$119&amp;";  ",""))</f>
        <v/>
      </c>
      <c r="N8" s="0" t="str">
        <f aca="false">IF(OR($A8="",$D8=""),"",IF(AND(EDATE($D8,Milestones!$AA$120)&lt;=AsOfDate,IF($R8=0,$X8,IF(AND($T8&lt;&gt;"",EDATE($D8,Milestones!$AA$120)&gt;=$T8),$W8,IF(AND($S8&lt;&gt;"",EDATE($D8,Milestones!$AA$120)&gt;=$S8),$V8,$U8)))=Milestones!$AB$120),UPPER(TEXT(EDATE($D8,Milestones!$AA$120),"dd mmm yy"))&amp;" "&amp;Milestones!$AB$120&amp;" "&amp;Milestones!$AC$120&amp;";  ","")&amp;IF(AND(EDATE($D8,Milestones!$AA$121)&lt;=AsOfDate,IF($R8=0,$X8,IF(AND($T8&lt;&gt;"",EDATE($D8,Milestones!$AA$121)&gt;=$T8),$W8,IF(AND($S8&lt;&gt;"",EDATE($D8,Milestones!$AA$121)&gt;=$S8),$V8,$U8)))=Milestones!$AB$121),UPPER(TEXT(EDATE($D8,Milestones!$AA$121),"dd mmm yy"))&amp;" "&amp;Milestones!$AB$121&amp;" "&amp;Milestones!$AC$121&amp;";  ","")&amp;IF(AND(EDATE($D8,Milestones!$AA$122)&lt;=AsOfDate,IF($R8=0,$X8,IF(AND($T8&lt;&gt;"",EDATE($D8,Milestones!$AA$122)&gt;=$T8),$W8,IF(AND($S8&lt;&gt;"",EDATE($D8,Milestones!$AA$122)&gt;=$S8),$V8,$U8)))=Milestones!$AB$122),UPPER(TEXT(EDATE($D8,Milestones!$AA$122),"dd mmm yy"))&amp;" "&amp;Milestones!$AB$122&amp;" "&amp;Milestones!$AC$122&amp;";  ","")&amp;IF(AND(EDATE($D8,Milestones!$AA$123)&lt;=AsOfDate,IF($R8=0,$X8,IF(AND($T8&lt;&gt;"",EDATE($D8,Milestones!$AA$123)&gt;=$T8),$W8,IF(AND($S8&lt;&gt;"",EDATE($D8,Milestones!$AA$123)&gt;=$S8),$V8,$U8)))=Milestones!$AB$123),UPPER(TEXT(EDATE($D8,Milestones!$AA$123),"dd mmm yy"))&amp;" "&amp;Milestones!$AB$123&amp;" "&amp;Milestones!$AC$123&amp;";  ","")&amp;IF(AND(EDATE($D8,Milestones!$AA$124)&lt;=AsOfDate,IF($R8=0,$X8,IF(AND($T8&lt;&gt;"",EDATE($D8,Milestones!$AA$124)&gt;=$T8),$W8,IF(AND($S8&lt;&gt;"",EDATE($D8,Milestones!$AA$124)&gt;=$S8),$V8,$U8)))=Milestones!$AB$124),UPPER(TEXT(EDATE($D8,Milestones!$AA$124),"dd mmm yy"))&amp;" "&amp;Milestones!$AB$124&amp;" "&amp;Milestones!$AC$124&amp;";  ","")&amp;IF(AND(EDATE($D8,Milestones!$AA$125)&lt;=AsOfDate,IF($R8=0,$X8,IF(AND($T8&lt;&gt;"",EDATE($D8,Milestones!$AA$125)&gt;=$T8),$W8,IF(AND($S8&lt;&gt;"",EDATE($D8,Milestones!$AA$125)&gt;=$S8),$V8,$U8)))=Milestones!$AB$125),UPPER(TEXT(EDATE($D8,Milestones!$AA$125),"dd mmm yy"))&amp;" "&amp;Milestones!$AB$125&amp;" "&amp;Milestones!$AC$125&amp;";  ","")&amp;IF(AND(EDATE($D8,Milestones!$AA$126)&lt;=AsOfDate,IF($R8=0,$X8,IF(AND($T8&lt;&gt;"",EDATE($D8,Milestones!$AA$126)&gt;=$T8),$W8,IF(AND($S8&lt;&gt;"",EDATE($D8,Milestones!$AA$126)&gt;=$S8),$V8,$U8)))=Milestones!$AB$126),UPPER(TEXT(EDATE($D8,Milestones!$AA$126),"dd mmm yy"))&amp;" "&amp;Milestones!$AB$126&amp;" "&amp;Milestones!$AC$126&amp;";  ","")&amp;IF(AND(EDATE($D8,Milestones!$AA$127)&lt;=AsOfDate,IF($R8=0,$X8,IF(AND($T8&lt;&gt;"",EDATE($D8,Milestones!$AA$127)&gt;=$T8),$W8,IF(AND($S8&lt;&gt;"",EDATE($D8,Milestones!$AA$127)&gt;=$S8),$V8,$U8)))=Milestones!$AB$127),UPPER(TEXT(EDATE($D8,Milestones!$AA$127),"dd mmm yy"))&amp;" "&amp;Milestones!$AB$127&amp;" "&amp;Milestones!$AC$127&amp;";  ","")&amp;IF(AND(EDATE($D8,Milestones!$AA$128)&lt;=AsOfDate,IF($R8=0,$X8,IF(AND($T8&lt;&gt;"",EDATE($D8,Milestones!$AA$128)&gt;=$T8),$W8,IF(AND($S8&lt;&gt;"",EDATE($D8,Milestones!$AA$128)&gt;=$S8),$V8,$U8)))=Milestones!$AB$128),UPPER(TEXT(EDATE($D8,Milestones!$AA$128),"dd mmm yy"))&amp;" "&amp;Milestones!$AB$128&amp;" "&amp;Milestones!$AC$128&amp;";  ","")&amp;IF(AND(EDATE($D8,Milestones!$AA$129)&lt;=AsOfDate,IF($R8=0,$X8,IF(AND($T8&lt;&gt;"",EDATE($D8,Milestones!$AA$129)&gt;=$T8),$W8,IF(AND($S8&lt;&gt;"",EDATE($D8,Milestones!$AA$129)&gt;=$S8),$V8,$U8)))=Milestones!$AB$129),UPPER(TEXT(EDATE($D8,Milestones!$AA$129),"dd mmm yy"))&amp;" "&amp;Milestones!$AB$129&amp;" "&amp;Milestones!$AC$129&amp;";  ","")&amp;IF(AND(EDATE($D8,Milestones!$AA$130)&lt;=AsOfDate,IF($R8=0,$X8,IF(AND($T8&lt;&gt;"",EDATE($D8,Milestones!$AA$130)&gt;=$T8),$W8,IF(AND($S8&lt;&gt;"",EDATE($D8,Milestones!$AA$130)&gt;=$S8),$V8,$U8)))=Milestones!$AB$130),UPPER(TEXT(EDATE($D8,Milestones!$AA$130),"dd mmm yy"))&amp;" "&amp;Milestones!$AB$130&amp;" "&amp;Milestones!$AC$130&amp;";  ","")&amp;IF(AND(EDATE($D8,Milestones!$AA$131)&lt;=AsOfDate,IF($R8=0,$X8,IF(AND($T8&lt;&gt;"",EDATE($D8,Milestones!$AA$131)&gt;=$T8),$W8,IF(AND($S8&lt;&gt;"",EDATE($D8,Milestones!$AA$131)&gt;=$S8),$V8,$U8)))=Milestones!$AB$131),UPPER(TEXT(EDATE($D8,Milestones!$AA$131),"dd mmm yy"))&amp;" "&amp;Milestones!$AB$131&amp;" "&amp;Milestones!$AC$131&amp;";  ","")&amp;IF(AND(EDATE($D8,Milestones!$AA$132)&lt;=AsOfDate,IF($R8=0,$X8,IF(AND($T8&lt;&gt;"",EDATE($D8,Milestones!$AA$132)&gt;=$T8),$W8,IF(AND($S8&lt;&gt;"",EDATE($D8,Milestones!$AA$132)&gt;=$S8),$V8,$U8)))=Milestones!$AB$132),UPPER(TEXT(EDATE($D8,Milestones!$AA$132),"dd mmm yy"))&amp;" "&amp;Milestones!$AB$132&amp;" "&amp;Milestones!$AC$132&amp;";  ","")&amp;IF(AND(EDATE($D8,Milestones!$AA$133)&lt;=AsOfDate,IF($R8=0,$X8,IF(AND($T8&lt;&gt;"",EDATE($D8,Milestones!$AA$133)&gt;=$T8),$W8,IF(AND($S8&lt;&gt;"",EDATE($D8,Milestones!$AA$133)&gt;=$S8),$V8,$U8)))=Milestones!$AB$133),UPPER(TEXT(EDATE($D8,Milestones!$AA$133),"dd mmm yy"))&amp;" "&amp;Milestones!$AB$133&amp;" "&amp;Milestones!$AC$133&amp;";  ","")&amp;IF(AND(EDATE($D8,Milestones!$AA$134)&lt;=AsOfDate,IF($R8=0,$X8,IF(AND($T8&lt;&gt;"",EDATE($D8,Milestones!$AA$134)&gt;=$T8),$W8,IF(AND($S8&lt;&gt;"",EDATE($D8,Milestones!$AA$134)&gt;=$S8),$V8,$U8)))=Milestones!$AB$134),UPPER(TEXT(EDATE($D8,Milestones!$AA$134),"dd mmm yy"))&amp;" "&amp;Milestones!$AB$134&amp;" "&amp;Milestones!$AC$134&amp;";  ","")&amp;IF(AND(EDATE($D8,Milestones!$AA$135)&lt;=AsOfDate,IF($R8=0,$X8,IF(AND($T8&lt;&gt;"",EDATE($D8,Milestones!$AA$135)&gt;=$T8),$W8,IF(AND($S8&lt;&gt;"",EDATE($D8,Milestones!$AA$135)&gt;=$S8),$V8,$U8)))=Milestones!$AB$135),UPPER(TEXT(EDATE($D8,Milestones!$AA$135),"dd mmm yy"))&amp;" "&amp;Milestones!$AB$135&amp;" "&amp;Milestones!$AC$135&amp;";  ","")&amp;IF(AND(EDATE($D8,Milestones!$AA$136)&lt;=AsOfDate,IF($R8=0,$X8,IF(AND($T8&lt;&gt;"",EDATE($D8,Milestones!$AA$136)&gt;=$T8),$W8,IF(AND($S8&lt;&gt;"",EDATE($D8,Milestones!$AA$136)&gt;=$S8),$V8,$U8)))=Milestones!$AB$136),UPPER(TEXT(EDATE($D8,Milestones!$AA$136),"dd mmm yy"))&amp;" "&amp;Milestones!$AB$136&amp;" "&amp;Milestones!$AC$136&amp;";  ","")&amp;IF(AND(EDATE($D8,Milestones!$AA$137)&lt;=AsOfDate,IF($R8=0,$X8,IF(AND($T8&lt;&gt;"",EDATE($D8,Milestones!$AA$137)&gt;=$T8),$W8,IF(AND($S8&lt;&gt;"",EDATE($D8,Milestones!$AA$137)&gt;=$S8),$V8,$U8)))=Milestones!$AB$137),UPPER(TEXT(EDATE($D8,Milestones!$AA$137),"dd mmm yy"))&amp;" "&amp;Milestones!$AB$137&amp;" "&amp;Milestones!$AC$137&amp;";  ","")&amp;IF(AND(EDATE($D8,Milestones!$AA$138)&lt;=AsOfDate,IF($R8=0,$X8,IF(AND($T8&lt;&gt;"",EDATE($D8,Milestones!$AA$138)&gt;=$T8),$W8,IF(AND($S8&lt;&gt;"",EDATE($D8,Milestones!$AA$138)&gt;=$S8),$V8,$U8)))=Milestones!$AB$138),UPPER(TEXT(EDATE($D8,Milestones!$AA$138),"dd mmm yy"))&amp;" "&amp;Milestones!$AB$138&amp;" "&amp;Milestones!$AC$138&amp;";  ","")&amp;IF(AND(EDATE($D8,Milestones!$AA$139)&lt;=AsOfDate,IF($R8=0,$X8,IF(AND($T8&lt;&gt;"",EDATE($D8,Milestones!$AA$139)&gt;=$T8),$W8,IF(AND($S8&lt;&gt;"",EDATE($D8,Milestones!$AA$139)&gt;=$S8),$V8,$U8)))=Milestones!$AB$139),UPPER(TEXT(EDATE($D8,Milestones!$AA$139),"dd mmm yy"))&amp;" "&amp;Milestones!$AB$139&amp;" "&amp;Milestones!$AC$139&amp;";  ",""))</f>
        <v/>
      </c>
      <c r="O8" s="0" t="str">
        <f aca="false">IF(OR($A8="",$D8=""),"",IF(AND(EDATE($D8,Milestones!$AA$140)&lt;=AsOfDate,IF($R8=0,$X8,IF(AND($T8&lt;&gt;"",EDATE($D8,Milestones!$AA$140)&gt;=$T8),$W8,IF(AND($S8&lt;&gt;"",EDATE($D8,Milestones!$AA$140)&gt;=$S8),$V8,$U8)))=Milestones!$AB$140),UPPER(TEXT(EDATE($D8,Milestones!$AA$140),"dd mmm yy"))&amp;" "&amp;Milestones!$AB$140&amp;" "&amp;Milestones!$AC$140&amp;";  ","")&amp;IF(AND(EDATE($D8,Milestones!$AA$141)&lt;=AsOfDate,IF($R8=0,$X8,IF(AND($T8&lt;&gt;"",EDATE($D8,Milestones!$AA$141)&gt;=$T8),$W8,IF(AND($S8&lt;&gt;"",EDATE($D8,Milestones!$AA$141)&gt;=$S8),$V8,$U8)))=Milestones!$AB$141),UPPER(TEXT(EDATE($D8,Milestones!$AA$141),"dd mmm yy"))&amp;" "&amp;Milestones!$AB$141&amp;" "&amp;Milestones!$AC$141&amp;";  ","")&amp;IF(AND(EDATE($D8,Milestones!$AA$142)&lt;=AsOfDate,IF($R8=0,$X8,IF(AND($T8&lt;&gt;"",EDATE($D8,Milestones!$AA$142)&gt;=$T8),$W8,IF(AND($S8&lt;&gt;"",EDATE($D8,Milestones!$AA$142)&gt;=$S8),$V8,$U8)))=Milestones!$AB$142),UPPER(TEXT(EDATE($D8,Milestones!$AA$142),"dd mmm yy"))&amp;" "&amp;Milestones!$AB$142&amp;" "&amp;Milestones!$AC$142&amp;";  ","")&amp;IF(AND(EDATE($D8,Milestones!$AA$143)&lt;=AsOfDate,IF($R8=0,$X8,IF(AND($T8&lt;&gt;"",EDATE($D8,Milestones!$AA$143)&gt;=$T8),$W8,IF(AND($S8&lt;&gt;"",EDATE($D8,Milestones!$AA$143)&gt;=$S8),$V8,$U8)))=Milestones!$AB$143),UPPER(TEXT(EDATE($D8,Milestones!$AA$143),"dd mmm yy"))&amp;" "&amp;Milestones!$AB$143&amp;" "&amp;Milestones!$AC$143&amp;";  ","")&amp;IF(AND(EDATE($D8,Milestones!$AA$144)&lt;=AsOfDate,IF($R8=0,$X8,IF(AND($T8&lt;&gt;"",EDATE($D8,Milestones!$AA$144)&gt;=$T8),$W8,IF(AND($S8&lt;&gt;"",EDATE($D8,Milestones!$AA$144)&gt;=$S8),$V8,$U8)))=Milestones!$AB$144),UPPER(TEXT(EDATE($D8,Milestones!$AA$144),"dd mmm yy"))&amp;" "&amp;Milestones!$AB$144&amp;" "&amp;Milestones!$AC$144&amp;";  ","")&amp;IF(AND(EDATE($D8,Milestones!$AA$145)&lt;=AsOfDate,IF($R8=0,$X8,IF(AND($T8&lt;&gt;"",EDATE($D8,Milestones!$AA$145)&gt;=$T8),$W8,IF(AND($S8&lt;&gt;"",EDATE($D8,Milestones!$AA$145)&gt;=$S8),$V8,$U8)))=Milestones!$AB$145),UPPER(TEXT(EDATE($D8,Milestones!$AA$145),"dd mmm yy"))&amp;" "&amp;Milestones!$AB$145&amp;" "&amp;Milestones!$AC$145&amp;";  ","")&amp;IF(AND(EDATE($D8,Milestones!$AA$146)&lt;=AsOfDate,IF($R8=0,$X8,IF(AND($T8&lt;&gt;"",EDATE($D8,Milestones!$AA$146)&gt;=$T8),$W8,IF(AND($S8&lt;&gt;"",EDATE($D8,Milestones!$AA$146)&gt;=$S8),$V8,$U8)))=Milestones!$AB$146),UPPER(TEXT(EDATE($D8,Milestones!$AA$146),"dd mmm yy"))&amp;" "&amp;Milestones!$AB$146&amp;" "&amp;Milestones!$AC$146&amp;";  ","")&amp;IF(AND(EDATE($D8,Milestones!$AA$147)&lt;=AsOfDate,IF($R8=0,$X8,IF(AND($T8&lt;&gt;"",EDATE($D8,Milestones!$AA$147)&gt;=$T8),$W8,IF(AND($S8&lt;&gt;"",EDATE($D8,Milestones!$AA$147)&gt;=$S8),$V8,$U8)))=Milestones!$AB$147),UPPER(TEXT(EDATE($D8,Milestones!$AA$147),"dd mmm yy"))&amp;" "&amp;Milestones!$AB$147&amp;" "&amp;Milestones!$AC$147&amp;";  ","")&amp;IF(AND(EDATE($D8,Milestones!$AA$148)&lt;=AsOfDate,IF($R8=0,$X8,IF(AND($T8&lt;&gt;"",EDATE($D8,Milestones!$AA$148)&gt;=$T8),$W8,IF(AND($S8&lt;&gt;"",EDATE($D8,Milestones!$AA$148)&gt;=$S8),$V8,$U8)))=Milestones!$AB$148),UPPER(TEXT(EDATE($D8,Milestones!$AA$148),"dd mmm yy"))&amp;" "&amp;Milestones!$AB$148&amp;" "&amp;Milestones!$AC$148&amp;";  ","")&amp;IF(AND(EDATE($D8,Milestones!$AA$149)&lt;=AsOfDate,IF($R8=0,$X8,IF(AND($T8&lt;&gt;"",EDATE($D8,Milestones!$AA$149)&gt;=$T8),$W8,IF(AND($S8&lt;&gt;"",EDATE($D8,Milestones!$AA$149)&gt;=$S8),$V8,$U8)))=Milestones!$AB$149),UPPER(TEXT(EDATE($D8,Milestones!$AA$149),"dd mmm yy"))&amp;" "&amp;Milestones!$AB$149&amp;" "&amp;Milestones!$AC$149&amp;";  ","")&amp;IF(AND(EDATE($D8,Milestones!$AA$150)&lt;=AsOfDate,IF($R8=0,$X8,IF(AND($T8&lt;&gt;"",EDATE($D8,Milestones!$AA$150)&gt;=$T8),$W8,IF(AND($S8&lt;&gt;"",EDATE($D8,Milestones!$AA$150)&gt;=$S8),$V8,$U8)))=Milestones!$AB$150),UPPER(TEXT(EDATE($D8,Milestones!$AA$150),"dd mmm yy"))&amp;" "&amp;Milestones!$AB$150&amp;" "&amp;Milestones!$AC$150&amp;";  ","")&amp;IF(AND(EDATE($D8,Milestones!$AA$151)&lt;=AsOfDate,IF($R8=0,$X8,IF(AND($T8&lt;&gt;"",EDATE($D8,Milestones!$AA$151)&gt;=$T8),$W8,IF(AND($S8&lt;&gt;"",EDATE($D8,Milestones!$AA$151)&gt;=$S8),$V8,$U8)))=Milestones!$AB$151),UPPER(TEXT(EDATE($D8,Milestones!$AA$151),"dd mmm yy"))&amp;" "&amp;Milestones!$AB$151&amp;" "&amp;Milestones!$AC$151&amp;";  ","")&amp;IF(AND(EDATE($D8,Milestones!$AA$152)&lt;=AsOfDate,IF($R8=0,$X8,IF(AND($T8&lt;&gt;"",EDATE($D8,Milestones!$AA$152)&gt;=$T8),$W8,IF(AND($S8&lt;&gt;"",EDATE($D8,Milestones!$AA$152)&gt;=$S8),$V8,$U8)))=Milestones!$AB$152),UPPER(TEXT(EDATE($D8,Milestones!$AA$152),"dd mmm yy"))&amp;" "&amp;Milestones!$AB$152&amp;" "&amp;Milestones!$AC$152&amp;";  ","")&amp;IF(AND(EDATE($D8,Milestones!$AA$153)&lt;=AsOfDate,IF($R8=0,$X8,IF(AND($T8&lt;&gt;"",EDATE($D8,Milestones!$AA$153)&gt;=$T8),$W8,IF(AND($S8&lt;&gt;"",EDATE($D8,Milestones!$AA$153)&gt;=$S8),$V8,$U8)))=Milestones!$AB$153),UPPER(TEXT(EDATE($D8,Milestones!$AA$153),"dd mmm yy"))&amp;" "&amp;Milestones!$AB$153&amp;" "&amp;Milestones!$AC$153&amp;";  ","")&amp;IF(AND(EDATE($D8,Milestones!$AA$154)&lt;=AsOfDate,IF($R8=0,$X8,IF(AND($T8&lt;&gt;"",EDATE($D8,Milestones!$AA$154)&gt;=$T8),$W8,IF(AND($S8&lt;&gt;"",EDATE($D8,Milestones!$AA$154)&gt;=$S8),$V8,$U8)))=Milestones!$AB$154),UPPER(TEXT(EDATE($D8,Milestones!$AA$154),"dd mmm yy"))&amp;" "&amp;Milestones!$AB$154&amp;" "&amp;Milestones!$AC$154&amp;";  ","")&amp;IF(AND(EDATE($D8,Milestones!$AA$155)&lt;=AsOfDate,IF($R8=0,$X8,IF(AND($T8&lt;&gt;"",EDATE($D8,Milestones!$AA$155)&gt;=$T8),$W8,IF(AND($S8&lt;&gt;"",EDATE($D8,Milestones!$AA$155)&gt;=$S8),$V8,$U8)))=Milestones!$AB$155),UPPER(TEXT(EDATE($D8,Milestones!$AA$155),"dd mmm yy"))&amp;" "&amp;Milestones!$AB$155&amp;" "&amp;Milestones!$AC$155&amp;";  ","")&amp;IF(AND(EDATE($D8,Milestones!$AA$156)&lt;=AsOfDate,IF($R8=0,$X8,IF(AND($T8&lt;&gt;"",EDATE($D8,Milestones!$AA$156)&gt;=$T8),$W8,IF(AND($S8&lt;&gt;"",EDATE($D8,Milestones!$AA$156)&gt;=$S8),$V8,$U8)))=Milestones!$AB$156),UPPER(TEXT(EDATE($D8,Milestones!$AA$156),"dd mmm yy"))&amp;" "&amp;Milestones!$AB$156&amp;" "&amp;Milestones!$AC$156&amp;";  ","")&amp;IF(AND(EDATE($D8,Milestones!$AA$157)&lt;=AsOfDate,IF($R8=0,$X8,IF(AND($T8&lt;&gt;"",EDATE($D8,Milestones!$AA$157)&gt;=$T8),$W8,IF(AND($S8&lt;&gt;"",EDATE($D8,Milestones!$AA$157)&gt;=$S8),$V8,$U8)))=Milestones!$AB$157),UPPER(TEXT(EDATE($D8,Milestones!$AA$157),"dd mmm yy"))&amp;" "&amp;Milestones!$AB$157&amp;" "&amp;Milestones!$AC$157&amp;";  ","")&amp;IF(AND(EDATE($D8,Milestones!$AA$158)&lt;=AsOfDate,IF($R8=0,$X8,IF(AND($T8&lt;&gt;"",EDATE($D8,Milestones!$AA$158)&gt;=$T8),$W8,IF(AND($S8&lt;&gt;"",EDATE($D8,Milestones!$AA$158)&gt;=$S8),$V8,$U8)))=Milestones!$AB$158),UPPER(TEXT(EDATE($D8,Milestones!$AA$158),"dd mmm yy"))&amp;" "&amp;Milestones!$AB$158&amp;" "&amp;Milestones!$AC$158&amp;";  ","")&amp;IF(AND(EDATE($D8,Milestones!$AA$159)&lt;=AsOfDate,IF($R8=0,$X8,IF(AND($T8&lt;&gt;"",EDATE($D8,Milestones!$AA$159)&gt;=$T8),$W8,IF(AND($S8&lt;&gt;"",EDATE($D8,Milestones!$AA$159)&gt;=$S8),$V8,$U8)))=Milestones!$AB$159),UPPER(TEXT(EDATE($D8,Milestones!$AA$159),"dd mmm yy"))&amp;" "&amp;Milestones!$AB$159&amp;" "&amp;Milestones!$AC$159&amp;";  ",""))</f>
        <v/>
      </c>
      <c r="P8" s="0" t="str">
        <f aca="false">IF(OR($A8="",$D8=""),"",IF(AND(EDATE($D8,Milestones!$AA$160)&lt;=AsOfDate,IF($R8=0,$X8,IF(AND($T8&lt;&gt;"",EDATE($D8,Milestones!$AA$160)&gt;=$T8),$W8,IF(AND($S8&lt;&gt;"",EDATE($D8,Milestones!$AA$160)&gt;=$S8),$V8,$U8)))=Milestones!$AB$160),UPPER(TEXT(EDATE($D8,Milestones!$AA$160),"dd mmm yy"))&amp;" "&amp;Milestones!$AB$160&amp;" "&amp;Milestones!$AC$160&amp;";  ","")&amp;IF(AND(EDATE($D8,Milestones!$AA$161)&lt;=AsOfDate,IF($R8=0,$X8,IF(AND($T8&lt;&gt;"",EDATE($D8,Milestones!$AA$161)&gt;=$T8),$W8,IF(AND($S8&lt;&gt;"",EDATE($D8,Milestones!$AA$161)&gt;=$S8),$V8,$U8)))=Milestones!$AB$161),UPPER(TEXT(EDATE($D8,Milestones!$AA$161),"dd mmm yy"))&amp;" "&amp;Milestones!$AB$161&amp;" "&amp;Milestones!$AC$161&amp;";  ","")&amp;IF(AND(EDATE($D8,Milestones!$AA$162)&lt;=AsOfDate,IF($R8=0,$X8,IF(AND($T8&lt;&gt;"",EDATE($D8,Milestones!$AA$162)&gt;=$T8),$W8,IF(AND($S8&lt;&gt;"",EDATE($D8,Milestones!$AA$162)&gt;=$S8),$V8,$U8)))=Milestones!$AB$162),UPPER(TEXT(EDATE($D8,Milestones!$AA$162),"dd mmm yy"))&amp;" "&amp;Milestones!$AB$162&amp;" "&amp;Milestones!$AC$162&amp;";  ","")&amp;IF(AND(EDATE($D8,Milestones!$AA$163)&lt;=AsOfDate,IF($R8=0,$X8,IF(AND($T8&lt;&gt;"",EDATE($D8,Milestones!$AA$163)&gt;=$T8),$W8,IF(AND($S8&lt;&gt;"",EDATE($D8,Milestones!$AA$163)&gt;=$S8),$V8,$U8)))=Milestones!$AB$163),UPPER(TEXT(EDATE($D8,Milestones!$AA$163),"dd mmm yy"))&amp;" "&amp;Milestones!$AB$163&amp;" "&amp;Milestones!$AC$163&amp;";  ","")&amp;IF(AND(EDATE($D8,Milestones!$AA$164)&lt;=AsOfDate,IF($R8=0,$X8,IF(AND($T8&lt;&gt;"",EDATE($D8,Milestones!$AA$164)&gt;=$T8),$W8,IF(AND($S8&lt;&gt;"",EDATE($D8,Milestones!$AA$164)&gt;=$S8),$V8,$U8)))=Milestones!$AB$164),UPPER(TEXT(EDATE($D8,Milestones!$AA$164),"dd mmm yy"))&amp;" "&amp;Milestones!$AB$164&amp;" "&amp;Milestones!$AC$164&amp;";  ","")&amp;IF(AND(EDATE($D8,Milestones!$AA$165)&lt;=AsOfDate,IF($R8=0,$X8,IF(AND($T8&lt;&gt;"",EDATE($D8,Milestones!$AA$165)&gt;=$T8),$W8,IF(AND($S8&lt;&gt;"",EDATE($D8,Milestones!$AA$165)&gt;=$S8),$V8,$U8)))=Milestones!$AB$165),UPPER(TEXT(EDATE($D8,Milestones!$AA$165),"dd mmm yy"))&amp;" "&amp;Milestones!$AB$165&amp;" "&amp;Milestones!$AC$165&amp;";  ","")&amp;IF(AND(EDATE($D8,Milestones!$AA$166)&lt;=AsOfDate,IF($R8=0,$X8,IF(AND($T8&lt;&gt;"",EDATE($D8,Milestones!$AA$166)&gt;=$T8),$W8,IF(AND($S8&lt;&gt;"",EDATE($D8,Milestones!$AA$166)&gt;=$S8),$V8,$U8)))=Milestones!$AB$166),UPPER(TEXT(EDATE($D8,Milestones!$AA$166),"dd mmm yy"))&amp;" "&amp;Milestones!$AB$166&amp;" "&amp;Milestones!$AC$166&amp;";  ","")&amp;IF(AND(EDATE($D8,Milestones!$AA$167)&lt;=AsOfDate,IF($R8=0,$X8,IF(AND($T8&lt;&gt;"",EDATE($D8,Milestones!$AA$167)&gt;=$T8),$W8,IF(AND($S8&lt;&gt;"",EDATE($D8,Milestones!$AA$167)&gt;=$S8),$V8,$U8)))=Milestones!$AB$167),UPPER(TEXT(EDATE($D8,Milestones!$AA$167),"dd mmm yy"))&amp;" "&amp;Milestones!$AB$167&amp;" "&amp;Milestones!$AC$167&amp;";  ","")&amp;IF(AND(EDATE($D8,Milestones!$AA$168)&lt;=AsOfDate,IF($R8=0,$X8,IF(AND($T8&lt;&gt;"",EDATE($D8,Milestones!$AA$168)&gt;=$T8),$W8,IF(AND($S8&lt;&gt;"",EDATE($D8,Milestones!$AA$168)&gt;=$S8),$V8,$U8)))=Milestones!$AB$168),UPPER(TEXT(EDATE($D8,Milestones!$AA$168),"dd mmm yy"))&amp;" "&amp;Milestones!$AB$168&amp;" "&amp;Milestones!$AC$168&amp;";  ","")&amp;IF(AND(EDATE($D8,Milestones!$AA$169)&lt;=AsOfDate,IF($R8=0,$X8,IF(AND($T8&lt;&gt;"",EDATE($D8,Milestones!$AA$169)&gt;=$T8),$W8,IF(AND($S8&lt;&gt;"",EDATE($D8,Milestones!$AA$169)&gt;=$S8),$V8,$U8)))=Milestones!$AB$169),UPPER(TEXT(EDATE($D8,Milestones!$AA$169),"dd mmm yy"))&amp;" "&amp;Milestones!$AB$169&amp;" "&amp;Milestones!$AC$169&amp;";  ","")&amp;IF(AND(EDATE($D8,Milestones!$AA$170)&lt;=AsOfDate,IF($R8=0,$X8,IF(AND($T8&lt;&gt;"",EDATE($D8,Milestones!$AA$170)&gt;=$T8),$W8,IF(AND($S8&lt;&gt;"",EDATE($D8,Milestones!$AA$170)&gt;=$S8),$V8,$U8)))=Milestones!$AB$170),UPPER(TEXT(EDATE($D8,Milestones!$AA$170),"dd mmm yy"))&amp;" "&amp;Milestones!$AB$170&amp;" "&amp;Milestones!$AC$170&amp;";  ","")&amp;IF(AND(EDATE($D8,Milestones!$AA$171)&lt;=AsOfDate,IF($R8=0,$X8,IF(AND($T8&lt;&gt;"",EDATE($D8,Milestones!$AA$171)&gt;=$T8),$W8,IF(AND($S8&lt;&gt;"",EDATE($D8,Milestones!$AA$171)&gt;=$S8),$V8,$U8)))=Milestones!$AB$171),UPPER(TEXT(EDATE($D8,Milestones!$AA$171),"dd mmm yy"))&amp;" "&amp;Milestones!$AB$171&amp;" "&amp;Milestones!$AC$171&amp;";  ","")&amp;IF(AND(EDATE($D8,Milestones!$AA$172)&lt;=AsOfDate,IF($R8=0,$X8,IF(AND($T8&lt;&gt;"",EDATE($D8,Milestones!$AA$172)&gt;=$T8),$W8,IF(AND($S8&lt;&gt;"",EDATE($D8,Milestones!$AA$172)&gt;=$S8),$V8,$U8)))=Milestones!$AB$172),UPPER(TEXT(EDATE($D8,Milestones!$AA$172),"dd mmm yy"))&amp;" "&amp;Milestones!$AB$172&amp;" "&amp;Milestones!$AC$172&amp;";  ","")&amp;IF(AND(EDATE($D8,Milestones!$AA$173)&lt;=AsOfDate,IF($R8=0,$X8,IF(AND($T8&lt;&gt;"",EDATE($D8,Milestones!$AA$173)&gt;=$T8),$W8,IF(AND($S8&lt;&gt;"",EDATE($D8,Milestones!$AA$173)&gt;=$S8),$V8,$U8)))=Milestones!$AB$173),UPPER(TEXT(EDATE($D8,Milestones!$AA$173),"dd mmm yy"))&amp;" "&amp;Milestones!$AB$173&amp;" "&amp;Milestones!$AC$173&amp;";  ","")&amp;IF(AND(EDATE($D8,Milestones!$AA$174)&lt;=AsOfDate,IF($R8=0,$X8,IF(AND($T8&lt;&gt;"",EDATE($D8,Milestones!$AA$174)&gt;=$T8),$W8,IF(AND($S8&lt;&gt;"",EDATE($D8,Milestones!$AA$174)&gt;=$S8),$V8,$U8)))=Milestones!$AB$174),UPPER(TEXT(EDATE($D8,Milestones!$AA$174),"dd mmm yy"))&amp;" "&amp;Milestones!$AB$174&amp;" "&amp;Milestones!$AC$174&amp;";  ","")&amp;IF(AND(EDATE($D8,Milestones!$AA$175)&lt;=AsOfDate,IF($R8=0,$X8,IF(AND($T8&lt;&gt;"",EDATE($D8,Milestones!$AA$175)&gt;=$T8),$W8,IF(AND($S8&lt;&gt;"",EDATE($D8,Milestones!$AA$175)&gt;=$S8),$V8,$U8)))=Milestones!$AB$175),UPPER(TEXT(EDATE($D8,Milestones!$AA$175),"dd mmm yy"))&amp;" "&amp;Milestones!$AB$175&amp;" "&amp;Milestones!$AC$175&amp;";  ","")&amp;IF(AND(EDATE($D8,Milestones!$AA$176)&lt;=AsOfDate,IF($R8=0,$X8,IF(AND($T8&lt;&gt;"",EDATE($D8,Milestones!$AA$176)&gt;=$T8),$W8,IF(AND($S8&lt;&gt;"",EDATE($D8,Milestones!$AA$176)&gt;=$S8),$V8,$U8)))=Milestones!$AB$176),UPPER(TEXT(EDATE($D8,Milestones!$AA$176),"dd mmm yy"))&amp;" "&amp;Milestones!$AB$176&amp;" "&amp;Milestones!$AC$176&amp;";  ","")&amp;IF(AND(EDATE($D8,Milestones!$AA$177)&lt;=AsOfDate,IF($R8=0,$X8,IF(AND($T8&lt;&gt;"",EDATE($D8,Milestones!$AA$177)&gt;=$T8),$W8,IF(AND($S8&lt;&gt;"",EDATE($D8,Milestones!$AA$177)&gt;=$S8),$V8,$U8)))=Milestones!$AB$177),UPPER(TEXT(EDATE($D8,Milestones!$AA$177),"dd mmm yy"))&amp;" "&amp;Milestones!$AB$177&amp;" "&amp;Milestones!$AC$177&amp;";  ","")&amp;IF(AND(EDATE($D8,Milestones!$AA$178)&lt;=AsOfDate,IF($R8=0,$X8,IF(AND($T8&lt;&gt;"",EDATE($D8,Milestones!$AA$178)&gt;=$T8),$W8,IF(AND($S8&lt;&gt;"",EDATE($D8,Milestones!$AA$178)&gt;=$S8),$V8,$U8)))=Milestones!$AB$178),UPPER(TEXT(EDATE($D8,Milestones!$AA$178),"dd mmm yy"))&amp;" "&amp;Milestones!$AB$178&amp;" "&amp;Milestones!$AC$178&amp;";  ","")&amp;IF(AND(EDATE($D8,Milestones!$AA$179)&lt;=AsOfDate,IF($R8=0,$X8,IF(AND($T8&lt;&gt;"",EDATE($D8,Milestones!$AA$179)&gt;=$T8),$W8,IF(AND($S8&lt;&gt;"",EDATE($D8,Milestones!$AA$179)&gt;=$S8),$V8,$U8)))=Milestones!$AB$179),UPPER(TEXT(EDATE($D8,Milestones!$AA$179),"dd mmm yy"))&amp;" "&amp;Milestones!$AB$179&amp;" "&amp;Milestones!$AC$179&amp;";  ",""))</f>
        <v/>
      </c>
      <c r="Q8" s="0" t="str">
        <f aca="false">IF(OR($A8="",$D8=""),"",IF(AND(EDATE($D8,Milestones!$AA$180)&lt;=AsOfDate,IF($R8=0,$X8,IF(AND($T8&lt;&gt;"",EDATE($D8,Milestones!$AA$180)&gt;=$T8),$W8,IF(AND($S8&lt;&gt;"",EDATE($D8,Milestones!$AA$180)&gt;=$S8),$V8,$U8)))=Milestones!$AB$180),UPPER(TEXT(EDATE($D8,Milestones!$AA$180),"dd mmm yy"))&amp;" "&amp;Milestones!$AB$180&amp;" "&amp;Milestones!$AC$180&amp;";  ","")&amp;IF(AND(EDATE($D8,Milestones!$AA$181)&lt;=AsOfDate,IF($R8=0,$X8,IF(AND($T8&lt;&gt;"",EDATE($D8,Milestones!$AA$181)&gt;=$T8),$W8,IF(AND($S8&lt;&gt;"",EDATE($D8,Milestones!$AA$181)&gt;=$S8),$V8,$U8)))=Milestones!$AB$181),UPPER(TEXT(EDATE($D8,Milestones!$AA$181),"dd mmm yy"))&amp;" "&amp;Milestones!$AB$181&amp;" "&amp;Milestones!$AC$181&amp;";  ","")&amp;IF(AND(EDATE($D8,Milestones!$AA$182)&lt;=AsOfDate,IF($R8=0,$X8,IF(AND($T8&lt;&gt;"",EDATE($D8,Milestones!$AA$182)&gt;=$T8),$W8,IF(AND($S8&lt;&gt;"",EDATE($D8,Milestones!$AA$182)&gt;=$S8),$V8,$U8)))=Milestones!$AB$182),UPPER(TEXT(EDATE($D8,Milestones!$AA$182),"dd mmm yy"))&amp;" "&amp;Milestones!$AB$182&amp;" "&amp;Milestones!$AC$182&amp;";  ","")&amp;IF(AND(EDATE($D8,Milestones!$AA$183)&lt;=AsOfDate,IF($R8=0,$X8,IF(AND($T8&lt;&gt;"",EDATE($D8,Milestones!$AA$183)&gt;=$T8),$W8,IF(AND($S8&lt;&gt;"",EDATE($D8,Milestones!$AA$183)&gt;=$S8),$V8,$U8)))=Milestones!$AB$183),UPPER(TEXT(EDATE($D8,Milestones!$AA$183),"dd mmm yy"))&amp;" "&amp;Milestones!$AB$183&amp;" "&amp;Milestones!$AC$183&amp;";  ","")&amp;IF(AND(EDATE($D8,Milestones!$AA$184)&lt;=AsOfDate,IF($R8=0,$X8,IF(AND($T8&lt;&gt;"",EDATE($D8,Milestones!$AA$184)&gt;=$T8),$W8,IF(AND($S8&lt;&gt;"",EDATE($D8,Milestones!$AA$184)&gt;=$S8),$V8,$U8)))=Milestones!$AB$184),UPPER(TEXT(EDATE($D8,Milestones!$AA$184),"dd mmm yy"))&amp;" "&amp;Milestones!$AB$184&amp;" "&amp;Milestones!$AC$184&amp;";  ","")&amp;IF(AND(EDATE($D8,Milestones!$AA$185)&lt;=AsOfDate,IF($R8=0,$X8,IF(AND($T8&lt;&gt;"",EDATE($D8,Milestones!$AA$185)&gt;=$T8),$W8,IF(AND($S8&lt;&gt;"",EDATE($D8,Milestones!$AA$185)&gt;=$S8),$V8,$U8)))=Milestones!$AB$185),UPPER(TEXT(EDATE($D8,Milestones!$AA$185),"dd mmm yy"))&amp;" "&amp;Milestones!$AB$185&amp;" "&amp;Milestones!$AC$185&amp;";  ","")&amp;IF(AND(EDATE($D8,Milestones!$AA$186)&lt;=AsOfDate,IF($R8=0,$X8,IF(AND($T8&lt;&gt;"",EDATE($D8,Milestones!$AA$186)&gt;=$T8),$W8,IF(AND($S8&lt;&gt;"",EDATE($D8,Milestones!$AA$186)&gt;=$S8),$V8,$U8)))=Milestones!$AB$186),UPPER(TEXT(EDATE($D8,Milestones!$AA$186),"dd mmm yy"))&amp;" "&amp;Milestones!$AB$186&amp;" "&amp;Milestones!$AC$186&amp;";  ","")&amp;IF(AND(EDATE($D8,Milestones!$AA$187)&lt;=AsOfDate,IF($R8=0,$X8,IF(AND($T8&lt;&gt;"",EDATE($D8,Milestones!$AA$187)&gt;=$T8),$W8,IF(AND($S8&lt;&gt;"",EDATE($D8,Milestones!$AA$187)&gt;=$S8),$V8,$U8)))=Milestones!$AB$187),UPPER(TEXT(EDATE($D8,Milestones!$AA$187),"dd mmm yy"))&amp;" "&amp;Milestones!$AB$187&amp;" "&amp;Milestones!$AC$187&amp;";  ","")&amp;IF(AND(EDATE($D8,Milestones!$AA$188)&lt;=AsOfDate,IF($R8=0,$X8,IF(AND($T8&lt;&gt;"",EDATE($D8,Milestones!$AA$188)&gt;=$T8),$W8,IF(AND($S8&lt;&gt;"",EDATE($D8,Milestones!$AA$188)&gt;=$S8),$V8,$U8)))=Milestones!$AB$188),UPPER(TEXT(EDATE($D8,Milestones!$AA$188),"dd mmm yy"))&amp;" "&amp;Milestones!$AB$188&amp;" "&amp;Milestones!$AC$188&amp;";  ","")&amp;IF(AND(EDATE($D8,Milestones!$AA$189)&lt;=AsOfDate,IF($R8=0,$X8,IF(AND($T8&lt;&gt;"",EDATE($D8,Milestones!$AA$189)&gt;=$T8),$W8,IF(AND($S8&lt;&gt;"",EDATE($D8,Milestones!$AA$189)&gt;=$S8),$V8,$U8)))=Milestones!$AB$189),UPPER(TEXT(EDATE($D8,Milestones!$AA$189),"dd mmm yy"))&amp;" "&amp;Milestones!$AB$189&amp;" "&amp;Milestones!$AC$189&amp;";  ","")&amp;IF(AND(EDATE($D8,Milestones!$AA$190)&lt;=AsOfDate,IF($R8=0,$X8,IF(AND($T8&lt;&gt;"",EDATE($D8,Milestones!$AA$190)&gt;=$T8),$W8,IF(AND($S8&lt;&gt;"",EDATE($D8,Milestones!$AA$190)&gt;=$S8),$V8,$U8)))=Milestones!$AB$190),UPPER(TEXT(EDATE($D8,Milestones!$AA$190),"dd mmm yy"))&amp;" "&amp;Milestones!$AB$190&amp;" "&amp;Milestones!$AC$190&amp;";  ","")&amp;IF(AND(EDATE($D8,Milestones!$AA$191)&lt;=AsOfDate,IF($R8=0,$X8,IF(AND($T8&lt;&gt;"",EDATE($D8,Milestones!$AA$191)&gt;=$T8),$W8,IF(AND($S8&lt;&gt;"",EDATE($D8,Milestones!$AA$191)&gt;=$S8),$V8,$U8)))=Milestones!$AB$191),UPPER(TEXT(EDATE($D8,Milestones!$AA$191),"dd mmm yy"))&amp;" "&amp;Milestones!$AB$191&amp;" "&amp;Milestones!$AC$191&amp;";  ","")&amp;IF(AND(EDATE($D8,Milestones!$AA$192)&lt;=AsOfDate,IF($R8=0,$X8,IF(AND($T8&lt;&gt;"",EDATE($D8,Milestones!$AA$192)&gt;=$T8),$W8,IF(AND($S8&lt;&gt;"",EDATE($D8,Milestones!$AA$192)&gt;=$S8),$V8,$U8)))=Milestones!$AB$192),UPPER(TEXT(EDATE($D8,Milestones!$AA$192),"dd mmm yy"))&amp;" "&amp;Milestones!$AB$192&amp;" "&amp;Milestones!$AC$192&amp;";  ","")&amp;IF(AND(EDATE($D8,Milestones!$AA$193)&lt;=AsOfDate,IF($R8=0,$X8,IF(AND($T8&lt;&gt;"",EDATE($D8,Milestones!$AA$193)&gt;=$T8),$W8,IF(AND($S8&lt;&gt;"",EDATE($D8,Milestones!$AA$193)&gt;=$S8),$V8,$U8)))=Milestones!$AB$193),UPPER(TEXT(EDATE($D8,Milestones!$AA$193),"dd mmm yy"))&amp;" "&amp;Milestones!$AB$193&amp;" "&amp;Milestones!$AC$193&amp;";  ","")&amp;IF(AND(EDATE($D8,Milestones!$AA$194)&lt;=AsOfDate,IF($R8=0,$X8,IF(AND($T8&lt;&gt;"",EDATE($D8,Milestones!$AA$194)&gt;=$T8),$W8,IF(AND($S8&lt;&gt;"",EDATE($D8,Milestones!$AA$194)&gt;=$S8),$V8,$U8)))=Milestones!$AB$194),UPPER(TEXT(EDATE($D8,Milestones!$AA$194),"dd mmm yy"))&amp;" "&amp;Milestones!$AB$194&amp;" "&amp;Milestones!$AC$194&amp;";  ","")&amp;IF(AND(EDATE($D8,Milestones!$AA$195)&lt;=AsOfDate,IF($R8=0,$X8,IF(AND($T8&lt;&gt;"",EDATE($D8,Milestones!$AA$195)&gt;=$T8),$W8,IF(AND($S8&lt;&gt;"",EDATE($D8,Milestones!$AA$195)&gt;=$S8),$V8,$U8)))=Milestones!$AB$195),UPPER(TEXT(EDATE($D8,Milestones!$AA$195),"dd mmm yy"))&amp;" "&amp;Milestones!$AB$195&amp;" "&amp;Milestones!$AC$195&amp;";  ","")&amp;IF(AND(EDATE($D8,Milestones!$AA$196)&lt;=AsOfDate,IF($R8=0,$X8,IF(AND($T8&lt;&gt;"",EDATE($D8,Milestones!$AA$196)&gt;=$T8),$W8,IF(AND($S8&lt;&gt;"",EDATE($D8,Milestones!$AA$196)&gt;=$S8),$V8,$U8)))=Milestones!$AB$196),UPPER(TEXT(EDATE($D8,Milestones!$AA$196),"dd mmm yy"))&amp;" "&amp;Milestones!$AB$196&amp;" "&amp;Milestones!$AC$196&amp;";  ","")&amp;IF(AND(EDATE($D8,Milestones!$AA$197)&lt;=AsOfDate,IF($R8=0,$X8,IF(AND($T8&lt;&gt;"",EDATE($D8,Milestones!$AA$197)&gt;=$T8),$W8,IF(AND($S8&lt;&gt;"",EDATE($D8,Milestones!$AA$197)&gt;=$S8),$V8,$U8)))=Milestones!$AB$197),UPPER(TEXT(EDATE($D8,Milestones!$AA$197),"dd mmm yy"))&amp;" "&amp;Milestones!$AB$197&amp;" "&amp;Milestones!$AC$197&amp;";  ","")&amp;IF(AND(EDATE($D8,Milestones!$AA$198)&lt;=AsOfDate,IF($R8=0,$X8,IF(AND($T8&lt;&gt;"",EDATE($D8,Milestones!$AA$198)&gt;=$T8),$W8,IF(AND($S8&lt;&gt;"",EDATE($D8,Milestones!$AA$198)&gt;=$S8),$V8,$U8)))=Milestones!$AB$198),UPPER(TEXT(EDATE($D8,Milestones!$AA$198),"dd mmm yy"))&amp;" "&amp;Milestones!$AB$198&amp;" "&amp;Milestones!$AC$198&amp;";  ","")&amp;IF(AND(EDATE($D8,Milestones!$AA$199)&lt;=AsOfDate,IF($R8=0,$X8,IF(AND($T8&lt;&gt;"",EDATE($D8,Milestones!$AA$199)&gt;=$T8),$W8,IF(AND($S8&lt;&gt;"",EDATE($D8,Milestones!$AA$199)&gt;=$S8),$V8,$U8)))=Milestones!$AB$199),UPPER(TEXT(EDATE($D8,Milestones!$AA$199),"dd mmm yy"))&amp;" "&amp;Milestones!$AB$199&amp;" "&amp;Milestones!$AC$199&amp;";  ",""))</f>
        <v/>
      </c>
      <c r="R8" s="0" t="str">
        <f aca="false">IF(Staff!$A8="","",Staff!$AI8)</f>
        <v/>
      </c>
      <c r="S8" s="0" t="str">
        <f aca="false">IF(Staff!$A8="","",Staff!$AK8)</f>
        <v/>
      </c>
      <c r="T8" s="0" t="str">
        <f aca="false">IF(Staff!$A8="","",Staff!$AL8)</f>
        <v/>
      </c>
      <c r="U8" s="0" t="str">
        <f aca="false">IF(Staff!$A8="","",Staff!$AP8)</f>
        <v/>
      </c>
      <c r="V8" s="0" t="str">
        <f aca="false">IF(Staff!$A8="","",Staff!$AQ8)</f>
        <v/>
      </c>
      <c r="W8" s="0" t="str">
        <f aca="false">IF(Staff!$A8="","",Staff!$AR8)</f>
        <v/>
      </c>
      <c r="X8" s="0" t="str">
        <f aca="false">IF(Staff!$A8="","",Staff!$AS8)</f>
        <v/>
      </c>
    </row>
    <row r="9" customFormat="false" ht="15" hidden="false" customHeight="false" outlineLevel="0" collapsed="false">
      <c r="A9" s="14" t="str">
        <f aca="false">IF(Staff!$A9="","",Staff!$A9)</f>
        <v/>
      </c>
      <c r="B9" s="14" t="str">
        <f aca="false">IF(Staff!$A9="","",Staff!$B9)</f>
        <v/>
      </c>
      <c r="C9" s="14" t="str">
        <f aca="false">IF(Staff!$A9="","",Staff!$C9)</f>
        <v/>
      </c>
      <c r="D9" s="12" t="str">
        <f aca="false">IF(Staff!$A9="","",Staff!$AH9)</f>
        <v/>
      </c>
      <c r="E9" s="14" t="str">
        <f aca="false">IF(Staff!$A9="","",Staff!$O9)</f>
        <v/>
      </c>
      <c r="F9" s="14" t="str">
        <f aca="false">IF(E9="","",E9*HoursPerDay)</f>
        <v/>
      </c>
      <c r="G9" s="14" t="str">
        <f aca="false">IF(Staff!$A9="","",Staff!$AE9)</f>
        <v/>
      </c>
      <c r="H9" s="26" t="str">
        <f aca="false">IF($A9="","",I9&amp;J9&amp;K9&amp;L9&amp;M9&amp;N9&amp;O9&amp;P9&amp;Q9)</f>
        <v/>
      </c>
      <c r="I9" s="0" t="str">
        <f aca="false">IF(OR($A9="",$D9=""),"",IF(AND(EDATE($D9,Milestones!$AA$20)&lt;=AsOfDate,IF($R9=0,$X9,IF(AND($T9&lt;&gt;"",EDATE($D9,Milestones!$AA$20)&gt;=$T9),$W9,IF(AND($S9&lt;&gt;"",EDATE($D9,Milestones!$AA$20)&gt;=$S9),$V9,$U9)))=Milestones!$AB$20),UPPER(TEXT(EDATE($D9,Milestones!$AA$20),"dd mmm yy"))&amp;" "&amp;Milestones!$AB$20&amp;" "&amp;Milestones!$AC$20&amp;";  ","")&amp;IF(AND(EDATE($D9,Milestones!$AA$21)&lt;=AsOfDate,IF($R9=0,$X9,IF(AND($T9&lt;&gt;"",EDATE($D9,Milestones!$AA$21)&gt;=$T9),$W9,IF(AND($S9&lt;&gt;"",EDATE($D9,Milestones!$AA$21)&gt;=$S9),$V9,$U9)))=Milestones!$AB$21),UPPER(TEXT(EDATE($D9,Milestones!$AA$21),"dd mmm yy"))&amp;" "&amp;Milestones!$AB$21&amp;" "&amp;Milestones!$AC$21&amp;";  ","")&amp;IF(AND(EDATE($D9,Milestones!$AA$22)&lt;=AsOfDate,IF($R9=0,$X9,IF(AND($T9&lt;&gt;"",EDATE($D9,Milestones!$AA$22)&gt;=$T9),$W9,IF(AND($S9&lt;&gt;"",EDATE($D9,Milestones!$AA$22)&gt;=$S9),$V9,$U9)))=Milestones!$AB$22),UPPER(TEXT(EDATE($D9,Milestones!$AA$22),"dd mmm yy"))&amp;" "&amp;Milestones!$AB$22&amp;" "&amp;Milestones!$AC$22&amp;";  ","")&amp;IF(AND(EDATE($D9,Milestones!$AA$23)&lt;=AsOfDate,IF($R9=0,$X9,IF(AND($T9&lt;&gt;"",EDATE($D9,Milestones!$AA$23)&gt;=$T9),$W9,IF(AND($S9&lt;&gt;"",EDATE($D9,Milestones!$AA$23)&gt;=$S9),$V9,$U9)))=Milestones!$AB$23),UPPER(TEXT(EDATE($D9,Milestones!$AA$23),"dd mmm yy"))&amp;" "&amp;Milestones!$AB$23&amp;" "&amp;Milestones!$AC$23&amp;";  ","")&amp;IF(AND(EDATE($D9,Milestones!$AA$24)&lt;=AsOfDate,IF($R9=0,$X9,IF(AND($T9&lt;&gt;"",EDATE($D9,Milestones!$AA$24)&gt;=$T9),$W9,IF(AND($S9&lt;&gt;"",EDATE($D9,Milestones!$AA$24)&gt;=$S9),$V9,$U9)))=Milestones!$AB$24),UPPER(TEXT(EDATE($D9,Milestones!$AA$24),"dd mmm yy"))&amp;" "&amp;Milestones!$AB$24&amp;" "&amp;Milestones!$AC$24&amp;";  ","")&amp;IF(AND(EDATE($D9,Milestones!$AA$25)&lt;=AsOfDate,IF($R9=0,$X9,IF(AND($T9&lt;&gt;"",EDATE($D9,Milestones!$AA$25)&gt;=$T9),$W9,IF(AND($S9&lt;&gt;"",EDATE($D9,Milestones!$AA$25)&gt;=$S9),$V9,$U9)))=Milestones!$AB$25),UPPER(TEXT(EDATE($D9,Milestones!$AA$25),"dd mmm yy"))&amp;" "&amp;Milestones!$AB$25&amp;" "&amp;Milestones!$AC$25&amp;";  ","")&amp;IF(AND(EDATE($D9,Milestones!$AA$26)&lt;=AsOfDate,IF($R9=0,$X9,IF(AND($T9&lt;&gt;"",EDATE($D9,Milestones!$AA$26)&gt;=$T9),$W9,IF(AND($S9&lt;&gt;"",EDATE($D9,Milestones!$AA$26)&gt;=$S9),$V9,$U9)))=Milestones!$AB$26),UPPER(TEXT(EDATE($D9,Milestones!$AA$26),"dd mmm yy"))&amp;" "&amp;Milestones!$AB$26&amp;" "&amp;Milestones!$AC$26&amp;";  ","")&amp;IF(AND(EDATE($D9,Milestones!$AA$27)&lt;=AsOfDate,IF($R9=0,$X9,IF(AND($T9&lt;&gt;"",EDATE($D9,Milestones!$AA$27)&gt;=$T9),$W9,IF(AND($S9&lt;&gt;"",EDATE($D9,Milestones!$AA$27)&gt;=$S9),$V9,$U9)))=Milestones!$AB$27),UPPER(TEXT(EDATE($D9,Milestones!$AA$27),"dd mmm yy"))&amp;" "&amp;Milestones!$AB$27&amp;" "&amp;Milestones!$AC$27&amp;";  ","")&amp;IF(AND(EDATE($D9,Milestones!$AA$28)&lt;=AsOfDate,IF($R9=0,$X9,IF(AND($T9&lt;&gt;"",EDATE($D9,Milestones!$AA$28)&gt;=$T9),$W9,IF(AND($S9&lt;&gt;"",EDATE($D9,Milestones!$AA$28)&gt;=$S9),$V9,$U9)))=Milestones!$AB$28),UPPER(TEXT(EDATE($D9,Milestones!$AA$28),"dd mmm yy"))&amp;" "&amp;Milestones!$AB$28&amp;" "&amp;Milestones!$AC$28&amp;";  ","")&amp;IF(AND(EDATE($D9,Milestones!$AA$29)&lt;=AsOfDate,IF($R9=0,$X9,IF(AND($T9&lt;&gt;"",EDATE($D9,Milestones!$AA$29)&gt;=$T9),$W9,IF(AND($S9&lt;&gt;"",EDATE($D9,Milestones!$AA$29)&gt;=$S9),$V9,$U9)))=Milestones!$AB$29),UPPER(TEXT(EDATE($D9,Milestones!$AA$29),"dd mmm yy"))&amp;" "&amp;Milestones!$AB$29&amp;" "&amp;Milestones!$AC$29&amp;";  ","")&amp;IF(AND(EDATE($D9,Milestones!$AA$30)&lt;=AsOfDate,IF($R9=0,$X9,IF(AND($T9&lt;&gt;"",EDATE($D9,Milestones!$AA$30)&gt;=$T9),$W9,IF(AND($S9&lt;&gt;"",EDATE($D9,Milestones!$AA$30)&gt;=$S9),$V9,$U9)))=Milestones!$AB$30),UPPER(TEXT(EDATE($D9,Milestones!$AA$30),"dd mmm yy"))&amp;" "&amp;Milestones!$AB$30&amp;" "&amp;Milestones!$AC$30&amp;";  ","")&amp;IF(AND(EDATE($D9,Milestones!$AA$31)&lt;=AsOfDate,IF($R9=0,$X9,IF(AND($T9&lt;&gt;"",EDATE($D9,Milestones!$AA$31)&gt;=$T9),$W9,IF(AND($S9&lt;&gt;"",EDATE($D9,Milestones!$AA$31)&gt;=$S9),$V9,$U9)))=Milestones!$AB$31),UPPER(TEXT(EDATE($D9,Milestones!$AA$31),"dd mmm yy"))&amp;" "&amp;Milestones!$AB$31&amp;" "&amp;Milestones!$AC$31&amp;";  ","")&amp;IF(AND(EDATE($D9,Milestones!$AA$32)&lt;=AsOfDate,IF($R9=0,$X9,IF(AND($T9&lt;&gt;"",EDATE($D9,Milestones!$AA$32)&gt;=$T9),$W9,IF(AND($S9&lt;&gt;"",EDATE($D9,Milestones!$AA$32)&gt;=$S9),$V9,$U9)))=Milestones!$AB$32),UPPER(TEXT(EDATE($D9,Milestones!$AA$32),"dd mmm yy"))&amp;" "&amp;Milestones!$AB$32&amp;" "&amp;Milestones!$AC$32&amp;";  ","")&amp;IF(AND(EDATE($D9,Milestones!$AA$33)&lt;=AsOfDate,IF($R9=0,$X9,IF(AND($T9&lt;&gt;"",EDATE($D9,Milestones!$AA$33)&gt;=$T9),$W9,IF(AND($S9&lt;&gt;"",EDATE($D9,Milestones!$AA$33)&gt;=$S9),$V9,$U9)))=Milestones!$AB$33),UPPER(TEXT(EDATE($D9,Milestones!$AA$33),"dd mmm yy"))&amp;" "&amp;Milestones!$AB$33&amp;" "&amp;Milestones!$AC$33&amp;";  ","")&amp;IF(AND(EDATE($D9,Milestones!$AA$34)&lt;=AsOfDate,IF($R9=0,$X9,IF(AND($T9&lt;&gt;"",EDATE($D9,Milestones!$AA$34)&gt;=$T9),$W9,IF(AND($S9&lt;&gt;"",EDATE($D9,Milestones!$AA$34)&gt;=$S9),$V9,$U9)))=Milestones!$AB$34),UPPER(TEXT(EDATE($D9,Milestones!$AA$34),"dd mmm yy"))&amp;" "&amp;Milestones!$AB$34&amp;" "&amp;Milestones!$AC$34&amp;";  ","")&amp;IF(AND(EDATE($D9,Milestones!$AA$35)&lt;=AsOfDate,IF($R9=0,$X9,IF(AND($T9&lt;&gt;"",EDATE($D9,Milestones!$AA$35)&gt;=$T9),$W9,IF(AND($S9&lt;&gt;"",EDATE($D9,Milestones!$AA$35)&gt;=$S9),$V9,$U9)))=Milestones!$AB$35),UPPER(TEXT(EDATE($D9,Milestones!$AA$35),"dd mmm yy"))&amp;" "&amp;Milestones!$AB$35&amp;" "&amp;Milestones!$AC$35&amp;";  ","")&amp;IF(AND(EDATE($D9,Milestones!$AA$36)&lt;=AsOfDate,IF($R9=0,$X9,IF(AND($T9&lt;&gt;"",EDATE($D9,Milestones!$AA$36)&gt;=$T9),$W9,IF(AND($S9&lt;&gt;"",EDATE($D9,Milestones!$AA$36)&gt;=$S9),$V9,$U9)))=Milestones!$AB$36),UPPER(TEXT(EDATE($D9,Milestones!$AA$36),"dd mmm yy"))&amp;" "&amp;Milestones!$AB$36&amp;" "&amp;Milestones!$AC$36&amp;";  ","")&amp;IF(AND(EDATE($D9,Milestones!$AA$37)&lt;=AsOfDate,IF($R9=0,$X9,IF(AND($T9&lt;&gt;"",EDATE($D9,Milestones!$AA$37)&gt;=$T9),$W9,IF(AND($S9&lt;&gt;"",EDATE($D9,Milestones!$AA$37)&gt;=$S9),$V9,$U9)))=Milestones!$AB$37),UPPER(TEXT(EDATE($D9,Milestones!$AA$37),"dd mmm yy"))&amp;" "&amp;Milestones!$AB$37&amp;" "&amp;Milestones!$AC$37&amp;";  ","")&amp;IF(AND(EDATE($D9,Milestones!$AA$38)&lt;=AsOfDate,IF($R9=0,$X9,IF(AND($T9&lt;&gt;"",EDATE($D9,Milestones!$AA$38)&gt;=$T9),$W9,IF(AND($S9&lt;&gt;"",EDATE($D9,Milestones!$AA$38)&gt;=$S9),$V9,$U9)))=Milestones!$AB$38),UPPER(TEXT(EDATE($D9,Milestones!$AA$38),"dd mmm yy"))&amp;" "&amp;Milestones!$AB$38&amp;" "&amp;Milestones!$AC$38&amp;";  ","")&amp;IF(AND(EDATE($D9,Milestones!$AA$39)&lt;=AsOfDate,IF($R9=0,$X9,IF(AND($T9&lt;&gt;"",EDATE($D9,Milestones!$AA$39)&gt;=$T9),$W9,IF(AND($S9&lt;&gt;"",EDATE($D9,Milestones!$AA$39)&gt;=$S9),$V9,$U9)))=Milestones!$AB$39),UPPER(TEXT(EDATE($D9,Milestones!$AA$39),"dd mmm yy"))&amp;" "&amp;Milestones!$AB$39&amp;" "&amp;Milestones!$AC$39&amp;";  ",""))</f>
        <v/>
      </c>
      <c r="J9" s="0" t="str">
        <f aca="false">IF(OR($A9="",$D9=""),"",IF(AND(EDATE($D9,Milestones!$AA$40)&lt;=AsOfDate,IF($R9=0,$X9,IF(AND($T9&lt;&gt;"",EDATE($D9,Milestones!$AA$40)&gt;=$T9),$W9,IF(AND($S9&lt;&gt;"",EDATE($D9,Milestones!$AA$40)&gt;=$S9),$V9,$U9)))=Milestones!$AB$40),UPPER(TEXT(EDATE($D9,Milestones!$AA$40),"dd mmm yy"))&amp;" "&amp;Milestones!$AB$40&amp;" "&amp;Milestones!$AC$40&amp;";  ","")&amp;IF(AND(EDATE($D9,Milestones!$AA$41)&lt;=AsOfDate,IF($R9=0,$X9,IF(AND($T9&lt;&gt;"",EDATE($D9,Milestones!$AA$41)&gt;=$T9),$W9,IF(AND($S9&lt;&gt;"",EDATE($D9,Milestones!$AA$41)&gt;=$S9),$V9,$U9)))=Milestones!$AB$41),UPPER(TEXT(EDATE($D9,Milestones!$AA$41),"dd mmm yy"))&amp;" "&amp;Milestones!$AB$41&amp;" "&amp;Milestones!$AC$41&amp;";  ","")&amp;IF(AND(EDATE($D9,Milestones!$AA$42)&lt;=AsOfDate,IF($R9=0,$X9,IF(AND($T9&lt;&gt;"",EDATE($D9,Milestones!$AA$42)&gt;=$T9),$W9,IF(AND($S9&lt;&gt;"",EDATE($D9,Milestones!$AA$42)&gt;=$S9),$V9,$U9)))=Milestones!$AB$42),UPPER(TEXT(EDATE($D9,Milestones!$AA$42),"dd mmm yy"))&amp;" "&amp;Milestones!$AB$42&amp;" "&amp;Milestones!$AC$42&amp;";  ","")&amp;IF(AND(EDATE($D9,Milestones!$AA$43)&lt;=AsOfDate,IF($R9=0,$X9,IF(AND($T9&lt;&gt;"",EDATE($D9,Milestones!$AA$43)&gt;=$T9),$W9,IF(AND($S9&lt;&gt;"",EDATE($D9,Milestones!$AA$43)&gt;=$S9),$V9,$U9)))=Milestones!$AB$43),UPPER(TEXT(EDATE($D9,Milestones!$AA$43),"dd mmm yy"))&amp;" "&amp;Milestones!$AB$43&amp;" "&amp;Milestones!$AC$43&amp;";  ","")&amp;IF(AND(EDATE($D9,Milestones!$AA$44)&lt;=AsOfDate,IF($R9=0,$X9,IF(AND($T9&lt;&gt;"",EDATE($D9,Milestones!$AA$44)&gt;=$T9),$W9,IF(AND($S9&lt;&gt;"",EDATE($D9,Milestones!$AA$44)&gt;=$S9),$V9,$U9)))=Milestones!$AB$44),UPPER(TEXT(EDATE($D9,Milestones!$AA$44),"dd mmm yy"))&amp;" "&amp;Milestones!$AB$44&amp;" "&amp;Milestones!$AC$44&amp;";  ","")&amp;IF(AND(EDATE($D9,Milestones!$AA$45)&lt;=AsOfDate,IF($R9=0,$X9,IF(AND($T9&lt;&gt;"",EDATE($D9,Milestones!$AA$45)&gt;=$T9),$W9,IF(AND($S9&lt;&gt;"",EDATE($D9,Milestones!$AA$45)&gt;=$S9),$V9,$U9)))=Milestones!$AB$45),UPPER(TEXT(EDATE($D9,Milestones!$AA$45),"dd mmm yy"))&amp;" "&amp;Milestones!$AB$45&amp;" "&amp;Milestones!$AC$45&amp;";  ","")&amp;IF(AND(EDATE($D9,Milestones!$AA$46)&lt;=AsOfDate,IF($R9=0,$X9,IF(AND($T9&lt;&gt;"",EDATE($D9,Milestones!$AA$46)&gt;=$T9),$W9,IF(AND($S9&lt;&gt;"",EDATE($D9,Milestones!$AA$46)&gt;=$S9),$V9,$U9)))=Milestones!$AB$46),UPPER(TEXT(EDATE($D9,Milestones!$AA$46),"dd mmm yy"))&amp;" "&amp;Milestones!$AB$46&amp;" "&amp;Milestones!$AC$46&amp;";  ","")&amp;IF(AND(EDATE($D9,Milestones!$AA$47)&lt;=AsOfDate,IF($R9=0,$X9,IF(AND($T9&lt;&gt;"",EDATE($D9,Milestones!$AA$47)&gt;=$T9),$W9,IF(AND($S9&lt;&gt;"",EDATE($D9,Milestones!$AA$47)&gt;=$S9),$V9,$U9)))=Milestones!$AB$47),UPPER(TEXT(EDATE($D9,Milestones!$AA$47),"dd mmm yy"))&amp;" "&amp;Milestones!$AB$47&amp;" "&amp;Milestones!$AC$47&amp;";  ","")&amp;IF(AND(EDATE($D9,Milestones!$AA$48)&lt;=AsOfDate,IF($R9=0,$X9,IF(AND($T9&lt;&gt;"",EDATE($D9,Milestones!$AA$48)&gt;=$T9),$W9,IF(AND($S9&lt;&gt;"",EDATE($D9,Milestones!$AA$48)&gt;=$S9),$V9,$U9)))=Milestones!$AB$48),UPPER(TEXT(EDATE($D9,Milestones!$AA$48),"dd mmm yy"))&amp;" "&amp;Milestones!$AB$48&amp;" "&amp;Milestones!$AC$48&amp;";  ","")&amp;IF(AND(EDATE($D9,Milestones!$AA$49)&lt;=AsOfDate,IF($R9=0,$X9,IF(AND($T9&lt;&gt;"",EDATE($D9,Milestones!$AA$49)&gt;=$T9),$W9,IF(AND($S9&lt;&gt;"",EDATE($D9,Milestones!$AA$49)&gt;=$S9),$V9,$U9)))=Milestones!$AB$49),UPPER(TEXT(EDATE($D9,Milestones!$AA$49),"dd mmm yy"))&amp;" "&amp;Milestones!$AB$49&amp;" "&amp;Milestones!$AC$49&amp;";  ","")&amp;IF(AND(EDATE($D9,Milestones!$AA$50)&lt;=AsOfDate,IF($R9=0,$X9,IF(AND($T9&lt;&gt;"",EDATE($D9,Milestones!$AA$50)&gt;=$T9),$W9,IF(AND($S9&lt;&gt;"",EDATE($D9,Milestones!$AA$50)&gt;=$S9),$V9,$U9)))=Milestones!$AB$50),UPPER(TEXT(EDATE($D9,Milestones!$AA$50),"dd mmm yy"))&amp;" "&amp;Milestones!$AB$50&amp;" "&amp;Milestones!$AC$50&amp;";  ","")&amp;IF(AND(EDATE($D9,Milestones!$AA$51)&lt;=AsOfDate,IF($R9=0,$X9,IF(AND($T9&lt;&gt;"",EDATE($D9,Milestones!$AA$51)&gt;=$T9),$W9,IF(AND($S9&lt;&gt;"",EDATE($D9,Milestones!$AA$51)&gt;=$S9),$V9,$U9)))=Milestones!$AB$51),UPPER(TEXT(EDATE($D9,Milestones!$AA$51),"dd mmm yy"))&amp;" "&amp;Milestones!$AB$51&amp;" "&amp;Milestones!$AC$51&amp;";  ","")&amp;IF(AND(EDATE($D9,Milestones!$AA$52)&lt;=AsOfDate,IF($R9=0,$X9,IF(AND($T9&lt;&gt;"",EDATE($D9,Milestones!$AA$52)&gt;=$T9),$W9,IF(AND($S9&lt;&gt;"",EDATE($D9,Milestones!$AA$52)&gt;=$S9),$V9,$U9)))=Milestones!$AB$52),UPPER(TEXT(EDATE($D9,Milestones!$AA$52),"dd mmm yy"))&amp;" "&amp;Milestones!$AB$52&amp;" "&amp;Milestones!$AC$52&amp;";  ","")&amp;IF(AND(EDATE($D9,Milestones!$AA$53)&lt;=AsOfDate,IF($R9=0,$X9,IF(AND($T9&lt;&gt;"",EDATE($D9,Milestones!$AA$53)&gt;=$T9),$W9,IF(AND($S9&lt;&gt;"",EDATE($D9,Milestones!$AA$53)&gt;=$S9),$V9,$U9)))=Milestones!$AB$53),UPPER(TEXT(EDATE($D9,Milestones!$AA$53),"dd mmm yy"))&amp;" "&amp;Milestones!$AB$53&amp;" "&amp;Milestones!$AC$53&amp;";  ","")&amp;IF(AND(EDATE($D9,Milestones!$AA$54)&lt;=AsOfDate,IF($R9=0,$X9,IF(AND($T9&lt;&gt;"",EDATE($D9,Milestones!$AA$54)&gt;=$T9),$W9,IF(AND($S9&lt;&gt;"",EDATE($D9,Milestones!$AA$54)&gt;=$S9),$V9,$U9)))=Milestones!$AB$54),UPPER(TEXT(EDATE($D9,Milestones!$AA$54),"dd mmm yy"))&amp;" "&amp;Milestones!$AB$54&amp;" "&amp;Milestones!$AC$54&amp;";  ","")&amp;IF(AND(EDATE($D9,Milestones!$AA$55)&lt;=AsOfDate,IF($R9=0,$X9,IF(AND($T9&lt;&gt;"",EDATE($D9,Milestones!$AA$55)&gt;=$T9),$W9,IF(AND($S9&lt;&gt;"",EDATE($D9,Milestones!$AA$55)&gt;=$S9),$V9,$U9)))=Milestones!$AB$55),UPPER(TEXT(EDATE($D9,Milestones!$AA$55),"dd mmm yy"))&amp;" "&amp;Milestones!$AB$55&amp;" "&amp;Milestones!$AC$55&amp;";  ","")&amp;IF(AND(EDATE($D9,Milestones!$AA$56)&lt;=AsOfDate,IF($R9=0,$X9,IF(AND($T9&lt;&gt;"",EDATE($D9,Milestones!$AA$56)&gt;=$T9),$W9,IF(AND($S9&lt;&gt;"",EDATE($D9,Milestones!$AA$56)&gt;=$S9),$V9,$U9)))=Milestones!$AB$56),UPPER(TEXT(EDATE($D9,Milestones!$AA$56),"dd mmm yy"))&amp;" "&amp;Milestones!$AB$56&amp;" "&amp;Milestones!$AC$56&amp;";  ","")&amp;IF(AND(EDATE($D9,Milestones!$AA$57)&lt;=AsOfDate,IF($R9=0,$X9,IF(AND($T9&lt;&gt;"",EDATE($D9,Milestones!$AA$57)&gt;=$T9),$W9,IF(AND($S9&lt;&gt;"",EDATE($D9,Milestones!$AA$57)&gt;=$S9),$V9,$U9)))=Milestones!$AB$57),UPPER(TEXT(EDATE($D9,Milestones!$AA$57),"dd mmm yy"))&amp;" "&amp;Milestones!$AB$57&amp;" "&amp;Milestones!$AC$57&amp;";  ","")&amp;IF(AND(EDATE($D9,Milestones!$AA$58)&lt;=AsOfDate,IF($R9=0,$X9,IF(AND($T9&lt;&gt;"",EDATE($D9,Milestones!$AA$58)&gt;=$T9),$W9,IF(AND($S9&lt;&gt;"",EDATE($D9,Milestones!$AA$58)&gt;=$S9),$V9,$U9)))=Milestones!$AB$58),UPPER(TEXT(EDATE($D9,Milestones!$AA$58),"dd mmm yy"))&amp;" "&amp;Milestones!$AB$58&amp;" "&amp;Milestones!$AC$58&amp;";  ","")&amp;IF(AND(EDATE($D9,Milestones!$AA$59)&lt;=AsOfDate,IF($R9=0,$X9,IF(AND($T9&lt;&gt;"",EDATE($D9,Milestones!$AA$59)&gt;=$T9),$W9,IF(AND($S9&lt;&gt;"",EDATE($D9,Milestones!$AA$59)&gt;=$S9),$V9,$U9)))=Milestones!$AB$59),UPPER(TEXT(EDATE($D9,Milestones!$AA$59),"dd mmm yy"))&amp;" "&amp;Milestones!$AB$59&amp;" "&amp;Milestones!$AC$59&amp;";  ",""))</f>
        <v/>
      </c>
      <c r="K9" s="0" t="str">
        <f aca="false">IF(OR($A9="",$D9=""),"",IF(AND(EDATE($D9,Milestones!$AA$60)&lt;=AsOfDate,IF($R9=0,$X9,IF(AND($T9&lt;&gt;"",EDATE($D9,Milestones!$AA$60)&gt;=$T9),$W9,IF(AND($S9&lt;&gt;"",EDATE($D9,Milestones!$AA$60)&gt;=$S9),$V9,$U9)))=Milestones!$AB$60),UPPER(TEXT(EDATE($D9,Milestones!$AA$60),"dd mmm yy"))&amp;" "&amp;Milestones!$AB$60&amp;" "&amp;Milestones!$AC$60&amp;";  ","")&amp;IF(AND(EDATE($D9,Milestones!$AA$61)&lt;=AsOfDate,IF($R9=0,$X9,IF(AND($T9&lt;&gt;"",EDATE($D9,Milestones!$AA$61)&gt;=$T9),$W9,IF(AND($S9&lt;&gt;"",EDATE($D9,Milestones!$AA$61)&gt;=$S9),$V9,$U9)))=Milestones!$AB$61),UPPER(TEXT(EDATE($D9,Milestones!$AA$61),"dd mmm yy"))&amp;" "&amp;Milestones!$AB$61&amp;" "&amp;Milestones!$AC$61&amp;";  ","")&amp;IF(AND(EDATE($D9,Milestones!$AA$62)&lt;=AsOfDate,IF($R9=0,$X9,IF(AND($T9&lt;&gt;"",EDATE($D9,Milestones!$AA$62)&gt;=$T9),$W9,IF(AND($S9&lt;&gt;"",EDATE($D9,Milestones!$AA$62)&gt;=$S9),$V9,$U9)))=Milestones!$AB$62),UPPER(TEXT(EDATE($D9,Milestones!$AA$62),"dd mmm yy"))&amp;" "&amp;Milestones!$AB$62&amp;" "&amp;Milestones!$AC$62&amp;";  ","")&amp;IF(AND(EDATE($D9,Milestones!$AA$63)&lt;=AsOfDate,IF($R9=0,$X9,IF(AND($T9&lt;&gt;"",EDATE($D9,Milestones!$AA$63)&gt;=$T9),$W9,IF(AND($S9&lt;&gt;"",EDATE($D9,Milestones!$AA$63)&gt;=$S9),$V9,$U9)))=Milestones!$AB$63),UPPER(TEXT(EDATE($D9,Milestones!$AA$63),"dd mmm yy"))&amp;" "&amp;Milestones!$AB$63&amp;" "&amp;Milestones!$AC$63&amp;";  ","")&amp;IF(AND(EDATE($D9,Milestones!$AA$64)&lt;=AsOfDate,IF($R9=0,$X9,IF(AND($T9&lt;&gt;"",EDATE($D9,Milestones!$AA$64)&gt;=$T9),$W9,IF(AND($S9&lt;&gt;"",EDATE($D9,Milestones!$AA$64)&gt;=$S9),$V9,$U9)))=Milestones!$AB$64),UPPER(TEXT(EDATE($D9,Milestones!$AA$64),"dd mmm yy"))&amp;" "&amp;Milestones!$AB$64&amp;" "&amp;Milestones!$AC$64&amp;";  ","")&amp;IF(AND(EDATE($D9,Milestones!$AA$65)&lt;=AsOfDate,IF($R9=0,$X9,IF(AND($T9&lt;&gt;"",EDATE($D9,Milestones!$AA$65)&gt;=$T9),$W9,IF(AND($S9&lt;&gt;"",EDATE($D9,Milestones!$AA$65)&gt;=$S9),$V9,$U9)))=Milestones!$AB$65),UPPER(TEXT(EDATE($D9,Milestones!$AA$65),"dd mmm yy"))&amp;" "&amp;Milestones!$AB$65&amp;" "&amp;Milestones!$AC$65&amp;";  ","")&amp;IF(AND(EDATE($D9,Milestones!$AA$66)&lt;=AsOfDate,IF($R9=0,$X9,IF(AND($T9&lt;&gt;"",EDATE($D9,Milestones!$AA$66)&gt;=$T9),$W9,IF(AND($S9&lt;&gt;"",EDATE($D9,Milestones!$AA$66)&gt;=$S9),$V9,$U9)))=Milestones!$AB$66),UPPER(TEXT(EDATE($D9,Milestones!$AA$66),"dd mmm yy"))&amp;" "&amp;Milestones!$AB$66&amp;" "&amp;Milestones!$AC$66&amp;";  ","")&amp;IF(AND(EDATE($D9,Milestones!$AA$67)&lt;=AsOfDate,IF($R9=0,$X9,IF(AND($T9&lt;&gt;"",EDATE($D9,Milestones!$AA$67)&gt;=$T9),$W9,IF(AND($S9&lt;&gt;"",EDATE($D9,Milestones!$AA$67)&gt;=$S9),$V9,$U9)))=Milestones!$AB$67),UPPER(TEXT(EDATE($D9,Milestones!$AA$67),"dd mmm yy"))&amp;" "&amp;Milestones!$AB$67&amp;" "&amp;Milestones!$AC$67&amp;";  ","")&amp;IF(AND(EDATE($D9,Milestones!$AA$68)&lt;=AsOfDate,IF($R9=0,$X9,IF(AND($T9&lt;&gt;"",EDATE($D9,Milestones!$AA$68)&gt;=$T9),$W9,IF(AND($S9&lt;&gt;"",EDATE($D9,Milestones!$AA$68)&gt;=$S9),$V9,$U9)))=Milestones!$AB$68),UPPER(TEXT(EDATE($D9,Milestones!$AA$68),"dd mmm yy"))&amp;" "&amp;Milestones!$AB$68&amp;" "&amp;Milestones!$AC$68&amp;";  ","")&amp;IF(AND(EDATE($D9,Milestones!$AA$69)&lt;=AsOfDate,IF($R9=0,$X9,IF(AND($T9&lt;&gt;"",EDATE($D9,Milestones!$AA$69)&gt;=$T9),$W9,IF(AND($S9&lt;&gt;"",EDATE($D9,Milestones!$AA$69)&gt;=$S9),$V9,$U9)))=Milestones!$AB$69),UPPER(TEXT(EDATE($D9,Milestones!$AA$69),"dd mmm yy"))&amp;" "&amp;Milestones!$AB$69&amp;" "&amp;Milestones!$AC$69&amp;";  ","")&amp;IF(AND(EDATE($D9,Milestones!$AA$70)&lt;=AsOfDate,IF($R9=0,$X9,IF(AND($T9&lt;&gt;"",EDATE($D9,Milestones!$AA$70)&gt;=$T9),$W9,IF(AND($S9&lt;&gt;"",EDATE($D9,Milestones!$AA$70)&gt;=$S9),$V9,$U9)))=Milestones!$AB$70),UPPER(TEXT(EDATE($D9,Milestones!$AA$70),"dd mmm yy"))&amp;" "&amp;Milestones!$AB$70&amp;" "&amp;Milestones!$AC$70&amp;";  ","")&amp;IF(AND(EDATE($D9,Milestones!$AA$71)&lt;=AsOfDate,IF($R9=0,$X9,IF(AND($T9&lt;&gt;"",EDATE($D9,Milestones!$AA$71)&gt;=$T9),$W9,IF(AND($S9&lt;&gt;"",EDATE($D9,Milestones!$AA$71)&gt;=$S9),$V9,$U9)))=Milestones!$AB$71),UPPER(TEXT(EDATE($D9,Milestones!$AA$71),"dd mmm yy"))&amp;" "&amp;Milestones!$AB$71&amp;" "&amp;Milestones!$AC$71&amp;";  ","")&amp;IF(AND(EDATE($D9,Milestones!$AA$72)&lt;=AsOfDate,IF($R9=0,$X9,IF(AND($T9&lt;&gt;"",EDATE($D9,Milestones!$AA$72)&gt;=$T9),$W9,IF(AND($S9&lt;&gt;"",EDATE($D9,Milestones!$AA$72)&gt;=$S9),$V9,$U9)))=Milestones!$AB$72),UPPER(TEXT(EDATE($D9,Milestones!$AA$72),"dd mmm yy"))&amp;" "&amp;Milestones!$AB$72&amp;" "&amp;Milestones!$AC$72&amp;";  ","")&amp;IF(AND(EDATE($D9,Milestones!$AA$73)&lt;=AsOfDate,IF($R9=0,$X9,IF(AND($T9&lt;&gt;"",EDATE($D9,Milestones!$AA$73)&gt;=$T9),$W9,IF(AND($S9&lt;&gt;"",EDATE($D9,Milestones!$AA$73)&gt;=$S9),$V9,$U9)))=Milestones!$AB$73),UPPER(TEXT(EDATE($D9,Milestones!$AA$73),"dd mmm yy"))&amp;" "&amp;Milestones!$AB$73&amp;" "&amp;Milestones!$AC$73&amp;";  ","")&amp;IF(AND(EDATE($D9,Milestones!$AA$74)&lt;=AsOfDate,IF($R9=0,$X9,IF(AND($T9&lt;&gt;"",EDATE($D9,Milestones!$AA$74)&gt;=$T9),$W9,IF(AND($S9&lt;&gt;"",EDATE($D9,Milestones!$AA$74)&gt;=$S9),$V9,$U9)))=Milestones!$AB$74),UPPER(TEXT(EDATE($D9,Milestones!$AA$74),"dd mmm yy"))&amp;" "&amp;Milestones!$AB$74&amp;" "&amp;Milestones!$AC$74&amp;";  ","")&amp;IF(AND(EDATE($D9,Milestones!$AA$75)&lt;=AsOfDate,IF($R9=0,$X9,IF(AND($T9&lt;&gt;"",EDATE($D9,Milestones!$AA$75)&gt;=$T9),$W9,IF(AND($S9&lt;&gt;"",EDATE($D9,Milestones!$AA$75)&gt;=$S9),$V9,$U9)))=Milestones!$AB$75),UPPER(TEXT(EDATE($D9,Milestones!$AA$75),"dd mmm yy"))&amp;" "&amp;Milestones!$AB$75&amp;" "&amp;Milestones!$AC$75&amp;";  ","")&amp;IF(AND(EDATE($D9,Milestones!$AA$76)&lt;=AsOfDate,IF($R9=0,$X9,IF(AND($T9&lt;&gt;"",EDATE($D9,Milestones!$AA$76)&gt;=$T9),$W9,IF(AND($S9&lt;&gt;"",EDATE($D9,Milestones!$AA$76)&gt;=$S9),$V9,$U9)))=Milestones!$AB$76),UPPER(TEXT(EDATE($D9,Milestones!$AA$76),"dd mmm yy"))&amp;" "&amp;Milestones!$AB$76&amp;" "&amp;Milestones!$AC$76&amp;";  ","")&amp;IF(AND(EDATE($D9,Milestones!$AA$77)&lt;=AsOfDate,IF($R9=0,$X9,IF(AND($T9&lt;&gt;"",EDATE($D9,Milestones!$AA$77)&gt;=$T9),$W9,IF(AND($S9&lt;&gt;"",EDATE($D9,Milestones!$AA$77)&gt;=$S9),$V9,$U9)))=Milestones!$AB$77),UPPER(TEXT(EDATE($D9,Milestones!$AA$77),"dd mmm yy"))&amp;" "&amp;Milestones!$AB$77&amp;" "&amp;Milestones!$AC$77&amp;";  ","")&amp;IF(AND(EDATE($D9,Milestones!$AA$78)&lt;=AsOfDate,IF($R9=0,$X9,IF(AND($T9&lt;&gt;"",EDATE($D9,Milestones!$AA$78)&gt;=$T9),$W9,IF(AND($S9&lt;&gt;"",EDATE($D9,Milestones!$AA$78)&gt;=$S9),$V9,$U9)))=Milestones!$AB$78),UPPER(TEXT(EDATE($D9,Milestones!$AA$78),"dd mmm yy"))&amp;" "&amp;Milestones!$AB$78&amp;" "&amp;Milestones!$AC$78&amp;";  ","")&amp;IF(AND(EDATE($D9,Milestones!$AA$79)&lt;=AsOfDate,IF($R9=0,$X9,IF(AND($T9&lt;&gt;"",EDATE($D9,Milestones!$AA$79)&gt;=$T9),$W9,IF(AND($S9&lt;&gt;"",EDATE($D9,Milestones!$AA$79)&gt;=$S9),$V9,$U9)))=Milestones!$AB$79),UPPER(TEXT(EDATE($D9,Milestones!$AA$79),"dd mmm yy"))&amp;" "&amp;Milestones!$AB$79&amp;" "&amp;Milestones!$AC$79&amp;";  ",""))</f>
        <v/>
      </c>
      <c r="L9" s="0" t="str">
        <f aca="false">IF(OR($A9="",$D9=""),"",IF(AND(EDATE($D9,Milestones!$AA$80)&lt;=AsOfDate,IF($R9=0,$X9,IF(AND($T9&lt;&gt;"",EDATE($D9,Milestones!$AA$80)&gt;=$T9),$W9,IF(AND($S9&lt;&gt;"",EDATE($D9,Milestones!$AA$80)&gt;=$S9),$V9,$U9)))=Milestones!$AB$80),UPPER(TEXT(EDATE($D9,Milestones!$AA$80),"dd mmm yy"))&amp;" "&amp;Milestones!$AB$80&amp;" "&amp;Milestones!$AC$80&amp;";  ","")&amp;IF(AND(EDATE($D9,Milestones!$AA$81)&lt;=AsOfDate,IF($R9=0,$X9,IF(AND($T9&lt;&gt;"",EDATE($D9,Milestones!$AA$81)&gt;=$T9),$W9,IF(AND($S9&lt;&gt;"",EDATE($D9,Milestones!$AA$81)&gt;=$S9),$V9,$U9)))=Milestones!$AB$81),UPPER(TEXT(EDATE($D9,Milestones!$AA$81),"dd mmm yy"))&amp;" "&amp;Milestones!$AB$81&amp;" "&amp;Milestones!$AC$81&amp;";  ","")&amp;IF(AND(EDATE($D9,Milestones!$AA$82)&lt;=AsOfDate,IF($R9=0,$X9,IF(AND($T9&lt;&gt;"",EDATE($D9,Milestones!$AA$82)&gt;=$T9),$W9,IF(AND($S9&lt;&gt;"",EDATE($D9,Milestones!$AA$82)&gt;=$S9),$V9,$U9)))=Milestones!$AB$82),UPPER(TEXT(EDATE($D9,Milestones!$AA$82),"dd mmm yy"))&amp;" "&amp;Milestones!$AB$82&amp;" "&amp;Milestones!$AC$82&amp;";  ","")&amp;IF(AND(EDATE($D9,Milestones!$AA$83)&lt;=AsOfDate,IF($R9=0,$X9,IF(AND($T9&lt;&gt;"",EDATE($D9,Milestones!$AA$83)&gt;=$T9),$W9,IF(AND($S9&lt;&gt;"",EDATE($D9,Milestones!$AA$83)&gt;=$S9),$V9,$U9)))=Milestones!$AB$83),UPPER(TEXT(EDATE($D9,Milestones!$AA$83),"dd mmm yy"))&amp;" "&amp;Milestones!$AB$83&amp;" "&amp;Milestones!$AC$83&amp;";  ","")&amp;IF(AND(EDATE($D9,Milestones!$AA$84)&lt;=AsOfDate,IF($R9=0,$X9,IF(AND($T9&lt;&gt;"",EDATE($D9,Milestones!$AA$84)&gt;=$T9),$W9,IF(AND($S9&lt;&gt;"",EDATE($D9,Milestones!$AA$84)&gt;=$S9),$V9,$U9)))=Milestones!$AB$84),UPPER(TEXT(EDATE($D9,Milestones!$AA$84),"dd mmm yy"))&amp;" "&amp;Milestones!$AB$84&amp;" "&amp;Milestones!$AC$84&amp;";  ","")&amp;IF(AND(EDATE($D9,Milestones!$AA$85)&lt;=AsOfDate,IF($R9=0,$X9,IF(AND($T9&lt;&gt;"",EDATE($D9,Milestones!$AA$85)&gt;=$T9),$W9,IF(AND($S9&lt;&gt;"",EDATE($D9,Milestones!$AA$85)&gt;=$S9),$V9,$U9)))=Milestones!$AB$85),UPPER(TEXT(EDATE($D9,Milestones!$AA$85),"dd mmm yy"))&amp;" "&amp;Milestones!$AB$85&amp;" "&amp;Milestones!$AC$85&amp;";  ","")&amp;IF(AND(EDATE($D9,Milestones!$AA$86)&lt;=AsOfDate,IF($R9=0,$X9,IF(AND($T9&lt;&gt;"",EDATE($D9,Milestones!$AA$86)&gt;=$T9),$W9,IF(AND($S9&lt;&gt;"",EDATE($D9,Milestones!$AA$86)&gt;=$S9),$V9,$U9)))=Milestones!$AB$86),UPPER(TEXT(EDATE($D9,Milestones!$AA$86),"dd mmm yy"))&amp;" "&amp;Milestones!$AB$86&amp;" "&amp;Milestones!$AC$86&amp;";  ","")&amp;IF(AND(EDATE($D9,Milestones!$AA$87)&lt;=AsOfDate,IF($R9=0,$X9,IF(AND($T9&lt;&gt;"",EDATE($D9,Milestones!$AA$87)&gt;=$T9),$W9,IF(AND($S9&lt;&gt;"",EDATE($D9,Milestones!$AA$87)&gt;=$S9),$V9,$U9)))=Milestones!$AB$87),UPPER(TEXT(EDATE($D9,Milestones!$AA$87),"dd mmm yy"))&amp;" "&amp;Milestones!$AB$87&amp;" "&amp;Milestones!$AC$87&amp;";  ","")&amp;IF(AND(EDATE($D9,Milestones!$AA$88)&lt;=AsOfDate,IF($R9=0,$X9,IF(AND($T9&lt;&gt;"",EDATE($D9,Milestones!$AA$88)&gt;=$T9),$W9,IF(AND($S9&lt;&gt;"",EDATE($D9,Milestones!$AA$88)&gt;=$S9),$V9,$U9)))=Milestones!$AB$88),UPPER(TEXT(EDATE($D9,Milestones!$AA$88),"dd mmm yy"))&amp;" "&amp;Milestones!$AB$88&amp;" "&amp;Milestones!$AC$88&amp;";  ","")&amp;IF(AND(EDATE($D9,Milestones!$AA$89)&lt;=AsOfDate,IF($R9=0,$X9,IF(AND($T9&lt;&gt;"",EDATE($D9,Milestones!$AA$89)&gt;=$T9),$W9,IF(AND($S9&lt;&gt;"",EDATE($D9,Milestones!$AA$89)&gt;=$S9),$V9,$U9)))=Milestones!$AB$89),UPPER(TEXT(EDATE($D9,Milestones!$AA$89),"dd mmm yy"))&amp;" "&amp;Milestones!$AB$89&amp;" "&amp;Milestones!$AC$89&amp;";  ","")&amp;IF(AND(EDATE($D9,Milestones!$AA$90)&lt;=AsOfDate,IF($R9=0,$X9,IF(AND($T9&lt;&gt;"",EDATE($D9,Milestones!$AA$90)&gt;=$T9),$W9,IF(AND($S9&lt;&gt;"",EDATE($D9,Milestones!$AA$90)&gt;=$S9),$V9,$U9)))=Milestones!$AB$90),UPPER(TEXT(EDATE($D9,Milestones!$AA$90),"dd mmm yy"))&amp;" "&amp;Milestones!$AB$90&amp;" "&amp;Milestones!$AC$90&amp;";  ","")&amp;IF(AND(EDATE($D9,Milestones!$AA$91)&lt;=AsOfDate,IF($R9=0,$X9,IF(AND($T9&lt;&gt;"",EDATE($D9,Milestones!$AA$91)&gt;=$T9),$W9,IF(AND($S9&lt;&gt;"",EDATE($D9,Milestones!$AA$91)&gt;=$S9),$V9,$U9)))=Milestones!$AB$91),UPPER(TEXT(EDATE($D9,Milestones!$AA$91),"dd mmm yy"))&amp;" "&amp;Milestones!$AB$91&amp;" "&amp;Milestones!$AC$91&amp;";  ","")&amp;IF(AND(EDATE($D9,Milestones!$AA$92)&lt;=AsOfDate,IF($R9=0,$X9,IF(AND($T9&lt;&gt;"",EDATE($D9,Milestones!$AA$92)&gt;=$T9),$W9,IF(AND($S9&lt;&gt;"",EDATE($D9,Milestones!$AA$92)&gt;=$S9),$V9,$U9)))=Milestones!$AB$92),UPPER(TEXT(EDATE($D9,Milestones!$AA$92),"dd mmm yy"))&amp;" "&amp;Milestones!$AB$92&amp;" "&amp;Milestones!$AC$92&amp;";  ","")&amp;IF(AND(EDATE($D9,Milestones!$AA$93)&lt;=AsOfDate,IF($R9=0,$X9,IF(AND($T9&lt;&gt;"",EDATE($D9,Milestones!$AA$93)&gt;=$T9),$W9,IF(AND($S9&lt;&gt;"",EDATE($D9,Milestones!$AA$93)&gt;=$S9),$V9,$U9)))=Milestones!$AB$93),UPPER(TEXT(EDATE($D9,Milestones!$AA$93),"dd mmm yy"))&amp;" "&amp;Milestones!$AB$93&amp;" "&amp;Milestones!$AC$93&amp;";  ","")&amp;IF(AND(EDATE($D9,Milestones!$AA$94)&lt;=AsOfDate,IF($R9=0,$X9,IF(AND($T9&lt;&gt;"",EDATE($D9,Milestones!$AA$94)&gt;=$T9),$W9,IF(AND($S9&lt;&gt;"",EDATE($D9,Milestones!$AA$94)&gt;=$S9),$V9,$U9)))=Milestones!$AB$94),UPPER(TEXT(EDATE($D9,Milestones!$AA$94),"dd mmm yy"))&amp;" "&amp;Milestones!$AB$94&amp;" "&amp;Milestones!$AC$94&amp;";  ","")&amp;IF(AND(EDATE($D9,Milestones!$AA$95)&lt;=AsOfDate,IF($R9=0,$X9,IF(AND($T9&lt;&gt;"",EDATE($D9,Milestones!$AA$95)&gt;=$T9),$W9,IF(AND($S9&lt;&gt;"",EDATE($D9,Milestones!$AA$95)&gt;=$S9),$V9,$U9)))=Milestones!$AB$95),UPPER(TEXT(EDATE($D9,Milestones!$AA$95),"dd mmm yy"))&amp;" "&amp;Milestones!$AB$95&amp;" "&amp;Milestones!$AC$95&amp;";  ","")&amp;IF(AND(EDATE($D9,Milestones!$AA$96)&lt;=AsOfDate,IF($R9=0,$X9,IF(AND($T9&lt;&gt;"",EDATE($D9,Milestones!$AA$96)&gt;=$T9),$W9,IF(AND($S9&lt;&gt;"",EDATE($D9,Milestones!$AA$96)&gt;=$S9),$V9,$U9)))=Milestones!$AB$96),UPPER(TEXT(EDATE($D9,Milestones!$AA$96),"dd mmm yy"))&amp;" "&amp;Milestones!$AB$96&amp;" "&amp;Milestones!$AC$96&amp;";  ","")&amp;IF(AND(EDATE($D9,Milestones!$AA$97)&lt;=AsOfDate,IF($R9=0,$X9,IF(AND($T9&lt;&gt;"",EDATE($D9,Milestones!$AA$97)&gt;=$T9),$W9,IF(AND($S9&lt;&gt;"",EDATE($D9,Milestones!$AA$97)&gt;=$S9),$V9,$U9)))=Milestones!$AB$97),UPPER(TEXT(EDATE($D9,Milestones!$AA$97),"dd mmm yy"))&amp;" "&amp;Milestones!$AB$97&amp;" "&amp;Milestones!$AC$97&amp;";  ","")&amp;IF(AND(EDATE($D9,Milestones!$AA$98)&lt;=AsOfDate,IF($R9=0,$X9,IF(AND($T9&lt;&gt;"",EDATE($D9,Milestones!$AA$98)&gt;=$T9),$W9,IF(AND($S9&lt;&gt;"",EDATE($D9,Milestones!$AA$98)&gt;=$S9),$V9,$U9)))=Milestones!$AB$98),UPPER(TEXT(EDATE($D9,Milestones!$AA$98),"dd mmm yy"))&amp;" "&amp;Milestones!$AB$98&amp;" "&amp;Milestones!$AC$98&amp;";  ","")&amp;IF(AND(EDATE($D9,Milestones!$AA$99)&lt;=AsOfDate,IF($R9=0,$X9,IF(AND($T9&lt;&gt;"",EDATE($D9,Milestones!$AA$99)&gt;=$T9),$W9,IF(AND($S9&lt;&gt;"",EDATE($D9,Milestones!$AA$99)&gt;=$S9),$V9,$U9)))=Milestones!$AB$99),UPPER(TEXT(EDATE($D9,Milestones!$AA$99),"dd mmm yy"))&amp;" "&amp;Milestones!$AB$99&amp;" "&amp;Milestones!$AC$99&amp;";  ",""))</f>
        <v/>
      </c>
      <c r="M9" s="0" t="str">
        <f aca="false">IF(OR($A9="",$D9=""),"",IF(AND(EDATE($D9,Milestones!$AA$100)&lt;=AsOfDate,IF($R9=0,$X9,IF(AND($T9&lt;&gt;"",EDATE($D9,Milestones!$AA$100)&gt;=$T9),$W9,IF(AND($S9&lt;&gt;"",EDATE($D9,Milestones!$AA$100)&gt;=$S9),$V9,$U9)))=Milestones!$AB$100),UPPER(TEXT(EDATE($D9,Milestones!$AA$100),"dd mmm yy"))&amp;" "&amp;Milestones!$AB$100&amp;" "&amp;Milestones!$AC$100&amp;";  ","")&amp;IF(AND(EDATE($D9,Milestones!$AA$101)&lt;=AsOfDate,IF($R9=0,$X9,IF(AND($T9&lt;&gt;"",EDATE($D9,Milestones!$AA$101)&gt;=$T9),$W9,IF(AND($S9&lt;&gt;"",EDATE($D9,Milestones!$AA$101)&gt;=$S9),$V9,$U9)))=Milestones!$AB$101),UPPER(TEXT(EDATE($D9,Milestones!$AA$101),"dd mmm yy"))&amp;" "&amp;Milestones!$AB$101&amp;" "&amp;Milestones!$AC$101&amp;";  ","")&amp;IF(AND(EDATE($D9,Milestones!$AA$102)&lt;=AsOfDate,IF($R9=0,$X9,IF(AND($T9&lt;&gt;"",EDATE($D9,Milestones!$AA$102)&gt;=$T9),$W9,IF(AND($S9&lt;&gt;"",EDATE($D9,Milestones!$AA$102)&gt;=$S9),$V9,$U9)))=Milestones!$AB$102),UPPER(TEXT(EDATE($D9,Milestones!$AA$102),"dd mmm yy"))&amp;" "&amp;Milestones!$AB$102&amp;" "&amp;Milestones!$AC$102&amp;";  ","")&amp;IF(AND(EDATE($D9,Milestones!$AA$103)&lt;=AsOfDate,IF($R9=0,$X9,IF(AND($T9&lt;&gt;"",EDATE($D9,Milestones!$AA$103)&gt;=$T9),$W9,IF(AND($S9&lt;&gt;"",EDATE($D9,Milestones!$AA$103)&gt;=$S9),$V9,$U9)))=Milestones!$AB$103),UPPER(TEXT(EDATE($D9,Milestones!$AA$103),"dd mmm yy"))&amp;" "&amp;Milestones!$AB$103&amp;" "&amp;Milestones!$AC$103&amp;";  ","")&amp;IF(AND(EDATE($D9,Milestones!$AA$104)&lt;=AsOfDate,IF($R9=0,$X9,IF(AND($T9&lt;&gt;"",EDATE($D9,Milestones!$AA$104)&gt;=$T9),$W9,IF(AND($S9&lt;&gt;"",EDATE($D9,Milestones!$AA$104)&gt;=$S9),$V9,$U9)))=Milestones!$AB$104),UPPER(TEXT(EDATE($D9,Milestones!$AA$104),"dd mmm yy"))&amp;" "&amp;Milestones!$AB$104&amp;" "&amp;Milestones!$AC$104&amp;";  ","")&amp;IF(AND(EDATE($D9,Milestones!$AA$105)&lt;=AsOfDate,IF($R9=0,$X9,IF(AND($T9&lt;&gt;"",EDATE($D9,Milestones!$AA$105)&gt;=$T9),$W9,IF(AND($S9&lt;&gt;"",EDATE($D9,Milestones!$AA$105)&gt;=$S9),$V9,$U9)))=Milestones!$AB$105),UPPER(TEXT(EDATE($D9,Milestones!$AA$105),"dd mmm yy"))&amp;" "&amp;Milestones!$AB$105&amp;" "&amp;Milestones!$AC$105&amp;";  ","")&amp;IF(AND(EDATE($D9,Milestones!$AA$106)&lt;=AsOfDate,IF($R9=0,$X9,IF(AND($T9&lt;&gt;"",EDATE($D9,Milestones!$AA$106)&gt;=$T9),$W9,IF(AND($S9&lt;&gt;"",EDATE($D9,Milestones!$AA$106)&gt;=$S9),$V9,$U9)))=Milestones!$AB$106),UPPER(TEXT(EDATE($D9,Milestones!$AA$106),"dd mmm yy"))&amp;" "&amp;Milestones!$AB$106&amp;" "&amp;Milestones!$AC$106&amp;";  ","")&amp;IF(AND(EDATE($D9,Milestones!$AA$107)&lt;=AsOfDate,IF($R9=0,$X9,IF(AND($T9&lt;&gt;"",EDATE($D9,Milestones!$AA$107)&gt;=$T9),$W9,IF(AND($S9&lt;&gt;"",EDATE($D9,Milestones!$AA$107)&gt;=$S9),$V9,$U9)))=Milestones!$AB$107),UPPER(TEXT(EDATE($D9,Milestones!$AA$107),"dd mmm yy"))&amp;" "&amp;Milestones!$AB$107&amp;" "&amp;Milestones!$AC$107&amp;";  ","")&amp;IF(AND(EDATE($D9,Milestones!$AA$108)&lt;=AsOfDate,IF($R9=0,$X9,IF(AND($T9&lt;&gt;"",EDATE($D9,Milestones!$AA$108)&gt;=$T9),$W9,IF(AND($S9&lt;&gt;"",EDATE($D9,Milestones!$AA$108)&gt;=$S9),$V9,$U9)))=Milestones!$AB$108),UPPER(TEXT(EDATE($D9,Milestones!$AA$108),"dd mmm yy"))&amp;" "&amp;Milestones!$AB$108&amp;" "&amp;Milestones!$AC$108&amp;";  ","")&amp;IF(AND(EDATE($D9,Milestones!$AA$109)&lt;=AsOfDate,IF($R9=0,$X9,IF(AND($T9&lt;&gt;"",EDATE($D9,Milestones!$AA$109)&gt;=$T9),$W9,IF(AND($S9&lt;&gt;"",EDATE($D9,Milestones!$AA$109)&gt;=$S9),$V9,$U9)))=Milestones!$AB$109),UPPER(TEXT(EDATE($D9,Milestones!$AA$109),"dd mmm yy"))&amp;" "&amp;Milestones!$AB$109&amp;" "&amp;Milestones!$AC$109&amp;";  ","")&amp;IF(AND(EDATE($D9,Milestones!$AA$110)&lt;=AsOfDate,IF($R9=0,$X9,IF(AND($T9&lt;&gt;"",EDATE($D9,Milestones!$AA$110)&gt;=$T9),$W9,IF(AND($S9&lt;&gt;"",EDATE($D9,Milestones!$AA$110)&gt;=$S9),$V9,$U9)))=Milestones!$AB$110),UPPER(TEXT(EDATE($D9,Milestones!$AA$110),"dd mmm yy"))&amp;" "&amp;Milestones!$AB$110&amp;" "&amp;Milestones!$AC$110&amp;";  ","")&amp;IF(AND(EDATE($D9,Milestones!$AA$111)&lt;=AsOfDate,IF($R9=0,$X9,IF(AND($T9&lt;&gt;"",EDATE($D9,Milestones!$AA$111)&gt;=$T9),$W9,IF(AND($S9&lt;&gt;"",EDATE($D9,Milestones!$AA$111)&gt;=$S9),$V9,$U9)))=Milestones!$AB$111),UPPER(TEXT(EDATE($D9,Milestones!$AA$111),"dd mmm yy"))&amp;" "&amp;Milestones!$AB$111&amp;" "&amp;Milestones!$AC$111&amp;";  ","")&amp;IF(AND(EDATE($D9,Milestones!$AA$112)&lt;=AsOfDate,IF($R9=0,$X9,IF(AND($T9&lt;&gt;"",EDATE($D9,Milestones!$AA$112)&gt;=$T9),$W9,IF(AND($S9&lt;&gt;"",EDATE($D9,Milestones!$AA$112)&gt;=$S9),$V9,$U9)))=Milestones!$AB$112),UPPER(TEXT(EDATE($D9,Milestones!$AA$112),"dd mmm yy"))&amp;" "&amp;Milestones!$AB$112&amp;" "&amp;Milestones!$AC$112&amp;";  ","")&amp;IF(AND(EDATE($D9,Milestones!$AA$113)&lt;=AsOfDate,IF($R9=0,$X9,IF(AND($T9&lt;&gt;"",EDATE($D9,Milestones!$AA$113)&gt;=$T9),$W9,IF(AND($S9&lt;&gt;"",EDATE($D9,Milestones!$AA$113)&gt;=$S9),$V9,$U9)))=Milestones!$AB$113),UPPER(TEXT(EDATE($D9,Milestones!$AA$113),"dd mmm yy"))&amp;" "&amp;Milestones!$AB$113&amp;" "&amp;Milestones!$AC$113&amp;";  ","")&amp;IF(AND(EDATE($D9,Milestones!$AA$114)&lt;=AsOfDate,IF($R9=0,$X9,IF(AND($T9&lt;&gt;"",EDATE($D9,Milestones!$AA$114)&gt;=$T9),$W9,IF(AND($S9&lt;&gt;"",EDATE($D9,Milestones!$AA$114)&gt;=$S9),$V9,$U9)))=Milestones!$AB$114),UPPER(TEXT(EDATE($D9,Milestones!$AA$114),"dd mmm yy"))&amp;" "&amp;Milestones!$AB$114&amp;" "&amp;Milestones!$AC$114&amp;";  ","")&amp;IF(AND(EDATE($D9,Milestones!$AA$115)&lt;=AsOfDate,IF($R9=0,$X9,IF(AND($T9&lt;&gt;"",EDATE($D9,Milestones!$AA$115)&gt;=$T9),$W9,IF(AND($S9&lt;&gt;"",EDATE($D9,Milestones!$AA$115)&gt;=$S9),$V9,$U9)))=Milestones!$AB$115),UPPER(TEXT(EDATE($D9,Milestones!$AA$115),"dd mmm yy"))&amp;" "&amp;Milestones!$AB$115&amp;" "&amp;Milestones!$AC$115&amp;";  ","")&amp;IF(AND(EDATE($D9,Milestones!$AA$116)&lt;=AsOfDate,IF($R9=0,$X9,IF(AND($T9&lt;&gt;"",EDATE($D9,Milestones!$AA$116)&gt;=$T9),$W9,IF(AND($S9&lt;&gt;"",EDATE($D9,Milestones!$AA$116)&gt;=$S9),$V9,$U9)))=Milestones!$AB$116),UPPER(TEXT(EDATE($D9,Milestones!$AA$116),"dd mmm yy"))&amp;" "&amp;Milestones!$AB$116&amp;" "&amp;Milestones!$AC$116&amp;";  ","")&amp;IF(AND(EDATE($D9,Milestones!$AA$117)&lt;=AsOfDate,IF($R9=0,$X9,IF(AND($T9&lt;&gt;"",EDATE($D9,Milestones!$AA$117)&gt;=$T9),$W9,IF(AND($S9&lt;&gt;"",EDATE($D9,Milestones!$AA$117)&gt;=$S9),$V9,$U9)))=Milestones!$AB$117),UPPER(TEXT(EDATE($D9,Milestones!$AA$117),"dd mmm yy"))&amp;" "&amp;Milestones!$AB$117&amp;" "&amp;Milestones!$AC$117&amp;";  ","")&amp;IF(AND(EDATE($D9,Milestones!$AA$118)&lt;=AsOfDate,IF($R9=0,$X9,IF(AND($T9&lt;&gt;"",EDATE($D9,Milestones!$AA$118)&gt;=$T9),$W9,IF(AND($S9&lt;&gt;"",EDATE($D9,Milestones!$AA$118)&gt;=$S9),$V9,$U9)))=Milestones!$AB$118),UPPER(TEXT(EDATE($D9,Milestones!$AA$118),"dd mmm yy"))&amp;" "&amp;Milestones!$AB$118&amp;" "&amp;Milestones!$AC$118&amp;";  ","")&amp;IF(AND(EDATE($D9,Milestones!$AA$119)&lt;=AsOfDate,IF($R9=0,$X9,IF(AND($T9&lt;&gt;"",EDATE($D9,Milestones!$AA$119)&gt;=$T9),$W9,IF(AND($S9&lt;&gt;"",EDATE($D9,Milestones!$AA$119)&gt;=$S9),$V9,$U9)))=Milestones!$AB$119),UPPER(TEXT(EDATE($D9,Milestones!$AA$119),"dd mmm yy"))&amp;" "&amp;Milestones!$AB$119&amp;" "&amp;Milestones!$AC$119&amp;";  ",""))</f>
        <v/>
      </c>
      <c r="N9" s="0" t="str">
        <f aca="false">IF(OR($A9="",$D9=""),"",IF(AND(EDATE($D9,Milestones!$AA$120)&lt;=AsOfDate,IF($R9=0,$X9,IF(AND($T9&lt;&gt;"",EDATE($D9,Milestones!$AA$120)&gt;=$T9),$W9,IF(AND($S9&lt;&gt;"",EDATE($D9,Milestones!$AA$120)&gt;=$S9),$V9,$U9)))=Milestones!$AB$120),UPPER(TEXT(EDATE($D9,Milestones!$AA$120),"dd mmm yy"))&amp;" "&amp;Milestones!$AB$120&amp;" "&amp;Milestones!$AC$120&amp;";  ","")&amp;IF(AND(EDATE($D9,Milestones!$AA$121)&lt;=AsOfDate,IF($R9=0,$X9,IF(AND($T9&lt;&gt;"",EDATE($D9,Milestones!$AA$121)&gt;=$T9),$W9,IF(AND($S9&lt;&gt;"",EDATE($D9,Milestones!$AA$121)&gt;=$S9),$V9,$U9)))=Milestones!$AB$121),UPPER(TEXT(EDATE($D9,Milestones!$AA$121),"dd mmm yy"))&amp;" "&amp;Milestones!$AB$121&amp;" "&amp;Milestones!$AC$121&amp;";  ","")&amp;IF(AND(EDATE($D9,Milestones!$AA$122)&lt;=AsOfDate,IF($R9=0,$X9,IF(AND($T9&lt;&gt;"",EDATE($D9,Milestones!$AA$122)&gt;=$T9),$W9,IF(AND($S9&lt;&gt;"",EDATE($D9,Milestones!$AA$122)&gt;=$S9),$V9,$U9)))=Milestones!$AB$122),UPPER(TEXT(EDATE($D9,Milestones!$AA$122),"dd mmm yy"))&amp;" "&amp;Milestones!$AB$122&amp;" "&amp;Milestones!$AC$122&amp;";  ","")&amp;IF(AND(EDATE($D9,Milestones!$AA$123)&lt;=AsOfDate,IF($R9=0,$X9,IF(AND($T9&lt;&gt;"",EDATE($D9,Milestones!$AA$123)&gt;=$T9),$W9,IF(AND($S9&lt;&gt;"",EDATE($D9,Milestones!$AA$123)&gt;=$S9),$V9,$U9)))=Milestones!$AB$123),UPPER(TEXT(EDATE($D9,Milestones!$AA$123),"dd mmm yy"))&amp;" "&amp;Milestones!$AB$123&amp;" "&amp;Milestones!$AC$123&amp;";  ","")&amp;IF(AND(EDATE($D9,Milestones!$AA$124)&lt;=AsOfDate,IF($R9=0,$X9,IF(AND($T9&lt;&gt;"",EDATE($D9,Milestones!$AA$124)&gt;=$T9),$W9,IF(AND($S9&lt;&gt;"",EDATE($D9,Milestones!$AA$124)&gt;=$S9),$V9,$U9)))=Milestones!$AB$124),UPPER(TEXT(EDATE($D9,Milestones!$AA$124),"dd mmm yy"))&amp;" "&amp;Milestones!$AB$124&amp;" "&amp;Milestones!$AC$124&amp;";  ","")&amp;IF(AND(EDATE($D9,Milestones!$AA$125)&lt;=AsOfDate,IF($R9=0,$X9,IF(AND($T9&lt;&gt;"",EDATE($D9,Milestones!$AA$125)&gt;=$T9),$W9,IF(AND($S9&lt;&gt;"",EDATE($D9,Milestones!$AA$125)&gt;=$S9),$V9,$U9)))=Milestones!$AB$125),UPPER(TEXT(EDATE($D9,Milestones!$AA$125),"dd mmm yy"))&amp;" "&amp;Milestones!$AB$125&amp;" "&amp;Milestones!$AC$125&amp;";  ","")&amp;IF(AND(EDATE($D9,Milestones!$AA$126)&lt;=AsOfDate,IF($R9=0,$X9,IF(AND($T9&lt;&gt;"",EDATE($D9,Milestones!$AA$126)&gt;=$T9),$W9,IF(AND($S9&lt;&gt;"",EDATE($D9,Milestones!$AA$126)&gt;=$S9),$V9,$U9)))=Milestones!$AB$126),UPPER(TEXT(EDATE($D9,Milestones!$AA$126),"dd mmm yy"))&amp;" "&amp;Milestones!$AB$126&amp;" "&amp;Milestones!$AC$126&amp;";  ","")&amp;IF(AND(EDATE($D9,Milestones!$AA$127)&lt;=AsOfDate,IF($R9=0,$X9,IF(AND($T9&lt;&gt;"",EDATE($D9,Milestones!$AA$127)&gt;=$T9),$W9,IF(AND($S9&lt;&gt;"",EDATE($D9,Milestones!$AA$127)&gt;=$S9),$V9,$U9)))=Milestones!$AB$127),UPPER(TEXT(EDATE($D9,Milestones!$AA$127),"dd mmm yy"))&amp;" "&amp;Milestones!$AB$127&amp;" "&amp;Milestones!$AC$127&amp;";  ","")&amp;IF(AND(EDATE($D9,Milestones!$AA$128)&lt;=AsOfDate,IF($R9=0,$X9,IF(AND($T9&lt;&gt;"",EDATE($D9,Milestones!$AA$128)&gt;=$T9),$W9,IF(AND($S9&lt;&gt;"",EDATE($D9,Milestones!$AA$128)&gt;=$S9),$V9,$U9)))=Milestones!$AB$128),UPPER(TEXT(EDATE($D9,Milestones!$AA$128),"dd mmm yy"))&amp;" "&amp;Milestones!$AB$128&amp;" "&amp;Milestones!$AC$128&amp;";  ","")&amp;IF(AND(EDATE($D9,Milestones!$AA$129)&lt;=AsOfDate,IF($R9=0,$X9,IF(AND($T9&lt;&gt;"",EDATE($D9,Milestones!$AA$129)&gt;=$T9),$W9,IF(AND($S9&lt;&gt;"",EDATE($D9,Milestones!$AA$129)&gt;=$S9),$V9,$U9)))=Milestones!$AB$129),UPPER(TEXT(EDATE($D9,Milestones!$AA$129),"dd mmm yy"))&amp;" "&amp;Milestones!$AB$129&amp;" "&amp;Milestones!$AC$129&amp;";  ","")&amp;IF(AND(EDATE($D9,Milestones!$AA$130)&lt;=AsOfDate,IF($R9=0,$X9,IF(AND($T9&lt;&gt;"",EDATE($D9,Milestones!$AA$130)&gt;=$T9),$W9,IF(AND($S9&lt;&gt;"",EDATE($D9,Milestones!$AA$130)&gt;=$S9),$V9,$U9)))=Milestones!$AB$130),UPPER(TEXT(EDATE($D9,Milestones!$AA$130),"dd mmm yy"))&amp;" "&amp;Milestones!$AB$130&amp;" "&amp;Milestones!$AC$130&amp;";  ","")&amp;IF(AND(EDATE($D9,Milestones!$AA$131)&lt;=AsOfDate,IF($R9=0,$X9,IF(AND($T9&lt;&gt;"",EDATE($D9,Milestones!$AA$131)&gt;=$T9),$W9,IF(AND($S9&lt;&gt;"",EDATE($D9,Milestones!$AA$131)&gt;=$S9),$V9,$U9)))=Milestones!$AB$131),UPPER(TEXT(EDATE($D9,Milestones!$AA$131),"dd mmm yy"))&amp;" "&amp;Milestones!$AB$131&amp;" "&amp;Milestones!$AC$131&amp;";  ","")&amp;IF(AND(EDATE($D9,Milestones!$AA$132)&lt;=AsOfDate,IF($R9=0,$X9,IF(AND($T9&lt;&gt;"",EDATE($D9,Milestones!$AA$132)&gt;=$T9),$W9,IF(AND($S9&lt;&gt;"",EDATE($D9,Milestones!$AA$132)&gt;=$S9),$V9,$U9)))=Milestones!$AB$132),UPPER(TEXT(EDATE($D9,Milestones!$AA$132),"dd mmm yy"))&amp;" "&amp;Milestones!$AB$132&amp;" "&amp;Milestones!$AC$132&amp;";  ","")&amp;IF(AND(EDATE($D9,Milestones!$AA$133)&lt;=AsOfDate,IF($R9=0,$X9,IF(AND($T9&lt;&gt;"",EDATE($D9,Milestones!$AA$133)&gt;=$T9),$W9,IF(AND($S9&lt;&gt;"",EDATE($D9,Milestones!$AA$133)&gt;=$S9),$V9,$U9)))=Milestones!$AB$133),UPPER(TEXT(EDATE($D9,Milestones!$AA$133),"dd mmm yy"))&amp;" "&amp;Milestones!$AB$133&amp;" "&amp;Milestones!$AC$133&amp;";  ","")&amp;IF(AND(EDATE($D9,Milestones!$AA$134)&lt;=AsOfDate,IF($R9=0,$X9,IF(AND($T9&lt;&gt;"",EDATE($D9,Milestones!$AA$134)&gt;=$T9),$W9,IF(AND($S9&lt;&gt;"",EDATE($D9,Milestones!$AA$134)&gt;=$S9),$V9,$U9)))=Milestones!$AB$134),UPPER(TEXT(EDATE($D9,Milestones!$AA$134),"dd mmm yy"))&amp;" "&amp;Milestones!$AB$134&amp;" "&amp;Milestones!$AC$134&amp;";  ","")&amp;IF(AND(EDATE($D9,Milestones!$AA$135)&lt;=AsOfDate,IF($R9=0,$X9,IF(AND($T9&lt;&gt;"",EDATE($D9,Milestones!$AA$135)&gt;=$T9),$W9,IF(AND($S9&lt;&gt;"",EDATE($D9,Milestones!$AA$135)&gt;=$S9),$V9,$U9)))=Milestones!$AB$135),UPPER(TEXT(EDATE($D9,Milestones!$AA$135),"dd mmm yy"))&amp;" "&amp;Milestones!$AB$135&amp;" "&amp;Milestones!$AC$135&amp;";  ","")&amp;IF(AND(EDATE($D9,Milestones!$AA$136)&lt;=AsOfDate,IF($R9=0,$X9,IF(AND($T9&lt;&gt;"",EDATE($D9,Milestones!$AA$136)&gt;=$T9),$W9,IF(AND($S9&lt;&gt;"",EDATE($D9,Milestones!$AA$136)&gt;=$S9),$V9,$U9)))=Milestones!$AB$136),UPPER(TEXT(EDATE($D9,Milestones!$AA$136),"dd mmm yy"))&amp;" "&amp;Milestones!$AB$136&amp;" "&amp;Milestones!$AC$136&amp;";  ","")&amp;IF(AND(EDATE($D9,Milestones!$AA$137)&lt;=AsOfDate,IF($R9=0,$X9,IF(AND($T9&lt;&gt;"",EDATE($D9,Milestones!$AA$137)&gt;=$T9),$W9,IF(AND($S9&lt;&gt;"",EDATE($D9,Milestones!$AA$137)&gt;=$S9),$V9,$U9)))=Milestones!$AB$137),UPPER(TEXT(EDATE($D9,Milestones!$AA$137),"dd mmm yy"))&amp;" "&amp;Milestones!$AB$137&amp;" "&amp;Milestones!$AC$137&amp;";  ","")&amp;IF(AND(EDATE($D9,Milestones!$AA$138)&lt;=AsOfDate,IF($R9=0,$X9,IF(AND($T9&lt;&gt;"",EDATE($D9,Milestones!$AA$138)&gt;=$T9),$W9,IF(AND($S9&lt;&gt;"",EDATE($D9,Milestones!$AA$138)&gt;=$S9),$V9,$U9)))=Milestones!$AB$138),UPPER(TEXT(EDATE($D9,Milestones!$AA$138),"dd mmm yy"))&amp;" "&amp;Milestones!$AB$138&amp;" "&amp;Milestones!$AC$138&amp;";  ","")&amp;IF(AND(EDATE($D9,Milestones!$AA$139)&lt;=AsOfDate,IF($R9=0,$X9,IF(AND($T9&lt;&gt;"",EDATE($D9,Milestones!$AA$139)&gt;=$T9),$W9,IF(AND($S9&lt;&gt;"",EDATE($D9,Milestones!$AA$139)&gt;=$S9),$V9,$U9)))=Milestones!$AB$139),UPPER(TEXT(EDATE($D9,Milestones!$AA$139),"dd mmm yy"))&amp;" "&amp;Milestones!$AB$139&amp;" "&amp;Milestones!$AC$139&amp;";  ",""))</f>
        <v/>
      </c>
      <c r="O9" s="0" t="str">
        <f aca="false">IF(OR($A9="",$D9=""),"",IF(AND(EDATE($D9,Milestones!$AA$140)&lt;=AsOfDate,IF($R9=0,$X9,IF(AND($T9&lt;&gt;"",EDATE($D9,Milestones!$AA$140)&gt;=$T9),$W9,IF(AND($S9&lt;&gt;"",EDATE($D9,Milestones!$AA$140)&gt;=$S9),$V9,$U9)))=Milestones!$AB$140),UPPER(TEXT(EDATE($D9,Milestones!$AA$140),"dd mmm yy"))&amp;" "&amp;Milestones!$AB$140&amp;" "&amp;Milestones!$AC$140&amp;";  ","")&amp;IF(AND(EDATE($D9,Milestones!$AA$141)&lt;=AsOfDate,IF($R9=0,$X9,IF(AND($T9&lt;&gt;"",EDATE($D9,Milestones!$AA$141)&gt;=$T9),$W9,IF(AND($S9&lt;&gt;"",EDATE($D9,Milestones!$AA$141)&gt;=$S9),$V9,$U9)))=Milestones!$AB$141),UPPER(TEXT(EDATE($D9,Milestones!$AA$141),"dd mmm yy"))&amp;" "&amp;Milestones!$AB$141&amp;" "&amp;Milestones!$AC$141&amp;";  ","")&amp;IF(AND(EDATE($D9,Milestones!$AA$142)&lt;=AsOfDate,IF($R9=0,$X9,IF(AND($T9&lt;&gt;"",EDATE($D9,Milestones!$AA$142)&gt;=$T9),$W9,IF(AND($S9&lt;&gt;"",EDATE($D9,Milestones!$AA$142)&gt;=$S9),$V9,$U9)))=Milestones!$AB$142),UPPER(TEXT(EDATE($D9,Milestones!$AA$142),"dd mmm yy"))&amp;" "&amp;Milestones!$AB$142&amp;" "&amp;Milestones!$AC$142&amp;";  ","")&amp;IF(AND(EDATE($D9,Milestones!$AA$143)&lt;=AsOfDate,IF($R9=0,$X9,IF(AND($T9&lt;&gt;"",EDATE($D9,Milestones!$AA$143)&gt;=$T9),$W9,IF(AND($S9&lt;&gt;"",EDATE($D9,Milestones!$AA$143)&gt;=$S9),$V9,$U9)))=Milestones!$AB$143),UPPER(TEXT(EDATE($D9,Milestones!$AA$143),"dd mmm yy"))&amp;" "&amp;Milestones!$AB$143&amp;" "&amp;Milestones!$AC$143&amp;";  ","")&amp;IF(AND(EDATE($D9,Milestones!$AA$144)&lt;=AsOfDate,IF($R9=0,$X9,IF(AND($T9&lt;&gt;"",EDATE($D9,Milestones!$AA$144)&gt;=$T9),$W9,IF(AND($S9&lt;&gt;"",EDATE($D9,Milestones!$AA$144)&gt;=$S9),$V9,$U9)))=Milestones!$AB$144),UPPER(TEXT(EDATE($D9,Milestones!$AA$144),"dd mmm yy"))&amp;" "&amp;Milestones!$AB$144&amp;" "&amp;Milestones!$AC$144&amp;";  ","")&amp;IF(AND(EDATE($D9,Milestones!$AA$145)&lt;=AsOfDate,IF($R9=0,$X9,IF(AND($T9&lt;&gt;"",EDATE($D9,Milestones!$AA$145)&gt;=$T9),$W9,IF(AND($S9&lt;&gt;"",EDATE($D9,Milestones!$AA$145)&gt;=$S9),$V9,$U9)))=Milestones!$AB$145),UPPER(TEXT(EDATE($D9,Milestones!$AA$145),"dd mmm yy"))&amp;" "&amp;Milestones!$AB$145&amp;" "&amp;Milestones!$AC$145&amp;";  ","")&amp;IF(AND(EDATE($D9,Milestones!$AA$146)&lt;=AsOfDate,IF($R9=0,$X9,IF(AND($T9&lt;&gt;"",EDATE($D9,Milestones!$AA$146)&gt;=$T9),$W9,IF(AND($S9&lt;&gt;"",EDATE($D9,Milestones!$AA$146)&gt;=$S9),$V9,$U9)))=Milestones!$AB$146),UPPER(TEXT(EDATE($D9,Milestones!$AA$146),"dd mmm yy"))&amp;" "&amp;Milestones!$AB$146&amp;" "&amp;Milestones!$AC$146&amp;";  ","")&amp;IF(AND(EDATE($D9,Milestones!$AA$147)&lt;=AsOfDate,IF($R9=0,$X9,IF(AND($T9&lt;&gt;"",EDATE($D9,Milestones!$AA$147)&gt;=$T9),$W9,IF(AND($S9&lt;&gt;"",EDATE($D9,Milestones!$AA$147)&gt;=$S9),$V9,$U9)))=Milestones!$AB$147),UPPER(TEXT(EDATE($D9,Milestones!$AA$147),"dd mmm yy"))&amp;" "&amp;Milestones!$AB$147&amp;" "&amp;Milestones!$AC$147&amp;";  ","")&amp;IF(AND(EDATE($D9,Milestones!$AA$148)&lt;=AsOfDate,IF($R9=0,$X9,IF(AND($T9&lt;&gt;"",EDATE($D9,Milestones!$AA$148)&gt;=$T9),$W9,IF(AND($S9&lt;&gt;"",EDATE($D9,Milestones!$AA$148)&gt;=$S9),$V9,$U9)))=Milestones!$AB$148),UPPER(TEXT(EDATE($D9,Milestones!$AA$148),"dd mmm yy"))&amp;" "&amp;Milestones!$AB$148&amp;" "&amp;Milestones!$AC$148&amp;";  ","")&amp;IF(AND(EDATE($D9,Milestones!$AA$149)&lt;=AsOfDate,IF($R9=0,$X9,IF(AND($T9&lt;&gt;"",EDATE($D9,Milestones!$AA$149)&gt;=$T9),$W9,IF(AND($S9&lt;&gt;"",EDATE($D9,Milestones!$AA$149)&gt;=$S9),$V9,$U9)))=Milestones!$AB$149),UPPER(TEXT(EDATE($D9,Milestones!$AA$149),"dd mmm yy"))&amp;" "&amp;Milestones!$AB$149&amp;" "&amp;Milestones!$AC$149&amp;";  ","")&amp;IF(AND(EDATE($D9,Milestones!$AA$150)&lt;=AsOfDate,IF($R9=0,$X9,IF(AND($T9&lt;&gt;"",EDATE($D9,Milestones!$AA$150)&gt;=$T9),$W9,IF(AND($S9&lt;&gt;"",EDATE($D9,Milestones!$AA$150)&gt;=$S9),$V9,$U9)))=Milestones!$AB$150),UPPER(TEXT(EDATE($D9,Milestones!$AA$150),"dd mmm yy"))&amp;" "&amp;Milestones!$AB$150&amp;" "&amp;Milestones!$AC$150&amp;";  ","")&amp;IF(AND(EDATE($D9,Milestones!$AA$151)&lt;=AsOfDate,IF($R9=0,$X9,IF(AND($T9&lt;&gt;"",EDATE($D9,Milestones!$AA$151)&gt;=$T9),$W9,IF(AND($S9&lt;&gt;"",EDATE($D9,Milestones!$AA$151)&gt;=$S9),$V9,$U9)))=Milestones!$AB$151),UPPER(TEXT(EDATE($D9,Milestones!$AA$151),"dd mmm yy"))&amp;" "&amp;Milestones!$AB$151&amp;" "&amp;Milestones!$AC$151&amp;";  ","")&amp;IF(AND(EDATE($D9,Milestones!$AA$152)&lt;=AsOfDate,IF($R9=0,$X9,IF(AND($T9&lt;&gt;"",EDATE($D9,Milestones!$AA$152)&gt;=$T9),$W9,IF(AND($S9&lt;&gt;"",EDATE($D9,Milestones!$AA$152)&gt;=$S9),$V9,$U9)))=Milestones!$AB$152),UPPER(TEXT(EDATE($D9,Milestones!$AA$152),"dd mmm yy"))&amp;" "&amp;Milestones!$AB$152&amp;" "&amp;Milestones!$AC$152&amp;";  ","")&amp;IF(AND(EDATE($D9,Milestones!$AA$153)&lt;=AsOfDate,IF($R9=0,$X9,IF(AND($T9&lt;&gt;"",EDATE($D9,Milestones!$AA$153)&gt;=$T9),$W9,IF(AND($S9&lt;&gt;"",EDATE($D9,Milestones!$AA$153)&gt;=$S9),$V9,$U9)))=Milestones!$AB$153),UPPER(TEXT(EDATE($D9,Milestones!$AA$153),"dd mmm yy"))&amp;" "&amp;Milestones!$AB$153&amp;" "&amp;Milestones!$AC$153&amp;";  ","")&amp;IF(AND(EDATE($D9,Milestones!$AA$154)&lt;=AsOfDate,IF($R9=0,$X9,IF(AND($T9&lt;&gt;"",EDATE($D9,Milestones!$AA$154)&gt;=$T9),$W9,IF(AND($S9&lt;&gt;"",EDATE($D9,Milestones!$AA$154)&gt;=$S9),$V9,$U9)))=Milestones!$AB$154),UPPER(TEXT(EDATE($D9,Milestones!$AA$154),"dd mmm yy"))&amp;" "&amp;Milestones!$AB$154&amp;" "&amp;Milestones!$AC$154&amp;";  ","")&amp;IF(AND(EDATE($D9,Milestones!$AA$155)&lt;=AsOfDate,IF($R9=0,$X9,IF(AND($T9&lt;&gt;"",EDATE($D9,Milestones!$AA$155)&gt;=$T9),$W9,IF(AND($S9&lt;&gt;"",EDATE($D9,Milestones!$AA$155)&gt;=$S9),$V9,$U9)))=Milestones!$AB$155),UPPER(TEXT(EDATE($D9,Milestones!$AA$155),"dd mmm yy"))&amp;" "&amp;Milestones!$AB$155&amp;" "&amp;Milestones!$AC$155&amp;";  ","")&amp;IF(AND(EDATE($D9,Milestones!$AA$156)&lt;=AsOfDate,IF($R9=0,$X9,IF(AND($T9&lt;&gt;"",EDATE($D9,Milestones!$AA$156)&gt;=$T9),$W9,IF(AND($S9&lt;&gt;"",EDATE($D9,Milestones!$AA$156)&gt;=$S9),$V9,$U9)))=Milestones!$AB$156),UPPER(TEXT(EDATE($D9,Milestones!$AA$156),"dd mmm yy"))&amp;" "&amp;Milestones!$AB$156&amp;" "&amp;Milestones!$AC$156&amp;";  ","")&amp;IF(AND(EDATE($D9,Milestones!$AA$157)&lt;=AsOfDate,IF($R9=0,$X9,IF(AND($T9&lt;&gt;"",EDATE($D9,Milestones!$AA$157)&gt;=$T9),$W9,IF(AND($S9&lt;&gt;"",EDATE($D9,Milestones!$AA$157)&gt;=$S9),$V9,$U9)))=Milestones!$AB$157),UPPER(TEXT(EDATE($D9,Milestones!$AA$157),"dd mmm yy"))&amp;" "&amp;Milestones!$AB$157&amp;" "&amp;Milestones!$AC$157&amp;";  ","")&amp;IF(AND(EDATE($D9,Milestones!$AA$158)&lt;=AsOfDate,IF($R9=0,$X9,IF(AND($T9&lt;&gt;"",EDATE($D9,Milestones!$AA$158)&gt;=$T9),$W9,IF(AND($S9&lt;&gt;"",EDATE($D9,Milestones!$AA$158)&gt;=$S9),$V9,$U9)))=Milestones!$AB$158),UPPER(TEXT(EDATE($D9,Milestones!$AA$158),"dd mmm yy"))&amp;" "&amp;Milestones!$AB$158&amp;" "&amp;Milestones!$AC$158&amp;";  ","")&amp;IF(AND(EDATE($D9,Milestones!$AA$159)&lt;=AsOfDate,IF($R9=0,$X9,IF(AND($T9&lt;&gt;"",EDATE($D9,Milestones!$AA$159)&gt;=$T9),$W9,IF(AND($S9&lt;&gt;"",EDATE($D9,Milestones!$AA$159)&gt;=$S9),$V9,$U9)))=Milestones!$AB$159),UPPER(TEXT(EDATE($D9,Milestones!$AA$159),"dd mmm yy"))&amp;" "&amp;Milestones!$AB$159&amp;" "&amp;Milestones!$AC$159&amp;";  ",""))</f>
        <v/>
      </c>
      <c r="P9" s="0" t="str">
        <f aca="false">IF(OR($A9="",$D9=""),"",IF(AND(EDATE($D9,Milestones!$AA$160)&lt;=AsOfDate,IF($R9=0,$X9,IF(AND($T9&lt;&gt;"",EDATE($D9,Milestones!$AA$160)&gt;=$T9),$W9,IF(AND($S9&lt;&gt;"",EDATE($D9,Milestones!$AA$160)&gt;=$S9),$V9,$U9)))=Milestones!$AB$160),UPPER(TEXT(EDATE($D9,Milestones!$AA$160),"dd mmm yy"))&amp;" "&amp;Milestones!$AB$160&amp;" "&amp;Milestones!$AC$160&amp;";  ","")&amp;IF(AND(EDATE($D9,Milestones!$AA$161)&lt;=AsOfDate,IF($R9=0,$X9,IF(AND($T9&lt;&gt;"",EDATE($D9,Milestones!$AA$161)&gt;=$T9),$W9,IF(AND($S9&lt;&gt;"",EDATE($D9,Milestones!$AA$161)&gt;=$S9),$V9,$U9)))=Milestones!$AB$161),UPPER(TEXT(EDATE($D9,Milestones!$AA$161),"dd mmm yy"))&amp;" "&amp;Milestones!$AB$161&amp;" "&amp;Milestones!$AC$161&amp;";  ","")&amp;IF(AND(EDATE($D9,Milestones!$AA$162)&lt;=AsOfDate,IF($R9=0,$X9,IF(AND($T9&lt;&gt;"",EDATE($D9,Milestones!$AA$162)&gt;=$T9),$W9,IF(AND($S9&lt;&gt;"",EDATE($D9,Milestones!$AA$162)&gt;=$S9),$V9,$U9)))=Milestones!$AB$162),UPPER(TEXT(EDATE($D9,Milestones!$AA$162),"dd mmm yy"))&amp;" "&amp;Milestones!$AB$162&amp;" "&amp;Milestones!$AC$162&amp;";  ","")&amp;IF(AND(EDATE($D9,Milestones!$AA$163)&lt;=AsOfDate,IF($R9=0,$X9,IF(AND($T9&lt;&gt;"",EDATE($D9,Milestones!$AA$163)&gt;=$T9),$W9,IF(AND($S9&lt;&gt;"",EDATE($D9,Milestones!$AA$163)&gt;=$S9),$V9,$U9)))=Milestones!$AB$163),UPPER(TEXT(EDATE($D9,Milestones!$AA$163),"dd mmm yy"))&amp;" "&amp;Milestones!$AB$163&amp;" "&amp;Milestones!$AC$163&amp;";  ","")&amp;IF(AND(EDATE($D9,Milestones!$AA$164)&lt;=AsOfDate,IF($R9=0,$X9,IF(AND($T9&lt;&gt;"",EDATE($D9,Milestones!$AA$164)&gt;=$T9),$W9,IF(AND($S9&lt;&gt;"",EDATE($D9,Milestones!$AA$164)&gt;=$S9),$V9,$U9)))=Milestones!$AB$164),UPPER(TEXT(EDATE($D9,Milestones!$AA$164),"dd mmm yy"))&amp;" "&amp;Milestones!$AB$164&amp;" "&amp;Milestones!$AC$164&amp;";  ","")&amp;IF(AND(EDATE($D9,Milestones!$AA$165)&lt;=AsOfDate,IF($R9=0,$X9,IF(AND($T9&lt;&gt;"",EDATE($D9,Milestones!$AA$165)&gt;=$T9),$W9,IF(AND($S9&lt;&gt;"",EDATE($D9,Milestones!$AA$165)&gt;=$S9),$V9,$U9)))=Milestones!$AB$165),UPPER(TEXT(EDATE($D9,Milestones!$AA$165),"dd mmm yy"))&amp;" "&amp;Milestones!$AB$165&amp;" "&amp;Milestones!$AC$165&amp;";  ","")&amp;IF(AND(EDATE($D9,Milestones!$AA$166)&lt;=AsOfDate,IF($R9=0,$X9,IF(AND($T9&lt;&gt;"",EDATE($D9,Milestones!$AA$166)&gt;=$T9),$W9,IF(AND($S9&lt;&gt;"",EDATE($D9,Milestones!$AA$166)&gt;=$S9),$V9,$U9)))=Milestones!$AB$166),UPPER(TEXT(EDATE($D9,Milestones!$AA$166),"dd mmm yy"))&amp;" "&amp;Milestones!$AB$166&amp;" "&amp;Milestones!$AC$166&amp;";  ","")&amp;IF(AND(EDATE($D9,Milestones!$AA$167)&lt;=AsOfDate,IF($R9=0,$X9,IF(AND($T9&lt;&gt;"",EDATE($D9,Milestones!$AA$167)&gt;=$T9),$W9,IF(AND($S9&lt;&gt;"",EDATE($D9,Milestones!$AA$167)&gt;=$S9),$V9,$U9)))=Milestones!$AB$167),UPPER(TEXT(EDATE($D9,Milestones!$AA$167),"dd mmm yy"))&amp;" "&amp;Milestones!$AB$167&amp;" "&amp;Milestones!$AC$167&amp;";  ","")&amp;IF(AND(EDATE($D9,Milestones!$AA$168)&lt;=AsOfDate,IF($R9=0,$X9,IF(AND($T9&lt;&gt;"",EDATE($D9,Milestones!$AA$168)&gt;=$T9),$W9,IF(AND($S9&lt;&gt;"",EDATE($D9,Milestones!$AA$168)&gt;=$S9),$V9,$U9)))=Milestones!$AB$168),UPPER(TEXT(EDATE($D9,Milestones!$AA$168),"dd mmm yy"))&amp;" "&amp;Milestones!$AB$168&amp;" "&amp;Milestones!$AC$168&amp;";  ","")&amp;IF(AND(EDATE($D9,Milestones!$AA$169)&lt;=AsOfDate,IF($R9=0,$X9,IF(AND($T9&lt;&gt;"",EDATE($D9,Milestones!$AA$169)&gt;=$T9),$W9,IF(AND($S9&lt;&gt;"",EDATE($D9,Milestones!$AA$169)&gt;=$S9),$V9,$U9)))=Milestones!$AB$169),UPPER(TEXT(EDATE($D9,Milestones!$AA$169),"dd mmm yy"))&amp;" "&amp;Milestones!$AB$169&amp;" "&amp;Milestones!$AC$169&amp;";  ","")&amp;IF(AND(EDATE($D9,Milestones!$AA$170)&lt;=AsOfDate,IF($R9=0,$X9,IF(AND($T9&lt;&gt;"",EDATE($D9,Milestones!$AA$170)&gt;=$T9),$W9,IF(AND($S9&lt;&gt;"",EDATE($D9,Milestones!$AA$170)&gt;=$S9),$V9,$U9)))=Milestones!$AB$170),UPPER(TEXT(EDATE($D9,Milestones!$AA$170),"dd mmm yy"))&amp;" "&amp;Milestones!$AB$170&amp;" "&amp;Milestones!$AC$170&amp;";  ","")&amp;IF(AND(EDATE($D9,Milestones!$AA$171)&lt;=AsOfDate,IF($R9=0,$X9,IF(AND($T9&lt;&gt;"",EDATE($D9,Milestones!$AA$171)&gt;=$T9),$W9,IF(AND($S9&lt;&gt;"",EDATE($D9,Milestones!$AA$171)&gt;=$S9),$V9,$U9)))=Milestones!$AB$171),UPPER(TEXT(EDATE($D9,Milestones!$AA$171),"dd mmm yy"))&amp;" "&amp;Milestones!$AB$171&amp;" "&amp;Milestones!$AC$171&amp;";  ","")&amp;IF(AND(EDATE($D9,Milestones!$AA$172)&lt;=AsOfDate,IF($R9=0,$X9,IF(AND($T9&lt;&gt;"",EDATE($D9,Milestones!$AA$172)&gt;=$T9),$W9,IF(AND($S9&lt;&gt;"",EDATE($D9,Milestones!$AA$172)&gt;=$S9),$V9,$U9)))=Milestones!$AB$172),UPPER(TEXT(EDATE($D9,Milestones!$AA$172),"dd mmm yy"))&amp;" "&amp;Milestones!$AB$172&amp;" "&amp;Milestones!$AC$172&amp;";  ","")&amp;IF(AND(EDATE($D9,Milestones!$AA$173)&lt;=AsOfDate,IF($R9=0,$X9,IF(AND($T9&lt;&gt;"",EDATE($D9,Milestones!$AA$173)&gt;=$T9),$W9,IF(AND($S9&lt;&gt;"",EDATE($D9,Milestones!$AA$173)&gt;=$S9),$V9,$U9)))=Milestones!$AB$173),UPPER(TEXT(EDATE($D9,Milestones!$AA$173),"dd mmm yy"))&amp;" "&amp;Milestones!$AB$173&amp;" "&amp;Milestones!$AC$173&amp;";  ","")&amp;IF(AND(EDATE($D9,Milestones!$AA$174)&lt;=AsOfDate,IF($R9=0,$X9,IF(AND($T9&lt;&gt;"",EDATE($D9,Milestones!$AA$174)&gt;=$T9),$W9,IF(AND($S9&lt;&gt;"",EDATE($D9,Milestones!$AA$174)&gt;=$S9),$V9,$U9)))=Milestones!$AB$174),UPPER(TEXT(EDATE($D9,Milestones!$AA$174),"dd mmm yy"))&amp;" "&amp;Milestones!$AB$174&amp;" "&amp;Milestones!$AC$174&amp;";  ","")&amp;IF(AND(EDATE($D9,Milestones!$AA$175)&lt;=AsOfDate,IF($R9=0,$X9,IF(AND($T9&lt;&gt;"",EDATE($D9,Milestones!$AA$175)&gt;=$T9),$W9,IF(AND($S9&lt;&gt;"",EDATE($D9,Milestones!$AA$175)&gt;=$S9),$V9,$U9)))=Milestones!$AB$175),UPPER(TEXT(EDATE($D9,Milestones!$AA$175),"dd mmm yy"))&amp;" "&amp;Milestones!$AB$175&amp;" "&amp;Milestones!$AC$175&amp;";  ","")&amp;IF(AND(EDATE($D9,Milestones!$AA$176)&lt;=AsOfDate,IF($R9=0,$X9,IF(AND($T9&lt;&gt;"",EDATE($D9,Milestones!$AA$176)&gt;=$T9),$W9,IF(AND($S9&lt;&gt;"",EDATE($D9,Milestones!$AA$176)&gt;=$S9),$V9,$U9)))=Milestones!$AB$176),UPPER(TEXT(EDATE($D9,Milestones!$AA$176),"dd mmm yy"))&amp;" "&amp;Milestones!$AB$176&amp;" "&amp;Milestones!$AC$176&amp;";  ","")&amp;IF(AND(EDATE($D9,Milestones!$AA$177)&lt;=AsOfDate,IF($R9=0,$X9,IF(AND($T9&lt;&gt;"",EDATE($D9,Milestones!$AA$177)&gt;=$T9),$W9,IF(AND($S9&lt;&gt;"",EDATE($D9,Milestones!$AA$177)&gt;=$S9),$V9,$U9)))=Milestones!$AB$177),UPPER(TEXT(EDATE($D9,Milestones!$AA$177),"dd mmm yy"))&amp;" "&amp;Milestones!$AB$177&amp;" "&amp;Milestones!$AC$177&amp;";  ","")&amp;IF(AND(EDATE($D9,Milestones!$AA$178)&lt;=AsOfDate,IF($R9=0,$X9,IF(AND($T9&lt;&gt;"",EDATE($D9,Milestones!$AA$178)&gt;=$T9),$W9,IF(AND($S9&lt;&gt;"",EDATE($D9,Milestones!$AA$178)&gt;=$S9),$V9,$U9)))=Milestones!$AB$178),UPPER(TEXT(EDATE($D9,Milestones!$AA$178),"dd mmm yy"))&amp;" "&amp;Milestones!$AB$178&amp;" "&amp;Milestones!$AC$178&amp;";  ","")&amp;IF(AND(EDATE($D9,Milestones!$AA$179)&lt;=AsOfDate,IF($R9=0,$X9,IF(AND($T9&lt;&gt;"",EDATE($D9,Milestones!$AA$179)&gt;=$T9),$W9,IF(AND($S9&lt;&gt;"",EDATE($D9,Milestones!$AA$179)&gt;=$S9),$V9,$U9)))=Milestones!$AB$179),UPPER(TEXT(EDATE($D9,Milestones!$AA$179),"dd mmm yy"))&amp;" "&amp;Milestones!$AB$179&amp;" "&amp;Milestones!$AC$179&amp;";  ",""))</f>
        <v/>
      </c>
      <c r="Q9" s="0" t="str">
        <f aca="false">IF(OR($A9="",$D9=""),"",IF(AND(EDATE($D9,Milestones!$AA$180)&lt;=AsOfDate,IF($R9=0,$X9,IF(AND($T9&lt;&gt;"",EDATE($D9,Milestones!$AA$180)&gt;=$T9),$W9,IF(AND($S9&lt;&gt;"",EDATE($D9,Milestones!$AA$180)&gt;=$S9),$V9,$U9)))=Milestones!$AB$180),UPPER(TEXT(EDATE($D9,Milestones!$AA$180),"dd mmm yy"))&amp;" "&amp;Milestones!$AB$180&amp;" "&amp;Milestones!$AC$180&amp;";  ","")&amp;IF(AND(EDATE($D9,Milestones!$AA$181)&lt;=AsOfDate,IF($R9=0,$X9,IF(AND($T9&lt;&gt;"",EDATE($D9,Milestones!$AA$181)&gt;=$T9),$W9,IF(AND($S9&lt;&gt;"",EDATE($D9,Milestones!$AA$181)&gt;=$S9),$V9,$U9)))=Milestones!$AB$181),UPPER(TEXT(EDATE($D9,Milestones!$AA$181),"dd mmm yy"))&amp;" "&amp;Milestones!$AB$181&amp;" "&amp;Milestones!$AC$181&amp;";  ","")&amp;IF(AND(EDATE($D9,Milestones!$AA$182)&lt;=AsOfDate,IF($R9=0,$X9,IF(AND($T9&lt;&gt;"",EDATE($D9,Milestones!$AA$182)&gt;=$T9),$W9,IF(AND($S9&lt;&gt;"",EDATE($D9,Milestones!$AA$182)&gt;=$S9),$V9,$U9)))=Milestones!$AB$182),UPPER(TEXT(EDATE($D9,Milestones!$AA$182),"dd mmm yy"))&amp;" "&amp;Milestones!$AB$182&amp;" "&amp;Milestones!$AC$182&amp;";  ","")&amp;IF(AND(EDATE($D9,Milestones!$AA$183)&lt;=AsOfDate,IF($R9=0,$X9,IF(AND($T9&lt;&gt;"",EDATE($D9,Milestones!$AA$183)&gt;=$T9),$W9,IF(AND($S9&lt;&gt;"",EDATE($D9,Milestones!$AA$183)&gt;=$S9),$V9,$U9)))=Milestones!$AB$183),UPPER(TEXT(EDATE($D9,Milestones!$AA$183),"dd mmm yy"))&amp;" "&amp;Milestones!$AB$183&amp;" "&amp;Milestones!$AC$183&amp;";  ","")&amp;IF(AND(EDATE($D9,Milestones!$AA$184)&lt;=AsOfDate,IF($R9=0,$X9,IF(AND($T9&lt;&gt;"",EDATE($D9,Milestones!$AA$184)&gt;=$T9),$W9,IF(AND($S9&lt;&gt;"",EDATE($D9,Milestones!$AA$184)&gt;=$S9),$V9,$U9)))=Milestones!$AB$184),UPPER(TEXT(EDATE($D9,Milestones!$AA$184),"dd mmm yy"))&amp;" "&amp;Milestones!$AB$184&amp;" "&amp;Milestones!$AC$184&amp;";  ","")&amp;IF(AND(EDATE($D9,Milestones!$AA$185)&lt;=AsOfDate,IF($R9=0,$X9,IF(AND($T9&lt;&gt;"",EDATE($D9,Milestones!$AA$185)&gt;=$T9),$W9,IF(AND($S9&lt;&gt;"",EDATE($D9,Milestones!$AA$185)&gt;=$S9),$V9,$U9)))=Milestones!$AB$185),UPPER(TEXT(EDATE($D9,Milestones!$AA$185),"dd mmm yy"))&amp;" "&amp;Milestones!$AB$185&amp;" "&amp;Milestones!$AC$185&amp;";  ","")&amp;IF(AND(EDATE($D9,Milestones!$AA$186)&lt;=AsOfDate,IF($R9=0,$X9,IF(AND($T9&lt;&gt;"",EDATE($D9,Milestones!$AA$186)&gt;=$T9),$W9,IF(AND($S9&lt;&gt;"",EDATE($D9,Milestones!$AA$186)&gt;=$S9),$V9,$U9)))=Milestones!$AB$186),UPPER(TEXT(EDATE($D9,Milestones!$AA$186),"dd mmm yy"))&amp;" "&amp;Milestones!$AB$186&amp;" "&amp;Milestones!$AC$186&amp;";  ","")&amp;IF(AND(EDATE($D9,Milestones!$AA$187)&lt;=AsOfDate,IF($R9=0,$X9,IF(AND($T9&lt;&gt;"",EDATE($D9,Milestones!$AA$187)&gt;=$T9),$W9,IF(AND($S9&lt;&gt;"",EDATE($D9,Milestones!$AA$187)&gt;=$S9),$V9,$U9)))=Milestones!$AB$187),UPPER(TEXT(EDATE($D9,Milestones!$AA$187),"dd mmm yy"))&amp;" "&amp;Milestones!$AB$187&amp;" "&amp;Milestones!$AC$187&amp;";  ","")&amp;IF(AND(EDATE($D9,Milestones!$AA$188)&lt;=AsOfDate,IF($R9=0,$X9,IF(AND($T9&lt;&gt;"",EDATE($D9,Milestones!$AA$188)&gt;=$T9),$W9,IF(AND($S9&lt;&gt;"",EDATE($D9,Milestones!$AA$188)&gt;=$S9),$V9,$U9)))=Milestones!$AB$188),UPPER(TEXT(EDATE($D9,Milestones!$AA$188),"dd mmm yy"))&amp;" "&amp;Milestones!$AB$188&amp;" "&amp;Milestones!$AC$188&amp;";  ","")&amp;IF(AND(EDATE($D9,Milestones!$AA$189)&lt;=AsOfDate,IF($R9=0,$X9,IF(AND($T9&lt;&gt;"",EDATE($D9,Milestones!$AA$189)&gt;=$T9),$W9,IF(AND($S9&lt;&gt;"",EDATE($D9,Milestones!$AA$189)&gt;=$S9),$V9,$U9)))=Milestones!$AB$189),UPPER(TEXT(EDATE($D9,Milestones!$AA$189),"dd mmm yy"))&amp;" "&amp;Milestones!$AB$189&amp;" "&amp;Milestones!$AC$189&amp;";  ","")&amp;IF(AND(EDATE($D9,Milestones!$AA$190)&lt;=AsOfDate,IF($R9=0,$X9,IF(AND($T9&lt;&gt;"",EDATE($D9,Milestones!$AA$190)&gt;=$T9),$W9,IF(AND($S9&lt;&gt;"",EDATE($D9,Milestones!$AA$190)&gt;=$S9),$V9,$U9)))=Milestones!$AB$190),UPPER(TEXT(EDATE($D9,Milestones!$AA$190),"dd mmm yy"))&amp;" "&amp;Milestones!$AB$190&amp;" "&amp;Milestones!$AC$190&amp;";  ","")&amp;IF(AND(EDATE($D9,Milestones!$AA$191)&lt;=AsOfDate,IF($R9=0,$X9,IF(AND($T9&lt;&gt;"",EDATE($D9,Milestones!$AA$191)&gt;=$T9),$W9,IF(AND($S9&lt;&gt;"",EDATE($D9,Milestones!$AA$191)&gt;=$S9),$V9,$U9)))=Milestones!$AB$191),UPPER(TEXT(EDATE($D9,Milestones!$AA$191),"dd mmm yy"))&amp;" "&amp;Milestones!$AB$191&amp;" "&amp;Milestones!$AC$191&amp;";  ","")&amp;IF(AND(EDATE($D9,Milestones!$AA$192)&lt;=AsOfDate,IF($R9=0,$X9,IF(AND($T9&lt;&gt;"",EDATE($D9,Milestones!$AA$192)&gt;=$T9),$W9,IF(AND($S9&lt;&gt;"",EDATE($D9,Milestones!$AA$192)&gt;=$S9),$V9,$U9)))=Milestones!$AB$192),UPPER(TEXT(EDATE($D9,Milestones!$AA$192),"dd mmm yy"))&amp;" "&amp;Milestones!$AB$192&amp;" "&amp;Milestones!$AC$192&amp;";  ","")&amp;IF(AND(EDATE($D9,Milestones!$AA$193)&lt;=AsOfDate,IF($R9=0,$X9,IF(AND($T9&lt;&gt;"",EDATE($D9,Milestones!$AA$193)&gt;=$T9),$W9,IF(AND($S9&lt;&gt;"",EDATE($D9,Milestones!$AA$193)&gt;=$S9),$V9,$U9)))=Milestones!$AB$193),UPPER(TEXT(EDATE($D9,Milestones!$AA$193),"dd mmm yy"))&amp;" "&amp;Milestones!$AB$193&amp;" "&amp;Milestones!$AC$193&amp;";  ","")&amp;IF(AND(EDATE($D9,Milestones!$AA$194)&lt;=AsOfDate,IF($R9=0,$X9,IF(AND($T9&lt;&gt;"",EDATE($D9,Milestones!$AA$194)&gt;=$T9),$W9,IF(AND($S9&lt;&gt;"",EDATE($D9,Milestones!$AA$194)&gt;=$S9),$V9,$U9)))=Milestones!$AB$194),UPPER(TEXT(EDATE($D9,Milestones!$AA$194),"dd mmm yy"))&amp;" "&amp;Milestones!$AB$194&amp;" "&amp;Milestones!$AC$194&amp;";  ","")&amp;IF(AND(EDATE($D9,Milestones!$AA$195)&lt;=AsOfDate,IF($R9=0,$X9,IF(AND($T9&lt;&gt;"",EDATE($D9,Milestones!$AA$195)&gt;=$T9),$W9,IF(AND($S9&lt;&gt;"",EDATE($D9,Milestones!$AA$195)&gt;=$S9),$V9,$U9)))=Milestones!$AB$195),UPPER(TEXT(EDATE($D9,Milestones!$AA$195),"dd mmm yy"))&amp;" "&amp;Milestones!$AB$195&amp;" "&amp;Milestones!$AC$195&amp;";  ","")&amp;IF(AND(EDATE($D9,Milestones!$AA$196)&lt;=AsOfDate,IF($R9=0,$X9,IF(AND($T9&lt;&gt;"",EDATE($D9,Milestones!$AA$196)&gt;=$T9),$W9,IF(AND($S9&lt;&gt;"",EDATE($D9,Milestones!$AA$196)&gt;=$S9),$V9,$U9)))=Milestones!$AB$196),UPPER(TEXT(EDATE($D9,Milestones!$AA$196),"dd mmm yy"))&amp;" "&amp;Milestones!$AB$196&amp;" "&amp;Milestones!$AC$196&amp;";  ","")&amp;IF(AND(EDATE($D9,Milestones!$AA$197)&lt;=AsOfDate,IF($R9=0,$X9,IF(AND($T9&lt;&gt;"",EDATE($D9,Milestones!$AA$197)&gt;=$T9),$W9,IF(AND($S9&lt;&gt;"",EDATE($D9,Milestones!$AA$197)&gt;=$S9),$V9,$U9)))=Milestones!$AB$197),UPPER(TEXT(EDATE($D9,Milestones!$AA$197),"dd mmm yy"))&amp;" "&amp;Milestones!$AB$197&amp;" "&amp;Milestones!$AC$197&amp;";  ","")&amp;IF(AND(EDATE($D9,Milestones!$AA$198)&lt;=AsOfDate,IF($R9=0,$X9,IF(AND($T9&lt;&gt;"",EDATE($D9,Milestones!$AA$198)&gt;=$T9),$W9,IF(AND($S9&lt;&gt;"",EDATE($D9,Milestones!$AA$198)&gt;=$S9),$V9,$U9)))=Milestones!$AB$198),UPPER(TEXT(EDATE($D9,Milestones!$AA$198),"dd mmm yy"))&amp;" "&amp;Milestones!$AB$198&amp;" "&amp;Milestones!$AC$198&amp;";  ","")&amp;IF(AND(EDATE($D9,Milestones!$AA$199)&lt;=AsOfDate,IF($R9=0,$X9,IF(AND($T9&lt;&gt;"",EDATE($D9,Milestones!$AA$199)&gt;=$T9),$W9,IF(AND($S9&lt;&gt;"",EDATE($D9,Milestones!$AA$199)&gt;=$S9),$V9,$U9)))=Milestones!$AB$199),UPPER(TEXT(EDATE($D9,Milestones!$AA$199),"dd mmm yy"))&amp;" "&amp;Milestones!$AB$199&amp;" "&amp;Milestones!$AC$199&amp;";  ",""))</f>
        <v/>
      </c>
      <c r="R9" s="0" t="str">
        <f aca="false">IF(Staff!$A9="","",Staff!$AI9)</f>
        <v/>
      </c>
      <c r="S9" s="0" t="str">
        <f aca="false">IF(Staff!$A9="","",Staff!$AK9)</f>
        <v/>
      </c>
      <c r="T9" s="0" t="str">
        <f aca="false">IF(Staff!$A9="","",Staff!$AL9)</f>
        <v/>
      </c>
      <c r="U9" s="0" t="str">
        <f aca="false">IF(Staff!$A9="","",Staff!$AP9)</f>
        <v/>
      </c>
      <c r="V9" s="0" t="str">
        <f aca="false">IF(Staff!$A9="","",Staff!$AQ9)</f>
        <v/>
      </c>
      <c r="W9" s="0" t="str">
        <f aca="false">IF(Staff!$A9="","",Staff!$AR9)</f>
        <v/>
      </c>
      <c r="X9" s="0" t="str">
        <f aca="false">IF(Staff!$A9="","",Staff!$AS9)</f>
        <v/>
      </c>
    </row>
    <row r="10" customFormat="false" ht="15" hidden="false" customHeight="false" outlineLevel="0" collapsed="false">
      <c r="A10" s="14" t="str">
        <f aca="false">IF(Staff!$A10="","",Staff!$A10)</f>
        <v/>
      </c>
      <c r="B10" s="14" t="str">
        <f aca="false">IF(Staff!$A10="","",Staff!$B10)</f>
        <v/>
      </c>
      <c r="C10" s="14" t="str">
        <f aca="false">IF(Staff!$A10="","",Staff!$C10)</f>
        <v/>
      </c>
      <c r="D10" s="12" t="str">
        <f aca="false">IF(Staff!$A10="","",Staff!$AH10)</f>
        <v/>
      </c>
      <c r="E10" s="14" t="str">
        <f aca="false">IF(Staff!$A10="","",Staff!$O10)</f>
        <v/>
      </c>
      <c r="F10" s="14" t="str">
        <f aca="false">IF(E10="","",E10*HoursPerDay)</f>
        <v/>
      </c>
      <c r="G10" s="14" t="str">
        <f aca="false">IF(Staff!$A10="","",Staff!$AE10)</f>
        <v/>
      </c>
      <c r="H10" s="26" t="str">
        <f aca="false">IF($A10="","",I10&amp;J10&amp;K10&amp;L10&amp;M10&amp;N10&amp;O10&amp;P10&amp;Q10)</f>
        <v/>
      </c>
      <c r="I10" s="0" t="str">
        <f aca="false">IF(OR($A10="",$D10=""),"",IF(AND(EDATE($D10,Milestones!$AA$20)&lt;=AsOfDate,IF($R10=0,$X10,IF(AND($T10&lt;&gt;"",EDATE($D10,Milestones!$AA$20)&gt;=$T10),$W10,IF(AND($S10&lt;&gt;"",EDATE($D10,Milestones!$AA$20)&gt;=$S10),$V10,$U10)))=Milestones!$AB$20),UPPER(TEXT(EDATE($D10,Milestones!$AA$20),"dd mmm yy"))&amp;" "&amp;Milestones!$AB$20&amp;" "&amp;Milestones!$AC$20&amp;";  ","")&amp;IF(AND(EDATE($D10,Milestones!$AA$21)&lt;=AsOfDate,IF($R10=0,$X10,IF(AND($T10&lt;&gt;"",EDATE($D10,Milestones!$AA$21)&gt;=$T10),$W10,IF(AND($S10&lt;&gt;"",EDATE($D10,Milestones!$AA$21)&gt;=$S10),$V10,$U10)))=Milestones!$AB$21),UPPER(TEXT(EDATE($D10,Milestones!$AA$21),"dd mmm yy"))&amp;" "&amp;Milestones!$AB$21&amp;" "&amp;Milestones!$AC$21&amp;";  ","")&amp;IF(AND(EDATE($D10,Milestones!$AA$22)&lt;=AsOfDate,IF($R10=0,$X10,IF(AND($T10&lt;&gt;"",EDATE($D10,Milestones!$AA$22)&gt;=$T10),$W10,IF(AND($S10&lt;&gt;"",EDATE($D10,Milestones!$AA$22)&gt;=$S10),$V10,$U10)))=Milestones!$AB$22),UPPER(TEXT(EDATE($D10,Milestones!$AA$22),"dd mmm yy"))&amp;" "&amp;Milestones!$AB$22&amp;" "&amp;Milestones!$AC$22&amp;";  ","")&amp;IF(AND(EDATE($D10,Milestones!$AA$23)&lt;=AsOfDate,IF($R10=0,$X10,IF(AND($T10&lt;&gt;"",EDATE($D10,Milestones!$AA$23)&gt;=$T10),$W10,IF(AND($S10&lt;&gt;"",EDATE($D10,Milestones!$AA$23)&gt;=$S10),$V10,$U10)))=Milestones!$AB$23),UPPER(TEXT(EDATE($D10,Milestones!$AA$23),"dd mmm yy"))&amp;" "&amp;Milestones!$AB$23&amp;" "&amp;Milestones!$AC$23&amp;";  ","")&amp;IF(AND(EDATE($D10,Milestones!$AA$24)&lt;=AsOfDate,IF($R10=0,$X10,IF(AND($T10&lt;&gt;"",EDATE($D10,Milestones!$AA$24)&gt;=$T10),$W10,IF(AND($S10&lt;&gt;"",EDATE($D10,Milestones!$AA$24)&gt;=$S10),$V10,$U10)))=Milestones!$AB$24),UPPER(TEXT(EDATE($D10,Milestones!$AA$24),"dd mmm yy"))&amp;" "&amp;Milestones!$AB$24&amp;" "&amp;Milestones!$AC$24&amp;";  ","")&amp;IF(AND(EDATE($D10,Milestones!$AA$25)&lt;=AsOfDate,IF($R10=0,$X10,IF(AND($T10&lt;&gt;"",EDATE($D10,Milestones!$AA$25)&gt;=$T10),$W10,IF(AND($S10&lt;&gt;"",EDATE($D10,Milestones!$AA$25)&gt;=$S10),$V10,$U10)))=Milestones!$AB$25),UPPER(TEXT(EDATE($D10,Milestones!$AA$25),"dd mmm yy"))&amp;" "&amp;Milestones!$AB$25&amp;" "&amp;Milestones!$AC$25&amp;";  ","")&amp;IF(AND(EDATE($D10,Milestones!$AA$26)&lt;=AsOfDate,IF($R10=0,$X10,IF(AND($T10&lt;&gt;"",EDATE($D10,Milestones!$AA$26)&gt;=$T10),$W10,IF(AND($S10&lt;&gt;"",EDATE($D10,Milestones!$AA$26)&gt;=$S10),$V10,$U10)))=Milestones!$AB$26),UPPER(TEXT(EDATE($D10,Milestones!$AA$26),"dd mmm yy"))&amp;" "&amp;Milestones!$AB$26&amp;" "&amp;Milestones!$AC$26&amp;";  ","")&amp;IF(AND(EDATE($D10,Milestones!$AA$27)&lt;=AsOfDate,IF($R10=0,$X10,IF(AND($T10&lt;&gt;"",EDATE($D10,Milestones!$AA$27)&gt;=$T10),$W10,IF(AND($S10&lt;&gt;"",EDATE($D10,Milestones!$AA$27)&gt;=$S10),$V10,$U10)))=Milestones!$AB$27),UPPER(TEXT(EDATE($D10,Milestones!$AA$27),"dd mmm yy"))&amp;" "&amp;Milestones!$AB$27&amp;" "&amp;Milestones!$AC$27&amp;";  ","")&amp;IF(AND(EDATE($D10,Milestones!$AA$28)&lt;=AsOfDate,IF($R10=0,$X10,IF(AND($T10&lt;&gt;"",EDATE($D10,Milestones!$AA$28)&gt;=$T10),$W10,IF(AND($S10&lt;&gt;"",EDATE($D10,Milestones!$AA$28)&gt;=$S10),$V10,$U10)))=Milestones!$AB$28),UPPER(TEXT(EDATE($D10,Milestones!$AA$28),"dd mmm yy"))&amp;" "&amp;Milestones!$AB$28&amp;" "&amp;Milestones!$AC$28&amp;";  ","")&amp;IF(AND(EDATE($D10,Milestones!$AA$29)&lt;=AsOfDate,IF($R10=0,$X10,IF(AND($T10&lt;&gt;"",EDATE($D10,Milestones!$AA$29)&gt;=$T10),$W10,IF(AND($S10&lt;&gt;"",EDATE($D10,Milestones!$AA$29)&gt;=$S10),$V10,$U10)))=Milestones!$AB$29),UPPER(TEXT(EDATE($D10,Milestones!$AA$29),"dd mmm yy"))&amp;" "&amp;Milestones!$AB$29&amp;" "&amp;Milestones!$AC$29&amp;";  ","")&amp;IF(AND(EDATE($D10,Milestones!$AA$30)&lt;=AsOfDate,IF($R10=0,$X10,IF(AND($T10&lt;&gt;"",EDATE($D10,Milestones!$AA$30)&gt;=$T10),$W10,IF(AND($S10&lt;&gt;"",EDATE($D10,Milestones!$AA$30)&gt;=$S10),$V10,$U10)))=Milestones!$AB$30),UPPER(TEXT(EDATE($D10,Milestones!$AA$30),"dd mmm yy"))&amp;" "&amp;Milestones!$AB$30&amp;" "&amp;Milestones!$AC$30&amp;";  ","")&amp;IF(AND(EDATE($D10,Milestones!$AA$31)&lt;=AsOfDate,IF($R10=0,$X10,IF(AND($T10&lt;&gt;"",EDATE($D10,Milestones!$AA$31)&gt;=$T10),$W10,IF(AND($S10&lt;&gt;"",EDATE($D10,Milestones!$AA$31)&gt;=$S10),$V10,$U10)))=Milestones!$AB$31),UPPER(TEXT(EDATE($D10,Milestones!$AA$31),"dd mmm yy"))&amp;" "&amp;Milestones!$AB$31&amp;" "&amp;Milestones!$AC$31&amp;";  ","")&amp;IF(AND(EDATE($D10,Milestones!$AA$32)&lt;=AsOfDate,IF($R10=0,$X10,IF(AND($T10&lt;&gt;"",EDATE($D10,Milestones!$AA$32)&gt;=$T10),$W10,IF(AND($S10&lt;&gt;"",EDATE($D10,Milestones!$AA$32)&gt;=$S10),$V10,$U10)))=Milestones!$AB$32),UPPER(TEXT(EDATE($D10,Milestones!$AA$32),"dd mmm yy"))&amp;" "&amp;Milestones!$AB$32&amp;" "&amp;Milestones!$AC$32&amp;";  ","")&amp;IF(AND(EDATE($D10,Milestones!$AA$33)&lt;=AsOfDate,IF($R10=0,$X10,IF(AND($T10&lt;&gt;"",EDATE($D10,Milestones!$AA$33)&gt;=$T10),$W10,IF(AND($S10&lt;&gt;"",EDATE($D10,Milestones!$AA$33)&gt;=$S10),$V10,$U10)))=Milestones!$AB$33),UPPER(TEXT(EDATE($D10,Milestones!$AA$33),"dd mmm yy"))&amp;" "&amp;Milestones!$AB$33&amp;" "&amp;Milestones!$AC$33&amp;";  ","")&amp;IF(AND(EDATE($D10,Milestones!$AA$34)&lt;=AsOfDate,IF($R10=0,$X10,IF(AND($T10&lt;&gt;"",EDATE($D10,Milestones!$AA$34)&gt;=$T10),$W10,IF(AND($S10&lt;&gt;"",EDATE($D10,Milestones!$AA$34)&gt;=$S10),$V10,$U10)))=Milestones!$AB$34),UPPER(TEXT(EDATE($D10,Milestones!$AA$34),"dd mmm yy"))&amp;" "&amp;Milestones!$AB$34&amp;" "&amp;Milestones!$AC$34&amp;";  ","")&amp;IF(AND(EDATE($D10,Milestones!$AA$35)&lt;=AsOfDate,IF($R10=0,$X10,IF(AND($T10&lt;&gt;"",EDATE($D10,Milestones!$AA$35)&gt;=$T10),$W10,IF(AND($S10&lt;&gt;"",EDATE($D10,Milestones!$AA$35)&gt;=$S10),$V10,$U10)))=Milestones!$AB$35),UPPER(TEXT(EDATE($D10,Milestones!$AA$35),"dd mmm yy"))&amp;" "&amp;Milestones!$AB$35&amp;" "&amp;Milestones!$AC$35&amp;";  ","")&amp;IF(AND(EDATE($D10,Milestones!$AA$36)&lt;=AsOfDate,IF($R10=0,$X10,IF(AND($T10&lt;&gt;"",EDATE($D10,Milestones!$AA$36)&gt;=$T10),$W10,IF(AND($S10&lt;&gt;"",EDATE($D10,Milestones!$AA$36)&gt;=$S10),$V10,$U10)))=Milestones!$AB$36),UPPER(TEXT(EDATE($D10,Milestones!$AA$36),"dd mmm yy"))&amp;" "&amp;Milestones!$AB$36&amp;" "&amp;Milestones!$AC$36&amp;";  ","")&amp;IF(AND(EDATE($D10,Milestones!$AA$37)&lt;=AsOfDate,IF($R10=0,$X10,IF(AND($T10&lt;&gt;"",EDATE($D10,Milestones!$AA$37)&gt;=$T10),$W10,IF(AND($S10&lt;&gt;"",EDATE($D10,Milestones!$AA$37)&gt;=$S10),$V10,$U10)))=Milestones!$AB$37),UPPER(TEXT(EDATE($D10,Milestones!$AA$37),"dd mmm yy"))&amp;" "&amp;Milestones!$AB$37&amp;" "&amp;Milestones!$AC$37&amp;";  ","")&amp;IF(AND(EDATE($D10,Milestones!$AA$38)&lt;=AsOfDate,IF($R10=0,$X10,IF(AND($T10&lt;&gt;"",EDATE($D10,Milestones!$AA$38)&gt;=$T10),$W10,IF(AND($S10&lt;&gt;"",EDATE($D10,Milestones!$AA$38)&gt;=$S10),$V10,$U10)))=Milestones!$AB$38),UPPER(TEXT(EDATE($D10,Milestones!$AA$38),"dd mmm yy"))&amp;" "&amp;Milestones!$AB$38&amp;" "&amp;Milestones!$AC$38&amp;";  ","")&amp;IF(AND(EDATE($D10,Milestones!$AA$39)&lt;=AsOfDate,IF($R10=0,$X10,IF(AND($T10&lt;&gt;"",EDATE($D10,Milestones!$AA$39)&gt;=$T10),$W10,IF(AND($S10&lt;&gt;"",EDATE($D10,Milestones!$AA$39)&gt;=$S10),$V10,$U10)))=Milestones!$AB$39),UPPER(TEXT(EDATE($D10,Milestones!$AA$39),"dd mmm yy"))&amp;" "&amp;Milestones!$AB$39&amp;" "&amp;Milestones!$AC$39&amp;";  ",""))</f>
        <v/>
      </c>
      <c r="J10" s="0" t="str">
        <f aca="false">IF(OR($A10="",$D10=""),"",IF(AND(EDATE($D10,Milestones!$AA$40)&lt;=AsOfDate,IF($R10=0,$X10,IF(AND($T10&lt;&gt;"",EDATE($D10,Milestones!$AA$40)&gt;=$T10),$W10,IF(AND($S10&lt;&gt;"",EDATE($D10,Milestones!$AA$40)&gt;=$S10),$V10,$U10)))=Milestones!$AB$40),UPPER(TEXT(EDATE($D10,Milestones!$AA$40),"dd mmm yy"))&amp;" "&amp;Milestones!$AB$40&amp;" "&amp;Milestones!$AC$40&amp;";  ","")&amp;IF(AND(EDATE($D10,Milestones!$AA$41)&lt;=AsOfDate,IF($R10=0,$X10,IF(AND($T10&lt;&gt;"",EDATE($D10,Milestones!$AA$41)&gt;=$T10),$W10,IF(AND($S10&lt;&gt;"",EDATE($D10,Milestones!$AA$41)&gt;=$S10),$V10,$U10)))=Milestones!$AB$41),UPPER(TEXT(EDATE($D10,Milestones!$AA$41),"dd mmm yy"))&amp;" "&amp;Milestones!$AB$41&amp;" "&amp;Milestones!$AC$41&amp;";  ","")&amp;IF(AND(EDATE($D10,Milestones!$AA$42)&lt;=AsOfDate,IF($R10=0,$X10,IF(AND($T10&lt;&gt;"",EDATE($D10,Milestones!$AA$42)&gt;=$T10),$W10,IF(AND($S10&lt;&gt;"",EDATE($D10,Milestones!$AA$42)&gt;=$S10),$V10,$U10)))=Milestones!$AB$42),UPPER(TEXT(EDATE($D10,Milestones!$AA$42),"dd mmm yy"))&amp;" "&amp;Milestones!$AB$42&amp;" "&amp;Milestones!$AC$42&amp;";  ","")&amp;IF(AND(EDATE($D10,Milestones!$AA$43)&lt;=AsOfDate,IF($R10=0,$X10,IF(AND($T10&lt;&gt;"",EDATE($D10,Milestones!$AA$43)&gt;=$T10),$W10,IF(AND($S10&lt;&gt;"",EDATE($D10,Milestones!$AA$43)&gt;=$S10),$V10,$U10)))=Milestones!$AB$43),UPPER(TEXT(EDATE($D10,Milestones!$AA$43),"dd mmm yy"))&amp;" "&amp;Milestones!$AB$43&amp;" "&amp;Milestones!$AC$43&amp;";  ","")&amp;IF(AND(EDATE($D10,Milestones!$AA$44)&lt;=AsOfDate,IF($R10=0,$X10,IF(AND($T10&lt;&gt;"",EDATE($D10,Milestones!$AA$44)&gt;=$T10),$W10,IF(AND($S10&lt;&gt;"",EDATE($D10,Milestones!$AA$44)&gt;=$S10),$V10,$U10)))=Milestones!$AB$44),UPPER(TEXT(EDATE($D10,Milestones!$AA$44),"dd mmm yy"))&amp;" "&amp;Milestones!$AB$44&amp;" "&amp;Milestones!$AC$44&amp;";  ","")&amp;IF(AND(EDATE($D10,Milestones!$AA$45)&lt;=AsOfDate,IF($R10=0,$X10,IF(AND($T10&lt;&gt;"",EDATE($D10,Milestones!$AA$45)&gt;=$T10),$W10,IF(AND($S10&lt;&gt;"",EDATE($D10,Milestones!$AA$45)&gt;=$S10),$V10,$U10)))=Milestones!$AB$45),UPPER(TEXT(EDATE($D10,Milestones!$AA$45),"dd mmm yy"))&amp;" "&amp;Milestones!$AB$45&amp;" "&amp;Milestones!$AC$45&amp;";  ","")&amp;IF(AND(EDATE($D10,Milestones!$AA$46)&lt;=AsOfDate,IF($R10=0,$X10,IF(AND($T10&lt;&gt;"",EDATE($D10,Milestones!$AA$46)&gt;=$T10),$W10,IF(AND($S10&lt;&gt;"",EDATE($D10,Milestones!$AA$46)&gt;=$S10),$V10,$U10)))=Milestones!$AB$46),UPPER(TEXT(EDATE($D10,Milestones!$AA$46),"dd mmm yy"))&amp;" "&amp;Milestones!$AB$46&amp;" "&amp;Milestones!$AC$46&amp;";  ","")&amp;IF(AND(EDATE($D10,Milestones!$AA$47)&lt;=AsOfDate,IF($R10=0,$X10,IF(AND($T10&lt;&gt;"",EDATE($D10,Milestones!$AA$47)&gt;=$T10),$W10,IF(AND($S10&lt;&gt;"",EDATE($D10,Milestones!$AA$47)&gt;=$S10),$V10,$U10)))=Milestones!$AB$47),UPPER(TEXT(EDATE($D10,Milestones!$AA$47),"dd mmm yy"))&amp;" "&amp;Milestones!$AB$47&amp;" "&amp;Milestones!$AC$47&amp;";  ","")&amp;IF(AND(EDATE($D10,Milestones!$AA$48)&lt;=AsOfDate,IF($R10=0,$X10,IF(AND($T10&lt;&gt;"",EDATE($D10,Milestones!$AA$48)&gt;=$T10),$W10,IF(AND($S10&lt;&gt;"",EDATE($D10,Milestones!$AA$48)&gt;=$S10),$V10,$U10)))=Milestones!$AB$48),UPPER(TEXT(EDATE($D10,Milestones!$AA$48),"dd mmm yy"))&amp;" "&amp;Milestones!$AB$48&amp;" "&amp;Milestones!$AC$48&amp;";  ","")&amp;IF(AND(EDATE($D10,Milestones!$AA$49)&lt;=AsOfDate,IF($R10=0,$X10,IF(AND($T10&lt;&gt;"",EDATE($D10,Milestones!$AA$49)&gt;=$T10),$W10,IF(AND($S10&lt;&gt;"",EDATE($D10,Milestones!$AA$49)&gt;=$S10),$V10,$U10)))=Milestones!$AB$49),UPPER(TEXT(EDATE($D10,Milestones!$AA$49),"dd mmm yy"))&amp;" "&amp;Milestones!$AB$49&amp;" "&amp;Milestones!$AC$49&amp;";  ","")&amp;IF(AND(EDATE($D10,Milestones!$AA$50)&lt;=AsOfDate,IF($R10=0,$X10,IF(AND($T10&lt;&gt;"",EDATE($D10,Milestones!$AA$50)&gt;=$T10),$W10,IF(AND($S10&lt;&gt;"",EDATE($D10,Milestones!$AA$50)&gt;=$S10),$V10,$U10)))=Milestones!$AB$50),UPPER(TEXT(EDATE($D10,Milestones!$AA$50),"dd mmm yy"))&amp;" "&amp;Milestones!$AB$50&amp;" "&amp;Milestones!$AC$50&amp;";  ","")&amp;IF(AND(EDATE($D10,Milestones!$AA$51)&lt;=AsOfDate,IF($R10=0,$X10,IF(AND($T10&lt;&gt;"",EDATE($D10,Milestones!$AA$51)&gt;=$T10),$W10,IF(AND($S10&lt;&gt;"",EDATE($D10,Milestones!$AA$51)&gt;=$S10),$V10,$U10)))=Milestones!$AB$51),UPPER(TEXT(EDATE($D10,Milestones!$AA$51),"dd mmm yy"))&amp;" "&amp;Milestones!$AB$51&amp;" "&amp;Milestones!$AC$51&amp;";  ","")&amp;IF(AND(EDATE($D10,Milestones!$AA$52)&lt;=AsOfDate,IF($R10=0,$X10,IF(AND($T10&lt;&gt;"",EDATE($D10,Milestones!$AA$52)&gt;=$T10),$W10,IF(AND($S10&lt;&gt;"",EDATE($D10,Milestones!$AA$52)&gt;=$S10),$V10,$U10)))=Milestones!$AB$52),UPPER(TEXT(EDATE($D10,Milestones!$AA$52),"dd mmm yy"))&amp;" "&amp;Milestones!$AB$52&amp;" "&amp;Milestones!$AC$52&amp;";  ","")&amp;IF(AND(EDATE($D10,Milestones!$AA$53)&lt;=AsOfDate,IF($R10=0,$X10,IF(AND($T10&lt;&gt;"",EDATE($D10,Milestones!$AA$53)&gt;=$T10),$W10,IF(AND($S10&lt;&gt;"",EDATE($D10,Milestones!$AA$53)&gt;=$S10),$V10,$U10)))=Milestones!$AB$53),UPPER(TEXT(EDATE($D10,Milestones!$AA$53),"dd mmm yy"))&amp;" "&amp;Milestones!$AB$53&amp;" "&amp;Milestones!$AC$53&amp;";  ","")&amp;IF(AND(EDATE($D10,Milestones!$AA$54)&lt;=AsOfDate,IF($R10=0,$X10,IF(AND($T10&lt;&gt;"",EDATE($D10,Milestones!$AA$54)&gt;=$T10),$W10,IF(AND($S10&lt;&gt;"",EDATE($D10,Milestones!$AA$54)&gt;=$S10),$V10,$U10)))=Milestones!$AB$54),UPPER(TEXT(EDATE($D10,Milestones!$AA$54),"dd mmm yy"))&amp;" "&amp;Milestones!$AB$54&amp;" "&amp;Milestones!$AC$54&amp;";  ","")&amp;IF(AND(EDATE($D10,Milestones!$AA$55)&lt;=AsOfDate,IF($R10=0,$X10,IF(AND($T10&lt;&gt;"",EDATE($D10,Milestones!$AA$55)&gt;=$T10),$W10,IF(AND($S10&lt;&gt;"",EDATE($D10,Milestones!$AA$55)&gt;=$S10),$V10,$U10)))=Milestones!$AB$55),UPPER(TEXT(EDATE($D10,Milestones!$AA$55),"dd mmm yy"))&amp;" "&amp;Milestones!$AB$55&amp;" "&amp;Milestones!$AC$55&amp;";  ","")&amp;IF(AND(EDATE($D10,Milestones!$AA$56)&lt;=AsOfDate,IF($R10=0,$X10,IF(AND($T10&lt;&gt;"",EDATE($D10,Milestones!$AA$56)&gt;=$T10),$W10,IF(AND($S10&lt;&gt;"",EDATE($D10,Milestones!$AA$56)&gt;=$S10),$V10,$U10)))=Milestones!$AB$56),UPPER(TEXT(EDATE($D10,Milestones!$AA$56),"dd mmm yy"))&amp;" "&amp;Milestones!$AB$56&amp;" "&amp;Milestones!$AC$56&amp;";  ","")&amp;IF(AND(EDATE($D10,Milestones!$AA$57)&lt;=AsOfDate,IF($R10=0,$X10,IF(AND($T10&lt;&gt;"",EDATE($D10,Milestones!$AA$57)&gt;=$T10),$W10,IF(AND($S10&lt;&gt;"",EDATE($D10,Milestones!$AA$57)&gt;=$S10),$V10,$U10)))=Milestones!$AB$57),UPPER(TEXT(EDATE($D10,Milestones!$AA$57),"dd mmm yy"))&amp;" "&amp;Milestones!$AB$57&amp;" "&amp;Milestones!$AC$57&amp;";  ","")&amp;IF(AND(EDATE($D10,Milestones!$AA$58)&lt;=AsOfDate,IF($R10=0,$X10,IF(AND($T10&lt;&gt;"",EDATE($D10,Milestones!$AA$58)&gt;=$T10),$W10,IF(AND($S10&lt;&gt;"",EDATE($D10,Milestones!$AA$58)&gt;=$S10),$V10,$U10)))=Milestones!$AB$58),UPPER(TEXT(EDATE($D10,Milestones!$AA$58),"dd mmm yy"))&amp;" "&amp;Milestones!$AB$58&amp;" "&amp;Milestones!$AC$58&amp;";  ","")&amp;IF(AND(EDATE($D10,Milestones!$AA$59)&lt;=AsOfDate,IF($R10=0,$X10,IF(AND($T10&lt;&gt;"",EDATE($D10,Milestones!$AA$59)&gt;=$T10),$W10,IF(AND($S10&lt;&gt;"",EDATE($D10,Milestones!$AA$59)&gt;=$S10),$V10,$U10)))=Milestones!$AB$59),UPPER(TEXT(EDATE($D10,Milestones!$AA$59),"dd mmm yy"))&amp;" "&amp;Milestones!$AB$59&amp;" "&amp;Milestones!$AC$59&amp;";  ",""))</f>
        <v/>
      </c>
      <c r="K10" s="0" t="str">
        <f aca="false">IF(OR($A10="",$D10=""),"",IF(AND(EDATE($D10,Milestones!$AA$60)&lt;=AsOfDate,IF($R10=0,$X10,IF(AND($T10&lt;&gt;"",EDATE($D10,Milestones!$AA$60)&gt;=$T10),$W10,IF(AND($S10&lt;&gt;"",EDATE($D10,Milestones!$AA$60)&gt;=$S10),$V10,$U10)))=Milestones!$AB$60),UPPER(TEXT(EDATE($D10,Milestones!$AA$60),"dd mmm yy"))&amp;" "&amp;Milestones!$AB$60&amp;" "&amp;Milestones!$AC$60&amp;";  ","")&amp;IF(AND(EDATE($D10,Milestones!$AA$61)&lt;=AsOfDate,IF($R10=0,$X10,IF(AND($T10&lt;&gt;"",EDATE($D10,Milestones!$AA$61)&gt;=$T10),$W10,IF(AND($S10&lt;&gt;"",EDATE($D10,Milestones!$AA$61)&gt;=$S10),$V10,$U10)))=Milestones!$AB$61),UPPER(TEXT(EDATE($D10,Milestones!$AA$61),"dd mmm yy"))&amp;" "&amp;Milestones!$AB$61&amp;" "&amp;Milestones!$AC$61&amp;";  ","")&amp;IF(AND(EDATE($D10,Milestones!$AA$62)&lt;=AsOfDate,IF($R10=0,$X10,IF(AND($T10&lt;&gt;"",EDATE($D10,Milestones!$AA$62)&gt;=$T10),$W10,IF(AND($S10&lt;&gt;"",EDATE($D10,Milestones!$AA$62)&gt;=$S10),$V10,$U10)))=Milestones!$AB$62),UPPER(TEXT(EDATE($D10,Milestones!$AA$62),"dd mmm yy"))&amp;" "&amp;Milestones!$AB$62&amp;" "&amp;Milestones!$AC$62&amp;";  ","")&amp;IF(AND(EDATE($D10,Milestones!$AA$63)&lt;=AsOfDate,IF($R10=0,$X10,IF(AND($T10&lt;&gt;"",EDATE($D10,Milestones!$AA$63)&gt;=$T10),$W10,IF(AND($S10&lt;&gt;"",EDATE($D10,Milestones!$AA$63)&gt;=$S10),$V10,$U10)))=Milestones!$AB$63),UPPER(TEXT(EDATE($D10,Milestones!$AA$63),"dd mmm yy"))&amp;" "&amp;Milestones!$AB$63&amp;" "&amp;Milestones!$AC$63&amp;";  ","")&amp;IF(AND(EDATE($D10,Milestones!$AA$64)&lt;=AsOfDate,IF($R10=0,$X10,IF(AND($T10&lt;&gt;"",EDATE($D10,Milestones!$AA$64)&gt;=$T10),$W10,IF(AND($S10&lt;&gt;"",EDATE($D10,Milestones!$AA$64)&gt;=$S10),$V10,$U10)))=Milestones!$AB$64),UPPER(TEXT(EDATE($D10,Milestones!$AA$64),"dd mmm yy"))&amp;" "&amp;Milestones!$AB$64&amp;" "&amp;Milestones!$AC$64&amp;";  ","")&amp;IF(AND(EDATE($D10,Milestones!$AA$65)&lt;=AsOfDate,IF($R10=0,$X10,IF(AND($T10&lt;&gt;"",EDATE($D10,Milestones!$AA$65)&gt;=$T10),$W10,IF(AND($S10&lt;&gt;"",EDATE($D10,Milestones!$AA$65)&gt;=$S10),$V10,$U10)))=Milestones!$AB$65),UPPER(TEXT(EDATE($D10,Milestones!$AA$65),"dd mmm yy"))&amp;" "&amp;Milestones!$AB$65&amp;" "&amp;Milestones!$AC$65&amp;";  ","")&amp;IF(AND(EDATE($D10,Milestones!$AA$66)&lt;=AsOfDate,IF($R10=0,$X10,IF(AND($T10&lt;&gt;"",EDATE($D10,Milestones!$AA$66)&gt;=$T10),$W10,IF(AND($S10&lt;&gt;"",EDATE($D10,Milestones!$AA$66)&gt;=$S10),$V10,$U10)))=Milestones!$AB$66),UPPER(TEXT(EDATE($D10,Milestones!$AA$66),"dd mmm yy"))&amp;" "&amp;Milestones!$AB$66&amp;" "&amp;Milestones!$AC$66&amp;";  ","")&amp;IF(AND(EDATE($D10,Milestones!$AA$67)&lt;=AsOfDate,IF($R10=0,$X10,IF(AND($T10&lt;&gt;"",EDATE($D10,Milestones!$AA$67)&gt;=$T10),$W10,IF(AND($S10&lt;&gt;"",EDATE($D10,Milestones!$AA$67)&gt;=$S10),$V10,$U10)))=Milestones!$AB$67),UPPER(TEXT(EDATE($D10,Milestones!$AA$67),"dd mmm yy"))&amp;" "&amp;Milestones!$AB$67&amp;" "&amp;Milestones!$AC$67&amp;";  ","")&amp;IF(AND(EDATE($D10,Milestones!$AA$68)&lt;=AsOfDate,IF($R10=0,$X10,IF(AND($T10&lt;&gt;"",EDATE($D10,Milestones!$AA$68)&gt;=$T10),$W10,IF(AND($S10&lt;&gt;"",EDATE($D10,Milestones!$AA$68)&gt;=$S10),$V10,$U10)))=Milestones!$AB$68),UPPER(TEXT(EDATE($D10,Milestones!$AA$68),"dd mmm yy"))&amp;" "&amp;Milestones!$AB$68&amp;" "&amp;Milestones!$AC$68&amp;";  ","")&amp;IF(AND(EDATE($D10,Milestones!$AA$69)&lt;=AsOfDate,IF($R10=0,$X10,IF(AND($T10&lt;&gt;"",EDATE($D10,Milestones!$AA$69)&gt;=$T10),$W10,IF(AND($S10&lt;&gt;"",EDATE($D10,Milestones!$AA$69)&gt;=$S10),$V10,$U10)))=Milestones!$AB$69),UPPER(TEXT(EDATE($D10,Milestones!$AA$69),"dd mmm yy"))&amp;" "&amp;Milestones!$AB$69&amp;" "&amp;Milestones!$AC$69&amp;";  ","")&amp;IF(AND(EDATE($D10,Milestones!$AA$70)&lt;=AsOfDate,IF($R10=0,$X10,IF(AND($T10&lt;&gt;"",EDATE($D10,Milestones!$AA$70)&gt;=$T10),$W10,IF(AND($S10&lt;&gt;"",EDATE($D10,Milestones!$AA$70)&gt;=$S10),$V10,$U10)))=Milestones!$AB$70),UPPER(TEXT(EDATE($D10,Milestones!$AA$70),"dd mmm yy"))&amp;" "&amp;Milestones!$AB$70&amp;" "&amp;Milestones!$AC$70&amp;";  ","")&amp;IF(AND(EDATE($D10,Milestones!$AA$71)&lt;=AsOfDate,IF($R10=0,$X10,IF(AND($T10&lt;&gt;"",EDATE($D10,Milestones!$AA$71)&gt;=$T10),$W10,IF(AND($S10&lt;&gt;"",EDATE($D10,Milestones!$AA$71)&gt;=$S10),$V10,$U10)))=Milestones!$AB$71),UPPER(TEXT(EDATE($D10,Milestones!$AA$71),"dd mmm yy"))&amp;" "&amp;Milestones!$AB$71&amp;" "&amp;Milestones!$AC$71&amp;";  ","")&amp;IF(AND(EDATE($D10,Milestones!$AA$72)&lt;=AsOfDate,IF($R10=0,$X10,IF(AND($T10&lt;&gt;"",EDATE($D10,Milestones!$AA$72)&gt;=$T10),$W10,IF(AND($S10&lt;&gt;"",EDATE($D10,Milestones!$AA$72)&gt;=$S10),$V10,$U10)))=Milestones!$AB$72),UPPER(TEXT(EDATE($D10,Milestones!$AA$72),"dd mmm yy"))&amp;" "&amp;Milestones!$AB$72&amp;" "&amp;Milestones!$AC$72&amp;";  ","")&amp;IF(AND(EDATE($D10,Milestones!$AA$73)&lt;=AsOfDate,IF($R10=0,$X10,IF(AND($T10&lt;&gt;"",EDATE($D10,Milestones!$AA$73)&gt;=$T10),$W10,IF(AND($S10&lt;&gt;"",EDATE($D10,Milestones!$AA$73)&gt;=$S10),$V10,$U10)))=Milestones!$AB$73),UPPER(TEXT(EDATE($D10,Milestones!$AA$73),"dd mmm yy"))&amp;" "&amp;Milestones!$AB$73&amp;" "&amp;Milestones!$AC$73&amp;";  ","")&amp;IF(AND(EDATE($D10,Milestones!$AA$74)&lt;=AsOfDate,IF($R10=0,$X10,IF(AND($T10&lt;&gt;"",EDATE($D10,Milestones!$AA$74)&gt;=$T10),$W10,IF(AND($S10&lt;&gt;"",EDATE($D10,Milestones!$AA$74)&gt;=$S10),$V10,$U10)))=Milestones!$AB$74),UPPER(TEXT(EDATE($D10,Milestones!$AA$74),"dd mmm yy"))&amp;" "&amp;Milestones!$AB$74&amp;" "&amp;Milestones!$AC$74&amp;";  ","")&amp;IF(AND(EDATE($D10,Milestones!$AA$75)&lt;=AsOfDate,IF($R10=0,$X10,IF(AND($T10&lt;&gt;"",EDATE($D10,Milestones!$AA$75)&gt;=$T10),$W10,IF(AND($S10&lt;&gt;"",EDATE($D10,Milestones!$AA$75)&gt;=$S10),$V10,$U10)))=Milestones!$AB$75),UPPER(TEXT(EDATE($D10,Milestones!$AA$75),"dd mmm yy"))&amp;" "&amp;Milestones!$AB$75&amp;" "&amp;Milestones!$AC$75&amp;";  ","")&amp;IF(AND(EDATE($D10,Milestones!$AA$76)&lt;=AsOfDate,IF($R10=0,$X10,IF(AND($T10&lt;&gt;"",EDATE($D10,Milestones!$AA$76)&gt;=$T10),$W10,IF(AND($S10&lt;&gt;"",EDATE($D10,Milestones!$AA$76)&gt;=$S10),$V10,$U10)))=Milestones!$AB$76),UPPER(TEXT(EDATE($D10,Milestones!$AA$76),"dd mmm yy"))&amp;" "&amp;Milestones!$AB$76&amp;" "&amp;Milestones!$AC$76&amp;";  ","")&amp;IF(AND(EDATE($D10,Milestones!$AA$77)&lt;=AsOfDate,IF($R10=0,$X10,IF(AND($T10&lt;&gt;"",EDATE($D10,Milestones!$AA$77)&gt;=$T10),$W10,IF(AND($S10&lt;&gt;"",EDATE($D10,Milestones!$AA$77)&gt;=$S10),$V10,$U10)))=Milestones!$AB$77),UPPER(TEXT(EDATE($D10,Milestones!$AA$77),"dd mmm yy"))&amp;" "&amp;Milestones!$AB$77&amp;" "&amp;Milestones!$AC$77&amp;";  ","")&amp;IF(AND(EDATE($D10,Milestones!$AA$78)&lt;=AsOfDate,IF($R10=0,$X10,IF(AND($T10&lt;&gt;"",EDATE($D10,Milestones!$AA$78)&gt;=$T10),$W10,IF(AND($S10&lt;&gt;"",EDATE($D10,Milestones!$AA$78)&gt;=$S10),$V10,$U10)))=Milestones!$AB$78),UPPER(TEXT(EDATE($D10,Milestones!$AA$78),"dd mmm yy"))&amp;" "&amp;Milestones!$AB$78&amp;" "&amp;Milestones!$AC$78&amp;";  ","")&amp;IF(AND(EDATE($D10,Milestones!$AA$79)&lt;=AsOfDate,IF($R10=0,$X10,IF(AND($T10&lt;&gt;"",EDATE($D10,Milestones!$AA$79)&gt;=$T10),$W10,IF(AND($S10&lt;&gt;"",EDATE($D10,Milestones!$AA$79)&gt;=$S10),$V10,$U10)))=Milestones!$AB$79),UPPER(TEXT(EDATE($D10,Milestones!$AA$79),"dd mmm yy"))&amp;" "&amp;Milestones!$AB$79&amp;" "&amp;Milestones!$AC$79&amp;";  ",""))</f>
        <v/>
      </c>
      <c r="L10" s="0" t="str">
        <f aca="false">IF(OR($A10="",$D10=""),"",IF(AND(EDATE($D10,Milestones!$AA$80)&lt;=AsOfDate,IF($R10=0,$X10,IF(AND($T10&lt;&gt;"",EDATE($D10,Milestones!$AA$80)&gt;=$T10),$W10,IF(AND($S10&lt;&gt;"",EDATE($D10,Milestones!$AA$80)&gt;=$S10),$V10,$U10)))=Milestones!$AB$80),UPPER(TEXT(EDATE($D10,Milestones!$AA$80),"dd mmm yy"))&amp;" "&amp;Milestones!$AB$80&amp;" "&amp;Milestones!$AC$80&amp;";  ","")&amp;IF(AND(EDATE($D10,Milestones!$AA$81)&lt;=AsOfDate,IF($R10=0,$X10,IF(AND($T10&lt;&gt;"",EDATE($D10,Milestones!$AA$81)&gt;=$T10),$W10,IF(AND($S10&lt;&gt;"",EDATE($D10,Milestones!$AA$81)&gt;=$S10),$V10,$U10)))=Milestones!$AB$81),UPPER(TEXT(EDATE($D10,Milestones!$AA$81),"dd mmm yy"))&amp;" "&amp;Milestones!$AB$81&amp;" "&amp;Milestones!$AC$81&amp;";  ","")&amp;IF(AND(EDATE($D10,Milestones!$AA$82)&lt;=AsOfDate,IF($R10=0,$X10,IF(AND($T10&lt;&gt;"",EDATE($D10,Milestones!$AA$82)&gt;=$T10),$W10,IF(AND($S10&lt;&gt;"",EDATE($D10,Milestones!$AA$82)&gt;=$S10),$V10,$U10)))=Milestones!$AB$82),UPPER(TEXT(EDATE($D10,Milestones!$AA$82),"dd mmm yy"))&amp;" "&amp;Milestones!$AB$82&amp;" "&amp;Milestones!$AC$82&amp;";  ","")&amp;IF(AND(EDATE($D10,Milestones!$AA$83)&lt;=AsOfDate,IF($R10=0,$X10,IF(AND($T10&lt;&gt;"",EDATE($D10,Milestones!$AA$83)&gt;=$T10),$W10,IF(AND($S10&lt;&gt;"",EDATE($D10,Milestones!$AA$83)&gt;=$S10),$V10,$U10)))=Milestones!$AB$83),UPPER(TEXT(EDATE($D10,Milestones!$AA$83),"dd mmm yy"))&amp;" "&amp;Milestones!$AB$83&amp;" "&amp;Milestones!$AC$83&amp;";  ","")&amp;IF(AND(EDATE($D10,Milestones!$AA$84)&lt;=AsOfDate,IF($R10=0,$X10,IF(AND($T10&lt;&gt;"",EDATE($D10,Milestones!$AA$84)&gt;=$T10),$W10,IF(AND($S10&lt;&gt;"",EDATE($D10,Milestones!$AA$84)&gt;=$S10),$V10,$U10)))=Milestones!$AB$84),UPPER(TEXT(EDATE($D10,Milestones!$AA$84),"dd mmm yy"))&amp;" "&amp;Milestones!$AB$84&amp;" "&amp;Milestones!$AC$84&amp;";  ","")&amp;IF(AND(EDATE($D10,Milestones!$AA$85)&lt;=AsOfDate,IF($R10=0,$X10,IF(AND($T10&lt;&gt;"",EDATE($D10,Milestones!$AA$85)&gt;=$T10),$W10,IF(AND($S10&lt;&gt;"",EDATE($D10,Milestones!$AA$85)&gt;=$S10),$V10,$U10)))=Milestones!$AB$85),UPPER(TEXT(EDATE($D10,Milestones!$AA$85),"dd mmm yy"))&amp;" "&amp;Milestones!$AB$85&amp;" "&amp;Milestones!$AC$85&amp;";  ","")&amp;IF(AND(EDATE($D10,Milestones!$AA$86)&lt;=AsOfDate,IF($R10=0,$X10,IF(AND($T10&lt;&gt;"",EDATE($D10,Milestones!$AA$86)&gt;=$T10),$W10,IF(AND($S10&lt;&gt;"",EDATE($D10,Milestones!$AA$86)&gt;=$S10),$V10,$U10)))=Milestones!$AB$86),UPPER(TEXT(EDATE($D10,Milestones!$AA$86),"dd mmm yy"))&amp;" "&amp;Milestones!$AB$86&amp;" "&amp;Milestones!$AC$86&amp;";  ","")&amp;IF(AND(EDATE($D10,Milestones!$AA$87)&lt;=AsOfDate,IF($R10=0,$X10,IF(AND($T10&lt;&gt;"",EDATE($D10,Milestones!$AA$87)&gt;=$T10),$W10,IF(AND($S10&lt;&gt;"",EDATE($D10,Milestones!$AA$87)&gt;=$S10),$V10,$U10)))=Milestones!$AB$87),UPPER(TEXT(EDATE($D10,Milestones!$AA$87),"dd mmm yy"))&amp;" "&amp;Milestones!$AB$87&amp;" "&amp;Milestones!$AC$87&amp;";  ","")&amp;IF(AND(EDATE($D10,Milestones!$AA$88)&lt;=AsOfDate,IF($R10=0,$X10,IF(AND($T10&lt;&gt;"",EDATE($D10,Milestones!$AA$88)&gt;=$T10),$W10,IF(AND($S10&lt;&gt;"",EDATE($D10,Milestones!$AA$88)&gt;=$S10),$V10,$U10)))=Milestones!$AB$88),UPPER(TEXT(EDATE($D10,Milestones!$AA$88),"dd mmm yy"))&amp;" "&amp;Milestones!$AB$88&amp;" "&amp;Milestones!$AC$88&amp;";  ","")&amp;IF(AND(EDATE($D10,Milestones!$AA$89)&lt;=AsOfDate,IF($R10=0,$X10,IF(AND($T10&lt;&gt;"",EDATE($D10,Milestones!$AA$89)&gt;=$T10),$W10,IF(AND($S10&lt;&gt;"",EDATE($D10,Milestones!$AA$89)&gt;=$S10),$V10,$U10)))=Milestones!$AB$89),UPPER(TEXT(EDATE($D10,Milestones!$AA$89),"dd mmm yy"))&amp;" "&amp;Milestones!$AB$89&amp;" "&amp;Milestones!$AC$89&amp;";  ","")&amp;IF(AND(EDATE($D10,Milestones!$AA$90)&lt;=AsOfDate,IF($R10=0,$X10,IF(AND($T10&lt;&gt;"",EDATE($D10,Milestones!$AA$90)&gt;=$T10),$W10,IF(AND($S10&lt;&gt;"",EDATE($D10,Milestones!$AA$90)&gt;=$S10),$V10,$U10)))=Milestones!$AB$90),UPPER(TEXT(EDATE($D10,Milestones!$AA$90),"dd mmm yy"))&amp;" "&amp;Milestones!$AB$90&amp;" "&amp;Milestones!$AC$90&amp;";  ","")&amp;IF(AND(EDATE($D10,Milestones!$AA$91)&lt;=AsOfDate,IF($R10=0,$X10,IF(AND($T10&lt;&gt;"",EDATE($D10,Milestones!$AA$91)&gt;=$T10),$W10,IF(AND($S10&lt;&gt;"",EDATE($D10,Milestones!$AA$91)&gt;=$S10),$V10,$U10)))=Milestones!$AB$91),UPPER(TEXT(EDATE($D10,Milestones!$AA$91),"dd mmm yy"))&amp;" "&amp;Milestones!$AB$91&amp;" "&amp;Milestones!$AC$91&amp;";  ","")&amp;IF(AND(EDATE($D10,Milestones!$AA$92)&lt;=AsOfDate,IF($R10=0,$X10,IF(AND($T10&lt;&gt;"",EDATE($D10,Milestones!$AA$92)&gt;=$T10),$W10,IF(AND($S10&lt;&gt;"",EDATE($D10,Milestones!$AA$92)&gt;=$S10),$V10,$U10)))=Milestones!$AB$92),UPPER(TEXT(EDATE($D10,Milestones!$AA$92),"dd mmm yy"))&amp;" "&amp;Milestones!$AB$92&amp;" "&amp;Milestones!$AC$92&amp;";  ","")&amp;IF(AND(EDATE($D10,Milestones!$AA$93)&lt;=AsOfDate,IF($R10=0,$X10,IF(AND($T10&lt;&gt;"",EDATE($D10,Milestones!$AA$93)&gt;=$T10),$W10,IF(AND($S10&lt;&gt;"",EDATE($D10,Milestones!$AA$93)&gt;=$S10),$V10,$U10)))=Milestones!$AB$93),UPPER(TEXT(EDATE($D10,Milestones!$AA$93),"dd mmm yy"))&amp;" "&amp;Milestones!$AB$93&amp;" "&amp;Milestones!$AC$93&amp;";  ","")&amp;IF(AND(EDATE($D10,Milestones!$AA$94)&lt;=AsOfDate,IF($R10=0,$X10,IF(AND($T10&lt;&gt;"",EDATE($D10,Milestones!$AA$94)&gt;=$T10),$W10,IF(AND($S10&lt;&gt;"",EDATE($D10,Milestones!$AA$94)&gt;=$S10),$V10,$U10)))=Milestones!$AB$94),UPPER(TEXT(EDATE($D10,Milestones!$AA$94),"dd mmm yy"))&amp;" "&amp;Milestones!$AB$94&amp;" "&amp;Milestones!$AC$94&amp;";  ","")&amp;IF(AND(EDATE($D10,Milestones!$AA$95)&lt;=AsOfDate,IF($R10=0,$X10,IF(AND($T10&lt;&gt;"",EDATE($D10,Milestones!$AA$95)&gt;=$T10),$W10,IF(AND($S10&lt;&gt;"",EDATE($D10,Milestones!$AA$95)&gt;=$S10),$V10,$U10)))=Milestones!$AB$95),UPPER(TEXT(EDATE($D10,Milestones!$AA$95),"dd mmm yy"))&amp;" "&amp;Milestones!$AB$95&amp;" "&amp;Milestones!$AC$95&amp;";  ","")&amp;IF(AND(EDATE($D10,Milestones!$AA$96)&lt;=AsOfDate,IF($R10=0,$X10,IF(AND($T10&lt;&gt;"",EDATE($D10,Milestones!$AA$96)&gt;=$T10),$W10,IF(AND($S10&lt;&gt;"",EDATE($D10,Milestones!$AA$96)&gt;=$S10),$V10,$U10)))=Milestones!$AB$96),UPPER(TEXT(EDATE($D10,Milestones!$AA$96),"dd mmm yy"))&amp;" "&amp;Milestones!$AB$96&amp;" "&amp;Milestones!$AC$96&amp;";  ","")&amp;IF(AND(EDATE($D10,Milestones!$AA$97)&lt;=AsOfDate,IF($R10=0,$X10,IF(AND($T10&lt;&gt;"",EDATE($D10,Milestones!$AA$97)&gt;=$T10),$W10,IF(AND($S10&lt;&gt;"",EDATE($D10,Milestones!$AA$97)&gt;=$S10),$V10,$U10)))=Milestones!$AB$97),UPPER(TEXT(EDATE($D10,Milestones!$AA$97),"dd mmm yy"))&amp;" "&amp;Milestones!$AB$97&amp;" "&amp;Milestones!$AC$97&amp;";  ","")&amp;IF(AND(EDATE($D10,Milestones!$AA$98)&lt;=AsOfDate,IF($R10=0,$X10,IF(AND($T10&lt;&gt;"",EDATE($D10,Milestones!$AA$98)&gt;=$T10),$W10,IF(AND($S10&lt;&gt;"",EDATE($D10,Milestones!$AA$98)&gt;=$S10),$V10,$U10)))=Milestones!$AB$98),UPPER(TEXT(EDATE($D10,Milestones!$AA$98),"dd mmm yy"))&amp;" "&amp;Milestones!$AB$98&amp;" "&amp;Milestones!$AC$98&amp;";  ","")&amp;IF(AND(EDATE($D10,Milestones!$AA$99)&lt;=AsOfDate,IF($R10=0,$X10,IF(AND($T10&lt;&gt;"",EDATE($D10,Milestones!$AA$99)&gt;=$T10),$W10,IF(AND($S10&lt;&gt;"",EDATE($D10,Milestones!$AA$99)&gt;=$S10),$V10,$U10)))=Milestones!$AB$99),UPPER(TEXT(EDATE($D10,Milestones!$AA$99),"dd mmm yy"))&amp;" "&amp;Milestones!$AB$99&amp;" "&amp;Milestones!$AC$99&amp;";  ",""))</f>
        <v/>
      </c>
      <c r="M10" s="0" t="str">
        <f aca="false">IF(OR($A10="",$D10=""),"",IF(AND(EDATE($D10,Milestones!$AA$100)&lt;=AsOfDate,IF($R10=0,$X10,IF(AND($T10&lt;&gt;"",EDATE($D10,Milestones!$AA$100)&gt;=$T10),$W10,IF(AND($S10&lt;&gt;"",EDATE($D10,Milestones!$AA$100)&gt;=$S10),$V10,$U10)))=Milestones!$AB$100),UPPER(TEXT(EDATE($D10,Milestones!$AA$100),"dd mmm yy"))&amp;" "&amp;Milestones!$AB$100&amp;" "&amp;Milestones!$AC$100&amp;";  ","")&amp;IF(AND(EDATE($D10,Milestones!$AA$101)&lt;=AsOfDate,IF($R10=0,$X10,IF(AND($T10&lt;&gt;"",EDATE($D10,Milestones!$AA$101)&gt;=$T10),$W10,IF(AND($S10&lt;&gt;"",EDATE($D10,Milestones!$AA$101)&gt;=$S10),$V10,$U10)))=Milestones!$AB$101),UPPER(TEXT(EDATE($D10,Milestones!$AA$101),"dd mmm yy"))&amp;" "&amp;Milestones!$AB$101&amp;" "&amp;Milestones!$AC$101&amp;";  ","")&amp;IF(AND(EDATE($D10,Milestones!$AA$102)&lt;=AsOfDate,IF($R10=0,$X10,IF(AND($T10&lt;&gt;"",EDATE($D10,Milestones!$AA$102)&gt;=$T10),$W10,IF(AND($S10&lt;&gt;"",EDATE($D10,Milestones!$AA$102)&gt;=$S10),$V10,$U10)))=Milestones!$AB$102),UPPER(TEXT(EDATE($D10,Milestones!$AA$102),"dd mmm yy"))&amp;" "&amp;Milestones!$AB$102&amp;" "&amp;Milestones!$AC$102&amp;";  ","")&amp;IF(AND(EDATE($D10,Milestones!$AA$103)&lt;=AsOfDate,IF($R10=0,$X10,IF(AND($T10&lt;&gt;"",EDATE($D10,Milestones!$AA$103)&gt;=$T10),$W10,IF(AND($S10&lt;&gt;"",EDATE($D10,Milestones!$AA$103)&gt;=$S10),$V10,$U10)))=Milestones!$AB$103),UPPER(TEXT(EDATE($D10,Milestones!$AA$103),"dd mmm yy"))&amp;" "&amp;Milestones!$AB$103&amp;" "&amp;Milestones!$AC$103&amp;";  ","")&amp;IF(AND(EDATE($D10,Milestones!$AA$104)&lt;=AsOfDate,IF($R10=0,$X10,IF(AND($T10&lt;&gt;"",EDATE($D10,Milestones!$AA$104)&gt;=$T10),$W10,IF(AND($S10&lt;&gt;"",EDATE($D10,Milestones!$AA$104)&gt;=$S10),$V10,$U10)))=Milestones!$AB$104),UPPER(TEXT(EDATE($D10,Milestones!$AA$104),"dd mmm yy"))&amp;" "&amp;Milestones!$AB$104&amp;" "&amp;Milestones!$AC$104&amp;";  ","")&amp;IF(AND(EDATE($D10,Milestones!$AA$105)&lt;=AsOfDate,IF($R10=0,$X10,IF(AND($T10&lt;&gt;"",EDATE($D10,Milestones!$AA$105)&gt;=$T10),$W10,IF(AND($S10&lt;&gt;"",EDATE($D10,Milestones!$AA$105)&gt;=$S10),$V10,$U10)))=Milestones!$AB$105),UPPER(TEXT(EDATE($D10,Milestones!$AA$105),"dd mmm yy"))&amp;" "&amp;Milestones!$AB$105&amp;" "&amp;Milestones!$AC$105&amp;";  ","")&amp;IF(AND(EDATE($D10,Milestones!$AA$106)&lt;=AsOfDate,IF($R10=0,$X10,IF(AND($T10&lt;&gt;"",EDATE($D10,Milestones!$AA$106)&gt;=$T10),$W10,IF(AND($S10&lt;&gt;"",EDATE($D10,Milestones!$AA$106)&gt;=$S10),$V10,$U10)))=Milestones!$AB$106),UPPER(TEXT(EDATE($D10,Milestones!$AA$106),"dd mmm yy"))&amp;" "&amp;Milestones!$AB$106&amp;" "&amp;Milestones!$AC$106&amp;";  ","")&amp;IF(AND(EDATE($D10,Milestones!$AA$107)&lt;=AsOfDate,IF($R10=0,$X10,IF(AND($T10&lt;&gt;"",EDATE($D10,Milestones!$AA$107)&gt;=$T10),$W10,IF(AND($S10&lt;&gt;"",EDATE($D10,Milestones!$AA$107)&gt;=$S10),$V10,$U10)))=Milestones!$AB$107),UPPER(TEXT(EDATE($D10,Milestones!$AA$107),"dd mmm yy"))&amp;" "&amp;Milestones!$AB$107&amp;" "&amp;Milestones!$AC$107&amp;";  ","")&amp;IF(AND(EDATE($D10,Milestones!$AA$108)&lt;=AsOfDate,IF($R10=0,$X10,IF(AND($T10&lt;&gt;"",EDATE($D10,Milestones!$AA$108)&gt;=$T10),$W10,IF(AND($S10&lt;&gt;"",EDATE($D10,Milestones!$AA$108)&gt;=$S10),$V10,$U10)))=Milestones!$AB$108),UPPER(TEXT(EDATE($D10,Milestones!$AA$108),"dd mmm yy"))&amp;" "&amp;Milestones!$AB$108&amp;" "&amp;Milestones!$AC$108&amp;";  ","")&amp;IF(AND(EDATE($D10,Milestones!$AA$109)&lt;=AsOfDate,IF($R10=0,$X10,IF(AND($T10&lt;&gt;"",EDATE($D10,Milestones!$AA$109)&gt;=$T10),$W10,IF(AND($S10&lt;&gt;"",EDATE($D10,Milestones!$AA$109)&gt;=$S10),$V10,$U10)))=Milestones!$AB$109),UPPER(TEXT(EDATE($D10,Milestones!$AA$109),"dd mmm yy"))&amp;" "&amp;Milestones!$AB$109&amp;" "&amp;Milestones!$AC$109&amp;";  ","")&amp;IF(AND(EDATE($D10,Milestones!$AA$110)&lt;=AsOfDate,IF($R10=0,$X10,IF(AND($T10&lt;&gt;"",EDATE($D10,Milestones!$AA$110)&gt;=$T10),$W10,IF(AND($S10&lt;&gt;"",EDATE($D10,Milestones!$AA$110)&gt;=$S10),$V10,$U10)))=Milestones!$AB$110),UPPER(TEXT(EDATE($D10,Milestones!$AA$110),"dd mmm yy"))&amp;" "&amp;Milestones!$AB$110&amp;" "&amp;Milestones!$AC$110&amp;";  ","")&amp;IF(AND(EDATE($D10,Milestones!$AA$111)&lt;=AsOfDate,IF($R10=0,$X10,IF(AND($T10&lt;&gt;"",EDATE($D10,Milestones!$AA$111)&gt;=$T10),$W10,IF(AND($S10&lt;&gt;"",EDATE($D10,Milestones!$AA$111)&gt;=$S10),$V10,$U10)))=Milestones!$AB$111),UPPER(TEXT(EDATE($D10,Milestones!$AA$111),"dd mmm yy"))&amp;" "&amp;Milestones!$AB$111&amp;" "&amp;Milestones!$AC$111&amp;";  ","")&amp;IF(AND(EDATE($D10,Milestones!$AA$112)&lt;=AsOfDate,IF($R10=0,$X10,IF(AND($T10&lt;&gt;"",EDATE($D10,Milestones!$AA$112)&gt;=$T10),$W10,IF(AND($S10&lt;&gt;"",EDATE($D10,Milestones!$AA$112)&gt;=$S10),$V10,$U10)))=Milestones!$AB$112),UPPER(TEXT(EDATE($D10,Milestones!$AA$112),"dd mmm yy"))&amp;" "&amp;Milestones!$AB$112&amp;" "&amp;Milestones!$AC$112&amp;";  ","")&amp;IF(AND(EDATE($D10,Milestones!$AA$113)&lt;=AsOfDate,IF($R10=0,$X10,IF(AND($T10&lt;&gt;"",EDATE($D10,Milestones!$AA$113)&gt;=$T10),$W10,IF(AND($S10&lt;&gt;"",EDATE($D10,Milestones!$AA$113)&gt;=$S10),$V10,$U10)))=Milestones!$AB$113),UPPER(TEXT(EDATE($D10,Milestones!$AA$113),"dd mmm yy"))&amp;" "&amp;Milestones!$AB$113&amp;" "&amp;Milestones!$AC$113&amp;";  ","")&amp;IF(AND(EDATE($D10,Milestones!$AA$114)&lt;=AsOfDate,IF($R10=0,$X10,IF(AND($T10&lt;&gt;"",EDATE($D10,Milestones!$AA$114)&gt;=$T10),$W10,IF(AND($S10&lt;&gt;"",EDATE($D10,Milestones!$AA$114)&gt;=$S10),$V10,$U10)))=Milestones!$AB$114),UPPER(TEXT(EDATE($D10,Milestones!$AA$114),"dd mmm yy"))&amp;" "&amp;Milestones!$AB$114&amp;" "&amp;Milestones!$AC$114&amp;";  ","")&amp;IF(AND(EDATE($D10,Milestones!$AA$115)&lt;=AsOfDate,IF($R10=0,$X10,IF(AND($T10&lt;&gt;"",EDATE($D10,Milestones!$AA$115)&gt;=$T10),$W10,IF(AND($S10&lt;&gt;"",EDATE($D10,Milestones!$AA$115)&gt;=$S10),$V10,$U10)))=Milestones!$AB$115),UPPER(TEXT(EDATE($D10,Milestones!$AA$115),"dd mmm yy"))&amp;" "&amp;Milestones!$AB$115&amp;" "&amp;Milestones!$AC$115&amp;";  ","")&amp;IF(AND(EDATE($D10,Milestones!$AA$116)&lt;=AsOfDate,IF($R10=0,$X10,IF(AND($T10&lt;&gt;"",EDATE($D10,Milestones!$AA$116)&gt;=$T10),$W10,IF(AND($S10&lt;&gt;"",EDATE($D10,Milestones!$AA$116)&gt;=$S10),$V10,$U10)))=Milestones!$AB$116),UPPER(TEXT(EDATE($D10,Milestones!$AA$116),"dd mmm yy"))&amp;" "&amp;Milestones!$AB$116&amp;" "&amp;Milestones!$AC$116&amp;";  ","")&amp;IF(AND(EDATE($D10,Milestones!$AA$117)&lt;=AsOfDate,IF($R10=0,$X10,IF(AND($T10&lt;&gt;"",EDATE($D10,Milestones!$AA$117)&gt;=$T10),$W10,IF(AND($S10&lt;&gt;"",EDATE($D10,Milestones!$AA$117)&gt;=$S10),$V10,$U10)))=Milestones!$AB$117),UPPER(TEXT(EDATE($D10,Milestones!$AA$117),"dd mmm yy"))&amp;" "&amp;Milestones!$AB$117&amp;" "&amp;Milestones!$AC$117&amp;";  ","")&amp;IF(AND(EDATE($D10,Milestones!$AA$118)&lt;=AsOfDate,IF($R10=0,$X10,IF(AND($T10&lt;&gt;"",EDATE($D10,Milestones!$AA$118)&gt;=$T10),$W10,IF(AND($S10&lt;&gt;"",EDATE($D10,Milestones!$AA$118)&gt;=$S10),$V10,$U10)))=Milestones!$AB$118),UPPER(TEXT(EDATE($D10,Milestones!$AA$118),"dd mmm yy"))&amp;" "&amp;Milestones!$AB$118&amp;" "&amp;Milestones!$AC$118&amp;";  ","")&amp;IF(AND(EDATE($D10,Milestones!$AA$119)&lt;=AsOfDate,IF($R10=0,$X10,IF(AND($T10&lt;&gt;"",EDATE($D10,Milestones!$AA$119)&gt;=$T10),$W10,IF(AND($S10&lt;&gt;"",EDATE($D10,Milestones!$AA$119)&gt;=$S10),$V10,$U10)))=Milestones!$AB$119),UPPER(TEXT(EDATE($D10,Milestones!$AA$119),"dd mmm yy"))&amp;" "&amp;Milestones!$AB$119&amp;" "&amp;Milestones!$AC$119&amp;";  ",""))</f>
        <v/>
      </c>
      <c r="N10" s="0" t="str">
        <f aca="false">IF(OR($A10="",$D10=""),"",IF(AND(EDATE($D10,Milestones!$AA$120)&lt;=AsOfDate,IF($R10=0,$X10,IF(AND($T10&lt;&gt;"",EDATE($D10,Milestones!$AA$120)&gt;=$T10),$W10,IF(AND($S10&lt;&gt;"",EDATE($D10,Milestones!$AA$120)&gt;=$S10),$V10,$U10)))=Milestones!$AB$120),UPPER(TEXT(EDATE($D10,Milestones!$AA$120),"dd mmm yy"))&amp;" "&amp;Milestones!$AB$120&amp;" "&amp;Milestones!$AC$120&amp;";  ","")&amp;IF(AND(EDATE($D10,Milestones!$AA$121)&lt;=AsOfDate,IF($R10=0,$X10,IF(AND($T10&lt;&gt;"",EDATE($D10,Milestones!$AA$121)&gt;=$T10),$W10,IF(AND($S10&lt;&gt;"",EDATE($D10,Milestones!$AA$121)&gt;=$S10),$V10,$U10)))=Milestones!$AB$121),UPPER(TEXT(EDATE($D10,Milestones!$AA$121),"dd mmm yy"))&amp;" "&amp;Milestones!$AB$121&amp;" "&amp;Milestones!$AC$121&amp;";  ","")&amp;IF(AND(EDATE($D10,Milestones!$AA$122)&lt;=AsOfDate,IF($R10=0,$X10,IF(AND($T10&lt;&gt;"",EDATE($D10,Milestones!$AA$122)&gt;=$T10),$W10,IF(AND($S10&lt;&gt;"",EDATE($D10,Milestones!$AA$122)&gt;=$S10),$V10,$U10)))=Milestones!$AB$122),UPPER(TEXT(EDATE($D10,Milestones!$AA$122),"dd mmm yy"))&amp;" "&amp;Milestones!$AB$122&amp;" "&amp;Milestones!$AC$122&amp;";  ","")&amp;IF(AND(EDATE($D10,Milestones!$AA$123)&lt;=AsOfDate,IF($R10=0,$X10,IF(AND($T10&lt;&gt;"",EDATE($D10,Milestones!$AA$123)&gt;=$T10),$W10,IF(AND($S10&lt;&gt;"",EDATE($D10,Milestones!$AA$123)&gt;=$S10),$V10,$U10)))=Milestones!$AB$123),UPPER(TEXT(EDATE($D10,Milestones!$AA$123),"dd mmm yy"))&amp;" "&amp;Milestones!$AB$123&amp;" "&amp;Milestones!$AC$123&amp;";  ","")&amp;IF(AND(EDATE($D10,Milestones!$AA$124)&lt;=AsOfDate,IF($R10=0,$X10,IF(AND($T10&lt;&gt;"",EDATE($D10,Milestones!$AA$124)&gt;=$T10),$W10,IF(AND($S10&lt;&gt;"",EDATE($D10,Milestones!$AA$124)&gt;=$S10),$V10,$U10)))=Milestones!$AB$124),UPPER(TEXT(EDATE($D10,Milestones!$AA$124),"dd mmm yy"))&amp;" "&amp;Milestones!$AB$124&amp;" "&amp;Milestones!$AC$124&amp;";  ","")&amp;IF(AND(EDATE($D10,Milestones!$AA$125)&lt;=AsOfDate,IF($R10=0,$X10,IF(AND($T10&lt;&gt;"",EDATE($D10,Milestones!$AA$125)&gt;=$T10),$W10,IF(AND($S10&lt;&gt;"",EDATE($D10,Milestones!$AA$125)&gt;=$S10),$V10,$U10)))=Milestones!$AB$125),UPPER(TEXT(EDATE($D10,Milestones!$AA$125),"dd mmm yy"))&amp;" "&amp;Milestones!$AB$125&amp;" "&amp;Milestones!$AC$125&amp;";  ","")&amp;IF(AND(EDATE($D10,Milestones!$AA$126)&lt;=AsOfDate,IF($R10=0,$X10,IF(AND($T10&lt;&gt;"",EDATE($D10,Milestones!$AA$126)&gt;=$T10),$W10,IF(AND($S10&lt;&gt;"",EDATE($D10,Milestones!$AA$126)&gt;=$S10),$V10,$U10)))=Milestones!$AB$126),UPPER(TEXT(EDATE($D10,Milestones!$AA$126),"dd mmm yy"))&amp;" "&amp;Milestones!$AB$126&amp;" "&amp;Milestones!$AC$126&amp;";  ","")&amp;IF(AND(EDATE($D10,Milestones!$AA$127)&lt;=AsOfDate,IF($R10=0,$X10,IF(AND($T10&lt;&gt;"",EDATE($D10,Milestones!$AA$127)&gt;=$T10),$W10,IF(AND($S10&lt;&gt;"",EDATE($D10,Milestones!$AA$127)&gt;=$S10),$V10,$U10)))=Milestones!$AB$127),UPPER(TEXT(EDATE($D10,Milestones!$AA$127),"dd mmm yy"))&amp;" "&amp;Milestones!$AB$127&amp;" "&amp;Milestones!$AC$127&amp;";  ","")&amp;IF(AND(EDATE($D10,Milestones!$AA$128)&lt;=AsOfDate,IF($R10=0,$X10,IF(AND($T10&lt;&gt;"",EDATE($D10,Milestones!$AA$128)&gt;=$T10),$W10,IF(AND($S10&lt;&gt;"",EDATE($D10,Milestones!$AA$128)&gt;=$S10),$V10,$U10)))=Milestones!$AB$128),UPPER(TEXT(EDATE($D10,Milestones!$AA$128),"dd mmm yy"))&amp;" "&amp;Milestones!$AB$128&amp;" "&amp;Milestones!$AC$128&amp;";  ","")&amp;IF(AND(EDATE($D10,Milestones!$AA$129)&lt;=AsOfDate,IF($R10=0,$X10,IF(AND($T10&lt;&gt;"",EDATE($D10,Milestones!$AA$129)&gt;=$T10),$W10,IF(AND($S10&lt;&gt;"",EDATE($D10,Milestones!$AA$129)&gt;=$S10),$V10,$U10)))=Milestones!$AB$129),UPPER(TEXT(EDATE($D10,Milestones!$AA$129),"dd mmm yy"))&amp;" "&amp;Milestones!$AB$129&amp;" "&amp;Milestones!$AC$129&amp;";  ","")&amp;IF(AND(EDATE($D10,Milestones!$AA$130)&lt;=AsOfDate,IF($R10=0,$X10,IF(AND($T10&lt;&gt;"",EDATE($D10,Milestones!$AA$130)&gt;=$T10),$W10,IF(AND($S10&lt;&gt;"",EDATE($D10,Milestones!$AA$130)&gt;=$S10),$V10,$U10)))=Milestones!$AB$130),UPPER(TEXT(EDATE($D10,Milestones!$AA$130),"dd mmm yy"))&amp;" "&amp;Milestones!$AB$130&amp;" "&amp;Milestones!$AC$130&amp;";  ","")&amp;IF(AND(EDATE($D10,Milestones!$AA$131)&lt;=AsOfDate,IF($R10=0,$X10,IF(AND($T10&lt;&gt;"",EDATE($D10,Milestones!$AA$131)&gt;=$T10),$W10,IF(AND($S10&lt;&gt;"",EDATE($D10,Milestones!$AA$131)&gt;=$S10),$V10,$U10)))=Milestones!$AB$131),UPPER(TEXT(EDATE($D10,Milestones!$AA$131),"dd mmm yy"))&amp;" "&amp;Milestones!$AB$131&amp;" "&amp;Milestones!$AC$131&amp;";  ","")&amp;IF(AND(EDATE($D10,Milestones!$AA$132)&lt;=AsOfDate,IF($R10=0,$X10,IF(AND($T10&lt;&gt;"",EDATE($D10,Milestones!$AA$132)&gt;=$T10),$W10,IF(AND($S10&lt;&gt;"",EDATE($D10,Milestones!$AA$132)&gt;=$S10),$V10,$U10)))=Milestones!$AB$132),UPPER(TEXT(EDATE($D10,Milestones!$AA$132),"dd mmm yy"))&amp;" "&amp;Milestones!$AB$132&amp;" "&amp;Milestones!$AC$132&amp;";  ","")&amp;IF(AND(EDATE($D10,Milestones!$AA$133)&lt;=AsOfDate,IF($R10=0,$X10,IF(AND($T10&lt;&gt;"",EDATE($D10,Milestones!$AA$133)&gt;=$T10),$W10,IF(AND($S10&lt;&gt;"",EDATE($D10,Milestones!$AA$133)&gt;=$S10),$V10,$U10)))=Milestones!$AB$133),UPPER(TEXT(EDATE($D10,Milestones!$AA$133),"dd mmm yy"))&amp;" "&amp;Milestones!$AB$133&amp;" "&amp;Milestones!$AC$133&amp;";  ","")&amp;IF(AND(EDATE($D10,Milestones!$AA$134)&lt;=AsOfDate,IF($R10=0,$X10,IF(AND($T10&lt;&gt;"",EDATE($D10,Milestones!$AA$134)&gt;=$T10),$W10,IF(AND($S10&lt;&gt;"",EDATE($D10,Milestones!$AA$134)&gt;=$S10),$V10,$U10)))=Milestones!$AB$134),UPPER(TEXT(EDATE($D10,Milestones!$AA$134),"dd mmm yy"))&amp;" "&amp;Milestones!$AB$134&amp;" "&amp;Milestones!$AC$134&amp;";  ","")&amp;IF(AND(EDATE($D10,Milestones!$AA$135)&lt;=AsOfDate,IF($R10=0,$X10,IF(AND($T10&lt;&gt;"",EDATE($D10,Milestones!$AA$135)&gt;=$T10),$W10,IF(AND($S10&lt;&gt;"",EDATE($D10,Milestones!$AA$135)&gt;=$S10),$V10,$U10)))=Milestones!$AB$135),UPPER(TEXT(EDATE($D10,Milestones!$AA$135),"dd mmm yy"))&amp;" "&amp;Milestones!$AB$135&amp;" "&amp;Milestones!$AC$135&amp;";  ","")&amp;IF(AND(EDATE($D10,Milestones!$AA$136)&lt;=AsOfDate,IF($R10=0,$X10,IF(AND($T10&lt;&gt;"",EDATE($D10,Milestones!$AA$136)&gt;=$T10),$W10,IF(AND($S10&lt;&gt;"",EDATE($D10,Milestones!$AA$136)&gt;=$S10),$V10,$U10)))=Milestones!$AB$136),UPPER(TEXT(EDATE($D10,Milestones!$AA$136),"dd mmm yy"))&amp;" "&amp;Milestones!$AB$136&amp;" "&amp;Milestones!$AC$136&amp;";  ","")&amp;IF(AND(EDATE($D10,Milestones!$AA$137)&lt;=AsOfDate,IF($R10=0,$X10,IF(AND($T10&lt;&gt;"",EDATE($D10,Milestones!$AA$137)&gt;=$T10),$W10,IF(AND($S10&lt;&gt;"",EDATE($D10,Milestones!$AA$137)&gt;=$S10),$V10,$U10)))=Milestones!$AB$137),UPPER(TEXT(EDATE($D10,Milestones!$AA$137),"dd mmm yy"))&amp;" "&amp;Milestones!$AB$137&amp;" "&amp;Milestones!$AC$137&amp;";  ","")&amp;IF(AND(EDATE($D10,Milestones!$AA$138)&lt;=AsOfDate,IF($R10=0,$X10,IF(AND($T10&lt;&gt;"",EDATE($D10,Milestones!$AA$138)&gt;=$T10),$W10,IF(AND($S10&lt;&gt;"",EDATE($D10,Milestones!$AA$138)&gt;=$S10),$V10,$U10)))=Milestones!$AB$138),UPPER(TEXT(EDATE($D10,Milestones!$AA$138),"dd mmm yy"))&amp;" "&amp;Milestones!$AB$138&amp;" "&amp;Milestones!$AC$138&amp;";  ","")&amp;IF(AND(EDATE($D10,Milestones!$AA$139)&lt;=AsOfDate,IF($R10=0,$X10,IF(AND($T10&lt;&gt;"",EDATE($D10,Milestones!$AA$139)&gt;=$T10),$W10,IF(AND($S10&lt;&gt;"",EDATE($D10,Milestones!$AA$139)&gt;=$S10),$V10,$U10)))=Milestones!$AB$139),UPPER(TEXT(EDATE($D10,Milestones!$AA$139),"dd mmm yy"))&amp;" "&amp;Milestones!$AB$139&amp;" "&amp;Milestones!$AC$139&amp;";  ",""))</f>
        <v/>
      </c>
      <c r="O10" s="0" t="str">
        <f aca="false">IF(OR($A10="",$D10=""),"",IF(AND(EDATE($D10,Milestones!$AA$140)&lt;=AsOfDate,IF($R10=0,$X10,IF(AND($T10&lt;&gt;"",EDATE($D10,Milestones!$AA$140)&gt;=$T10),$W10,IF(AND($S10&lt;&gt;"",EDATE($D10,Milestones!$AA$140)&gt;=$S10),$V10,$U10)))=Milestones!$AB$140),UPPER(TEXT(EDATE($D10,Milestones!$AA$140),"dd mmm yy"))&amp;" "&amp;Milestones!$AB$140&amp;" "&amp;Milestones!$AC$140&amp;";  ","")&amp;IF(AND(EDATE($D10,Milestones!$AA$141)&lt;=AsOfDate,IF($R10=0,$X10,IF(AND($T10&lt;&gt;"",EDATE($D10,Milestones!$AA$141)&gt;=$T10),$W10,IF(AND($S10&lt;&gt;"",EDATE($D10,Milestones!$AA$141)&gt;=$S10),$V10,$U10)))=Milestones!$AB$141),UPPER(TEXT(EDATE($D10,Milestones!$AA$141),"dd mmm yy"))&amp;" "&amp;Milestones!$AB$141&amp;" "&amp;Milestones!$AC$141&amp;";  ","")&amp;IF(AND(EDATE($D10,Milestones!$AA$142)&lt;=AsOfDate,IF($R10=0,$X10,IF(AND($T10&lt;&gt;"",EDATE($D10,Milestones!$AA$142)&gt;=$T10),$W10,IF(AND($S10&lt;&gt;"",EDATE($D10,Milestones!$AA$142)&gt;=$S10),$V10,$U10)))=Milestones!$AB$142),UPPER(TEXT(EDATE($D10,Milestones!$AA$142),"dd mmm yy"))&amp;" "&amp;Milestones!$AB$142&amp;" "&amp;Milestones!$AC$142&amp;";  ","")&amp;IF(AND(EDATE($D10,Milestones!$AA$143)&lt;=AsOfDate,IF($R10=0,$X10,IF(AND($T10&lt;&gt;"",EDATE($D10,Milestones!$AA$143)&gt;=$T10),$W10,IF(AND($S10&lt;&gt;"",EDATE($D10,Milestones!$AA$143)&gt;=$S10),$V10,$U10)))=Milestones!$AB$143),UPPER(TEXT(EDATE($D10,Milestones!$AA$143),"dd mmm yy"))&amp;" "&amp;Milestones!$AB$143&amp;" "&amp;Milestones!$AC$143&amp;";  ","")&amp;IF(AND(EDATE($D10,Milestones!$AA$144)&lt;=AsOfDate,IF($R10=0,$X10,IF(AND($T10&lt;&gt;"",EDATE($D10,Milestones!$AA$144)&gt;=$T10),$W10,IF(AND($S10&lt;&gt;"",EDATE($D10,Milestones!$AA$144)&gt;=$S10),$V10,$U10)))=Milestones!$AB$144),UPPER(TEXT(EDATE($D10,Milestones!$AA$144),"dd mmm yy"))&amp;" "&amp;Milestones!$AB$144&amp;" "&amp;Milestones!$AC$144&amp;";  ","")&amp;IF(AND(EDATE($D10,Milestones!$AA$145)&lt;=AsOfDate,IF($R10=0,$X10,IF(AND($T10&lt;&gt;"",EDATE($D10,Milestones!$AA$145)&gt;=$T10),$W10,IF(AND($S10&lt;&gt;"",EDATE($D10,Milestones!$AA$145)&gt;=$S10),$V10,$U10)))=Milestones!$AB$145),UPPER(TEXT(EDATE($D10,Milestones!$AA$145),"dd mmm yy"))&amp;" "&amp;Milestones!$AB$145&amp;" "&amp;Milestones!$AC$145&amp;";  ","")&amp;IF(AND(EDATE($D10,Milestones!$AA$146)&lt;=AsOfDate,IF($R10=0,$X10,IF(AND($T10&lt;&gt;"",EDATE($D10,Milestones!$AA$146)&gt;=$T10),$W10,IF(AND($S10&lt;&gt;"",EDATE($D10,Milestones!$AA$146)&gt;=$S10),$V10,$U10)))=Milestones!$AB$146),UPPER(TEXT(EDATE($D10,Milestones!$AA$146),"dd mmm yy"))&amp;" "&amp;Milestones!$AB$146&amp;" "&amp;Milestones!$AC$146&amp;";  ","")&amp;IF(AND(EDATE($D10,Milestones!$AA$147)&lt;=AsOfDate,IF($R10=0,$X10,IF(AND($T10&lt;&gt;"",EDATE($D10,Milestones!$AA$147)&gt;=$T10),$W10,IF(AND($S10&lt;&gt;"",EDATE($D10,Milestones!$AA$147)&gt;=$S10),$V10,$U10)))=Milestones!$AB$147),UPPER(TEXT(EDATE($D10,Milestones!$AA$147),"dd mmm yy"))&amp;" "&amp;Milestones!$AB$147&amp;" "&amp;Milestones!$AC$147&amp;";  ","")&amp;IF(AND(EDATE($D10,Milestones!$AA$148)&lt;=AsOfDate,IF($R10=0,$X10,IF(AND($T10&lt;&gt;"",EDATE($D10,Milestones!$AA$148)&gt;=$T10),$W10,IF(AND($S10&lt;&gt;"",EDATE($D10,Milestones!$AA$148)&gt;=$S10),$V10,$U10)))=Milestones!$AB$148),UPPER(TEXT(EDATE($D10,Milestones!$AA$148),"dd mmm yy"))&amp;" "&amp;Milestones!$AB$148&amp;" "&amp;Milestones!$AC$148&amp;";  ","")&amp;IF(AND(EDATE($D10,Milestones!$AA$149)&lt;=AsOfDate,IF($R10=0,$X10,IF(AND($T10&lt;&gt;"",EDATE($D10,Milestones!$AA$149)&gt;=$T10),$W10,IF(AND($S10&lt;&gt;"",EDATE($D10,Milestones!$AA$149)&gt;=$S10),$V10,$U10)))=Milestones!$AB$149),UPPER(TEXT(EDATE($D10,Milestones!$AA$149),"dd mmm yy"))&amp;" "&amp;Milestones!$AB$149&amp;" "&amp;Milestones!$AC$149&amp;";  ","")&amp;IF(AND(EDATE($D10,Milestones!$AA$150)&lt;=AsOfDate,IF($R10=0,$X10,IF(AND($T10&lt;&gt;"",EDATE($D10,Milestones!$AA$150)&gt;=$T10),$W10,IF(AND($S10&lt;&gt;"",EDATE($D10,Milestones!$AA$150)&gt;=$S10),$V10,$U10)))=Milestones!$AB$150),UPPER(TEXT(EDATE($D10,Milestones!$AA$150),"dd mmm yy"))&amp;" "&amp;Milestones!$AB$150&amp;" "&amp;Milestones!$AC$150&amp;";  ","")&amp;IF(AND(EDATE($D10,Milestones!$AA$151)&lt;=AsOfDate,IF($R10=0,$X10,IF(AND($T10&lt;&gt;"",EDATE($D10,Milestones!$AA$151)&gt;=$T10),$W10,IF(AND($S10&lt;&gt;"",EDATE($D10,Milestones!$AA$151)&gt;=$S10),$V10,$U10)))=Milestones!$AB$151),UPPER(TEXT(EDATE($D10,Milestones!$AA$151),"dd mmm yy"))&amp;" "&amp;Milestones!$AB$151&amp;" "&amp;Milestones!$AC$151&amp;";  ","")&amp;IF(AND(EDATE($D10,Milestones!$AA$152)&lt;=AsOfDate,IF($R10=0,$X10,IF(AND($T10&lt;&gt;"",EDATE($D10,Milestones!$AA$152)&gt;=$T10),$W10,IF(AND($S10&lt;&gt;"",EDATE($D10,Milestones!$AA$152)&gt;=$S10),$V10,$U10)))=Milestones!$AB$152),UPPER(TEXT(EDATE($D10,Milestones!$AA$152),"dd mmm yy"))&amp;" "&amp;Milestones!$AB$152&amp;" "&amp;Milestones!$AC$152&amp;";  ","")&amp;IF(AND(EDATE($D10,Milestones!$AA$153)&lt;=AsOfDate,IF($R10=0,$X10,IF(AND($T10&lt;&gt;"",EDATE($D10,Milestones!$AA$153)&gt;=$T10),$W10,IF(AND($S10&lt;&gt;"",EDATE($D10,Milestones!$AA$153)&gt;=$S10),$V10,$U10)))=Milestones!$AB$153),UPPER(TEXT(EDATE($D10,Milestones!$AA$153),"dd mmm yy"))&amp;" "&amp;Milestones!$AB$153&amp;" "&amp;Milestones!$AC$153&amp;";  ","")&amp;IF(AND(EDATE($D10,Milestones!$AA$154)&lt;=AsOfDate,IF($R10=0,$X10,IF(AND($T10&lt;&gt;"",EDATE($D10,Milestones!$AA$154)&gt;=$T10),$W10,IF(AND($S10&lt;&gt;"",EDATE($D10,Milestones!$AA$154)&gt;=$S10),$V10,$U10)))=Milestones!$AB$154),UPPER(TEXT(EDATE($D10,Milestones!$AA$154),"dd mmm yy"))&amp;" "&amp;Milestones!$AB$154&amp;" "&amp;Milestones!$AC$154&amp;";  ","")&amp;IF(AND(EDATE($D10,Milestones!$AA$155)&lt;=AsOfDate,IF($R10=0,$X10,IF(AND($T10&lt;&gt;"",EDATE($D10,Milestones!$AA$155)&gt;=$T10),$W10,IF(AND($S10&lt;&gt;"",EDATE($D10,Milestones!$AA$155)&gt;=$S10),$V10,$U10)))=Milestones!$AB$155),UPPER(TEXT(EDATE($D10,Milestones!$AA$155),"dd mmm yy"))&amp;" "&amp;Milestones!$AB$155&amp;" "&amp;Milestones!$AC$155&amp;";  ","")&amp;IF(AND(EDATE($D10,Milestones!$AA$156)&lt;=AsOfDate,IF($R10=0,$X10,IF(AND($T10&lt;&gt;"",EDATE($D10,Milestones!$AA$156)&gt;=$T10),$W10,IF(AND($S10&lt;&gt;"",EDATE($D10,Milestones!$AA$156)&gt;=$S10),$V10,$U10)))=Milestones!$AB$156),UPPER(TEXT(EDATE($D10,Milestones!$AA$156),"dd mmm yy"))&amp;" "&amp;Milestones!$AB$156&amp;" "&amp;Milestones!$AC$156&amp;";  ","")&amp;IF(AND(EDATE($D10,Milestones!$AA$157)&lt;=AsOfDate,IF($R10=0,$X10,IF(AND($T10&lt;&gt;"",EDATE($D10,Milestones!$AA$157)&gt;=$T10),$W10,IF(AND($S10&lt;&gt;"",EDATE($D10,Milestones!$AA$157)&gt;=$S10),$V10,$U10)))=Milestones!$AB$157),UPPER(TEXT(EDATE($D10,Milestones!$AA$157),"dd mmm yy"))&amp;" "&amp;Milestones!$AB$157&amp;" "&amp;Milestones!$AC$157&amp;";  ","")&amp;IF(AND(EDATE($D10,Milestones!$AA$158)&lt;=AsOfDate,IF($R10=0,$X10,IF(AND($T10&lt;&gt;"",EDATE($D10,Milestones!$AA$158)&gt;=$T10),$W10,IF(AND($S10&lt;&gt;"",EDATE($D10,Milestones!$AA$158)&gt;=$S10),$V10,$U10)))=Milestones!$AB$158),UPPER(TEXT(EDATE($D10,Milestones!$AA$158),"dd mmm yy"))&amp;" "&amp;Milestones!$AB$158&amp;" "&amp;Milestones!$AC$158&amp;";  ","")&amp;IF(AND(EDATE($D10,Milestones!$AA$159)&lt;=AsOfDate,IF($R10=0,$X10,IF(AND($T10&lt;&gt;"",EDATE($D10,Milestones!$AA$159)&gt;=$T10),$W10,IF(AND($S10&lt;&gt;"",EDATE($D10,Milestones!$AA$159)&gt;=$S10),$V10,$U10)))=Milestones!$AB$159),UPPER(TEXT(EDATE($D10,Milestones!$AA$159),"dd mmm yy"))&amp;" "&amp;Milestones!$AB$159&amp;" "&amp;Milestones!$AC$159&amp;";  ",""))</f>
        <v/>
      </c>
      <c r="P10" s="0" t="str">
        <f aca="false">IF(OR($A10="",$D10=""),"",IF(AND(EDATE($D10,Milestones!$AA$160)&lt;=AsOfDate,IF($R10=0,$X10,IF(AND($T10&lt;&gt;"",EDATE($D10,Milestones!$AA$160)&gt;=$T10),$W10,IF(AND($S10&lt;&gt;"",EDATE($D10,Milestones!$AA$160)&gt;=$S10),$V10,$U10)))=Milestones!$AB$160),UPPER(TEXT(EDATE($D10,Milestones!$AA$160),"dd mmm yy"))&amp;" "&amp;Milestones!$AB$160&amp;" "&amp;Milestones!$AC$160&amp;";  ","")&amp;IF(AND(EDATE($D10,Milestones!$AA$161)&lt;=AsOfDate,IF($R10=0,$X10,IF(AND($T10&lt;&gt;"",EDATE($D10,Milestones!$AA$161)&gt;=$T10),$W10,IF(AND($S10&lt;&gt;"",EDATE($D10,Milestones!$AA$161)&gt;=$S10),$V10,$U10)))=Milestones!$AB$161),UPPER(TEXT(EDATE($D10,Milestones!$AA$161),"dd mmm yy"))&amp;" "&amp;Milestones!$AB$161&amp;" "&amp;Milestones!$AC$161&amp;";  ","")&amp;IF(AND(EDATE($D10,Milestones!$AA$162)&lt;=AsOfDate,IF($R10=0,$X10,IF(AND($T10&lt;&gt;"",EDATE($D10,Milestones!$AA$162)&gt;=$T10),$W10,IF(AND($S10&lt;&gt;"",EDATE($D10,Milestones!$AA$162)&gt;=$S10),$V10,$U10)))=Milestones!$AB$162),UPPER(TEXT(EDATE($D10,Milestones!$AA$162),"dd mmm yy"))&amp;" "&amp;Milestones!$AB$162&amp;" "&amp;Milestones!$AC$162&amp;";  ","")&amp;IF(AND(EDATE($D10,Milestones!$AA$163)&lt;=AsOfDate,IF($R10=0,$X10,IF(AND($T10&lt;&gt;"",EDATE($D10,Milestones!$AA$163)&gt;=$T10),$W10,IF(AND($S10&lt;&gt;"",EDATE($D10,Milestones!$AA$163)&gt;=$S10),$V10,$U10)))=Milestones!$AB$163),UPPER(TEXT(EDATE($D10,Milestones!$AA$163),"dd mmm yy"))&amp;" "&amp;Milestones!$AB$163&amp;" "&amp;Milestones!$AC$163&amp;";  ","")&amp;IF(AND(EDATE($D10,Milestones!$AA$164)&lt;=AsOfDate,IF($R10=0,$X10,IF(AND($T10&lt;&gt;"",EDATE($D10,Milestones!$AA$164)&gt;=$T10),$W10,IF(AND($S10&lt;&gt;"",EDATE($D10,Milestones!$AA$164)&gt;=$S10),$V10,$U10)))=Milestones!$AB$164),UPPER(TEXT(EDATE($D10,Milestones!$AA$164),"dd mmm yy"))&amp;" "&amp;Milestones!$AB$164&amp;" "&amp;Milestones!$AC$164&amp;";  ","")&amp;IF(AND(EDATE($D10,Milestones!$AA$165)&lt;=AsOfDate,IF($R10=0,$X10,IF(AND($T10&lt;&gt;"",EDATE($D10,Milestones!$AA$165)&gt;=$T10),$W10,IF(AND($S10&lt;&gt;"",EDATE($D10,Milestones!$AA$165)&gt;=$S10),$V10,$U10)))=Milestones!$AB$165),UPPER(TEXT(EDATE($D10,Milestones!$AA$165),"dd mmm yy"))&amp;" "&amp;Milestones!$AB$165&amp;" "&amp;Milestones!$AC$165&amp;";  ","")&amp;IF(AND(EDATE($D10,Milestones!$AA$166)&lt;=AsOfDate,IF($R10=0,$X10,IF(AND($T10&lt;&gt;"",EDATE($D10,Milestones!$AA$166)&gt;=$T10),$W10,IF(AND($S10&lt;&gt;"",EDATE($D10,Milestones!$AA$166)&gt;=$S10),$V10,$U10)))=Milestones!$AB$166),UPPER(TEXT(EDATE($D10,Milestones!$AA$166),"dd mmm yy"))&amp;" "&amp;Milestones!$AB$166&amp;" "&amp;Milestones!$AC$166&amp;";  ","")&amp;IF(AND(EDATE($D10,Milestones!$AA$167)&lt;=AsOfDate,IF($R10=0,$X10,IF(AND($T10&lt;&gt;"",EDATE($D10,Milestones!$AA$167)&gt;=$T10),$W10,IF(AND($S10&lt;&gt;"",EDATE($D10,Milestones!$AA$167)&gt;=$S10),$V10,$U10)))=Milestones!$AB$167),UPPER(TEXT(EDATE($D10,Milestones!$AA$167),"dd mmm yy"))&amp;" "&amp;Milestones!$AB$167&amp;" "&amp;Milestones!$AC$167&amp;";  ","")&amp;IF(AND(EDATE($D10,Milestones!$AA$168)&lt;=AsOfDate,IF($R10=0,$X10,IF(AND($T10&lt;&gt;"",EDATE($D10,Milestones!$AA$168)&gt;=$T10),$W10,IF(AND($S10&lt;&gt;"",EDATE($D10,Milestones!$AA$168)&gt;=$S10),$V10,$U10)))=Milestones!$AB$168),UPPER(TEXT(EDATE($D10,Milestones!$AA$168),"dd mmm yy"))&amp;" "&amp;Milestones!$AB$168&amp;" "&amp;Milestones!$AC$168&amp;";  ","")&amp;IF(AND(EDATE($D10,Milestones!$AA$169)&lt;=AsOfDate,IF($R10=0,$X10,IF(AND($T10&lt;&gt;"",EDATE($D10,Milestones!$AA$169)&gt;=$T10),$W10,IF(AND($S10&lt;&gt;"",EDATE($D10,Milestones!$AA$169)&gt;=$S10),$V10,$U10)))=Milestones!$AB$169),UPPER(TEXT(EDATE($D10,Milestones!$AA$169),"dd mmm yy"))&amp;" "&amp;Milestones!$AB$169&amp;" "&amp;Milestones!$AC$169&amp;";  ","")&amp;IF(AND(EDATE($D10,Milestones!$AA$170)&lt;=AsOfDate,IF($R10=0,$X10,IF(AND($T10&lt;&gt;"",EDATE($D10,Milestones!$AA$170)&gt;=$T10),$W10,IF(AND($S10&lt;&gt;"",EDATE($D10,Milestones!$AA$170)&gt;=$S10),$V10,$U10)))=Milestones!$AB$170),UPPER(TEXT(EDATE($D10,Milestones!$AA$170),"dd mmm yy"))&amp;" "&amp;Milestones!$AB$170&amp;" "&amp;Milestones!$AC$170&amp;";  ","")&amp;IF(AND(EDATE($D10,Milestones!$AA$171)&lt;=AsOfDate,IF($R10=0,$X10,IF(AND($T10&lt;&gt;"",EDATE($D10,Milestones!$AA$171)&gt;=$T10),$W10,IF(AND($S10&lt;&gt;"",EDATE($D10,Milestones!$AA$171)&gt;=$S10),$V10,$U10)))=Milestones!$AB$171),UPPER(TEXT(EDATE($D10,Milestones!$AA$171),"dd mmm yy"))&amp;" "&amp;Milestones!$AB$171&amp;" "&amp;Milestones!$AC$171&amp;";  ","")&amp;IF(AND(EDATE($D10,Milestones!$AA$172)&lt;=AsOfDate,IF($R10=0,$X10,IF(AND($T10&lt;&gt;"",EDATE($D10,Milestones!$AA$172)&gt;=$T10),$W10,IF(AND($S10&lt;&gt;"",EDATE($D10,Milestones!$AA$172)&gt;=$S10),$V10,$U10)))=Milestones!$AB$172),UPPER(TEXT(EDATE($D10,Milestones!$AA$172),"dd mmm yy"))&amp;" "&amp;Milestones!$AB$172&amp;" "&amp;Milestones!$AC$172&amp;";  ","")&amp;IF(AND(EDATE($D10,Milestones!$AA$173)&lt;=AsOfDate,IF($R10=0,$X10,IF(AND($T10&lt;&gt;"",EDATE($D10,Milestones!$AA$173)&gt;=$T10),$W10,IF(AND($S10&lt;&gt;"",EDATE($D10,Milestones!$AA$173)&gt;=$S10),$V10,$U10)))=Milestones!$AB$173),UPPER(TEXT(EDATE($D10,Milestones!$AA$173),"dd mmm yy"))&amp;" "&amp;Milestones!$AB$173&amp;" "&amp;Milestones!$AC$173&amp;";  ","")&amp;IF(AND(EDATE($D10,Milestones!$AA$174)&lt;=AsOfDate,IF($R10=0,$X10,IF(AND($T10&lt;&gt;"",EDATE($D10,Milestones!$AA$174)&gt;=$T10),$W10,IF(AND($S10&lt;&gt;"",EDATE($D10,Milestones!$AA$174)&gt;=$S10),$V10,$U10)))=Milestones!$AB$174),UPPER(TEXT(EDATE($D10,Milestones!$AA$174),"dd mmm yy"))&amp;" "&amp;Milestones!$AB$174&amp;" "&amp;Milestones!$AC$174&amp;";  ","")&amp;IF(AND(EDATE($D10,Milestones!$AA$175)&lt;=AsOfDate,IF($R10=0,$X10,IF(AND($T10&lt;&gt;"",EDATE($D10,Milestones!$AA$175)&gt;=$T10),$W10,IF(AND($S10&lt;&gt;"",EDATE($D10,Milestones!$AA$175)&gt;=$S10),$V10,$U10)))=Milestones!$AB$175),UPPER(TEXT(EDATE($D10,Milestones!$AA$175),"dd mmm yy"))&amp;" "&amp;Milestones!$AB$175&amp;" "&amp;Milestones!$AC$175&amp;";  ","")&amp;IF(AND(EDATE($D10,Milestones!$AA$176)&lt;=AsOfDate,IF($R10=0,$X10,IF(AND($T10&lt;&gt;"",EDATE($D10,Milestones!$AA$176)&gt;=$T10),$W10,IF(AND($S10&lt;&gt;"",EDATE($D10,Milestones!$AA$176)&gt;=$S10),$V10,$U10)))=Milestones!$AB$176),UPPER(TEXT(EDATE($D10,Milestones!$AA$176),"dd mmm yy"))&amp;" "&amp;Milestones!$AB$176&amp;" "&amp;Milestones!$AC$176&amp;";  ","")&amp;IF(AND(EDATE($D10,Milestones!$AA$177)&lt;=AsOfDate,IF($R10=0,$X10,IF(AND($T10&lt;&gt;"",EDATE($D10,Milestones!$AA$177)&gt;=$T10),$W10,IF(AND($S10&lt;&gt;"",EDATE($D10,Milestones!$AA$177)&gt;=$S10),$V10,$U10)))=Milestones!$AB$177),UPPER(TEXT(EDATE($D10,Milestones!$AA$177),"dd mmm yy"))&amp;" "&amp;Milestones!$AB$177&amp;" "&amp;Milestones!$AC$177&amp;";  ","")&amp;IF(AND(EDATE($D10,Milestones!$AA$178)&lt;=AsOfDate,IF($R10=0,$X10,IF(AND($T10&lt;&gt;"",EDATE($D10,Milestones!$AA$178)&gt;=$T10),$W10,IF(AND($S10&lt;&gt;"",EDATE($D10,Milestones!$AA$178)&gt;=$S10),$V10,$U10)))=Milestones!$AB$178),UPPER(TEXT(EDATE($D10,Milestones!$AA$178),"dd mmm yy"))&amp;" "&amp;Milestones!$AB$178&amp;" "&amp;Milestones!$AC$178&amp;";  ","")&amp;IF(AND(EDATE($D10,Milestones!$AA$179)&lt;=AsOfDate,IF($R10=0,$X10,IF(AND($T10&lt;&gt;"",EDATE($D10,Milestones!$AA$179)&gt;=$T10),$W10,IF(AND($S10&lt;&gt;"",EDATE($D10,Milestones!$AA$179)&gt;=$S10),$V10,$U10)))=Milestones!$AB$179),UPPER(TEXT(EDATE($D10,Milestones!$AA$179),"dd mmm yy"))&amp;" "&amp;Milestones!$AB$179&amp;" "&amp;Milestones!$AC$179&amp;";  ",""))</f>
        <v/>
      </c>
      <c r="Q10" s="0" t="str">
        <f aca="false">IF(OR($A10="",$D10=""),"",IF(AND(EDATE($D10,Milestones!$AA$180)&lt;=AsOfDate,IF($R10=0,$X10,IF(AND($T10&lt;&gt;"",EDATE($D10,Milestones!$AA$180)&gt;=$T10),$W10,IF(AND($S10&lt;&gt;"",EDATE($D10,Milestones!$AA$180)&gt;=$S10),$V10,$U10)))=Milestones!$AB$180),UPPER(TEXT(EDATE($D10,Milestones!$AA$180),"dd mmm yy"))&amp;" "&amp;Milestones!$AB$180&amp;" "&amp;Milestones!$AC$180&amp;";  ","")&amp;IF(AND(EDATE($D10,Milestones!$AA$181)&lt;=AsOfDate,IF($R10=0,$X10,IF(AND($T10&lt;&gt;"",EDATE($D10,Milestones!$AA$181)&gt;=$T10),$W10,IF(AND($S10&lt;&gt;"",EDATE($D10,Milestones!$AA$181)&gt;=$S10),$V10,$U10)))=Milestones!$AB$181),UPPER(TEXT(EDATE($D10,Milestones!$AA$181),"dd mmm yy"))&amp;" "&amp;Milestones!$AB$181&amp;" "&amp;Milestones!$AC$181&amp;";  ","")&amp;IF(AND(EDATE($D10,Milestones!$AA$182)&lt;=AsOfDate,IF($R10=0,$X10,IF(AND($T10&lt;&gt;"",EDATE($D10,Milestones!$AA$182)&gt;=$T10),$W10,IF(AND($S10&lt;&gt;"",EDATE($D10,Milestones!$AA$182)&gt;=$S10),$V10,$U10)))=Milestones!$AB$182),UPPER(TEXT(EDATE($D10,Milestones!$AA$182),"dd mmm yy"))&amp;" "&amp;Milestones!$AB$182&amp;" "&amp;Milestones!$AC$182&amp;";  ","")&amp;IF(AND(EDATE($D10,Milestones!$AA$183)&lt;=AsOfDate,IF($R10=0,$X10,IF(AND($T10&lt;&gt;"",EDATE($D10,Milestones!$AA$183)&gt;=$T10),$W10,IF(AND($S10&lt;&gt;"",EDATE($D10,Milestones!$AA$183)&gt;=$S10),$V10,$U10)))=Milestones!$AB$183),UPPER(TEXT(EDATE($D10,Milestones!$AA$183),"dd mmm yy"))&amp;" "&amp;Milestones!$AB$183&amp;" "&amp;Milestones!$AC$183&amp;";  ","")&amp;IF(AND(EDATE($D10,Milestones!$AA$184)&lt;=AsOfDate,IF($R10=0,$X10,IF(AND($T10&lt;&gt;"",EDATE($D10,Milestones!$AA$184)&gt;=$T10),$W10,IF(AND($S10&lt;&gt;"",EDATE($D10,Milestones!$AA$184)&gt;=$S10),$V10,$U10)))=Milestones!$AB$184),UPPER(TEXT(EDATE($D10,Milestones!$AA$184),"dd mmm yy"))&amp;" "&amp;Milestones!$AB$184&amp;" "&amp;Milestones!$AC$184&amp;";  ","")&amp;IF(AND(EDATE($D10,Milestones!$AA$185)&lt;=AsOfDate,IF($R10=0,$X10,IF(AND($T10&lt;&gt;"",EDATE($D10,Milestones!$AA$185)&gt;=$T10),$W10,IF(AND($S10&lt;&gt;"",EDATE($D10,Milestones!$AA$185)&gt;=$S10),$V10,$U10)))=Milestones!$AB$185),UPPER(TEXT(EDATE($D10,Milestones!$AA$185),"dd mmm yy"))&amp;" "&amp;Milestones!$AB$185&amp;" "&amp;Milestones!$AC$185&amp;";  ","")&amp;IF(AND(EDATE($D10,Milestones!$AA$186)&lt;=AsOfDate,IF($R10=0,$X10,IF(AND($T10&lt;&gt;"",EDATE($D10,Milestones!$AA$186)&gt;=$T10),$W10,IF(AND($S10&lt;&gt;"",EDATE($D10,Milestones!$AA$186)&gt;=$S10),$V10,$U10)))=Milestones!$AB$186),UPPER(TEXT(EDATE($D10,Milestones!$AA$186),"dd mmm yy"))&amp;" "&amp;Milestones!$AB$186&amp;" "&amp;Milestones!$AC$186&amp;";  ","")&amp;IF(AND(EDATE($D10,Milestones!$AA$187)&lt;=AsOfDate,IF($R10=0,$X10,IF(AND($T10&lt;&gt;"",EDATE($D10,Milestones!$AA$187)&gt;=$T10),$W10,IF(AND($S10&lt;&gt;"",EDATE($D10,Milestones!$AA$187)&gt;=$S10),$V10,$U10)))=Milestones!$AB$187),UPPER(TEXT(EDATE($D10,Milestones!$AA$187),"dd mmm yy"))&amp;" "&amp;Milestones!$AB$187&amp;" "&amp;Milestones!$AC$187&amp;";  ","")&amp;IF(AND(EDATE($D10,Milestones!$AA$188)&lt;=AsOfDate,IF($R10=0,$X10,IF(AND($T10&lt;&gt;"",EDATE($D10,Milestones!$AA$188)&gt;=$T10),$W10,IF(AND($S10&lt;&gt;"",EDATE($D10,Milestones!$AA$188)&gt;=$S10),$V10,$U10)))=Milestones!$AB$188),UPPER(TEXT(EDATE($D10,Milestones!$AA$188),"dd mmm yy"))&amp;" "&amp;Milestones!$AB$188&amp;" "&amp;Milestones!$AC$188&amp;";  ","")&amp;IF(AND(EDATE($D10,Milestones!$AA$189)&lt;=AsOfDate,IF($R10=0,$X10,IF(AND($T10&lt;&gt;"",EDATE($D10,Milestones!$AA$189)&gt;=$T10),$W10,IF(AND($S10&lt;&gt;"",EDATE($D10,Milestones!$AA$189)&gt;=$S10),$V10,$U10)))=Milestones!$AB$189),UPPER(TEXT(EDATE($D10,Milestones!$AA$189),"dd mmm yy"))&amp;" "&amp;Milestones!$AB$189&amp;" "&amp;Milestones!$AC$189&amp;";  ","")&amp;IF(AND(EDATE($D10,Milestones!$AA$190)&lt;=AsOfDate,IF($R10=0,$X10,IF(AND($T10&lt;&gt;"",EDATE($D10,Milestones!$AA$190)&gt;=$T10),$W10,IF(AND($S10&lt;&gt;"",EDATE($D10,Milestones!$AA$190)&gt;=$S10),$V10,$U10)))=Milestones!$AB$190),UPPER(TEXT(EDATE($D10,Milestones!$AA$190),"dd mmm yy"))&amp;" "&amp;Milestones!$AB$190&amp;" "&amp;Milestones!$AC$190&amp;";  ","")&amp;IF(AND(EDATE($D10,Milestones!$AA$191)&lt;=AsOfDate,IF($R10=0,$X10,IF(AND($T10&lt;&gt;"",EDATE($D10,Milestones!$AA$191)&gt;=$T10),$W10,IF(AND($S10&lt;&gt;"",EDATE($D10,Milestones!$AA$191)&gt;=$S10),$V10,$U10)))=Milestones!$AB$191),UPPER(TEXT(EDATE($D10,Milestones!$AA$191),"dd mmm yy"))&amp;" "&amp;Milestones!$AB$191&amp;" "&amp;Milestones!$AC$191&amp;";  ","")&amp;IF(AND(EDATE($D10,Milestones!$AA$192)&lt;=AsOfDate,IF($R10=0,$X10,IF(AND($T10&lt;&gt;"",EDATE($D10,Milestones!$AA$192)&gt;=$T10),$W10,IF(AND($S10&lt;&gt;"",EDATE($D10,Milestones!$AA$192)&gt;=$S10),$V10,$U10)))=Milestones!$AB$192),UPPER(TEXT(EDATE($D10,Milestones!$AA$192),"dd mmm yy"))&amp;" "&amp;Milestones!$AB$192&amp;" "&amp;Milestones!$AC$192&amp;";  ","")&amp;IF(AND(EDATE($D10,Milestones!$AA$193)&lt;=AsOfDate,IF($R10=0,$X10,IF(AND($T10&lt;&gt;"",EDATE($D10,Milestones!$AA$193)&gt;=$T10),$W10,IF(AND($S10&lt;&gt;"",EDATE($D10,Milestones!$AA$193)&gt;=$S10),$V10,$U10)))=Milestones!$AB$193),UPPER(TEXT(EDATE($D10,Milestones!$AA$193),"dd mmm yy"))&amp;" "&amp;Milestones!$AB$193&amp;" "&amp;Milestones!$AC$193&amp;";  ","")&amp;IF(AND(EDATE($D10,Milestones!$AA$194)&lt;=AsOfDate,IF($R10=0,$X10,IF(AND($T10&lt;&gt;"",EDATE($D10,Milestones!$AA$194)&gt;=$T10),$W10,IF(AND($S10&lt;&gt;"",EDATE($D10,Milestones!$AA$194)&gt;=$S10),$V10,$U10)))=Milestones!$AB$194),UPPER(TEXT(EDATE($D10,Milestones!$AA$194),"dd mmm yy"))&amp;" "&amp;Milestones!$AB$194&amp;" "&amp;Milestones!$AC$194&amp;";  ","")&amp;IF(AND(EDATE($D10,Milestones!$AA$195)&lt;=AsOfDate,IF($R10=0,$X10,IF(AND($T10&lt;&gt;"",EDATE($D10,Milestones!$AA$195)&gt;=$T10),$W10,IF(AND($S10&lt;&gt;"",EDATE($D10,Milestones!$AA$195)&gt;=$S10),$V10,$U10)))=Milestones!$AB$195),UPPER(TEXT(EDATE($D10,Milestones!$AA$195),"dd mmm yy"))&amp;" "&amp;Milestones!$AB$195&amp;" "&amp;Milestones!$AC$195&amp;";  ","")&amp;IF(AND(EDATE($D10,Milestones!$AA$196)&lt;=AsOfDate,IF($R10=0,$X10,IF(AND($T10&lt;&gt;"",EDATE($D10,Milestones!$AA$196)&gt;=$T10),$W10,IF(AND($S10&lt;&gt;"",EDATE($D10,Milestones!$AA$196)&gt;=$S10),$V10,$U10)))=Milestones!$AB$196),UPPER(TEXT(EDATE($D10,Milestones!$AA$196),"dd mmm yy"))&amp;" "&amp;Milestones!$AB$196&amp;" "&amp;Milestones!$AC$196&amp;";  ","")&amp;IF(AND(EDATE($D10,Milestones!$AA$197)&lt;=AsOfDate,IF($R10=0,$X10,IF(AND($T10&lt;&gt;"",EDATE($D10,Milestones!$AA$197)&gt;=$T10),$W10,IF(AND($S10&lt;&gt;"",EDATE($D10,Milestones!$AA$197)&gt;=$S10),$V10,$U10)))=Milestones!$AB$197),UPPER(TEXT(EDATE($D10,Milestones!$AA$197),"dd mmm yy"))&amp;" "&amp;Milestones!$AB$197&amp;" "&amp;Milestones!$AC$197&amp;";  ","")&amp;IF(AND(EDATE($D10,Milestones!$AA$198)&lt;=AsOfDate,IF($R10=0,$X10,IF(AND($T10&lt;&gt;"",EDATE($D10,Milestones!$AA$198)&gt;=$T10),$W10,IF(AND($S10&lt;&gt;"",EDATE($D10,Milestones!$AA$198)&gt;=$S10),$V10,$U10)))=Milestones!$AB$198),UPPER(TEXT(EDATE($D10,Milestones!$AA$198),"dd mmm yy"))&amp;" "&amp;Milestones!$AB$198&amp;" "&amp;Milestones!$AC$198&amp;";  ","")&amp;IF(AND(EDATE($D10,Milestones!$AA$199)&lt;=AsOfDate,IF($R10=0,$X10,IF(AND($T10&lt;&gt;"",EDATE($D10,Milestones!$AA$199)&gt;=$T10),$W10,IF(AND($S10&lt;&gt;"",EDATE($D10,Milestones!$AA$199)&gt;=$S10),$V10,$U10)))=Milestones!$AB$199),UPPER(TEXT(EDATE($D10,Milestones!$AA$199),"dd mmm yy"))&amp;" "&amp;Milestones!$AB$199&amp;" "&amp;Milestones!$AC$199&amp;";  ",""))</f>
        <v/>
      </c>
      <c r="R10" s="0" t="str">
        <f aca="false">IF(Staff!$A10="","",Staff!$AI10)</f>
        <v/>
      </c>
      <c r="S10" s="0" t="str">
        <f aca="false">IF(Staff!$A10="","",Staff!$AK10)</f>
        <v/>
      </c>
      <c r="T10" s="0" t="str">
        <f aca="false">IF(Staff!$A10="","",Staff!$AL10)</f>
        <v/>
      </c>
      <c r="U10" s="0" t="str">
        <f aca="false">IF(Staff!$A10="","",Staff!$AP10)</f>
        <v/>
      </c>
      <c r="V10" s="0" t="str">
        <f aca="false">IF(Staff!$A10="","",Staff!$AQ10)</f>
        <v/>
      </c>
      <c r="W10" s="0" t="str">
        <f aca="false">IF(Staff!$A10="","",Staff!$AR10)</f>
        <v/>
      </c>
      <c r="X10" s="0" t="str">
        <f aca="false">IF(Staff!$A10="","",Staff!$AS10)</f>
        <v/>
      </c>
    </row>
    <row r="11" customFormat="false" ht="15" hidden="false" customHeight="false" outlineLevel="0" collapsed="false">
      <c r="A11" s="14" t="str">
        <f aca="false">IF(Staff!$A11="","",Staff!$A11)</f>
        <v/>
      </c>
      <c r="B11" s="14" t="str">
        <f aca="false">IF(Staff!$A11="","",Staff!$B11)</f>
        <v/>
      </c>
      <c r="C11" s="14" t="str">
        <f aca="false">IF(Staff!$A11="","",Staff!$C11)</f>
        <v/>
      </c>
      <c r="D11" s="12" t="str">
        <f aca="false">IF(Staff!$A11="","",Staff!$AH11)</f>
        <v/>
      </c>
      <c r="E11" s="14" t="str">
        <f aca="false">IF(Staff!$A11="","",Staff!$O11)</f>
        <v/>
      </c>
      <c r="F11" s="14" t="str">
        <f aca="false">IF(E11="","",E11*HoursPerDay)</f>
        <v/>
      </c>
      <c r="G11" s="14" t="str">
        <f aca="false">IF(Staff!$A11="","",Staff!$AE11)</f>
        <v/>
      </c>
      <c r="H11" s="26" t="str">
        <f aca="false">IF($A11="","",I11&amp;J11&amp;K11&amp;L11&amp;M11&amp;N11&amp;O11&amp;P11&amp;Q11)</f>
        <v/>
      </c>
      <c r="I11" s="0" t="str">
        <f aca="false">IF(OR($A11="",$D11=""),"",IF(AND(EDATE($D11,Milestones!$AA$20)&lt;=AsOfDate,IF($R11=0,$X11,IF(AND($T11&lt;&gt;"",EDATE($D11,Milestones!$AA$20)&gt;=$T11),$W11,IF(AND($S11&lt;&gt;"",EDATE($D11,Milestones!$AA$20)&gt;=$S11),$V11,$U11)))=Milestones!$AB$20),UPPER(TEXT(EDATE($D11,Milestones!$AA$20),"dd mmm yy"))&amp;" "&amp;Milestones!$AB$20&amp;" "&amp;Milestones!$AC$20&amp;";  ","")&amp;IF(AND(EDATE($D11,Milestones!$AA$21)&lt;=AsOfDate,IF($R11=0,$X11,IF(AND($T11&lt;&gt;"",EDATE($D11,Milestones!$AA$21)&gt;=$T11),$W11,IF(AND($S11&lt;&gt;"",EDATE($D11,Milestones!$AA$21)&gt;=$S11),$V11,$U11)))=Milestones!$AB$21),UPPER(TEXT(EDATE($D11,Milestones!$AA$21),"dd mmm yy"))&amp;" "&amp;Milestones!$AB$21&amp;" "&amp;Milestones!$AC$21&amp;";  ","")&amp;IF(AND(EDATE($D11,Milestones!$AA$22)&lt;=AsOfDate,IF($R11=0,$X11,IF(AND($T11&lt;&gt;"",EDATE($D11,Milestones!$AA$22)&gt;=$T11),$W11,IF(AND($S11&lt;&gt;"",EDATE($D11,Milestones!$AA$22)&gt;=$S11),$V11,$U11)))=Milestones!$AB$22),UPPER(TEXT(EDATE($D11,Milestones!$AA$22),"dd mmm yy"))&amp;" "&amp;Milestones!$AB$22&amp;" "&amp;Milestones!$AC$22&amp;";  ","")&amp;IF(AND(EDATE($D11,Milestones!$AA$23)&lt;=AsOfDate,IF($R11=0,$X11,IF(AND($T11&lt;&gt;"",EDATE($D11,Milestones!$AA$23)&gt;=$T11),$W11,IF(AND($S11&lt;&gt;"",EDATE($D11,Milestones!$AA$23)&gt;=$S11),$V11,$U11)))=Milestones!$AB$23),UPPER(TEXT(EDATE($D11,Milestones!$AA$23),"dd mmm yy"))&amp;" "&amp;Milestones!$AB$23&amp;" "&amp;Milestones!$AC$23&amp;";  ","")&amp;IF(AND(EDATE($D11,Milestones!$AA$24)&lt;=AsOfDate,IF($R11=0,$X11,IF(AND($T11&lt;&gt;"",EDATE($D11,Milestones!$AA$24)&gt;=$T11),$W11,IF(AND($S11&lt;&gt;"",EDATE($D11,Milestones!$AA$24)&gt;=$S11),$V11,$U11)))=Milestones!$AB$24),UPPER(TEXT(EDATE($D11,Milestones!$AA$24),"dd mmm yy"))&amp;" "&amp;Milestones!$AB$24&amp;" "&amp;Milestones!$AC$24&amp;";  ","")&amp;IF(AND(EDATE($D11,Milestones!$AA$25)&lt;=AsOfDate,IF($R11=0,$X11,IF(AND($T11&lt;&gt;"",EDATE($D11,Milestones!$AA$25)&gt;=$T11),$W11,IF(AND($S11&lt;&gt;"",EDATE($D11,Milestones!$AA$25)&gt;=$S11),$V11,$U11)))=Milestones!$AB$25),UPPER(TEXT(EDATE($D11,Milestones!$AA$25),"dd mmm yy"))&amp;" "&amp;Milestones!$AB$25&amp;" "&amp;Milestones!$AC$25&amp;";  ","")&amp;IF(AND(EDATE($D11,Milestones!$AA$26)&lt;=AsOfDate,IF($R11=0,$X11,IF(AND($T11&lt;&gt;"",EDATE($D11,Milestones!$AA$26)&gt;=$T11),$W11,IF(AND($S11&lt;&gt;"",EDATE($D11,Milestones!$AA$26)&gt;=$S11),$V11,$U11)))=Milestones!$AB$26),UPPER(TEXT(EDATE($D11,Milestones!$AA$26),"dd mmm yy"))&amp;" "&amp;Milestones!$AB$26&amp;" "&amp;Milestones!$AC$26&amp;";  ","")&amp;IF(AND(EDATE($D11,Milestones!$AA$27)&lt;=AsOfDate,IF($R11=0,$X11,IF(AND($T11&lt;&gt;"",EDATE($D11,Milestones!$AA$27)&gt;=$T11),$W11,IF(AND($S11&lt;&gt;"",EDATE($D11,Milestones!$AA$27)&gt;=$S11),$V11,$U11)))=Milestones!$AB$27),UPPER(TEXT(EDATE($D11,Milestones!$AA$27),"dd mmm yy"))&amp;" "&amp;Milestones!$AB$27&amp;" "&amp;Milestones!$AC$27&amp;";  ","")&amp;IF(AND(EDATE($D11,Milestones!$AA$28)&lt;=AsOfDate,IF($R11=0,$X11,IF(AND($T11&lt;&gt;"",EDATE($D11,Milestones!$AA$28)&gt;=$T11),$W11,IF(AND($S11&lt;&gt;"",EDATE($D11,Milestones!$AA$28)&gt;=$S11),$V11,$U11)))=Milestones!$AB$28),UPPER(TEXT(EDATE($D11,Milestones!$AA$28),"dd mmm yy"))&amp;" "&amp;Milestones!$AB$28&amp;" "&amp;Milestones!$AC$28&amp;";  ","")&amp;IF(AND(EDATE($D11,Milestones!$AA$29)&lt;=AsOfDate,IF($R11=0,$X11,IF(AND($T11&lt;&gt;"",EDATE($D11,Milestones!$AA$29)&gt;=$T11),$W11,IF(AND($S11&lt;&gt;"",EDATE($D11,Milestones!$AA$29)&gt;=$S11),$V11,$U11)))=Milestones!$AB$29),UPPER(TEXT(EDATE($D11,Milestones!$AA$29),"dd mmm yy"))&amp;" "&amp;Milestones!$AB$29&amp;" "&amp;Milestones!$AC$29&amp;";  ","")&amp;IF(AND(EDATE($D11,Milestones!$AA$30)&lt;=AsOfDate,IF($R11=0,$X11,IF(AND($T11&lt;&gt;"",EDATE($D11,Milestones!$AA$30)&gt;=$T11),$W11,IF(AND($S11&lt;&gt;"",EDATE($D11,Milestones!$AA$30)&gt;=$S11),$V11,$U11)))=Milestones!$AB$30),UPPER(TEXT(EDATE($D11,Milestones!$AA$30),"dd mmm yy"))&amp;" "&amp;Milestones!$AB$30&amp;" "&amp;Milestones!$AC$30&amp;";  ","")&amp;IF(AND(EDATE($D11,Milestones!$AA$31)&lt;=AsOfDate,IF($R11=0,$X11,IF(AND($T11&lt;&gt;"",EDATE($D11,Milestones!$AA$31)&gt;=$T11),$W11,IF(AND($S11&lt;&gt;"",EDATE($D11,Milestones!$AA$31)&gt;=$S11),$V11,$U11)))=Milestones!$AB$31),UPPER(TEXT(EDATE($D11,Milestones!$AA$31),"dd mmm yy"))&amp;" "&amp;Milestones!$AB$31&amp;" "&amp;Milestones!$AC$31&amp;";  ","")&amp;IF(AND(EDATE($D11,Milestones!$AA$32)&lt;=AsOfDate,IF($R11=0,$X11,IF(AND($T11&lt;&gt;"",EDATE($D11,Milestones!$AA$32)&gt;=$T11),$W11,IF(AND($S11&lt;&gt;"",EDATE($D11,Milestones!$AA$32)&gt;=$S11),$V11,$U11)))=Milestones!$AB$32),UPPER(TEXT(EDATE($D11,Milestones!$AA$32),"dd mmm yy"))&amp;" "&amp;Milestones!$AB$32&amp;" "&amp;Milestones!$AC$32&amp;";  ","")&amp;IF(AND(EDATE($D11,Milestones!$AA$33)&lt;=AsOfDate,IF($R11=0,$X11,IF(AND($T11&lt;&gt;"",EDATE($D11,Milestones!$AA$33)&gt;=$T11),$W11,IF(AND($S11&lt;&gt;"",EDATE($D11,Milestones!$AA$33)&gt;=$S11),$V11,$U11)))=Milestones!$AB$33),UPPER(TEXT(EDATE($D11,Milestones!$AA$33),"dd mmm yy"))&amp;" "&amp;Milestones!$AB$33&amp;" "&amp;Milestones!$AC$33&amp;";  ","")&amp;IF(AND(EDATE($D11,Milestones!$AA$34)&lt;=AsOfDate,IF($R11=0,$X11,IF(AND($T11&lt;&gt;"",EDATE($D11,Milestones!$AA$34)&gt;=$T11),$W11,IF(AND($S11&lt;&gt;"",EDATE($D11,Milestones!$AA$34)&gt;=$S11),$V11,$U11)))=Milestones!$AB$34),UPPER(TEXT(EDATE($D11,Milestones!$AA$34),"dd mmm yy"))&amp;" "&amp;Milestones!$AB$34&amp;" "&amp;Milestones!$AC$34&amp;";  ","")&amp;IF(AND(EDATE($D11,Milestones!$AA$35)&lt;=AsOfDate,IF($R11=0,$X11,IF(AND($T11&lt;&gt;"",EDATE($D11,Milestones!$AA$35)&gt;=$T11),$W11,IF(AND($S11&lt;&gt;"",EDATE($D11,Milestones!$AA$35)&gt;=$S11),$V11,$U11)))=Milestones!$AB$35),UPPER(TEXT(EDATE($D11,Milestones!$AA$35),"dd mmm yy"))&amp;" "&amp;Milestones!$AB$35&amp;" "&amp;Milestones!$AC$35&amp;";  ","")&amp;IF(AND(EDATE($D11,Milestones!$AA$36)&lt;=AsOfDate,IF($R11=0,$X11,IF(AND($T11&lt;&gt;"",EDATE($D11,Milestones!$AA$36)&gt;=$T11),$W11,IF(AND($S11&lt;&gt;"",EDATE($D11,Milestones!$AA$36)&gt;=$S11),$V11,$U11)))=Milestones!$AB$36),UPPER(TEXT(EDATE($D11,Milestones!$AA$36),"dd mmm yy"))&amp;" "&amp;Milestones!$AB$36&amp;" "&amp;Milestones!$AC$36&amp;";  ","")&amp;IF(AND(EDATE($D11,Milestones!$AA$37)&lt;=AsOfDate,IF($R11=0,$X11,IF(AND($T11&lt;&gt;"",EDATE($D11,Milestones!$AA$37)&gt;=$T11),$W11,IF(AND($S11&lt;&gt;"",EDATE($D11,Milestones!$AA$37)&gt;=$S11),$V11,$U11)))=Milestones!$AB$37),UPPER(TEXT(EDATE($D11,Milestones!$AA$37),"dd mmm yy"))&amp;" "&amp;Milestones!$AB$37&amp;" "&amp;Milestones!$AC$37&amp;";  ","")&amp;IF(AND(EDATE($D11,Milestones!$AA$38)&lt;=AsOfDate,IF($R11=0,$X11,IF(AND($T11&lt;&gt;"",EDATE($D11,Milestones!$AA$38)&gt;=$T11),$W11,IF(AND($S11&lt;&gt;"",EDATE($D11,Milestones!$AA$38)&gt;=$S11),$V11,$U11)))=Milestones!$AB$38),UPPER(TEXT(EDATE($D11,Milestones!$AA$38),"dd mmm yy"))&amp;" "&amp;Milestones!$AB$38&amp;" "&amp;Milestones!$AC$38&amp;";  ","")&amp;IF(AND(EDATE($D11,Milestones!$AA$39)&lt;=AsOfDate,IF($R11=0,$X11,IF(AND($T11&lt;&gt;"",EDATE($D11,Milestones!$AA$39)&gt;=$T11),$W11,IF(AND($S11&lt;&gt;"",EDATE($D11,Milestones!$AA$39)&gt;=$S11),$V11,$U11)))=Milestones!$AB$39),UPPER(TEXT(EDATE($D11,Milestones!$AA$39),"dd mmm yy"))&amp;" "&amp;Milestones!$AB$39&amp;" "&amp;Milestones!$AC$39&amp;";  ",""))</f>
        <v/>
      </c>
      <c r="J11" s="0" t="str">
        <f aca="false">IF(OR($A11="",$D11=""),"",IF(AND(EDATE($D11,Milestones!$AA$40)&lt;=AsOfDate,IF($R11=0,$X11,IF(AND($T11&lt;&gt;"",EDATE($D11,Milestones!$AA$40)&gt;=$T11),$W11,IF(AND($S11&lt;&gt;"",EDATE($D11,Milestones!$AA$40)&gt;=$S11),$V11,$U11)))=Milestones!$AB$40),UPPER(TEXT(EDATE($D11,Milestones!$AA$40),"dd mmm yy"))&amp;" "&amp;Milestones!$AB$40&amp;" "&amp;Milestones!$AC$40&amp;";  ","")&amp;IF(AND(EDATE($D11,Milestones!$AA$41)&lt;=AsOfDate,IF($R11=0,$X11,IF(AND($T11&lt;&gt;"",EDATE($D11,Milestones!$AA$41)&gt;=$T11),$W11,IF(AND($S11&lt;&gt;"",EDATE($D11,Milestones!$AA$41)&gt;=$S11),$V11,$U11)))=Milestones!$AB$41),UPPER(TEXT(EDATE($D11,Milestones!$AA$41),"dd mmm yy"))&amp;" "&amp;Milestones!$AB$41&amp;" "&amp;Milestones!$AC$41&amp;";  ","")&amp;IF(AND(EDATE($D11,Milestones!$AA$42)&lt;=AsOfDate,IF($R11=0,$X11,IF(AND($T11&lt;&gt;"",EDATE($D11,Milestones!$AA$42)&gt;=$T11),$W11,IF(AND($S11&lt;&gt;"",EDATE($D11,Milestones!$AA$42)&gt;=$S11),$V11,$U11)))=Milestones!$AB$42),UPPER(TEXT(EDATE($D11,Milestones!$AA$42),"dd mmm yy"))&amp;" "&amp;Milestones!$AB$42&amp;" "&amp;Milestones!$AC$42&amp;";  ","")&amp;IF(AND(EDATE($D11,Milestones!$AA$43)&lt;=AsOfDate,IF($R11=0,$X11,IF(AND($T11&lt;&gt;"",EDATE($D11,Milestones!$AA$43)&gt;=$T11),$W11,IF(AND($S11&lt;&gt;"",EDATE($D11,Milestones!$AA$43)&gt;=$S11),$V11,$U11)))=Milestones!$AB$43),UPPER(TEXT(EDATE($D11,Milestones!$AA$43),"dd mmm yy"))&amp;" "&amp;Milestones!$AB$43&amp;" "&amp;Milestones!$AC$43&amp;";  ","")&amp;IF(AND(EDATE($D11,Milestones!$AA$44)&lt;=AsOfDate,IF($R11=0,$X11,IF(AND($T11&lt;&gt;"",EDATE($D11,Milestones!$AA$44)&gt;=$T11),$W11,IF(AND($S11&lt;&gt;"",EDATE($D11,Milestones!$AA$44)&gt;=$S11),$V11,$U11)))=Milestones!$AB$44),UPPER(TEXT(EDATE($D11,Milestones!$AA$44),"dd mmm yy"))&amp;" "&amp;Milestones!$AB$44&amp;" "&amp;Milestones!$AC$44&amp;";  ","")&amp;IF(AND(EDATE($D11,Milestones!$AA$45)&lt;=AsOfDate,IF($R11=0,$X11,IF(AND($T11&lt;&gt;"",EDATE($D11,Milestones!$AA$45)&gt;=$T11),$W11,IF(AND($S11&lt;&gt;"",EDATE($D11,Milestones!$AA$45)&gt;=$S11),$V11,$U11)))=Milestones!$AB$45),UPPER(TEXT(EDATE($D11,Milestones!$AA$45),"dd mmm yy"))&amp;" "&amp;Milestones!$AB$45&amp;" "&amp;Milestones!$AC$45&amp;";  ","")&amp;IF(AND(EDATE($D11,Milestones!$AA$46)&lt;=AsOfDate,IF($R11=0,$X11,IF(AND($T11&lt;&gt;"",EDATE($D11,Milestones!$AA$46)&gt;=$T11),$W11,IF(AND($S11&lt;&gt;"",EDATE($D11,Milestones!$AA$46)&gt;=$S11),$V11,$U11)))=Milestones!$AB$46),UPPER(TEXT(EDATE($D11,Milestones!$AA$46),"dd mmm yy"))&amp;" "&amp;Milestones!$AB$46&amp;" "&amp;Milestones!$AC$46&amp;";  ","")&amp;IF(AND(EDATE($D11,Milestones!$AA$47)&lt;=AsOfDate,IF($R11=0,$X11,IF(AND($T11&lt;&gt;"",EDATE($D11,Milestones!$AA$47)&gt;=$T11),$W11,IF(AND($S11&lt;&gt;"",EDATE($D11,Milestones!$AA$47)&gt;=$S11),$V11,$U11)))=Milestones!$AB$47),UPPER(TEXT(EDATE($D11,Milestones!$AA$47),"dd mmm yy"))&amp;" "&amp;Milestones!$AB$47&amp;" "&amp;Milestones!$AC$47&amp;";  ","")&amp;IF(AND(EDATE($D11,Milestones!$AA$48)&lt;=AsOfDate,IF($R11=0,$X11,IF(AND($T11&lt;&gt;"",EDATE($D11,Milestones!$AA$48)&gt;=$T11),$W11,IF(AND($S11&lt;&gt;"",EDATE($D11,Milestones!$AA$48)&gt;=$S11),$V11,$U11)))=Milestones!$AB$48),UPPER(TEXT(EDATE($D11,Milestones!$AA$48),"dd mmm yy"))&amp;" "&amp;Milestones!$AB$48&amp;" "&amp;Milestones!$AC$48&amp;";  ","")&amp;IF(AND(EDATE($D11,Milestones!$AA$49)&lt;=AsOfDate,IF($R11=0,$X11,IF(AND($T11&lt;&gt;"",EDATE($D11,Milestones!$AA$49)&gt;=$T11),$W11,IF(AND($S11&lt;&gt;"",EDATE($D11,Milestones!$AA$49)&gt;=$S11),$V11,$U11)))=Milestones!$AB$49),UPPER(TEXT(EDATE($D11,Milestones!$AA$49),"dd mmm yy"))&amp;" "&amp;Milestones!$AB$49&amp;" "&amp;Milestones!$AC$49&amp;";  ","")&amp;IF(AND(EDATE($D11,Milestones!$AA$50)&lt;=AsOfDate,IF($R11=0,$X11,IF(AND($T11&lt;&gt;"",EDATE($D11,Milestones!$AA$50)&gt;=$T11),$W11,IF(AND($S11&lt;&gt;"",EDATE($D11,Milestones!$AA$50)&gt;=$S11),$V11,$U11)))=Milestones!$AB$50),UPPER(TEXT(EDATE($D11,Milestones!$AA$50),"dd mmm yy"))&amp;" "&amp;Milestones!$AB$50&amp;" "&amp;Milestones!$AC$50&amp;";  ","")&amp;IF(AND(EDATE($D11,Milestones!$AA$51)&lt;=AsOfDate,IF($R11=0,$X11,IF(AND($T11&lt;&gt;"",EDATE($D11,Milestones!$AA$51)&gt;=$T11),$W11,IF(AND($S11&lt;&gt;"",EDATE($D11,Milestones!$AA$51)&gt;=$S11),$V11,$U11)))=Milestones!$AB$51),UPPER(TEXT(EDATE($D11,Milestones!$AA$51),"dd mmm yy"))&amp;" "&amp;Milestones!$AB$51&amp;" "&amp;Milestones!$AC$51&amp;";  ","")&amp;IF(AND(EDATE($D11,Milestones!$AA$52)&lt;=AsOfDate,IF($R11=0,$X11,IF(AND($T11&lt;&gt;"",EDATE($D11,Milestones!$AA$52)&gt;=$T11),$W11,IF(AND($S11&lt;&gt;"",EDATE($D11,Milestones!$AA$52)&gt;=$S11),$V11,$U11)))=Milestones!$AB$52),UPPER(TEXT(EDATE($D11,Milestones!$AA$52),"dd mmm yy"))&amp;" "&amp;Milestones!$AB$52&amp;" "&amp;Milestones!$AC$52&amp;";  ","")&amp;IF(AND(EDATE($D11,Milestones!$AA$53)&lt;=AsOfDate,IF($R11=0,$X11,IF(AND($T11&lt;&gt;"",EDATE($D11,Milestones!$AA$53)&gt;=$T11),$W11,IF(AND($S11&lt;&gt;"",EDATE($D11,Milestones!$AA$53)&gt;=$S11),$V11,$U11)))=Milestones!$AB$53),UPPER(TEXT(EDATE($D11,Milestones!$AA$53),"dd mmm yy"))&amp;" "&amp;Milestones!$AB$53&amp;" "&amp;Milestones!$AC$53&amp;";  ","")&amp;IF(AND(EDATE($D11,Milestones!$AA$54)&lt;=AsOfDate,IF($R11=0,$X11,IF(AND($T11&lt;&gt;"",EDATE($D11,Milestones!$AA$54)&gt;=$T11),$W11,IF(AND($S11&lt;&gt;"",EDATE($D11,Milestones!$AA$54)&gt;=$S11),$V11,$U11)))=Milestones!$AB$54),UPPER(TEXT(EDATE($D11,Milestones!$AA$54),"dd mmm yy"))&amp;" "&amp;Milestones!$AB$54&amp;" "&amp;Milestones!$AC$54&amp;";  ","")&amp;IF(AND(EDATE($D11,Milestones!$AA$55)&lt;=AsOfDate,IF($R11=0,$X11,IF(AND($T11&lt;&gt;"",EDATE($D11,Milestones!$AA$55)&gt;=$T11),$W11,IF(AND($S11&lt;&gt;"",EDATE($D11,Milestones!$AA$55)&gt;=$S11),$V11,$U11)))=Milestones!$AB$55),UPPER(TEXT(EDATE($D11,Milestones!$AA$55),"dd mmm yy"))&amp;" "&amp;Milestones!$AB$55&amp;" "&amp;Milestones!$AC$55&amp;";  ","")&amp;IF(AND(EDATE($D11,Milestones!$AA$56)&lt;=AsOfDate,IF($R11=0,$X11,IF(AND($T11&lt;&gt;"",EDATE($D11,Milestones!$AA$56)&gt;=$T11),$W11,IF(AND($S11&lt;&gt;"",EDATE($D11,Milestones!$AA$56)&gt;=$S11),$V11,$U11)))=Milestones!$AB$56),UPPER(TEXT(EDATE($D11,Milestones!$AA$56),"dd mmm yy"))&amp;" "&amp;Milestones!$AB$56&amp;" "&amp;Milestones!$AC$56&amp;";  ","")&amp;IF(AND(EDATE($D11,Milestones!$AA$57)&lt;=AsOfDate,IF($R11=0,$X11,IF(AND($T11&lt;&gt;"",EDATE($D11,Milestones!$AA$57)&gt;=$T11),$W11,IF(AND($S11&lt;&gt;"",EDATE($D11,Milestones!$AA$57)&gt;=$S11),$V11,$U11)))=Milestones!$AB$57),UPPER(TEXT(EDATE($D11,Milestones!$AA$57),"dd mmm yy"))&amp;" "&amp;Milestones!$AB$57&amp;" "&amp;Milestones!$AC$57&amp;";  ","")&amp;IF(AND(EDATE($D11,Milestones!$AA$58)&lt;=AsOfDate,IF($R11=0,$X11,IF(AND($T11&lt;&gt;"",EDATE($D11,Milestones!$AA$58)&gt;=$T11),$W11,IF(AND($S11&lt;&gt;"",EDATE($D11,Milestones!$AA$58)&gt;=$S11),$V11,$U11)))=Milestones!$AB$58),UPPER(TEXT(EDATE($D11,Milestones!$AA$58),"dd mmm yy"))&amp;" "&amp;Milestones!$AB$58&amp;" "&amp;Milestones!$AC$58&amp;";  ","")&amp;IF(AND(EDATE($D11,Milestones!$AA$59)&lt;=AsOfDate,IF($R11=0,$X11,IF(AND($T11&lt;&gt;"",EDATE($D11,Milestones!$AA$59)&gt;=$T11),$W11,IF(AND($S11&lt;&gt;"",EDATE($D11,Milestones!$AA$59)&gt;=$S11),$V11,$U11)))=Milestones!$AB$59),UPPER(TEXT(EDATE($D11,Milestones!$AA$59),"dd mmm yy"))&amp;" "&amp;Milestones!$AB$59&amp;" "&amp;Milestones!$AC$59&amp;";  ",""))</f>
        <v/>
      </c>
      <c r="K11" s="0" t="str">
        <f aca="false">IF(OR($A11="",$D11=""),"",IF(AND(EDATE($D11,Milestones!$AA$60)&lt;=AsOfDate,IF($R11=0,$X11,IF(AND($T11&lt;&gt;"",EDATE($D11,Milestones!$AA$60)&gt;=$T11),$W11,IF(AND($S11&lt;&gt;"",EDATE($D11,Milestones!$AA$60)&gt;=$S11),$V11,$U11)))=Milestones!$AB$60),UPPER(TEXT(EDATE($D11,Milestones!$AA$60),"dd mmm yy"))&amp;" "&amp;Milestones!$AB$60&amp;" "&amp;Milestones!$AC$60&amp;";  ","")&amp;IF(AND(EDATE($D11,Milestones!$AA$61)&lt;=AsOfDate,IF($R11=0,$X11,IF(AND($T11&lt;&gt;"",EDATE($D11,Milestones!$AA$61)&gt;=$T11),$W11,IF(AND($S11&lt;&gt;"",EDATE($D11,Milestones!$AA$61)&gt;=$S11),$V11,$U11)))=Milestones!$AB$61),UPPER(TEXT(EDATE($D11,Milestones!$AA$61),"dd mmm yy"))&amp;" "&amp;Milestones!$AB$61&amp;" "&amp;Milestones!$AC$61&amp;";  ","")&amp;IF(AND(EDATE($D11,Milestones!$AA$62)&lt;=AsOfDate,IF($R11=0,$X11,IF(AND($T11&lt;&gt;"",EDATE($D11,Milestones!$AA$62)&gt;=$T11),$W11,IF(AND($S11&lt;&gt;"",EDATE($D11,Milestones!$AA$62)&gt;=$S11),$V11,$U11)))=Milestones!$AB$62),UPPER(TEXT(EDATE($D11,Milestones!$AA$62),"dd mmm yy"))&amp;" "&amp;Milestones!$AB$62&amp;" "&amp;Milestones!$AC$62&amp;";  ","")&amp;IF(AND(EDATE($D11,Milestones!$AA$63)&lt;=AsOfDate,IF($R11=0,$X11,IF(AND($T11&lt;&gt;"",EDATE($D11,Milestones!$AA$63)&gt;=$T11),$W11,IF(AND($S11&lt;&gt;"",EDATE($D11,Milestones!$AA$63)&gt;=$S11),$V11,$U11)))=Milestones!$AB$63),UPPER(TEXT(EDATE($D11,Milestones!$AA$63),"dd mmm yy"))&amp;" "&amp;Milestones!$AB$63&amp;" "&amp;Milestones!$AC$63&amp;";  ","")&amp;IF(AND(EDATE($D11,Milestones!$AA$64)&lt;=AsOfDate,IF($R11=0,$X11,IF(AND($T11&lt;&gt;"",EDATE($D11,Milestones!$AA$64)&gt;=$T11),$W11,IF(AND($S11&lt;&gt;"",EDATE($D11,Milestones!$AA$64)&gt;=$S11),$V11,$U11)))=Milestones!$AB$64),UPPER(TEXT(EDATE($D11,Milestones!$AA$64),"dd mmm yy"))&amp;" "&amp;Milestones!$AB$64&amp;" "&amp;Milestones!$AC$64&amp;";  ","")&amp;IF(AND(EDATE($D11,Milestones!$AA$65)&lt;=AsOfDate,IF($R11=0,$X11,IF(AND($T11&lt;&gt;"",EDATE($D11,Milestones!$AA$65)&gt;=$T11),$W11,IF(AND($S11&lt;&gt;"",EDATE($D11,Milestones!$AA$65)&gt;=$S11),$V11,$U11)))=Milestones!$AB$65),UPPER(TEXT(EDATE($D11,Milestones!$AA$65),"dd mmm yy"))&amp;" "&amp;Milestones!$AB$65&amp;" "&amp;Milestones!$AC$65&amp;";  ","")&amp;IF(AND(EDATE($D11,Milestones!$AA$66)&lt;=AsOfDate,IF($R11=0,$X11,IF(AND($T11&lt;&gt;"",EDATE($D11,Milestones!$AA$66)&gt;=$T11),$W11,IF(AND($S11&lt;&gt;"",EDATE($D11,Milestones!$AA$66)&gt;=$S11),$V11,$U11)))=Milestones!$AB$66),UPPER(TEXT(EDATE($D11,Milestones!$AA$66),"dd mmm yy"))&amp;" "&amp;Milestones!$AB$66&amp;" "&amp;Milestones!$AC$66&amp;";  ","")&amp;IF(AND(EDATE($D11,Milestones!$AA$67)&lt;=AsOfDate,IF($R11=0,$X11,IF(AND($T11&lt;&gt;"",EDATE($D11,Milestones!$AA$67)&gt;=$T11),$W11,IF(AND($S11&lt;&gt;"",EDATE($D11,Milestones!$AA$67)&gt;=$S11),$V11,$U11)))=Milestones!$AB$67),UPPER(TEXT(EDATE($D11,Milestones!$AA$67),"dd mmm yy"))&amp;" "&amp;Milestones!$AB$67&amp;" "&amp;Milestones!$AC$67&amp;";  ","")&amp;IF(AND(EDATE($D11,Milestones!$AA$68)&lt;=AsOfDate,IF($R11=0,$X11,IF(AND($T11&lt;&gt;"",EDATE($D11,Milestones!$AA$68)&gt;=$T11),$W11,IF(AND($S11&lt;&gt;"",EDATE($D11,Milestones!$AA$68)&gt;=$S11),$V11,$U11)))=Milestones!$AB$68),UPPER(TEXT(EDATE($D11,Milestones!$AA$68),"dd mmm yy"))&amp;" "&amp;Milestones!$AB$68&amp;" "&amp;Milestones!$AC$68&amp;";  ","")&amp;IF(AND(EDATE($D11,Milestones!$AA$69)&lt;=AsOfDate,IF($R11=0,$X11,IF(AND($T11&lt;&gt;"",EDATE($D11,Milestones!$AA$69)&gt;=$T11),$W11,IF(AND($S11&lt;&gt;"",EDATE($D11,Milestones!$AA$69)&gt;=$S11),$V11,$U11)))=Milestones!$AB$69),UPPER(TEXT(EDATE($D11,Milestones!$AA$69),"dd mmm yy"))&amp;" "&amp;Milestones!$AB$69&amp;" "&amp;Milestones!$AC$69&amp;";  ","")&amp;IF(AND(EDATE($D11,Milestones!$AA$70)&lt;=AsOfDate,IF($R11=0,$X11,IF(AND($T11&lt;&gt;"",EDATE($D11,Milestones!$AA$70)&gt;=$T11),$W11,IF(AND($S11&lt;&gt;"",EDATE($D11,Milestones!$AA$70)&gt;=$S11),$V11,$U11)))=Milestones!$AB$70),UPPER(TEXT(EDATE($D11,Milestones!$AA$70),"dd mmm yy"))&amp;" "&amp;Milestones!$AB$70&amp;" "&amp;Milestones!$AC$70&amp;";  ","")&amp;IF(AND(EDATE($D11,Milestones!$AA$71)&lt;=AsOfDate,IF($R11=0,$X11,IF(AND($T11&lt;&gt;"",EDATE($D11,Milestones!$AA$71)&gt;=$T11),$W11,IF(AND($S11&lt;&gt;"",EDATE($D11,Milestones!$AA$71)&gt;=$S11),$V11,$U11)))=Milestones!$AB$71),UPPER(TEXT(EDATE($D11,Milestones!$AA$71),"dd mmm yy"))&amp;" "&amp;Milestones!$AB$71&amp;" "&amp;Milestones!$AC$71&amp;";  ","")&amp;IF(AND(EDATE($D11,Milestones!$AA$72)&lt;=AsOfDate,IF($R11=0,$X11,IF(AND($T11&lt;&gt;"",EDATE($D11,Milestones!$AA$72)&gt;=$T11),$W11,IF(AND($S11&lt;&gt;"",EDATE($D11,Milestones!$AA$72)&gt;=$S11),$V11,$U11)))=Milestones!$AB$72),UPPER(TEXT(EDATE($D11,Milestones!$AA$72),"dd mmm yy"))&amp;" "&amp;Milestones!$AB$72&amp;" "&amp;Milestones!$AC$72&amp;";  ","")&amp;IF(AND(EDATE($D11,Milestones!$AA$73)&lt;=AsOfDate,IF($R11=0,$X11,IF(AND($T11&lt;&gt;"",EDATE($D11,Milestones!$AA$73)&gt;=$T11),$W11,IF(AND($S11&lt;&gt;"",EDATE($D11,Milestones!$AA$73)&gt;=$S11),$V11,$U11)))=Milestones!$AB$73),UPPER(TEXT(EDATE($D11,Milestones!$AA$73),"dd mmm yy"))&amp;" "&amp;Milestones!$AB$73&amp;" "&amp;Milestones!$AC$73&amp;";  ","")&amp;IF(AND(EDATE($D11,Milestones!$AA$74)&lt;=AsOfDate,IF($R11=0,$X11,IF(AND($T11&lt;&gt;"",EDATE($D11,Milestones!$AA$74)&gt;=$T11),$W11,IF(AND($S11&lt;&gt;"",EDATE($D11,Milestones!$AA$74)&gt;=$S11),$V11,$U11)))=Milestones!$AB$74),UPPER(TEXT(EDATE($D11,Milestones!$AA$74),"dd mmm yy"))&amp;" "&amp;Milestones!$AB$74&amp;" "&amp;Milestones!$AC$74&amp;";  ","")&amp;IF(AND(EDATE($D11,Milestones!$AA$75)&lt;=AsOfDate,IF($R11=0,$X11,IF(AND($T11&lt;&gt;"",EDATE($D11,Milestones!$AA$75)&gt;=$T11),$W11,IF(AND($S11&lt;&gt;"",EDATE($D11,Milestones!$AA$75)&gt;=$S11),$V11,$U11)))=Milestones!$AB$75),UPPER(TEXT(EDATE($D11,Milestones!$AA$75),"dd mmm yy"))&amp;" "&amp;Milestones!$AB$75&amp;" "&amp;Milestones!$AC$75&amp;";  ","")&amp;IF(AND(EDATE($D11,Milestones!$AA$76)&lt;=AsOfDate,IF($R11=0,$X11,IF(AND($T11&lt;&gt;"",EDATE($D11,Milestones!$AA$76)&gt;=$T11),$W11,IF(AND($S11&lt;&gt;"",EDATE($D11,Milestones!$AA$76)&gt;=$S11),$V11,$U11)))=Milestones!$AB$76),UPPER(TEXT(EDATE($D11,Milestones!$AA$76),"dd mmm yy"))&amp;" "&amp;Milestones!$AB$76&amp;" "&amp;Milestones!$AC$76&amp;";  ","")&amp;IF(AND(EDATE($D11,Milestones!$AA$77)&lt;=AsOfDate,IF($R11=0,$X11,IF(AND($T11&lt;&gt;"",EDATE($D11,Milestones!$AA$77)&gt;=$T11),$W11,IF(AND($S11&lt;&gt;"",EDATE($D11,Milestones!$AA$77)&gt;=$S11),$V11,$U11)))=Milestones!$AB$77),UPPER(TEXT(EDATE($D11,Milestones!$AA$77),"dd mmm yy"))&amp;" "&amp;Milestones!$AB$77&amp;" "&amp;Milestones!$AC$77&amp;";  ","")&amp;IF(AND(EDATE($D11,Milestones!$AA$78)&lt;=AsOfDate,IF($R11=0,$X11,IF(AND($T11&lt;&gt;"",EDATE($D11,Milestones!$AA$78)&gt;=$T11),$W11,IF(AND($S11&lt;&gt;"",EDATE($D11,Milestones!$AA$78)&gt;=$S11),$V11,$U11)))=Milestones!$AB$78),UPPER(TEXT(EDATE($D11,Milestones!$AA$78),"dd mmm yy"))&amp;" "&amp;Milestones!$AB$78&amp;" "&amp;Milestones!$AC$78&amp;";  ","")&amp;IF(AND(EDATE($D11,Milestones!$AA$79)&lt;=AsOfDate,IF($R11=0,$X11,IF(AND($T11&lt;&gt;"",EDATE($D11,Milestones!$AA$79)&gt;=$T11),$W11,IF(AND($S11&lt;&gt;"",EDATE($D11,Milestones!$AA$79)&gt;=$S11),$V11,$U11)))=Milestones!$AB$79),UPPER(TEXT(EDATE($D11,Milestones!$AA$79),"dd mmm yy"))&amp;" "&amp;Milestones!$AB$79&amp;" "&amp;Milestones!$AC$79&amp;";  ",""))</f>
        <v/>
      </c>
      <c r="L11" s="0" t="str">
        <f aca="false">IF(OR($A11="",$D11=""),"",IF(AND(EDATE($D11,Milestones!$AA$80)&lt;=AsOfDate,IF($R11=0,$X11,IF(AND($T11&lt;&gt;"",EDATE($D11,Milestones!$AA$80)&gt;=$T11),$W11,IF(AND($S11&lt;&gt;"",EDATE($D11,Milestones!$AA$80)&gt;=$S11),$V11,$U11)))=Milestones!$AB$80),UPPER(TEXT(EDATE($D11,Milestones!$AA$80),"dd mmm yy"))&amp;" "&amp;Milestones!$AB$80&amp;" "&amp;Milestones!$AC$80&amp;";  ","")&amp;IF(AND(EDATE($D11,Milestones!$AA$81)&lt;=AsOfDate,IF($R11=0,$X11,IF(AND($T11&lt;&gt;"",EDATE($D11,Milestones!$AA$81)&gt;=$T11),$W11,IF(AND($S11&lt;&gt;"",EDATE($D11,Milestones!$AA$81)&gt;=$S11),$V11,$U11)))=Milestones!$AB$81),UPPER(TEXT(EDATE($D11,Milestones!$AA$81),"dd mmm yy"))&amp;" "&amp;Milestones!$AB$81&amp;" "&amp;Milestones!$AC$81&amp;";  ","")&amp;IF(AND(EDATE($D11,Milestones!$AA$82)&lt;=AsOfDate,IF($R11=0,$X11,IF(AND($T11&lt;&gt;"",EDATE($D11,Milestones!$AA$82)&gt;=$T11),$W11,IF(AND($S11&lt;&gt;"",EDATE($D11,Milestones!$AA$82)&gt;=$S11),$V11,$U11)))=Milestones!$AB$82),UPPER(TEXT(EDATE($D11,Milestones!$AA$82),"dd mmm yy"))&amp;" "&amp;Milestones!$AB$82&amp;" "&amp;Milestones!$AC$82&amp;";  ","")&amp;IF(AND(EDATE($D11,Milestones!$AA$83)&lt;=AsOfDate,IF($R11=0,$X11,IF(AND($T11&lt;&gt;"",EDATE($D11,Milestones!$AA$83)&gt;=$T11),$W11,IF(AND($S11&lt;&gt;"",EDATE($D11,Milestones!$AA$83)&gt;=$S11),$V11,$U11)))=Milestones!$AB$83),UPPER(TEXT(EDATE($D11,Milestones!$AA$83),"dd mmm yy"))&amp;" "&amp;Milestones!$AB$83&amp;" "&amp;Milestones!$AC$83&amp;";  ","")&amp;IF(AND(EDATE($D11,Milestones!$AA$84)&lt;=AsOfDate,IF($R11=0,$X11,IF(AND($T11&lt;&gt;"",EDATE($D11,Milestones!$AA$84)&gt;=$T11),$W11,IF(AND($S11&lt;&gt;"",EDATE($D11,Milestones!$AA$84)&gt;=$S11),$V11,$U11)))=Milestones!$AB$84),UPPER(TEXT(EDATE($D11,Milestones!$AA$84),"dd mmm yy"))&amp;" "&amp;Milestones!$AB$84&amp;" "&amp;Milestones!$AC$84&amp;";  ","")&amp;IF(AND(EDATE($D11,Milestones!$AA$85)&lt;=AsOfDate,IF($R11=0,$X11,IF(AND($T11&lt;&gt;"",EDATE($D11,Milestones!$AA$85)&gt;=$T11),$W11,IF(AND($S11&lt;&gt;"",EDATE($D11,Milestones!$AA$85)&gt;=$S11),$V11,$U11)))=Milestones!$AB$85),UPPER(TEXT(EDATE($D11,Milestones!$AA$85),"dd mmm yy"))&amp;" "&amp;Milestones!$AB$85&amp;" "&amp;Milestones!$AC$85&amp;";  ","")&amp;IF(AND(EDATE($D11,Milestones!$AA$86)&lt;=AsOfDate,IF($R11=0,$X11,IF(AND($T11&lt;&gt;"",EDATE($D11,Milestones!$AA$86)&gt;=$T11),$W11,IF(AND($S11&lt;&gt;"",EDATE($D11,Milestones!$AA$86)&gt;=$S11),$V11,$U11)))=Milestones!$AB$86),UPPER(TEXT(EDATE($D11,Milestones!$AA$86),"dd mmm yy"))&amp;" "&amp;Milestones!$AB$86&amp;" "&amp;Milestones!$AC$86&amp;";  ","")&amp;IF(AND(EDATE($D11,Milestones!$AA$87)&lt;=AsOfDate,IF($R11=0,$X11,IF(AND($T11&lt;&gt;"",EDATE($D11,Milestones!$AA$87)&gt;=$T11),$W11,IF(AND($S11&lt;&gt;"",EDATE($D11,Milestones!$AA$87)&gt;=$S11),$V11,$U11)))=Milestones!$AB$87),UPPER(TEXT(EDATE($D11,Milestones!$AA$87),"dd mmm yy"))&amp;" "&amp;Milestones!$AB$87&amp;" "&amp;Milestones!$AC$87&amp;";  ","")&amp;IF(AND(EDATE($D11,Milestones!$AA$88)&lt;=AsOfDate,IF($R11=0,$X11,IF(AND($T11&lt;&gt;"",EDATE($D11,Milestones!$AA$88)&gt;=$T11),$W11,IF(AND($S11&lt;&gt;"",EDATE($D11,Milestones!$AA$88)&gt;=$S11),$V11,$U11)))=Milestones!$AB$88),UPPER(TEXT(EDATE($D11,Milestones!$AA$88),"dd mmm yy"))&amp;" "&amp;Milestones!$AB$88&amp;" "&amp;Milestones!$AC$88&amp;";  ","")&amp;IF(AND(EDATE($D11,Milestones!$AA$89)&lt;=AsOfDate,IF($R11=0,$X11,IF(AND($T11&lt;&gt;"",EDATE($D11,Milestones!$AA$89)&gt;=$T11),$W11,IF(AND($S11&lt;&gt;"",EDATE($D11,Milestones!$AA$89)&gt;=$S11),$V11,$U11)))=Milestones!$AB$89),UPPER(TEXT(EDATE($D11,Milestones!$AA$89),"dd mmm yy"))&amp;" "&amp;Milestones!$AB$89&amp;" "&amp;Milestones!$AC$89&amp;";  ","")&amp;IF(AND(EDATE($D11,Milestones!$AA$90)&lt;=AsOfDate,IF($R11=0,$X11,IF(AND($T11&lt;&gt;"",EDATE($D11,Milestones!$AA$90)&gt;=$T11),$W11,IF(AND($S11&lt;&gt;"",EDATE($D11,Milestones!$AA$90)&gt;=$S11),$V11,$U11)))=Milestones!$AB$90),UPPER(TEXT(EDATE($D11,Milestones!$AA$90),"dd mmm yy"))&amp;" "&amp;Milestones!$AB$90&amp;" "&amp;Milestones!$AC$90&amp;";  ","")&amp;IF(AND(EDATE($D11,Milestones!$AA$91)&lt;=AsOfDate,IF($R11=0,$X11,IF(AND($T11&lt;&gt;"",EDATE($D11,Milestones!$AA$91)&gt;=$T11),$W11,IF(AND($S11&lt;&gt;"",EDATE($D11,Milestones!$AA$91)&gt;=$S11),$V11,$U11)))=Milestones!$AB$91),UPPER(TEXT(EDATE($D11,Milestones!$AA$91),"dd mmm yy"))&amp;" "&amp;Milestones!$AB$91&amp;" "&amp;Milestones!$AC$91&amp;";  ","")&amp;IF(AND(EDATE($D11,Milestones!$AA$92)&lt;=AsOfDate,IF($R11=0,$X11,IF(AND($T11&lt;&gt;"",EDATE($D11,Milestones!$AA$92)&gt;=$T11),$W11,IF(AND($S11&lt;&gt;"",EDATE($D11,Milestones!$AA$92)&gt;=$S11),$V11,$U11)))=Milestones!$AB$92),UPPER(TEXT(EDATE($D11,Milestones!$AA$92),"dd mmm yy"))&amp;" "&amp;Milestones!$AB$92&amp;" "&amp;Milestones!$AC$92&amp;";  ","")&amp;IF(AND(EDATE($D11,Milestones!$AA$93)&lt;=AsOfDate,IF($R11=0,$X11,IF(AND($T11&lt;&gt;"",EDATE($D11,Milestones!$AA$93)&gt;=$T11),$W11,IF(AND($S11&lt;&gt;"",EDATE($D11,Milestones!$AA$93)&gt;=$S11),$V11,$U11)))=Milestones!$AB$93),UPPER(TEXT(EDATE($D11,Milestones!$AA$93),"dd mmm yy"))&amp;" "&amp;Milestones!$AB$93&amp;" "&amp;Milestones!$AC$93&amp;";  ","")&amp;IF(AND(EDATE($D11,Milestones!$AA$94)&lt;=AsOfDate,IF($R11=0,$X11,IF(AND($T11&lt;&gt;"",EDATE($D11,Milestones!$AA$94)&gt;=$T11),$W11,IF(AND($S11&lt;&gt;"",EDATE($D11,Milestones!$AA$94)&gt;=$S11),$V11,$U11)))=Milestones!$AB$94),UPPER(TEXT(EDATE($D11,Milestones!$AA$94),"dd mmm yy"))&amp;" "&amp;Milestones!$AB$94&amp;" "&amp;Milestones!$AC$94&amp;";  ","")&amp;IF(AND(EDATE($D11,Milestones!$AA$95)&lt;=AsOfDate,IF($R11=0,$X11,IF(AND($T11&lt;&gt;"",EDATE($D11,Milestones!$AA$95)&gt;=$T11),$W11,IF(AND($S11&lt;&gt;"",EDATE($D11,Milestones!$AA$95)&gt;=$S11),$V11,$U11)))=Milestones!$AB$95),UPPER(TEXT(EDATE($D11,Milestones!$AA$95),"dd mmm yy"))&amp;" "&amp;Milestones!$AB$95&amp;" "&amp;Milestones!$AC$95&amp;";  ","")&amp;IF(AND(EDATE($D11,Milestones!$AA$96)&lt;=AsOfDate,IF($R11=0,$X11,IF(AND($T11&lt;&gt;"",EDATE($D11,Milestones!$AA$96)&gt;=$T11),$W11,IF(AND($S11&lt;&gt;"",EDATE($D11,Milestones!$AA$96)&gt;=$S11),$V11,$U11)))=Milestones!$AB$96),UPPER(TEXT(EDATE($D11,Milestones!$AA$96),"dd mmm yy"))&amp;" "&amp;Milestones!$AB$96&amp;" "&amp;Milestones!$AC$96&amp;";  ","")&amp;IF(AND(EDATE($D11,Milestones!$AA$97)&lt;=AsOfDate,IF($R11=0,$X11,IF(AND($T11&lt;&gt;"",EDATE($D11,Milestones!$AA$97)&gt;=$T11),$W11,IF(AND($S11&lt;&gt;"",EDATE($D11,Milestones!$AA$97)&gt;=$S11),$V11,$U11)))=Milestones!$AB$97),UPPER(TEXT(EDATE($D11,Milestones!$AA$97),"dd mmm yy"))&amp;" "&amp;Milestones!$AB$97&amp;" "&amp;Milestones!$AC$97&amp;";  ","")&amp;IF(AND(EDATE($D11,Milestones!$AA$98)&lt;=AsOfDate,IF($R11=0,$X11,IF(AND($T11&lt;&gt;"",EDATE($D11,Milestones!$AA$98)&gt;=$T11),$W11,IF(AND($S11&lt;&gt;"",EDATE($D11,Milestones!$AA$98)&gt;=$S11),$V11,$U11)))=Milestones!$AB$98),UPPER(TEXT(EDATE($D11,Milestones!$AA$98),"dd mmm yy"))&amp;" "&amp;Milestones!$AB$98&amp;" "&amp;Milestones!$AC$98&amp;";  ","")&amp;IF(AND(EDATE($D11,Milestones!$AA$99)&lt;=AsOfDate,IF($R11=0,$X11,IF(AND($T11&lt;&gt;"",EDATE($D11,Milestones!$AA$99)&gt;=$T11),$W11,IF(AND($S11&lt;&gt;"",EDATE($D11,Milestones!$AA$99)&gt;=$S11),$V11,$U11)))=Milestones!$AB$99),UPPER(TEXT(EDATE($D11,Milestones!$AA$99),"dd mmm yy"))&amp;" "&amp;Milestones!$AB$99&amp;" "&amp;Milestones!$AC$99&amp;";  ",""))</f>
        <v/>
      </c>
      <c r="M11" s="0" t="str">
        <f aca="false">IF(OR($A11="",$D11=""),"",IF(AND(EDATE($D11,Milestones!$AA$100)&lt;=AsOfDate,IF($R11=0,$X11,IF(AND($T11&lt;&gt;"",EDATE($D11,Milestones!$AA$100)&gt;=$T11),$W11,IF(AND($S11&lt;&gt;"",EDATE($D11,Milestones!$AA$100)&gt;=$S11),$V11,$U11)))=Milestones!$AB$100),UPPER(TEXT(EDATE($D11,Milestones!$AA$100),"dd mmm yy"))&amp;" "&amp;Milestones!$AB$100&amp;" "&amp;Milestones!$AC$100&amp;";  ","")&amp;IF(AND(EDATE($D11,Milestones!$AA$101)&lt;=AsOfDate,IF($R11=0,$X11,IF(AND($T11&lt;&gt;"",EDATE($D11,Milestones!$AA$101)&gt;=$T11),$W11,IF(AND($S11&lt;&gt;"",EDATE($D11,Milestones!$AA$101)&gt;=$S11),$V11,$U11)))=Milestones!$AB$101),UPPER(TEXT(EDATE($D11,Milestones!$AA$101),"dd mmm yy"))&amp;" "&amp;Milestones!$AB$101&amp;" "&amp;Milestones!$AC$101&amp;";  ","")&amp;IF(AND(EDATE($D11,Milestones!$AA$102)&lt;=AsOfDate,IF($R11=0,$X11,IF(AND($T11&lt;&gt;"",EDATE($D11,Milestones!$AA$102)&gt;=$T11),$W11,IF(AND($S11&lt;&gt;"",EDATE($D11,Milestones!$AA$102)&gt;=$S11),$V11,$U11)))=Milestones!$AB$102),UPPER(TEXT(EDATE($D11,Milestones!$AA$102),"dd mmm yy"))&amp;" "&amp;Milestones!$AB$102&amp;" "&amp;Milestones!$AC$102&amp;";  ","")&amp;IF(AND(EDATE($D11,Milestones!$AA$103)&lt;=AsOfDate,IF($R11=0,$X11,IF(AND($T11&lt;&gt;"",EDATE($D11,Milestones!$AA$103)&gt;=$T11),$W11,IF(AND($S11&lt;&gt;"",EDATE($D11,Milestones!$AA$103)&gt;=$S11),$V11,$U11)))=Milestones!$AB$103),UPPER(TEXT(EDATE($D11,Milestones!$AA$103),"dd mmm yy"))&amp;" "&amp;Milestones!$AB$103&amp;" "&amp;Milestones!$AC$103&amp;";  ","")&amp;IF(AND(EDATE($D11,Milestones!$AA$104)&lt;=AsOfDate,IF($R11=0,$X11,IF(AND($T11&lt;&gt;"",EDATE($D11,Milestones!$AA$104)&gt;=$T11),$W11,IF(AND($S11&lt;&gt;"",EDATE($D11,Milestones!$AA$104)&gt;=$S11),$V11,$U11)))=Milestones!$AB$104),UPPER(TEXT(EDATE($D11,Milestones!$AA$104),"dd mmm yy"))&amp;" "&amp;Milestones!$AB$104&amp;" "&amp;Milestones!$AC$104&amp;";  ","")&amp;IF(AND(EDATE($D11,Milestones!$AA$105)&lt;=AsOfDate,IF($R11=0,$X11,IF(AND($T11&lt;&gt;"",EDATE($D11,Milestones!$AA$105)&gt;=$T11),$W11,IF(AND($S11&lt;&gt;"",EDATE($D11,Milestones!$AA$105)&gt;=$S11),$V11,$U11)))=Milestones!$AB$105),UPPER(TEXT(EDATE($D11,Milestones!$AA$105),"dd mmm yy"))&amp;" "&amp;Milestones!$AB$105&amp;" "&amp;Milestones!$AC$105&amp;";  ","")&amp;IF(AND(EDATE($D11,Milestones!$AA$106)&lt;=AsOfDate,IF($R11=0,$X11,IF(AND($T11&lt;&gt;"",EDATE($D11,Milestones!$AA$106)&gt;=$T11),$W11,IF(AND($S11&lt;&gt;"",EDATE($D11,Milestones!$AA$106)&gt;=$S11),$V11,$U11)))=Milestones!$AB$106),UPPER(TEXT(EDATE($D11,Milestones!$AA$106),"dd mmm yy"))&amp;" "&amp;Milestones!$AB$106&amp;" "&amp;Milestones!$AC$106&amp;";  ","")&amp;IF(AND(EDATE($D11,Milestones!$AA$107)&lt;=AsOfDate,IF($R11=0,$X11,IF(AND($T11&lt;&gt;"",EDATE($D11,Milestones!$AA$107)&gt;=$T11),$W11,IF(AND($S11&lt;&gt;"",EDATE($D11,Milestones!$AA$107)&gt;=$S11),$V11,$U11)))=Milestones!$AB$107),UPPER(TEXT(EDATE($D11,Milestones!$AA$107),"dd mmm yy"))&amp;" "&amp;Milestones!$AB$107&amp;" "&amp;Milestones!$AC$107&amp;";  ","")&amp;IF(AND(EDATE($D11,Milestones!$AA$108)&lt;=AsOfDate,IF($R11=0,$X11,IF(AND($T11&lt;&gt;"",EDATE($D11,Milestones!$AA$108)&gt;=$T11),$W11,IF(AND($S11&lt;&gt;"",EDATE($D11,Milestones!$AA$108)&gt;=$S11),$V11,$U11)))=Milestones!$AB$108),UPPER(TEXT(EDATE($D11,Milestones!$AA$108),"dd mmm yy"))&amp;" "&amp;Milestones!$AB$108&amp;" "&amp;Milestones!$AC$108&amp;";  ","")&amp;IF(AND(EDATE($D11,Milestones!$AA$109)&lt;=AsOfDate,IF($R11=0,$X11,IF(AND($T11&lt;&gt;"",EDATE($D11,Milestones!$AA$109)&gt;=$T11),$W11,IF(AND($S11&lt;&gt;"",EDATE($D11,Milestones!$AA$109)&gt;=$S11),$V11,$U11)))=Milestones!$AB$109),UPPER(TEXT(EDATE($D11,Milestones!$AA$109),"dd mmm yy"))&amp;" "&amp;Milestones!$AB$109&amp;" "&amp;Milestones!$AC$109&amp;";  ","")&amp;IF(AND(EDATE($D11,Milestones!$AA$110)&lt;=AsOfDate,IF($R11=0,$X11,IF(AND($T11&lt;&gt;"",EDATE($D11,Milestones!$AA$110)&gt;=$T11),$W11,IF(AND($S11&lt;&gt;"",EDATE($D11,Milestones!$AA$110)&gt;=$S11),$V11,$U11)))=Milestones!$AB$110),UPPER(TEXT(EDATE($D11,Milestones!$AA$110),"dd mmm yy"))&amp;" "&amp;Milestones!$AB$110&amp;" "&amp;Milestones!$AC$110&amp;";  ","")&amp;IF(AND(EDATE($D11,Milestones!$AA$111)&lt;=AsOfDate,IF($R11=0,$X11,IF(AND($T11&lt;&gt;"",EDATE($D11,Milestones!$AA$111)&gt;=$T11),$W11,IF(AND($S11&lt;&gt;"",EDATE($D11,Milestones!$AA$111)&gt;=$S11),$V11,$U11)))=Milestones!$AB$111),UPPER(TEXT(EDATE($D11,Milestones!$AA$111),"dd mmm yy"))&amp;" "&amp;Milestones!$AB$111&amp;" "&amp;Milestones!$AC$111&amp;";  ","")&amp;IF(AND(EDATE($D11,Milestones!$AA$112)&lt;=AsOfDate,IF($R11=0,$X11,IF(AND($T11&lt;&gt;"",EDATE($D11,Milestones!$AA$112)&gt;=$T11),$W11,IF(AND($S11&lt;&gt;"",EDATE($D11,Milestones!$AA$112)&gt;=$S11),$V11,$U11)))=Milestones!$AB$112),UPPER(TEXT(EDATE($D11,Milestones!$AA$112),"dd mmm yy"))&amp;" "&amp;Milestones!$AB$112&amp;" "&amp;Milestones!$AC$112&amp;";  ","")&amp;IF(AND(EDATE($D11,Milestones!$AA$113)&lt;=AsOfDate,IF($R11=0,$X11,IF(AND($T11&lt;&gt;"",EDATE($D11,Milestones!$AA$113)&gt;=$T11),$W11,IF(AND($S11&lt;&gt;"",EDATE($D11,Milestones!$AA$113)&gt;=$S11),$V11,$U11)))=Milestones!$AB$113),UPPER(TEXT(EDATE($D11,Milestones!$AA$113),"dd mmm yy"))&amp;" "&amp;Milestones!$AB$113&amp;" "&amp;Milestones!$AC$113&amp;";  ","")&amp;IF(AND(EDATE($D11,Milestones!$AA$114)&lt;=AsOfDate,IF($R11=0,$X11,IF(AND($T11&lt;&gt;"",EDATE($D11,Milestones!$AA$114)&gt;=$T11),$W11,IF(AND($S11&lt;&gt;"",EDATE($D11,Milestones!$AA$114)&gt;=$S11),$V11,$U11)))=Milestones!$AB$114),UPPER(TEXT(EDATE($D11,Milestones!$AA$114),"dd mmm yy"))&amp;" "&amp;Milestones!$AB$114&amp;" "&amp;Milestones!$AC$114&amp;";  ","")&amp;IF(AND(EDATE($D11,Milestones!$AA$115)&lt;=AsOfDate,IF($R11=0,$X11,IF(AND($T11&lt;&gt;"",EDATE($D11,Milestones!$AA$115)&gt;=$T11),$W11,IF(AND($S11&lt;&gt;"",EDATE($D11,Milestones!$AA$115)&gt;=$S11),$V11,$U11)))=Milestones!$AB$115),UPPER(TEXT(EDATE($D11,Milestones!$AA$115),"dd mmm yy"))&amp;" "&amp;Milestones!$AB$115&amp;" "&amp;Milestones!$AC$115&amp;";  ","")&amp;IF(AND(EDATE($D11,Milestones!$AA$116)&lt;=AsOfDate,IF($R11=0,$X11,IF(AND($T11&lt;&gt;"",EDATE($D11,Milestones!$AA$116)&gt;=$T11),$W11,IF(AND($S11&lt;&gt;"",EDATE($D11,Milestones!$AA$116)&gt;=$S11),$V11,$U11)))=Milestones!$AB$116),UPPER(TEXT(EDATE($D11,Milestones!$AA$116),"dd mmm yy"))&amp;" "&amp;Milestones!$AB$116&amp;" "&amp;Milestones!$AC$116&amp;";  ","")&amp;IF(AND(EDATE($D11,Milestones!$AA$117)&lt;=AsOfDate,IF($R11=0,$X11,IF(AND($T11&lt;&gt;"",EDATE($D11,Milestones!$AA$117)&gt;=$T11),$W11,IF(AND($S11&lt;&gt;"",EDATE($D11,Milestones!$AA$117)&gt;=$S11),$V11,$U11)))=Milestones!$AB$117),UPPER(TEXT(EDATE($D11,Milestones!$AA$117),"dd mmm yy"))&amp;" "&amp;Milestones!$AB$117&amp;" "&amp;Milestones!$AC$117&amp;";  ","")&amp;IF(AND(EDATE($D11,Milestones!$AA$118)&lt;=AsOfDate,IF($R11=0,$X11,IF(AND($T11&lt;&gt;"",EDATE($D11,Milestones!$AA$118)&gt;=$T11),$W11,IF(AND($S11&lt;&gt;"",EDATE($D11,Milestones!$AA$118)&gt;=$S11),$V11,$U11)))=Milestones!$AB$118),UPPER(TEXT(EDATE($D11,Milestones!$AA$118),"dd mmm yy"))&amp;" "&amp;Milestones!$AB$118&amp;" "&amp;Milestones!$AC$118&amp;";  ","")&amp;IF(AND(EDATE($D11,Milestones!$AA$119)&lt;=AsOfDate,IF($R11=0,$X11,IF(AND($T11&lt;&gt;"",EDATE($D11,Milestones!$AA$119)&gt;=$T11),$W11,IF(AND($S11&lt;&gt;"",EDATE($D11,Milestones!$AA$119)&gt;=$S11),$V11,$U11)))=Milestones!$AB$119),UPPER(TEXT(EDATE($D11,Milestones!$AA$119),"dd mmm yy"))&amp;" "&amp;Milestones!$AB$119&amp;" "&amp;Milestones!$AC$119&amp;";  ",""))</f>
        <v/>
      </c>
      <c r="N11" s="0" t="str">
        <f aca="false">IF(OR($A11="",$D11=""),"",IF(AND(EDATE($D11,Milestones!$AA$120)&lt;=AsOfDate,IF($R11=0,$X11,IF(AND($T11&lt;&gt;"",EDATE($D11,Milestones!$AA$120)&gt;=$T11),$W11,IF(AND($S11&lt;&gt;"",EDATE($D11,Milestones!$AA$120)&gt;=$S11),$V11,$U11)))=Milestones!$AB$120),UPPER(TEXT(EDATE($D11,Milestones!$AA$120),"dd mmm yy"))&amp;" "&amp;Milestones!$AB$120&amp;" "&amp;Milestones!$AC$120&amp;";  ","")&amp;IF(AND(EDATE($D11,Milestones!$AA$121)&lt;=AsOfDate,IF($R11=0,$X11,IF(AND($T11&lt;&gt;"",EDATE($D11,Milestones!$AA$121)&gt;=$T11),$W11,IF(AND($S11&lt;&gt;"",EDATE($D11,Milestones!$AA$121)&gt;=$S11),$V11,$U11)))=Milestones!$AB$121),UPPER(TEXT(EDATE($D11,Milestones!$AA$121),"dd mmm yy"))&amp;" "&amp;Milestones!$AB$121&amp;" "&amp;Milestones!$AC$121&amp;";  ","")&amp;IF(AND(EDATE($D11,Milestones!$AA$122)&lt;=AsOfDate,IF($R11=0,$X11,IF(AND($T11&lt;&gt;"",EDATE($D11,Milestones!$AA$122)&gt;=$T11),$W11,IF(AND($S11&lt;&gt;"",EDATE($D11,Milestones!$AA$122)&gt;=$S11),$V11,$U11)))=Milestones!$AB$122),UPPER(TEXT(EDATE($D11,Milestones!$AA$122),"dd mmm yy"))&amp;" "&amp;Milestones!$AB$122&amp;" "&amp;Milestones!$AC$122&amp;";  ","")&amp;IF(AND(EDATE($D11,Milestones!$AA$123)&lt;=AsOfDate,IF($R11=0,$X11,IF(AND($T11&lt;&gt;"",EDATE($D11,Milestones!$AA$123)&gt;=$T11),$W11,IF(AND($S11&lt;&gt;"",EDATE($D11,Milestones!$AA$123)&gt;=$S11),$V11,$U11)))=Milestones!$AB$123),UPPER(TEXT(EDATE($D11,Milestones!$AA$123),"dd mmm yy"))&amp;" "&amp;Milestones!$AB$123&amp;" "&amp;Milestones!$AC$123&amp;";  ","")&amp;IF(AND(EDATE($D11,Milestones!$AA$124)&lt;=AsOfDate,IF($R11=0,$X11,IF(AND($T11&lt;&gt;"",EDATE($D11,Milestones!$AA$124)&gt;=$T11),$W11,IF(AND($S11&lt;&gt;"",EDATE($D11,Milestones!$AA$124)&gt;=$S11),$V11,$U11)))=Milestones!$AB$124),UPPER(TEXT(EDATE($D11,Milestones!$AA$124),"dd mmm yy"))&amp;" "&amp;Milestones!$AB$124&amp;" "&amp;Milestones!$AC$124&amp;";  ","")&amp;IF(AND(EDATE($D11,Milestones!$AA$125)&lt;=AsOfDate,IF($R11=0,$X11,IF(AND($T11&lt;&gt;"",EDATE($D11,Milestones!$AA$125)&gt;=$T11),$W11,IF(AND($S11&lt;&gt;"",EDATE($D11,Milestones!$AA$125)&gt;=$S11),$V11,$U11)))=Milestones!$AB$125),UPPER(TEXT(EDATE($D11,Milestones!$AA$125),"dd mmm yy"))&amp;" "&amp;Milestones!$AB$125&amp;" "&amp;Milestones!$AC$125&amp;";  ","")&amp;IF(AND(EDATE($D11,Milestones!$AA$126)&lt;=AsOfDate,IF($R11=0,$X11,IF(AND($T11&lt;&gt;"",EDATE($D11,Milestones!$AA$126)&gt;=$T11),$W11,IF(AND($S11&lt;&gt;"",EDATE($D11,Milestones!$AA$126)&gt;=$S11),$V11,$U11)))=Milestones!$AB$126),UPPER(TEXT(EDATE($D11,Milestones!$AA$126),"dd mmm yy"))&amp;" "&amp;Milestones!$AB$126&amp;" "&amp;Milestones!$AC$126&amp;";  ","")&amp;IF(AND(EDATE($D11,Milestones!$AA$127)&lt;=AsOfDate,IF($R11=0,$X11,IF(AND($T11&lt;&gt;"",EDATE($D11,Milestones!$AA$127)&gt;=$T11),$W11,IF(AND($S11&lt;&gt;"",EDATE($D11,Milestones!$AA$127)&gt;=$S11),$V11,$U11)))=Milestones!$AB$127),UPPER(TEXT(EDATE($D11,Milestones!$AA$127),"dd mmm yy"))&amp;" "&amp;Milestones!$AB$127&amp;" "&amp;Milestones!$AC$127&amp;";  ","")&amp;IF(AND(EDATE($D11,Milestones!$AA$128)&lt;=AsOfDate,IF($R11=0,$X11,IF(AND($T11&lt;&gt;"",EDATE($D11,Milestones!$AA$128)&gt;=$T11),$W11,IF(AND($S11&lt;&gt;"",EDATE($D11,Milestones!$AA$128)&gt;=$S11),$V11,$U11)))=Milestones!$AB$128),UPPER(TEXT(EDATE($D11,Milestones!$AA$128),"dd mmm yy"))&amp;" "&amp;Milestones!$AB$128&amp;" "&amp;Milestones!$AC$128&amp;";  ","")&amp;IF(AND(EDATE($D11,Milestones!$AA$129)&lt;=AsOfDate,IF($R11=0,$X11,IF(AND($T11&lt;&gt;"",EDATE($D11,Milestones!$AA$129)&gt;=$T11),$W11,IF(AND($S11&lt;&gt;"",EDATE($D11,Milestones!$AA$129)&gt;=$S11),$V11,$U11)))=Milestones!$AB$129),UPPER(TEXT(EDATE($D11,Milestones!$AA$129),"dd mmm yy"))&amp;" "&amp;Milestones!$AB$129&amp;" "&amp;Milestones!$AC$129&amp;";  ","")&amp;IF(AND(EDATE($D11,Milestones!$AA$130)&lt;=AsOfDate,IF($R11=0,$X11,IF(AND($T11&lt;&gt;"",EDATE($D11,Milestones!$AA$130)&gt;=$T11),$W11,IF(AND($S11&lt;&gt;"",EDATE($D11,Milestones!$AA$130)&gt;=$S11),$V11,$U11)))=Milestones!$AB$130),UPPER(TEXT(EDATE($D11,Milestones!$AA$130),"dd mmm yy"))&amp;" "&amp;Milestones!$AB$130&amp;" "&amp;Milestones!$AC$130&amp;";  ","")&amp;IF(AND(EDATE($D11,Milestones!$AA$131)&lt;=AsOfDate,IF($R11=0,$X11,IF(AND($T11&lt;&gt;"",EDATE($D11,Milestones!$AA$131)&gt;=$T11),$W11,IF(AND($S11&lt;&gt;"",EDATE($D11,Milestones!$AA$131)&gt;=$S11),$V11,$U11)))=Milestones!$AB$131),UPPER(TEXT(EDATE($D11,Milestones!$AA$131),"dd mmm yy"))&amp;" "&amp;Milestones!$AB$131&amp;" "&amp;Milestones!$AC$131&amp;";  ","")&amp;IF(AND(EDATE($D11,Milestones!$AA$132)&lt;=AsOfDate,IF($R11=0,$X11,IF(AND($T11&lt;&gt;"",EDATE($D11,Milestones!$AA$132)&gt;=$T11),$W11,IF(AND($S11&lt;&gt;"",EDATE($D11,Milestones!$AA$132)&gt;=$S11),$V11,$U11)))=Milestones!$AB$132),UPPER(TEXT(EDATE($D11,Milestones!$AA$132),"dd mmm yy"))&amp;" "&amp;Milestones!$AB$132&amp;" "&amp;Milestones!$AC$132&amp;";  ","")&amp;IF(AND(EDATE($D11,Milestones!$AA$133)&lt;=AsOfDate,IF($R11=0,$X11,IF(AND($T11&lt;&gt;"",EDATE($D11,Milestones!$AA$133)&gt;=$T11),$W11,IF(AND($S11&lt;&gt;"",EDATE($D11,Milestones!$AA$133)&gt;=$S11),$V11,$U11)))=Milestones!$AB$133),UPPER(TEXT(EDATE($D11,Milestones!$AA$133),"dd mmm yy"))&amp;" "&amp;Milestones!$AB$133&amp;" "&amp;Milestones!$AC$133&amp;";  ","")&amp;IF(AND(EDATE($D11,Milestones!$AA$134)&lt;=AsOfDate,IF($R11=0,$X11,IF(AND($T11&lt;&gt;"",EDATE($D11,Milestones!$AA$134)&gt;=$T11),$W11,IF(AND($S11&lt;&gt;"",EDATE($D11,Milestones!$AA$134)&gt;=$S11),$V11,$U11)))=Milestones!$AB$134),UPPER(TEXT(EDATE($D11,Milestones!$AA$134),"dd mmm yy"))&amp;" "&amp;Milestones!$AB$134&amp;" "&amp;Milestones!$AC$134&amp;";  ","")&amp;IF(AND(EDATE($D11,Milestones!$AA$135)&lt;=AsOfDate,IF($R11=0,$X11,IF(AND($T11&lt;&gt;"",EDATE($D11,Milestones!$AA$135)&gt;=$T11),$W11,IF(AND($S11&lt;&gt;"",EDATE($D11,Milestones!$AA$135)&gt;=$S11),$V11,$U11)))=Milestones!$AB$135),UPPER(TEXT(EDATE($D11,Milestones!$AA$135),"dd mmm yy"))&amp;" "&amp;Milestones!$AB$135&amp;" "&amp;Milestones!$AC$135&amp;";  ","")&amp;IF(AND(EDATE($D11,Milestones!$AA$136)&lt;=AsOfDate,IF($R11=0,$X11,IF(AND($T11&lt;&gt;"",EDATE($D11,Milestones!$AA$136)&gt;=$T11),$W11,IF(AND($S11&lt;&gt;"",EDATE($D11,Milestones!$AA$136)&gt;=$S11),$V11,$U11)))=Milestones!$AB$136),UPPER(TEXT(EDATE($D11,Milestones!$AA$136),"dd mmm yy"))&amp;" "&amp;Milestones!$AB$136&amp;" "&amp;Milestones!$AC$136&amp;";  ","")&amp;IF(AND(EDATE($D11,Milestones!$AA$137)&lt;=AsOfDate,IF($R11=0,$X11,IF(AND($T11&lt;&gt;"",EDATE($D11,Milestones!$AA$137)&gt;=$T11),$W11,IF(AND($S11&lt;&gt;"",EDATE($D11,Milestones!$AA$137)&gt;=$S11),$V11,$U11)))=Milestones!$AB$137),UPPER(TEXT(EDATE($D11,Milestones!$AA$137),"dd mmm yy"))&amp;" "&amp;Milestones!$AB$137&amp;" "&amp;Milestones!$AC$137&amp;";  ","")&amp;IF(AND(EDATE($D11,Milestones!$AA$138)&lt;=AsOfDate,IF($R11=0,$X11,IF(AND($T11&lt;&gt;"",EDATE($D11,Milestones!$AA$138)&gt;=$T11),$W11,IF(AND($S11&lt;&gt;"",EDATE($D11,Milestones!$AA$138)&gt;=$S11),$V11,$U11)))=Milestones!$AB$138),UPPER(TEXT(EDATE($D11,Milestones!$AA$138),"dd mmm yy"))&amp;" "&amp;Milestones!$AB$138&amp;" "&amp;Milestones!$AC$138&amp;";  ","")&amp;IF(AND(EDATE($D11,Milestones!$AA$139)&lt;=AsOfDate,IF($R11=0,$X11,IF(AND($T11&lt;&gt;"",EDATE($D11,Milestones!$AA$139)&gt;=$T11),$W11,IF(AND($S11&lt;&gt;"",EDATE($D11,Milestones!$AA$139)&gt;=$S11),$V11,$U11)))=Milestones!$AB$139),UPPER(TEXT(EDATE($D11,Milestones!$AA$139),"dd mmm yy"))&amp;" "&amp;Milestones!$AB$139&amp;" "&amp;Milestones!$AC$139&amp;";  ",""))</f>
        <v/>
      </c>
      <c r="O11" s="0" t="str">
        <f aca="false">IF(OR($A11="",$D11=""),"",IF(AND(EDATE($D11,Milestones!$AA$140)&lt;=AsOfDate,IF($R11=0,$X11,IF(AND($T11&lt;&gt;"",EDATE($D11,Milestones!$AA$140)&gt;=$T11),$W11,IF(AND($S11&lt;&gt;"",EDATE($D11,Milestones!$AA$140)&gt;=$S11),$V11,$U11)))=Milestones!$AB$140),UPPER(TEXT(EDATE($D11,Milestones!$AA$140),"dd mmm yy"))&amp;" "&amp;Milestones!$AB$140&amp;" "&amp;Milestones!$AC$140&amp;";  ","")&amp;IF(AND(EDATE($D11,Milestones!$AA$141)&lt;=AsOfDate,IF($R11=0,$X11,IF(AND($T11&lt;&gt;"",EDATE($D11,Milestones!$AA$141)&gt;=$T11),$W11,IF(AND($S11&lt;&gt;"",EDATE($D11,Milestones!$AA$141)&gt;=$S11),$V11,$U11)))=Milestones!$AB$141),UPPER(TEXT(EDATE($D11,Milestones!$AA$141),"dd mmm yy"))&amp;" "&amp;Milestones!$AB$141&amp;" "&amp;Milestones!$AC$141&amp;";  ","")&amp;IF(AND(EDATE($D11,Milestones!$AA$142)&lt;=AsOfDate,IF($R11=0,$X11,IF(AND($T11&lt;&gt;"",EDATE($D11,Milestones!$AA$142)&gt;=$T11),$W11,IF(AND($S11&lt;&gt;"",EDATE($D11,Milestones!$AA$142)&gt;=$S11),$V11,$U11)))=Milestones!$AB$142),UPPER(TEXT(EDATE($D11,Milestones!$AA$142),"dd mmm yy"))&amp;" "&amp;Milestones!$AB$142&amp;" "&amp;Milestones!$AC$142&amp;";  ","")&amp;IF(AND(EDATE($D11,Milestones!$AA$143)&lt;=AsOfDate,IF($R11=0,$X11,IF(AND($T11&lt;&gt;"",EDATE($D11,Milestones!$AA$143)&gt;=$T11),$W11,IF(AND($S11&lt;&gt;"",EDATE($D11,Milestones!$AA$143)&gt;=$S11),$V11,$U11)))=Milestones!$AB$143),UPPER(TEXT(EDATE($D11,Milestones!$AA$143),"dd mmm yy"))&amp;" "&amp;Milestones!$AB$143&amp;" "&amp;Milestones!$AC$143&amp;";  ","")&amp;IF(AND(EDATE($D11,Milestones!$AA$144)&lt;=AsOfDate,IF($R11=0,$X11,IF(AND($T11&lt;&gt;"",EDATE($D11,Milestones!$AA$144)&gt;=$T11),$W11,IF(AND($S11&lt;&gt;"",EDATE($D11,Milestones!$AA$144)&gt;=$S11),$V11,$U11)))=Milestones!$AB$144),UPPER(TEXT(EDATE($D11,Milestones!$AA$144),"dd mmm yy"))&amp;" "&amp;Milestones!$AB$144&amp;" "&amp;Milestones!$AC$144&amp;";  ","")&amp;IF(AND(EDATE($D11,Milestones!$AA$145)&lt;=AsOfDate,IF($R11=0,$X11,IF(AND($T11&lt;&gt;"",EDATE($D11,Milestones!$AA$145)&gt;=$T11),$W11,IF(AND($S11&lt;&gt;"",EDATE($D11,Milestones!$AA$145)&gt;=$S11),$V11,$U11)))=Milestones!$AB$145),UPPER(TEXT(EDATE($D11,Milestones!$AA$145),"dd mmm yy"))&amp;" "&amp;Milestones!$AB$145&amp;" "&amp;Milestones!$AC$145&amp;";  ","")&amp;IF(AND(EDATE($D11,Milestones!$AA$146)&lt;=AsOfDate,IF($R11=0,$X11,IF(AND($T11&lt;&gt;"",EDATE($D11,Milestones!$AA$146)&gt;=$T11),$W11,IF(AND($S11&lt;&gt;"",EDATE($D11,Milestones!$AA$146)&gt;=$S11),$V11,$U11)))=Milestones!$AB$146),UPPER(TEXT(EDATE($D11,Milestones!$AA$146),"dd mmm yy"))&amp;" "&amp;Milestones!$AB$146&amp;" "&amp;Milestones!$AC$146&amp;";  ","")&amp;IF(AND(EDATE($D11,Milestones!$AA$147)&lt;=AsOfDate,IF($R11=0,$X11,IF(AND($T11&lt;&gt;"",EDATE($D11,Milestones!$AA$147)&gt;=$T11),$W11,IF(AND($S11&lt;&gt;"",EDATE($D11,Milestones!$AA$147)&gt;=$S11),$V11,$U11)))=Milestones!$AB$147),UPPER(TEXT(EDATE($D11,Milestones!$AA$147),"dd mmm yy"))&amp;" "&amp;Milestones!$AB$147&amp;" "&amp;Milestones!$AC$147&amp;";  ","")&amp;IF(AND(EDATE($D11,Milestones!$AA$148)&lt;=AsOfDate,IF($R11=0,$X11,IF(AND($T11&lt;&gt;"",EDATE($D11,Milestones!$AA$148)&gt;=$T11),$W11,IF(AND($S11&lt;&gt;"",EDATE($D11,Milestones!$AA$148)&gt;=$S11),$V11,$U11)))=Milestones!$AB$148),UPPER(TEXT(EDATE($D11,Milestones!$AA$148),"dd mmm yy"))&amp;" "&amp;Milestones!$AB$148&amp;" "&amp;Milestones!$AC$148&amp;";  ","")&amp;IF(AND(EDATE($D11,Milestones!$AA$149)&lt;=AsOfDate,IF($R11=0,$X11,IF(AND($T11&lt;&gt;"",EDATE($D11,Milestones!$AA$149)&gt;=$T11),$W11,IF(AND($S11&lt;&gt;"",EDATE($D11,Milestones!$AA$149)&gt;=$S11),$V11,$U11)))=Milestones!$AB$149),UPPER(TEXT(EDATE($D11,Milestones!$AA$149),"dd mmm yy"))&amp;" "&amp;Milestones!$AB$149&amp;" "&amp;Milestones!$AC$149&amp;";  ","")&amp;IF(AND(EDATE($D11,Milestones!$AA$150)&lt;=AsOfDate,IF($R11=0,$X11,IF(AND($T11&lt;&gt;"",EDATE($D11,Milestones!$AA$150)&gt;=$T11),$W11,IF(AND($S11&lt;&gt;"",EDATE($D11,Milestones!$AA$150)&gt;=$S11),$V11,$U11)))=Milestones!$AB$150),UPPER(TEXT(EDATE($D11,Milestones!$AA$150),"dd mmm yy"))&amp;" "&amp;Milestones!$AB$150&amp;" "&amp;Milestones!$AC$150&amp;";  ","")&amp;IF(AND(EDATE($D11,Milestones!$AA$151)&lt;=AsOfDate,IF($R11=0,$X11,IF(AND($T11&lt;&gt;"",EDATE($D11,Milestones!$AA$151)&gt;=$T11),$W11,IF(AND($S11&lt;&gt;"",EDATE($D11,Milestones!$AA$151)&gt;=$S11),$V11,$U11)))=Milestones!$AB$151),UPPER(TEXT(EDATE($D11,Milestones!$AA$151),"dd mmm yy"))&amp;" "&amp;Milestones!$AB$151&amp;" "&amp;Milestones!$AC$151&amp;";  ","")&amp;IF(AND(EDATE($D11,Milestones!$AA$152)&lt;=AsOfDate,IF($R11=0,$X11,IF(AND($T11&lt;&gt;"",EDATE($D11,Milestones!$AA$152)&gt;=$T11),$W11,IF(AND($S11&lt;&gt;"",EDATE($D11,Milestones!$AA$152)&gt;=$S11),$V11,$U11)))=Milestones!$AB$152),UPPER(TEXT(EDATE($D11,Milestones!$AA$152),"dd mmm yy"))&amp;" "&amp;Milestones!$AB$152&amp;" "&amp;Milestones!$AC$152&amp;";  ","")&amp;IF(AND(EDATE($D11,Milestones!$AA$153)&lt;=AsOfDate,IF($R11=0,$X11,IF(AND($T11&lt;&gt;"",EDATE($D11,Milestones!$AA$153)&gt;=$T11),$W11,IF(AND($S11&lt;&gt;"",EDATE($D11,Milestones!$AA$153)&gt;=$S11),$V11,$U11)))=Milestones!$AB$153),UPPER(TEXT(EDATE($D11,Milestones!$AA$153),"dd mmm yy"))&amp;" "&amp;Milestones!$AB$153&amp;" "&amp;Milestones!$AC$153&amp;";  ","")&amp;IF(AND(EDATE($D11,Milestones!$AA$154)&lt;=AsOfDate,IF($R11=0,$X11,IF(AND($T11&lt;&gt;"",EDATE($D11,Milestones!$AA$154)&gt;=$T11),$W11,IF(AND($S11&lt;&gt;"",EDATE($D11,Milestones!$AA$154)&gt;=$S11),$V11,$U11)))=Milestones!$AB$154),UPPER(TEXT(EDATE($D11,Milestones!$AA$154),"dd mmm yy"))&amp;" "&amp;Milestones!$AB$154&amp;" "&amp;Milestones!$AC$154&amp;";  ","")&amp;IF(AND(EDATE($D11,Milestones!$AA$155)&lt;=AsOfDate,IF($R11=0,$X11,IF(AND($T11&lt;&gt;"",EDATE($D11,Milestones!$AA$155)&gt;=$T11),$W11,IF(AND($S11&lt;&gt;"",EDATE($D11,Milestones!$AA$155)&gt;=$S11),$V11,$U11)))=Milestones!$AB$155),UPPER(TEXT(EDATE($D11,Milestones!$AA$155),"dd mmm yy"))&amp;" "&amp;Milestones!$AB$155&amp;" "&amp;Milestones!$AC$155&amp;";  ","")&amp;IF(AND(EDATE($D11,Milestones!$AA$156)&lt;=AsOfDate,IF($R11=0,$X11,IF(AND($T11&lt;&gt;"",EDATE($D11,Milestones!$AA$156)&gt;=$T11),$W11,IF(AND($S11&lt;&gt;"",EDATE($D11,Milestones!$AA$156)&gt;=$S11),$V11,$U11)))=Milestones!$AB$156),UPPER(TEXT(EDATE($D11,Milestones!$AA$156),"dd mmm yy"))&amp;" "&amp;Milestones!$AB$156&amp;" "&amp;Milestones!$AC$156&amp;";  ","")&amp;IF(AND(EDATE($D11,Milestones!$AA$157)&lt;=AsOfDate,IF($R11=0,$X11,IF(AND($T11&lt;&gt;"",EDATE($D11,Milestones!$AA$157)&gt;=$T11),$W11,IF(AND($S11&lt;&gt;"",EDATE($D11,Milestones!$AA$157)&gt;=$S11),$V11,$U11)))=Milestones!$AB$157),UPPER(TEXT(EDATE($D11,Milestones!$AA$157),"dd mmm yy"))&amp;" "&amp;Milestones!$AB$157&amp;" "&amp;Milestones!$AC$157&amp;";  ","")&amp;IF(AND(EDATE($D11,Milestones!$AA$158)&lt;=AsOfDate,IF($R11=0,$X11,IF(AND($T11&lt;&gt;"",EDATE($D11,Milestones!$AA$158)&gt;=$T11),$W11,IF(AND($S11&lt;&gt;"",EDATE($D11,Milestones!$AA$158)&gt;=$S11),$V11,$U11)))=Milestones!$AB$158),UPPER(TEXT(EDATE($D11,Milestones!$AA$158),"dd mmm yy"))&amp;" "&amp;Milestones!$AB$158&amp;" "&amp;Milestones!$AC$158&amp;";  ","")&amp;IF(AND(EDATE($D11,Milestones!$AA$159)&lt;=AsOfDate,IF($R11=0,$X11,IF(AND($T11&lt;&gt;"",EDATE($D11,Milestones!$AA$159)&gt;=$T11),$W11,IF(AND($S11&lt;&gt;"",EDATE($D11,Milestones!$AA$159)&gt;=$S11),$V11,$U11)))=Milestones!$AB$159),UPPER(TEXT(EDATE($D11,Milestones!$AA$159),"dd mmm yy"))&amp;" "&amp;Milestones!$AB$159&amp;" "&amp;Milestones!$AC$159&amp;";  ",""))</f>
        <v/>
      </c>
      <c r="P11" s="0" t="str">
        <f aca="false">IF(OR($A11="",$D11=""),"",IF(AND(EDATE($D11,Milestones!$AA$160)&lt;=AsOfDate,IF($R11=0,$X11,IF(AND($T11&lt;&gt;"",EDATE($D11,Milestones!$AA$160)&gt;=$T11),$W11,IF(AND($S11&lt;&gt;"",EDATE($D11,Milestones!$AA$160)&gt;=$S11),$V11,$U11)))=Milestones!$AB$160),UPPER(TEXT(EDATE($D11,Milestones!$AA$160),"dd mmm yy"))&amp;" "&amp;Milestones!$AB$160&amp;" "&amp;Milestones!$AC$160&amp;";  ","")&amp;IF(AND(EDATE($D11,Milestones!$AA$161)&lt;=AsOfDate,IF($R11=0,$X11,IF(AND($T11&lt;&gt;"",EDATE($D11,Milestones!$AA$161)&gt;=$T11),$W11,IF(AND($S11&lt;&gt;"",EDATE($D11,Milestones!$AA$161)&gt;=$S11),$V11,$U11)))=Milestones!$AB$161),UPPER(TEXT(EDATE($D11,Milestones!$AA$161),"dd mmm yy"))&amp;" "&amp;Milestones!$AB$161&amp;" "&amp;Milestones!$AC$161&amp;";  ","")&amp;IF(AND(EDATE($D11,Milestones!$AA$162)&lt;=AsOfDate,IF($R11=0,$X11,IF(AND($T11&lt;&gt;"",EDATE($D11,Milestones!$AA$162)&gt;=$T11),$W11,IF(AND($S11&lt;&gt;"",EDATE($D11,Milestones!$AA$162)&gt;=$S11),$V11,$U11)))=Milestones!$AB$162),UPPER(TEXT(EDATE($D11,Milestones!$AA$162),"dd mmm yy"))&amp;" "&amp;Milestones!$AB$162&amp;" "&amp;Milestones!$AC$162&amp;";  ","")&amp;IF(AND(EDATE($D11,Milestones!$AA$163)&lt;=AsOfDate,IF($R11=0,$X11,IF(AND($T11&lt;&gt;"",EDATE($D11,Milestones!$AA$163)&gt;=$T11),$W11,IF(AND($S11&lt;&gt;"",EDATE($D11,Milestones!$AA$163)&gt;=$S11),$V11,$U11)))=Milestones!$AB$163),UPPER(TEXT(EDATE($D11,Milestones!$AA$163),"dd mmm yy"))&amp;" "&amp;Milestones!$AB$163&amp;" "&amp;Milestones!$AC$163&amp;";  ","")&amp;IF(AND(EDATE($D11,Milestones!$AA$164)&lt;=AsOfDate,IF($R11=0,$X11,IF(AND($T11&lt;&gt;"",EDATE($D11,Milestones!$AA$164)&gt;=$T11),$W11,IF(AND($S11&lt;&gt;"",EDATE($D11,Milestones!$AA$164)&gt;=$S11),$V11,$U11)))=Milestones!$AB$164),UPPER(TEXT(EDATE($D11,Milestones!$AA$164),"dd mmm yy"))&amp;" "&amp;Milestones!$AB$164&amp;" "&amp;Milestones!$AC$164&amp;";  ","")&amp;IF(AND(EDATE($D11,Milestones!$AA$165)&lt;=AsOfDate,IF($R11=0,$X11,IF(AND($T11&lt;&gt;"",EDATE($D11,Milestones!$AA$165)&gt;=$T11),$W11,IF(AND($S11&lt;&gt;"",EDATE($D11,Milestones!$AA$165)&gt;=$S11),$V11,$U11)))=Milestones!$AB$165),UPPER(TEXT(EDATE($D11,Milestones!$AA$165),"dd mmm yy"))&amp;" "&amp;Milestones!$AB$165&amp;" "&amp;Milestones!$AC$165&amp;";  ","")&amp;IF(AND(EDATE($D11,Milestones!$AA$166)&lt;=AsOfDate,IF($R11=0,$X11,IF(AND($T11&lt;&gt;"",EDATE($D11,Milestones!$AA$166)&gt;=$T11),$W11,IF(AND($S11&lt;&gt;"",EDATE($D11,Milestones!$AA$166)&gt;=$S11),$V11,$U11)))=Milestones!$AB$166),UPPER(TEXT(EDATE($D11,Milestones!$AA$166),"dd mmm yy"))&amp;" "&amp;Milestones!$AB$166&amp;" "&amp;Milestones!$AC$166&amp;";  ","")&amp;IF(AND(EDATE($D11,Milestones!$AA$167)&lt;=AsOfDate,IF($R11=0,$X11,IF(AND($T11&lt;&gt;"",EDATE($D11,Milestones!$AA$167)&gt;=$T11),$W11,IF(AND($S11&lt;&gt;"",EDATE($D11,Milestones!$AA$167)&gt;=$S11),$V11,$U11)))=Milestones!$AB$167),UPPER(TEXT(EDATE($D11,Milestones!$AA$167),"dd mmm yy"))&amp;" "&amp;Milestones!$AB$167&amp;" "&amp;Milestones!$AC$167&amp;";  ","")&amp;IF(AND(EDATE($D11,Milestones!$AA$168)&lt;=AsOfDate,IF($R11=0,$X11,IF(AND($T11&lt;&gt;"",EDATE($D11,Milestones!$AA$168)&gt;=$T11),$W11,IF(AND($S11&lt;&gt;"",EDATE($D11,Milestones!$AA$168)&gt;=$S11),$V11,$U11)))=Milestones!$AB$168),UPPER(TEXT(EDATE($D11,Milestones!$AA$168),"dd mmm yy"))&amp;" "&amp;Milestones!$AB$168&amp;" "&amp;Milestones!$AC$168&amp;";  ","")&amp;IF(AND(EDATE($D11,Milestones!$AA$169)&lt;=AsOfDate,IF($R11=0,$X11,IF(AND($T11&lt;&gt;"",EDATE($D11,Milestones!$AA$169)&gt;=$T11),$W11,IF(AND($S11&lt;&gt;"",EDATE($D11,Milestones!$AA$169)&gt;=$S11),$V11,$U11)))=Milestones!$AB$169),UPPER(TEXT(EDATE($D11,Milestones!$AA$169),"dd mmm yy"))&amp;" "&amp;Milestones!$AB$169&amp;" "&amp;Milestones!$AC$169&amp;";  ","")&amp;IF(AND(EDATE($D11,Milestones!$AA$170)&lt;=AsOfDate,IF($R11=0,$X11,IF(AND($T11&lt;&gt;"",EDATE($D11,Milestones!$AA$170)&gt;=$T11),$W11,IF(AND($S11&lt;&gt;"",EDATE($D11,Milestones!$AA$170)&gt;=$S11),$V11,$U11)))=Milestones!$AB$170),UPPER(TEXT(EDATE($D11,Milestones!$AA$170),"dd mmm yy"))&amp;" "&amp;Milestones!$AB$170&amp;" "&amp;Milestones!$AC$170&amp;";  ","")&amp;IF(AND(EDATE($D11,Milestones!$AA$171)&lt;=AsOfDate,IF($R11=0,$X11,IF(AND($T11&lt;&gt;"",EDATE($D11,Milestones!$AA$171)&gt;=$T11),$W11,IF(AND($S11&lt;&gt;"",EDATE($D11,Milestones!$AA$171)&gt;=$S11),$V11,$U11)))=Milestones!$AB$171),UPPER(TEXT(EDATE($D11,Milestones!$AA$171),"dd mmm yy"))&amp;" "&amp;Milestones!$AB$171&amp;" "&amp;Milestones!$AC$171&amp;";  ","")&amp;IF(AND(EDATE($D11,Milestones!$AA$172)&lt;=AsOfDate,IF($R11=0,$X11,IF(AND($T11&lt;&gt;"",EDATE($D11,Milestones!$AA$172)&gt;=$T11),$W11,IF(AND($S11&lt;&gt;"",EDATE($D11,Milestones!$AA$172)&gt;=$S11),$V11,$U11)))=Milestones!$AB$172),UPPER(TEXT(EDATE($D11,Milestones!$AA$172),"dd mmm yy"))&amp;" "&amp;Milestones!$AB$172&amp;" "&amp;Milestones!$AC$172&amp;";  ","")&amp;IF(AND(EDATE($D11,Milestones!$AA$173)&lt;=AsOfDate,IF($R11=0,$X11,IF(AND($T11&lt;&gt;"",EDATE($D11,Milestones!$AA$173)&gt;=$T11),$W11,IF(AND($S11&lt;&gt;"",EDATE($D11,Milestones!$AA$173)&gt;=$S11),$V11,$U11)))=Milestones!$AB$173),UPPER(TEXT(EDATE($D11,Milestones!$AA$173),"dd mmm yy"))&amp;" "&amp;Milestones!$AB$173&amp;" "&amp;Milestones!$AC$173&amp;";  ","")&amp;IF(AND(EDATE($D11,Milestones!$AA$174)&lt;=AsOfDate,IF($R11=0,$X11,IF(AND($T11&lt;&gt;"",EDATE($D11,Milestones!$AA$174)&gt;=$T11),$W11,IF(AND($S11&lt;&gt;"",EDATE($D11,Milestones!$AA$174)&gt;=$S11),$V11,$U11)))=Milestones!$AB$174),UPPER(TEXT(EDATE($D11,Milestones!$AA$174),"dd mmm yy"))&amp;" "&amp;Milestones!$AB$174&amp;" "&amp;Milestones!$AC$174&amp;";  ","")&amp;IF(AND(EDATE($D11,Milestones!$AA$175)&lt;=AsOfDate,IF($R11=0,$X11,IF(AND($T11&lt;&gt;"",EDATE($D11,Milestones!$AA$175)&gt;=$T11),$W11,IF(AND($S11&lt;&gt;"",EDATE($D11,Milestones!$AA$175)&gt;=$S11),$V11,$U11)))=Milestones!$AB$175),UPPER(TEXT(EDATE($D11,Milestones!$AA$175),"dd mmm yy"))&amp;" "&amp;Milestones!$AB$175&amp;" "&amp;Milestones!$AC$175&amp;";  ","")&amp;IF(AND(EDATE($D11,Milestones!$AA$176)&lt;=AsOfDate,IF($R11=0,$X11,IF(AND($T11&lt;&gt;"",EDATE($D11,Milestones!$AA$176)&gt;=$T11),$W11,IF(AND($S11&lt;&gt;"",EDATE($D11,Milestones!$AA$176)&gt;=$S11),$V11,$U11)))=Milestones!$AB$176),UPPER(TEXT(EDATE($D11,Milestones!$AA$176),"dd mmm yy"))&amp;" "&amp;Milestones!$AB$176&amp;" "&amp;Milestones!$AC$176&amp;";  ","")&amp;IF(AND(EDATE($D11,Milestones!$AA$177)&lt;=AsOfDate,IF($R11=0,$X11,IF(AND($T11&lt;&gt;"",EDATE($D11,Milestones!$AA$177)&gt;=$T11),$W11,IF(AND($S11&lt;&gt;"",EDATE($D11,Milestones!$AA$177)&gt;=$S11),$V11,$U11)))=Milestones!$AB$177),UPPER(TEXT(EDATE($D11,Milestones!$AA$177),"dd mmm yy"))&amp;" "&amp;Milestones!$AB$177&amp;" "&amp;Milestones!$AC$177&amp;";  ","")&amp;IF(AND(EDATE($D11,Milestones!$AA$178)&lt;=AsOfDate,IF($R11=0,$X11,IF(AND($T11&lt;&gt;"",EDATE($D11,Milestones!$AA$178)&gt;=$T11),$W11,IF(AND($S11&lt;&gt;"",EDATE($D11,Milestones!$AA$178)&gt;=$S11),$V11,$U11)))=Milestones!$AB$178),UPPER(TEXT(EDATE($D11,Milestones!$AA$178),"dd mmm yy"))&amp;" "&amp;Milestones!$AB$178&amp;" "&amp;Milestones!$AC$178&amp;";  ","")&amp;IF(AND(EDATE($D11,Milestones!$AA$179)&lt;=AsOfDate,IF($R11=0,$X11,IF(AND($T11&lt;&gt;"",EDATE($D11,Milestones!$AA$179)&gt;=$T11),$W11,IF(AND($S11&lt;&gt;"",EDATE($D11,Milestones!$AA$179)&gt;=$S11),$V11,$U11)))=Milestones!$AB$179),UPPER(TEXT(EDATE($D11,Milestones!$AA$179),"dd mmm yy"))&amp;" "&amp;Milestones!$AB$179&amp;" "&amp;Milestones!$AC$179&amp;";  ",""))</f>
        <v/>
      </c>
      <c r="Q11" s="0" t="str">
        <f aca="false">IF(OR($A11="",$D11=""),"",IF(AND(EDATE($D11,Milestones!$AA$180)&lt;=AsOfDate,IF($R11=0,$X11,IF(AND($T11&lt;&gt;"",EDATE($D11,Milestones!$AA$180)&gt;=$T11),$W11,IF(AND($S11&lt;&gt;"",EDATE($D11,Milestones!$AA$180)&gt;=$S11),$V11,$U11)))=Milestones!$AB$180),UPPER(TEXT(EDATE($D11,Milestones!$AA$180),"dd mmm yy"))&amp;" "&amp;Milestones!$AB$180&amp;" "&amp;Milestones!$AC$180&amp;";  ","")&amp;IF(AND(EDATE($D11,Milestones!$AA$181)&lt;=AsOfDate,IF($R11=0,$X11,IF(AND($T11&lt;&gt;"",EDATE($D11,Milestones!$AA$181)&gt;=$T11),$W11,IF(AND($S11&lt;&gt;"",EDATE($D11,Milestones!$AA$181)&gt;=$S11),$V11,$U11)))=Milestones!$AB$181),UPPER(TEXT(EDATE($D11,Milestones!$AA$181),"dd mmm yy"))&amp;" "&amp;Milestones!$AB$181&amp;" "&amp;Milestones!$AC$181&amp;";  ","")&amp;IF(AND(EDATE($D11,Milestones!$AA$182)&lt;=AsOfDate,IF($R11=0,$X11,IF(AND($T11&lt;&gt;"",EDATE($D11,Milestones!$AA$182)&gt;=$T11),$W11,IF(AND($S11&lt;&gt;"",EDATE($D11,Milestones!$AA$182)&gt;=$S11),$V11,$U11)))=Milestones!$AB$182),UPPER(TEXT(EDATE($D11,Milestones!$AA$182),"dd mmm yy"))&amp;" "&amp;Milestones!$AB$182&amp;" "&amp;Milestones!$AC$182&amp;";  ","")&amp;IF(AND(EDATE($D11,Milestones!$AA$183)&lt;=AsOfDate,IF($R11=0,$X11,IF(AND($T11&lt;&gt;"",EDATE($D11,Milestones!$AA$183)&gt;=$T11),$W11,IF(AND($S11&lt;&gt;"",EDATE($D11,Milestones!$AA$183)&gt;=$S11),$V11,$U11)))=Milestones!$AB$183),UPPER(TEXT(EDATE($D11,Milestones!$AA$183),"dd mmm yy"))&amp;" "&amp;Milestones!$AB$183&amp;" "&amp;Milestones!$AC$183&amp;";  ","")&amp;IF(AND(EDATE($D11,Milestones!$AA$184)&lt;=AsOfDate,IF($R11=0,$X11,IF(AND($T11&lt;&gt;"",EDATE($D11,Milestones!$AA$184)&gt;=$T11),$W11,IF(AND($S11&lt;&gt;"",EDATE($D11,Milestones!$AA$184)&gt;=$S11),$V11,$U11)))=Milestones!$AB$184),UPPER(TEXT(EDATE($D11,Milestones!$AA$184),"dd mmm yy"))&amp;" "&amp;Milestones!$AB$184&amp;" "&amp;Milestones!$AC$184&amp;";  ","")&amp;IF(AND(EDATE($D11,Milestones!$AA$185)&lt;=AsOfDate,IF($R11=0,$X11,IF(AND($T11&lt;&gt;"",EDATE($D11,Milestones!$AA$185)&gt;=$T11),$W11,IF(AND($S11&lt;&gt;"",EDATE($D11,Milestones!$AA$185)&gt;=$S11),$V11,$U11)))=Milestones!$AB$185),UPPER(TEXT(EDATE($D11,Milestones!$AA$185),"dd mmm yy"))&amp;" "&amp;Milestones!$AB$185&amp;" "&amp;Milestones!$AC$185&amp;";  ","")&amp;IF(AND(EDATE($D11,Milestones!$AA$186)&lt;=AsOfDate,IF($R11=0,$X11,IF(AND($T11&lt;&gt;"",EDATE($D11,Milestones!$AA$186)&gt;=$T11),$W11,IF(AND($S11&lt;&gt;"",EDATE($D11,Milestones!$AA$186)&gt;=$S11),$V11,$U11)))=Milestones!$AB$186),UPPER(TEXT(EDATE($D11,Milestones!$AA$186),"dd mmm yy"))&amp;" "&amp;Milestones!$AB$186&amp;" "&amp;Milestones!$AC$186&amp;";  ","")&amp;IF(AND(EDATE($D11,Milestones!$AA$187)&lt;=AsOfDate,IF($R11=0,$X11,IF(AND($T11&lt;&gt;"",EDATE($D11,Milestones!$AA$187)&gt;=$T11),$W11,IF(AND($S11&lt;&gt;"",EDATE($D11,Milestones!$AA$187)&gt;=$S11),$V11,$U11)))=Milestones!$AB$187),UPPER(TEXT(EDATE($D11,Milestones!$AA$187),"dd mmm yy"))&amp;" "&amp;Milestones!$AB$187&amp;" "&amp;Milestones!$AC$187&amp;";  ","")&amp;IF(AND(EDATE($D11,Milestones!$AA$188)&lt;=AsOfDate,IF($R11=0,$X11,IF(AND($T11&lt;&gt;"",EDATE($D11,Milestones!$AA$188)&gt;=$T11),$W11,IF(AND($S11&lt;&gt;"",EDATE($D11,Milestones!$AA$188)&gt;=$S11),$V11,$U11)))=Milestones!$AB$188),UPPER(TEXT(EDATE($D11,Milestones!$AA$188),"dd mmm yy"))&amp;" "&amp;Milestones!$AB$188&amp;" "&amp;Milestones!$AC$188&amp;";  ","")&amp;IF(AND(EDATE($D11,Milestones!$AA$189)&lt;=AsOfDate,IF($R11=0,$X11,IF(AND($T11&lt;&gt;"",EDATE($D11,Milestones!$AA$189)&gt;=$T11),$W11,IF(AND($S11&lt;&gt;"",EDATE($D11,Milestones!$AA$189)&gt;=$S11),$V11,$U11)))=Milestones!$AB$189),UPPER(TEXT(EDATE($D11,Milestones!$AA$189),"dd mmm yy"))&amp;" "&amp;Milestones!$AB$189&amp;" "&amp;Milestones!$AC$189&amp;";  ","")&amp;IF(AND(EDATE($D11,Milestones!$AA$190)&lt;=AsOfDate,IF($R11=0,$X11,IF(AND($T11&lt;&gt;"",EDATE($D11,Milestones!$AA$190)&gt;=$T11),$W11,IF(AND($S11&lt;&gt;"",EDATE($D11,Milestones!$AA$190)&gt;=$S11),$V11,$U11)))=Milestones!$AB$190),UPPER(TEXT(EDATE($D11,Milestones!$AA$190),"dd mmm yy"))&amp;" "&amp;Milestones!$AB$190&amp;" "&amp;Milestones!$AC$190&amp;";  ","")&amp;IF(AND(EDATE($D11,Milestones!$AA$191)&lt;=AsOfDate,IF($R11=0,$X11,IF(AND($T11&lt;&gt;"",EDATE($D11,Milestones!$AA$191)&gt;=$T11),$W11,IF(AND($S11&lt;&gt;"",EDATE($D11,Milestones!$AA$191)&gt;=$S11),$V11,$U11)))=Milestones!$AB$191),UPPER(TEXT(EDATE($D11,Milestones!$AA$191),"dd mmm yy"))&amp;" "&amp;Milestones!$AB$191&amp;" "&amp;Milestones!$AC$191&amp;";  ","")&amp;IF(AND(EDATE($D11,Milestones!$AA$192)&lt;=AsOfDate,IF($R11=0,$X11,IF(AND($T11&lt;&gt;"",EDATE($D11,Milestones!$AA$192)&gt;=$T11),$W11,IF(AND($S11&lt;&gt;"",EDATE($D11,Milestones!$AA$192)&gt;=$S11),$V11,$U11)))=Milestones!$AB$192),UPPER(TEXT(EDATE($D11,Milestones!$AA$192),"dd mmm yy"))&amp;" "&amp;Milestones!$AB$192&amp;" "&amp;Milestones!$AC$192&amp;";  ","")&amp;IF(AND(EDATE($D11,Milestones!$AA$193)&lt;=AsOfDate,IF($R11=0,$X11,IF(AND($T11&lt;&gt;"",EDATE($D11,Milestones!$AA$193)&gt;=$T11),$W11,IF(AND($S11&lt;&gt;"",EDATE($D11,Milestones!$AA$193)&gt;=$S11),$V11,$U11)))=Milestones!$AB$193),UPPER(TEXT(EDATE($D11,Milestones!$AA$193),"dd mmm yy"))&amp;" "&amp;Milestones!$AB$193&amp;" "&amp;Milestones!$AC$193&amp;";  ","")&amp;IF(AND(EDATE($D11,Milestones!$AA$194)&lt;=AsOfDate,IF($R11=0,$X11,IF(AND($T11&lt;&gt;"",EDATE($D11,Milestones!$AA$194)&gt;=$T11),$W11,IF(AND($S11&lt;&gt;"",EDATE($D11,Milestones!$AA$194)&gt;=$S11),$V11,$U11)))=Milestones!$AB$194),UPPER(TEXT(EDATE($D11,Milestones!$AA$194),"dd mmm yy"))&amp;" "&amp;Milestones!$AB$194&amp;" "&amp;Milestones!$AC$194&amp;";  ","")&amp;IF(AND(EDATE($D11,Milestones!$AA$195)&lt;=AsOfDate,IF($R11=0,$X11,IF(AND($T11&lt;&gt;"",EDATE($D11,Milestones!$AA$195)&gt;=$T11),$W11,IF(AND($S11&lt;&gt;"",EDATE($D11,Milestones!$AA$195)&gt;=$S11),$V11,$U11)))=Milestones!$AB$195),UPPER(TEXT(EDATE($D11,Milestones!$AA$195),"dd mmm yy"))&amp;" "&amp;Milestones!$AB$195&amp;" "&amp;Milestones!$AC$195&amp;";  ","")&amp;IF(AND(EDATE($D11,Milestones!$AA$196)&lt;=AsOfDate,IF($R11=0,$X11,IF(AND($T11&lt;&gt;"",EDATE($D11,Milestones!$AA$196)&gt;=$T11),$W11,IF(AND($S11&lt;&gt;"",EDATE($D11,Milestones!$AA$196)&gt;=$S11),$V11,$U11)))=Milestones!$AB$196),UPPER(TEXT(EDATE($D11,Milestones!$AA$196),"dd mmm yy"))&amp;" "&amp;Milestones!$AB$196&amp;" "&amp;Milestones!$AC$196&amp;";  ","")&amp;IF(AND(EDATE($D11,Milestones!$AA$197)&lt;=AsOfDate,IF($R11=0,$X11,IF(AND($T11&lt;&gt;"",EDATE($D11,Milestones!$AA$197)&gt;=$T11),$W11,IF(AND($S11&lt;&gt;"",EDATE($D11,Milestones!$AA$197)&gt;=$S11),$V11,$U11)))=Milestones!$AB$197),UPPER(TEXT(EDATE($D11,Milestones!$AA$197),"dd mmm yy"))&amp;" "&amp;Milestones!$AB$197&amp;" "&amp;Milestones!$AC$197&amp;";  ","")&amp;IF(AND(EDATE($D11,Milestones!$AA$198)&lt;=AsOfDate,IF($R11=0,$X11,IF(AND($T11&lt;&gt;"",EDATE($D11,Milestones!$AA$198)&gt;=$T11),$W11,IF(AND($S11&lt;&gt;"",EDATE($D11,Milestones!$AA$198)&gt;=$S11),$V11,$U11)))=Milestones!$AB$198),UPPER(TEXT(EDATE($D11,Milestones!$AA$198),"dd mmm yy"))&amp;" "&amp;Milestones!$AB$198&amp;" "&amp;Milestones!$AC$198&amp;";  ","")&amp;IF(AND(EDATE($D11,Milestones!$AA$199)&lt;=AsOfDate,IF($R11=0,$X11,IF(AND($T11&lt;&gt;"",EDATE($D11,Milestones!$AA$199)&gt;=$T11),$W11,IF(AND($S11&lt;&gt;"",EDATE($D11,Milestones!$AA$199)&gt;=$S11),$V11,$U11)))=Milestones!$AB$199),UPPER(TEXT(EDATE($D11,Milestones!$AA$199),"dd mmm yy"))&amp;" "&amp;Milestones!$AB$199&amp;" "&amp;Milestones!$AC$199&amp;";  ",""))</f>
        <v/>
      </c>
      <c r="R11" s="0" t="str">
        <f aca="false">IF(Staff!$A11="","",Staff!$AI11)</f>
        <v/>
      </c>
      <c r="S11" s="0" t="str">
        <f aca="false">IF(Staff!$A11="","",Staff!$AK11)</f>
        <v/>
      </c>
      <c r="T11" s="0" t="str">
        <f aca="false">IF(Staff!$A11="","",Staff!$AL11)</f>
        <v/>
      </c>
      <c r="U11" s="0" t="str">
        <f aca="false">IF(Staff!$A11="","",Staff!$AP11)</f>
        <v/>
      </c>
      <c r="V11" s="0" t="str">
        <f aca="false">IF(Staff!$A11="","",Staff!$AQ11)</f>
        <v/>
      </c>
      <c r="W11" s="0" t="str">
        <f aca="false">IF(Staff!$A11="","",Staff!$AR11)</f>
        <v/>
      </c>
      <c r="X11" s="0" t="str">
        <f aca="false">IF(Staff!$A11="","",Staff!$AS11)</f>
        <v/>
      </c>
    </row>
    <row r="12" customFormat="false" ht="15" hidden="false" customHeight="false" outlineLevel="0" collapsed="false">
      <c r="A12" s="14" t="str">
        <f aca="false">IF(Staff!$A12="","",Staff!$A12)</f>
        <v/>
      </c>
      <c r="B12" s="14" t="str">
        <f aca="false">IF(Staff!$A12="","",Staff!$B12)</f>
        <v/>
      </c>
      <c r="C12" s="14" t="str">
        <f aca="false">IF(Staff!$A12="","",Staff!$C12)</f>
        <v/>
      </c>
      <c r="D12" s="12" t="str">
        <f aca="false">IF(Staff!$A12="","",Staff!$AH12)</f>
        <v/>
      </c>
      <c r="E12" s="14" t="str">
        <f aca="false">IF(Staff!$A12="","",Staff!$O12)</f>
        <v/>
      </c>
      <c r="F12" s="14" t="str">
        <f aca="false">IF(E12="","",E12*HoursPerDay)</f>
        <v/>
      </c>
      <c r="G12" s="14" t="str">
        <f aca="false">IF(Staff!$A12="","",Staff!$AE12)</f>
        <v/>
      </c>
      <c r="H12" s="26" t="str">
        <f aca="false">IF($A12="","",I12&amp;J12&amp;K12&amp;L12&amp;M12&amp;N12&amp;O12&amp;P12&amp;Q12)</f>
        <v/>
      </c>
      <c r="I12" s="0" t="str">
        <f aca="false">IF(OR($A12="",$D12=""),"",IF(AND(EDATE($D12,Milestones!$AA$20)&lt;=AsOfDate,IF($R12=0,$X12,IF(AND($T12&lt;&gt;"",EDATE($D12,Milestones!$AA$20)&gt;=$T12),$W12,IF(AND($S12&lt;&gt;"",EDATE($D12,Milestones!$AA$20)&gt;=$S12),$V12,$U12)))=Milestones!$AB$20),UPPER(TEXT(EDATE($D12,Milestones!$AA$20),"dd mmm yy"))&amp;" "&amp;Milestones!$AB$20&amp;" "&amp;Milestones!$AC$20&amp;";  ","")&amp;IF(AND(EDATE($D12,Milestones!$AA$21)&lt;=AsOfDate,IF($R12=0,$X12,IF(AND($T12&lt;&gt;"",EDATE($D12,Milestones!$AA$21)&gt;=$T12),$W12,IF(AND($S12&lt;&gt;"",EDATE($D12,Milestones!$AA$21)&gt;=$S12),$V12,$U12)))=Milestones!$AB$21),UPPER(TEXT(EDATE($D12,Milestones!$AA$21),"dd mmm yy"))&amp;" "&amp;Milestones!$AB$21&amp;" "&amp;Milestones!$AC$21&amp;";  ","")&amp;IF(AND(EDATE($D12,Milestones!$AA$22)&lt;=AsOfDate,IF($R12=0,$X12,IF(AND($T12&lt;&gt;"",EDATE($D12,Milestones!$AA$22)&gt;=$T12),$W12,IF(AND($S12&lt;&gt;"",EDATE($D12,Milestones!$AA$22)&gt;=$S12),$V12,$U12)))=Milestones!$AB$22),UPPER(TEXT(EDATE($D12,Milestones!$AA$22),"dd mmm yy"))&amp;" "&amp;Milestones!$AB$22&amp;" "&amp;Milestones!$AC$22&amp;";  ","")&amp;IF(AND(EDATE($D12,Milestones!$AA$23)&lt;=AsOfDate,IF($R12=0,$X12,IF(AND($T12&lt;&gt;"",EDATE($D12,Milestones!$AA$23)&gt;=$T12),$W12,IF(AND($S12&lt;&gt;"",EDATE($D12,Milestones!$AA$23)&gt;=$S12),$V12,$U12)))=Milestones!$AB$23),UPPER(TEXT(EDATE($D12,Milestones!$AA$23),"dd mmm yy"))&amp;" "&amp;Milestones!$AB$23&amp;" "&amp;Milestones!$AC$23&amp;";  ","")&amp;IF(AND(EDATE($D12,Milestones!$AA$24)&lt;=AsOfDate,IF($R12=0,$X12,IF(AND($T12&lt;&gt;"",EDATE($D12,Milestones!$AA$24)&gt;=$T12),$W12,IF(AND($S12&lt;&gt;"",EDATE($D12,Milestones!$AA$24)&gt;=$S12),$V12,$U12)))=Milestones!$AB$24),UPPER(TEXT(EDATE($D12,Milestones!$AA$24),"dd mmm yy"))&amp;" "&amp;Milestones!$AB$24&amp;" "&amp;Milestones!$AC$24&amp;";  ","")&amp;IF(AND(EDATE($D12,Milestones!$AA$25)&lt;=AsOfDate,IF($R12=0,$X12,IF(AND($T12&lt;&gt;"",EDATE($D12,Milestones!$AA$25)&gt;=$T12),$W12,IF(AND($S12&lt;&gt;"",EDATE($D12,Milestones!$AA$25)&gt;=$S12),$V12,$U12)))=Milestones!$AB$25),UPPER(TEXT(EDATE($D12,Milestones!$AA$25),"dd mmm yy"))&amp;" "&amp;Milestones!$AB$25&amp;" "&amp;Milestones!$AC$25&amp;";  ","")&amp;IF(AND(EDATE($D12,Milestones!$AA$26)&lt;=AsOfDate,IF($R12=0,$X12,IF(AND($T12&lt;&gt;"",EDATE($D12,Milestones!$AA$26)&gt;=$T12),$W12,IF(AND($S12&lt;&gt;"",EDATE($D12,Milestones!$AA$26)&gt;=$S12),$V12,$U12)))=Milestones!$AB$26),UPPER(TEXT(EDATE($D12,Milestones!$AA$26),"dd mmm yy"))&amp;" "&amp;Milestones!$AB$26&amp;" "&amp;Milestones!$AC$26&amp;";  ","")&amp;IF(AND(EDATE($D12,Milestones!$AA$27)&lt;=AsOfDate,IF($R12=0,$X12,IF(AND($T12&lt;&gt;"",EDATE($D12,Milestones!$AA$27)&gt;=$T12),$W12,IF(AND($S12&lt;&gt;"",EDATE($D12,Milestones!$AA$27)&gt;=$S12),$V12,$U12)))=Milestones!$AB$27),UPPER(TEXT(EDATE($D12,Milestones!$AA$27),"dd mmm yy"))&amp;" "&amp;Milestones!$AB$27&amp;" "&amp;Milestones!$AC$27&amp;";  ","")&amp;IF(AND(EDATE($D12,Milestones!$AA$28)&lt;=AsOfDate,IF($R12=0,$X12,IF(AND($T12&lt;&gt;"",EDATE($D12,Milestones!$AA$28)&gt;=$T12),$W12,IF(AND($S12&lt;&gt;"",EDATE($D12,Milestones!$AA$28)&gt;=$S12),$V12,$U12)))=Milestones!$AB$28),UPPER(TEXT(EDATE($D12,Milestones!$AA$28),"dd mmm yy"))&amp;" "&amp;Milestones!$AB$28&amp;" "&amp;Milestones!$AC$28&amp;";  ","")&amp;IF(AND(EDATE($D12,Milestones!$AA$29)&lt;=AsOfDate,IF($R12=0,$X12,IF(AND($T12&lt;&gt;"",EDATE($D12,Milestones!$AA$29)&gt;=$T12),$W12,IF(AND($S12&lt;&gt;"",EDATE($D12,Milestones!$AA$29)&gt;=$S12),$V12,$U12)))=Milestones!$AB$29),UPPER(TEXT(EDATE($D12,Milestones!$AA$29),"dd mmm yy"))&amp;" "&amp;Milestones!$AB$29&amp;" "&amp;Milestones!$AC$29&amp;";  ","")&amp;IF(AND(EDATE($D12,Milestones!$AA$30)&lt;=AsOfDate,IF($R12=0,$X12,IF(AND($T12&lt;&gt;"",EDATE($D12,Milestones!$AA$30)&gt;=$T12),$W12,IF(AND($S12&lt;&gt;"",EDATE($D12,Milestones!$AA$30)&gt;=$S12),$V12,$U12)))=Milestones!$AB$30),UPPER(TEXT(EDATE($D12,Milestones!$AA$30),"dd mmm yy"))&amp;" "&amp;Milestones!$AB$30&amp;" "&amp;Milestones!$AC$30&amp;";  ","")&amp;IF(AND(EDATE($D12,Milestones!$AA$31)&lt;=AsOfDate,IF($R12=0,$X12,IF(AND($T12&lt;&gt;"",EDATE($D12,Milestones!$AA$31)&gt;=$T12),$W12,IF(AND($S12&lt;&gt;"",EDATE($D12,Milestones!$AA$31)&gt;=$S12),$V12,$U12)))=Milestones!$AB$31),UPPER(TEXT(EDATE($D12,Milestones!$AA$31),"dd mmm yy"))&amp;" "&amp;Milestones!$AB$31&amp;" "&amp;Milestones!$AC$31&amp;";  ","")&amp;IF(AND(EDATE($D12,Milestones!$AA$32)&lt;=AsOfDate,IF($R12=0,$X12,IF(AND($T12&lt;&gt;"",EDATE($D12,Milestones!$AA$32)&gt;=$T12),$W12,IF(AND($S12&lt;&gt;"",EDATE($D12,Milestones!$AA$32)&gt;=$S12),$V12,$U12)))=Milestones!$AB$32),UPPER(TEXT(EDATE($D12,Milestones!$AA$32),"dd mmm yy"))&amp;" "&amp;Milestones!$AB$32&amp;" "&amp;Milestones!$AC$32&amp;";  ","")&amp;IF(AND(EDATE($D12,Milestones!$AA$33)&lt;=AsOfDate,IF($R12=0,$X12,IF(AND($T12&lt;&gt;"",EDATE($D12,Milestones!$AA$33)&gt;=$T12),$W12,IF(AND($S12&lt;&gt;"",EDATE($D12,Milestones!$AA$33)&gt;=$S12),$V12,$U12)))=Milestones!$AB$33),UPPER(TEXT(EDATE($D12,Milestones!$AA$33),"dd mmm yy"))&amp;" "&amp;Milestones!$AB$33&amp;" "&amp;Milestones!$AC$33&amp;";  ","")&amp;IF(AND(EDATE($D12,Milestones!$AA$34)&lt;=AsOfDate,IF($R12=0,$X12,IF(AND($T12&lt;&gt;"",EDATE($D12,Milestones!$AA$34)&gt;=$T12),$W12,IF(AND($S12&lt;&gt;"",EDATE($D12,Milestones!$AA$34)&gt;=$S12),$V12,$U12)))=Milestones!$AB$34),UPPER(TEXT(EDATE($D12,Milestones!$AA$34),"dd mmm yy"))&amp;" "&amp;Milestones!$AB$34&amp;" "&amp;Milestones!$AC$34&amp;";  ","")&amp;IF(AND(EDATE($D12,Milestones!$AA$35)&lt;=AsOfDate,IF($R12=0,$X12,IF(AND($T12&lt;&gt;"",EDATE($D12,Milestones!$AA$35)&gt;=$T12),$W12,IF(AND($S12&lt;&gt;"",EDATE($D12,Milestones!$AA$35)&gt;=$S12),$V12,$U12)))=Milestones!$AB$35),UPPER(TEXT(EDATE($D12,Milestones!$AA$35),"dd mmm yy"))&amp;" "&amp;Milestones!$AB$35&amp;" "&amp;Milestones!$AC$35&amp;";  ","")&amp;IF(AND(EDATE($D12,Milestones!$AA$36)&lt;=AsOfDate,IF($R12=0,$X12,IF(AND($T12&lt;&gt;"",EDATE($D12,Milestones!$AA$36)&gt;=$T12),$W12,IF(AND($S12&lt;&gt;"",EDATE($D12,Milestones!$AA$36)&gt;=$S12),$V12,$U12)))=Milestones!$AB$36),UPPER(TEXT(EDATE($D12,Milestones!$AA$36),"dd mmm yy"))&amp;" "&amp;Milestones!$AB$36&amp;" "&amp;Milestones!$AC$36&amp;";  ","")&amp;IF(AND(EDATE($D12,Milestones!$AA$37)&lt;=AsOfDate,IF($R12=0,$X12,IF(AND($T12&lt;&gt;"",EDATE($D12,Milestones!$AA$37)&gt;=$T12),$W12,IF(AND($S12&lt;&gt;"",EDATE($D12,Milestones!$AA$37)&gt;=$S12),$V12,$U12)))=Milestones!$AB$37),UPPER(TEXT(EDATE($D12,Milestones!$AA$37),"dd mmm yy"))&amp;" "&amp;Milestones!$AB$37&amp;" "&amp;Milestones!$AC$37&amp;";  ","")&amp;IF(AND(EDATE($D12,Milestones!$AA$38)&lt;=AsOfDate,IF($R12=0,$X12,IF(AND($T12&lt;&gt;"",EDATE($D12,Milestones!$AA$38)&gt;=$T12),$W12,IF(AND($S12&lt;&gt;"",EDATE($D12,Milestones!$AA$38)&gt;=$S12),$V12,$U12)))=Milestones!$AB$38),UPPER(TEXT(EDATE($D12,Milestones!$AA$38),"dd mmm yy"))&amp;" "&amp;Milestones!$AB$38&amp;" "&amp;Milestones!$AC$38&amp;";  ","")&amp;IF(AND(EDATE($D12,Milestones!$AA$39)&lt;=AsOfDate,IF($R12=0,$X12,IF(AND($T12&lt;&gt;"",EDATE($D12,Milestones!$AA$39)&gt;=$T12),$W12,IF(AND($S12&lt;&gt;"",EDATE($D12,Milestones!$AA$39)&gt;=$S12),$V12,$U12)))=Milestones!$AB$39),UPPER(TEXT(EDATE($D12,Milestones!$AA$39),"dd mmm yy"))&amp;" "&amp;Milestones!$AB$39&amp;" "&amp;Milestones!$AC$39&amp;";  ",""))</f>
        <v/>
      </c>
      <c r="J12" s="0" t="str">
        <f aca="false">IF(OR($A12="",$D12=""),"",IF(AND(EDATE($D12,Milestones!$AA$40)&lt;=AsOfDate,IF($R12=0,$X12,IF(AND($T12&lt;&gt;"",EDATE($D12,Milestones!$AA$40)&gt;=$T12),$W12,IF(AND($S12&lt;&gt;"",EDATE($D12,Milestones!$AA$40)&gt;=$S12),$V12,$U12)))=Milestones!$AB$40),UPPER(TEXT(EDATE($D12,Milestones!$AA$40),"dd mmm yy"))&amp;" "&amp;Milestones!$AB$40&amp;" "&amp;Milestones!$AC$40&amp;";  ","")&amp;IF(AND(EDATE($D12,Milestones!$AA$41)&lt;=AsOfDate,IF($R12=0,$X12,IF(AND($T12&lt;&gt;"",EDATE($D12,Milestones!$AA$41)&gt;=$T12),$W12,IF(AND($S12&lt;&gt;"",EDATE($D12,Milestones!$AA$41)&gt;=$S12),$V12,$U12)))=Milestones!$AB$41),UPPER(TEXT(EDATE($D12,Milestones!$AA$41),"dd mmm yy"))&amp;" "&amp;Milestones!$AB$41&amp;" "&amp;Milestones!$AC$41&amp;";  ","")&amp;IF(AND(EDATE($D12,Milestones!$AA$42)&lt;=AsOfDate,IF($R12=0,$X12,IF(AND($T12&lt;&gt;"",EDATE($D12,Milestones!$AA$42)&gt;=$T12),$W12,IF(AND($S12&lt;&gt;"",EDATE($D12,Milestones!$AA$42)&gt;=$S12),$V12,$U12)))=Milestones!$AB$42),UPPER(TEXT(EDATE($D12,Milestones!$AA$42),"dd mmm yy"))&amp;" "&amp;Milestones!$AB$42&amp;" "&amp;Milestones!$AC$42&amp;";  ","")&amp;IF(AND(EDATE($D12,Milestones!$AA$43)&lt;=AsOfDate,IF($R12=0,$X12,IF(AND($T12&lt;&gt;"",EDATE($D12,Milestones!$AA$43)&gt;=$T12),$W12,IF(AND($S12&lt;&gt;"",EDATE($D12,Milestones!$AA$43)&gt;=$S12),$V12,$U12)))=Milestones!$AB$43),UPPER(TEXT(EDATE($D12,Milestones!$AA$43),"dd mmm yy"))&amp;" "&amp;Milestones!$AB$43&amp;" "&amp;Milestones!$AC$43&amp;";  ","")&amp;IF(AND(EDATE($D12,Milestones!$AA$44)&lt;=AsOfDate,IF($R12=0,$X12,IF(AND($T12&lt;&gt;"",EDATE($D12,Milestones!$AA$44)&gt;=$T12),$W12,IF(AND($S12&lt;&gt;"",EDATE($D12,Milestones!$AA$44)&gt;=$S12),$V12,$U12)))=Milestones!$AB$44),UPPER(TEXT(EDATE($D12,Milestones!$AA$44),"dd mmm yy"))&amp;" "&amp;Milestones!$AB$44&amp;" "&amp;Milestones!$AC$44&amp;";  ","")&amp;IF(AND(EDATE($D12,Milestones!$AA$45)&lt;=AsOfDate,IF($R12=0,$X12,IF(AND($T12&lt;&gt;"",EDATE($D12,Milestones!$AA$45)&gt;=$T12),$W12,IF(AND($S12&lt;&gt;"",EDATE($D12,Milestones!$AA$45)&gt;=$S12),$V12,$U12)))=Milestones!$AB$45),UPPER(TEXT(EDATE($D12,Milestones!$AA$45),"dd mmm yy"))&amp;" "&amp;Milestones!$AB$45&amp;" "&amp;Milestones!$AC$45&amp;";  ","")&amp;IF(AND(EDATE($D12,Milestones!$AA$46)&lt;=AsOfDate,IF($R12=0,$X12,IF(AND($T12&lt;&gt;"",EDATE($D12,Milestones!$AA$46)&gt;=$T12),$W12,IF(AND($S12&lt;&gt;"",EDATE($D12,Milestones!$AA$46)&gt;=$S12),$V12,$U12)))=Milestones!$AB$46),UPPER(TEXT(EDATE($D12,Milestones!$AA$46),"dd mmm yy"))&amp;" "&amp;Milestones!$AB$46&amp;" "&amp;Milestones!$AC$46&amp;";  ","")&amp;IF(AND(EDATE($D12,Milestones!$AA$47)&lt;=AsOfDate,IF($R12=0,$X12,IF(AND($T12&lt;&gt;"",EDATE($D12,Milestones!$AA$47)&gt;=$T12),$W12,IF(AND($S12&lt;&gt;"",EDATE($D12,Milestones!$AA$47)&gt;=$S12),$V12,$U12)))=Milestones!$AB$47),UPPER(TEXT(EDATE($D12,Milestones!$AA$47),"dd mmm yy"))&amp;" "&amp;Milestones!$AB$47&amp;" "&amp;Milestones!$AC$47&amp;";  ","")&amp;IF(AND(EDATE($D12,Milestones!$AA$48)&lt;=AsOfDate,IF($R12=0,$X12,IF(AND($T12&lt;&gt;"",EDATE($D12,Milestones!$AA$48)&gt;=$T12),$W12,IF(AND($S12&lt;&gt;"",EDATE($D12,Milestones!$AA$48)&gt;=$S12),$V12,$U12)))=Milestones!$AB$48),UPPER(TEXT(EDATE($D12,Milestones!$AA$48),"dd mmm yy"))&amp;" "&amp;Milestones!$AB$48&amp;" "&amp;Milestones!$AC$48&amp;";  ","")&amp;IF(AND(EDATE($D12,Milestones!$AA$49)&lt;=AsOfDate,IF($R12=0,$X12,IF(AND($T12&lt;&gt;"",EDATE($D12,Milestones!$AA$49)&gt;=$T12),$W12,IF(AND($S12&lt;&gt;"",EDATE($D12,Milestones!$AA$49)&gt;=$S12),$V12,$U12)))=Milestones!$AB$49),UPPER(TEXT(EDATE($D12,Milestones!$AA$49),"dd mmm yy"))&amp;" "&amp;Milestones!$AB$49&amp;" "&amp;Milestones!$AC$49&amp;";  ","")&amp;IF(AND(EDATE($D12,Milestones!$AA$50)&lt;=AsOfDate,IF($R12=0,$X12,IF(AND($T12&lt;&gt;"",EDATE($D12,Milestones!$AA$50)&gt;=$T12),$W12,IF(AND($S12&lt;&gt;"",EDATE($D12,Milestones!$AA$50)&gt;=$S12),$V12,$U12)))=Milestones!$AB$50),UPPER(TEXT(EDATE($D12,Milestones!$AA$50),"dd mmm yy"))&amp;" "&amp;Milestones!$AB$50&amp;" "&amp;Milestones!$AC$50&amp;";  ","")&amp;IF(AND(EDATE($D12,Milestones!$AA$51)&lt;=AsOfDate,IF($R12=0,$X12,IF(AND($T12&lt;&gt;"",EDATE($D12,Milestones!$AA$51)&gt;=$T12),$W12,IF(AND($S12&lt;&gt;"",EDATE($D12,Milestones!$AA$51)&gt;=$S12),$V12,$U12)))=Milestones!$AB$51),UPPER(TEXT(EDATE($D12,Milestones!$AA$51),"dd mmm yy"))&amp;" "&amp;Milestones!$AB$51&amp;" "&amp;Milestones!$AC$51&amp;";  ","")&amp;IF(AND(EDATE($D12,Milestones!$AA$52)&lt;=AsOfDate,IF($R12=0,$X12,IF(AND($T12&lt;&gt;"",EDATE($D12,Milestones!$AA$52)&gt;=$T12),$W12,IF(AND($S12&lt;&gt;"",EDATE($D12,Milestones!$AA$52)&gt;=$S12),$V12,$U12)))=Milestones!$AB$52),UPPER(TEXT(EDATE($D12,Milestones!$AA$52),"dd mmm yy"))&amp;" "&amp;Milestones!$AB$52&amp;" "&amp;Milestones!$AC$52&amp;";  ","")&amp;IF(AND(EDATE($D12,Milestones!$AA$53)&lt;=AsOfDate,IF($R12=0,$X12,IF(AND($T12&lt;&gt;"",EDATE($D12,Milestones!$AA$53)&gt;=$T12),$W12,IF(AND($S12&lt;&gt;"",EDATE($D12,Milestones!$AA$53)&gt;=$S12),$V12,$U12)))=Milestones!$AB$53),UPPER(TEXT(EDATE($D12,Milestones!$AA$53),"dd mmm yy"))&amp;" "&amp;Milestones!$AB$53&amp;" "&amp;Milestones!$AC$53&amp;";  ","")&amp;IF(AND(EDATE($D12,Milestones!$AA$54)&lt;=AsOfDate,IF($R12=0,$X12,IF(AND($T12&lt;&gt;"",EDATE($D12,Milestones!$AA$54)&gt;=$T12),$W12,IF(AND($S12&lt;&gt;"",EDATE($D12,Milestones!$AA$54)&gt;=$S12),$V12,$U12)))=Milestones!$AB$54),UPPER(TEXT(EDATE($D12,Milestones!$AA$54),"dd mmm yy"))&amp;" "&amp;Milestones!$AB$54&amp;" "&amp;Milestones!$AC$54&amp;";  ","")&amp;IF(AND(EDATE($D12,Milestones!$AA$55)&lt;=AsOfDate,IF($R12=0,$X12,IF(AND($T12&lt;&gt;"",EDATE($D12,Milestones!$AA$55)&gt;=$T12),$W12,IF(AND($S12&lt;&gt;"",EDATE($D12,Milestones!$AA$55)&gt;=$S12),$V12,$U12)))=Milestones!$AB$55),UPPER(TEXT(EDATE($D12,Milestones!$AA$55),"dd mmm yy"))&amp;" "&amp;Milestones!$AB$55&amp;" "&amp;Milestones!$AC$55&amp;";  ","")&amp;IF(AND(EDATE($D12,Milestones!$AA$56)&lt;=AsOfDate,IF($R12=0,$X12,IF(AND($T12&lt;&gt;"",EDATE($D12,Milestones!$AA$56)&gt;=$T12),$W12,IF(AND($S12&lt;&gt;"",EDATE($D12,Milestones!$AA$56)&gt;=$S12),$V12,$U12)))=Milestones!$AB$56),UPPER(TEXT(EDATE($D12,Milestones!$AA$56),"dd mmm yy"))&amp;" "&amp;Milestones!$AB$56&amp;" "&amp;Milestones!$AC$56&amp;";  ","")&amp;IF(AND(EDATE($D12,Milestones!$AA$57)&lt;=AsOfDate,IF($R12=0,$X12,IF(AND($T12&lt;&gt;"",EDATE($D12,Milestones!$AA$57)&gt;=$T12),$W12,IF(AND($S12&lt;&gt;"",EDATE($D12,Milestones!$AA$57)&gt;=$S12),$V12,$U12)))=Milestones!$AB$57),UPPER(TEXT(EDATE($D12,Milestones!$AA$57),"dd mmm yy"))&amp;" "&amp;Milestones!$AB$57&amp;" "&amp;Milestones!$AC$57&amp;";  ","")&amp;IF(AND(EDATE($D12,Milestones!$AA$58)&lt;=AsOfDate,IF($R12=0,$X12,IF(AND($T12&lt;&gt;"",EDATE($D12,Milestones!$AA$58)&gt;=$T12),$W12,IF(AND($S12&lt;&gt;"",EDATE($D12,Milestones!$AA$58)&gt;=$S12),$V12,$U12)))=Milestones!$AB$58),UPPER(TEXT(EDATE($D12,Milestones!$AA$58),"dd mmm yy"))&amp;" "&amp;Milestones!$AB$58&amp;" "&amp;Milestones!$AC$58&amp;";  ","")&amp;IF(AND(EDATE($D12,Milestones!$AA$59)&lt;=AsOfDate,IF($R12=0,$X12,IF(AND($T12&lt;&gt;"",EDATE($D12,Milestones!$AA$59)&gt;=$T12),$W12,IF(AND($S12&lt;&gt;"",EDATE($D12,Milestones!$AA$59)&gt;=$S12),$V12,$U12)))=Milestones!$AB$59),UPPER(TEXT(EDATE($D12,Milestones!$AA$59),"dd mmm yy"))&amp;" "&amp;Milestones!$AB$59&amp;" "&amp;Milestones!$AC$59&amp;";  ",""))</f>
        <v/>
      </c>
      <c r="K12" s="0" t="str">
        <f aca="false">IF(OR($A12="",$D12=""),"",IF(AND(EDATE($D12,Milestones!$AA$60)&lt;=AsOfDate,IF($R12=0,$X12,IF(AND($T12&lt;&gt;"",EDATE($D12,Milestones!$AA$60)&gt;=$T12),$W12,IF(AND($S12&lt;&gt;"",EDATE($D12,Milestones!$AA$60)&gt;=$S12),$V12,$U12)))=Milestones!$AB$60),UPPER(TEXT(EDATE($D12,Milestones!$AA$60),"dd mmm yy"))&amp;" "&amp;Milestones!$AB$60&amp;" "&amp;Milestones!$AC$60&amp;";  ","")&amp;IF(AND(EDATE($D12,Milestones!$AA$61)&lt;=AsOfDate,IF($R12=0,$X12,IF(AND($T12&lt;&gt;"",EDATE($D12,Milestones!$AA$61)&gt;=$T12),$W12,IF(AND($S12&lt;&gt;"",EDATE($D12,Milestones!$AA$61)&gt;=$S12),$V12,$U12)))=Milestones!$AB$61),UPPER(TEXT(EDATE($D12,Milestones!$AA$61),"dd mmm yy"))&amp;" "&amp;Milestones!$AB$61&amp;" "&amp;Milestones!$AC$61&amp;";  ","")&amp;IF(AND(EDATE($D12,Milestones!$AA$62)&lt;=AsOfDate,IF($R12=0,$X12,IF(AND($T12&lt;&gt;"",EDATE($D12,Milestones!$AA$62)&gt;=$T12),$W12,IF(AND($S12&lt;&gt;"",EDATE($D12,Milestones!$AA$62)&gt;=$S12),$V12,$U12)))=Milestones!$AB$62),UPPER(TEXT(EDATE($D12,Milestones!$AA$62),"dd mmm yy"))&amp;" "&amp;Milestones!$AB$62&amp;" "&amp;Milestones!$AC$62&amp;";  ","")&amp;IF(AND(EDATE($D12,Milestones!$AA$63)&lt;=AsOfDate,IF($R12=0,$X12,IF(AND($T12&lt;&gt;"",EDATE($D12,Milestones!$AA$63)&gt;=$T12),$W12,IF(AND($S12&lt;&gt;"",EDATE($D12,Milestones!$AA$63)&gt;=$S12),$V12,$U12)))=Milestones!$AB$63),UPPER(TEXT(EDATE($D12,Milestones!$AA$63),"dd mmm yy"))&amp;" "&amp;Milestones!$AB$63&amp;" "&amp;Milestones!$AC$63&amp;";  ","")&amp;IF(AND(EDATE($D12,Milestones!$AA$64)&lt;=AsOfDate,IF($R12=0,$X12,IF(AND($T12&lt;&gt;"",EDATE($D12,Milestones!$AA$64)&gt;=$T12),$W12,IF(AND($S12&lt;&gt;"",EDATE($D12,Milestones!$AA$64)&gt;=$S12),$V12,$U12)))=Milestones!$AB$64),UPPER(TEXT(EDATE($D12,Milestones!$AA$64),"dd mmm yy"))&amp;" "&amp;Milestones!$AB$64&amp;" "&amp;Milestones!$AC$64&amp;";  ","")&amp;IF(AND(EDATE($D12,Milestones!$AA$65)&lt;=AsOfDate,IF($R12=0,$X12,IF(AND($T12&lt;&gt;"",EDATE($D12,Milestones!$AA$65)&gt;=$T12),$W12,IF(AND($S12&lt;&gt;"",EDATE($D12,Milestones!$AA$65)&gt;=$S12),$V12,$U12)))=Milestones!$AB$65),UPPER(TEXT(EDATE($D12,Milestones!$AA$65),"dd mmm yy"))&amp;" "&amp;Milestones!$AB$65&amp;" "&amp;Milestones!$AC$65&amp;";  ","")&amp;IF(AND(EDATE($D12,Milestones!$AA$66)&lt;=AsOfDate,IF($R12=0,$X12,IF(AND($T12&lt;&gt;"",EDATE($D12,Milestones!$AA$66)&gt;=$T12),$W12,IF(AND($S12&lt;&gt;"",EDATE($D12,Milestones!$AA$66)&gt;=$S12),$V12,$U12)))=Milestones!$AB$66),UPPER(TEXT(EDATE($D12,Milestones!$AA$66),"dd mmm yy"))&amp;" "&amp;Milestones!$AB$66&amp;" "&amp;Milestones!$AC$66&amp;";  ","")&amp;IF(AND(EDATE($D12,Milestones!$AA$67)&lt;=AsOfDate,IF($R12=0,$X12,IF(AND($T12&lt;&gt;"",EDATE($D12,Milestones!$AA$67)&gt;=$T12),$W12,IF(AND($S12&lt;&gt;"",EDATE($D12,Milestones!$AA$67)&gt;=$S12),$V12,$U12)))=Milestones!$AB$67),UPPER(TEXT(EDATE($D12,Milestones!$AA$67),"dd mmm yy"))&amp;" "&amp;Milestones!$AB$67&amp;" "&amp;Milestones!$AC$67&amp;";  ","")&amp;IF(AND(EDATE($D12,Milestones!$AA$68)&lt;=AsOfDate,IF($R12=0,$X12,IF(AND($T12&lt;&gt;"",EDATE($D12,Milestones!$AA$68)&gt;=$T12),$W12,IF(AND($S12&lt;&gt;"",EDATE($D12,Milestones!$AA$68)&gt;=$S12),$V12,$U12)))=Milestones!$AB$68),UPPER(TEXT(EDATE($D12,Milestones!$AA$68),"dd mmm yy"))&amp;" "&amp;Milestones!$AB$68&amp;" "&amp;Milestones!$AC$68&amp;";  ","")&amp;IF(AND(EDATE($D12,Milestones!$AA$69)&lt;=AsOfDate,IF($R12=0,$X12,IF(AND($T12&lt;&gt;"",EDATE($D12,Milestones!$AA$69)&gt;=$T12),$W12,IF(AND($S12&lt;&gt;"",EDATE($D12,Milestones!$AA$69)&gt;=$S12),$V12,$U12)))=Milestones!$AB$69),UPPER(TEXT(EDATE($D12,Milestones!$AA$69),"dd mmm yy"))&amp;" "&amp;Milestones!$AB$69&amp;" "&amp;Milestones!$AC$69&amp;";  ","")&amp;IF(AND(EDATE($D12,Milestones!$AA$70)&lt;=AsOfDate,IF($R12=0,$X12,IF(AND($T12&lt;&gt;"",EDATE($D12,Milestones!$AA$70)&gt;=$T12),$W12,IF(AND($S12&lt;&gt;"",EDATE($D12,Milestones!$AA$70)&gt;=$S12),$V12,$U12)))=Milestones!$AB$70),UPPER(TEXT(EDATE($D12,Milestones!$AA$70),"dd mmm yy"))&amp;" "&amp;Milestones!$AB$70&amp;" "&amp;Milestones!$AC$70&amp;";  ","")&amp;IF(AND(EDATE($D12,Milestones!$AA$71)&lt;=AsOfDate,IF($R12=0,$X12,IF(AND($T12&lt;&gt;"",EDATE($D12,Milestones!$AA$71)&gt;=$T12),$W12,IF(AND($S12&lt;&gt;"",EDATE($D12,Milestones!$AA$71)&gt;=$S12),$V12,$U12)))=Milestones!$AB$71),UPPER(TEXT(EDATE($D12,Milestones!$AA$71),"dd mmm yy"))&amp;" "&amp;Milestones!$AB$71&amp;" "&amp;Milestones!$AC$71&amp;";  ","")&amp;IF(AND(EDATE($D12,Milestones!$AA$72)&lt;=AsOfDate,IF($R12=0,$X12,IF(AND($T12&lt;&gt;"",EDATE($D12,Milestones!$AA$72)&gt;=$T12),$W12,IF(AND($S12&lt;&gt;"",EDATE($D12,Milestones!$AA$72)&gt;=$S12),$V12,$U12)))=Milestones!$AB$72),UPPER(TEXT(EDATE($D12,Milestones!$AA$72),"dd mmm yy"))&amp;" "&amp;Milestones!$AB$72&amp;" "&amp;Milestones!$AC$72&amp;";  ","")&amp;IF(AND(EDATE($D12,Milestones!$AA$73)&lt;=AsOfDate,IF($R12=0,$X12,IF(AND($T12&lt;&gt;"",EDATE($D12,Milestones!$AA$73)&gt;=$T12),$W12,IF(AND($S12&lt;&gt;"",EDATE($D12,Milestones!$AA$73)&gt;=$S12),$V12,$U12)))=Milestones!$AB$73),UPPER(TEXT(EDATE($D12,Milestones!$AA$73),"dd mmm yy"))&amp;" "&amp;Milestones!$AB$73&amp;" "&amp;Milestones!$AC$73&amp;";  ","")&amp;IF(AND(EDATE($D12,Milestones!$AA$74)&lt;=AsOfDate,IF($R12=0,$X12,IF(AND($T12&lt;&gt;"",EDATE($D12,Milestones!$AA$74)&gt;=$T12),$W12,IF(AND($S12&lt;&gt;"",EDATE($D12,Milestones!$AA$74)&gt;=$S12),$V12,$U12)))=Milestones!$AB$74),UPPER(TEXT(EDATE($D12,Milestones!$AA$74),"dd mmm yy"))&amp;" "&amp;Milestones!$AB$74&amp;" "&amp;Milestones!$AC$74&amp;";  ","")&amp;IF(AND(EDATE($D12,Milestones!$AA$75)&lt;=AsOfDate,IF($R12=0,$X12,IF(AND($T12&lt;&gt;"",EDATE($D12,Milestones!$AA$75)&gt;=$T12),$W12,IF(AND($S12&lt;&gt;"",EDATE($D12,Milestones!$AA$75)&gt;=$S12),$V12,$U12)))=Milestones!$AB$75),UPPER(TEXT(EDATE($D12,Milestones!$AA$75),"dd mmm yy"))&amp;" "&amp;Milestones!$AB$75&amp;" "&amp;Milestones!$AC$75&amp;";  ","")&amp;IF(AND(EDATE($D12,Milestones!$AA$76)&lt;=AsOfDate,IF($R12=0,$X12,IF(AND($T12&lt;&gt;"",EDATE($D12,Milestones!$AA$76)&gt;=$T12),$W12,IF(AND($S12&lt;&gt;"",EDATE($D12,Milestones!$AA$76)&gt;=$S12),$V12,$U12)))=Milestones!$AB$76),UPPER(TEXT(EDATE($D12,Milestones!$AA$76),"dd mmm yy"))&amp;" "&amp;Milestones!$AB$76&amp;" "&amp;Milestones!$AC$76&amp;";  ","")&amp;IF(AND(EDATE($D12,Milestones!$AA$77)&lt;=AsOfDate,IF($R12=0,$X12,IF(AND($T12&lt;&gt;"",EDATE($D12,Milestones!$AA$77)&gt;=$T12),$W12,IF(AND($S12&lt;&gt;"",EDATE($D12,Milestones!$AA$77)&gt;=$S12),$V12,$U12)))=Milestones!$AB$77),UPPER(TEXT(EDATE($D12,Milestones!$AA$77),"dd mmm yy"))&amp;" "&amp;Milestones!$AB$77&amp;" "&amp;Milestones!$AC$77&amp;";  ","")&amp;IF(AND(EDATE($D12,Milestones!$AA$78)&lt;=AsOfDate,IF($R12=0,$X12,IF(AND($T12&lt;&gt;"",EDATE($D12,Milestones!$AA$78)&gt;=$T12),$W12,IF(AND($S12&lt;&gt;"",EDATE($D12,Milestones!$AA$78)&gt;=$S12),$V12,$U12)))=Milestones!$AB$78),UPPER(TEXT(EDATE($D12,Milestones!$AA$78),"dd mmm yy"))&amp;" "&amp;Milestones!$AB$78&amp;" "&amp;Milestones!$AC$78&amp;";  ","")&amp;IF(AND(EDATE($D12,Milestones!$AA$79)&lt;=AsOfDate,IF($R12=0,$X12,IF(AND($T12&lt;&gt;"",EDATE($D12,Milestones!$AA$79)&gt;=$T12),$W12,IF(AND($S12&lt;&gt;"",EDATE($D12,Milestones!$AA$79)&gt;=$S12),$V12,$U12)))=Milestones!$AB$79),UPPER(TEXT(EDATE($D12,Milestones!$AA$79),"dd mmm yy"))&amp;" "&amp;Milestones!$AB$79&amp;" "&amp;Milestones!$AC$79&amp;";  ",""))</f>
        <v/>
      </c>
      <c r="L12" s="0" t="str">
        <f aca="false">IF(OR($A12="",$D12=""),"",IF(AND(EDATE($D12,Milestones!$AA$80)&lt;=AsOfDate,IF($R12=0,$X12,IF(AND($T12&lt;&gt;"",EDATE($D12,Milestones!$AA$80)&gt;=$T12),$W12,IF(AND($S12&lt;&gt;"",EDATE($D12,Milestones!$AA$80)&gt;=$S12),$V12,$U12)))=Milestones!$AB$80),UPPER(TEXT(EDATE($D12,Milestones!$AA$80),"dd mmm yy"))&amp;" "&amp;Milestones!$AB$80&amp;" "&amp;Milestones!$AC$80&amp;";  ","")&amp;IF(AND(EDATE($D12,Milestones!$AA$81)&lt;=AsOfDate,IF($R12=0,$X12,IF(AND($T12&lt;&gt;"",EDATE($D12,Milestones!$AA$81)&gt;=$T12),$W12,IF(AND($S12&lt;&gt;"",EDATE($D12,Milestones!$AA$81)&gt;=$S12),$V12,$U12)))=Milestones!$AB$81),UPPER(TEXT(EDATE($D12,Milestones!$AA$81),"dd mmm yy"))&amp;" "&amp;Milestones!$AB$81&amp;" "&amp;Milestones!$AC$81&amp;";  ","")&amp;IF(AND(EDATE($D12,Milestones!$AA$82)&lt;=AsOfDate,IF($R12=0,$X12,IF(AND($T12&lt;&gt;"",EDATE($D12,Milestones!$AA$82)&gt;=$T12),$W12,IF(AND($S12&lt;&gt;"",EDATE($D12,Milestones!$AA$82)&gt;=$S12),$V12,$U12)))=Milestones!$AB$82),UPPER(TEXT(EDATE($D12,Milestones!$AA$82),"dd mmm yy"))&amp;" "&amp;Milestones!$AB$82&amp;" "&amp;Milestones!$AC$82&amp;";  ","")&amp;IF(AND(EDATE($D12,Milestones!$AA$83)&lt;=AsOfDate,IF($R12=0,$X12,IF(AND($T12&lt;&gt;"",EDATE($D12,Milestones!$AA$83)&gt;=$T12),$W12,IF(AND($S12&lt;&gt;"",EDATE($D12,Milestones!$AA$83)&gt;=$S12),$V12,$U12)))=Milestones!$AB$83),UPPER(TEXT(EDATE($D12,Milestones!$AA$83),"dd mmm yy"))&amp;" "&amp;Milestones!$AB$83&amp;" "&amp;Milestones!$AC$83&amp;";  ","")&amp;IF(AND(EDATE($D12,Milestones!$AA$84)&lt;=AsOfDate,IF($R12=0,$X12,IF(AND($T12&lt;&gt;"",EDATE($D12,Milestones!$AA$84)&gt;=$T12),$W12,IF(AND($S12&lt;&gt;"",EDATE($D12,Milestones!$AA$84)&gt;=$S12),$V12,$U12)))=Milestones!$AB$84),UPPER(TEXT(EDATE($D12,Milestones!$AA$84),"dd mmm yy"))&amp;" "&amp;Milestones!$AB$84&amp;" "&amp;Milestones!$AC$84&amp;";  ","")&amp;IF(AND(EDATE($D12,Milestones!$AA$85)&lt;=AsOfDate,IF($R12=0,$X12,IF(AND($T12&lt;&gt;"",EDATE($D12,Milestones!$AA$85)&gt;=$T12),$W12,IF(AND($S12&lt;&gt;"",EDATE($D12,Milestones!$AA$85)&gt;=$S12),$V12,$U12)))=Milestones!$AB$85),UPPER(TEXT(EDATE($D12,Milestones!$AA$85),"dd mmm yy"))&amp;" "&amp;Milestones!$AB$85&amp;" "&amp;Milestones!$AC$85&amp;";  ","")&amp;IF(AND(EDATE($D12,Milestones!$AA$86)&lt;=AsOfDate,IF($R12=0,$X12,IF(AND($T12&lt;&gt;"",EDATE($D12,Milestones!$AA$86)&gt;=$T12),$W12,IF(AND($S12&lt;&gt;"",EDATE($D12,Milestones!$AA$86)&gt;=$S12),$V12,$U12)))=Milestones!$AB$86),UPPER(TEXT(EDATE($D12,Milestones!$AA$86),"dd mmm yy"))&amp;" "&amp;Milestones!$AB$86&amp;" "&amp;Milestones!$AC$86&amp;";  ","")&amp;IF(AND(EDATE($D12,Milestones!$AA$87)&lt;=AsOfDate,IF($R12=0,$X12,IF(AND($T12&lt;&gt;"",EDATE($D12,Milestones!$AA$87)&gt;=$T12),$W12,IF(AND($S12&lt;&gt;"",EDATE($D12,Milestones!$AA$87)&gt;=$S12),$V12,$U12)))=Milestones!$AB$87),UPPER(TEXT(EDATE($D12,Milestones!$AA$87),"dd mmm yy"))&amp;" "&amp;Milestones!$AB$87&amp;" "&amp;Milestones!$AC$87&amp;";  ","")&amp;IF(AND(EDATE($D12,Milestones!$AA$88)&lt;=AsOfDate,IF($R12=0,$X12,IF(AND($T12&lt;&gt;"",EDATE($D12,Milestones!$AA$88)&gt;=$T12),$W12,IF(AND($S12&lt;&gt;"",EDATE($D12,Milestones!$AA$88)&gt;=$S12),$V12,$U12)))=Milestones!$AB$88),UPPER(TEXT(EDATE($D12,Milestones!$AA$88),"dd mmm yy"))&amp;" "&amp;Milestones!$AB$88&amp;" "&amp;Milestones!$AC$88&amp;";  ","")&amp;IF(AND(EDATE($D12,Milestones!$AA$89)&lt;=AsOfDate,IF($R12=0,$X12,IF(AND($T12&lt;&gt;"",EDATE($D12,Milestones!$AA$89)&gt;=$T12),$W12,IF(AND($S12&lt;&gt;"",EDATE($D12,Milestones!$AA$89)&gt;=$S12),$V12,$U12)))=Milestones!$AB$89),UPPER(TEXT(EDATE($D12,Milestones!$AA$89),"dd mmm yy"))&amp;" "&amp;Milestones!$AB$89&amp;" "&amp;Milestones!$AC$89&amp;";  ","")&amp;IF(AND(EDATE($D12,Milestones!$AA$90)&lt;=AsOfDate,IF($R12=0,$X12,IF(AND($T12&lt;&gt;"",EDATE($D12,Milestones!$AA$90)&gt;=$T12),$W12,IF(AND($S12&lt;&gt;"",EDATE($D12,Milestones!$AA$90)&gt;=$S12),$V12,$U12)))=Milestones!$AB$90),UPPER(TEXT(EDATE($D12,Milestones!$AA$90),"dd mmm yy"))&amp;" "&amp;Milestones!$AB$90&amp;" "&amp;Milestones!$AC$90&amp;";  ","")&amp;IF(AND(EDATE($D12,Milestones!$AA$91)&lt;=AsOfDate,IF($R12=0,$X12,IF(AND($T12&lt;&gt;"",EDATE($D12,Milestones!$AA$91)&gt;=$T12),$W12,IF(AND($S12&lt;&gt;"",EDATE($D12,Milestones!$AA$91)&gt;=$S12),$V12,$U12)))=Milestones!$AB$91),UPPER(TEXT(EDATE($D12,Milestones!$AA$91),"dd mmm yy"))&amp;" "&amp;Milestones!$AB$91&amp;" "&amp;Milestones!$AC$91&amp;";  ","")&amp;IF(AND(EDATE($D12,Milestones!$AA$92)&lt;=AsOfDate,IF($R12=0,$X12,IF(AND($T12&lt;&gt;"",EDATE($D12,Milestones!$AA$92)&gt;=$T12),$W12,IF(AND($S12&lt;&gt;"",EDATE($D12,Milestones!$AA$92)&gt;=$S12),$V12,$U12)))=Milestones!$AB$92),UPPER(TEXT(EDATE($D12,Milestones!$AA$92),"dd mmm yy"))&amp;" "&amp;Milestones!$AB$92&amp;" "&amp;Milestones!$AC$92&amp;";  ","")&amp;IF(AND(EDATE($D12,Milestones!$AA$93)&lt;=AsOfDate,IF($R12=0,$X12,IF(AND($T12&lt;&gt;"",EDATE($D12,Milestones!$AA$93)&gt;=$T12),$W12,IF(AND($S12&lt;&gt;"",EDATE($D12,Milestones!$AA$93)&gt;=$S12),$V12,$U12)))=Milestones!$AB$93),UPPER(TEXT(EDATE($D12,Milestones!$AA$93),"dd mmm yy"))&amp;" "&amp;Milestones!$AB$93&amp;" "&amp;Milestones!$AC$93&amp;";  ","")&amp;IF(AND(EDATE($D12,Milestones!$AA$94)&lt;=AsOfDate,IF($R12=0,$X12,IF(AND($T12&lt;&gt;"",EDATE($D12,Milestones!$AA$94)&gt;=$T12),$W12,IF(AND($S12&lt;&gt;"",EDATE($D12,Milestones!$AA$94)&gt;=$S12),$V12,$U12)))=Milestones!$AB$94),UPPER(TEXT(EDATE($D12,Milestones!$AA$94),"dd mmm yy"))&amp;" "&amp;Milestones!$AB$94&amp;" "&amp;Milestones!$AC$94&amp;";  ","")&amp;IF(AND(EDATE($D12,Milestones!$AA$95)&lt;=AsOfDate,IF($R12=0,$X12,IF(AND($T12&lt;&gt;"",EDATE($D12,Milestones!$AA$95)&gt;=$T12),$W12,IF(AND($S12&lt;&gt;"",EDATE($D12,Milestones!$AA$95)&gt;=$S12),$V12,$U12)))=Milestones!$AB$95),UPPER(TEXT(EDATE($D12,Milestones!$AA$95),"dd mmm yy"))&amp;" "&amp;Milestones!$AB$95&amp;" "&amp;Milestones!$AC$95&amp;";  ","")&amp;IF(AND(EDATE($D12,Milestones!$AA$96)&lt;=AsOfDate,IF($R12=0,$X12,IF(AND($T12&lt;&gt;"",EDATE($D12,Milestones!$AA$96)&gt;=$T12),$W12,IF(AND($S12&lt;&gt;"",EDATE($D12,Milestones!$AA$96)&gt;=$S12),$V12,$U12)))=Milestones!$AB$96),UPPER(TEXT(EDATE($D12,Milestones!$AA$96),"dd mmm yy"))&amp;" "&amp;Milestones!$AB$96&amp;" "&amp;Milestones!$AC$96&amp;";  ","")&amp;IF(AND(EDATE($D12,Milestones!$AA$97)&lt;=AsOfDate,IF($R12=0,$X12,IF(AND($T12&lt;&gt;"",EDATE($D12,Milestones!$AA$97)&gt;=$T12),$W12,IF(AND($S12&lt;&gt;"",EDATE($D12,Milestones!$AA$97)&gt;=$S12),$V12,$U12)))=Milestones!$AB$97),UPPER(TEXT(EDATE($D12,Milestones!$AA$97),"dd mmm yy"))&amp;" "&amp;Milestones!$AB$97&amp;" "&amp;Milestones!$AC$97&amp;";  ","")&amp;IF(AND(EDATE($D12,Milestones!$AA$98)&lt;=AsOfDate,IF($R12=0,$X12,IF(AND($T12&lt;&gt;"",EDATE($D12,Milestones!$AA$98)&gt;=$T12),$W12,IF(AND($S12&lt;&gt;"",EDATE($D12,Milestones!$AA$98)&gt;=$S12),$V12,$U12)))=Milestones!$AB$98),UPPER(TEXT(EDATE($D12,Milestones!$AA$98),"dd mmm yy"))&amp;" "&amp;Milestones!$AB$98&amp;" "&amp;Milestones!$AC$98&amp;";  ","")&amp;IF(AND(EDATE($D12,Milestones!$AA$99)&lt;=AsOfDate,IF($R12=0,$X12,IF(AND($T12&lt;&gt;"",EDATE($D12,Milestones!$AA$99)&gt;=$T12),$W12,IF(AND($S12&lt;&gt;"",EDATE($D12,Milestones!$AA$99)&gt;=$S12),$V12,$U12)))=Milestones!$AB$99),UPPER(TEXT(EDATE($D12,Milestones!$AA$99),"dd mmm yy"))&amp;" "&amp;Milestones!$AB$99&amp;" "&amp;Milestones!$AC$99&amp;";  ",""))</f>
        <v/>
      </c>
      <c r="M12" s="0" t="str">
        <f aca="false">IF(OR($A12="",$D12=""),"",IF(AND(EDATE($D12,Milestones!$AA$100)&lt;=AsOfDate,IF($R12=0,$X12,IF(AND($T12&lt;&gt;"",EDATE($D12,Milestones!$AA$100)&gt;=$T12),$W12,IF(AND($S12&lt;&gt;"",EDATE($D12,Milestones!$AA$100)&gt;=$S12),$V12,$U12)))=Milestones!$AB$100),UPPER(TEXT(EDATE($D12,Milestones!$AA$100),"dd mmm yy"))&amp;" "&amp;Milestones!$AB$100&amp;" "&amp;Milestones!$AC$100&amp;";  ","")&amp;IF(AND(EDATE($D12,Milestones!$AA$101)&lt;=AsOfDate,IF($R12=0,$X12,IF(AND($T12&lt;&gt;"",EDATE($D12,Milestones!$AA$101)&gt;=$T12),$W12,IF(AND($S12&lt;&gt;"",EDATE($D12,Milestones!$AA$101)&gt;=$S12),$V12,$U12)))=Milestones!$AB$101),UPPER(TEXT(EDATE($D12,Milestones!$AA$101),"dd mmm yy"))&amp;" "&amp;Milestones!$AB$101&amp;" "&amp;Milestones!$AC$101&amp;";  ","")&amp;IF(AND(EDATE($D12,Milestones!$AA$102)&lt;=AsOfDate,IF($R12=0,$X12,IF(AND($T12&lt;&gt;"",EDATE($D12,Milestones!$AA$102)&gt;=$T12),$W12,IF(AND($S12&lt;&gt;"",EDATE($D12,Milestones!$AA$102)&gt;=$S12),$V12,$U12)))=Milestones!$AB$102),UPPER(TEXT(EDATE($D12,Milestones!$AA$102),"dd mmm yy"))&amp;" "&amp;Milestones!$AB$102&amp;" "&amp;Milestones!$AC$102&amp;";  ","")&amp;IF(AND(EDATE($D12,Milestones!$AA$103)&lt;=AsOfDate,IF($R12=0,$X12,IF(AND($T12&lt;&gt;"",EDATE($D12,Milestones!$AA$103)&gt;=$T12),$W12,IF(AND($S12&lt;&gt;"",EDATE($D12,Milestones!$AA$103)&gt;=$S12),$V12,$U12)))=Milestones!$AB$103),UPPER(TEXT(EDATE($D12,Milestones!$AA$103),"dd mmm yy"))&amp;" "&amp;Milestones!$AB$103&amp;" "&amp;Milestones!$AC$103&amp;";  ","")&amp;IF(AND(EDATE($D12,Milestones!$AA$104)&lt;=AsOfDate,IF($R12=0,$X12,IF(AND($T12&lt;&gt;"",EDATE($D12,Milestones!$AA$104)&gt;=$T12),$W12,IF(AND($S12&lt;&gt;"",EDATE($D12,Milestones!$AA$104)&gt;=$S12),$V12,$U12)))=Milestones!$AB$104),UPPER(TEXT(EDATE($D12,Milestones!$AA$104),"dd mmm yy"))&amp;" "&amp;Milestones!$AB$104&amp;" "&amp;Milestones!$AC$104&amp;";  ","")&amp;IF(AND(EDATE($D12,Milestones!$AA$105)&lt;=AsOfDate,IF($R12=0,$X12,IF(AND($T12&lt;&gt;"",EDATE($D12,Milestones!$AA$105)&gt;=$T12),$W12,IF(AND($S12&lt;&gt;"",EDATE($D12,Milestones!$AA$105)&gt;=$S12),$V12,$U12)))=Milestones!$AB$105),UPPER(TEXT(EDATE($D12,Milestones!$AA$105),"dd mmm yy"))&amp;" "&amp;Milestones!$AB$105&amp;" "&amp;Milestones!$AC$105&amp;";  ","")&amp;IF(AND(EDATE($D12,Milestones!$AA$106)&lt;=AsOfDate,IF($R12=0,$X12,IF(AND($T12&lt;&gt;"",EDATE($D12,Milestones!$AA$106)&gt;=$T12),$W12,IF(AND($S12&lt;&gt;"",EDATE($D12,Milestones!$AA$106)&gt;=$S12),$V12,$U12)))=Milestones!$AB$106),UPPER(TEXT(EDATE($D12,Milestones!$AA$106),"dd mmm yy"))&amp;" "&amp;Milestones!$AB$106&amp;" "&amp;Milestones!$AC$106&amp;";  ","")&amp;IF(AND(EDATE($D12,Milestones!$AA$107)&lt;=AsOfDate,IF($R12=0,$X12,IF(AND($T12&lt;&gt;"",EDATE($D12,Milestones!$AA$107)&gt;=$T12),$W12,IF(AND($S12&lt;&gt;"",EDATE($D12,Milestones!$AA$107)&gt;=$S12),$V12,$U12)))=Milestones!$AB$107),UPPER(TEXT(EDATE($D12,Milestones!$AA$107),"dd mmm yy"))&amp;" "&amp;Milestones!$AB$107&amp;" "&amp;Milestones!$AC$107&amp;";  ","")&amp;IF(AND(EDATE($D12,Milestones!$AA$108)&lt;=AsOfDate,IF($R12=0,$X12,IF(AND($T12&lt;&gt;"",EDATE($D12,Milestones!$AA$108)&gt;=$T12),$W12,IF(AND($S12&lt;&gt;"",EDATE($D12,Milestones!$AA$108)&gt;=$S12),$V12,$U12)))=Milestones!$AB$108),UPPER(TEXT(EDATE($D12,Milestones!$AA$108),"dd mmm yy"))&amp;" "&amp;Milestones!$AB$108&amp;" "&amp;Milestones!$AC$108&amp;";  ","")&amp;IF(AND(EDATE($D12,Milestones!$AA$109)&lt;=AsOfDate,IF($R12=0,$X12,IF(AND($T12&lt;&gt;"",EDATE($D12,Milestones!$AA$109)&gt;=$T12),$W12,IF(AND($S12&lt;&gt;"",EDATE($D12,Milestones!$AA$109)&gt;=$S12),$V12,$U12)))=Milestones!$AB$109),UPPER(TEXT(EDATE($D12,Milestones!$AA$109),"dd mmm yy"))&amp;" "&amp;Milestones!$AB$109&amp;" "&amp;Milestones!$AC$109&amp;";  ","")&amp;IF(AND(EDATE($D12,Milestones!$AA$110)&lt;=AsOfDate,IF($R12=0,$X12,IF(AND($T12&lt;&gt;"",EDATE($D12,Milestones!$AA$110)&gt;=$T12),$W12,IF(AND($S12&lt;&gt;"",EDATE($D12,Milestones!$AA$110)&gt;=$S12),$V12,$U12)))=Milestones!$AB$110),UPPER(TEXT(EDATE($D12,Milestones!$AA$110),"dd mmm yy"))&amp;" "&amp;Milestones!$AB$110&amp;" "&amp;Milestones!$AC$110&amp;";  ","")&amp;IF(AND(EDATE($D12,Milestones!$AA$111)&lt;=AsOfDate,IF($R12=0,$X12,IF(AND($T12&lt;&gt;"",EDATE($D12,Milestones!$AA$111)&gt;=$T12),$W12,IF(AND($S12&lt;&gt;"",EDATE($D12,Milestones!$AA$111)&gt;=$S12),$V12,$U12)))=Milestones!$AB$111),UPPER(TEXT(EDATE($D12,Milestones!$AA$111),"dd mmm yy"))&amp;" "&amp;Milestones!$AB$111&amp;" "&amp;Milestones!$AC$111&amp;";  ","")&amp;IF(AND(EDATE($D12,Milestones!$AA$112)&lt;=AsOfDate,IF($R12=0,$X12,IF(AND($T12&lt;&gt;"",EDATE($D12,Milestones!$AA$112)&gt;=$T12),$W12,IF(AND($S12&lt;&gt;"",EDATE($D12,Milestones!$AA$112)&gt;=$S12),$V12,$U12)))=Milestones!$AB$112),UPPER(TEXT(EDATE($D12,Milestones!$AA$112),"dd mmm yy"))&amp;" "&amp;Milestones!$AB$112&amp;" "&amp;Milestones!$AC$112&amp;";  ","")&amp;IF(AND(EDATE($D12,Milestones!$AA$113)&lt;=AsOfDate,IF($R12=0,$X12,IF(AND($T12&lt;&gt;"",EDATE($D12,Milestones!$AA$113)&gt;=$T12),$W12,IF(AND($S12&lt;&gt;"",EDATE($D12,Milestones!$AA$113)&gt;=$S12),$V12,$U12)))=Milestones!$AB$113),UPPER(TEXT(EDATE($D12,Milestones!$AA$113),"dd mmm yy"))&amp;" "&amp;Milestones!$AB$113&amp;" "&amp;Milestones!$AC$113&amp;";  ","")&amp;IF(AND(EDATE($D12,Milestones!$AA$114)&lt;=AsOfDate,IF($R12=0,$X12,IF(AND($T12&lt;&gt;"",EDATE($D12,Milestones!$AA$114)&gt;=$T12),$W12,IF(AND($S12&lt;&gt;"",EDATE($D12,Milestones!$AA$114)&gt;=$S12),$V12,$U12)))=Milestones!$AB$114),UPPER(TEXT(EDATE($D12,Milestones!$AA$114),"dd mmm yy"))&amp;" "&amp;Milestones!$AB$114&amp;" "&amp;Milestones!$AC$114&amp;";  ","")&amp;IF(AND(EDATE($D12,Milestones!$AA$115)&lt;=AsOfDate,IF($R12=0,$X12,IF(AND($T12&lt;&gt;"",EDATE($D12,Milestones!$AA$115)&gt;=$T12),$W12,IF(AND($S12&lt;&gt;"",EDATE($D12,Milestones!$AA$115)&gt;=$S12),$V12,$U12)))=Milestones!$AB$115),UPPER(TEXT(EDATE($D12,Milestones!$AA$115),"dd mmm yy"))&amp;" "&amp;Milestones!$AB$115&amp;" "&amp;Milestones!$AC$115&amp;";  ","")&amp;IF(AND(EDATE($D12,Milestones!$AA$116)&lt;=AsOfDate,IF($R12=0,$X12,IF(AND($T12&lt;&gt;"",EDATE($D12,Milestones!$AA$116)&gt;=$T12),$W12,IF(AND($S12&lt;&gt;"",EDATE($D12,Milestones!$AA$116)&gt;=$S12),$V12,$U12)))=Milestones!$AB$116),UPPER(TEXT(EDATE($D12,Milestones!$AA$116),"dd mmm yy"))&amp;" "&amp;Milestones!$AB$116&amp;" "&amp;Milestones!$AC$116&amp;";  ","")&amp;IF(AND(EDATE($D12,Milestones!$AA$117)&lt;=AsOfDate,IF($R12=0,$X12,IF(AND($T12&lt;&gt;"",EDATE($D12,Milestones!$AA$117)&gt;=$T12),$W12,IF(AND($S12&lt;&gt;"",EDATE($D12,Milestones!$AA$117)&gt;=$S12),$V12,$U12)))=Milestones!$AB$117),UPPER(TEXT(EDATE($D12,Milestones!$AA$117),"dd mmm yy"))&amp;" "&amp;Milestones!$AB$117&amp;" "&amp;Milestones!$AC$117&amp;";  ","")&amp;IF(AND(EDATE($D12,Milestones!$AA$118)&lt;=AsOfDate,IF($R12=0,$X12,IF(AND($T12&lt;&gt;"",EDATE($D12,Milestones!$AA$118)&gt;=$T12),$W12,IF(AND($S12&lt;&gt;"",EDATE($D12,Milestones!$AA$118)&gt;=$S12),$V12,$U12)))=Milestones!$AB$118),UPPER(TEXT(EDATE($D12,Milestones!$AA$118),"dd mmm yy"))&amp;" "&amp;Milestones!$AB$118&amp;" "&amp;Milestones!$AC$118&amp;";  ","")&amp;IF(AND(EDATE($D12,Milestones!$AA$119)&lt;=AsOfDate,IF($R12=0,$X12,IF(AND($T12&lt;&gt;"",EDATE($D12,Milestones!$AA$119)&gt;=$T12),$W12,IF(AND($S12&lt;&gt;"",EDATE($D12,Milestones!$AA$119)&gt;=$S12),$V12,$U12)))=Milestones!$AB$119),UPPER(TEXT(EDATE($D12,Milestones!$AA$119),"dd mmm yy"))&amp;" "&amp;Milestones!$AB$119&amp;" "&amp;Milestones!$AC$119&amp;";  ",""))</f>
        <v/>
      </c>
      <c r="N12" s="0" t="str">
        <f aca="false">IF(OR($A12="",$D12=""),"",IF(AND(EDATE($D12,Milestones!$AA$120)&lt;=AsOfDate,IF($R12=0,$X12,IF(AND($T12&lt;&gt;"",EDATE($D12,Milestones!$AA$120)&gt;=$T12),$W12,IF(AND($S12&lt;&gt;"",EDATE($D12,Milestones!$AA$120)&gt;=$S12),$V12,$U12)))=Milestones!$AB$120),UPPER(TEXT(EDATE($D12,Milestones!$AA$120),"dd mmm yy"))&amp;" "&amp;Milestones!$AB$120&amp;" "&amp;Milestones!$AC$120&amp;";  ","")&amp;IF(AND(EDATE($D12,Milestones!$AA$121)&lt;=AsOfDate,IF($R12=0,$X12,IF(AND($T12&lt;&gt;"",EDATE($D12,Milestones!$AA$121)&gt;=$T12),$W12,IF(AND($S12&lt;&gt;"",EDATE($D12,Milestones!$AA$121)&gt;=$S12),$V12,$U12)))=Milestones!$AB$121),UPPER(TEXT(EDATE($D12,Milestones!$AA$121),"dd mmm yy"))&amp;" "&amp;Milestones!$AB$121&amp;" "&amp;Milestones!$AC$121&amp;";  ","")&amp;IF(AND(EDATE($D12,Milestones!$AA$122)&lt;=AsOfDate,IF($R12=0,$X12,IF(AND($T12&lt;&gt;"",EDATE($D12,Milestones!$AA$122)&gt;=$T12),$W12,IF(AND($S12&lt;&gt;"",EDATE($D12,Milestones!$AA$122)&gt;=$S12),$V12,$U12)))=Milestones!$AB$122),UPPER(TEXT(EDATE($D12,Milestones!$AA$122),"dd mmm yy"))&amp;" "&amp;Milestones!$AB$122&amp;" "&amp;Milestones!$AC$122&amp;";  ","")&amp;IF(AND(EDATE($D12,Milestones!$AA$123)&lt;=AsOfDate,IF($R12=0,$X12,IF(AND($T12&lt;&gt;"",EDATE($D12,Milestones!$AA$123)&gt;=$T12),$W12,IF(AND($S12&lt;&gt;"",EDATE($D12,Milestones!$AA$123)&gt;=$S12),$V12,$U12)))=Milestones!$AB$123),UPPER(TEXT(EDATE($D12,Milestones!$AA$123),"dd mmm yy"))&amp;" "&amp;Milestones!$AB$123&amp;" "&amp;Milestones!$AC$123&amp;";  ","")&amp;IF(AND(EDATE($D12,Milestones!$AA$124)&lt;=AsOfDate,IF($R12=0,$X12,IF(AND($T12&lt;&gt;"",EDATE($D12,Milestones!$AA$124)&gt;=$T12),$W12,IF(AND($S12&lt;&gt;"",EDATE($D12,Milestones!$AA$124)&gt;=$S12),$V12,$U12)))=Milestones!$AB$124),UPPER(TEXT(EDATE($D12,Milestones!$AA$124),"dd mmm yy"))&amp;" "&amp;Milestones!$AB$124&amp;" "&amp;Milestones!$AC$124&amp;";  ","")&amp;IF(AND(EDATE($D12,Milestones!$AA$125)&lt;=AsOfDate,IF($R12=0,$X12,IF(AND($T12&lt;&gt;"",EDATE($D12,Milestones!$AA$125)&gt;=$T12),$W12,IF(AND($S12&lt;&gt;"",EDATE($D12,Milestones!$AA$125)&gt;=$S12),$V12,$U12)))=Milestones!$AB$125),UPPER(TEXT(EDATE($D12,Milestones!$AA$125),"dd mmm yy"))&amp;" "&amp;Milestones!$AB$125&amp;" "&amp;Milestones!$AC$125&amp;";  ","")&amp;IF(AND(EDATE($D12,Milestones!$AA$126)&lt;=AsOfDate,IF($R12=0,$X12,IF(AND($T12&lt;&gt;"",EDATE($D12,Milestones!$AA$126)&gt;=$T12),$W12,IF(AND($S12&lt;&gt;"",EDATE($D12,Milestones!$AA$126)&gt;=$S12),$V12,$U12)))=Milestones!$AB$126),UPPER(TEXT(EDATE($D12,Milestones!$AA$126),"dd mmm yy"))&amp;" "&amp;Milestones!$AB$126&amp;" "&amp;Milestones!$AC$126&amp;";  ","")&amp;IF(AND(EDATE($D12,Milestones!$AA$127)&lt;=AsOfDate,IF($R12=0,$X12,IF(AND($T12&lt;&gt;"",EDATE($D12,Milestones!$AA$127)&gt;=$T12),$W12,IF(AND($S12&lt;&gt;"",EDATE($D12,Milestones!$AA$127)&gt;=$S12),$V12,$U12)))=Milestones!$AB$127),UPPER(TEXT(EDATE($D12,Milestones!$AA$127),"dd mmm yy"))&amp;" "&amp;Milestones!$AB$127&amp;" "&amp;Milestones!$AC$127&amp;";  ","")&amp;IF(AND(EDATE($D12,Milestones!$AA$128)&lt;=AsOfDate,IF($R12=0,$X12,IF(AND($T12&lt;&gt;"",EDATE($D12,Milestones!$AA$128)&gt;=$T12),$W12,IF(AND($S12&lt;&gt;"",EDATE($D12,Milestones!$AA$128)&gt;=$S12),$V12,$U12)))=Milestones!$AB$128),UPPER(TEXT(EDATE($D12,Milestones!$AA$128),"dd mmm yy"))&amp;" "&amp;Milestones!$AB$128&amp;" "&amp;Milestones!$AC$128&amp;";  ","")&amp;IF(AND(EDATE($D12,Milestones!$AA$129)&lt;=AsOfDate,IF($R12=0,$X12,IF(AND($T12&lt;&gt;"",EDATE($D12,Milestones!$AA$129)&gt;=$T12),$W12,IF(AND($S12&lt;&gt;"",EDATE($D12,Milestones!$AA$129)&gt;=$S12),$V12,$U12)))=Milestones!$AB$129),UPPER(TEXT(EDATE($D12,Milestones!$AA$129),"dd mmm yy"))&amp;" "&amp;Milestones!$AB$129&amp;" "&amp;Milestones!$AC$129&amp;";  ","")&amp;IF(AND(EDATE($D12,Milestones!$AA$130)&lt;=AsOfDate,IF($R12=0,$X12,IF(AND($T12&lt;&gt;"",EDATE($D12,Milestones!$AA$130)&gt;=$T12),$W12,IF(AND($S12&lt;&gt;"",EDATE($D12,Milestones!$AA$130)&gt;=$S12),$V12,$U12)))=Milestones!$AB$130),UPPER(TEXT(EDATE($D12,Milestones!$AA$130),"dd mmm yy"))&amp;" "&amp;Milestones!$AB$130&amp;" "&amp;Milestones!$AC$130&amp;";  ","")&amp;IF(AND(EDATE($D12,Milestones!$AA$131)&lt;=AsOfDate,IF($R12=0,$X12,IF(AND($T12&lt;&gt;"",EDATE($D12,Milestones!$AA$131)&gt;=$T12),$W12,IF(AND($S12&lt;&gt;"",EDATE($D12,Milestones!$AA$131)&gt;=$S12),$V12,$U12)))=Milestones!$AB$131),UPPER(TEXT(EDATE($D12,Milestones!$AA$131),"dd mmm yy"))&amp;" "&amp;Milestones!$AB$131&amp;" "&amp;Milestones!$AC$131&amp;";  ","")&amp;IF(AND(EDATE($D12,Milestones!$AA$132)&lt;=AsOfDate,IF($R12=0,$X12,IF(AND($T12&lt;&gt;"",EDATE($D12,Milestones!$AA$132)&gt;=$T12),$W12,IF(AND($S12&lt;&gt;"",EDATE($D12,Milestones!$AA$132)&gt;=$S12),$V12,$U12)))=Milestones!$AB$132),UPPER(TEXT(EDATE($D12,Milestones!$AA$132),"dd mmm yy"))&amp;" "&amp;Milestones!$AB$132&amp;" "&amp;Milestones!$AC$132&amp;";  ","")&amp;IF(AND(EDATE($D12,Milestones!$AA$133)&lt;=AsOfDate,IF($R12=0,$X12,IF(AND($T12&lt;&gt;"",EDATE($D12,Milestones!$AA$133)&gt;=$T12),$W12,IF(AND($S12&lt;&gt;"",EDATE($D12,Milestones!$AA$133)&gt;=$S12),$V12,$U12)))=Milestones!$AB$133),UPPER(TEXT(EDATE($D12,Milestones!$AA$133),"dd mmm yy"))&amp;" "&amp;Milestones!$AB$133&amp;" "&amp;Milestones!$AC$133&amp;";  ","")&amp;IF(AND(EDATE($D12,Milestones!$AA$134)&lt;=AsOfDate,IF($R12=0,$X12,IF(AND($T12&lt;&gt;"",EDATE($D12,Milestones!$AA$134)&gt;=$T12),$W12,IF(AND($S12&lt;&gt;"",EDATE($D12,Milestones!$AA$134)&gt;=$S12),$V12,$U12)))=Milestones!$AB$134),UPPER(TEXT(EDATE($D12,Milestones!$AA$134),"dd mmm yy"))&amp;" "&amp;Milestones!$AB$134&amp;" "&amp;Milestones!$AC$134&amp;";  ","")&amp;IF(AND(EDATE($D12,Milestones!$AA$135)&lt;=AsOfDate,IF($R12=0,$X12,IF(AND($T12&lt;&gt;"",EDATE($D12,Milestones!$AA$135)&gt;=$T12),$W12,IF(AND($S12&lt;&gt;"",EDATE($D12,Milestones!$AA$135)&gt;=$S12),$V12,$U12)))=Milestones!$AB$135),UPPER(TEXT(EDATE($D12,Milestones!$AA$135),"dd mmm yy"))&amp;" "&amp;Milestones!$AB$135&amp;" "&amp;Milestones!$AC$135&amp;";  ","")&amp;IF(AND(EDATE($D12,Milestones!$AA$136)&lt;=AsOfDate,IF($R12=0,$X12,IF(AND($T12&lt;&gt;"",EDATE($D12,Milestones!$AA$136)&gt;=$T12),$W12,IF(AND($S12&lt;&gt;"",EDATE($D12,Milestones!$AA$136)&gt;=$S12),$V12,$U12)))=Milestones!$AB$136),UPPER(TEXT(EDATE($D12,Milestones!$AA$136),"dd mmm yy"))&amp;" "&amp;Milestones!$AB$136&amp;" "&amp;Milestones!$AC$136&amp;";  ","")&amp;IF(AND(EDATE($D12,Milestones!$AA$137)&lt;=AsOfDate,IF($R12=0,$X12,IF(AND($T12&lt;&gt;"",EDATE($D12,Milestones!$AA$137)&gt;=$T12),$W12,IF(AND($S12&lt;&gt;"",EDATE($D12,Milestones!$AA$137)&gt;=$S12),$V12,$U12)))=Milestones!$AB$137),UPPER(TEXT(EDATE($D12,Milestones!$AA$137),"dd mmm yy"))&amp;" "&amp;Milestones!$AB$137&amp;" "&amp;Milestones!$AC$137&amp;";  ","")&amp;IF(AND(EDATE($D12,Milestones!$AA$138)&lt;=AsOfDate,IF($R12=0,$X12,IF(AND($T12&lt;&gt;"",EDATE($D12,Milestones!$AA$138)&gt;=$T12),$W12,IF(AND($S12&lt;&gt;"",EDATE($D12,Milestones!$AA$138)&gt;=$S12),$V12,$U12)))=Milestones!$AB$138),UPPER(TEXT(EDATE($D12,Milestones!$AA$138),"dd mmm yy"))&amp;" "&amp;Milestones!$AB$138&amp;" "&amp;Milestones!$AC$138&amp;";  ","")&amp;IF(AND(EDATE($D12,Milestones!$AA$139)&lt;=AsOfDate,IF($R12=0,$X12,IF(AND($T12&lt;&gt;"",EDATE($D12,Milestones!$AA$139)&gt;=$T12),$W12,IF(AND($S12&lt;&gt;"",EDATE($D12,Milestones!$AA$139)&gt;=$S12),$V12,$U12)))=Milestones!$AB$139),UPPER(TEXT(EDATE($D12,Milestones!$AA$139),"dd mmm yy"))&amp;" "&amp;Milestones!$AB$139&amp;" "&amp;Milestones!$AC$139&amp;";  ",""))</f>
        <v/>
      </c>
      <c r="O12" s="0" t="str">
        <f aca="false">IF(OR($A12="",$D12=""),"",IF(AND(EDATE($D12,Milestones!$AA$140)&lt;=AsOfDate,IF($R12=0,$X12,IF(AND($T12&lt;&gt;"",EDATE($D12,Milestones!$AA$140)&gt;=$T12),$W12,IF(AND($S12&lt;&gt;"",EDATE($D12,Milestones!$AA$140)&gt;=$S12),$V12,$U12)))=Milestones!$AB$140),UPPER(TEXT(EDATE($D12,Milestones!$AA$140),"dd mmm yy"))&amp;" "&amp;Milestones!$AB$140&amp;" "&amp;Milestones!$AC$140&amp;";  ","")&amp;IF(AND(EDATE($D12,Milestones!$AA$141)&lt;=AsOfDate,IF($R12=0,$X12,IF(AND($T12&lt;&gt;"",EDATE($D12,Milestones!$AA$141)&gt;=$T12),$W12,IF(AND($S12&lt;&gt;"",EDATE($D12,Milestones!$AA$141)&gt;=$S12),$V12,$U12)))=Milestones!$AB$141),UPPER(TEXT(EDATE($D12,Milestones!$AA$141),"dd mmm yy"))&amp;" "&amp;Milestones!$AB$141&amp;" "&amp;Milestones!$AC$141&amp;";  ","")&amp;IF(AND(EDATE($D12,Milestones!$AA$142)&lt;=AsOfDate,IF($R12=0,$X12,IF(AND($T12&lt;&gt;"",EDATE($D12,Milestones!$AA$142)&gt;=$T12),$W12,IF(AND($S12&lt;&gt;"",EDATE($D12,Milestones!$AA$142)&gt;=$S12),$V12,$U12)))=Milestones!$AB$142),UPPER(TEXT(EDATE($D12,Milestones!$AA$142),"dd mmm yy"))&amp;" "&amp;Milestones!$AB$142&amp;" "&amp;Milestones!$AC$142&amp;";  ","")&amp;IF(AND(EDATE($D12,Milestones!$AA$143)&lt;=AsOfDate,IF($R12=0,$X12,IF(AND($T12&lt;&gt;"",EDATE($D12,Milestones!$AA$143)&gt;=$T12),$W12,IF(AND($S12&lt;&gt;"",EDATE($D12,Milestones!$AA$143)&gt;=$S12),$V12,$U12)))=Milestones!$AB$143),UPPER(TEXT(EDATE($D12,Milestones!$AA$143),"dd mmm yy"))&amp;" "&amp;Milestones!$AB$143&amp;" "&amp;Milestones!$AC$143&amp;";  ","")&amp;IF(AND(EDATE($D12,Milestones!$AA$144)&lt;=AsOfDate,IF($R12=0,$X12,IF(AND($T12&lt;&gt;"",EDATE($D12,Milestones!$AA$144)&gt;=$T12),$W12,IF(AND($S12&lt;&gt;"",EDATE($D12,Milestones!$AA$144)&gt;=$S12),$V12,$U12)))=Milestones!$AB$144),UPPER(TEXT(EDATE($D12,Milestones!$AA$144),"dd mmm yy"))&amp;" "&amp;Milestones!$AB$144&amp;" "&amp;Milestones!$AC$144&amp;";  ","")&amp;IF(AND(EDATE($D12,Milestones!$AA$145)&lt;=AsOfDate,IF($R12=0,$X12,IF(AND($T12&lt;&gt;"",EDATE($D12,Milestones!$AA$145)&gt;=$T12),$W12,IF(AND($S12&lt;&gt;"",EDATE($D12,Milestones!$AA$145)&gt;=$S12),$V12,$U12)))=Milestones!$AB$145),UPPER(TEXT(EDATE($D12,Milestones!$AA$145),"dd mmm yy"))&amp;" "&amp;Milestones!$AB$145&amp;" "&amp;Milestones!$AC$145&amp;";  ","")&amp;IF(AND(EDATE($D12,Milestones!$AA$146)&lt;=AsOfDate,IF($R12=0,$X12,IF(AND($T12&lt;&gt;"",EDATE($D12,Milestones!$AA$146)&gt;=$T12),$W12,IF(AND($S12&lt;&gt;"",EDATE($D12,Milestones!$AA$146)&gt;=$S12),$V12,$U12)))=Milestones!$AB$146),UPPER(TEXT(EDATE($D12,Milestones!$AA$146),"dd mmm yy"))&amp;" "&amp;Milestones!$AB$146&amp;" "&amp;Milestones!$AC$146&amp;";  ","")&amp;IF(AND(EDATE($D12,Milestones!$AA$147)&lt;=AsOfDate,IF($R12=0,$X12,IF(AND($T12&lt;&gt;"",EDATE($D12,Milestones!$AA$147)&gt;=$T12),$W12,IF(AND($S12&lt;&gt;"",EDATE($D12,Milestones!$AA$147)&gt;=$S12),$V12,$U12)))=Milestones!$AB$147),UPPER(TEXT(EDATE($D12,Milestones!$AA$147),"dd mmm yy"))&amp;" "&amp;Milestones!$AB$147&amp;" "&amp;Milestones!$AC$147&amp;";  ","")&amp;IF(AND(EDATE($D12,Milestones!$AA$148)&lt;=AsOfDate,IF($R12=0,$X12,IF(AND($T12&lt;&gt;"",EDATE($D12,Milestones!$AA$148)&gt;=$T12),$W12,IF(AND($S12&lt;&gt;"",EDATE($D12,Milestones!$AA$148)&gt;=$S12),$V12,$U12)))=Milestones!$AB$148),UPPER(TEXT(EDATE($D12,Milestones!$AA$148),"dd mmm yy"))&amp;" "&amp;Milestones!$AB$148&amp;" "&amp;Milestones!$AC$148&amp;";  ","")&amp;IF(AND(EDATE($D12,Milestones!$AA$149)&lt;=AsOfDate,IF($R12=0,$X12,IF(AND($T12&lt;&gt;"",EDATE($D12,Milestones!$AA$149)&gt;=$T12),$W12,IF(AND($S12&lt;&gt;"",EDATE($D12,Milestones!$AA$149)&gt;=$S12),$V12,$U12)))=Milestones!$AB$149),UPPER(TEXT(EDATE($D12,Milestones!$AA$149),"dd mmm yy"))&amp;" "&amp;Milestones!$AB$149&amp;" "&amp;Milestones!$AC$149&amp;";  ","")&amp;IF(AND(EDATE($D12,Milestones!$AA$150)&lt;=AsOfDate,IF($R12=0,$X12,IF(AND($T12&lt;&gt;"",EDATE($D12,Milestones!$AA$150)&gt;=$T12),$W12,IF(AND($S12&lt;&gt;"",EDATE($D12,Milestones!$AA$150)&gt;=$S12),$V12,$U12)))=Milestones!$AB$150),UPPER(TEXT(EDATE($D12,Milestones!$AA$150),"dd mmm yy"))&amp;" "&amp;Milestones!$AB$150&amp;" "&amp;Milestones!$AC$150&amp;";  ","")&amp;IF(AND(EDATE($D12,Milestones!$AA$151)&lt;=AsOfDate,IF($R12=0,$X12,IF(AND($T12&lt;&gt;"",EDATE($D12,Milestones!$AA$151)&gt;=$T12),$W12,IF(AND($S12&lt;&gt;"",EDATE($D12,Milestones!$AA$151)&gt;=$S12),$V12,$U12)))=Milestones!$AB$151),UPPER(TEXT(EDATE($D12,Milestones!$AA$151),"dd mmm yy"))&amp;" "&amp;Milestones!$AB$151&amp;" "&amp;Milestones!$AC$151&amp;";  ","")&amp;IF(AND(EDATE($D12,Milestones!$AA$152)&lt;=AsOfDate,IF($R12=0,$X12,IF(AND($T12&lt;&gt;"",EDATE($D12,Milestones!$AA$152)&gt;=$T12),$W12,IF(AND($S12&lt;&gt;"",EDATE($D12,Milestones!$AA$152)&gt;=$S12),$V12,$U12)))=Milestones!$AB$152),UPPER(TEXT(EDATE($D12,Milestones!$AA$152),"dd mmm yy"))&amp;" "&amp;Milestones!$AB$152&amp;" "&amp;Milestones!$AC$152&amp;";  ","")&amp;IF(AND(EDATE($D12,Milestones!$AA$153)&lt;=AsOfDate,IF($R12=0,$X12,IF(AND($T12&lt;&gt;"",EDATE($D12,Milestones!$AA$153)&gt;=$T12),$W12,IF(AND($S12&lt;&gt;"",EDATE($D12,Milestones!$AA$153)&gt;=$S12),$V12,$U12)))=Milestones!$AB$153),UPPER(TEXT(EDATE($D12,Milestones!$AA$153),"dd mmm yy"))&amp;" "&amp;Milestones!$AB$153&amp;" "&amp;Milestones!$AC$153&amp;";  ","")&amp;IF(AND(EDATE($D12,Milestones!$AA$154)&lt;=AsOfDate,IF($R12=0,$X12,IF(AND($T12&lt;&gt;"",EDATE($D12,Milestones!$AA$154)&gt;=$T12),$W12,IF(AND($S12&lt;&gt;"",EDATE($D12,Milestones!$AA$154)&gt;=$S12),$V12,$U12)))=Milestones!$AB$154),UPPER(TEXT(EDATE($D12,Milestones!$AA$154),"dd mmm yy"))&amp;" "&amp;Milestones!$AB$154&amp;" "&amp;Milestones!$AC$154&amp;";  ","")&amp;IF(AND(EDATE($D12,Milestones!$AA$155)&lt;=AsOfDate,IF($R12=0,$X12,IF(AND($T12&lt;&gt;"",EDATE($D12,Milestones!$AA$155)&gt;=$T12),$W12,IF(AND($S12&lt;&gt;"",EDATE($D12,Milestones!$AA$155)&gt;=$S12),$V12,$U12)))=Milestones!$AB$155),UPPER(TEXT(EDATE($D12,Milestones!$AA$155),"dd mmm yy"))&amp;" "&amp;Milestones!$AB$155&amp;" "&amp;Milestones!$AC$155&amp;";  ","")&amp;IF(AND(EDATE($D12,Milestones!$AA$156)&lt;=AsOfDate,IF($R12=0,$X12,IF(AND($T12&lt;&gt;"",EDATE($D12,Milestones!$AA$156)&gt;=$T12),$W12,IF(AND($S12&lt;&gt;"",EDATE($D12,Milestones!$AA$156)&gt;=$S12),$V12,$U12)))=Milestones!$AB$156),UPPER(TEXT(EDATE($D12,Milestones!$AA$156),"dd mmm yy"))&amp;" "&amp;Milestones!$AB$156&amp;" "&amp;Milestones!$AC$156&amp;";  ","")&amp;IF(AND(EDATE($D12,Milestones!$AA$157)&lt;=AsOfDate,IF($R12=0,$X12,IF(AND($T12&lt;&gt;"",EDATE($D12,Milestones!$AA$157)&gt;=$T12),$W12,IF(AND($S12&lt;&gt;"",EDATE($D12,Milestones!$AA$157)&gt;=$S12),$V12,$U12)))=Milestones!$AB$157),UPPER(TEXT(EDATE($D12,Milestones!$AA$157),"dd mmm yy"))&amp;" "&amp;Milestones!$AB$157&amp;" "&amp;Milestones!$AC$157&amp;";  ","")&amp;IF(AND(EDATE($D12,Milestones!$AA$158)&lt;=AsOfDate,IF($R12=0,$X12,IF(AND($T12&lt;&gt;"",EDATE($D12,Milestones!$AA$158)&gt;=$T12),$W12,IF(AND($S12&lt;&gt;"",EDATE($D12,Milestones!$AA$158)&gt;=$S12),$V12,$U12)))=Milestones!$AB$158),UPPER(TEXT(EDATE($D12,Milestones!$AA$158),"dd mmm yy"))&amp;" "&amp;Milestones!$AB$158&amp;" "&amp;Milestones!$AC$158&amp;";  ","")&amp;IF(AND(EDATE($D12,Milestones!$AA$159)&lt;=AsOfDate,IF($R12=0,$X12,IF(AND($T12&lt;&gt;"",EDATE($D12,Milestones!$AA$159)&gt;=$T12),$W12,IF(AND($S12&lt;&gt;"",EDATE($D12,Milestones!$AA$159)&gt;=$S12),$V12,$U12)))=Milestones!$AB$159),UPPER(TEXT(EDATE($D12,Milestones!$AA$159),"dd mmm yy"))&amp;" "&amp;Milestones!$AB$159&amp;" "&amp;Milestones!$AC$159&amp;";  ",""))</f>
        <v/>
      </c>
      <c r="P12" s="0" t="str">
        <f aca="false">IF(OR($A12="",$D12=""),"",IF(AND(EDATE($D12,Milestones!$AA$160)&lt;=AsOfDate,IF($R12=0,$X12,IF(AND($T12&lt;&gt;"",EDATE($D12,Milestones!$AA$160)&gt;=$T12),$W12,IF(AND($S12&lt;&gt;"",EDATE($D12,Milestones!$AA$160)&gt;=$S12),$V12,$U12)))=Milestones!$AB$160),UPPER(TEXT(EDATE($D12,Milestones!$AA$160),"dd mmm yy"))&amp;" "&amp;Milestones!$AB$160&amp;" "&amp;Milestones!$AC$160&amp;";  ","")&amp;IF(AND(EDATE($D12,Milestones!$AA$161)&lt;=AsOfDate,IF($R12=0,$X12,IF(AND($T12&lt;&gt;"",EDATE($D12,Milestones!$AA$161)&gt;=$T12),$W12,IF(AND($S12&lt;&gt;"",EDATE($D12,Milestones!$AA$161)&gt;=$S12),$V12,$U12)))=Milestones!$AB$161),UPPER(TEXT(EDATE($D12,Milestones!$AA$161),"dd mmm yy"))&amp;" "&amp;Milestones!$AB$161&amp;" "&amp;Milestones!$AC$161&amp;";  ","")&amp;IF(AND(EDATE($D12,Milestones!$AA$162)&lt;=AsOfDate,IF($R12=0,$X12,IF(AND($T12&lt;&gt;"",EDATE($D12,Milestones!$AA$162)&gt;=$T12),$W12,IF(AND($S12&lt;&gt;"",EDATE($D12,Milestones!$AA$162)&gt;=$S12),$V12,$U12)))=Milestones!$AB$162),UPPER(TEXT(EDATE($D12,Milestones!$AA$162),"dd mmm yy"))&amp;" "&amp;Milestones!$AB$162&amp;" "&amp;Milestones!$AC$162&amp;";  ","")&amp;IF(AND(EDATE($D12,Milestones!$AA$163)&lt;=AsOfDate,IF($R12=0,$X12,IF(AND($T12&lt;&gt;"",EDATE($D12,Milestones!$AA$163)&gt;=$T12),$W12,IF(AND($S12&lt;&gt;"",EDATE($D12,Milestones!$AA$163)&gt;=$S12),$V12,$U12)))=Milestones!$AB$163),UPPER(TEXT(EDATE($D12,Milestones!$AA$163),"dd mmm yy"))&amp;" "&amp;Milestones!$AB$163&amp;" "&amp;Milestones!$AC$163&amp;";  ","")&amp;IF(AND(EDATE($D12,Milestones!$AA$164)&lt;=AsOfDate,IF($R12=0,$X12,IF(AND($T12&lt;&gt;"",EDATE($D12,Milestones!$AA$164)&gt;=$T12),$W12,IF(AND($S12&lt;&gt;"",EDATE($D12,Milestones!$AA$164)&gt;=$S12),$V12,$U12)))=Milestones!$AB$164),UPPER(TEXT(EDATE($D12,Milestones!$AA$164),"dd mmm yy"))&amp;" "&amp;Milestones!$AB$164&amp;" "&amp;Milestones!$AC$164&amp;";  ","")&amp;IF(AND(EDATE($D12,Milestones!$AA$165)&lt;=AsOfDate,IF($R12=0,$X12,IF(AND($T12&lt;&gt;"",EDATE($D12,Milestones!$AA$165)&gt;=$T12),$W12,IF(AND($S12&lt;&gt;"",EDATE($D12,Milestones!$AA$165)&gt;=$S12),$V12,$U12)))=Milestones!$AB$165),UPPER(TEXT(EDATE($D12,Milestones!$AA$165),"dd mmm yy"))&amp;" "&amp;Milestones!$AB$165&amp;" "&amp;Milestones!$AC$165&amp;";  ","")&amp;IF(AND(EDATE($D12,Milestones!$AA$166)&lt;=AsOfDate,IF($R12=0,$X12,IF(AND($T12&lt;&gt;"",EDATE($D12,Milestones!$AA$166)&gt;=$T12),$W12,IF(AND($S12&lt;&gt;"",EDATE($D12,Milestones!$AA$166)&gt;=$S12),$V12,$U12)))=Milestones!$AB$166),UPPER(TEXT(EDATE($D12,Milestones!$AA$166),"dd mmm yy"))&amp;" "&amp;Milestones!$AB$166&amp;" "&amp;Milestones!$AC$166&amp;";  ","")&amp;IF(AND(EDATE($D12,Milestones!$AA$167)&lt;=AsOfDate,IF($R12=0,$X12,IF(AND($T12&lt;&gt;"",EDATE($D12,Milestones!$AA$167)&gt;=$T12),$W12,IF(AND($S12&lt;&gt;"",EDATE($D12,Milestones!$AA$167)&gt;=$S12),$V12,$U12)))=Milestones!$AB$167),UPPER(TEXT(EDATE($D12,Milestones!$AA$167),"dd mmm yy"))&amp;" "&amp;Milestones!$AB$167&amp;" "&amp;Milestones!$AC$167&amp;";  ","")&amp;IF(AND(EDATE($D12,Milestones!$AA$168)&lt;=AsOfDate,IF($R12=0,$X12,IF(AND($T12&lt;&gt;"",EDATE($D12,Milestones!$AA$168)&gt;=$T12),$W12,IF(AND($S12&lt;&gt;"",EDATE($D12,Milestones!$AA$168)&gt;=$S12),$V12,$U12)))=Milestones!$AB$168),UPPER(TEXT(EDATE($D12,Milestones!$AA$168),"dd mmm yy"))&amp;" "&amp;Milestones!$AB$168&amp;" "&amp;Milestones!$AC$168&amp;";  ","")&amp;IF(AND(EDATE($D12,Milestones!$AA$169)&lt;=AsOfDate,IF($R12=0,$X12,IF(AND($T12&lt;&gt;"",EDATE($D12,Milestones!$AA$169)&gt;=$T12),$W12,IF(AND($S12&lt;&gt;"",EDATE($D12,Milestones!$AA$169)&gt;=$S12),$V12,$U12)))=Milestones!$AB$169),UPPER(TEXT(EDATE($D12,Milestones!$AA$169),"dd mmm yy"))&amp;" "&amp;Milestones!$AB$169&amp;" "&amp;Milestones!$AC$169&amp;";  ","")&amp;IF(AND(EDATE($D12,Milestones!$AA$170)&lt;=AsOfDate,IF($R12=0,$X12,IF(AND($T12&lt;&gt;"",EDATE($D12,Milestones!$AA$170)&gt;=$T12),$W12,IF(AND($S12&lt;&gt;"",EDATE($D12,Milestones!$AA$170)&gt;=$S12),$V12,$U12)))=Milestones!$AB$170),UPPER(TEXT(EDATE($D12,Milestones!$AA$170),"dd mmm yy"))&amp;" "&amp;Milestones!$AB$170&amp;" "&amp;Milestones!$AC$170&amp;";  ","")&amp;IF(AND(EDATE($D12,Milestones!$AA$171)&lt;=AsOfDate,IF($R12=0,$X12,IF(AND($T12&lt;&gt;"",EDATE($D12,Milestones!$AA$171)&gt;=$T12),$W12,IF(AND($S12&lt;&gt;"",EDATE($D12,Milestones!$AA$171)&gt;=$S12),$V12,$U12)))=Milestones!$AB$171),UPPER(TEXT(EDATE($D12,Milestones!$AA$171),"dd mmm yy"))&amp;" "&amp;Milestones!$AB$171&amp;" "&amp;Milestones!$AC$171&amp;";  ","")&amp;IF(AND(EDATE($D12,Milestones!$AA$172)&lt;=AsOfDate,IF($R12=0,$X12,IF(AND($T12&lt;&gt;"",EDATE($D12,Milestones!$AA$172)&gt;=$T12),$W12,IF(AND($S12&lt;&gt;"",EDATE($D12,Milestones!$AA$172)&gt;=$S12),$V12,$U12)))=Milestones!$AB$172),UPPER(TEXT(EDATE($D12,Milestones!$AA$172),"dd mmm yy"))&amp;" "&amp;Milestones!$AB$172&amp;" "&amp;Milestones!$AC$172&amp;";  ","")&amp;IF(AND(EDATE($D12,Milestones!$AA$173)&lt;=AsOfDate,IF($R12=0,$X12,IF(AND($T12&lt;&gt;"",EDATE($D12,Milestones!$AA$173)&gt;=$T12),$W12,IF(AND($S12&lt;&gt;"",EDATE($D12,Milestones!$AA$173)&gt;=$S12),$V12,$U12)))=Milestones!$AB$173),UPPER(TEXT(EDATE($D12,Milestones!$AA$173),"dd mmm yy"))&amp;" "&amp;Milestones!$AB$173&amp;" "&amp;Milestones!$AC$173&amp;";  ","")&amp;IF(AND(EDATE($D12,Milestones!$AA$174)&lt;=AsOfDate,IF($R12=0,$X12,IF(AND($T12&lt;&gt;"",EDATE($D12,Milestones!$AA$174)&gt;=$T12),$W12,IF(AND($S12&lt;&gt;"",EDATE($D12,Milestones!$AA$174)&gt;=$S12),$V12,$U12)))=Milestones!$AB$174),UPPER(TEXT(EDATE($D12,Milestones!$AA$174),"dd mmm yy"))&amp;" "&amp;Milestones!$AB$174&amp;" "&amp;Milestones!$AC$174&amp;";  ","")&amp;IF(AND(EDATE($D12,Milestones!$AA$175)&lt;=AsOfDate,IF($R12=0,$X12,IF(AND($T12&lt;&gt;"",EDATE($D12,Milestones!$AA$175)&gt;=$T12),$W12,IF(AND($S12&lt;&gt;"",EDATE($D12,Milestones!$AA$175)&gt;=$S12),$V12,$U12)))=Milestones!$AB$175),UPPER(TEXT(EDATE($D12,Milestones!$AA$175),"dd mmm yy"))&amp;" "&amp;Milestones!$AB$175&amp;" "&amp;Milestones!$AC$175&amp;";  ","")&amp;IF(AND(EDATE($D12,Milestones!$AA$176)&lt;=AsOfDate,IF($R12=0,$X12,IF(AND($T12&lt;&gt;"",EDATE($D12,Milestones!$AA$176)&gt;=$T12),$W12,IF(AND($S12&lt;&gt;"",EDATE($D12,Milestones!$AA$176)&gt;=$S12),$V12,$U12)))=Milestones!$AB$176),UPPER(TEXT(EDATE($D12,Milestones!$AA$176),"dd mmm yy"))&amp;" "&amp;Milestones!$AB$176&amp;" "&amp;Milestones!$AC$176&amp;";  ","")&amp;IF(AND(EDATE($D12,Milestones!$AA$177)&lt;=AsOfDate,IF($R12=0,$X12,IF(AND($T12&lt;&gt;"",EDATE($D12,Milestones!$AA$177)&gt;=$T12),$W12,IF(AND($S12&lt;&gt;"",EDATE($D12,Milestones!$AA$177)&gt;=$S12),$V12,$U12)))=Milestones!$AB$177),UPPER(TEXT(EDATE($D12,Milestones!$AA$177),"dd mmm yy"))&amp;" "&amp;Milestones!$AB$177&amp;" "&amp;Milestones!$AC$177&amp;";  ","")&amp;IF(AND(EDATE($D12,Milestones!$AA$178)&lt;=AsOfDate,IF($R12=0,$X12,IF(AND($T12&lt;&gt;"",EDATE($D12,Milestones!$AA$178)&gt;=$T12),$W12,IF(AND($S12&lt;&gt;"",EDATE($D12,Milestones!$AA$178)&gt;=$S12),$V12,$U12)))=Milestones!$AB$178),UPPER(TEXT(EDATE($D12,Milestones!$AA$178),"dd mmm yy"))&amp;" "&amp;Milestones!$AB$178&amp;" "&amp;Milestones!$AC$178&amp;";  ","")&amp;IF(AND(EDATE($D12,Milestones!$AA$179)&lt;=AsOfDate,IF($R12=0,$X12,IF(AND($T12&lt;&gt;"",EDATE($D12,Milestones!$AA$179)&gt;=$T12),$W12,IF(AND($S12&lt;&gt;"",EDATE($D12,Milestones!$AA$179)&gt;=$S12),$V12,$U12)))=Milestones!$AB$179),UPPER(TEXT(EDATE($D12,Milestones!$AA$179),"dd mmm yy"))&amp;" "&amp;Milestones!$AB$179&amp;" "&amp;Milestones!$AC$179&amp;";  ",""))</f>
        <v/>
      </c>
      <c r="Q12" s="0" t="str">
        <f aca="false">IF(OR($A12="",$D12=""),"",IF(AND(EDATE($D12,Milestones!$AA$180)&lt;=AsOfDate,IF($R12=0,$X12,IF(AND($T12&lt;&gt;"",EDATE($D12,Milestones!$AA$180)&gt;=$T12),$W12,IF(AND($S12&lt;&gt;"",EDATE($D12,Milestones!$AA$180)&gt;=$S12),$V12,$U12)))=Milestones!$AB$180),UPPER(TEXT(EDATE($D12,Milestones!$AA$180),"dd mmm yy"))&amp;" "&amp;Milestones!$AB$180&amp;" "&amp;Milestones!$AC$180&amp;";  ","")&amp;IF(AND(EDATE($D12,Milestones!$AA$181)&lt;=AsOfDate,IF($R12=0,$X12,IF(AND($T12&lt;&gt;"",EDATE($D12,Milestones!$AA$181)&gt;=$T12),$W12,IF(AND($S12&lt;&gt;"",EDATE($D12,Milestones!$AA$181)&gt;=$S12),$V12,$U12)))=Milestones!$AB$181),UPPER(TEXT(EDATE($D12,Milestones!$AA$181),"dd mmm yy"))&amp;" "&amp;Milestones!$AB$181&amp;" "&amp;Milestones!$AC$181&amp;";  ","")&amp;IF(AND(EDATE($D12,Milestones!$AA$182)&lt;=AsOfDate,IF($R12=0,$X12,IF(AND($T12&lt;&gt;"",EDATE($D12,Milestones!$AA$182)&gt;=$T12),$W12,IF(AND($S12&lt;&gt;"",EDATE($D12,Milestones!$AA$182)&gt;=$S12),$V12,$U12)))=Milestones!$AB$182),UPPER(TEXT(EDATE($D12,Milestones!$AA$182),"dd mmm yy"))&amp;" "&amp;Milestones!$AB$182&amp;" "&amp;Milestones!$AC$182&amp;";  ","")&amp;IF(AND(EDATE($D12,Milestones!$AA$183)&lt;=AsOfDate,IF($R12=0,$X12,IF(AND($T12&lt;&gt;"",EDATE($D12,Milestones!$AA$183)&gt;=$T12),$W12,IF(AND($S12&lt;&gt;"",EDATE($D12,Milestones!$AA$183)&gt;=$S12),$V12,$U12)))=Milestones!$AB$183),UPPER(TEXT(EDATE($D12,Milestones!$AA$183),"dd mmm yy"))&amp;" "&amp;Milestones!$AB$183&amp;" "&amp;Milestones!$AC$183&amp;";  ","")&amp;IF(AND(EDATE($D12,Milestones!$AA$184)&lt;=AsOfDate,IF($R12=0,$X12,IF(AND($T12&lt;&gt;"",EDATE($D12,Milestones!$AA$184)&gt;=$T12),$W12,IF(AND($S12&lt;&gt;"",EDATE($D12,Milestones!$AA$184)&gt;=$S12),$V12,$U12)))=Milestones!$AB$184),UPPER(TEXT(EDATE($D12,Milestones!$AA$184),"dd mmm yy"))&amp;" "&amp;Milestones!$AB$184&amp;" "&amp;Milestones!$AC$184&amp;";  ","")&amp;IF(AND(EDATE($D12,Milestones!$AA$185)&lt;=AsOfDate,IF($R12=0,$X12,IF(AND($T12&lt;&gt;"",EDATE($D12,Milestones!$AA$185)&gt;=$T12),$W12,IF(AND($S12&lt;&gt;"",EDATE($D12,Milestones!$AA$185)&gt;=$S12),$V12,$U12)))=Milestones!$AB$185),UPPER(TEXT(EDATE($D12,Milestones!$AA$185),"dd mmm yy"))&amp;" "&amp;Milestones!$AB$185&amp;" "&amp;Milestones!$AC$185&amp;";  ","")&amp;IF(AND(EDATE($D12,Milestones!$AA$186)&lt;=AsOfDate,IF($R12=0,$X12,IF(AND($T12&lt;&gt;"",EDATE($D12,Milestones!$AA$186)&gt;=$T12),$W12,IF(AND($S12&lt;&gt;"",EDATE($D12,Milestones!$AA$186)&gt;=$S12),$V12,$U12)))=Milestones!$AB$186),UPPER(TEXT(EDATE($D12,Milestones!$AA$186),"dd mmm yy"))&amp;" "&amp;Milestones!$AB$186&amp;" "&amp;Milestones!$AC$186&amp;";  ","")&amp;IF(AND(EDATE($D12,Milestones!$AA$187)&lt;=AsOfDate,IF($R12=0,$X12,IF(AND($T12&lt;&gt;"",EDATE($D12,Milestones!$AA$187)&gt;=$T12),$W12,IF(AND($S12&lt;&gt;"",EDATE($D12,Milestones!$AA$187)&gt;=$S12),$V12,$U12)))=Milestones!$AB$187),UPPER(TEXT(EDATE($D12,Milestones!$AA$187),"dd mmm yy"))&amp;" "&amp;Milestones!$AB$187&amp;" "&amp;Milestones!$AC$187&amp;";  ","")&amp;IF(AND(EDATE($D12,Milestones!$AA$188)&lt;=AsOfDate,IF($R12=0,$X12,IF(AND($T12&lt;&gt;"",EDATE($D12,Milestones!$AA$188)&gt;=$T12),$W12,IF(AND($S12&lt;&gt;"",EDATE($D12,Milestones!$AA$188)&gt;=$S12),$V12,$U12)))=Milestones!$AB$188),UPPER(TEXT(EDATE($D12,Milestones!$AA$188),"dd mmm yy"))&amp;" "&amp;Milestones!$AB$188&amp;" "&amp;Milestones!$AC$188&amp;";  ","")&amp;IF(AND(EDATE($D12,Milestones!$AA$189)&lt;=AsOfDate,IF($R12=0,$X12,IF(AND($T12&lt;&gt;"",EDATE($D12,Milestones!$AA$189)&gt;=$T12),$W12,IF(AND($S12&lt;&gt;"",EDATE($D12,Milestones!$AA$189)&gt;=$S12),$V12,$U12)))=Milestones!$AB$189),UPPER(TEXT(EDATE($D12,Milestones!$AA$189),"dd mmm yy"))&amp;" "&amp;Milestones!$AB$189&amp;" "&amp;Milestones!$AC$189&amp;";  ","")&amp;IF(AND(EDATE($D12,Milestones!$AA$190)&lt;=AsOfDate,IF($R12=0,$X12,IF(AND($T12&lt;&gt;"",EDATE($D12,Milestones!$AA$190)&gt;=$T12),$W12,IF(AND($S12&lt;&gt;"",EDATE($D12,Milestones!$AA$190)&gt;=$S12),$V12,$U12)))=Milestones!$AB$190),UPPER(TEXT(EDATE($D12,Milestones!$AA$190),"dd mmm yy"))&amp;" "&amp;Milestones!$AB$190&amp;" "&amp;Milestones!$AC$190&amp;";  ","")&amp;IF(AND(EDATE($D12,Milestones!$AA$191)&lt;=AsOfDate,IF($R12=0,$X12,IF(AND($T12&lt;&gt;"",EDATE($D12,Milestones!$AA$191)&gt;=$T12),$W12,IF(AND($S12&lt;&gt;"",EDATE($D12,Milestones!$AA$191)&gt;=$S12),$V12,$U12)))=Milestones!$AB$191),UPPER(TEXT(EDATE($D12,Milestones!$AA$191),"dd mmm yy"))&amp;" "&amp;Milestones!$AB$191&amp;" "&amp;Milestones!$AC$191&amp;";  ","")&amp;IF(AND(EDATE($D12,Milestones!$AA$192)&lt;=AsOfDate,IF($R12=0,$X12,IF(AND($T12&lt;&gt;"",EDATE($D12,Milestones!$AA$192)&gt;=$T12),$W12,IF(AND($S12&lt;&gt;"",EDATE($D12,Milestones!$AA$192)&gt;=$S12),$V12,$U12)))=Milestones!$AB$192),UPPER(TEXT(EDATE($D12,Milestones!$AA$192),"dd mmm yy"))&amp;" "&amp;Milestones!$AB$192&amp;" "&amp;Milestones!$AC$192&amp;";  ","")&amp;IF(AND(EDATE($D12,Milestones!$AA$193)&lt;=AsOfDate,IF($R12=0,$X12,IF(AND($T12&lt;&gt;"",EDATE($D12,Milestones!$AA$193)&gt;=$T12),$W12,IF(AND($S12&lt;&gt;"",EDATE($D12,Milestones!$AA$193)&gt;=$S12),$V12,$U12)))=Milestones!$AB$193),UPPER(TEXT(EDATE($D12,Milestones!$AA$193),"dd mmm yy"))&amp;" "&amp;Milestones!$AB$193&amp;" "&amp;Milestones!$AC$193&amp;";  ","")&amp;IF(AND(EDATE($D12,Milestones!$AA$194)&lt;=AsOfDate,IF($R12=0,$X12,IF(AND($T12&lt;&gt;"",EDATE($D12,Milestones!$AA$194)&gt;=$T12),$W12,IF(AND($S12&lt;&gt;"",EDATE($D12,Milestones!$AA$194)&gt;=$S12),$V12,$U12)))=Milestones!$AB$194),UPPER(TEXT(EDATE($D12,Milestones!$AA$194),"dd mmm yy"))&amp;" "&amp;Milestones!$AB$194&amp;" "&amp;Milestones!$AC$194&amp;";  ","")&amp;IF(AND(EDATE($D12,Milestones!$AA$195)&lt;=AsOfDate,IF($R12=0,$X12,IF(AND($T12&lt;&gt;"",EDATE($D12,Milestones!$AA$195)&gt;=$T12),$W12,IF(AND($S12&lt;&gt;"",EDATE($D12,Milestones!$AA$195)&gt;=$S12),$V12,$U12)))=Milestones!$AB$195),UPPER(TEXT(EDATE($D12,Milestones!$AA$195),"dd mmm yy"))&amp;" "&amp;Milestones!$AB$195&amp;" "&amp;Milestones!$AC$195&amp;";  ","")&amp;IF(AND(EDATE($D12,Milestones!$AA$196)&lt;=AsOfDate,IF($R12=0,$X12,IF(AND($T12&lt;&gt;"",EDATE($D12,Milestones!$AA$196)&gt;=$T12),$W12,IF(AND($S12&lt;&gt;"",EDATE($D12,Milestones!$AA$196)&gt;=$S12),$V12,$U12)))=Milestones!$AB$196),UPPER(TEXT(EDATE($D12,Milestones!$AA$196),"dd mmm yy"))&amp;" "&amp;Milestones!$AB$196&amp;" "&amp;Milestones!$AC$196&amp;";  ","")&amp;IF(AND(EDATE($D12,Milestones!$AA$197)&lt;=AsOfDate,IF($R12=0,$X12,IF(AND($T12&lt;&gt;"",EDATE($D12,Milestones!$AA$197)&gt;=$T12),$W12,IF(AND($S12&lt;&gt;"",EDATE($D12,Milestones!$AA$197)&gt;=$S12),$V12,$U12)))=Milestones!$AB$197),UPPER(TEXT(EDATE($D12,Milestones!$AA$197),"dd mmm yy"))&amp;" "&amp;Milestones!$AB$197&amp;" "&amp;Milestones!$AC$197&amp;";  ","")&amp;IF(AND(EDATE($D12,Milestones!$AA$198)&lt;=AsOfDate,IF($R12=0,$X12,IF(AND($T12&lt;&gt;"",EDATE($D12,Milestones!$AA$198)&gt;=$T12),$W12,IF(AND($S12&lt;&gt;"",EDATE($D12,Milestones!$AA$198)&gt;=$S12),$V12,$U12)))=Milestones!$AB$198),UPPER(TEXT(EDATE($D12,Milestones!$AA$198),"dd mmm yy"))&amp;" "&amp;Milestones!$AB$198&amp;" "&amp;Milestones!$AC$198&amp;";  ","")&amp;IF(AND(EDATE($D12,Milestones!$AA$199)&lt;=AsOfDate,IF($R12=0,$X12,IF(AND($T12&lt;&gt;"",EDATE($D12,Milestones!$AA$199)&gt;=$T12),$W12,IF(AND($S12&lt;&gt;"",EDATE($D12,Milestones!$AA$199)&gt;=$S12),$V12,$U12)))=Milestones!$AB$199),UPPER(TEXT(EDATE($D12,Milestones!$AA$199),"dd mmm yy"))&amp;" "&amp;Milestones!$AB$199&amp;" "&amp;Milestones!$AC$199&amp;";  ",""))</f>
        <v/>
      </c>
      <c r="R12" s="0" t="str">
        <f aca="false">IF(Staff!$A12="","",Staff!$AI12)</f>
        <v/>
      </c>
      <c r="S12" s="0" t="str">
        <f aca="false">IF(Staff!$A12="","",Staff!$AK12)</f>
        <v/>
      </c>
      <c r="T12" s="0" t="str">
        <f aca="false">IF(Staff!$A12="","",Staff!$AL12)</f>
        <v/>
      </c>
      <c r="U12" s="0" t="str">
        <f aca="false">IF(Staff!$A12="","",Staff!$AP12)</f>
        <v/>
      </c>
      <c r="V12" s="0" t="str">
        <f aca="false">IF(Staff!$A12="","",Staff!$AQ12)</f>
        <v/>
      </c>
      <c r="W12" s="0" t="str">
        <f aca="false">IF(Staff!$A12="","",Staff!$AR12)</f>
        <v/>
      </c>
      <c r="X12" s="0" t="str">
        <f aca="false">IF(Staff!$A12="","",Staff!$AS12)</f>
        <v/>
      </c>
    </row>
    <row r="13" customFormat="false" ht="15" hidden="false" customHeight="false" outlineLevel="0" collapsed="false">
      <c r="A13" s="14" t="str">
        <f aca="false">IF(Staff!$A13="","",Staff!$A13)</f>
        <v/>
      </c>
      <c r="B13" s="14" t="str">
        <f aca="false">IF(Staff!$A13="","",Staff!$B13)</f>
        <v/>
      </c>
      <c r="C13" s="14" t="str">
        <f aca="false">IF(Staff!$A13="","",Staff!$C13)</f>
        <v/>
      </c>
      <c r="D13" s="12" t="str">
        <f aca="false">IF(Staff!$A13="","",Staff!$AH13)</f>
        <v/>
      </c>
      <c r="E13" s="14" t="str">
        <f aca="false">IF(Staff!$A13="","",Staff!$O13)</f>
        <v/>
      </c>
      <c r="F13" s="14" t="str">
        <f aca="false">IF(E13="","",E13*HoursPerDay)</f>
        <v/>
      </c>
      <c r="G13" s="14" t="str">
        <f aca="false">IF(Staff!$A13="","",Staff!$AE13)</f>
        <v/>
      </c>
      <c r="H13" s="26" t="str">
        <f aca="false">IF($A13="","",I13&amp;J13&amp;K13&amp;L13&amp;M13&amp;N13&amp;O13&amp;P13&amp;Q13)</f>
        <v/>
      </c>
      <c r="I13" s="0" t="str">
        <f aca="false">IF(OR($A13="",$D13=""),"",IF(AND(EDATE($D13,Milestones!$AA$20)&lt;=AsOfDate,IF($R13=0,$X13,IF(AND($T13&lt;&gt;"",EDATE($D13,Milestones!$AA$20)&gt;=$T13),$W13,IF(AND($S13&lt;&gt;"",EDATE($D13,Milestones!$AA$20)&gt;=$S13),$V13,$U13)))=Milestones!$AB$20),UPPER(TEXT(EDATE($D13,Milestones!$AA$20),"dd mmm yy"))&amp;" "&amp;Milestones!$AB$20&amp;" "&amp;Milestones!$AC$20&amp;";  ","")&amp;IF(AND(EDATE($D13,Milestones!$AA$21)&lt;=AsOfDate,IF($R13=0,$X13,IF(AND($T13&lt;&gt;"",EDATE($D13,Milestones!$AA$21)&gt;=$T13),$W13,IF(AND($S13&lt;&gt;"",EDATE($D13,Milestones!$AA$21)&gt;=$S13),$V13,$U13)))=Milestones!$AB$21),UPPER(TEXT(EDATE($D13,Milestones!$AA$21),"dd mmm yy"))&amp;" "&amp;Milestones!$AB$21&amp;" "&amp;Milestones!$AC$21&amp;";  ","")&amp;IF(AND(EDATE($D13,Milestones!$AA$22)&lt;=AsOfDate,IF($R13=0,$X13,IF(AND($T13&lt;&gt;"",EDATE($D13,Milestones!$AA$22)&gt;=$T13),$W13,IF(AND($S13&lt;&gt;"",EDATE($D13,Milestones!$AA$22)&gt;=$S13),$V13,$U13)))=Milestones!$AB$22),UPPER(TEXT(EDATE($D13,Milestones!$AA$22),"dd mmm yy"))&amp;" "&amp;Milestones!$AB$22&amp;" "&amp;Milestones!$AC$22&amp;";  ","")&amp;IF(AND(EDATE($D13,Milestones!$AA$23)&lt;=AsOfDate,IF($R13=0,$X13,IF(AND($T13&lt;&gt;"",EDATE($D13,Milestones!$AA$23)&gt;=$T13),$W13,IF(AND($S13&lt;&gt;"",EDATE($D13,Milestones!$AA$23)&gt;=$S13),$V13,$U13)))=Milestones!$AB$23),UPPER(TEXT(EDATE($D13,Milestones!$AA$23),"dd mmm yy"))&amp;" "&amp;Milestones!$AB$23&amp;" "&amp;Milestones!$AC$23&amp;";  ","")&amp;IF(AND(EDATE($D13,Milestones!$AA$24)&lt;=AsOfDate,IF($R13=0,$X13,IF(AND($T13&lt;&gt;"",EDATE($D13,Milestones!$AA$24)&gt;=$T13),$W13,IF(AND($S13&lt;&gt;"",EDATE($D13,Milestones!$AA$24)&gt;=$S13),$V13,$U13)))=Milestones!$AB$24),UPPER(TEXT(EDATE($D13,Milestones!$AA$24),"dd mmm yy"))&amp;" "&amp;Milestones!$AB$24&amp;" "&amp;Milestones!$AC$24&amp;";  ","")&amp;IF(AND(EDATE($D13,Milestones!$AA$25)&lt;=AsOfDate,IF($R13=0,$X13,IF(AND($T13&lt;&gt;"",EDATE($D13,Milestones!$AA$25)&gt;=$T13),$W13,IF(AND($S13&lt;&gt;"",EDATE($D13,Milestones!$AA$25)&gt;=$S13),$V13,$U13)))=Milestones!$AB$25),UPPER(TEXT(EDATE($D13,Milestones!$AA$25),"dd mmm yy"))&amp;" "&amp;Milestones!$AB$25&amp;" "&amp;Milestones!$AC$25&amp;";  ","")&amp;IF(AND(EDATE($D13,Milestones!$AA$26)&lt;=AsOfDate,IF($R13=0,$X13,IF(AND($T13&lt;&gt;"",EDATE($D13,Milestones!$AA$26)&gt;=$T13),$W13,IF(AND($S13&lt;&gt;"",EDATE($D13,Milestones!$AA$26)&gt;=$S13),$V13,$U13)))=Milestones!$AB$26),UPPER(TEXT(EDATE($D13,Milestones!$AA$26),"dd mmm yy"))&amp;" "&amp;Milestones!$AB$26&amp;" "&amp;Milestones!$AC$26&amp;";  ","")&amp;IF(AND(EDATE($D13,Milestones!$AA$27)&lt;=AsOfDate,IF($R13=0,$X13,IF(AND($T13&lt;&gt;"",EDATE($D13,Milestones!$AA$27)&gt;=$T13),$W13,IF(AND($S13&lt;&gt;"",EDATE($D13,Milestones!$AA$27)&gt;=$S13),$V13,$U13)))=Milestones!$AB$27),UPPER(TEXT(EDATE($D13,Milestones!$AA$27),"dd mmm yy"))&amp;" "&amp;Milestones!$AB$27&amp;" "&amp;Milestones!$AC$27&amp;";  ","")&amp;IF(AND(EDATE($D13,Milestones!$AA$28)&lt;=AsOfDate,IF($R13=0,$X13,IF(AND($T13&lt;&gt;"",EDATE($D13,Milestones!$AA$28)&gt;=$T13),$W13,IF(AND($S13&lt;&gt;"",EDATE($D13,Milestones!$AA$28)&gt;=$S13),$V13,$U13)))=Milestones!$AB$28),UPPER(TEXT(EDATE($D13,Milestones!$AA$28),"dd mmm yy"))&amp;" "&amp;Milestones!$AB$28&amp;" "&amp;Milestones!$AC$28&amp;";  ","")&amp;IF(AND(EDATE($D13,Milestones!$AA$29)&lt;=AsOfDate,IF($R13=0,$X13,IF(AND($T13&lt;&gt;"",EDATE($D13,Milestones!$AA$29)&gt;=$T13),$W13,IF(AND($S13&lt;&gt;"",EDATE($D13,Milestones!$AA$29)&gt;=$S13),$V13,$U13)))=Milestones!$AB$29),UPPER(TEXT(EDATE($D13,Milestones!$AA$29),"dd mmm yy"))&amp;" "&amp;Milestones!$AB$29&amp;" "&amp;Milestones!$AC$29&amp;";  ","")&amp;IF(AND(EDATE($D13,Milestones!$AA$30)&lt;=AsOfDate,IF($R13=0,$X13,IF(AND($T13&lt;&gt;"",EDATE($D13,Milestones!$AA$30)&gt;=$T13),$W13,IF(AND($S13&lt;&gt;"",EDATE($D13,Milestones!$AA$30)&gt;=$S13),$V13,$U13)))=Milestones!$AB$30),UPPER(TEXT(EDATE($D13,Milestones!$AA$30),"dd mmm yy"))&amp;" "&amp;Milestones!$AB$30&amp;" "&amp;Milestones!$AC$30&amp;";  ","")&amp;IF(AND(EDATE($D13,Milestones!$AA$31)&lt;=AsOfDate,IF($R13=0,$X13,IF(AND($T13&lt;&gt;"",EDATE($D13,Milestones!$AA$31)&gt;=$T13),$W13,IF(AND($S13&lt;&gt;"",EDATE($D13,Milestones!$AA$31)&gt;=$S13),$V13,$U13)))=Milestones!$AB$31),UPPER(TEXT(EDATE($D13,Milestones!$AA$31),"dd mmm yy"))&amp;" "&amp;Milestones!$AB$31&amp;" "&amp;Milestones!$AC$31&amp;";  ","")&amp;IF(AND(EDATE($D13,Milestones!$AA$32)&lt;=AsOfDate,IF($R13=0,$X13,IF(AND($T13&lt;&gt;"",EDATE($D13,Milestones!$AA$32)&gt;=$T13),$W13,IF(AND($S13&lt;&gt;"",EDATE($D13,Milestones!$AA$32)&gt;=$S13),$V13,$U13)))=Milestones!$AB$32),UPPER(TEXT(EDATE($D13,Milestones!$AA$32),"dd mmm yy"))&amp;" "&amp;Milestones!$AB$32&amp;" "&amp;Milestones!$AC$32&amp;";  ","")&amp;IF(AND(EDATE($D13,Milestones!$AA$33)&lt;=AsOfDate,IF($R13=0,$X13,IF(AND($T13&lt;&gt;"",EDATE($D13,Milestones!$AA$33)&gt;=$T13),$W13,IF(AND($S13&lt;&gt;"",EDATE($D13,Milestones!$AA$33)&gt;=$S13),$V13,$U13)))=Milestones!$AB$33),UPPER(TEXT(EDATE($D13,Milestones!$AA$33),"dd mmm yy"))&amp;" "&amp;Milestones!$AB$33&amp;" "&amp;Milestones!$AC$33&amp;";  ","")&amp;IF(AND(EDATE($D13,Milestones!$AA$34)&lt;=AsOfDate,IF($R13=0,$X13,IF(AND($T13&lt;&gt;"",EDATE($D13,Milestones!$AA$34)&gt;=$T13),$W13,IF(AND($S13&lt;&gt;"",EDATE($D13,Milestones!$AA$34)&gt;=$S13),$V13,$U13)))=Milestones!$AB$34),UPPER(TEXT(EDATE($D13,Milestones!$AA$34),"dd mmm yy"))&amp;" "&amp;Milestones!$AB$34&amp;" "&amp;Milestones!$AC$34&amp;";  ","")&amp;IF(AND(EDATE($D13,Milestones!$AA$35)&lt;=AsOfDate,IF($R13=0,$X13,IF(AND($T13&lt;&gt;"",EDATE($D13,Milestones!$AA$35)&gt;=$T13),$W13,IF(AND($S13&lt;&gt;"",EDATE($D13,Milestones!$AA$35)&gt;=$S13),$V13,$U13)))=Milestones!$AB$35),UPPER(TEXT(EDATE($D13,Milestones!$AA$35),"dd mmm yy"))&amp;" "&amp;Milestones!$AB$35&amp;" "&amp;Milestones!$AC$35&amp;";  ","")&amp;IF(AND(EDATE($D13,Milestones!$AA$36)&lt;=AsOfDate,IF($R13=0,$X13,IF(AND($T13&lt;&gt;"",EDATE($D13,Milestones!$AA$36)&gt;=$T13),$W13,IF(AND($S13&lt;&gt;"",EDATE($D13,Milestones!$AA$36)&gt;=$S13),$V13,$U13)))=Milestones!$AB$36),UPPER(TEXT(EDATE($D13,Milestones!$AA$36),"dd mmm yy"))&amp;" "&amp;Milestones!$AB$36&amp;" "&amp;Milestones!$AC$36&amp;";  ","")&amp;IF(AND(EDATE($D13,Milestones!$AA$37)&lt;=AsOfDate,IF($R13=0,$X13,IF(AND($T13&lt;&gt;"",EDATE($D13,Milestones!$AA$37)&gt;=$T13),$W13,IF(AND($S13&lt;&gt;"",EDATE($D13,Milestones!$AA$37)&gt;=$S13),$V13,$U13)))=Milestones!$AB$37),UPPER(TEXT(EDATE($D13,Milestones!$AA$37),"dd mmm yy"))&amp;" "&amp;Milestones!$AB$37&amp;" "&amp;Milestones!$AC$37&amp;";  ","")&amp;IF(AND(EDATE($D13,Milestones!$AA$38)&lt;=AsOfDate,IF($R13=0,$X13,IF(AND($T13&lt;&gt;"",EDATE($D13,Milestones!$AA$38)&gt;=$T13),$W13,IF(AND($S13&lt;&gt;"",EDATE($D13,Milestones!$AA$38)&gt;=$S13),$V13,$U13)))=Milestones!$AB$38),UPPER(TEXT(EDATE($D13,Milestones!$AA$38),"dd mmm yy"))&amp;" "&amp;Milestones!$AB$38&amp;" "&amp;Milestones!$AC$38&amp;";  ","")&amp;IF(AND(EDATE($D13,Milestones!$AA$39)&lt;=AsOfDate,IF($R13=0,$X13,IF(AND($T13&lt;&gt;"",EDATE($D13,Milestones!$AA$39)&gt;=$T13),$W13,IF(AND($S13&lt;&gt;"",EDATE($D13,Milestones!$AA$39)&gt;=$S13),$V13,$U13)))=Milestones!$AB$39),UPPER(TEXT(EDATE($D13,Milestones!$AA$39),"dd mmm yy"))&amp;" "&amp;Milestones!$AB$39&amp;" "&amp;Milestones!$AC$39&amp;";  ",""))</f>
        <v/>
      </c>
      <c r="J13" s="0" t="str">
        <f aca="false">IF(OR($A13="",$D13=""),"",IF(AND(EDATE($D13,Milestones!$AA$40)&lt;=AsOfDate,IF($R13=0,$X13,IF(AND($T13&lt;&gt;"",EDATE($D13,Milestones!$AA$40)&gt;=$T13),$W13,IF(AND($S13&lt;&gt;"",EDATE($D13,Milestones!$AA$40)&gt;=$S13),$V13,$U13)))=Milestones!$AB$40),UPPER(TEXT(EDATE($D13,Milestones!$AA$40),"dd mmm yy"))&amp;" "&amp;Milestones!$AB$40&amp;" "&amp;Milestones!$AC$40&amp;";  ","")&amp;IF(AND(EDATE($D13,Milestones!$AA$41)&lt;=AsOfDate,IF($R13=0,$X13,IF(AND($T13&lt;&gt;"",EDATE($D13,Milestones!$AA$41)&gt;=$T13),$W13,IF(AND($S13&lt;&gt;"",EDATE($D13,Milestones!$AA$41)&gt;=$S13),$V13,$U13)))=Milestones!$AB$41),UPPER(TEXT(EDATE($D13,Milestones!$AA$41),"dd mmm yy"))&amp;" "&amp;Milestones!$AB$41&amp;" "&amp;Milestones!$AC$41&amp;";  ","")&amp;IF(AND(EDATE($D13,Milestones!$AA$42)&lt;=AsOfDate,IF($R13=0,$X13,IF(AND($T13&lt;&gt;"",EDATE($D13,Milestones!$AA$42)&gt;=$T13),$W13,IF(AND($S13&lt;&gt;"",EDATE($D13,Milestones!$AA$42)&gt;=$S13),$V13,$U13)))=Milestones!$AB$42),UPPER(TEXT(EDATE($D13,Milestones!$AA$42),"dd mmm yy"))&amp;" "&amp;Milestones!$AB$42&amp;" "&amp;Milestones!$AC$42&amp;";  ","")&amp;IF(AND(EDATE($D13,Milestones!$AA$43)&lt;=AsOfDate,IF($R13=0,$X13,IF(AND($T13&lt;&gt;"",EDATE($D13,Milestones!$AA$43)&gt;=$T13),$W13,IF(AND($S13&lt;&gt;"",EDATE($D13,Milestones!$AA$43)&gt;=$S13),$V13,$U13)))=Milestones!$AB$43),UPPER(TEXT(EDATE($D13,Milestones!$AA$43),"dd mmm yy"))&amp;" "&amp;Milestones!$AB$43&amp;" "&amp;Milestones!$AC$43&amp;";  ","")&amp;IF(AND(EDATE($D13,Milestones!$AA$44)&lt;=AsOfDate,IF($R13=0,$X13,IF(AND($T13&lt;&gt;"",EDATE($D13,Milestones!$AA$44)&gt;=$T13),$W13,IF(AND($S13&lt;&gt;"",EDATE($D13,Milestones!$AA$44)&gt;=$S13),$V13,$U13)))=Milestones!$AB$44),UPPER(TEXT(EDATE($D13,Milestones!$AA$44),"dd mmm yy"))&amp;" "&amp;Milestones!$AB$44&amp;" "&amp;Milestones!$AC$44&amp;";  ","")&amp;IF(AND(EDATE($D13,Milestones!$AA$45)&lt;=AsOfDate,IF($R13=0,$X13,IF(AND($T13&lt;&gt;"",EDATE($D13,Milestones!$AA$45)&gt;=$T13),$W13,IF(AND($S13&lt;&gt;"",EDATE($D13,Milestones!$AA$45)&gt;=$S13),$V13,$U13)))=Milestones!$AB$45),UPPER(TEXT(EDATE($D13,Milestones!$AA$45),"dd mmm yy"))&amp;" "&amp;Milestones!$AB$45&amp;" "&amp;Milestones!$AC$45&amp;";  ","")&amp;IF(AND(EDATE($D13,Milestones!$AA$46)&lt;=AsOfDate,IF($R13=0,$X13,IF(AND($T13&lt;&gt;"",EDATE($D13,Milestones!$AA$46)&gt;=$T13),$W13,IF(AND($S13&lt;&gt;"",EDATE($D13,Milestones!$AA$46)&gt;=$S13),$V13,$U13)))=Milestones!$AB$46),UPPER(TEXT(EDATE($D13,Milestones!$AA$46),"dd mmm yy"))&amp;" "&amp;Milestones!$AB$46&amp;" "&amp;Milestones!$AC$46&amp;";  ","")&amp;IF(AND(EDATE($D13,Milestones!$AA$47)&lt;=AsOfDate,IF($R13=0,$X13,IF(AND($T13&lt;&gt;"",EDATE($D13,Milestones!$AA$47)&gt;=$T13),$W13,IF(AND($S13&lt;&gt;"",EDATE($D13,Milestones!$AA$47)&gt;=$S13),$V13,$U13)))=Milestones!$AB$47),UPPER(TEXT(EDATE($D13,Milestones!$AA$47),"dd mmm yy"))&amp;" "&amp;Milestones!$AB$47&amp;" "&amp;Milestones!$AC$47&amp;";  ","")&amp;IF(AND(EDATE($D13,Milestones!$AA$48)&lt;=AsOfDate,IF($R13=0,$X13,IF(AND($T13&lt;&gt;"",EDATE($D13,Milestones!$AA$48)&gt;=$T13),$W13,IF(AND($S13&lt;&gt;"",EDATE($D13,Milestones!$AA$48)&gt;=$S13),$V13,$U13)))=Milestones!$AB$48),UPPER(TEXT(EDATE($D13,Milestones!$AA$48),"dd mmm yy"))&amp;" "&amp;Milestones!$AB$48&amp;" "&amp;Milestones!$AC$48&amp;";  ","")&amp;IF(AND(EDATE($D13,Milestones!$AA$49)&lt;=AsOfDate,IF($R13=0,$X13,IF(AND($T13&lt;&gt;"",EDATE($D13,Milestones!$AA$49)&gt;=$T13),$W13,IF(AND($S13&lt;&gt;"",EDATE($D13,Milestones!$AA$49)&gt;=$S13),$V13,$U13)))=Milestones!$AB$49),UPPER(TEXT(EDATE($D13,Milestones!$AA$49),"dd mmm yy"))&amp;" "&amp;Milestones!$AB$49&amp;" "&amp;Milestones!$AC$49&amp;";  ","")&amp;IF(AND(EDATE($D13,Milestones!$AA$50)&lt;=AsOfDate,IF($R13=0,$X13,IF(AND($T13&lt;&gt;"",EDATE($D13,Milestones!$AA$50)&gt;=$T13),$W13,IF(AND($S13&lt;&gt;"",EDATE($D13,Milestones!$AA$50)&gt;=$S13),$V13,$U13)))=Milestones!$AB$50),UPPER(TEXT(EDATE($D13,Milestones!$AA$50),"dd mmm yy"))&amp;" "&amp;Milestones!$AB$50&amp;" "&amp;Milestones!$AC$50&amp;";  ","")&amp;IF(AND(EDATE($D13,Milestones!$AA$51)&lt;=AsOfDate,IF($R13=0,$X13,IF(AND($T13&lt;&gt;"",EDATE($D13,Milestones!$AA$51)&gt;=$T13),$W13,IF(AND($S13&lt;&gt;"",EDATE($D13,Milestones!$AA$51)&gt;=$S13),$V13,$U13)))=Milestones!$AB$51),UPPER(TEXT(EDATE($D13,Milestones!$AA$51),"dd mmm yy"))&amp;" "&amp;Milestones!$AB$51&amp;" "&amp;Milestones!$AC$51&amp;";  ","")&amp;IF(AND(EDATE($D13,Milestones!$AA$52)&lt;=AsOfDate,IF($R13=0,$X13,IF(AND($T13&lt;&gt;"",EDATE($D13,Milestones!$AA$52)&gt;=$T13),$W13,IF(AND($S13&lt;&gt;"",EDATE($D13,Milestones!$AA$52)&gt;=$S13),$V13,$U13)))=Milestones!$AB$52),UPPER(TEXT(EDATE($D13,Milestones!$AA$52),"dd mmm yy"))&amp;" "&amp;Milestones!$AB$52&amp;" "&amp;Milestones!$AC$52&amp;";  ","")&amp;IF(AND(EDATE($D13,Milestones!$AA$53)&lt;=AsOfDate,IF($R13=0,$X13,IF(AND($T13&lt;&gt;"",EDATE($D13,Milestones!$AA$53)&gt;=$T13),$W13,IF(AND($S13&lt;&gt;"",EDATE($D13,Milestones!$AA$53)&gt;=$S13),$V13,$U13)))=Milestones!$AB$53),UPPER(TEXT(EDATE($D13,Milestones!$AA$53),"dd mmm yy"))&amp;" "&amp;Milestones!$AB$53&amp;" "&amp;Milestones!$AC$53&amp;";  ","")&amp;IF(AND(EDATE($D13,Milestones!$AA$54)&lt;=AsOfDate,IF($R13=0,$X13,IF(AND($T13&lt;&gt;"",EDATE($D13,Milestones!$AA$54)&gt;=$T13),$W13,IF(AND($S13&lt;&gt;"",EDATE($D13,Milestones!$AA$54)&gt;=$S13),$V13,$U13)))=Milestones!$AB$54),UPPER(TEXT(EDATE($D13,Milestones!$AA$54),"dd mmm yy"))&amp;" "&amp;Milestones!$AB$54&amp;" "&amp;Milestones!$AC$54&amp;";  ","")&amp;IF(AND(EDATE($D13,Milestones!$AA$55)&lt;=AsOfDate,IF($R13=0,$X13,IF(AND($T13&lt;&gt;"",EDATE($D13,Milestones!$AA$55)&gt;=$T13),$W13,IF(AND($S13&lt;&gt;"",EDATE($D13,Milestones!$AA$55)&gt;=$S13),$V13,$U13)))=Milestones!$AB$55),UPPER(TEXT(EDATE($D13,Milestones!$AA$55),"dd mmm yy"))&amp;" "&amp;Milestones!$AB$55&amp;" "&amp;Milestones!$AC$55&amp;";  ","")&amp;IF(AND(EDATE($D13,Milestones!$AA$56)&lt;=AsOfDate,IF($R13=0,$X13,IF(AND($T13&lt;&gt;"",EDATE($D13,Milestones!$AA$56)&gt;=$T13),$W13,IF(AND($S13&lt;&gt;"",EDATE($D13,Milestones!$AA$56)&gt;=$S13),$V13,$U13)))=Milestones!$AB$56),UPPER(TEXT(EDATE($D13,Milestones!$AA$56),"dd mmm yy"))&amp;" "&amp;Milestones!$AB$56&amp;" "&amp;Milestones!$AC$56&amp;";  ","")&amp;IF(AND(EDATE($D13,Milestones!$AA$57)&lt;=AsOfDate,IF($R13=0,$X13,IF(AND($T13&lt;&gt;"",EDATE($D13,Milestones!$AA$57)&gt;=$T13),$W13,IF(AND($S13&lt;&gt;"",EDATE($D13,Milestones!$AA$57)&gt;=$S13),$V13,$U13)))=Milestones!$AB$57),UPPER(TEXT(EDATE($D13,Milestones!$AA$57),"dd mmm yy"))&amp;" "&amp;Milestones!$AB$57&amp;" "&amp;Milestones!$AC$57&amp;";  ","")&amp;IF(AND(EDATE($D13,Milestones!$AA$58)&lt;=AsOfDate,IF($R13=0,$X13,IF(AND($T13&lt;&gt;"",EDATE($D13,Milestones!$AA$58)&gt;=$T13),$W13,IF(AND($S13&lt;&gt;"",EDATE($D13,Milestones!$AA$58)&gt;=$S13),$V13,$U13)))=Milestones!$AB$58),UPPER(TEXT(EDATE($D13,Milestones!$AA$58),"dd mmm yy"))&amp;" "&amp;Milestones!$AB$58&amp;" "&amp;Milestones!$AC$58&amp;";  ","")&amp;IF(AND(EDATE($D13,Milestones!$AA$59)&lt;=AsOfDate,IF($R13=0,$X13,IF(AND($T13&lt;&gt;"",EDATE($D13,Milestones!$AA$59)&gt;=$T13),$W13,IF(AND($S13&lt;&gt;"",EDATE($D13,Milestones!$AA$59)&gt;=$S13),$V13,$U13)))=Milestones!$AB$59),UPPER(TEXT(EDATE($D13,Milestones!$AA$59),"dd mmm yy"))&amp;" "&amp;Milestones!$AB$59&amp;" "&amp;Milestones!$AC$59&amp;";  ",""))</f>
        <v/>
      </c>
      <c r="K13" s="0" t="str">
        <f aca="false">IF(OR($A13="",$D13=""),"",IF(AND(EDATE($D13,Milestones!$AA$60)&lt;=AsOfDate,IF($R13=0,$X13,IF(AND($T13&lt;&gt;"",EDATE($D13,Milestones!$AA$60)&gt;=$T13),$W13,IF(AND($S13&lt;&gt;"",EDATE($D13,Milestones!$AA$60)&gt;=$S13),$V13,$U13)))=Milestones!$AB$60),UPPER(TEXT(EDATE($D13,Milestones!$AA$60),"dd mmm yy"))&amp;" "&amp;Milestones!$AB$60&amp;" "&amp;Milestones!$AC$60&amp;";  ","")&amp;IF(AND(EDATE($D13,Milestones!$AA$61)&lt;=AsOfDate,IF($R13=0,$X13,IF(AND($T13&lt;&gt;"",EDATE($D13,Milestones!$AA$61)&gt;=$T13),$W13,IF(AND($S13&lt;&gt;"",EDATE($D13,Milestones!$AA$61)&gt;=$S13),$V13,$U13)))=Milestones!$AB$61),UPPER(TEXT(EDATE($D13,Milestones!$AA$61),"dd mmm yy"))&amp;" "&amp;Milestones!$AB$61&amp;" "&amp;Milestones!$AC$61&amp;";  ","")&amp;IF(AND(EDATE($D13,Milestones!$AA$62)&lt;=AsOfDate,IF($R13=0,$X13,IF(AND($T13&lt;&gt;"",EDATE($D13,Milestones!$AA$62)&gt;=$T13),$W13,IF(AND($S13&lt;&gt;"",EDATE($D13,Milestones!$AA$62)&gt;=$S13),$V13,$U13)))=Milestones!$AB$62),UPPER(TEXT(EDATE($D13,Milestones!$AA$62),"dd mmm yy"))&amp;" "&amp;Milestones!$AB$62&amp;" "&amp;Milestones!$AC$62&amp;";  ","")&amp;IF(AND(EDATE($D13,Milestones!$AA$63)&lt;=AsOfDate,IF($R13=0,$X13,IF(AND($T13&lt;&gt;"",EDATE($D13,Milestones!$AA$63)&gt;=$T13),$W13,IF(AND($S13&lt;&gt;"",EDATE($D13,Milestones!$AA$63)&gt;=$S13),$V13,$U13)))=Milestones!$AB$63),UPPER(TEXT(EDATE($D13,Milestones!$AA$63),"dd mmm yy"))&amp;" "&amp;Milestones!$AB$63&amp;" "&amp;Milestones!$AC$63&amp;";  ","")&amp;IF(AND(EDATE($D13,Milestones!$AA$64)&lt;=AsOfDate,IF($R13=0,$X13,IF(AND($T13&lt;&gt;"",EDATE($D13,Milestones!$AA$64)&gt;=$T13),$W13,IF(AND($S13&lt;&gt;"",EDATE($D13,Milestones!$AA$64)&gt;=$S13),$V13,$U13)))=Milestones!$AB$64),UPPER(TEXT(EDATE($D13,Milestones!$AA$64),"dd mmm yy"))&amp;" "&amp;Milestones!$AB$64&amp;" "&amp;Milestones!$AC$64&amp;";  ","")&amp;IF(AND(EDATE($D13,Milestones!$AA$65)&lt;=AsOfDate,IF($R13=0,$X13,IF(AND($T13&lt;&gt;"",EDATE($D13,Milestones!$AA$65)&gt;=$T13),$W13,IF(AND($S13&lt;&gt;"",EDATE($D13,Milestones!$AA$65)&gt;=$S13),$V13,$U13)))=Milestones!$AB$65),UPPER(TEXT(EDATE($D13,Milestones!$AA$65),"dd mmm yy"))&amp;" "&amp;Milestones!$AB$65&amp;" "&amp;Milestones!$AC$65&amp;";  ","")&amp;IF(AND(EDATE($D13,Milestones!$AA$66)&lt;=AsOfDate,IF($R13=0,$X13,IF(AND($T13&lt;&gt;"",EDATE($D13,Milestones!$AA$66)&gt;=$T13),$W13,IF(AND($S13&lt;&gt;"",EDATE($D13,Milestones!$AA$66)&gt;=$S13),$V13,$U13)))=Milestones!$AB$66),UPPER(TEXT(EDATE($D13,Milestones!$AA$66),"dd mmm yy"))&amp;" "&amp;Milestones!$AB$66&amp;" "&amp;Milestones!$AC$66&amp;";  ","")&amp;IF(AND(EDATE($D13,Milestones!$AA$67)&lt;=AsOfDate,IF($R13=0,$X13,IF(AND($T13&lt;&gt;"",EDATE($D13,Milestones!$AA$67)&gt;=$T13),$W13,IF(AND($S13&lt;&gt;"",EDATE($D13,Milestones!$AA$67)&gt;=$S13),$V13,$U13)))=Milestones!$AB$67),UPPER(TEXT(EDATE($D13,Milestones!$AA$67),"dd mmm yy"))&amp;" "&amp;Milestones!$AB$67&amp;" "&amp;Milestones!$AC$67&amp;";  ","")&amp;IF(AND(EDATE($D13,Milestones!$AA$68)&lt;=AsOfDate,IF($R13=0,$X13,IF(AND($T13&lt;&gt;"",EDATE($D13,Milestones!$AA$68)&gt;=$T13),$W13,IF(AND($S13&lt;&gt;"",EDATE($D13,Milestones!$AA$68)&gt;=$S13),$V13,$U13)))=Milestones!$AB$68),UPPER(TEXT(EDATE($D13,Milestones!$AA$68),"dd mmm yy"))&amp;" "&amp;Milestones!$AB$68&amp;" "&amp;Milestones!$AC$68&amp;";  ","")&amp;IF(AND(EDATE($D13,Milestones!$AA$69)&lt;=AsOfDate,IF($R13=0,$X13,IF(AND($T13&lt;&gt;"",EDATE($D13,Milestones!$AA$69)&gt;=$T13),$W13,IF(AND($S13&lt;&gt;"",EDATE($D13,Milestones!$AA$69)&gt;=$S13),$V13,$U13)))=Milestones!$AB$69),UPPER(TEXT(EDATE($D13,Milestones!$AA$69),"dd mmm yy"))&amp;" "&amp;Milestones!$AB$69&amp;" "&amp;Milestones!$AC$69&amp;";  ","")&amp;IF(AND(EDATE($D13,Milestones!$AA$70)&lt;=AsOfDate,IF($R13=0,$X13,IF(AND($T13&lt;&gt;"",EDATE($D13,Milestones!$AA$70)&gt;=$T13),$W13,IF(AND($S13&lt;&gt;"",EDATE($D13,Milestones!$AA$70)&gt;=$S13),$V13,$U13)))=Milestones!$AB$70),UPPER(TEXT(EDATE($D13,Milestones!$AA$70),"dd mmm yy"))&amp;" "&amp;Milestones!$AB$70&amp;" "&amp;Milestones!$AC$70&amp;";  ","")&amp;IF(AND(EDATE($D13,Milestones!$AA$71)&lt;=AsOfDate,IF($R13=0,$X13,IF(AND($T13&lt;&gt;"",EDATE($D13,Milestones!$AA$71)&gt;=$T13),$W13,IF(AND($S13&lt;&gt;"",EDATE($D13,Milestones!$AA$71)&gt;=$S13),$V13,$U13)))=Milestones!$AB$71),UPPER(TEXT(EDATE($D13,Milestones!$AA$71),"dd mmm yy"))&amp;" "&amp;Milestones!$AB$71&amp;" "&amp;Milestones!$AC$71&amp;";  ","")&amp;IF(AND(EDATE($D13,Milestones!$AA$72)&lt;=AsOfDate,IF($R13=0,$X13,IF(AND($T13&lt;&gt;"",EDATE($D13,Milestones!$AA$72)&gt;=$T13),$W13,IF(AND($S13&lt;&gt;"",EDATE($D13,Milestones!$AA$72)&gt;=$S13),$V13,$U13)))=Milestones!$AB$72),UPPER(TEXT(EDATE($D13,Milestones!$AA$72),"dd mmm yy"))&amp;" "&amp;Milestones!$AB$72&amp;" "&amp;Milestones!$AC$72&amp;";  ","")&amp;IF(AND(EDATE($D13,Milestones!$AA$73)&lt;=AsOfDate,IF($R13=0,$X13,IF(AND($T13&lt;&gt;"",EDATE($D13,Milestones!$AA$73)&gt;=$T13),$W13,IF(AND($S13&lt;&gt;"",EDATE($D13,Milestones!$AA$73)&gt;=$S13),$V13,$U13)))=Milestones!$AB$73),UPPER(TEXT(EDATE($D13,Milestones!$AA$73),"dd mmm yy"))&amp;" "&amp;Milestones!$AB$73&amp;" "&amp;Milestones!$AC$73&amp;";  ","")&amp;IF(AND(EDATE($D13,Milestones!$AA$74)&lt;=AsOfDate,IF($R13=0,$X13,IF(AND($T13&lt;&gt;"",EDATE($D13,Milestones!$AA$74)&gt;=$T13),$W13,IF(AND($S13&lt;&gt;"",EDATE($D13,Milestones!$AA$74)&gt;=$S13),$V13,$U13)))=Milestones!$AB$74),UPPER(TEXT(EDATE($D13,Milestones!$AA$74),"dd mmm yy"))&amp;" "&amp;Milestones!$AB$74&amp;" "&amp;Milestones!$AC$74&amp;";  ","")&amp;IF(AND(EDATE($D13,Milestones!$AA$75)&lt;=AsOfDate,IF($R13=0,$X13,IF(AND($T13&lt;&gt;"",EDATE($D13,Milestones!$AA$75)&gt;=$T13),$W13,IF(AND($S13&lt;&gt;"",EDATE($D13,Milestones!$AA$75)&gt;=$S13),$V13,$U13)))=Milestones!$AB$75),UPPER(TEXT(EDATE($D13,Milestones!$AA$75),"dd mmm yy"))&amp;" "&amp;Milestones!$AB$75&amp;" "&amp;Milestones!$AC$75&amp;";  ","")&amp;IF(AND(EDATE($D13,Milestones!$AA$76)&lt;=AsOfDate,IF($R13=0,$X13,IF(AND($T13&lt;&gt;"",EDATE($D13,Milestones!$AA$76)&gt;=$T13),$W13,IF(AND($S13&lt;&gt;"",EDATE($D13,Milestones!$AA$76)&gt;=$S13),$V13,$U13)))=Milestones!$AB$76),UPPER(TEXT(EDATE($D13,Milestones!$AA$76),"dd mmm yy"))&amp;" "&amp;Milestones!$AB$76&amp;" "&amp;Milestones!$AC$76&amp;";  ","")&amp;IF(AND(EDATE($D13,Milestones!$AA$77)&lt;=AsOfDate,IF($R13=0,$X13,IF(AND($T13&lt;&gt;"",EDATE($D13,Milestones!$AA$77)&gt;=$T13),$W13,IF(AND($S13&lt;&gt;"",EDATE($D13,Milestones!$AA$77)&gt;=$S13),$V13,$U13)))=Milestones!$AB$77),UPPER(TEXT(EDATE($D13,Milestones!$AA$77),"dd mmm yy"))&amp;" "&amp;Milestones!$AB$77&amp;" "&amp;Milestones!$AC$77&amp;";  ","")&amp;IF(AND(EDATE($D13,Milestones!$AA$78)&lt;=AsOfDate,IF($R13=0,$X13,IF(AND($T13&lt;&gt;"",EDATE($D13,Milestones!$AA$78)&gt;=$T13),$W13,IF(AND($S13&lt;&gt;"",EDATE($D13,Milestones!$AA$78)&gt;=$S13),$V13,$U13)))=Milestones!$AB$78),UPPER(TEXT(EDATE($D13,Milestones!$AA$78),"dd mmm yy"))&amp;" "&amp;Milestones!$AB$78&amp;" "&amp;Milestones!$AC$78&amp;";  ","")&amp;IF(AND(EDATE($D13,Milestones!$AA$79)&lt;=AsOfDate,IF($R13=0,$X13,IF(AND($T13&lt;&gt;"",EDATE($D13,Milestones!$AA$79)&gt;=$T13),$W13,IF(AND($S13&lt;&gt;"",EDATE($D13,Milestones!$AA$79)&gt;=$S13),$V13,$U13)))=Milestones!$AB$79),UPPER(TEXT(EDATE($D13,Milestones!$AA$79),"dd mmm yy"))&amp;" "&amp;Milestones!$AB$79&amp;" "&amp;Milestones!$AC$79&amp;";  ",""))</f>
        <v/>
      </c>
      <c r="L13" s="0" t="str">
        <f aca="false">IF(OR($A13="",$D13=""),"",IF(AND(EDATE($D13,Milestones!$AA$80)&lt;=AsOfDate,IF($R13=0,$X13,IF(AND($T13&lt;&gt;"",EDATE($D13,Milestones!$AA$80)&gt;=$T13),$W13,IF(AND($S13&lt;&gt;"",EDATE($D13,Milestones!$AA$80)&gt;=$S13),$V13,$U13)))=Milestones!$AB$80),UPPER(TEXT(EDATE($D13,Milestones!$AA$80),"dd mmm yy"))&amp;" "&amp;Milestones!$AB$80&amp;" "&amp;Milestones!$AC$80&amp;";  ","")&amp;IF(AND(EDATE($D13,Milestones!$AA$81)&lt;=AsOfDate,IF($R13=0,$X13,IF(AND($T13&lt;&gt;"",EDATE($D13,Milestones!$AA$81)&gt;=$T13),$W13,IF(AND($S13&lt;&gt;"",EDATE($D13,Milestones!$AA$81)&gt;=$S13),$V13,$U13)))=Milestones!$AB$81),UPPER(TEXT(EDATE($D13,Milestones!$AA$81),"dd mmm yy"))&amp;" "&amp;Milestones!$AB$81&amp;" "&amp;Milestones!$AC$81&amp;";  ","")&amp;IF(AND(EDATE($D13,Milestones!$AA$82)&lt;=AsOfDate,IF($R13=0,$X13,IF(AND($T13&lt;&gt;"",EDATE($D13,Milestones!$AA$82)&gt;=$T13),$W13,IF(AND($S13&lt;&gt;"",EDATE($D13,Milestones!$AA$82)&gt;=$S13),$V13,$U13)))=Milestones!$AB$82),UPPER(TEXT(EDATE($D13,Milestones!$AA$82),"dd mmm yy"))&amp;" "&amp;Milestones!$AB$82&amp;" "&amp;Milestones!$AC$82&amp;";  ","")&amp;IF(AND(EDATE($D13,Milestones!$AA$83)&lt;=AsOfDate,IF($R13=0,$X13,IF(AND($T13&lt;&gt;"",EDATE($D13,Milestones!$AA$83)&gt;=$T13),$W13,IF(AND($S13&lt;&gt;"",EDATE($D13,Milestones!$AA$83)&gt;=$S13),$V13,$U13)))=Milestones!$AB$83),UPPER(TEXT(EDATE($D13,Milestones!$AA$83),"dd mmm yy"))&amp;" "&amp;Milestones!$AB$83&amp;" "&amp;Milestones!$AC$83&amp;";  ","")&amp;IF(AND(EDATE($D13,Milestones!$AA$84)&lt;=AsOfDate,IF($R13=0,$X13,IF(AND($T13&lt;&gt;"",EDATE($D13,Milestones!$AA$84)&gt;=$T13),$W13,IF(AND($S13&lt;&gt;"",EDATE($D13,Milestones!$AA$84)&gt;=$S13),$V13,$U13)))=Milestones!$AB$84),UPPER(TEXT(EDATE($D13,Milestones!$AA$84),"dd mmm yy"))&amp;" "&amp;Milestones!$AB$84&amp;" "&amp;Milestones!$AC$84&amp;";  ","")&amp;IF(AND(EDATE($D13,Milestones!$AA$85)&lt;=AsOfDate,IF($R13=0,$X13,IF(AND($T13&lt;&gt;"",EDATE($D13,Milestones!$AA$85)&gt;=$T13),$W13,IF(AND($S13&lt;&gt;"",EDATE($D13,Milestones!$AA$85)&gt;=$S13),$V13,$U13)))=Milestones!$AB$85),UPPER(TEXT(EDATE($D13,Milestones!$AA$85),"dd mmm yy"))&amp;" "&amp;Milestones!$AB$85&amp;" "&amp;Milestones!$AC$85&amp;";  ","")&amp;IF(AND(EDATE($D13,Milestones!$AA$86)&lt;=AsOfDate,IF($R13=0,$X13,IF(AND($T13&lt;&gt;"",EDATE($D13,Milestones!$AA$86)&gt;=$T13),$W13,IF(AND($S13&lt;&gt;"",EDATE($D13,Milestones!$AA$86)&gt;=$S13),$V13,$U13)))=Milestones!$AB$86),UPPER(TEXT(EDATE($D13,Milestones!$AA$86),"dd mmm yy"))&amp;" "&amp;Milestones!$AB$86&amp;" "&amp;Milestones!$AC$86&amp;";  ","")&amp;IF(AND(EDATE($D13,Milestones!$AA$87)&lt;=AsOfDate,IF($R13=0,$X13,IF(AND($T13&lt;&gt;"",EDATE($D13,Milestones!$AA$87)&gt;=$T13),$W13,IF(AND($S13&lt;&gt;"",EDATE($D13,Milestones!$AA$87)&gt;=$S13),$V13,$U13)))=Milestones!$AB$87),UPPER(TEXT(EDATE($D13,Milestones!$AA$87),"dd mmm yy"))&amp;" "&amp;Milestones!$AB$87&amp;" "&amp;Milestones!$AC$87&amp;";  ","")&amp;IF(AND(EDATE($D13,Milestones!$AA$88)&lt;=AsOfDate,IF($R13=0,$X13,IF(AND($T13&lt;&gt;"",EDATE($D13,Milestones!$AA$88)&gt;=$T13),$W13,IF(AND($S13&lt;&gt;"",EDATE($D13,Milestones!$AA$88)&gt;=$S13),$V13,$U13)))=Milestones!$AB$88),UPPER(TEXT(EDATE($D13,Milestones!$AA$88),"dd mmm yy"))&amp;" "&amp;Milestones!$AB$88&amp;" "&amp;Milestones!$AC$88&amp;";  ","")&amp;IF(AND(EDATE($D13,Milestones!$AA$89)&lt;=AsOfDate,IF($R13=0,$X13,IF(AND($T13&lt;&gt;"",EDATE($D13,Milestones!$AA$89)&gt;=$T13),$W13,IF(AND($S13&lt;&gt;"",EDATE($D13,Milestones!$AA$89)&gt;=$S13),$V13,$U13)))=Milestones!$AB$89),UPPER(TEXT(EDATE($D13,Milestones!$AA$89),"dd mmm yy"))&amp;" "&amp;Milestones!$AB$89&amp;" "&amp;Milestones!$AC$89&amp;";  ","")&amp;IF(AND(EDATE($D13,Milestones!$AA$90)&lt;=AsOfDate,IF($R13=0,$X13,IF(AND($T13&lt;&gt;"",EDATE($D13,Milestones!$AA$90)&gt;=$T13),$W13,IF(AND($S13&lt;&gt;"",EDATE($D13,Milestones!$AA$90)&gt;=$S13),$V13,$U13)))=Milestones!$AB$90),UPPER(TEXT(EDATE($D13,Milestones!$AA$90),"dd mmm yy"))&amp;" "&amp;Milestones!$AB$90&amp;" "&amp;Milestones!$AC$90&amp;";  ","")&amp;IF(AND(EDATE($D13,Milestones!$AA$91)&lt;=AsOfDate,IF($R13=0,$X13,IF(AND($T13&lt;&gt;"",EDATE($D13,Milestones!$AA$91)&gt;=$T13),$W13,IF(AND($S13&lt;&gt;"",EDATE($D13,Milestones!$AA$91)&gt;=$S13),$V13,$U13)))=Milestones!$AB$91),UPPER(TEXT(EDATE($D13,Milestones!$AA$91),"dd mmm yy"))&amp;" "&amp;Milestones!$AB$91&amp;" "&amp;Milestones!$AC$91&amp;";  ","")&amp;IF(AND(EDATE($D13,Milestones!$AA$92)&lt;=AsOfDate,IF($R13=0,$X13,IF(AND($T13&lt;&gt;"",EDATE($D13,Milestones!$AA$92)&gt;=$T13),$W13,IF(AND($S13&lt;&gt;"",EDATE($D13,Milestones!$AA$92)&gt;=$S13),$V13,$U13)))=Milestones!$AB$92),UPPER(TEXT(EDATE($D13,Milestones!$AA$92),"dd mmm yy"))&amp;" "&amp;Milestones!$AB$92&amp;" "&amp;Milestones!$AC$92&amp;";  ","")&amp;IF(AND(EDATE($D13,Milestones!$AA$93)&lt;=AsOfDate,IF($R13=0,$X13,IF(AND($T13&lt;&gt;"",EDATE($D13,Milestones!$AA$93)&gt;=$T13),$W13,IF(AND($S13&lt;&gt;"",EDATE($D13,Milestones!$AA$93)&gt;=$S13),$V13,$U13)))=Milestones!$AB$93),UPPER(TEXT(EDATE($D13,Milestones!$AA$93),"dd mmm yy"))&amp;" "&amp;Milestones!$AB$93&amp;" "&amp;Milestones!$AC$93&amp;";  ","")&amp;IF(AND(EDATE($D13,Milestones!$AA$94)&lt;=AsOfDate,IF($R13=0,$X13,IF(AND($T13&lt;&gt;"",EDATE($D13,Milestones!$AA$94)&gt;=$T13),$W13,IF(AND($S13&lt;&gt;"",EDATE($D13,Milestones!$AA$94)&gt;=$S13),$V13,$U13)))=Milestones!$AB$94),UPPER(TEXT(EDATE($D13,Milestones!$AA$94),"dd mmm yy"))&amp;" "&amp;Milestones!$AB$94&amp;" "&amp;Milestones!$AC$94&amp;";  ","")&amp;IF(AND(EDATE($D13,Milestones!$AA$95)&lt;=AsOfDate,IF($R13=0,$X13,IF(AND($T13&lt;&gt;"",EDATE($D13,Milestones!$AA$95)&gt;=$T13),$W13,IF(AND($S13&lt;&gt;"",EDATE($D13,Milestones!$AA$95)&gt;=$S13),$V13,$U13)))=Milestones!$AB$95),UPPER(TEXT(EDATE($D13,Milestones!$AA$95),"dd mmm yy"))&amp;" "&amp;Milestones!$AB$95&amp;" "&amp;Milestones!$AC$95&amp;";  ","")&amp;IF(AND(EDATE($D13,Milestones!$AA$96)&lt;=AsOfDate,IF($R13=0,$X13,IF(AND($T13&lt;&gt;"",EDATE($D13,Milestones!$AA$96)&gt;=$T13),$W13,IF(AND($S13&lt;&gt;"",EDATE($D13,Milestones!$AA$96)&gt;=$S13),$V13,$U13)))=Milestones!$AB$96),UPPER(TEXT(EDATE($D13,Milestones!$AA$96),"dd mmm yy"))&amp;" "&amp;Milestones!$AB$96&amp;" "&amp;Milestones!$AC$96&amp;";  ","")&amp;IF(AND(EDATE($D13,Milestones!$AA$97)&lt;=AsOfDate,IF($R13=0,$X13,IF(AND($T13&lt;&gt;"",EDATE($D13,Milestones!$AA$97)&gt;=$T13),$W13,IF(AND($S13&lt;&gt;"",EDATE($D13,Milestones!$AA$97)&gt;=$S13),$V13,$U13)))=Milestones!$AB$97),UPPER(TEXT(EDATE($D13,Milestones!$AA$97),"dd mmm yy"))&amp;" "&amp;Milestones!$AB$97&amp;" "&amp;Milestones!$AC$97&amp;";  ","")&amp;IF(AND(EDATE($D13,Milestones!$AA$98)&lt;=AsOfDate,IF($R13=0,$X13,IF(AND($T13&lt;&gt;"",EDATE($D13,Milestones!$AA$98)&gt;=$T13),$W13,IF(AND($S13&lt;&gt;"",EDATE($D13,Milestones!$AA$98)&gt;=$S13),$V13,$U13)))=Milestones!$AB$98),UPPER(TEXT(EDATE($D13,Milestones!$AA$98),"dd mmm yy"))&amp;" "&amp;Milestones!$AB$98&amp;" "&amp;Milestones!$AC$98&amp;";  ","")&amp;IF(AND(EDATE($D13,Milestones!$AA$99)&lt;=AsOfDate,IF($R13=0,$X13,IF(AND($T13&lt;&gt;"",EDATE($D13,Milestones!$AA$99)&gt;=$T13),$W13,IF(AND($S13&lt;&gt;"",EDATE($D13,Milestones!$AA$99)&gt;=$S13),$V13,$U13)))=Milestones!$AB$99),UPPER(TEXT(EDATE($D13,Milestones!$AA$99),"dd mmm yy"))&amp;" "&amp;Milestones!$AB$99&amp;" "&amp;Milestones!$AC$99&amp;";  ",""))</f>
        <v/>
      </c>
      <c r="M13" s="0" t="str">
        <f aca="false">IF(OR($A13="",$D13=""),"",IF(AND(EDATE($D13,Milestones!$AA$100)&lt;=AsOfDate,IF($R13=0,$X13,IF(AND($T13&lt;&gt;"",EDATE($D13,Milestones!$AA$100)&gt;=$T13),$W13,IF(AND($S13&lt;&gt;"",EDATE($D13,Milestones!$AA$100)&gt;=$S13),$V13,$U13)))=Milestones!$AB$100),UPPER(TEXT(EDATE($D13,Milestones!$AA$100),"dd mmm yy"))&amp;" "&amp;Milestones!$AB$100&amp;" "&amp;Milestones!$AC$100&amp;";  ","")&amp;IF(AND(EDATE($D13,Milestones!$AA$101)&lt;=AsOfDate,IF($R13=0,$X13,IF(AND($T13&lt;&gt;"",EDATE($D13,Milestones!$AA$101)&gt;=$T13),$W13,IF(AND($S13&lt;&gt;"",EDATE($D13,Milestones!$AA$101)&gt;=$S13),$V13,$U13)))=Milestones!$AB$101),UPPER(TEXT(EDATE($D13,Milestones!$AA$101),"dd mmm yy"))&amp;" "&amp;Milestones!$AB$101&amp;" "&amp;Milestones!$AC$101&amp;";  ","")&amp;IF(AND(EDATE($D13,Milestones!$AA$102)&lt;=AsOfDate,IF($R13=0,$X13,IF(AND($T13&lt;&gt;"",EDATE($D13,Milestones!$AA$102)&gt;=$T13),$W13,IF(AND($S13&lt;&gt;"",EDATE($D13,Milestones!$AA$102)&gt;=$S13),$V13,$U13)))=Milestones!$AB$102),UPPER(TEXT(EDATE($D13,Milestones!$AA$102),"dd mmm yy"))&amp;" "&amp;Milestones!$AB$102&amp;" "&amp;Milestones!$AC$102&amp;";  ","")&amp;IF(AND(EDATE($D13,Milestones!$AA$103)&lt;=AsOfDate,IF($R13=0,$X13,IF(AND($T13&lt;&gt;"",EDATE($D13,Milestones!$AA$103)&gt;=$T13),$W13,IF(AND($S13&lt;&gt;"",EDATE($D13,Milestones!$AA$103)&gt;=$S13),$V13,$U13)))=Milestones!$AB$103),UPPER(TEXT(EDATE($D13,Milestones!$AA$103),"dd mmm yy"))&amp;" "&amp;Milestones!$AB$103&amp;" "&amp;Milestones!$AC$103&amp;";  ","")&amp;IF(AND(EDATE($D13,Milestones!$AA$104)&lt;=AsOfDate,IF($R13=0,$X13,IF(AND($T13&lt;&gt;"",EDATE($D13,Milestones!$AA$104)&gt;=$T13),$W13,IF(AND($S13&lt;&gt;"",EDATE($D13,Milestones!$AA$104)&gt;=$S13),$V13,$U13)))=Milestones!$AB$104),UPPER(TEXT(EDATE($D13,Milestones!$AA$104),"dd mmm yy"))&amp;" "&amp;Milestones!$AB$104&amp;" "&amp;Milestones!$AC$104&amp;";  ","")&amp;IF(AND(EDATE($D13,Milestones!$AA$105)&lt;=AsOfDate,IF($R13=0,$X13,IF(AND($T13&lt;&gt;"",EDATE($D13,Milestones!$AA$105)&gt;=$T13),$W13,IF(AND($S13&lt;&gt;"",EDATE($D13,Milestones!$AA$105)&gt;=$S13),$V13,$U13)))=Milestones!$AB$105),UPPER(TEXT(EDATE($D13,Milestones!$AA$105),"dd mmm yy"))&amp;" "&amp;Milestones!$AB$105&amp;" "&amp;Milestones!$AC$105&amp;";  ","")&amp;IF(AND(EDATE($D13,Milestones!$AA$106)&lt;=AsOfDate,IF($R13=0,$X13,IF(AND($T13&lt;&gt;"",EDATE($D13,Milestones!$AA$106)&gt;=$T13),$W13,IF(AND($S13&lt;&gt;"",EDATE($D13,Milestones!$AA$106)&gt;=$S13),$V13,$U13)))=Milestones!$AB$106),UPPER(TEXT(EDATE($D13,Milestones!$AA$106),"dd mmm yy"))&amp;" "&amp;Milestones!$AB$106&amp;" "&amp;Milestones!$AC$106&amp;";  ","")&amp;IF(AND(EDATE($D13,Milestones!$AA$107)&lt;=AsOfDate,IF($R13=0,$X13,IF(AND($T13&lt;&gt;"",EDATE($D13,Milestones!$AA$107)&gt;=$T13),$W13,IF(AND($S13&lt;&gt;"",EDATE($D13,Milestones!$AA$107)&gt;=$S13),$V13,$U13)))=Milestones!$AB$107),UPPER(TEXT(EDATE($D13,Milestones!$AA$107),"dd mmm yy"))&amp;" "&amp;Milestones!$AB$107&amp;" "&amp;Milestones!$AC$107&amp;";  ","")&amp;IF(AND(EDATE($D13,Milestones!$AA$108)&lt;=AsOfDate,IF($R13=0,$X13,IF(AND($T13&lt;&gt;"",EDATE($D13,Milestones!$AA$108)&gt;=$T13),$W13,IF(AND($S13&lt;&gt;"",EDATE($D13,Milestones!$AA$108)&gt;=$S13),$V13,$U13)))=Milestones!$AB$108),UPPER(TEXT(EDATE($D13,Milestones!$AA$108),"dd mmm yy"))&amp;" "&amp;Milestones!$AB$108&amp;" "&amp;Milestones!$AC$108&amp;";  ","")&amp;IF(AND(EDATE($D13,Milestones!$AA$109)&lt;=AsOfDate,IF($R13=0,$X13,IF(AND($T13&lt;&gt;"",EDATE($D13,Milestones!$AA$109)&gt;=$T13),$W13,IF(AND($S13&lt;&gt;"",EDATE($D13,Milestones!$AA$109)&gt;=$S13),$V13,$U13)))=Milestones!$AB$109),UPPER(TEXT(EDATE($D13,Milestones!$AA$109),"dd mmm yy"))&amp;" "&amp;Milestones!$AB$109&amp;" "&amp;Milestones!$AC$109&amp;";  ","")&amp;IF(AND(EDATE($D13,Milestones!$AA$110)&lt;=AsOfDate,IF($R13=0,$X13,IF(AND($T13&lt;&gt;"",EDATE($D13,Milestones!$AA$110)&gt;=$T13),$W13,IF(AND($S13&lt;&gt;"",EDATE($D13,Milestones!$AA$110)&gt;=$S13),$V13,$U13)))=Milestones!$AB$110),UPPER(TEXT(EDATE($D13,Milestones!$AA$110),"dd mmm yy"))&amp;" "&amp;Milestones!$AB$110&amp;" "&amp;Milestones!$AC$110&amp;";  ","")&amp;IF(AND(EDATE($D13,Milestones!$AA$111)&lt;=AsOfDate,IF($R13=0,$X13,IF(AND($T13&lt;&gt;"",EDATE($D13,Milestones!$AA$111)&gt;=$T13),$W13,IF(AND($S13&lt;&gt;"",EDATE($D13,Milestones!$AA$111)&gt;=$S13),$V13,$U13)))=Milestones!$AB$111),UPPER(TEXT(EDATE($D13,Milestones!$AA$111),"dd mmm yy"))&amp;" "&amp;Milestones!$AB$111&amp;" "&amp;Milestones!$AC$111&amp;";  ","")&amp;IF(AND(EDATE($D13,Milestones!$AA$112)&lt;=AsOfDate,IF($R13=0,$X13,IF(AND($T13&lt;&gt;"",EDATE($D13,Milestones!$AA$112)&gt;=$T13),$W13,IF(AND($S13&lt;&gt;"",EDATE($D13,Milestones!$AA$112)&gt;=$S13),$V13,$U13)))=Milestones!$AB$112),UPPER(TEXT(EDATE($D13,Milestones!$AA$112),"dd mmm yy"))&amp;" "&amp;Milestones!$AB$112&amp;" "&amp;Milestones!$AC$112&amp;";  ","")&amp;IF(AND(EDATE($D13,Milestones!$AA$113)&lt;=AsOfDate,IF($R13=0,$X13,IF(AND($T13&lt;&gt;"",EDATE($D13,Milestones!$AA$113)&gt;=$T13),$W13,IF(AND($S13&lt;&gt;"",EDATE($D13,Milestones!$AA$113)&gt;=$S13),$V13,$U13)))=Milestones!$AB$113),UPPER(TEXT(EDATE($D13,Milestones!$AA$113),"dd mmm yy"))&amp;" "&amp;Milestones!$AB$113&amp;" "&amp;Milestones!$AC$113&amp;";  ","")&amp;IF(AND(EDATE($D13,Milestones!$AA$114)&lt;=AsOfDate,IF($R13=0,$X13,IF(AND($T13&lt;&gt;"",EDATE($D13,Milestones!$AA$114)&gt;=$T13),$W13,IF(AND($S13&lt;&gt;"",EDATE($D13,Milestones!$AA$114)&gt;=$S13),$V13,$U13)))=Milestones!$AB$114),UPPER(TEXT(EDATE($D13,Milestones!$AA$114),"dd mmm yy"))&amp;" "&amp;Milestones!$AB$114&amp;" "&amp;Milestones!$AC$114&amp;";  ","")&amp;IF(AND(EDATE($D13,Milestones!$AA$115)&lt;=AsOfDate,IF($R13=0,$X13,IF(AND($T13&lt;&gt;"",EDATE($D13,Milestones!$AA$115)&gt;=$T13),$W13,IF(AND($S13&lt;&gt;"",EDATE($D13,Milestones!$AA$115)&gt;=$S13),$V13,$U13)))=Milestones!$AB$115),UPPER(TEXT(EDATE($D13,Milestones!$AA$115),"dd mmm yy"))&amp;" "&amp;Milestones!$AB$115&amp;" "&amp;Milestones!$AC$115&amp;";  ","")&amp;IF(AND(EDATE($D13,Milestones!$AA$116)&lt;=AsOfDate,IF($R13=0,$X13,IF(AND($T13&lt;&gt;"",EDATE($D13,Milestones!$AA$116)&gt;=$T13),$W13,IF(AND($S13&lt;&gt;"",EDATE($D13,Milestones!$AA$116)&gt;=$S13),$V13,$U13)))=Milestones!$AB$116),UPPER(TEXT(EDATE($D13,Milestones!$AA$116),"dd mmm yy"))&amp;" "&amp;Milestones!$AB$116&amp;" "&amp;Milestones!$AC$116&amp;";  ","")&amp;IF(AND(EDATE($D13,Milestones!$AA$117)&lt;=AsOfDate,IF($R13=0,$X13,IF(AND($T13&lt;&gt;"",EDATE($D13,Milestones!$AA$117)&gt;=$T13),$W13,IF(AND($S13&lt;&gt;"",EDATE($D13,Milestones!$AA$117)&gt;=$S13),$V13,$U13)))=Milestones!$AB$117),UPPER(TEXT(EDATE($D13,Milestones!$AA$117),"dd mmm yy"))&amp;" "&amp;Milestones!$AB$117&amp;" "&amp;Milestones!$AC$117&amp;";  ","")&amp;IF(AND(EDATE($D13,Milestones!$AA$118)&lt;=AsOfDate,IF($R13=0,$X13,IF(AND($T13&lt;&gt;"",EDATE($D13,Milestones!$AA$118)&gt;=$T13),$W13,IF(AND($S13&lt;&gt;"",EDATE($D13,Milestones!$AA$118)&gt;=$S13),$V13,$U13)))=Milestones!$AB$118),UPPER(TEXT(EDATE($D13,Milestones!$AA$118),"dd mmm yy"))&amp;" "&amp;Milestones!$AB$118&amp;" "&amp;Milestones!$AC$118&amp;";  ","")&amp;IF(AND(EDATE($D13,Milestones!$AA$119)&lt;=AsOfDate,IF($R13=0,$X13,IF(AND($T13&lt;&gt;"",EDATE($D13,Milestones!$AA$119)&gt;=$T13),$W13,IF(AND($S13&lt;&gt;"",EDATE($D13,Milestones!$AA$119)&gt;=$S13),$V13,$U13)))=Milestones!$AB$119),UPPER(TEXT(EDATE($D13,Milestones!$AA$119),"dd mmm yy"))&amp;" "&amp;Milestones!$AB$119&amp;" "&amp;Milestones!$AC$119&amp;";  ",""))</f>
        <v/>
      </c>
      <c r="N13" s="0" t="str">
        <f aca="false">IF(OR($A13="",$D13=""),"",IF(AND(EDATE($D13,Milestones!$AA$120)&lt;=AsOfDate,IF($R13=0,$X13,IF(AND($T13&lt;&gt;"",EDATE($D13,Milestones!$AA$120)&gt;=$T13),$W13,IF(AND($S13&lt;&gt;"",EDATE($D13,Milestones!$AA$120)&gt;=$S13),$V13,$U13)))=Milestones!$AB$120),UPPER(TEXT(EDATE($D13,Milestones!$AA$120),"dd mmm yy"))&amp;" "&amp;Milestones!$AB$120&amp;" "&amp;Milestones!$AC$120&amp;";  ","")&amp;IF(AND(EDATE($D13,Milestones!$AA$121)&lt;=AsOfDate,IF($R13=0,$X13,IF(AND($T13&lt;&gt;"",EDATE($D13,Milestones!$AA$121)&gt;=$T13),$W13,IF(AND($S13&lt;&gt;"",EDATE($D13,Milestones!$AA$121)&gt;=$S13),$V13,$U13)))=Milestones!$AB$121),UPPER(TEXT(EDATE($D13,Milestones!$AA$121),"dd mmm yy"))&amp;" "&amp;Milestones!$AB$121&amp;" "&amp;Milestones!$AC$121&amp;";  ","")&amp;IF(AND(EDATE($D13,Milestones!$AA$122)&lt;=AsOfDate,IF($R13=0,$X13,IF(AND($T13&lt;&gt;"",EDATE($D13,Milestones!$AA$122)&gt;=$T13),$W13,IF(AND($S13&lt;&gt;"",EDATE($D13,Milestones!$AA$122)&gt;=$S13),$V13,$U13)))=Milestones!$AB$122),UPPER(TEXT(EDATE($D13,Milestones!$AA$122),"dd mmm yy"))&amp;" "&amp;Milestones!$AB$122&amp;" "&amp;Milestones!$AC$122&amp;";  ","")&amp;IF(AND(EDATE($D13,Milestones!$AA$123)&lt;=AsOfDate,IF($R13=0,$X13,IF(AND($T13&lt;&gt;"",EDATE($D13,Milestones!$AA$123)&gt;=$T13),$W13,IF(AND($S13&lt;&gt;"",EDATE($D13,Milestones!$AA$123)&gt;=$S13),$V13,$U13)))=Milestones!$AB$123),UPPER(TEXT(EDATE($D13,Milestones!$AA$123),"dd mmm yy"))&amp;" "&amp;Milestones!$AB$123&amp;" "&amp;Milestones!$AC$123&amp;";  ","")&amp;IF(AND(EDATE($D13,Milestones!$AA$124)&lt;=AsOfDate,IF($R13=0,$X13,IF(AND($T13&lt;&gt;"",EDATE($D13,Milestones!$AA$124)&gt;=$T13),$W13,IF(AND($S13&lt;&gt;"",EDATE($D13,Milestones!$AA$124)&gt;=$S13),$V13,$U13)))=Milestones!$AB$124),UPPER(TEXT(EDATE($D13,Milestones!$AA$124),"dd mmm yy"))&amp;" "&amp;Milestones!$AB$124&amp;" "&amp;Milestones!$AC$124&amp;";  ","")&amp;IF(AND(EDATE($D13,Milestones!$AA$125)&lt;=AsOfDate,IF($R13=0,$X13,IF(AND($T13&lt;&gt;"",EDATE($D13,Milestones!$AA$125)&gt;=$T13),$W13,IF(AND($S13&lt;&gt;"",EDATE($D13,Milestones!$AA$125)&gt;=$S13),$V13,$U13)))=Milestones!$AB$125),UPPER(TEXT(EDATE($D13,Milestones!$AA$125),"dd mmm yy"))&amp;" "&amp;Milestones!$AB$125&amp;" "&amp;Milestones!$AC$125&amp;";  ","")&amp;IF(AND(EDATE($D13,Milestones!$AA$126)&lt;=AsOfDate,IF($R13=0,$X13,IF(AND($T13&lt;&gt;"",EDATE($D13,Milestones!$AA$126)&gt;=$T13),$W13,IF(AND($S13&lt;&gt;"",EDATE($D13,Milestones!$AA$126)&gt;=$S13),$V13,$U13)))=Milestones!$AB$126),UPPER(TEXT(EDATE($D13,Milestones!$AA$126),"dd mmm yy"))&amp;" "&amp;Milestones!$AB$126&amp;" "&amp;Milestones!$AC$126&amp;";  ","")&amp;IF(AND(EDATE($D13,Milestones!$AA$127)&lt;=AsOfDate,IF($R13=0,$X13,IF(AND($T13&lt;&gt;"",EDATE($D13,Milestones!$AA$127)&gt;=$T13),$W13,IF(AND($S13&lt;&gt;"",EDATE($D13,Milestones!$AA$127)&gt;=$S13),$V13,$U13)))=Milestones!$AB$127),UPPER(TEXT(EDATE($D13,Milestones!$AA$127),"dd mmm yy"))&amp;" "&amp;Milestones!$AB$127&amp;" "&amp;Milestones!$AC$127&amp;";  ","")&amp;IF(AND(EDATE($D13,Milestones!$AA$128)&lt;=AsOfDate,IF($R13=0,$X13,IF(AND($T13&lt;&gt;"",EDATE($D13,Milestones!$AA$128)&gt;=$T13),$W13,IF(AND($S13&lt;&gt;"",EDATE($D13,Milestones!$AA$128)&gt;=$S13),$V13,$U13)))=Milestones!$AB$128),UPPER(TEXT(EDATE($D13,Milestones!$AA$128),"dd mmm yy"))&amp;" "&amp;Milestones!$AB$128&amp;" "&amp;Milestones!$AC$128&amp;";  ","")&amp;IF(AND(EDATE($D13,Milestones!$AA$129)&lt;=AsOfDate,IF($R13=0,$X13,IF(AND($T13&lt;&gt;"",EDATE($D13,Milestones!$AA$129)&gt;=$T13),$W13,IF(AND($S13&lt;&gt;"",EDATE($D13,Milestones!$AA$129)&gt;=$S13),$V13,$U13)))=Milestones!$AB$129),UPPER(TEXT(EDATE($D13,Milestones!$AA$129),"dd mmm yy"))&amp;" "&amp;Milestones!$AB$129&amp;" "&amp;Milestones!$AC$129&amp;";  ","")&amp;IF(AND(EDATE($D13,Milestones!$AA$130)&lt;=AsOfDate,IF($R13=0,$X13,IF(AND($T13&lt;&gt;"",EDATE($D13,Milestones!$AA$130)&gt;=$T13),$W13,IF(AND($S13&lt;&gt;"",EDATE($D13,Milestones!$AA$130)&gt;=$S13),$V13,$U13)))=Milestones!$AB$130),UPPER(TEXT(EDATE($D13,Milestones!$AA$130),"dd mmm yy"))&amp;" "&amp;Milestones!$AB$130&amp;" "&amp;Milestones!$AC$130&amp;";  ","")&amp;IF(AND(EDATE($D13,Milestones!$AA$131)&lt;=AsOfDate,IF($R13=0,$X13,IF(AND($T13&lt;&gt;"",EDATE($D13,Milestones!$AA$131)&gt;=$T13),$W13,IF(AND($S13&lt;&gt;"",EDATE($D13,Milestones!$AA$131)&gt;=$S13),$V13,$U13)))=Milestones!$AB$131),UPPER(TEXT(EDATE($D13,Milestones!$AA$131),"dd mmm yy"))&amp;" "&amp;Milestones!$AB$131&amp;" "&amp;Milestones!$AC$131&amp;";  ","")&amp;IF(AND(EDATE($D13,Milestones!$AA$132)&lt;=AsOfDate,IF($R13=0,$X13,IF(AND($T13&lt;&gt;"",EDATE($D13,Milestones!$AA$132)&gt;=$T13),$W13,IF(AND($S13&lt;&gt;"",EDATE($D13,Milestones!$AA$132)&gt;=$S13),$V13,$U13)))=Milestones!$AB$132),UPPER(TEXT(EDATE($D13,Milestones!$AA$132),"dd mmm yy"))&amp;" "&amp;Milestones!$AB$132&amp;" "&amp;Milestones!$AC$132&amp;";  ","")&amp;IF(AND(EDATE($D13,Milestones!$AA$133)&lt;=AsOfDate,IF($R13=0,$X13,IF(AND($T13&lt;&gt;"",EDATE($D13,Milestones!$AA$133)&gt;=$T13),$W13,IF(AND($S13&lt;&gt;"",EDATE($D13,Milestones!$AA$133)&gt;=$S13),$V13,$U13)))=Milestones!$AB$133),UPPER(TEXT(EDATE($D13,Milestones!$AA$133),"dd mmm yy"))&amp;" "&amp;Milestones!$AB$133&amp;" "&amp;Milestones!$AC$133&amp;";  ","")&amp;IF(AND(EDATE($D13,Milestones!$AA$134)&lt;=AsOfDate,IF($R13=0,$X13,IF(AND($T13&lt;&gt;"",EDATE($D13,Milestones!$AA$134)&gt;=$T13),$W13,IF(AND($S13&lt;&gt;"",EDATE($D13,Milestones!$AA$134)&gt;=$S13),$V13,$U13)))=Milestones!$AB$134),UPPER(TEXT(EDATE($D13,Milestones!$AA$134),"dd mmm yy"))&amp;" "&amp;Milestones!$AB$134&amp;" "&amp;Milestones!$AC$134&amp;";  ","")&amp;IF(AND(EDATE($D13,Milestones!$AA$135)&lt;=AsOfDate,IF($R13=0,$X13,IF(AND($T13&lt;&gt;"",EDATE($D13,Milestones!$AA$135)&gt;=$T13),$W13,IF(AND($S13&lt;&gt;"",EDATE($D13,Milestones!$AA$135)&gt;=$S13),$V13,$U13)))=Milestones!$AB$135),UPPER(TEXT(EDATE($D13,Milestones!$AA$135),"dd mmm yy"))&amp;" "&amp;Milestones!$AB$135&amp;" "&amp;Milestones!$AC$135&amp;";  ","")&amp;IF(AND(EDATE($D13,Milestones!$AA$136)&lt;=AsOfDate,IF($R13=0,$X13,IF(AND($T13&lt;&gt;"",EDATE($D13,Milestones!$AA$136)&gt;=$T13),$W13,IF(AND($S13&lt;&gt;"",EDATE($D13,Milestones!$AA$136)&gt;=$S13),$V13,$U13)))=Milestones!$AB$136),UPPER(TEXT(EDATE($D13,Milestones!$AA$136),"dd mmm yy"))&amp;" "&amp;Milestones!$AB$136&amp;" "&amp;Milestones!$AC$136&amp;";  ","")&amp;IF(AND(EDATE($D13,Milestones!$AA$137)&lt;=AsOfDate,IF($R13=0,$X13,IF(AND($T13&lt;&gt;"",EDATE($D13,Milestones!$AA$137)&gt;=$T13),$W13,IF(AND($S13&lt;&gt;"",EDATE($D13,Milestones!$AA$137)&gt;=$S13),$V13,$U13)))=Milestones!$AB$137),UPPER(TEXT(EDATE($D13,Milestones!$AA$137),"dd mmm yy"))&amp;" "&amp;Milestones!$AB$137&amp;" "&amp;Milestones!$AC$137&amp;";  ","")&amp;IF(AND(EDATE($D13,Milestones!$AA$138)&lt;=AsOfDate,IF($R13=0,$X13,IF(AND($T13&lt;&gt;"",EDATE($D13,Milestones!$AA$138)&gt;=$T13),$W13,IF(AND($S13&lt;&gt;"",EDATE($D13,Milestones!$AA$138)&gt;=$S13),$V13,$U13)))=Milestones!$AB$138),UPPER(TEXT(EDATE($D13,Milestones!$AA$138),"dd mmm yy"))&amp;" "&amp;Milestones!$AB$138&amp;" "&amp;Milestones!$AC$138&amp;";  ","")&amp;IF(AND(EDATE($D13,Milestones!$AA$139)&lt;=AsOfDate,IF($R13=0,$X13,IF(AND($T13&lt;&gt;"",EDATE($D13,Milestones!$AA$139)&gt;=$T13),$W13,IF(AND($S13&lt;&gt;"",EDATE($D13,Milestones!$AA$139)&gt;=$S13),$V13,$U13)))=Milestones!$AB$139),UPPER(TEXT(EDATE($D13,Milestones!$AA$139),"dd mmm yy"))&amp;" "&amp;Milestones!$AB$139&amp;" "&amp;Milestones!$AC$139&amp;";  ",""))</f>
        <v/>
      </c>
      <c r="O13" s="0" t="str">
        <f aca="false">IF(OR($A13="",$D13=""),"",IF(AND(EDATE($D13,Milestones!$AA$140)&lt;=AsOfDate,IF($R13=0,$X13,IF(AND($T13&lt;&gt;"",EDATE($D13,Milestones!$AA$140)&gt;=$T13),$W13,IF(AND($S13&lt;&gt;"",EDATE($D13,Milestones!$AA$140)&gt;=$S13),$V13,$U13)))=Milestones!$AB$140),UPPER(TEXT(EDATE($D13,Milestones!$AA$140),"dd mmm yy"))&amp;" "&amp;Milestones!$AB$140&amp;" "&amp;Milestones!$AC$140&amp;";  ","")&amp;IF(AND(EDATE($D13,Milestones!$AA$141)&lt;=AsOfDate,IF($R13=0,$X13,IF(AND($T13&lt;&gt;"",EDATE($D13,Milestones!$AA$141)&gt;=$T13),$W13,IF(AND($S13&lt;&gt;"",EDATE($D13,Milestones!$AA$141)&gt;=$S13),$V13,$U13)))=Milestones!$AB$141),UPPER(TEXT(EDATE($D13,Milestones!$AA$141),"dd mmm yy"))&amp;" "&amp;Milestones!$AB$141&amp;" "&amp;Milestones!$AC$141&amp;";  ","")&amp;IF(AND(EDATE($D13,Milestones!$AA$142)&lt;=AsOfDate,IF($R13=0,$X13,IF(AND($T13&lt;&gt;"",EDATE($D13,Milestones!$AA$142)&gt;=$T13),$W13,IF(AND($S13&lt;&gt;"",EDATE($D13,Milestones!$AA$142)&gt;=$S13),$V13,$U13)))=Milestones!$AB$142),UPPER(TEXT(EDATE($D13,Milestones!$AA$142),"dd mmm yy"))&amp;" "&amp;Milestones!$AB$142&amp;" "&amp;Milestones!$AC$142&amp;";  ","")&amp;IF(AND(EDATE($D13,Milestones!$AA$143)&lt;=AsOfDate,IF($R13=0,$X13,IF(AND($T13&lt;&gt;"",EDATE($D13,Milestones!$AA$143)&gt;=$T13),$W13,IF(AND($S13&lt;&gt;"",EDATE($D13,Milestones!$AA$143)&gt;=$S13),$V13,$U13)))=Milestones!$AB$143),UPPER(TEXT(EDATE($D13,Milestones!$AA$143),"dd mmm yy"))&amp;" "&amp;Milestones!$AB$143&amp;" "&amp;Milestones!$AC$143&amp;";  ","")&amp;IF(AND(EDATE($D13,Milestones!$AA$144)&lt;=AsOfDate,IF($R13=0,$X13,IF(AND($T13&lt;&gt;"",EDATE($D13,Milestones!$AA$144)&gt;=$T13),$W13,IF(AND($S13&lt;&gt;"",EDATE($D13,Milestones!$AA$144)&gt;=$S13),$V13,$U13)))=Milestones!$AB$144),UPPER(TEXT(EDATE($D13,Milestones!$AA$144),"dd mmm yy"))&amp;" "&amp;Milestones!$AB$144&amp;" "&amp;Milestones!$AC$144&amp;";  ","")&amp;IF(AND(EDATE($D13,Milestones!$AA$145)&lt;=AsOfDate,IF($R13=0,$X13,IF(AND($T13&lt;&gt;"",EDATE($D13,Milestones!$AA$145)&gt;=$T13),$W13,IF(AND($S13&lt;&gt;"",EDATE($D13,Milestones!$AA$145)&gt;=$S13),$V13,$U13)))=Milestones!$AB$145),UPPER(TEXT(EDATE($D13,Milestones!$AA$145),"dd mmm yy"))&amp;" "&amp;Milestones!$AB$145&amp;" "&amp;Milestones!$AC$145&amp;";  ","")&amp;IF(AND(EDATE($D13,Milestones!$AA$146)&lt;=AsOfDate,IF($R13=0,$X13,IF(AND($T13&lt;&gt;"",EDATE($D13,Milestones!$AA$146)&gt;=$T13),$W13,IF(AND($S13&lt;&gt;"",EDATE($D13,Milestones!$AA$146)&gt;=$S13),$V13,$U13)))=Milestones!$AB$146),UPPER(TEXT(EDATE($D13,Milestones!$AA$146),"dd mmm yy"))&amp;" "&amp;Milestones!$AB$146&amp;" "&amp;Milestones!$AC$146&amp;";  ","")&amp;IF(AND(EDATE($D13,Milestones!$AA$147)&lt;=AsOfDate,IF($R13=0,$X13,IF(AND($T13&lt;&gt;"",EDATE($D13,Milestones!$AA$147)&gt;=$T13),$W13,IF(AND($S13&lt;&gt;"",EDATE($D13,Milestones!$AA$147)&gt;=$S13),$V13,$U13)))=Milestones!$AB$147),UPPER(TEXT(EDATE($D13,Milestones!$AA$147),"dd mmm yy"))&amp;" "&amp;Milestones!$AB$147&amp;" "&amp;Milestones!$AC$147&amp;";  ","")&amp;IF(AND(EDATE($D13,Milestones!$AA$148)&lt;=AsOfDate,IF($R13=0,$X13,IF(AND($T13&lt;&gt;"",EDATE($D13,Milestones!$AA$148)&gt;=$T13),$W13,IF(AND($S13&lt;&gt;"",EDATE($D13,Milestones!$AA$148)&gt;=$S13),$V13,$U13)))=Milestones!$AB$148),UPPER(TEXT(EDATE($D13,Milestones!$AA$148),"dd mmm yy"))&amp;" "&amp;Milestones!$AB$148&amp;" "&amp;Milestones!$AC$148&amp;";  ","")&amp;IF(AND(EDATE($D13,Milestones!$AA$149)&lt;=AsOfDate,IF($R13=0,$X13,IF(AND($T13&lt;&gt;"",EDATE($D13,Milestones!$AA$149)&gt;=$T13),$W13,IF(AND($S13&lt;&gt;"",EDATE($D13,Milestones!$AA$149)&gt;=$S13),$V13,$U13)))=Milestones!$AB$149),UPPER(TEXT(EDATE($D13,Milestones!$AA$149),"dd mmm yy"))&amp;" "&amp;Milestones!$AB$149&amp;" "&amp;Milestones!$AC$149&amp;";  ","")&amp;IF(AND(EDATE($D13,Milestones!$AA$150)&lt;=AsOfDate,IF($R13=0,$X13,IF(AND($T13&lt;&gt;"",EDATE($D13,Milestones!$AA$150)&gt;=$T13),$W13,IF(AND($S13&lt;&gt;"",EDATE($D13,Milestones!$AA$150)&gt;=$S13),$V13,$U13)))=Milestones!$AB$150),UPPER(TEXT(EDATE($D13,Milestones!$AA$150),"dd mmm yy"))&amp;" "&amp;Milestones!$AB$150&amp;" "&amp;Milestones!$AC$150&amp;";  ","")&amp;IF(AND(EDATE($D13,Milestones!$AA$151)&lt;=AsOfDate,IF($R13=0,$X13,IF(AND($T13&lt;&gt;"",EDATE($D13,Milestones!$AA$151)&gt;=$T13),$W13,IF(AND($S13&lt;&gt;"",EDATE($D13,Milestones!$AA$151)&gt;=$S13),$V13,$U13)))=Milestones!$AB$151),UPPER(TEXT(EDATE($D13,Milestones!$AA$151),"dd mmm yy"))&amp;" "&amp;Milestones!$AB$151&amp;" "&amp;Milestones!$AC$151&amp;";  ","")&amp;IF(AND(EDATE($D13,Milestones!$AA$152)&lt;=AsOfDate,IF($R13=0,$X13,IF(AND($T13&lt;&gt;"",EDATE($D13,Milestones!$AA$152)&gt;=$T13),$W13,IF(AND($S13&lt;&gt;"",EDATE($D13,Milestones!$AA$152)&gt;=$S13),$V13,$U13)))=Milestones!$AB$152),UPPER(TEXT(EDATE($D13,Milestones!$AA$152),"dd mmm yy"))&amp;" "&amp;Milestones!$AB$152&amp;" "&amp;Milestones!$AC$152&amp;";  ","")&amp;IF(AND(EDATE($D13,Milestones!$AA$153)&lt;=AsOfDate,IF($R13=0,$X13,IF(AND($T13&lt;&gt;"",EDATE($D13,Milestones!$AA$153)&gt;=$T13),$W13,IF(AND($S13&lt;&gt;"",EDATE($D13,Milestones!$AA$153)&gt;=$S13),$V13,$U13)))=Milestones!$AB$153),UPPER(TEXT(EDATE($D13,Milestones!$AA$153),"dd mmm yy"))&amp;" "&amp;Milestones!$AB$153&amp;" "&amp;Milestones!$AC$153&amp;";  ","")&amp;IF(AND(EDATE($D13,Milestones!$AA$154)&lt;=AsOfDate,IF($R13=0,$X13,IF(AND($T13&lt;&gt;"",EDATE($D13,Milestones!$AA$154)&gt;=$T13),$W13,IF(AND($S13&lt;&gt;"",EDATE($D13,Milestones!$AA$154)&gt;=$S13),$V13,$U13)))=Milestones!$AB$154),UPPER(TEXT(EDATE($D13,Milestones!$AA$154),"dd mmm yy"))&amp;" "&amp;Milestones!$AB$154&amp;" "&amp;Milestones!$AC$154&amp;";  ","")&amp;IF(AND(EDATE($D13,Milestones!$AA$155)&lt;=AsOfDate,IF($R13=0,$X13,IF(AND($T13&lt;&gt;"",EDATE($D13,Milestones!$AA$155)&gt;=$T13),$W13,IF(AND($S13&lt;&gt;"",EDATE($D13,Milestones!$AA$155)&gt;=$S13),$V13,$U13)))=Milestones!$AB$155),UPPER(TEXT(EDATE($D13,Milestones!$AA$155),"dd mmm yy"))&amp;" "&amp;Milestones!$AB$155&amp;" "&amp;Milestones!$AC$155&amp;";  ","")&amp;IF(AND(EDATE($D13,Milestones!$AA$156)&lt;=AsOfDate,IF($R13=0,$X13,IF(AND($T13&lt;&gt;"",EDATE($D13,Milestones!$AA$156)&gt;=$T13),$W13,IF(AND($S13&lt;&gt;"",EDATE($D13,Milestones!$AA$156)&gt;=$S13),$V13,$U13)))=Milestones!$AB$156),UPPER(TEXT(EDATE($D13,Milestones!$AA$156),"dd mmm yy"))&amp;" "&amp;Milestones!$AB$156&amp;" "&amp;Milestones!$AC$156&amp;";  ","")&amp;IF(AND(EDATE($D13,Milestones!$AA$157)&lt;=AsOfDate,IF($R13=0,$X13,IF(AND($T13&lt;&gt;"",EDATE($D13,Milestones!$AA$157)&gt;=$T13),$W13,IF(AND($S13&lt;&gt;"",EDATE($D13,Milestones!$AA$157)&gt;=$S13),$V13,$U13)))=Milestones!$AB$157),UPPER(TEXT(EDATE($D13,Milestones!$AA$157),"dd mmm yy"))&amp;" "&amp;Milestones!$AB$157&amp;" "&amp;Milestones!$AC$157&amp;";  ","")&amp;IF(AND(EDATE($D13,Milestones!$AA$158)&lt;=AsOfDate,IF($R13=0,$X13,IF(AND($T13&lt;&gt;"",EDATE($D13,Milestones!$AA$158)&gt;=$T13),$W13,IF(AND($S13&lt;&gt;"",EDATE($D13,Milestones!$AA$158)&gt;=$S13),$V13,$U13)))=Milestones!$AB$158),UPPER(TEXT(EDATE($D13,Milestones!$AA$158),"dd mmm yy"))&amp;" "&amp;Milestones!$AB$158&amp;" "&amp;Milestones!$AC$158&amp;";  ","")&amp;IF(AND(EDATE($D13,Milestones!$AA$159)&lt;=AsOfDate,IF($R13=0,$X13,IF(AND($T13&lt;&gt;"",EDATE($D13,Milestones!$AA$159)&gt;=$T13),$W13,IF(AND($S13&lt;&gt;"",EDATE($D13,Milestones!$AA$159)&gt;=$S13),$V13,$U13)))=Milestones!$AB$159),UPPER(TEXT(EDATE($D13,Milestones!$AA$159),"dd mmm yy"))&amp;" "&amp;Milestones!$AB$159&amp;" "&amp;Milestones!$AC$159&amp;";  ",""))</f>
        <v/>
      </c>
      <c r="P13" s="0" t="str">
        <f aca="false">IF(OR($A13="",$D13=""),"",IF(AND(EDATE($D13,Milestones!$AA$160)&lt;=AsOfDate,IF($R13=0,$X13,IF(AND($T13&lt;&gt;"",EDATE($D13,Milestones!$AA$160)&gt;=$T13),$W13,IF(AND($S13&lt;&gt;"",EDATE($D13,Milestones!$AA$160)&gt;=$S13),$V13,$U13)))=Milestones!$AB$160),UPPER(TEXT(EDATE($D13,Milestones!$AA$160),"dd mmm yy"))&amp;" "&amp;Milestones!$AB$160&amp;" "&amp;Milestones!$AC$160&amp;";  ","")&amp;IF(AND(EDATE($D13,Milestones!$AA$161)&lt;=AsOfDate,IF($R13=0,$X13,IF(AND($T13&lt;&gt;"",EDATE($D13,Milestones!$AA$161)&gt;=$T13),$W13,IF(AND($S13&lt;&gt;"",EDATE($D13,Milestones!$AA$161)&gt;=$S13),$V13,$U13)))=Milestones!$AB$161),UPPER(TEXT(EDATE($D13,Milestones!$AA$161),"dd mmm yy"))&amp;" "&amp;Milestones!$AB$161&amp;" "&amp;Milestones!$AC$161&amp;";  ","")&amp;IF(AND(EDATE($D13,Milestones!$AA$162)&lt;=AsOfDate,IF($R13=0,$X13,IF(AND($T13&lt;&gt;"",EDATE($D13,Milestones!$AA$162)&gt;=$T13),$W13,IF(AND($S13&lt;&gt;"",EDATE($D13,Milestones!$AA$162)&gt;=$S13),$V13,$U13)))=Milestones!$AB$162),UPPER(TEXT(EDATE($D13,Milestones!$AA$162),"dd mmm yy"))&amp;" "&amp;Milestones!$AB$162&amp;" "&amp;Milestones!$AC$162&amp;";  ","")&amp;IF(AND(EDATE($D13,Milestones!$AA$163)&lt;=AsOfDate,IF($R13=0,$X13,IF(AND($T13&lt;&gt;"",EDATE($D13,Milestones!$AA$163)&gt;=$T13),$W13,IF(AND($S13&lt;&gt;"",EDATE($D13,Milestones!$AA$163)&gt;=$S13),$V13,$U13)))=Milestones!$AB$163),UPPER(TEXT(EDATE($D13,Milestones!$AA$163),"dd mmm yy"))&amp;" "&amp;Milestones!$AB$163&amp;" "&amp;Milestones!$AC$163&amp;";  ","")&amp;IF(AND(EDATE($D13,Milestones!$AA$164)&lt;=AsOfDate,IF($R13=0,$X13,IF(AND($T13&lt;&gt;"",EDATE($D13,Milestones!$AA$164)&gt;=$T13),$W13,IF(AND($S13&lt;&gt;"",EDATE($D13,Milestones!$AA$164)&gt;=$S13),$V13,$U13)))=Milestones!$AB$164),UPPER(TEXT(EDATE($D13,Milestones!$AA$164),"dd mmm yy"))&amp;" "&amp;Milestones!$AB$164&amp;" "&amp;Milestones!$AC$164&amp;";  ","")&amp;IF(AND(EDATE($D13,Milestones!$AA$165)&lt;=AsOfDate,IF($R13=0,$X13,IF(AND($T13&lt;&gt;"",EDATE($D13,Milestones!$AA$165)&gt;=$T13),$W13,IF(AND($S13&lt;&gt;"",EDATE($D13,Milestones!$AA$165)&gt;=$S13),$V13,$U13)))=Milestones!$AB$165),UPPER(TEXT(EDATE($D13,Milestones!$AA$165),"dd mmm yy"))&amp;" "&amp;Milestones!$AB$165&amp;" "&amp;Milestones!$AC$165&amp;";  ","")&amp;IF(AND(EDATE($D13,Milestones!$AA$166)&lt;=AsOfDate,IF($R13=0,$X13,IF(AND($T13&lt;&gt;"",EDATE($D13,Milestones!$AA$166)&gt;=$T13),$W13,IF(AND($S13&lt;&gt;"",EDATE($D13,Milestones!$AA$166)&gt;=$S13),$V13,$U13)))=Milestones!$AB$166),UPPER(TEXT(EDATE($D13,Milestones!$AA$166),"dd mmm yy"))&amp;" "&amp;Milestones!$AB$166&amp;" "&amp;Milestones!$AC$166&amp;";  ","")&amp;IF(AND(EDATE($D13,Milestones!$AA$167)&lt;=AsOfDate,IF($R13=0,$X13,IF(AND($T13&lt;&gt;"",EDATE($D13,Milestones!$AA$167)&gt;=$T13),$W13,IF(AND($S13&lt;&gt;"",EDATE($D13,Milestones!$AA$167)&gt;=$S13),$V13,$U13)))=Milestones!$AB$167),UPPER(TEXT(EDATE($D13,Milestones!$AA$167),"dd mmm yy"))&amp;" "&amp;Milestones!$AB$167&amp;" "&amp;Milestones!$AC$167&amp;";  ","")&amp;IF(AND(EDATE($D13,Milestones!$AA$168)&lt;=AsOfDate,IF($R13=0,$X13,IF(AND($T13&lt;&gt;"",EDATE($D13,Milestones!$AA$168)&gt;=$T13),$W13,IF(AND($S13&lt;&gt;"",EDATE($D13,Milestones!$AA$168)&gt;=$S13),$V13,$U13)))=Milestones!$AB$168),UPPER(TEXT(EDATE($D13,Milestones!$AA$168),"dd mmm yy"))&amp;" "&amp;Milestones!$AB$168&amp;" "&amp;Milestones!$AC$168&amp;";  ","")&amp;IF(AND(EDATE($D13,Milestones!$AA$169)&lt;=AsOfDate,IF($R13=0,$X13,IF(AND($T13&lt;&gt;"",EDATE($D13,Milestones!$AA$169)&gt;=$T13),$W13,IF(AND($S13&lt;&gt;"",EDATE($D13,Milestones!$AA$169)&gt;=$S13),$V13,$U13)))=Milestones!$AB$169),UPPER(TEXT(EDATE($D13,Milestones!$AA$169),"dd mmm yy"))&amp;" "&amp;Milestones!$AB$169&amp;" "&amp;Milestones!$AC$169&amp;";  ","")&amp;IF(AND(EDATE($D13,Milestones!$AA$170)&lt;=AsOfDate,IF($R13=0,$X13,IF(AND($T13&lt;&gt;"",EDATE($D13,Milestones!$AA$170)&gt;=$T13),$W13,IF(AND($S13&lt;&gt;"",EDATE($D13,Milestones!$AA$170)&gt;=$S13),$V13,$U13)))=Milestones!$AB$170),UPPER(TEXT(EDATE($D13,Milestones!$AA$170),"dd mmm yy"))&amp;" "&amp;Milestones!$AB$170&amp;" "&amp;Milestones!$AC$170&amp;";  ","")&amp;IF(AND(EDATE($D13,Milestones!$AA$171)&lt;=AsOfDate,IF($R13=0,$X13,IF(AND($T13&lt;&gt;"",EDATE($D13,Milestones!$AA$171)&gt;=$T13),$W13,IF(AND($S13&lt;&gt;"",EDATE($D13,Milestones!$AA$171)&gt;=$S13),$V13,$U13)))=Milestones!$AB$171),UPPER(TEXT(EDATE($D13,Milestones!$AA$171),"dd mmm yy"))&amp;" "&amp;Milestones!$AB$171&amp;" "&amp;Milestones!$AC$171&amp;";  ","")&amp;IF(AND(EDATE($D13,Milestones!$AA$172)&lt;=AsOfDate,IF($R13=0,$X13,IF(AND($T13&lt;&gt;"",EDATE($D13,Milestones!$AA$172)&gt;=$T13),$W13,IF(AND($S13&lt;&gt;"",EDATE($D13,Milestones!$AA$172)&gt;=$S13),$V13,$U13)))=Milestones!$AB$172),UPPER(TEXT(EDATE($D13,Milestones!$AA$172),"dd mmm yy"))&amp;" "&amp;Milestones!$AB$172&amp;" "&amp;Milestones!$AC$172&amp;";  ","")&amp;IF(AND(EDATE($D13,Milestones!$AA$173)&lt;=AsOfDate,IF($R13=0,$X13,IF(AND($T13&lt;&gt;"",EDATE($D13,Milestones!$AA$173)&gt;=$T13),$W13,IF(AND($S13&lt;&gt;"",EDATE($D13,Milestones!$AA$173)&gt;=$S13),$V13,$U13)))=Milestones!$AB$173),UPPER(TEXT(EDATE($D13,Milestones!$AA$173),"dd mmm yy"))&amp;" "&amp;Milestones!$AB$173&amp;" "&amp;Milestones!$AC$173&amp;";  ","")&amp;IF(AND(EDATE($D13,Milestones!$AA$174)&lt;=AsOfDate,IF($R13=0,$X13,IF(AND($T13&lt;&gt;"",EDATE($D13,Milestones!$AA$174)&gt;=$T13),$W13,IF(AND($S13&lt;&gt;"",EDATE($D13,Milestones!$AA$174)&gt;=$S13),$V13,$U13)))=Milestones!$AB$174),UPPER(TEXT(EDATE($D13,Milestones!$AA$174),"dd mmm yy"))&amp;" "&amp;Milestones!$AB$174&amp;" "&amp;Milestones!$AC$174&amp;";  ","")&amp;IF(AND(EDATE($D13,Milestones!$AA$175)&lt;=AsOfDate,IF($R13=0,$X13,IF(AND($T13&lt;&gt;"",EDATE($D13,Milestones!$AA$175)&gt;=$T13),$W13,IF(AND($S13&lt;&gt;"",EDATE($D13,Milestones!$AA$175)&gt;=$S13),$V13,$U13)))=Milestones!$AB$175),UPPER(TEXT(EDATE($D13,Milestones!$AA$175),"dd mmm yy"))&amp;" "&amp;Milestones!$AB$175&amp;" "&amp;Milestones!$AC$175&amp;";  ","")&amp;IF(AND(EDATE($D13,Milestones!$AA$176)&lt;=AsOfDate,IF($R13=0,$X13,IF(AND($T13&lt;&gt;"",EDATE($D13,Milestones!$AA$176)&gt;=$T13),$W13,IF(AND($S13&lt;&gt;"",EDATE($D13,Milestones!$AA$176)&gt;=$S13),$V13,$U13)))=Milestones!$AB$176),UPPER(TEXT(EDATE($D13,Milestones!$AA$176),"dd mmm yy"))&amp;" "&amp;Milestones!$AB$176&amp;" "&amp;Milestones!$AC$176&amp;";  ","")&amp;IF(AND(EDATE($D13,Milestones!$AA$177)&lt;=AsOfDate,IF($R13=0,$X13,IF(AND($T13&lt;&gt;"",EDATE($D13,Milestones!$AA$177)&gt;=$T13),$W13,IF(AND($S13&lt;&gt;"",EDATE($D13,Milestones!$AA$177)&gt;=$S13),$V13,$U13)))=Milestones!$AB$177),UPPER(TEXT(EDATE($D13,Milestones!$AA$177),"dd mmm yy"))&amp;" "&amp;Milestones!$AB$177&amp;" "&amp;Milestones!$AC$177&amp;";  ","")&amp;IF(AND(EDATE($D13,Milestones!$AA$178)&lt;=AsOfDate,IF($R13=0,$X13,IF(AND($T13&lt;&gt;"",EDATE($D13,Milestones!$AA$178)&gt;=$T13),$W13,IF(AND($S13&lt;&gt;"",EDATE($D13,Milestones!$AA$178)&gt;=$S13),$V13,$U13)))=Milestones!$AB$178),UPPER(TEXT(EDATE($D13,Milestones!$AA$178),"dd mmm yy"))&amp;" "&amp;Milestones!$AB$178&amp;" "&amp;Milestones!$AC$178&amp;";  ","")&amp;IF(AND(EDATE($D13,Milestones!$AA$179)&lt;=AsOfDate,IF($R13=0,$X13,IF(AND($T13&lt;&gt;"",EDATE($D13,Milestones!$AA$179)&gt;=$T13),$W13,IF(AND($S13&lt;&gt;"",EDATE($D13,Milestones!$AA$179)&gt;=$S13),$V13,$U13)))=Milestones!$AB$179),UPPER(TEXT(EDATE($D13,Milestones!$AA$179),"dd mmm yy"))&amp;" "&amp;Milestones!$AB$179&amp;" "&amp;Milestones!$AC$179&amp;";  ",""))</f>
        <v/>
      </c>
      <c r="Q13" s="0" t="str">
        <f aca="false">IF(OR($A13="",$D13=""),"",IF(AND(EDATE($D13,Milestones!$AA$180)&lt;=AsOfDate,IF($R13=0,$X13,IF(AND($T13&lt;&gt;"",EDATE($D13,Milestones!$AA$180)&gt;=$T13),$W13,IF(AND($S13&lt;&gt;"",EDATE($D13,Milestones!$AA$180)&gt;=$S13),$V13,$U13)))=Milestones!$AB$180),UPPER(TEXT(EDATE($D13,Milestones!$AA$180),"dd mmm yy"))&amp;" "&amp;Milestones!$AB$180&amp;" "&amp;Milestones!$AC$180&amp;";  ","")&amp;IF(AND(EDATE($D13,Milestones!$AA$181)&lt;=AsOfDate,IF($R13=0,$X13,IF(AND($T13&lt;&gt;"",EDATE($D13,Milestones!$AA$181)&gt;=$T13),$W13,IF(AND($S13&lt;&gt;"",EDATE($D13,Milestones!$AA$181)&gt;=$S13),$V13,$U13)))=Milestones!$AB$181),UPPER(TEXT(EDATE($D13,Milestones!$AA$181),"dd mmm yy"))&amp;" "&amp;Milestones!$AB$181&amp;" "&amp;Milestones!$AC$181&amp;";  ","")&amp;IF(AND(EDATE($D13,Milestones!$AA$182)&lt;=AsOfDate,IF($R13=0,$X13,IF(AND($T13&lt;&gt;"",EDATE($D13,Milestones!$AA$182)&gt;=$T13),$W13,IF(AND($S13&lt;&gt;"",EDATE($D13,Milestones!$AA$182)&gt;=$S13),$V13,$U13)))=Milestones!$AB$182),UPPER(TEXT(EDATE($D13,Milestones!$AA$182),"dd mmm yy"))&amp;" "&amp;Milestones!$AB$182&amp;" "&amp;Milestones!$AC$182&amp;";  ","")&amp;IF(AND(EDATE($D13,Milestones!$AA$183)&lt;=AsOfDate,IF($R13=0,$X13,IF(AND($T13&lt;&gt;"",EDATE($D13,Milestones!$AA$183)&gt;=$T13),$W13,IF(AND($S13&lt;&gt;"",EDATE($D13,Milestones!$AA$183)&gt;=$S13),$V13,$U13)))=Milestones!$AB$183),UPPER(TEXT(EDATE($D13,Milestones!$AA$183),"dd mmm yy"))&amp;" "&amp;Milestones!$AB$183&amp;" "&amp;Milestones!$AC$183&amp;";  ","")&amp;IF(AND(EDATE($D13,Milestones!$AA$184)&lt;=AsOfDate,IF($R13=0,$X13,IF(AND($T13&lt;&gt;"",EDATE($D13,Milestones!$AA$184)&gt;=$T13),$W13,IF(AND($S13&lt;&gt;"",EDATE($D13,Milestones!$AA$184)&gt;=$S13),$V13,$U13)))=Milestones!$AB$184),UPPER(TEXT(EDATE($D13,Milestones!$AA$184),"dd mmm yy"))&amp;" "&amp;Milestones!$AB$184&amp;" "&amp;Milestones!$AC$184&amp;";  ","")&amp;IF(AND(EDATE($D13,Milestones!$AA$185)&lt;=AsOfDate,IF($R13=0,$X13,IF(AND($T13&lt;&gt;"",EDATE($D13,Milestones!$AA$185)&gt;=$T13),$W13,IF(AND($S13&lt;&gt;"",EDATE($D13,Milestones!$AA$185)&gt;=$S13),$V13,$U13)))=Milestones!$AB$185),UPPER(TEXT(EDATE($D13,Milestones!$AA$185),"dd mmm yy"))&amp;" "&amp;Milestones!$AB$185&amp;" "&amp;Milestones!$AC$185&amp;";  ","")&amp;IF(AND(EDATE($D13,Milestones!$AA$186)&lt;=AsOfDate,IF($R13=0,$X13,IF(AND($T13&lt;&gt;"",EDATE($D13,Milestones!$AA$186)&gt;=$T13),$W13,IF(AND($S13&lt;&gt;"",EDATE($D13,Milestones!$AA$186)&gt;=$S13),$V13,$U13)))=Milestones!$AB$186),UPPER(TEXT(EDATE($D13,Milestones!$AA$186),"dd mmm yy"))&amp;" "&amp;Milestones!$AB$186&amp;" "&amp;Milestones!$AC$186&amp;";  ","")&amp;IF(AND(EDATE($D13,Milestones!$AA$187)&lt;=AsOfDate,IF($R13=0,$X13,IF(AND($T13&lt;&gt;"",EDATE($D13,Milestones!$AA$187)&gt;=$T13),$W13,IF(AND($S13&lt;&gt;"",EDATE($D13,Milestones!$AA$187)&gt;=$S13),$V13,$U13)))=Milestones!$AB$187),UPPER(TEXT(EDATE($D13,Milestones!$AA$187),"dd mmm yy"))&amp;" "&amp;Milestones!$AB$187&amp;" "&amp;Milestones!$AC$187&amp;";  ","")&amp;IF(AND(EDATE($D13,Milestones!$AA$188)&lt;=AsOfDate,IF($R13=0,$X13,IF(AND($T13&lt;&gt;"",EDATE($D13,Milestones!$AA$188)&gt;=$T13),$W13,IF(AND($S13&lt;&gt;"",EDATE($D13,Milestones!$AA$188)&gt;=$S13),$V13,$U13)))=Milestones!$AB$188),UPPER(TEXT(EDATE($D13,Milestones!$AA$188),"dd mmm yy"))&amp;" "&amp;Milestones!$AB$188&amp;" "&amp;Milestones!$AC$188&amp;";  ","")&amp;IF(AND(EDATE($D13,Milestones!$AA$189)&lt;=AsOfDate,IF($R13=0,$X13,IF(AND($T13&lt;&gt;"",EDATE($D13,Milestones!$AA$189)&gt;=$T13),$W13,IF(AND($S13&lt;&gt;"",EDATE($D13,Milestones!$AA$189)&gt;=$S13),$V13,$U13)))=Milestones!$AB$189),UPPER(TEXT(EDATE($D13,Milestones!$AA$189),"dd mmm yy"))&amp;" "&amp;Milestones!$AB$189&amp;" "&amp;Milestones!$AC$189&amp;";  ","")&amp;IF(AND(EDATE($D13,Milestones!$AA$190)&lt;=AsOfDate,IF($R13=0,$X13,IF(AND($T13&lt;&gt;"",EDATE($D13,Milestones!$AA$190)&gt;=$T13),$W13,IF(AND($S13&lt;&gt;"",EDATE($D13,Milestones!$AA$190)&gt;=$S13),$V13,$U13)))=Milestones!$AB$190),UPPER(TEXT(EDATE($D13,Milestones!$AA$190),"dd mmm yy"))&amp;" "&amp;Milestones!$AB$190&amp;" "&amp;Milestones!$AC$190&amp;";  ","")&amp;IF(AND(EDATE($D13,Milestones!$AA$191)&lt;=AsOfDate,IF($R13=0,$X13,IF(AND($T13&lt;&gt;"",EDATE($D13,Milestones!$AA$191)&gt;=$T13),$W13,IF(AND($S13&lt;&gt;"",EDATE($D13,Milestones!$AA$191)&gt;=$S13),$V13,$U13)))=Milestones!$AB$191),UPPER(TEXT(EDATE($D13,Milestones!$AA$191),"dd mmm yy"))&amp;" "&amp;Milestones!$AB$191&amp;" "&amp;Milestones!$AC$191&amp;";  ","")&amp;IF(AND(EDATE($D13,Milestones!$AA$192)&lt;=AsOfDate,IF($R13=0,$X13,IF(AND($T13&lt;&gt;"",EDATE($D13,Milestones!$AA$192)&gt;=$T13),$W13,IF(AND($S13&lt;&gt;"",EDATE($D13,Milestones!$AA$192)&gt;=$S13),$V13,$U13)))=Milestones!$AB$192),UPPER(TEXT(EDATE($D13,Milestones!$AA$192),"dd mmm yy"))&amp;" "&amp;Milestones!$AB$192&amp;" "&amp;Milestones!$AC$192&amp;";  ","")&amp;IF(AND(EDATE($D13,Milestones!$AA$193)&lt;=AsOfDate,IF($R13=0,$X13,IF(AND($T13&lt;&gt;"",EDATE($D13,Milestones!$AA$193)&gt;=$T13),$W13,IF(AND($S13&lt;&gt;"",EDATE($D13,Milestones!$AA$193)&gt;=$S13),$V13,$U13)))=Milestones!$AB$193),UPPER(TEXT(EDATE($D13,Milestones!$AA$193),"dd mmm yy"))&amp;" "&amp;Milestones!$AB$193&amp;" "&amp;Milestones!$AC$193&amp;";  ","")&amp;IF(AND(EDATE($D13,Milestones!$AA$194)&lt;=AsOfDate,IF($R13=0,$X13,IF(AND($T13&lt;&gt;"",EDATE($D13,Milestones!$AA$194)&gt;=$T13),$W13,IF(AND($S13&lt;&gt;"",EDATE($D13,Milestones!$AA$194)&gt;=$S13),$V13,$U13)))=Milestones!$AB$194),UPPER(TEXT(EDATE($D13,Milestones!$AA$194),"dd mmm yy"))&amp;" "&amp;Milestones!$AB$194&amp;" "&amp;Milestones!$AC$194&amp;";  ","")&amp;IF(AND(EDATE($D13,Milestones!$AA$195)&lt;=AsOfDate,IF($R13=0,$X13,IF(AND($T13&lt;&gt;"",EDATE($D13,Milestones!$AA$195)&gt;=$T13),$W13,IF(AND($S13&lt;&gt;"",EDATE($D13,Milestones!$AA$195)&gt;=$S13),$V13,$U13)))=Milestones!$AB$195),UPPER(TEXT(EDATE($D13,Milestones!$AA$195),"dd mmm yy"))&amp;" "&amp;Milestones!$AB$195&amp;" "&amp;Milestones!$AC$195&amp;";  ","")&amp;IF(AND(EDATE($D13,Milestones!$AA$196)&lt;=AsOfDate,IF($R13=0,$X13,IF(AND($T13&lt;&gt;"",EDATE($D13,Milestones!$AA$196)&gt;=$T13),$W13,IF(AND($S13&lt;&gt;"",EDATE($D13,Milestones!$AA$196)&gt;=$S13),$V13,$U13)))=Milestones!$AB$196),UPPER(TEXT(EDATE($D13,Milestones!$AA$196),"dd mmm yy"))&amp;" "&amp;Milestones!$AB$196&amp;" "&amp;Milestones!$AC$196&amp;";  ","")&amp;IF(AND(EDATE($D13,Milestones!$AA$197)&lt;=AsOfDate,IF($R13=0,$X13,IF(AND($T13&lt;&gt;"",EDATE($D13,Milestones!$AA$197)&gt;=$T13),$W13,IF(AND($S13&lt;&gt;"",EDATE($D13,Milestones!$AA$197)&gt;=$S13),$V13,$U13)))=Milestones!$AB$197),UPPER(TEXT(EDATE($D13,Milestones!$AA$197),"dd mmm yy"))&amp;" "&amp;Milestones!$AB$197&amp;" "&amp;Milestones!$AC$197&amp;";  ","")&amp;IF(AND(EDATE($D13,Milestones!$AA$198)&lt;=AsOfDate,IF($R13=0,$X13,IF(AND($T13&lt;&gt;"",EDATE($D13,Milestones!$AA$198)&gt;=$T13),$W13,IF(AND($S13&lt;&gt;"",EDATE($D13,Milestones!$AA$198)&gt;=$S13),$V13,$U13)))=Milestones!$AB$198),UPPER(TEXT(EDATE($D13,Milestones!$AA$198),"dd mmm yy"))&amp;" "&amp;Milestones!$AB$198&amp;" "&amp;Milestones!$AC$198&amp;";  ","")&amp;IF(AND(EDATE($D13,Milestones!$AA$199)&lt;=AsOfDate,IF($R13=0,$X13,IF(AND($T13&lt;&gt;"",EDATE($D13,Milestones!$AA$199)&gt;=$T13),$W13,IF(AND($S13&lt;&gt;"",EDATE($D13,Milestones!$AA$199)&gt;=$S13),$V13,$U13)))=Milestones!$AB$199),UPPER(TEXT(EDATE($D13,Milestones!$AA$199),"dd mmm yy"))&amp;" "&amp;Milestones!$AB$199&amp;" "&amp;Milestones!$AC$199&amp;";  ",""))</f>
        <v/>
      </c>
      <c r="R13" s="0" t="str">
        <f aca="false">IF(Staff!$A13="","",Staff!$AI13)</f>
        <v/>
      </c>
      <c r="S13" s="0" t="str">
        <f aca="false">IF(Staff!$A13="","",Staff!$AK13)</f>
        <v/>
      </c>
      <c r="T13" s="0" t="str">
        <f aca="false">IF(Staff!$A13="","",Staff!$AL13)</f>
        <v/>
      </c>
      <c r="U13" s="0" t="str">
        <f aca="false">IF(Staff!$A13="","",Staff!$AP13)</f>
        <v/>
      </c>
      <c r="V13" s="0" t="str">
        <f aca="false">IF(Staff!$A13="","",Staff!$AQ13)</f>
        <v/>
      </c>
      <c r="W13" s="0" t="str">
        <f aca="false">IF(Staff!$A13="","",Staff!$AR13)</f>
        <v/>
      </c>
      <c r="X13" s="0" t="str">
        <f aca="false">IF(Staff!$A13="","",Staff!$AS13)</f>
        <v/>
      </c>
    </row>
    <row r="14" customFormat="false" ht="15" hidden="false" customHeight="false" outlineLevel="0" collapsed="false">
      <c r="A14" s="14" t="str">
        <f aca="false">IF(Staff!$A14="","",Staff!$A14)</f>
        <v/>
      </c>
      <c r="B14" s="14" t="str">
        <f aca="false">IF(Staff!$A14="","",Staff!$B14)</f>
        <v/>
      </c>
      <c r="C14" s="14" t="str">
        <f aca="false">IF(Staff!$A14="","",Staff!$C14)</f>
        <v/>
      </c>
      <c r="D14" s="12" t="str">
        <f aca="false">IF(Staff!$A14="","",Staff!$AH14)</f>
        <v/>
      </c>
      <c r="E14" s="14" t="str">
        <f aca="false">IF(Staff!$A14="","",Staff!$O14)</f>
        <v/>
      </c>
      <c r="F14" s="14" t="str">
        <f aca="false">IF(E14="","",E14*HoursPerDay)</f>
        <v/>
      </c>
      <c r="G14" s="14" t="str">
        <f aca="false">IF(Staff!$A14="","",Staff!$AE14)</f>
        <v/>
      </c>
      <c r="H14" s="26" t="str">
        <f aca="false">IF($A14="","",I14&amp;J14&amp;K14&amp;L14&amp;M14&amp;N14&amp;O14&amp;P14&amp;Q14)</f>
        <v/>
      </c>
      <c r="I14" s="0" t="str">
        <f aca="false">IF(OR($A14="",$D14=""),"",IF(AND(EDATE($D14,Milestones!$AA$20)&lt;=AsOfDate,IF($R14=0,$X14,IF(AND($T14&lt;&gt;"",EDATE($D14,Milestones!$AA$20)&gt;=$T14),$W14,IF(AND($S14&lt;&gt;"",EDATE($D14,Milestones!$AA$20)&gt;=$S14),$V14,$U14)))=Milestones!$AB$20),UPPER(TEXT(EDATE($D14,Milestones!$AA$20),"dd mmm yy"))&amp;" "&amp;Milestones!$AB$20&amp;" "&amp;Milestones!$AC$20&amp;";  ","")&amp;IF(AND(EDATE($D14,Milestones!$AA$21)&lt;=AsOfDate,IF($R14=0,$X14,IF(AND($T14&lt;&gt;"",EDATE($D14,Milestones!$AA$21)&gt;=$T14),$W14,IF(AND($S14&lt;&gt;"",EDATE($D14,Milestones!$AA$21)&gt;=$S14),$V14,$U14)))=Milestones!$AB$21),UPPER(TEXT(EDATE($D14,Milestones!$AA$21),"dd mmm yy"))&amp;" "&amp;Milestones!$AB$21&amp;" "&amp;Milestones!$AC$21&amp;";  ","")&amp;IF(AND(EDATE($D14,Milestones!$AA$22)&lt;=AsOfDate,IF($R14=0,$X14,IF(AND($T14&lt;&gt;"",EDATE($D14,Milestones!$AA$22)&gt;=$T14),$W14,IF(AND($S14&lt;&gt;"",EDATE($D14,Milestones!$AA$22)&gt;=$S14),$V14,$U14)))=Milestones!$AB$22),UPPER(TEXT(EDATE($D14,Milestones!$AA$22),"dd mmm yy"))&amp;" "&amp;Milestones!$AB$22&amp;" "&amp;Milestones!$AC$22&amp;";  ","")&amp;IF(AND(EDATE($D14,Milestones!$AA$23)&lt;=AsOfDate,IF($R14=0,$X14,IF(AND($T14&lt;&gt;"",EDATE($D14,Milestones!$AA$23)&gt;=$T14),$W14,IF(AND($S14&lt;&gt;"",EDATE($D14,Milestones!$AA$23)&gt;=$S14),$V14,$U14)))=Milestones!$AB$23),UPPER(TEXT(EDATE($D14,Milestones!$AA$23),"dd mmm yy"))&amp;" "&amp;Milestones!$AB$23&amp;" "&amp;Milestones!$AC$23&amp;";  ","")&amp;IF(AND(EDATE($D14,Milestones!$AA$24)&lt;=AsOfDate,IF($R14=0,$X14,IF(AND($T14&lt;&gt;"",EDATE($D14,Milestones!$AA$24)&gt;=$T14),$W14,IF(AND($S14&lt;&gt;"",EDATE($D14,Milestones!$AA$24)&gt;=$S14),$V14,$U14)))=Milestones!$AB$24),UPPER(TEXT(EDATE($D14,Milestones!$AA$24),"dd mmm yy"))&amp;" "&amp;Milestones!$AB$24&amp;" "&amp;Milestones!$AC$24&amp;";  ","")&amp;IF(AND(EDATE($D14,Milestones!$AA$25)&lt;=AsOfDate,IF($R14=0,$X14,IF(AND($T14&lt;&gt;"",EDATE($D14,Milestones!$AA$25)&gt;=$T14),$W14,IF(AND($S14&lt;&gt;"",EDATE($D14,Milestones!$AA$25)&gt;=$S14),$V14,$U14)))=Milestones!$AB$25),UPPER(TEXT(EDATE($D14,Milestones!$AA$25),"dd mmm yy"))&amp;" "&amp;Milestones!$AB$25&amp;" "&amp;Milestones!$AC$25&amp;";  ","")&amp;IF(AND(EDATE($D14,Milestones!$AA$26)&lt;=AsOfDate,IF($R14=0,$X14,IF(AND($T14&lt;&gt;"",EDATE($D14,Milestones!$AA$26)&gt;=$T14),$W14,IF(AND($S14&lt;&gt;"",EDATE($D14,Milestones!$AA$26)&gt;=$S14),$V14,$U14)))=Milestones!$AB$26),UPPER(TEXT(EDATE($D14,Milestones!$AA$26),"dd mmm yy"))&amp;" "&amp;Milestones!$AB$26&amp;" "&amp;Milestones!$AC$26&amp;";  ","")&amp;IF(AND(EDATE($D14,Milestones!$AA$27)&lt;=AsOfDate,IF($R14=0,$X14,IF(AND($T14&lt;&gt;"",EDATE($D14,Milestones!$AA$27)&gt;=$T14),$W14,IF(AND($S14&lt;&gt;"",EDATE($D14,Milestones!$AA$27)&gt;=$S14),$V14,$U14)))=Milestones!$AB$27),UPPER(TEXT(EDATE($D14,Milestones!$AA$27),"dd mmm yy"))&amp;" "&amp;Milestones!$AB$27&amp;" "&amp;Milestones!$AC$27&amp;";  ","")&amp;IF(AND(EDATE($D14,Milestones!$AA$28)&lt;=AsOfDate,IF($R14=0,$X14,IF(AND($T14&lt;&gt;"",EDATE($D14,Milestones!$AA$28)&gt;=$T14),$W14,IF(AND($S14&lt;&gt;"",EDATE($D14,Milestones!$AA$28)&gt;=$S14),$V14,$U14)))=Milestones!$AB$28),UPPER(TEXT(EDATE($D14,Milestones!$AA$28),"dd mmm yy"))&amp;" "&amp;Milestones!$AB$28&amp;" "&amp;Milestones!$AC$28&amp;";  ","")&amp;IF(AND(EDATE($D14,Milestones!$AA$29)&lt;=AsOfDate,IF($R14=0,$X14,IF(AND($T14&lt;&gt;"",EDATE($D14,Milestones!$AA$29)&gt;=$T14),$W14,IF(AND($S14&lt;&gt;"",EDATE($D14,Milestones!$AA$29)&gt;=$S14),$V14,$U14)))=Milestones!$AB$29),UPPER(TEXT(EDATE($D14,Milestones!$AA$29),"dd mmm yy"))&amp;" "&amp;Milestones!$AB$29&amp;" "&amp;Milestones!$AC$29&amp;";  ","")&amp;IF(AND(EDATE($D14,Milestones!$AA$30)&lt;=AsOfDate,IF($R14=0,$X14,IF(AND($T14&lt;&gt;"",EDATE($D14,Milestones!$AA$30)&gt;=$T14),$W14,IF(AND($S14&lt;&gt;"",EDATE($D14,Milestones!$AA$30)&gt;=$S14),$V14,$U14)))=Milestones!$AB$30),UPPER(TEXT(EDATE($D14,Milestones!$AA$30),"dd mmm yy"))&amp;" "&amp;Milestones!$AB$30&amp;" "&amp;Milestones!$AC$30&amp;";  ","")&amp;IF(AND(EDATE($D14,Milestones!$AA$31)&lt;=AsOfDate,IF($R14=0,$X14,IF(AND($T14&lt;&gt;"",EDATE($D14,Milestones!$AA$31)&gt;=$T14),$W14,IF(AND($S14&lt;&gt;"",EDATE($D14,Milestones!$AA$31)&gt;=$S14),$V14,$U14)))=Milestones!$AB$31),UPPER(TEXT(EDATE($D14,Milestones!$AA$31),"dd mmm yy"))&amp;" "&amp;Milestones!$AB$31&amp;" "&amp;Milestones!$AC$31&amp;";  ","")&amp;IF(AND(EDATE($D14,Milestones!$AA$32)&lt;=AsOfDate,IF($R14=0,$X14,IF(AND($T14&lt;&gt;"",EDATE($D14,Milestones!$AA$32)&gt;=$T14),$W14,IF(AND($S14&lt;&gt;"",EDATE($D14,Milestones!$AA$32)&gt;=$S14),$V14,$U14)))=Milestones!$AB$32),UPPER(TEXT(EDATE($D14,Milestones!$AA$32),"dd mmm yy"))&amp;" "&amp;Milestones!$AB$32&amp;" "&amp;Milestones!$AC$32&amp;";  ","")&amp;IF(AND(EDATE($D14,Milestones!$AA$33)&lt;=AsOfDate,IF($R14=0,$X14,IF(AND($T14&lt;&gt;"",EDATE($D14,Milestones!$AA$33)&gt;=$T14),$W14,IF(AND($S14&lt;&gt;"",EDATE($D14,Milestones!$AA$33)&gt;=$S14),$V14,$U14)))=Milestones!$AB$33),UPPER(TEXT(EDATE($D14,Milestones!$AA$33),"dd mmm yy"))&amp;" "&amp;Milestones!$AB$33&amp;" "&amp;Milestones!$AC$33&amp;";  ","")&amp;IF(AND(EDATE($D14,Milestones!$AA$34)&lt;=AsOfDate,IF($R14=0,$X14,IF(AND($T14&lt;&gt;"",EDATE($D14,Milestones!$AA$34)&gt;=$T14),$W14,IF(AND($S14&lt;&gt;"",EDATE($D14,Milestones!$AA$34)&gt;=$S14),$V14,$U14)))=Milestones!$AB$34),UPPER(TEXT(EDATE($D14,Milestones!$AA$34),"dd mmm yy"))&amp;" "&amp;Milestones!$AB$34&amp;" "&amp;Milestones!$AC$34&amp;";  ","")&amp;IF(AND(EDATE($D14,Milestones!$AA$35)&lt;=AsOfDate,IF($R14=0,$X14,IF(AND($T14&lt;&gt;"",EDATE($D14,Milestones!$AA$35)&gt;=$T14),$W14,IF(AND($S14&lt;&gt;"",EDATE($D14,Milestones!$AA$35)&gt;=$S14),$V14,$U14)))=Milestones!$AB$35),UPPER(TEXT(EDATE($D14,Milestones!$AA$35),"dd mmm yy"))&amp;" "&amp;Milestones!$AB$35&amp;" "&amp;Milestones!$AC$35&amp;";  ","")&amp;IF(AND(EDATE($D14,Milestones!$AA$36)&lt;=AsOfDate,IF($R14=0,$X14,IF(AND($T14&lt;&gt;"",EDATE($D14,Milestones!$AA$36)&gt;=$T14),$W14,IF(AND($S14&lt;&gt;"",EDATE($D14,Milestones!$AA$36)&gt;=$S14),$V14,$U14)))=Milestones!$AB$36),UPPER(TEXT(EDATE($D14,Milestones!$AA$36),"dd mmm yy"))&amp;" "&amp;Milestones!$AB$36&amp;" "&amp;Milestones!$AC$36&amp;";  ","")&amp;IF(AND(EDATE($D14,Milestones!$AA$37)&lt;=AsOfDate,IF($R14=0,$X14,IF(AND($T14&lt;&gt;"",EDATE($D14,Milestones!$AA$37)&gt;=$T14),$W14,IF(AND($S14&lt;&gt;"",EDATE($D14,Milestones!$AA$37)&gt;=$S14),$V14,$U14)))=Milestones!$AB$37),UPPER(TEXT(EDATE($D14,Milestones!$AA$37),"dd mmm yy"))&amp;" "&amp;Milestones!$AB$37&amp;" "&amp;Milestones!$AC$37&amp;";  ","")&amp;IF(AND(EDATE($D14,Milestones!$AA$38)&lt;=AsOfDate,IF($R14=0,$X14,IF(AND($T14&lt;&gt;"",EDATE($D14,Milestones!$AA$38)&gt;=$T14),$W14,IF(AND($S14&lt;&gt;"",EDATE($D14,Milestones!$AA$38)&gt;=$S14),$V14,$U14)))=Milestones!$AB$38),UPPER(TEXT(EDATE($D14,Milestones!$AA$38),"dd mmm yy"))&amp;" "&amp;Milestones!$AB$38&amp;" "&amp;Milestones!$AC$38&amp;";  ","")&amp;IF(AND(EDATE($D14,Milestones!$AA$39)&lt;=AsOfDate,IF($R14=0,$X14,IF(AND($T14&lt;&gt;"",EDATE($D14,Milestones!$AA$39)&gt;=$T14),$W14,IF(AND($S14&lt;&gt;"",EDATE($D14,Milestones!$AA$39)&gt;=$S14),$V14,$U14)))=Milestones!$AB$39),UPPER(TEXT(EDATE($D14,Milestones!$AA$39),"dd mmm yy"))&amp;" "&amp;Milestones!$AB$39&amp;" "&amp;Milestones!$AC$39&amp;";  ",""))</f>
        <v/>
      </c>
      <c r="J14" s="0" t="str">
        <f aca="false">IF(OR($A14="",$D14=""),"",IF(AND(EDATE($D14,Milestones!$AA$40)&lt;=AsOfDate,IF($R14=0,$X14,IF(AND($T14&lt;&gt;"",EDATE($D14,Milestones!$AA$40)&gt;=$T14),$W14,IF(AND($S14&lt;&gt;"",EDATE($D14,Milestones!$AA$40)&gt;=$S14),$V14,$U14)))=Milestones!$AB$40),UPPER(TEXT(EDATE($D14,Milestones!$AA$40),"dd mmm yy"))&amp;" "&amp;Milestones!$AB$40&amp;" "&amp;Milestones!$AC$40&amp;";  ","")&amp;IF(AND(EDATE($D14,Milestones!$AA$41)&lt;=AsOfDate,IF($R14=0,$X14,IF(AND($T14&lt;&gt;"",EDATE($D14,Milestones!$AA$41)&gt;=$T14),$W14,IF(AND($S14&lt;&gt;"",EDATE($D14,Milestones!$AA$41)&gt;=$S14),$V14,$U14)))=Milestones!$AB$41),UPPER(TEXT(EDATE($D14,Milestones!$AA$41),"dd mmm yy"))&amp;" "&amp;Milestones!$AB$41&amp;" "&amp;Milestones!$AC$41&amp;";  ","")&amp;IF(AND(EDATE($D14,Milestones!$AA$42)&lt;=AsOfDate,IF($R14=0,$X14,IF(AND($T14&lt;&gt;"",EDATE($D14,Milestones!$AA$42)&gt;=$T14),$W14,IF(AND($S14&lt;&gt;"",EDATE($D14,Milestones!$AA$42)&gt;=$S14),$V14,$U14)))=Milestones!$AB$42),UPPER(TEXT(EDATE($D14,Milestones!$AA$42),"dd mmm yy"))&amp;" "&amp;Milestones!$AB$42&amp;" "&amp;Milestones!$AC$42&amp;";  ","")&amp;IF(AND(EDATE($D14,Milestones!$AA$43)&lt;=AsOfDate,IF($R14=0,$X14,IF(AND($T14&lt;&gt;"",EDATE($D14,Milestones!$AA$43)&gt;=$T14),$W14,IF(AND($S14&lt;&gt;"",EDATE($D14,Milestones!$AA$43)&gt;=$S14),$V14,$U14)))=Milestones!$AB$43),UPPER(TEXT(EDATE($D14,Milestones!$AA$43),"dd mmm yy"))&amp;" "&amp;Milestones!$AB$43&amp;" "&amp;Milestones!$AC$43&amp;";  ","")&amp;IF(AND(EDATE($D14,Milestones!$AA$44)&lt;=AsOfDate,IF($R14=0,$X14,IF(AND($T14&lt;&gt;"",EDATE($D14,Milestones!$AA$44)&gt;=$T14),$W14,IF(AND($S14&lt;&gt;"",EDATE($D14,Milestones!$AA$44)&gt;=$S14),$V14,$U14)))=Milestones!$AB$44),UPPER(TEXT(EDATE($D14,Milestones!$AA$44),"dd mmm yy"))&amp;" "&amp;Milestones!$AB$44&amp;" "&amp;Milestones!$AC$44&amp;";  ","")&amp;IF(AND(EDATE($D14,Milestones!$AA$45)&lt;=AsOfDate,IF($R14=0,$X14,IF(AND($T14&lt;&gt;"",EDATE($D14,Milestones!$AA$45)&gt;=$T14),$W14,IF(AND($S14&lt;&gt;"",EDATE($D14,Milestones!$AA$45)&gt;=$S14),$V14,$U14)))=Milestones!$AB$45),UPPER(TEXT(EDATE($D14,Milestones!$AA$45),"dd mmm yy"))&amp;" "&amp;Milestones!$AB$45&amp;" "&amp;Milestones!$AC$45&amp;";  ","")&amp;IF(AND(EDATE($D14,Milestones!$AA$46)&lt;=AsOfDate,IF($R14=0,$X14,IF(AND($T14&lt;&gt;"",EDATE($D14,Milestones!$AA$46)&gt;=$T14),$W14,IF(AND($S14&lt;&gt;"",EDATE($D14,Milestones!$AA$46)&gt;=$S14),$V14,$U14)))=Milestones!$AB$46),UPPER(TEXT(EDATE($D14,Milestones!$AA$46),"dd mmm yy"))&amp;" "&amp;Milestones!$AB$46&amp;" "&amp;Milestones!$AC$46&amp;";  ","")&amp;IF(AND(EDATE($D14,Milestones!$AA$47)&lt;=AsOfDate,IF($R14=0,$X14,IF(AND($T14&lt;&gt;"",EDATE($D14,Milestones!$AA$47)&gt;=$T14),$W14,IF(AND($S14&lt;&gt;"",EDATE($D14,Milestones!$AA$47)&gt;=$S14),$V14,$U14)))=Milestones!$AB$47),UPPER(TEXT(EDATE($D14,Milestones!$AA$47),"dd mmm yy"))&amp;" "&amp;Milestones!$AB$47&amp;" "&amp;Milestones!$AC$47&amp;";  ","")&amp;IF(AND(EDATE($D14,Milestones!$AA$48)&lt;=AsOfDate,IF($R14=0,$X14,IF(AND($T14&lt;&gt;"",EDATE($D14,Milestones!$AA$48)&gt;=$T14),$W14,IF(AND($S14&lt;&gt;"",EDATE($D14,Milestones!$AA$48)&gt;=$S14),$V14,$U14)))=Milestones!$AB$48),UPPER(TEXT(EDATE($D14,Milestones!$AA$48),"dd mmm yy"))&amp;" "&amp;Milestones!$AB$48&amp;" "&amp;Milestones!$AC$48&amp;";  ","")&amp;IF(AND(EDATE($D14,Milestones!$AA$49)&lt;=AsOfDate,IF($R14=0,$X14,IF(AND($T14&lt;&gt;"",EDATE($D14,Milestones!$AA$49)&gt;=$T14),$W14,IF(AND($S14&lt;&gt;"",EDATE($D14,Milestones!$AA$49)&gt;=$S14),$V14,$U14)))=Milestones!$AB$49),UPPER(TEXT(EDATE($D14,Milestones!$AA$49),"dd mmm yy"))&amp;" "&amp;Milestones!$AB$49&amp;" "&amp;Milestones!$AC$49&amp;";  ","")&amp;IF(AND(EDATE($D14,Milestones!$AA$50)&lt;=AsOfDate,IF($R14=0,$X14,IF(AND($T14&lt;&gt;"",EDATE($D14,Milestones!$AA$50)&gt;=$T14),$W14,IF(AND($S14&lt;&gt;"",EDATE($D14,Milestones!$AA$50)&gt;=$S14),$V14,$U14)))=Milestones!$AB$50),UPPER(TEXT(EDATE($D14,Milestones!$AA$50),"dd mmm yy"))&amp;" "&amp;Milestones!$AB$50&amp;" "&amp;Milestones!$AC$50&amp;";  ","")&amp;IF(AND(EDATE($D14,Milestones!$AA$51)&lt;=AsOfDate,IF($R14=0,$X14,IF(AND($T14&lt;&gt;"",EDATE($D14,Milestones!$AA$51)&gt;=$T14),$W14,IF(AND($S14&lt;&gt;"",EDATE($D14,Milestones!$AA$51)&gt;=$S14),$V14,$U14)))=Milestones!$AB$51),UPPER(TEXT(EDATE($D14,Milestones!$AA$51),"dd mmm yy"))&amp;" "&amp;Milestones!$AB$51&amp;" "&amp;Milestones!$AC$51&amp;";  ","")&amp;IF(AND(EDATE($D14,Milestones!$AA$52)&lt;=AsOfDate,IF($R14=0,$X14,IF(AND($T14&lt;&gt;"",EDATE($D14,Milestones!$AA$52)&gt;=$T14),$W14,IF(AND($S14&lt;&gt;"",EDATE($D14,Milestones!$AA$52)&gt;=$S14),$V14,$U14)))=Milestones!$AB$52),UPPER(TEXT(EDATE($D14,Milestones!$AA$52),"dd mmm yy"))&amp;" "&amp;Milestones!$AB$52&amp;" "&amp;Milestones!$AC$52&amp;";  ","")&amp;IF(AND(EDATE($D14,Milestones!$AA$53)&lt;=AsOfDate,IF($R14=0,$X14,IF(AND($T14&lt;&gt;"",EDATE($D14,Milestones!$AA$53)&gt;=$T14),$W14,IF(AND($S14&lt;&gt;"",EDATE($D14,Milestones!$AA$53)&gt;=$S14),$V14,$U14)))=Milestones!$AB$53),UPPER(TEXT(EDATE($D14,Milestones!$AA$53),"dd mmm yy"))&amp;" "&amp;Milestones!$AB$53&amp;" "&amp;Milestones!$AC$53&amp;";  ","")&amp;IF(AND(EDATE($D14,Milestones!$AA$54)&lt;=AsOfDate,IF($R14=0,$X14,IF(AND($T14&lt;&gt;"",EDATE($D14,Milestones!$AA$54)&gt;=$T14),$W14,IF(AND($S14&lt;&gt;"",EDATE($D14,Milestones!$AA$54)&gt;=$S14),$V14,$U14)))=Milestones!$AB$54),UPPER(TEXT(EDATE($D14,Milestones!$AA$54),"dd mmm yy"))&amp;" "&amp;Milestones!$AB$54&amp;" "&amp;Milestones!$AC$54&amp;";  ","")&amp;IF(AND(EDATE($D14,Milestones!$AA$55)&lt;=AsOfDate,IF($R14=0,$X14,IF(AND($T14&lt;&gt;"",EDATE($D14,Milestones!$AA$55)&gt;=$T14),$W14,IF(AND($S14&lt;&gt;"",EDATE($D14,Milestones!$AA$55)&gt;=$S14),$V14,$U14)))=Milestones!$AB$55),UPPER(TEXT(EDATE($D14,Milestones!$AA$55),"dd mmm yy"))&amp;" "&amp;Milestones!$AB$55&amp;" "&amp;Milestones!$AC$55&amp;";  ","")&amp;IF(AND(EDATE($D14,Milestones!$AA$56)&lt;=AsOfDate,IF($R14=0,$X14,IF(AND($T14&lt;&gt;"",EDATE($D14,Milestones!$AA$56)&gt;=$T14),$W14,IF(AND($S14&lt;&gt;"",EDATE($D14,Milestones!$AA$56)&gt;=$S14),$V14,$U14)))=Milestones!$AB$56),UPPER(TEXT(EDATE($D14,Milestones!$AA$56),"dd mmm yy"))&amp;" "&amp;Milestones!$AB$56&amp;" "&amp;Milestones!$AC$56&amp;";  ","")&amp;IF(AND(EDATE($D14,Milestones!$AA$57)&lt;=AsOfDate,IF($R14=0,$X14,IF(AND($T14&lt;&gt;"",EDATE($D14,Milestones!$AA$57)&gt;=$T14),$W14,IF(AND($S14&lt;&gt;"",EDATE($D14,Milestones!$AA$57)&gt;=$S14),$V14,$U14)))=Milestones!$AB$57),UPPER(TEXT(EDATE($D14,Milestones!$AA$57),"dd mmm yy"))&amp;" "&amp;Milestones!$AB$57&amp;" "&amp;Milestones!$AC$57&amp;";  ","")&amp;IF(AND(EDATE($D14,Milestones!$AA$58)&lt;=AsOfDate,IF($R14=0,$X14,IF(AND($T14&lt;&gt;"",EDATE($D14,Milestones!$AA$58)&gt;=$T14),$W14,IF(AND($S14&lt;&gt;"",EDATE($D14,Milestones!$AA$58)&gt;=$S14),$V14,$U14)))=Milestones!$AB$58),UPPER(TEXT(EDATE($D14,Milestones!$AA$58),"dd mmm yy"))&amp;" "&amp;Milestones!$AB$58&amp;" "&amp;Milestones!$AC$58&amp;";  ","")&amp;IF(AND(EDATE($D14,Milestones!$AA$59)&lt;=AsOfDate,IF($R14=0,$X14,IF(AND($T14&lt;&gt;"",EDATE($D14,Milestones!$AA$59)&gt;=$T14),$W14,IF(AND($S14&lt;&gt;"",EDATE($D14,Milestones!$AA$59)&gt;=$S14),$V14,$U14)))=Milestones!$AB$59),UPPER(TEXT(EDATE($D14,Milestones!$AA$59),"dd mmm yy"))&amp;" "&amp;Milestones!$AB$59&amp;" "&amp;Milestones!$AC$59&amp;";  ",""))</f>
        <v/>
      </c>
      <c r="K14" s="0" t="str">
        <f aca="false">IF(OR($A14="",$D14=""),"",IF(AND(EDATE($D14,Milestones!$AA$60)&lt;=AsOfDate,IF($R14=0,$X14,IF(AND($T14&lt;&gt;"",EDATE($D14,Milestones!$AA$60)&gt;=$T14),$W14,IF(AND($S14&lt;&gt;"",EDATE($D14,Milestones!$AA$60)&gt;=$S14),$V14,$U14)))=Milestones!$AB$60),UPPER(TEXT(EDATE($D14,Milestones!$AA$60),"dd mmm yy"))&amp;" "&amp;Milestones!$AB$60&amp;" "&amp;Milestones!$AC$60&amp;";  ","")&amp;IF(AND(EDATE($D14,Milestones!$AA$61)&lt;=AsOfDate,IF($R14=0,$X14,IF(AND($T14&lt;&gt;"",EDATE($D14,Milestones!$AA$61)&gt;=$T14),$W14,IF(AND($S14&lt;&gt;"",EDATE($D14,Milestones!$AA$61)&gt;=$S14),$V14,$U14)))=Milestones!$AB$61),UPPER(TEXT(EDATE($D14,Milestones!$AA$61),"dd mmm yy"))&amp;" "&amp;Milestones!$AB$61&amp;" "&amp;Milestones!$AC$61&amp;";  ","")&amp;IF(AND(EDATE($D14,Milestones!$AA$62)&lt;=AsOfDate,IF($R14=0,$X14,IF(AND($T14&lt;&gt;"",EDATE($D14,Milestones!$AA$62)&gt;=$T14),$W14,IF(AND($S14&lt;&gt;"",EDATE($D14,Milestones!$AA$62)&gt;=$S14),$V14,$U14)))=Milestones!$AB$62),UPPER(TEXT(EDATE($D14,Milestones!$AA$62),"dd mmm yy"))&amp;" "&amp;Milestones!$AB$62&amp;" "&amp;Milestones!$AC$62&amp;";  ","")&amp;IF(AND(EDATE($D14,Milestones!$AA$63)&lt;=AsOfDate,IF($R14=0,$X14,IF(AND($T14&lt;&gt;"",EDATE($D14,Milestones!$AA$63)&gt;=$T14),$W14,IF(AND($S14&lt;&gt;"",EDATE($D14,Milestones!$AA$63)&gt;=$S14),$V14,$U14)))=Milestones!$AB$63),UPPER(TEXT(EDATE($D14,Milestones!$AA$63),"dd mmm yy"))&amp;" "&amp;Milestones!$AB$63&amp;" "&amp;Milestones!$AC$63&amp;";  ","")&amp;IF(AND(EDATE($D14,Milestones!$AA$64)&lt;=AsOfDate,IF($R14=0,$X14,IF(AND($T14&lt;&gt;"",EDATE($D14,Milestones!$AA$64)&gt;=$T14),$W14,IF(AND($S14&lt;&gt;"",EDATE($D14,Milestones!$AA$64)&gt;=$S14),$V14,$U14)))=Milestones!$AB$64),UPPER(TEXT(EDATE($D14,Milestones!$AA$64),"dd mmm yy"))&amp;" "&amp;Milestones!$AB$64&amp;" "&amp;Milestones!$AC$64&amp;";  ","")&amp;IF(AND(EDATE($D14,Milestones!$AA$65)&lt;=AsOfDate,IF($R14=0,$X14,IF(AND($T14&lt;&gt;"",EDATE($D14,Milestones!$AA$65)&gt;=$T14),$W14,IF(AND($S14&lt;&gt;"",EDATE($D14,Milestones!$AA$65)&gt;=$S14),$V14,$U14)))=Milestones!$AB$65),UPPER(TEXT(EDATE($D14,Milestones!$AA$65),"dd mmm yy"))&amp;" "&amp;Milestones!$AB$65&amp;" "&amp;Milestones!$AC$65&amp;";  ","")&amp;IF(AND(EDATE($D14,Milestones!$AA$66)&lt;=AsOfDate,IF($R14=0,$X14,IF(AND($T14&lt;&gt;"",EDATE($D14,Milestones!$AA$66)&gt;=$T14),$W14,IF(AND($S14&lt;&gt;"",EDATE($D14,Milestones!$AA$66)&gt;=$S14),$V14,$U14)))=Milestones!$AB$66),UPPER(TEXT(EDATE($D14,Milestones!$AA$66),"dd mmm yy"))&amp;" "&amp;Milestones!$AB$66&amp;" "&amp;Milestones!$AC$66&amp;";  ","")&amp;IF(AND(EDATE($D14,Milestones!$AA$67)&lt;=AsOfDate,IF($R14=0,$X14,IF(AND($T14&lt;&gt;"",EDATE($D14,Milestones!$AA$67)&gt;=$T14),$W14,IF(AND($S14&lt;&gt;"",EDATE($D14,Milestones!$AA$67)&gt;=$S14),$V14,$U14)))=Milestones!$AB$67),UPPER(TEXT(EDATE($D14,Milestones!$AA$67),"dd mmm yy"))&amp;" "&amp;Milestones!$AB$67&amp;" "&amp;Milestones!$AC$67&amp;";  ","")&amp;IF(AND(EDATE($D14,Milestones!$AA$68)&lt;=AsOfDate,IF($R14=0,$X14,IF(AND($T14&lt;&gt;"",EDATE($D14,Milestones!$AA$68)&gt;=$T14),$W14,IF(AND($S14&lt;&gt;"",EDATE($D14,Milestones!$AA$68)&gt;=$S14),$V14,$U14)))=Milestones!$AB$68),UPPER(TEXT(EDATE($D14,Milestones!$AA$68),"dd mmm yy"))&amp;" "&amp;Milestones!$AB$68&amp;" "&amp;Milestones!$AC$68&amp;";  ","")&amp;IF(AND(EDATE($D14,Milestones!$AA$69)&lt;=AsOfDate,IF($R14=0,$X14,IF(AND($T14&lt;&gt;"",EDATE($D14,Milestones!$AA$69)&gt;=$T14),$W14,IF(AND($S14&lt;&gt;"",EDATE($D14,Milestones!$AA$69)&gt;=$S14),$V14,$U14)))=Milestones!$AB$69),UPPER(TEXT(EDATE($D14,Milestones!$AA$69),"dd mmm yy"))&amp;" "&amp;Milestones!$AB$69&amp;" "&amp;Milestones!$AC$69&amp;";  ","")&amp;IF(AND(EDATE($D14,Milestones!$AA$70)&lt;=AsOfDate,IF($R14=0,$X14,IF(AND($T14&lt;&gt;"",EDATE($D14,Milestones!$AA$70)&gt;=$T14),$W14,IF(AND($S14&lt;&gt;"",EDATE($D14,Milestones!$AA$70)&gt;=$S14),$V14,$U14)))=Milestones!$AB$70),UPPER(TEXT(EDATE($D14,Milestones!$AA$70),"dd mmm yy"))&amp;" "&amp;Milestones!$AB$70&amp;" "&amp;Milestones!$AC$70&amp;";  ","")&amp;IF(AND(EDATE($D14,Milestones!$AA$71)&lt;=AsOfDate,IF($R14=0,$X14,IF(AND($T14&lt;&gt;"",EDATE($D14,Milestones!$AA$71)&gt;=$T14),$W14,IF(AND($S14&lt;&gt;"",EDATE($D14,Milestones!$AA$71)&gt;=$S14),$V14,$U14)))=Milestones!$AB$71),UPPER(TEXT(EDATE($D14,Milestones!$AA$71),"dd mmm yy"))&amp;" "&amp;Milestones!$AB$71&amp;" "&amp;Milestones!$AC$71&amp;";  ","")&amp;IF(AND(EDATE($D14,Milestones!$AA$72)&lt;=AsOfDate,IF($R14=0,$X14,IF(AND($T14&lt;&gt;"",EDATE($D14,Milestones!$AA$72)&gt;=$T14),$W14,IF(AND($S14&lt;&gt;"",EDATE($D14,Milestones!$AA$72)&gt;=$S14),$V14,$U14)))=Milestones!$AB$72),UPPER(TEXT(EDATE($D14,Milestones!$AA$72),"dd mmm yy"))&amp;" "&amp;Milestones!$AB$72&amp;" "&amp;Milestones!$AC$72&amp;";  ","")&amp;IF(AND(EDATE($D14,Milestones!$AA$73)&lt;=AsOfDate,IF($R14=0,$X14,IF(AND($T14&lt;&gt;"",EDATE($D14,Milestones!$AA$73)&gt;=$T14),$W14,IF(AND($S14&lt;&gt;"",EDATE($D14,Milestones!$AA$73)&gt;=$S14),$V14,$U14)))=Milestones!$AB$73),UPPER(TEXT(EDATE($D14,Milestones!$AA$73),"dd mmm yy"))&amp;" "&amp;Milestones!$AB$73&amp;" "&amp;Milestones!$AC$73&amp;";  ","")&amp;IF(AND(EDATE($D14,Milestones!$AA$74)&lt;=AsOfDate,IF($R14=0,$X14,IF(AND($T14&lt;&gt;"",EDATE($D14,Milestones!$AA$74)&gt;=$T14),$W14,IF(AND($S14&lt;&gt;"",EDATE($D14,Milestones!$AA$74)&gt;=$S14),$V14,$U14)))=Milestones!$AB$74),UPPER(TEXT(EDATE($D14,Milestones!$AA$74),"dd mmm yy"))&amp;" "&amp;Milestones!$AB$74&amp;" "&amp;Milestones!$AC$74&amp;";  ","")&amp;IF(AND(EDATE($D14,Milestones!$AA$75)&lt;=AsOfDate,IF($R14=0,$X14,IF(AND($T14&lt;&gt;"",EDATE($D14,Milestones!$AA$75)&gt;=$T14),$W14,IF(AND($S14&lt;&gt;"",EDATE($D14,Milestones!$AA$75)&gt;=$S14),$V14,$U14)))=Milestones!$AB$75),UPPER(TEXT(EDATE($D14,Milestones!$AA$75),"dd mmm yy"))&amp;" "&amp;Milestones!$AB$75&amp;" "&amp;Milestones!$AC$75&amp;";  ","")&amp;IF(AND(EDATE($D14,Milestones!$AA$76)&lt;=AsOfDate,IF($R14=0,$X14,IF(AND($T14&lt;&gt;"",EDATE($D14,Milestones!$AA$76)&gt;=$T14),$W14,IF(AND($S14&lt;&gt;"",EDATE($D14,Milestones!$AA$76)&gt;=$S14),$V14,$U14)))=Milestones!$AB$76),UPPER(TEXT(EDATE($D14,Milestones!$AA$76),"dd mmm yy"))&amp;" "&amp;Milestones!$AB$76&amp;" "&amp;Milestones!$AC$76&amp;";  ","")&amp;IF(AND(EDATE($D14,Milestones!$AA$77)&lt;=AsOfDate,IF($R14=0,$X14,IF(AND($T14&lt;&gt;"",EDATE($D14,Milestones!$AA$77)&gt;=$T14),$W14,IF(AND($S14&lt;&gt;"",EDATE($D14,Milestones!$AA$77)&gt;=$S14),$V14,$U14)))=Milestones!$AB$77),UPPER(TEXT(EDATE($D14,Milestones!$AA$77),"dd mmm yy"))&amp;" "&amp;Milestones!$AB$77&amp;" "&amp;Milestones!$AC$77&amp;";  ","")&amp;IF(AND(EDATE($D14,Milestones!$AA$78)&lt;=AsOfDate,IF($R14=0,$X14,IF(AND($T14&lt;&gt;"",EDATE($D14,Milestones!$AA$78)&gt;=$T14),$W14,IF(AND($S14&lt;&gt;"",EDATE($D14,Milestones!$AA$78)&gt;=$S14),$V14,$U14)))=Milestones!$AB$78),UPPER(TEXT(EDATE($D14,Milestones!$AA$78),"dd mmm yy"))&amp;" "&amp;Milestones!$AB$78&amp;" "&amp;Milestones!$AC$78&amp;";  ","")&amp;IF(AND(EDATE($D14,Milestones!$AA$79)&lt;=AsOfDate,IF($R14=0,$X14,IF(AND($T14&lt;&gt;"",EDATE($D14,Milestones!$AA$79)&gt;=$T14),$W14,IF(AND($S14&lt;&gt;"",EDATE($D14,Milestones!$AA$79)&gt;=$S14),$V14,$U14)))=Milestones!$AB$79),UPPER(TEXT(EDATE($D14,Milestones!$AA$79),"dd mmm yy"))&amp;" "&amp;Milestones!$AB$79&amp;" "&amp;Milestones!$AC$79&amp;";  ",""))</f>
        <v/>
      </c>
      <c r="L14" s="0" t="str">
        <f aca="false">IF(OR($A14="",$D14=""),"",IF(AND(EDATE($D14,Milestones!$AA$80)&lt;=AsOfDate,IF($R14=0,$X14,IF(AND($T14&lt;&gt;"",EDATE($D14,Milestones!$AA$80)&gt;=$T14),$W14,IF(AND($S14&lt;&gt;"",EDATE($D14,Milestones!$AA$80)&gt;=$S14),$V14,$U14)))=Milestones!$AB$80),UPPER(TEXT(EDATE($D14,Milestones!$AA$80),"dd mmm yy"))&amp;" "&amp;Milestones!$AB$80&amp;" "&amp;Milestones!$AC$80&amp;";  ","")&amp;IF(AND(EDATE($D14,Milestones!$AA$81)&lt;=AsOfDate,IF($R14=0,$X14,IF(AND($T14&lt;&gt;"",EDATE($D14,Milestones!$AA$81)&gt;=$T14),$W14,IF(AND($S14&lt;&gt;"",EDATE($D14,Milestones!$AA$81)&gt;=$S14),$V14,$U14)))=Milestones!$AB$81),UPPER(TEXT(EDATE($D14,Milestones!$AA$81),"dd mmm yy"))&amp;" "&amp;Milestones!$AB$81&amp;" "&amp;Milestones!$AC$81&amp;";  ","")&amp;IF(AND(EDATE($D14,Milestones!$AA$82)&lt;=AsOfDate,IF($R14=0,$X14,IF(AND($T14&lt;&gt;"",EDATE($D14,Milestones!$AA$82)&gt;=$T14),$W14,IF(AND($S14&lt;&gt;"",EDATE($D14,Milestones!$AA$82)&gt;=$S14),$V14,$U14)))=Milestones!$AB$82),UPPER(TEXT(EDATE($D14,Milestones!$AA$82),"dd mmm yy"))&amp;" "&amp;Milestones!$AB$82&amp;" "&amp;Milestones!$AC$82&amp;";  ","")&amp;IF(AND(EDATE($D14,Milestones!$AA$83)&lt;=AsOfDate,IF($R14=0,$X14,IF(AND($T14&lt;&gt;"",EDATE($D14,Milestones!$AA$83)&gt;=$T14),$W14,IF(AND($S14&lt;&gt;"",EDATE($D14,Milestones!$AA$83)&gt;=$S14),$V14,$U14)))=Milestones!$AB$83),UPPER(TEXT(EDATE($D14,Milestones!$AA$83),"dd mmm yy"))&amp;" "&amp;Milestones!$AB$83&amp;" "&amp;Milestones!$AC$83&amp;";  ","")&amp;IF(AND(EDATE($D14,Milestones!$AA$84)&lt;=AsOfDate,IF($R14=0,$X14,IF(AND($T14&lt;&gt;"",EDATE($D14,Milestones!$AA$84)&gt;=$T14),$W14,IF(AND($S14&lt;&gt;"",EDATE($D14,Milestones!$AA$84)&gt;=$S14),$V14,$U14)))=Milestones!$AB$84),UPPER(TEXT(EDATE($D14,Milestones!$AA$84),"dd mmm yy"))&amp;" "&amp;Milestones!$AB$84&amp;" "&amp;Milestones!$AC$84&amp;";  ","")&amp;IF(AND(EDATE($D14,Milestones!$AA$85)&lt;=AsOfDate,IF($R14=0,$X14,IF(AND($T14&lt;&gt;"",EDATE($D14,Milestones!$AA$85)&gt;=$T14),$W14,IF(AND($S14&lt;&gt;"",EDATE($D14,Milestones!$AA$85)&gt;=$S14),$V14,$U14)))=Milestones!$AB$85),UPPER(TEXT(EDATE($D14,Milestones!$AA$85),"dd mmm yy"))&amp;" "&amp;Milestones!$AB$85&amp;" "&amp;Milestones!$AC$85&amp;";  ","")&amp;IF(AND(EDATE($D14,Milestones!$AA$86)&lt;=AsOfDate,IF($R14=0,$X14,IF(AND($T14&lt;&gt;"",EDATE($D14,Milestones!$AA$86)&gt;=$T14),$W14,IF(AND($S14&lt;&gt;"",EDATE($D14,Milestones!$AA$86)&gt;=$S14),$V14,$U14)))=Milestones!$AB$86),UPPER(TEXT(EDATE($D14,Milestones!$AA$86),"dd mmm yy"))&amp;" "&amp;Milestones!$AB$86&amp;" "&amp;Milestones!$AC$86&amp;";  ","")&amp;IF(AND(EDATE($D14,Milestones!$AA$87)&lt;=AsOfDate,IF($R14=0,$X14,IF(AND($T14&lt;&gt;"",EDATE($D14,Milestones!$AA$87)&gt;=$T14),$W14,IF(AND($S14&lt;&gt;"",EDATE($D14,Milestones!$AA$87)&gt;=$S14),$V14,$U14)))=Milestones!$AB$87),UPPER(TEXT(EDATE($D14,Milestones!$AA$87),"dd mmm yy"))&amp;" "&amp;Milestones!$AB$87&amp;" "&amp;Milestones!$AC$87&amp;";  ","")&amp;IF(AND(EDATE($D14,Milestones!$AA$88)&lt;=AsOfDate,IF($R14=0,$X14,IF(AND($T14&lt;&gt;"",EDATE($D14,Milestones!$AA$88)&gt;=$T14),$W14,IF(AND($S14&lt;&gt;"",EDATE($D14,Milestones!$AA$88)&gt;=$S14),$V14,$U14)))=Milestones!$AB$88),UPPER(TEXT(EDATE($D14,Milestones!$AA$88),"dd mmm yy"))&amp;" "&amp;Milestones!$AB$88&amp;" "&amp;Milestones!$AC$88&amp;";  ","")&amp;IF(AND(EDATE($D14,Milestones!$AA$89)&lt;=AsOfDate,IF($R14=0,$X14,IF(AND($T14&lt;&gt;"",EDATE($D14,Milestones!$AA$89)&gt;=$T14),$W14,IF(AND($S14&lt;&gt;"",EDATE($D14,Milestones!$AA$89)&gt;=$S14),$V14,$U14)))=Milestones!$AB$89),UPPER(TEXT(EDATE($D14,Milestones!$AA$89),"dd mmm yy"))&amp;" "&amp;Milestones!$AB$89&amp;" "&amp;Milestones!$AC$89&amp;";  ","")&amp;IF(AND(EDATE($D14,Milestones!$AA$90)&lt;=AsOfDate,IF($R14=0,$X14,IF(AND($T14&lt;&gt;"",EDATE($D14,Milestones!$AA$90)&gt;=$T14),$W14,IF(AND($S14&lt;&gt;"",EDATE($D14,Milestones!$AA$90)&gt;=$S14),$V14,$U14)))=Milestones!$AB$90),UPPER(TEXT(EDATE($D14,Milestones!$AA$90),"dd mmm yy"))&amp;" "&amp;Milestones!$AB$90&amp;" "&amp;Milestones!$AC$90&amp;";  ","")&amp;IF(AND(EDATE($D14,Milestones!$AA$91)&lt;=AsOfDate,IF($R14=0,$X14,IF(AND($T14&lt;&gt;"",EDATE($D14,Milestones!$AA$91)&gt;=$T14),$W14,IF(AND($S14&lt;&gt;"",EDATE($D14,Milestones!$AA$91)&gt;=$S14),$V14,$U14)))=Milestones!$AB$91),UPPER(TEXT(EDATE($D14,Milestones!$AA$91),"dd mmm yy"))&amp;" "&amp;Milestones!$AB$91&amp;" "&amp;Milestones!$AC$91&amp;";  ","")&amp;IF(AND(EDATE($D14,Milestones!$AA$92)&lt;=AsOfDate,IF($R14=0,$X14,IF(AND($T14&lt;&gt;"",EDATE($D14,Milestones!$AA$92)&gt;=$T14),$W14,IF(AND($S14&lt;&gt;"",EDATE($D14,Milestones!$AA$92)&gt;=$S14),$V14,$U14)))=Milestones!$AB$92),UPPER(TEXT(EDATE($D14,Milestones!$AA$92),"dd mmm yy"))&amp;" "&amp;Milestones!$AB$92&amp;" "&amp;Milestones!$AC$92&amp;";  ","")&amp;IF(AND(EDATE($D14,Milestones!$AA$93)&lt;=AsOfDate,IF($R14=0,$X14,IF(AND($T14&lt;&gt;"",EDATE($D14,Milestones!$AA$93)&gt;=$T14),$W14,IF(AND($S14&lt;&gt;"",EDATE($D14,Milestones!$AA$93)&gt;=$S14),$V14,$U14)))=Milestones!$AB$93),UPPER(TEXT(EDATE($D14,Milestones!$AA$93),"dd mmm yy"))&amp;" "&amp;Milestones!$AB$93&amp;" "&amp;Milestones!$AC$93&amp;";  ","")&amp;IF(AND(EDATE($D14,Milestones!$AA$94)&lt;=AsOfDate,IF($R14=0,$X14,IF(AND($T14&lt;&gt;"",EDATE($D14,Milestones!$AA$94)&gt;=$T14),$W14,IF(AND($S14&lt;&gt;"",EDATE($D14,Milestones!$AA$94)&gt;=$S14),$V14,$U14)))=Milestones!$AB$94),UPPER(TEXT(EDATE($D14,Milestones!$AA$94),"dd mmm yy"))&amp;" "&amp;Milestones!$AB$94&amp;" "&amp;Milestones!$AC$94&amp;";  ","")&amp;IF(AND(EDATE($D14,Milestones!$AA$95)&lt;=AsOfDate,IF($R14=0,$X14,IF(AND($T14&lt;&gt;"",EDATE($D14,Milestones!$AA$95)&gt;=$T14),$W14,IF(AND($S14&lt;&gt;"",EDATE($D14,Milestones!$AA$95)&gt;=$S14),$V14,$U14)))=Milestones!$AB$95),UPPER(TEXT(EDATE($D14,Milestones!$AA$95),"dd mmm yy"))&amp;" "&amp;Milestones!$AB$95&amp;" "&amp;Milestones!$AC$95&amp;";  ","")&amp;IF(AND(EDATE($D14,Milestones!$AA$96)&lt;=AsOfDate,IF($R14=0,$X14,IF(AND($T14&lt;&gt;"",EDATE($D14,Milestones!$AA$96)&gt;=$T14),$W14,IF(AND($S14&lt;&gt;"",EDATE($D14,Milestones!$AA$96)&gt;=$S14),$V14,$U14)))=Milestones!$AB$96),UPPER(TEXT(EDATE($D14,Milestones!$AA$96),"dd mmm yy"))&amp;" "&amp;Milestones!$AB$96&amp;" "&amp;Milestones!$AC$96&amp;";  ","")&amp;IF(AND(EDATE($D14,Milestones!$AA$97)&lt;=AsOfDate,IF($R14=0,$X14,IF(AND($T14&lt;&gt;"",EDATE($D14,Milestones!$AA$97)&gt;=$T14),$W14,IF(AND($S14&lt;&gt;"",EDATE($D14,Milestones!$AA$97)&gt;=$S14),$V14,$U14)))=Milestones!$AB$97),UPPER(TEXT(EDATE($D14,Milestones!$AA$97),"dd mmm yy"))&amp;" "&amp;Milestones!$AB$97&amp;" "&amp;Milestones!$AC$97&amp;";  ","")&amp;IF(AND(EDATE($D14,Milestones!$AA$98)&lt;=AsOfDate,IF($R14=0,$X14,IF(AND($T14&lt;&gt;"",EDATE($D14,Milestones!$AA$98)&gt;=$T14),$W14,IF(AND($S14&lt;&gt;"",EDATE($D14,Milestones!$AA$98)&gt;=$S14),$V14,$U14)))=Milestones!$AB$98),UPPER(TEXT(EDATE($D14,Milestones!$AA$98),"dd mmm yy"))&amp;" "&amp;Milestones!$AB$98&amp;" "&amp;Milestones!$AC$98&amp;";  ","")&amp;IF(AND(EDATE($D14,Milestones!$AA$99)&lt;=AsOfDate,IF($R14=0,$X14,IF(AND($T14&lt;&gt;"",EDATE($D14,Milestones!$AA$99)&gt;=$T14),$W14,IF(AND($S14&lt;&gt;"",EDATE($D14,Milestones!$AA$99)&gt;=$S14),$V14,$U14)))=Milestones!$AB$99),UPPER(TEXT(EDATE($D14,Milestones!$AA$99),"dd mmm yy"))&amp;" "&amp;Milestones!$AB$99&amp;" "&amp;Milestones!$AC$99&amp;";  ",""))</f>
        <v/>
      </c>
      <c r="M14" s="0" t="str">
        <f aca="false">IF(OR($A14="",$D14=""),"",IF(AND(EDATE($D14,Milestones!$AA$100)&lt;=AsOfDate,IF($R14=0,$X14,IF(AND($T14&lt;&gt;"",EDATE($D14,Milestones!$AA$100)&gt;=$T14),$W14,IF(AND($S14&lt;&gt;"",EDATE($D14,Milestones!$AA$100)&gt;=$S14),$V14,$U14)))=Milestones!$AB$100),UPPER(TEXT(EDATE($D14,Milestones!$AA$100),"dd mmm yy"))&amp;" "&amp;Milestones!$AB$100&amp;" "&amp;Milestones!$AC$100&amp;";  ","")&amp;IF(AND(EDATE($D14,Milestones!$AA$101)&lt;=AsOfDate,IF($R14=0,$X14,IF(AND($T14&lt;&gt;"",EDATE($D14,Milestones!$AA$101)&gt;=$T14),$W14,IF(AND($S14&lt;&gt;"",EDATE($D14,Milestones!$AA$101)&gt;=$S14),$V14,$U14)))=Milestones!$AB$101),UPPER(TEXT(EDATE($D14,Milestones!$AA$101),"dd mmm yy"))&amp;" "&amp;Milestones!$AB$101&amp;" "&amp;Milestones!$AC$101&amp;";  ","")&amp;IF(AND(EDATE($D14,Milestones!$AA$102)&lt;=AsOfDate,IF($R14=0,$X14,IF(AND($T14&lt;&gt;"",EDATE($D14,Milestones!$AA$102)&gt;=$T14),$W14,IF(AND($S14&lt;&gt;"",EDATE($D14,Milestones!$AA$102)&gt;=$S14),$V14,$U14)))=Milestones!$AB$102),UPPER(TEXT(EDATE($D14,Milestones!$AA$102),"dd mmm yy"))&amp;" "&amp;Milestones!$AB$102&amp;" "&amp;Milestones!$AC$102&amp;";  ","")&amp;IF(AND(EDATE($D14,Milestones!$AA$103)&lt;=AsOfDate,IF($R14=0,$X14,IF(AND($T14&lt;&gt;"",EDATE($D14,Milestones!$AA$103)&gt;=$T14),$W14,IF(AND($S14&lt;&gt;"",EDATE($D14,Milestones!$AA$103)&gt;=$S14),$V14,$U14)))=Milestones!$AB$103),UPPER(TEXT(EDATE($D14,Milestones!$AA$103),"dd mmm yy"))&amp;" "&amp;Milestones!$AB$103&amp;" "&amp;Milestones!$AC$103&amp;";  ","")&amp;IF(AND(EDATE($D14,Milestones!$AA$104)&lt;=AsOfDate,IF($R14=0,$X14,IF(AND($T14&lt;&gt;"",EDATE($D14,Milestones!$AA$104)&gt;=$T14),$W14,IF(AND($S14&lt;&gt;"",EDATE($D14,Milestones!$AA$104)&gt;=$S14),$V14,$U14)))=Milestones!$AB$104),UPPER(TEXT(EDATE($D14,Milestones!$AA$104),"dd mmm yy"))&amp;" "&amp;Milestones!$AB$104&amp;" "&amp;Milestones!$AC$104&amp;";  ","")&amp;IF(AND(EDATE($D14,Milestones!$AA$105)&lt;=AsOfDate,IF($R14=0,$X14,IF(AND($T14&lt;&gt;"",EDATE($D14,Milestones!$AA$105)&gt;=$T14),$W14,IF(AND($S14&lt;&gt;"",EDATE($D14,Milestones!$AA$105)&gt;=$S14),$V14,$U14)))=Milestones!$AB$105),UPPER(TEXT(EDATE($D14,Milestones!$AA$105),"dd mmm yy"))&amp;" "&amp;Milestones!$AB$105&amp;" "&amp;Milestones!$AC$105&amp;";  ","")&amp;IF(AND(EDATE($D14,Milestones!$AA$106)&lt;=AsOfDate,IF($R14=0,$X14,IF(AND($T14&lt;&gt;"",EDATE($D14,Milestones!$AA$106)&gt;=$T14),$W14,IF(AND($S14&lt;&gt;"",EDATE($D14,Milestones!$AA$106)&gt;=$S14),$V14,$U14)))=Milestones!$AB$106),UPPER(TEXT(EDATE($D14,Milestones!$AA$106),"dd mmm yy"))&amp;" "&amp;Milestones!$AB$106&amp;" "&amp;Milestones!$AC$106&amp;";  ","")&amp;IF(AND(EDATE($D14,Milestones!$AA$107)&lt;=AsOfDate,IF($R14=0,$X14,IF(AND($T14&lt;&gt;"",EDATE($D14,Milestones!$AA$107)&gt;=$T14),$W14,IF(AND($S14&lt;&gt;"",EDATE($D14,Milestones!$AA$107)&gt;=$S14),$V14,$U14)))=Milestones!$AB$107),UPPER(TEXT(EDATE($D14,Milestones!$AA$107),"dd mmm yy"))&amp;" "&amp;Milestones!$AB$107&amp;" "&amp;Milestones!$AC$107&amp;";  ","")&amp;IF(AND(EDATE($D14,Milestones!$AA$108)&lt;=AsOfDate,IF($R14=0,$X14,IF(AND($T14&lt;&gt;"",EDATE($D14,Milestones!$AA$108)&gt;=$T14),$W14,IF(AND($S14&lt;&gt;"",EDATE($D14,Milestones!$AA$108)&gt;=$S14),$V14,$U14)))=Milestones!$AB$108),UPPER(TEXT(EDATE($D14,Milestones!$AA$108),"dd mmm yy"))&amp;" "&amp;Milestones!$AB$108&amp;" "&amp;Milestones!$AC$108&amp;";  ","")&amp;IF(AND(EDATE($D14,Milestones!$AA$109)&lt;=AsOfDate,IF($R14=0,$X14,IF(AND($T14&lt;&gt;"",EDATE($D14,Milestones!$AA$109)&gt;=$T14),$W14,IF(AND($S14&lt;&gt;"",EDATE($D14,Milestones!$AA$109)&gt;=$S14),$V14,$U14)))=Milestones!$AB$109),UPPER(TEXT(EDATE($D14,Milestones!$AA$109),"dd mmm yy"))&amp;" "&amp;Milestones!$AB$109&amp;" "&amp;Milestones!$AC$109&amp;";  ","")&amp;IF(AND(EDATE($D14,Milestones!$AA$110)&lt;=AsOfDate,IF($R14=0,$X14,IF(AND($T14&lt;&gt;"",EDATE($D14,Milestones!$AA$110)&gt;=$T14),$W14,IF(AND($S14&lt;&gt;"",EDATE($D14,Milestones!$AA$110)&gt;=$S14),$V14,$U14)))=Milestones!$AB$110),UPPER(TEXT(EDATE($D14,Milestones!$AA$110),"dd mmm yy"))&amp;" "&amp;Milestones!$AB$110&amp;" "&amp;Milestones!$AC$110&amp;";  ","")&amp;IF(AND(EDATE($D14,Milestones!$AA$111)&lt;=AsOfDate,IF($R14=0,$X14,IF(AND($T14&lt;&gt;"",EDATE($D14,Milestones!$AA$111)&gt;=$T14),$W14,IF(AND($S14&lt;&gt;"",EDATE($D14,Milestones!$AA$111)&gt;=$S14),$V14,$U14)))=Milestones!$AB$111),UPPER(TEXT(EDATE($D14,Milestones!$AA$111),"dd mmm yy"))&amp;" "&amp;Milestones!$AB$111&amp;" "&amp;Milestones!$AC$111&amp;";  ","")&amp;IF(AND(EDATE($D14,Milestones!$AA$112)&lt;=AsOfDate,IF($R14=0,$X14,IF(AND($T14&lt;&gt;"",EDATE($D14,Milestones!$AA$112)&gt;=$T14),$W14,IF(AND($S14&lt;&gt;"",EDATE($D14,Milestones!$AA$112)&gt;=$S14),$V14,$U14)))=Milestones!$AB$112),UPPER(TEXT(EDATE($D14,Milestones!$AA$112),"dd mmm yy"))&amp;" "&amp;Milestones!$AB$112&amp;" "&amp;Milestones!$AC$112&amp;";  ","")&amp;IF(AND(EDATE($D14,Milestones!$AA$113)&lt;=AsOfDate,IF($R14=0,$X14,IF(AND($T14&lt;&gt;"",EDATE($D14,Milestones!$AA$113)&gt;=$T14),$W14,IF(AND($S14&lt;&gt;"",EDATE($D14,Milestones!$AA$113)&gt;=$S14),$V14,$U14)))=Milestones!$AB$113),UPPER(TEXT(EDATE($D14,Milestones!$AA$113),"dd mmm yy"))&amp;" "&amp;Milestones!$AB$113&amp;" "&amp;Milestones!$AC$113&amp;";  ","")&amp;IF(AND(EDATE($D14,Milestones!$AA$114)&lt;=AsOfDate,IF($R14=0,$X14,IF(AND($T14&lt;&gt;"",EDATE($D14,Milestones!$AA$114)&gt;=$T14),$W14,IF(AND($S14&lt;&gt;"",EDATE($D14,Milestones!$AA$114)&gt;=$S14),$V14,$U14)))=Milestones!$AB$114),UPPER(TEXT(EDATE($D14,Milestones!$AA$114),"dd mmm yy"))&amp;" "&amp;Milestones!$AB$114&amp;" "&amp;Milestones!$AC$114&amp;";  ","")&amp;IF(AND(EDATE($D14,Milestones!$AA$115)&lt;=AsOfDate,IF($R14=0,$X14,IF(AND($T14&lt;&gt;"",EDATE($D14,Milestones!$AA$115)&gt;=$T14),$W14,IF(AND($S14&lt;&gt;"",EDATE($D14,Milestones!$AA$115)&gt;=$S14),$V14,$U14)))=Milestones!$AB$115),UPPER(TEXT(EDATE($D14,Milestones!$AA$115),"dd mmm yy"))&amp;" "&amp;Milestones!$AB$115&amp;" "&amp;Milestones!$AC$115&amp;";  ","")&amp;IF(AND(EDATE($D14,Milestones!$AA$116)&lt;=AsOfDate,IF($R14=0,$X14,IF(AND($T14&lt;&gt;"",EDATE($D14,Milestones!$AA$116)&gt;=$T14),$W14,IF(AND($S14&lt;&gt;"",EDATE($D14,Milestones!$AA$116)&gt;=$S14),$V14,$U14)))=Milestones!$AB$116),UPPER(TEXT(EDATE($D14,Milestones!$AA$116),"dd mmm yy"))&amp;" "&amp;Milestones!$AB$116&amp;" "&amp;Milestones!$AC$116&amp;";  ","")&amp;IF(AND(EDATE($D14,Milestones!$AA$117)&lt;=AsOfDate,IF($R14=0,$X14,IF(AND($T14&lt;&gt;"",EDATE($D14,Milestones!$AA$117)&gt;=$T14),$W14,IF(AND($S14&lt;&gt;"",EDATE($D14,Milestones!$AA$117)&gt;=$S14),$V14,$U14)))=Milestones!$AB$117),UPPER(TEXT(EDATE($D14,Milestones!$AA$117),"dd mmm yy"))&amp;" "&amp;Milestones!$AB$117&amp;" "&amp;Milestones!$AC$117&amp;";  ","")&amp;IF(AND(EDATE($D14,Milestones!$AA$118)&lt;=AsOfDate,IF($R14=0,$X14,IF(AND($T14&lt;&gt;"",EDATE($D14,Milestones!$AA$118)&gt;=$T14),$W14,IF(AND($S14&lt;&gt;"",EDATE($D14,Milestones!$AA$118)&gt;=$S14),$V14,$U14)))=Milestones!$AB$118),UPPER(TEXT(EDATE($D14,Milestones!$AA$118),"dd mmm yy"))&amp;" "&amp;Milestones!$AB$118&amp;" "&amp;Milestones!$AC$118&amp;";  ","")&amp;IF(AND(EDATE($D14,Milestones!$AA$119)&lt;=AsOfDate,IF($R14=0,$X14,IF(AND($T14&lt;&gt;"",EDATE($D14,Milestones!$AA$119)&gt;=$T14),$W14,IF(AND($S14&lt;&gt;"",EDATE($D14,Milestones!$AA$119)&gt;=$S14),$V14,$U14)))=Milestones!$AB$119),UPPER(TEXT(EDATE($D14,Milestones!$AA$119),"dd mmm yy"))&amp;" "&amp;Milestones!$AB$119&amp;" "&amp;Milestones!$AC$119&amp;";  ",""))</f>
        <v/>
      </c>
      <c r="N14" s="0" t="str">
        <f aca="false">IF(OR($A14="",$D14=""),"",IF(AND(EDATE($D14,Milestones!$AA$120)&lt;=AsOfDate,IF($R14=0,$X14,IF(AND($T14&lt;&gt;"",EDATE($D14,Milestones!$AA$120)&gt;=$T14),$W14,IF(AND($S14&lt;&gt;"",EDATE($D14,Milestones!$AA$120)&gt;=$S14),$V14,$U14)))=Milestones!$AB$120),UPPER(TEXT(EDATE($D14,Milestones!$AA$120),"dd mmm yy"))&amp;" "&amp;Milestones!$AB$120&amp;" "&amp;Milestones!$AC$120&amp;";  ","")&amp;IF(AND(EDATE($D14,Milestones!$AA$121)&lt;=AsOfDate,IF($R14=0,$X14,IF(AND($T14&lt;&gt;"",EDATE($D14,Milestones!$AA$121)&gt;=$T14),$W14,IF(AND($S14&lt;&gt;"",EDATE($D14,Milestones!$AA$121)&gt;=$S14),$V14,$U14)))=Milestones!$AB$121),UPPER(TEXT(EDATE($D14,Milestones!$AA$121),"dd mmm yy"))&amp;" "&amp;Milestones!$AB$121&amp;" "&amp;Milestones!$AC$121&amp;";  ","")&amp;IF(AND(EDATE($D14,Milestones!$AA$122)&lt;=AsOfDate,IF($R14=0,$X14,IF(AND($T14&lt;&gt;"",EDATE($D14,Milestones!$AA$122)&gt;=$T14),$W14,IF(AND($S14&lt;&gt;"",EDATE($D14,Milestones!$AA$122)&gt;=$S14),$V14,$U14)))=Milestones!$AB$122),UPPER(TEXT(EDATE($D14,Milestones!$AA$122),"dd mmm yy"))&amp;" "&amp;Milestones!$AB$122&amp;" "&amp;Milestones!$AC$122&amp;";  ","")&amp;IF(AND(EDATE($D14,Milestones!$AA$123)&lt;=AsOfDate,IF($R14=0,$X14,IF(AND($T14&lt;&gt;"",EDATE($D14,Milestones!$AA$123)&gt;=$T14),$W14,IF(AND($S14&lt;&gt;"",EDATE($D14,Milestones!$AA$123)&gt;=$S14),$V14,$U14)))=Milestones!$AB$123),UPPER(TEXT(EDATE($D14,Milestones!$AA$123),"dd mmm yy"))&amp;" "&amp;Milestones!$AB$123&amp;" "&amp;Milestones!$AC$123&amp;";  ","")&amp;IF(AND(EDATE($D14,Milestones!$AA$124)&lt;=AsOfDate,IF($R14=0,$X14,IF(AND($T14&lt;&gt;"",EDATE($D14,Milestones!$AA$124)&gt;=$T14),$W14,IF(AND($S14&lt;&gt;"",EDATE($D14,Milestones!$AA$124)&gt;=$S14),$V14,$U14)))=Milestones!$AB$124),UPPER(TEXT(EDATE($D14,Milestones!$AA$124),"dd mmm yy"))&amp;" "&amp;Milestones!$AB$124&amp;" "&amp;Milestones!$AC$124&amp;";  ","")&amp;IF(AND(EDATE($D14,Milestones!$AA$125)&lt;=AsOfDate,IF($R14=0,$X14,IF(AND($T14&lt;&gt;"",EDATE($D14,Milestones!$AA$125)&gt;=$T14),$W14,IF(AND($S14&lt;&gt;"",EDATE($D14,Milestones!$AA$125)&gt;=$S14),$V14,$U14)))=Milestones!$AB$125),UPPER(TEXT(EDATE($D14,Milestones!$AA$125),"dd mmm yy"))&amp;" "&amp;Milestones!$AB$125&amp;" "&amp;Milestones!$AC$125&amp;";  ","")&amp;IF(AND(EDATE($D14,Milestones!$AA$126)&lt;=AsOfDate,IF($R14=0,$X14,IF(AND($T14&lt;&gt;"",EDATE($D14,Milestones!$AA$126)&gt;=$T14),$W14,IF(AND($S14&lt;&gt;"",EDATE($D14,Milestones!$AA$126)&gt;=$S14),$V14,$U14)))=Milestones!$AB$126),UPPER(TEXT(EDATE($D14,Milestones!$AA$126),"dd mmm yy"))&amp;" "&amp;Milestones!$AB$126&amp;" "&amp;Milestones!$AC$126&amp;";  ","")&amp;IF(AND(EDATE($D14,Milestones!$AA$127)&lt;=AsOfDate,IF($R14=0,$X14,IF(AND($T14&lt;&gt;"",EDATE($D14,Milestones!$AA$127)&gt;=$T14),$W14,IF(AND($S14&lt;&gt;"",EDATE($D14,Milestones!$AA$127)&gt;=$S14),$V14,$U14)))=Milestones!$AB$127),UPPER(TEXT(EDATE($D14,Milestones!$AA$127),"dd mmm yy"))&amp;" "&amp;Milestones!$AB$127&amp;" "&amp;Milestones!$AC$127&amp;";  ","")&amp;IF(AND(EDATE($D14,Milestones!$AA$128)&lt;=AsOfDate,IF($R14=0,$X14,IF(AND($T14&lt;&gt;"",EDATE($D14,Milestones!$AA$128)&gt;=$T14),$W14,IF(AND($S14&lt;&gt;"",EDATE($D14,Milestones!$AA$128)&gt;=$S14),$V14,$U14)))=Milestones!$AB$128),UPPER(TEXT(EDATE($D14,Milestones!$AA$128),"dd mmm yy"))&amp;" "&amp;Milestones!$AB$128&amp;" "&amp;Milestones!$AC$128&amp;";  ","")&amp;IF(AND(EDATE($D14,Milestones!$AA$129)&lt;=AsOfDate,IF($R14=0,$X14,IF(AND($T14&lt;&gt;"",EDATE($D14,Milestones!$AA$129)&gt;=$T14),$W14,IF(AND($S14&lt;&gt;"",EDATE($D14,Milestones!$AA$129)&gt;=$S14),$V14,$U14)))=Milestones!$AB$129),UPPER(TEXT(EDATE($D14,Milestones!$AA$129),"dd mmm yy"))&amp;" "&amp;Milestones!$AB$129&amp;" "&amp;Milestones!$AC$129&amp;";  ","")&amp;IF(AND(EDATE($D14,Milestones!$AA$130)&lt;=AsOfDate,IF($R14=0,$X14,IF(AND($T14&lt;&gt;"",EDATE($D14,Milestones!$AA$130)&gt;=$T14),$W14,IF(AND($S14&lt;&gt;"",EDATE($D14,Milestones!$AA$130)&gt;=$S14),$V14,$U14)))=Milestones!$AB$130),UPPER(TEXT(EDATE($D14,Milestones!$AA$130),"dd mmm yy"))&amp;" "&amp;Milestones!$AB$130&amp;" "&amp;Milestones!$AC$130&amp;";  ","")&amp;IF(AND(EDATE($D14,Milestones!$AA$131)&lt;=AsOfDate,IF($R14=0,$X14,IF(AND($T14&lt;&gt;"",EDATE($D14,Milestones!$AA$131)&gt;=$T14),$W14,IF(AND($S14&lt;&gt;"",EDATE($D14,Milestones!$AA$131)&gt;=$S14),$V14,$U14)))=Milestones!$AB$131),UPPER(TEXT(EDATE($D14,Milestones!$AA$131),"dd mmm yy"))&amp;" "&amp;Milestones!$AB$131&amp;" "&amp;Milestones!$AC$131&amp;";  ","")&amp;IF(AND(EDATE($D14,Milestones!$AA$132)&lt;=AsOfDate,IF($R14=0,$X14,IF(AND($T14&lt;&gt;"",EDATE($D14,Milestones!$AA$132)&gt;=$T14),$W14,IF(AND($S14&lt;&gt;"",EDATE($D14,Milestones!$AA$132)&gt;=$S14),$V14,$U14)))=Milestones!$AB$132),UPPER(TEXT(EDATE($D14,Milestones!$AA$132),"dd mmm yy"))&amp;" "&amp;Milestones!$AB$132&amp;" "&amp;Milestones!$AC$132&amp;";  ","")&amp;IF(AND(EDATE($D14,Milestones!$AA$133)&lt;=AsOfDate,IF($R14=0,$X14,IF(AND($T14&lt;&gt;"",EDATE($D14,Milestones!$AA$133)&gt;=$T14),$W14,IF(AND($S14&lt;&gt;"",EDATE($D14,Milestones!$AA$133)&gt;=$S14),$V14,$U14)))=Milestones!$AB$133),UPPER(TEXT(EDATE($D14,Milestones!$AA$133),"dd mmm yy"))&amp;" "&amp;Milestones!$AB$133&amp;" "&amp;Milestones!$AC$133&amp;";  ","")&amp;IF(AND(EDATE($D14,Milestones!$AA$134)&lt;=AsOfDate,IF($R14=0,$X14,IF(AND($T14&lt;&gt;"",EDATE($D14,Milestones!$AA$134)&gt;=$T14),$W14,IF(AND($S14&lt;&gt;"",EDATE($D14,Milestones!$AA$134)&gt;=$S14),$V14,$U14)))=Milestones!$AB$134),UPPER(TEXT(EDATE($D14,Milestones!$AA$134),"dd mmm yy"))&amp;" "&amp;Milestones!$AB$134&amp;" "&amp;Milestones!$AC$134&amp;";  ","")&amp;IF(AND(EDATE($D14,Milestones!$AA$135)&lt;=AsOfDate,IF($R14=0,$X14,IF(AND($T14&lt;&gt;"",EDATE($D14,Milestones!$AA$135)&gt;=$T14),$W14,IF(AND($S14&lt;&gt;"",EDATE($D14,Milestones!$AA$135)&gt;=$S14),$V14,$U14)))=Milestones!$AB$135),UPPER(TEXT(EDATE($D14,Milestones!$AA$135),"dd mmm yy"))&amp;" "&amp;Milestones!$AB$135&amp;" "&amp;Milestones!$AC$135&amp;";  ","")&amp;IF(AND(EDATE($D14,Milestones!$AA$136)&lt;=AsOfDate,IF($R14=0,$X14,IF(AND($T14&lt;&gt;"",EDATE($D14,Milestones!$AA$136)&gt;=$T14),$W14,IF(AND($S14&lt;&gt;"",EDATE($D14,Milestones!$AA$136)&gt;=$S14),$V14,$U14)))=Milestones!$AB$136),UPPER(TEXT(EDATE($D14,Milestones!$AA$136),"dd mmm yy"))&amp;" "&amp;Milestones!$AB$136&amp;" "&amp;Milestones!$AC$136&amp;";  ","")&amp;IF(AND(EDATE($D14,Milestones!$AA$137)&lt;=AsOfDate,IF($R14=0,$X14,IF(AND($T14&lt;&gt;"",EDATE($D14,Milestones!$AA$137)&gt;=$T14),$W14,IF(AND($S14&lt;&gt;"",EDATE($D14,Milestones!$AA$137)&gt;=$S14),$V14,$U14)))=Milestones!$AB$137),UPPER(TEXT(EDATE($D14,Milestones!$AA$137),"dd mmm yy"))&amp;" "&amp;Milestones!$AB$137&amp;" "&amp;Milestones!$AC$137&amp;";  ","")&amp;IF(AND(EDATE($D14,Milestones!$AA$138)&lt;=AsOfDate,IF($R14=0,$X14,IF(AND($T14&lt;&gt;"",EDATE($D14,Milestones!$AA$138)&gt;=$T14),$W14,IF(AND($S14&lt;&gt;"",EDATE($D14,Milestones!$AA$138)&gt;=$S14),$V14,$U14)))=Milestones!$AB$138),UPPER(TEXT(EDATE($D14,Milestones!$AA$138),"dd mmm yy"))&amp;" "&amp;Milestones!$AB$138&amp;" "&amp;Milestones!$AC$138&amp;";  ","")&amp;IF(AND(EDATE($D14,Milestones!$AA$139)&lt;=AsOfDate,IF($R14=0,$X14,IF(AND($T14&lt;&gt;"",EDATE($D14,Milestones!$AA$139)&gt;=$T14),$W14,IF(AND($S14&lt;&gt;"",EDATE($D14,Milestones!$AA$139)&gt;=$S14),$V14,$U14)))=Milestones!$AB$139),UPPER(TEXT(EDATE($D14,Milestones!$AA$139),"dd mmm yy"))&amp;" "&amp;Milestones!$AB$139&amp;" "&amp;Milestones!$AC$139&amp;";  ",""))</f>
        <v/>
      </c>
      <c r="O14" s="0" t="str">
        <f aca="false">IF(OR($A14="",$D14=""),"",IF(AND(EDATE($D14,Milestones!$AA$140)&lt;=AsOfDate,IF($R14=0,$X14,IF(AND($T14&lt;&gt;"",EDATE($D14,Milestones!$AA$140)&gt;=$T14),$W14,IF(AND($S14&lt;&gt;"",EDATE($D14,Milestones!$AA$140)&gt;=$S14),$V14,$U14)))=Milestones!$AB$140),UPPER(TEXT(EDATE($D14,Milestones!$AA$140),"dd mmm yy"))&amp;" "&amp;Milestones!$AB$140&amp;" "&amp;Milestones!$AC$140&amp;";  ","")&amp;IF(AND(EDATE($D14,Milestones!$AA$141)&lt;=AsOfDate,IF($R14=0,$X14,IF(AND($T14&lt;&gt;"",EDATE($D14,Milestones!$AA$141)&gt;=$T14),$W14,IF(AND($S14&lt;&gt;"",EDATE($D14,Milestones!$AA$141)&gt;=$S14),$V14,$U14)))=Milestones!$AB$141),UPPER(TEXT(EDATE($D14,Milestones!$AA$141),"dd mmm yy"))&amp;" "&amp;Milestones!$AB$141&amp;" "&amp;Milestones!$AC$141&amp;";  ","")&amp;IF(AND(EDATE($D14,Milestones!$AA$142)&lt;=AsOfDate,IF($R14=0,$X14,IF(AND($T14&lt;&gt;"",EDATE($D14,Milestones!$AA$142)&gt;=$T14),$W14,IF(AND($S14&lt;&gt;"",EDATE($D14,Milestones!$AA$142)&gt;=$S14),$V14,$U14)))=Milestones!$AB$142),UPPER(TEXT(EDATE($D14,Milestones!$AA$142),"dd mmm yy"))&amp;" "&amp;Milestones!$AB$142&amp;" "&amp;Milestones!$AC$142&amp;";  ","")&amp;IF(AND(EDATE($D14,Milestones!$AA$143)&lt;=AsOfDate,IF($R14=0,$X14,IF(AND($T14&lt;&gt;"",EDATE($D14,Milestones!$AA$143)&gt;=$T14),$W14,IF(AND($S14&lt;&gt;"",EDATE($D14,Milestones!$AA$143)&gt;=$S14),$V14,$U14)))=Milestones!$AB$143),UPPER(TEXT(EDATE($D14,Milestones!$AA$143),"dd mmm yy"))&amp;" "&amp;Milestones!$AB$143&amp;" "&amp;Milestones!$AC$143&amp;";  ","")&amp;IF(AND(EDATE($D14,Milestones!$AA$144)&lt;=AsOfDate,IF($R14=0,$X14,IF(AND($T14&lt;&gt;"",EDATE($D14,Milestones!$AA$144)&gt;=$T14),$W14,IF(AND($S14&lt;&gt;"",EDATE($D14,Milestones!$AA$144)&gt;=$S14),$V14,$U14)))=Milestones!$AB$144),UPPER(TEXT(EDATE($D14,Milestones!$AA$144),"dd mmm yy"))&amp;" "&amp;Milestones!$AB$144&amp;" "&amp;Milestones!$AC$144&amp;";  ","")&amp;IF(AND(EDATE($D14,Milestones!$AA$145)&lt;=AsOfDate,IF($R14=0,$X14,IF(AND($T14&lt;&gt;"",EDATE($D14,Milestones!$AA$145)&gt;=$T14),$W14,IF(AND($S14&lt;&gt;"",EDATE($D14,Milestones!$AA$145)&gt;=$S14),$V14,$U14)))=Milestones!$AB$145),UPPER(TEXT(EDATE($D14,Milestones!$AA$145),"dd mmm yy"))&amp;" "&amp;Milestones!$AB$145&amp;" "&amp;Milestones!$AC$145&amp;";  ","")&amp;IF(AND(EDATE($D14,Milestones!$AA$146)&lt;=AsOfDate,IF($R14=0,$X14,IF(AND($T14&lt;&gt;"",EDATE($D14,Milestones!$AA$146)&gt;=$T14),$W14,IF(AND($S14&lt;&gt;"",EDATE($D14,Milestones!$AA$146)&gt;=$S14),$V14,$U14)))=Milestones!$AB$146),UPPER(TEXT(EDATE($D14,Milestones!$AA$146),"dd mmm yy"))&amp;" "&amp;Milestones!$AB$146&amp;" "&amp;Milestones!$AC$146&amp;";  ","")&amp;IF(AND(EDATE($D14,Milestones!$AA$147)&lt;=AsOfDate,IF($R14=0,$X14,IF(AND($T14&lt;&gt;"",EDATE($D14,Milestones!$AA$147)&gt;=$T14),$W14,IF(AND($S14&lt;&gt;"",EDATE($D14,Milestones!$AA$147)&gt;=$S14),$V14,$U14)))=Milestones!$AB$147),UPPER(TEXT(EDATE($D14,Milestones!$AA$147),"dd mmm yy"))&amp;" "&amp;Milestones!$AB$147&amp;" "&amp;Milestones!$AC$147&amp;";  ","")&amp;IF(AND(EDATE($D14,Milestones!$AA$148)&lt;=AsOfDate,IF($R14=0,$X14,IF(AND($T14&lt;&gt;"",EDATE($D14,Milestones!$AA$148)&gt;=$T14),$W14,IF(AND($S14&lt;&gt;"",EDATE($D14,Milestones!$AA$148)&gt;=$S14),$V14,$U14)))=Milestones!$AB$148),UPPER(TEXT(EDATE($D14,Milestones!$AA$148),"dd mmm yy"))&amp;" "&amp;Milestones!$AB$148&amp;" "&amp;Milestones!$AC$148&amp;";  ","")&amp;IF(AND(EDATE($D14,Milestones!$AA$149)&lt;=AsOfDate,IF($R14=0,$X14,IF(AND($T14&lt;&gt;"",EDATE($D14,Milestones!$AA$149)&gt;=$T14),$W14,IF(AND($S14&lt;&gt;"",EDATE($D14,Milestones!$AA$149)&gt;=$S14),$V14,$U14)))=Milestones!$AB$149),UPPER(TEXT(EDATE($D14,Milestones!$AA$149),"dd mmm yy"))&amp;" "&amp;Milestones!$AB$149&amp;" "&amp;Milestones!$AC$149&amp;";  ","")&amp;IF(AND(EDATE($D14,Milestones!$AA$150)&lt;=AsOfDate,IF($R14=0,$X14,IF(AND($T14&lt;&gt;"",EDATE($D14,Milestones!$AA$150)&gt;=$T14),$W14,IF(AND($S14&lt;&gt;"",EDATE($D14,Milestones!$AA$150)&gt;=$S14),$V14,$U14)))=Milestones!$AB$150),UPPER(TEXT(EDATE($D14,Milestones!$AA$150),"dd mmm yy"))&amp;" "&amp;Milestones!$AB$150&amp;" "&amp;Milestones!$AC$150&amp;";  ","")&amp;IF(AND(EDATE($D14,Milestones!$AA$151)&lt;=AsOfDate,IF($R14=0,$X14,IF(AND($T14&lt;&gt;"",EDATE($D14,Milestones!$AA$151)&gt;=$T14),$W14,IF(AND($S14&lt;&gt;"",EDATE($D14,Milestones!$AA$151)&gt;=$S14),$V14,$U14)))=Milestones!$AB$151),UPPER(TEXT(EDATE($D14,Milestones!$AA$151),"dd mmm yy"))&amp;" "&amp;Milestones!$AB$151&amp;" "&amp;Milestones!$AC$151&amp;";  ","")&amp;IF(AND(EDATE($D14,Milestones!$AA$152)&lt;=AsOfDate,IF($R14=0,$X14,IF(AND($T14&lt;&gt;"",EDATE($D14,Milestones!$AA$152)&gt;=$T14),$W14,IF(AND($S14&lt;&gt;"",EDATE($D14,Milestones!$AA$152)&gt;=$S14),$V14,$U14)))=Milestones!$AB$152),UPPER(TEXT(EDATE($D14,Milestones!$AA$152),"dd mmm yy"))&amp;" "&amp;Milestones!$AB$152&amp;" "&amp;Milestones!$AC$152&amp;";  ","")&amp;IF(AND(EDATE($D14,Milestones!$AA$153)&lt;=AsOfDate,IF($R14=0,$X14,IF(AND($T14&lt;&gt;"",EDATE($D14,Milestones!$AA$153)&gt;=$T14),$W14,IF(AND($S14&lt;&gt;"",EDATE($D14,Milestones!$AA$153)&gt;=$S14),$V14,$U14)))=Milestones!$AB$153),UPPER(TEXT(EDATE($D14,Milestones!$AA$153),"dd mmm yy"))&amp;" "&amp;Milestones!$AB$153&amp;" "&amp;Milestones!$AC$153&amp;";  ","")&amp;IF(AND(EDATE($D14,Milestones!$AA$154)&lt;=AsOfDate,IF($R14=0,$X14,IF(AND($T14&lt;&gt;"",EDATE($D14,Milestones!$AA$154)&gt;=$T14),$W14,IF(AND($S14&lt;&gt;"",EDATE($D14,Milestones!$AA$154)&gt;=$S14),$V14,$U14)))=Milestones!$AB$154),UPPER(TEXT(EDATE($D14,Milestones!$AA$154),"dd mmm yy"))&amp;" "&amp;Milestones!$AB$154&amp;" "&amp;Milestones!$AC$154&amp;";  ","")&amp;IF(AND(EDATE($D14,Milestones!$AA$155)&lt;=AsOfDate,IF($R14=0,$X14,IF(AND($T14&lt;&gt;"",EDATE($D14,Milestones!$AA$155)&gt;=$T14),$W14,IF(AND($S14&lt;&gt;"",EDATE($D14,Milestones!$AA$155)&gt;=$S14),$V14,$U14)))=Milestones!$AB$155),UPPER(TEXT(EDATE($D14,Milestones!$AA$155),"dd mmm yy"))&amp;" "&amp;Milestones!$AB$155&amp;" "&amp;Milestones!$AC$155&amp;";  ","")&amp;IF(AND(EDATE($D14,Milestones!$AA$156)&lt;=AsOfDate,IF($R14=0,$X14,IF(AND($T14&lt;&gt;"",EDATE($D14,Milestones!$AA$156)&gt;=$T14),$W14,IF(AND($S14&lt;&gt;"",EDATE($D14,Milestones!$AA$156)&gt;=$S14),$V14,$U14)))=Milestones!$AB$156),UPPER(TEXT(EDATE($D14,Milestones!$AA$156),"dd mmm yy"))&amp;" "&amp;Milestones!$AB$156&amp;" "&amp;Milestones!$AC$156&amp;";  ","")&amp;IF(AND(EDATE($D14,Milestones!$AA$157)&lt;=AsOfDate,IF($R14=0,$X14,IF(AND($T14&lt;&gt;"",EDATE($D14,Milestones!$AA$157)&gt;=$T14),$W14,IF(AND($S14&lt;&gt;"",EDATE($D14,Milestones!$AA$157)&gt;=$S14),$V14,$U14)))=Milestones!$AB$157),UPPER(TEXT(EDATE($D14,Milestones!$AA$157),"dd mmm yy"))&amp;" "&amp;Milestones!$AB$157&amp;" "&amp;Milestones!$AC$157&amp;";  ","")&amp;IF(AND(EDATE($D14,Milestones!$AA$158)&lt;=AsOfDate,IF($R14=0,$X14,IF(AND($T14&lt;&gt;"",EDATE($D14,Milestones!$AA$158)&gt;=$T14),$W14,IF(AND($S14&lt;&gt;"",EDATE($D14,Milestones!$AA$158)&gt;=$S14),$V14,$U14)))=Milestones!$AB$158),UPPER(TEXT(EDATE($D14,Milestones!$AA$158),"dd mmm yy"))&amp;" "&amp;Milestones!$AB$158&amp;" "&amp;Milestones!$AC$158&amp;";  ","")&amp;IF(AND(EDATE($D14,Milestones!$AA$159)&lt;=AsOfDate,IF($R14=0,$X14,IF(AND($T14&lt;&gt;"",EDATE($D14,Milestones!$AA$159)&gt;=$T14),$W14,IF(AND($S14&lt;&gt;"",EDATE($D14,Milestones!$AA$159)&gt;=$S14),$V14,$U14)))=Milestones!$AB$159),UPPER(TEXT(EDATE($D14,Milestones!$AA$159),"dd mmm yy"))&amp;" "&amp;Milestones!$AB$159&amp;" "&amp;Milestones!$AC$159&amp;";  ",""))</f>
        <v/>
      </c>
      <c r="P14" s="0" t="str">
        <f aca="false">IF(OR($A14="",$D14=""),"",IF(AND(EDATE($D14,Milestones!$AA$160)&lt;=AsOfDate,IF($R14=0,$X14,IF(AND($T14&lt;&gt;"",EDATE($D14,Milestones!$AA$160)&gt;=$T14),$W14,IF(AND($S14&lt;&gt;"",EDATE($D14,Milestones!$AA$160)&gt;=$S14),$V14,$U14)))=Milestones!$AB$160),UPPER(TEXT(EDATE($D14,Milestones!$AA$160),"dd mmm yy"))&amp;" "&amp;Milestones!$AB$160&amp;" "&amp;Milestones!$AC$160&amp;";  ","")&amp;IF(AND(EDATE($D14,Milestones!$AA$161)&lt;=AsOfDate,IF($R14=0,$X14,IF(AND($T14&lt;&gt;"",EDATE($D14,Milestones!$AA$161)&gt;=$T14),$W14,IF(AND($S14&lt;&gt;"",EDATE($D14,Milestones!$AA$161)&gt;=$S14),$V14,$U14)))=Milestones!$AB$161),UPPER(TEXT(EDATE($D14,Milestones!$AA$161),"dd mmm yy"))&amp;" "&amp;Milestones!$AB$161&amp;" "&amp;Milestones!$AC$161&amp;";  ","")&amp;IF(AND(EDATE($D14,Milestones!$AA$162)&lt;=AsOfDate,IF($R14=0,$X14,IF(AND($T14&lt;&gt;"",EDATE($D14,Milestones!$AA$162)&gt;=$T14),$W14,IF(AND($S14&lt;&gt;"",EDATE($D14,Milestones!$AA$162)&gt;=$S14),$V14,$U14)))=Milestones!$AB$162),UPPER(TEXT(EDATE($D14,Milestones!$AA$162),"dd mmm yy"))&amp;" "&amp;Milestones!$AB$162&amp;" "&amp;Milestones!$AC$162&amp;";  ","")&amp;IF(AND(EDATE($D14,Milestones!$AA$163)&lt;=AsOfDate,IF($R14=0,$X14,IF(AND($T14&lt;&gt;"",EDATE($D14,Milestones!$AA$163)&gt;=$T14),$W14,IF(AND($S14&lt;&gt;"",EDATE($D14,Milestones!$AA$163)&gt;=$S14),$V14,$U14)))=Milestones!$AB$163),UPPER(TEXT(EDATE($D14,Milestones!$AA$163),"dd mmm yy"))&amp;" "&amp;Milestones!$AB$163&amp;" "&amp;Milestones!$AC$163&amp;";  ","")&amp;IF(AND(EDATE($D14,Milestones!$AA$164)&lt;=AsOfDate,IF($R14=0,$X14,IF(AND($T14&lt;&gt;"",EDATE($D14,Milestones!$AA$164)&gt;=$T14),$W14,IF(AND($S14&lt;&gt;"",EDATE($D14,Milestones!$AA$164)&gt;=$S14),$V14,$U14)))=Milestones!$AB$164),UPPER(TEXT(EDATE($D14,Milestones!$AA$164),"dd mmm yy"))&amp;" "&amp;Milestones!$AB$164&amp;" "&amp;Milestones!$AC$164&amp;";  ","")&amp;IF(AND(EDATE($D14,Milestones!$AA$165)&lt;=AsOfDate,IF($R14=0,$X14,IF(AND($T14&lt;&gt;"",EDATE($D14,Milestones!$AA$165)&gt;=$T14),$W14,IF(AND($S14&lt;&gt;"",EDATE($D14,Milestones!$AA$165)&gt;=$S14),$V14,$U14)))=Milestones!$AB$165),UPPER(TEXT(EDATE($D14,Milestones!$AA$165),"dd mmm yy"))&amp;" "&amp;Milestones!$AB$165&amp;" "&amp;Milestones!$AC$165&amp;";  ","")&amp;IF(AND(EDATE($D14,Milestones!$AA$166)&lt;=AsOfDate,IF($R14=0,$X14,IF(AND($T14&lt;&gt;"",EDATE($D14,Milestones!$AA$166)&gt;=$T14),$W14,IF(AND($S14&lt;&gt;"",EDATE($D14,Milestones!$AA$166)&gt;=$S14),$V14,$U14)))=Milestones!$AB$166),UPPER(TEXT(EDATE($D14,Milestones!$AA$166),"dd mmm yy"))&amp;" "&amp;Milestones!$AB$166&amp;" "&amp;Milestones!$AC$166&amp;";  ","")&amp;IF(AND(EDATE($D14,Milestones!$AA$167)&lt;=AsOfDate,IF($R14=0,$X14,IF(AND($T14&lt;&gt;"",EDATE($D14,Milestones!$AA$167)&gt;=$T14),$W14,IF(AND($S14&lt;&gt;"",EDATE($D14,Milestones!$AA$167)&gt;=$S14),$V14,$U14)))=Milestones!$AB$167),UPPER(TEXT(EDATE($D14,Milestones!$AA$167),"dd mmm yy"))&amp;" "&amp;Milestones!$AB$167&amp;" "&amp;Milestones!$AC$167&amp;";  ","")&amp;IF(AND(EDATE($D14,Milestones!$AA$168)&lt;=AsOfDate,IF($R14=0,$X14,IF(AND($T14&lt;&gt;"",EDATE($D14,Milestones!$AA$168)&gt;=$T14),$W14,IF(AND($S14&lt;&gt;"",EDATE($D14,Milestones!$AA$168)&gt;=$S14),$V14,$U14)))=Milestones!$AB$168),UPPER(TEXT(EDATE($D14,Milestones!$AA$168),"dd mmm yy"))&amp;" "&amp;Milestones!$AB$168&amp;" "&amp;Milestones!$AC$168&amp;";  ","")&amp;IF(AND(EDATE($D14,Milestones!$AA$169)&lt;=AsOfDate,IF($R14=0,$X14,IF(AND($T14&lt;&gt;"",EDATE($D14,Milestones!$AA$169)&gt;=$T14),$W14,IF(AND($S14&lt;&gt;"",EDATE($D14,Milestones!$AA$169)&gt;=$S14),$V14,$U14)))=Milestones!$AB$169),UPPER(TEXT(EDATE($D14,Milestones!$AA$169),"dd mmm yy"))&amp;" "&amp;Milestones!$AB$169&amp;" "&amp;Milestones!$AC$169&amp;";  ","")&amp;IF(AND(EDATE($D14,Milestones!$AA$170)&lt;=AsOfDate,IF($R14=0,$X14,IF(AND($T14&lt;&gt;"",EDATE($D14,Milestones!$AA$170)&gt;=$T14),$W14,IF(AND($S14&lt;&gt;"",EDATE($D14,Milestones!$AA$170)&gt;=$S14),$V14,$U14)))=Milestones!$AB$170),UPPER(TEXT(EDATE($D14,Milestones!$AA$170),"dd mmm yy"))&amp;" "&amp;Milestones!$AB$170&amp;" "&amp;Milestones!$AC$170&amp;";  ","")&amp;IF(AND(EDATE($D14,Milestones!$AA$171)&lt;=AsOfDate,IF($R14=0,$X14,IF(AND($T14&lt;&gt;"",EDATE($D14,Milestones!$AA$171)&gt;=$T14),$W14,IF(AND($S14&lt;&gt;"",EDATE($D14,Milestones!$AA$171)&gt;=$S14),$V14,$U14)))=Milestones!$AB$171),UPPER(TEXT(EDATE($D14,Milestones!$AA$171),"dd mmm yy"))&amp;" "&amp;Milestones!$AB$171&amp;" "&amp;Milestones!$AC$171&amp;";  ","")&amp;IF(AND(EDATE($D14,Milestones!$AA$172)&lt;=AsOfDate,IF($R14=0,$X14,IF(AND($T14&lt;&gt;"",EDATE($D14,Milestones!$AA$172)&gt;=$T14),$W14,IF(AND($S14&lt;&gt;"",EDATE($D14,Milestones!$AA$172)&gt;=$S14),$V14,$U14)))=Milestones!$AB$172),UPPER(TEXT(EDATE($D14,Milestones!$AA$172),"dd mmm yy"))&amp;" "&amp;Milestones!$AB$172&amp;" "&amp;Milestones!$AC$172&amp;";  ","")&amp;IF(AND(EDATE($D14,Milestones!$AA$173)&lt;=AsOfDate,IF($R14=0,$X14,IF(AND($T14&lt;&gt;"",EDATE($D14,Milestones!$AA$173)&gt;=$T14),$W14,IF(AND($S14&lt;&gt;"",EDATE($D14,Milestones!$AA$173)&gt;=$S14),$V14,$U14)))=Milestones!$AB$173),UPPER(TEXT(EDATE($D14,Milestones!$AA$173),"dd mmm yy"))&amp;" "&amp;Milestones!$AB$173&amp;" "&amp;Milestones!$AC$173&amp;";  ","")&amp;IF(AND(EDATE($D14,Milestones!$AA$174)&lt;=AsOfDate,IF($R14=0,$X14,IF(AND($T14&lt;&gt;"",EDATE($D14,Milestones!$AA$174)&gt;=$T14),$W14,IF(AND($S14&lt;&gt;"",EDATE($D14,Milestones!$AA$174)&gt;=$S14),$V14,$U14)))=Milestones!$AB$174),UPPER(TEXT(EDATE($D14,Milestones!$AA$174),"dd mmm yy"))&amp;" "&amp;Milestones!$AB$174&amp;" "&amp;Milestones!$AC$174&amp;";  ","")&amp;IF(AND(EDATE($D14,Milestones!$AA$175)&lt;=AsOfDate,IF($R14=0,$X14,IF(AND($T14&lt;&gt;"",EDATE($D14,Milestones!$AA$175)&gt;=$T14),$W14,IF(AND($S14&lt;&gt;"",EDATE($D14,Milestones!$AA$175)&gt;=$S14),$V14,$U14)))=Milestones!$AB$175),UPPER(TEXT(EDATE($D14,Milestones!$AA$175),"dd mmm yy"))&amp;" "&amp;Milestones!$AB$175&amp;" "&amp;Milestones!$AC$175&amp;";  ","")&amp;IF(AND(EDATE($D14,Milestones!$AA$176)&lt;=AsOfDate,IF($R14=0,$X14,IF(AND($T14&lt;&gt;"",EDATE($D14,Milestones!$AA$176)&gt;=$T14),$W14,IF(AND($S14&lt;&gt;"",EDATE($D14,Milestones!$AA$176)&gt;=$S14),$V14,$U14)))=Milestones!$AB$176),UPPER(TEXT(EDATE($D14,Milestones!$AA$176),"dd mmm yy"))&amp;" "&amp;Milestones!$AB$176&amp;" "&amp;Milestones!$AC$176&amp;";  ","")&amp;IF(AND(EDATE($D14,Milestones!$AA$177)&lt;=AsOfDate,IF($R14=0,$X14,IF(AND($T14&lt;&gt;"",EDATE($D14,Milestones!$AA$177)&gt;=$T14),$W14,IF(AND($S14&lt;&gt;"",EDATE($D14,Milestones!$AA$177)&gt;=$S14),$V14,$U14)))=Milestones!$AB$177),UPPER(TEXT(EDATE($D14,Milestones!$AA$177),"dd mmm yy"))&amp;" "&amp;Milestones!$AB$177&amp;" "&amp;Milestones!$AC$177&amp;";  ","")&amp;IF(AND(EDATE($D14,Milestones!$AA$178)&lt;=AsOfDate,IF($R14=0,$X14,IF(AND($T14&lt;&gt;"",EDATE($D14,Milestones!$AA$178)&gt;=$T14),$W14,IF(AND($S14&lt;&gt;"",EDATE($D14,Milestones!$AA$178)&gt;=$S14),$V14,$U14)))=Milestones!$AB$178),UPPER(TEXT(EDATE($D14,Milestones!$AA$178),"dd mmm yy"))&amp;" "&amp;Milestones!$AB$178&amp;" "&amp;Milestones!$AC$178&amp;";  ","")&amp;IF(AND(EDATE($D14,Milestones!$AA$179)&lt;=AsOfDate,IF($R14=0,$X14,IF(AND($T14&lt;&gt;"",EDATE($D14,Milestones!$AA$179)&gt;=$T14),$W14,IF(AND($S14&lt;&gt;"",EDATE($D14,Milestones!$AA$179)&gt;=$S14),$V14,$U14)))=Milestones!$AB$179),UPPER(TEXT(EDATE($D14,Milestones!$AA$179),"dd mmm yy"))&amp;" "&amp;Milestones!$AB$179&amp;" "&amp;Milestones!$AC$179&amp;";  ",""))</f>
        <v/>
      </c>
      <c r="Q14" s="0" t="str">
        <f aca="false">IF(OR($A14="",$D14=""),"",IF(AND(EDATE($D14,Milestones!$AA$180)&lt;=AsOfDate,IF($R14=0,$X14,IF(AND($T14&lt;&gt;"",EDATE($D14,Milestones!$AA$180)&gt;=$T14),$W14,IF(AND($S14&lt;&gt;"",EDATE($D14,Milestones!$AA$180)&gt;=$S14),$V14,$U14)))=Milestones!$AB$180),UPPER(TEXT(EDATE($D14,Milestones!$AA$180),"dd mmm yy"))&amp;" "&amp;Milestones!$AB$180&amp;" "&amp;Milestones!$AC$180&amp;";  ","")&amp;IF(AND(EDATE($D14,Milestones!$AA$181)&lt;=AsOfDate,IF($R14=0,$X14,IF(AND($T14&lt;&gt;"",EDATE($D14,Milestones!$AA$181)&gt;=$T14),$W14,IF(AND($S14&lt;&gt;"",EDATE($D14,Milestones!$AA$181)&gt;=$S14),$V14,$U14)))=Milestones!$AB$181),UPPER(TEXT(EDATE($D14,Milestones!$AA$181),"dd mmm yy"))&amp;" "&amp;Milestones!$AB$181&amp;" "&amp;Milestones!$AC$181&amp;";  ","")&amp;IF(AND(EDATE($D14,Milestones!$AA$182)&lt;=AsOfDate,IF($R14=0,$X14,IF(AND($T14&lt;&gt;"",EDATE($D14,Milestones!$AA$182)&gt;=$T14),$W14,IF(AND($S14&lt;&gt;"",EDATE($D14,Milestones!$AA$182)&gt;=$S14),$V14,$U14)))=Milestones!$AB$182),UPPER(TEXT(EDATE($D14,Milestones!$AA$182),"dd mmm yy"))&amp;" "&amp;Milestones!$AB$182&amp;" "&amp;Milestones!$AC$182&amp;";  ","")&amp;IF(AND(EDATE($D14,Milestones!$AA$183)&lt;=AsOfDate,IF($R14=0,$X14,IF(AND($T14&lt;&gt;"",EDATE($D14,Milestones!$AA$183)&gt;=$T14),$W14,IF(AND($S14&lt;&gt;"",EDATE($D14,Milestones!$AA$183)&gt;=$S14),$V14,$U14)))=Milestones!$AB$183),UPPER(TEXT(EDATE($D14,Milestones!$AA$183),"dd mmm yy"))&amp;" "&amp;Milestones!$AB$183&amp;" "&amp;Milestones!$AC$183&amp;";  ","")&amp;IF(AND(EDATE($D14,Milestones!$AA$184)&lt;=AsOfDate,IF($R14=0,$X14,IF(AND($T14&lt;&gt;"",EDATE($D14,Milestones!$AA$184)&gt;=$T14),$W14,IF(AND($S14&lt;&gt;"",EDATE($D14,Milestones!$AA$184)&gt;=$S14),$V14,$U14)))=Milestones!$AB$184),UPPER(TEXT(EDATE($D14,Milestones!$AA$184),"dd mmm yy"))&amp;" "&amp;Milestones!$AB$184&amp;" "&amp;Milestones!$AC$184&amp;";  ","")&amp;IF(AND(EDATE($D14,Milestones!$AA$185)&lt;=AsOfDate,IF($R14=0,$X14,IF(AND($T14&lt;&gt;"",EDATE($D14,Milestones!$AA$185)&gt;=$T14),$W14,IF(AND($S14&lt;&gt;"",EDATE($D14,Milestones!$AA$185)&gt;=$S14),$V14,$U14)))=Milestones!$AB$185),UPPER(TEXT(EDATE($D14,Milestones!$AA$185),"dd mmm yy"))&amp;" "&amp;Milestones!$AB$185&amp;" "&amp;Milestones!$AC$185&amp;";  ","")&amp;IF(AND(EDATE($D14,Milestones!$AA$186)&lt;=AsOfDate,IF($R14=0,$X14,IF(AND($T14&lt;&gt;"",EDATE($D14,Milestones!$AA$186)&gt;=$T14),$W14,IF(AND($S14&lt;&gt;"",EDATE($D14,Milestones!$AA$186)&gt;=$S14),$V14,$U14)))=Milestones!$AB$186),UPPER(TEXT(EDATE($D14,Milestones!$AA$186),"dd mmm yy"))&amp;" "&amp;Milestones!$AB$186&amp;" "&amp;Milestones!$AC$186&amp;";  ","")&amp;IF(AND(EDATE($D14,Milestones!$AA$187)&lt;=AsOfDate,IF($R14=0,$X14,IF(AND($T14&lt;&gt;"",EDATE($D14,Milestones!$AA$187)&gt;=$T14),$W14,IF(AND($S14&lt;&gt;"",EDATE($D14,Milestones!$AA$187)&gt;=$S14),$V14,$U14)))=Milestones!$AB$187),UPPER(TEXT(EDATE($D14,Milestones!$AA$187),"dd mmm yy"))&amp;" "&amp;Milestones!$AB$187&amp;" "&amp;Milestones!$AC$187&amp;";  ","")&amp;IF(AND(EDATE($D14,Milestones!$AA$188)&lt;=AsOfDate,IF($R14=0,$X14,IF(AND($T14&lt;&gt;"",EDATE($D14,Milestones!$AA$188)&gt;=$T14),$W14,IF(AND($S14&lt;&gt;"",EDATE($D14,Milestones!$AA$188)&gt;=$S14),$V14,$U14)))=Milestones!$AB$188),UPPER(TEXT(EDATE($D14,Milestones!$AA$188),"dd mmm yy"))&amp;" "&amp;Milestones!$AB$188&amp;" "&amp;Milestones!$AC$188&amp;";  ","")&amp;IF(AND(EDATE($D14,Milestones!$AA$189)&lt;=AsOfDate,IF($R14=0,$X14,IF(AND($T14&lt;&gt;"",EDATE($D14,Milestones!$AA$189)&gt;=$T14),$W14,IF(AND($S14&lt;&gt;"",EDATE($D14,Milestones!$AA$189)&gt;=$S14),$V14,$U14)))=Milestones!$AB$189),UPPER(TEXT(EDATE($D14,Milestones!$AA$189),"dd mmm yy"))&amp;" "&amp;Milestones!$AB$189&amp;" "&amp;Milestones!$AC$189&amp;";  ","")&amp;IF(AND(EDATE($D14,Milestones!$AA$190)&lt;=AsOfDate,IF($R14=0,$X14,IF(AND($T14&lt;&gt;"",EDATE($D14,Milestones!$AA$190)&gt;=$T14),$W14,IF(AND($S14&lt;&gt;"",EDATE($D14,Milestones!$AA$190)&gt;=$S14),$V14,$U14)))=Milestones!$AB$190),UPPER(TEXT(EDATE($D14,Milestones!$AA$190),"dd mmm yy"))&amp;" "&amp;Milestones!$AB$190&amp;" "&amp;Milestones!$AC$190&amp;";  ","")&amp;IF(AND(EDATE($D14,Milestones!$AA$191)&lt;=AsOfDate,IF($R14=0,$X14,IF(AND($T14&lt;&gt;"",EDATE($D14,Milestones!$AA$191)&gt;=$T14),$W14,IF(AND($S14&lt;&gt;"",EDATE($D14,Milestones!$AA$191)&gt;=$S14),$V14,$U14)))=Milestones!$AB$191),UPPER(TEXT(EDATE($D14,Milestones!$AA$191),"dd mmm yy"))&amp;" "&amp;Milestones!$AB$191&amp;" "&amp;Milestones!$AC$191&amp;";  ","")&amp;IF(AND(EDATE($D14,Milestones!$AA$192)&lt;=AsOfDate,IF($R14=0,$X14,IF(AND($T14&lt;&gt;"",EDATE($D14,Milestones!$AA$192)&gt;=$T14),$W14,IF(AND($S14&lt;&gt;"",EDATE($D14,Milestones!$AA$192)&gt;=$S14),$V14,$U14)))=Milestones!$AB$192),UPPER(TEXT(EDATE($D14,Milestones!$AA$192),"dd mmm yy"))&amp;" "&amp;Milestones!$AB$192&amp;" "&amp;Milestones!$AC$192&amp;";  ","")&amp;IF(AND(EDATE($D14,Milestones!$AA$193)&lt;=AsOfDate,IF($R14=0,$X14,IF(AND($T14&lt;&gt;"",EDATE($D14,Milestones!$AA$193)&gt;=$T14),$W14,IF(AND($S14&lt;&gt;"",EDATE($D14,Milestones!$AA$193)&gt;=$S14),$V14,$U14)))=Milestones!$AB$193),UPPER(TEXT(EDATE($D14,Milestones!$AA$193),"dd mmm yy"))&amp;" "&amp;Milestones!$AB$193&amp;" "&amp;Milestones!$AC$193&amp;";  ","")&amp;IF(AND(EDATE($D14,Milestones!$AA$194)&lt;=AsOfDate,IF($R14=0,$X14,IF(AND($T14&lt;&gt;"",EDATE($D14,Milestones!$AA$194)&gt;=$T14),$W14,IF(AND($S14&lt;&gt;"",EDATE($D14,Milestones!$AA$194)&gt;=$S14),$V14,$U14)))=Milestones!$AB$194),UPPER(TEXT(EDATE($D14,Milestones!$AA$194),"dd mmm yy"))&amp;" "&amp;Milestones!$AB$194&amp;" "&amp;Milestones!$AC$194&amp;";  ","")&amp;IF(AND(EDATE($D14,Milestones!$AA$195)&lt;=AsOfDate,IF($R14=0,$X14,IF(AND($T14&lt;&gt;"",EDATE($D14,Milestones!$AA$195)&gt;=$T14),$W14,IF(AND($S14&lt;&gt;"",EDATE($D14,Milestones!$AA$195)&gt;=$S14),$V14,$U14)))=Milestones!$AB$195),UPPER(TEXT(EDATE($D14,Milestones!$AA$195),"dd mmm yy"))&amp;" "&amp;Milestones!$AB$195&amp;" "&amp;Milestones!$AC$195&amp;";  ","")&amp;IF(AND(EDATE($D14,Milestones!$AA$196)&lt;=AsOfDate,IF($R14=0,$X14,IF(AND($T14&lt;&gt;"",EDATE($D14,Milestones!$AA$196)&gt;=$T14),$W14,IF(AND($S14&lt;&gt;"",EDATE($D14,Milestones!$AA$196)&gt;=$S14),$V14,$U14)))=Milestones!$AB$196),UPPER(TEXT(EDATE($D14,Milestones!$AA$196),"dd mmm yy"))&amp;" "&amp;Milestones!$AB$196&amp;" "&amp;Milestones!$AC$196&amp;";  ","")&amp;IF(AND(EDATE($D14,Milestones!$AA$197)&lt;=AsOfDate,IF($R14=0,$X14,IF(AND($T14&lt;&gt;"",EDATE($D14,Milestones!$AA$197)&gt;=$T14),$W14,IF(AND($S14&lt;&gt;"",EDATE($D14,Milestones!$AA$197)&gt;=$S14),$V14,$U14)))=Milestones!$AB$197),UPPER(TEXT(EDATE($D14,Milestones!$AA$197),"dd mmm yy"))&amp;" "&amp;Milestones!$AB$197&amp;" "&amp;Milestones!$AC$197&amp;";  ","")&amp;IF(AND(EDATE($D14,Milestones!$AA$198)&lt;=AsOfDate,IF($R14=0,$X14,IF(AND($T14&lt;&gt;"",EDATE($D14,Milestones!$AA$198)&gt;=$T14),$W14,IF(AND($S14&lt;&gt;"",EDATE($D14,Milestones!$AA$198)&gt;=$S14),$V14,$U14)))=Milestones!$AB$198),UPPER(TEXT(EDATE($D14,Milestones!$AA$198),"dd mmm yy"))&amp;" "&amp;Milestones!$AB$198&amp;" "&amp;Milestones!$AC$198&amp;";  ","")&amp;IF(AND(EDATE($D14,Milestones!$AA$199)&lt;=AsOfDate,IF($R14=0,$X14,IF(AND($T14&lt;&gt;"",EDATE($D14,Milestones!$AA$199)&gt;=$T14),$W14,IF(AND($S14&lt;&gt;"",EDATE($D14,Milestones!$AA$199)&gt;=$S14),$V14,$U14)))=Milestones!$AB$199),UPPER(TEXT(EDATE($D14,Milestones!$AA$199),"dd mmm yy"))&amp;" "&amp;Milestones!$AB$199&amp;" "&amp;Milestones!$AC$199&amp;";  ",""))</f>
        <v/>
      </c>
      <c r="R14" s="0" t="str">
        <f aca="false">IF(Staff!$A14="","",Staff!$AI14)</f>
        <v/>
      </c>
      <c r="S14" s="0" t="str">
        <f aca="false">IF(Staff!$A14="","",Staff!$AK14)</f>
        <v/>
      </c>
      <c r="T14" s="0" t="str">
        <f aca="false">IF(Staff!$A14="","",Staff!$AL14)</f>
        <v/>
      </c>
      <c r="U14" s="0" t="str">
        <f aca="false">IF(Staff!$A14="","",Staff!$AP14)</f>
        <v/>
      </c>
      <c r="V14" s="0" t="str">
        <f aca="false">IF(Staff!$A14="","",Staff!$AQ14)</f>
        <v/>
      </c>
      <c r="W14" s="0" t="str">
        <f aca="false">IF(Staff!$A14="","",Staff!$AR14)</f>
        <v/>
      </c>
      <c r="X14" s="0" t="str">
        <f aca="false">IF(Staff!$A14="","",Staff!$AS14)</f>
        <v/>
      </c>
    </row>
    <row r="15" customFormat="false" ht="15" hidden="false" customHeight="false" outlineLevel="0" collapsed="false">
      <c r="A15" s="14" t="str">
        <f aca="false">IF(Staff!$A15="","",Staff!$A15)</f>
        <v/>
      </c>
      <c r="B15" s="14" t="str">
        <f aca="false">IF(Staff!$A15="","",Staff!$B15)</f>
        <v/>
      </c>
      <c r="C15" s="14" t="str">
        <f aca="false">IF(Staff!$A15="","",Staff!$C15)</f>
        <v/>
      </c>
      <c r="D15" s="12" t="str">
        <f aca="false">IF(Staff!$A15="","",Staff!$AH15)</f>
        <v/>
      </c>
      <c r="E15" s="14" t="str">
        <f aca="false">IF(Staff!$A15="","",Staff!$O15)</f>
        <v/>
      </c>
      <c r="F15" s="14" t="str">
        <f aca="false">IF(E15="","",E15*HoursPerDay)</f>
        <v/>
      </c>
      <c r="G15" s="14" t="str">
        <f aca="false">IF(Staff!$A15="","",Staff!$AE15)</f>
        <v/>
      </c>
      <c r="H15" s="26" t="str">
        <f aca="false">IF($A15="","",I15&amp;J15&amp;K15&amp;L15&amp;M15&amp;N15&amp;O15&amp;P15&amp;Q15)</f>
        <v/>
      </c>
      <c r="I15" s="0" t="str">
        <f aca="false">IF(OR($A15="",$D15=""),"",IF(AND(EDATE($D15,Milestones!$AA$20)&lt;=AsOfDate,IF($R15=0,$X15,IF(AND($T15&lt;&gt;"",EDATE($D15,Milestones!$AA$20)&gt;=$T15),$W15,IF(AND($S15&lt;&gt;"",EDATE($D15,Milestones!$AA$20)&gt;=$S15),$V15,$U15)))=Milestones!$AB$20),UPPER(TEXT(EDATE($D15,Milestones!$AA$20),"dd mmm yy"))&amp;" "&amp;Milestones!$AB$20&amp;" "&amp;Milestones!$AC$20&amp;";  ","")&amp;IF(AND(EDATE($D15,Milestones!$AA$21)&lt;=AsOfDate,IF($R15=0,$X15,IF(AND($T15&lt;&gt;"",EDATE($D15,Milestones!$AA$21)&gt;=$T15),$W15,IF(AND($S15&lt;&gt;"",EDATE($D15,Milestones!$AA$21)&gt;=$S15),$V15,$U15)))=Milestones!$AB$21),UPPER(TEXT(EDATE($D15,Milestones!$AA$21),"dd mmm yy"))&amp;" "&amp;Milestones!$AB$21&amp;" "&amp;Milestones!$AC$21&amp;";  ","")&amp;IF(AND(EDATE($D15,Milestones!$AA$22)&lt;=AsOfDate,IF($R15=0,$X15,IF(AND($T15&lt;&gt;"",EDATE($D15,Milestones!$AA$22)&gt;=$T15),$W15,IF(AND($S15&lt;&gt;"",EDATE($D15,Milestones!$AA$22)&gt;=$S15),$V15,$U15)))=Milestones!$AB$22),UPPER(TEXT(EDATE($D15,Milestones!$AA$22),"dd mmm yy"))&amp;" "&amp;Milestones!$AB$22&amp;" "&amp;Milestones!$AC$22&amp;";  ","")&amp;IF(AND(EDATE($D15,Milestones!$AA$23)&lt;=AsOfDate,IF($R15=0,$X15,IF(AND($T15&lt;&gt;"",EDATE($D15,Milestones!$AA$23)&gt;=$T15),$W15,IF(AND($S15&lt;&gt;"",EDATE($D15,Milestones!$AA$23)&gt;=$S15),$V15,$U15)))=Milestones!$AB$23),UPPER(TEXT(EDATE($D15,Milestones!$AA$23),"dd mmm yy"))&amp;" "&amp;Milestones!$AB$23&amp;" "&amp;Milestones!$AC$23&amp;";  ","")&amp;IF(AND(EDATE($D15,Milestones!$AA$24)&lt;=AsOfDate,IF($R15=0,$X15,IF(AND($T15&lt;&gt;"",EDATE($D15,Milestones!$AA$24)&gt;=$T15),$W15,IF(AND($S15&lt;&gt;"",EDATE($D15,Milestones!$AA$24)&gt;=$S15),$V15,$U15)))=Milestones!$AB$24),UPPER(TEXT(EDATE($D15,Milestones!$AA$24),"dd mmm yy"))&amp;" "&amp;Milestones!$AB$24&amp;" "&amp;Milestones!$AC$24&amp;";  ","")&amp;IF(AND(EDATE($D15,Milestones!$AA$25)&lt;=AsOfDate,IF($R15=0,$X15,IF(AND($T15&lt;&gt;"",EDATE($D15,Milestones!$AA$25)&gt;=$T15),$W15,IF(AND($S15&lt;&gt;"",EDATE($D15,Milestones!$AA$25)&gt;=$S15),$V15,$U15)))=Milestones!$AB$25),UPPER(TEXT(EDATE($D15,Milestones!$AA$25),"dd mmm yy"))&amp;" "&amp;Milestones!$AB$25&amp;" "&amp;Milestones!$AC$25&amp;";  ","")&amp;IF(AND(EDATE($D15,Milestones!$AA$26)&lt;=AsOfDate,IF($R15=0,$X15,IF(AND($T15&lt;&gt;"",EDATE($D15,Milestones!$AA$26)&gt;=$T15),$W15,IF(AND($S15&lt;&gt;"",EDATE($D15,Milestones!$AA$26)&gt;=$S15),$V15,$U15)))=Milestones!$AB$26),UPPER(TEXT(EDATE($D15,Milestones!$AA$26),"dd mmm yy"))&amp;" "&amp;Milestones!$AB$26&amp;" "&amp;Milestones!$AC$26&amp;";  ","")&amp;IF(AND(EDATE($D15,Milestones!$AA$27)&lt;=AsOfDate,IF($R15=0,$X15,IF(AND($T15&lt;&gt;"",EDATE($D15,Milestones!$AA$27)&gt;=$T15),$W15,IF(AND($S15&lt;&gt;"",EDATE($D15,Milestones!$AA$27)&gt;=$S15),$V15,$U15)))=Milestones!$AB$27),UPPER(TEXT(EDATE($D15,Milestones!$AA$27),"dd mmm yy"))&amp;" "&amp;Milestones!$AB$27&amp;" "&amp;Milestones!$AC$27&amp;";  ","")&amp;IF(AND(EDATE($D15,Milestones!$AA$28)&lt;=AsOfDate,IF($R15=0,$X15,IF(AND($T15&lt;&gt;"",EDATE($D15,Milestones!$AA$28)&gt;=$T15),$W15,IF(AND($S15&lt;&gt;"",EDATE($D15,Milestones!$AA$28)&gt;=$S15),$V15,$U15)))=Milestones!$AB$28),UPPER(TEXT(EDATE($D15,Milestones!$AA$28),"dd mmm yy"))&amp;" "&amp;Milestones!$AB$28&amp;" "&amp;Milestones!$AC$28&amp;";  ","")&amp;IF(AND(EDATE($D15,Milestones!$AA$29)&lt;=AsOfDate,IF($R15=0,$X15,IF(AND($T15&lt;&gt;"",EDATE($D15,Milestones!$AA$29)&gt;=$T15),$W15,IF(AND($S15&lt;&gt;"",EDATE($D15,Milestones!$AA$29)&gt;=$S15),$V15,$U15)))=Milestones!$AB$29),UPPER(TEXT(EDATE($D15,Milestones!$AA$29),"dd mmm yy"))&amp;" "&amp;Milestones!$AB$29&amp;" "&amp;Milestones!$AC$29&amp;";  ","")&amp;IF(AND(EDATE($D15,Milestones!$AA$30)&lt;=AsOfDate,IF($R15=0,$X15,IF(AND($T15&lt;&gt;"",EDATE($D15,Milestones!$AA$30)&gt;=$T15),$W15,IF(AND($S15&lt;&gt;"",EDATE($D15,Milestones!$AA$30)&gt;=$S15),$V15,$U15)))=Milestones!$AB$30),UPPER(TEXT(EDATE($D15,Milestones!$AA$30),"dd mmm yy"))&amp;" "&amp;Milestones!$AB$30&amp;" "&amp;Milestones!$AC$30&amp;";  ","")&amp;IF(AND(EDATE($D15,Milestones!$AA$31)&lt;=AsOfDate,IF($R15=0,$X15,IF(AND($T15&lt;&gt;"",EDATE($D15,Milestones!$AA$31)&gt;=$T15),$W15,IF(AND($S15&lt;&gt;"",EDATE($D15,Milestones!$AA$31)&gt;=$S15),$V15,$U15)))=Milestones!$AB$31),UPPER(TEXT(EDATE($D15,Milestones!$AA$31),"dd mmm yy"))&amp;" "&amp;Milestones!$AB$31&amp;" "&amp;Milestones!$AC$31&amp;";  ","")&amp;IF(AND(EDATE($D15,Milestones!$AA$32)&lt;=AsOfDate,IF($R15=0,$X15,IF(AND($T15&lt;&gt;"",EDATE($D15,Milestones!$AA$32)&gt;=$T15),$W15,IF(AND($S15&lt;&gt;"",EDATE($D15,Milestones!$AA$32)&gt;=$S15),$V15,$U15)))=Milestones!$AB$32),UPPER(TEXT(EDATE($D15,Milestones!$AA$32),"dd mmm yy"))&amp;" "&amp;Milestones!$AB$32&amp;" "&amp;Milestones!$AC$32&amp;";  ","")&amp;IF(AND(EDATE($D15,Milestones!$AA$33)&lt;=AsOfDate,IF($R15=0,$X15,IF(AND($T15&lt;&gt;"",EDATE($D15,Milestones!$AA$33)&gt;=$T15),$W15,IF(AND($S15&lt;&gt;"",EDATE($D15,Milestones!$AA$33)&gt;=$S15),$V15,$U15)))=Milestones!$AB$33),UPPER(TEXT(EDATE($D15,Milestones!$AA$33),"dd mmm yy"))&amp;" "&amp;Milestones!$AB$33&amp;" "&amp;Milestones!$AC$33&amp;";  ","")&amp;IF(AND(EDATE($D15,Milestones!$AA$34)&lt;=AsOfDate,IF($R15=0,$X15,IF(AND($T15&lt;&gt;"",EDATE($D15,Milestones!$AA$34)&gt;=$T15),$W15,IF(AND($S15&lt;&gt;"",EDATE($D15,Milestones!$AA$34)&gt;=$S15),$V15,$U15)))=Milestones!$AB$34),UPPER(TEXT(EDATE($D15,Milestones!$AA$34),"dd mmm yy"))&amp;" "&amp;Milestones!$AB$34&amp;" "&amp;Milestones!$AC$34&amp;";  ","")&amp;IF(AND(EDATE($D15,Milestones!$AA$35)&lt;=AsOfDate,IF($R15=0,$X15,IF(AND($T15&lt;&gt;"",EDATE($D15,Milestones!$AA$35)&gt;=$T15),$W15,IF(AND($S15&lt;&gt;"",EDATE($D15,Milestones!$AA$35)&gt;=$S15),$V15,$U15)))=Milestones!$AB$35),UPPER(TEXT(EDATE($D15,Milestones!$AA$35),"dd mmm yy"))&amp;" "&amp;Milestones!$AB$35&amp;" "&amp;Milestones!$AC$35&amp;";  ","")&amp;IF(AND(EDATE($D15,Milestones!$AA$36)&lt;=AsOfDate,IF($R15=0,$X15,IF(AND($T15&lt;&gt;"",EDATE($D15,Milestones!$AA$36)&gt;=$T15),$W15,IF(AND($S15&lt;&gt;"",EDATE($D15,Milestones!$AA$36)&gt;=$S15),$V15,$U15)))=Milestones!$AB$36),UPPER(TEXT(EDATE($D15,Milestones!$AA$36),"dd mmm yy"))&amp;" "&amp;Milestones!$AB$36&amp;" "&amp;Milestones!$AC$36&amp;";  ","")&amp;IF(AND(EDATE($D15,Milestones!$AA$37)&lt;=AsOfDate,IF($R15=0,$X15,IF(AND($T15&lt;&gt;"",EDATE($D15,Milestones!$AA$37)&gt;=$T15),$W15,IF(AND($S15&lt;&gt;"",EDATE($D15,Milestones!$AA$37)&gt;=$S15),$V15,$U15)))=Milestones!$AB$37),UPPER(TEXT(EDATE($D15,Milestones!$AA$37),"dd mmm yy"))&amp;" "&amp;Milestones!$AB$37&amp;" "&amp;Milestones!$AC$37&amp;";  ","")&amp;IF(AND(EDATE($D15,Milestones!$AA$38)&lt;=AsOfDate,IF($R15=0,$X15,IF(AND($T15&lt;&gt;"",EDATE($D15,Milestones!$AA$38)&gt;=$T15),$W15,IF(AND($S15&lt;&gt;"",EDATE($D15,Milestones!$AA$38)&gt;=$S15),$V15,$U15)))=Milestones!$AB$38),UPPER(TEXT(EDATE($D15,Milestones!$AA$38),"dd mmm yy"))&amp;" "&amp;Milestones!$AB$38&amp;" "&amp;Milestones!$AC$38&amp;";  ","")&amp;IF(AND(EDATE($D15,Milestones!$AA$39)&lt;=AsOfDate,IF($R15=0,$X15,IF(AND($T15&lt;&gt;"",EDATE($D15,Milestones!$AA$39)&gt;=$T15),$W15,IF(AND($S15&lt;&gt;"",EDATE($D15,Milestones!$AA$39)&gt;=$S15),$V15,$U15)))=Milestones!$AB$39),UPPER(TEXT(EDATE($D15,Milestones!$AA$39),"dd mmm yy"))&amp;" "&amp;Milestones!$AB$39&amp;" "&amp;Milestones!$AC$39&amp;";  ",""))</f>
        <v/>
      </c>
      <c r="J15" s="0" t="str">
        <f aca="false">IF(OR($A15="",$D15=""),"",IF(AND(EDATE($D15,Milestones!$AA$40)&lt;=AsOfDate,IF($R15=0,$X15,IF(AND($T15&lt;&gt;"",EDATE($D15,Milestones!$AA$40)&gt;=$T15),$W15,IF(AND($S15&lt;&gt;"",EDATE($D15,Milestones!$AA$40)&gt;=$S15),$V15,$U15)))=Milestones!$AB$40),UPPER(TEXT(EDATE($D15,Milestones!$AA$40),"dd mmm yy"))&amp;" "&amp;Milestones!$AB$40&amp;" "&amp;Milestones!$AC$40&amp;";  ","")&amp;IF(AND(EDATE($D15,Milestones!$AA$41)&lt;=AsOfDate,IF($R15=0,$X15,IF(AND($T15&lt;&gt;"",EDATE($D15,Milestones!$AA$41)&gt;=$T15),$W15,IF(AND($S15&lt;&gt;"",EDATE($D15,Milestones!$AA$41)&gt;=$S15),$V15,$U15)))=Milestones!$AB$41),UPPER(TEXT(EDATE($D15,Milestones!$AA$41),"dd mmm yy"))&amp;" "&amp;Milestones!$AB$41&amp;" "&amp;Milestones!$AC$41&amp;";  ","")&amp;IF(AND(EDATE($D15,Milestones!$AA$42)&lt;=AsOfDate,IF($R15=0,$X15,IF(AND($T15&lt;&gt;"",EDATE($D15,Milestones!$AA$42)&gt;=$T15),$W15,IF(AND($S15&lt;&gt;"",EDATE($D15,Milestones!$AA$42)&gt;=$S15),$V15,$U15)))=Milestones!$AB$42),UPPER(TEXT(EDATE($D15,Milestones!$AA$42),"dd mmm yy"))&amp;" "&amp;Milestones!$AB$42&amp;" "&amp;Milestones!$AC$42&amp;";  ","")&amp;IF(AND(EDATE($D15,Milestones!$AA$43)&lt;=AsOfDate,IF($R15=0,$X15,IF(AND($T15&lt;&gt;"",EDATE($D15,Milestones!$AA$43)&gt;=$T15),$W15,IF(AND($S15&lt;&gt;"",EDATE($D15,Milestones!$AA$43)&gt;=$S15),$V15,$U15)))=Milestones!$AB$43),UPPER(TEXT(EDATE($D15,Milestones!$AA$43),"dd mmm yy"))&amp;" "&amp;Milestones!$AB$43&amp;" "&amp;Milestones!$AC$43&amp;";  ","")&amp;IF(AND(EDATE($D15,Milestones!$AA$44)&lt;=AsOfDate,IF($R15=0,$X15,IF(AND($T15&lt;&gt;"",EDATE($D15,Milestones!$AA$44)&gt;=$T15),$W15,IF(AND($S15&lt;&gt;"",EDATE($D15,Milestones!$AA$44)&gt;=$S15),$V15,$U15)))=Milestones!$AB$44),UPPER(TEXT(EDATE($D15,Milestones!$AA$44),"dd mmm yy"))&amp;" "&amp;Milestones!$AB$44&amp;" "&amp;Milestones!$AC$44&amp;";  ","")&amp;IF(AND(EDATE($D15,Milestones!$AA$45)&lt;=AsOfDate,IF($R15=0,$X15,IF(AND($T15&lt;&gt;"",EDATE($D15,Milestones!$AA$45)&gt;=$T15),$W15,IF(AND($S15&lt;&gt;"",EDATE($D15,Milestones!$AA$45)&gt;=$S15),$V15,$U15)))=Milestones!$AB$45),UPPER(TEXT(EDATE($D15,Milestones!$AA$45),"dd mmm yy"))&amp;" "&amp;Milestones!$AB$45&amp;" "&amp;Milestones!$AC$45&amp;";  ","")&amp;IF(AND(EDATE($D15,Milestones!$AA$46)&lt;=AsOfDate,IF($R15=0,$X15,IF(AND($T15&lt;&gt;"",EDATE($D15,Milestones!$AA$46)&gt;=$T15),$W15,IF(AND($S15&lt;&gt;"",EDATE($D15,Milestones!$AA$46)&gt;=$S15),$V15,$U15)))=Milestones!$AB$46),UPPER(TEXT(EDATE($D15,Milestones!$AA$46),"dd mmm yy"))&amp;" "&amp;Milestones!$AB$46&amp;" "&amp;Milestones!$AC$46&amp;";  ","")&amp;IF(AND(EDATE($D15,Milestones!$AA$47)&lt;=AsOfDate,IF($R15=0,$X15,IF(AND($T15&lt;&gt;"",EDATE($D15,Milestones!$AA$47)&gt;=$T15),$W15,IF(AND($S15&lt;&gt;"",EDATE($D15,Milestones!$AA$47)&gt;=$S15),$V15,$U15)))=Milestones!$AB$47),UPPER(TEXT(EDATE($D15,Milestones!$AA$47),"dd mmm yy"))&amp;" "&amp;Milestones!$AB$47&amp;" "&amp;Milestones!$AC$47&amp;";  ","")&amp;IF(AND(EDATE($D15,Milestones!$AA$48)&lt;=AsOfDate,IF($R15=0,$X15,IF(AND($T15&lt;&gt;"",EDATE($D15,Milestones!$AA$48)&gt;=$T15),$W15,IF(AND($S15&lt;&gt;"",EDATE($D15,Milestones!$AA$48)&gt;=$S15),$V15,$U15)))=Milestones!$AB$48),UPPER(TEXT(EDATE($D15,Milestones!$AA$48),"dd mmm yy"))&amp;" "&amp;Milestones!$AB$48&amp;" "&amp;Milestones!$AC$48&amp;";  ","")&amp;IF(AND(EDATE($D15,Milestones!$AA$49)&lt;=AsOfDate,IF($R15=0,$X15,IF(AND($T15&lt;&gt;"",EDATE($D15,Milestones!$AA$49)&gt;=$T15),$W15,IF(AND($S15&lt;&gt;"",EDATE($D15,Milestones!$AA$49)&gt;=$S15),$V15,$U15)))=Milestones!$AB$49),UPPER(TEXT(EDATE($D15,Milestones!$AA$49),"dd mmm yy"))&amp;" "&amp;Milestones!$AB$49&amp;" "&amp;Milestones!$AC$49&amp;";  ","")&amp;IF(AND(EDATE($D15,Milestones!$AA$50)&lt;=AsOfDate,IF($R15=0,$X15,IF(AND($T15&lt;&gt;"",EDATE($D15,Milestones!$AA$50)&gt;=$T15),$W15,IF(AND($S15&lt;&gt;"",EDATE($D15,Milestones!$AA$50)&gt;=$S15),$V15,$U15)))=Milestones!$AB$50),UPPER(TEXT(EDATE($D15,Milestones!$AA$50),"dd mmm yy"))&amp;" "&amp;Milestones!$AB$50&amp;" "&amp;Milestones!$AC$50&amp;";  ","")&amp;IF(AND(EDATE($D15,Milestones!$AA$51)&lt;=AsOfDate,IF($R15=0,$X15,IF(AND($T15&lt;&gt;"",EDATE($D15,Milestones!$AA$51)&gt;=$T15),$W15,IF(AND($S15&lt;&gt;"",EDATE($D15,Milestones!$AA$51)&gt;=$S15),$V15,$U15)))=Milestones!$AB$51),UPPER(TEXT(EDATE($D15,Milestones!$AA$51),"dd mmm yy"))&amp;" "&amp;Milestones!$AB$51&amp;" "&amp;Milestones!$AC$51&amp;";  ","")&amp;IF(AND(EDATE($D15,Milestones!$AA$52)&lt;=AsOfDate,IF($R15=0,$X15,IF(AND($T15&lt;&gt;"",EDATE($D15,Milestones!$AA$52)&gt;=$T15),$W15,IF(AND($S15&lt;&gt;"",EDATE($D15,Milestones!$AA$52)&gt;=$S15),$V15,$U15)))=Milestones!$AB$52),UPPER(TEXT(EDATE($D15,Milestones!$AA$52),"dd mmm yy"))&amp;" "&amp;Milestones!$AB$52&amp;" "&amp;Milestones!$AC$52&amp;";  ","")&amp;IF(AND(EDATE($D15,Milestones!$AA$53)&lt;=AsOfDate,IF($R15=0,$X15,IF(AND($T15&lt;&gt;"",EDATE($D15,Milestones!$AA$53)&gt;=$T15),$W15,IF(AND($S15&lt;&gt;"",EDATE($D15,Milestones!$AA$53)&gt;=$S15),$V15,$U15)))=Milestones!$AB$53),UPPER(TEXT(EDATE($D15,Milestones!$AA$53),"dd mmm yy"))&amp;" "&amp;Milestones!$AB$53&amp;" "&amp;Milestones!$AC$53&amp;";  ","")&amp;IF(AND(EDATE($D15,Milestones!$AA$54)&lt;=AsOfDate,IF($R15=0,$X15,IF(AND($T15&lt;&gt;"",EDATE($D15,Milestones!$AA$54)&gt;=$T15),$W15,IF(AND($S15&lt;&gt;"",EDATE($D15,Milestones!$AA$54)&gt;=$S15),$V15,$U15)))=Milestones!$AB$54),UPPER(TEXT(EDATE($D15,Milestones!$AA$54),"dd mmm yy"))&amp;" "&amp;Milestones!$AB$54&amp;" "&amp;Milestones!$AC$54&amp;";  ","")&amp;IF(AND(EDATE($D15,Milestones!$AA$55)&lt;=AsOfDate,IF($R15=0,$X15,IF(AND($T15&lt;&gt;"",EDATE($D15,Milestones!$AA$55)&gt;=$T15),$W15,IF(AND($S15&lt;&gt;"",EDATE($D15,Milestones!$AA$55)&gt;=$S15),$V15,$U15)))=Milestones!$AB$55),UPPER(TEXT(EDATE($D15,Milestones!$AA$55),"dd mmm yy"))&amp;" "&amp;Milestones!$AB$55&amp;" "&amp;Milestones!$AC$55&amp;";  ","")&amp;IF(AND(EDATE($D15,Milestones!$AA$56)&lt;=AsOfDate,IF($R15=0,$X15,IF(AND($T15&lt;&gt;"",EDATE($D15,Milestones!$AA$56)&gt;=$T15),$W15,IF(AND($S15&lt;&gt;"",EDATE($D15,Milestones!$AA$56)&gt;=$S15),$V15,$U15)))=Milestones!$AB$56),UPPER(TEXT(EDATE($D15,Milestones!$AA$56),"dd mmm yy"))&amp;" "&amp;Milestones!$AB$56&amp;" "&amp;Milestones!$AC$56&amp;";  ","")&amp;IF(AND(EDATE($D15,Milestones!$AA$57)&lt;=AsOfDate,IF($R15=0,$X15,IF(AND($T15&lt;&gt;"",EDATE($D15,Milestones!$AA$57)&gt;=$T15),$W15,IF(AND($S15&lt;&gt;"",EDATE($D15,Milestones!$AA$57)&gt;=$S15),$V15,$U15)))=Milestones!$AB$57),UPPER(TEXT(EDATE($D15,Milestones!$AA$57),"dd mmm yy"))&amp;" "&amp;Milestones!$AB$57&amp;" "&amp;Milestones!$AC$57&amp;";  ","")&amp;IF(AND(EDATE($D15,Milestones!$AA$58)&lt;=AsOfDate,IF($R15=0,$X15,IF(AND($T15&lt;&gt;"",EDATE($D15,Milestones!$AA$58)&gt;=$T15),$W15,IF(AND($S15&lt;&gt;"",EDATE($D15,Milestones!$AA$58)&gt;=$S15),$V15,$U15)))=Milestones!$AB$58),UPPER(TEXT(EDATE($D15,Milestones!$AA$58),"dd mmm yy"))&amp;" "&amp;Milestones!$AB$58&amp;" "&amp;Milestones!$AC$58&amp;";  ","")&amp;IF(AND(EDATE($D15,Milestones!$AA$59)&lt;=AsOfDate,IF($R15=0,$X15,IF(AND($T15&lt;&gt;"",EDATE($D15,Milestones!$AA$59)&gt;=$T15),$W15,IF(AND($S15&lt;&gt;"",EDATE($D15,Milestones!$AA$59)&gt;=$S15),$V15,$U15)))=Milestones!$AB$59),UPPER(TEXT(EDATE($D15,Milestones!$AA$59),"dd mmm yy"))&amp;" "&amp;Milestones!$AB$59&amp;" "&amp;Milestones!$AC$59&amp;";  ",""))</f>
        <v/>
      </c>
      <c r="K15" s="0" t="str">
        <f aca="false">IF(OR($A15="",$D15=""),"",IF(AND(EDATE($D15,Milestones!$AA$60)&lt;=AsOfDate,IF($R15=0,$X15,IF(AND($T15&lt;&gt;"",EDATE($D15,Milestones!$AA$60)&gt;=$T15),$W15,IF(AND($S15&lt;&gt;"",EDATE($D15,Milestones!$AA$60)&gt;=$S15),$V15,$U15)))=Milestones!$AB$60),UPPER(TEXT(EDATE($D15,Milestones!$AA$60),"dd mmm yy"))&amp;" "&amp;Milestones!$AB$60&amp;" "&amp;Milestones!$AC$60&amp;";  ","")&amp;IF(AND(EDATE($D15,Milestones!$AA$61)&lt;=AsOfDate,IF($R15=0,$X15,IF(AND($T15&lt;&gt;"",EDATE($D15,Milestones!$AA$61)&gt;=$T15),$W15,IF(AND($S15&lt;&gt;"",EDATE($D15,Milestones!$AA$61)&gt;=$S15),$V15,$U15)))=Milestones!$AB$61),UPPER(TEXT(EDATE($D15,Milestones!$AA$61),"dd mmm yy"))&amp;" "&amp;Milestones!$AB$61&amp;" "&amp;Milestones!$AC$61&amp;";  ","")&amp;IF(AND(EDATE($D15,Milestones!$AA$62)&lt;=AsOfDate,IF($R15=0,$X15,IF(AND($T15&lt;&gt;"",EDATE($D15,Milestones!$AA$62)&gt;=$T15),$W15,IF(AND($S15&lt;&gt;"",EDATE($D15,Milestones!$AA$62)&gt;=$S15),$V15,$U15)))=Milestones!$AB$62),UPPER(TEXT(EDATE($D15,Milestones!$AA$62),"dd mmm yy"))&amp;" "&amp;Milestones!$AB$62&amp;" "&amp;Milestones!$AC$62&amp;";  ","")&amp;IF(AND(EDATE($D15,Milestones!$AA$63)&lt;=AsOfDate,IF($R15=0,$X15,IF(AND($T15&lt;&gt;"",EDATE($D15,Milestones!$AA$63)&gt;=$T15),$W15,IF(AND($S15&lt;&gt;"",EDATE($D15,Milestones!$AA$63)&gt;=$S15),$V15,$U15)))=Milestones!$AB$63),UPPER(TEXT(EDATE($D15,Milestones!$AA$63),"dd mmm yy"))&amp;" "&amp;Milestones!$AB$63&amp;" "&amp;Milestones!$AC$63&amp;";  ","")&amp;IF(AND(EDATE($D15,Milestones!$AA$64)&lt;=AsOfDate,IF($R15=0,$X15,IF(AND($T15&lt;&gt;"",EDATE($D15,Milestones!$AA$64)&gt;=$T15),$W15,IF(AND($S15&lt;&gt;"",EDATE($D15,Milestones!$AA$64)&gt;=$S15),$V15,$U15)))=Milestones!$AB$64),UPPER(TEXT(EDATE($D15,Milestones!$AA$64),"dd mmm yy"))&amp;" "&amp;Milestones!$AB$64&amp;" "&amp;Milestones!$AC$64&amp;";  ","")&amp;IF(AND(EDATE($D15,Milestones!$AA$65)&lt;=AsOfDate,IF($R15=0,$X15,IF(AND($T15&lt;&gt;"",EDATE($D15,Milestones!$AA$65)&gt;=$T15),$W15,IF(AND($S15&lt;&gt;"",EDATE($D15,Milestones!$AA$65)&gt;=$S15),$V15,$U15)))=Milestones!$AB$65),UPPER(TEXT(EDATE($D15,Milestones!$AA$65),"dd mmm yy"))&amp;" "&amp;Milestones!$AB$65&amp;" "&amp;Milestones!$AC$65&amp;";  ","")&amp;IF(AND(EDATE($D15,Milestones!$AA$66)&lt;=AsOfDate,IF($R15=0,$X15,IF(AND($T15&lt;&gt;"",EDATE($D15,Milestones!$AA$66)&gt;=$T15),$W15,IF(AND($S15&lt;&gt;"",EDATE($D15,Milestones!$AA$66)&gt;=$S15),$V15,$U15)))=Milestones!$AB$66),UPPER(TEXT(EDATE($D15,Milestones!$AA$66),"dd mmm yy"))&amp;" "&amp;Milestones!$AB$66&amp;" "&amp;Milestones!$AC$66&amp;";  ","")&amp;IF(AND(EDATE($D15,Milestones!$AA$67)&lt;=AsOfDate,IF($R15=0,$X15,IF(AND($T15&lt;&gt;"",EDATE($D15,Milestones!$AA$67)&gt;=$T15),$W15,IF(AND($S15&lt;&gt;"",EDATE($D15,Milestones!$AA$67)&gt;=$S15),$V15,$U15)))=Milestones!$AB$67),UPPER(TEXT(EDATE($D15,Milestones!$AA$67),"dd mmm yy"))&amp;" "&amp;Milestones!$AB$67&amp;" "&amp;Milestones!$AC$67&amp;";  ","")&amp;IF(AND(EDATE($D15,Milestones!$AA$68)&lt;=AsOfDate,IF($R15=0,$X15,IF(AND($T15&lt;&gt;"",EDATE($D15,Milestones!$AA$68)&gt;=$T15),$W15,IF(AND($S15&lt;&gt;"",EDATE($D15,Milestones!$AA$68)&gt;=$S15),$V15,$U15)))=Milestones!$AB$68),UPPER(TEXT(EDATE($D15,Milestones!$AA$68),"dd mmm yy"))&amp;" "&amp;Milestones!$AB$68&amp;" "&amp;Milestones!$AC$68&amp;";  ","")&amp;IF(AND(EDATE($D15,Milestones!$AA$69)&lt;=AsOfDate,IF($R15=0,$X15,IF(AND($T15&lt;&gt;"",EDATE($D15,Milestones!$AA$69)&gt;=$T15),$W15,IF(AND($S15&lt;&gt;"",EDATE($D15,Milestones!$AA$69)&gt;=$S15),$V15,$U15)))=Milestones!$AB$69),UPPER(TEXT(EDATE($D15,Milestones!$AA$69),"dd mmm yy"))&amp;" "&amp;Milestones!$AB$69&amp;" "&amp;Milestones!$AC$69&amp;";  ","")&amp;IF(AND(EDATE($D15,Milestones!$AA$70)&lt;=AsOfDate,IF($R15=0,$X15,IF(AND($T15&lt;&gt;"",EDATE($D15,Milestones!$AA$70)&gt;=$T15),$W15,IF(AND($S15&lt;&gt;"",EDATE($D15,Milestones!$AA$70)&gt;=$S15),$V15,$U15)))=Milestones!$AB$70),UPPER(TEXT(EDATE($D15,Milestones!$AA$70),"dd mmm yy"))&amp;" "&amp;Milestones!$AB$70&amp;" "&amp;Milestones!$AC$70&amp;";  ","")&amp;IF(AND(EDATE($D15,Milestones!$AA$71)&lt;=AsOfDate,IF($R15=0,$X15,IF(AND($T15&lt;&gt;"",EDATE($D15,Milestones!$AA$71)&gt;=$T15),$W15,IF(AND($S15&lt;&gt;"",EDATE($D15,Milestones!$AA$71)&gt;=$S15),$V15,$U15)))=Milestones!$AB$71),UPPER(TEXT(EDATE($D15,Milestones!$AA$71),"dd mmm yy"))&amp;" "&amp;Milestones!$AB$71&amp;" "&amp;Milestones!$AC$71&amp;";  ","")&amp;IF(AND(EDATE($D15,Milestones!$AA$72)&lt;=AsOfDate,IF($R15=0,$X15,IF(AND($T15&lt;&gt;"",EDATE($D15,Milestones!$AA$72)&gt;=$T15),$W15,IF(AND($S15&lt;&gt;"",EDATE($D15,Milestones!$AA$72)&gt;=$S15),$V15,$U15)))=Milestones!$AB$72),UPPER(TEXT(EDATE($D15,Milestones!$AA$72),"dd mmm yy"))&amp;" "&amp;Milestones!$AB$72&amp;" "&amp;Milestones!$AC$72&amp;";  ","")&amp;IF(AND(EDATE($D15,Milestones!$AA$73)&lt;=AsOfDate,IF($R15=0,$X15,IF(AND($T15&lt;&gt;"",EDATE($D15,Milestones!$AA$73)&gt;=$T15),$W15,IF(AND($S15&lt;&gt;"",EDATE($D15,Milestones!$AA$73)&gt;=$S15),$V15,$U15)))=Milestones!$AB$73),UPPER(TEXT(EDATE($D15,Milestones!$AA$73),"dd mmm yy"))&amp;" "&amp;Milestones!$AB$73&amp;" "&amp;Milestones!$AC$73&amp;";  ","")&amp;IF(AND(EDATE($D15,Milestones!$AA$74)&lt;=AsOfDate,IF($R15=0,$X15,IF(AND($T15&lt;&gt;"",EDATE($D15,Milestones!$AA$74)&gt;=$T15),$W15,IF(AND($S15&lt;&gt;"",EDATE($D15,Milestones!$AA$74)&gt;=$S15),$V15,$U15)))=Milestones!$AB$74),UPPER(TEXT(EDATE($D15,Milestones!$AA$74),"dd mmm yy"))&amp;" "&amp;Milestones!$AB$74&amp;" "&amp;Milestones!$AC$74&amp;";  ","")&amp;IF(AND(EDATE($D15,Milestones!$AA$75)&lt;=AsOfDate,IF($R15=0,$X15,IF(AND($T15&lt;&gt;"",EDATE($D15,Milestones!$AA$75)&gt;=$T15),$W15,IF(AND($S15&lt;&gt;"",EDATE($D15,Milestones!$AA$75)&gt;=$S15),$V15,$U15)))=Milestones!$AB$75),UPPER(TEXT(EDATE($D15,Milestones!$AA$75),"dd mmm yy"))&amp;" "&amp;Milestones!$AB$75&amp;" "&amp;Milestones!$AC$75&amp;";  ","")&amp;IF(AND(EDATE($D15,Milestones!$AA$76)&lt;=AsOfDate,IF($R15=0,$X15,IF(AND($T15&lt;&gt;"",EDATE($D15,Milestones!$AA$76)&gt;=$T15),$W15,IF(AND($S15&lt;&gt;"",EDATE($D15,Milestones!$AA$76)&gt;=$S15),$V15,$U15)))=Milestones!$AB$76),UPPER(TEXT(EDATE($D15,Milestones!$AA$76),"dd mmm yy"))&amp;" "&amp;Milestones!$AB$76&amp;" "&amp;Milestones!$AC$76&amp;";  ","")&amp;IF(AND(EDATE($D15,Milestones!$AA$77)&lt;=AsOfDate,IF($R15=0,$X15,IF(AND($T15&lt;&gt;"",EDATE($D15,Milestones!$AA$77)&gt;=$T15),$W15,IF(AND($S15&lt;&gt;"",EDATE($D15,Milestones!$AA$77)&gt;=$S15),$V15,$U15)))=Milestones!$AB$77),UPPER(TEXT(EDATE($D15,Milestones!$AA$77),"dd mmm yy"))&amp;" "&amp;Milestones!$AB$77&amp;" "&amp;Milestones!$AC$77&amp;";  ","")&amp;IF(AND(EDATE($D15,Milestones!$AA$78)&lt;=AsOfDate,IF($R15=0,$X15,IF(AND($T15&lt;&gt;"",EDATE($D15,Milestones!$AA$78)&gt;=$T15),$W15,IF(AND($S15&lt;&gt;"",EDATE($D15,Milestones!$AA$78)&gt;=$S15),$V15,$U15)))=Milestones!$AB$78),UPPER(TEXT(EDATE($D15,Milestones!$AA$78),"dd mmm yy"))&amp;" "&amp;Milestones!$AB$78&amp;" "&amp;Milestones!$AC$78&amp;";  ","")&amp;IF(AND(EDATE($D15,Milestones!$AA$79)&lt;=AsOfDate,IF($R15=0,$X15,IF(AND($T15&lt;&gt;"",EDATE($D15,Milestones!$AA$79)&gt;=$T15),$W15,IF(AND($S15&lt;&gt;"",EDATE($D15,Milestones!$AA$79)&gt;=$S15),$V15,$U15)))=Milestones!$AB$79),UPPER(TEXT(EDATE($D15,Milestones!$AA$79),"dd mmm yy"))&amp;" "&amp;Milestones!$AB$79&amp;" "&amp;Milestones!$AC$79&amp;";  ",""))</f>
        <v/>
      </c>
      <c r="L15" s="0" t="str">
        <f aca="false">IF(OR($A15="",$D15=""),"",IF(AND(EDATE($D15,Milestones!$AA$80)&lt;=AsOfDate,IF($R15=0,$X15,IF(AND($T15&lt;&gt;"",EDATE($D15,Milestones!$AA$80)&gt;=$T15),$W15,IF(AND($S15&lt;&gt;"",EDATE($D15,Milestones!$AA$80)&gt;=$S15),$V15,$U15)))=Milestones!$AB$80),UPPER(TEXT(EDATE($D15,Milestones!$AA$80),"dd mmm yy"))&amp;" "&amp;Milestones!$AB$80&amp;" "&amp;Milestones!$AC$80&amp;";  ","")&amp;IF(AND(EDATE($D15,Milestones!$AA$81)&lt;=AsOfDate,IF($R15=0,$X15,IF(AND($T15&lt;&gt;"",EDATE($D15,Milestones!$AA$81)&gt;=$T15),$W15,IF(AND($S15&lt;&gt;"",EDATE($D15,Milestones!$AA$81)&gt;=$S15),$V15,$U15)))=Milestones!$AB$81),UPPER(TEXT(EDATE($D15,Milestones!$AA$81),"dd mmm yy"))&amp;" "&amp;Milestones!$AB$81&amp;" "&amp;Milestones!$AC$81&amp;";  ","")&amp;IF(AND(EDATE($D15,Milestones!$AA$82)&lt;=AsOfDate,IF($R15=0,$X15,IF(AND($T15&lt;&gt;"",EDATE($D15,Milestones!$AA$82)&gt;=$T15),$W15,IF(AND($S15&lt;&gt;"",EDATE($D15,Milestones!$AA$82)&gt;=$S15),$V15,$U15)))=Milestones!$AB$82),UPPER(TEXT(EDATE($D15,Milestones!$AA$82),"dd mmm yy"))&amp;" "&amp;Milestones!$AB$82&amp;" "&amp;Milestones!$AC$82&amp;";  ","")&amp;IF(AND(EDATE($D15,Milestones!$AA$83)&lt;=AsOfDate,IF($R15=0,$X15,IF(AND($T15&lt;&gt;"",EDATE($D15,Milestones!$AA$83)&gt;=$T15),$W15,IF(AND($S15&lt;&gt;"",EDATE($D15,Milestones!$AA$83)&gt;=$S15),$V15,$U15)))=Milestones!$AB$83),UPPER(TEXT(EDATE($D15,Milestones!$AA$83),"dd mmm yy"))&amp;" "&amp;Milestones!$AB$83&amp;" "&amp;Milestones!$AC$83&amp;";  ","")&amp;IF(AND(EDATE($D15,Milestones!$AA$84)&lt;=AsOfDate,IF($R15=0,$X15,IF(AND($T15&lt;&gt;"",EDATE($D15,Milestones!$AA$84)&gt;=$T15),$W15,IF(AND($S15&lt;&gt;"",EDATE($D15,Milestones!$AA$84)&gt;=$S15),$V15,$U15)))=Milestones!$AB$84),UPPER(TEXT(EDATE($D15,Milestones!$AA$84),"dd mmm yy"))&amp;" "&amp;Milestones!$AB$84&amp;" "&amp;Milestones!$AC$84&amp;";  ","")&amp;IF(AND(EDATE($D15,Milestones!$AA$85)&lt;=AsOfDate,IF($R15=0,$X15,IF(AND($T15&lt;&gt;"",EDATE($D15,Milestones!$AA$85)&gt;=$T15),$W15,IF(AND($S15&lt;&gt;"",EDATE($D15,Milestones!$AA$85)&gt;=$S15),$V15,$U15)))=Milestones!$AB$85),UPPER(TEXT(EDATE($D15,Milestones!$AA$85),"dd mmm yy"))&amp;" "&amp;Milestones!$AB$85&amp;" "&amp;Milestones!$AC$85&amp;";  ","")&amp;IF(AND(EDATE($D15,Milestones!$AA$86)&lt;=AsOfDate,IF($R15=0,$X15,IF(AND($T15&lt;&gt;"",EDATE($D15,Milestones!$AA$86)&gt;=$T15),$W15,IF(AND($S15&lt;&gt;"",EDATE($D15,Milestones!$AA$86)&gt;=$S15),$V15,$U15)))=Milestones!$AB$86),UPPER(TEXT(EDATE($D15,Milestones!$AA$86),"dd mmm yy"))&amp;" "&amp;Milestones!$AB$86&amp;" "&amp;Milestones!$AC$86&amp;";  ","")&amp;IF(AND(EDATE($D15,Milestones!$AA$87)&lt;=AsOfDate,IF($R15=0,$X15,IF(AND($T15&lt;&gt;"",EDATE($D15,Milestones!$AA$87)&gt;=$T15),$W15,IF(AND($S15&lt;&gt;"",EDATE($D15,Milestones!$AA$87)&gt;=$S15),$V15,$U15)))=Milestones!$AB$87),UPPER(TEXT(EDATE($D15,Milestones!$AA$87),"dd mmm yy"))&amp;" "&amp;Milestones!$AB$87&amp;" "&amp;Milestones!$AC$87&amp;";  ","")&amp;IF(AND(EDATE($D15,Milestones!$AA$88)&lt;=AsOfDate,IF($R15=0,$X15,IF(AND($T15&lt;&gt;"",EDATE($D15,Milestones!$AA$88)&gt;=$T15),$W15,IF(AND($S15&lt;&gt;"",EDATE($D15,Milestones!$AA$88)&gt;=$S15),$V15,$U15)))=Milestones!$AB$88),UPPER(TEXT(EDATE($D15,Milestones!$AA$88),"dd mmm yy"))&amp;" "&amp;Milestones!$AB$88&amp;" "&amp;Milestones!$AC$88&amp;";  ","")&amp;IF(AND(EDATE($D15,Milestones!$AA$89)&lt;=AsOfDate,IF($R15=0,$X15,IF(AND($T15&lt;&gt;"",EDATE($D15,Milestones!$AA$89)&gt;=$T15),$W15,IF(AND($S15&lt;&gt;"",EDATE($D15,Milestones!$AA$89)&gt;=$S15),$V15,$U15)))=Milestones!$AB$89),UPPER(TEXT(EDATE($D15,Milestones!$AA$89),"dd mmm yy"))&amp;" "&amp;Milestones!$AB$89&amp;" "&amp;Milestones!$AC$89&amp;";  ","")&amp;IF(AND(EDATE($D15,Milestones!$AA$90)&lt;=AsOfDate,IF($R15=0,$X15,IF(AND($T15&lt;&gt;"",EDATE($D15,Milestones!$AA$90)&gt;=$T15),$W15,IF(AND($S15&lt;&gt;"",EDATE($D15,Milestones!$AA$90)&gt;=$S15),$V15,$U15)))=Milestones!$AB$90),UPPER(TEXT(EDATE($D15,Milestones!$AA$90),"dd mmm yy"))&amp;" "&amp;Milestones!$AB$90&amp;" "&amp;Milestones!$AC$90&amp;";  ","")&amp;IF(AND(EDATE($D15,Milestones!$AA$91)&lt;=AsOfDate,IF($R15=0,$X15,IF(AND($T15&lt;&gt;"",EDATE($D15,Milestones!$AA$91)&gt;=$T15),$W15,IF(AND($S15&lt;&gt;"",EDATE($D15,Milestones!$AA$91)&gt;=$S15),$V15,$U15)))=Milestones!$AB$91),UPPER(TEXT(EDATE($D15,Milestones!$AA$91),"dd mmm yy"))&amp;" "&amp;Milestones!$AB$91&amp;" "&amp;Milestones!$AC$91&amp;";  ","")&amp;IF(AND(EDATE($D15,Milestones!$AA$92)&lt;=AsOfDate,IF($R15=0,$X15,IF(AND($T15&lt;&gt;"",EDATE($D15,Milestones!$AA$92)&gt;=$T15),$W15,IF(AND($S15&lt;&gt;"",EDATE($D15,Milestones!$AA$92)&gt;=$S15),$V15,$U15)))=Milestones!$AB$92),UPPER(TEXT(EDATE($D15,Milestones!$AA$92),"dd mmm yy"))&amp;" "&amp;Milestones!$AB$92&amp;" "&amp;Milestones!$AC$92&amp;";  ","")&amp;IF(AND(EDATE($D15,Milestones!$AA$93)&lt;=AsOfDate,IF($R15=0,$X15,IF(AND($T15&lt;&gt;"",EDATE($D15,Milestones!$AA$93)&gt;=$T15),$W15,IF(AND($S15&lt;&gt;"",EDATE($D15,Milestones!$AA$93)&gt;=$S15),$V15,$U15)))=Milestones!$AB$93),UPPER(TEXT(EDATE($D15,Milestones!$AA$93),"dd mmm yy"))&amp;" "&amp;Milestones!$AB$93&amp;" "&amp;Milestones!$AC$93&amp;";  ","")&amp;IF(AND(EDATE($D15,Milestones!$AA$94)&lt;=AsOfDate,IF($R15=0,$X15,IF(AND($T15&lt;&gt;"",EDATE($D15,Milestones!$AA$94)&gt;=$T15),$W15,IF(AND($S15&lt;&gt;"",EDATE($D15,Milestones!$AA$94)&gt;=$S15),$V15,$U15)))=Milestones!$AB$94),UPPER(TEXT(EDATE($D15,Milestones!$AA$94),"dd mmm yy"))&amp;" "&amp;Milestones!$AB$94&amp;" "&amp;Milestones!$AC$94&amp;";  ","")&amp;IF(AND(EDATE($D15,Milestones!$AA$95)&lt;=AsOfDate,IF($R15=0,$X15,IF(AND($T15&lt;&gt;"",EDATE($D15,Milestones!$AA$95)&gt;=$T15),$W15,IF(AND($S15&lt;&gt;"",EDATE($D15,Milestones!$AA$95)&gt;=$S15),$V15,$U15)))=Milestones!$AB$95),UPPER(TEXT(EDATE($D15,Milestones!$AA$95),"dd mmm yy"))&amp;" "&amp;Milestones!$AB$95&amp;" "&amp;Milestones!$AC$95&amp;";  ","")&amp;IF(AND(EDATE($D15,Milestones!$AA$96)&lt;=AsOfDate,IF($R15=0,$X15,IF(AND($T15&lt;&gt;"",EDATE($D15,Milestones!$AA$96)&gt;=$T15),$W15,IF(AND($S15&lt;&gt;"",EDATE($D15,Milestones!$AA$96)&gt;=$S15),$V15,$U15)))=Milestones!$AB$96),UPPER(TEXT(EDATE($D15,Milestones!$AA$96),"dd mmm yy"))&amp;" "&amp;Milestones!$AB$96&amp;" "&amp;Milestones!$AC$96&amp;";  ","")&amp;IF(AND(EDATE($D15,Milestones!$AA$97)&lt;=AsOfDate,IF($R15=0,$X15,IF(AND($T15&lt;&gt;"",EDATE($D15,Milestones!$AA$97)&gt;=$T15),$W15,IF(AND($S15&lt;&gt;"",EDATE($D15,Milestones!$AA$97)&gt;=$S15),$V15,$U15)))=Milestones!$AB$97),UPPER(TEXT(EDATE($D15,Milestones!$AA$97),"dd mmm yy"))&amp;" "&amp;Milestones!$AB$97&amp;" "&amp;Milestones!$AC$97&amp;";  ","")&amp;IF(AND(EDATE($D15,Milestones!$AA$98)&lt;=AsOfDate,IF($R15=0,$X15,IF(AND($T15&lt;&gt;"",EDATE($D15,Milestones!$AA$98)&gt;=$T15),$W15,IF(AND($S15&lt;&gt;"",EDATE($D15,Milestones!$AA$98)&gt;=$S15),$V15,$U15)))=Milestones!$AB$98),UPPER(TEXT(EDATE($D15,Milestones!$AA$98),"dd mmm yy"))&amp;" "&amp;Milestones!$AB$98&amp;" "&amp;Milestones!$AC$98&amp;";  ","")&amp;IF(AND(EDATE($D15,Milestones!$AA$99)&lt;=AsOfDate,IF($R15=0,$X15,IF(AND($T15&lt;&gt;"",EDATE($D15,Milestones!$AA$99)&gt;=$T15),$W15,IF(AND($S15&lt;&gt;"",EDATE($D15,Milestones!$AA$99)&gt;=$S15),$V15,$U15)))=Milestones!$AB$99),UPPER(TEXT(EDATE($D15,Milestones!$AA$99),"dd mmm yy"))&amp;" "&amp;Milestones!$AB$99&amp;" "&amp;Milestones!$AC$99&amp;";  ",""))</f>
        <v/>
      </c>
      <c r="M15" s="0" t="str">
        <f aca="false">IF(OR($A15="",$D15=""),"",IF(AND(EDATE($D15,Milestones!$AA$100)&lt;=AsOfDate,IF($R15=0,$X15,IF(AND($T15&lt;&gt;"",EDATE($D15,Milestones!$AA$100)&gt;=$T15),$W15,IF(AND($S15&lt;&gt;"",EDATE($D15,Milestones!$AA$100)&gt;=$S15),$V15,$U15)))=Milestones!$AB$100),UPPER(TEXT(EDATE($D15,Milestones!$AA$100),"dd mmm yy"))&amp;" "&amp;Milestones!$AB$100&amp;" "&amp;Milestones!$AC$100&amp;";  ","")&amp;IF(AND(EDATE($D15,Milestones!$AA$101)&lt;=AsOfDate,IF($R15=0,$X15,IF(AND($T15&lt;&gt;"",EDATE($D15,Milestones!$AA$101)&gt;=$T15),$W15,IF(AND($S15&lt;&gt;"",EDATE($D15,Milestones!$AA$101)&gt;=$S15),$V15,$U15)))=Milestones!$AB$101),UPPER(TEXT(EDATE($D15,Milestones!$AA$101),"dd mmm yy"))&amp;" "&amp;Milestones!$AB$101&amp;" "&amp;Milestones!$AC$101&amp;";  ","")&amp;IF(AND(EDATE($D15,Milestones!$AA$102)&lt;=AsOfDate,IF($R15=0,$X15,IF(AND($T15&lt;&gt;"",EDATE($D15,Milestones!$AA$102)&gt;=$T15),$W15,IF(AND($S15&lt;&gt;"",EDATE($D15,Milestones!$AA$102)&gt;=$S15),$V15,$U15)))=Milestones!$AB$102),UPPER(TEXT(EDATE($D15,Milestones!$AA$102),"dd mmm yy"))&amp;" "&amp;Milestones!$AB$102&amp;" "&amp;Milestones!$AC$102&amp;";  ","")&amp;IF(AND(EDATE($D15,Milestones!$AA$103)&lt;=AsOfDate,IF($R15=0,$X15,IF(AND($T15&lt;&gt;"",EDATE($D15,Milestones!$AA$103)&gt;=$T15),$W15,IF(AND($S15&lt;&gt;"",EDATE($D15,Milestones!$AA$103)&gt;=$S15),$V15,$U15)))=Milestones!$AB$103),UPPER(TEXT(EDATE($D15,Milestones!$AA$103),"dd mmm yy"))&amp;" "&amp;Milestones!$AB$103&amp;" "&amp;Milestones!$AC$103&amp;";  ","")&amp;IF(AND(EDATE($D15,Milestones!$AA$104)&lt;=AsOfDate,IF($R15=0,$X15,IF(AND($T15&lt;&gt;"",EDATE($D15,Milestones!$AA$104)&gt;=$T15),$W15,IF(AND($S15&lt;&gt;"",EDATE($D15,Milestones!$AA$104)&gt;=$S15),$V15,$U15)))=Milestones!$AB$104),UPPER(TEXT(EDATE($D15,Milestones!$AA$104),"dd mmm yy"))&amp;" "&amp;Milestones!$AB$104&amp;" "&amp;Milestones!$AC$104&amp;";  ","")&amp;IF(AND(EDATE($D15,Milestones!$AA$105)&lt;=AsOfDate,IF($R15=0,$X15,IF(AND($T15&lt;&gt;"",EDATE($D15,Milestones!$AA$105)&gt;=$T15),$W15,IF(AND($S15&lt;&gt;"",EDATE($D15,Milestones!$AA$105)&gt;=$S15),$V15,$U15)))=Milestones!$AB$105),UPPER(TEXT(EDATE($D15,Milestones!$AA$105),"dd mmm yy"))&amp;" "&amp;Milestones!$AB$105&amp;" "&amp;Milestones!$AC$105&amp;";  ","")&amp;IF(AND(EDATE($D15,Milestones!$AA$106)&lt;=AsOfDate,IF($R15=0,$X15,IF(AND($T15&lt;&gt;"",EDATE($D15,Milestones!$AA$106)&gt;=$T15),$W15,IF(AND($S15&lt;&gt;"",EDATE($D15,Milestones!$AA$106)&gt;=$S15),$V15,$U15)))=Milestones!$AB$106),UPPER(TEXT(EDATE($D15,Milestones!$AA$106),"dd mmm yy"))&amp;" "&amp;Milestones!$AB$106&amp;" "&amp;Milestones!$AC$106&amp;";  ","")&amp;IF(AND(EDATE($D15,Milestones!$AA$107)&lt;=AsOfDate,IF($R15=0,$X15,IF(AND($T15&lt;&gt;"",EDATE($D15,Milestones!$AA$107)&gt;=$T15),$W15,IF(AND($S15&lt;&gt;"",EDATE($D15,Milestones!$AA$107)&gt;=$S15),$V15,$U15)))=Milestones!$AB$107),UPPER(TEXT(EDATE($D15,Milestones!$AA$107),"dd mmm yy"))&amp;" "&amp;Milestones!$AB$107&amp;" "&amp;Milestones!$AC$107&amp;";  ","")&amp;IF(AND(EDATE($D15,Milestones!$AA$108)&lt;=AsOfDate,IF($R15=0,$X15,IF(AND($T15&lt;&gt;"",EDATE($D15,Milestones!$AA$108)&gt;=$T15),$W15,IF(AND($S15&lt;&gt;"",EDATE($D15,Milestones!$AA$108)&gt;=$S15),$V15,$U15)))=Milestones!$AB$108),UPPER(TEXT(EDATE($D15,Milestones!$AA$108),"dd mmm yy"))&amp;" "&amp;Milestones!$AB$108&amp;" "&amp;Milestones!$AC$108&amp;";  ","")&amp;IF(AND(EDATE($D15,Milestones!$AA$109)&lt;=AsOfDate,IF($R15=0,$X15,IF(AND($T15&lt;&gt;"",EDATE($D15,Milestones!$AA$109)&gt;=$T15),$W15,IF(AND($S15&lt;&gt;"",EDATE($D15,Milestones!$AA$109)&gt;=$S15),$V15,$U15)))=Milestones!$AB$109),UPPER(TEXT(EDATE($D15,Milestones!$AA$109),"dd mmm yy"))&amp;" "&amp;Milestones!$AB$109&amp;" "&amp;Milestones!$AC$109&amp;";  ","")&amp;IF(AND(EDATE($D15,Milestones!$AA$110)&lt;=AsOfDate,IF($R15=0,$X15,IF(AND($T15&lt;&gt;"",EDATE($D15,Milestones!$AA$110)&gt;=$T15),$W15,IF(AND($S15&lt;&gt;"",EDATE($D15,Milestones!$AA$110)&gt;=$S15),$V15,$U15)))=Milestones!$AB$110),UPPER(TEXT(EDATE($D15,Milestones!$AA$110),"dd mmm yy"))&amp;" "&amp;Milestones!$AB$110&amp;" "&amp;Milestones!$AC$110&amp;";  ","")&amp;IF(AND(EDATE($D15,Milestones!$AA$111)&lt;=AsOfDate,IF($R15=0,$X15,IF(AND($T15&lt;&gt;"",EDATE($D15,Milestones!$AA$111)&gt;=$T15),$W15,IF(AND($S15&lt;&gt;"",EDATE($D15,Milestones!$AA$111)&gt;=$S15),$V15,$U15)))=Milestones!$AB$111),UPPER(TEXT(EDATE($D15,Milestones!$AA$111),"dd mmm yy"))&amp;" "&amp;Milestones!$AB$111&amp;" "&amp;Milestones!$AC$111&amp;";  ","")&amp;IF(AND(EDATE($D15,Milestones!$AA$112)&lt;=AsOfDate,IF($R15=0,$X15,IF(AND($T15&lt;&gt;"",EDATE($D15,Milestones!$AA$112)&gt;=$T15),$W15,IF(AND($S15&lt;&gt;"",EDATE($D15,Milestones!$AA$112)&gt;=$S15),$V15,$U15)))=Milestones!$AB$112),UPPER(TEXT(EDATE($D15,Milestones!$AA$112),"dd mmm yy"))&amp;" "&amp;Milestones!$AB$112&amp;" "&amp;Milestones!$AC$112&amp;";  ","")&amp;IF(AND(EDATE($D15,Milestones!$AA$113)&lt;=AsOfDate,IF($R15=0,$X15,IF(AND($T15&lt;&gt;"",EDATE($D15,Milestones!$AA$113)&gt;=$T15),$W15,IF(AND($S15&lt;&gt;"",EDATE($D15,Milestones!$AA$113)&gt;=$S15),$V15,$U15)))=Milestones!$AB$113),UPPER(TEXT(EDATE($D15,Milestones!$AA$113),"dd mmm yy"))&amp;" "&amp;Milestones!$AB$113&amp;" "&amp;Milestones!$AC$113&amp;";  ","")&amp;IF(AND(EDATE($D15,Milestones!$AA$114)&lt;=AsOfDate,IF($R15=0,$X15,IF(AND($T15&lt;&gt;"",EDATE($D15,Milestones!$AA$114)&gt;=$T15),$W15,IF(AND($S15&lt;&gt;"",EDATE($D15,Milestones!$AA$114)&gt;=$S15),$V15,$U15)))=Milestones!$AB$114),UPPER(TEXT(EDATE($D15,Milestones!$AA$114),"dd mmm yy"))&amp;" "&amp;Milestones!$AB$114&amp;" "&amp;Milestones!$AC$114&amp;";  ","")&amp;IF(AND(EDATE($D15,Milestones!$AA$115)&lt;=AsOfDate,IF($R15=0,$X15,IF(AND($T15&lt;&gt;"",EDATE($D15,Milestones!$AA$115)&gt;=$T15),$W15,IF(AND($S15&lt;&gt;"",EDATE($D15,Milestones!$AA$115)&gt;=$S15),$V15,$U15)))=Milestones!$AB$115),UPPER(TEXT(EDATE($D15,Milestones!$AA$115),"dd mmm yy"))&amp;" "&amp;Milestones!$AB$115&amp;" "&amp;Milestones!$AC$115&amp;";  ","")&amp;IF(AND(EDATE($D15,Milestones!$AA$116)&lt;=AsOfDate,IF($R15=0,$X15,IF(AND($T15&lt;&gt;"",EDATE($D15,Milestones!$AA$116)&gt;=$T15),$W15,IF(AND($S15&lt;&gt;"",EDATE($D15,Milestones!$AA$116)&gt;=$S15),$V15,$U15)))=Milestones!$AB$116),UPPER(TEXT(EDATE($D15,Milestones!$AA$116),"dd mmm yy"))&amp;" "&amp;Milestones!$AB$116&amp;" "&amp;Milestones!$AC$116&amp;";  ","")&amp;IF(AND(EDATE($D15,Milestones!$AA$117)&lt;=AsOfDate,IF($R15=0,$X15,IF(AND($T15&lt;&gt;"",EDATE($D15,Milestones!$AA$117)&gt;=$T15),$W15,IF(AND($S15&lt;&gt;"",EDATE($D15,Milestones!$AA$117)&gt;=$S15),$V15,$U15)))=Milestones!$AB$117),UPPER(TEXT(EDATE($D15,Milestones!$AA$117),"dd mmm yy"))&amp;" "&amp;Milestones!$AB$117&amp;" "&amp;Milestones!$AC$117&amp;";  ","")&amp;IF(AND(EDATE($D15,Milestones!$AA$118)&lt;=AsOfDate,IF($R15=0,$X15,IF(AND($T15&lt;&gt;"",EDATE($D15,Milestones!$AA$118)&gt;=$T15),$W15,IF(AND($S15&lt;&gt;"",EDATE($D15,Milestones!$AA$118)&gt;=$S15),$V15,$U15)))=Milestones!$AB$118),UPPER(TEXT(EDATE($D15,Milestones!$AA$118),"dd mmm yy"))&amp;" "&amp;Milestones!$AB$118&amp;" "&amp;Milestones!$AC$118&amp;";  ","")&amp;IF(AND(EDATE($D15,Milestones!$AA$119)&lt;=AsOfDate,IF($R15=0,$X15,IF(AND($T15&lt;&gt;"",EDATE($D15,Milestones!$AA$119)&gt;=$T15),$W15,IF(AND($S15&lt;&gt;"",EDATE($D15,Milestones!$AA$119)&gt;=$S15),$V15,$U15)))=Milestones!$AB$119),UPPER(TEXT(EDATE($D15,Milestones!$AA$119),"dd mmm yy"))&amp;" "&amp;Milestones!$AB$119&amp;" "&amp;Milestones!$AC$119&amp;";  ",""))</f>
        <v/>
      </c>
      <c r="N15" s="0" t="str">
        <f aca="false">IF(OR($A15="",$D15=""),"",IF(AND(EDATE($D15,Milestones!$AA$120)&lt;=AsOfDate,IF($R15=0,$X15,IF(AND($T15&lt;&gt;"",EDATE($D15,Milestones!$AA$120)&gt;=$T15),$W15,IF(AND($S15&lt;&gt;"",EDATE($D15,Milestones!$AA$120)&gt;=$S15),$V15,$U15)))=Milestones!$AB$120),UPPER(TEXT(EDATE($D15,Milestones!$AA$120),"dd mmm yy"))&amp;" "&amp;Milestones!$AB$120&amp;" "&amp;Milestones!$AC$120&amp;";  ","")&amp;IF(AND(EDATE($D15,Milestones!$AA$121)&lt;=AsOfDate,IF($R15=0,$X15,IF(AND($T15&lt;&gt;"",EDATE($D15,Milestones!$AA$121)&gt;=$T15),$W15,IF(AND($S15&lt;&gt;"",EDATE($D15,Milestones!$AA$121)&gt;=$S15),$V15,$U15)))=Milestones!$AB$121),UPPER(TEXT(EDATE($D15,Milestones!$AA$121),"dd mmm yy"))&amp;" "&amp;Milestones!$AB$121&amp;" "&amp;Milestones!$AC$121&amp;";  ","")&amp;IF(AND(EDATE($D15,Milestones!$AA$122)&lt;=AsOfDate,IF($R15=0,$X15,IF(AND($T15&lt;&gt;"",EDATE($D15,Milestones!$AA$122)&gt;=$T15),$W15,IF(AND($S15&lt;&gt;"",EDATE($D15,Milestones!$AA$122)&gt;=$S15),$V15,$U15)))=Milestones!$AB$122),UPPER(TEXT(EDATE($D15,Milestones!$AA$122),"dd mmm yy"))&amp;" "&amp;Milestones!$AB$122&amp;" "&amp;Milestones!$AC$122&amp;";  ","")&amp;IF(AND(EDATE($D15,Milestones!$AA$123)&lt;=AsOfDate,IF($R15=0,$X15,IF(AND($T15&lt;&gt;"",EDATE($D15,Milestones!$AA$123)&gt;=$T15),$W15,IF(AND($S15&lt;&gt;"",EDATE($D15,Milestones!$AA$123)&gt;=$S15),$V15,$U15)))=Milestones!$AB$123),UPPER(TEXT(EDATE($D15,Milestones!$AA$123),"dd mmm yy"))&amp;" "&amp;Milestones!$AB$123&amp;" "&amp;Milestones!$AC$123&amp;";  ","")&amp;IF(AND(EDATE($D15,Milestones!$AA$124)&lt;=AsOfDate,IF($R15=0,$X15,IF(AND($T15&lt;&gt;"",EDATE($D15,Milestones!$AA$124)&gt;=$T15),$W15,IF(AND($S15&lt;&gt;"",EDATE($D15,Milestones!$AA$124)&gt;=$S15),$V15,$U15)))=Milestones!$AB$124),UPPER(TEXT(EDATE($D15,Milestones!$AA$124),"dd mmm yy"))&amp;" "&amp;Milestones!$AB$124&amp;" "&amp;Milestones!$AC$124&amp;";  ","")&amp;IF(AND(EDATE($D15,Milestones!$AA$125)&lt;=AsOfDate,IF($R15=0,$X15,IF(AND($T15&lt;&gt;"",EDATE($D15,Milestones!$AA$125)&gt;=$T15),$W15,IF(AND($S15&lt;&gt;"",EDATE($D15,Milestones!$AA$125)&gt;=$S15),$V15,$U15)))=Milestones!$AB$125),UPPER(TEXT(EDATE($D15,Milestones!$AA$125),"dd mmm yy"))&amp;" "&amp;Milestones!$AB$125&amp;" "&amp;Milestones!$AC$125&amp;";  ","")&amp;IF(AND(EDATE($D15,Milestones!$AA$126)&lt;=AsOfDate,IF($R15=0,$X15,IF(AND($T15&lt;&gt;"",EDATE($D15,Milestones!$AA$126)&gt;=$T15),$W15,IF(AND($S15&lt;&gt;"",EDATE($D15,Milestones!$AA$126)&gt;=$S15),$V15,$U15)))=Milestones!$AB$126),UPPER(TEXT(EDATE($D15,Milestones!$AA$126),"dd mmm yy"))&amp;" "&amp;Milestones!$AB$126&amp;" "&amp;Milestones!$AC$126&amp;";  ","")&amp;IF(AND(EDATE($D15,Milestones!$AA$127)&lt;=AsOfDate,IF($R15=0,$X15,IF(AND($T15&lt;&gt;"",EDATE($D15,Milestones!$AA$127)&gt;=$T15),$W15,IF(AND($S15&lt;&gt;"",EDATE($D15,Milestones!$AA$127)&gt;=$S15),$V15,$U15)))=Milestones!$AB$127),UPPER(TEXT(EDATE($D15,Milestones!$AA$127),"dd mmm yy"))&amp;" "&amp;Milestones!$AB$127&amp;" "&amp;Milestones!$AC$127&amp;";  ","")&amp;IF(AND(EDATE($D15,Milestones!$AA$128)&lt;=AsOfDate,IF($R15=0,$X15,IF(AND($T15&lt;&gt;"",EDATE($D15,Milestones!$AA$128)&gt;=$T15),$W15,IF(AND($S15&lt;&gt;"",EDATE($D15,Milestones!$AA$128)&gt;=$S15),$V15,$U15)))=Milestones!$AB$128),UPPER(TEXT(EDATE($D15,Milestones!$AA$128),"dd mmm yy"))&amp;" "&amp;Milestones!$AB$128&amp;" "&amp;Milestones!$AC$128&amp;";  ","")&amp;IF(AND(EDATE($D15,Milestones!$AA$129)&lt;=AsOfDate,IF($R15=0,$X15,IF(AND($T15&lt;&gt;"",EDATE($D15,Milestones!$AA$129)&gt;=$T15),$W15,IF(AND($S15&lt;&gt;"",EDATE($D15,Milestones!$AA$129)&gt;=$S15),$V15,$U15)))=Milestones!$AB$129),UPPER(TEXT(EDATE($D15,Milestones!$AA$129),"dd mmm yy"))&amp;" "&amp;Milestones!$AB$129&amp;" "&amp;Milestones!$AC$129&amp;";  ","")&amp;IF(AND(EDATE($D15,Milestones!$AA$130)&lt;=AsOfDate,IF($R15=0,$X15,IF(AND($T15&lt;&gt;"",EDATE($D15,Milestones!$AA$130)&gt;=$T15),$W15,IF(AND($S15&lt;&gt;"",EDATE($D15,Milestones!$AA$130)&gt;=$S15),$V15,$U15)))=Milestones!$AB$130),UPPER(TEXT(EDATE($D15,Milestones!$AA$130),"dd mmm yy"))&amp;" "&amp;Milestones!$AB$130&amp;" "&amp;Milestones!$AC$130&amp;";  ","")&amp;IF(AND(EDATE($D15,Milestones!$AA$131)&lt;=AsOfDate,IF($R15=0,$X15,IF(AND($T15&lt;&gt;"",EDATE($D15,Milestones!$AA$131)&gt;=$T15),$W15,IF(AND($S15&lt;&gt;"",EDATE($D15,Milestones!$AA$131)&gt;=$S15),$V15,$U15)))=Milestones!$AB$131),UPPER(TEXT(EDATE($D15,Milestones!$AA$131),"dd mmm yy"))&amp;" "&amp;Milestones!$AB$131&amp;" "&amp;Milestones!$AC$131&amp;";  ","")&amp;IF(AND(EDATE($D15,Milestones!$AA$132)&lt;=AsOfDate,IF($R15=0,$X15,IF(AND($T15&lt;&gt;"",EDATE($D15,Milestones!$AA$132)&gt;=$T15),$W15,IF(AND($S15&lt;&gt;"",EDATE($D15,Milestones!$AA$132)&gt;=$S15),$V15,$U15)))=Milestones!$AB$132),UPPER(TEXT(EDATE($D15,Milestones!$AA$132),"dd mmm yy"))&amp;" "&amp;Milestones!$AB$132&amp;" "&amp;Milestones!$AC$132&amp;";  ","")&amp;IF(AND(EDATE($D15,Milestones!$AA$133)&lt;=AsOfDate,IF($R15=0,$X15,IF(AND($T15&lt;&gt;"",EDATE($D15,Milestones!$AA$133)&gt;=$T15),$W15,IF(AND($S15&lt;&gt;"",EDATE($D15,Milestones!$AA$133)&gt;=$S15),$V15,$U15)))=Milestones!$AB$133),UPPER(TEXT(EDATE($D15,Milestones!$AA$133),"dd mmm yy"))&amp;" "&amp;Milestones!$AB$133&amp;" "&amp;Milestones!$AC$133&amp;";  ","")&amp;IF(AND(EDATE($D15,Milestones!$AA$134)&lt;=AsOfDate,IF($R15=0,$X15,IF(AND($T15&lt;&gt;"",EDATE($D15,Milestones!$AA$134)&gt;=$T15),$W15,IF(AND($S15&lt;&gt;"",EDATE($D15,Milestones!$AA$134)&gt;=$S15),$V15,$U15)))=Milestones!$AB$134),UPPER(TEXT(EDATE($D15,Milestones!$AA$134),"dd mmm yy"))&amp;" "&amp;Milestones!$AB$134&amp;" "&amp;Milestones!$AC$134&amp;";  ","")&amp;IF(AND(EDATE($D15,Milestones!$AA$135)&lt;=AsOfDate,IF($R15=0,$X15,IF(AND($T15&lt;&gt;"",EDATE($D15,Milestones!$AA$135)&gt;=$T15),$W15,IF(AND($S15&lt;&gt;"",EDATE($D15,Milestones!$AA$135)&gt;=$S15),$V15,$U15)))=Milestones!$AB$135),UPPER(TEXT(EDATE($D15,Milestones!$AA$135),"dd mmm yy"))&amp;" "&amp;Milestones!$AB$135&amp;" "&amp;Milestones!$AC$135&amp;";  ","")&amp;IF(AND(EDATE($D15,Milestones!$AA$136)&lt;=AsOfDate,IF($R15=0,$X15,IF(AND($T15&lt;&gt;"",EDATE($D15,Milestones!$AA$136)&gt;=$T15),$W15,IF(AND($S15&lt;&gt;"",EDATE($D15,Milestones!$AA$136)&gt;=$S15),$V15,$U15)))=Milestones!$AB$136),UPPER(TEXT(EDATE($D15,Milestones!$AA$136),"dd mmm yy"))&amp;" "&amp;Milestones!$AB$136&amp;" "&amp;Milestones!$AC$136&amp;";  ","")&amp;IF(AND(EDATE($D15,Milestones!$AA$137)&lt;=AsOfDate,IF($R15=0,$X15,IF(AND($T15&lt;&gt;"",EDATE($D15,Milestones!$AA$137)&gt;=$T15),$W15,IF(AND($S15&lt;&gt;"",EDATE($D15,Milestones!$AA$137)&gt;=$S15),$V15,$U15)))=Milestones!$AB$137),UPPER(TEXT(EDATE($D15,Milestones!$AA$137),"dd mmm yy"))&amp;" "&amp;Milestones!$AB$137&amp;" "&amp;Milestones!$AC$137&amp;";  ","")&amp;IF(AND(EDATE($D15,Milestones!$AA$138)&lt;=AsOfDate,IF($R15=0,$X15,IF(AND($T15&lt;&gt;"",EDATE($D15,Milestones!$AA$138)&gt;=$T15),$W15,IF(AND($S15&lt;&gt;"",EDATE($D15,Milestones!$AA$138)&gt;=$S15),$V15,$U15)))=Milestones!$AB$138),UPPER(TEXT(EDATE($D15,Milestones!$AA$138),"dd mmm yy"))&amp;" "&amp;Milestones!$AB$138&amp;" "&amp;Milestones!$AC$138&amp;";  ","")&amp;IF(AND(EDATE($D15,Milestones!$AA$139)&lt;=AsOfDate,IF($R15=0,$X15,IF(AND($T15&lt;&gt;"",EDATE($D15,Milestones!$AA$139)&gt;=$T15),$W15,IF(AND($S15&lt;&gt;"",EDATE($D15,Milestones!$AA$139)&gt;=$S15),$V15,$U15)))=Milestones!$AB$139),UPPER(TEXT(EDATE($D15,Milestones!$AA$139),"dd mmm yy"))&amp;" "&amp;Milestones!$AB$139&amp;" "&amp;Milestones!$AC$139&amp;";  ",""))</f>
        <v/>
      </c>
      <c r="O15" s="0" t="str">
        <f aca="false">IF(OR($A15="",$D15=""),"",IF(AND(EDATE($D15,Milestones!$AA$140)&lt;=AsOfDate,IF($R15=0,$X15,IF(AND($T15&lt;&gt;"",EDATE($D15,Milestones!$AA$140)&gt;=$T15),$W15,IF(AND($S15&lt;&gt;"",EDATE($D15,Milestones!$AA$140)&gt;=$S15),$V15,$U15)))=Milestones!$AB$140),UPPER(TEXT(EDATE($D15,Milestones!$AA$140),"dd mmm yy"))&amp;" "&amp;Milestones!$AB$140&amp;" "&amp;Milestones!$AC$140&amp;";  ","")&amp;IF(AND(EDATE($D15,Milestones!$AA$141)&lt;=AsOfDate,IF($R15=0,$X15,IF(AND($T15&lt;&gt;"",EDATE($D15,Milestones!$AA$141)&gt;=$T15),$W15,IF(AND($S15&lt;&gt;"",EDATE($D15,Milestones!$AA$141)&gt;=$S15),$V15,$U15)))=Milestones!$AB$141),UPPER(TEXT(EDATE($D15,Milestones!$AA$141),"dd mmm yy"))&amp;" "&amp;Milestones!$AB$141&amp;" "&amp;Milestones!$AC$141&amp;";  ","")&amp;IF(AND(EDATE($D15,Milestones!$AA$142)&lt;=AsOfDate,IF($R15=0,$X15,IF(AND($T15&lt;&gt;"",EDATE($D15,Milestones!$AA$142)&gt;=$T15),$W15,IF(AND($S15&lt;&gt;"",EDATE($D15,Milestones!$AA$142)&gt;=$S15),$V15,$U15)))=Milestones!$AB$142),UPPER(TEXT(EDATE($D15,Milestones!$AA$142),"dd mmm yy"))&amp;" "&amp;Milestones!$AB$142&amp;" "&amp;Milestones!$AC$142&amp;";  ","")&amp;IF(AND(EDATE($D15,Milestones!$AA$143)&lt;=AsOfDate,IF($R15=0,$X15,IF(AND($T15&lt;&gt;"",EDATE($D15,Milestones!$AA$143)&gt;=$T15),$W15,IF(AND($S15&lt;&gt;"",EDATE($D15,Milestones!$AA$143)&gt;=$S15),$V15,$U15)))=Milestones!$AB$143),UPPER(TEXT(EDATE($D15,Milestones!$AA$143),"dd mmm yy"))&amp;" "&amp;Milestones!$AB$143&amp;" "&amp;Milestones!$AC$143&amp;";  ","")&amp;IF(AND(EDATE($D15,Milestones!$AA$144)&lt;=AsOfDate,IF($R15=0,$X15,IF(AND($T15&lt;&gt;"",EDATE($D15,Milestones!$AA$144)&gt;=$T15),$W15,IF(AND($S15&lt;&gt;"",EDATE($D15,Milestones!$AA$144)&gt;=$S15),$V15,$U15)))=Milestones!$AB$144),UPPER(TEXT(EDATE($D15,Milestones!$AA$144),"dd mmm yy"))&amp;" "&amp;Milestones!$AB$144&amp;" "&amp;Milestones!$AC$144&amp;";  ","")&amp;IF(AND(EDATE($D15,Milestones!$AA$145)&lt;=AsOfDate,IF($R15=0,$X15,IF(AND($T15&lt;&gt;"",EDATE($D15,Milestones!$AA$145)&gt;=$T15),$W15,IF(AND($S15&lt;&gt;"",EDATE($D15,Milestones!$AA$145)&gt;=$S15),$V15,$U15)))=Milestones!$AB$145),UPPER(TEXT(EDATE($D15,Milestones!$AA$145),"dd mmm yy"))&amp;" "&amp;Milestones!$AB$145&amp;" "&amp;Milestones!$AC$145&amp;";  ","")&amp;IF(AND(EDATE($D15,Milestones!$AA$146)&lt;=AsOfDate,IF($R15=0,$X15,IF(AND($T15&lt;&gt;"",EDATE($D15,Milestones!$AA$146)&gt;=$T15),$W15,IF(AND($S15&lt;&gt;"",EDATE($D15,Milestones!$AA$146)&gt;=$S15),$V15,$U15)))=Milestones!$AB$146),UPPER(TEXT(EDATE($D15,Milestones!$AA$146),"dd mmm yy"))&amp;" "&amp;Milestones!$AB$146&amp;" "&amp;Milestones!$AC$146&amp;";  ","")&amp;IF(AND(EDATE($D15,Milestones!$AA$147)&lt;=AsOfDate,IF($R15=0,$X15,IF(AND($T15&lt;&gt;"",EDATE($D15,Milestones!$AA$147)&gt;=$T15),$W15,IF(AND($S15&lt;&gt;"",EDATE($D15,Milestones!$AA$147)&gt;=$S15),$V15,$U15)))=Milestones!$AB$147),UPPER(TEXT(EDATE($D15,Milestones!$AA$147),"dd mmm yy"))&amp;" "&amp;Milestones!$AB$147&amp;" "&amp;Milestones!$AC$147&amp;";  ","")&amp;IF(AND(EDATE($D15,Milestones!$AA$148)&lt;=AsOfDate,IF($R15=0,$X15,IF(AND($T15&lt;&gt;"",EDATE($D15,Milestones!$AA$148)&gt;=$T15),$W15,IF(AND($S15&lt;&gt;"",EDATE($D15,Milestones!$AA$148)&gt;=$S15),$V15,$U15)))=Milestones!$AB$148),UPPER(TEXT(EDATE($D15,Milestones!$AA$148),"dd mmm yy"))&amp;" "&amp;Milestones!$AB$148&amp;" "&amp;Milestones!$AC$148&amp;";  ","")&amp;IF(AND(EDATE($D15,Milestones!$AA$149)&lt;=AsOfDate,IF($R15=0,$X15,IF(AND($T15&lt;&gt;"",EDATE($D15,Milestones!$AA$149)&gt;=$T15),$W15,IF(AND($S15&lt;&gt;"",EDATE($D15,Milestones!$AA$149)&gt;=$S15),$V15,$U15)))=Milestones!$AB$149),UPPER(TEXT(EDATE($D15,Milestones!$AA$149),"dd mmm yy"))&amp;" "&amp;Milestones!$AB$149&amp;" "&amp;Milestones!$AC$149&amp;";  ","")&amp;IF(AND(EDATE($D15,Milestones!$AA$150)&lt;=AsOfDate,IF($R15=0,$X15,IF(AND($T15&lt;&gt;"",EDATE($D15,Milestones!$AA$150)&gt;=$T15),$W15,IF(AND($S15&lt;&gt;"",EDATE($D15,Milestones!$AA$150)&gt;=$S15),$V15,$U15)))=Milestones!$AB$150),UPPER(TEXT(EDATE($D15,Milestones!$AA$150),"dd mmm yy"))&amp;" "&amp;Milestones!$AB$150&amp;" "&amp;Milestones!$AC$150&amp;";  ","")&amp;IF(AND(EDATE($D15,Milestones!$AA$151)&lt;=AsOfDate,IF($R15=0,$X15,IF(AND($T15&lt;&gt;"",EDATE($D15,Milestones!$AA$151)&gt;=$T15),$W15,IF(AND($S15&lt;&gt;"",EDATE($D15,Milestones!$AA$151)&gt;=$S15),$V15,$U15)))=Milestones!$AB$151),UPPER(TEXT(EDATE($D15,Milestones!$AA$151),"dd mmm yy"))&amp;" "&amp;Milestones!$AB$151&amp;" "&amp;Milestones!$AC$151&amp;";  ","")&amp;IF(AND(EDATE($D15,Milestones!$AA$152)&lt;=AsOfDate,IF($R15=0,$X15,IF(AND($T15&lt;&gt;"",EDATE($D15,Milestones!$AA$152)&gt;=$T15),$W15,IF(AND($S15&lt;&gt;"",EDATE($D15,Milestones!$AA$152)&gt;=$S15),$V15,$U15)))=Milestones!$AB$152),UPPER(TEXT(EDATE($D15,Milestones!$AA$152),"dd mmm yy"))&amp;" "&amp;Milestones!$AB$152&amp;" "&amp;Milestones!$AC$152&amp;";  ","")&amp;IF(AND(EDATE($D15,Milestones!$AA$153)&lt;=AsOfDate,IF($R15=0,$X15,IF(AND($T15&lt;&gt;"",EDATE($D15,Milestones!$AA$153)&gt;=$T15),$W15,IF(AND($S15&lt;&gt;"",EDATE($D15,Milestones!$AA$153)&gt;=$S15),$V15,$U15)))=Milestones!$AB$153),UPPER(TEXT(EDATE($D15,Milestones!$AA$153),"dd mmm yy"))&amp;" "&amp;Milestones!$AB$153&amp;" "&amp;Milestones!$AC$153&amp;";  ","")&amp;IF(AND(EDATE($D15,Milestones!$AA$154)&lt;=AsOfDate,IF($R15=0,$X15,IF(AND($T15&lt;&gt;"",EDATE($D15,Milestones!$AA$154)&gt;=$T15),$W15,IF(AND($S15&lt;&gt;"",EDATE($D15,Milestones!$AA$154)&gt;=$S15),$V15,$U15)))=Milestones!$AB$154),UPPER(TEXT(EDATE($D15,Milestones!$AA$154),"dd mmm yy"))&amp;" "&amp;Milestones!$AB$154&amp;" "&amp;Milestones!$AC$154&amp;";  ","")&amp;IF(AND(EDATE($D15,Milestones!$AA$155)&lt;=AsOfDate,IF($R15=0,$X15,IF(AND($T15&lt;&gt;"",EDATE($D15,Milestones!$AA$155)&gt;=$T15),$W15,IF(AND($S15&lt;&gt;"",EDATE($D15,Milestones!$AA$155)&gt;=$S15),$V15,$U15)))=Milestones!$AB$155),UPPER(TEXT(EDATE($D15,Milestones!$AA$155),"dd mmm yy"))&amp;" "&amp;Milestones!$AB$155&amp;" "&amp;Milestones!$AC$155&amp;";  ","")&amp;IF(AND(EDATE($D15,Milestones!$AA$156)&lt;=AsOfDate,IF($R15=0,$X15,IF(AND($T15&lt;&gt;"",EDATE($D15,Milestones!$AA$156)&gt;=$T15),$W15,IF(AND($S15&lt;&gt;"",EDATE($D15,Milestones!$AA$156)&gt;=$S15),$V15,$U15)))=Milestones!$AB$156),UPPER(TEXT(EDATE($D15,Milestones!$AA$156),"dd mmm yy"))&amp;" "&amp;Milestones!$AB$156&amp;" "&amp;Milestones!$AC$156&amp;";  ","")&amp;IF(AND(EDATE($D15,Milestones!$AA$157)&lt;=AsOfDate,IF($R15=0,$X15,IF(AND($T15&lt;&gt;"",EDATE($D15,Milestones!$AA$157)&gt;=$T15),$W15,IF(AND($S15&lt;&gt;"",EDATE($D15,Milestones!$AA$157)&gt;=$S15),$V15,$U15)))=Milestones!$AB$157),UPPER(TEXT(EDATE($D15,Milestones!$AA$157),"dd mmm yy"))&amp;" "&amp;Milestones!$AB$157&amp;" "&amp;Milestones!$AC$157&amp;";  ","")&amp;IF(AND(EDATE($D15,Milestones!$AA$158)&lt;=AsOfDate,IF($R15=0,$X15,IF(AND($T15&lt;&gt;"",EDATE($D15,Milestones!$AA$158)&gt;=$T15),$W15,IF(AND($S15&lt;&gt;"",EDATE($D15,Milestones!$AA$158)&gt;=$S15),$V15,$U15)))=Milestones!$AB$158),UPPER(TEXT(EDATE($D15,Milestones!$AA$158),"dd mmm yy"))&amp;" "&amp;Milestones!$AB$158&amp;" "&amp;Milestones!$AC$158&amp;";  ","")&amp;IF(AND(EDATE($D15,Milestones!$AA$159)&lt;=AsOfDate,IF($R15=0,$X15,IF(AND($T15&lt;&gt;"",EDATE($D15,Milestones!$AA$159)&gt;=$T15),$W15,IF(AND($S15&lt;&gt;"",EDATE($D15,Milestones!$AA$159)&gt;=$S15),$V15,$U15)))=Milestones!$AB$159),UPPER(TEXT(EDATE($D15,Milestones!$AA$159),"dd mmm yy"))&amp;" "&amp;Milestones!$AB$159&amp;" "&amp;Milestones!$AC$159&amp;";  ",""))</f>
        <v/>
      </c>
      <c r="P15" s="0" t="str">
        <f aca="false">IF(OR($A15="",$D15=""),"",IF(AND(EDATE($D15,Milestones!$AA$160)&lt;=AsOfDate,IF($R15=0,$X15,IF(AND($T15&lt;&gt;"",EDATE($D15,Milestones!$AA$160)&gt;=$T15),$W15,IF(AND($S15&lt;&gt;"",EDATE($D15,Milestones!$AA$160)&gt;=$S15),$V15,$U15)))=Milestones!$AB$160),UPPER(TEXT(EDATE($D15,Milestones!$AA$160),"dd mmm yy"))&amp;" "&amp;Milestones!$AB$160&amp;" "&amp;Milestones!$AC$160&amp;";  ","")&amp;IF(AND(EDATE($D15,Milestones!$AA$161)&lt;=AsOfDate,IF($R15=0,$X15,IF(AND($T15&lt;&gt;"",EDATE($D15,Milestones!$AA$161)&gt;=$T15),$W15,IF(AND($S15&lt;&gt;"",EDATE($D15,Milestones!$AA$161)&gt;=$S15),$V15,$U15)))=Milestones!$AB$161),UPPER(TEXT(EDATE($D15,Milestones!$AA$161),"dd mmm yy"))&amp;" "&amp;Milestones!$AB$161&amp;" "&amp;Milestones!$AC$161&amp;";  ","")&amp;IF(AND(EDATE($D15,Milestones!$AA$162)&lt;=AsOfDate,IF($R15=0,$X15,IF(AND($T15&lt;&gt;"",EDATE($D15,Milestones!$AA$162)&gt;=$T15),$W15,IF(AND($S15&lt;&gt;"",EDATE($D15,Milestones!$AA$162)&gt;=$S15),$V15,$U15)))=Milestones!$AB$162),UPPER(TEXT(EDATE($D15,Milestones!$AA$162),"dd mmm yy"))&amp;" "&amp;Milestones!$AB$162&amp;" "&amp;Milestones!$AC$162&amp;";  ","")&amp;IF(AND(EDATE($D15,Milestones!$AA$163)&lt;=AsOfDate,IF($R15=0,$X15,IF(AND($T15&lt;&gt;"",EDATE($D15,Milestones!$AA$163)&gt;=$T15),$W15,IF(AND($S15&lt;&gt;"",EDATE($D15,Milestones!$AA$163)&gt;=$S15),$V15,$U15)))=Milestones!$AB$163),UPPER(TEXT(EDATE($D15,Milestones!$AA$163),"dd mmm yy"))&amp;" "&amp;Milestones!$AB$163&amp;" "&amp;Milestones!$AC$163&amp;";  ","")&amp;IF(AND(EDATE($D15,Milestones!$AA$164)&lt;=AsOfDate,IF($R15=0,$X15,IF(AND($T15&lt;&gt;"",EDATE($D15,Milestones!$AA$164)&gt;=$T15),$W15,IF(AND($S15&lt;&gt;"",EDATE($D15,Milestones!$AA$164)&gt;=$S15),$V15,$U15)))=Milestones!$AB$164),UPPER(TEXT(EDATE($D15,Milestones!$AA$164),"dd mmm yy"))&amp;" "&amp;Milestones!$AB$164&amp;" "&amp;Milestones!$AC$164&amp;";  ","")&amp;IF(AND(EDATE($D15,Milestones!$AA$165)&lt;=AsOfDate,IF($R15=0,$X15,IF(AND($T15&lt;&gt;"",EDATE($D15,Milestones!$AA$165)&gt;=$T15),$W15,IF(AND($S15&lt;&gt;"",EDATE($D15,Milestones!$AA$165)&gt;=$S15),$V15,$U15)))=Milestones!$AB$165),UPPER(TEXT(EDATE($D15,Milestones!$AA$165),"dd mmm yy"))&amp;" "&amp;Milestones!$AB$165&amp;" "&amp;Milestones!$AC$165&amp;";  ","")&amp;IF(AND(EDATE($D15,Milestones!$AA$166)&lt;=AsOfDate,IF($R15=0,$X15,IF(AND($T15&lt;&gt;"",EDATE($D15,Milestones!$AA$166)&gt;=$T15),$W15,IF(AND($S15&lt;&gt;"",EDATE($D15,Milestones!$AA$166)&gt;=$S15),$V15,$U15)))=Milestones!$AB$166),UPPER(TEXT(EDATE($D15,Milestones!$AA$166),"dd mmm yy"))&amp;" "&amp;Milestones!$AB$166&amp;" "&amp;Milestones!$AC$166&amp;";  ","")&amp;IF(AND(EDATE($D15,Milestones!$AA$167)&lt;=AsOfDate,IF($R15=0,$X15,IF(AND($T15&lt;&gt;"",EDATE($D15,Milestones!$AA$167)&gt;=$T15),$W15,IF(AND($S15&lt;&gt;"",EDATE($D15,Milestones!$AA$167)&gt;=$S15),$V15,$U15)))=Milestones!$AB$167),UPPER(TEXT(EDATE($D15,Milestones!$AA$167),"dd mmm yy"))&amp;" "&amp;Milestones!$AB$167&amp;" "&amp;Milestones!$AC$167&amp;";  ","")&amp;IF(AND(EDATE($D15,Milestones!$AA$168)&lt;=AsOfDate,IF($R15=0,$X15,IF(AND($T15&lt;&gt;"",EDATE($D15,Milestones!$AA$168)&gt;=$T15),$W15,IF(AND($S15&lt;&gt;"",EDATE($D15,Milestones!$AA$168)&gt;=$S15),$V15,$U15)))=Milestones!$AB$168),UPPER(TEXT(EDATE($D15,Milestones!$AA$168),"dd mmm yy"))&amp;" "&amp;Milestones!$AB$168&amp;" "&amp;Milestones!$AC$168&amp;";  ","")&amp;IF(AND(EDATE($D15,Milestones!$AA$169)&lt;=AsOfDate,IF($R15=0,$X15,IF(AND($T15&lt;&gt;"",EDATE($D15,Milestones!$AA$169)&gt;=$T15),$W15,IF(AND($S15&lt;&gt;"",EDATE($D15,Milestones!$AA$169)&gt;=$S15),$V15,$U15)))=Milestones!$AB$169),UPPER(TEXT(EDATE($D15,Milestones!$AA$169),"dd mmm yy"))&amp;" "&amp;Milestones!$AB$169&amp;" "&amp;Milestones!$AC$169&amp;";  ","")&amp;IF(AND(EDATE($D15,Milestones!$AA$170)&lt;=AsOfDate,IF($R15=0,$X15,IF(AND($T15&lt;&gt;"",EDATE($D15,Milestones!$AA$170)&gt;=$T15),$W15,IF(AND($S15&lt;&gt;"",EDATE($D15,Milestones!$AA$170)&gt;=$S15),$V15,$U15)))=Milestones!$AB$170),UPPER(TEXT(EDATE($D15,Milestones!$AA$170),"dd mmm yy"))&amp;" "&amp;Milestones!$AB$170&amp;" "&amp;Milestones!$AC$170&amp;";  ","")&amp;IF(AND(EDATE($D15,Milestones!$AA$171)&lt;=AsOfDate,IF($R15=0,$X15,IF(AND($T15&lt;&gt;"",EDATE($D15,Milestones!$AA$171)&gt;=$T15),$W15,IF(AND($S15&lt;&gt;"",EDATE($D15,Milestones!$AA$171)&gt;=$S15),$V15,$U15)))=Milestones!$AB$171),UPPER(TEXT(EDATE($D15,Milestones!$AA$171),"dd mmm yy"))&amp;" "&amp;Milestones!$AB$171&amp;" "&amp;Milestones!$AC$171&amp;";  ","")&amp;IF(AND(EDATE($D15,Milestones!$AA$172)&lt;=AsOfDate,IF($R15=0,$X15,IF(AND($T15&lt;&gt;"",EDATE($D15,Milestones!$AA$172)&gt;=$T15),$W15,IF(AND($S15&lt;&gt;"",EDATE($D15,Milestones!$AA$172)&gt;=$S15),$V15,$U15)))=Milestones!$AB$172),UPPER(TEXT(EDATE($D15,Milestones!$AA$172),"dd mmm yy"))&amp;" "&amp;Milestones!$AB$172&amp;" "&amp;Milestones!$AC$172&amp;";  ","")&amp;IF(AND(EDATE($D15,Milestones!$AA$173)&lt;=AsOfDate,IF($R15=0,$X15,IF(AND($T15&lt;&gt;"",EDATE($D15,Milestones!$AA$173)&gt;=$T15),$W15,IF(AND($S15&lt;&gt;"",EDATE($D15,Milestones!$AA$173)&gt;=$S15),$V15,$U15)))=Milestones!$AB$173),UPPER(TEXT(EDATE($D15,Milestones!$AA$173),"dd mmm yy"))&amp;" "&amp;Milestones!$AB$173&amp;" "&amp;Milestones!$AC$173&amp;";  ","")&amp;IF(AND(EDATE($D15,Milestones!$AA$174)&lt;=AsOfDate,IF($R15=0,$X15,IF(AND($T15&lt;&gt;"",EDATE($D15,Milestones!$AA$174)&gt;=$T15),$W15,IF(AND($S15&lt;&gt;"",EDATE($D15,Milestones!$AA$174)&gt;=$S15),$V15,$U15)))=Milestones!$AB$174),UPPER(TEXT(EDATE($D15,Milestones!$AA$174),"dd mmm yy"))&amp;" "&amp;Milestones!$AB$174&amp;" "&amp;Milestones!$AC$174&amp;";  ","")&amp;IF(AND(EDATE($D15,Milestones!$AA$175)&lt;=AsOfDate,IF($R15=0,$X15,IF(AND($T15&lt;&gt;"",EDATE($D15,Milestones!$AA$175)&gt;=$T15),$W15,IF(AND($S15&lt;&gt;"",EDATE($D15,Milestones!$AA$175)&gt;=$S15),$V15,$U15)))=Milestones!$AB$175),UPPER(TEXT(EDATE($D15,Milestones!$AA$175),"dd mmm yy"))&amp;" "&amp;Milestones!$AB$175&amp;" "&amp;Milestones!$AC$175&amp;";  ","")&amp;IF(AND(EDATE($D15,Milestones!$AA$176)&lt;=AsOfDate,IF($R15=0,$X15,IF(AND($T15&lt;&gt;"",EDATE($D15,Milestones!$AA$176)&gt;=$T15),$W15,IF(AND($S15&lt;&gt;"",EDATE($D15,Milestones!$AA$176)&gt;=$S15),$V15,$U15)))=Milestones!$AB$176),UPPER(TEXT(EDATE($D15,Milestones!$AA$176),"dd mmm yy"))&amp;" "&amp;Milestones!$AB$176&amp;" "&amp;Milestones!$AC$176&amp;";  ","")&amp;IF(AND(EDATE($D15,Milestones!$AA$177)&lt;=AsOfDate,IF($R15=0,$X15,IF(AND($T15&lt;&gt;"",EDATE($D15,Milestones!$AA$177)&gt;=$T15),$W15,IF(AND($S15&lt;&gt;"",EDATE($D15,Milestones!$AA$177)&gt;=$S15),$V15,$U15)))=Milestones!$AB$177),UPPER(TEXT(EDATE($D15,Milestones!$AA$177),"dd mmm yy"))&amp;" "&amp;Milestones!$AB$177&amp;" "&amp;Milestones!$AC$177&amp;";  ","")&amp;IF(AND(EDATE($D15,Milestones!$AA$178)&lt;=AsOfDate,IF($R15=0,$X15,IF(AND($T15&lt;&gt;"",EDATE($D15,Milestones!$AA$178)&gt;=$T15),$W15,IF(AND($S15&lt;&gt;"",EDATE($D15,Milestones!$AA$178)&gt;=$S15),$V15,$U15)))=Milestones!$AB$178),UPPER(TEXT(EDATE($D15,Milestones!$AA$178),"dd mmm yy"))&amp;" "&amp;Milestones!$AB$178&amp;" "&amp;Milestones!$AC$178&amp;";  ","")&amp;IF(AND(EDATE($D15,Milestones!$AA$179)&lt;=AsOfDate,IF($R15=0,$X15,IF(AND($T15&lt;&gt;"",EDATE($D15,Milestones!$AA$179)&gt;=$T15),$W15,IF(AND($S15&lt;&gt;"",EDATE($D15,Milestones!$AA$179)&gt;=$S15),$V15,$U15)))=Milestones!$AB$179),UPPER(TEXT(EDATE($D15,Milestones!$AA$179),"dd mmm yy"))&amp;" "&amp;Milestones!$AB$179&amp;" "&amp;Milestones!$AC$179&amp;";  ",""))</f>
        <v/>
      </c>
      <c r="Q15" s="0" t="str">
        <f aca="false">IF(OR($A15="",$D15=""),"",IF(AND(EDATE($D15,Milestones!$AA$180)&lt;=AsOfDate,IF($R15=0,$X15,IF(AND($T15&lt;&gt;"",EDATE($D15,Milestones!$AA$180)&gt;=$T15),$W15,IF(AND($S15&lt;&gt;"",EDATE($D15,Milestones!$AA$180)&gt;=$S15),$V15,$U15)))=Milestones!$AB$180),UPPER(TEXT(EDATE($D15,Milestones!$AA$180),"dd mmm yy"))&amp;" "&amp;Milestones!$AB$180&amp;" "&amp;Milestones!$AC$180&amp;";  ","")&amp;IF(AND(EDATE($D15,Milestones!$AA$181)&lt;=AsOfDate,IF($R15=0,$X15,IF(AND($T15&lt;&gt;"",EDATE($D15,Milestones!$AA$181)&gt;=$T15),$W15,IF(AND($S15&lt;&gt;"",EDATE($D15,Milestones!$AA$181)&gt;=$S15),$V15,$U15)))=Milestones!$AB$181),UPPER(TEXT(EDATE($D15,Milestones!$AA$181),"dd mmm yy"))&amp;" "&amp;Milestones!$AB$181&amp;" "&amp;Milestones!$AC$181&amp;";  ","")&amp;IF(AND(EDATE($D15,Milestones!$AA$182)&lt;=AsOfDate,IF($R15=0,$X15,IF(AND($T15&lt;&gt;"",EDATE($D15,Milestones!$AA$182)&gt;=$T15),$W15,IF(AND($S15&lt;&gt;"",EDATE($D15,Milestones!$AA$182)&gt;=$S15),$V15,$U15)))=Milestones!$AB$182),UPPER(TEXT(EDATE($D15,Milestones!$AA$182),"dd mmm yy"))&amp;" "&amp;Milestones!$AB$182&amp;" "&amp;Milestones!$AC$182&amp;";  ","")&amp;IF(AND(EDATE($D15,Milestones!$AA$183)&lt;=AsOfDate,IF($R15=0,$X15,IF(AND($T15&lt;&gt;"",EDATE($D15,Milestones!$AA$183)&gt;=$T15),$W15,IF(AND($S15&lt;&gt;"",EDATE($D15,Milestones!$AA$183)&gt;=$S15),$V15,$U15)))=Milestones!$AB$183),UPPER(TEXT(EDATE($D15,Milestones!$AA$183),"dd mmm yy"))&amp;" "&amp;Milestones!$AB$183&amp;" "&amp;Milestones!$AC$183&amp;";  ","")&amp;IF(AND(EDATE($D15,Milestones!$AA$184)&lt;=AsOfDate,IF($R15=0,$X15,IF(AND($T15&lt;&gt;"",EDATE($D15,Milestones!$AA$184)&gt;=$T15),$W15,IF(AND($S15&lt;&gt;"",EDATE($D15,Milestones!$AA$184)&gt;=$S15),$V15,$U15)))=Milestones!$AB$184),UPPER(TEXT(EDATE($D15,Milestones!$AA$184),"dd mmm yy"))&amp;" "&amp;Milestones!$AB$184&amp;" "&amp;Milestones!$AC$184&amp;";  ","")&amp;IF(AND(EDATE($D15,Milestones!$AA$185)&lt;=AsOfDate,IF($R15=0,$X15,IF(AND($T15&lt;&gt;"",EDATE($D15,Milestones!$AA$185)&gt;=$T15),$W15,IF(AND($S15&lt;&gt;"",EDATE($D15,Milestones!$AA$185)&gt;=$S15),$V15,$U15)))=Milestones!$AB$185),UPPER(TEXT(EDATE($D15,Milestones!$AA$185),"dd mmm yy"))&amp;" "&amp;Milestones!$AB$185&amp;" "&amp;Milestones!$AC$185&amp;";  ","")&amp;IF(AND(EDATE($D15,Milestones!$AA$186)&lt;=AsOfDate,IF($R15=0,$X15,IF(AND($T15&lt;&gt;"",EDATE($D15,Milestones!$AA$186)&gt;=$T15),$W15,IF(AND($S15&lt;&gt;"",EDATE($D15,Milestones!$AA$186)&gt;=$S15),$V15,$U15)))=Milestones!$AB$186),UPPER(TEXT(EDATE($D15,Milestones!$AA$186),"dd mmm yy"))&amp;" "&amp;Milestones!$AB$186&amp;" "&amp;Milestones!$AC$186&amp;";  ","")&amp;IF(AND(EDATE($D15,Milestones!$AA$187)&lt;=AsOfDate,IF($R15=0,$X15,IF(AND($T15&lt;&gt;"",EDATE($D15,Milestones!$AA$187)&gt;=$T15),$W15,IF(AND($S15&lt;&gt;"",EDATE($D15,Milestones!$AA$187)&gt;=$S15),$V15,$U15)))=Milestones!$AB$187),UPPER(TEXT(EDATE($D15,Milestones!$AA$187),"dd mmm yy"))&amp;" "&amp;Milestones!$AB$187&amp;" "&amp;Milestones!$AC$187&amp;";  ","")&amp;IF(AND(EDATE($D15,Milestones!$AA$188)&lt;=AsOfDate,IF($R15=0,$X15,IF(AND($T15&lt;&gt;"",EDATE($D15,Milestones!$AA$188)&gt;=$T15),$W15,IF(AND($S15&lt;&gt;"",EDATE($D15,Milestones!$AA$188)&gt;=$S15),$V15,$U15)))=Milestones!$AB$188),UPPER(TEXT(EDATE($D15,Milestones!$AA$188),"dd mmm yy"))&amp;" "&amp;Milestones!$AB$188&amp;" "&amp;Milestones!$AC$188&amp;";  ","")&amp;IF(AND(EDATE($D15,Milestones!$AA$189)&lt;=AsOfDate,IF($R15=0,$X15,IF(AND($T15&lt;&gt;"",EDATE($D15,Milestones!$AA$189)&gt;=$T15),$W15,IF(AND($S15&lt;&gt;"",EDATE($D15,Milestones!$AA$189)&gt;=$S15),$V15,$U15)))=Milestones!$AB$189),UPPER(TEXT(EDATE($D15,Milestones!$AA$189),"dd mmm yy"))&amp;" "&amp;Milestones!$AB$189&amp;" "&amp;Milestones!$AC$189&amp;";  ","")&amp;IF(AND(EDATE($D15,Milestones!$AA$190)&lt;=AsOfDate,IF($R15=0,$X15,IF(AND($T15&lt;&gt;"",EDATE($D15,Milestones!$AA$190)&gt;=$T15),$W15,IF(AND($S15&lt;&gt;"",EDATE($D15,Milestones!$AA$190)&gt;=$S15),$V15,$U15)))=Milestones!$AB$190),UPPER(TEXT(EDATE($D15,Milestones!$AA$190),"dd mmm yy"))&amp;" "&amp;Milestones!$AB$190&amp;" "&amp;Milestones!$AC$190&amp;";  ","")&amp;IF(AND(EDATE($D15,Milestones!$AA$191)&lt;=AsOfDate,IF($R15=0,$X15,IF(AND($T15&lt;&gt;"",EDATE($D15,Milestones!$AA$191)&gt;=$T15),$W15,IF(AND($S15&lt;&gt;"",EDATE($D15,Milestones!$AA$191)&gt;=$S15),$V15,$U15)))=Milestones!$AB$191),UPPER(TEXT(EDATE($D15,Milestones!$AA$191),"dd mmm yy"))&amp;" "&amp;Milestones!$AB$191&amp;" "&amp;Milestones!$AC$191&amp;";  ","")&amp;IF(AND(EDATE($D15,Milestones!$AA$192)&lt;=AsOfDate,IF($R15=0,$X15,IF(AND($T15&lt;&gt;"",EDATE($D15,Milestones!$AA$192)&gt;=$T15),$W15,IF(AND($S15&lt;&gt;"",EDATE($D15,Milestones!$AA$192)&gt;=$S15),$V15,$U15)))=Milestones!$AB$192),UPPER(TEXT(EDATE($D15,Milestones!$AA$192),"dd mmm yy"))&amp;" "&amp;Milestones!$AB$192&amp;" "&amp;Milestones!$AC$192&amp;";  ","")&amp;IF(AND(EDATE($D15,Milestones!$AA$193)&lt;=AsOfDate,IF($R15=0,$X15,IF(AND($T15&lt;&gt;"",EDATE($D15,Milestones!$AA$193)&gt;=$T15),$W15,IF(AND($S15&lt;&gt;"",EDATE($D15,Milestones!$AA$193)&gt;=$S15),$V15,$U15)))=Milestones!$AB$193),UPPER(TEXT(EDATE($D15,Milestones!$AA$193),"dd mmm yy"))&amp;" "&amp;Milestones!$AB$193&amp;" "&amp;Milestones!$AC$193&amp;";  ","")&amp;IF(AND(EDATE($D15,Milestones!$AA$194)&lt;=AsOfDate,IF($R15=0,$X15,IF(AND($T15&lt;&gt;"",EDATE($D15,Milestones!$AA$194)&gt;=$T15),$W15,IF(AND($S15&lt;&gt;"",EDATE($D15,Milestones!$AA$194)&gt;=$S15),$V15,$U15)))=Milestones!$AB$194),UPPER(TEXT(EDATE($D15,Milestones!$AA$194),"dd mmm yy"))&amp;" "&amp;Milestones!$AB$194&amp;" "&amp;Milestones!$AC$194&amp;";  ","")&amp;IF(AND(EDATE($D15,Milestones!$AA$195)&lt;=AsOfDate,IF($R15=0,$X15,IF(AND($T15&lt;&gt;"",EDATE($D15,Milestones!$AA$195)&gt;=$T15),$W15,IF(AND($S15&lt;&gt;"",EDATE($D15,Milestones!$AA$195)&gt;=$S15),$V15,$U15)))=Milestones!$AB$195),UPPER(TEXT(EDATE($D15,Milestones!$AA$195),"dd mmm yy"))&amp;" "&amp;Milestones!$AB$195&amp;" "&amp;Milestones!$AC$195&amp;";  ","")&amp;IF(AND(EDATE($D15,Milestones!$AA$196)&lt;=AsOfDate,IF($R15=0,$X15,IF(AND($T15&lt;&gt;"",EDATE($D15,Milestones!$AA$196)&gt;=$T15),$W15,IF(AND($S15&lt;&gt;"",EDATE($D15,Milestones!$AA$196)&gt;=$S15),$V15,$U15)))=Milestones!$AB$196),UPPER(TEXT(EDATE($D15,Milestones!$AA$196),"dd mmm yy"))&amp;" "&amp;Milestones!$AB$196&amp;" "&amp;Milestones!$AC$196&amp;";  ","")&amp;IF(AND(EDATE($D15,Milestones!$AA$197)&lt;=AsOfDate,IF($R15=0,$X15,IF(AND($T15&lt;&gt;"",EDATE($D15,Milestones!$AA$197)&gt;=$T15),$W15,IF(AND($S15&lt;&gt;"",EDATE($D15,Milestones!$AA$197)&gt;=$S15),$V15,$U15)))=Milestones!$AB$197),UPPER(TEXT(EDATE($D15,Milestones!$AA$197),"dd mmm yy"))&amp;" "&amp;Milestones!$AB$197&amp;" "&amp;Milestones!$AC$197&amp;";  ","")&amp;IF(AND(EDATE($D15,Milestones!$AA$198)&lt;=AsOfDate,IF($R15=0,$X15,IF(AND($T15&lt;&gt;"",EDATE($D15,Milestones!$AA$198)&gt;=$T15),$W15,IF(AND($S15&lt;&gt;"",EDATE($D15,Milestones!$AA$198)&gt;=$S15),$V15,$U15)))=Milestones!$AB$198),UPPER(TEXT(EDATE($D15,Milestones!$AA$198),"dd mmm yy"))&amp;" "&amp;Milestones!$AB$198&amp;" "&amp;Milestones!$AC$198&amp;";  ","")&amp;IF(AND(EDATE($D15,Milestones!$AA$199)&lt;=AsOfDate,IF($R15=0,$X15,IF(AND($T15&lt;&gt;"",EDATE($D15,Milestones!$AA$199)&gt;=$T15),$W15,IF(AND($S15&lt;&gt;"",EDATE($D15,Milestones!$AA$199)&gt;=$S15),$V15,$U15)))=Milestones!$AB$199),UPPER(TEXT(EDATE($D15,Milestones!$AA$199),"dd mmm yy"))&amp;" "&amp;Milestones!$AB$199&amp;" "&amp;Milestones!$AC$199&amp;";  ",""))</f>
        <v/>
      </c>
      <c r="R15" s="0" t="str">
        <f aca="false">IF(Staff!$A15="","",Staff!$AI15)</f>
        <v/>
      </c>
      <c r="S15" s="0" t="str">
        <f aca="false">IF(Staff!$A15="","",Staff!$AK15)</f>
        <v/>
      </c>
      <c r="T15" s="0" t="str">
        <f aca="false">IF(Staff!$A15="","",Staff!$AL15)</f>
        <v/>
      </c>
      <c r="U15" s="0" t="str">
        <f aca="false">IF(Staff!$A15="","",Staff!$AP15)</f>
        <v/>
      </c>
      <c r="V15" s="0" t="str">
        <f aca="false">IF(Staff!$A15="","",Staff!$AQ15)</f>
        <v/>
      </c>
      <c r="W15" s="0" t="str">
        <f aca="false">IF(Staff!$A15="","",Staff!$AR15)</f>
        <v/>
      </c>
      <c r="X15" s="0" t="str">
        <f aca="false">IF(Staff!$A15="","",Staff!$AS15)</f>
        <v/>
      </c>
    </row>
    <row r="16" customFormat="false" ht="15" hidden="false" customHeight="false" outlineLevel="0" collapsed="false">
      <c r="A16" s="14" t="str">
        <f aca="false">IF(Staff!$A16="","",Staff!$A16)</f>
        <v/>
      </c>
      <c r="B16" s="14" t="str">
        <f aca="false">IF(Staff!$A16="","",Staff!$B16)</f>
        <v/>
      </c>
      <c r="C16" s="14" t="str">
        <f aca="false">IF(Staff!$A16="","",Staff!$C16)</f>
        <v/>
      </c>
      <c r="D16" s="12" t="str">
        <f aca="false">IF(Staff!$A16="","",Staff!$AH16)</f>
        <v/>
      </c>
      <c r="E16" s="14" t="str">
        <f aca="false">IF(Staff!$A16="","",Staff!$O16)</f>
        <v/>
      </c>
      <c r="F16" s="14" t="str">
        <f aca="false">IF(E16="","",E16*HoursPerDay)</f>
        <v/>
      </c>
      <c r="G16" s="14" t="str">
        <f aca="false">IF(Staff!$A16="","",Staff!$AE16)</f>
        <v/>
      </c>
      <c r="H16" s="26" t="str">
        <f aca="false">IF($A16="","",I16&amp;J16&amp;K16&amp;L16&amp;M16&amp;N16&amp;O16&amp;P16&amp;Q16)</f>
        <v/>
      </c>
      <c r="I16" s="0" t="str">
        <f aca="false">IF(OR($A16="",$D16=""),"",IF(AND(EDATE($D16,Milestones!$AA$20)&lt;=AsOfDate,IF($R16=0,$X16,IF(AND($T16&lt;&gt;"",EDATE($D16,Milestones!$AA$20)&gt;=$T16),$W16,IF(AND($S16&lt;&gt;"",EDATE($D16,Milestones!$AA$20)&gt;=$S16),$V16,$U16)))=Milestones!$AB$20),UPPER(TEXT(EDATE($D16,Milestones!$AA$20),"dd mmm yy"))&amp;" "&amp;Milestones!$AB$20&amp;" "&amp;Milestones!$AC$20&amp;";  ","")&amp;IF(AND(EDATE($D16,Milestones!$AA$21)&lt;=AsOfDate,IF($R16=0,$X16,IF(AND($T16&lt;&gt;"",EDATE($D16,Milestones!$AA$21)&gt;=$T16),$W16,IF(AND($S16&lt;&gt;"",EDATE($D16,Milestones!$AA$21)&gt;=$S16),$V16,$U16)))=Milestones!$AB$21),UPPER(TEXT(EDATE($D16,Milestones!$AA$21),"dd mmm yy"))&amp;" "&amp;Milestones!$AB$21&amp;" "&amp;Milestones!$AC$21&amp;";  ","")&amp;IF(AND(EDATE($D16,Milestones!$AA$22)&lt;=AsOfDate,IF($R16=0,$X16,IF(AND($T16&lt;&gt;"",EDATE($D16,Milestones!$AA$22)&gt;=$T16),$W16,IF(AND($S16&lt;&gt;"",EDATE($D16,Milestones!$AA$22)&gt;=$S16),$V16,$U16)))=Milestones!$AB$22),UPPER(TEXT(EDATE($D16,Milestones!$AA$22),"dd mmm yy"))&amp;" "&amp;Milestones!$AB$22&amp;" "&amp;Milestones!$AC$22&amp;";  ","")&amp;IF(AND(EDATE($D16,Milestones!$AA$23)&lt;=AsOfDate,IF($R16=0,$X16,IF(AND($T16&lt;&gt;"",EDATE($D16,Milestones!$AA$23)&gt;=$T16),$W16,IF(AND($S16&lt;&gt;"",EDATE($D16,Milestones!$AA$23)&gt;=$S16),$V16,$U16)))=Milestones!$AB$23),UPPER(TEXT(EDATE($D16,Milestones!$AA$23),"dd mmm yy"))&amp;" "&amp;Milestones!$AB$23&amp;" "&amp;Milestones!$AC$23&amp;";  ","")&amp;IF(AND(EDATE($D16,Milestones!$AA$24)&lt;=AsOfDate,IF($R16=0,$X16,IF(AND($T16&lt;&gt;"",EDATE($D16,Milestones!$AA$24)&gt;=$T16),$W16,IF(AND($S16&lt;&gt;"",EDATE($D16,Milestones!$AA$24)&gt;=$S16),$V16,$U16)))=Milestones!$AB$24),UPPER(TEXT(EDATE($D16,Milestones!$AA$24),"dd mmm yy"))&amp;" "&amp;Milestones!$AB$24&amp;" "&amp;Milestones!$AC$24&amp;";  ","")&amp;IF(AND(EDATE($D16,Milestones!$AA$25)&lt;=AsOfDate,IF($R16=0,$X16,IF(AND($T16&lt;&gt;"",EDATE($D16,Milestones!$AA$25)&gt;=$T16),$W16,IF(AND($S16&lt;&gt;"",EDATE($D16,Milestones!$AA$25)&gt;=$S16),$V16,$U16)))=Milestones!$AB$25),UPPER(TEXT(EDATE($D16,Milestones!$AA$25),"dd mmm yy"))&amp;" "&amp;Milestones!$AB$25&amp;" "&amp;Milestones!$AC$25&amp;";  ","")&amp;IF(AND(EDATE($D16,Milestones!$AA$26)&lt;=AsOfDate,IF($R16=0,$X16,IF(AND($T16&lt;&gt;"",EDATE($D16,Milestones!$AA$26)&gt;=$T16),$W16,IF(AND($S16&lt;&gt;"",EDATE($D16,Milestones!$AA$26)&gt;=$S16),$V16,$U16)))=Milestones!$AB$26),UPPER(TEXT(EDATE($D16,Milestones!$AA$26),"dd mmm yy"))&amp;" "&amp;Milestones!$AB$26&amp;" "&amp;Milestones!$AC$26&amp;";  ","")&amp;IF(AND(EDATE($D16,Milestones!$AA$27)&lt;=AsOfDate,IF($R16=0,$X16,IF(AND($T16&lt;&gt;"",EDATE($D16,Milestones!$AA$27)&gt;=$T16),$W16,IF(AND($S16&lt;&gt;"",EDATE($D16,Milestones!$AA$27)&gt;=$S16),$V16,$U16)))=Milestones!$AB$27),UPPER(TEXT(EDATE($D16,Milestones!$AA$27),"dd mmm yy"))&amp;" "&amp;Milestones!$AB$27&amp;" "&amp;Milestones!$AC$27&amp;";  ","")&amp;IF(AND(EDATE($D16,Milestones!$AA$28)&lt;=AsOfDate,IF($R16=0,$X16,IF(AND($T16&lt;&gt;"",EDATE($D16,Milestones!$AA$28)&gt;=$T16),$W16,IF(AND($S16&lt;&gt;"",EDATE($D16,Milestones!$AA$28)&gt;=$S16),$V16,$U16)))=Milestones!$AB$28),UPPER(TEXT(EDATE($D16,Milestones!$AA$28),"dd mmm yy"))&amp;" "&amp;Milestones!$AB$28&amp;" "&amp;Milestones!$AC$28&amp;";  ","")&amp;IF(AND(EDATE($D16,Milestones!$AA$29)&lt;=AsOfDate,IF($R16=0,$X16,IF(AND($T16&lt;&gt;"",EDATE($D16,Milestones!$AA$29)&gt;=$T16),$W16,IF(AND($S16&lt;&gt;"",EDATE($D16,Milestones!$AA$29)&gt;=$S16),$V16,$U16)))=Milestones!$AB$29),UPPER(TEXT(EDATE($D16,Milestones!$AA$29),"dd mmm yy"))&amp;" "&amp;Milestones!$AB$29&amp;" "&amp;Milestones!$AC$29&amp;";  ","")&amp;IF(AND(EDATE($D16,Milestones!$AA$30)&lt;=AsOfDate,IF($R16=0,$X16,IF(AND($T16&lt;&gt;"",EDATE($D16,Milestones!$AA$30)&gt;=$T16),$W16,IF(AND($S16&lt;&gt;"",EDATE($D16,Milestones!$AA$30)&gt;=$S16),$V16,$U16)))=Milestones!$AB$30),UPPER(TEXT(EDATE($D16,Milestones!$AA$30),"dd mmm yy"))&amp;" "&amp;Milestones!$AB$30&amp;" "&amp;Milestones!$AC$30&amp;";  ","")&amp;IF(AND(EDATE($D16,Milestones!$AA$31)&lt;=AsOfDate,IF($R16=0,$X16,IF(AND($T16&lt;&gt;"",EDATE($D16,Milestones!$AA$31)&gt;=$T16),$W16,IF(AND($S16&lt;&gt;"",EDATE($D16,Milestones!$AA$31)&gt;=$S16),$V16,$U16)))=Milestones!$AB$31),UPPER(TEXT(EDATE($D16,Milestones!$AA$31),"dd mmm yy"))&amp;" "&amp;Milestones!$AB$31&amp;" "&amp;Milestones!$AC$31&amp;";  ","")&amp;IF(AND(EDATE($D16,Milestones!$AA$32)&lt;=AsOfDate,IF($R16=0,$X16,IF(AND($T16&lt;&gt;"",EDATE($D16,Milestones!$AA$32)&gt;=$T16),$W16,IF(AND($S16&lt;&gt;"",EDATE($D16,Milestones!$AA$32)&gt;=$S16),$V16,$U16)))=Milestones!$AB$32),UPPER(TEXT(EDATE($D16,Milestones!$AA$32),"dd mmm yy"))&amp;" "&amp;Milestones!$AB$32&amp;" "&amp;Milestones!$AC$32&amp;";  ","")&amp;IF(AND(EDATE($D16,Milestones!$AA$33)&lt;=AsOfDate,IF($R16=0,$X16,IF(AND($T16&lt;&gt;"",EDATE($D16,Milestones!$AA$33)&gt;=$T16),$W16,IF(AND($S16&lt;&gt;"",EDATE($D16,Milestones!$AA$33)&gt;=$S16),$V16,$U16)))=Milestones!$AB$33),UPPER(TEXT(EDATE($D16,Milestones!$AA$33),"dd mmm yy"))&amp;" "&amp;Milestones!$AB$33&amp;" "&amp;Milestones!$AC$33&amp;";  ","")&amp;IF(AND(EDATE($D16,Milestones!$AA$34)&lt;=AsOfDate,IF($R16=0,$X16,IF(AND($T16&lt;&gt;"",EDATE($D16,Milestones!$AA$34)&gt;=$T16),$W16,IF(AND($S16&lt;&gt;"",EDATE($D16,Milestones!$AA$34)&gt;=$S16),$V16,$U16)))=Milestones!$AB$34),UPPER(TEXT(EDATE($D16,Milestones!$AA$34),"dd mmm yy"))&amp;" "&amp;Milestones!$AB$34&amp;" "&amp;Milestones!$AC$34&amp;";  ","")&amp;IF(AND(EDATE($D16,Milestones!$AA$35)&lt;=AsOfDate,IF($R16=0,$X16,IF(AND($T16&lt;&gt;"",EDATE($D16,Milestones!$AA$35)&gt;=$T16),$W16,IF(AND($S16&lt;&gt;"",EDATE($D16,Milestones!$AA$35)&gt;=$S16),$V16,$U16)))=Milestones!$AB$35),UPPER(TEXT(EDATE($D16,Milestones!$AA$35),"dd mmm yy"))&amp;" "&amp;Milestones!$AB$35&amp;" "&amp;Milestones!$AC$35&amp;";  ","")&amp;IF(AND(EDATE($D16,Milestones!$AA$36)&lt;=AsOfDate,IF($R16=0,$X16,IF(AND($T16&lt;&gt;"",EDATE($D16,Milestones!$AA$36)&gt;=$T16),$W16,IF(AND($S16&lt;&gt;"",EDATE($D16,Milestones!$AA$36)&gt;=$S16),$V16,$U16)))=Milestones!$AB$36),UPPER(TEXT(EDATE($D16,Milestones!$AA$36),"dd mmm yy"))&amp;" "&amp;Milestones!$AB$36&amp;" "&amp;Milestones!$AC$36&amp;";  ","")&amp;IF(AND(EDATE($D16,Milestones!$AA$37)&lt;=AsOfDate,IF($R16=0,$X16,IF(AND($T16&lt;&gt;"",EDATE($D16,Milestones!$AA$37)&gt;=$T16),$W16,IF(AND($S16&lt;&gt;"",EDATE($D16,Milestones!$AA$37)&gt;=$S16),$V16,$U16)))=Milestones!$AB$37),UPPER(TEXT(EDATE($D16,Milestones!$AA$37),"dd mmm yy"))&amp;" "&amp;Milestones!$AB$37&amp;" "&amp;Milestones!$AC$37&amp;";  ","")&amp;IF(AND(EDATE($D16,Milestones!$AA$38)&lt;=AsOfDate,IF($R16=0,$X16,IF(AND($T16&lt;&gt;"",EDATE($D16,Milestones!$AA$38)&gt;=$T16),$W16,IF(AND($S16&lt;&gt;"",EDATE($D16,Milestones!$AA$38)&gt;=$S16),$V16,$U16)))=Milestones!$AB$38),UPPER(TEXT(EDATE($D16,Milestones!$AA$38),"dd mmm yy"))&amp;" "&amp;Milestones!$AB$38&amp;" "&amp;Milestones!$AC$38&amp;";  ","")&amp;IF(AND(EDATE($D16,Milestones!$AA$39)&lt;=AsOfDate,IF($R16=0,$X16,IF(AND($T16&lt;&gt;"",EDATE($D16,Milestones!$AA$39)&gt;=$T16),$W16,IF(AND($S16&lt;&gt;"",EDATE($D16,Milestones!$AA$39)&gt;=$S16),$V16,$U16)))=Milestones!$AB$39),UPPER(TEXT(EDATE($D16,Milestones!$AA$39),"dd mmm yy"))&amp;" "&amp;Milestones!$AB$39&amp;" "&amp;Milestones!$AC$39&amp;";  ",""))</f>
        <v/>
      </c>
      <c r="J16" s="0" t="str">
        <f aca="false">IF(OR($A16="",$D16=""),"",IF(AND(EDATE($D16,Milestones!$AA$40)&lt;=AsOfDate,IF($R16=0,$X16,IF(AND($T16&lt;&gt;"",EDATE($D16,Milestones!$AA$40)&gt;=$T16),$W16,IF(AND($S16&lt;&gt;"",EDATE($D16,Milestones!$AA$40)&gt;=$S16),$V16,$U16)))=Milestones!$AB$40),UPPER(TEXT(EDATE($D16,Milestones!$AA$40),"dd mmm yy"))&amp;" "&amp;Milestones!$AB$40&amp;" "&amp;Milestones!$AC$40&amp;";  ","")&amp;IF(AND(EDATE($D16,Milestones!$AA$41)&lt;=AsOfDate,IF($R16=0,$X16,IF(AND($T16&lt;&gt;"",EDATE($D16,Milestones!$AA$41)&gt;=$T16),$W16,IF(AND($S16&lt;&gt;"",EDATE($D16,Milestones!$AA$41)&gt;=$S16),$V16,$U16)))=Milestones!$AB$41),UPPER(TEXT(EDATE($D16,Milestones!$AA$41),"dd mmm yy"))&amp;" "&amp;Milestones!$AB$41&amp;" "&amp;Milestones!$AC$41&amp;";  ","")&amp;IF(AND(EDATE($D16,Milestones!$AA$42)&lt;=AsOfDate,IF($R16=0,$X16,IF(AND($T16&lt;&gt;"",EDATE($D16,Milestones!$AA$42)&gt;=$T16),$W16,IF(AND($S16&lt;&gt;"",EDATE($D16,Milestones!$AA$42)&gt;=$S16),$V16,$U16)))=Milestones!$AB$42),UPPER(TEXT(EDATE($D16,Milestones!$AA$42),"dd mmm yy"))&amp;" "&amp;Milestones!$AB$42&amp;" "&amp;Milestones!$AC$42&amp;";  ","")&amp;IF(AND(EDATE($D16,Milestones!$AA$43)&lt;=AsOfDate,IF($R16=0,$X16,IF(AND($T16&lt;&gt;"",EDATE($D16,Milestones!$AA$43)&gt;=$T16),$W16,IF(AND($S16&lt;&gt;"",EDATE($D16,Milestones!$AA$43)&gt;=$S16),$V16,$U16)))=Milestones!$AB$43),UPPER(TEXT(EDATE($D16,Milestones!$AA$43),"dd mmm yy"))&amp;" "&amp;Milestones!$AB$43&amp;" "&amp;Milestones!$AC$43&amp;";  ","")&amp;IF(AND(EDATE($D16,Milestones!$AA$44)&lt;=AsOfDate,IF($R16=0,$X16,IF(AND($T16&lt;&gt;"",EDATE($D16,Milestones!$AA$44)&gt;=$T16),$W16,IF(AND($S16&lt;&gt;"",EDATE($D16,Milestones!$AA$44)&gt;=$S16),$V16,$U16)))=Milestones!$AB$44),UPPER(TEXT(EDATE($D16,Milestones!$AA$44),"dd mmm yy"))&amp;" "&amp;Milestones!$AB$44&amp;" "&amp;Milestones!$AC$44&amp;";  ","")&amp;IF(AND(EDATE($D16,Milestones!$AA$45)&lt;=AsOfDate,IF($R16=0,$X16,IF(AND($T16&lt;&gt;"",EDATE($D16,Milestones!$AA$45)&gt;=$T16),$W16,IF(AND($S16&lt;&gt;"",EDATE($D16,Milestones!$AA$45)&gt;=$S16),$V16,$U16)))=Milestones!$AB$45),UPPER(TEXT(EDATE($D16,Milestones!$AA$45),"dd mmm yy"))&amp;" "&amp;Milestones!$AB$45&amp;" "&amp;Milestones!$AC$45&amp;";  ","")&amp;IF(AND(EDATE($D16,Milestones!$AA$46)&lt;=AsOfDate,IF($R16=0,$X16,IF(AND($T16&lt;&gt;"",EDATE($D16,Milestones!$AA$46)&gt;=$T16),$W16,IF(AND($S16&lt;&gt;"",EDATE($D16,Milestones!$AA$46)&gt;=$S16),$V16,$U16)))=Milestones!$AB$46),UPPER(TEXT(EDATE($D16,Milestones!$AA$46),"dd mmm yy"))&amp;" "&amp;Milestones!$AB$46&amp;" "&amp;Milestones!$AC$46&amp;";  ","")&amp;IF(AND(EDATE($D16,Milestones!$AA$47)&lt;=AsOfDate,IF($R16=0,$X16,IF(AND($T16&lt;&gt;"",EDATE($D16,Milestones!$AA$47)&gt;=$T16),$W16,IF(AND($S16&lt;&gt;"",EDATE($D16,Milestones!$AA$47)&gt;=$S16),$V16,$U16)))=Milestones!$AB$47),UPPER(TEXT(EDATE($D16,Milestones!$AA$47),"dd mmm yy"))&amp;" "&amp;Milestones!$AB$47&amp;" "&amp;Milestones!$AC$47&amp;";  ","")&amp;IF(AND(EDATE($D16,Milestones!$AA$48)&lt;=AsOfDate,IF($R16=0,$X16,IF(AND($T16&lt;&gt;"",EDATE($D16,Milestones!$AA$48)&gt;=$T16),$W16,IF(AND($S16&lt;&gt;"",EDATE($D16,Milestones!$AA$48)&gt;=$S16),$V16,$U16)))=Milestones!$AB$48),UPPER(TEXT(EDATE($D16,Milestones!$AA$48),"dd mmm yy"))&amp;" "&amp;Milestones!$AB$48&amp;" "&amp;Milestones!$AC$48&amp;";  ","")&amp;IF(AND(EDATE($D16,Milestones!$AA$49)&lt;=AsOfDate,IF($R16=0,$X16,IF(AND($T16&lt;&gt;"",EDATE($D16,Milestones!$AA$49)&gt;=$T16),$W16,IF(AND($S16&lt;&gt;"",EDATE($D16,Milestones!$AA$49)&gt;=$S16),$V16,$U16)))=Milestones!$AB$49),UPPER(TEXT(EDATE($D16,Milestones!$AA$49),"dd mmm yy"))&amp;" "&amp;Milestones!$AB$49&amp;" "&amp;Milestones!$AC$49&amp;";  ","")&amp;IF(AND(EDATE($D16,Milestones!$AA$50)&lt;=AsOfDate,IF($R16=0,$X16,IF(AND($T16&lt;&gt;"",EDATE($D16,Milestones!$AA$50)&gt;=$T16),$W16,IF(AND($S16&lt;&gt;"",EDATE($D16,Milestones!$AA$50)&gt;=$S16),$V16,$U16)))=Milestones!$AB$50),UPPER(TEXT(EDATE($D16,Milestones!$AA$50),"dd mmm yy"))&amp;" "&amp;Milestones!$AB$50&amp;" "&amp;Milestones!$AC$50&amp;";  ","")&amp;IF(AND(EDATE($D16,Milestones!$AA$51)&lt;=AsOfDate,IF($R16=0,$X16,IF(AND($T16&lt;&gt;"",EDATE($D16,Milestones!$AA$51)&gt;=$T16),$W16,IF(AND($S16&lt;&gt;"",EDATE($D16,Milestones!$AA$51)&gt;=$S16),$V16,$U16)))=Milestones!$AB$51),UPPER(TEXT(EDATE($D16,Milestones!$AA$51),"dd mmm yy"))&amp;" "&amp;Milestones!$AB$51&amp;" "&amp;Milestones!$AC$51&amp;";  ","")&amp;IF(AND(EDATE($D16,Milestones!$AA$52)&lt;=AsOfDate,IF($R16=0,$X16,IF(AND($T16&lt;&gt;"",EDATE($D16,Milestones!$AA$52)&gt;=$T16),$W16,IF(AND($S16&lt;&gt;"",EDATE($D16,Milestones!$AA$52)&gt;=$S16),$V16,$U16)))=Milestones!$AB$52),UPPER(TEXT(EDATE($D16,Milestones!$AA$52),"dd mmm yy"))&amp;" "&amp;Milestones!$AB$52&amp;" "&amp;Milestones!$AC$52&amp;";  ","")&amp;IF(AND(EDATE($D16,Milestones!$AA$53)&lt;=AsOfDate,IF($R16=0,$X16,IF(AND($T16&lt;&gt;"",EDATE($D16,Milestones!$AA$53)&gt;=$T16),$W16,IF(AND($S16&lt;&gt;"",EDATE($D16,Milestones!$AA$53)&gt;=$S16),$V16,$U16)))=Milestones!$AB$53),UPPER(TEXT(EDATE($D16,Milestones!$AA$53),"dd mmm yy"))&amp;" "&amp;Milestones!$AB$53&amp;" "&amp;Milestones!$AC$53&amp;";  ","")&amp;IF(AND(EDATE($D16,Milestones!$AA$54)&lt;=AsOfDate,IF($R16=0,$X16,IF(AND($T16&lt;&gt;"",EDATE($D16,Milestones!$AA$54)&gt;=$T16),$W16,IF(AND($S16&lt;&gt;"",EDATE($D16,Milestones!$AA$54)&gt;=$S16),$V16,$U16)))=Milestones!$AB$54),UPPER(TEXT(EDATE($D16,Milestones!$AA$54),"dd mmm yy"))&amp;" "&amp;Milestones!$AB$54&amp;" "&amp;Milestones!$AC$54&amp;";  ","")&amp;IF(AND(EDATE($D16,Milestones!$AA$55)&lt;=AsOfDate,IF($R16=0,$X16,IF(AND($T16&lt;&gt;"",EDATE($D16,Milestones!$AA$55)&gt;=$T16),$W16,IF(AND($S16&lt;&gt;"",EDATE($D16,Milestones!$AA$55)&gt;=$S16),$V16,$U16)))=Milestones!$AB$55),UPPER(TEXT(EDATE($D16,Milestones!$AA$55),"dd mmm yy"))&amp;" "&amp;Milestones!$AB$55&amp;" "&amp;Milestones!$AC$55&amp;";  ","")&amp;IF(AND(EDATE($D16,Milestones!$AA$56)&lt;=AsOfDate,IF($R16=0,$X16,IF(AND($T16&lt;&gt;"",EDATE($D16,Milestones!$AA$56)&gt;=$T16),$W16,IF(AND($S16&lt;&gt;"",EDATE($D16,Milestones!$AA$56)&gt;=$S16),$V16,$U16)))=Milestones!$AB$56),UPPER(TEXT(EDATE($D16,Milestones!$AA$56),"dd mmm yy"))&amp;" "&amp;Milestones!$AB$56&amp;" "&amp;Milestones!$AC$56&amp;";  ","")&amp;IF(AND(EDATE($D16,Milestones!$AA$57)&lt;=AsOfDate,IF($R16=0,$X16,IF(AND($T16&lt;&gt;"",EDATE($D16,Milestones!$AA$57)&gt;=$T16),$W16,IF(AND($S16&lt;&gt;"",EDATE($D16,Milestones!$AA$57)&gt;=$S16),$V16,$U16)))=Milestones!$AB$57),UPPER(TEXT(EDATE($D16,Milestones!$AA$57),"dd mmm yy"))&amp;" "&amp;Milestones!$AB$57&amp;" "&amp;Milestones!$AC$57&amp;";  ","")&amp;IF(AND(EDATE($D16,Milestones!$AA$58)&lt;=AsOfDate,IF($R16=0,$X16,IF(AND($T16&lt;&gt;"",EDATE($D16,Milestones!$AA$58)&gt;=$T16),$W16,IF(AND($S16&lt;&gt;"",EDATE($D16,Milestones!$AA$58)&gt;=$S16),$V16,$U16)))=Milestones!$AB$58),UPPER(TEXT(EDATE($D16,Milestones!$AA$58),"dd mmm yy"))&amp;" "&amp;Milestones!$AB$58&amp;" "&amp;Milestones!$AC$58&amp;";  ","")&amp;IF(AND(EDATE($D16,Milestones!$AA$59)&lt;=AsOfDate,IF($R16=0,$X16,IF(AND($T16&lt;&gt;"",EDATE($D16,Milestones!$AA$59)&gt;=$T16),$W16,IF(AND($S16&lt;&gt;"",EDATE($D16,Milestones!$AA$59)&gt;=$S16),$V16,$U16)))=Milestones!$AB$59),UPPER(TEXT(EDATE($D16,Milestones!$AA$59),"dd mmm yy"))&amp;" "&amp;Milestones!$AB$59&amp;" "&amp;Milestones!$AC$59&amp;";  ",""))</f>
        <v/>
      </c>
      <c r="K16" s="0" t="str">
        <f aca="false">IF(OR($A16="",$D16=""),"",IF(AND(EDATE($D16,Milestones!$AA$60)&lt;=AsOfDate,IF($R16=0,$X16,IF(AND($T16&lt;&gt;"",EDATE($D16,Milestones!$AA$60)&gt;=$T16),$W16,IF(AND($S16&lt;&gt;"",EDATE($D16,Milestones!$AA$60)&gt;=$S16),$V16,$U16)))=Milestones!$AB$60),UPPER(TEXT(EDATE($D16,Milestones!$AA$60),"dd mmm yy"))&amp;" "&amp;Milestones!$AB$60&amp;" "&amp;Milestones!$AC$60&amp;";  ","")&amp;IF(AND(EDATE($D16,Milestones!$AA$61)&lt;=AsOfDate,IF($R16=0,$X16,IF(AND($T16&lt;&gt;"",EDATE($D16,Milestones!$AA$61)&gt;=$T16),$W16,IF(AND($S16&lt;&gt;"",EDATE($D16,Milestones!$AA$61)&gt;=$S16),$V16,$U16)))=Milestones!$AB$61),UPPER(TEXT(EDATE($D16,Milestones!$AA$61),"dd mmm yy"))&amp;" "&amp;Milestones!$AB$61&amp;" "&amp;Milestones!$AC$61&amp;";  ","")&amp;IF(AND(EDATE($D16,Milestones!$AA$62)&lt;=AsOfDate,IF($R16=0,$X16,IF(AND($T16&lt;&gt;"",EDATE($D16,Milestones!$AA$62)&gt;=$T16),$W16,IF(AND($S16&lt;&gt;"",EDATE($D16,Milestones!$AA$62)&gt;=$S16),$V16,$U16)))=Milestones!$AB$62),UPPER(TEXT(EDATE($D16,Milestones!$AA$62),"dd mmm yy"))&amp;" "&amp;Milestones!$AB$62&amp;" "&amp;Milestones!$AC$62&amp;";  ","")&amp;IF(AND(EDATE($D16,Milestones!$AA$63)&lt;=AsOfDate,IF($R16=0,$X16,IF(AND($T16&lt;&gt;"",EDATE($D16,Milestones!$AA$63)&gt;=$T16),$W16,IF(AND($S16&lt;&gt;"",EDATE($D16,Milestones!$AA$63)&gt;=$S16),$V16,$U16)))=Milestones!$AB$63),UPPER(TEXT(EDATE($D16,Milestones!$AA$63),"dd mmm yy"))&amp;" "&amp;Milestones!$AB$63&amp;" "&amp;Milestones!$AC$63&amp;";  ","")&amp;IF(AND(EDATE($D16,Milestones!$AA$64)&lt;=AsOfDate,IF($R16=0,$X16,IF(AND($T16&lt;&gt;"",EDATE($D16,Milestones!$AA$64)&gt;=$T16),$W16,IF(AND($S16&lt;&gt;"",EDATE($D16,Milestones!$AA$64)&gt;=$S16),$V16,$U16)))=Milestones!$AB$64),UPPER(TEXT(EDATE($D16,Milestones!$AA$64),"dd mmm yy"))&amp;" "&amp;Milestones!$AB$64&amp;" "&amp;Milestones!$AC$64&amp;";  ","")&amp;IF(AND(EDATE($D16,Milestones!$AA$65)&lt;=AsOfDate,IF($R16=0,$X16,IF(AND($T16&lt;&gt;"",EDATE($D16,Milestones!$AA$65)&gt;=$T16),$W16,IF(AND($S16&lt;&gt;"",EDATE($D16,Milestones!$AA$65)&gt;=$S16),$V16,$U16)))=Milestones!$AB$65),UPPER(TEXT(EDATE($D16,Milestones!$AA$65),"dd mmm yy"))&amp;" "&amp;Milestones!$AB$65&amp;" "&amp;Milestones!$AC$65&amp;";  ","")&amp;IF(AND(EDATE($D16,Milestones!$AA$66)&lt;=AsOfDate,IF($R16=0,$X16,IF(AND($T16&lt;&gt;"",EDATE($D16,Milestones!$AA$66)&gt;=$T16),$W16,IF(AND($S16&lt;&gt;"",EDATE($D16,Milestones!$AA$66)&gt;=$S16),$V16,$U16)))=Milestones!$AB$66),UPPER(TEXT(EDATE($D16,Milestones!$AA$66),"dd mmm yy"))&amp;" "&amp;Milestones!$AB$66&amp;" "&amp;Milestones!$AC$66&amp;";  ","")&amp;IF(AND(EDATE($D16,Milestones!$AA$67)&lt;=AsOfDate,IF($R16=0,$X16,IF(AND($T16&lt;&gt;"",EDATE($D16,Milestones!$AA$67)&gt;=$T16),$W16,IF(AND($S16&lt;&gt;"",EDATE($D16,Milestones!$AA$67)&gt;=$S16),$V16,$U16)))=Milestones!$AB$67),UPPER(TEXT(EDATE($D16,Milestones!$AA$67),"dd mmm yy"))&amp;" "&amp;Milestones!$AB$67&amp;" "&amp;Milestones!$AC$67&amp;";  ","")&amp;IF(AND(EDATE($D16,Milestones!$AA$68)&lt;=AsOfDate,IF($R16=0,$X16,IF(AND($T16&lt;&gt;"",EDATE($D16,Milestones!$AA$68)&gt;=$T16),$W16,IF(AND($S16&lt;&gt;"",EDATE($D16,Milestones!$AA$68)&gt;=$S16),$V16,$U16)))=Milestones!$AB$68),UPPER(TEXT(EDATE($D16,Milestones!$AA$68),"dd mmm yy"))&amp;" "&amp;Milestones!$AB$68&amp;" "&amp;Milestones!$AC$68&amp;";  ","")&amp;IF(AND(EDATE($D16,Milestones!$AA$69)&lt;=AsOfDate,IF($R16=0,$X16,IF(AND($T16&lt;&gt;"",EDATE($D16,Milestones!$AA$69)&gt;=$T16),$W16,IF(AND($S16&lt;&gt;"",EDATE($D16,Milestones!$AA$69)&gt;=$S16),$V16,$U16)))=Milestones!$AB$69),UPPER(TEXT(EDATE($D16,Milestones!$AA$69),"dd mmm yy"))&amp;" "&amp;Milestones!$AB$69&amp;" "&amp;Milestones!$AC$69&amp;";  ","")&amp;IF(AND(EDATE($D16,Milestones!$AA$70)&lt;=AsOfDate,IF($R16=0,$X16,IF(AND($T16&lt;&gt;"",EDATE($D16,Milestones!$AA$70)&gt;=$T16),$W16,IF(AND($S16&lt;&gt;"",EDATE($D16,Milestones!$AA$70)&gt;=$S16),$V16,$U16)))=Milestones!$AB$70),UPPER(TEXT(EDATE($D16,Milestones!$AA$70),"dd mmm yy"))&amp;" "&amp;Milestones!$AB$70&amp;" "&amp;Milestones!$AC$70&amp;";  ","")&amp;IF(AND(EDATE($D16,Milestones!$AA$71)&lt;=AsOfDate,IF($R16=0,$X16,IF(AND($T16&lt;&gt;"",EDATE($D16,Milestones!$AA$71)&gt;=$T16),$W16,IF(AND($S16&lt;&gt;"",EDATE($D16,Milestones!$AA$71)&gt;=$S16),$V16,$U16)))=Milestones!$AB$71),UPPER(TEXT(EDATE($D16,Milestones!$AA$71),"dd mmm yy"))&amp;" "&amp;Milestones!$AB$71&amp;" "&amp;Milestones!$AC$71&amp;";  ","")&amp;IF(AND(EDATE($D16,Milestones!$AA$72)&lt;=AsOfDate,IF($R16=0,$X16,IF(AND($T16&lt;&gt;"",EDATE($D16,Milestones!$AA$72)&gt;=$T16),$W16,IF(AND($S16&lt;&gt;"",EDATE($D16,Milestones!$AA$72)&gt;=$S16),$V16,$U16)))=Milestones!$AB$72),UPPER(TEXT(EDATE($D16,Milestones!$AA$72),"dd mmm yy"))&amp;" "&amp;Milestones!$AB$72&amp;" "&amp;Milestones!$AC$72&amp;";  ","")&amp;IF(AND(EDATE($D16,Milestones!$AA$73)&lt;=AsOfDate,IF($R16=0,$X16,IF(AND($T16&lt;&gt;"",EDATE($D16,Milestones!$AA$73)&gt;=$T16),$W16,IF(AND($S16&lt;&gt;"",EDATE($D16,Milestones!$AA$73)&gt;=$S16),$V16,$U16)))=Milestones!$AB$73),UPPER(TEXT(EDATE($D16,Milestones!$AA$73),"dd mmm yy"))&amp;" "&amp;Milestones!$AB$73&amp;" "&amp;Milestones!$AC$73&amp;";  ","")&amp;IF(AND(EDATE($D16,Milestones!$AA$74)&lt;=AsOfDate,IF($R16=0,$X16,IF(AND($T16&lt;&gt;"",EDATE($D16,Milestones!$AA$74)&gt;=$T16),$W16,IF(AND($S16&lt;&gt;"",EDATE($D16,Milestones!$AA$74)&gt;=$S16),$V16,$U16)))=Milestones!$AB$74),UPPER(TEXT(EDATE($D16,Milestones!$AA$74),"dd mmm yy"))&amp;" "&amp;Milestones!$AB$74&amp;" "&amp;Milestones!$AC$74&amp;";  ","")&amp;IF(AND(EDATE($D16,Milestones!$AA$75)&lt;=AsOfDate,IF($R16=0,$X16,IF(AND($T16&lt;&gt;"",EDATE($D16,Milestones!$AA$75)&gt;=$T16),$W16,IF(AND($S16&lt;&gt;"",EDATE($D16,Milestones!$AA$75)&gt;=$S16),$V16,$U16)))=Milestones!$AB$75),UPPER(TEXT(EDATE($D16,Milestones!$AA$75),"dd mmm yy"))&amp;" "&amp;Milestones!$AB$75&amp;" "&amp;Milestones!$AC$75&amp;";  ","")&amp;IF(AND(EDATE($D16,Milestones!$AA$76)&lt;=AsOfDate,IF($R16=0,$X16,IF(AND($T16&lt;&gt;"",EDATE($D16,Milestones!$AA$76)&gt;=$T16),$W16,IF(AND($S16&lt;&gt;"",EDATE($D16,Milestones!$AA$76)&gt;=$S16),$V16,$U16)))=Milestones!$AB$76),UPPER(TEXT(EDATE($D16,Milestones!$AA$76),"dd mmm yy"))&amp;" "&amp;Milestones!$AB$76&amp;" "&amp;Milestones!$AC$76&amp;";  ","")&amp;IF(AND(EDATE($D16,Milestones!$AA$77)&lt;=AsOfDate,IF($R16=0,$X16,IF(AND($T16&lt;&gt;"",EDATE($D16,Milestones!$AA$77)&gt;=$T16),$W16,IF(AND($S16&lt;&gt;"",EDATE($D16,Milestones!$AA$77)&gt;=$S16),$V16,$U16)))=Milestones!$AB$77),UPPER(TEXT(EDATE($D16,Milestones!$AA$77),"dd mmm yy"))&amp;" "&amp;Milestones!$AB$77&amp;" "&amp;Milestones!$AC$77&amp;";  ","")&amp;IF(AND(EDATE($D16,Milestones!$AA$78)&lt;=AsOfDate,IF($R16=0,$X16,IF(AND($T16&lt;&gt;"",EDATE($D16,Milestones!$AA$78)&gt;=$T16),$W16,IF(AND($S16&lt;&gt;"",EDATE($D16,Milestones!$AA$78)&gt;=$S16),$V16,$U16)))=Milestones!$AB$78),UPPER(TEXT(EDATE($D16,Milestones!$AA$78),"dd mmm yy"))&amp;" "&amp;Milestones!$AB$78&amp;" "&amp;Milestones!$AC$78&amp;";  ","")&amp;IF(AND(EDATE($D16,Milestones!$AA$79)&lt;=AsOfDate,IF($R16=0,$X16,IF(AND($T16&lt;&gt;"",EDATE($D16,Milestones!$AA$79)&gt;=$T16),$W16,IF(AND($S16&lt;&gt;"",EDATE($D16,Milestones!$AA$79)&gt;=$S16),$V16,$U16)))=Milestones!$AB$79),UPPER(TEXT(EDATE($D16,Milestones!$AA$79),"dd mmm yy"))&amp;" "&amp;Milestones!$AB$79&amp;" "&amp;Milestones!$AC$79&amp;";  ",""))</f>
        <v/>
      </c>
      <c r="L16" s="0" t="str">
        <f aca="false">IF(OR($A16="",$D16=""),"",IF(AND(EDATE($D16,Milestones!$AA$80)&lt;=AsOfDate,IF($R16=0,$X16,IF(AND($T16&lt;&gt;"",EDATE($D16,Milestones!$AA$80)&gt;=$T16),$W16,IF(AND($S16&lt;&gt;"",EDATE($D16,Milestones!$AA$80)&gt;=$S16),$V16,$U16)))=Milestones!$AB$80),UPPER(TEXT(EDATE($D16,Milestones!$AA$80),"dd mmm yy"))&amp;" "&amp;Milestones!$AB$80&amp;" "&amp;Milestones!$AC$80&amp;";  ","")&amp;IF(AND(EDATE($D16,Milestones!$AA$81)&lt;=AsOfDate,IF($R16=0,$X16,IF(AND($T16&lt;&gt;"",EDATE($D16,Milestones!$AA$81)&gt;=$T16),$W16,IF(AND($S16&lt;&gt;"",EDATE($D16,Milestones!$AA$81)&gt;=$S16),$V16,$U16)))=Milestones!$AB$81),UPPER(TEXT(EDATE($D16,Milestones!$AA$81),"dd mmm yy"))&amp;" "&amp;Milestones!$AB$81&amp;" "&amp;Milestones!$AC$81&amp;";  ","")&amp;IF(AND(EDATE($D16,Milestones!$AA$82)&lt;=AsOfDate,IF($R16=0,$X16,IF(AND($T16&lt;&gt;"",EDATE($D16,Milestones!$AA$82)&gt;=$T16),$W16,IF(AND($S16&lt;&gt;"",EDATE($D16,Milestones!$AA$82)&gt;=$S16),$V16,$U16)))=Milestones!$AB$82),UPPER(TEXT(EDATE($D16,Milestones!$AA$82),"dd mmm yy"))&amp;" "&amp;Milestones!$AB$82&amp;" "&amp;Milestones!$AC$82&amp;";  ","")&amp;IF(AND(EDATE($D16,Milestones!$AA$83)&lt;=AsOfDate,IF($R16=0,$X16,IF(AND($T16&lt;&gt;"",EDATE($D16,Milestones!$AA$83)&gt;=$T16),$W16,IF(AND($S16&lt;&gt;"",EDATE($D16,Milestones!$AA$83)&gt;=$S16),$V16,$U16)))=Milestones!$AB$83),UPPER(TEXT(EDATE($D16,Milestones!$AA$83),"dd mmm yy"))&amp;" "&amp;Milestones!$AB$83&amp;" "&amp;Milestones!$AC$83&amp;";  ","")&amp;IF(AND(EDATE($D16,Milestones!$AA$84)&lt;=AsOfDate,IF($R16=0,$X16,IF(AND($T16&lt;&gt;"",EDATE($D16,Milestones!$AA$84)&gt;=$T16),$W16,IF(AND($S16&lt;&gt;"",EDATE($D16,Milestones!$AA$84)&gt;=$S16),$V16,$U16)))=Milestones!$AB$84),UPPER(TEXT(EDATE($D16,Milestones!$AA$84),"dd mmm yy"))&amp;" "&amp;Milestones!$AB$84&amp;" "&amp;Milestones!$AC$84&amp;";  ","")&amp;IF(AND(EDATE($D16,Milestones!$AA$85)&lt;=AsOfDate,IF($R16=0,$X16,IF(AND($T16&lt;&gt;"",EDATE($D16,Milestones!$AA$85)&gt;=$T16),$W16,IF(AND($S16&lt;&gt;"",EDATE($D16,Milestones!$AA$85)&gt;=$S16),$V16,$U16)))=Milestones!$AB$85),UPPER(TEXT(EDATE($D16,Milestones!$AA$85),"dd mmm yy"))&amp;" "&amp;Milestones!$AB$85&amp;" "&amp;Milestones!$AC$85&amp;";  ","")&amp;IF(AND(EDATE($D16,Milestones!$AA$86)&lt;=AsOfDate,IF($R16=0,$X16,IF(AND($T16&lt;&gt;"",EDATE($D16,Milestones!$AA$86)&gt;=$T16),$W16,IF(AND($S16&lt;&gt;"",EDATE($D16,Milestones!$AA$86)&gt;=$S16),$V16,$U16)))=Milestones!$AB$86),UPPER(TEXT(EDATE($D16,Milestones!$AA$86),"dd mmm yy"))&amp;" "&amp;Milestones!$AB$86&amp;" "&amp;Milestones!$AC$86&amp;";  ","")&amp;IF(AND(EDATE($D16,Milestones!$AA$87)&lt;=AsOfDate,IF($R16=0,$X16,IF(AND($T16&lt;&gt;"",EDATE($D16,Milestones!$AA$87)&gt;=$T16),$W16,IF(AND($S16&lt;&gt;"",EDATE($D16,Milestones!$AA$87)&gt;=$S16),$V16,$U16)))=Milestones!$AB$87),UPPER(TEXT(EDATE($D16,Milestones!$AA$87),"dd mmm yy"))&amp;" "&amp;Milestones!$AB$87&amp;" "&amp;Milestones!$AC$87&amp;";  ","")&amp;IF(AND(EDATE($D16,Milestones!$AA$88)&lt;=AsOfDate,IF($R16=0,$X16,IF(AND($T16&lt;&gt;"",EDATE($D16,Milestones!$AA$88)&gt;=$T16),$W16,IF(AND($S16&lt;&gt;"",EDATE($D16,Milestones!$AA$88)&gt;=$S16),$V16,$U16)))=Milestones!$AB$88),UPPER(TEXT(EDATE($D16,Milestones!$AA$88),"dd mmm yy"))&amp;" "&amp;Milestones!$AB$88&amp;" "&amp;Milestones!$AC$88&amp;";  ","")&amp;IF(AND(EDATE($D16,Milestones!$AA$89)&lt;=AsOfDate,IF($R16=0,$X16,IF(AND($T16&lt;&gt;"",EDATE($D16,Milestones!$AA$89)&gt;=$T16),$W16,IF(AND($S16&lt;&gt;"",EDATE($D16,Milestones!$AA$89)&gt;=$S16),$V16,$U16)))=Milestones!$AB$89),UPPER(TEXT(EDATE($D16,Milestones!$AA$89),"dd mmm yy"))&amp;" "&amp;Milestones!$AB$89&amp;" "&amp;Milestones!$AC$89&amp;";  ","")&amp;IF(AND(EDATE($D16,Milestones!$AA$90)&lt;=AsOfDate,IF($R16=0,$X16,IF(AND($T16&lt;&gt;"",EDATE($D16,Milestones!$AA$90)&gt;=$T16),$W16,IF(AND($S16&lt;&gt;"",EDATE($D16,Milestones!$AA$90)&gt;=$S16),$V16,$U16)))=Milestones!$AB$90),UPPER(TEXT(EDATE($D16,Milestones!$AA$90),"dd mmm yy"))&amp;" "&amp;Milestones!$AB$90&amp;" "&amp;Milestones!$AC$90&amp;";  ","")&amp;IF(AND(EDATE($D16,Milestones!$AA$91)&lt;=AsOfDate,IF($R16=0,$X16,IF(AND($T16&lt;&gt;"",EDATE($D16,Milestones!$AA$91)&gt;=$T16),$W16,IF(AND($S16&lt;&gt;"",EDATE($D16,Milestones!$AA$91)&gt;=$S16),$V16,$U16)))=Milestones!$AB$91),UPPER(TEXT(EDATE($D16,Milestones!$AA$91),"dd mmm yy"))&amp;" "&amp;Milestones!$AB$91&amp;" "&amp;Milestones!$AC$91&amp;";  ","")&amp;IF(AND(EDATE($D16,Milestones!$AA$92)&lt;=AsOfDate,IF($R16=0,$X16,IF(AND($T16&lt;&gt;"",EDATE($D16,Milestones!$AA$92)&gt;=$T16),$W16,IF(AND($S16&lt;&gt;"",EDATE($D16,Milestones!$AA$92)&gt;=$S16),$V16,$U16)))=Milestones!$AB$92),UPPER(TEXT(EDATE($D16,Milestones!$AA$92),"dd mmm yy"))&amp;" "&amp;Milestones!$AB$92&amp;" "&amp;Milestones!$AC$92&amp;";  ","")&amp;IF(AND(EDATE($D16,Milestones!$AA$93)&lt;=AsOfDate,IF($R16=0,$X16,IF(AND($T16&lt;&gt;"",EDATE($D16,Milestones!$AA$93)&gt;=$T16),$W16,IF(AND($S16&lt;&gt;"",EDATE($D16,Milestones!$AA$93)&gt;=$S16),$V16,$U16)))=Milestones!$AB$93),UPPER(TEXT(EDATE($D16,Milestones!$AA$93),"dd mmm yy"))&amp;" "&amp;Milestones!$AB$93&amp;" "&amp;Milestones!$AC$93&amp;";  ","")&amp;IF(AND(EDATE($D16,Milestones!$AA$94)&lt;=AsOfDate,IF($R16=0,$X16,IF(AND($T16&lt;&gt;"",EDATE($D16,Milestones!$AA$94)&gt;=$T16),$W16,IF(AND($S16&lt;&gt;"",EDATE($D16,Milestones!$AA$94)&gt;=$S16),$V16,$U16)))=Milestones!$AB$94),UPPER(TEXT(EDATE($D16,Milestones!$AA$94),"dd mmm yy"))&amp;" "&amp;Milestones!$AB$94&amp;" "&amp;Milestones!$AC$94&amp;";  ","")&amp;IF(AND(EDATE($D16,Milestones!$AA$95)&lt;=AsOfDate,IF($R16=0,$X16,IF(AND($T16&lt;&gt;"",EDATE($D16,Milestones!$AA$95)&gt;=$T16),$W16,IF(AND($S16&lt;&gt;"",EDATE($D16,Milestones!$AA$95)&gt;=$S16),$V16,$U16)))=Milestones!$AB$95),UPPER(TEXT(EDATE($D16,Milestones!$AA$95),"dd mmm yy"))&amp;" "&amp;Milestones!$AB$95&amp;" "&amp;Milestones!$AC$95&amp;";  ","")&amp;IF(AND(EDATE($D16,Milestones!$AA$96)&lt;=AsOfDate,IF($R16=0,$X16,IF(AND($T16&lt;&gt;"",EDATE($D16,Milestones!$AA$96)&gt;=$T16),$W16,IF(AND($S16&lt;&gt;"",EDATE($D16,Milestones!$AA$96)&gt;=$S16),$V16,$U16)))=Milestones!$AB$96),UPPER(TEXT(EDATE($D16,Milestones!$AA$96),"dd mmm yy"))&amp;" "&amp;Milestones!$AB$96&amp;" "&amp;Milestones!$AC$96&amp;";  ","")&amp;IF(AND(EDATE($D16,Milestones!$AA$97)&lt;=AsOfDate,IF($R16=0,$X16,IF(AND($T16&lt;&gt;"",EDATE($D16,Milestones!$AA$97)&gt;=$T16),$W16,IF(AND($S16&lt;&gt;"",EDATE($D16,Milestones!$AA$97)&gt;=$S16),$V16,$U16)))=Milestones!$AB$97),UPPER(TEXT(EDATE($D16,Milestones!$AA$97),"dd mmm yy"))&amp;" "&amp;Milestones!$AB$97&amp;" "&amp;Milestones!$AC$97&amp;";  ","")&amp;IF(AND(EDATE($D16,Milestones!$AA$98)&lt;=AsOfDate,IF($R16=0,$X16,IF(AND($T16&lt;&gt;"",EDATE($D16,Milestones!$AA$98)&gt;=$T16),$W16,IF(AND($S16&lt;&gt;"",EDATE($D16,Milestones!$AA$98)&gt;=$S16),$V16,$U16)))=Milestones!$AB$98),UPPER(TEXT(EDATE($D16,Milestones!$AA$98),"dd mmm yy"))&amp;" "&amp;Milestones!$AB$98&amp;" "&amp;Milestones!$AC$98&amp;";  ","")&amp;IF(AND(EDATE($D16,Milestones!$AA$99)&lt;=AsOfDate,IF($R16=0,$X16,IF(AND($T16&lt;&gt;"",EDATE($D16,Milestones!$AA$99)&gt;=$T16),$W16,IF(AND($S16&lt;&gt;"",EDATE($D16,Milestones!$AA$99)&gt;=$S16),$V16,$U16)))=Milestones!$AB$99),UPPER(TEXT(EDATE($D16,Milestones!$AA$99),"dd mmm yy"))&amp;" "&amp;Milestones!$AB$99&amp;" "&amp;Milestones!$AC$99&amp;";  ",""))</f>
        <v/>
      </c>
      <c r="M16" s="0" t="str">
        <f aca="false">IF(OR($A16="",$D16=""),"",IF(AND(EDATE($D16,Milestones!$AA$100)&lt;=AsOfDate,IF($R16=0,$X16,IF(AND($T16&lt;&gt;"",EDATE($D16,Milestones!$AA$100)&gt;=$T16),$W16,IF(AND($S16&lt;&gt;"",EDATE($D16,Milestones!$AA$100)&gt;=$S16),$V16,$U16)))=Milestones!$AB$100),UPPER(TEXT(EDATE($D16,Milestones!$AA$100),"dd mmm yy"))&amp;" "&amp;Milestones!$AB$100&amp;" "&amp;Milestones!$AC$100&amp;";  ","")&amp;IF(AND(EDATE($D16,Milestones!$AA$101)&lt;=AsOfDate,IF($R16=0,$X16,IF(AND($T16&lt;&gt;"",EDATE($D16,Milestones!$AA$101)&gt;=$T16),$W16,IF(AND($S16&lt;&gt;"",EDATE($D16,Milestones!$AA$101)&gt;=$S16),$V16,$U16)))=Milestones!$AB$101),UPPER(TEXT(EDATE($D16,Milestones!$AA$101),"dd mmm yy"))&amp;" "&amp;Milestones!$AB$101&amp;" "&amp;Milestones!$AC$101&amp;";  ","")&amp;IF(AND(EDATE($D16,Milestones!$AA$102)&lt;=AsOfDate,IF($R16=0,$X16,IF(AND($T16&lt;&gt;"",EDATE($D16,Milestones!$AA$102)&gt;=$T16),$W16,IF(AND($S16&lt;&gt;"",EDATE($D16,Milestones!$AA$102)&gt;=$S16),$V16,$U16)))=Milestones!$AB$102),UPPER(TEXT(EDATE($D16,Milestones!$AA$102),"dd mmm yy"))&amp;" "&amp;Milestones!$AB$102&amp;" "&amp;Milestones!$AC$102&amp;";  ","")&amp;IF(AND(EDATE($D16,Milestones!$AA$103)&lt;=AsOfDate,IF($R16=0,$X16,IF(AND($T16&lt;&gt;"",EDATE($D16,Milestones!$AA$103)&gt;=$T16),$W16,IF(AND($S16&lt;&gt;"",EDATE($D16,Milestones!$AA$103)&gt;=$S16),$V16,$U16)))=Milestones!$AB$103),UPPER(TEXT(EDATE($D16,Milestones!$AA$103),"dd mmm yy"))&amp;" "&amp;Milestones!$AB$103&amp;" "&amp;Milestones!$AC$103&amp;";  ","")&amp;IF(AND(EDATE($D16,Milestones!$AA$104)&lt;=AsOfDate,IF($R16=0,$X16,IF(AND($T16&lt;&gt;"",EDATE($D16,Milestones!$AA$104)&gt;=$T16),$W16,IF(AND($S16&lt;&gt;"",EDATE($D16,Milestones!$AA$104)&gt;=$S16),$V16,$U16)))=Milestones!$AB$104),UPPER(TEXT(EDATE($D16,Milestones!$AA$104),"dd mmm yy"))&amp;" "&amp;Milestones!$AB$104&amp;" "&amp;Milestones!$AC$104&amp;";  ","")&amp;IF(AND(EDATE($D16,Milestones!$AA$105)&lt;=AsOfDate,IF($R16=0,$X16,IF(AND($T16&lt;&gt;"",EDATE($D16,Milestones!$AA$105)&gt;=$T16),$W16,IF(AND($S16&lt;&gt;"",EDATE($D16,Milestones!$AA$105)&gt;=$S16),$V16,$U16)))=Milestones!$AB$105),UPPER(TEXT(EDATE($D16,Milestones!$AA$105),"dd mmm yy"))&amp;" "&amp;Milestones!$AB$105&amp;" "&amp;Milestones!$AC$105&amp;";  ","")&amp;IF(AND(EDATE($D16,Milestones!$AA$106)&lt;=AsOfDate,IF($R16=0,$X16,IF(AND($T16&lt;&gt;"",EDATE($D16,Milestones!$AA$106)&gt;=$T16),$W16,IF(AND($S16&lt;&gt;"",EDATE($D16,Milestones!$AA$106)&gt;=$S16),$V16,$U16)))=Milestones!$AB$106),UPPER(TEXT(EDATE($D16,Milestones!$AA$106),"dd mmm yy"))&amp;" "&amp;Milestones!$AB$106&amp;" "&amp;Milestones!$AC$106&amp;";  ","")&amp;IF(AND(EDATE($D16,Milestones!$AA$107)&lt;=AsOfDate,IF($R16=0,$X16,IF(AND($T16&lt;&gt;"",EDATE($D16,Milestones!$AA$107)&gt;=$T16),$W16,IF(AND($S16&lt;&gt;"",EDATE($D16,Milestones!$AA$107)&gt;=$S16),$V16,$U16)))=Milestones!$AB$107),UPPER(TEXT(EDATE($D16,Milestones!$AA$107),"dd mmm yy"))&amp;" "&amp;Milestones!$AB$107&amp;" "&amp;Milestones!$AC$107&amp;";  ","")&amp;IF(AND(EDATE($D16,Milestones!$AA$108)&lt;=AsOfDate,IF($R16=0,$X16,IF(AND($T16&lt;&gt;"",EDATE($D16,Milestones!$AA$108)&gt;=$T16),$W16,IF(AND($S16&lt;&gt;"",EDATE($D16,Milestones!$AA$108)&gt;=$S16),$V16,$U16)))=Milestones!$AB$108),UPPER(TEXT(EDATE($D16,Milestones!$AA$108),"dd mmm yy"))&amp;" "&amp;Milestones!$AB$108&amp;" "&amp;Milestones!$AC$108&amp;";  ","")&amp;IF(AND(EDATE($D16,Milestones!$AA$109)&lt;=AsOfDate,IF($R16=0,$X16,IF(AND($T16&lt;&gt;"",EDATE($D16,Milestones!$AA$109)&gt;=$T16),$W16,IF(AND($S16&lt;&gt;"",EDATE($D16,Milestones!$AA$109)&gt;=$S16),$V16,$U16)))=Milestones!$AB$109),UPPER(TEXT(EDATE($D16,Milestones!$AA$109),"dd mmm yy"))&amp;" "&amp;Milestones!$AB$109&amp;" "&amp;Milestones!$AC$109&amp;";  ","")&amp;IF(AND(EDATE($D16,Milestones!$AA$110)&lt;=AsOfDate,IF($R16=0,$X16,IF(AND($T16&lt;&gt;"",EDATE($D16,Milestones!$AA$110)&gt;=$T16),$W16,IF(AND($S16&lt;&gt;"",EDATE($D16,Milestones!$AA$110)&gt;=$S16),$V16,$U16)))=Milestones!$AB$110),UPPER(TEXT(EDATE($D16,Milestones!$AA$110),"dd mmm yy"))&amp;" "&amp;Milestones!$AB$110&amp;" "&amp;Milestones!$AC$110&amp;";  ","")&amp;IF(AND(EDATE($D16,Milestones!$AA$111)&lt;=AsOfDate,IF($R16=0,$X16,IF(AND($T16&lt;&gt;"",EDATE($D16,Milestones!$AA$111)&gt;=$T16),$W16,IF(AND($S16&lt;&gt;"",EDATE($D16,Milestones!$AA$111)&gt;=$S16),$V16,$U16)))=Milestones!$AB$111),UPPER(TEXT(EDATE($D16,Milestones!$AA$111),"dd mmm yy"))&amp;" "&amp;Milestones!$AB$111&amp;" "&amp;Milestones!$AC$111&amp;";  ","")&amp;IF(AND(EDATE($D16,Milestones!$AA$112)&lt;=AsOfDate,IF($R16=0,$X16,IF(AND($T16&lt;&gt;"",EDATE($D16,Milestones!$AA$112)&gt;=$T16),$W16,IF(AND($S16&lt;&gt;"",EDATE($D16,Milestones!$AA$112)&gt;=$S16),$V16,$U16)))=Milestones!$AB$112),UPPER(TEXT(EDATE($D16,Milestones!$AA$112),"dd mmm yy"))&amp;" "&amp;Milestones!$AB$112&amp;" "&amp;Milestones!$AC$112&amp;";  ","")&amp;IF(AND(EDATE($D16,Milestones!$AA$113)&lt;=AsOfDate,IF($R16=0,$X16,IF(AND($T16&lt;&gt;"",EDATE($D16,Milestones!$AA$113)&gt;=$T16),$W16,IF(AND($S16&lt;&gt;"",EDATE($D16,Milestones!$AA$113)&gt;=$S16),$V16,$U16)))=Milestones!$AB$113),UPPER(TEXT(EDATE($D16,Milestones!$AA$113),"dd mmm yy"))&amp;" "&amp;Milestones!$AB$113&amp;" "&amp;Milestones!$AC$113&amp;";  ","")&amp;IF(AND(EDATE($D16,Milestones!$AA$114)&lt;=AsOfDate,IF($R16=0,$X16,IF(AND($T16&lt;&gt;"",EDATE($D16,Milestones!$AA$114)&gt;=$T16),$W16,IF(AND($S16&lt;&gt;"",EDATE($D16,Milestones!$AA$114)&gt;=$S16),$V16,$U16)))=Milestones!$AB$114),UPPER(TEXT(EDATE($D16,Milestones!$AA$114),"dd mmm yy"))&amp;" "&amp;Milestones!$AB$114&amp;" "&amp;Milestones!$AC$114&amp;";  ","")&amp;IF(AND(EDATE($D16,Milestones!$AA$115)&lt;=AsOfDate,IF($R16=0,$X16,IF(AND($T16&lt;&gt;"",EDATE($D16,Milestones!$AA$115)&gt;=$T16),$W16,IF(AND($S16&lt;&gt;"",EDATE($D16,Milestones!$AA$115)&gt;=$S16),$V16,$U16)))=Milestones!$AB$115),UPPER(TEXT(EDATE($D16,Milestones!$AA$115),"dd mmm yy"))&amp;" "&amp;Milestones!$AB$115&amp;" "&amp;Milestones!$AC$115&amp;";  ","")&amp;IF(AND(EDATE($D16,Milestones!$AA$116)&lt;=AsOfDate,IF($R16=0,$X16,IF(AND($T16&lt;&gt;"",EDATE($D16,Milestones!$AA$116)&gt;=$T16),$W16,IF(AND($S16&lt;&gt;"",EDATE($D16,Milestones!$AA$116)&gt;=$S16),$V16,$U16)))=Milestones!$AB$116),UPPER(TEXT(EDATE($D16,Milestones!$AA$116),"dd mmm yy"))&amp;" "&amp;Milestones!$AB$116&amp;" "&amp;Milestones!$AC$116&amp;";  ","")&amp;IF(AND(EDATE($D16,Milestones!$AA$117)&lt;=AsOfDate,IF($R16=0,$X16,IF(AND($T16&lt;&gt;"",EDATE($D16,Milestones!$AA$117)&gt;=$T16),$W16,IF(AND($S16&lt;&gt;"",EDATE($D16,Milestones!$AA$117)&gt;=$S16),$V16,$U16)))=Milestones!$AB$117),UPPER(TEXT(EDATE($D16,Milestones!$AA$117),"dd mmm yy"))&amp;" "&amp;Milestones!$AB$117&amp;" "&amp;Milestones!$AC$117&amp;";  ","")&amp;IF(AND(EDATE($D16,Milestones!$AA$118)&lt;=AsOfDate,IF($R16=0,$X16,IF(AND($T16&lt;&gt;"",EDATE($D16,Milestones!$AA$118)&gt;=$T16),$W16,IF(AND($S16&lt;&gt;"",EDATE($D16,Milestones!$AA$118)&gt;=$S16),$V16,$U16)))=Milestones!$AB$118),UPPER(TEXT(EDATE($D16,Milestones!$AA$118),"dd mmm yy"))&amp;" "&amp;Milestones!$AB$118&amp;" "&amp;Milestones!$AC$118&amp;";  ","")&amp;IF(AND(EDATE($D16,Milestones!$AA$119)&lt;=AsOfDate,IF($R16=0,$X16,IF(AND($T16&lt;&gt;"",EDATE($D16,Milestones!$AA$119)&gt;=$T16),$W16,IF(AND($S16&lt;&gt;"",EDATE($D16,Milestones!$AA$119)&gt;=$S16),$V16,$U16)))=Milestones!$AB$119),UPPER(TEXT(EDATE($D16,Milestones!$AA$119),"dd mmm yy"))&amp;" "&amp;Milestones!$AB$119&amp;" "&amp;Milestones!$AC$119&amp;";  ",""))</f>
        <v/>
      </c>
      <c r="N16" s="0" t="str">
        <f aca="false">IF(OR($A16="",$D16=""),"",IF(AND(EDATE($D16,Milestones!$AA$120)&lt;=AsOfDate,IF($R16=0,$X16,IF(AND($T16&lt;&gt;"",EDATE($D16,Milestones!$AA$120)&gt;=$T16),$W16,IF(AND($S16&lt;&gt;"",EDATE($D16,Milestones!$AA$120)&gt;=$S16),$V16,$U16)))=Milestones!$AB$120),UPPER(TEXT(EDATE($D16,Milestones!$AA$120),"dd mmm yy"))&amp;" "&amp;Milestones!$AB$120&amp;" "&amp;Milestones!$AC$120&amp;";  ","")&amp;IF(AND(EDATE($D16,Milestones!$AA$121)&lt;=AsOfDate,IF($R16=0,$X16,IF(AND($T16&lt;&gt;"",EDATE($D16,Milestones!$AA$121)&gt;=$T16),$W16,IF(AND($S16&lt;&gt;"",EDATE($D16,Milestones!$AA$121)&gt;=$S16),$V16,$U16)))=Milestones!$AB$121),UPPER(TEXT(EDATE($D16,Milestones!$AA$121),"dd mmm yy"))&amp;" "&amp;Milestones!$AB$121&amp;" "&amp;Milestones!$AC$121&amp;";  ","")&amp;IF(AND(EDATE($D16,Milestones!$AA$122)&lt;=AsOfDate,IF($R16=0,$X16,IF(AND($T16&lt;&gt;"",EDATE($D16,Milestones!$AA$122)&gt;=$T16),$W16,IF(AND($S16&lt;&gt;"",EDATE($D16,Milestones!$AA$122)&gt;=$S16),$V16,$U16)))=Milestones!$AB$122),UPPER(TEXT(EDATE($D16,Milestones!$AA$122),"dd mmm yy"))&amp;" "&amp;Milestones!$AB$122&amp;" "&amp;Milestones!$AC$122&amp;";  ","")&amp;IF(AND(EDATE($D16,Milestones!$AA$123)&lt;=AsOfDate,IF($R16=0,$X16,IF(AND($T16&lt;&gt;"",EDATE($D16,Milestones!$AA$123)&gt;=$T16),$W16,IF(AND($S16&lt;&gt;"",EDATE($D16,Milestones!$AA$123)&gt;=$S16),$V16,$U16)))=Milestones!$AB$123),UPPER(TEXT(EDATE($D16,Milestones!$AA$123),"dd mmm yy"))&amp;" "&amp;Milestones!$AB$123&amp;" "&amp;Milestones!$AC$123&amp;";  ","")&amp;IF(AND(EDATE($D16,Milestones!$AA$124)&lt;=AsOfDate,IF($R16=0,$X16,IF(AND($T16&lt;&gt;"",EDATE($D16,Milestones!$AA$124)&gt;=$T16),$W16,IF(AND($S16&lt;&gt;"",EDATE($D16,Milestones!$AA$124)&gt;=$S16),$V16,$U16)))=Milestones!$AB$124),UPPER(TEXT(EDATE($D16,Milestones!$AA$124),"dd mmm yy"))&amp;" "&amp;Milestones!$AB$124&amp;" "&amp;Milestones!$AC$124&amp;";  ","")&amp;IF(AND(EDATE($D16,Milestones!$AA$125)&lt;=AsOfDate,IF($R16=0,$X16,IF(AND($T16&lt;&gt;"",EDATE($D16,Milestones!$AA$125)&gt;=$T16),$W16,IF(AND($S16&lt;&gt;"",EDATE($D16,Milestones!$AA$125)&gt;=$S16),$V16,$U16)))=Milestones!$AB$125),UPPER(TEXT(EDATE($D16,Milestones!$AA$125),"dd mmm yy"))&amp;" "&amp;Milestones!$AB$125&amp;" "&amp;Milestones!$AC$125&amp;";  ","")&amp;IF(AND(EDATE($D16,Milestones!$AA$126)&lt;=AsOfDate,IF($R16=0,$X16,IF(AND($T16&lt;&gt;"",EDATE($D16,Milestones!$AA$126)&gt;=$T16),$W16,IF(AND($S16&lt;&gt;"",EDATE($D16,Milestones!$AA$126)&gt;=$S16),$V16,$U16)))=Milestones!$AB$126),UPPER(TEXT(EDATE($D16,Milestones!$AA$126),"dd mmm yy"))&amp;" "&amp;Milestones!$AB$126&amp;" "&amp;Milestones!$AC$126&amp;";  ","")&amp;IF(AND(EDATE($D16,Milestones!$AA$127)&lt;=AsOfDate,IF($R16=0,$X16,IF(AND($T16&lt;&gt;"",EDATE($D16,Milestones!$AA$127)&gt;=$T16),$W16,IF(AND($S16&lt;&gt;"",EDATE($D16,Milestones!$AA$127)&gt;=$S16),$V16,$U16)))=Milestones!$AB$127),UPPER(TEXT(EDATE($D16,Milestones!$AA$127),"dd mmm yy"))&amp;" "&amp;Milestones!$AB$127&amp;" "&amp;Milestones!$AC$127&amp;";  ","")&amp;IF(AND(EDATE($D16,Milestones!$AA$128)&lt;=AsOfDate,IF($R16=0,$X16,IF(AND($T16&lt;&gt;"",EDATE($D16,Milestones!$AA$128)&gt;=$T16),$W16,IF(AND($S16&lt;&gt;"",EDATE($D16,Milestones!$AA$128)&gt;=$S16),$V16,$U16)))=Milestones!$AB$128),UPPER(TEXT(EDATE($D16,Milestones!$AA$128),"dd mmm yy"))&amp;" "&amp;Milestones!$AB$128&amp;" "&amp;Milestones!$AC$128&amp;";  ","")&amp;IF(AND(EDATE($D16,Milestones!$AA$129)&lt;=AsOfDate,IF($R16=0,$X16,IF(AND($T16&lt;&gt;"",EDATE($D16,Milestones!$AA$129)&gt;=$T16),$W16,IF(AND($S16&lt;&gt;"",EDATE($D16,Milestones!$AA$129)&gt;=$S16),$V16,$U16)))=Milestones!$AB$129),UPPER(TEXT(EDATE($D16,Milestones!$AA$129),"dd mmm yy"))&amp;" "&amp;Milestones!$AB$129&amp;" "&amp;Milestones!$AC$129&amp;";  ","")&amp;IF(AND(EDATE($D16,Milestones!$AA$130)&lt;=AsOfDate,IF($R16=0,$X16,IF(AND($T16&lt;&gt;"",EDATE($D16,Milestones!$AA$130)&gt;=$T16),$W16,IF(AND($S16&lt;&gt;"",EDATE($D16,Milestones!$AA$130)&gt;=$S16),$V16,$U16)))=Milestones!$AB$130),UPPER(TEXT(EDATE($D16,Milestones!$AA$130),"dd mmm yy"))&amp;" "&amp;Milestones!$AB$130&amp;" "&amp;Milestones!$AC$130&amp;";  ","")&amp;IF(AND(EDATE($D16,Milestones!$AA$131)&lt;=AsOfDate,IF($R16=0,$X16,IF(AND($T16&lt;&gt;"",EDATE($D16,Milestones!$AA$131)&gt;=$T16),$W16,IF(AND($S16&lt;&gt;"",EDATE($D16,Milestones!$AA$131)&gt;=$S16),$V16,$U16)))=Milestones!$AB$131),UPPER(TEXT(EDATE($D16,Milestones!$AA$131),"dd mmm yy"))&amp;" "&amp;Milestones!$AB$131&amp;" "&amp;Milestones!$AC$131&amp;";  ","")&amp;IF(AND(EDATE($D16,Milestones!$AA$132)&lt;=AsOfDate,IF($R16=0,$X16,IF(AND($T16&lt;&gt;"",EDATE($D16,Milestones!$AA$132)&gt;=$T16),$W16,IF(AND($S16&lt;&gt;"",EDATE($D16,Milestones!$AA$132)&gt;=$S16),$V16,$U16)))=Milestones!$AB$132),UPPER(TEXT(EDATE($D16,Milestones!$AA$132),"dd mmm yy"))&amp;" "&amp;Milestones!$AB$132&amp;" "&amp;Milestones!$AC$132&amp;";  ","")&amp;IF(AND(EDATE($D16,Milestones!$AA$133)&lt;=AsOfDate,IF($R16=0,$X16,IF(AND($T16&lt;&gt;"",EDATE($D16,Milestones!$AA$133)&gt;=$T16),$W16,IF(AND($S16&lt;&gt;"",EDATE($D16,Milestones!$AA$133)&gt;=$S16),$V16,$U16)))=Milestones!$AB$133),UPPER(TEXT(EDATE($D16,Milestones!$AA$133),"dd mmm yy"))&amp;" "&amp;Milestones!$AB$133&amp;" "&amp;Milestones!$AC$133&amp;";  ","")&amp;IF(AND(EDATE($D16,Milestones!$AA$134)&lt;=AsOfDate,IF($R16=0,$X16,IF(AND($T16&lt;&gt;"",EDATE($D16,Milestones!$AA$134)&gt;=$T16),$W16,IF(AND($S16&lt;&gt;"",EDATE($D16,Milestones!$AA$134)&gt;=$S16),$V16,$U16)))=Milestones!$AB$134),UPPER(TEXT(EDATE($D16,Milestones!$AA$134),"dd mmm yy"))&amp;" "&amp;Milestones!$AB$134&amp;" "&amp;Milestones!$AC$134&amp;";  ","")&amp;IF(AND(EDATE($D16,Milestones!$AA$135)&lt;=AsOfDate,IF($R16=0,$X16,IF(AND($T16&lt;&gt;"",EDATE($D16,Milestones!$AA$135)&gt;=$T16),$W16,IF(AND($S16&lt;&gt;"",EDATE($D16,Milestones!$AA$135)&gt;=$S16),$V16,$U16)))=Milestones!$AB$135),UPPER(TEXT(EDATE($D16,Milestones!$AA$135),"dd mmm yy"))&amp;" "&amp;Milestones!$AB$135&amp;" "&amp;Milestones!$AC$135&amp;";  ","")&amp;IF(AND(EDATE($D16,Milestones!$AA$136)&lt;=AsOfDate,IF($R16=0,$X16,IF(AND($T16&lt;&gt;"",EDATE($D16,Milestones!$AA$136)&gt;=$T16),$W16,IF(AND($S16&lt;&gt;"",EDATE($D16,Milestones!$AA$136)&gt;=$S16),$V16,$U16)))=Milestones!$AB$136),UPPER(TEXT(EDATE($D16,Milestones!$AA$136),"dd mmm yy"))&amp;" "&amp;Milestones!$AB$136&amp;" "&amp;Milestones!$AC$136&amp;";  ","")&amp;IF(AND(EDATE($D16,Milestones!$AA$137)&lt;=AsOfDate,IF($R16=0,$X16,IF(AND($T16&lt;&gt;"",EDATE($D16,Milestones!$AA$137)&gt;=$T16),$W16,IF(AND($S16&lt;&gt;"",EDATE($D16,Milestones!$AA$137)&gt;=$S16),$V16,$U16)))=Milestones!$AB$137),UPPER(TEXT(EDATE($D16,Milestones!$AA$137),"dd mmm yy"))&amp;" "&amp;Milestones!$AB$137&amp;" "&amp;Milestones!$AC$137&amp;";  ","")&amp;IF(AND(EDATE($D16,Milestones!$AA$138)&lt;=AsOfDate,IF($R16=0,$X16,IF(AND($T16&lt;&gt;"",EDATE($D16,Milestones!$AA$138)&gt;=$T16),$W16,IF(AND($S16&lt;&gt;"",EDATE($D16,Milestones!$AA$138)&gt;=$S16),$V16,$U16)))=Milestones!$AB$138),UPPER(TEXT(EDATE($D16,Milestones!$AA$138),"dd mmm yy"))&amp;" "&amp;Milestones!$AB$138&amp;" "&amp;Milestones!$AC$138&amp;";  ","")&amp;IF(AND(EDATE($D16,Milestones!$AA$139)&lt;=AsOfDate,IF($R16=0,$X16,IF(AND($T16&lt;&gt;"",EDATE($D16,Milestones!$AA$139)&gt;=$T16),$W16,IF(AND($S16&lt;&gt;"",EDATE($D16,Milestones!$AA$139)&gt;=$S16),$V16,$U16)))=Milestones!$AB$139),UPPER(TEXT(EDATE($D16,Milestones!$AA$139),"dd mmm yy"))&amp;" "&amp;Milestones!$AB$139&amp;" "&amp;Milestones!$AC$139&amp;";  ",""))</f>
        <v/>
      </c>
      <c r="O16" s="0" t="str">
        <f aca="false">IF(OR($A16="",$D16=""),"",IF(AND(EDATE($D16,Milestones!$AA$140)&lt;=AsOfDate,IF($R16=0,$X16,IF(AND($T16&lt;&gt;"",EDATE($D16,Milestones!$AA$140)&gt;=$T16),$W16,IF(AND($S16&lt;&gt;"",EDATE($D16,Milestones!$AA$140)&gt;=$S16),$V16,$U16)))=Milestones!$AB$140),UPPER(TEXT(EDATE($D16,Milestones!$AA$140),"dd mmm yy"))&amp;" "&amp;Milestones!$AB$140&amp;" "&amp;Milestones!$AC$140&amp;";  ","")&amp;IF(AND(EDATE($D16,Milestones!$AA$141)&lt;=AsOfDate,IF($R16=0,$X16,IF(AND($T16&lt;&gt;"",EDATE($D16,Milestones!$AA$141)&gt;=$T16),$W16,IF(AND($S16&lt;&gt;"",EDATE($D16,Milestones!$AA$141)&gt;=$S16),$V16,$U16)))=Milestones!$AB$141),UPPER(TEXT(EDATE($D16,Milestones!$AA$141),"dd mmm yy"))&amp;" "&amp;Milestones!$AB$141&amp;" "&amp;Milestones!$AC$141&amp;";  ","")&amp;IF(AND(EDATE($D16,Milestones!$AA$142)&lt;=AsOfDate,IF($R16=0,$X16,IF(AND($T16&lt;&gt;"",EDATE($D16,Milestones!$AA$142)&gt;=$T16),$W16,IF(AND($S16&lt;&gt;"",EDATE($D16,Milestones!$AA$142)&gt;=$S16),$V16,$U16)))=Milestones!$AB$142),UPPER(TEXT(EDATE($D16,Milestones!$AA$142),"dd mmm yy"))&amp;" "&amp;Milestones!$AB$142&amp;" "&amp;Milestones!$AC$142&amp;";  ","")&amp;IF(AND(EDATE($D16,Milestones!$AA$143)&lt;=AsOfDate,IF($R16=0,$X16,IF(AND($T16&lt;&gt;"",EDATE($D16,Milestones!$AA$143)&gt;=$T16),$W16,IF(AND($S16&lt;&gt;"",EDATE($D16,Milestones!$AA$143)&gt;=$S16),$V16,$U16)))=Milestones!$AB$143),UPPER(TEXT(EDATE($D16,Milestones!$AA$143),"dd mmm yy"))&amp;" "&amp;Milestones!$AB$143&amp;" "&amp;Milestones!$AC$143&amp;";  ","")&amp;IF(AND(EDATE($D16,Milestones!$AA$144)&lt;=AsOfDate,IF($R16=0,$X16,IF(AND($T16&lt;&gt;"",EDATE($D16,Milestones!$AA$144)&gt;=$T16),$W16,IF(AND($S16&lt;&gt;"",EDATE($D16,Milestones!$AA$144)&gt;=$S16),$V16,$U16)))=Milestones!$AB$144),UPPER(TEXT(EDATE($D16,Milestones!$AA$144),"dd mmm yy"))&amp;" "&amp;Milestones!$AB$144&amp;" "&amp;Milestones!$AC$144&amp;";  ","")&amp;IF(AND(EDATE($D16,Milestones!$AA$145)&lt;=AsOfDate,IF($R16=0,$X16,IF(AND($T16&lt;&gt;"",EDATE($D16,Milestones!$AA$145)&gt;=$T16),$W16,IF(AND($S16&lt;&gt;"",EDATE($D16,Milestones!$AA$145)&gt;=$S16),$V16,$U16)))=Milestones!$AB$145),UPPER(TEXT(EDATE($D16,Milestones!$AA$145),"dd mmm yy"))&amp;" "&amp;Milestones!$AB$145&amp;" "&amp;Milestones!$AC$145&amp;";  ","")&amp;IF(AND(EDATE($D16,Milestones!$AA$146)&lt;=AsOfDate,IF($R16=0,$X16,IF(AND($T16&lt;&gt;"",EDATE($D16,Milestones!$AA$146)&gt;=$T16),$W16,IF(AND($S16&lt;&gt;"",EDATE($D16,Milestones!$AA$146)&gt;=$S16),$V16,$U16)))=Milestones!$AB$146),UPPER(TEXT(EDATE($D16,Milestones!$AA$146),"dd mmm yy"))&amp;" "&amp;Milestones!$AB$146&amp;" "&amp;Milestones!$AC$146&amp;";  ","")&amp;IF(AND(EDATE($D16,Milestones!$AA$147)&lt;=AsOfDate,IF($R16=0,$X16,IF(AND($T16&lt;&gt;"",EDATE($D16,Milestones!$AA$147)&gt;=$T16),$W16,IF(AND($S16&lt;&gt;"",EDATE($D16,Milestones!$AA$147)&gt;=$S16),$V16,$U16)))=Milestones!$AB$147),UPPER(TEXT(EDATE($D16,Milestones!$AA$147),"dd mmm yy"))&amp;" "&amp;Milestones!$AB$147&amp;" "&amp;Milestones!$AC$147&amp;";  ","")&amp;IF(AND(EDATE($D16,Milestones!$AA$148)&lt;=AsOfDate,IF($R16=0,$X16,IF(AND($T16&lt;&gt;"",EDATE($D16,Milestones!$AA$148)&gt;=$T16),$W16,IF(AND($S16&lt;&gt;"",EDATE($D16,Milestones!$AA$148)&gt;=$S16),$V16,$U16)))=Milestones!$AB$148),UPPER(TEXT(EDATE($D16,Milestones!$AA$148),"dd mmm yy"))&amp;" "&amp;Milestones!$AB$148&amp;" "&amp;Milestones!$AC$148&amp;";  ","")&amp;IF(AND(EDATE($D16,Milestones!$AA$149)&lt;=AsOfDate,IF($R16=0,$X16,IF(AND($T16&lt;&gt;"",EDATE($D16,Milestones!$AA$149)&gt;=$T16),$W16,IF(AND($S16&lt;&gt;"",EDATE($D16,Milestones!$AA$149)&gt;=$S16),$V16,$U16)))=Milestones!$AB$149),UPPER(TEXT(EDATE($D16,Milestones!$AA$149),"dd mmm yy"))&amp;" "&amp;Milestones!$AB$149&amp;" "&amp;Milestones!$AC$149&amp;";  ","")&amp;IF(AND(EDATE($D16,Milestones!$AA$150)&lt;=AsOfDate,IF($R16=0,$X16,IF(AND($T16&lt;&gt;"",EDATE($D16,Milestones!$AA$150)&gt;=$T16),$W16,IF(AND($S16&lt;&gt;"",EDATE($D16,Milestones!$AA$150)&gt;=$S16),$V16,$U16)))=Milestones!$AB$150),UPPER(TEXT(EDATE($D16,Milestones!$AA$150),"dd mmm yy"))&amp;" "&amp;Milestones!$AB$150&amp;" "&amp;Milestones!$AC$150&amp;";  ","")&amp;IF(AND(EDATE($D16,Milestones!$AA$151)&lt;=AsOfDate,IF($R16=0,$X16,IF(AND($T16&lt;&gt;"",EDATE($D16,Milestones!$AA$151)&gt;=$T16),$W16,IF(AND($S16&lt;&gt;"",EDATE($D16,Milestones!$AA$151)&gt;=$S16),$V16,$U16)))=Milestones!$AB$151),UPPER(TEXT(EDATE($D16,Milestones!$AA$151),"dd mmm yy"))&amp;" "&amp;Milestones!$AB$151&amp;" "&amp;Milestones!$AC$151&amp;";  ","")&amp;IF(AND(EDATE($D16,Milestones!$AA$152)&lt;=AsOfDate,IF($R16=0,$X16,IF(AND($T16&lt;&gt;"",EDATE($D16,Milestones!$AA$152)&gt;=$T16),$W16,IF(AND($S16&lt;&gt;"",EDATE($D16,Milestones!$AA$152)&gt;=$S16),$V16,$U16)))=Milestones!$AB$152),UPPER(TEXT(EDATE($D16,Milestones!$AA$152),"dd mmm yy"))&amp;" "&amp;Milestones!$AB$152&amp;" "&amp;Milestones!$AC$152&amp;";  ","")&amp;IF(AND(EDATE($D16,Milestones!$AA$153)&lt;=AsOfDate,IF($R16=0,$X16,IF(AND($T16&lt;&gt;"",EDATE($D16,Milestones!$AA$153)&gt;=$T16),$W16,IF(AND($S16&lt;&gt;"",EDATE($D16,Milestones!$AA$153)&gt;=$S16),$V16,$U16)))=Milestones!$AB$153),UPPER(TEXT(EDATE($D16,Milestones!$AA$153),"dd mmm yy"))&amp;" "&amp;Milestones!$AB$153&amp;" "&amp;Milestones!$AC$153&amp;";  ","")&amp;IF(AND(EDATE($D16,Milestones!$AA$154)&lt;=AsOfDate,IF($R16=0,$X16,IF(AND($T16&lt;&gt;"",EDATE($D16,Milestones!$AA$154)&gt;=$T16),$W16,IF(AND($S16&lt;&gt;"",EDATE($D16,Milestones!$AA$154)&gt;=$S16),$V16,$U16)))=Milestones!$AB$154),UPPER(TEXT(EDATE($D16,Milestones!$AA$154),"dd mmm yy"))&amp;" "&amp;Milestones!$AB$154&amp;" "&amp;Milestones!$AC$154&amp;";  ","")&amp;IF(AND(EDATE($D16,Milestones!$AA$155)&lt;=AsOfDate,IF($R16=0,$X16,IF(AND($T16&lt;&gt;"",EDATE($D16,Milestones!$AA$155)&gt;=$T16),$W16,IF(AND($S16&lt;&gt;"",EDATE($D16,Milestones!$AA$155)&gt;=$S16),$V16,$U16)))=Milestones!$AB$155),UPPER(TEXT(EDATE($D16,Milestones!$AA$155),"dd mmm yy"))&amp;" "&amp;Milestones!$AB$155&amp;" "&amp;Milestones!$AC$155&amp;";  ","")&amp;IF(AND(EDATE($D16,Milestones!$AA$156)&lt;=AsOfDate,IF($R16=0,$X16,IF(AND($T16&lt;&gt;"",EDATE($D16,Milestones!$AA$156)&gt;=$T16),$W16,IF(AND($S16&lt;&gt;"",EDATE($D16,Milestones!$AA$156)&gt;=$S16),$V16,$U16)))=Milestones!$AB$156),UPPER(TEXT(EDATE($D16,Milestones!$AA$156),"dd mmm yy"))&amp;" "&amp;Milestones!$AB$156&amp;" "&amp;Milestones!$AC$156&amp;";  ","")&amp;IF(AND(EDATE($D16,Milestones!$AA$157)&lt;=AsOfDate,IF($R16=0,$X16,IF(AND($T16&lt;&gt;"",EDATE($D16,Milestones!$AA$157)&gt;=$T16),$W16,IF(AND($S16&lt;&gt;"",EDATE($D16,Milestones!$AA$157)&gt;=$S16),$V16,$U16)))=Milestones!$AB$157),UPPER(TEXT(EDATE($D16,Milestones!$AA$157),"dd mmm yy"))&amp;" "&amp;Milestones!$AB$157&amp;" "&amp;Milestones!$AC$157&amp;";  ","")&amp;IF(AND(EDATE($D16,Milestones!$AA$158)&lt;=AsOfDate,IF($R16=0,$X16,IF(AND($T16&lt;&gt;"",EDATE($D16,Milestones!$AA$158)&gt;=$T16),$W16,IF(AND($S16&lt;&gt;"",EDATE($D16,Milestones!$AA$158)&gt;=$S16),$V16,$U16)))=Milestones!$AB$158),UPPER(TEXT(EDATE($D16,Milestones!$AA$158),"dd mmm yy"))&amp;" "&amp;Milestones!$AB$158&amp;" "&amp;Milestones!$AC$158&amp;";  ","")&amp;IF(AND(EDATE($D16,Milestones!$AA$159)&lt;=AsOfDate,IF($R16=0,$X16,IF(AND($T16&lt;&gt;"",EDATE($D16,Milestones!$AA$159)&gt;=$T16),$W16,IF(AND($S16&lt;&gt;"",EDATE($D16,Milestones!$AA$159)&gt;=$S16),$V16,$U16)))=Milestones!$AB$159),UPPER(TEXT(EDATE($D16,Milestones!$AA$159),"dd mmm yy"))&amp;" "&amp;Milestones!$AB$159&amp;" "&amp;Milestones!$AC$159&amp;";  ",""))</f>
        <v/>
      </c>
      <c r="P16" s="0" t="str">
        <f aca="false">IF(OR($A16="",$D16=""),"",IF(AND(EDATE($D16,Milestones!$AA$160)&lt;=AsOfDate,IF($R16=0,$X16,IF(AND($T16&lt;&gt;"",EDATE($D16,Milestones!$AA$160)&gt;=$T16),$W16,IF(AND($S16&lt;&gt;"",EDATE($D16,Milestones!$AA$160)&gt;=$S16),$V16,$U16)))=Milestones!$AB$160),UPPER(TEXT(EDATE($D16,Milestones!$AA$160),"dd mmm yy"))&amp;" "&amp;Milestones!$AB$160&amp;" "&amp;Milestones!$AC$160&amp;";  ","")&amp;IF(AND(EDATE($D16,Milestones!$AA$161)&lt;=AsOfDate,IF($R16=0,$X16,IF(AND($T16&lt;&gt;"",EDATE($D16,Milestones!$AA$161)&gt;=$T16),$W16,IF(AND($S16&lt;&gt;"",EDATE($D16,Milestones!$AA$161)&gt;=$S16),$V16,$U16)))=Milestones!$AB$161),UPPER(TEXT(EDATE($D16,Milestones!$AA$161),"dd mmm yy"))&amp;" "&amp;Milestones!$AB$161&amp;" "&amp;Milestones!$AC$161&amp;";  ","")&amp;IF(AND(EDATE($D16,Milestones!$AA$162)&lt;=AsOfDate,IF($R16=0,$X16,IF(AND($T16&lt;&gt;"",EDATE($D16,Milestones!$AA$162)&gt;=$T16),$W16,IF(AND($S16&lt;&gt;"",EDATE($D16,Milestones!$AA$162)&gt;=$S16),$V16,$U16)))=Milestones!$AB$162),UPPER(TEXT(EDATE($D16,Milestones!$AA$162),"dd mmm yy"))&amp;" "&amp;Milestones!$AB$162&amp;" "&amp;Milestones!$AC$162&amp;";  ","")&amp;IF(AND(EDATE($D16,Milestones!$AA$163)&lt;=AsOfDate,IF($R16=0,$X16,IF(AND($T16&lt;&gt;"",EDATE($D16,Milestones!$AA$163)&gt;=$T16),$W16,IF(AND($S16&lt;&gt;"",EDATE($D16,Milestones!$AA$163)&gt;=$S16),$V16,$U16)))=Milestones!$AB$163),UPPER(TEXT(EDATE($D16,Milestones!$AA$163),"dd mmm yy"))&amp;" "&amp;Milestones!$AB$163&amp;" "&amp;Milestones!$AC$163&amp;";  ","")&amp;IF(AND(EDATE($D16,Milestones!$AA$164)&lt;=AsOfDate,IF($R16=0,$X16,IF(AND($T16&lt;&gt;"",EDATE($D16,Milestones!$AA$164)&gt;=$T16),$W16,IF(AND($S16&lt;&gt;"",EDATE($D16,Milestones!$AA$164)&gt;=$S16),$V16,$U16)))=Milestones!$AB$164),UPPER(TEXT(EDATE($D16,Milestones!$AA$164),"dd mmm yy"))&amp;" "&amp;Milestones!$AB$164&amp;" "&amp;Milestones!$AC$164&amp;";  ","")&amp;IF(AND(EDATE($D16,Milestones!$AA$165)&lt;=AsOfDate,IF($R16=0,$X16,IF(AND($T16&lt;&gt;"",EDATE($D16,Milestones!$AA$165)&gt;=$T16),$W16,IF(AND($S16&lt;&gt;"",EDATE($D16,Milestones!$AA$165)&gt;=$S16),$V16,$U16)))=Milestones!$AB$165),UPPER(TEXT(EDATE($D16,Milestones!$AA$165),"dd mmm yy"))&amp;" "&amp;Milestones!$AB$165&amp;" "&amp;Milestones!$AC$165&amp;";  ","")&amp;IF(AND(EDATE($D16,Milestones!$AA$166)&lt;=AsOfDate,IF($R16=0,$X16,IF(AND($T16&lt;&gt;"",EDATE($D16,Milestones!$AA$166)&gt;=$T16),$W16,IF(AND($S16&lt;&gt;"",EDATE($D16,Milestones!$AA$166)&gt;=$S16),$V16,$U16)))=Milestones!$AB$166),UPPER(TEXT(EDATE($D16,Milestones!$AA$166),"dd mmm yy"))&amp;" "&amp;Milestones!$AB$166&amp;" "&amp;Milestones!$AC$166&amp;";  ","")&amp;IF(AND(EDATE($D16,Milestones!$AA$167)&lt;=AsOfDate,IF($R16=0,$X16,IF(AND($T16&lt;&gt;"",EDATE($D16,Milestones!$AA$167)&gt;=$T16),$W16,IF(AND($S16&lt;&gt;"",EDATE($D16,Milestones!$AA$167)&gt;=$S16),$V16,$U16)))=Milestones!$AB$167),UPPER(TEXT(EDATE($D16,Milestones!$AA$167),"dd mmm yy"))&amp;" "&amp;Milestones!$AB$167&amp;" "&amp;Milestones!$AC$167&amp;";  ","")&amp;IF(AND(EDATE($D16,Milestones!$AA$168)&lt;=AsOfDate,IF($R16=0,$X16,IF(AND($T16&lt;&gt;"",EDATE($D16,Milestones!$AA$168)&gt;=$T16),$W16,IF(AND($S16&lt;&gt;"",EDATE($D16,Milestones!$AA$168)&gt;=$S16),$V16,$U16)))=Milestones!$AB$168),UPPER(TEXT(EDATE($D16,Milestones!$AA$168),"dd mmm yy"))&amp;" "&amp;Milestones!$AB$168&amp;" "&amp;Milestones!$AC$168&amp;";  ","")&amp;IF(AND(EDATE($D16,Milestones!$AA$169)&lt;=AsOfDate,IF($R16=0,$X16,IF(AND($T16&lt;&gt;"",EDATE($D16,Milestones!$AA$169)&gt;=$T16),$W16,IF(AND($S16&lt;&gt;"",EDATE($D16,Milestones!$AA$169)&gt;=$S16),$V16,$U16)))=Milestones!$AB$169),UPPER(TEXT(EDATE($D16,Milestones!$AA$169),"dd mmm yy"))&amp;" "&amp;Milestones!$AB$169&amp;" "&amp;Milestones!$AC$169&amp;";  ","")&amp;IF(AND(EDATE($D16,Milestones!$AA$170)&lt;=AsOfDate,IF($R16=0,$X16,IF(AND($T16&lt;&gt;"",EDATE($D16,Milestones!$AA$170)&gt;=$T16),$W16,IF(AND($S16&lt;&gt;"",EDATE($D16,Milestones!$AA$170)&gt;=$S16),$V16,$U16)))=Milestones!$AB$170),UPPER(TEXT(EDATE($D16,Milestones!$AA$170),"dd mmm yy"))&amp;" "&amp;Milestones!$AB$170&amp;" "&amp;Milestones!$AC$170&amp;";  ","")&amp;IF(AND(EDATE($D16,Milestones!$AA$171)&lt;=AsOfDate,IF($R16=0,$X16,IF(AND($T16&lt;&gt;"",EDATE($D16,Milestones!$AA$171)&gt;=$T16),$W16,IF(AND($S16&lt;&gt;"",EDATE($D16,Milestones!$AA$171)&gt;=$S16),$V16,$U16)))=Milestones!$AB$171),UPPER(TEXT(EDATE($D16,Milestones!$AA$171),"dd mmm yy"))&amp;" "&amp;Milestones!$AB$171&amp;" "&amp;Milestones!$AC$171&amp;";  ","")&amp;IF(AND(EDATE($D16,Milestones!$AA$172)&lt;=AsOfDate,IF($R16=0,$X16,IF(AND($T16&lt;&gt;"",EDATE($D16,Milestones!$AA$172)&gt;=$T16),$W16,IF(AND($S16&lt;&gt;"",EDATE($D16,Milestones!$AA$172)&gt;=$S16),$V16,$U16)))=Milestones!$AB$172),UPPER(TEXT(EDATE($D16,Milestones!$AA$172),"dd mmm yy"))&amp;" "&amp;Milestones!$AB$172&amp;" "&amp;Milestones!$AC$172&amp;";  ","")&amp;IF(AND(EDATE($D16,Milestones!$AA$173)&lt;=AsOfDate,IF($R16=0,$X16,IF(AND($T16&lt;&gt;"",EDATE($D16,Milestones!$AA$173)&gt;=$T16),$W16,IF(AND($S16&lt;&gt;"",EDATE($D16,Milestones!$AA$173)&gt;=$S16),$V16,$U16)))=Milestones!$AB$173),UPPER(TEXT(EDATE($D16,Milestones!$AA$173),"dd mmm yy"))&amp;" "&amp;Milestones!$AB$173&amp;" "&amp;Milestones!$AC$173&amp;";  ","")&amp;IF(AND(EDATE($D16,Milestones!$AA$174)&lt;=AsOfDate,IF($R16=0,$X16,IF(AND($T16&lt;&gt;"",EDATE($D16,Milestones!$AA$174)&gt;=$T16),$W16,IF(AND($S16&lt;&gt;"",EDATE($D16,Milestones!$AA$174)&gt;=$S16),$V16,$U16)))=Milestones!$AB$174),UPPER(TEXT(EDATE($D16,Milestones!$AA$174),"dd mmm yy"))&amp;" "&amp;Milestones!$AB$174&amp;" "&amp;Milestones!$AC$174&amp;";  ","")&amp;IF(AND(EDATE($D16,Milestones!$AA$175)&lt;=AsOfDate,IF($R16=0,$X16,IF(AND($T16&lt;&gt;"",EDATE($D16,Milestones!$AA$175)&gt;=$T16),$W16,IF(AND($S16&lt;&gt;"",EDATE($D16,Milestones!$AA$175)&gt;=$S16),$V16,$U16)))=Milestones!$AB$175),UPPER(TEXT(EDATE($D16,Milestones!$AA$175),"dd mmm yy"))&amp;" "&amp;Milestones!$AB$175&amp;" "&amp;Milestones!$AC$175&amp;";  ","")&amp;IF(AND(EDATE($D16,Milestones!$AA$176)&lt;=AsOfDate,IF($R16=0,$X16,IF(AND($T16&lt;&gt;"",EDATE($D16,Milestones!$AA$176)&gt;=$T16),$W16,IF(AND($S16&lt;&gt;"",EDATE($D16,Milestones!$AA$176)&gt;=$S16),$V16,$U16)))=Milestones!$AB$176),UPPER(TEXT(EDATE($D16,Milestones!$AA$176),"dd mmm yy"))&amp;" "&amp;Milestones!$AB$176&amp;" "&amp;Milestones!$AC$176&amp;";  ","")&amp;IF(AND(EDATE($D16,Milestones!$AA$177)&lt;=AsOfDate,IF($R16=0,$X16,IF(AND($T16&lt;&gt;"",EDATE($D16,Milestones!$AA$177)&gt;=$T16),$W16,IF(AND($S16&lt;&gt;"",EDATE($D16,Milestones!$AA$177)&gt;=$S16),$V16,$U16)))=Milestones!$AB$177),UPPER(TEXT(EDATE($D16,Milestones!$AA$177),"dd mmm yy"))&amp;" "&amp;Milestones!$AB$177&amp;" "&amp;Milestones!$AC$177&amp;";  ","")&amp;IF(AND(EDATE($D16,Milestones!$AA$178)&lt;=AsOfDate,IF($R16=0,$X16,IF(AND($T16&lt;&gt;"",EDATE($D16,Milestones!$AA$178)&gt;=$T16),$W16,IF(AND($S16&lt;&gt;"",EDATE($D16,Milestones!$AA$178)&gt;=$S16),$V16,$U16)))=Milestones!$AB$178),UPPER(TEXT(EDATE($D16,Milestones!$AA$178),"dd mmm yy"))&amp;" "&amp;Milestones!$AB$178&amp;" "&amp;Milestones!$AC$178&amp;";  ","")&amp;IF(AND(EDATE($D16,Milestones!$AA$179)&lt;=AsOfDate,IF($R16=0,$X16,IF(AND($T16&lt;&gt;"",EDATE($D16,Milestones!$AA$179)&gt;=$T16),$W16,IF(AND($S16&lt;&gt;"",EDATE($D16,Milestones!$AA$179)&gt;=$S16),$V16,$U16)))=Milestones!$AB$179),UPPER(TEXT(EDATE($D16,Milestones!$AA$179),"dd mmm yy"))&amp;" "&amp;Milestones!$AB$179&amp;" "&amp;Milestones!$AC$179&amp;";  ",""))</f>
        <v/>
      </c>
      <c r="Q16" s="0" t="str">
        <f aca="false">IF(OR($A16="",$D16=""),"",IF(AND(EDATE($D16,Milestones!$AA$180)&lt;=AsOfDate,IF($R16=0,$X16,IF(AND($T16&lt;&gt;"",EDATE($D16,Milestones!$AA$180)&gt;=$T16),$W16,IF(AND($S16&lt;&gt;"",EDATE($D16,Milestones!$AA$180)&gt;=$S16),$V16,$U16)))=Milestones!$AB$180),UPPER(TEXT(EDATE($D16,Milestones!$AA$180),"dd mmm yy"))&amp;" "&amp;Milestones!$AB$180&amp;" "&amp;Milestones!$AC$180&amp;";  ","")&amp;IF(AND(EDATE($D16,Milestones!$AA$181)&lt;=AsOfDate,IF($R16=0,$X16,IF(AND($T16&lt;&gt;"",EDATE($D16,Milestones!$AA$181)&gt;=$T16),$W16,IF(AND($S16&lt;&gt;"",EDATE($D16,Milestones!$AA$181)&gt;=$S16),$V16,$U16)))=Milestones!$AB$181),UPPER(TEXT(EDATE($D16,Milestones!$AA$181),"dd mmm yy"))&amp;" "&amp;Milestones!$AB$181&amp;" "&amp;Milestones!$AC$181&amp;";  ","")&amp;IF(AND(EDATE($D16,Milestones!$AA$182)&lt;=AsOfDate,IF($R16=0,$X16,IF(AND($T16&lt;&gt;"",EDATE($D16,Milestones!$AA$182)&gt;=$T16),$W16,IF(AND($S16&lt;&gt;"",EDATE($D16,Milestones!$AA$182)&gt;=$S16),$V16,$U16)))=Milestones!$AB$182),UPPER(TEXT(EDATE($D16,Milestones!$AA$182),"dd mmm yy"))&amp;" "&amp;Milestones!$AB$182&amp;" "&amp;Milestones!$AC$182&amp;";  ","")&amp;IF(AND(EDATE($D16,Milestones!$AA$183)&lt;=AsOfDate,IF($R16=0,$X16,IF(AND($T16&lt;&gt;"",EDATE($D16,Milestones!$AA$183)&gt;=$T16),$W16,IF(AND($S16&lt;&gt;"",EDATE($D16,Milestones!$AA$183)&gt;=$S16),$V16,$U16)))=Milestones!$AB$183),UPPER(TEXT(EDATE($D16,Milestones!$AA$183),"dd mmm yy"))&amp;" "&amp;Milestones!$AB$183&amp;" "&amp;Milestones!$AC$183&amp;";  ","")&amp;IF(AND(EDATE($D16,Milestones!$AA$184)&lt;=AsOfDate,IF($R16=0,$X16,IF(AND($T16&lt;&gt;"",EDATE($D16,Milestones!$AA$184)&gt;=$T16),$W16,IF(AND($S16&lt;&gt;"",EDATE($D16,Milestones!$AA$184)&gt;=$S16),$V16,$U16)))=Milestones!$AB$184),UPPER(TEXT(EDATE($D16,Milestones!$AA$184),"dd mmm yy"))&amp;" "&amp;Milestones!$AB$184&amp;" "&amp;Milestones!$AC$184&amp;";  ","")&amp;IF(AND(EDATE($D16,Milestones!$AA$185)&lt;=AsOfDate,IF($R16=0,$X16,IF(AND($T16&lt;&gt;"",EDATE($D16,Milestones!$AA$185)&gt;=$T16),$W16,IF(AND($S16&lt;&gt;"",EDATE($D16,Milestones!$AA$185)&gt;=$S16),$V16,$U16)))=Milestones!$AB$185),UPPER(TEXT(EDATE($D16,Milestones!$AA$185),"dd mmm yy"))&amp;" "&amp;Milestones!$AB$185&amp;" "&amp;Milestones!$AC$185&amp;";  ","")&amp;IF(AND(EDATE($D16,Milestones!$AA$186)&lt;=AsOfDate,IF($R16=0,$X16,IF(AND($T16&lt;&gt;"",EDATE($D16,Milestones!$AA$186)&gt;=$T16),$W16,IF(AND($S16&lt;&gt;"",EDATE($D16,Milestones!$AA$186)&gt;=$S16),$V16,$U16)))=Milestones!$AB$186),UPPER(TEXT(EDATE($D16,Milestones!$AA$186),"dd mmm yy"))&amp;" "&amp;Milestones!$AB$186&amp;" "&amp;Milestones!$AC$186&amp;";  ","")&amp;IF(AND(EDATE($D16,Milestones!$AA$187)&lt;=AsOfDate,IF($R16=0,$X16,IF(AND($T16&lt;&gt;"",EDATE($D16,Milestones!$AA$187)&gt;=$T16),$W16,IF(AND($S16&lt;&gt;"",EDATE($D16,Milestones!$AA$187)&gt;=$S16),$V16,$U16)))=Milestones!$AB$187),UPPER(TEXT(EDATE($D16,Milestones!$AA$187),"dd mmm yy"))&amp;" "&amp;Milestones!$AB$187&amp;" "&amp;Milestones!$AC$187&amp;";  ","")&amp;IF(AND(EDATE($D16,Milestones!$AA$188)&lt;=AsOfDate,IF($R16=0,$X16,IF(AND($T16&lt;&gt;"",EDATE($D16,Milestones!$AA$188)&gt;=$T16),$W16,IF(AND($S16&lt;&gt;"",EDATE($D16,Milestones!$AA$188)&gt;=$S16),$V16,$U16)))=Milestones!$AB$188),UPPER(TEXT(EDATE($D16,Milestones!$AA$188),"dd mmm yy"))&amp;" "&amp;Milestones!$AB$188&amp;" "&amp;Milestones!$AC$188&amp;";  ","")&amp;IF(AND(EDATE($D16,Milestones!$AA$189)&lt;=AsOfDate,IF($R16=0,$X16,IF(AND($T16&lt;&gt;"",EDATE($D16,Milestones!$AA$189)&gt;=$T16),$W16,IF(AND($S16&lt;&gt;"",EDATE($D16,Milestones!$AA$189)&gt;=$S16),$V16,$U16)))=Milestones!$AB$189),UPPER(TEXT(EDATE($D16,Milestones!$AA$189),"dd mmm yy"))&amp;" "&amp;Milestones!$AB$189&amp;" "&amp;Milestones!$AC$189&amp;";  ","")&amp;IF(AND(EDATE($D16,Milestones!$AA$190)&lt;=AsOfDate,IF($R16=0,$X16,IF(AND($T16&lt;&gt;"",EDATE($D16,Milestones!$AA$190)&gt;=$T16),$W16,IF(AND($S16&lt;&gt;"",EDATE($D16,Milestones!$AA$190)&gt;=$S16),$V16,$U16)))=Milestones!$AB$190),UPPER(TEXT(EDATE($D16,Milestones!$AA$190),"dd mmm yy"))&amp;" "&amp;Milestones!$AB$190&amp;" "&amp;Milestones!$AC$190&amp;";  ","")&amp;IF(AND(EDATE($D16,Milestones!$AA$191)&lt;=AsOfDate,IF($R16=0,$X16,IF(AND($T16&lt;&gt;"",EDATE($D16,Milestones!$AA$191)&gt;=$T16),$W16,IF(AND($S16&lt;&gt;"",EDATE($D16,Milestones!$AA$191)&gt;=$S16),$V16,$U16)))=Milestones!$AB$191),UPPER(TEXT(EDATE($D16,Milestones!$AA$191),"dd mmm yy"))&amp;" "&amp;Milestones!$AB$191&amp;" "&amp;Milestones!$AC$191&amp;";  ","")&amp;IF(AND(EDATE($D16,Milestones!$AA$192)&lt;=AsOfDate,IF($R16=0,$X16,IF(AND($T16&lt;&gt;"",EDATE($D16,Milestones!$AA$192)&gt;=$T16),$W16,IF(AND($S16&lt;&gt;"",EDATE($D16,Milestones!$AA$192)&gt;=$S16),$V16,$U16)))=Milestones!$AB$192),UPPER(TEXT(EDATE($D16,Milestones!$AA$192),"dd mmm yy"))&amp;" "&amp;Milestones!$AB$192&amp;" "&amp;Milestones!$AC$192&amp;";  ","")&amp;IF(AND(EDATE($D16,Milestones!$AA$193)&lt;=AsOfDate,IF($R16=0,$X16,IF(AND($T16&lt;&gt;"",EDATE($D16,Milestones!$AA$193)&gt;=$T16),$W16,IF(AND($S16&lt;&gt;"",EDATE($D16,Milestones!$AA$193)&gt;=$S16),$V16,$U16)))=Milestones!$AB$193),UPPER(TEXT(EDATE($D16,Milestones!$AA$193),"dd mmm yy"))&amp;" "&amp;Milestones!$AB$193&amp;" "&amp;Milestones!$AC$193&amp;";  ","")&amp;IF(AND(EDATE($D16,Milestones!$AA$194)&lt;=AsOfDate,IF($R16=0,$X16,IF(AND($T16&lt;&gt;"",EDATE($D16,Milestones!$AA$194)&gt;=$T16),$W16,IF(AND($S16&lt;&gt;"",EDATE($D16,Milestones!$AA$194)&gt;=$S16),$V16,$U16)))=Milestones!$AB$194),UPPER(TEXT(EDATE($D16,Milestones!$AA$194),"dd mmm yy"))&amp;" "&amp;Milestones!$AB$194&amp;" "&amp;Milestones!$AC$194&amp;";  ","")&amp;IF(AND(EDATE($D16,Milestones!$AA$195)&lt;=AsOfDate,IF($R16=0,$X16,IF(AND($T16&lt;&gt;"",EDATE($D16,Milestones!$AA$195)&gt;=$T16),$W16,IF(AND($S16&lt;&gt;"",EDATE($D16,Milestones!$AA$195)&gt;=$S16),$V16,$U16)))=Milestones!$AB$195),UPPER(TEXT(EDATE($D16,Milestones!$AA$195),"dd mmm yy"))&amp;" "&amp;Milestones!$AB$195&amp;" "&amp;Milestones!$AC$195&amp;";  ","")&amp;IF(AND(EDATE($D16,Milestones!$AA$196)&lt;=AsOfDate,IF($R16=0,$X16,IF(AND($T16&lt;&gt;"",EDATE($D16,Milestones!$AA$196)&gt;=$T16),$W16,IF(AND($S16&lt;&gt;"",EDATE($D16,Milestones!$AA$196)&gt;=$S16),$V16,$U16)))=Milestones!$AB$196),UPPER(TEXT(EDATE($D16,Milestones!$AA$196),"dd mmm yy"))&amp;" "&amp;Milestones!$AB$196&amp;" "&amp;Milestones!$AC$196&amp;";  ","")&amp;IF(AND(EDATE($D16,Milestones!$AA$197)&lt;=AsOfDate,IF($R16=0,$X16,IF(AND($T16&lt;&gt;"",EDATE($D16,Milestones!$AA$197)&gt;=$T16),$W16,IF(AND($S16&lt;&gt;"",EDATE($D16,Milestones!$AA$197)&gt;=$S16),$V16,$U16)))=Milestones!$AB$197),UPPER(TEXT(EDATE($D16,Milestones!$AA$197),"dd mmm yy"))&amp;" "&amp;Milestones!$AB$197&amp;" "&amp;Milestones!$AC$197&amp;";  ","")&amp;IF(AND(EDATE($D16,Milestones!$AA$198)&lt;=AsOfDate,IF($R16=0,$X16,IF(AND($T16&lt;&gt;"",EDATE($D16,Milestones!$AA$198)&gt;=$T16),$W16,IF(AND($S16&lt;&gt;"",EDATE($D16,Milestones!$AA$198)&gt;=$S16),$V16,$U16)))=Milestones!$AB$198),UPPER(TEXT(EDATE($D16,Milestones!$AA$198),"dd mmm yy"))&amp;" "&amp;Milestones!$AB$198&amp;" "&amp;Milestones!$AC$198&amp;";  ","")&amp;IF(AND(EDATE($D16,Milestones!$AA$199)&lt;=AsOfDate,IF($R16=0,$X16,IF(AND($T16&lt;&gt;"",EDATE($D16,Milestones!$AA$199)&gt;=$T16),$W16,IF(AND($S16&lt;&gt;"",EDATE($D16,Milestones!$AA$199)&gt;=$S16),$V16,$U16)))=Milestones!$AB$199),UPPER(TEXT(EDATE($D16,Milestones!$AA$199),"dd mmm yy"))&amp;" "&amp;Milestones!$AB$199&amp;" "&amp;Milestones!$AC$199&amp;";  ",""))</f>
        <v/>
      </c>
      <c r="R16" s="0" t="str">
        <f aca="false">IF(Staff!$A16="","",Staff!$AI16)</f>
        <v/>
      </c>
      <c r="S16" s="0" t="str">
        <f aca="false">IF(Staff!$A16="","",Staff!$AK16)</f>
        <v/>
      </c>
      <c r="T16" s="0" t="str">
        <f aca="false">IF(Staff!$A16="","",Staff!$AL16)</f>
        <v/>
      </c>
      <c r="U16" s="0" t="str">
        <f aca="false">IF(Staff!$A16="","",Staff!$AP16)</f>
        <v/>
      </c>
      <c r="V16" s="0" t="str">
        <f aca="false">IF(Staff!$A16="","",Staff!$AQ16)</f>
        <v/>
      </c>
      <c r="W16" s="0" t="str">
        <f aca="false">IF(Staff!$A16="","",Staff!$AR16)</f>
        <v/>
      </c>
      <c r="X16" s="0" t="str">
        <f aca="false">IF(Staff!$A16="","",Staff!$AS16)</f>
        <v/>
      </c>
    </row>
    <row r="17" customFormat="false" ht="15" hidden="false" customHeight="false" outlineLevel="0" collapsed="false">
      <c r="A17" s="14" t="str">
        <f aca="false">IF(Staff!$A17="","",Staff!$A17)</f>
        <v/>
      </c>
      <c r="B17" s="14" t="str">
        <f aca="false">IF(Staff!$A17="","",Staff!$B17)</f>
        <v/>
      </c>
      <c r="C17" s="14" t="str">
        <f aca="false">IF(Staff!$A17="","",Staff!$C17)</f>
        <v/>
      </c>
      <c r="D17" s="12" t="str">
        <f aca="false">IF(Staff!$A17="","",Staff!$AH17)</f>
        <v/>
      </c>
      <c r="E17" s="14" t="str">
        <f aca="false">IF(Staff!$A17="","",Staff!$O17)</f>
        <v/>
      </c>
      <c r="F17" s="14" t="str">
        <f aca="false">IF(E17="","",E17*HoursPerDay)</f>
        <v/>
      </c>
      <c r="G17" s="14" t="str">
        <f aca="false">IF(Staff!$A17="","",Staff!$AE17)</f>
        <v/>
      </c>
      <c r="H17" s="26" t="str">
        <f aca="false">IF($A17="","",I17&amp;J17&amp;K17&amp;L17&amp;M17&amp;N17&amp;O17&amp;P17&amp;Q17)</f>
        <v/>
      </c>
      <c r="I17" s="0" t="str">
        <f aca="false">IF(OR($A17="",$D17=""),"",IF(AND(EDATE($D17,Milestones!$AA$20)&lt;=AsOfDate,IF($R17=0,$X17,IF(AND($T17&lt;&gt;"",EDATE($D17,Milestones!$AA$20)&gt;=$T17),$W17,IF(AND($S17&lt;&gt;"",EDATE($D17,Milestones!$AA$20)&gt;=$S17),$V17,$U17)))=Milestones!$AB$20),UPPER(TEXT(EDATE($D17,Milestones!$AA$20),"dd mmm yy"))&amp;" "&amp;Milestones!$AB$20&amp;" "&amp;Milestones!$AC$20&amp;";  ","")&amp;IF(AND(EDATE($D17,Milestones!$AA$21)&lt;=AsOfDate,IF($R17=0,$X17,IF(AND($T17&lt;&gt;"",EDATE($D17,Milestones!$AA$21)&gt;=$T17),$W17,IF(AND($S17&lt;&gt;"",EDATE($D17,Milestones!$AA$21)&gt;=$S17),$V17,$U17)))=Milestones!$AB$21),UPPER(TEXT(EDATE($D17,Milestones!$AA$21),"dd mmm yy"))&amp;" "&amp;Milestones!$AB$21&amp;" "&amp;Milestones!$AC$21&amp;";  ","")&amp;IF(AND(EDATE($D17,Milestones!$AA$22)&lt;=AsOfDate,IF($R17=0,$X17,IF(AND($T17&lt;&gt;"",EDATE($D17,Milestones!$AA$22)&gt;=$T17),$W17,IF(AND($S17&lt;&gt;"",EDATE($D17,Milestones!$AA$22)&gt;=$S17),$V17,$U17)))=Milestones!$AB$22),UPPER(TEXT(EDATE($D17,Milestones!$AA$22),"dd mmm yy"))&amp;" "&amp;Milestones!$AB$22&amp;" "&amp;Milestones!$AC$22&amp;";  ","")&amp;IF(AND(EDATE($D17,Milestones!$AA$23)&lt;=AsOfDate,IF($R17=0,$X17,IF(AND($T17&lt;&gt;"",EDATE($D17,Milestones!$AA$23)&gt;=$T17),$W17,IF(AND($S17&lt;&gt;"",EDATE($D17,Milestones!$AA$23)&gt;=$S17),$V17,$U17)))=Milestones!$AB$23),UPPER(TEXT(EDATE($D17,Milestones!$AA$23),"dd mmm yy"))&amp;" "&amp;Milestones!$AB$23&amp;" "&amp;Milestones!$AC$23&amp;";  ","")&amp;IF(AND(EDATE($D17,Milestones!$AA$24)&lt;=AsOfDate,IF($R17=0,$X17,IF(AND($T17&lt;&gt;"",EDATE($D17,Milestones!$AA$24)&gt;=$T17),$W17,IF(AND($S17&lt;&gt;"",EDATE($D17,Milestones!$AA$24)&gt;=$S17),$V17,$U17)))=Milestones!$AB$24),UPPER(TEXT(EDATE($D17,Milestones!$AA$24),"dd mmm yy"))&amp;" "&amp;Milestones!$AB$24&amp;" "&amp;Milestones!$AC$24&amp;";  ","")&amp;IF(AND(EDATE($D17,Milestones!$AA$25)&lt;=AsOfDate,IF($R17=0,$X17,IF(AND($T17&lt;&gt;"",EDATE($D17,Milestones!$AA$25)&gt;=$T17),$W17,IF(AND($S17&lt;&gt;"",EDATE($D17,Milestones!$AA$25)&gt;=$S17),$V17,$U17)))=Milestones!$AB$25),UPPER(TEXT(EDATE($D17,Milestones!$AA$25),"dd mmm yy"))&amp;" "&amp;Milestones!$AB$25&amp;" "&amp;Milestones!$AC$25&amp;";  ","")&amp;IF(AND(EDATE($D17,Milestones!$AA$26)&lt;=AsOfDate,IF($R17=0,$X17,IF(AND($T17&lt;&gt;"",EDATE($D17,Milestones!$AA$26)&gt;=$T17),$W17,IF(AND($S17&lt;&gt;"",EDATE($D17,Milestones!$AA$26)&gt;=$S17),$V17,$U17)))=Milestones!$AB$26),UPPER(TEXT(EDATE($D17,Milestones!$AA$26),"dd mmm yy"))&amp;" "&amp;Milestones!$AB$26&amp;" "&amp;Milestones!$AC$26&amp;";  ","")&amp;IF(AND(EDATE($D17,Milestones!$AA$27)&lt;=AsOfDate,IF($R17=0,$X17,IF(AND($T17&lt;&gt;"",EDATE($D17,Milestones!$AA$27)&gt;=$T17),$W17,IF(AND($S17&lt;&gt;"",EDATE($D17,Milestones!$AA$27)&gt;=$S17),$V17,$U17)))=Milestones!$AB$27),UPPER(TEXT(EDATE($D17,Milestones!$AA$27),"dd mmm yy"))&amp;" "&amp;Milestones!$AB$27&amp;" "&amp;Milestones!$AC$27&amp;";  ","")&amp;IF(AND(EDATE($D17,Milestones!$AA$28)&lt;=AsOfDate,IF($R17=0,$X17,IF(AND($T17&lt;&gt;"",EDATE($D17,Milestones!$AA$28)&gt;=$T17),$W17,IF(AND($S17&lt;&gt;"",EDATE($D17,Milestones!$AA$28)&gt;=$S17),$V17,$U17)))=Milestones!$AB$28),UPPER(TEXT(EDATE($D17,Milestones!$AA$28),"dd mmm yy"))&amp;" "&amp;Milestones!$AB$28&amp;" "&amp;Milestones!$AC$28&amp;";  ","")&amp;IF(AND(EDATE($D17,Milestones!$AA$29)&lt;=AsOfDate,IF($R17=0,$X17,IF(AND($T17&lt;&gt;"",EDATE($D17,Milestones!$AA$29)&gt;=$T17),$W17,IF(AND($S17&lt;&gt;"",EDATE($D17,Milestones!$AA$29)&gt;=$S17),$V17,$U17)))=Milestones!$AB$29),UPPER(TEXT(EDATE($D17,Milestones!$AA$29),"dd mmm yy"))&amp;" "&amp;Milestones!$AB$29&amp;" "&amp;Milestones!$AC$29&amp;";  ","")&amp;IF(AND(EDATE($D17,Milestones!$AA$30)&lt;=AsOfDate,IF($R17=0,$X17,IF(AND($T17&lt;&gt;"",EDATE($D17,Milestones!$AA$30)&gt;=$T17),$W17,IF(AND($S17&lt;&gt;"",EDATE($D17,Milestones!$AA$30)&gt;=$S17),$V17,$U17)))=Milestones!$AB$30),UPPER(TEXT(EDATE($D17,Milestones!$AA$30),"dd mmm yy"))&amp;" "&amp;Milestones!$AB$30&amp;" "&amp;Milestones!$AC$30&amp;";  ","")&amp;IF(AND(EDATE($D17,Milestones!$AA$31)&lt;=AsOfDate,IF($R17=0,$X17,IF(AND($T17&lt;&gt;"",EDATE($D17,Milestones!$AA$31)&gt;=$T17),$W17,IF(AND($S17&lt;&gt;"",EDATE($D17,Milestones!$AA$31)&gt;=$S17),$V17,$U17)))=Milestones!$AB$31),UPPER(TEXT(EDATE($D17,Milestones!$AA$31),"dd mmm yy"))&amp;" "&amp;Milestones!$AB$31&amp;" "&amp;Milestones!$AC$31&amp;";  ","")&amp;IF(AND(EDATE($D17,Milestones!$AA$32)&lt;=AsOfDate,IF($R17=0,$X17,IF(AND($T17&lt;&gt;"",EDATE($D17,Milestones!$AA$32)&gt;=$T17),$W17,IF(AND($S17&lt;&gt;"",EDATE($D17,Milestones!$AA$32)&gt;=$S17),$V17,$U17)))=Milestones!$AB$32),UPPER(TEXT(EDATE($D17,Milestones!$AA$32),"dd mmm yy"))&amp;" "&amp;Milestones!$AB$32&amp;" "&amp;Milestones!$AC$32&amp;";  ","")&amp;IF(AND(EDATE($D17,Milestones!$AA$33)&lt;=AsOfDate,IF($R17=0,$X17,IF(AND($T17&lt;&gt;"",EDATE($D17,Milestones!$AA$33)&gt;=$T17),$W17,IF(AND($S17&lt;&gt;"",EDATE($D17,Milestones!$AA$33)&gt;=$S17),$V17,$U17)))=Milestones!$AB$33),UPPER(TEXT(EDATE($D17,Milestones!$AA$33),"dd mmm yy"))&amp;" "&amp;Milestones!$AB$33&amp;" "&amp;Milestones!$AC$33&amp;";  ","")&amp;IF(AND(EDATE($D17,Milestones!$AA$34)&lt;=AsOfDate,IF($R17=0,$X17,IF(AND($T17&lt;&gt;"",EDATE($D17,Milestones!$AA$34)&gt;=$T17),$W17,IF(AND($S17&lt;&gt;"",EDATE($D17,Milestones!$AA$34)&gt;=$S17),$V17,$U17)))=Milestones!$AB$34),UPPER(TEXT(EDATE($D17,Milestones!$AA$34),"dd mmm yy"))&amp;" "&amp;Milestones!$AB$34&amp;" "&amp;Milestones!$AC$34&amp;";  ","")&amp;IF(AND(EDATE($D17,Milestones!$AA$35)&lt;=AsOfDate,IF($R17=0,$X17,IF(AND($T17&lt;&gt;"",EDATE($D17,Milestones!$AA$35)&gt;=$T17),$W17,IF(AND($S17&lt;&gt;"",EDATE($D17,Milestones!$AA$35)&gt;=$S17),$V17,$U17)))=Milestones!$AB$35),UPPER(TEXT(EDATE($D17,Milestones!$AA$35),"dd mmm yy"))&amp;" "&amp;Milestones!$AB$35&amp;" "&amp;Milestones!$AC$35&amp;";  ","")&amp;IF(AND(EDATE($D17,Milestones!$AA$36)&lt;=AsOfDate,IF($R17=0,$X17,IF(AND($T17&lt;&gt;"",EDATE($D17,Milestones!$AA$36)&gt;=$T17),$W17,IF(AND($S17&lt;&gt;"",EDATE($D17,Milestones!$AA$36)&gt;=$S17),$V17,$U17)))=Milestones!$AB$36),UPPER(TEXT(EDATE($D17,Milestones!$AA$36),"dd mmm yy"))&amp;" "&amp;Milestones!$AB$36&amp;" "&amp;Milestones!$AC$36&amp;";  ","")&amp;IF(AND(EDATE($D17,Milestones!$AA$37)&lt;=AsOfDate,IF($R17=0,$X17,IF(AND($T17&lt;&gt;"",EDATE($D17,Milestones!$AA$37)&gt;=$T17),$W17,IF(AND($S17&lt;&gt;"",EDATE($D17,Milestones!$AA$37)&gt;=$S17),$V17,$U17)))=Milestones!$AB$37),UPPER(TEXT(EDATE($D17,Milestones!$AA$37),"dd mmm yy"))&amp;" "&amp;Milestones!$AB$37&amp;" "&amp;Milestones!$AC$37&amp;";  ","")&amp;IF(AND(EDATE($D17,Milestones!$AA$38)&lt;=AsOfDate,IF($R17=0,$X17,IF(AND($T17&lt;&gt;"",EDATE($D17,Milestones!$AA$38)&gt;=$T17),$W17,IF(AND($S17&lt;&gt;"",EDATE($D17,Milestones!$AA$38)&gt;=$S17),$V17,$U17)))=Milestones!$AB$38),UPPER(TEXT(EDATE($D17,Milestones!$AA$38),"dd mmm yy"))&amp;" "&amp;Milestones!$AB$38&amp;" "&amp;Milestones!$AC$38&amp;";  ","")&amp;IF(AND(EDATE($D17,Milestones!$AA$39)&lt;=AsOfDate,IF($R17=0,$X17,IF(AND($T17&lt;&gt;"",EDATE($D17,Milestones!$AA$39)&gt;=$T17),$W17,IF(AND($S17&lt;&gt;"",EDATE($D17,Milestones!$AA$39)&gt;=$S17),$V17,$U17)))=Milestones!$AB$39),UPPER(TEXT(EDATE($D17,Milestones!$AA$39),"dd mmm yy"))&amp;" "&amp;Milestones!$AB$39&amp;" "&amp;Milestones!$AC$39&amp;";  ",""))</f>
        <v/>
      </c>
      <c r="J17" s="0" t="str">
        <f aca="false">IF(OR($A17="",$D17=""),"",IF(AND(EDATE($D17,Milestones!$AA$40)&lt;=AsOfDate,IF($R17=0,$X17,IF(AND($T17&lt;&gt;"",EDATE($D17,Milestones!$AA$40)&gt;=$T17),$W17,IF(AND($S17&lt;&gt;"",EDATE($D17,Milestones!$AA$40)&gt;=$S17),$V17,$U17)))=Milestones!$AB$40),UPPER(TEXT(EDATE($D17,Milestones!$AA$40),"dd mmm yy"))&amp;" "&amp;Milestones!$AB$40&amp;" "&amp;Milestones!$AC$40&amp;";  ","")&amp;IF(AND(EDATE($D17,Milestones!$AA$41)&lt;=AsOfDate,IF($R17=0,$X17,IF(AND($T17&lt;&gt;"",EDATE($D17,Milestones!$AA$41)&gt;=$T17),$W17,IF(AND($S17&lt;&gt;"",EDATE($D17,Milestones!$AA$41)&gt;=$S17),$V17,$U17)))=Milestones!$AB$41),UPPER(TEXT(EDATE($D17,Milestones!$AA$41),"dd mmm yy"))&amp;" "&amp;Milestones!$AB$41&amp;" "&amp;Milestones!$AC$41&amp;";  ","")&amp;IF(AND(EDATE($D17,Milestones!$AA$42)&lt;=AsOfDate,IF($R17=0,$X17,IF(AND($T17&lt;&gt;"",EDATE($D17,Milestones!$AA$42)&gt;=$T17),$W17,IF(AND($S17&lt;&gt;"",EDATE($D17,Milestones!$AA$42)&gt;=$S17),$V17,$U17)))=Milestones!$AB$42),UPPER(TEXT(EDATE($D17,Milestones!$AA$42),"dd mmm yy"))&amp;" "&amp;Milestones!$AB$42&amp;" "&amp;Milestones!$AC$42&amp;";  ","")&amp;IF(AND(EDATE($D17,Milestones!$AA$43)&lt;=AsOfDate,IF($R17=0,$X17,IF(AND($T17&lt;&gt;"",EDATE($D17,Milestones!$AA$43)&gt;=$T17),$W17,IF(AND($S17&lt;&gt;"",EDATE($D17,Milestones!$AA$43)&gt;=$S17),$V17,$U17)))=Milestones!$AB$43),UPPER(TEXT(EDATE($D17,Milestones!$AA$43),"dd mmm yy"))&amp;" "&amp;Milestones!$AB$43&amp;" "&amp;Milestones!$AC$43&amp;";  ","")&amp;IF(AND(EDATE($D17,Milestones!$AA$44)&lt;=AsOfDate,IF($R17=0,$X17,IF(AND($T17&lt;&gt;"",EDATE($D17,Milestones!$AA$44)&gt;=$T17),$W17,IF(AND($S17&lt;&gt;"",EDATE($D17,Milestones!$AA$44)&gt;=$S17),$V17,$U17)))=Milestones!$AB$44),UPPER(TEXT(EDATE($D17,Milestones!$AA$44),"dd mmm yy"))&amp;" "&amp;Milestones!$AB$44&amp;" "&amp;Milestones!$AC$44&amp;";  ","")&amp;IF(AND(EDATE($D17,Milestones!$AA$45)&lt;=AsOfDate,IF($R17=0,$X17,IF(AND($T17&lt;&gt;"",EDATE($D17,Milestones!$AA$45)&gt;=$T17),$W17,IF(AND($S17&lt;&gt;"",EDATE($D17,Milestones!$AA$45)&gt;=$S17),$V17,$U17)))=Milestones!$AB$45),UPPER(TEXT(EDATE($D17,Milestones!$AA$45),"dd mmm yy"))&amp;" "&amp;Milestones!$AB$45&amp;" "&amp;Milestones!$AC$45&amp;";  ","")&amp;IF(AND(EDATE($D17,Milestones!$AA$46)&lt;=AsOfDate,IF($R17=0,$X17,IF(AND($T17&lt;&gt;"",EDATE($D17,Milestones!$AA$46)&gt;=$T17),$W17,IF(AND($S17&lt;&gt;"",EDATE($D17,Milestones!$AA$46)&gt;=$S17),$V17,$U17)))=Milestones!$AB$46),UPPER(TEXT(EDATE($D17,Milestones!$AA$46),"dd mmm yy"))&amp;" "&amp;Milestones!$AB$46&amp;" "&amp;Milestones!$AC$46&amp;";  ","")&amp;IF(AND(EDATE($D17,Milestones!$AA$47)&lt;=AsOfDate,IF($R17=0,$X17,IF(AND($T17&lt;&gt;"",EDATE($D17,Milestones!$AA$47)&gt;=$T17),$W17,IF(AND($S17&lt;&gt;"",EDATE($D17,Milestones!$AA$47)&gt;=$S17),$V17,$U17)))=Milestones!$AB$47),UPPER(TEXT(EDATE($D17,Milestones!$AA$47),"dd mmm yy"))&amp;" "&amp;Milestones!$AB$47&amp;" "&amp;Milestones!$AC$47&amp;";  ","")&amp;IF(AND(EDATE($D17,Milestones!$AA$48)&lt;=AsOfDate,IF($R17=0,$X17,IF(AND($T17&lt;&gt;"",EDATE($D17,Milestones!$AA$48)&gt;=$T17),$W17,IF(AND($S17&lt;&gt;"",EDATE($D17,Milestones!$AA$48)&gt;=$S17),$V17,$U17)))=Milestones!$AB$48),UPPER(TEXT(EDATE($D17,Milestones!$AA$48),"dd mmm yy"))&amp;" "&amp;Milestones!$AB$48&amp;" "&amp;Milestones!$AC$48&amp;";  ","")&amp;IF(AND(EDATE($D17,Milestones!$AA$49)&lt;=AsOfDate,IF($R17=0,$X17,IF(AND($T17&lt;&gt;"",EDATE($D17,Milestones!$AA$49)&gt;=$T17),$W17,IF(AND($S17&lt;&gt;"",EDATE($D17,Milestones!$AA$49)&gt;=$S17),$V17,$U17)))=Milestones!$AB$49),UPPER(TEXT(EDATE($D17,Milestones!$AA$49),"dd mmm yy"))&amp;" "&amp;Milestones!$AB$49&amp;" "&amp;Milestones!$AC$49&amp;";  ","")&amp;IF(AND(EDATE($D17,Milestones!$AA$50)&lt;=AsOfDate,IF($R17=0,$X17,IF(AND($T17&lt;&gt;"",EDATE($D17,Milestones!$AA$50)&gt;=$T17),$W17,IF(AND($S17&lt;&gt;"",EDATE($D17,Milestones!$AA$50)&gt;=$S17),$V17,$U17)))=Milestones!$AB$50),UPPER(TEXT(EDATE($D17,Milestones!$AA$50),"dd mmm yy"))&amp;" "&amp;Milestones!$AB$50&amp;" "&amp;Milestones!$AC$50&amp;";  ","")&amp;IF(AND(EDATE($D17,Milestones!$AA$51)&lt;=AsOfDate,IF($R17=0,$X17,IF(AND($T17&lt;&gt;"",EDATE($D17,Milestones!$AA$51)&gt;=$T17),$W17,IF(AND($S17&lt;&gt;"",EDATE($D17,Milestones!$AA$51)&gt;=$S17),$V17,$U17)))=Milestones!$AB$51),UPPER(TEXT(EDATE($D17,Milestones!$AA$51),"dd mmm yy"))&amp;" "&amp;Milestones!$AB$51&amp;" "&amp;Milestones!$AC$51&amp;";  ","")&amp;IF(AND(EDATE($D17,Milestones!$AA$52)&lt;=AsOfDate,IF($R17=0,$X17,IF(AND($T17&lt;&gt;"",EDATE($D17,Milestones!$AA$52)&gt;=$T17),$W17,IF(AND($S17&lt;&gt;"",EDATE($D17,Milestones!$AA$52)&gt;=$S17),$V17,$U17)))=Milestones!$AB$52),UPPER(TEXT(EDATE($D17,Milestones!$AA$52),"dd mmm yy"))&amp;" "&amp;Milestones!$AB$52&amp;" "&amp;Milestones!$AC$52&amp;";  ","")&amp;IF(AND(EDATE($D17,Milestones!$AA$53)&lt;=AsOfDate,IF($R17=0,$X17,IF(AND($T17&lt;&gt;"",EDATE($D17,Milestones!$AA$53)&gt;=$T17),$W17,IF(AND($S17&lt;&gt;"",EDATE($D17,Milestones!$AA$53)&gt;=$S17),$V17,$U17)))=Milestones!$AB$53),UPPER(TEXT(EDATE($D17,Milestones!$AA$53),"dd mmm yy"))&amp;" "&amp;Milestones!$AB$53&amp;" "&amp;Milestones!$AC$53&amp;";  ","")&amp;IF(AND(EDATE($D17,Milestones!$AA$54)&lt;=AsOfDate,IF($R17=0,$X17,IF(AND($T17&lt;&gt;"",EDATE($D17,Milestones!$AA$54)&gt;=$T17),$W17,IF(AND($S17&lt;&gt;"",EDATE($D17,Milestones!$AA$54)&gt;=$S17),$V17,$U17)))=Milestones!$AB$54),UPPER(TEXT(EDATE($D17,Milestones!$AA$54),"dd mmm yy"))&amp;" "&amp;Milestones!$AB$54&amp;" "&amp;Milestones!$AC$54&amp;";  ","")&amp;IF(AND(EDATE($D17,Milestones!$AA$55)&lt;=AsOfDate,IF($R17=0,$X17,IF(AND($T17&lt;&gt;"",EDATE($D17,Milestones!$AA$55)&gt;=$T17),$W17,IF(AND($S17&lt;&gt;"",EDATE($D17,Milestones!$AA$55)&gt;=$S17),$V17,$U17)))=Milestones!$AB$55),UPPER(TEXT(EDATE($D17,Milestones!$AA$55),"dd mmm yy"))&amp;" "&amp;Milestones!$AB$55&amp;" "&amp;Milestones!$AC$55&amp;";  ","")&amp;IF(AND(EDATE($D17,Milestones!$AA$56)&lt;=AsOfDate,IF($R17=0,$X17,IF(AND($T17&lt;&gt;"",EDATE($D17,Milestones!$AA$56)&gt;=$T17),$W17,IF(AND($S17&lt;&gt;"",EDATE($D17,Milestones!$AA$56)&gt;=$S17),$V17,$U17)))=Milestones!$AB$56),UPPER(TEXT(EDATE($D17,Milestones!$AA$56),"dd mmm yy"))&amp;" "&amp;Milestones!$AB$56&amp;" "&amp;Milestones!$AC$56&amp;";  ","")&amp;IF(AND(EDATE($D17,Milestones!$AA$57)&lt;=AsOfDate,IF($R17=0,$X17,IF(AND($T17&lt;&gt;"",EDATE($D17,Milestones!$AA$57)&gt;=$T17),$W17,IF(AND($S17&lt;&gt;"",EDATE($D17,Milestones!$AA$57)&gt;=$S17),$V17,$U17)))=Milestones!$AB$57),UPPER(TEXT(EDATE($D17,Milestones!$AA$57),"dd mmm yy"))&amp;" "&amp;Milestones!$AB$57&amp;" "&amp;Milestones!$AC$57&amp;";  ","")&amp;IF(AND(EDATE($D17,Milestones!$AA$58)&lt;=AsOfDate,IF($R17=0,$X17,IF(AND($T17&lt;&gt;"",EDATE($D17,Milestones!$AA$58)&gt;=$T17),$W17,IF(AND($S17&lt;&gt;"",EDATE($D17,Milestones!$AA$58)&gt;=$S17),$V17,$U17)))=Milestones!$AB$58),UPPER(TEXT(EDATE($D17,Milestones!$AA$58),"dd mmm yy"))&amp;" "&amp;Milestones!$AB$58&amp;" "&amp;Milestones!$AC$58&amp;";  ","")&amp;IF(AND(EDATE($D17,Milestones!$AA$59)&lt;=AsOfDate,IF($R17=0,$X17,IF(AND($T17&lt;&gt;"",EDATE($D17,Milestones!$AA$59)&gt;=$T17),$W17,IF(AND($S17&lt;&gt;"",EDATE($D17,Milestones!$AA$59)&gt;=$S17),$V17,$U17)))=Milestones!$AB$59),UPPER(TEXT(EDATE($D17,Milestones!$AA$59),"dd mmm yy"))&amp;" "&amp;Milestones!$AB$59&amp;" "&amp;Milestones!$AC$59&amp;";  ",""))</f>
        <v/>
      </c>
      <c r="K17" s="0" t="str">
        <f aca="false">IF(OR($A17="",$D17=""),"",IF(AND(EDATE($D17,Milestones!$AA$60)&lt;=AsOfDate,IF($R17=0,$X17,IF(AND($T17&lt;&gt;"",EDATE($D17,Milestones!$AA$60)&gt;=$T17),$W17,IF(AND($S17&lt;&gt;"",EDATE($D17,Milestones!$AA$60)&gt;=$S17),$V17,$U17)))=Milestones!$AB$60),UPPER(TEXT(EDATE($D17,Milestones!$AA$60),"dd mmm yy"))&amp;" "&amp;Milestones!$AB$60&amp;" "&amp;Milestones!$AC$60&amp;";  ","")&amp;IF(AND(EDATE($D17,Milestones!$AA$61)&lt;=AsOfDate,IF($R17=0,$X17,IF(AND($T17&lt;&gt;"",EDATE($D17,Milestones!$AA$61)&gt;=$T17),$W17,IF(AND($S17&lt;&gt;"",EDATE($D17,Milestones!$AA$61)&gt;=$S17),$V17,$U17)))=Milestones!$AB$61),UPPER(TEXT(EDATE($D17,Milestones!$AA$61),"dd mmm yy"))&amp;" "&amp;Milestones!$AB$61&amp;" "&amp;Milestones!$AC$61&amp;";  ","")&amp;IF(AND(EDATE($D17,Milestones!$AA$62)&lt;=AsOfDate,IF($R17=0,$X17,IF(AND($T17&lt;&gt;"",EDATE($D17,Milestones!$AA$62)&gt;=$T17),$W17,IF(AND($S17&lt;&gt;"",EDATE($D17,Milestones!$AA$62)&gt;=$S17),$V17,$U17)))=Milestones!$AB$62),UPPER(TEXT(EDATE($D17,Milestones!$AA$62),"dd mmm yy"))&amp;" "&amp;Milestones!$AB$62&amp;" "&amp;Milestones!$AC$62&amp;";  ","")&amp;IF(AND(EDATE($D17,Milestones!$AA$63)&lt;=AsOfDate,IF($R17=0,$X17,IF(AND($T17&lt;&gt;"",EDATE($D17,Milestones!$AA$63)&gt;=$T17),$W17,IF(AND($S17&lt;&gt;"",EDATE($D17,Milestones!$AA$63)&gt;=$S17),$V17,$U17)))=Milestones!$AB$63),UPPER(TEXT(EDATE($D17,Milestones!$AA$63),"dd mmm yy"))&amp;" "&amp;Milestones!$AB$63&amp;" "&amp;Milestones!$AC$63&amp;";  ","")&amp;IF(AND(EDATE($D17,Milestones!$AA$64)&lt;=AsOfDate,IF($R17=0,$X17,IF(AND($T17&lt;&gt;"",EDATE($D17,Milestones!$AA$64)&gt;=$T17),$W17,IF(AND($S17&lt;&gt;"",EDATE($D17,Milestones!$AA$64)&gt;=$S17),$V17,$U17)))=Milestones!$AB$64),UPPER(TEXT(EDATE($D17,Milestones!$AA$64),"dd mmm yy"))&amp;" "&amp;Milestones!$AB$64&amp;" "&amp;Milestones!$AC$64&amp;";  ","")&amp;IF(AND(EDATE($D17,Milestones!$AA$65)&lt;=AsOfDate,IF($R17=0,$X17,IF(AND($T17&lt;&gt;"",EDATE($D17,Milestones!$AA$65)&gt;=$T17),$W17,IF(AND($S17&lt;&gt;"",EDATE($D17,Milestones!$AA$65)&gt;=$S17),$V17,$U17)))=Milestones!$AB$65),UPPER(TEXT(EDATE($D17,Milestones!$AA$65),"dd mmm yy"))&amp;" "&amp;Milestones!$AB$65&amp;" "&amp;Milestones!$AC$65&amp;";  ","")&amp;IF(AND(EDATE($D17,Milestones!$AA$66)&lt;=AsOfDate,IF($R17=0,$X17,IF(AND($T17&lt;&gt;"",EDATE($D17,Milestones!$AA$66)&gt;=$T17),$W17,IF(AND($S17&lt;&gt;"",EDATE($D17,Milestones!$AA$66)&gt;=$S17),$V17,$U17)))=Milestones!$AB$66),UPPER(TEXT(EDATE($D17,Milestones!$AA$66),"dd mmm yy"))&amp;" "&amp;Milestones!$AB$66&amp;" "&amp;Milestones!$AC$66&amp;";  ","")&amp;IF(AND(EDATE($D17,Milestones!$AA$67)&lt;=AsOfDate,IF($R17=0,$X17,IF(AND($T17&lt;&gt;"",EDATE($D17,Milestones!$AA$67)&gt;=$T17),$W17,IF(AND($S17&lt;&gt;"",EDATE($D17,Milestones!$AA$67)&gt;=$S17),$V17,$U17)))=Milestones!$AB$67),UPPER(TEXT(EDATE($D17,Milestones!$AA$67),"dd mmm yy"))&amp;" "&amp;Milestones!$AB$67&amp;" "&amp;Milestones!$AC$67&amp;";  ","")&amp;IF(AND(EDATE($D17,Milestones!$AA$68)&lt;=AsOfDate,IF($R17=0,$X17,IF(AND($T17&lt;&gt;"",EDATE($D17,Milestones!$AA$68)&gt;=$T17),$W17,IF(AND($S17&lt;&gt;"",EDATE($D17,Milestones!$AA$68)&gt;=$S17),$V17,$U17)))=Milestones!$AB$68),UPPER(TEXT(EDATE($D17,Milestones!$AA$68),"dd mmm yy"))&amp;" "&amp;Milestones!$AB$68&amp;" "&amp;Milestones!$AC$68&amp;";  ","")&amp;IF(AND(EDATE($D17,Milestones!$AA$69)&lt;=AsOfDate,IF($R17=0,$X17,IF(AND($T17&lt;&gt;"",EDATE($D17,Milestones!$AA$69)&gt;=$T17),$W17,IF(AND($S17&lt;&gt;"",EDATE($D17,Milestones!$AA$69)&gt;=$S17),$V17,$U17)))=Milestones!$AB$69),UPPER(TEXT(EDATE($D17,Milestones!$AA$69),"dd mmm yy"))&amp;" "&amp;Milestones!$AB$69&amp;" "&amp;Milestones!$AC$69&amp;";  ","")&amp;IF(AND(EDATE($D17,Milestones!$AA$70)&lt;=AsOfDate,IF($R17=0,$X17,IF(AND($T17&lt;&gt;"",EDATE($D17,Milestones!$AA$70)&gt;=$T17),$W17,IF(AND($S17&lt;&gt;"",EDATE($D17,Milestones!$AA$70)&gt;=$S17),$V17,$U17)))=Milestones!$AB$70),UPPER(TEXT(EDATE($D17,Milestones!$AA$70),"dd mmm yy"))&amp;" "&amp;Milestones!$AB$70&amp;" "&amp;Milestones!$AC$70&amp;";  ","")&amp;IF(AND(EDATE($D17,Milestones!$AA$71)&lt;=AsOfDate,IF($R17=0,$X17,IF(AND($T17&lt;&gt;"",EDATE($D17,Milestones!$AA$71)&gt;=$T17),$W17,IF(AND($S17&lt;&gt;"",EDATE($D17,Milestones!$AA$71)&gt;=$S17),$V17,$U17)))=Milestones!$AB$71),UPPER(TEXT(EDATE($D17,Milestones!$AA$71),"dd mmm yy"))&amp;" "&amp;Milestones!$AB$71&amp;" "&amp;Milestones!$AC$71&amp;";  ","")&amp;IF(AND(EDATE($D17,Milestones!$AA$72)&lt;=AsOfDate,IF($R17=0,$X17,IF(AND($T17&lt;&gt;"",EDATE($D17,Milestones!$AA$72)&gt;=$T17),$W17,IF(AND($S17&lt;&gt;"",EDATE($D17,Milestones!$AA$72)&gt;=$S17),$V17,$U17)))=Milestones!$AB$72),UPPER(TEXT(EDATE($D17,Milestones!$AA$72),"dd mmm yy"))&amp;" "&amp;Milestones!$AB$72&amp;" "&amp;Milestones!$AC$72&amp;";  ","")&amp;IF(AND(EDATE($D17,Milestones!$AA$73)&lt;=AsOfDate,IF($R17=0,$X17,IF(AND($T17&lt;&gt;"",EDATE($D17,Milestones!$AA$73)&gt;=$T17),$W17,IF(AND($S17&lt;&gt;"",EDATE($D17,Milestones!$AA$73)&gt;=$S17),$V17,$U17)))=Milestones!$AB$73),UPPER(TEXT(EDATE($D17,Milestones!$AA$73),"dd mmm yy"))&amp;" "&amp;Milestones!$AB$73&amp;" "&amp;Milestones!$AC$73&amp;";  ","")&amp;IF(AND(EDATE($D17,Milestones!$AA$74)&lt;=AsOfDate,IF($R17=0,$X17,IF(AND($T17&lt;&gt;"",EDATE($D17,Milestones!$AA$74)&gt;=$T17),$W17,IF(AND($S17&lt;&gt;"",EDATE($D17,Milestones!$AA$74)&gt;=$S17),$V17,$U17)))=Milestones!$AB$74),UPPER(TEXT(EDATE($D17,Milestones!$AA$74),"dd mmm yy"))&amp;" "&amp;Milestones!$AB$74&amp;" "&amp;Milestones!$AC$74&amp;";  ","")&amp;IF(AND(EDATE($D17,Milestones!$AA$75)&lt;=AsOfDate,IF($R17=0,$X17,IF(AND($T17&lt;&gt;"",EDATE($D17,Milestones!$AA$75)&gt;=$T17),$W17,IF(AND($S17&lt;&gt;"",EDATE($D17,Milestones!$AA$75)&gt;=$S17),$V17,$U17)))=Milestones!$AB$75),UPPER(TEXT(EDATE($D17,Milestones!$AA$75),"dd mmm yy"))&amp;" "&amp;Milestones!$AB$75&amp;" "&amp;Milestones!$AC$75&amp;";  ","")&amp;IF(AND(EDATE($D17,Milestones!$AA$76)&lt;=AsOfDate,IF($R17=0,$X17,IF(AND($T17&lt;&gt;"",EDATE($D17,Milestones!$AA$76)&gt;=$T17),$W17,IF(AND($S17&lt;&gt;"",EDATE($D17,Milestones!$AA$76)&gt;=$S17),$V17,$U17)))=Milestones!$AB$76),UPPER(TEXT(EDATE($D17,Milestones!$AA$76),"dd mmm yy"))&amp;" "&amp;Milestones!$AB$76&amp;" "&amp;Milestones!$AC$76&amp;";  ","")&amp;IF(AND(EDATE($D17,Milestones!$AA$77)&lt;=AsOfDate,IF($R17=0,$X17,IF(AND($T17&lt;&gt;"",EDATE($D17,Milestones!$AA$77)&gt;=$T17),$W17,IF(AND($S17&lt;&gt;"",EDATE($D17,Milestones!$AA$77)&gt;=$S17),$V17,$U17)))=Milestones!$AB$77),UPPER(TEXT(EDATE($D17,Milestones!$AA$77),"dd mmm yy"))&amp;" "&amp;Milestones!$AB$77&amp;" "&amp;Milestones!$AC$77&amp;";  ","")&amp;IF(AND(EDATE($D17,Milestones!$AA$78)&lt;=AsOfDate,IF($R17=0,$X17,IF(AND($T17&lt;&gt;"",EDATE($D17,Milestones!$AA$78)&gt;=$T17),$W17,IF(AND($S17&lt;&gt;"",EDATE($D17,Milestones!$AA$78)&gt;=$S17),$V17,$U17)))=Milestones!$AB$78),UPPER(TEXT(EDATE($D17,Milestones!$AA$78),"dd mmm yy"))&amp;" "&amp;Milestones!$AB$78&amp;" "&amp;Milestones!$AC$78&amp;";  ","")&amp;IF(AND(EDATE($D17,Milestones!$AA$79)&lt;=AsOfDate,IF($R17=0,$X17,IF(AND($T17&lt;&gt;"",EDATE($D17,Milestones!$AA$79)&gt;=$T17),$W17,IF(AND($S17&lt;&gt;"",EDATE($D17,Milestones!$AA$79)&gt;=$S17),$V17,$U17)))=Milestones!$AB$79),UPPER(TEXT(EDATE($D17,Milestones!$AA$79),"dd mmm yy"))&amp;" "&amp;Milestones!$AB$79&amp;" "&amp;Milestones!$AC$79&amp;";  ",""))</f>
        <v/>
      </c>
      <c r="L17" s="0" t="str">
        <f aca="false">IF(OR($A17="",$D17=""),"",IF(AND(EDATE($D17,Milestones!$AA$80)&lt;=AsOfDate,IF($R17=0,$X17,IF(AND($T17&lt;&gt;"",EDATE($D17,Milestones!$AA$80)&gt;=$T17),$W17,IF(AND($S17&lt;&gt;"",EDATE($D17,Milestones!$AA$80)&gt;=$S17),$V17,$U17)))=Milestones!$AB$80),UPPER(TEXT(EDATE($D17,Milestones!$AA$80),"dd mmm yy"))&amp;" "&amp;Milestones!$AB$80&amp;" "&amp;Milestones!$AC$80&amp;";  ","")&amp;IF(AND(EDATE($D17,Milestones!$AA$81)&lt;=AsOfDate,IF($R17=0,$X17,IF(AND($T17&lt;&gt;"",EDATE($D17,Milestones!$AA$81)&gt;=$T17),$W17,IF(AND($S17&lt;&gt;"",EDATE($D17,Milestones!$AA$81)&gt;=$S17),$V17,$U17)))=Milestones!$AB$81),UPPER(TEXT(EDATE($D17,Milestones!$AA$81),"dd mmm yy"))&amp;" "&amp;Milestones!$AB$81&amp;" "&amp;Milestones!$AC$81&amp;";  ","")&amp;IF(AND(EDATE($D17,Milestones!$AA$82)&lt;=AsOfDate,IF($R17=0,$X17,IF(AND($T17&lt;&gt;"",EDATE($D17,Milestones!$AA$82)&gt;=$T17),$W17,IF(AND($S17&lt;&gt;"",EDATE($D17,Milestones!$AA$82)&gt;=$S17),$V17,$U17)))=Milestones!$AB$82),UPPER(TEXT(EDATE($D17,Milestones!$AA$82),"dd mmm yy"))&amp;" "&amp;Milestones!$AB$82&amp;" "&amp;Milestones!$AC$82&amp;";  ","")&amp;IF(AND(EDATE($D17,Milestones!$AA$83)&lt;=AsOfDate,IF($R17=0,$X17,IF(AND($T17&lt;&gt;"",EDATE($D17,Milestones!$AA$83)&gt;=$T17),$W17,IF(AND($S17&lt;&gt;"",EDATE($D17,Milestones!$AA$83)&gt;=$S17),$V17,$U17)))=Milestones!$AB$83),UPPER(TEXT(EDATE($D17,Milestones!$AA$83),"dd mmm yy"))&amp;" "&amp;Milestones!$AB$83&amp;" "&amp;Milestones!$AC$83&amp;";  ","")&amp;IF(AND(EDATE($D17,Milestones!$AA$84)&lt;=AsOfDate,IF($R17=0,$X17,IF(AND($T17&lt;&gt;"",EDATE($D17,Milestones!$AA$84)&gt;=$T17),$W17,IF(AND($S17&lt;&gt;"",EDATE($D17,Milestones!$AA$84)&gt;=$S17),$V17,$U17)))=Milestones!$AB$84),UPPER(TEXT(EDATE($D17,Milestones!$AA$84),"dd mmm yy"))&amp;" "&amp;Milestones!$AB$84&amp;" "&amp;Milestones!$AC$84&amp;";  ","")&amp;IF(AND(EDATE($D17,Milestones!$AA$85)&lt;=AsOfDate,IF($R17=0,$X17,IF(AND($T17&lt;&gt;"",EDATE($D17,Milestones!$AA$85)&gt;=$T17),$W17,IF(AND($S17&lt;&gt;"",EDATE($D17,Milestones!$AA$85)&gt;=$S17),$V17,$U17)))=Milestones!$AB$85),UPPER(TEXT(EDATE($D17,Milestones!$AA$85),"dd mmm yy"))&amp;" "&amp;Milestones!$AB$85&amp;" "&amp;Milestones!$AC$85&amp;";  ","")&amp;IF(AND(EDATE($D17,Milestones!$AA$86)&lt;=AsOfDate,IF($R17=0,$X17,IF(AND($T17&lt;&gt;"",EDATE($D17,Milestones!$AA$86)&gt;=$T17),$W17,IF(AND($S17&lt;&gt;"",EDATE($D17,Milestones!$AA$86)&gt;=$S17),$V17,$U17)))=Milestones!$AB$86),UPPER(TEXT(EDATE($D17,Milestones!$AA$86),"dd mmm yy"))&amp;" "&amp;Milestones!$AB$86&amp;" "&amp;Milestones!$AC$86&amp;";  ","")&amp;IF(AND(EDATE($D17,Milestones!$AA$87)&lt;=AsOfDate,IF($R17=0,$X17,IF(AND($T17&lt;&gt;"",EDATE($D17,Milestones!$AA$87)&gt;=$T17),$W17,IF(AND($S17&lt;&gt;"",EDATE($D17,Milestones!$AA$87)&gt;=$S17),$V17,$U17)))=Milestones!$AB$87),UPPER(TEXT(EDATE($D17,Milestones!$AA$87),"dd mmm yy"))&amp;" "&amp;Milestones!$AB$87&amp;" "&amp;Milestones!$AC$87&amp;";  ","")&amp;IF(AND(EDATE($D17,Milestones!$AA$88)&lt;=AsOfDate,IF($R17=0,$X17,IF(AND($T17&lt;&gt;"",EDATE($D17,Milestones!$AA$88)&gt;=$T17),$W17,IF(AND($S17&lt;&gt;"",EDATE($D17,Milestones!$AA$88)&gt;=$S17),$V17,$U17)))=Milestones!$AB$88),UPPER(TEXT(EDATE($D17,Milestones!$AA$88),"dd mmm yy"))&amp;" "&amp;Milestones!$AB$88&amp;" "&amp;Milestones!$AC$88&amp;";  ","")&amp;IF(AND(EDATE($D17,Milestones!$AA$89)&lt;=AsOfDate,IF($R17=0,$X17,IF(AND($T17&lt;&gt;"",EDATE($D17,Milestones!$AA$89)&gt;=$T17),$W17,IF(AND($S17&lt;&gt;"",EDATE($D17,Milestones!$AA$89)&gt;=$S17),$V17,$U17)))=Milestones!$AB$89),UPPER(TEXT(EDATE($D17,Milestones!$AA$89),"dd mmm yy"))&amp;" "&amp;Milestones!$AB$89&amp;" "&amp;Milestones!$AC$89&amp;";  ","")&amp;IF(AND(EDATE($D17,Milestones!$AA$90)&lt;=AsOfDate,IF($R17=0,$X17,IF(AND($T17&lt;&gt;"",EDATE($D17,Milestones!$AA$90)&gt;=$T17),$W17,IF(AND($S17&lt;&gt;"",EDATE($D17,Milestones!$AA$90)&gt;=$S17),$V17,$U17)))=Milestones!$AB$90),UPPER(TEXT(EDATE($D17,Milestones!$AA$90),"dd mmm yy"))&amp;" "&amp;Milestones!$AB$90&amp;" "&amp;Milestones!$AC$90&amp;";  ","")&amp;IF(AND(EDATE($D17,Milestones!$AA$91)&lt;=AsOfDate,IF($R17=0,$X17,IF(AND($T17&lt;&gt;"",EDATE($D17,Milestones!$AA$91)&gt;=$T17),$W17,IF(AND($S17&lt;&gt;"",EDATE($D17,Milestones!$AA$91)&gt;=$S17),$V17,$U17)))=Milestones!$AB$91),UPPER(TEXT(EDATE($D17,Milestones!$AA$91),"dd mmm yy"))&amp;" "&amp;Milestones!$AB$91&amp;" "&amp;Milestones!$AC$91&amp;";  ","")&amp;IF(AND(EDATE($D17,Milestones!$AA$92)&lt;=AsOfDate,IF($R17=0,$X17,IF(AND($T17&lt;&gt;"",EDATE($D17,Milestones!$AA$92)&gt;=$T17),$W17,IF(AND($S17&lt;&gt;"",EDATE($D17,Milestones!$AA$92)&gt;=$S17),$V17,$U17)))=Milestones!$AB$92),UPPER(TEXT(EDATE($D17,Milestones!$AA$92),"dd mmm yy"))&amp;" "&amp;Milestones!$AB$92&amp;" "&amp;Milestones!$AC$92&amp;";  ","")&amp;IF(AND(EDATE($D17,Milestones!$AA$93)&lt;=AsOfDate,IF($R17=0,$X17,IF(AND($T17&lt;&gt;"",EDATE($D17,Milestones!$AA$93)&gt;=$T17),$W17,IF(AND($S17&lt;&gt;"",EDATE($D17,Milestones!$AA$93)&gt;=$S17),$V17,$U17)))=Milestones!$AB$93),UPPER(TEXT(EDATE($D17,Milestones!$AA$93),"dd mmm yy"))&amp;" "&amp;Milestones!$AB$93&amp;" "&amp;Milestones!$AC$93&amp;";  ","")&amp;IF(AND(EDATE($D17,Milestones!$AA$94)&lt;=AsOfDate,IF($R17=0,$X17,IF(AND($T17&lt;&gt;"",EDATE($D17,Milestones!$AA$94)&gt;=$T17),$W17,IF(AND($S17&lt;&gt;"",EDATE($D17,Milestones!$AA$94)&gt;=$S17),$V17,$U17)))=Milestones!$AB$94),UPPER(TEXT(EDATE($D17,Milestones!$AA$94),"dd mmm yy"))&amp;" "&amp;Milestones!$AB$94&amp;" "&amp;Milestones!$AC$94&amp;";  ","")&amp;IF(AND(EDATE($D17,Milestones!$AA$95)&lt;=AsOfDate,IF($R17=0,$X17,IF(AND($T17&lt;&gt;"",EDATE($D17,Milestones!$AA$95)&gt;=$T17),$W17,IF(AND($S17&lt;&gt;"",EDATE($D17,Milestones!$AA$95)&gt;=$S17),$V17,$U17)))=Milestones!$AB$95),UPPER(TEXT(EDATE($D17,Milestones!$AA$95),"dd mmm yy"))&amp;" "&amp;Milestones!$AB$95&amp;" "&amp;Milestones!$AC$95&amp;";  ","")&amp;IF(AND(EDATE($D17,Milestones!$AA$96)&lt;=AsOfDate,IF($R17=0,$X17,IF(AND($T17&lt;&gt;"",EDATE($D17,Milestones!$AA$96)&gt;=$T17),$W17,IF(AND($S17&lt;&gt;"",EDATE($D17,Milestones!$AA$96)&gt;=$S17),$V17,$U17)))=Milestones!$AB$96),UPPER(TEXT(EDATE($D17,Milestones!$AA$96),"dd mmm yy"))&amp;" "&amp;Milestones!$AB$96&amp;" "&amp;Milestones!$AC$96&amp;";  ","")&amp;IF(AND(EDATE($D17,Milestones!$AA$97)&lt;=AsOfDate,IF($R17=0,$X17,IF(AND($T17&lt;&gt;"",EDATE($D17,Milestones!$AA$97)&gt;=$T17),$W17,IF(AND($S17&lt;&gt;"",EDATE($D17,Milestones!$AA$97)&gt;=$S17),$V17,$U17)))=Milestones!$AB$97),UPPER(TEXT(EDATE($D17,Milestones!$AA$97),"dd mmm yy"))&amp;" "&amp;Milestones!$AB$97&amp;" "&amp;Milestones!$AC$97&amp;";  ","")&amp;IF(AND(EDATE($D17,Milestones!$AA$98)&lt;=AsOfDate,IF($R17=0,$X17,IF(AND($T17&lt;&gt;"",EDATE($D17,Milestones!$AA$98)&gt;=$T17),$W17,IF(AND($S17&lt;&gt;"",EDATE($D17,Milestones!$AA$98)&gt;=$S17),$V17,$U17)))=Milestones!$AB$98),UPPER(TEXT(EDATE($D17,Milestones!$AA$98),"dd mmm yy"))&amp;" "&amp;Milestones!$AB$98&amp;" "&amp;Milestones!$AC$98&amp;";  ","")&amp;IF(AND(EDATE($D17,Milestones!$AA$99)&lt;=AsOfDate,IF($R17=0,$X17,IF(AND($T17&lt;&gt;"",EDATE($D17,Milestones!$AA$99)&gt;=$T17),$W17,IF(AND($S17&lt;&gt;"",EDATE($D17,Milestones!$AA$99)&gt;=$S17),$V17,$U17)))=Milestones!$AB$99),UPPER(TEXT(EDATE($D17,Milestones!$AA$99),"dd mmm yy"))&amp;" "&amp;Milestones!$AB$99&amp;" "&amp;Milestones!$AC$99&amp;";  ",""))</f>
        <v/>
      </c>
      <c r="M17" s="0" t="str">
        <f aca="false">IF(OR($A17="",$D17=""),"",IF(AND(EDATE($D17,Milestones!$AA$100)&lt;=AsOfDate,IF($R17=0,$X17,IF(AND($T17&lt;&gt;"",EDATE($D17,Milestones!$AA$100)&gt;=$T17),$W17,IF(AND($S17&lt;&gt;"",EDATE($D17,Milestones!$AA$100)&gt;=$S17),$V17,$U17)))=Milestones!$AB$100),UPPER(TEXT(EDATE($D17,Milestones!$AA$100),"dd mmm yy"))&amp;" "&amp;Milestones!$AB$100&amp;" "&amp;Milestones!$AC$100&amp;";  ","")&amp;IF(AND(EDATE($D17,Milestones!$AA$101)&lt;=AsOfDate,IF($R17=0,$X17,IF(AND($T17&lt;&gt;"",EDATE($D17,Milestones!$AA$101)&gt;=$T17),$W17,IF(AND($S17&lt;&gt;"",EDATE($D17,Milestones!$AA$101)&gt;=$S17),$V17,$U17)))=Milestones!$AB$101),UPPER(TEXT(EDATE($D17,Milestones!$AA$101),"dd mmm yy"))&amp;" "&amp;Milestones!$AB$101&amp;" "&amp;Milestones!$AC$101&amp;";  ","")&amp;IF(AND(EDATE($D17,Milestones!$AA$102)&lt;=AsOfDate,IF($R17=0,$X17,IF(AND($T17&lt;&gt;"",EDATE($D17,Milestones!$AA$102)&gt;=$T17),$W17,IF(AND($S17&lt;&gt;"",EDATE($D17,Milestones!$AA$102)&gt;=$S17),$V17,$U17)))=Milestones!$AB$102),UPPER(TEXT(EDATE($D17,Milestones!$AA$102),"dd mmm yy"))&amp;" "&amp;Milestones!$AB$102&amp;" "&amp;Milestones!$AC$102&amp;";  ","")&amp;IF(AND(EDATE($D17,Milestones!$AA$103)&lt;=AsOfDate,IF($R17=0,$X17,IF(AND($T17&lt;&gt;"",EDATE($D17,Milestones!$AA$103)&gt;=$T17),$W17,IF(AND($S17&lt;&gt;"",EDATE($D17,Milestones!$AA$103)&gt;=$S17),$V17,$U17)))=Milestones!$AB$103),UPPER(TEXT(EDATE($D17,Milestones!$AA$103),"dd mmm yy"))&amp;" "&amp;Milestones!$AB$103&amp;" "&amp;Milestones!$AC$103&amp;";  ","")&amp;IF(AND(EDATE($D17,Milestones!$AA$104)&lt;=AsOfDate,IF($R17=0,$X17,IF(AND($T17&lt;&gt;"",EDATE($D17,Milestones!$AA$104)&gt;=$T17),$W17,IF(AND($S17&lt;&gt;"",EDATE($D17,Milestones!$AA$104)&gt;=$S17),$V17,$U17)))=Milestones!$AB$104),UPPER(TEXT(EDATE($D17,Milestones!$AA$104),"dd mmm yy"))&amp;" "&amp;Milestones!$AB$104&amp;" "&amp;Milestones!$AC$104&amp;";  ","")&amp;IF(AND(EDATE($D17,Milestones!$AA$105)&lt;=AsOfDate,IF($R17=0,$X17,IF(AND($T17&lt;&gt;"",EDATE($D17,Milestones!$AA$105)&gt;=$T17),$W17,IF(AND($S17&lt;&gt;"",EDATE($D17,Milestones!$AA$105)&gt;=$S17),$V17,$U17)))=Milestones!$AB$105),UPPER(TEXT(EDATE($D17,Milestones!$AA$105),"dd mmm yy"))&amp;" "&amp;Milestones!$AB$105&amp;" "&amp;Milestones!$AC$105&amp;";  ","")&amp;IF(AND(EDATE($D17,Milestones!$AA$106)&lt;=AsOfDate,IF($R17=0,$X17,IF(AND($T17&lt;&gt;"",EDATE($D17,Milestones!$AA$106)&gt;=$T17),$W17,IF(AND($S17&lt;&gt;"",EDATE($D17,Milestones!$AA$106)&gt;=$S17),$V17,$U17)))=Milestones!$AB$106),UPPER(TEXT(EDATE($D17,Milestones!$AA$106),"dd mmm yy"))&amp;" "&amp;Milestones!$AB$106&amp;" "&amp;Milestones!$AC$106&amp;";  ","")&amp;IF(AND(EDATE($D17,Milestones!$AA$107)&lt;=AsOfDate,IF($R17=0,$X17,IF(AND($T17&lt;&gt;"",EDATE($D17,Milestones!$AA$107)&gt;=$T17),$W17,IF(AND($S17&lt;&gt;"",EDATE($D17,Milestones!$AA$107)&gt;=$S17),$V17,$U17)))=Milestones!$AB$107),UPPER(TEXT(EDATE($D17,Milestones!$AA$107),"dd mmm yy"))&amp;" "&amp;Milestones!$AB$107&amp;" "&amp;Milestones!$AC$107&amp;";  ","")&amp;IF(AND(EDATE($D17,Milestones!$AA$108)&lt;=AsOfDate,IF($R17=0,$X17,IF(AND($T17&lt;&gt;"",EDATE($D17,Milestones!$AA$108)&gt;=$T17),$W17,IF(AND($S17&lt;&gt;"",EDATE($D17,Milestones!$AA$108)&gt;=$S17),$V17,$U17)))=Milestones!$AB$108),UPPER(TEXT(EDATE($D17,Milestones!$AA$108),"dd mmm yy"))&amp;" "&amp;Milestones!$AB$108&amp;" "&amp;Milestones!$AC$108&amp;";  ","")&amp;IF(AND(EDATE($D17,Milestones!$AA$109)&lt;=AsOfDate,IF($R17=0,$X17,IF(AND($T17&lt;&gt;"",EDATE($D17,Milestones!$AA$109)&gt;=$T17),$W17,IF(AND($S17&lt;&gt;"",EDATE($D17,Milestones!$AA$109)&gt;=$S17),$V17,$U17)))=Milestones!$AB$109),UPPER(TEXT(EDATE($D17,Milestones!$AA$109),"dd mmm yy"))&amp;" "&amp;Milestones!$AB$109&amp;" "&amp;Milestones!$AC$109&amp;";  ","")&amp;IF(AND(EDATE($D17,Milestones!$AA$110)&lt;=AsOfDate,IF($R17=0,$X17,IF(AND($T17&lt;&gt;"",EDATE($D17,Milestones!$AA$110)&gt;=$T17),$W17,IF(AND($S17&lt;&gt;"",EDATE($D17,Milestones!$AA$110)&gt;=$S17),$V17,$U17)))=Milestones!$AB$110),UPPER(TEXT(EDATE($D17,Milestones!$AA$110),"dd mmm yy"))&amp;" "&amp;Milestones!$AB$110&amp;" "&amp;Milestones!$AC$110&amp;";  ","")&amp;IF(AND(EDATE($D17,Milestones!$AA$111)&lt;=AsOfDate,IF($R17=0,$X17,IF(AND($T17&lt;&gt;"",EDATE($D17,Milestones!$AA$111)&gt;=$T17),$W17,IF(AND($S17&lt;&gt;"",EDATE($D17,Milestones!$AA$111)&gt;=$S17),$V17,$U17)))=Milestones!$AB$111),UPPER(TEXT(EDATE($D17,Milestones!$AA$111),"dd mmm yy"))&amp;" "&amp;Milestones!$AB$111&amp;" "&amp;Milestones!$AC$111&amp;";  ","")&amp;IF(AND(EDATE($D17,Milestones!$AA$112)&lt;=AsOfDate,IF($R17=0,$X17,IF(AND($T17&lt;&gt;"",EDATE($D17,Milestones!$AA$112)&gt;=$T17),$W17,IF(AND($S17&lt;&gt;"",EDATE($D17,Milestones!$AA$112)&gt;=$S17),$V17,$U17)))=Milestones!$AB$112),UPPER(TEXT(EDATE($D17,Milestones!$AA$112),"dd mmm yy"))&amp;" "&amp;Milestones!$AB$112&amp;" "&amp;Milestones!$AC$112&amp;";  ","")&amp;IF(AND(EDATE($D17,Milestones!$AA$113)&lt;=AsOfDate,IF($R17=0,$X17,IF(AND($T17&lt;&gt;"",EDATE($D17,Milestones!$AA$113)&gt;=$T17),$W17,IF(AND($S17&lt;&gt;"",EDATE($D17,Milestones!$AA$113)&gt;=$S17),$V17,$U17)))=Milestones!$AB$113),UPPER(TEXT(EDATE($D17,Milestones!$AA$113),"dd mmm yy"))&amp;" "&amp;Milestones!$AB$113&amp;" "&amp;Milestones!$AC$113&amp;";  ","")&amp;IF(AND(EDATE($D17,Milestones!$AA$114)&lt;=AsOfDate,IF($R17=0,$X17,IF(AND($T17&lt;&gt;"",EDATE($D17,Milestones!$AA$114)&gt;=$T17),$W17,IF(AND($S17&lt;&gt;"",EDATE($D17,Milestones!$AA$114)&gt;=$S17),$V17,$U17)))=Milestones!$AB$114),UPPER(TEXT(EDATE($D17,Milestones!$AA$114),"dd mmm yy"))&amp;" "&amp;Milestones!$AB$114&amp;" "&amp;Milestones!$AC$114&amp;";  ","")&amp;IF(AND(EDATE($D17,Milestones!$AA$115)&lt;=AsOfDate,IF($R17=0,$X17,IF(AND($T17&lt;&gt;"",EDATE($D17,Milestones!$AA$115)&gt;=$T17),$W17,IF(AND($S17&lt;&gt;"",EDATE($D17,Milestones!$AA$115)&gt;=$S17),$V17,$U17)))=Milestones!$AB$115),UPPER(TEXT(EDATE($D17,Milestones!$AA$115),"dd mmm yy"))&amp;" "&amp;Milestones!$AB$115&amp;" "&amp;Milestones!$AC$115&amp;";  ","")&amp;IF(AND(EDATE($D17,Milestones!$AA$116)&lt;=AsOfDate,IF($R17=0,$X17,IF(AND($T17&lt;&gt;"",EDATE($D17,Milestones!$AA$116)&gt;=$T17),$W17,IF(AND($S17&lt;&gt;"",EDATE($D17,Milestones!$AA$116)&gt;=$S17),$V17,$U17)))=Milestones!$AB$116),UPPER(TEXT(EDATE($D17,Milestones!$AA$116),"dd mmm yy"))&amp;" "&amp;Milestones!$AB$116&amp;" "&amp;Milestones!$AC$116&amp;";  ","")&amp;IF(AND(EDATE($D17,Milestones!$AA$117)&lt;=AsOfDate,IF($R17=0,$X17,IF(AND($T17&lt;&gt;"",EDATE($D17,Milestones!$AA$117)&gt;=$T17),$W17,IF(AND($S17&lt;&gt;"",EDATE($D17,Milestones!$AA$117)&gt;=$S17),$V17,$U17)))=Milestones!$AB$117),UPPER(TEXT(EDATE($D17,Milestones!$AA$117),"dd mmm yy"))&amp;" "&amp;Milestones!$AB$117&amp;" "&amp;Milestones!$AC$117&amp;";  ","")&amp;IF(AND(EDATE($D17,Milestones!$AA$118)&lt;=AsOfDate,IF($R17=0,$X17,IF(AND($T17&lt;&gt;"",EDATE($D17,Milestones!$AA$118)&gt;=$T17),$W17,IF(AND($S17&lt;&gt;"",EDATE($D17,Milestones!$AA$118)&gt;=$S17),$V17,$U17)))=Milestones!$AB$118),UPPER(TEXT(EDATE($D17,Milestones!$AA$118),"dd mmm yy"))&amp;" "&amp;Milestones!$AB$118&amp;" "&amp;Milestones!$AC$118&amp;";  ","")&amp;IF(AND(EDATE($D17,Milestones!$AA$119)&lt;=AsOfDate,IF($R17=0,$X17,IF(AND($T17&lt;&gt;"",EDATE($D17,Milestones!$AA$119)&gt;=$T17),$W17,IF(AND($S17&lt;&gt;"",EDATE($D17,Milestones!$AA$119)&gt;=$S17),$V17,$U17)))=Milestones!$AB$119),UPPER(TEXT(EDATE($D17,Milestones!$AA$119),"dd mmm yy"))&amp;" "&amp;Milestones!$AB$119&amp;" "&amp;Milestones!$AC$119&amp;";  ",""))</f>
        <v/>
      </c>
      <c r="N17" s="0" t="str">
        <f aca="false">IF(OR($A17="",$D17=""),"",IF(AND(EDATE($D17,Milestones!$AA$120)&lt;=AsOfDate,IF($R17=0,$X17,IF(AND($T17&lt;&gt;"",EDATE($D17,Milestones!$AA$120)&gt;=$T17),$W17,IF(AND($S17&lt;&gt;"",EDATE($D17,Milestones!$AA$120)&gt;=$S17),$V17,$U17)))=Milestones!$AB$120),UPPER(TEXT(EDATE($D17,Milestones!$AA$120),"dd mmm yy"))&amp;" "&amp;Milestones!$AB$120&amp;" "&amp;Milestones!$AC$120&amp;";  ","")&amp;IF(AND(EDATE($D17,Milestones!$AA$121)&lt;=AsOfDate,IF($R17=0,$X17,IF(AND($T17&lt;&gt;"",EDATE($D17,Milestones!$AA$121)&gt;=$T17),$W17,IF(AND($S17&lt;&gt;"",EDATE($D17,Milestones!$AA$121)&gt;=$S17),$V17,$U17)))=Milestones!$AB$121),UPPER(TEXT(EDATE($D17,Milestones!$AA$121),"dd mmm yy"))&amp;" "&amp;Milestones!$AB$121&amp;" "&amp;Milestones!$AC$121&amp;";  ","")&amp;IF(AND(EDATE($D17,Milestones!$AA$122)&lt;=AsOfDate,IF($R17=0,$X17,IF(AND($T17&lt;&gt;"",EDATE($D17,Milestones!$AA$122)&gt;=$T17),$W17,IF(AND($S17&lt;&gt;"",EDATE($D17,Milestones!$AA$122)&gt;=$S17),$V17,$U17)))=Milestones!$AB$122),UPPER(TEXT(EDATE($D17,Milestones!$AA$122),"dd mmm yy"))&amp;" "&amp;Milestones!$AB$122&amp;" "&amp;Milestones!$AC$122&amp;";  ","")&amp;IF(AND(EDATE($D17,Milestones!$AA$123)&lt;=AsOfDate,IF($R17=0,$X17,IF(AND($T17&lt;&gt;"",EDATE($D17,Milestones!$AA$123)&gt;=$T17),$W17,IF(AND($S17&lt;&gt;"",EDATE($D17,Milestones!$AA$123)&gt;=$S17),$V17,$U17)))=Milestones!$AB$123),UPPER(TEXT(EDATE($D17,Milestones!$AA$123),"dd mmm yy"))&amp;" "&amp;Milestones!$AB$123&amp;" "&amp;Milestones!$AC$123&amp;";  ","")&amp;IF(AND(EDATE($D17,Milestones!$AA$124)&lt;=AsOfDate,IF($R17=0,$X17,IF(AND($T17&lt;&gt;"",EDATE($D17,Milestones!$AA$124)&gt;=$T17),$W17,IF(AND($S17&lt;&gt;"",EDATE($D17,Milestones!$AA$124)&gt;=$S17),$V17,$U17)))=Milestones!$AB$124),UPPER(TEXT(EDATE($D17,Milestones!$AA$124),"dd mmm yy"))&amp;" "&amp;Milestones!$AB$124&amp;" "&amp;Milestones!$AC$124&amp;";  ","")&amp;IF(AND(EDATE($D17,Milestones!$AA$125)&lt;=AsOfDate,IF($R17=0,$X17,IF(AND($T17&lt;&gt;"",EDATE($D17,Milestones!$AA$125)&gt;=$T17),$W17,IF(AND($S17&lt;&gt;"",EDATE($D17,Milestones!$AA$125)&gt;=$S17),$V17,$U17)))=Milestones!$AB$125),UPPER(TEXT(EDATE($D17,Milestones!$AA$125),"dd mmm yy"))&amp;" "&amp;Milestones!$AB$125&amp;" "&amp;Milestones!$AC$125&amp;";  ","")&amp;IF(AND(EDATE($D17,Milestones!$AA$126)&lt;=AsOfDate,IF($R17=0,$X17,IF(AND($T17&lt;&gt;"",EDATE($D17,Milestones!$AA$126)&gt;=$T17),$W17,IF(AND($S17&lt;&gt;"",EDATE($D17,Milestones!$AA$126)&gt;=$S17),$V17,$U17)))=Milestones!$AB$126),UPPER(TEXT(EDATE($D17,Milestones!$AA$126),"dd mmm yy"))&amp;" "&amp;Milestones!$AB$126&amp;" "&amp;Milestones!$AC$126&amp;";  ","")&amp;IF(AND(EDATE($D17,Milestones!$AA$127)&lt;=AsOfDate,IF($R17=0,$X17,IF(AND($T17&lt;&gt;"",EDATE($D17,Milestones!$AA$127)&gt;=$T17),$W17,IF(AND($S17&lt;&gt;"",EDATE($D17,Milestones!$AA$127)&gt;=$S17),$V17,$U17)))=Milestones!$AB$127),UPPER(TEXT(EDATE($D17,Milestones!$AA$127),"dd mmm yy"))&amp;" "&amp;Milestones!$AB$127&amp;" "&amp;Milestones!$AC$127&amp;";  ","")&amp;IF(AND(EDATE($D17,Milestones!$AA$128)&lt;=AsOfDate,IF($R17=0,$X17,IF(AND($T17&lt;&gt;"",EDATE($D17,Milestones!$AA$128)&gt;=$T17),$W17,IF(AND($S17&lt;&gt;"",EDATE($D17,Milestones!$AA$128)&gt;=$S17),$V17,$U17)))=Milestones!$AB$128),UPPER(TEXT(EDATE($D17,Milestones!$AA$128),"dd mmm yy"))&amp;" "&amp;Milestones!$AB$128&amp;" "&amp;Milestones!$AC$128&amp;";  ","")&amp;IF(AND(EDATE($D17,Milestones!$AA$129)&lt;=AsOfDate,IF($R17=0,$X17,IF(AND($T17&lt;&gt;"",EDATE($D17,Milestones!$AA$129)&gt;=$T17),$W17,IF(AND($S17&lt;&gt;"",EDATE($D17,Milestones!$AA$129)&gt;=$S17),$V17,$U17)))=Milestones!$AB$129),UPPER(TEXT(EDATE($D17,Milestones!$AA$129),"dd mmm yy"))&amp;" "&amp;Milestones!$AB$129&amp;" "&amp;Milestones!$AC$129&amp;";  ","")&amp;IF(AND(EDATE($D17,Milestones!$AA$130)&lt;=AsOfDate,IF($R17=0,$X17,IF(AND($T17&lt;&gt;"",EDATE($D17,Milestones!$AA$130)&gt;=$T17),$W17,IF(AND($S17&lt;&gt;"",EDATE($D17,Milestones!$AA$130)&gt;=$S17),$V17,$U17)))=Milestones!$AB$130),UPPER(TEXT(EDATE($D17,Milestones!$AA$130),"dd mmm yy"))&amp;" "&amp;Milestones!$AB$130&amp;" "&amp;Milestones!$AC$130&amp;";  ","")&amp;IF(AND(EDATE($D17,Milestones!$AA$131)&lt;=AsOfDate,IF($R17=0,$X17,IF(AND($T17&lt;&gt;"",EDATE($D17,Milestones!$AA$131)&gt;=$T17),$W17,IF(AND($S17&lt;&gt;"",EDATE($D17,Milestones!$AA$131)&gt;=$S17),$V17,$U17)))=Milestones!$AB$131),UPPER(TEXT(EDATE($D17,Milestones!$AA$131),"dd mmm yy"))&amp;" "&amp;Milestones!$AB$131&amp;" "&amp;Milestones!$AC$131&amp;";  ","")&amp;IF(AND(EDATE($D17,Milestones!$AA$132)&lt;=AsOfDate,IF($R17=0,$X17,IF(AND($T17&lt;&gt;"",EDATE($D17,Milestones!$AA$132)&gt;=$T17),$W17,IF(AND($S17&lt;&gt;"",EDATE($D17,Milestones!$AA$132)&gt;=$S17),$V17,$U17)))=Milestones!$AB$132),UPPER(TEXT(EDATE($D17,Milestones!$AA$132),"dd mmm yy"))&amp;" "&amp;Milestones!$AB$132&amp;" "&amp;Milestones!$AC$132&amp;";  ","")&amp;IF(AND(EDATE($D17,Milestones!$AA$133)&lt;=AsOfDate,IF($R17=0,$X17,IF(AND($T17&lt;&gt;"",EDATE($D17,Milestones!$AA$133)&gt;=$T17),$W17,IF(AND($S17&lt;&gt;"",EDATE($D17,Milestones!$AA$133)&gt;=$S17),$V17,$U17)))=Milestones!$AB$133),UPPER(TEXT(EDATE($D17,Milestones!$AA$133),"dd mmm yy"))&amp;" "&amp;Milestones!$AB$133&amp;" "&amp;Milestones!$AC$133&amp;";  ","")&amp;IF(AND(EDATE($D17,Milestones!$AA$134)&lt;=AsOfDate,IF($R17=0,$X17,IF(AND($T17&lt;&gt;"",EDATE($D17,Milestones!$AA$134)&gt;=$T17),$W17,IF(AND($S17&lt;&gt;"",EDATE($D17,Milestones!$AA$134)&gt;=$S17),$V17,$U17)))=Milestones!$AB$134),UPPER(TEXT(EDATE($D17,Milestones!$AA$134),"dd mmm yy"))&amp;" "&amp;Milestones!$AB$134&amp;" "&amp;Milestones!$AC$134&amp;";  ","")&amp;IF(AND(EDATE($D17,Milestones!$AA$135)&lt;=AsOfDate,IF($R17=0,$X17,IF(AND($T17&lt;&gt;"",EDATE($D17,Milestones!$AA$135)&gt;=$T17),$W17,IF(AND($S17&lt;&gt;"",EDATE($D17,Milestones!$AA$135)&gt;=$S17),$V17,$U17)))=Milestones!$AB$135),UPPER(TEXT(EDATE($D17,Milestones!$AA$135),"dd mmm yy"))&amp;" "&amp;Milestones!$AB$135&amp;" "&amp;Milestones!$AC$135&amp;";  ","")&amp;IF(AND(EDATE($D17,Milestones!$AA$136)&lt;=AsOfDate,IF($R17=0,$X17,IF(AND($T17&lt;&gt;"",EDATE($D17,Milestones!$AA$136)&gt;=$T17),$W17,IF(AND($S17&lt;&gt;"",EDATE($D17,Milestones!$AA$136)&gt;=$S17),$V17,$U17)))=Milestones!$AB$136),UPPER(TEXT(EDATE($D17,Milestones!$AA$136),"dd mmm yy"))&amp;" "&amp;Milestones!$AB$136&amp;" "&amp;Milestones!$AC$136&amp;";  ","")&amp;IF(AND(EDATE($D17,Milestones!$AA$137)&lt;=AsOfDate,IF($R17=0,$X17,IF(AND($T17&lt;&gt;"",EDATE($D17,Milestones!$AA$137)&gt;=$T17),$W17,IF(AND($S17&lt;&gt;"",EDATE($D17,Milestones!$AA$137)&gt;=$S17),$V17,$U17)))=Milestones!$AB$137),UPPER(TEXT(EDATE($D17,Milestones!$AA$137),"dd mmm yy"))&amp;" "&amp;Milestones!$AB$137&amp;" "&amp;Milestones!$AC$137&amp;";  ","")&amp;IF(AND(EDATE($D17,Milestones!$AA$138)&lt;=AsOfDate,IF($R17=0,$X17,IF(AND($T17&lt;&gt;"",EDATE($D17,Milestones!$AA$138)&gt;=$T17),$W17,IF(AND($S17&lt;&gt;"",EDATE($D17,Milestones!$AA$138)&gt;=$S17),$V17,$U17)))=Milestones!$AB$138),UPPER(TEXT(EDATE($D17,Milestones!$AA$138),"dd mmm yy"))&amp;" "&amp;Milestones!$AB$138&amp;" "&amp;Milestones!$AC$138&amp;";  ","")&amp;IF(AND(EDATE($D17,Milestones!$AA$139)&lt;=AsOfDate,IF($R17=0,$X17,IF(AND($T17&lt;&gt;"",EDATE($D17,Milestones!$AA$139)&gt;=$T17),$W17,IF(AND($S17&lt;&gt;"",EDATE($D17,Milestones!$AA$139)&gt;=$S17),$V17,$U17)))=Milestones!$AB$139),UPPER(TEXT(EDATE($D17,Milestones!$AA$139),"dd mmm yy"))&amp;" "&amp;Milestones!$AB$139&amp;" "&amp;Milestones!$AC$139&amp;";  ",""))</f>
        <v/>
      </c>
      <c r="O17" s="0" t="str">
        <f aca="false">IF(OR($A17="",$D17=""),"",IF(AND(EDATE($D17,Milestones!$AA$140)&lt;=AsOfDate,IF($R17=0,$X17,IF(AND($T17&lt;&gt;"",EDATE($D17,Milestones!$AA$140)&gt;=$T17),$W17,IF(AND($S17&lt;&gt;"",EDATE($D17,Milestones!$AA$140)&gt;=$S17),$V17,$U17)))=Milestones!$AB$140),UPPER(TEXT(EDATE($D17,Milestones!$AA$140),"dd mmm yy"))&amp;" "&amp;Milestones!$AB$140&amp;" "&amp;Milestones!$AC$140&amp;";  ","")&amp;IF(AND(EDATE($D17,Milestones!$AA$141)&lt;=AsOfDate,IF($R17=0,$X17,IF(AND($T17&lt;&gt;"",EDATE($D17,Milestones!$AA$141)&gt;=$T17),$W17,IF(AND($S17&lt;&gt;"",EDATE($D17,Milestones!$AA$141)&gt;=$S17),$V17,$U17)))=Milestones!$AB$141),UPPER(TEXT(EDATE($D17,Milestones!$AA$141),"dd mmm yy"))&amp;" "&amp;Milestones!$AB$141&amp;" "&amp;Milestones!$AC$141&amp;";  ","")&amp;IF(AND(EDATE($D17,Milestones!$AA$142)&lt;=AsOfDate,IF($R17=0,$X17,IF(AND($T17&lt;&gt;"",EDATE($D17,Milestones!$AA$142)&gt;=$T17),$W17,IF(AND($S17&lt;&gt;"",EDATE($D17,Milestones!$AA$142)&gt;=$S17),$V17,$U17)))=Milestones!$AB$142),UPPER(TEXT(EDATE($D17,Milestones!$AA$142),"dd mmm yy"))&amp;" "&amp;Milestones!$AB$142&amp;" "&amp;Milestones!$AC$142&amp;";  ","")&amp;IF(AND(EDATE($D17,Milestones!$AA$143)&lt;=AsOfDate,IF($R17=0,$X17,IF(AND($T17&lt;&gt;"",EDATE($D17,Milestones!$AA$143)&gt;=$T17),$W17,IF(AND($S17&lt;&gt;"",EDATE($D17,Milestones!$AA$143)&gt;=$S17),$V17,$U17)))=Milestones!$AB$143),UPPER(TEXT(EDATE($D17,Milestones!$AA$143),"dd mmm yy"))&amp;" "&amp;Milestones!$AB$143&amp;" "&amp;Milestones!$AC$143&amp;";  ","")&amp;IF(AND(EDATE($D17,Milestones!$AA$144)&lt;=AsOfDate,IF($R17=0,$X17,IF(AND($T17&lt;&gt;"",EDATE($D17,Milestones!$AA$144)&gt;=$T17),$W17,IF(AND($S17&lt;&gt;"",EDATE($D17,Milestones!$AA$144)&gt;=$S17),$V17,$U17)))=Milestones!$AB$144),UPPER(TEXT(EDATE($D17,Milestones!$AA$144),"dd mmm yy"))&amp;" "&amp;Milestones!$AB$144&amp;" "&amp;Milestones!$AC$144&amp;";  ","")&amp;IF(AND(EDATE($D17,Milestones!$AA$145)&lt;=AsOfDate,IF($R17=0,$X17,IF(AND($T17&lt;&gt;"",EDATE($D17,Milestones!$AA$145)&gt;=$T17),$W17,IF(AND($S17&lt;&gt;"",EDATE($D17,Milestones!$AA$145)&gt;=$S17),$V17,$U17)))=Milestones!$AB$145),UPPER(TEXT(EDATE($D17,Milestones!$AA$145),"dd mmm yy"))&amp;" "&amp;Milestones!$AB$145&amp;" "&amp;Milestones!$AC$145&amp;";  ","")&amp;IF(AND(EDATE($D17,Milestones!$AA$146)&lt;=AsOfDate,IF($R17=0,$X17,IF(AND($T17&lt;&gt;"",EDATE($D17,Milestones!$AA$146)&gt;=$T17),$W17,IF(AND($S17&lt;&gt;"",EDATE($D17,Milestones!$AA$146)&gt;=$S17),$V17,$U17)))=Milestones!$AB$146),UPPER(TEXT(EDATE($D17,Milestones!$AA$146),"dd mmm yy"))&amp;" "&amp;Milestones!$AB$146&amp;" "&amp;Milestones!$AC$146&amp;";  ","")&amp;IF(AND(EDATE($D17,Milestones!$AA$147)&lt;=AsOfDate,IF($R17=0,$X17,IF(AND($T17&lt;&gt;"",EDATE($D17,Milestones!$AA$147)&gt;=$T17),$W17,IF(AND($S17&lt;&gt;"",EDATE($D17,Milestones!$AA$147)&gt;=$S17),$V17,$U17)))=Milestones!$AB$147),UPPER(TEXT(EDATE($D17,Milestones!$AA$147),"dd mmm yy"))&amp;" "&amp;Milestones!$AB$147&amp;" "&amp;Milestones!$AC$147&amp;";  ","")&amp;IF(AND(EDATE($D17,Milestones!$AA$148)&lt;=AsOfDate,IF($R17=0,$X17,IF(AND($T17&lt;&gt;"",EDATE($D17,Milestones!$AA$148)&gt;=$T17),$W17,IF(AND($S17&lt;&gt;"",EDATE($D17,Milestones!$AA$148)&gt;=$S17),$V17,$U17)))=Milestones!$AB$148),UPPER(TEXT(EDATE($D17,Milestones!$AA$148),"dd mmm yy"))&amp;" "&amp;Milestones!$AB$148&amp;" "&amp;Milestones!$AC$148&amp;";  ","")&amp;IF(AND(EDATE($D17,Milestones!$AA$149)&lt;=AsOfDate,IF($R17=0,$X17,IF(AND($T17&lt;&gt;"",EDATE($D17,Milestones!$AA$149)&gt;=$T17),$W17,IF(AND($S17&lt;&gt;"",EDATE($D17,Milestones!$AA$149)&gt;=$S17),$V17,$U17)))=Milestones!$AB$149),UPPER(TEXT(EDATE($D17,Milestones!$AA$149),"dd mmm yy"))&amp;" "&amp;Milestones!$AB$149&amp;" "&amp;Milestones!$AC$149&amp;";  ","")&amp;IF(AND(EDATE($D17,Milestones!$AA$150)&lt;=AsOfDate,IF($R17=0,$X17,IF(AND($T17&lt;&gt;"",EDATE($D17,Milestones!$AA$150)&gt;=$T17),$W17,IF(AND($S17&lt;&gt;"",EDATE($D17,Milestones!$AA$150)&gt;=$S17),$V17,$U17)))=Milestones!$AB$150),UPPER(TEXT(EDATE($D17,Milestones!$AA$150),"dd mmm yy"))&amp;" "&amp;Milestones!$AB$150&amp;" "&amp;Milestones!$AC$150&amp;";  ","")&amp;IF(AND(EDATE($D17,Milestones!$AA$151)&lt;=AsOfDate,IF($R17=0,$X17,IF(AND($T17&lt;&gt;"",EDATE($D17,Milestones!$AA$151)&gt;=$T17),$W17,IF(AND($S17&lt;&gt;"",EDATE($D17,Milestones!$AA$151)&gt;=$S17),$V17,$U17)))=Milestones!$AB$151),UPPER(TEXT(EDATE($D17,Milestones!$AA$151),"dd mmm yy"))&amp;" "&amp;Milestones!$AB$151&amp;" "&amp;Milestones!$AC$151&amp;";  ","")&amp;IF(AND(EDATE($D17,Milestones!$AA$152)&lt;=AsOfDate,IF($R17=0,$X17,IF(AND($T17&lt;&gt;"",EDATE($D17,Milestones!$AA$152)&gt;=$T17),$W17,IF(AND($S17&lt;&gt;"",EDATE($D17,Milestones!$AA$152)&gt;=$S17),$V17,$U17)))=Milestones!$AB$152),UPPER(TEXT(EDATE($D17,Milestones!$AA$152),"dd mmm yy"))&amp;" "&amp;Milestones!$AB$152&amp;" "&amp;Milestones!$AC$152&amp;";  ","")&amp;IF(AND(EDATE($D17,Milestones!$AA$153)&lt;=AsOfDate,IF($R17=0,$X17,IF(AND($T17&lt;&gt;"",EDATE($D17,Milestones!$AA$153)&gt;=$T17),$W17,IF(AND($S17&lt;&gt;"",EDATE($D17,Milestones!$AA$153)&gt;=$S17),$V17,$U17)))=Milestones!$AB$153),UPPER(TEXT(EDATE($D17,Milestones!$AA$153),"dd mmm yy"))&amp;" "&amp;Milestones!$AB$153&amp;" "&amp;Milestones!$AC$153&amp;";  ","")&amp;IF(AND(EDATE($D17,Milestones!$AA$154)&lt;=AsOfDate,IF($R17=0,$X17,IF(AND($T17&lt;&gt;"",EDATE($D17,Milestones!$AA$154)&gt;=$T17),$W17,IF(AND($S17&lt;&gt;"",EDATE($D17,Milestones!$AA$154)&gt;=$S17),$V17,$U17)))=Milestones!$AB$154),UPPER(TEXT(EDATE($D17,Milestones!$AA$154),"dd mmm yy"))&amp;" "&amp;Milestones!$AB$154&amp;" "&amp;Milestones!$AC$154&amp;";  ","")&amp;IF(AND(EDATE($D17,Milestones!$AA$155)&lt;=AsOfDate,IF($R17=0,$X17,IF(AND($T17&lt;&gt;"",EDATE($D17,Milestones!$AA$155)&gt;=$T17),$W17,IF(AND($S17&lt;&gt;"",EDATE($D17,Milestones!$AA$155)&gt;=$S17),$V17,$U17)))=Milestones!$AB$155),UPPER(TEXT(EDATE($D17,Milestones!$AA$155),"dd mmm yy"))&amp;" "&amp;Milestones!$AB$155&amp;" "&amp;Milestones!$AC$155&amp;";  ","")&amp;IF(AND(EDATE($D17,Milestones!$AA$156)&lt;=AsOfDate,IF($R17=0,$X17,IF(AND($T17&lt;&gt;"",EDATE($D17,Milestones!$AA$156)&gt;=$T17),$W17,IF(AND($S17&lt;&gt;"",EDATE($D17,Milestones!$AA$156)&gt;=$S17),$V17,$U17)))=Milestones!$AB$156),UPPER(TEXT(EDATE($D17,Milestones!$AA$156),"dd mmm yy"))&amp;" "&amp;Milestones!$AB$156&amp;" "&amp;Milestones!$AC$156&amp;";  ","")&amp;IF(AND(EDATE($D17,Milestones!$AA$157)&lt;=AsOfDate,IF($R17=0,$X17,IF(AND($T17&lt;&gt;"",EDATE($D17,Milestones!$AA$157)&gt;=$T17),$W17,IF(AND($S17&lt;&gt;"",EDATE($D17,Milestones!$AA$157)&gt;=$S17),$V17,$U17)))=Milestones!$AB$157),UPPER(TEXT(EDATE($D17,Milestones!$AA$157),"dd mmm yy"))&amp;" "&amp;Milestones!$AB$157&amp;" "&amp;Milestones!$AC$157&amp;";  ","")&amp;IF(AND(EDATE($D17,Milestones!$AA$158)&lt;=AsOfDate,IF($R17=0,$X17,IF(AND($T17&lt;&gt;"",EDATE($D17,Milestones!$AA$158)&gt;=$T17),$W17,IF(AND($S17&lt;&gt;"",EDATE($D17,Milestones!$AA$158)&gt;=$S17),$V17,$U17)))=Milestones!$AB$158),UPPER(TEXT(EDATE($D17,Milestones!$AA$158),"dd mmm yy"))&amp;" "&amp;Milestones!$AB$158&amp;" "&amp;Milestones!$AC$158&amp;";  ","")&amp;IF(AND(EDATE($D17,Milestones!$AA$159)&lt;=AsOfDate,IF($R17=0,$X17,IF(AND($T17&lt;&gt;"",EDATE($D17,Milestones!$AA$159)&gt;=$T17),$W17,IF(AND($S17&lt;&gt;"",EDATE($D17,Milestones!$AA$159)&gt;=$S17),$V17,$U17)))=Milestones!$AB$159),UPPER(TEXT(EDATE($D17,Milestones!$AA$159),"dd mmm yy"))&amp;" "&amp;Milestones!$AB$159&amp;" "&amp;Milestones!$AC$159&amp;";  ",""))</f>
        <v/>
      </c>
      <c r="P17" s="0" t="str">
        <f aca="false">IF(OR($A17="",$D17=""),"",IF(AND(EDATE($D17,Milestones!$AA$160)&lt;=AsOfDate,IF($R17=0,$X17,IF(AND($T17&lt;&gt;"",EDATE($D17,Milestones!$AA$160)&gt;=$T17),$W17,IF(AND($S17&lt;&gt;"",EDATE($D17,Milestones!$AA$160)&gt;=$S17),$V17,$U17)))=Milestones!$AB$160),UPPER(TEXT(EDATE($D17,Milestones!$AA$160),"dd mmm yy"))&amp;" "&amp;Milestones!$AB$160&amp;" "&amp;Milestones!$AC$160&amp;";  ","")&amp;IF(AND(EDATE($D17,Milestones!$AA$161)&lt;=AsOfDate,IF($R17=0,$X17,IF(AND($T17&lt;&gt;"",EDATE($D17,Milestones!$AA$161)&gt;=$T17),$W17,IF(AND($S17&lt;&gt;"",EDATE($D17,Milestones!$AA$161)&gt;=$S17),$V17,$U17)))=Milestones!$AB$161),UPPER(TEXT(EDATE($D17,Milestones!$AA$161),"dd mmm yy"))&amp;" "&amp;Milestones!$AB$161&amp;" "&amp;Milestones!$AC$161&amp;";  ","")&amp;IF(AND(EDATE($D17,Milestones!$AA$162)&lt;=AsOfDate,IF($R17=0,$X17,IF(AND($T17&lt;&gt;"",EDATE($D17,Milestones!$AA$162)&gt;=$T17),$W17,IF(AND($S17&lt;&gt;"",EDATE($D17,Milestones!$AA$162)&gt;=$S17),$V17,$U17)))=Milestones!$AB$162),UPPER(TEXT(EDATE($D17,Milestones!$AA$162),"dd mmm yy"))&amp;" "&amp;Milestones!$AB$162&amp;" "&amp;Milestones!$AC$162&amp;";  ","")&amp;IF(AND(EDATE($D17,Milestones!$AA$163)&lt;=AsOfDate,IF($R17=0,$X17,IF(AND($T17&lt;&gt;"",EDATE($D17,Milestones!$AA$163)&gt;=$T17),$W17,IF(AND($S17&lt;&gt;"",EDATE($D17,Milestones!$AA$163)&gt;=$S17),$V17,$U17)))=Milestones!$AB$163),UPPER(TEXT(EDATE($D17,Milestones!$AA$163),"dd mmm yy"))&amp;" "&amp;Milestones!$AB$163&amp;" "&amp;Milestones!$AC$163&amp;";  ","")&amp;IF(AND(EDATE($D17,Milestones!$AA$164)&lt;=AsOfDate,IF($R17=0,$X17,IF(AND($T17&lt;&gt;"",EDATE($D17,Milestones!$AA$164)&gt;=$T17),$W17,IF(AND($S17&lt;&gt;"",EDATE($D17,Milestones!$AA$164)&gt;=$S17),$V17,$U17)))=Milestones!$AB$164),UPPER(TEXT(EDATE($D17,Milestones!$AA$164),"dd mmm yy"))&amp;" "&amp;Milestones!$AB$164&amp;" "&amp;Milestones!$AC$164&amp;";  ","")&amp;IF(AND(EDATE($D17,Milestones!$AA$165)&lt;=AsOfDate,IF($R17=0,$X17,IF(AND($T17&lt;&gt;"",EDATE($D17,Milestones!$AA$165)&gt;=$T17),$W17,IF(AND($S17&lt;&gt;"",EDATE($D17,Milestones!$AA$165)&gt;=$S17),$V17,$U17)))=Milestones!$AB$165),UPPER(TEXT(EDATE($D17,Milestones!$AA$165),"dd mmm yy"))&amp;" "&amp;Milestones!$AB$165&amp;" "&amp;Milestones!$AC$165&amp;";  ","")&amp;IF(AND(EDATE($D17,Milestones!$AA$166)&lt;=AsOfDate,IF($R17=0,$X17,IF(AND($T17&lt;&gt;"",EDATE($D17,Milestones!$AA$166)&gt;=$T17),$W17,IF(AND($S17&lt;&gt;"",EDATE($D17,Milestones!$AA$166)&gt;=$S17),$V17,$U17)))=Milestones!$AB$166),UPPER(TEXT(EDATE($D17,Milestones!$AA$166),"dd mmm yy"))&amp;" "&amp;Milestones!$AB$166&amp;" "&amp;Milestones!$AC$166&amp;";  ","")&amp;IF(AND(EDATE($D17,Milestones!$AA$167)&lt;=AsOfDate,IF($R17=0,$X17,IF(AND($T17&lt;&gt;"",EDATE($D17,Milestones!$AA$167)&gt;=$T17),$W17,IF(AND($S17&lt;&gt;"",EDATE($D17,Milestones!$AA$167)&gt;=$S17),$V17,$U17)))=Milestones!$AB$167),UPPER(TEXT(EDATE($D17,Milestones!$AA$167),"dd mmm yy"))&amp;" "&amp;Milestones!$AB$167&amp;" "&amp;Milestones!$AC$167&amp;";  ","")&amp;IF(AND(EDATE($D17,Milestones!$AA$168)&lt;=AsOfDate,IF($R17=0,$X17,IF(AND($T17&lt;&gt;"",EDATE($D17,Milestones!$AA$168)&gt;=$T17),$W17,IF(AND($S17&lt;&gt;"",EDATE($D17,Milestones!$AA$168)&gt;=$S17),$V17,$U17)))=Milestones!$AB$168),UPPER(TEXT(EDATE($D17,Milestones!$AA$168),"dd mmm yy"))&amp;" "&amp;Milestones!$AB$168&amp;" "&amp;Milestones!$AC$168&amp;";  ","")&amp;IF(AND(EDATE($D17,Milestones!$AA$169)&lt;=AsOfDate,IF($R17=0,$X17,IF(AND($T17&lt;&gt;"",EDATE($D17,Milestones!$AA$169)&gt;=$T17),$W17,IF(AND($S17&lt;&gt;"",EDATE($D17,Milestones!$AA$169)&gt;=$S17),$V17,$U17)))=Milestones!$AB$169),UPPER(TEXT(EDATE($D17,Milestones!$AA$169),"dd mmm yy"))&amp;" "&amp;Milestones!$AB$169&amp;" "&amp;Milestones!$AC$169&amp;";  ","")&amp;IF(AND(EDATE($D17,Milestones!$AA$170)&lt;=AsOfDate,IF($R17=0,$X17,IF(AND($T17&lt;&gt;"",EDATE($D17,Milestones!$AA$170)&gt;=$T17),$W17,IF(AND($S17&lt;&gt;"",EDATE($D17,Milestones!$AA$170)&gt;=$S17),$V17,$U17)))=Milestones!$AB$170),UPPER(TEXT(EDATE($D17,Milestones!$AA$170),"dd mmm yy"))&amp;" "&amp;Milestones!$AB$170&amp;" "&amp;Milestones!$AC$170&amp;";  ","")&amp;IF(AND(EDATE($D17,Milestones!$AA$171)&lt;=AsOfDate,IF($R17=0,$X17,IF(AND($T17&lt;&gt;"",EDATE($D17,Milestones!$AA$171)&gt;=$T17),$W17,IF(AND($S17&lt;&gt;"",EDATE($D17,Milestones!$AA$171)&gt;=$S17),$V17,$U17)))=Milestones!$AB$171),UPPER(TEXT(EDATE($D17,Milestones!$AA$171),"dd mmm yy"))&amp;" "&amp;Milestones!$AB$171&amp;" "&amp;Milestones!$AC$171&amp;";  ","")&amp;IF(AND(EDATE($D17,Milestones!$AA$172)&lt;=AsOfDate,IF($R17=0,$X17,IF(AND($T17&lt;&gt;"",EDATE($D17,Milestones!$AA$172)&gt;=$T17),$W17,IF(AND($S17&lt;&gt;"",EDATE($D17,Milestones!$AA$172)&gt;=$S17),$V17,$U17)))=Milestones!$AB$172),UPPER(TEXT(EDATE($D17,Milestones!$AA$172),"dd mmm yy"))&amp;" "&amp;Milestones!$AB$172&amp;" "&amp;Milestones!$AC$172&amp;";  ","")&amp;IF(AND(EDATE($D17,Milestones!$AA$173)&lt;=AsOfDate,IF($R17=0,$X17,IF(AND($T17&lt;&gt;"",EDATE($D17,Milestones!$AA$173)&gt;=$T17),$W17,IF(AND($S17&lt;&gt;"",EDATE($D17,Milestones!$AA$173)&gt;=$S17),$V17,$U17)))=Milestones!$AB$173),UPPER(TEXT(EDATE($D17,Milestones!$AA$173),"dd mmm yy"))&amp;" "&amp;Milestones!$AB$173&amp;" "&amp;Milestones!$AC$173&amp;";  ","")&amp;IF(AND(EDATE($D17,Milestones!$AA$174)&lt;=AsOfDate,IF($R17=0,$X17,IF(AND($T17&lt;&gt;"",EDATE($D17,Milestones!$AA$174)&gt;=$T17),$W17,IF(AND($S17&lt;&gt;"",EDATE($D17,Milestones!$AA$174)&gt;=$S17),$V17,$U17)))=Milestones!$AB$174),UPPER(TEXT(EDATE($D17,Milestones!$AA$174),"dd mmm yy"))&amp;" "&amp;Milestones!$AB$174&amp;" "&amp;Milestones!$AC$174&amp;";  ","")&amp;IF(AND(EDATE($D17,Milestones!$AA$175)&lt;=AsOfDate,IF($R17=0,$X17,IF(AND($T17&lt;&gt;"",EDATE($D17,Milestones!$AA$175)&gt;=$T17),$W17,IF(AND($S17&lt;&gt;"",EDATE($D17,Milestones!$AA$175)&gt;=$S17),$V17,$U17)))=Milestones!$AB$175),UPPER(TEXT(EDATE($D17,Milestones!$AA$175),"dd mmm yy"))&amp;" "&amp;Milestones!$AB$175&amp;" "&amp;Milestones!$AC$175&amp;";  ","")&amp;IF(AND(EDATE($D17,Milestones!$AA$176)&lt;=AsOfDate,IF($R17=0,$X17,IF(AND($T17&lt;&gt;"",EDATE($D17,Milestones!$AA$176)&gt;=$T17),$W17,IF(AND($S17&lt;&gt;"",EDATE($D17,Milestones!$AA$176)&gt;=$S17),$V17,$U17)))=Milestones!$AB$176),UPPER(TEXT(EDATE($D17,Milestones!$AA$176),"dd mmm yy"))&amp;" "&amp;Milestones!$AB$176&amp;" "&amp;Milestones!$AC$176&amp;";  ","")&amp;IF(AND(EDATE($D17,Milestones!$AA$177)&lt;=AsOfDate,IF($R17=0,$X17,IF(AND($T17&lt;&gt;"",EDATE($D17,Milestones!$AA$177)&gt;=$T17),$W17,IF(AND($S17&lt;&gt;"",EDATE($D17,Milestones!$AA$177)&gt;=$S17),$V17,$U17)))=Milestones!$AB$177),UPPER(TEXT(EDATE($D17,Milestones!$AA$177),"dd mmm yy"))&amp;" "&amp;Milestones!$AB$177&amp;" "&amp;Milestones!$AC$177&amp;";  ","")&amp;IF(AND(EDATE($D17,Milestones!$AA$178)&lt;=AsOfDate,IF($R17=0,$X17,IF(AND($T17&lt;&gt;"",EDATE($D17,Milestones!$AA$178)&gt;=$T17),$W17,IF(AND($S17&lt;&gt;"",EDATE($D17,Milestones!$AA$178)&gt;=$S17),$V17,$U17)))=Milestones!$AB$178),UPPER(TEXT(EDATE($D17,Milestones!$AA$178),"dd mmm yy"))&amp;" "&amp;Milestones!$AB$178&amp;" "&amp;Milestones!$AC$178&amp;";  ","")&amp;IF(AND(EDATE($D17,Milestones!$AA$179)&lt;=AsOfDate,IF($R17=0,$X17,IF(AND($T17&lt;&gt;"",EDATE($D17,Milestones!$AA$179)&gt;=$T17),$W17,IF(AND($S17&lt;&gt;"",EDATE($D17,Milestones!$AA$179)&gt;=$S17),$V17,$U17)))=Milestones!$AB$179),UPPER(TEXT(EDATE($D17,Milestones!$AA$179),"dd mmm yy"))&amp;" "&amp;Milestones!$AB$179&amp;" "&amp;Milestones!$AC$179&amp;";  ",""))</f>
        <v/>
      </c>
      <c r="Q17" s="0" t="str">
        <f aca="false">IF(OR($A17="",$D17=""),"",IF(AND(EDATE($D17,Milestones!$AA$180)&lt;=AsOfDate,IF($R17=0,$X17,IF(AND($T17&lt;&gt;"",EDATE($D17,Milestones!$AA$180)&gt;=$T17),$W17,IF(AND($S17&lt;&gt;"",EDATE($D17,Milestones!$AA$180)&gt;=$S17),$V17,$U17)))=Milestones!$AB$180),UPPER(TEXT(EDATE($D17,Milestones!$AA$180),"dd mmm yy"))&amp;" "&amp;Milestones!$AB$180&amp;" "&amp;Milestones!$AC$180&amp;";  ","")&amp;IF(AND(EDATE($D17,Milestones!$AA$181)&lt;=AsOfDate,IF($R17=0,$X17,IF(AND($T17&lt;&gt;"",EDATE($D17,Milestones!$AA$181)&gt;=$T17),$W17,IF(AND($S17&lt;&gt;"",EDATE($D17,Milestones!$AA$181)&gt;=$S17),$V17,$U17)))=Milestones!$AB$181),UPPER(TEXT(EDATE($D17,Milestones!$AA$181),"dd mmm yy"))&amp;" "&amp;Milestones!$AB$181&amp;" "&amp;Milestones!$AC$181&amp;";  ","")&amp;IF(AND(EDATE($D17,Milestones!$AA$182)&lt;=AsOfDate,IF($R17=0,$X17,IF(AND($T17&lt;&gt;"",EDATE($D17,Milestones!$AA$182)&gt;=$T17),$W17,IF(AND($S17&lt;&gt;"",EDATE($D17,Milestones!$AA$182)&gt;=$S17),$V17,$U17)))=Milestones!$AB$182),UPPER(TEXT(EDATE($D17,Milestones!$AA$182),"dd mmm yy"))&amp;" "&amp;Milestones!$AB$182&amp;" "&amp;Milestones!$AC$182&amp;";  ","")&amp;IF(AND(EDATE($D17,Milestones!$AA$183)&lt;=AsOfDate,IF($R17=0,$X17,IF(AND($T17&lt;&gt;"",EDATE($D17,Milestones!$AA$183)&gt;=$T17),$W17,IF(AND($S17&lt;&gt;"",EDATE($D17,Milestones!$AA$183)&gt;=$S17),$V17,$U17)))=Milestones!$AB$183),UPPER(TEXT(EDATE($D17,Milestones!$AA$183),"dd mmm yy"))&amp;" "&amp;Milestones!$AB$183&amp;" "&amp;Milestones!$AC$183&amp;";  ","")&amp;IF(AND(EDATE($D17,Milestones!$AA$184)&lt;=AsOfDate,IF($R17=0,$X17,IF(AND($T17&lt;&gt;"",EDATE($D17,Milestones!$AA$184)&gt;=$T17),$W17,IF(AND($S17&lt;&gt;"",EDATE($D17,Milestones!$AA$184)&gt;=$S17),$V17,$U17)))=Milestones!$AB$184),UPPER(TEXT(EDATE($D17,Milestones!$AA$184),"dd mmm yy"))&amp;" "&amp;Milestones!$AB$184&amp;" "&amp;Milestones!$AC$184&amp;";  ","")&amp;IF(AND(EDATE($D17,Milestones!$AA$185)&lt;=AsOfDate,IF($R17=0,$X17,IF(AND($T17&lt;&gt;"",EDATE($D17,Milestones!$AA$185)&gt;=$T17),$W17,IF(AND($S17&lt;&gt;"",EDATE($D17,Milestones!$AA$185)&gt;=$S17),$V17,$U17)))=Milestones!$AB$185),UPPER(TEXT(EDATE($D17,Milestones!$AA$185),"dd mmm yy"))&amp;" "&amp;Milestones!$AB$185&amp;" "&amp;Milestones!$AC$185&amp;";  ","")&amp;IF(AND(EDATE($D17,Milestones!$AA$186)&lt;=AsOfDate,IF($R17=0,$X17,IF(AND($T17&lt;&gt;"",EDATE($D17,Milestones!$AA$186)&gt;=$T17),$W17,IF(AND($S17&lt;&gt;"",EDATE($D17,Milestones!$AA$186)&gt;=$S17),$V17,$U17)))=Milestones!$AB$186),UPPER(TEXT(EDATE($D17,Milestones!$AA$186),"dd mmm yy"))&amp;" "&amp;Milestones!$AB$186&amp;" "&amp;Milestones!$AC$186&amp;";  ","")&amp;IF(AND(EDATE($D17,Milestones!$AA$187)&lt;=AsOfDate,IF($R17=0,$X17,IF(AND($T17&lt;&gt;"",EDATE($D17,Milestones!$AA$187)&gt;=$T17),$W17,IF(AND($S17&lt;&gt;"",EDATE($D17,Milestones!$AA$187)&gt;=$S17),$V17,$U17)))=Milestones!$AB$187),UPPER(TEXT(EDATE($D17,Milestones!$AA$187),"dd mmm yy"))&amp;" "&amp;Milestones!$AB$187&amp;" "&amp;Milestones!$AC$187&amp;";  ","")&amp;IF(AND(EDATE($D17,Milestones!$AA$188)&lt;=AsOfDate,IF($R17=0,$X17,IF(AND($T17&lt;&gt;"",EDATE($D17,Milestones!$AA$188)&gt;=$T17),$W17,IF(AND($S17&lt;&gt;"",EDATE($D17,Milestones!$AA$188)&gt;=$S17),$V17,$U17)))=Milestones!$AB$188),UPPER(TEXT(EDATE($D17,Milestones!$AA$188),"dd mmm yy"))&amp;" "&amp;Milestones!$AB$188&amp;" "&amp;Milestones!$AC$188&amp;";  ","")&amp;IF(AND(EDATE($D17,Milestones!$AA$189)&lt;=AsOfDate,IF($R17=0,$X17,IF(AND($T17&lt;&gt;"",EDATE($D17,Milestones!$AA$189)&gt;=$T17),$W17,IF(AND($S17&lt;&gt;"",EDATE($D17,Milestones!$AA$189)&gt;=$S17),$V17,$U17)))=Milestones!$AB$189),UPPER(TEXT(EDATE($D17,Milestones!$AA$189),"dd mmm yy"))&amp;" "&amp;Milestones!$AB$189&amp;" "&amp;Milestones!$AC$189&amp;";  ","")&amp;IF(AND(EDATE($D17,Milestones!$AA$190)&lt;=AsOfDate,IF($R17=0,$X17,IF(AND($T17&lt;&gt;"",EDATE($D17,Milestones!$AA$190)&gt;=$T17),$W17,IF(AND($S17&lt;&gt;"",EDATE($D17,Milestones!$AA$190)&gt;=$S17),$V17,$U17)))=Milestones!$AB$190),UPPER(TEXT(EDATE($D17,Milestones!$AA$190),"dd mmm yy"))&amp;" "&amp;Milestones!$AB$190&amp;" "&amp;Milestones!$AC$190&amp;";  ","")&amp;IF(AND(EDATE($D17,Milestones!$AA$191)&lt;=AsOfDate,IF($R17=0,$X17,IF(AND($T17&lt;&gt;"",EDATE($D17,Milestones!$AA$191)&gt;=$T17),$W17,IF(AND($S17&lt;&gt;"",EDATE($D17,Milestones!$AA$191)&gt;=$S17),$V17,$U17)))=Milestones!$AB$191),UPPER(TEXT(EDATE($D17,Milestones!$AA$191),"dd mmm yy"))&amp;" "&amp;Milestones!$AB$191&amp;" "&amp;Milestones!$AC$191&amp;";  ","")&amp;IF(AND(EDATE($D17,Milestones!$AA$192)&lt;=AsOfDate,IF($R17=0,$X17,IF(AND($T17&lt;&gt;"",EDATE($D17,Milestones!$AA$192)&gt;=$T17),$W17,IF(AND($S17&lt;&gt;"",EDATE($D17,Milestones!$AA$192)&gt;=$S17),$V17,$U17)))=Milestones!$AB$192),UPPER(TEXT(EDATE($D17,Milestones!$AA$192),"dd mmm yy"))&amp;" "&amp;Milestones!$AB$192&amp;" "&amp;Milestones!$AC$192&amp;";  ","")&amp;IF(AND(EDATE($D17,Milestones!$AA$193)&lt;=AsOfDate,IF($R17=0,$X17,IF(AND($T17&lt;&gt;"",EDATE($D17,Milestones!$AA$193)&gt;=$T17),$W17,IF(AND($S17&lt;&gt;"",EDATE($D17,Milestones!$AA$193)&gt;=$S17),$V17,$U17)))=Milestones!$AB$193),UPPER(TEXT(EDATE($D17,Milestones!$AA$193),"dd mmm yy"))&amp;" "&amp;Milestones!$AB$193&amp;" "&amp;Milestones!$AC$193&amp;";  ","")&amp;IF(AND(EDATE($D17,Milestones!$AA$194)&lt;=AsOfDate,IF($R17=0,$X17,IF(AND($T17&lt;&gt;"",EDATE($D17,Milestones!$AA$194)&gt;=$T17),$W17,IF(AND($S17&lt;&gt;"",EDATE($D17,Milestones!$AA$194)&gt;=$S17),$V17,$U17)))=Milestones!$AB$194),UPPER(TEXT(EDATE($D17,Milestones!$AA$194),"dd mmm yy"))&amp;" "&amp;Milestones!$AB$194&amp;" "&amp;Milestones!$AC$194&amp;";  ","")&amp;IF(AND(EDATE($D17,Milestones!$AA$195)&lt;=AsOfDate,IF($R17=0,$X17,IF(AND($T17&lt;&gt;"",EDATE($D17,Milestones!$AA$195)&gt;=$T17),$W17,IF(AND($S17&lt;&gt;"",EDATE($D17,Milestones!$AA$195)&gt;=$S17),$V17,$U17)))=Milestones!$AB$195),UPPER(TEXT(EDATE($D17,Milestones!$AA$195),"dd mmm yy"))&amp;" "&amp;Milestones!$AB$195&amp;" "&amp;Milestones!$AC$195&amp;";  ","")&amp;IF(AND(EDATE($D17,Milestones!$AA$196)&lt;=AsOfDate,IF($R17=0,$X17,IF(AND($T17&lt;&gt;"",EDATE($D17,Milestones!$AA$196)&gt;=$T17),$W17,IF(AND($S17&lt;&gt;"",EDATE($D17,Milestones!$AA$196)&gt;=$S17),$V17,$U17)))=Milestones!$AB$196),UPPER(TEXT(EDATE($D17,Milestones!$AA$196),"dd mmm yy"))&amp;" "&amp;Milestones!$AB$196&amp;" "&amp;Milestones!$AC$196&amp;";  ","")&amp;IF(AND(EDATE($D17,Milestones!$AA$197)&lt;=AsOfDate,IF($R17=0,$X17,IF(AND($T17&lt;&gt;"",EDATE($D17,Milestones!$AA$197)&gt;=$T17),$W17,IF(AND($S17&lt;&gt;"",EDATE($D17,Milestones!$AA$197)&gt;=$S17),$V17,$U17)))=Milestones!$AB$197),UPPER(TEXT(EDATE($D17,Milestones!$AA$197),"dd mmm yy"))&amp;" "&amp;Milestones!$AB$197&amp;" "&amp;Milestones!$AC$197&amp;";  ","")&amp;IF(AND(EDATE($D17,Milestones!$AA$198)&lt;=AsOfDate,IF($R17=0,$X17,IF(AND($T17&lt;&gt;"",EDATE($D17,Milestones!$AA$198)&gt;=$T17),$W17,IF(AND($S17&lt;&gt;"",EDATE($D17,Milestones!$AA$198)&gt;=$S17),$V17,$U17)))=Milestones!$AB$198),UPPER(TEXT(EDATE($D17,Milestones!$AA$198),"dd mmm yy"))&amp;" "&amp;Milestones!$AB$198&amp;" "&amp;Milestones!$AC$198&amp;";  ","")&amp;IF(AND(EDATE($D17,Milestones!$AA$199)&lt;=AsOfDate,IF($R17=0,$X17,IF(AND($T17&lt;&gt;"",EDATE($D17,Milestones!$AA$199)&gt;=$T17),$W17,IF(AND($S17&lt;&gt;"",EDATE($D17,Milestones!$AA$199)&gt;=$S17),$V17,$U17)))=Milestones!$AB$199),UPPER(TEXT(EDATE($D17,Milestones!$AA$199),"dd mmm yy"))&amp;" "&amp;Milestones!$AB$199&amp;" "&amp;Milestones!$AC$199&amp;";  ",""))</f>
        <v/>
      </c>
      <c r="R17" s="0" t="str">
        <f aca="false">IF(Staff!$A17="","",Staff!$AI17)</f>
        <v/>
      </c>
      <c r="S17" s="0" t="str">
        <f aca="false">IF(Staff!$A17="","",Staff!$AK17)</f>
        <v/>
      </c>
      <c r="T17" s="0" t="str">
        <f aca="false">IF(Staff!$A17="","",Staff!$AL17)</f>
        <v/>
      </c>
      <c r="U17" s="0" t="str">
        <f aca="false">IF(Staff!$A17="","",Staff!$AP17)</f>
        <v/>
      </c>
      <c r="V17" s="0" t="str">
        <f aca="false">IF(Staff!$A17="","",Staff!$AQ17)</f>
        <v/>
      </c>
      <c r="W17" s="0" t="str">
        <f aca="false">IF(Staff!$A17="","",Staff!$AR17)</f>
        <v/>
      </c>
      <c r="X17" s="0" t="str">
        <f aca="false">IF(Staff!$A17="","",Staff!$AS17)</f>
        <v/>
      </c>
    </row>
    <row r="18" customFormat="false" ht="15" hidden="false" customHeight="false" outlineLevel="0" collapsed="false">
      <c r="A18" s="14" t="str">
        <f aca="false">IF(Staff!$A18="","",Staff!$A18)</f>
        <v/>
      </c>
      <c r="B18" s="14" t="str">
        <f aca="false">IF(Staff!$A18="","",Staff!$B18)</f>
        <v/>
      </c>
      <c r="C18" s="14" t="str">
        <f aca="false">IF(Staff!$A18="","",Staff!$C18)</f>
        <v/>
      </c>
      <c r="D18" s="12" t="str">
        <f aca="false">IF(Staff!$A18="","",Staff!$AH18)</f>
        <v/>
      </c>
      <c r="E18" s="14" t="str">
        <f aca="false">IF(Staff!$A18="","",Staff!$O18)</f>
        <v/>
      </c>
      <c r="F18" s="14" t="str">
        <f aca="false">IF(E18="","",E18*HoursPerDay)</f>
        <v/>
      </c>
      <c r="G18" s="14" t="str">
        <f aca="false">IF(Staff!$A18="","",Staff!$AE18)</f>
        <v/>
      </c>
      <c r="H18" s="26" t="str">
        <f aca="false">IF($A18="","",I18&amp;J18&amp;K18&amp;L18&amp;M18&amp;N18&amp;O18&amp;P18&amp;Q18)</f>
        <v/>
      </c>
      <c r="I18" s="0" t="str">
        <f aca="false">IF(OR($A18="",$D18=""),"",IF(AND(EDATE($D18,Milestones!$AA$20)&lt;=AsOfDate,IF($R18=0,$X18,IF(AND($T18&lt;&gt;"",EDATE($D18,Milestones!$AA$20)&gt;=$T18),$W18,IF(AND($S18&lt;&gt;"",EDATE($D18,Milestones!$AA$20)&gt;=$S18),$V18,$U18)))=Milestones!$AB$20),UPPER(TEXT(EDATE($D18,Milestones!$AA$20),"dd mmm yy"))&amp;" "&amp;Milestones!$AB$20&amp;" "&amp;Milestones!$AC$20&amp;";  ","")&amp;IF(AND(EDATE($D18,Milestones!$AA$21)&lt;=AsOfDate,IF($R18=0,$X18,IF(AND($T18&lt;&gt;"",EDATE($D18,Milestones!$AA$21)&gt;=$T18),$W18,IF(AND($S18&lt;&gt;"",EDATE($D18,Milestones!$AA$21)&gt;=$S18),$V18,$U18)))=Milestones!$AB$21),UPPER(TEXT(EDATE($D18,Milestones!$AA$21),"dd mmm yy"))&amp;" "&amp;Milestones!$AB$21&amp;" "&amp;Milestones!$AC$21&amp;";  ","")&amp;IF(AND(EDATE($D18,Milestones!$AA$22)&lt;=AsOfDate,IF($R18=0,$X18,IF(AND($T18&lt;&gt;"",EDATE($D18,Milestones!$AA$22)&gt;=$T18),$W18,IF(AND($S18&lt;&gt;"",EDATE($D18,Milestones!$AA$22)&gt;=$S18),$V18,$U18)))=Milestones!$AB$22),UPPER(TEXT(EDATE($D18,Milestones!$AA$22),"dd mmm yy"))&amp;" "&amp;Milestones!$AB$22&amp;" "&amp;Milestones!$AC$22&amp;";  ","")&amp;IF(AND(EDATE($D18,Milestones!$AA$23)&lt;=AsOfDate,IF($R18=0,$X18,IF(AND($T18&lt;&gt;"",EDATE($D18,Milestones!$AA$23)&gt;=$T18),$W18,IF(AND($S18&lt;&gt;"",EDATE($D18,Milestones!$AA$23)&gt;=$S18),$V18,$U18)))=Milestones!$AB$23),UPPER(TEXT(EDATE($D18,Milestones!$AA$23),"dd mmm yy"))&amp;" "&amp;Milestones!$AB$23&amp;" "&amp;Milestones!$AC$23&amp;";  ","")&amp;IF(AND(EDATE($D18,Milestones!$AA$24)&lt;=AsOfDate,IF($R18=0,$X18,IF(AND($T18&lt;&gt;"",EDATE($D18,Milestones!$AA$24)&gt;=$T18),$W18,IF(AND($S18&lt;&gt;"",EDATE($D18,Milestones!$AA$24)&gt;=$S18),$V18,$U18)))=Milestones!$AB$24),UPPER(TEXT(EDATE($D18,Milestones!$AA$24),"dd mmm yy"))&amp;" "&amp;Milestones!$AB$24&amp;" "&amp;Milestones!$AC$24&amp;";  ","")&amp;IF(AND(EDATE($D18,Milestones!$AA$25)&lt;=AsOfDate,IF($R18=0,$X18,IF(AND($T18&lt;&gt;"",EDATE($D18,Milestones!$AA$25)&gt;=$T18),$W18,IF(AND($S18&lt;&gt;"",EDATE($D18,Milestones!$AA$25)&gt;=$S18),$V18,$U18)))=Milestones!$AB$25),UPPER(TEXT(EDATE($D18,Milestones!$AA$25),"dd mmm yy"))&amp;" "&amp;Milestones!$AB$25&amp;" "&amp;Milestones!$AC$25&amp;";  ","")&amp;IF(AND(EDATE($D18,Milestones!$AA$26)&lt;=AsOfDate,IF($R18=0,$X18,IF(AND($T18&lt;&gt;"",EDATE($D18,Milestones!$AA$26)&gt;=$T18),$W18,IF(AND($S18&lt;&gt;"",EDATE($D18,Milestones!$AA$26)&gt;=$S18),$V18,$U18)))=Milestones!$AB$26),UPPER(TEXT(EDATE($D18,Milestones!$AA$26),"dd mmm yy"))&amp;" "&amp;Milestones!$AB$26&amp;" "&amp;Milestones!$AC$26&amp;";  ","")&amp;IF(AND(EDATE($D18,Milestones!$AA$27)&lt;=AsOfDate,IF($R18=0,$X18,IF(AND($T18&lt;&gt;"",EDATE($D18,Milestones!$AA$27)&gt;=$T18),$W18,IF(AND($S18&lt;&gt;"",EDATE($D18,Milestones!$AA$27)&gt;=$S18),$V18,$U18)))=Milestones!$AB$27),UPPER(TEXT(EDATE($D18,Milestones!$AA$27),"dd mmm yy"))&amp;" "&amp;Milestones!$AB$27&amp;" "&amp;Milestones!$AC$27&amp;";  ","")&amp;IF(AND(EDATE($D18,Milestones!$AA$28)&lt;=AsOfDate,IF($R18=0,$X18,IF(AND($T18&lt;&gt;"",EDATE($D18,Milestones!$AA$28)&gt;=$T18),$W18,IF(AND($S18&lt;&gt;"",EDATE($D18,Milestones!$AA$28)&gt;=$S18),$V18,$U18)))=Milestones!$AB$28),UPPER(TEXT(EDATE($D18,Milestones!$AA$28),"dd mmm yy"))&amp;" "&amp;Milestones!$AB$28&amp;" "&amp;Milestones!$AC$28&amp;";  ","")&amp;IF(AND(EDATE($D18,Milestones!$AA$29)&lt;=AsOfDate,IF($R18=0,$X18,IF(AND($T18&lt;&gt;"",EDATE($D18,Milestones!$AA$29)&gt;=$T18),$W18,IF(AND($S18&lt;&gt;"",EDATE($D18,Milestones!$AA$29)&gt;=$S18),$V18,$U18)))=Milestones!$AB$29),UPPER(TEXT(EDATE($D18,Milestones!$AA$29),"dd mmm yy"))&amp;" "&amp;Milestones!$AB$29&amp;" "&amp;Milestones!$AC$29&amp;";  ","")&amp;IF(AND(EDATE($D18,Milestones!$AA$30)&lt;=AsOfDate,IF($R18=0,$X18,IF(AND($T18&lt;&gt;"",EDATE($D18,Milestones!$AA$30)&gt;=$T18),$W18,IF(AND($S18&lt;&gt;"",EDATE($D18,Milestones!$AA$30)&gt;=$S18),$V18,$U18)))=Milestones!$AB$30),UPPER(TEXT(EDATE($D18,Milestones!$AA$30),"dd mmm yy"))&amp;" "&amp;Milestones!$AB$30&amp;" "&amp;Milestones!$AC$30&amp;";  ","")&amp;IF(AND(EDATE($D18,Milestones!$AA$31)&lt;=AsOfDate,IF($R18=0,$X18,IF(AND($T18&lt;&gt;"",EDATE($D18,Milestones!$AA$31)&gt;=$T18),$W18,IF(AND($S18&lt;&gt;"",EDATE($D18,Milestones!$AA$31)&gt;=$S18),$V18,$U18)))=Milestones!$AB$31),UPPER(TEXT(EDATE($D18,Milestones!$AA$31),"dd mmm yy"))&amp;" "&amp;Milestones!$AB$31&amp;" "&amp;Milestones!$AC$31&amp;";  ","")&amp;IF(AND(EDATE($D18,Milestones!$AA$32)&lt;=AsOfDate,IF($R18=0,$X18,IF(AND($T18&lt;&gt;"",EDATE($D18,Milestones!$AA$32)&gt;=$T18),$W18,IF(AND($S18&lt;&gt;"",EDATE($D18,Milestones!$AA$32)&gt;=$S18),$V18,$U18)))=Milestones!$AB$32),UPPER(TEXT(EDATE($D18,Milestones!$AA$32),"dd mmm yy"))&amp;" "&amp;Milestones!$AB$32&amp;" "&amp;Milestones!$AC$32&amp;";  ","")&amp;IF(AND(EDATE($D18,Milestones!$AA$33)&lt;=AsOfDate,IF($R18=0,$X18,IF(AND($T18&lt;&gt;"",EDATE($D18,Milestones!$AA$33)&gt;=$T18),$W18,IF(AND($S18&lt;&gt;"",EDATE($D18,Milestones!$AA$33)&gt;=$S18),$V18,$U18)))=Milestones!$AB$33),UPPER(TEXT(EDATE($D18,Milestones!$AA$33),"dd mmm yy"))&amp;" "&amp;Milestones!$AB$33&amp;" "&amp;Milestones!$AC$33&amp;";  ","")&amp;IF(AND(EDATE($D18,Milestones!$AA$34)&lt;=AsOfDate,IF($R18=0,$X18,IF(AND($T18&lt;&gt;"",EDATE($D18,Milestones!$AA$34)&gt;=$T18),$W18,IF(AND($S18&lt;&gt;"",EDATE($D18,Milestones!$AA$34)&gt;=$S18),$V18,$U18)))=Milestones!$AB$34),UPPER(TEXT(EDATE($D18,Milestones!$AA$34),"dd mmm yy"))&amp;" "&amp;Milestones!$AB$34&amp;" "&amp;Milestones!$AC$34&amp;";  ","")&amp;IF(AND(EDATE($D18,Milestones!$AA$35)&lt;=AsOfDate,IF($R18=0,$X18,IF(AND($T18&lt;&gt;"",EDATE($D18,Milestones!$AA$35)&gt;=$T18),$W18,IF(AND($S18&lt;&gt;"",EDATE($D18,Milestones!$AA$35)&gt;=$S18),$V18,$U18)))=Milestones!$AB$35),UPPER(TEXT(EDATE($D18,Milestones!$AA$35),"dd mmm yy"))&amp;" "&amp;Milestones!$AB$35&amp;" "&amp;Milestones!$AC$35&amp;";  ","")&amp;IF(AND(EDATE($D18,Milestones!$AA$36)&lt;=AsOfDate,IF($R18=0,$X18,IF(AND($T18&lt;&gt;"",EDATE($D18,Milestones!$AA$36)&gt;=$T18),$W18,IF(AND($S18&lt;&gt;"",EDATE($D18,Milestones!$AA$36)&gt;=$S18),$V18,$U18)))=Milestones!$AB$36),UPPER(TEXT(EDATE($D18,Milestones!$AA$36),"dd mmm yy"))&amp;" "&amp;Milestones!$AB$36&amp;" "&amp;Milestones!$AC$36&amp;";  ","")&amp;IF(AND(EDATE($D18,Milestones!$AA$37)&lt;=AsOfDate,IF($R18=0,$X18,IF(AND($T18&lt;&gt;"",EDATE($D18,Milestones!$AA$37)&gt;=$T18),$W18,IF(AND($S18&lt;&gt;"",EDATE($D18,Milestones!$AA$37)&gt;=$S18),$V18,$U18)))=Milestones!$AB$37),UPPER(TEXT(EDATE($D18,Milestones!$AA$37),"dd mmm yy"))&amp;" "&amp;Milestones!$AB$37&amp;" "&amp;Milestones!$AC$37&amp;";  ","")&amp;IF(AND(EDATE($D18,Milestones!$AA$38)&lt;=AsOfDate,IF($R18=0,$X18,IF(AND($T18&lt;&gt;"",EDATE($D18,Milestones!$AA$38)&gt;=$T18),$W18,IF(AND($S18&lt;&gt;"",EDATE($D18,Milestones!$AA$38)&gt;=$S18),$V18,$U18)))=Milestones!$AB$38),UPPER(TEXT(EDATE($D18,Milestones!$AA$38),"dd mmm yy"))&amp;" "&amp;Milestones!$AB$38&amp;" "&amp;Milestones!$AC$38&amp;";  ","")&amp;IF(AND(EDATE($D18,Milestones!$AA$39)&lt;=AsOfDate,IF($R18=0,$X18,IF(AND($T18&lt;&gt;"",EDATE($D18,Milestones!$AA$39)&gt;=$T18),$W18,IF(AND($S18&lt;&gt;"",EDATE($D18,Milestones!$AA$39)&gt;=$S18),$V18,$U18)))=Milestones!$AB$39),UPPER(TEXT(EDATE($D18,Milestones!$AA$39),"dd mmm yy"))&amp;" "&amp;Milestones!$AB$39&amp;" "&amp;Milestones!$AC$39&amp;";  ",""))</f>
        <v/>
      </c>
      <c r="J18" s="0" t="str">
        <f aca="false">IF(OR($A18="",$D18=""),"",IF(AND(EDATE($D18,Milestones!$AA$40)&lt;=AsOfDate,IF($R18=0,$X18,IF(AND($T18&lt;&gt;"",EDATE($D18,Milestones!$AA$40)&gt;=$T18),$W18,IF(AND($S18&lt;&gt;"",EDATE($D18,Milestones!$AA$40)&gt;=$S18),$V18,$U18)))=Milestones!$AB$40),UPPER(TEXT(EDATE($D18,Milestones!$AA$40),"dd mmm yy"))&amp;" "&amp;Milestones!$AB$40&amp;" "&amp;Milestones!$AC$40&amp;";  ","")&amp;IF(AND(EDATE($D18,Milestones!$AA$41)&lt;=AsOfDate,IF($R18=0,$X18,IF(AND($T18&lt;&gt;"",EDATE($D18,Milestones!$AA$41)&gt;=$T18),$W18,IF(AND($S18&lt;&gt;"",EDATE($D18,Milestones!$AA$41)&gt;=$S18),$V18,$U18)))=Milestones!$AB$41),UPPER(TEXT(EDATE($D18,Milestones!$AA$41),"dd mmm yy"))&amp;" "&amp;Milestones!$AB$41&amp;" "&amp;Milestones!$AC$41&amp;";  ","")&amp;IF(AND(EDATE($D18,Milestones!$AA$42)&lt;=AsOfDate,IF($R18=0,$X18,IF(AND($T18&lt;&gt;"",EDATE($D18,Milestones!$AA$42)&gt;=$T18),$W18,IF(AND($S18&lt;&gt;"",EDATE($D18,Milestones!$AA$42)&gt;=$S18),$V18,$U18)))=Milestones!$AB$42),UPPER(TEXT(EDATE($D18,Milestones!$AA$42),"dd mmm yy"))&amp;" "&amp;Milestones!$AB$42&amp;" "&amp;Milestones!$AC$42&amp;";  ","")&amp;IF(AND(EDATE($D18,Milestones!$AA$43)&lt;=AsOfDate,IF($R18=0,$X18,IF(AND($T18&lt;&gt;"",EDATE($D18,Milestones!$AA$43)&gt;=$T18),$W18,IF(AND($S18&lt;&gt;"",EDATE($D18,Milestones!$AA$43)&gt;=$S18),$V18,$U18)))=Milestones!$AB$43),UPPER(TEXT(EDATE($D18,Milestones!$AA$43),"dd mmm yy"))&amp;" "&amp;Milestones!$AB$43&amp;" "&amp;Milestones!$AC$43&amp;";  ","")&amp;IF(AND(EDATE($D18,Milestones!$AA$44)&lt;=AsOfDate,IF($R18=0,$X18,IF(AND($T18&lt;&gt;"",EDATE($D18,Milestones!$AA$44)&gt;=$T18),$W18,IF(AND($S18&lt;&gt;"",EDATE($D18,Milestones!$AA$44)&gt;=$S18),$V18,$U18)))=Milestones!$AB$44),UPPER(TEXT(EDATE($D18,Milestones!$AA$44),"dd mmm yy"))&amp;" "&amp;Milestones!$AB$44&amp;" "&amp;Milestones!$AC$44&amp;";  ","")&amp;IF(AND(EDATE($D18,Milestones!$AA$45)&lt;=AsOfDate,IF($R18=0,$X18,IF(AND($T18&lt;&gt;"",EDATE($D18,Milestones!$AA$45)&gt;=$T18),$W18,IF(AND($S18&lt;&gt;"",EDATE($D18,Milestones!$AA$45)&gt;=$S18),$V18,$U18)))=Milestones!$AB$45),UPPER(TEXT(EDATE($D18,Milestones!$AA$45),"dd mmm yy"))&amp;" "&amp;Milestones!$AB$45&amp;" "&amp;Milestones!$AC$45&amp;";  ","")&amp;IF(AND(EDATE($D18,Milestones!$AA$46)&lt;=AsOfDate,IF($R18=0,$X18,IF(AND($T18&lt;&gt;"",EDATE($D18,Milestones!$AA$46)&gt;=$T18),$W18,IF(AND($S18&lt;&gt;"",EDATE($D18,Milestones!$AA$46)&gt;=$S18),$V18,$U18)))=Milestones!$AB$46),UPPER(TEXT(EDATE($D18,Milestones!$AA$46),"dd mmm yy"))&amp;" "&amp;Milestones!$AB$46&amp;" "&amp;Milestones!$AC$46&amp;";  ","")&amp;IF(AND(EDATE($D18,Milestones!$AA$47)&lt;=AsOfDate,IF($R18=0,$X18,IF(AND($T18&lt;&gt;"",EDATE($D18,Milestones!$AA$47)&gt;=$T18),$W18,IF(AND($S18&lt;&gt;"",EDATE($D18,Milestones!$AA$47)&gt;=$S18),$V18,$U18)))=Milestones!$AB$47),UPPER(TEXT(EDATE($D18,Milestones!$AA$47),"dd mmm yy"))&amp;" "&amp;Milestones!$AB$47&amp;" "&amp;Milestones!$AC$47&amp;";  ","")&amp;IF(AND(EDATE($D18,Milestones!$AA$48)&lt;=AsOfDate,IF($R18=0,$X18,IF(AND($T18&lt;&gt;"",EDATE($D18,Milestones!$AA$48)&gt;=$T18),$W18,IF(AND($S18&lt;&gt;"",EDATE($D18,Milestones!$AA$48)&gt;=$S18),$V18,$U18)))=Milestones!$AB$48),UPPER(TEXT(EDATE($D18,Milestones!$AA$48),"dd mmm yy"))&amp;" "&amp;Milestones!$AB$48&amp;" "&amp;Milestones!$AC$48&amp;";  ","")&amp;IF(AND(EDATE($D18,Milestones!$AA$49)&lt;=AsOfDate,IF($R18=0,$X18,IF(AND($T18&lt;&gt;"",EDATE($D18,Milestones!$AA$49)&gt;=$T18),$W18,IF(AND($S18&lt;&gt;"",EDATE($D18,Milestones!$AA$49)&gt;=$S18),$V18,$U18)))=Milestones!$AB$49),UPPER(TEXT(EDATE($D18,Milestones!$AA$49),"dd mmm yy"))&amp;" "&amp;Milestones!$AB$49&amp;" "&amp;Milestones!$AC$49&amp;";  ","")&amp;IF(AND(EDATE($D18,Milestones!$AA$50)&lt;=AsOfDate,IF($R18=0,$X18,IF(AND($T18&lt;&gt;"",EDATE($D18,Milestones!$AA$50)&gt;=$T18),$W18,IF(AND($S18&lt;&gt;"",EDATE($D18,Milestones!$AA$50)&gt;=$S18),$V18,$U18)))=Milestones!$AB$50),UPPER(TEXT(EDATE($D18,Milestones!$AA$50),"dd mmm yy"))&amp;" "&amp;Milestones!$AB$50&amp;" "&amp;Milestones!$AC$50&amp;";  ","")&amp;IF(AND(EDATE($D18,Milestones!$AA$51)&lt;=AsOfDate,IF($R18=0,$X18,IF(AND($T18&lt;&gt;"",EDATE($D18,Milestones!$AA$51)&gt;=$T18),$W18,IF(AND($S18&lt;&gt;"",EDATE($D18,Milestones!$AA$51)&gt;=$S18),$V18,$U18)))=Milestones!$AB$51),UPPER(TEXT(EDATE($D18,Milestones!$AA$51),"dd mmm yy"))&amp;" "&amp;Milestones!$AB$51&amp;" "&amp;Milestones!$AC$51&amp;";  ","")&amp;IF(AND(EDATE($D18,Milestones!$AA$52)&lt;=AsOfDate,IF($R18=0,$X18,IF(AND($T18&lt;&gt;"",EDATE($D18,Milestones!$AA$52)&gt;=$T18),$W18,IF(AND($S18&lt;&gt;"",EDATE($D18,Milestones!$AA$52)&gt;=$S18),$V18,$U18)))=Milestones!$AB$52),UPPER(TEXT(EDATE($D18,Milestones!$AA$52),"dd mmm yy"))&amp;" "&amp;Milestones!$AB$52&amp;" "&amp;Milestones!$AC$52&amp;";  ","")&amp;IF(AND(EDATE($D18,Milestones!$AA$53)&lt;=AsOfDate,IF($R18=0,$X18,IF(AND($T18&lt;&gt;"",EDATE($D18,Milestones!$AA$53)&gt;=$T18),$W18,IF(AND($S18&lt;&gt;"",EDATE($D18,Milestones!$AA$53)&gt;=$S18),$V18,$U18)))=Milestones!$AB$53),UPPER(TEXT(EDATE($D18,Milestones!$AA$53),"dd mmm yy"))&amp;" "&amp;Milestones!$AB$53&amp;" "&amp;Milestones!$AC$53&amp;";  ","")&amp;IF(AND(EDATE($D18,Milestones!$AA$54)&lt;=AsOfDate,IF($R18=0,$X18,IF(AND($T18&lt;&gt;"",EDATE($D18,Milestones!$AA$54)&gt;=$T18),$W18,IF(AND($S18&lt;&gt;"",EDATE($D18,Milestones!$AA$54)&gt;=$S18),$V18,$U18)))=Milestones!$AB$54),UPPER(TEXT(EDATE($D18,Milestones!$AA$54),"dd mmm yy"))&amp;" "&amp;Milestones!$AB$54&amp;" "&amp;Milestones!$AC$54&amp;";  ","")&amp;IF(AND(EDATE($D18,Milestones!$AA$55)&lt;=AsOfDate,IF($R18=0,$X18,IF(AND($T18&lt;&gt;"",EDATE($D18,Milestones!$AA$55)&gt;=$T18),$W18,IF(AND($S18&lt;&gt;"",EDATE($D18,Milestones!$AA$55)&gt;=$S18),$V18,$U18)))=Milestones!$AB$55),UPPER(TEXT(EDATE($D18,Milestones!$AA$55),"dd mmm yy"))&amp;" "&amp;Milestones!$AB$55&amp;" "&amp;Milestones!$AC$55&amp;";  ","")&amp;IF(AND(EDATE($D18,Milestones!$AA$56)&lt;=AsOfDate,IF($R18=0,$X18,IF(AND($T18&lt;&gt;"",EDATE($D18,Milestones!$AA$56)&gt;=$T18),$W18,IF(AND($S18&lt;&gt;"",EDATE($D18,Milestones!$AA$56)&gt;=$S18),$V18,$U18)))=Milestones!$AB$56),UPPER(TEXT(EDATE($D18,Milestones!$AA$56),"dd mmm yy"))&amp;" "&amp;Milestones!$AB$56&amp;" "&amp;Milestones!$AC$56&amp;";  ","")&amp;IF(AND(EDATE($D18,Milestones!$AA$57)&lt;=AsOfDate,IF($R18=0,$X18,IF(AND($T18&lt;&gt;"",EDATE($D18,Milestones!$AA$57)&gt;=$T18),$W18,IF(AND($S18&lt;&gt;"",EDATE($D18,Milestones!$AA$57)&gt;=$S18),$V18,$U18)))=Milestones!$AB$57),UPPER(TEXT(EDATE($D18,Milestones!$AA$57),"dd mmm yy"))&amp;" "&amp;Milestones!$AB$57&amp;" "&amp;Milestones!$AC$57&amp;";  ","")&amp;IF(AND(EDATE($D18,Milestones!$AA$58)&lt;=AsOfDate,IF($R18=0,$X18,IF(AND($T18&lt;&gt;"",EDATE($D18,Milestones!$AA$58)&gt;=$T18),$W18,IF(AND($S18&lt;&gt;"",EDATE($D18,Milestones!$AA$58)&gt;=$S18),$V18,$U18)))=Milestones!$AB$58),UPPER(TEXT(EDATE($D18,Milestones!$AA$58),"dd mmm yy"))&amp;" "&amp;Milestones!$AB$58&amp;" "&amp;Milestones!$AC$58&amp;";  ","")&amp;IF(AND(EDATE($D18,Milestones!$AA$59)&lt;=AsOfDate,IF($R18=0,$X18,IF(AND($T18&lt;&gt;"",EDATE($D18,Milestones!$AA$59)&gt;=$T18),$W18,IF(AND($S18&lt;&gt;"",EDATE($D18,Milestones!$AA$59)&gt;=$S18),$V18,$U18)))=Milestones!$AB$59),UPPER(TEXT(EDATE($D18,Milestones!$AA$59),"dd mmm yy"))&amp;" "&amp;Milestones!$AB$59&amp;" "&amp;Milestones!$AC$59&amp;";  ",""))</f>
        <v/>
      </c>
      <c r="K18" s="0" t="str">
        <f aca="false">IF(OR($A18="",$D18=""),"",IF(AND(EDATE($D18,Milestones!$AA$60)&lt;=AsOfDate,IF($R18=0,$X18,IF(AND($T18&lt;&gt;"",EDATE($D18,Milestones!$AA$60)&gt;=$T18),$W18,IF(AND($S18&lt;&gt;"",EDATE($D18,Milestones!$AA$60)&gt;=$S18),$V18,$U18)))=Milestones!$AB$60),UPPER(TEXT(EDATE($D18,Milestones!$AA$60),"dd mmm yy"))&amp;" "&amp;Milestones!$AB$60&amp;" "&amp;Milestones!$AC$60&amp;";  ","")&amp;IF(AND(EDATE($D18,Milestones!$AA$61)&lt;=AsOfDate,IF($R18=0,$X18,IF(AND($T18&lt;&gt;"",EDATE($D18,Milestones!$AA$61)&gt;=$T18),$W18,IF(AND($S18&lt;&gt;"",EDATE($D18,Milestones!$AA$61)&gt;=$S18),$V18,$U18)))=Milestones!$AB$61),UPPER(TEXT(EDATE($D18,Milestones!$AA$61),"dd mmm yy"))&amp;" "&amp;Milestones!$AB$61&amp;" "&amp;Milestones!$AC$61&amp;";  ","")&amp;IF(AND(EDATE($D18,Milestones!$AA$62)&lt;=AsOfDate,IF($R18=0,$X18,IF(AND($T18&lt;&gt;"",EDATE($D18,Milestones!$AA$62)&gt;=$T18),$W18,IF(AND($S18&lt;&gt;"",EDATE($D18,Milestones!$AA$62)&gt;=$S18),$V18,$U18)))=Milestones!$AB$62),UPPER(TEXT(EDATE($D18,Milestones!$AA$62),"dd mmm yy"))&amp;" "&amp;Milestones!$AB$62&amp;" "&amp;Milestones!$AC$62&amp;";  ","")&amp;IF(AND(EDATE($D18,Milestones!$AA$63)&lt;=AsOfDate,IF($R18=0,$X18,IF(AND($T18&lt;&gt;"",EDATE($D18,Milestones!$AA$63)&gt;=$T18),$W18,IF(AND($S18&lt;&gt;"",EDATE($D18,Milestones!$AA$63)&gt;=$S18),$V18,$U18)))=Milestones!$AB$63),UPPER(TEXT(EDATE($D18,Milestones!$AA$63),"dd mmm yy"))&amp;" "&amp;Milestones!$AB$63&amp;" "&amp;Milestones!$AC$63&amp;";  ","")&amp;IF(AND(EDATE($D18,Milestones!$AA$64)&lt;=AsOfDate,IF($R18=0,$X18,IF(AND($T18&lt;&gt;"",EDATE($D18,Milestones!$AA$64)&gt;=$T18),$W18,IF(AND($S18&lt;&gt;"",EDATE($D18,Milestones!$AA$64)&gt;=$S18),$V18,$U18)))=Milestones!$AB$64),UPPER(TEXT(EDATE($D18,Milestones!$AA$64),"dd mmm yy"))&amp;" "&amp;Milestones!$AB$64&amp;" "&amp;Milestones!$AC$64&amp;";  ","")&amp;IF(AND(EDATE($D18,Milestones!$AA$65)&lt;=AsOfDate,IF($R18=0,$X18,IF(AND($T18&lt;&gt;"",EDATE($D18,Milestones!$AA$65)&gt;=$T18),$W18,IF(AND($S18&lt;&gt;"",EDATE($D18,Milestones!$AA$65)&gt;=$S18),$V18,$U18)))=Milestones!$AB$65),UPPER(TEXT(EDATE($D18,Milestones!$AA$65),"dd mmm yy"))&amp;" "&amp;Milestones!$AB$65&amp;" "&amp;Milestones!$AC$65&amp;";  ","")&amp;IF(AND(EDATE($D18,Milestones!$AA$66)&lt;=AsOfDate,IF($R18=0,$X18,IF(AND($T18&lt;&gt;"",EDATE($D18,Milestones!$AA$66)&gt;=$T18),$W18,IF(AND($S18&lt;&gt;"",EDATE($D18,Milestones!$AA$66)&gt;=$S18),$V18,$U18)))=Milestones!$AB$66),UPPER(TEXT(EDATE($D18,Milestones!$AA$66),"dd mmm yy"))&amp;" "&amp;Milestones!$AB$66&amp;" "&amp;Milestones!$AC$66&amp;";  ","")&amp;IF(AND(EDATE($D18,Milestones!$AA$67)&lt;=AsOfDate,IF($R18=0,$X18,IF(AND($T18&lt;&gt;"",EDATE($D18,Milestones!$AA$67)&gt;=$T18),$W18,IF(AND($S18&lt;&gt;"",EDATE($D18,Milestones!$AA$67)&gt;=$S18),$V18,$U18)))=Milestones!$AB$67),UPPER(TEXT(EDATE($D18,Milestones!$AA$67),"dd mmm yy"))&amp;" "&amp;Milestones!$AB$67&amp;" "&amp;Milestones!$AC$67&amp;";  ","")&amp;IF(AND(EDATE($D18,Milestones!$AA$68)&lt;=AsOfDate,IF($R18=0,$X18,IF(AND($T18&lt;&gt;"",EDATE($D18,Milestones!$AA$68)&gt;=$T18),$W18,IF(AND($S18&lt;&gt;"",EDATE($D18,Milestones!$AA$68)&gt;=$S18),$V18,$U18)))=Milestones!$AB$68),UPPER(TEXT(EDATE($D18,Milestones!$AA$68),"dd mmm yy"))&amp;" "&amp;Milestones!$AB$68&amp;" "&amp;Milestones!$AC$68&amp;";  ","")&amp;IF(AND(EDATE($D18,Milestones!$AA$69)&lt;=AsOfDate,IF($R18=0,$X18,IF(AND($T18&lt;&gt;"",EDATE($D18,Milestones!$AA$69)&gt;=$T18),$W18,IF(AND($S18&lt;&gt;"",EDATE($D18,Milestones!$AA$69)&gt;=$S18),$V18,$U18)))=Milestones!$AB$69),UPPER(TEXT(EDATE($D18,Milestones!$AA$69),"dd mmm yy"))&amp;" "&amp;Milestones!$AB$69&amp;" "&amp;Milestones!$AC$69&amp;";  ","")&amp;IF(AND(EDATE($D18,Milestones!$AA$70)&lt;=AsOfDate,IF($R18=0,$X18,IF(AND($T18&lt;&gt;"",EDATE($D18,Milestones!$AA$70)&gt;=$T18),$W18,IF(AND($S18&lt;&gt;"",EDATE($D18,Milestones!$AA$70)&gt;=$S18),$V18,$U18)))=Milestones!$AB$70),UPPER(TEXT(EDATE($D18,Milestones!$AA$70),"dd mmm yy"))&amp;" "&amp;Milestones!$AB$70&amp;" "&amp;Milestones!$AC$70&amp;";  ","")&amp;IF(AND(EDATE($D18,Milestones!$AA$71)&lt;=AsOfDate,IF($R18=0,$X18,IF(AND($T18&lt;&gt;"",EDATE($D18,Milestones!$AA$71)&gt;=$T18),$W18,IF(AND($S18&lt;&gt;"",EDATE($D18,Milestones!$AA$71)&gt;=$S18),$V18,$U18)))=Milestones!$AB$71),UPPER(TEXT(EDATE($D18,Milestones!$AA$71),"dd mmm yy"))&amp;" "&amp;Milestones!$AB$71&amp;" "&amp;Milestones!$AC$71&amp;";  ","")&amp;IF(AND(EDATE($D18,Milestones!$AA$72)&lt;=AsOfDate,IF($R18=0,$X18,IF(AND($T18&lt;&gt;"",EDATE($D18,Milestones!$AA$72)&gt;=$T18),$W18,IF(AND($S18&lt;&gt;"",EDATE($D18,Milestones!$AA$72)&gt;=$S18),$V18,$U18)))=Milestones!$AB$72),UPPER(TEXT(EDATE($D18,Milestones!$AA$72),"dd mmm yy"))&amp;" "&amp;Milestones!$AB$72&amp;" "&amp;Milestones!$AC$72&amp;";  ","")&amp;IF(AND(EDATE($D18,Milestones!$AA$73)&lt;=AsOfDate,IF($R18=0,$X18,IF(AND($T18&lt;&gt;"",EDATE($D18,Milestones!$AA$73)&gt;=$T18),$W18,IF(AND($S18&lt;&gt;"",EDATE($D18,Milestones!$AA$73)&gt;=$S18),$V18,$U18)))=Milestones!$AB$73),UPPER(TEXT(EDATE($D18,Milestones!$AA$73),"dd mmm yy"))&amp;" "&amp;Milestones!$AB$73&amp;" "&amp;Milestones!$AC$73&amp;";  ","")&amp;IF(AND(EDATE($D18,Milestones!$AA$74)&lt;=AsOfDate,IF($R18=0,$X18,IF(AND($T18&lt;&gt;"",EDATE($D18,Milestones!$AA$74)&gt;=$T18),$W18,IF(AND($S18&lt;&gt;"",EDATE($D18,Milestones!$AA$74)&gt;=$S18),$V18,$U18)))=Milestones!$AB$74),UPPER(TEXT(EDATE($D18,Milestones!$AA$74),"dd mmm yy"))&amp;" "&amp;Milestones!$AB$74&amp;" "&amp;Milestones!$AC$74&amp;";  ","")&amp;IF(AND(EDATE($D18,Milestones!$AA$75)&lt;=AsOfDate,IF($R18=0,$X18,IF(AND($T18&lt;&gt;"",EDATE($D18,Milestones!$AA$75)&gt;=$T18),$W18,IF(AND($S18&lt;&gt;"",EDATE($D18,Milestones!$AA$75)&gt;=$S18),$V18,$U18)))=Milestones!$AB$75),UPPER(TEXT(EDATE($D18,Milestones!$AA$75),"dd mmm yy"))&amp;" "&amp;Milestones!$AB$75&amp;" "&amp;Milestones!$AC$75&amp;";  ","")&amp;IF(AND(EDATE($D18,Milestones!$AA$76)&lt;=AsOfDate,IF($R18=0,$X18,IF(AND($T18&lt;&gt;"",EDATE($D18,Milestones!$AA$76)&gt;=$T18),$W18,IF(AND($S18&lt;&gt;"",EDATE($D18,Milestones!$AA$76)&gt;=$S18),$V18,$U18)))=Milestones!$AB$76),UPPER(TEXT(EDATE($D18,Milestones!$AA$76),"dd mmm yy"))&amp;" "&amp;Milestones!$AB$76&amp;" "&amp;Milestones!$AC$76&amp;";  ","")&amp;IF(AND(EDATE($D18,Milestones!$AA$77)&lt;=AsOfDate,IF($R18=0,$X18,IF(AND($T18&lt;&gt;"",EDATE($D18,Milestones!$AA$77)&gt;=$T18),$W18,IF(AND($S18&lt;&gt;"",EDATE($D18,Milestones!$AA$77)&gt;=$S18),$V18,$U18)))=Milestones!$AB$77),UPPER(TEXT(EDATE($D18,Milestones!$AA$77),"dd mmm yy"))&amp;" "&amp;Milestones!$AB$77&amp;" "&amp;Milestones!$AC$77&amp;";  ","")&amp;IF(AND(EDATE($D18,Milestones!$AA$78)&lt;=AsOfDate,IF($R18=0,$X18,IF(AND($T18&lt;&gt;"",EDATE($D18,Milestones!$AA$78)&gt;=$T18),$W18,IF(AND($S18&lt;&gt;"",EDATE($D18,Milestones!$AA$78)&gt;=$S18),$V18,$U18)))=Milestones!$AB$78),UPPER(TEXT(EDATE($D18,Milestones!$AA$78),"dd mmm yy"))&amp;" "&amp;Milestones!$AB$78&amp;" "&amp;Milestones!$AC$78&amp;";  ","")&amp;IF(AND(EDATE($D18,Milestones!$AA$79)&lt;=AsOfDate,IF($R18=0,$X18,IF(AND($T18&lt;&gt;"",EDATE($D18,Milestones!$AA$79)&gt;=$T18),$W18,IF(AND($S18&lt;&gt;"",EDATE($D18,Milestones!$AA$79)&gt;=$S18),$V18,$U18)))=Milestones!$AB$79),UPPER(TEXT(EDATE($D18,Milestones!$AA$79),"dd mmm yy"))&amp;" "&amp;Milestones!$AB$79&amp;" "&amp;Milestones!$AC$79&amp;";  ",""))</f>
        <v/>
      </c>
      <c r="L18" s="0" t="str">
        <f aca="false">IF(OR($A18="",$D18=""),"",IF(AND(EDATE($D18,Milestones!$AA$80)&lt;=AsOfDate,IF($R18=0,$X18,IF(AND($T18&lt;&gt;"",EDATE($D18,Milestones!$AA$80)&gt;=$T18),$W18,IF(AND($S18&lt;&gt;"",EDATE($D18,Milestones!$AA$80)&gt;=$S18),$V18,$U18)))=Milestones!$AB$80),UPPER(TEXT(EDATE($D18,Milestones!$AA$80),"dd mmm yy"))&amp;" "&amp;Milestones!$AB$80&amp;" "&amp;Milestones!$AC$80&amp;";  ","")&amp;IF(AND(EDATE($D18,Milestones!$AA$81)&lt;=AsOfDate,IF($R18=0,$X18,IF(AND($T18&lt;&gt;"",EDATE($D18,Milestones!$AA$81)&gt;=$T18),$W18,IF(AND($S18&lt;&gt;"",EDATE($D18,Milestones!$AA$81)&gt;=$S18),$V18,$U18)))=Milestones!$AB$81),UPPER(TEXT(EDATE($D18,Milestones!$AA$81),"dd mmm yy"))&amp;" "&amp;Milestones!$AB$81&amp;" "&amp;Milestones!$AC$81&amp;";  ","")&amp;IF(AND(EDATE($D18,Milestones!$AA$82)&lt;=AsOfDate,IF($R18=0,$X18,IF(AND($T18&lt;&gt;"",EDATE($D18,Milestones!$AA$82)&gt;=$T18),$W18,IF(AND($S18&lt;&gt;"",EDATE($D18,Milestones!$AA$82)&gt;=$S18),$V18,$U18)))=Milestones!$AB$82),UPPER(TEXT(EDATE($D18,Milestones!$AA$82),"dd mmm yy"))&amp;" "&amp;Milestones!$AB$82&amp;" "&amp;Milestones!$AC$82&amp;";  ","")&amp;IF(AND(EDATE($D18,Milestones!$AA$83)&lt;=AsOfDate,IF($R18=0,$X18,IF(AND($T18&lt;&gt;"",EDATE($D18,Milestones!$AA$83)&gt;=$T18),$W18,IF(AND($S18&lt;&gt;"",EDATE($D18,Milestones!$AA$83)&gt;=$S18),$V18,$U18)))=Milestones!$AB$83),UPPER(TEXT(EDATE($D18,Milestones!$AA$83),"dd mmm yy"))&amp;" "&amp;Milestones!$AB$83&amp;" "&amp;Milestones!$AC$83&amp;";  ","")&amp;IF(AND(EDATE($D18,Milestones!$AA$84)&lt;=AsOfDate,IF($R18=0,$X18,IF(AND($T18&lt;&gt;"",EDATE($D18,Milestones!$AA$84)&gt;=$T18),$W18,IF(AND($S18&lt;&gt;"",EDATE($D18,Milestones!$AA$84)&gt;=$S18),$V18,$U18)))=Milestones!$AB$84),UPPER(TEXT(EDATE($D18,Milestones!$AA$84),"dd mmm yy"))&amp;" "&amp;Milestones!$AB$84&amp;" "&amp;Milestones!$AC$84&amp;";  ","")&amp;IF(AND(EDATE($D18,Milestones!$AA$85)&lt;=AsOfDate,IF($R18=0,$X18,IF(AND($T18&lt;&gt;"",EDATE($D18,Milestones!$AA$85)&gt;=$T18),$W18,IF(AND($S18&lt;&gt;"",EDATE($D18,Milestones!$AA$85)&gt;=$S18),$V18,$U18)))=Milestones!$AB$85),UPPER(TEXT(EDATE($D18,Milestones!$AA$85),"dd mmm yy"))&amp;" "&amp;Milestones!$AB$85&amp;" "&amp;Milestones!$AC$85&amp;";  ","")&amp;IF(AND(EDATE($D18,Milestones!$AA$86)&lt;=AsOfDate,IF($R18=0,$X18,IF(AND($T18&lt;&gt;"",EDATE($D18,Milestones!$AA$86)&gt;=$T18),$W18,IF(AND($S18&lt;&gt;"",EDATE($D18,Milestones!$AA$86)&gt;=$S18),$V18,$U18)))=Milestones!$AB$86),UPPER(TEXT(EDATE($D18,Milestones!$AA$86),"dd mmm yy"))&amp;" "&amp;Milestones!$AB$86&amp;" "&amp;Milestones!$AC$86&amp;";  ","")&amp;IF(AND(EDATE($D18,Milestones!$AA$87)&lt;=AsOfDate,IF($R18=0,$X18,IF(AND($T18&lt;&gt;"",EDATE($D18,Milestones!$AA$87)&gt;=$T18),$W18,IF(AND($S18&lt;&gt;"",EDATE($D18,Milestones!$AA$87)&gt;=$S18),$V18,$U18)))=Milestones!$AB$87),UPPER(TEXT(EDATE($D18,Milestones!$AA$87),"dd mmm yy"))&amp;" "&amp;Milestones!$AB$87&amp;" "&amp;Milestones!$AC$87&amp;";  ","")&amp;IF(AND(EDATE($D18,Milestones!$AA$88)&lt;=AsOfDate,IF($R18=0,$X18,IF(AND($T18&lt;&gt;"",EDATE($D18,Milestones!$AA$88)&gt;=$T18),$W18,IF(AND($S18&lt;&gt;"",EDATE($D18,Milestones!$AA$88)&gt;=$S18),$V18,$U18)))=Milestones!$AB$88),UPPER(TEXT(EDATE($D18,Milestones!$AA$88),"dd mmm yy"))&amp;" "&amp;Milestones!$AB$88&amp;" "&amp;Milestones!$AC$88&amp;";  ","")&amp;IF(AND(EDATE($D18,Milestones!$AA$89)&lt;=AsOfDate,IF($R18=0,$X18,IF(AND($T18&lt;&gt;"",EDATE($D18,Milestones!$AA$89)&gt;=$T18),$W18,IF(AND($S18&lt;&gt;"",EDATE($D18,Milestones!$AA$89)&gt;=$S18),$V18,$U18)))=Milestones!$AB$89),UPPER(TEXT(EDATE($D18,Milestones!$AA$89),"dd mmm yy"))&amp;" "&amp;Milestones!$AB$89&amp;" "&amp;Milestones!$AC$89&amp;";  ","")&amp;IF(AND(EDATE($D18,Milestones!$AA$90)&lt;=AsOfDate,IF($R18=0,$X18,IF(AND($T18&lt;&gt;"",EDATE($D18,Milestones!$AA$90)&gt;=$T18),$W18,IF(AND($S18&lt;&gt;"",EDATE($D18,Milestones!$AA$90)&gt;=$S18),$V18,$U18)))=Milestones!$AB$90),UPPER(TEXT(EDATE($D18,Milestones!$AA$90),"dd mmm yy"))&amp;" "&amp;Milestones!$AB$90&amp;" "&amp;Milestones!$AC$90&amp;";  ","")&amp;IF(AND(EDATE($D18,Milestones!$AA$91)&lt;=AsOfDate,IF($R18=0,$X18,IF(AND($T18&lt;&gt;"",EDATE($D18,Milestones!$AA$91)&gt;=$T18),$W18,IF(AND($S18&lt;&gt;"",EDATE($D18,Milestones!$AA$91)&gt;=$S18),$V18,$U18)))=Milestones!$AB$91),UPPER(TEXT(EDATE($D18,Milestones!$AA$91),"dd mmm yy"))&amp;" "&amp;Milestones!$AB$91&amp;" "&amp;Milestones!$AC$91&amp;";  ","")&amp;IF(AND(EDATE($D18,Milestones!$AA$92)&lt;=AsOfDate,IF($R18=0,$X18,IF(AND($T18&lt;&gt;"",EDATE($D18,Milestones!$AA$92)&gt;=$T18),$W18,IF(AND($S18&lt;&gt;"",EDATE($D18,Milestones!$AA$92)&gt;=$S18),$V18,$U18)))=Milestones!$AB$92),UPPER(TEXT(EDATE($D18,Milestones!$AA$92),"dd mmm yy"))&amp;" "&amp;Milestones!$AB$92&amp;" "&amp;Milestones!$AC$92&amp;";  ","")&amp;IF(AND(EDATE($D18,Milestones!$AA$93)&lt;=AsOfDate,IF($R18=0,$X18,IF(AND($T18&lt;&gt;"",EDATE($D18,Milestones!$AA$93)&gt;=$T18),$W18,IF(AND($S18&lt;&gt;"",EDATE($D18,Milestones!$AA$93)&gt;=$S18),$V18,$U18)))=Milestones!$AB$93),UPPER(TEXT(EDATE($D18,Milestones!$AA$93),"dd mmm yy"))&amp;" "&amp;Milestones!$AB$93&amp;" "&amp;Milestones!$AC$93&amp;";  ","")&amp;IF(AND(EDATE($D18,Milestones!$AA$94)&lt;=AsOfDate,IF($R18=0,$X18,IF(AND($T18&lt;&gt;"",EDATE($D18,Milestones!$AA$94)&gt;=$T18),$W18,IF(AND($S18&lt;&gt;"",EDATE($D18,Milestones!$AA$94)&gt;=$S18),$V18,$U18)))=Milestones!$AB$94),UPPER(TEXT(EDATE($D18,Milestones!$AA$94),"dd mmm yy"))&amp;" "&amp;Milestones!$AB$94&amp;" "&amp;Milestones!$AC$94&amp;";  ","")&amp;IF(AND(EDATE($D18,Milestones!$AA$95)&lt;=AsOfDate,IF($R18=0,$X18,IF(AND($T18&lt;&gt;"",EDATE($D18,Milestones!$AA$95)&gt;=$T18),$W18,IF(AND($S18&lt;&gt;"",EDATE($D18,Milestones!$AA$95)&gt;=$S18),$V18,$U18)))=Milestones!$AB$95),UPPER(TEXT(EDATE($D18,Milestones!$AA$95),"dd mmm yy"))&amp;" "&amp;Milestones!$AB$95&amp;" "&amp;Milestones!$AC$95&amp;";  ","")&amp;IF(AND(EDATE($D18,Milestones!$AA$96)&lt;=AsOfDate,IF($R18=0,$X18,IF(AND($T18&lt;&gt;"",EDATE($D18,Milestones!$AA$96)&gt;=$T18),$W18,IF(AND($S18&lt;&gt;"",EDATE($D18,Milestones!$AA$96)&gt;=$S18),$V18,$U18)))=Milestones!$AB$96),UPPER(TEXT(EDATE($D18,Milestones!$AA$96),"dd mmm yy"))&amp;" "&amp;Milestones!$AB$96&amp;" "&amp;Milestones!$AC$96&amp;";  ","")&amp;IF(AND(EDATE($D18,Milestones!$AA$97)&lt;=AsOfDate,IF($R18=0,$X18,IF(AND($T18&lt;&gt;"",EDATE($D18,Milestones!$AA$97)&gt;=$T18),$W18,IF(AND($S18&lt;&gt;"",EDATE($D18,Milestones!$AA$97)&gt;=$S18),$V18,$U18)))=Milestones!$AB$97),UPPER(TEXT(EDATE($D18,Milestones!$AA$97),"dd mmm yy"))&amp;" "&amp;Milestones!$AB$97&amp;" "&amp;Milestones!$AC$97&amp;";  ","")&amp;IF(AND(EDATE($D18,Milestones!$AA$98)&lt;=AsOfDate,IF($R18=0,$X18,IF(AND($T18&lt;&gt;"",EDATE($D18,Milestones!$AA$98)&gt;=$T18),$W18,IF(AND($S18&lt;&gt;"",EDATE($D18,Milestones!$AA$98)&gt;=$S18),$V18,$U18)))=Milestones!$AB$98),UPPER(TEXT(EDATE($D18,Milestones!$AA$98),"dd mmm yy"))&amp;" "&amp;Milestones!$AB$98&amp;" "&amp;Milestones!$AC$98&amp;";  ","")&amp;IF(AND(EDATE($D18,Milestones!$AA$99)&lt;=AsOfDate,IF($R18=0,$X18,IF(AND($T18&lt;&gt;"",EDATE($D18,Milestones!$AA$99)&gt;=$T18),$W18,IF(AND($S18&lt;&gt;"",EDATE($D18,Milestones!$AA$99)&gt;=$S18),$V18,$U18)))=Milestones!$AB$99),UPPER(TEXT(EDATE($D18,Milestones!$AA$99),"dd mmm yy"))&amp;" "&amp;Milestones!$AB$99&amp;" "&amp;Milestones!$AC$99&amp;";  ",""))</f>
        <v/>
      </c>
      <c r="M18" s="0" t="str">
        <f aca="false">IF(OR($A18="",$D18=""),"",IF(AND(EDATE($D18,Milestones!$AA$100)&lt;=AsOfDate,IF($R18=0,$X18,IF(AND($T18&lt;&gt;"",EDATE($D18,Milestones!$AA$100)&gt;=$T18),$W18,IF(AND($S18&lt;&gt;"",EDATE($D18,Milestones!$AA$100)&gt;=$S18),$V18,$U18)))=Milestones!$AB$100),UPPER(TEXT(EDATE($D18,Milestones!$AA$100),"dd mmm yy"))&amp;" "&amp;Milestones!$AB$100&amp;" "&amp;Milestones!$AC$100&amp;";  ","")&amp;IF(AND(EDATE($D18,Milestones!$AA$101)&lt;=AsOfDate,IF($R18=0,$X18,IF(AND($T18&lt;&gt;"",EDATE($D18,Milestones!$AA$101)&gt;=$T18),$W18,IF(AND($S18&lt;&gt;"",EDATE($D18,Milestones!$AA$101)&gt;=$S18),$V18,$U18)))=Milestones!$AB$101),UPPER(TEXT(EDATE($D18,Milestones!$AA$101),"dd mmm yy"))&amp;" "&amp;Milestones!$AB$101&amp;" "&amp;Milestones!$AC$101&amp;";  ","")&amp;IF(AND(EDATE($D18,Milestones!$AA$102)&lt;=AsOfDate,IF($R18=0,$X18,IF(AND($T18&lt;&gt;"",EDATE($D18,Milestones!$AA$102)&gt;=$T18),$W18,IF(AND($S18&lt;&gt;"",EDATE($D18,Milestones!$AA$102)&gt;=$S18),$V18,$U18)))=Milestones!$AB$102),UPPER(TEXT(EDATE($D18,Milestones!$AA$102),"dd mmm yy"))&amp;" "&amp;Milestones!$AB$102&amp;" "&amp;Milestones!$AC$102&amp;";  ","")&amp;IF(AND(EDATE($D18,Milestones!$AA$103)&lt;=AsOfDate,IF($R18=0,$X18,IF(AND($T18&lt;&gt;"",EDATE($D18,Milestones!$AA$103)&gt;=$T18),$W18,IF(AND($S18&lt;&gt;"",EDATE($D18,Milestones!$AA$103)&gt;=$S18),$V18,$U18)))=Milestones!$AB$103),UPPER(TEXT(EDATE($D18,Milestones!$AA$103),"dd mmm yy"))&amp;" "&amp;Milestones!$AB$103&amp;" "&amp;Milestones!$AC$103&amp;";  ","")&amp;IF(AND(EDATE($D18,Milestones!$AA$104)&lt;=AsOfDate,IF($R18=0,$X18,IF(AND($T18&lt;&gt;"",EDATE($D18,Milestones!$AA$104)&gt;=$T18),$W18,IF(AND($S18&lt;&gt;"",EDATE($D18,Milestones!$AA$104)&gt;=$S18),$V18,$U18)))=Milestones!$AB$104),UPPER(TEXT(EDATE($D18,Milestones!$AA$104),"dd mmm yy"))&amp;" "&amp;Milestones!$AB$104&amp;" "&amp;Milestones!$AC$104&amp;";  ","")&amp;IF(AND(EDATE($D18,Milestones!$AA$105)&lt;=AsOfDate,IF($R18=0,$X18,IF(AND($T18&lt;&gt;"",EDATE($D18,Milestones!$AA$105)&gt;=$T18),$W18,IF(AND($S18&lt;&gt;"",EDATE($D18,Milestones!$AA$105)&gt;=$S18),$V18,$U18)))=Milestones!$AB$105),UPPER(TEXT(EDATE($D18,Milestones!$AA$105),"dd mmm yy"))&amp;" "&amp;Milestones!$AB$105&amp;" "&amp;Milestones!$AC$105&amp;";  ","")&amp;IF(AND(EDATE($D18,Milestones!$AA$106)&lt;=AsOfDate,IF($R18=0,$X18,IF(AND($T18&lt;&gt;"",EDATE($D18,Milestones!$AA$106)&gt;=$T18),$W18,IF(AND($S18&lt;&gt;"",EDATE($D18,Milestones!$AA$106)&gt;=$S18),$V18,$U18)))=Milestones!$AB$106),UPPER(TEXT(EDATE($D18,Milestones!$AA$106),"dd mmm yy"))&amp;" "&amp;Milestones!$AB$106&amp;" "&amp;Milestones!$AC$106&amp;";  ","")&amp;IF(AND(EDATE($D18,Milestones!$AA$107)&lt;=AsOfDate,IF($R18=0,$X18,IF(AND($T18&lt;&gt;"",EDATE($D18,Milestones!$AA$107)&gt;=$T18),$W18,IF(AND($S18&lt;&gt;"",EDATE($D18,Milestones!$AA$107)&gt;=$S18),$V18,$U18)))=Milestones!$AB$107),UPPER(TEXT(EDATE($D18,Milestones!$AA$107),"dd mmm yy"))&amp;" "&amp;Milestones!$AB$107&amp;" "&amp;Milestones!$AC$107&amp;";  ","")&amp;IF(AND(EDATE($D18,Milestones!$AA$108)&lt;=AsOfDate,IF($R18=0,$X18,IF(AND($T18&lt;&gt;"",EDATE($D18,Milestones!$AA$108)&gt;=$T18),$W18,IF(AND($S18&lt;&gt;"",EDATE($D18,Milestones!$AA$108)&gt;=$S18),$V18,$U18)))=Milestones!$AB$108),UPPER(TEXT(EDATE($D18,Milestones!$AA$108),"dd mmm yy"))&amp;" "&amp;Milestones!$AB$108&amp;" "&amp;Milestones!$AC$108&amp;";  ","")&amp;IF(AND(EDATE($D18,Milestones!$AA$109)&lt;=AsOfDate,IF($R18=0,$X18,IF(AND($T18&lt;&gt;"",EDATE($D18,Milestones!$AA$109)&gt;=$T18),$W18,IF(AND($S18&lt;&gt;"",EDATE($D18,Milestones!$AA$109)&gt;=$S18),$V18,$U18)))=Milestones!$AB$109),UPPER(TEXT(EDATE($D18,Milestones!$AA$109),"dd mmm yy"))&amp;" "&amp;Milestones!$AB$109&amp;" "&amp;Milestones!$AC$109&amp;";  ","")&amp;IF(AND(EDATE($D18,Milestones!$AA$110)&lt;=AsOfDate,IF($R18=0,$X18,IF(AND($T18&lt;&gt;"",EDATE($D18,Milestones!$AA$110)&gt;=$T18),$W18,IF(AND($S18&lt;&gt;"",EDATE($D18,Milestones!$AA$110)&gt;=$S18),$V18,$U18)))=Milestones!$AB$110),UPPER(TEXT(EDATE($D18,Milestones!$AA$110),"dd mmm yy"))&amp;" "&amp;Milestones!$AB$110&amp;" "&amp;Milestones!$AC$110&amp;";  ","")&amp;IF(AND(EDATE($D18,Milestones!$AA$111)&lt;=AsOfDate,IF($R18=0,$X18,IF(AND($T18&lt;&gt;"",EDATE($D18,Milestones!$AA$111)&gt;=$T18),$W18,IF(AND($S18&lt;&gt;"",EDATE($D18,Milestones!$AA$111)&gt;=$S18),$V18,$U18)))=Milestones!$AB$111),UPPER(TEXT(EDATE($D18,Milestones!$AA$111),"dd mmm yy"))&amp;" "&amp;Milestones!$AB$111&amp;" "&amp;Milestones!$AC$111&amp;";  ","")&amp;IF(AND(EDATE($D18,Milestones!$AA$112)&lt;=AsOfDate,IF($R18=0,$X18,IF(AND($T18&lt;&gt;"",EDATE($D18,Milestones!$AA$112)&gt;=$T18),$W18,IF(AND($S18&lt;&gt;"",EDATE($D18,Milestones!$AA$112)&gt;=$S18),$V18,$U18)))=Milestones!$AB$112),UPPER(TEXT(EDATE($D18,Milestones!$AA$112),"dd mmm yy"))&amp;" "&amp;Milestones!$AB$112&amp;" "&amp;Milestones!$AC$112&amp;";  ","")&amp;IF(AND(EDATE($D18,Milestones!$AA$113)&lt;=AsOfDate,IF($R18=0,$X18,IF(AND($T18&lt;&gt;"",EDATE($D18,Milestones!$AA$113)&gt;=$T18),$W18,IF(AND($S18&lt;&gt;"",EDATE($D18,Milestones!$AA$113)&gt;=$S18),$V18,$U18)))=Milestones!$AB$113),UPPER(TEXT(EDATE($D18,Milestones!$AA$113),"dd mmm yy"))&amp;" "&amp;Milestones!$AB$113&amp;" "&amp;Milestones!$AC$113&amp;";  ","")&amp;IF(AND(EDATE($D18,Milestones!$AA$114)&lt;=AsOfDate,IF($R18=0,$X18,IF(AND($T18&lt;&gt;"",EDATE($D18,Milestones!$AA$114)&gt;=$T18),$W18,IF(AND($S18&lt;&gt;"",EDATE($D18,Milestones!$AA$114)&gt;=$S18),$V18,$U18)))=Milestones!$AB$114),UPPER(TEXT(EDATE($D18,Milestones!$AA$114),"dd mmm yy"))&amp;" "&amp;Milestones!$AB$114&amp;" "&amp;Milestones!$AC$114&amp;";  ","")&amp;IF(AND(EDATE($D18,Milestones!$AA$115)&lt;=AsOfDate,IF($R18=0,$X18,IF(AND($T18&lt;&gt;"",EDATE($D18,Milestones!$AA$115)&gt;=$T18),$W18,IF(AND($S18&lt;&gt;"",EDATE($D18,Milestones!$AA$115)&gt;=$S18),$V18,$U18)))=Milestones!$AB$115),UPPER(TEXT(EDATE($D18,Milestones!$AA$115),"dd mmm yy"))&amp;" "&amp;Milestones!$AB$115&amp;" "&amp;Milestones!$AC$115&amp;";  ","")&amp;IF(AND(EDATE($D18,Milestones!$AA$116)&lt;=AsOfDate,IF($R18=0,$X18,IF(AND($T18&lt;&gt;"",EDATE($D18,Milestones!$AA$116)&gt;=$T18),$W18,IF(AND($S18&lt;&gt;"",EDATE($D18,Milestones!$AA$116)&gt;=$S18),$V18,$U18)))=Milestones!$AB$116),UPPER(TEXT(EDATE($D18,Milestones!$AA$116),"dd mmm yy"))&amp;" "&amp;Milestones!$AB$116&amp;" "&amp;Milestones!$AC$116&amp;";  ","")&amp;IF(AND(EDATE($D18,Milestones!$AA$117)&lt;=AsOfDate,IF($R18=0,$X18,IF(AND($T18&lt;&gt;"",EDATE($D18,Milestones!$AA$117)&gt;=$T18),$W18,IF(AND($S18&lt;&gt;"",EDATE($D18,Milestones!$AA$117)&gt;=$S18),$V18,$U18)))=Milestones!$AB$117),UPPER(TEXT(EDATE($D18,Milestones!$AA$117),"dd mmm yy"))&amp;" "&amp;Milestones!$AB$117&amp;" "&amp;Milestones!$AC$117&amp;";  ","")&amp;IF(AND(EDATE($D18,Milestones!$AA$118)&lt;=AsOfDate,IF($R18=0,$X18,IF(AND($T18&lt;&gt;"",EDATE($D18,Milestones!$AA$118)&gt;=$T18),$W18,IF(AND($S18&lt;&gt;"",EDATE($D18,Milestones!$AA$118)&gt;=$S18),$V18,$U18)))=Milestones!$AB$118),UPPER(TEXT(EDATE($D18,Milestones!$AA$118),"dd mmm yy"))&amp;" "&amp;Milestones!$AB$118&amp;" "&amp;Milestones!$AC$118&amp;";  ","")&amp;IF(AND(EDATE($D18,Milestones!$AA$119)&lt;=AsOfDate,IF($R18=0,$X18,IF(AND($T18&lt;&gt;"",EDATE($D18,Milestones!$AA$119)&gt;=$T18),$W18,IF(AND($S18&lt;&gt;"",EDATE($D18,Milestones!$AA$119)&gt;=$S18),$V18,$U18)))=Milestones!$AB$119),UPPER(TEXT(EDATE($D18,Milestones!$AA$119),"dd mmm yy"))&amp;" "&amp;Milestones!$AB$119&amp;" "&amp;Milestones!$AC$119&amp;";  ",""))</f>
        <v/>
      </c>
      <c r="N18" s="0" t="str">
        <f aca="false">IF(OR($A18="",$D18=""),"",IF(AND(EDATE($D18,Milestones!$AA$120)&lt;=AsOfDate,IF($R18=0,$X18,IF(AND($T18&lt;&gt;"",EDATE($D18,Milestones!$AA$120)&gt;=$T18),$W18,IF(AND($S18&lt;&gt;"",EDATE($D18,Milestones!$AA$120)&gt;=$S18),$V18,$U18)))=Milestones!$AB$120),UPPER(TEXT(EDATE($D18,Milestones!$AA$120),"dd mmm yy"))&amp;" "&amp;Milestones!$AB$120&amp;" "&amp;Milestones!$AC$120&amp;";  ","")&amp;IF(AND(EDATE($D18,Milestones!$AA$121)&lt;=AsOfDate,IF($R18=0,$X18,IF(AND($T18&lt;&gt;"",EDATE($D18,Milestones!$AA$121)&gt;=$T18),$W18,IF(AND($S18&lt;&gt;"",EDATE($D18,Milestones!$AA$121)&gt;=$S18),$V18,$U18)))=Milestones!$AB$121),UPPER(TEXT(EDATE($D18,Milestones!$AA$121),"dd mmm yy"))&amp;" "&amp;Milestones!$AB$121&amp;" "&amp;Milestones!$AC$121&amp;";  ","")&amp;IF(AND(EDATE($D18,Milestones!$AA$122)&lt;=AsOfDate,IF($R18=0,$X18,IF(AND($T18&lt;&gt;"",EDATE($D18,Milestones!$AA$122)&gt;=$T18),$W18,IF(AND($S18&lt;&gt;"",EDATE($D18,Milestones!$AA$122)&gt;=$S18),$V18,$U18)))=Milestones!$AB$122),UPPER(TEXT(EDATE($D18,Milestones!$AA$122),"dd mmm yy"))&amp;" "&amp;Milestones!$AB$122&amp;" "&amp;Milestones!$AC$122&amp;";  ","")&amp;IF(AND(EDATE($D18,Milestones!$AA$123)&lt;=AsOfDate,IF($R18=0,$X18,IF(AND($T18&lt;&gt;"",EDATE($D18,Milestones!$AA$123)&gt;=$T18),$W18,IF(AND($S18&lt;&gt;"",EDATE($D18,Milestones!$AA$123)&gt;=$S18),$V18,$U18)))=Milestones!$AB$123),UPPER(TEXT(EDATE($D18,Milestones!$AA$123),"dd mmm yy"))&amp;" "&amp;Milestones!$AB$123&amp;" "&amp;Milestones!$AC$123&amp;";  ","")&amp;IF(AND(EDATE($D18,Milestones!$AA$124)&lt;=AsOfDate,IF($R18=0,$X18,IF(AND($T18&lt;&gt;"",EDATE($D18,Milestones!$AA$124)&gt;=$T18),$W18,IF(AND($S18&lt;&gt;"",EDATE($D18,Milestones!$AA$124)&gt;=$S18),$V18,$U18)))=Milestones!$AB$124),UPPER(TEXT(EDATE($D18,Milestones!$AA$124),"dd mmm yy"))&amp;" "&amp;Milestones!$AB$124&amp;" "&amp;Milestones!$AC$124&amp;";  ","")&amp;IF(AND(EDATE($D18,Milestones!$AA$125)&lt;=AsOfDate,IF($R18=0,$X18,IF(AND($T18&lt;&gt;"",EDATE($D18,Milestones!$AA$125)&gt;=$T18),$W18,IF(AND($S18&lt;&gt;"",EDATE($D18,Milestones!$AA$125)&gt;=$S18),$V18,$U18)))=Milestones!$AB$125),UPPER(TEXT(EDATE($D18,Milestones!$AA$125),"dd mmm yy"))&amp;" "&amp;Milestones!$AB$125&amp;" "&amp;Milestones!$AC$125&amp;";  ","")&amp;IF(AND(EDATE($D18,Milestones!$AA$126)&lt;=AsOfDate,IF($R18=0,$X18,IF(AND($T18&lt;&gt;"",EDATE($D18,Milestones!$AA$126)&gt;=$T18),$W18,IF(AND($S18&lt;&gt;"",EDATE($D18,Milestones!$AA$126)&gt;=$S18),$V18,$U18)))=Milestones!$AB$126),UPPER(TEXT(EDATE($D18,Milestones!$AA$126),"dd mmm yy"))&amp;" "&amp;Milestones!$AB$126&amp;" "&amp;Milestones!$AC$126&amp;";  ","")&amp;IF(AND(EDATE($D18,Milestones!$AA$127)&lt;=AsOfDate,IF($R18=0,$X18,IF(AND($T18&lt;&gt;"",EDATE($D18,Milestones!$AA$127)&gt;=$T18),$W18,IF(AND($S18&lt;&gt;"",EDATE($D18,Milestones!$AA$127)&gt;=$S18),$V18,$U18)))=Milestones!$AB$127),UPPER(TEXT(EDATE($D18,Milestones!$AA$127),"dd mmm yy"))&amp;" "&amp;Milestones!$AB$127&amp;" "&amp;Milestones!$AC$127&amp;";  ","")&amp;IF(AND(EDATE($D18,Milestones!$AA$128)&lt;=AsOfDate,IF($R18=0,$X18,IF(AND($T18&lt;&gt;"",EDATE($D18,Milestones!$AA$128)&gt;=$T18),$W18,IF(AND($S18&lt;&gt;"",EDATE($D18,Milestones!$AA$128)&gt;=$S18),$V18,$U18)))=Milestones!$AB$128),UPPER(TEXT(EDATE($D18,Milestones!$AA$128),"dd mmm yy"))&amp;" "&amp;Milestones!$AB$128&amp;" "&amp;Milestones!$AC$128&amp;";  ","")&amp;IF(AND(EDATE($D18,Milestones!$AA$129)&lt;=AsOfDate,IF($R18=0,$X18,IF(AND($T18&lt;&gt;"",EDATE($D18,Milestones!$AA$129)&gt;=$T18),$W18,IF(AND($S18&lt;&gt;"",EDATE($D18,Milestones!$AA$129)&gt;=$S18),$V18,$U18)))=Milestones!$AB$129),UPPER(TEXT(EDATE($D18,Milestones!$AA$129),"dd mmm yy"))&amp;" "&amp;Milestones!$AB$129&amp;" "&amp;Milestones!$AC$129&amp;";  ","")&amp;IF(AND(EDATE($D18,Milestones!$AA$130)&lt;=AsOfDate,IF($R18=0,$X18,IF(AND($T18&lt;&gt;"",EDATE($D18,Milestones!$AA$130)&gt;=$T18),$W18,IF(AND($S18&lt;&gt;"",EDATE($D18,Milestones!$AA$130)&gt;=$S18),$V18,$U18)))=Milestones!$AB$130),UPPER(TEXT(EDATE($D18,Milestones!$AA$130),"dd mmm yy"))&amp;" "&amp;Milestones!$AB$130&amp;" "&amp;Milestones!$AC$130&amp;";  ","")&amp;IF(AND(EDATE($D18,Milestones!$AA$131)&lt;=AsOfDate,IF($R18=0,$X18,IF(AND($T18&lt;&gt;"",EDATE($D18,Milestones!$AA$131)&gt;=$T18),$W18,IF(AND($S18&lt;&gt;"",EDATE($D18,Milestones!$AA$131)&gt;=$S18),$V18,$U18)))=Milestones!$AB$131),UPPER(TEXT(EDATE($D18,Milestones!$AA$131),"dd mmm yy"))&amp;" "&amp;Milestones!$AB$131&amp;" "&amp;Milestones!$AC$131&amp;";  ","")&amp;IF(AND(EDATE($D18,Milestones!$AA$132)&lt;=AsOfDate,IF($R18=0,$X18,IF(AND($T18&lt;&gt;"",EDATE($D18,Milestones!$AA$132)&gt;=$T18),$W18,IF(AND($S18&lt;&gt;"",EDATE($D18,Milestones!$AA$132)&gt;=$S18),$V18,$U18)))=Milestones!$AB$132),UPPER(TEXT(EDATE($D18,Milestones!$AA$132),"dd mmm yy"))&amp;" "&amp;Milestones!$AB$132&amp;" "&amp;Milestones!$AC$132&amp;";  ","")&amp;IF(AND(EDATE($D18,Milestones!$AA$133)&lt;=AsOfDate,IF($R18=0,$X18,IF(AND($T18&lt;&gt;"",EDATE($D18,Milestones!$AA$133)&gt;=$T18),$W18,IF(AND($S18&lt;&gt;"",EDATE($D18,Milestones!$AA$133)&gt;=$S18),$V18,$U18)))=Milestones!$AB$133),UPPER(TEXT(EDATE($D18,Milestones!$AA$133),"dd mmm yy"))&amp;" "&amp;Milestones!$AB$133&amp;" "&amp;Milestones!$AC$133&amp;";  ","")&amp;IF(AND(EDATE($D18,Milestones!$AA$134)&lt;=AsOfDate,IF($R18=0,$X18,IF(AND($T18&lt;&gt;"",EDATE($D18,Milestones!$AA$134)&gt;=$T18),$W18,IF(AND($S18&lt;&gt;"",EDATE($D18,Milestones!$AA$134)&gt;=$S18),$V18,$U18)))=Milestones!$AB$134),UPPER(TEXT(EDATE($D18,Milestones!$AA$134),"dd mmm yy"))&amp;" "&amp;Milestones!$AB$134&amp;" "&amp;Milestones!$AC$134&amp;";  ","")&amp;IF(AND(EDATE($D18,Milestones!$AA$135)&lt;=AsOfDate,IF($R18=0,$X18,IF(AND($T18&lt;&gt;"",EDATE($D18,Milestones!$AA$135)&gt;=$T18),$W18,IF(AND($S18&lt;&gt;"",EDATE($D18,Milestones!$AA$135)&gt;=$S18),$V18,$U18)))=Milestones!$AB$135),UPPER(TEXT(EDATE($D18,Milestones!$AA$135),"dd mmm yy"))&amp;" "&amp;Milestones!$AB$135&amp;" "&amp;Milestones!$AC$135&amp;";  ","")&amp;IF(AND(EDATE($D18,Milestones!$AA$136)&lt;=AsOfDate,IF($R18=0,$X18,IF(AND($T18&lt;&gt;"",EDATE($D18,Milestones!$AA$136)&gt;=$T18),$W18,IF(AND($S18&lt;&gt;"",EDATE($D18,Milestones!$AA$136)&gt;=$S18),$V18,$U18)))=Milestones!$AB$136),UPPER(TEXT(EDATE($D18,Milestones!$AA$136),"dd mmm yy"))&amp;" "&amp;Milestones!$AB$136&amp;" "&amp;Milestones!$AC$136&amp;";  ","")&amp;IF(AND(EDATE($D18,Milestones!$AA$137)&lt;=AsOfDate,IF($R18=0,$X18,IF(AND($T18&lt;&gt;"",EDATE($D18,Milestones!$AA$137)&gt;=$T18),$W18,IF(AND($S18&lt;&gt;"",EDATE($D18,Milestones!$AA$137)&gt;=$S18),$V18,$U18)))=Milestones!$AB$137),UPPER(TEXT(EDATE($D18,Milestones!$AA$137),"dd mmm yy"))&amp;" "&amp;Milestones!$AB$137&amp;" "&amp;Milestones!$AC$137&amp;";  ","")&amp;IF(AND(EDATE($D18,Milestones!$AA$138)&lt;=AsOfDate,IF($R18=0,$X18,IF(AND($T18&lt;&gt;"",EDATE($D18,Milestones!$AA$138)&gt;=$T18),$W18,IF(AND($S18&lt;&gt;"",EDATE($D18,Milestones!$AA$138)&gt;=$S18),$V18,$U18)))=Milestones!$AB$138),UPPER(TEXT(EDATE($D18,Milestones!$AA$138),"dd mmm yy"))&amp;" "&amp;Milestones!$AB$138&amp;" "&amp;Milestones!$AC$138&amp;";  ","")&amp;IF(AND(EDATE($D18,Milestones!$AA$139)&lt;=AsOfDate,IF($R18=0,$X18,IF(AND($T18&lt;&gt;"",EDATE($D18,Milestones!$AA$139)&gt;=$T18),$W18,IF(AND($S18&lt;&gt;"",EDATE($D18,Milestones!$AA$139)&gt;=$S18),$V18,$U18)))=Milestones!$AB$139),UPPER(TEXT(EDATE($D18,Milestones!$AA$139),"dd mmm yy"))&amp;" "&amp;Milestones!$AB$139&amp;" "&amp;Milestones!$AC$139&amp;";  ",""))</f>
        <v/>
      </c>
      <c r="O18" s="0" t="str">
        <f aca="false">IF(OR($A18="",$D18=""),"",IF(AND(EDATE($D18,Milestones!$AA$140)&lt;=AsOfDate,IF($R18=0,$X18,IF(AND($T18&lt;&gt;"",EDATE($D18,Milestones!$AA$140)&gt;=$T18),$W18,IF(AND($S18&lt;&gt;"",EDATE($D18,Milestones!$AA$140)&gt;=$S18),$V18,$U18)))=Milestones!$AB$140),UPPER(TEXT(EDATE($D18,Milestones!$AA$140),"dd mmm yy"))&amp;" "&amp;Milestones!$AB$140&amp;" "&amp;Milestones!$AC$140&amp;";  ","")&amp;IF(AND(EDATE($D18,Milestones!$AA$141)&lt;=AsOfDate,IF($R18=0,$X18,IF(AND($T18&lt;&gt;"",EDATE($D18,Milestones!$AA$141)&gt;=$T18),$W18,IF(AND($S18&lt;&gt;"",EDATE($D18,Milestones!$AA$141)&gt;=$S18),$V18,$U18)))=Milestones!$AB$141),UPPER(TEXT(EDATE($D18,Milestones!$AA$141),"dd mmm yy"))&amp;" "&amp;Milestones!$AB$141&amp;" "&amp;Milestones!$AC$141&amp;";  ","")&amp;IF(AND(EDATE($D18,Milestones!$AA$142)&lt;=AsOfDate,IF($R18=0,$X18,IF(AND($T18&lt;&gt;"",EDATE($D18,Milestones!$AA$142)&gt;=$T18),$W18,IF(AND($S18&lt;&gt;"",EDATE($D18,Milestones!$AA$142)&gt;=$S18),$V18,$U18)))=Milestones!$AB$142),UPPER(TEXT(EDATE($D18,Milestones!$AA$142),"dd mmm yy"))&amp;" "&amp;Milestones!$AB$142&amp;" "&amp;Milestones!$AC$142&amp;";  ","")&amp;IF(AND(EDATE($D18,Milestones!$AA$143)&lt;=AsOfDate,IF($R18=0,$X18,IF(AND($T18&lt;&gt;"",EDATE($D18,Milestones!$AA$143)&gt;=$T18),$W18,IF(AND($S18&lt;&gt;"",EDATE($D18,Milestones!$AA$143)&gt;=$S18),$V18,$U18)))=Milestones!$AB$143),UPPER(TEXT(EDATE($D18,Milestones!$AA$143),"dd mmm yy"))&amp;" "&amp;Milestones!$AB$143&amp;" "&amp;Milestones!$AC$143&amp;";  ","")&amp;IF(AND(EDATE($D18,Milestones!$AA$144)&lt;=AsOfDate,IF($R18=0,$X18,IF(AND($T18&lt;&gt;"",EDATE($D18,Milestones!$AA$144)&gt;=$T18),$W18,IF(AND($S18&lt;&gt;"",EDATE($D18,Milestones!$AA$144)&gt;=$S18),$V18,$U18)))=Milestones!$AB$144),UPPER(TEXT(EDATE($D18,Milestones!$AA$144),"dd mmm yy"))&amp;" "&amp;Milestones!$AB$144&amp;" "&amp;Milestones!$AC$144&amp;";  ","")&amp;IF(AND(EDATE($D18,Milestones!$AA$145)&lt;=AsOfDate,IF($R18=0,$X18,IF(AND($T18&lt;&gt;"",EDATE($D18,Milestones!$AA$145)&gt;=$T18),$W18,IF(AND($S18&lt;&gt;"",EDATE($D18,Milestones!$AA$145)&gt;=$S18),$V18,$U18)))=Milestones!$AB$145),UPPER(TEXT(EDATE($D18,Milestones!$AA$145),"dd mmm yy"))&amp;" "&amp;Milestones!$AB$145&amp;" "&amp;Milestones!$AC$145&amp;";  ","")&amp;IF(AND(EDATE($D18,Milestones!$AA$146)&lt;=AsOfDate,IF($R18=0,$X18,IF(AND($T18&lt;&gt;"",EDATE($D18,Milestones!$AA$146)&gt;=$T18),$W18,IF(AND($S18&lt;&gt;"",EDATE($D18,Milestones!$AA$146)&gt;=$S18),$V18,$U18)))=Milestones!$AB$146),UPPER(TEXT(EDATE($D18,Milestones!$AA$146),"dd mmm yy"))&amp;" "&amp;Milestones!$AB$146&amp;" "&amp;Milestones!$AC$146&amp;";  ","")&amp;IF(AND(EDATE($D18,Milestones!$AA$147)&lt;=AsOfDate,IF($R18=0,$X18,IF(AND($T18&lt;&gt;"",EDATE($D18,Milestones!$AA$147)&gt;=$T18),$W18,IF(AND($S18&lt;&gt;"",EDATE($D18,Milestones!$AA$147)&gt;=$S18),$V18,$U18)))=Milestones!$AB$147),UPPER(TEXT(EDATE($D18,Milestones!$AA$147),"dd mmm yy"))&amp;" "&amp;Milestones!$AB$147&amp;" "&amp;Milestones!$AC$147&amp;";  ","")&amp;IF(AND(EDATE($D18,Milestones!$AA$148)&lt;=AsOfDate,IF($R18=0,$X18,IF(AND($T18&lt;&gt;"",EDATE($D18,Milestones!$AA$148)&gt;=$T18),$W18,IF(AND($S18&lt;&gt;"",EDATE($D18,Milestones!$AA$148)&gt;=$S18),$V18,$U18)))=Milestones!$AB$148),UPPER(TEXT(EDATE($D18,Milestones!$AA$148),"dd mmm yy"))&amp;" "&amp;Milestones!$AB$148&amp;" "&amp;Milestones!$AC$148&amp;";  ","")&amp;IF(AND(EDATE($D18,Milestones!$AA$149)&lt;=AsOfDate,IF($R18=0,$X18,IF(AND($T18&lt;&gt;"",EDATE($D18,Milestones!$AA$149)&gt;=$T18),$W18,IF(AND($S18&lt;&gt;"",EDATE($D18,Milestones!$AA$149)&gt;=$S18),$V18,$U18)))=Milestones!$AB$149),UPPER(TEXT(EDATE($D18,Milestones!$AA$149),"dd mmm yy"))&amp;" "&amp;Milestones!$AB$149&amp;" "&amp;Milestones!$AC$149&amp;";  ","")&amp;IF(AND(EDATE($D18,Milestones!$AA$150)&lt;=AsOfDate,IF($R18=0,$X18,IF(AND($T18&lt;&gt;"",EDATE($D18,Milestones!$AA$150)&gt;=$T18),$W18,IF(AND($S18&lt;&gt;"",EDATE($D18,Milestones!$AA$150)&gt;=$S18),$V18,$U18)))=Milestones!$AB$150),UPPER(TEXT(EDATE($D18,Milestones!$AA$150),"dd mmm yy"))&amp;" "&amp;Milestones!$AB$150&amp;" "&amp;Milestones!$AC$150&amp;";  ","")&amp;IF(AND(EDATE($D18,Milestones!$AA$151)&lt;=AsOfDate,IF($R18=0,$X18,IF(AND($T18&lt;&gt;"",EDATE($D18,Milestones!$AA$151)&gt;=$T18),$W18,IF(AND($S18&lt;&gt;"",EDATE($D18,Milestones!$AA$151)&gt;=$S18),$V18,$U18)))=Milestones!$AB$151),UPPER(TEXT(EDATE($D18,Milestones!$AA$151),"dd mmm yy"))&amp;" "&amp;Milestones!$AB$151&amp;" "&amp;Milestones!$AC$151&amp;";  ","")&amp;IF(AND(EDATE($D18,Milestones!$AA$152)&lt;=AsOfDate,IF($R18=0,$X18,IF(AND($T18&lt;&gt;"",EDATE($D18,Milestones!$AA$152)&gt;=$T18),$W18,IF(AND($S18&lt;&gt;"",EDATE($D18,Milestones!$AA$152)&gt;=$S18),$V18,$U18)))=Milestones!$AB$152),UPPER(TEXT(EDATE($D18,Milestones!$AA$152),"dd mmm yy"))&amp;" "&amp;Milestones!$AB$152&amp;" "&amp;Milestones!$AC$152&amp;";  ","")&amp;IF(AND(EDATE($D18,Milestones!$AA$153)&lt;=AsOfDate,IF($R18=0,$X18,IF(AND($T18&lt;&gt;"",EDATE($D18,Milestones!$AA$153)&gt;=$T18),$W18,IF(AND($S18&lt;&gt;"",EDATE($D18,Milestones!$AA$153)&gt;=$S18),$V18,$U18)))=Milestones!$AB$153),UPPER(TEXT(EDATE($D18,Milestones!$AA$153),"dd mmm yy"))&amp;" "&amp;Milestones!$AB$153&amp;" "&amp;Milestones!$AC$153&amp;";  ","")&amp;IF(AND(EDATE($D18,Milestones!$AA$154)&lt;=AsOfDate,IF($R18=0,$X18,IF(AND($T18&lt;&gt;"",EDATE($D18,Milestones!$AA$154)&gt;=$T18),$W18,IF(AND($S18&lt;&gt;"",EDATE($D18,Milestones!$AA$154)&gt;=$S18),$V18,$U18)))=Milestones!$AB$154),UPPER(TEXT(EDATE($D18,Milestones!$AA$154),"dd mmm yy"))&amp;" "&amp;Milestones!$AB$154&amp;" "&amp;Milestones!$AC$154&amp;";  ","")&amp;IF(AND(EDATE($D18,Milestones!$AA$155)&lt;=AsOfDate,IF($R18=0,$X18,IF(AND($T18&lt;&gt;"",EDATE($D18,Milestones!$AA$155)&gt;=$T18),$W18,IF(AND($S18&lt;&gt;"",EDATE($D18,Milestones!$AA$155)&gt;=$S18),$V18,$U18)))=Milestones!$AB$155),UPPER(TEXT(EDATE($D18,Milestones!$AA$155),"dd mmm yy"))&amp;" "&amp;Milestones!$AB$155&amp;" "&amp;Milestones!$AC$155&amp;";  ","")&amp;IF(AND(EDATE($D18,Milestones!$AA$156)&lt;=AsOfDate,IF($R18=0,$X18,IF(AND($T18&lt;&gt;"",EDATE($D18,Milestones!$AA$156)&gt;=$T18),$W18,IF(AND($S18&lt;&gt;"",EDATE($D18,Milestones!$AA$156)&gt;=$S18),$V18,$U18)))=Milestones!$AB$156),UPPER(TEXT(EDATE($D18,Milestones!$AA$156),"dd mmm yy"))&amp;" "&amp;Milestones!$AB$156&amp;" "&amp;Milestones!$AC$156&amp;";  ","")&amp;IF(AND(EDATE($D18,Milestones!$AA$157)&lt;=AsOfDate,IF($R18=0,$X18,IF(AND($T18&lt;&gt;"",EDATE($D18,Milestones!$AA$157)&gt;=$T18),$W18,IF(AND($S18&lt;&gt;"",EDATE($D18,Milestones!$AA$157)&gt;=$S18),$V18,$U18)))=Milestones!$AB$157),UPPER(TEXT(EDATE($D18,Milestones!$AA$157),"dd mmm yy"))&amp;" "&amp;Milestones!$AB$157&amp;" "&amp;Milestones!$AC$157&amp;";  ","")&amp;IF(AND(EDATE($D18,Milestones!$AA$158)&lt;=AsOfDate,IF($R18=0,$X18,IF(AND($T18&lt;&gt;"",EDATE($D18,Milestones!$AA$158)&gt;=$T18),$W18,IF(AND($S18&lt;&gt;"",EDATE($D18,Milestones!$AA$158)&gt;=$S18),$V18,$U18)))=Milestones!$AB$158),UPPER(TEXT(EDATE($D18,Milestones!$AA$158),"dd mmm yy"))&amp;" "&amp;Milestones!$AB$158&amp;" "&amp;Milestones!$AC$158&amp;";  ","")&amp;IF(AND(EDATE($D18,Milestones!$AA$159)&lt;=AsOfDate,IF($R18=0,$X18,IF(AND($T18&lt;&gt;"",EDATE($D18,Milestones!$AA$159)&gt;=$T18),$W18,IF(AND($S18&lt;&gt;"",EDATE($D18,Milestones!$AA$159)&gt;=$S18),$V18,$U18)))=Milestones!$AB$159),UPPER(TEXT(EDATE($D18,Milestones!$AA$159),"dd mmm yy"))&amp;" "&amp;Milestones!$AB$159&amp;" "&amp;Milestones!$AC$159&amp;";  ",""))</f>
        <v/>
      </c>
      <c r="P18" s="0" t="str">
        <f aca="false">IF(OR($A18="",$D18=""),"",IF(AND(EDATE($D18,Milestones!$AA$160)&lt;=AsOfDate,IF($R18=0,$X18,IF(AND($T18&lt;&gt;"",EDATE($D18,Milestones!$AA$160)&gt;=$T18),$W18,IF(AND($S18&lt;&gt;"",EDATE($D18,Milestones!$AA$160)&gt;=$S18),$V18,$U18)))=Milestones!$AB$160),UPPER(TEXT(EDATE($D18,Milestones!$AA$160),"dd mmm yy"))&amp;" "&amp;Milestones!$AB$160&amp;" "&amp;Milestones!$AC$160&amp;";  ","")&amp;IF(AND(EDATE($D18,Milestones!$AA$161)&lt;=AsOfDate,IF($R18=0,$X18,IF(AND($T18&lt;&gt;"",EDATE($D18,Milestones!$AA$161)&gt;=$T18),$W18,IF(AND($S18&lt;&gt;"",EDATE($D18,Milestones!$AA$161)&gt;=$S18),$V18,$U18)))=Milestones!$AB$161),UPPER(TEXT(EDATE($D18,Milestones!$AA$161),"dd mmm yy"))&amp;" "&amp;Milestones!$AB$161&amp;" "&amp;Milestones!$AC$161&amp;";  ","")&amp;IF(AND(EDATE($D18,Milestones!$AA$162)&lt;=AsOfDate,IF($R18=0,$X18,IF(AND($T18&lt;&gt;"",EDATE($D18,Milestones!$AA$162)&gt;=$T18),$W18,IF(AND($S18&lt;&gt;"",EDATE($D18,Milestones!$AA$162)&gt;=$S18),$V18,$U18)))=Milestones!$AB$162),UPPER(TEXT(EDATE($D18,Milestones!$AA$162),"dd mmm yy"))&amp;" "&amp;Milestones!$AB$162&amp;" "&amp;Milestones!$AC$162&amp;";  ","")&amp;IF(AND(EDATE($D18,Milestones!$AA$163)&lt;=AsOfDate,IF($R18=0,$X18,IF(AND($T18&lt;&gt;"",EDATE($D18,Milestones!$AA$163)&gt;=$T18),$W18,IF(AND($S18&lt;&gt;"",EDATE($D18,Milestones!$AA$163)&gt;=$S18),$V18,$U18)))=Milestones!$AB$163),UPPER(TEXT(EDATE($D18,Milestones!$AA$163),"dd mmm yy"))&amp;" "&amp;Milestones!$AB$163&amp;" "&amp;Milestones!$AC$163&amp;";  ","")&amp;IF(AND(EDATE($D18,Milestones!$AA$164)&lt;=AsOfDate,IF($R18=0,$X18,IF(AND($T18&lt;&gt;"",EDATE($D18,Milestones!$AA$164)&gt;=$T18),$W18,IF(AND($S18&lt;&gt;"",EDATE($D18,Milestones!$AA$164)&gt;=$S18),$V18,$U18)))=Milestones!$AB$164),UPPER(TEXT(EDATE($D18,Milestones!$AA$164),"dd mmm yy"))&amp;" "&amp;Milestones!$AB$164&amp;" "&amp;Milestones!$AC$164&amp;";  ","")&amp;IF(AND(EDATE($D18,Milestones!$AA$165)&lt;=AsOfDate,IF($R18=0,$X18,IF(AND($T18&lt;&gt;"",EDATE($D18,Milestones!$AA$165)&gt;=$T18),$W18,IF(AND($S18&lt;&gt;"",EDATE($D18,Milestones!$AA$165)&gt;=$S18),$V18,$U18)))=Milestones!$AB$165),UPPER(TEXT(EDATE($D18,Milestones!$AA$165),"dd mmm yy"))&amp;" "&amp;Milestones!$AB$165&amp;" "&amp;Milestones!$AC$165&amp;";  ","")&amp;IF(AND(EDATE($D18,Milestones!$AA$166)&lt;=AsOfDate,IF($R18=0,$X18,IF(AND($T18&lt;&gt;"",EDATE($D18,Milestones!$AA$166)&gt;=$T18),$W18,IF(AND($S18&lt;&gt;"",EDATE($D18,Milestones!$AA$166)&gt;=$S18),$V18,$U18)))=Milestones!$AB$166),UPPER(TEXT(EDATE($D18,Milestones!$AA$166),"dd mmm yy"))&amp;" "&amp;Milestones!$AB$166&amp;" "&amp;Milestones!$AC$166&amp;";  ","")&amp;IF(AND(EDATE($D18,Milestones!$AA$167)&lt;=AsOfDate,IF($R18=0,$X18,IF(AND($T18&lt;&gt;"",EDATE($D18,Milestones!$AA$167)&gt;=$T18),$W18,IF(AND($S18&lt;&gt;"",EDATE($D18,Milestones!$AA$167)&gt;=$S18),$V18,$U18)))=Milestones!$AB$167),UPPER(TEXT(EDATE($D18,Milestones!$AA$167),"dd mmm yy"))&amp;" "&amp;Milestones!$AB$167&amp;" "&amp;Milestones!$AC$167&amp;";  ","")&amp;IF(AND(EDATE($D18,Milestones!$AA$168)&lt;=AsOfDate,IF($R18=0,$X18,IF(AND($T18&lt;&gt;"",EDATE($D18,Milestones!$AA$168)&gt;=$T18),$W18,IF(AND($S18&lt;&gt;"",EDATE($D18,Milestones!$AA$168)&gt;=$S18),$V18,$U18)))=Milestones!$AB$168),UPPER(TEXT(EDATE($D18,Milestones!$AA$168),"dd mmm yy"))&amp;" "&amp;Milestones!$AB$168&amp;" "&amp;Milestones!$AC$168&amp;";  ","")&amp;IF(AND(EDATE($D18,Milestones!$AA$169)&lt;=AsOfDate,IF($R18=0,$X18,IF(AND($T18&lt;&gt;"",EDATE($D18,Milestones!$AA$169)&gt;=$T18),$W18,IF(AND($S18&lt;&gt;"",EDATE($D18,Milestones!$AA$169)&gt;=$S18),$V18,$U18)))=Milestones!$AB$169),UPPER(TEXT(EDATE($D18,Milestones!$AA$169),"dd mmm yy"))&amp;" "&amp;Milestones!$AB$169&amp;" "&amp;Milestones!$AC$169&amp;";  ","")&amp;IF(AND(EDATE($D18,Milestones!$AA$170)&lt;=AsOfDate,IF($R18=0,$X18,IF(AND($T18&lt;&gt;"",EDATE($D18,Milestones!$AA$170)&gt;=$T18),$W18,IF(AND($S18&lt;&gt;"",EDATE($D18,Milestones!$AA$170)&gt;=$S18),$V18,$U18)))=Milestones!$AB$170),UPPER(TEXT(EDATE($D18,Milestones!$AA$170),"dd mmm yy"))&amp;" "&amp;Milestones!$AB$170&amp;" "&amp;Milestones!$AC$170&amp;";  ","")&amp;IF(AND(EDATE($D18,Milestones!$AA$171)&lt;=AsOfDate,IF($R18=0,$X18,IF(AND($T18&lt;&gt;"",EDATE($D18,Milestones!$AA$171)&gt;=$T18),$W18,IF(AND($S18&lt;&gt;"",EDATE($D18,Milestones!$AA$171)&gt;=$S18),$V18,$U18)))=Milestones!$AB$171),UPPER(TEXT(EDATE($D18,Milestones!$AA$171),"dd mmm yy"))&amp;" "&amp;Milestones!$AB$171&amp;" "&amp;Milestones!$AC$171&amp;";  ","")&amp;IF(AND(EDATE($D18,Milestones!$AA$172)&lt;=AsOfDate,IF($R18=0,$X18,IF(AND($T18&lt;&gt;"",EDATE($D18,Milestones!$AA$172)&gt;=$T18),$W18,IF(AND($S18&lt;&gt;"",EDATE($D18,Milestones!$AA$172)&gt;=$S18),$V18,$U18)))=Milestones!$AB$172),UPPER(TEXT(EDATE($D18,Milestones!$AA$172),"dd mmm yy"))&amp;" "&amp;Milestones!$AB$172&amp;" "&amp;Milestones!$AC$172&amp;";  ","")&amp;IF(AND(EDATE($D18,Milestones!$AA$173)&lt;=AsOfDate,IF($R18=0,$X18,IF(AND($T18&lt;&gt;"",EDATE($D18,Milestones!$AA$173)&gt;=$T18),$W18,IF(AND($S18&lt;&gt;"",EDATE($D18,Milestones!$AA$173)&gt;=$S18),$V18,$U18)))=Milestones!$AB$173),UPPER(TEXT(EDATE($D18,Milestones!$AA$173),"dd mmm yy"))&amp;" "&amp;Milestones!$AB$173&amp;" "&amp;Milestones!$AC$173&amp;";  ","")&amp;IF(AND(EDATE($D18,Milestones!$AA$174)&lt;=AsOfDate,IF($R18=0,$X18,IF(AND($T18&lt;&gt;"",EDATE($D18,Milestones!$AA$174)&gt;=$T18),$W18,IF(AND($S18&lt;&gt;"",EDATE($D18,Milestones!$AA$174)&gt;=$S18),$V18,$U18)))=Milestones!$AB$174),UPPER(TEXT(EDATE($D18,Milestones!$AA$174),"dd mmm yy"))&amp;" "&amp;Milestones!$AB$174&amp;" "&amp;Milestones!$AC$174&amp;";  ","")&amp;IF(AND(EDATE($D18,Milestones!$AA$175)&lt;=AsOfDate,IF($R18=0,$X18,IF(AND($T18&lt;&gt;"",EDATE($D18,Milestones!$AA$175)&gt;=$T18),$W18,IF(AND($S18&lt;&gt;"",EDATE($D18,Milestones!$AA$175)&gt;=$S18),$V18,$U18)))=Milestones!$AB$175),UPPER(TEXT(EDATE($D18,Milestones!$AA$175),"dd mmm yy"))&amp;" "&amp;Milestones!$AB$175&amp;" "&amp;Milestones!$AC$175&amp;";  ","")&amp;IF(AND(EDATE($D18,Milestones!$AA$176)&lt;=AsOfDate,IF($R18=0,$X18,IF(AND($T18&lt;&gt;"",EDATE($D18,Milestones!$AA$176)&gt;=$T18),$W18,IF(AND($S18&lt;&gt;"",EDATE($D18,Milestones!$AA$176)&gt;=$S18),$V18,$U18)))=Milestones!$AB$176),UPPER(TEXT(EDATE($D18,Milestones!$AA$176),"dd mmm yy"))&amp;" "&amp;Milestones!$AB$176&amp;" "&amp;Milestones!$AC$176&amp;";  ","")&amp;IF(AND(EDATE($D18,Milestones!$AA$177)&lt;=AsOfDate,IF($R18=0,$X18,IF(AND($T18&lt;&gt;"",EDATE($D18,Milestones!$AA$177)&gt;=$T18),$W18,IF(AND($S18&lt;&gt;"",EDATE($D18,Milestones!$AA$177)&gt;=$S18),$V18,$U18)))=Milestones!$AB$177),UPPER(TEXT(EDATE($D18,Milestones!$AA$177),"dd mmm yy"))&amp;" "&amp;Milestones!$AB$177&amp;" "&amp;Milestones!$AC$177&amp;";  ","")&amp;IF(AND(EDATE($D18,Milestones!$AA$178)&lt;=AsOfDate,IF($R18=0,$X18,IF(AND($T18&lt;&gt;"",EDATE($D18,Milestones!$AA$178)&gt;=$T18),$W18,IF(AND($S18&lt;&gt;"",EDATE($D18,Milestones!$AA$178)&gt;=$S18),$V18,$U18)))=Milestones!$AB$178),UPPER(TEXT(EDATE($D18,Milestones!$AA$178),"dd mmm yy"))&amp;" "&amp;Milestones!$AB$178&amp;" "&amp;Milestones!$AC$178&amp;";  ","")&amp;IF(AND(EDATE($D18,Milestones!$AA$179)&lt;=AsOfDate,IF($R18=0,$X18,IF(AND($T18&lt;&gt;"",EDATE($D18,Milestones!$AA$179)&gt;=$T18),$W18,IF(AND($S18&lt;&gt;"",EDATE($D18,Milestones!$AA$179)&gt;=$S18),$V18,$U18)))=Milestones!$AB$179),UPPER(TEXT(EDATE($D18,Milestones!$AA$179),"dd mmm yy"))&amp;" "&amp;Milestones!$AB$179&amp;" "&amp;Milestones!$AC$179&amp;";  ",""))</f>
        <v/>
      </c>
      <c r="Q18" s="0" t="str">
        <f aca="false">IF(OR($A18="",$D18=""),"",IF(AND(EDATE($D18,Milestones!$AA$180)&lt;=AsOfDate,IF($R18=0,$X18,IF(AND($T18&lt;&gt;"",EDATE($D18,Milestones!$AA$180)&gt;=$T18),$W18,IF(AND($S18&lt;&gt;"",EDATE($D18,Milestones!$AA$180)&gt;=$S18),$V18,$U18)))=Milestones!$AB$180),UPPER(TEXT(EDATE($D18,Milestones!$AA$180),"dd mmm yy"))&amp;" "&amp;Milestones!$AB$180&amp;" "&amp;Milestones!$AC$180&amp;";  ","")&amp;IF(AND(EDATE($D18,Milestones!$AA$181)&lt;=AsOfDate,IF($R18=0,$X18,IF(AND($T18&lt;&gt;"",EDATE($D18,Milestones!$AA$181)&gt;=$T18),$W18,IF(AND($S18&lt;&gt;"",EDATE($D18,Milestones!$AA$181)&gt;=$S18),$V18,$U18)))=Milestones!$AB$181),UPPER(TEXT(EDATE($D18,Milestones!$AA$181),"dd mmm yy"))&amp;" "&amp;Milestones!$AB$181&amp;" "&amp;Milestones!$AC$181&amp;";  ","")&amp;IF(AND(EDATE($D18,Milestones!$AA$182)&lt;=AsOfDate,IF($R18=0,$X18,IF(AND($T18&lt;&gt;"",EDATE($D18,Milestones!$AA$182)&gt;=$T18),$W18,IF(AND($S18&lt;&gt;"",EDATE($D18,Milestones!$AA$182)&gt;=$S18),$V18,$U18)))=Milestones!$AB$182),UPPER(TEXT(EDATE($D18,Milestones!$AA$182),"dd mmm yy"))&amp;" "&amp;Milestones!$AB$182&amp;" "&amp;Milestones!$AC$182&amp;";  ","")&amp;IF(AND(EDATE($D18,Milestones!$AA$183)&lt;=AsOfDate,IF($R18=0,$X18,IF(AND($T18&lt;&gt;"",EDATE($D18,Milestones!$AA$183)&gt;=$T18),$W18,IF(AND($S18&lt;&gt;"",EDATE($D18,Milestones!$AA$183)&gt;=$S18),$V18,$U18)))=Milestones!$AB$183),UPPER(TEXT(EDATE($D18,Milestones!$AA$183),"dd mmm yy"))&amp;" "&amp;Milestones!$AB$183&amp;" "&amp;Milestones!$AC$183&amp;";  ","")&amp;IF(AND(EDATE($D18,Milestones!$AA$184)&lt;=AsOfDate,IF($R18=0,$X18,IF(AND($T18&lt;&gt;"",EDATE($D18,Milestones!$AA$184)&gt;=$T18),$W18,IF(AND($S18&lt;&gt;"",EDATE($D18,Milestones!$AA$184)&gt;=$S18),$V18,$U18)))=Milestones!$AB$184),UPPER(TEXT(EDATE($D18,Milestones!$AA$184),"dd mmm yy"))&amp;" "&amp;Milestones!$AB$184&amp;" "&amp;Milestones!$AC$184&amp;";  ","")&amp;IF(AND(EDATE($D18,Milestones!$AA$185)&lt;=AsOfDate,IF($R18=0,$X18,IF(AND($T18&lt;&gt;"",EDATE($D18,Milestones!$AA$185)&gt;=$T18),$W18,IF(AND($S18&lt;&gt;"",EDATE($D18,Milestones!$AA$185)&gt;=$S18),$V18,$U18)))=Milestones!$AB$185),UPPER(TEXT(EDATE($D18,Milestones!$AA$185),"dd mmm yy"))&amp;" "&amp;Milestones!$AB$185&amp;" "&amp;Milestones!$AC$185&amp;";  ","")&amp;IF(AND(EDATE($D18,Milestones!$AA$186)&lt;=AsOfDate,IF($R18=0,$X18,IF(AND($T18&lt;&gt;"",EDATE($D18,Milestones!$AA$186)&gt;=$T18),$W18,IF(AND($S18&lt;&gt;"",EDATE($D18,Milestones!$AA$186)&gt;=$S18),$V18,$U18)))=Milestones!$AB$186),UPPER(TEXT(EDATE($D18,Milestones!$AA$186),"dd mmm yy"))&amp;" "&amp;Milestones!$AB$186&amp;" "&amp;Milestones!$AC$186&amp;";  ","")&amp;IF(AND(EDATE($D18,Milestones!$AA$187)&lt;=AsOfDate,IF($R18=0,$X18,IF(AND($T18&lt;&gt;"",EDATE($D18,Milestones!$AA$187)&gt;=$T18),$W18,IF(AND($S18&lt;&gt;"",EDATE($D18,Milestones!$AA$187)&gt;=$S18),$V18,$U18)))=Milestones!$AB$187),UPPER(TEXT(EDATE($D18,Milestones!$AA$187),"dd mmm yy"))&amp;" "&amp;Milestones!$AB$187&amp;" "&amp;Milestones!$AC$187&amp;";  ","")&amp;IF(AND(EDATE($D18,Milestones!$AA$188)&lt;=AsOfDate,IF($R18=0,$X18,IF(AND($T18&lt;&gt;"",EDATE($D18,Milestones!$AA$188)&gt;=$T18),$W18,IF(AND($S18&lt;&gt;"",EDATE($D18,Milestones!$AA$188)&gt;=$S18),$V18,$U18)))=Milestones!$AB$188),UPPER(TEXT(EDATE($D18,Milestones!$AA$188),"dd mmm yy"))&amp;" "&amp;Milestones!$AB$188&amp;" "&amp;Milestones!$AC$188&amp;";  ","")&amp;IF(AND(EDATE($D18,Milestones!$AA$189)&lt;=AsOfDate,IF($R18=0,$X18,IF(AND($T18&lt;&gt;"",EDATE($D18,Milestones!$AA$189)&gt;=$T18),$W18,IF(AND($S18&lt;&gt;"",EDATE($D18,Milestones!$AA$189)&gt;=$S18),$V18,$U18)))=Milestones!$AB$189),UPPER(TEXT(EDATE($D18,Milestones!$AA$189),"dd mmm yy"))&amp;" "&amp;Milestones!$AB$189&amp;" "&amp;Milestones!$AC$189&amp;";  ","")&amp;IF(AND(EDATE($D18,Milestones!$AA$190)&lt;=AsOfDate,IF($R18=0,$X18,IF(AND($T18&lt;&gt;"",EDATE($D18,Milestones!$AA$190)&gt;=$T18),$W18,IF(AND($S18&lt;&gt;"",EDATE($D18,Milestones!$AA$190)&gt;=$S18),$V18,$U18)))=Milestones!$AB$190),UPPER(TEXT(EDATE($D18,Milestones!$AA$190),"dd mmm yy"))&amp;" "&amp;Milestones!$AB$190&amp;" "&amp;Milestones!$AC$190&amp;";  ","")&amp;IF(AND(EDATE($D18,Milestones!$AA$191)&lt;=AsOfDate,IF($R18=0,$X18,IF(AND($T18&lt;&gt;"",EDATE($D18,Milestones!$AA$191)&gt;=$T18),$W18,IF(AND($S18&lt;&gt;"",EDATE($D18,Milestones!$AA$191)&gt;=$S18),$V18,$U18)))=Milestones!$AB$191),UPPER(TEXT(EDATE($D18,Milestones!$AA$191),"dd mmm yy"))&amp;" "&amp;Milestones!$AB$191&amp;" "&amp;Milestones!$AC$191&amp;";  ","")&amp;IF(AND(EDATE($D18,Milestones!$AA$192)&lt;=AsOfDate,IF($R18=0,$X18,IF(AND($T18&lt;&gt;"",EDATE($D18,Milestones!$AA$192)&gt;=$T18),$W18,IF(AND($S18&lt;&gt;"",EDATE($D18,Milestones!$AA$192)&gt;=$S18),$V18,$U18)))=Milestones!$AB$192),UPPER(TEXT(EDATE($D18,Milestones!$AA$192),"dd mmm yy"))&amp;" "&amp;Milestones!$AB$192&amp;" "&amp;Milestones!$AC$192&amp;";  ","")&amp;IF(AND(EDATE($D18,Milestones!$AA$193)&lt;=AsOfDate,IF($R18=0,$X18,IF(AND($T18&lt;&gt;"",EDATE($D18,Milestones!$AA$193)&gt;=$T18),$W18,IF(AND($S18&lt;&gt;"",EDATE($D18,Milestones!$AA$193)&gt;=$S18),$V18,$U18)))=Milestones!$AB$193),UPPER(TEXT(EDATE($D18,Milestones!$AA$193),"dd mmm yy"))&amp;" "&amp;Milestones!$AB$193&amp;" "&amp;Milestones!$AC$193&amp;";  ","")&amp;IF(AND(EDATE($D18,Milestones!$AA$194)&lt;=AsOfDate,IF($R18=0,$X18,IF(AND($T18&lt;&gt;"",EDATE($D18,Milestones!$AA$194)&gt;=$T18),$W18,IF(AND($S18&lt;&gt;"",EDATE($D18,Milestones!$AA$194)&gt;=$S18),$V18,$U18)))=Milestones!$AB$194),UPPER(TEXT(EDATE($D18,Milestones!$AA$194),"dd mmm yy"))&amp;" "&amp;Milestones!$AB$194&amp;" "&amp;Milestones!$AC$194&amp;";  ","")&amp;IF(AND(EDATE($D18,Milestones!$AA$195)&lt;=AsOfDate,IF($R18=0,$X18,IF(AND($T18&lt;&gt;"",EDATE($D18,Milestones!$AA$195)&gt;=$T18),$W18,IF(AND($S18&lt;&gt;"",EDATE($D18,Milestones!$AA$195)&gt;=$S18),$V18,$U18)))=Milestones!$AB$195),UPPER(TEXT(EDATE($D18,Milestones!$AA$195),"dd mmm yy"))&amp;" "&amp;Milestones!$AB$195&amp;" "&amp;Milestones!$AC$195&amp;";  ","")&amp;IF(AND(EDATE($D18,Milestones!$AA$196)&lt;=AsOfDate,IF($R18=0,$X18,IF(AND($T18&lt;&gt;"",EDATE($D18,Milestones!$AA$196)&gt;=$T18),$W18,IF(AND($S18&lt;&gt;"",EDATE($D18,Milestones!$AA$196)&gt;=$S18),$V18,$U18)))=Milestones!$AB$196),UPPER(TEXT(EDATE($D18,Milestones!$AA$196),"dd mmm yy"))&amp;" "&amp;Milestones!$AB$196&amp;" "&amp;Milestones!$AC$196&amp;";  ","")&amp;IF(AND(EDATE($D18,Milestones!$AA$197)&lt;=AsOfDate,IF($R18=0,$X18,IF(AND($T18&lt;&gt;"",EDATE($D18,Milestones!$AA$197)&gt;=$T18),$W18,IF(AND($S18&lt;&gt;"",EDATE($D18,Milestones!$AA$197)&gt;=$S18),$V18,$U18)))=Milestones!$AB$197),UPPER(TEXT(EDATE($D18,Milestones!$AA$197),"dd mmm yy"))&amp;" "&amp;Milestones!$AB$197&amp;" "&amp;Milestones!$AC$197&amp;";  ","")&amp;IF(AND(EDATE($D18,Milestones!$AA$198)&lt;=AsOfDate,IF($R18=0,$X18,IF(AND($T18&lt;&gt;"",EDATE($D18,Milestones!$AA$198)&gt;=$T18),$W18,IF(AND($S18&lt;&gt;"",EDATE($D18,Milestones!$AA$198)&gt;=$S18),$V18,$U18)))=Milestones!$AB$198),UPPER(TEXT(EDATE($D18,Milestones!$AA$198),"dd mmm yy"))&amp;" "&amp;Milestones!$AB$198&amp;" "&amp;Milestones!$AC$198&amp;";  ","")&amp;IF(AND(EDATE($D18,Milestones!$AA$199)&lt;=AsOfDate,IF($R18=0,$X18,IF(AND($T18&lt;&gt;"",EDATE($D18,Milestones!$AA$199)&gt;=$T18),$W18,IF(AND($S18&lt;&gt;"",EDATE($D18,Milestones!$AA$199)&gt;=$S18),$V18,$U18)))=Milestones!$AB$199),UPPER(TEXT(EDATE($D18,Milestones!$AA$199),"dd mmm yy"))&amp;" "&amp;Milestones!$AB$199&amp;" "&amp;Milestones!$AC$199&amp;";  ",""))</f>
        <v/>
      </c>
      <c r="R18" s="0" t="str">
        <f aca="false">IF(Staff!$A18="","",Staff!$AI18)</f>
        <v/>
      </c>
      <c r="S18" s="0" t="str">
        <f aca="false">IF(Staff!$A18="","",Staff!$AK18)</f>
        <v/>
      </c>
      <c r="T18" s="0" t="str">
        <f aca="false">IF(Staff!$A18="","",Staff!$AL18)</f>
        <v/>
      </c>
      <c r="U18" s="0" t="str">
        <f aca="false">IF(Staff!$A18="","",Staff!$AP18)</f>
        <v/>
      </c>
      <c r="V18" s="0" t="str">
        <f aca="false">IF(Staff!$A18="","",Staff!$AQ18)</f>
        <v/>
      </c>
      <c r="W18" s="0" t="str">
        <f aca="false">IF(Staff!$A18="","",Staff!$AR18)</f>
        <v/>
      </c>
      <c r="X18" s="0" t="str">
        <f aca="false">IF(Staff!$A18="","",Staff!$AS18)</f>
        <v/>
      </c>
    </row>
    <row r="19" customFormat="false" ht="15" hidden="false" customHeight="false" outlineLevel="0" collapsed="false">
      <c r="A19" s="14" t="str">
        <f aca="false">IF(Staff!$A19="","",Staff!$A19)</f>
        <v/>
      </c>
      <c r="B19" s="14" t="str">
        <f aca="false">IF(Staff!$A19="","",Staff!$B19)</f>
        <v/>
      </c>
      <c r="C19" s="14" t="str">
        <f aca="false">IF(Staff!$A19="","",Staff!$C19)</f>
        <v/>
      </c>
      <c r="D19" s="12" t="str">
        <f aca="false">IF(Staff!$A19="","",Staff!$AH19)</f>
        <v/>
      </c>
      <c r="E19" s="14" t="str">
        <f aca="false">IF(Staff!$A19="","",Staff!$O19)</f>
        <v/>
      </c>
      <c r="F19" s="14" t="str">
        <f aca="false">IF(E19="","",E19*HoursPerDay)</f>
        <v/>
      </c>
      <c r="G19" s="14" t="str">
        <f aca="false">IF(Staff!$A19="","",Staff!$AE19)</f>
        <v/>
      </c>
      <c r="H19" s="26" t="str">
        <f aca="false">IF($A19="","",I19&amp;J19&amp;K19&amp;L19&amp;M19&amp;N19&amp;O19&amp;P19&amp;Q19)</f>
        <v/>
      </c>
      <c r="I19" s="0" t="str">
        <f aca="false">IF(OR($A19="",$D19=""),"",IF(AND(EDATE($D19,Milestones!$AA$20)&lt;=AsOfDate,IF($R19=0,$X19,IF(AND($T19&lt;&gt;"",EDATE($D19,Milestones!$AA$20)&gt;=$T19),$W19,IF(AND($S19&lt;&gt;"",EDATE($D19,Milestones!$AA$20)&gt;=$S19),$V19,$U19)))=Milestones!$AB$20),UPPER(TEXT(EDATE($D19,Milestones!$AA$20),"dd mmm yy"))&amp;" "&amp;Milestones!$AB$20&amp;" "&amp;Milestones!$AC$20&amp;";  ","")&amp;IF(AND(EDATE($D19,Milestones!$AA$21)&lt;=AsOfDate,IF($R19=0,$X19,IF(AND($T19&lt;&gt;"",EDATE($D19,Milestones!$AA$21)&gt;=$T19),$W19,IF(AND($S19&lt;&gt;"",EDATE($D19,Milestones!$AA$21)&gt;=$S19),$V19,$U19)))=Milestones!$AB$21),UPPER(TEXT(EDATE($D19,Milestones!$AA$21),"dd mmm yy"))&amp;" "&amp;Milestones!$AB$21&amp;" "&amp;Milestones!$AC$21&amp;";  ","")&amp;IF(AND(EDATE($D19,Milestones!$AA$22)&lt;=AsOfDate,IF($R19=0,$X19,IF(AND($T19&lt;&gt;"",EDATE($D19,Milestones!$AA$22)&gt;=$T19),$W19,IF(AND($S19&lt;&gt;"",EDATE($D19,Milestones!$AA$22)&gt;=$S19),$V19,$U19)))=Milestones!$AB$22),UPPER(TEXT(EDATE($D19,Milestones!$AA$22),"dd mmm yy"))&amp;" "&amp;Milestones!$AB$22&amp;" "&amp;Milestones!$AC$22&amp;";  ","")&amp;IF(AND(EDATE($D19,Milestones!$AA$23)&lt;=AsOfDate,IF($R19=0,$X19,IF(AND($T19&lt;&gt;"",EDATE($D19,Milestones!$AA$23)&gt;=$T19),$W19,IF(AND($S19&lt;&gt;"",EDATE($D19,Milestones!$AA$23)&gt;=$S19),$V19,$U19)))=Milestones!$AB$23),UPPER(TEXT(EDATE($D19,Milestones!$AA$23),"dd mmm yy"))&amp;" "&amp;Milestones!$AB$23&amp;" "&amp;Milestones!$AC$23&amp;";  ","")&amp;IF(AND(EDATE($D19,Milestones!$AA$24)&lt;=AsOfDate,IF($R19=0,$X19,IF(AND($T19&lt;&gt;"",EDATE($D19,Milestones!$AA$24)&gt;=$T19),$W19,IF(AND($S19&lt;&gt;"",EDATE($D19,Milestones!$AA$24)&gt;=$S19),$V19,$U19)))=Milestones!$AB$24),UPPER(TEXT(EDATE($D19,Milestones!$AA$24),"dd mmm yy"))&amp;" "&amp;Milestones!$AB$24&amp;" "&amp;Milestones!$AC$24&amp;";  ","")&amp;IF(AND(EDATE($D19,Milestones!$AA$25)&lt;=AsOfDate,IF($R19=0,$X19,IF(AND($T19&lt;&gt;"",EDATE($D19,Milestones!$AA$25)&gt;=$T19),$W19,IF(AND($S19&lt;&gt;"",EDATE($D19,Milestones!$AA$25)&gt;=$S19),$V19,$U19)))=Milestones!$AB$25),UPPER(TEXT(EDATE($D19,Milestones!$AA$25),"dd mmm yy"))&amp;" "&amp;Milestones!$AB$25&amp;" "&amp;Milestones!$AC$25&amp;";  ","")&amp;IF(AND(EDATE($D19,Milestones!$AA$26)&lt;=AsOfDate,IF($R19=0,$X19,IF(AND($T19&lt;&gt;"",EDATE($D19,Milestones!$AA$26)&gt;=$T19),$W19,IF(AND($S19&lt;&gt;"",EDATE($D19,Milestones!$AA$26)&gt;=$S19),$V19,$U19)))=Milestones!$AB$26),UPPER(TEXT(EDATE($D19,Milestones!$AA$26),"dd mmm yy"))&amp;" "&amp;Milestones!$AB$26&amp;" "&amp;Milestones!$AC$26&amp;";  ","")&amp;IF(AND(EDATE($D19,Milestones!$AA$27)&lt;=AsOfDate,IF($R19=0,$X19,IF(AND($T19&lt;&gt;"",EDATE($D19,Milestones!$AA$27)&gt;=$T19),$W19,IF(AND($S19&lt;&gt;"",EDATE($D19,Milestones!$AA$27)&gt;=$S19),$V19,$U19)))=Milestones!$AB$27),UPPER(TEXT(EDATE($D19,Milestones!$AA$27),"dd mmm yy"))&amp;" "&amp;Milestones!$AB$27&amp;" "&amp;Milestones!$AC$27&amp;";  ","")&amp;IF(AND(EDATE($D19,Milestones!$AA$28)&lt;=AsOfDate,IF($R19=0,$X19,IF(AND($T19&lt;&gt;"",EDATE($D19,Milestones!$AA$28)&gt;=$T19),$W19,IF(AND($S19&lt;&gt;"",EDATE($D19,Milestones!$AA$28)&gt;=$S19),$V19,$U19)))=Milestones!$AB$28),UPPER(TEXT(EDATE($D19,Milestones!$AA$28),"dd mmm yy"))&amp;" "&amp;Milestones!$AB$28&amp;" "&amp;Milestones!$AC$28&amp;";  ","")&amp;IF(AND(EDATE($D19,Milestones!$AA$29)&lt;=AsOfDate,IF($R19=0,$X19,IF(AND($T19&lt;&gt;"",EDATE($D19,Milestones!$AA$29)&gt;=$T19),$W19,IF(AND($S19&lt;&gt;"",EDATE($D19,Milestones!$AA$29)&gt;=$S19),$V19,$U19)))=Milestones!$AB$29),UPPER(TEXT(EDATE($D19,Milestones!$AA$29),"dd mmm yy"))&amp;" "&amp;Milestones!$AB$29&amp;" "&amp;Milestones!$AC$29&amp;";  ","")&amp;IF(AND(EDATE($D19,Milestones!$AA$30)&lt;=AsOfDate,IF($R19=0,$X19,IF(AND($T19&lt;&gt;"",EDATE($D19,Milestones!$AA$30)&gt;=$T19),$W19,IF(AND($S19&lt;&gt;"",EDATE($D19,Milestones!$AA$30)&gt;=$S19),$V19,$U19)))=Milestones!$AB$30),UPPER(TEXT(EDATE($D19,Milestones!$AA$30),"dd mmm yy"))&amp;" "&amp;Milestones!$AB$30&amp;" "&amp;Milestones!$AC$30&amp;";  ","")&amp;IF(AND(EDATE($D19,Milestones!$AA$31)&lt;=AsOfDate,IF($R19=0,$X19,IF(AND($T19&lt;&gt;"",EDATE($D19,Milestones!$AA$31)&gt;=$T19),$W19,IF(AND($S19&lt;&gt;"",EDATE($D19,Milestones!$AA$31)&gt;=$S19),$V19,$U19)))=Milestones!$AB$31),UPPER(TEXT(EDATE($D19,Milestones!$AA$31),"dd mmm yy"))&amp;" "&amp;Milestones!$AB$31&amp;" "&amp;Milestones!$AC$31&amp;";  ","")&amp;IF(AND(EDATE($D19,Milestones!$AA$32)&lt;=AsOfDate,IF($R19=0,$X19,IF(AND($T19&lt;&gt;"",EDATE($D19,Milestones!$AA$32)&gt;=$T19),$W19,IF(AND($S19&lt;&gt;"",EDATE($D19,Milestones!$AA$32)&gt;=$S19),$V19,$U19)))=Milestones!$AB$32),UPPER(TEXT(EDATE($D19,Milestones!$AA$32),"dd mmm yy"))&amp;" "&amp;Milestones!$AB$32&amp;" "&amp;Milestones!$AC$32&amp;";  ","")&amp;IF(AND(EDATE($D19,Milestones!$AA$33)&lt;=AsOfDate,IF($R19=0,$X19,IF(AND($T19&lt;&gt;"",EDATE($D19,Milestones!$AA$33)&gt;=$T19),$W19,IF(AND($S19&lt;&gt;"",EDATE($D19,Milestones!$AA$33)&gt;=$S19),$V19,$U19)))=Milestones!$AB$33),UPPER(TEXT(EDATE($D19,Milestones!$AA$33),"dd mmm yy"))&amp;" "&amp;Milestones!$AB$33&amp;" "&amp;Milestones!$AC$33&amp;";  ","")&amp;IF(AND(EDATE($D19,Milestones!$AA$34)&lt;=AsOfDate,IF($R19=0,$X19,IF(AND($T19&lt;&gt;"",EDATE($D19,Milestones!$AA$34)&gt;=$T19),$W19,IF(AND($S19&lt;&gt;"",EDATE($D19,Milestones!$AA$34)&gt;=$S19),$V19,$U19)))=Milestones!$AB$34),UPPER(TEXT(EDATE($D19,Milestones!$AA$34),"dd mmm yy"))&amp;" "&amp;Milestones!$AB$34&amp;" "&amp;Milestones!$AC$34&amp;";  ","")&amp;IF(AND(EDATE($D19,Milestones!$AA$35)&lt;=AsOfDate,IF($R19=0,$X19,IF(AND($T19&lt;&gt;"",EDATE($D19,Milestones!$AA$35)&gt;=$T19),$W19,IF(AND($S19&lt;&gt;"",EDATE($D19,Milestones!$AA$35)&gt;=$S19),$V19,$U19)))=Milestones!$AB$35),UPPER(TEXT(EDATE($D19,Milestones!$AA$35),"dd mmm yy"))&amp;" "&amp;Milestones!$AB$35&amp;" "&amp;Milestones!$AC$35&amp;";  ","")&amp;IF(AND(EDATE($D19,Milestones!$AA$36)&lt;=AsOfDate,IF($R19=0,$X19,IF(AND($T19&lt;&gt;"",EDATE($D19,Milestones!$AA$36)&gt;=$T19),$W19,IF(AND($S19&lt;&gt;"",EDATE($D19,Milestones!$AA$36)&gt;=$S19),$V19,$U19)))=Milestones!$AB$36),UPPER(TEXT(EDATE($D19,Milestones!$AA$36),"dd mmm yy"))&amp;" "&amp;Milestones!$AB$36&amp;" "&amp;Milestones!$AC$36&amp;";  ","")&amp;IF(AND(EDATE($D19,Milestones!$AA$37)&lt;=AsOfDate,IF($R19=0,$X19,IF(AND($T19&lt;&gt;"",EDATE($D19,Milestones!$AA$37)&gt;=$T19),$W19,IF(AND($S19&lt;&gt;"",EDATE($D19,Milestones!$AA$37)&gt;=$S19),$V19,$U19)))=Milestones!$AB$37),UPPER(TEXT(EDATE($D19,Milestones!$AA$37),"dd mmm yy"))&amp;" "&amp;Milestones!$AB$37&amp;" "&amp;Milestones!$AC$37&amp;";  ","")&amp;IF(AND(EDATE($D19,Milestones!$AA$38)&lt;=AsOfDate,IF($R19=0,$X19,IF(AND($T19&lt;&gt;"",EDATE($D19,Milestones!$AA$38)&gt;=$T19),$W19,IF(AND($S19&lt;&gt;"",EDATE($D19,Milestones!$AA$38)&gt;=$S19),$V19,$U19)))=Milestones!$AB$38),UPPER(TEXT(EDATE($D19,Milestones!$AA$38),"dd mmm yy"))&amp;" "&amp;Milestones!$AB$38&amp;" "&amp;Milestones!$AC$38&amp;";  ","")&amp;IF(AND(EDATE($D19,Milestones!$AA$39)&lt;=AsOfDate,IF($R19=0,$X19,IF(AND($T19&lt;&gt;"",EDATE($D19,Milestones!$AA$39)&gt;=$T19),$W19,IF(AND($S19&lt;&gt;"",EDATE($D19,Milestones!$AA$39)&gt;=$S19),$V19,$U19)))=Milestones!$AB$39),UPPER(TEXT(EDATE($D19,Milestones!$AA$39),"dd mmm yy"))&amp;" "&amp;Milestones!$AB$39&amp;" "&amp;Milestones!$AC$39&amp;";  ",""))</f>
        <v/>
      </c>
      <c r="J19" s="0" t="str">
        <f aca="false">IF(OR($A19="",$D19=""),"",IF(AND(EDATE($D19,Milestones!$AA$40)&lt;=AsOfDate,IF($R19=0,$X19,IF(AND($T19&lt;&gt;"",EDATE($D19,Milestones!$AA$40)&gt;=$T19),$W19,IF(AND($S19&lt;&gt;"",EDATE($D19,Milestones!$AA$40)&gt;=$S19),$V19,$U19)))=Milestones!$AB$40),UPPER(TEXT(EDATE($D19,Milestones!$AA$40),"dd mmm yy"))&amp;" "&amp;Milestones!$AB$40&amp;" "&amp;Milestones!$AC$40&amp;";  ","")&amp;IF(AND(EDATE($D19,Milestones!$AA$41)&lt;=AsOfDate,IF($R19=0,$X19,IF(AND($T19&lt;&gt;"",EDATE($D19,Milestones!$AA$41)&gt;=$T19),$W19,IF(AND($S19&lt;&gt;"",EDATE($D19,Milestones!$AA$41)&gt;=$S19),$V19,$U19)))=Milestones!$AB$41),UPPER(TEXT(EDATE($D19,Milestones!$AA$41),"dd mmm yy"))&amp;" "&amp;Milestones!$AB$41&amp;" "&amp;Milestones!$AC$41&amp;";  ","")&amp;IF(AND(EDATE($D19,Milestones!$AA$42)&lt;=AsOfDate,IF($R19=0,$X19,IF(AND($T19&lt;&gt;"",EDATE($D19,Milestones!$AA$42)&gt;=$T19),$W19,IF(AND($S19&lt;&gt;"",EDATE($D19,Milestones!$AA$42)&gt;=$S19),$V19,$U19)))=Milestones!$AB$42),UPPER(TEXT(EDATE($D19,Milestones!$AA$42),"dd mmm yy"))&amp;" "&amp;Milestones!$AB$42&amp;" "&amp;Milestones!$AC$42&amp;";  ","")&amp;IF(AND(EDATE($D19,Milestones!$AA$43)&lt;=AsOfDate,IF($R19=0,$X19,IF(AND($T19&lt;&gt;"",EDATE($D19,Milestones!$AA$43)&gt;=$T19),$W19,IF(AND($S19&lt;&gt;"",EDATE($D19,Milestones!$AA$43)&gt;=$S19),$V19,$U19)))=Milestones!$AB$43),UPPER(TEXT(EDATE($D19,Milestones!$AA$43),"dd mmm yy"))&amp;" "&amp;Milestones!$AB$43&amp;" "&amp;Milestones!$AC$43&amp;";  ","")&amp;IF(AND(EDATE($D19,Milestones!$AA$44)&lt;=AsOfDate,IF($R19=0,$X19,IF(AND($T19&lt;&gt;"",EDATE($D19,Milestones!$AA$44)&gt;=$T19),$W19,IF(AND($S19&lt;&gt;"",EDATE($D19,Milestones!$AA$44)&gt;=$S19),$V19,$U19)))=Milestones!$AB$44),UPPER(TEXT(EDATE($D19,Milestones!$AA$44),"dd mmm yy"))&amp;" "&amp;Milestones!$AB$44&amp;" "&amp;Milestones!$AC$44&amp;";  ","")&amp;IF(AND(EDATE($D19,Milestones!$AA$45)&lt;=AsOfDate,IF($R19=0,$X19,IF(AND($T19&lt;&gt;"",EDATE($D19,Milestones!$AA$45)&gt;=$T19),$W19,IF(AND($S19&lt;&gt;"",EDATE($D19,Milestones!$AA$45)&gt;=$S19),$V19,$U19)))=Milestones!$AB$45),UPPER(TEXT(EDATE($D19,Milestones!$AA$45),"dd mmm yy"))&amp;" "&amp;Milestones!$AB$45&amp;" "&amp;Milestones!$AC$45&amp;";  ","")&amp;IF(AND(EDATE($D19,Milestones!$AA$46)&lt;=AsOfDate,IF($R19=0,$X19,IF(AND($T19&lt;&gt;"",EDATE($D19,Milestones!$AA$46)&gt;=$T19),$W19,IF(AND($S19&lt;&gt;"",EDATE($D19,Milestones!$AA$46)&gt;=$S19),$V19,$U19)))=Milestones!$AB$46),UPPER(TEXT(EDATE($D19,Milestones!$AA$46),"dd mmm yy"))&amp;" "&amp;Milestones!$AB$46&amp;" "&amp;Milestones!$AC$46&amp;";  ","")&amp;IF(AND(EDATE($D19,Milestones!$AA$47)&lt;=AsOfDate,IF($R19=0,$X19,IF(AND($T19&lt;&gt;"",EDATE($D19,Milestones!$AA$47)&gt;=$T19),$W19,IF(AND($S19&lt;&gt;"",EDATE($D19,Milestones!$AA$47)&gt;=$S19),$V19,$U19)))=Milestones!$AB$47),UPPER(TEXT(EDATE($D19,Milestones!$AA$47),"dd mmm yy"))&amp;" "&amp;Milestones!$AB$47&amp;" "&amp;Milestones!$AC$47&amp;";  ","")&amp;IF(AND(EDATE($D19,Milestones!$AA$48)&lt;=AsOfDate,IF($R19=0,$X19,IF(AND($T19&lt;&gt;"",EDATE($D19,Milestones!$AA$48)&gt;=$T19),$W19,IF(AND($S19&lt;&gt;"",EDATE($D19,Milestones!$AA$48)&gt;=$S19),$V19,$U19)))=Milestones!$AB$48),UPPER(TEXT(EDATE($D19,Milestones!$AA$48),"dd mmm yy"))&amp;" "&amp;Milestones!$AB$48&amp;" "&amp;Milestones!$AC$48&amp;";  ","")&amp;IF(AND(EDATE($D19,Milestones!$AA$49)&lt;=AsOfDate,IF($R19=0,$X19,IF(AND($T19&lt;&gt;"",EDATE($D19,Milestones!$AA$49)&gt;=$T19),$W19,IF(AND($S19&lt;&gt;"",EDATE($D19,Milestones!$AA$49)&gt;=$S19),$V19,$U19)))=Milestones!$AB$49),UPPER(TEXT(EDATE($D19,Milestones!$AA$49),"dd mmm yy"))&amp;" "&amp;Milestones!$AB$49&amp;" "&amp;Milestones!$AC$49&amp;";  ","")&amp;IF(AND(EDATE($D19,Milestones!$AA$50)&lt;=AsOfDate,IF($R19=0,$X19,IF(AND($T19&lt;&gt;"",EDATE($D19,Milestones!$AA$50)&gt;=$T19),$W19,IF(AND($S19&lt;&gt;"",EDATE($D19,Milestones!$AA$50)&gt;=$S19),$V19,$U19)))=Milestones!$AB$50),UPPER(TEXT(EDATE($D19,Milestones!$AA$50),"dd mmm yy"))&amp;" "&amp;Milestones!$AB$50&amp;" "&amp;Milestones!$AC$50&amp;";  ","")&amp;IF(AND(EDATE($D19,Milestones!$AA$51)&lt;=AsOfDate,IF($R19=0,$X19,IF(AND($T19&lt;&gt;"",EDATE($D19,Milestones!$AA$51)&gt;=$T19),$W19,IF(AND($S19&lt;&gt;"",EDATE($D19,Milestones!$AA$51)&gt;=$S19),$V19,$U19)))=Milestones!$AB$51),UPPER(TEXT(EDATE($D19,Milestones!$AA$51),"dd mmm yy"))&amp;" "&amp;Milestones!$AB$51&amp;" "&amp;Milestones!$AC$51&amp;";  ","")&amp;IF(AND(EDATE($D19,Milestones!$AA$52)&lt;=AsOfDate,IF($R19=0,$X19,IF(AND($T19&lt;&gt;"",EDATE($D19,Milestones!$AA$52)&gt;=$T19),$W19,IF(AND($S19&lt;&gt;"",EDATE($D19,Milestones!$AA$52)&gt;=$S19),$V19,$U19)))=Milestones!$AB$52),UPPER(TEXT(EDATE($D19,Milestones!$AA$52),"dd mmm yy"))&amp;" "&amp;Milestones!$AB$52&amp;" "&amp;Milestones!$AC$52&amp;";  ","")&amp;IF(AND(EDATE($D19,Milestones!$AA$53)&lt;=AsOfDate,IF($R19=0,$X19,IF(AND($T19&lt;&gt;"",EDATE($D19,Milestones!$AA$53)&gt;=$T19),$W19,IF(AND($S19&lt;&gt;"",EDATE($D19,Milestones!$AA$53)&gt;=$S19),$V19,$U19)))=Milestones!$AB$53),UPPER(TEXT(EDATE($D19,Milestones!$AA$53),"dd mmm yy"))&amp;" "&amp;Milestones!$AB$53&amp;" "&amp;Milestones!$AC$53&amp;";  ","")&amp;IF(AND(EDATE($D19,Milestones!$AA$54)&lt;=AsOfDate,IF($R19=0,$X19,IF(AND($T19&lt;&gt;"",EDATE($D19,Milestones!$AA$54)&gt;=$T19),$W19,IF(AND($S19&lt;&gt;"",EDATE($D19,Milestones!$AA$54)&gt;=$S19),$V19,$U19)))=Milestones!$AB$54),UPPER(TEXT(EDATE($D19,Milestones!$AA$54),"dd mmm yy"))&amp;" "&amp;Milestones!$AB$54&amp;" "&amp;Milestones!$AC$54&amp;";  ","")&amp;IF(AND(EDATE($D19,Milestones!$AA$55)&lt;=AsOfDate,IF($R19=0,$X19,IF(AND($T19&lt;&gt;"",EDATE($D19,Milestones!$AA$55)&gt;=$T19),$W19,IF(AND($S19&lt;&gt;"",EDATE($D19,Milestones!$AA$55)&gt;=$S19),$V19,$U19)))=Milestones!$AB$55),UPPER(TEXT(EDATE($D19,Milestones!$AA$55),"dd mmm yy"))&amp;" "&amp;Milestones!$AB$55&amp;" "&amp;Milestones!$AC$55&amp;";  ","")&amp;IF(AND(EDATE($D19,Milestones!$AA$56)&lt;=AsOfDate,IF($R19=0,$X19,IF(AND($T19&lt;&gt;"",EDATE($D19,Milestones!$AA$56)&gt;=$T19),$W19,IF(AND($S19&lt;&gt;"",EDATE($D19,Milestones!$AA$56)&gt;=$S19),$V19,$U19)))=Milestones!$AB$56),UPPER(TEXT(EDATE($D19,Milestones!$AA$56),"dd mmm yy"))&amp;" "&amp;Milestones!$AB$56&amp;" "&amp;Milestones!$AC$56&amp;";  ","")&amp;IF(AND(EDATE($D19,Milestones!$AA$57)&lt;=AsOfDate,IF($R19=0,$X19,IF(AND($T19&lt;&gt;"",EDATE($D19,Milestones!$AA$57)&gt;=$T19),$W19,IF(AND($S19&lt;&gt;"",EDATE($D19,Milestones!$AA$57)&gt;=$S19),$V19,$U19)))=Milestones!$AB$57),UPPER(TEXT(EDATE($D19,Milestones!$AA$57),"dd mmm yy"))&amp;" "&amp;Milestones!$AB$57&amp;" "&amp;Milestones!$AC$57&amp;";  ","")&amp;IF(AND(EDATE($D19,Milestones!$AA$58)&lt;=AsOfDate,IF($R19=0,$X19,IF(AND($T19&lt;&gt;"",EDATE($D19,Milestones!$AA$58)&gt;=$T19),$W19,IF(AND($S19&lt;&gt;"",EDATE($D19,Milestones!$AA$58)&gt;=$S19),$V19,$U19)))=Milestones!$AB$58),UPPER(TEXT(EDATE($D19,Milestones!$AA$58),"dd mmm yy"))&amp;" "&amp;Milestones!$AB$58&amp;" "&amp;Milestones!$AC$58&amp;";  ","")&amp;IF(AND(EDATE($D19,Milestones!$AA$59)&lt;=AsOfDate,IF($R19=0,$X19,IF(AND($T19&lt;&gt;"",EDATE($D19,Milestones!$AA$59)&gt;=$T19),$W19,IF(AND($S19&lt;&gt;"",EDATE($D19,Milestones!$AA$59)&gt;=$S19),$V19,$U19)))=Milestones!$AB$59),UPPER(TEXT(EDATE($D19,Milestones!$AA$59),"dd mmm yy"))&amp;" "&amp;Milestones!$AB$59&amp;" "&amp;Milestones!$AC$59&amp;";  ",""))</f>
        <v/>
      </c>
      <c r="K19" s="0" t="str">
        <f aca="false">IF(OR($A19="",$D19=""),"",IF(AND(EDATE($D19,Milestones!$AA$60)&lt;=AsOfDate,IF($R19=0,$X19,IF(AND($T19&lt;&gt;"",EDATE($D19,Milestones!$AA$60)&gt;=$T19),$W19,IF(AND($S19&lt;&gt;"",EDATE($D19,Milestones!$AA$60)&gt;=$S19),$V19,$U19)))=Milestones!$AB$60),UPPER(TEXT(EDATE($D19,Milestones!$AA$60),"dd mmm yy"))&amp;" "&amp;Milestones!$AB$60&amp;" "&amp;Milestones!$AC$60&amp;";  ","")&amp;IF(AND(EDATE($D19,Milestones!$AA$61)&lt;=AsOfDate,IF($R19=0,$X19,IF(AND($T19&lt;&gt;"",EDATE($D19,Milestones!$AA$61)&gt;=$T19),$W19,IF(AND($S19&lt;&gt;"",EDATE($D19,Milestones!$AA$61)&gt;=$S19),$V19,$U19)))=Milestones!$AB$61),UPPER(TEXT(EDATE($D19,Milestones!$AA$61),"dd mmm yy"))&amp;" "&amp;Milestones!$AB$61&amp;" "&amp;Milestones!$AC$61&amp;";  ","")&amp;IF(AND(EDATE($D19,Milestones!$AA$62)&lt;=AsOfDate,IF($R19=0,$X19,IF(AND($T19&lt;&gt;"",EDATE($D19,Milestones!$AA$62)&gt;=$T19),$W19,IF(AND($S19&lt;&gt;"",EDATE($D19,Milestones!$AA$62)&gt;=$S19),$V19,$U19)))=Milestones!$AB$62),UPPER(TEXT(EDATE($D19,Milestones!$AA$62),"dd mmm yy"))&amp;" "&amp;Milestones!$AB$62&amp;" "&amp;Milestones!$AC$62&amp;";  ","")&amp;IF(AND(EDATE($D19,Milestones!$AA$63)&lt;=AsOfDate,IF($R19=0,$X19,IF(AND($T19&lt;&gt;"",EDATE($D19,Milestones!$AA$63)&gt;=$T19),$W19,IF(AND($S19&lt;&gt;"",EDATE($D19,Milestones!$AA$63)&gt;=$S19),$V19,$U19)))=Milestones!$AB$63),UPPER(TEXT(EDATE($D19,Milestones!$AA$63),"dd mmm yy"))&amp;" "&amp;Milestones!$AB$63&amp;" "&amp;Milestones!$AC$63&amp;";  ","")&amp;IF(AND(EDATE($D19,Milestones!$AA$64)&lt;=AsOfDate,IF($R19=0,$X19,IF(AND($T19&lt;&gt;"",EDATE($D19,Milestones!$AA$64)&gt;=$T19),$W19,IF(AND($S19&lt;&gt;"",EDATE($D19,Milestones!$AA$64)&gt;=$S19),$V19,$U19)))=Milestones!$AB$64),UPPER(TEXT(EDATE($D19,Milestones!$AA$64),"dd mmm yy"))&amp;" "&amp;Milestones!$AB$64&amp;" "&amp;Milestones!$AC$64&amp;";  ","")&amp;IF(AND(EDATE($D19,Milestones!$AA$65)&lt;=AsOfDate,IF($R19=0,$X19,IF(AND($T19&lt;&gt;"",EDATE($D19,Milestones!$AA$65)&gt;=$T19),$W19,IF(AND($S19&lt;&gt;"",EDATE($D19,Milestones!$AA$65)&gt;=$S19),$V19,$U19)))=Milestones!$AB$65),UPPER(TEXT(EDATE($D19,Milestones!$AA$65),"dd mmm yy"))&amp;" "&amp;Milestones!$AB$65&amp;" "&amp;Milestones!$AC$65&amp;";  ","")&amp;IF(AND(EDATE($D19,Milestones!$AA$66)&lt;=AsOfDate,IF($R19=0,$X19,IF(AND($T19&lt;&gt;"",EDATE($D19,Milestones!$AA$66)&gt;=$T19),$W19,IF(AND($S19&lt;&gt;"",EDATE($D19,Milestones!$AA$66)&gt;=$S19),$V19,$U19)))=Milestones!$AB$66),UPPER(TEXT(EDATE($D19,Milestones!$AA$66),"dd mmm yy"))&amp;" "&amp;Milestones!$AB$66&amp;" "&amp;Milestones!$AC$66&amp;";  ","")&amp;IF(AND(EDATE($D19,Milestones!$AA$67)&lt;=AsOfDate,IF($R19=0,$X19,IF(AND($T19&lt;&gt;"",EDATE($D19,Milestones!$AA$67)&gt;=$T19),$W19,IF(AND($S19&lt;&gt;"",EDATE($D19,Milestones!$AA$67)&gt;=$S19),$V19,$U19)))=Milestones!$AB$67),UPPER(TEXT(EDATE($D19,Milestones!$AA$67),"dd mmm yy"))&amp;" "&amp;Milestones!$AB$67&amp;" "&amp;Milestones!$AC$67&amp;";  ","")&amp;IF(AND(EDATE($D19,Milestones!$AA$68)&lt;=AsOfDate,IF($R19=0,$X19,IF(AND($T19&lt;&gt;"",EDATE($D19,Milestones!$AA$68)&gt;=$T19),$W19,IF(AND($S19&lt;&gt;"",EDATE($D19,Milestones!$AA$68)&gt;=$S19),$V19,$U19)))=Milestones!$AB$68),UPPER(TEXT(EDATE($D19,Milestones!$AA$68),"dd mmm yy"))&amp;" "&amp;Milestones!$AB$68&amp;" "&amp;Milestones!$AC$68&amp;";  ","")&amp;IF(AND(EDATE($D19,Milestones!$AA$69)&lt;=AsOfDate,IF($R19=0,$X19,IF(AND($T19&lt;&gt;"",EDATE($D19,Milestones!$AA$69)&gt;=$T19),$W19,IF(AND($S19&lt;&gt;"",EDATE($D19,Milestones!$AA$69)&gt;=$S19),$V19,$U19)))=Milestones!$AB$69),UPPER(TEXT(EDATE($D19,Milestones!$AA$69),"dd mmm yy"))&amp;" "&amp;Milestones!$AB$69&amp;" "&amp;Milestones!$AC$69&amp;";  ","")&amp;IF(AND(EDATE($D19,Milestones!$AA$70)&lt;=AsOfDate,IF($R19=0,$X19,IF(AND($T19&lt;&gt;"",EDATE($D19,Milestones!$AA$70)&gt;=$T19),$W19,IF(AND($S19&lt;&gt;"",EDATE($D19,Milestones!$AA$70)&gt;=$S19),$V19,$U19)))=Milestones!$AB$70),UPPER(TEXT(EDATE($D19,Milestones!$AA$70),"dd mmm yy"))&amp;" "&amp;Milestones!$AB$70&amp;" "&amp;Milestones!$AC$70&amp;";  ","")&amp;IF(AND(EDATE($D19,Milestones!$AA$71)&lt;=AsOfDate,IF($R19=0,$X19,IF(AND($T19&lt;&gt;"",EDATE($D19,Milestones!$AA$71)&gt;=$T19),$W19,IF(AND($S19&lt;&gt;"",EDATE($D19,Milestones!$AA$71)&gt;=$S19),$V19,$U19)))=Milestones!$AB$71),UPPER(TEXT(EDATE($D19,Milestones!$AA$71),"dd mmm yy"))&amp;" "&amp;Milestones!$AB$71&amp;" "&amp;Milestones!$AC$71&amp;";  ","")&amp;IF(AND(EDATE($D19,Milestones!$AA$72)&lt;=AsOfDate,IF($R19=0,$X19,IF(AND($T19&lt;&gt;"",EDATE($D19,Milestones!$AA$72)&gt;=$T19),$W19,IF(AND($S19&lt;&gt;"",EDATE($D19,Milestones!$AA$72)&gt;=$S19),$V19,$U19)))=Milestones!$AB$72),UPPER(TEXT(EDATE($D19,Milestones!$AA$72),"dd mmm yy"))&amp;" "&amp;Milestones!$AB$72&amp;" "&amp;Milestones!$AC$72&amp;";  ","")&amp;IF(AND(EDATE($D19,Milestones!$AA$73)&lt;=AsOfDate,IF($R19=0,$X19,IF(AND($T19&lt;&gt;"",EDATE($D19,Milestones!$AA$73)&gt;=$T19),$W19,IF(AND($S19&lt;&gt;"",EDATE($D19,Milestones!$AA$73)&gt;=$S19),$V19,$U19)))=Milestones!$AB$73),UPPER(TEXT(EDATE($D19,Milestones!$AA$73),"dd mmm yy"))&amp;" "&amp;Milestones!$AB$73&amp;" "&amp;Milestones!$AC$73&amp;";  ","")&amp;IF(AND(EDATE($D19,Milestones!$AA$74)&lt;=AsOfDate,IF($R19=0,$X19,IF(AND($T19&lt;&gt;"",EDATE($D19,Milestones!$AA$74)&gt;=$T19),$W19,IF(AND($S19&lt;&gt;"",EDATE($D19,Milestones!$AA$74)&gt;=$S19),$V19,$U19)))=Milestones!$AB$74),UPPER(TEXT(EDATE($D19,Milestones!$AA$74),"dd mmm yy"))&amp;" "&amp;Milestones!$AB$74&amp;" "&amp;Milestones!$AC$74&amp;";  ","")&amp;IF(AND(EDATE($D19,Milestones!$AA$75)&lt;=AsOfDate,IF($R19=0,$X19,IF(AND($T19&lt;&gt;"",EDATE($D19,Milestones!$AA$75)&gt;=$T19),$W19,IF(AND($S19&lt;&gt;"",EDATE($D19,Milestones!$AA$75)&gt;=$S19),$V19,$U19)))=Milestones!$AB$75),UPPER(TEXT(EDATE($D19,Milestones!$AA$75),"dd mmm yy"))&amp;" "&amp;Milestones!$AB$75&amp;" "&amp;Milestones!$AC$75&amp;";  ","")&amp;IF(AND(EDATE($D19,Milestones!$AA$76)&lt;=AsOfDate,IF($R19=0,$X19,IF(AND($T19&lt;&gt;"",EDATE($D19,Milestones!$AA$76)&gt;=$T19),$W19,IF(AND($S19&lt;&gt;"",EDATE($D19,Milestones!$AA$76)&gt;=$S19),$V19,$U19)))=Milestones!$AB$76),UPPER(TEXT(EDATE($D19,Milestones!$AA$76),"dd mmm yy"))&amp;" "&amp;Milestones!$AB$76&amp;" "&amp;Milestones!$AC$76&amp;";  ","")&amp;IF(AND(EDATE($D19,Milestones!$AA$77)&lt;=AsOfDate,IF($R19=0,$X19,IF(AND($T19&lt;&gt;"",EDATE($D19,Milestones!$AA$77)&gt;=$T19),$W19,IF(AND($S19&lt;&gt;"",EDATE($D19,Milestones!$AA$77)&gt;=$S19),$V19,$U19)))=Milestones!$AB$77),UPPER(TEXT(EDATE($D19,Milestones!$AA$77),"dd mmm yy"))&amp;" "&amp;Milestones!$AB$77&amp;" "&amp;Milestones!$AC$77&amp;";  ","")&amp;IF(AND(EDATE($D19,Milestones!$AA$78)&lt;=AsOfDate,IF($R19=0,$X19,IF(AND($T19&lt;&gt;"",EDATE($D19,Milestones!$AA$78)&gt;=$T19),$W19,IF(AND($S19&lt;&gt;"",EDATE($D19,Milestones!$AA$78)&gt;=$S19),$V19,$U19)))=Milestones!$AB$78),UPPER(TEXT(EDATE($D19,Milestones!$AA$78),"dd mmm yy"))&amp;" "&amp;Milestones!$AB$78&amp;" "&amp;Milestones!$AC$78&amp;";  ","")&amp;IF(AND(EDATE($D19,Milestones!$AA$79)&lt;=AsOfDate,IF($R19=0,$X19,IF(AND($T19&lt;&gt;"",EDATE($D19,Milestones!$AA$79)&gt;=$T19),$W19,IF(AND($S19&lt;&gt;"",EDATE($D19,Milestones!$AA$79)&gt;=$S19),$V19,$U19)))=Milestones!$AB$79),UPPER(TEXT(EDATE($D19,Milestones!$AA$79),"dd mmm yy"))&amp;" "&amp;Milestones!$AB$79&amp;" "&amp;Milestones!$AC$79&amp;";  ",""))</f>
        <v/>
      </c>
      <c r="L19" s="0" t="str">
        <f aca="false">IF(OR($A19="",$D19=""),"",IF(AND(EDATE($D19,Milestones!$AA$80)&lt;=AsOfDate,IF($R19=0,$X19,IF(AND($T19&lt;&gt;"",EDATE($D19,Milestones!$AA$80)&gt;=$T19),$W19,IF(AND($S19&lt;&gt;"",EDATE($D19,Milestones!$AA$80)&gt;=$S19),$V19,$U19)))=Milestones!$AB$80),UPPER(TEXT(EDATE($D19,Milestones!$AA$80),"dd mmm yy"))&amp;" "&amp;Milestones!$AB$80&amp;" "&amp;Milestones!$AC$80&amp;";  ","")&amp;IF(AND(EDATE($D19,Milestones!$AA$81)&lt;=AsOfDate,IF($R19=0,$X19,IF(AND($T19&lt;&gt;"",EDATE($D19,Milestones!$AA$81)&gt;=$T19),$W19,IF(AND($S19&lt;&gt;"",EDATE($D19,Milestones!$AA$81)&gt;=$S19),$V19,$U19)))=Milestones!$AB$81),UPPER(TEXT(EDATE($D19,Milestones!$AA$81),"dd mmm yy"))&amp;" "&amp;Milestones!$AB$81&amp;" "&amp;Milestones!$AC$81&amp;";  ","")&amp;IF(AND(EDATE($D19,Milestones!$AA$82)&lt;=AsOfDate,IF($R19=0,$X19,IF(AND($T19&lt;&gt;"",EDATE($D19,Milestones!$AA$82)&gt;=$T19),$W19,IF(AND($S19&lt;&gt;"",EDATE($D19,Milestones!$AA$82)&gt;=$S19),$V19,$U19)))=Milestones!$AB$82),UPPER(TEXT(EDATE($D19,Milestones!$AA$82),"dd mmm yy"))&amp;" "&amp;Milestones!$AB$82&amp;" "&amp;Milestones!$AC$82&amp;";  ","")&amp;IF(AND(EDATE($D19,Milestones!$AA$83)&lt;=AsOfDate,IF($R19=0,$X19,IF(AND($T19&lt;&gt;"",EDATE($D19,Milestones!$AA$83)&gt;=$T19),$W19,IF(AND($S19&lt;&gt;"",EDATE($D19,Milestones!$AA$83)&gt;=$S19),$V19,$U19)))=Milestones!$AB$83),UPPER(TEXT(EDATE($D19,Milestones!$AA$83),"dd mmm yy"))&amp;" "&amp;Milestones!$AB$83&amp;" "&amp;Milestones!$AC$83&amp;";  ","")&amp;IF(AND(EDATE($D19,Milestones!$AA$84)&lt;=AsOfDate,IF($R19=0,$X19,IF(AND($T19&lt;&gt;"",EDATE($D19,Milestones!$AA$84)&gt;=$T19),$W19,IF(AND($S19&lt;&gt;"",EDATE($D19,Milestones!$AA$84)&gt;=$S19),$V19,$U19)))=Milestones!$AB$84),UPPER(TEXT(EDATE($D19,Milestones!$AA$84),"dd mmm yy"))&amp;" "&amp;Milestones!$AB$84&amp;" "&amp;Milestones!$AC$84&amp;";  ","")&amp;IF(AND(EDATE($D19,Milestones!$AA$85)&lt;=AsOfDate,IF($R19=0,$X19,IF(AND($T19&lt;&gt;"",EDATE($D19,Milestones!$AA$85)&gt;=$T19),$W19,IF(AND($S19&lt;&gt;"",EDATE($D19,Milestones!$AA$85)&gt;=$S19),$V19,$U19)))=Milestones!$AB$85),UPPER(TEXT(EDATE($D19,Milestones!$AA$85),"dd mmm yy"))&amp;" "&amp;Milestones!$AB$85&amp;" "&amp;Milestones!$AC$85&amp;";  ","")&amp;IF(AND(EDATE($D19,Milestones!$AA$86)&lt;=AsOfDate,IF($R19=0,$X19,IF(AND($T19&lt;&gt;"",EDATE($D19,Milestones!$AA$86)&gt;=$T19),$W19,IF(AND($S19&lt;&gt;"",EDATE($D19,Milestones!$AA$86)&gt;=$S19),$V19,$U19)))=Milestones!$AB$86),UPPER(TEXT(EDATE($D19,Milestones!$AA$86),"dd mmm yy"))&amp;" "&amp;Milestones!$AB$86&amp;" "&amp;Milestones!$AC$86&amp;";  ","")&amp;IF(AND(EDATE($D19,Milestones!$AA$87)&lt;=AsOfDate,IF($R19=0,$X19,IF(AND($T19&lt;&gt;"",EDATE($D19,Milestones!$AA$87)&gt;=$T19),$W19,IF(AND($S19&lt;&gt;"",EDATE($D19,Milestones!$AA$87)&gt;=$S19),$V19,$U19)))=Milestones!$AB$87),UPPER(TEXT(EDATE($D19,Milestones!$AA$87),"dd mmm yy"))&amp;" "&amp;Milestones!$AB$87&amp;" "&amp;Milestones!$AC$87&amp;";  ","")&amp;IF(AND(EDATE($D19,Milestones!$AA$88)&lt;=AsOfDate,IF($R19=0,$X19,IF(AND($T19&lt;&gt;"",EDATE($D19,Milestones!$AA$88)&gt;=$T19),$W19,IF(AND($S19&lt;&gt;"",EDATE($D19,Milestones!$AA$88)&gt;=$S19),$V19,$U19)))=Milestones!$AB$88),UPPER(TEXT(EDATE($D19,Milestones!$AA$88),"dd mmm yy"))&amp;" "&amp;Milestones!$AB$88&amp;" "&amp;Milestones!$AC$88&amp;";  ","")&amp;IF(AND(EDATE($D19,Milestones!$AA$89)&lt;=AsOfDate,IF($R19=0,$X19,IF(AND($T19&lt;&gt;"",EDATE($D19,Milestones!$AA$89)&gt;=$T19),$W19,IF(AND($S19&lt;&gt;"",EDATE($D19,Milestones!$AA$89)&gt;=$S19),$V19,$U19)))=Milestones!$AB$89),UPPER(TEXT(EDATE($D19,Milestones!$AA$89),"dd mmm yy"))&amp;" "&amp;Milestones!$AB$89&amp;" "&amp;Milestones!$AC$89&amp;";  ","")&amp;IF(AND(EDATE($D19,Milestones!$AA$90)&lt;=AsOfDate,IF($R19=0,$X19,IF(AND($T19&lt;&gt;"",EDATE($D19,Milestones!$AA$90)&gt;=$T19),$W19,IF(AND($S19&lt;&gt;"",EDATE($D19,Milestones!$AA$90)&gt;=$S19),$V19,$U19)))=Milestones!$AB$90),UPPER(TEXT(EDATE($D19,Milestones!$AA$90),"dd mmm yy"))&amp;" "&amp;Milestones!$AB$90&amp;" "&amp;Milestones!$AC$90&amp;";  ","")&amp;IF(AND(EDATE($D19,Milestones!$AA$91)&lt;=AsOfDate,IF($R19=0,$X19,IF(AND($T19&lt;&gt;"",EDATE($D19,Milestones!$AA$91)&gt;=$T19),$W19,IF(AND($S19&lt;&gt;"",EDATE($D19,Milestones!$AA$91)&gt;=$S19),$V19,$U19)))=Milestones!$AB$91),UPPER(TEXT(EDATE($D19,Milestones!$AA$91),"dd mmm yy"))&amp;" "&amp;Milestones!$AB$91&amp;" "&amp;Milestones!$AC$91&amp;";  ","")&amp;IF(AND(EDATE($D19,Milestones!$AA$92)&lt;=AsOfDate,IF($R19=0,$X19,IF(AND($T19&lt;&gt;"",EDATE($D19,Milestones!$AA$92)&gt;=$T19),$W19,IF(AND($S19&lt;&gt;"",EDATE($D19,Milestones!$AA$92)&gt;=$S19),$V19,$U19)))=Milestones!$AB$92),UPPER(TEXT(EDATE($D19,Milestones!$AA$92),"dd mmm yy"))&amp;" "&amp;Milestones!$AB$92&amp;" "&amp;Milestones!$AC$92&amp;";  ","")&amp;IF(AND(EDATE($D19,Milestones!$AA$93)&lt;=AsOfDate,IF($R19=0,$X19,IF(AND($T19&lt;&gt;"",EDATE($D19,Milestones!$AA$93)&gt;=$T19),$W19,IF(AND($S19&lt;&gt;"",EDATE($D19,Milestones!$AA$93)&gt;=$S19),$V19,$U19)))=Milestones!$AB$93),UPPER(TEXT(EDATE($D19,Milestones!$AA$93),"dd mmm yy"))&amp;" "&amp;Milestones!$AB$93&amp;" "&amp;Milestones!$AC$93&amp;";  ","")&amp;IF(AND(EDATE($D19,Milestones!$AA$94)&lt;=AsOfDate,IF($R19=0,$X19,IF(AND($T19&lt;&gt;"",EDATE($D19,Milestones!$AA$94)&gt;=$T19),$W19,IF(AND($S19&lt;&gt;"",EDATE($D19,Milestones!$AA$94)&gt;=$S19),$V19,$U19)))=Milestones!$AB$94),UPPER(TEXT(EDATE($D19,Milestones!$AA$94),"dd mmm yy"))&amp;" "&amp;Milestones!$AB$94&amp;" "&amp;Milestones!$AC$94&amp;";  ","")&amp;IF(AND(EDATE($D19,Milestones!$AA$95)&lt;=AsOfDate,IF($R19=0,$X19,IF(AND($T19&lt;&gt;"",EDATE($D19,Milestones!$AA$95)&gt;=$T19),$W19,IF(AND($S19&lt;&gt;"",EDATE($D19,Milestones!$AA$95)&gt;=$S19),$V19,$U19)))=Milestones!$AB$95),UPPER(TEXT(EDATE($D19,Milestones!$AA$95),"dd mmm yy"))&amp;" "&amp;Milestones!$AB$95&amp;" "&amp;Milestones!$AC$95&amp;";  ","")&amp;IF(AND(EDATE($D19,Milestones!$AA$96)&lt;=AsOfDate,IF($R19=0,$X19,IF(AND($T19&lt;&gt;"",EDATE($D19,Milestones!$AA$96)&gt;=$T19),$W19,IF(AND($S19&lt;&gt;"",EDATE($D19,Milestones!$AA$96)&gt;=$S19),$V19,$U19)))=Milestones!$AB$96),UPPER(TEXT(EDATE($D19,Milestones!$AA$96),"dd mmm yy"))&amp;" "&amp;Milestones!$AB$96&amp;" "&amp;Milestones!$AC$96&amp;";  ","")&amp;IF(AND(EDATE($D19,Milestones!$AA$97)&lt;=AsOfDate,IF($R19=0,$X19,IF(AND($T19&lt;&gt;"",EDATE($D19,Milestones!$AA$97)&gt;=$T19),$W19,IF(AND($S19&lt;&gt;"",EDATE($D19,Milestones!$AA$97)&gt;=$S19),$V19,$U19)))=Milestones!$AB$97),UPPER(TEXT(EDATE($D19,Milestones!$AA$97),"dd mmm yy"))&amp;" "&amp;Milestones!$AB$97&amp;" "&amp;Milestones!$AC$97&amp;";  ","")&amp;IF(AND(EDATE($D19,Milestones!$AA$98)&lt;=AsOfDate,IF($R19=0,$X19,IF(AND($T19&lt;&gt;"",EDATE($D19,Milestones!$AA$98)&gt;=$T19),$W19,IF(AND($S19&lt;&gt;"",EDATE($D19,Milestones!$AA$98)&gt;=$S19),$V19,$U19)))=Milestones!$AB$98),UPPER(TEXT(EDATE($D19,Milestones!$AA$98),"dd mmm yy"))&amp;" "&amp;Milestones!$AB$98&amp;" "&amp;Milestones!$AC$98&amp;";  ","")&amp;IF(AND(EDATE($D19,Milestones!$AA$99)&lt;=AsOfDate,IF($R19=0,$X19,IF(AND($T19&lt;&gt;"",EDATE($D19,Milestones!$AA$99)&gt;=$T19),$W19,IF(AND($S19&lt;&gt;"",EDATE($D19,Milestones!$AA$99)&gt;=$S19),$V19,$U19)))=Milestones!$AB$99),UPPER(TEXT(EDATE($D19,Milestones!$AA$99),"dd mmm yy"))&amp;" "&amp;Milestones!$AB$99&amp;" "&amp;Milestones!$AC$99&amp;";  ",""))</f>
        <v/>
      </c>
      <c r="M19" s="0" t="str">
        <f aca="false">IF(OR($A19="",$D19=""),"",IF(AND(EDATE($D19,Milestones!$AA$100)&lt;=AsOfDate,IF($R19=0,$X19,IF(AND($T19&lt;&gt;"",EDATE($D19,Milestones!$AA$100)&gt;=$T19),$W19,IF(AND($S19&lt;&gt;"",EDATE($D19,Milestones!$AA$100)&gt;=$S19),$V19,$U19)))=Milestones!$AB$100),UPPER(TEXT(EDATE($D19,Milestones!$AA$100),"dd mmm yy"))&amp;" "&amp;Milestones!$AB$100&amp;" "&amp;Milestones!$AC$100&amp;";  ","")&amp;IF(AND(EDATE($D19,Milestones!$AA$101)&lt;=AsOfDate,IF($R19=0,$X19,IF(AND($T19&lt;&gt;"",EDATE($D19,Milestones!$AA$101)&gt;=$T19),$W19,IF(AND($S19&lt;&gt;"",EDATE($D19,Milestones!$AA$101)&gt;=$S19),$V19,$U19)))=Milestones!$AB$101),UPPER(TEXT(EDATE($D19,Milestones!$AA$101),"dd mmm yy"))&amp;" "&amp;Milestones!$AB$101&amp;" "&amp;Milestones!$AC$101&amp;";  ","")&amp;IF(AND(EDATE($D19,Milestones!$AA$102)&lt;=AsOfDate,IF($R19=0,$X19,IF(AND($T19&lt;&gt;"",EDATE($D19,Milestones!$AA$102)&gt;=$T19),$W19,IF(AND($S19&lt;&gt;"",EDATE($D19,Milestones!$AA$102)&gt;=$S19),$V19,$U19)))=Milestones!$AB$102),UPPER(TEXT(EDATE($D19,Milestones!$AA$102),"dd mmm yy"))&amp;" "&amp;Milestones!$AB$102&amp;" "&amp;Milestones!$AC$102&amp;";  ","")&amp;IF(AND(EDATE($D19,Milestones!$AA$103)&lt;=AsOfDate,IF($R19=0,$X19,IF(AND($T19&lt;&gt;"",EDATE($D19,Milestones!$AA$103)&gt;=$T19),$W19,IF(AND($S19&lt;&gt;"",EDATE($D19,Milestones!$AA$103)&gt;=$S19),$V19,$U19)))=Milestones!$AB$103),UPPER(TEXT(EDATE($D19,Milestones!$AA$103),"dd mmm yy"))&amp;" "&amp;Milestones!$AB$103&amp;" "&amp;Milestones!$AC$103&amp;";  ","")&amp;IF(AND(EDATE($D19,Milestones!$AA$104)&lt;=AsOfDate,IF($R19=0,$X19,IF(AND($T19&lt;&gt;"",EDATE($D19,Milestones!$AA$104)&gt;=$T19),$W19,IF(AND($S19&lt;&gt;"",EDATE($D19,Milestones!$AA$104)&gt;=$S19),$V19,$U19)))=Milestones!$AB$104),UPPER(TEXT(EDATE($D19,Milestones!$AA$104),"dd mmm yy"))&amp;" "&amp;Milestones!$AB$104&amp;" "&amp;Milestones!$AC$104&amp;";  ","")&amp;IF(AND(EDATE($D19,Milestones!$AA$105)&lt;=AsOfDate,IF($R19=0,$X19,IF(AND($T19&lt;&gt;"",EDATE($D19,Milestones!$AA$105)&gt;=$T19),$W19,IF(AND($S19&lt;&gt;"",EDATE($D19,Milestones!$AA$105)&gt;=$S19),$V19,$U19)))=Milestones!$AB$105),UPPER(TEXT(EDATE($D19,Milestones!$AA$105),"dd mmm yy"))&amp;" "&amp;Milestones!$AB$105&amp;" "&amp;Milestones!$AC$105&amp;";  ","")&amp;IF(AND(EDATE($D19,Milestones!$AA$106)&lt;=AsOfDate,IF($R19=0,$X19,IF(AND($T19&lt;&gt;"",EDATE($D19,Milestones!$AA$106)&gt;=$T19),$W19,IF(AND($S19&lt;&gt;"",EDATE($D19,Milestones!$AA$106)&gt;=$S19),$V19,$U19)))=Milestones!$AB$106),UPPER(TEXT(EDATE($D19,Milestones!$AA$106),"dd mmm yy"))&amp;" "&amp;Milestones!$AB$106&amp;" "&amp;Milestones!$AC$106&amp;";  ","")&amp;IF(AND(EDATE($D19,Milestones!$AA$107)&lt;=AsOfDate,IF($R19=0,$X19,IF(AND($T19&lt;&gt;"",EDATE($D19,Milestones!$AA$107)&gt;=$T19),$W19,IF(AND($S19&lt;&gt;"",EDATE($D19,Milestones!$AA$107)&gt;=$S19),$V19,$U19)))=Milestones!$AB$107),UPPER(TEXT(EDATE($D19,Milestones!$AA$107),"dd mmm yy"))&amp;" "&amp;Milestones!$AB$107&amp;" "&amp;Milestones!$AC$107&amp;";  ","")&amp;IF(AND(EDATE($D19,Milestones!$AA$108)&lt;=AsOfDate,IF($R19=0,$X19,IF(AND($T19&lt;&gt;"",EDATE($D19,Milestones!$AA$108)&gt;=$T19),$W19,IF(AND($S19&lt;&gt;"",EDATE($D19,Milestones!$AA$108)&gt;=$S19),$V19,$U19)))=Milestones!$AB$108),UPPER(TEXT(EDATE($D19,Milestones!$AA$108),"dd mmm yy"))&amp;" "&amp;Milestones!$AB$108&amp;" "&amp;Milestones!$AC$108&amp;";  ","")&amp;IF(AND(EDATE($D19,Milestones!$AA$109)&lt;=AsOfDate,IF($R19=0,$X19,IF(AND($T19&lt;&gt;"",EDATE($D19,Milestones!$AA$109)&gt;=$T19),$W19,IF(AND($S19&lt;&gt;"",EDATE($D19,Milestones!$AA$109)&gt;=$S19),$V19,$U19)))=Milestones!$AB$109),UPPER(TEXT(EDATE($D19,Milestones!$AA$109),"dd mmm yy"))&amp;" "&amp;Milestones!$AB$109&amp;" "&amp;Milestones!$AC$109&amp;";  ","")&amp;IF(AND(EDATE($D19,Milestones!$AA$110)&lt;=AsOfDate,IF($R19=0,$X19,IF(AND($T19&lt;&gt;"",EDATE($D19,Milestones!$AA$110)&gt;=$T19),$W19,IF(AND($S19&lt;&gt;"",EDATE($D19,Milestones!$AA$110)&gt;=$S19),$V19,$U19)))=Milestones!$AB$110),UPPER(TEXT(EDATE($D19,Milestones!$AA$110),"dd mmm yy"))&amp;" "&amp;Milestones!$AB$110&amp;" "&amp;Milestones!$AC$110&amp;";  ","")&amp;IF(AND(EDATE($D19,Milestones!$AA$111)&lt;=AsOfDate,IF($R19=0,$X19,IF(AND($T19&lt;&gt;"",EDATE($D19,Milestones!$AA$111)&gt;=$T19),$W19,IF(AND($S19&lt;&gt;"",EDATE($D19,Milestones!$AA$111)&gt;=$S19),$V19,$U19)))=Milestones!$AB$111),UPPER(TEXT(EDATE($D19,Milestones!$AA$111),"dd mmm yy"))&amp;" "&amp;Milestones!$AB$111&amp;" "&amp;Milestones!$AC$111&amp;";  ","")&amp;IF(AND(EDATE($D19,Milestones!$AA$112)&lt;=AsOfDate,IF($R19=0,$X19,IF(AND($T19&lt;&gt;"",EDATE($D19,Milestones!$AA$112)&gt;=$T19),$W19,IF(AND($S19&lt;&gt;"",EDATE($D19,Milestones!$AA$112)&gt;=$S19),$V19,$U19)))=Milestones!$AB$112),UPPER(TEXT(EDATE($D19,Milestones!$AA$112),"dd mmm yy"))&amp;" "&amp;Milestones!$AB$112&amp;" "&amp;Milestones!$AC$112&amp;";  ","")&amp;IF(AND(EDATE($D19,Milestones!$AA$113)&lt;=AsOfDate,IF($R19=0,$X19,IF(AND($T19&lt;&gt;"",EDATE($D19,Milestones!$AA$113)&gt;=$T19),$W19,IF(AND($S19&lt;&gt;"",EDATE($D19,Milestones!$AA$113)&gt;=$S19),$V19,$U19)))=Milestones!$AB$113),UPPER(TEXT(EDATE($D19,Milestones!$AA$113),"dd mmm yy"))&amp;" "&amp;Milestones!$AB$113&amp;" "&amp;Milestones!$AC$113&amp;";  ","")&amp;IF(AND(EDATE($D19,Milestones!$AA$114)&lt;=AsOfDate,IF($R19=0,$X19,IF(AND($T19&lt;&gt;"",EDATE($D19,Milestones!$AA$114)&gt;=$T19),$W19,IF(AND($S19&lt;&gt;"",EDATE($D19,Milestones!$AA$114)&gt;=$S19),$V19,$U19)))=Milestones!$AB$114),UPPER(TEXT(EDATE($D19,Milestones!$AA$114),"dd mmm yy"))&amp;" "&amp;Milestones!$AB$114&amp;" "&amp;Milestones!$AC$114&amp;";  ","")&amp;IF(AND(EDATE($D19,Milestones!$AA$115)&lt;=AsOfDate,IF($R19=0,$X19,IF(AND($T19&lt;&gt;"",EDATE($D19,Milestones!$AA$115)&gt;=$T19),$W19,IF(AND($S19&lt;&gt;"",EDATE($D19,Milestones!$AA$115)&gt;=$S19),$V19,$U19)))=Milestones!$AB$115),UPPER(TEXT(EDATE($D19,Milestones!$AA$115),"dd mmm yy"))&amp;" "&amp;Milestones!$AB$115&amp;" "&amp;Milestones!$AC$115&amp;";  ","")&amp;IF(AND(EDATE($D19,Milestones!$AA$116)&lt;=AsOfDate,IF($R19=0,$X19,IF(AND($T19&lt;&gt;"",EDATE($D19,Milestones!$AA$116)&gt;=$T19),$W19,IF(AND($S19&lt;&gt;"",EDATE($D19,Milestones!$AA$116)&gt;=$S19),$V19,$U19)))=Milestones!$AB$116),UPPER(TEXT(EDATE($D19,Milestones!$AA$116),"dd mmm yy"))&amp;" "&amp;Milestones!$AB$116&amp;" "&amp;Milestones!$AC$116&amp;";  ","")&amp;IF(AND(EDATE($D19,Milestones!$AA$117)&lt;=AsOfDate,IF($R19=0,$X19,IF(AND($T19&lt;&gt;"",EDATE($D19,Milestones!$AA$117)&gt;=$T19),$W19,IF(AND($S19&lt;&gt;"",EDATE($D19,Milestones!$AA$117)&gt;=$S19),$V19,$U19)))=Milestones!$AB$117),UPPER(TEXT(EDATE($D19,Milestones!$AA$117),"dd mmm yy"))&amp;" "&amp;Milestones!$AB$117&amp;" "&amp;Milestones!$AC$117&amp;";  ","")&amp;IF(AND(EDATE($D19,Milestones!$AA$118)&lt;=AsOfDate,IF($R19=0,$X19,IF(AND($T19&lt;&gt;"",EDATE($D19,Milestones!$AA$118)&gt;=$T19),$W19,IF(AND($S19&lt;&gt;"",EDATE($D19,Milestones!$AA$118)&gt;=$S19),$V19,$U19)))=Milestones!$AB$118),UPPER(TEXT(EDATE($D19,Milestones!$AA$118),"dd mmm yy"))&amp;" "&amp;Milestones!$AB$118&amp;" "&amp;Milestones!$AC$118&amp;";  ","")&amp;IF(AND(EDATE($D19,Milestones!$AA$119)&lt;=AsOfDate,IF($R19=0,$X19,IF(AND($T19&lt;&gt;"",EDATE($D19,Milestones!$AA$119)&gt;=$T19),$W19,IF(AND($S19&lt;&gt;"",EDATE($D19,Milestones!$AA$119)&gt;=$S19),$V19,$U19)))=Milestones!$AB$119),UPPER(TEXT(EDATE($D19,Milestones!$AA$119),"dd mmm yy"))&amp;" "&amp;Milestones!$AB$119&amp;" "&amp;Milestones!$AC$119&amp;";  ",""))</f>
        <v/>
      </c>
      <c r="N19" s="0" t="str">
        <f aca="false">IF(OR($A19="",$D19=""),"",IF(AND(EDATE($D19,Milestones!$AA$120)&lt;=AsOfDate,IF($R19=0,$X19,IF(AND($T19&lt;&gt;"",EDATE($D19,Milestones!$AA$120)&gt;=$T19),$W19,IF(AND($S19&lt;&gt;"",EDATE($D19,Milestones!$AA$120)&gt;=$S19),$V19,$U19)))=Milestones!$AB$120),UPPER(TEXT(EDATE($D19,Milestones!$AA$120),"dd mmm yy"))&amp;" "&amp;Milestones!$AB$120&amp;" "&amp;Milestones!$AC$120&amp;";  ","")&amp;IF(AND(EDATE($D19,Milestones!$AA$121)&lt;=AsOfDate,IF($R19=0,$X19,IF(AND($T19&lt;&gt;"",EDATE($D19,Milestones!$AA$121)&gt;=$T19),$W19,IF(AND($S19&lt;&gt;"",EDATE($D19,Milestones!$AA$121)&gt;=$S19),$V19,$U19)))=Milestones!$AB$121),UPPER(TEXT(EDATE($D19,Milestones!$AA$121),"dd mmm yy"))&amp;" "&amp;Milestones!$AB$121&amp;" "&amp;Milestones!$AC$121&amp;";  ","")&amp;IF(AND(EDATE($D19,Milestones!$AA$122)&lt;=AsOfDate,IF($R19=0,$X19,IF(AND($T19&lt;&gt;"",EDATE($D19,Milestones!$AA$122)&gt;=$T19),$W19,IF(AND($S19&lt;&gt;"",EDATE($D19,Milestones!$AA$122)&gt;=$S19),$V19,$U19)))=Milestones!$AB$122),UPPER(TEXT(EDATE($D19,Milestones!$AA$122),"dd mmm yy"))&amp;" "&amp;Milestones!$AB$122&amp;" "&amp;Milestones!$AC$122&amp;";  ","")&amp;IF(AND(EDATE($D19,Milestones!$AA$123)&lt;=AsOfDate,IF($R19=0,$X19,IF(AND($T19&lt;&gt;"",EDATE($D19,Milestones!$AA$123)&gt;=$T19),$W19,IF(AND($S19&lt;&gt;"",EDATE($D19,Milestones!$AA$123)&gt;=$S19),$V19,$U19)))=Milestones!$AB$123),UPPER(TEXT(EDATE($D19,Milestones!$AA$123),"dd mmm yy"))&amp;" "&amp;Milestones!$AB$123&amp;" "&amp;Milestones!$AC$123&amp;";  ","")&amp;IF(AND(EDATE($D19,Milestones!$AA$124)&lt;=AsOfDate,IF($R19=0,$X19,IF(AND($T19&lt;&gt;"",EDATE($D19,Milestones!$AA$124)&gt;=$T19),$W19,IF(AND($S19&lt;&gt;"",EDATE($D19,Milestones!$AA$124)&gt;=$S19),$V19,$U19)))=Milestones!$AB$124),UPPER(TEXT(EDATE($D19,Milestones!$AA$124),"dd mmm yy"))&amp;" "&amp;Milestones!$AB$124&amp;" "&amp;Milestones!$AC$124&amp;";  ","")&amp;IF(AND(EDATE($D19,Milestones!$AA$125)&lt;=AsOfDate,IF($R19=0,$X19,IF(AND($T19&lt;&gt;"",EDATE($D19,Milestones!$AA$125)&gt;=$T19),$W19,IF(AND($S19&lt;&gt;"",EDATE($D19,Milestones!$AA$125)&gt;=$S19),$V19,$U19)))=Milestones!$AB$125),UPPER(TEXT(EDATE($D19,Milestones!$AA$125),"dd mmm yy"))&amp;" "&amp;Milestones!$AB$125&amp;" "&amp;Milestones!$AC$125&amp;";  ","")&amp;IF(AND(EDATE($D19,Milestones!$AA$126)&lt;=AsOfDate,IF($R19=0,$X19,IF(AND($T19&lt;&gt;"",EDATE($D19,Milestones!$AA$126)&gt;=$T19),$W19,IF(AND($S19&lt;&gt;"",EDATE($D19,Milestones!$AA$126)&gt;=$S19),$V19,$U19)))=Milestones!$AB$126),UPPER(TEXT(EDATE($D19,Milestones!$AA$126),"dd mmm yy"))&amp;" "&amp;Milestones!$AB$126&amp;" "&amp;Milestones!$AC$126&amp;";  ","")&amp;IF(AND(EDATE($D19,Milestones!$AA$127)&lt;=AsOfDate,IF($R19=0,$X19,IF(AND($T19&lt;&gt;"",EDATE($D19,Milestones!$AA$127)&gt;=$T19),$W19,IF(AND($S19&lt;&gt;"",EDATE($D19,Milestones!$AA$127)&gt;=$S19),$V19,$U19)))=Milestones!$AB$127),UPPER(TEXT(EDATE($D19,Milestones!$AA$127),"dd mmm yy"))&amp;" "&amp;Milestones!$AB$127&amp;" "&amp;Milestones!$AC$127&amp;";  ","")&amp;IF(AND(EDATE($D19,Milestones!$AA$128)&lt;=AsOfDate,IF($R19=0,$X19,IF(AND($T19&lt;&gt;"",EDATE($D19,Milestones!$AA$128)&gt;=$T19),$W19,IF(AND($S19&lt;&gt;"",EDATE($D19,Milestones!$AA$128)&gt;=$S19),$V19,$U19)))=Milestones!$AB$128),UPPER(TEXT(EDATE($D19,Milestones!$AA$128),"dd mmm yy"))&amp;" "&amp;Milestones!$AB$128&amp;" "&amp;Milestones!$AC$128&amp;";  ","")&amp;IF(AND(EDATE($D19,Milestones!$AA$129)&lt;=AsOfDate,IF($R19=0,$X19,IF(AND($T19&lt;&gt;"",EDATE($D19,Milestones!$AA$129)&gt;=$T19),$W19,IF(AND($S19&lt;&gt;"",EDATE($D19,Milestones!$AA$129)&gt;=$S19),$V19,$U19)))=Milestones!$AB$129),UPPER(TEXT(EDATE($D19,Milestones!$AA$129),"dd mmm yy"))&amp;" "&amp;Milestones!$AB$129&amp;" "&amp;Milestones!$AC$129&amp;";  ","")&amp;IF(AND(EDATE($D19,Milestones!$AA$130)&lt;=AsOfDate,IF($R19=0,$X19,IF(AND($T19&lt;&gt;"",EDATE($D19,Milestones!$AA$130)&gt;=$T19),$W19,IF(AND($S19&lt;&gt;"",EDATE($D19,Milestones!$AA$130)&gt;=$S19),$V19,$U19)))=Milestones!$AB$130),UPPER(TEXT(EDATE($D19,Milestones!$AA$130),"dd mmm yy"))&amp;" "&amp;Milestones!$AB$130&amp;" "&amp;Milestones!$AC$130&amp;";  ","")&amp;IF(AND(EDATE($D19,Milestones!$AA$131)&lt;=AsOfDate,IF($R19=0,$X19,IF(AND($T19&lt;&gt;"",EDATE($D19,Milestones!$AA$131)&gt;=$T19),$W19,IF(AND($S19&lt;&gt;"",EDATE($D19,Milestones!$AA$131)&gt;=$S19),$V19,$U19)))=Milestones!$AB$131),UPPER(TEXT(EDATE($D19,Milestones!$AA$131),"dd mmm yy"))&amp;" "&amp;Milestones!$AB$131&amp;" "&amp;Milestones!$AC$131&amp;";  ","")&amp;IF(AND(EDATE($D19,Milestones!$AA$132)&lt;=AsOfDate,IF($R19=0,$X19,IF(AND($T19&lt;&gt;"",EDATE($D19,Milestones!$AA$132)&gt;=$T19),$W19,IF(AND($S19&lt;&gt;"",EDATE($D19,Milestones!$AA$132)&gt;=$S19),$V19,$U19)))=Milestones!$AB$132),UPPER(TEXT(EDATE($D19,Milestones!$AA$132),"dd mmm yy"))&amp;" "&amp;Milestones!$AB$132&amp;" "&amp;Milestones!$AC$132&amp;";  ","")&amp;IF(AND(EDATE($D19,Milestones!$AA$133)&lt;=AsOfDate,IF($R19=0,$X19,IF(AND($T19&lt;&gt;"",EDATE($D19,Milestones!$AA$133)&gt;=$T19),$W19,IF(AND($S19&lt;&gt;"",EDATE($D19,Milestones!$AA$133)&gt;=$S19),$V19,$U19)))=Milestones!$AB$133),UPPER(TEXT(EDATE($D19,Milestones!$AA$133),"dd mmm yy"))&amp;" "&amp;Milestones!$AB$133&amp;" "&amp;Milestones!$AC$133&amp;";  ","")&amp;IF(AND(EDATE($D19,Milestones!$AA$134)&lt;=AsOfDate,IF($R19=0,$X19,IF(AND($T19&lt;&gt;"",EDATE($D19,Milestones!$AA$134)&gt;=$T19),$W19,IF(AND($S19&lt;&gt;"",EDATE($D19,Milestones!$AA$134)&gt;=$S19),$V19,$U19)))=Milestones!$AB$134),UPPER(TEXT(EDATE($D19,Milestones!$AA$134),"dd mmm yy"))&amp;" "&amp;Milestones!$AB$134&amp;" "&amp;Milestones!$AC$134&amp;";  ","")&amp;IF(AND(EDATE($D19,Milestones!$AA$135)&lt;=AsOfDate,IF($R19=0,$X19,IF(AND($T19&lt;&gt;"",EDATE($D19,Milestones!$AA$135)&gt;=$T19),$W19,IF(AND($S19&lt;&gt;"",EDATE($D19,Milestones!$AA$135)&gt;=$S19),$V19,$U19)))=Milestones!$AB$135),UPPER(TEXT(EDATE($D19,Milestones!$AA$135),"dd mmm yy"))&amp;" "&amp;Milestones!$AB$135&amp;" "&amp;Milestones!$AC$135&amp;";  ","")&amp;IF(AND(EDATE($D19,Milestones!$AA$136)&lt;=AsOfDate,IF($R19=0,$X19,IF(AND($T19&lt;&gt;"",EDATE($D19,Milestones!$AA$136)&gt;=$T19),$W19,IF(AND($S19&lt;&gt;"",EDATE($D19,Milestones!$AA$136)&gt;=$S19),$V19,$U19)))=Milestones!$AB$136),UPPER(TEXT(EDATE($D19,Milestones!$AA$136),"dd mmm yy"))&amp;" "&amp;Milestones!$AB$136&amp;" "&amp;Milestones!$AC$136&amp;";  ","")&amp;IF(AND(EDATE($D19,Milestones!$AA$137)&lt;=AsOfDate,IF($R19=0,$X19,IF(AND($T19&lt;&gt;"",EDATE($D19,Milestones!$AA$137)&gt;=$T19),$W19,IF(AND($S19&lt;&gt;"",EDATE($D19,Milestones!$AA$137)&gt;=$S19),$V19,$U19)))=Milestones!$AB$137),UPPER(TEXT(EDATE($D19,Milestones!$AA$137),"dd mmm yy"))&amp;" "&amp;Milestones!$AB$137&amp;" "&amp;Milestones!$AC$137&amp;";  ","")&amp;IF(AND(EDATE($D19,Milestones!$AA$138)&lt;=AsOfDate,IF($R19=0,$X19,IF(AND($T19&lt;&gt;"",EDATE($D19,Milestones!$AA$138)&gt;=$T19),$W19,IF(AND($S19&lt;&gt;"",EDATE($D19,Milestones!$AA$138)&gt;=$S19),$V19,$U19)))=Milestones!$AB$138),UPPER(TEXT(EDATE($D19,Milestones!$AA$138),"dd mmm yy"))&amp;" "&amp;Milestones!$AB$138&amp;" "&amp;Milestones!$AC$138&amp;";  ","")&amp;IF(AND(EDATE($D19,Milestones!$AA$139)&lt;=AsOfDate,IF($R19=0,$X19,IF(AND($T19&lt;&gt;"",EDATE($D19,Milestones!$AA$139)&gt;=$T19),$W19,IF(AND($S19&lt;&gt;"",EDATE($D19,Milestones!$AA$139)&gt;=$S19),$V19,$U19)))=Milestones!$AB$139),UPPER(TEXT(EDATE($D19,Milestones!$AA$139),"dd mmm yy"))&amp;" "&amp;Milestones!$AB$139&amp;" "&amp;Milestones!$AC$139&amp;";  ",""))</f>
        <v/>
      </c>
      <c r="O19" s="0" t="str">
        <f aca="false">IF(OR($A19="",$D19=""),"",IF(AND(EDATE($D19,Milestones!$AA$140)&lt;=AsOfDate,IF($R19=0,$X19,IF(AND($T19&lt;&gt;"",EDATE($D19,Milestones!$AA$140)&gt;=$T19),$W19,IF(AND($S19&lt;&gt;"",EDATE($D19,Milestones!$AA$140)&gt;=$S19),$V19,$U19)))=Milestones!$AB$140),UPPER(TEXT(EDATE($D19,Milestones!$AA$140),"dd mmm yy"))&amp;" "&amp;Milestones!$AB$140&amp;" "&amp;Milestones!$AC$140&amp;";  ","")&amp;IF(AND(EDATE($D19,Milestones!$AA$141)&lt;=AsOfDate,IF($R19=0,$X19,IF(AND($T19&lt;&gt;"",EDATE($D19,Milestones!$AA$141)&gt;=$T19),$W19,IF(AND($S19&lt;&gt;"",EDATE($D19,Milestones!$AA$141)&gt;=$S19),$V19,$U19)))=Milestones!$AB$141),UPPER(TEXT(EDATE($D19,Milestones!$AA$141),"dd mmm yy"))&amp;" "&amp;Milestones!$AB$141&amp;" "&amp;Milestones!$AC$141&amp;";  ","")&amp;IF(AND(EDATE($D19,Milestones!$AA$142)&lt;=AsOfDate,IF($R19=0,$X19,IF(AND($T19&lt;&gt;"",EDATE($D19,Milestones!$AA$142)&gt;=$T19),$W19,IF(AND($S19&lt;&gt;"",EDATE($D19,Milestones!$AA$142)&gt;=$S19),$V19,$U19)))=Milestones!$AB$142),UPPER(TEXT(EDATE($D19,Milestones!$AA$142),"dd mmm yy"))&amp;" "&amp;Milestones!$AB$142&amp;" "&amp;Milestones!$AC$142&amp;";  ","")&amp;IF(AND(EDATE($D19,Milestones!$AA$143)&lt;=AsOfDate,IF($R19=0,$X19,IF(AND($T19&lt;&gt;"",EDATE($D19,Milestones!$AA$143)&gt;=$T19),$W19,IF(AND($S19&lt;&gt;"",EDATE($D19,Milestones!$AA$143)&gt;=$S19),$V19,$U19)))=Milestones!$AB$143),UPPER(TEXT(EDATE($D19,Milestones!$AA$143),"dd mmm yy"))&amp;" "&amp;Milestones!$AB$143&amp;" "&amp;Milestones!$AC$143&amp;";  ","")&amp;IF(AND(EDATE($D19,Milestones!$AA$144)&lt;=AsOfDate,IF($R19=0,$X19,IF(AND($T19&lt;&gt;"",EDATE($D19,Milestones!$AA$144)&gt;=$T19),$W19,IF(AND($S19&lt;&gt;"",EDATE($D19,Milestones!$AA$144)&gt;=$S19),$V19,$U19)))=Milestones!$AB$144),UPPER(TEXT(EDATE($D19,Milestones!$AA$144),"dd mmm yy"))&amp;" "&amp;Milestones!$AB$144&amp;" "&amp;Milestones!$AC$144&amp;";  ","")&amp;IF(AND(EDATE($D19,Milestones!$AA$145)&lt;=AsOfDate,IF($R19=0,$X19,IF(AND($T19&lt;&gt;"",EDATE($D19,Milestones!$AA$145)&gt;=$T19),$W19,IF(AND($S19&lt;&gt;"",EDATE($D19,Milestones!$AA$145)&gt;=$S19),$V19,$U19)))=Milestones!$AB$145),UPPER(TEXT(EDATE($D19,Milestones!$AA$145),"dd mmm yy"))&amp;" "&amp;Milestones!$AB$145&amp;" "&amp;Milestones!$AC$145&amp;";  ","")&amp;IF(AND(EDATE($D19,Milestones!$AA$146)&lt;=AsOfDate,IF($R19=0,$X19,IF(AND($T19&lt;&gt;"",EDATE($D19,Milestones!$AA$146)&gt;=$T19),$W19,IF(AND($S19&lt;&gt;"",EDATE($D19,Milestones!$AA$146)&gt;=$S19),$V19,$U19)))=Milestones!$AB$146),UPPER(TEXT(EDATE($D19,Milestones!$AA$146),"dd mmm yy"))&amp;" "&amp;Milestones!$AB$146&amp;" "&amp;Milestones!$AC$146&amp;";  ","")&amp;IF(AND(EDATE($D19,Milestones!$AA$147)&lt;=AsOfDate,IF($R19=0,$X19,IF(AND($T19&lt;&gt;"",EDATE($D19,Milestones!$AA$147)&gt;=$T19),$W19,IF(AND($S19&lt;&gt;"",EDATE($D19,Milestones!$AA$147)&gt;=$S19),$V19,$U19)))=Milestones!$AB$147),UPPER(TEXT(EDATE($D19,Milestones!$AA$147),"dd mmm yy"))&amp;" "&amp;Milestones!$AB$147&amp;" "&amp;Milestones!$AC$147&amp;";  ","")&amp;IF(AND(EDATE($D19,Milestones!$AA$148)&lt;=AsOfDate,IF($R19=0,$X19,IF(AND($T19&lt;&gt;"",EDATE($D19,Milestones!$AA$148)&gt;=$T19),$W19,IF(AND($S19&lt;&gt;"",EDATE($D19,Milestones!$AA$148)&gt;=$S19),$V19,$U19)))=Milestones!$AB$148),UPPER(TEXT(EDATE($D19,Milestones!$AA$148),"dd mmm yy"))&amp;" "&amp;Milestones!$AB$148&amp;" "&amp;Milestones!$AC$148&amp;";  ","")&amp;IF(AND(EDATE($D19,Milestones!$AA$149)&lt;=AsOfDate,IF($R19=0,$X19,IF(AND($T19&lt;&gt;"",EDATE($D19,Milestones!$AA$149)&gt;=$T19),$W19,IF(AND($S19&lt;&gt;"",EDATE($D19,Milestones!$AA$149)&gt;=$S19),$V19,$U19)))=Milestones!$AB$149),UPPER(TEXT(EDATE($D19,Milestones!$AA$149),"dd mmm yy"))&amp;" "&amp;Milestones!$AB$149&amp;" "&amp;Milestones!$AC$149&amp;";  ","")&amp;IF(AND(EDATE($D19,Milestones!$AA$150)&lt;=AsOfDate,IF($R19=0,$X19,IF(AND($T19&lt;&gt;"",EDATE($D19,Milestones!$AA$150)&gt;=$T19),$W19,IF(AND($S19&lt;&gt;"",EDATE($D19,Milestones!$AA$150)&gt;=$S19),$V19,$U19)))=Milestones!$AB$150),UPPER(TEXT(EDATE($D19,Milestones!$AA$150),"dd mmm yy"))&amp;" "&amp;Milestones!$AB$150&amp;" "&amp;Milestones!$AC$150&amp;";  ","")&amp;IF(AND(EDATE($D19,Milestones!$AA$151)&lt;=AsOfDate,IF($R19=0,$X19,IF(AND($T19&lt;&gt;"",EDATE($D19,Milestones!$AA$151)&gt;=$T19),$W19,IF(AND($S19&lt;&gt;"",EDATE($D19,Milestones!$AA$151)&gt;=$S19),$V19,$U19)))=Milestones!$AB$151),UPPER(TEXT(EDATE($D19,Milestones!$AA$151),"dd mmm yy"))&amp;" "&amp;Milestones!$AB$151&amp;" "&amp;Milestones!$AC$151&amp;";  ","")&amp;IF(AND(EDATE($D19,Milestones!$AA$152)&lt;=AsOfDate,IF($R19=0,$X19,IF(AND($T19&lt;&gt;"",EDATE($D19,Milestones!$AA$152)&gt;=$T19),$W19,IF(AND($S19&lt;&gt;"",EDATE($D19,Milestones!$AA$152)&gt;=$S19),$V19,$U19)))=Milestones!$AB$152),UPPER(TEXT(EDATE($D19,Milestones!$AA$152),"dd mmm yy"))&amp;" "&amp;Milestones!$AB$152&amp;" "&amp;Milestones!$AC$152&amp;";  ","")&amp;IF(AND(EDATE($D19,Milestones!$AA$153)&lt;=AsOfDate,IF($R19=0,$X19,IF(AND($T19&lt;&gt;"",EDATE($D19,Milestones!$AA$153)&gt;=$T19),$W19,IF(AND($S19&lt;&gt;"",EDATE($D19,Milestones!$AA$153)&gt;=$S19),$V19,$U19)))=Milestones!$AB$153),UPPER(TEXT(EDATE($D19,Milestones!$AA$153),"dd mmm yy"))&amp;" "&amp;Milestones!$AB$153&amp;" "&amp;Milestones!$AC$153&amp;";  ","")&amp;IF(AND(EDATE($D19,Milestones!$AA$154)&lt;=AsOfDate,IF($R19=0,$X19,IF(AND($T19&lt;&gt;"",EDATE($D19,Milestones!$AA$154)&gt;=$T19),$W19,IF(AND($S19&lt;&gt;"",EDATE($D19,Milestones!$AA$154)&gt;=$S19),$V19,$U19)))=Milestones!$AB$154),UPPER(TEXT(EDATE($D19,Milestones!$AA$154),"dd mmm yy"))&amp;" "&amp;Milestones!$AB$154&amp;" "&amp;Milestones!$AC$154&amp;";  ","")&amp;IF(AND(EDATE($D19,Milestones!$AA$155)&lt;=AsOfDate,IF($R19=0,$X19,IF(AND($T19&lt;&gt;"",EDATE($D19,Milestones!$AA$155)&gt;=$T19),$W19,IF(AND($S19&lt;&gt;"",EDATE($D19,Milestones!$AA$155)&gt;=$S19),$V19,$U19)))=Milestones!$AB$155),UPPER(TEXT(EDATE($D19,Milestones!$AA$155),"dd mmm yy"))&amp;" "&amp;Milestones!$AB$155&amp;" "&amp;Milestones!$AC$155&amp;";  ","")&amp;IF(AND(EDATE($D19,Milestones!$AA$156)&lt;=AsOfDate,IF($R19=0,$X19,IF(AND($T19&lt;&gt;"",EDATE($D19,Milestones!$AA$156)&gt;=$T19),$W19,IF(AND($S19&lt;&gt;"",EDATE($D19,Milestones!$AA$156)&gt;=$S19),$V19,$U19)))=Milestones!$AB$156),UPPER(TEXT(EDATE($D19,Milestones!$AA$156),"dd mmm yy"))&amp;" "&amp;Milestones!$AB$156&amp;" "&amp;Milestones!$AC$156&amp;";  ","")&amp;IF(AND(EDATE($D19,Milestones!$AA$157)&lt;=AsOfDate,IF($R19=0,$X19,IF(AND($T19&lt;&gt;"",EDATE($D19,Milestones!$AA$157)&gt;=$T19),$W19,IF(AND($S19&lt;&gt;"",EDATE($D19,Milestones!$AA$157)&gt;=$S19),$V19,$U19)))=Milestones!$AB$157),UPPER(TEXT(EDATE($D19,Milestones!$AA$157),"dd mmm yy"))&amp;" "&amp;Milestones!$AB$157&amp;" "&amp;Milestones!$AC$157&amp;";  ","")&amp;IF(AND(EDATE($D19,Milestones!$AA$158)&lt;=AsOfDate,IF($R19=0,$X19,IF(AND($T19&lt;&gt;"",EDATE($D19,Milestones!$AA$158)&gt;=$T19),$W19,IF(AND($S19&lt;&gt;"",EDATE($D19,Milestones!$AA$158)&gt;=$S19),$V19,$U19)))=Milestones!$AB$158),UPPER(TEXT(EDATE($D19,Milestones!$AA$158),"dd mmm yy"))&amp;" "&amp;Milestones!$AB$158&amp;" "&amp;Milestones!$AC$158&amp;";  ","")&amp;IF(AND(EDATE($D19,Milestones!$AA$159)&lt;=AsOfDate,IF($R19=0,$X19,IF(AND($T19&lt;&gt;"",EDATE($D19,Milestones!$AA$159)&gt;=$T19),$W19,IF(AND($S19&lt;&gt;"",EDATE($D19,Milestones!$AA$159)&gt;=$S19),$V19,$U19)))=Milestones!$AB$159),UPPER(TEXT(EDATE($D19,Milestones!$AA$159),"dd mmm yy"))&amp;" "&amp;Milestones!$AB$159&amp;" "&amp;Milestones!$AC$159&amp;";  ",""))</f>
        <v/>
      </c>
      <c r="P19" s="0" t="str">
        <f aca="false">IF(OR($A19="",$D19=""),"",IF(AND(EDATE($D19,Milestones!$AA$160)&lt;=AsOfDate,IF($R19=0,$X19,IF(AND($T19&lt;&gt;"",EDATE($D19,Milestones!$AA$160)&gt;=$T19),$W19,IF(AND($S19&lt;&gt;"",EDATE($D19,Milestones!$AA$160)&gt;=$S19),$V19,$U19)))=Milestones!$AB$160),UPPER(TEXT(EDATE($D19,Milestones!$AA$160),"dd mmm yy"))&amp;" "&amp;Milestones!$AB$160&amp;" "&amp;Milestones!$AC$160&amp;";  ","")&amp;IF(AND(EDATE($D19,Milestones!$AA$161)&lt;=AsOfDate,IF($R19=0,$X19,IF(AND($T19&lt;&gt;"",EDATE($D19,Milestones!$AA$161)&gt;=$T19),$W19,IF(AND($S19&lt;&gt;"",EDATE($D19,Milestones!$AA$161)&gt;=$S19),$V19,$U19)))=Milestones!$AB$161),UPPER(TEXT(EDATE($D19,Milestones!$AA$161),"dd mmm yy"))&amp;" "&amp;Milestones!$AB$161&amp;" "&amp;Milestones!$AC$161&amp;";  ","")&amp;IF(AND(EDATE($D19,Milestones!$AA$162)&lt;=AsOfDate,IF($R19=0,$X19,IF(AND($T19&lt;&gt;"",EDATE($D19,Milestones!$AA$162)&gt;=$T19),$W19,IF(AND($S19&lt;&gt;"",EDATE($D19,Milestones!$AA$162)&gt;=$S19),$V19,$U19)))=Milestones!$AB$162),UPPER(TEXT(EDATE($D19,Milestones!$AA$162),"dd mmm yy"))&amp;" "&amp;Milestones!$AB$162&amp;" "&amp;Milestones!$AC$162&amp;";  ","")&amp;IF(AND(EDATE($D19,Milestones!$AA$163)&lt;=AsOfDate,IF($R19=0,$X19,IF(AND($T19&lt;&gt;"",EDATE($D19,Milestones!$AA$163)&gt;=$T19),$W19,IF(AND($S19&lt;&gt;"",EDATE($D19,Milestones!$AA$163)&gt;=$S19),$V19,$U19)))=Milestones!$AB$163),UPPER(TEXT(EDATE($D19,Milestones!$AA$163),"dd mmm yy"))&amp;" "&amp;Milestones!$AB$163&amp;" "&amp;Milestones!$AC$163&amp;";  ","")&amp;IF(AND(EDATE($D19,Milestones!$AA$164)&lt;=AsOfDate,IF($R19=0,$X19,IF(AND($T19&lt;&gt;"",EDATE($D19,Milestones!$AA$164)&gt;=$T19),$W19,IF(AND($S19&lt;&gt;"",EDATE($D19,Milestones!$AA$164)&gt;=$S19),$V19,$U19)))=Milestones!$AB$164),UPPER(TEXT(EDATE($D19,Milestones!$AA$164),"dd mmm yy"))&amp;" "&amp;Milestones!$AB$164&amp;" "&amp;Milestones!$AC$164&amp;";  ","")&amp;IF(AND(EDATE($D19,Milestones!$AA$165)&lt;=AsOfDate,IF($R19=0,$X19,IF(AND($T19&lt;&gt;"",EDATE($D19,Milestones!$AA$165)&gt;=$T19),$W19,IF(AND($S19&lt;&gt;"",EDATE($D19,Milestones!$AA$165)&gt;=$S19),$V19,$U19)))=Milestones!$AB$165),UPPER(TEXT(EDATE($D19,Milestones!$AA$165),"dd mmm yy"))&amp;" "&amp;Milestones!$AB$165&amp;" "&amp;Milestones!$AC$165&amp;";  ","")&amp;IF(AND(EDATE($D19,Milestones!$AA$166)&lt;=AsOfDate,IF($R19=0,$X19,IF(AND($T19&lt;&gt;"",EDATE($D19,Milestones!$AA$166)&gt;=$T19),$W19,IF(AND($S19&lt;&gt;"",EDATE($D19,Milestones!$AA$166)&gt;=$S19),$V19,$U19)))=Milestones!$AB$166),UPPER(TEXT(EDATE($D19,Milestones!$AA$166),"dd mmm yy"))&amp;" "&amp;Milestones!$AB$166&amp;" "&amp;Milestones!$AC$166&amp;";  ","")&amp;IF(AND(EDATE($D19,Milestones!$AA$167)&lt;=AsOfDate,IF($R19=0,$X19,IF(AND($T19&lt;&gt;"",EDATE($D19,Milestones!$AA$167)&gt;=$T19),$W19,IF(AND($S19&lt;&gt;"",EDATE($D19,Milestones!$AA$167)&gt;=$S19),$V19,$U19)))=Milestones!$AB$167),UPPER(TEXT(EDATE($D19,Milestones!$AA$167),"dd mmm yy"))&amp;" "&amp;Milestones!$AB$167&amp;" "&amp;Milestones!$AC$167&amp;";  ","")&amp;IF(AND(EDATE($D19,Milestones!$AA$168)&lt;=AsOfDate,IF($R19=0,$X19,IF(AND($T19&lt;&gt;"",EDATE($D19,Milestones!$AA$168)&gt;=$T19),$W19,IF(AND($S19&lt;&gt;"",EDATE($D19,Milestones!$AA$168)&gt;=$S19),$V19,$U19)))=Milestones!$AB$168),UPPER(TEXT(EDATE($D19,Milestones!$AA$168),"dd mmm yy"))&amp;" "&amp;Milestones!$AB$168&amp;" "&amp;Milestones!$AC$168&amp;";  ","")&amp;IF(AND(EDATE($D19,Milestones!$AA$169)&lt;=AsOfDate,IF($R19=0,$X19,IF(AND($T19&lt;&gt;"",EDATE($D19,Milestones!$AA$169)&gt;=$T19),$W19,IF(AND($S19&lt;&gt;"",EDATE($D19,Milestones!$AA$169)&gt;=$S19),$V19,$U19)))=Milestones!$AB$169),UPPER(TEXT(EDATE($D19,Milestones!$AA$169),"dd mmm yy"))&amp;" "&amp;Milestones!$AB$169&amp;" "&amp;Milestones!$AC$169&amp;";  ","")&amp;IF(AND(EDATE($D19,Milestones!$AA$170)&lt;=AsOfDate,IF($R19=0,$X19,IF(AND($T19&lt;&gt;"",EDATE($D19,Milestones!$AA$170)&gt;=$T19),$W19,IF(AND($S19&lt;&gt;"",EDATE($D19,Milestones!$AA$170)&gt;=$S19),$V19,$U19)))=Milestones!$AB$170),UPPER(TEXT(EDATE($D19,Milestones!$AA$170),"dd mmm yy"))&amp;" "&amp;Milestones!$AB$170&amp;" "&amp;Milestones!$AC$170&amp;";  ","")&amp;IF(AND(EDATE($D19,Milestones!$AA$171)&lt;=AsOfDate,IF($R19=0,$X19,IF(AND($T19&lt;&gt;"",EDATE($D19,Milestones!$AA$171)&gt;=$T19),$W19,IF(AND($S19&lt;&gt;"",EDATE($D19,Milestones!$AA$171)&gt;=$S19),$V19,$U19)))=Milestones!$AB$171),UPPER(TEXT(EDATE($D19,Milestones!$AA$171),"dd mmm yy"))&amp;" "&amp;Milestones!$AB$171&amp;" "&amp;Milestones!$AC$171&amp;";  ","")&amp;IF(AND(EDATE($D19,Milestones!$AA$172)&lt;=AsOfDate,IF($R19=0,$X19,IF(AND($T19&lt;&gt;"",EDATE($D19,Milestones!$AA$172)&gt;=$T19),$W19,IF(AND($S19&lt;&gt;"",EDATE($D19,Milestones!$AA$172)&gt;=$S19),$V19,$U19)))=Milestones!$AB$172),UPPER(TEXT(EDATE($D19,Milestones!$AA$172),"dd mmm yy"))&amp;" "&amp;Milestones!$AB$172&amp;" "&amp;Milestones!$AC$172&amp;";  ","")&amp;IF(AND(EDATE($D19,Milestones!$AA$173)&lt;=AsOfDate,IF($R19=0,$X19,IF(AND($T19&lt;&gt;"",EDATE($D19,Milestones!$AA$173)&gt;=$T19),$W19,IF(AND($S19&lt;&gt;"",EDATE($D19,Milestones!$AA$173)&gt;=$S19),$V19,$U19)))=Milestones!$AB$173),UPPER(TEXT(EDATE($D19,Milestones!$AA$173),"dd mmm yy"))&amp;" "&amp;Milestones!$AB$173&amp;" "&amp;Milestones!$AC$173&amp;";  ","")&amp;IF(AND(EDATE($D19,Milestones!$AA$174)&lt;=AsOfDate,IF($R19=0,$X19,IF(AND($T19&lt;&gt;"",EDATE($D19,Milestones!$AA$174)&gt;=$T19),$W19,IF(AND($S19&lt;&gt;"",EDATE($D19,Milestones!$AA$174)&gt;=$S19),$V19,$U19)))=Milestones!$AB$174),UPPER(TEXT(EDATE($D19,Milestones!$AA$174),"dd mmm yy"))&amp;" "&amp;Milestones!$AB$174&amp;" "&amp;Milestones!$AC$174&amp;";  ","")&amp;IF(AND(EDATE($D19,Milestones!$AA$175)&lt;=AsOfDate,IF($R19=0,$X19,IF(AND($T19&lt;&gt;"",EDATE($D19,Milestones!$AA$175)&gt;=$T19),$W19,IF(AND($S19&lt;&gt;"",EDATE($D19,Milestones!$AA$175)&gt;=$S19),$V19,$U19)))=Milestones!$AB$175),UPPER(TEXT(EDATE($D19,Milestones!$AA$175),"dd mmm yy"))&amp;" "&amp;Milestones!$AB$175&amp;" "&amp;Milestones!$AC$175&amp;";  ","")&amp;IF(AND(EDATE($D19,Milestones!$AA$176)&lt;=AsOfDate,IF($R19=0,$X19,IF(AND($T19&lt;&gt;"",EDATE($D19,Milestones!$AA$176)&gt;=$T19),$W19,IF(AND($S19&lt;&gt;"",EDATE($D19,Milestones!$AA$176)&gt;=$S19),$V19,$U19)))=Milestones!$AB$176),UPPER(TEXT(EDATE($D19,Milestones!$AA$176),"dd mmm yy"))&amp;" "&amp;Milestones!$AB$176&amp;" "&amp;Milestones!$AC$176&amp;";  ","")&amp;IF(AND(EDATE($D19,Milestones!$AA$177)&lt;=AsOfDate,IF($R19=0,$X19,IF(AND($T19&lt;&gt;"",EDATE($D19,Milestones!$AA$177)&gt;=$T19),$W19,IF(AND($S19&lt;&gt;"",EDATE($D19,Milestones!$AA$177)&gt;=$S19),$V19,$U19)))=Milestones!$AB$177),UPPER(TEXT(EDATE($D19,Milestones!$AA$177),"dd mmm yy"))&amp;" "&amp;Milestones!$AB$177&amp;" "&amp;Milestones!$AC$177&amp;";  ","")&amp;IF(AND(EDATE($D19,Milestones!$AA$178)&lt;=AsOfDate,IF($R19=0,$X19,IF(AND($T19&lt;&gt;"",EDATE($D19,Milestones!$AA$178)&gt;=$T19),$W19,IF(AND($S19&lt;&gt;"",EDATE($D19,Milestones!$AA$178)&gt;=$S19),$V19,$U19)))=Milestones!$AB$178),UPPER(TEXT(EDATE($D19,Milestones!$AA$178),"dd mmm yy"))&amp;" "&amp;Milestones!$AB$178&amp;" "&amp;Milestones!$AC$178&amp;";  ","")&amp;IF(AND(EDATE($D19,Milestones!$AA$179)&lt;=AsOfDate,IF($R19=0,$X19,IF(AND($T19&lt;&gt;"",EDATE($D19,Milestones!$AA$179)&gt;=$T19),$W19,IF(AND($S19&lt;&gt;"",EDATE($D19,Milestones!$AA$179)&gt;=$S19),$V19,$U19)))=Milestones!$AB$179),UPPER(TEXT(EDATE($D19,Milestones!$AA$179),"dd mmm yy"))&amp;" "&amp;Milestones!$AB$179&amp;" "&amp;Milestones!$AC$179&amp;";  ",""))</f>
        <v/>
      </c>
      <c r="Q19" s="0" t="str">
        <f aca="false">IF(OR($A19="",$D19=""),"",IF(AND(EDATE($D19,Milestones!$AA$180)&lt;=AsOfDate,IF($R19=0,$X19,IF(AND($T19&lt;&gt;"",EDATE($D19,Milestones!$AA$180)&gt;=$T19),$W19,IF(AND($S19&lt;&gt;"",EDATE($D19,Milestones!$AA$180)&gt;=$S19),$V19,$U19)))=Milestones!$AB$180),UPPER(TEXT(EDATE($D19,Milestones!$AA$180),"dd mmm yy"))&amp;" "&amp;Milestones!$AB$180&amp;" "&amp;Milestones!$AC$180&amp;";  ","")&amp;IF(AND(EDATE($D19,Milestones!$AA$181)&lt;=AsOfDate,IF($R19=0,$X19,IF(AND($T19&lt;&gt;"",EDATE($D19,Milestones!$AA$181)&gt;=$T19),$W19,IF(AND($S19&lt;&gt;"",EDATE($D19,Milestones!$AA$181)&gt;=$S19),$V19,$U19)))=Milestones!$AB$181),UPPER(TEXT(EDATE($D19,Milestones!$AA$181),"dd mmm yy"))&amp;" "&amp;Milestones!$AB$181&amp;" "&amp;Milestones!$AC$181&amp;";  ","")&amp;IF(AND(EDATE($D19,Milestones!$AA$182)&lt;=AsOfDate,IF($R19=0,$X19,IF(AND($T19&lt;&gt;"",EDATE($D19,Milestones!$AA$182)&gt;=$T19),$W19,IF(AND($S19&lt;&gt;"",EDATE($D19,Milestones!$AA$182)&gt;=$S19),$V19,$U19)))=Milestones!$AB$182),UPPER(TEXT(EDATE($D19,Milestones!$AA$182),"dd mmm yy"))&amp;" "&amp;Milestones!$AB$182&amp;" "&amp;Milestones!$AC$182&amp;";  ","")&amp;IF(AND(EDATE($D19,Milestones!$AA$183)&lt;=AsOfDate,IF($R19=0,$X19,IF(AND($T19&lt;&gt;"",EDATE($D19,Milestones!$AA$183)&gt;=$T19),$W19,IF(AND($S19&lt;&gt;"",EDATE($D19,Milestones!$AA$183)&gt;=$S19),$V19,$U19)))=Milestones!$AB$183),UPPER(TEXT(EDATE($D19,Milestones!$AA$183),"dd mmm yy"))&amp;" "&amp;Milestones!$AB$183&amp;" "&amp;Milestones!$AC$183&amp;";  ","")&amp;IF(AND(EDATE($D19,Milestones!$AA$184)&lt;=AsOfDate,IF($R19=0,$X19,IF(AND($T19&lt;&gt;"",EDATE($D19,Milestones!$AA$184)&gt;=$T19),$W19,IF(AND($S19&lt;&gt;"",EDATE($D19,Milestones!$AA$184)&gt;=$S19),$V19,$U19)))=Milestones!$AB$184),UPPER(TEXT(EDATE($D19,Milestones!$AA$184),"dd mmm yy"))&amp;" "&amp;Milestones!$AB$184&amp;" "&amp;Milestones!$AC$184&amp;";  ","")&amp;IF(AND(EDATE($D19,Milestones!$AA$185)&lt;=AsOfDate,IF($R19=0,$X19,IF(AND($T19&lt;&gt;"",EDATE($D19,Milestones!$AA$185)&gt;=$T19),$W19,IF(AND($S19&lt;&gt;"",EDATE($D19,Milestones!$AA$185)&gt;=$S19),$V19,$U19)))=Milestones!$AB$185),UPPER(TEXT(EDATE($D19,Milestones!$AA$185),"dd mmm yy"))&amp;" "&amp;Milestones!$AB$185&amp;" "&amp;Milestones!$AC$185&amp;";  ","")&amp;IF(AND(EDATE($D19,Milestones!$AA$186)&lt;=AsOfDate,IF($R19=0,$X19,IF(AND($T19&lt;&gt;"",EDATE($D19,Milestones!$AA$186)&gt;=$T19),$W19,IF(AND($S19&lt;&gt;"",EDATE($D19,Milestones!$AA$186)&gt;=$S19),$V19,$U19)))=Milestones!$AB$186),UPPER(TEXT(EDATE($D19,Milestones!$AA$186),"dd mmm yy"))&amp;" "&amp;Milestones!$AB$186&amp;" "&amp;Milestones!$AC$186&amp;";  ","")&amp;IF(AND(EDATE($D19,Milestones!$AA$187)&lt;=AsOfDate,IF($R19=0,$X19,IF(AND($T19&lt;&gt;"",EDATE($D19,Milestones!$AA$187)&gt;=$T19),$W19,IF(AND($S19&lt;&gt;"",EDATE($D19,Milestones!$AA$187)&gt;=$S19),$V19,$U19)))=Milestones!$AB$187),UPPER(TEXT(EDATE($D19,Milestones!$AA$187),"dd mmm yy"))&amp;" "&amp;Milestones!$AB$187&amp;" "&amp;Milestones!$AC$187&amp;";  ","")&amp;IF(AND(EDATE($D19,Milestones!$AA$188)&lt;=AsOfDate,IF($R19=0,$X19,IF(AND($T19&lt;&gt;"",EDATE($D19,Milestones!$AA$188)&gt;=$T19),$W19,IF(AND($S19&lt;&gt;"",EDATE($D19,Milestones!$AA$188)&gt;=$S19),$V19,$U19)))=Milestones!$AB$188),UPPER(TEXT(EDATE($D19,Milestones!$AA$188),"dd mmm yy"))&amp;" "&amp;Milestones!$AB$188&amp;" "&amp;Milestones!$AC$188&amp;";  ","")&amp;IF(AND(EDATE($D19,Milestones!$AA$189)&lt;=AsOfDate,IF($R19=0,$X19,IF(AND($T19&lt;&gt;"",EDATE($D19,Milestones!$AA$189)&gt;=$T19),$W19,IF(AND($S19&lt;&gt;"",EDATE($D19,Milestones!$AA$189)&gt;=$S19),$V19,$U19)))=Milestones!$AB$189),UPPER(TEXT(EDATE($D19,Milestones!$AA$189),"dd mmm yy"))&amp;" "&amp;Milestones!$AB$189&amp;" "&amp;Milestones!$AC$189&amp;";  ","")&amp;IF(AND(EDATE($D19,Milestones!$AA$190)&lt;=AsOfDate,IF($R19=0,$X19,IF(AND($T19&lt;&gt;"",EDATE($D19,Milestones!$AA$190)&gt;=$T19),$W19,IF(AND($S19&lt;&gt;"",EDATE($D19,Milestones!$AA$190)&gt;=$S19),$V19,$U19)))=Milestones!$AB$190),UPPER(TEXT(EDATE($D19,Milestones!$AA$190),"dd mmm yy"))&amp;" "&amp;Milestones!$AB$190&amp;" "&amp;Milestones!$AC$190&amp;";  ","")&amp;IF(AND(EDATE($D19,Milestones!$AA$191)&lt;=AsOfDate,IF($R19=0,$X19,IF(AND($T19&lt;&gt;"",EDATE($D19,Milestones!$AA$191)&gt;=$T19),$W19,IF(AND($S19&lt;&gt;"",EDATE($D19,Milestones!$AA$191)&gt;=$S19),$V19,$U19)))=Milestones!$AB$191),UPPER(TEXT(EDATE($D19,Milestones!$AA$191),"dd mmm yy"))&amp;" "&amp;Milestones!$AB$191&amp;" "&amp;Milestones!$AC$191&amp;";  ","")&amp;IF(AND(EDATE($D19,Milestones!$AA$192)&lt;=AsOfDate,IF($R19=0,$X19,IF(AND($T19&lt;&gt;"",EDATE($D19,Milestones!$AA$192)&gt;=$T19),$W19,IF(AND($S19&lt;&gt;"",EDATE($D19,Milestones!$AA$192)&gt;=$S19),$V19,$U19)))=Milestones!$AB$192),UPPER(TEXT(EDATE($D19,Milestones!$AA$192),"dd mmm yy"))&amp;" "&amp;Milestones!$AB$192&amp;" "&amp;Milestones!$AC$192&amp;";  ","")&amp;IF(AND(EDATE($D19,Milestones!$AA$193)&lt;=AsOfDate,IF($R19=0,$X19,IF(AND($T19&lt;&gt;"",EDATE($D19,Milestones!$AA$193)&gt;=$T19),$W19,IF(AND($S19&lt;&gt;"",EDATE($D19,Milestones!$AA$193)&gt;=$S19),$V19,$U19)))=Milestones!$AB$193),UPPER(TEXT(EDATE($D19,Milestones!$AA$193),"dd mmm yy"))&amp;" "&amp;Milestones!$AB$193&amp;" "&amp;Milestones!$AC$193&amp;";  ","")&amp;IF(AND(EDATE($D19,Milestones!$AA$194)&lt;=AsOfDate,IF($R19=0,$X19,IF(AND($T19&lt;&gt;"",EDATE($D19,Milestones!$AA$194)&gt;=$T19),$W19,IF(AND($S19&lt;&gt;"",EDATE($D19,Milestones!$AA$194)&gt;=$S19),$V19,$U19)))=Milestones!$AB$194),UPPER(TEXT(EDATE($D19,Milestones!$AA$194),"dd mmm yy"))&amp;" "&amp;Milestones!$AB$194&amp;" "&amp;Milestones!$AC$194&amp;";  ","")&amp;IF(AND(EDATE($D19,Milestones!$AA$195)&lt;=AsOfDate,IF($R19=0,$X19,IF(AND($T19&lt;&gt;"",EDATE($D19,Milestones!$AA$195)&gt;=$T19),$W19,IF(AND($S19&lt;&gt;"",EDATE($D19,Milestones!$AA$195)&gt;=$S19),$V19,$U19)))=Milestones!$AB$195),UPPER(TEXT(EDATE($D19,Milestones!$AA$195),"dd mmm yy"))&amp;" "&amp;Milestones!$AB$195&amp;" "&amp;Milestones!$AC$195&amp;";  ","")&amp;IF(AND(EDATE($D19,Milestones!$AA$196)&lt;=AsOfDate,IF($R19=0,$X19,IF(AND($T19&lt;&gt;"",EDATE($D19,Milestones!$AA$196)&gt;=$T19),$W19,IF(AND($S19&lt;&gt;"",EDATE($D19,Milestones!$AA$196)&gt;=$S19),$V19,$U19)))=Milestones!$AB$196),UPPER(TEXT(EDATE($D19,Milestones!$AA$196),"dd mmm yy"))&amp;" "&amp;Milestones!$AB$196&amp;" "&amp;Milestones!$AC$196&amp;";  ","")&amp;IF(AND(EDATE($D19,Milestones!$AA$197)&lt;=AsOfDate,IF($R19=0,$X19,IF(AND($T19&lt;&gt;"",EDATE($D19,Milestones!$AA$197)&gt;=$T19),$W19,IF(AND($S19&lt;&gt;"",EDATE($D19,Milestones!$AA$197)&gt;=$S19),$V19,$U19)))=Milestones!$AB$197),UPPER(TEXT(EDATE($D19,Milestones!$AA$197),"dd mmm yy"))&amp;" "&amp;Milestones!$AB$197&amp;" "&amp;Milestones!$AC$197&amp;";  ","")&amp;IF(AND(EDATE($D19,Milestones!$AA$198)&lt;=AsOfDate,IF($R19=0,$X19,IF(AND($T19&lt;&gt;"",EDATE($D19,Milestones!$AA$198)&gt;=$T19),$W19,IF(AND($S19&lt;&gt;"",EDATE($D19,Milestones!$AA$198)&gt;=$S19),$V19,$U19)))=Milestones!$AB$198),UPPER(TEXT(EDATE($D19,Milestones!$AA$198),"dd mmm yy"))&amp;" "&amp;Milestones!$AB$198&amp;" "&amp;Milestones!$AC$198&amp;";  ","")&amp;IF(AND(EDATE($D19,Milestones!$AA$199)&lt;=AsOfDate,IF($R19=0,$X19,IF(AND($T19&lt;&gt;"",EDATE($D19,Milestones!$AA$199)&gt;=$T19),$W19,IF(AND($S19&lt;&gt;"",EDATE($D19,Milestones!$AA$199)&gt;=$S19),$V19,$U19)))=Milestones!$AB$199),UPPER(TEXT(EDATE($D19,Milestones!$AA$199),"dd mmm yy"))&amp;" "&amp;Milestones!$AB$199&amp;" "&amp;Milestones!$AC$199&amp;";  ",""))</f>
        <v/>
      </c>
      <c r="R19" s="0" t="str">
        <f aca="false">IF(Staff!$A19="","",Staff!$AI19)</f>
        <v/>
      </c>
      <c r="S19" s="0" t="str">
        <f aca="false">IF(Staff!$A19="","",Staff!$AK19)</f>
        <v/>
      </c>
      <c r="T19" s="0" t="str">
        <f aca="false">IF(Staff!$A19="","",Staff!$AL19)</f>
        <v/>
      </c>
      <c r="U19" s="0" t="str">
        <f aca="false">IF(Staff!$A19="","",Staff!$AP19)</f>
        <v/>
      </c>
      <c r="V19" s="0" t="str">
        <f aca="false">IF(Staff!$A19="","",Staff!$AQ19)</f>
        <v/>
      </c>
      <c r="W19" s="0" t="str">
        <f aca="false">IF(Staff!$A19="","",Staff!$AR19)</f>
        <v/>
      </c>
      <c r="X19" s="0" t="str">
        <f aca="false">IF(Staff!$A19="","",Staff!$AS19)</f>
        <v/>
      </c>
    </row>
    <row r="20" customFormat="false" ht="15" hidden="false" customHeight="false" outlineLevel="0" collapsed="false">
      <c r="A20" s="14" t="str">
        <f aca="false">IF(Staff!$A20="","",Staff!$A20)</f>
        <v/>
      </c>
      <c r="B20" s="14" t="str">
        <f aca="false">IF(Staff!$A20="","",Staff!$B20)</f>
        <v/>
      </c>
      <c r="C20" s="14" t="str">
        <f aca="false">IF(Staff!$A20="","",Staff!$C20)</f>
        <v/>
      </c>
      <c r="D20" s="12" t="str">
        <f aca="false">IF(Staff!$A20="","",Staff!$AH20)</f>
        <v/>
      </c>
      <c r="E20" s="14" t="str">
        <f aca="false">IF(Staff!$A20="","",Staff!$O20)</f>
        <v/>
      </c>
      <c r="F20" s="14" t="str">
        <f aca="false">IF(E20="","",E20*HoursPerDay)</f>
        <v/>
      </c>
      <c r="G20" s="14" t="str">
        <f aca="false">IF(Staff!$A20="","",Staff!$AE20)</f>
        <v/>
      </c>
      <c r="H20" s="26" t="str">
        <f aca="false">IF($A20="","",I20&amp;J20&amp;K20&amp;L20&amp;M20&amp;N20&amp;O20&amp;P20&amp;Q20)</f>
        <v/>
      </c>
      <c r="I20" s="0" t="str">
        <f aca="false">IF(OR($A20="",$D20=""),"",IF(AND(EDATE($D20,Milestones!$AA$20)&lt;=AsOfDate,IF($R20=0,$X20,IF(AND($T20&lt;&gt;"",EDATE($D20,Milestones!$AA$20)&gt;=$T20),$W20,IF(AND($S20&lt;&gt;"",EDATE($D20,Milestones!$AA$20)&gt;=$S20),$V20,$U20)))=Milestones!$AB$20),UPPER(TEXT(EDATE($D20,Milestones!$AA$20),"dd mmm yy"))&amp;" "&amp;Milestones!$AB$20&amp;" "&amp;Milestones!$AC$20&amp;";  ","")&amp;IF(AND(EDATE($D20,Milestones!$AA$21)&lt;=AsOfDate,IF($R20=0,$X20,IF(AND($T20&lt;&gt;"",EDATE($D20,Milestones!$AA$21)&gt;=$T20),$W20,IF(AND($S20&lt;&gt;"",EDATE($D20,Milestones!$AA$21)&gt;=$S20),$V20,$U20)))=Milestones!$AB$21),UPPER(TEXT(EDATE($D20,Milestones!$AA$21),"dd mmm yy"))&amp;" "&amp;Milestones!$AB$21&amp;" "&amp;Milestones!$AC$21&amp;";  ","")&amp;IF(AND(EDATE($D20,Milestones!$AA$22)&lt;=AsOfDate,IF($R20=0,$X20,IF(AND($T20&lt;&gt;"",EDATE($D20,Milestones!$AA$22)&gt;=$T20),$W20,IF(AND($S20&lt;&gt;"",EDATE($D20,Milestones!$AA$22)&gt;=$S20),$V20,$U20)))=Milestones!$AB$22),UPPER(TEXT(EDATE($D20,Milestones!$AA$22),"dd mmm yy"))&amp;" "&amp;Milestones!$AB$22&amp;" "&amp;Milestones!$AC$22&amp;";  ","")&amp;IF(AND(EDATE($D20,Milestones!$AA$23)&lt;=AsOfDate,IF($R20=0,$X20,IF(AND($T20&lt;&gt;"",EDATE($D20,Milestones!$AA$23)&gt;=$T20),$W20,IF(AND($S20&lt;&gt;"",EDATE($D20,Milestones!$AA$23)&gt;=$S20),$V20,$U20)))=Milestones!$AB$23),UPPER(TEXT(EDATE($D20,Milestones!$AA$23),"dd mmm yy"))&amp;" "&amp;Milestones!$AB$23&amp;" "&amp;Milestones!$AC$23&amp;";  ","")&amp;IF(AND(EDATE($D20,Milestones!$AA$24)&lt;=AsOfDate,IF($R20=0,$X20,IF(AND($T20&lt;&gt;"",EDATE($D20,Milestones!$AA$24)&gt;=$T20),$W20,IF(AND($S20&lt;&gt;"",EDATE($D20,Milestones!$AA$24)&gt;=$S20),$V20,$U20)))=Milestones!$AB$24),UPPER(TEXT(EDATE($D20,Milestones!$AA$24),"dd mmm yy"))&amp;" "&amp;Milestones!$AB$24&amp;" "&amp;Milestones!$AC$24&amp;";  ","")&amp;IF(AND(EDATE($D20,Milestones!$AA$25)&lt;=AsOfDate,IF($R20=0,$X20,IF(AND($T20&lt;&gt;"",EDATE($D20,Milestones!$AA$25)&gt;=$T20),$W20,IF(AND($S20&lt;&gt;"",EDATE($D20,Milestones!$AA$25)&gt;=$S20),$V20,$U20)))=Milestones!$AB$25),UPPER(TEXT(EDATE($D20,Milestones!$AA$25),"dd mmm yy"))&amp;" "&amp;Milestones!$AB$25&amp;" "&amp;Milestones!$AC$25&amp;";  ","")&amp;IF(AND(EDATE($D20,Milestones!$AA$26)&lt;=AsOfDate,IF($R20=0,$X20,IF(AND($T20&lt;&gt;"",EDATE($D20,Milestones!$AA$26)&gt;=$T20),$W20,IF(AND($S20&lt;&gt;"",EDATE($D20,Milestones!$AA$26)&gt;=$S20),$V20,$U20)))=Milestones!$AB$26),UPPER(TEXT(EDATE($D20,Milestones!$AA$26),"dd mmm yy"))&amp;" "&amp;Milestones!$AB$26&amp;" "&amp;Milestones!$AC$26&amp;";  ","")&amp;IF(AND(EDATE($D20,Milestones!$AA$27)&lt;=AsOfDate,IF($R20=0,$X20,IF(AND($T20&lt;&gt;"",EDATE($D20,Milestones!$AA$27)&gt;=$T20),$W20,IF(AND($S20&lt;&gt;"",EDATE($D20,Milestones!$AA$27)&gt;=$S20),$V20,$U20)))=Milestones!$AB$27),UPPER(TEXT(EDATE($D20,Milestones!$AA$27),"dd mmm yy"))&amp;" "&amp;Milestones!$AB$27&amp;" "&amp;Milestones!$AC$27&amp;";  ","")&amp;IF(AND(EDATE($D20,Milestones!$AA$28)&lt;=AsOfDate,IF($R20=0,$X20,IF(AND($T20&lt;&gt;"",EDATE($D20,Milestones!$AA$28)&gt;=$T20),$W20,IF(AND($S20&lt;&gt;"",EDATE($D20,Milestones!$AA$28)&gt;=$S20),$V20,$U20)))=Milestones!$AB$28),UPPER(TEXT(EDATE($D20,Milestones!$AA$28),"dd mmm yy"))&amp;" "&amp;Milestones!$AB$28&amp;" "&amp;Milestones!$AC$28&amp;";  ","")&amp;IF(AND(EDATE($D20,Milestones!$AA$29)&lt;=AsOfDate,IF($R20=0,$X20,IF(AND($T20&lt;&gt;"",EDATE($D20,Milestones!$AA$29)&gt;=$T20),$W20,IF(AND($S20&lt;&gt;"",EDATE($D20,Milestones!$AA$29)&gt;=$S20),$V20,$U20)))=Milestones!$AB$29),UPPER(TEXT(EDATE($D20,Milestones!$AA$29),"dd mmm yy"))&amp;" "&amp;Milestones!$AB$29&amp;" "&amp;Milestones!$AC$29&amp;";  ","")&amp;IF(AND(EDATE($D20,Milestones!$AA$30)&lt;=AsOfDate,IF($R20=0,$X20,IF(AND($T20&lt;&gt;"",EDATE($D20,Milestones!$AA$30)&gt;=$T20),$W20,IF(AND($S20&lt;&gt;"",EDATE($D20,Milestones!$AA$30)&gt;=$S20),$V20,$U20)))=Milestones!$AB$30),UPPER(TEXT(EDATE($D20,Milestones!$AA$30),"dd mmm yy"))&amp;" "&amp;Milestones!$AB$30&amp;" "&amp;Milestones!$AC$30&amp;";  ","")&amp;IF(AND(EDATE($D20,Milestones!$AA$31)&lt;=AsOfDate,IF($R20=0,$X20,IF(AND($T20&lt;&gt;"",EDATE($D20,Milestones!$AA$31)&gt;=$T20),$W20,IF(AND($S20&lt;&gt;"",EDATE($D20,Milestones!$AA$31)&gt;=$S20),$V20,$U20)))=Milestones!$AB$31),UPPER(TEXT(EDATE($D20,Milestones!$AA$31),"dd mmm yy"))&amp;" "&amp;Milestones!$AB$31&amp;" "&amp;Milestones!$AC$31&amp;";  ","")&amp;IF(AND(EDATE($D20,Milestones!$AA$32)&lt;=AsOfDate,IF($R20=0,$X20,IF(AND($T20&lt;&gt;"",EDATE($D20,Milestones!$AA$32)&gt;=$T20),$W20,IF(AND($S20&lt;&gt;"",EDATE($D20,Milestones!$AA$32)&gt;=$S20),$V20,$U20)))=Milestones!$AB$32),UPPER(TEXT(EDATE($D20,Milestones!$AA$32),"dd mmm yy"))&amp;" "&amp;Milestones!$AB$32&amp;" "&amp;Milestones!$AC$32&amp;";  ","")&amp;IF(AND(EDATE($D20,Milestones!$AA$33)&lt;=AsOfDate,IF($R20=0,$X20,IF(AND($T20&lt;&gt;"",EDATE($D20,Milestones!$AA$33)&gt;=$T20),$W20,IF(AND($S20&lt;&gt;"",EDATE($D20,Milestones!$AA$33)&gt;=$S20),$V20,$U20)))=Milestones!$AB$33),UPPER(TEXT(EDATE($D20,Milestones!$AA$33),"dd mmm yy"))&amp;" "&amp;Milestones!$AB$33&amp;" "&amp;Milestones!$AC$33&amp;";  ","")&amp;IF(AND(EDATE($D20,Milestones!$AA$34)&lt;=AsOfDate,IF($R20=0,$X20,IF(AND($T20&lt;&gt;"",EDATE($D20,Milestones!$AA$34)&gt;=$T20),$W20,IF(AND($S20&lt;&gt;"",EDATE($D20,Milestones!$AA$34)&gt;=$S20),$V20,$U20)))=Milestones!$AB$34),UPPER(TEXT(EDATE($D20,Milestones!$AA$34),"dd mmm yy"))&amp;" "&amp;Milestones!$AB$34&amp;" "&amp;Milestones!$AC$34&amp;";  ","")&amp;IF(AND(EDATE($D20,Milestones!$AA$35)&lt;=AsOfDate,IF($R20=0,$X20,IF(AND($T20&lt;&gt;"",EDATE($D20,Milestones!$AA$35)&gt;=$T20),$W20,IF(AND($S20&lt;&gt;"",EDATE($D20,Milestones!$AA$35)&gt;=$S20),$V20,$U20)))=Milestones!$AB$35),UPPER(TEXT(EDATE($D20,Milestones!$AA$35),"dd mmm yy"))&amp;" "&amp;Milestones!$AB$35&amp;" "&amp;Milestones!$AC$35&amp;";  ","")&amp;IF(AND(EDATE($D20,Milestones!$AA$36)&lt;=AsOfDate,IF($R20=0,$X20,IF(AND($T20&lt;&gt;"",EDATE($D20,Milestones!$AA$36)&gt;=$T20),$W20,IF(AND($S20&lt;&gt;"",EDATE($D20,Milestones!$AA$36)&gt;=$S20),$V20,$U20)))=Milestones!$AB$36),UPPER(TEXT(EDATE($D20,Milestones!$AA$36),"dd mmm yy"))&amp;" "&amp;Milestones!$AB$36&amp;" "&amp;Milestones!$AC$36&amp;";  ","")&amp;IF(AND(EDATE($D20,Milestones!$AA$37)&lt;=AsOfDate,IF($R20=0,$X20,IF(AND($T20&lt;&gt;"",EDATE($D20,Milestones!$AA$37)&gt;=$T20),$W20,IF(AND($S20&lt;&gt;"",EDATE($D20,Milestones!$AA$37)&gt;=$S20),$V20,$U20)))=Milestones!$AB$37),UPPER(TEXT(EDATE($D20,Milestones!$AA$37),"dd mmm yy"))&amp;" "&amp;Milestones!$AB$37&amp;" "&amp;Milestones!$AC$37&amp;";  ","")&amp;IF(AND(EDATE($D20,Milestones!$AA$38)&lt;=AsOfDate,IF($R20=0,$X20,IF(AND($T20&lt;&gt;"",EDATE($D20,Milestones!$AA$38)&gt;=$T20),$W20,IF(AND($S20&lt;&gt;"",EDATE($D20,Milestones!$AA$38)&gt;=$S20),$V20,$U20)))=Milestones!$AB$38),UPPER(TEXT(EDATE($D20,Milestones!$AA$38),"dd mmm yy"))&amp;" "&amp;Milestones!$AB$38&amp;" "&amp;Milestones!$AC$38&amp;";  ","")&amp;IF(AND(EDATE($D20,Milestones!$AA$39)&lt;=AsOfDate,IF($R20=0,$X20,IF(AND($T20&lt;&gt;"",EDATE($D20,Milestones!$AA$39)&gt;=$T20),$W20,IF(AND($S20&lt;&gt;"",EDATE($D20,Milestones!$AA$39)&gt;=$S20),$V20,$U20)))=Milestones!$AB$39),UPPER(TEXT(EDATE($D20,Milestones!$AA$39),"dd mmm yy"))&amp;" "&amp;Milestones!$AB$39&amp;" "&amp;Milestones!$AC$39&amp;";  ",""))</f>
        <v/>
      </c>
      <c r="J20" s="0" t="str">
        <f aca="false">IF(OR($A20="",$D20=""),"",IF(AND(EDATE($D20,Milestones!$AA$40)&lt;=AsOfDate,IF($R20=0,$X20,IF(AND($T20&lt;&gt;"",EDATE($D20,Milestones!$AA$40)&gt;=$T20),$W20,IF(AND($S20&lt;&gt;"",EDATE($D20,Milestones!$AA$40)&gt;=$S20),$V20,$U20)))=Milestones!$AB$40),UPPER(TEXT(EDATE($D20,Milestones!$AA$40),"dd mmm yy"))&amp;" "&amp;Milestones!$AB$40&amp;" "&amp;Milestones!$AC$40&amp;";  ","")&amp;IF(AND(EDATE($D20,Milestones!$AA$41)&lt;=AsOfDate,IF($R20=0,$X20,IF(AND($T20&lt;&gt;"",EDATE($D20,Milestones!$AA$41)&gt;=$T20),$W20,IF(AND($S20&lt;&gt;"",EDATE($D20,Milestones!$AA$41)&gt;=$S20),$V20,$U20)))=Milestones!$AB$41),UPPER(TEXT(EDATE($D20,Milestones!$AA$41),"dd mmm yy"))&amp;" "&amp;Milestones!$AB$41&amp;" "&amp;Milestones!$AC$41&amp;";  ","")&amp;IF(AND(EDATE($D20,Milestones!$AA$42)&lt;=AsOfDate,IF($R20=0,$X20,IF(AND($T20&lt;&gt;"",EDATE($D20,Milestones!$AA$42)&gt;=$T20),$W20,IF(AND($S20&lt;&gt;"",EDATE($D20,Milestones!$AA$42)&gt;=$S20),$V20,$U20)))=Milestones!$AB$42),UPPER(TEXT(EDATE($D20,Milestones!$AA$42),"dd mmm yy"))&amp;" "&amp;Milestones!$AB$42&amp;" "&amp;Milestones!$AC$42&amp;";  ","")&amp;IF(AND(EDATE($D20,Milestones!$AA$43)&lt;=AsOfDate,IF($R20=0,$X20,IF(AND($T20&lt;&gt;"",EDATE($D20,Milestones!$AA$43)&gt;=$T20),$W20,IF(AND($S20&lt;&gt;"",EDATE($D20,Milestones!$AA$43)&gt;=$S20),$V20,$U20)))=Milestones!$AB$43),UPPER(TEXT(EDATE($D20,Milestones!$AA$43),"dd mmm yy"))&amp;" "&amp;Milestones!$AB$43&amp;" "&amp;Milestones!$AC$43&amp;";  ","")&amp;IF(AND(EDATE($D20,Milestones!$AA$44)&lt;=AsOfDate,IF($R20=0,$X20,IF(AND($T20&lt;&gt;"",EDATE($D20,Milestones!$AA$44)&gt;=$T20),$W20,IF(AND($S20&lt;&gt;"",EDATE($D20,Milestones!$AA$44)&gt;=$S20),$V20,$U20)))=Milestones!$AB$44),UPPER(TEXT(EDATE($D20,Milestones!$AA$44),"dd mmm yy"))&amp;" "&amp;Milestones!$AB$44&amp;" "&amp;Milestones!$AC$44&amp;";  ","")&amp;IF(AND(EDATE($D20,Milestones!$AA$45)&lt;=AsOfDate,IF($R20=0,$X20,IF(AND($T20&lt;&gt;"",EDATE($D20,Milestones!$AA$45)&gt;=$T20),$W20,IF(AND($S20&lt;&gt;"",EDATE($D20,Milestones!$AA$45)&gt;=$S20),$V20,$U20)))=Milestones!$AB$45),UPPER(TEXT(EDATE($D20,Milestones!$AA$45),"dd mmm yy"))&amp;" "&amp;Milestones!$AB$45&amp;" "&amp;Milestones!$AC$45&amp;";  ","")&amp;IF(AND(EDATE($D20,Milestones!$AA$46)&lt;=AsOfDate,IF($R20=0,$X20,IF(AND($T20&lt;&gt;"",EDATE($D20,Milestones!$AA$46)&gt;=$T20),$W20,IF(AND($S20&lt;&gt;"",EDATE($D20,Milestones!$AA$46)&gt;=$S20),$V20,$U20)))=Milestones!$AB$46),UPPER(TEXT(EDATE($D20,Milestones!$AA$46),"dd mmm yy"))&amp;" "&amp;Milestones!$AB$46&amp;" "&amp;Milestones!$AC$46&amp;";  ","")&amp;IF(AND(EDATE($D20,Milestones!$AA$47)&lt;=AsOfDate,IF($R20=0,$X20,IF(AND($T20&lt;&gt;"",EDATE($D20,Milestones!$AA$47)&gt;=$T20),$W20,IF(AND($S20&lt;&gt;"",EDATE($D20,Milestones!$AA$47)&gt;=$S20),$V20,$U20)))=Milestones!$AB$47),UPPER(TEXT(EDATE($D20,Milestones!$AA$47),"dd mmm yy"))&amp;" "&amp;Milestones!$AB$47&amp;" "&amp;Milestones!$AC$47&amp;";  ","")&amp;IF(AND(EDATE($D20,Milestones!$AA$48)&lt;=AsOfDate,IF($R20=0,$X20,IF(AND($T20&lt;&gt;"",EDATE($D20,Milestones!$AA$48)&gt;=$T20),$W20,IF(AND($S20&lt;&gt;"",EDATE($D20,Milestones!$AA$48)&gt;=$S20),$V20,$U20)))=Milestones!$AB$48),UPPER(TEXT(EDATE($D20,Milestones!$AA$48),"dd mmm yy"))&amp;" "&amp;Milestones!$AB$48&amp;" "&amp;Milestones!$AC$48&amp;";  ","")&amp;IF(AND(EDATE($D20,Milestones!$AA$49)&lt;=AsOfDate,IF($R20=0,$X20,IF(AND($T20&lt;&gt;"",EDATE($D20,Milestones!$AA$49)&gt;=$T20),$W20,IF(AND($S20&lt;&gt;"",EDATE($D20,Milestones!$AA$49)&gt;=$S20),$V20,$U20)))=Milestones!$AB$49),UPPER(TEXT(EDATE($D20,Milestones!$AA$49),"dd mmm yy"))&amp;" "&amp;Milestones!$AB$49&amp;" "&amp;Milestones!$AC$49&amp;";  ","")&amp;IF(AND(EDATE($D20,Milestones!$AA$50)&lt;=AsOfDate,IF($R20=0,$X20,IF(AND($T20&lt;&gt;"",EDATE($D20,Milestones!$AA$50)&gt;=$T20),$W20,IF(AND($S20&lt;&gt;"",EDATE($D20,Milestones!$AA$50)&gt;=$S20),$V20,$U20)))=Milestones!$AB$50),UPPER(TEXT(EDATE($D20,Milestones!$AA$50),"dd mmm yy"))&amp;" "&amp;Milestones!$AB$50&amp;" "&amp;Milestones!$AC$50&amp;";  ","")&amp;IF(AND(EDATE($D20,Milestones!$AA$51)&lt;=AsOfDate,IF($R20=0,$X20,IF(AND($T20&lt;&gt;"",EDATE($D20,Milestones!$AA$51)&gt;=$T20),$W20,IF(AND($S20&lt;&gt;"",EDATE($D20,Milestones!$AA$51)&gt;=$S20),$V20,$U20)))=Milestones!$AB$51),UPPER(TEXT(EDATE($D20,Milestones!$AA$51),"dd mmm yy"))&amp;" "&amp;Milestones!$AB$51&amp;" "&amp;Milestones!$AC$51&amp;";  ","")&amp;IF(AND(EDATE($D20,Milestones!$AA$52)&lt;=AsOfDate,IF($R20=0,$X20,IF(AND($T20&lt;&gt;"",EDATE($D20,Milestones!$AA$52)&gt;=$T20),$W20,IF(AND($S20&lt;&gt;"",EDATE($D20,Milestones!$AA$52)&gt;=$S20),$V20,$U20)))=Milestones!$AB$52),UPPER(TEXT(EDATE($D20,Milestones!$AA$52),"dd mmm yy"))&amp;" "&amp;Milestones!$AB$52&amp;" "&amp;Milestones!$AC$52&amp;";  ","")&amp;IF(AND(EDATE($D20,Milestones!$AA$53)&lt;=AsOfDate,IF($R20=0,$X20,IF(AND($T20&lt;&gt;"",EDATE($D20,Milestones!$AA$53)&gt;=$T20),$W20,IF(AND($S20&lt;&gt;"",EDATE($D20,Milestones!$AA$53)&gt;=$S20),$V20,$U20)))=Milestones!$AB$53),UPPER(TEXT(EDATE($D20,Milestones!$AA$53),"dd mmm yy"))&amp;" "&amp;Milestones!$AB$53&amp;" "&amp;Milestones!$AC$53&amp;";  ","")&amp;IF(AND(EDATE($D20,Milestones!$AA$54)&lt;=AsOfDate,IF($R20=0,$X20,IF(AND($T20&lt;&gt;"",EDATE($D20,Milestones!$AA$54)&gt;=$T20),$W20,IF(AND($S20&lt;&gt;"",EDATE($D20,Milestones!$AA$54)&gt;=$S20),$V20,$U20)))=Milestones!$AB$54),UPPER(TEXT(EDATE($D20,Milestones!$AA$54),"dd mmm yy"))&amp;" "&amp;Milestones!$AB$54&amp;" "&amp;Milestones!$AC$54&amp;";  ","")&amp;IF(AND(EDATE($D20,Milestones!$AA$55)&lt;=AsOfDate,IF($R20=0,$X20,IF(AND($T20&lt;&gt;"",EDATE($D20,Milestones!$AA$55)&gt;=$T20),$W20,IF(AND($S20&lt;&gt;"",EDATE($D20,Milestones!$AA$55)&gt;=$S20),$V20,$U20)))=Milestones!$AB$55),UPPER(TEXT(EDATE($D20,Milestones!$AA$55),"dd mmm yy"))&amp;" "&amp;Milestones!$AB$55&amp;" "&amp;Milestones!$AC$55&amp;";  ","")&amp;IF(AND(EDATE($D20,Milestones!$AA$56)&lt;=AsOfDate,IF($R20=0,$X20,IF(AND($T20&lt;&gt;"",EDATE($D20,Milestones!$AA$56)&gt;=$T20),$W20,IF(AND($S20&lt;&gt;"",EDATE($D20,Milestones!$AA$56)&gt;=$S20),$V20,$U20)))=Milestones!$AB$56),UPPER(TEXT(EDATE($D20,Milestones!$AA$56),"dd mmm yy"))&amp;" "&amp;Milestones!$AB$56&amp;" "&amp;Milestones!$AC$56&amp;";  ","")&amp;IF(AND(EDATE($D20,Milestones!$AA$57)&lt;=AsOfDate,IF($R20=0,$X20,IF(AND($T20&lt;&gt;"",EDATE($D20,Milestones!$AA$57)&gt;=$T20),$W20,IF(AND($S20&lt;&gt;"",EDATE($D20,Milestones!$AA$57)&gt;=$S20),$V20,$U20)))=Milestones!$AB$57),UPPER(TEXT(EDATE($D20,Milestones!$AA$57),"dd mmm yy"))&amp;" "&amp;Milestones!$AB$57&amp;" "&amp;Milestones!$AC$57&amp;";  ","")&amp;IF(AND(EDATE($D20,Milestones!$AA$58)&lt;=AsOfDate,IF($R20=0,$X20,IF(AND($T20&lt;&gt;"",EDATE($D20,Milestones!$AA$58)&gt;=$T20),$W20,IF(AND($S20&lt;&gt;"",EDATE($D20,Milestones!$AA$58)&gt;=$S20),$V20,$U20)))=Milestones!$AB$58),UPPER(TEXT(EDATE($D20,Milestones!$AA$58),"dd mmm yy"))&amp;" "&amp;Milestones!$AB$58&amp;" "&amp;Milestones!$AC$58&amp;";  ","")&amp;IF(AND(EDATE($D20,Milestones!$AA$59)&lt;=AsOfDate,IF($R20=0,$X20,IF(AND($T20&lt;&gt;"",EDATE($D20,Milestones!$AA$59)&gt;=$T20),$W20,IF(AND($S20&lt;&gt;"",EDATE($D20,Milestones!$AA$59)&gt;=$S20),$V20,$U20)))=Milestones!$AB$59),UPPER(TEXT(EDATE($D20,Milestones!$AA$59),"dd mmm yy"))&amp;" "&amp;Milestones!$AB$59&amp;" "&amp;Milestones!$AC$59&amp;";  ",""))</f>
        <v/>
      </c>
      <c r="K20" s="0" t="str">
        <f aca="false">IF(OR($A20="",$D20=""),"",IF(AND(EDATE($D20,Milestones!$AA$60)&lt;=AsOfDate,IF($R20=0,$X20,IF(AND($T20&lt;&gt;"",EDATE($D20,Milestones!$AA$60)&gt;=$T20),$W20,IF(AND($S20&lt;&gt;"",EDATE($D20,Milestones!$AA$60)&gt;=$S20),$V20,$U20)))=Milestones!$AB$60),UPPER(TEXT(EDATE($D20,Milestones!$AA$60),"dd mmm yy"))&amp;" "&amp;Milestones!$AB$60&amp;" "&amp;Milestones!$AC$60&amp;";  ","")&amp;IF(AND(EDATE($D20,Milestones!$AA$61)&lt;=AsOfDate,IF($R20=0,$X20,IF(AND($T20&lt;&gt;"",EDATE($D20,Milestones!$AA$61)&gt;=$T20),$W20,IF(AND($S20&lt;&gt;"",EDATE($D20,Milestones!$AA$61)&gt;=$S20),$V20,$U20)))=Milestones!$AB$61),UPPER(TEXT(EDATE($D20,Milestones!$AA$61),"dd mmm yy"))&amp;" "&amp;Milestones!$AB$61&amp;" "&amp;Milestones!$AC$61&amp;";  ","")&amp;IF(AND(EDATE($D20,Milestones!$AA$62)&lt;=AsOfDate,IF($R20=0,$X20,IF(AND($T20&lt;&gt;"",EDATE($D20,Milestones!$AA$62)&gt;=$T20),$W20,IF(AND($S20&lt;&gt;"",EDATE($D20,Milestones!$AA$62)&gt;=$S20),$V20,$U20)))=Milestones!$AB$62),UPPER(TEXT(EDATE($D20,Milestones!$AA$62),"dd mmm yy"))&amp;" "&amp;Milestones!$AB$62&amp;" "&amp;Milestones!$AC$62&amp;";  ","")&amp;IF(AND(EDATE($D20,Milestones!$AA$63)&lt;=AsOfDate,IF($R20=0,$X20,IF(AND($T20&lt;&gt;"",EDATE($D20,Milestones!$AA$63)&gt;=$T20),$W20,IF(AND($S20&lt;&gt;"",EDATE($D20,Milestones!$AA$63)&gt;=$S20),$V20,$U20)))=Milestones!$AB$63),UPPER(TEXT(EDATE($D20,Milestones!$AA$63),"dd mmm yy"))&amp;" "&amp;Milestones!$AB$63&amp;" "&amp;Milestones!$AC$63&amp;";  ","")&amp;IF(AND(EDATE($D20,Milestones!$AA$64)&lt;=AsOfDate,IF($R20=0,$X20,IF(AND($T20&lt;&gt;"",EDATE($D20,Milestones!$AA$64)&gt;=$T20),$W20,IF(AND($S20&lt;&gt;"",EDATE($D20,Milestones!$AA$64)&gt;=$S20),$V20,$U20)))=Milestones!$AB$64),UPPER(TEXT(EDATE($D20,Milestones!$AA$64),"dd mmm yy"))&amp;" "&amp;Milestones!$AB$64&amp;" "&amp;Milestones!$AC$64&amp;";  ","")&amp;IF(AND(EDATE($D20,Milestones!$AA$65)&lt;=AsOfDate,IF($R20=0,$X20,IF(AND($T20&lt;&gt;"",EDATE($D20,Milestones!$AA$65)&gt;=$T20),$W20,IF(AND($S20&lt;&gt;"",EDATE($D20,Milestones!$AA$65)&gt;=$S20),$V20,$U20)))=Milestones!$AB$65),UPPER(TEXT(EDATE($D20,Milestones!$AA$65),"dd mmm yy"))&amp;" "&amp;Milestones!$AB$65&amp;" "&amp;Milestones!$AC$65&amp;";  ","")&amp;IF(AND(EDATE($D20,Milestones!$AA$66)&lt;=AsOfDate,IF($R20=0,$X20,IF(AND($T20&lt;&gt;"",EDATE($D20,Milestones!$AA$66)&gt;=$T20),$W20,IF(AND($S20&lt;&gt;"",EDATE($D20,Milestones!$AA$66)&gt;=$S20),$V20,$U20)))=Milestones!$AB$66),UPPER(TEXT(EDATE($D20,Milestones!$AA$66),"dd mmm yy"))&amp;" "&amp;Milestones!$AB$66&amp;" "&amp;Milestones!$AC$66&amp;";  ","")&amp;IF(AND(EDATE($D20,Milestones!$AA$67)&lt;=AsOfDate,IF($R20=0,$X20,IF(AND($T20&lt;&gt;"",EDATE($D20,Milestones!$AA$67)&gt;=$T20),$W20,IF(AND($S20&lt;&gt;"",EDATE($D20,Milestones!$AA$67)&gt;=$S20),$V20,$U20)))=Milestones!$AB$67),UPPER(TEXT(EDATE($D20,Milestones!$AA$67),"dd mmm yy"))&amp;" "&amp;Milestones!$AB$67&amp;" "&amp;Milestones!$AC$67&amp;";  ","")&amp;IF(AND(EDATE($D20,Milestones!$AA$68)&lt;=AsOfDate,IF($R20=0,$X20,IF(AND($T20&lt;&gt;"",EDATE($D20,Milestones!$AA$68)&gt;=$T20),$W20,IF(AND($S20&lt;&gt;"",EDATE($D20,Milestones!$AA$68)&gt;=$S20),$V20,$U20)))=Milestones!$AB$68),UPPER(TEXT(EDATE($D20,Milestones!$AA$68),"dd mmm yy"))&amp;" "&amp;Milestones!$AB$68&amp;" "&amp;Milestones!$AC$68&amp;";  ","")&amp;IF(AND(EDATE($D20,Milestones!$AA$69)&lt;=AsOfDate,IF($R20=0,$X20,IF(AND($T20&lt;&gt;"",EDATE($D20,Milestones!$AA$69)&gt;=$T20),$W20,IF(AND($S20&lt;&gt;"",EDATE($D20,Milestones!$AA$69)&gt;=$S20),$V20,$U20)))=Milestones!$AB$69),UPPER(TEXT(EDATE($D20,Milestones!$AA$69),"dd mmm yy"))&amp;" "&amp;Milestones!$AB$69&amp;" "&amp;Milestones!$AC$69&amp;";  ","")&amp;IF(AND(EDATE($D20,Milestones!$AA$70)&lt;=AsOfDate,IF($R20=0,$X20,IF(AND($T20&lt;&gt;"",EDATE($D20,Milestones!$AA$70)&gt;=$T20),$W20,IF(AND($S20&lt;&gt;"",EDATE($D20,Milestones!$AA$70)&gt;=$S20),$V20,$U20)))=Milestones!$AB$70),UPPER(TEXT(EDATE($D20,Milestones!$AA$70),"dd mmm yy"))&amp;" "&amp;Milestones!$AB$70&amp;" "&amp;Milestones!$AC$70&amp;";  ","")&amp;IF(AND(EDATE($D20,Milestones!$AA$71)&lt;=AsOfDate,IF($R20=0,$X20,IF(AND($T20&lt;&gt;"",EDATE($D20,Milestones!$AA$71)&gt;=$T20),$W20,IF(AND($S20&lt;&gt;"",EDATE($D20,Milestones!$AA$71)&gt;=$S20),$V20,$U20)))=Milestones!$AB$71),UPPER(TEXT(EDATE($D20,Milestones!$AA$71),"dd mmm yy"))&amp;" "&amp;Milestones!$AB$71&amp;" "&amp;Milestones!$AC$71&amp;";  ","")&amp;IF(AND(EDATE($D20,Milestones!$AA$72)&lt;=AsOfDate,IF($R20=0,$X20,IF(AND($T20&lt;&gt;"",EDATE($D20,Milestones!$AA$72)&gt;=$T20),$W20,IF(AND($S20&lt;&gt;"",EDATE($D20,Milestones!$AA$72)&gt;=$S20),$V20,$U20)))=Milestones!$AB$72),UPPER(TEXT(EDATE($D20,Milestones!$AA$72),"dd mmm yy"))&amp;" "&amp;Milestones!$AB$72&amp;" "&amp;Milestones!$AC$72&amp;";  ","")&amp;IF(AND(EDATE($D20,Milestones!$AA$73)&lt;=AsOfDate,IF($R20=0,$X20,IF(AND($T20&lt;&gt;"",EDATE($D20,Milestones!$AA$73)&gt;=$T20),$W20,IF(AND($S20&lt;&gt;"",EDATE($D20,Milestones!$AA$73)&gt;=$S20),$V20,$U20)))=Milestones!$AB$73),UPPER(TEXT(EDATE($D20,Milestones!$AA$73),"dd mmm yy"))&amp;" "&amp;Milestones!$AB$73&amp;" "&amp;Milestones!$AC$73&amp;";  ","")&amp;IF(AND(EDATE($D20,Milestones!$AA$74)&lt;=AsOfDate,IF($R20=0,$X20,IF(AND($T20&lt;&gt;"",EDATE($D20,Milestones!$AA$74)&gt;=$T20),$W20,IF(AND($S20&lt;&gt;"",EDATE($D20,Milestones!$AA$74)&gt;=$S20),$V20,$U20)))=Milestones!$AB$74),UPPER(TEXT(EDATE($D20,Milestones!$AA$74),"dd mmm yy"))&amp;" "&amp;Milestones!$AB$74&amp;" "&amp;Milestones!$AC$74&amp;";  ","")&amp;IF(AND(EDATE($D20,Milestones!$AA$75)&lt;=AsOfDate,IF($R20=0,$X20,IF(AND($T20&lt;&gt;"",EDATE($D20,Milestones!$AA$75)&gt;=$T20),$W20,IF(AND($S20&lt;&gt;"",EDATE($D20,Milestones!$AA$75)&gt;=$S20),$V20,$U20)))=Milestones!$AB$75),UPPER(TEXT(EDATE($D20,Milestones!$AA$75),"dd mmm yy"))&amp;" "&amp;Milestones!$AB$75&amp;" "&amp;Milestones!$AC$75&amp;";  ","")&amp;IF(AND(EDATE($D20,Milestones!$AA$76)&lt;=AsOfDate,IF($R20=0,$X20,IF(AND($T20&lt;&gt;"",EDATE($D20,Milestones!$AA$76)&gt;=$T20),$W20,IF(AND($S20&lt;&gt;"",EDATE($D20,Milestones!$AA$76)&gt;=$S20),$V20,$U20)))=Milestones!$AB$76),UPPER(TEXT(EDATE($D20,Milestones!$AA$76),"dd mmm yy"))&amp;" "&amp;Milestones!$AB$76&amp;" "&amp;Milestones!$AC$76&amp;";  ","")&amp;IF(AND(EDATE($D20,Milestones!$AA$77)&lt;=AsOfDate,IF($R20=0,$X20,IF(AND($T20&lt;&gt;"",EDATE($D20,Milestones!$AA$77)&gt;=$T20),$W20,IF(AND($S20&lt;&gt;"",EDATE($D20,Milestones!$AA$77)&gt;=$S20),$V20,$U20)))=Milestones!$AB$77),UPPER(TEXT(EDATE($D20,Milestones!$AA$77),"dd mmm yy"))&amp;" "&amp;Milestones!$AB$77&amp;" "&amp;Milestones!$AC$77&amp;";  ","")&amp;IF(AND(EDATE($D20,Milestones!$AA$78)&lt;=AsOfDate,IF($R20=0,$X20,IF(AND($T20&lt;&gt;"",EDATE($D20,Milestones!$AA$78)&gt;=$T20),$W20,IF(AND($S20&lt;&gt;"",EDATE($D20,Milestones!$AA$78)&gt;=$S20),$V20,$U20)))=Milestones!$AB$78),UPPER(TEXT(EDATE($D20,Milestones!$AA$78),"dd mmm yy"))&amp;" "&amp;Milestones!$AB$78&amp;" "&amp;Milestones!$AC$78&amp;";  ","")&amp;IF(AND(EDATE($D20,Milestones!$AA$79)&lt;=AsOfDate,IF($R20=0,$X20,IF(AND($T20&lt;&gt;"",EDATE($D20,Milestones!$AA$79)&gt;=$T20),$W20,IF(AND($S20&lt;&gt;"",EDATE($D20,Milestones!$AA$79)&gt;=$S20),$V20,$U20)))=Milestones!$AB$79),UPPER(TEXT(EDATE($D20,Milestones!$AA$79),"dd mmm yy"))&amp;" "&amp;Milestones!$AB$79&amp;" "&amp;Milestones!$AC$79&amp;";  ",""))</f>
        <v/>
      </c>
      <c r="L20" s="0" t="str">
        <f aca="false">IF(OR($A20="",$D20=""),"",IF(AND(EDATE($D20,Milestones!$AA$80)&lt;=AsOfDate,IF($R20=0,$X20,IF(AND($T20&lt;&gt;"",EDATE($D20,Milestones!$AA$80)&gt;=$T20),$W20,IF(AND($S20&lt;&gt;"",EDATE($D20,Milestones!$AA$80)&gt;=$S20),$V20,$U20)))=Milestones!$AB$80),UPPER(TEXT(EDATE($D20,Milestones!$AA$80),"dd mmm yy"))&amp;" "&amp;Milestones!$AB$80&amp;" "&amp;Milestones!$AC$80&amp;";  ","")&amp;IF(AND(EDATE($D20,Milestones!$AA$81)&lt;=AsOfDate,IF($R20=0,$X20,IF(AND($T20&lt;&gt;"",EDATE($D20,Milestones!$AA$81)&gt;=$T20),$W20,IF(AND($S20&lt;&gt;"",EDATE($D20,Milestones!$AA$81)&gt;=$S20),$V20,$U20)))=Milestones!$AB$81),UPPER(TEXT(EDATE($D20,Milestones!$AA$81),"dd mmm yy"))&amp;" "&amp;Milestones!$AB$81&amp;" "&amp;Milestones!$AC$81&amp;";  ","")&amp;IF(AND(EDATE($D20,Milestones!$AA$82)&lt;=AsOfDate,IF($R20=0,$X20,IF(AND($T20&lt;&gt;"",EDATE($D20,Milestones!$AA$82)&gt;=$T20),$W20,IF(AND($S20&lt;&gt;"",EDATE($D20,Milestones!$AA$82)&gt;=$S20),$V20,$U20)))=Milestones!$AB$82),UPPER(TEXT(EDATE($D20,Milestones!$AA$82),"dd mmm yy"))&amp;" "&amp;Milestones!$AB$82&amp;" "&amp;Milestones!$AC$82&amp;";  ","")&amp;IF(AND(EDATE($D20,Milestones!$AA$83)&lt;=AsOfDate,IF($R20=0,$X20,IF(AND($T20&lt;&gt;"",EDATE($D20,Milestones!$AA$83)&gt;=$T20),$W20,IF(AND($S20&lt;&gt;"",EDATE($D20,Milestones!$AA$83)&gt;=$S20),$V20,$U20)))=Milestones!$AB$83),UPPER(TEXT(EDATE($D20,Milestones!$AA$83),"dd mmm yy"))&amp;" "&amp;Milestones!$AB$83&amp;" "&amp;Milestones!$AC$83&amp;";  ","")&amp;IF(AND(EDATE($D20,Milestones!$AA$84)&lt;=AsOfDate,IF($R20=0,$X20,IF(AND($T20&lt;&gt;"",EDATE($D20,Milestones!$AA$84)&gt;=$T20),$W20,IF(AND($S20&lt;&gt;"",EDATE($D20,Milestones!$AA$84)&gt;=$S20),$V20,$U20)))=Milestones!$AB$84),UPPER(TEXT(EDATE($D20,Milestones!$AA$84),"dd mmm yy"))&amp;" "&amp;Milestones!$AB$84&amp;" "&amp;Milestones!$AC$84&amp;";  ","")&amp;IF(AND(EDATE($D20,Milestones!$AA$85)&lt;=AsOfDate,IF($R20=0,$X20,IF(AND($T20&lt;&gt;"",EDATE($D20,Milestones!$AA$85)&gt;=$T20),$W20,IF(AND($S20&lt;&gt;"",EDATE($D20,Milestones!$AA$85)&gt;=$S20),$V20,$U20)))=Milestones!$AB$85),UPPER(TEXT(EDATE($D20,Milestones!$AA$85),"dd mmm yy"))&amp;" "&amp;Milestones!$AB$85&amp;" "&amp;Milestones!$AC$85&amp;";  ","")&amp;IF(AND(EDATE($D20,Milestones!$AA$86)&lt;=AsOfDate,IF($R20=0,$X20,IF(AND($T20&lt;&gt;"",EDATE($D20,Milestones!$AA$86)&gt;=$T20),$W20,IF(AND($S20&lt;&gt;"",EDATE($D20,Milestones!$AA$86)&gt;=$S20),$V20,$U20)))=Milestones!$AB$86),UPPER(TEXT(EDATE($D20,Milestones!$AA$86),"dd mmm yy"))&amp;" "&amp;Milestones!$AB$86&amp;" "&amp;Milestones!$AC$86&amp;";  ","")&amp;IF(AND(EDATE($D20,Milestones!$AA$87)&lt;=AsOfDate,IF($R20=0,$X20,IF(AND($T20&lt;&gt;"",EDATE($D20,Milestones!$AA$87)&gt;=$T20),$W20,IF(AND($S20&lt;&gt;"",EDATE($D20,Milestones!$AA$87)&gt;=$S20),$V20,$U20)))=Milestones!$AB$87),UPPER(TEXT(EDATE($D20,Milestones!$AA$87),"dd mmm yy"))&amp;" "&amp;Milestones!$AB$87&amp;" "&amp;Milestones!$AC$87&amp;";  ","")&amp;IF(AND(EDATE($D20,Milestones!$AA$88)&lt;=AsOfDate,IF($R20=0,$X20,IF(AND($T20&lt;&gt;"",EDATE($D20,Milestones!$AA$88)&gt;=$T20),$W20,IF(AND($S20&lt;&gt;"",EDATE($D20,Milestones!$AA$88)&gt;=$S20),$V20,$U20)))=Milestones!$AB$88),UPPER(TEXT(EDATE($D20,Milestones!$AA$88),"dd mmm yy"))&amp;" "&amp;Milestones!$AB$88&amp;" "&amp;Milestones!$AC$88&amp;";  ","")&amp;IF(AND(EDATE($D20,Milestones!$AA$89)&lt;=AsOfDate,IF($R20=0,$X20,IF(AND($T20&lt;&gt;"",EDATE($D20,Milestones!$AA$89)&gt;=$T20),$W20,IF(AND($S20&lt;&gt;"",EDATE($D20,Milestones!$AA$89)&gt;=$S20),$V20,$U20)))=Milestones!$AB$89),UPPER(TEXT(EDATE($D20,Milestones!$AA$89),"dd mmm yy"))&amp;" "&amp;Milestones!$AB$89&amp;" "&amp;Milestones!$AC$89&amp;";  ","")&amp;IF(AND(EDATE($D20,Milestones!$AA$90)&lt;=AsOfDate,IF($R20=0,$X20,IF(AND($T20&lt;&gt;"",EDATE($D20,Milestones!$AA$90)&gt;=$T20),$W20,IF(AND($S20&lt;&gt;"",EDATE($D20,Milestones!$AA$90)&gt;=$S20),$V20,$U20)))=Milestones!$AB$90),UPPER(TEXT(EDATE($D20,Milestones!$AA$90),"dd mmm yy"))&amp;" "&amp;Milestones!$AB$90&amp;" "&amp;Milestones!$AC$90&amp;";  ","")&amp;IF(AND(EDATE($D20,Milestones!$AA$91)&lt;=AsOfDate,IF($R20=0,$X20,IF(AND($T20&lt;&gt;"",EDATE($D20,Milestones!$AA$91)&gt;=$T20),$W20,IF(AND($S20&lt;&gt;"",EDATE($D20,Milestones!$AA$91)&gt;=$S20),$V20,$U20)))=Milestones!$AB$91),UPPER(TEXT(EDATE($D20,Milestones!$AA$91),"dd mmm yy"))&amp;" "&amp;Milestones!$AB$91&amp;" "&amp;Milestones!$AC$91&amp;";  ","")&amp;IF(AND(EDATE($D20,Milestones!$AA$92)&lt;=AsOfDate,IF($R20=0,$X20,IF(AND($T20&lt;&gt;"",EDATE($D20,Milestones!$AA$92)&gt;=$T20),$W20,IF(AND($S20&lt;&gt;"",EDATE($D20,Milestones!$AA$92)&gt;=$S20),$V20,$U20)))=Milestones!$AB$92),UPPER(TEXT(EDATE($D20,Milestones!$AA$92),"dd mmm yy"))&amp;" "&amp;Milestones!$AB$92&amp;" "&amp;Milestones!$AC$92&amp;";  ","")&amp;IF(AND(EDATE($D20,Milestones!$AA$93)&lt;=AsOfDate,IF($R20=0,$X20,IF(AND($T20&lt;&gt;"",EDATE($D20,Milestones!$AA$93)&gt;=$T20),$W20,IF(AND($S20&lt;&gt;"",EDATE($D20,Milestones!$AA$93)&gt;=$S20),$V20,$U20)))=Milestones!$AB$93),UPPER(TEXT(EDATE($D20,Milestones!$AA$93),"dd mmm yy"))&amp;" "&amp;Milestones!$AB$93&amp;" "&amp;Milestones!$AC$93&amp;";  ","")&amp;IF(AND(EDATE($D20,Milestones!$AA$94)&lt;=AsOfDate,IF($R20=0,$X20,IF(AND($T20&lt;&gt;"",EDATE($D20,Milestones!$AA$94)&gt;=$T20),$W20,IF(AND($S20&lt;&gt;"",EDATE($D20,Milestones!$AA$94)&gt;=$S20),$V20,$U20)))=Milestones!$AB$94),UPPER(TEXT(EDATE($D20,Milestones!$AA$94),"dd mmm yy"))&amp;" "&amp;Milestones!$AB$94&amp;" "&amp;Milestones!$AC$94&amp;";  ","")&amp;IF(AND(EDATE($D20,Milestones!$AA$95)&lt;=AsOfDate,IF($R20=0,$X20,IF(AND($T20&lt;&gt;"",EDATE($D20,Milestones!$AA$95)&gt;=$T20),$W20,IF(AND($S20&lt;&gt;"",EDATE($D20,Milestones!$AA$95)&gt;=$S20),$V20,$U20)))=Milestones!$AB$95),UPPER(TEXT(EDATE($D20,Milestones!$AA$95),"dd mmm yy"))&amp;" "&amp;Milestones!$AB$95&amp;" "&amp;Milestones!$AC$95&amp;";  ","")&amp;IF(AND(EDATE($D20,Milestones!$AA$96)&lt;=AsOfDate,IF($R20=0,$X20,IF(AND($T20&lt;&gt;"",EDATE($D20,Milestones!$AA$96)&gt;=$T20),$W20,IF(AND($S20&lt;&gt;"",EDATE($D20,Milestones!$AA$96)&gt;=$S20),$V20,$U20)))=Milestones!$AB$96),UPPER(TEXT(EDATE($D20,Milestones!$AA$96),"dd mmm yy"))&amp;" "&amp;Milestones!$AB$96&amp;" "&amp;Milestones!$AC$96&amp;";  ","")&amp;IF(AND(EDATE($D20,Milestones!$AA$97)&lt;=AsOfDate,IF($R20=0,$X20,IF(AND($T20&lt;&gt;"",EDATE($D20,Milestones!$AA$97)&gt;=$T20),$W20,IF(AND($S20&lt;&gt;"",EDATE($D20,Milestones!$AA$97)&gt;=$S20),$V20,$U20)))=Milestones!$AB$97),UPPER(TEXT(EDATE($D20,Milestones!$AA$97),"dd mmm yy"))&amp;" "&amp;Milestones!$AB$97&amp;" "&amp;Milestones!$AC$97&amp;";  ","")&amp;IF(AND(EDATE($D20,Milestones!$AA$98)&lt;=AsOfDate,IF($R20=0,$X20,IF(AND($T20&lt;&gt;"",EDATE($D20,Milestones!$AA$98)&gt;=$T20),$W20,IF(AND($S20&lt;&gt;"",EDATE($D20,Milestones!$AA$98)&gt;=$S20),$V20,$U20)))=Milestones!$AB$98),UPPER(TEXT(EDATE($D20,Milestones!$AA$98),"dd mmm yy"))&amp;" "&amp;Milestones!$AB$98&amp;" "&amp;Milestones!$AC$98&amp;";  ","")&amp;IF(AND(EDATE($D20,Milestones!$AA$99)&lt;=AsOfDate,IF($R20=0,$X20,IF(AND($T20&lt;&gt;"",EDATE($D20,Milestones!$AA$99)&gt;=$T20),$W20,IF(AND($S20&lt;&gt;"",EDATE($D20,Milestones!$AA$99)&gt;=$S20),$V20,$U20)))=Milestones!$AB$99),UPPER(TEXT(EDATE($D20,Milestones!$AA$99),"dd mmm yy"))&amp;" "&amp;Milestones!$AB$99&amp;" "&amp;Milestones!$AC$99&amp;";  ",""))</f>
        <v/>
      </c>
      <c r="M20" s="0" t="str">
        <f aca="false">IF(OR($A20="",$D20=""),"",IF(AND(EDATE($D20,Milestones!$AA$100)&lt;=AsOfDate,IF($R20=0,$X20,IF(AND($T20&lt;&gt;"",EDATE($D20,Milestones!$AA$100)&gt;=$T20),$W20,IF(AND($S20&lt;&gt;"",EDATE($D20,Milestones!$AA$100)&gt;=$S20),$V20,$U20)))=Milestones!$AB$100),UPPER(TEXT(EDATE($D20,Milestones!$AA$100),"dd mmm yy"))&amp;" "&amp;Milestones!$AB$100&amp;" "&amp;Milestones!$AC$100&amp;";  ","")&amp;IF(AND(EDATE($D20,Milestones!$AA$101)&lt;=AsOfDate,IF($R20=0,$X20,IF(AND($T20&lt;&gt;"",EDATE($D20,Milestones!$AA$101)&gt;=$T20),$W20,IF(AND($S20&lt;&gt;"",EDATE($D20,Milestones!$AA$101)&gt;=$S20),$V20,$U20)))=Milestones!$AB$101),UPPER(TEXT(EDATE($D20,Milestones!$AA$101),"dd mmm yy"))&amp;" "&amp;Milestones!$AB$101&amp;" "&amp;Milestones!$AC$101&amp;";  ","")&amp;IF(AND(EDATE($D20,Milestones!$AA$102)&lt;=AsOfDate,IF($R20=0,$X20,IF(AND($T20&lt;&gt;"",EDATE($D20,Milestones!$AA$102)&gt;=$T20),$W20,IF(AND($S20&lt;&gt;"",EDATE($D20,Milestones!$AA$102)&gt;=$S20),$V20,$U20)))=Milestones!$AB$102),UPPER(TEXT(EDATE($D20,Milestones!$AA$102),"dd mmm yy"))&amp;" "&amp;Milestones!$AB$102&amp;" "&amp;Milestones!$AC$102&amp;";  ","")&amp;IF(AND(EDATE($D20,Milestones!$AA$103)&lt;=AsOfDate,IF($R20=0,$X20,IF(AND($T20&lt;&gt;"",EDATE($D20,Milestones!$AA$103)&gt;=$T20),$W20,IF(AND($S20&lt;&gt;"",EDATE($D20,Milestones!$AA$103)&gt;=$S20),$V20,$U20)))=Milestones!$AB$103),UPPER(TEXT(EDATE($D20,Milestones!$AA$103),"dd mmm yy"))&amp;" "&amp;Milestones!$AB$103&amp;" "&amp;Milestones!$AC$103&amp;";  ","")&amp;IF(AND(EDATE($D20,Milestones!$AA$104)&lt;=AsOfDate,IF($R20=0,$X20,IF(AND($T20&lt;&gt;"",EDATE($D20,Milestones!$AA$104)&gt;=$T20),$W20,IF(AND($S20&lt;&gt;"",EDATE($D20,Milestones!$AA$104)&gt;=$S20),$V20,$U20)))=Milestones!$AB$104),UPPER(TEXT(EDATE($D20,Milestones!$AA$104),"dd mmm yy"))&amp;" "&amp;Milestones!$AB$104&amp;" "&amp;Milestones!$AC$104&amp;";  ","")&amp;IF(AND(EDATE($D20,Milestones!$AA$105)&lt;=AsOfDate,IF($R20=0,$X20,IF(AND($T20&lt;&gt;"",EDATE($D20,Milestones!$AA$105)&gt;=$T20),$W20,IF(AND($S20&lt;&gt;"",EDATE($D20,Milestones!$AA$105)&gt;=$S20),$V20,$U20)))=Milestones!$AB$105),UPPER(TEXT(EDATE($D20,Milestones!$AA$105),"dd mmm yy"))&amp;" "&amp;Milestones!$AB$105&amp;" "&amp;Milestones!$AC$105&amp;";  ","")&amp;IF(AND(EDATE($D20,Milestones!$AA$106)&lt;=AsOfDate,IF($R20=0,$X20,IF(AND($T20&lt;&gt;"",EDATE($D20,Milestones!$AA$106)&gt;=$T20),$W20,IF(AND($S20&lt;&gt;"",EDATE($D20,Milestones!$AA$106)&gt;=$S20),$V20,$U20)))=Milestones!$AB$106),UPPER(TEXT(EDATE($D20,Milestones!$AA$106),"dd mmm yy"))&amp;" "&amp;Milestones!$AB$106&amp;" "&amp;Milestones!$AC$106&amp;";  ","")&amp;IF(AND(EDATE($D20,Milestones!$AA$107)&lt;=AsOfDate,IF($R20=0,$X20,IF(AND($T20&lt;&gt;"",EDATE($D20,Milestones!$AA$107)&gt;=$T20),$W20,IF(AND($S20&lt;&gt;"",EDATE($D20,Milestones!$AA$107)&gt;=$S20),$V20,$U20)))=Milestones!$AB$107),UPPER(TEXT(EDATE($D20,Milestones!$AA$107),"dd mmm yy"))&amp;" "&amp;Milestones!$AB$107&amp;" "&amp;Milestones!$AC$107&amp;";  ","")&amp;IF(AND(EDATE($D20,Milestones!$AA$108)&lt;=AsOfDate,IF($R20=0,$X20,IF(AND($T20&lt;&gt;"",EDATE($D20,Milestones!$AA$108)&gt;=$T20),$W20,IF(AND($S20&lt;&gt;"",EDATE($D20,Milestones!$AA$108)&gt;=$S20),$V20,$U20)))=Milestones!$AB$108),UPPER(TEXT(EDATE($D20,Milestones!$AA$108),"dd mmm yy"))&amp;" "&amp;Milestones!$AB$108&amp;" "&amp;Milestones!$AC$108&amp;";  ","")&amp;IF(AND(EDATE($D20,Milestones!$AA$109)&lt;=AsOfDate,IF($R20=0,$X20,IF(AND($T20&lt;&gt;"",EDATE($D20,Milestones!$AA$109)&gt;=$T20),$W20,IF(AND($S20&lt;&gt;"",EDATE($D20,Milestones!$AA$109)&gt;=$S20),$V20,$U20)))=Milestones!$AB$109),UPPER(TEXT(EDATE($D20,Milestones!$AA$109),"dd mmm yy"))&amp;" "&amp;Milestones!$AB$109&amp;" "&amp;Milestones!$AC$109&amp;";  ","")&amp;IF(AND(EDATE($D20,Milestones!$AA$110)&lt;=AsOfDate,IF($R20=0,$X20,IF(AND($T20&lt;&gt;"",EDATE($D20,Milestones!$AA$110)&gt;=$T20),$W20,IF(AND($S20&lt;&gt;"",EDATE($D20,Milestones!$AA$110)&gt;=$S20),$V20,$U20)))=Milestones!$AB$110),UPPER(TEXT(EDATE($D20,Milestones!$AA$110),"dd mmm yy"))&amp;" "&amp;Milestones!$AB$110&amp;" "&amp;Milestones!$AC$110&amp;";  ","")&amp;IF(AND(EDATE($D20,Milestones!$AA$111)&lt;=AsOfDate,IF($R20=0,$X20,IF(AND($T20&lt;&gt;"",EDATE($D20,Milestones!$AA$111)&gt;=$T20),$W20,IF(AND($S20&lt;&gt;"",EDATE($D20,Milestones!$AA$111)&gt;=$S20),$V20,$U20)))=Milestones!$AB$111),UPPER(TEXT(EDATE($D20,Milestones!$AA$111),"dd mmm yy"))&amp;" "&amp;Milestones!$AB$111&amp;" "&amp;Milestones!$AC$111&amp;";  ","")&amp;IF(AND(EDATE($D20,Milestones!$AA$112)&lt;=AsOfDate,IF($R20=0,$X20,IF(AND($T20&lt;&gt;"",EDATE($D20,Milestones!$AA$112)&gt;=$T20),$W20,IF(AND($S20&lt;&gt;"",EDATE($D20,Milestones!$AA$112)&gt;=$S20),$V20,$U20)))=Milestones!$AB$112),UPPER(TEXT(EDATE($D20,Milestones!$AA$112),"dd mmm yy"))&amp;" "&amp;Milestones!$AB$112&amp;" "&amp;Milestones!$AC$112&amp;";  ","")&amp;IF(AND(EDATE($D20,Milestones!$AA$113)&lt;=AsOfDate,IF($R20=0,$X20,IF(AND($T20&lt;&gt;"",EDATE($D20,Milestones!$AA$113)&gt;=$T20),$W20,IF(AND($S20&lt;&gt;"",EDATE($D20,Milestones!$AA$113)&gt;=$S20),$V20,$U20)))=Milestones!$AB$113),UPPER(TEXT(EDATE($D20,Milestones!$AA$113),"dd mmm yy"))&amp;" "&amp;Milestones!$AB$113&amp;" "&amp;Milestones!$AC$113&amp;";  ","")&amp;IF(AND(EDATE($D20,Milestones!$AA$114)&lt;=AsOfDate,IF($R20=0,$X20,IF(AND($T20&lt;&gt;"",EDATE($D20,Milestones!$AA$114)&gt;=$T20),$W20,IF(AND($S20&lt;&gt;"",EDATE($D20,Milestones!$AA$114)&gt;=$S20),$V20,$U20)))=Milestones!$AB$114),UPPER(TEXT(EDATE($D20,Milestones!$AA$114),"dd mmm yy"))&amp;" "&amp;Milestones!$AB$114&amp;" "&amp;Milestones!$AC$114&amp;";  ","")&amp;IF(AND(EDATE($D20,Milestones!$AA$115)&lt;=AsOfDate,IF($R20=0,$X20,IF(AND($T20&lt;&gt;"",EDATE($D20,Milestones!$AA$115)&gt;=$T20),$W20,IF(AND($S20&lt;&gt;"",EDATE($D20,Milestones!$AA$115)&gt;=$S20),$V20,$U20)))=Milestones!$AB$115),UPPER(TEXT(EDATE($D20,Milestones!$AA$115),"dd mmm yy"))&amp;" "&amp;Milestones!$AB$115&amp;" "&amp;Milestones!$AC$115&amp;";  ","")&amp;IF(AND(EDATE($D20,Milestones!$AA$116)&lt;=AsOfDate,IF($R20=0,$X20,IF(AND($T20&lt;&gt;"",EDATE($D20,Milestones!$AA$116)&gt;=$T20),$W20,IF(AND($S20&lt;&gt;"",EDATE($D20,Milestones!$AA$116)&gt;=$S20),$V20,$U20)))=Milestones!$AB$116),UPPER(TEXT(EDATE($D20,Milestones!$AA$116),"dd mmm yy"))&amp;" "&amp;Milestones!$AB$116&amp;" "&amp;Milestones!$AC$116&amp;";  ","")&amp;IF(AND(EDATE($D20,Milestones!$AA$117)&lt;=AsOfDate,IF($R20=0,$X20,IF(AND($T20&lt;&gt;"",EDATE($D20,Milestones!$AA$117)&gt;=$T20),$W20,IF(AND($S20&lt;&gt;"",EDATE($D20,Milestones!$AA$117)&gt;=$S20),$V20,$U20)))=Milestones!$AB$117),UPPER(TEXT(EDATE($D20,Milestones!$AA$117),"dd mmm yy"))&amp;" "&amp;Milestones!$AB$117&amp;" "&amp;Milestones!$AC$117&amp;";  ","")&amp;IF(AND(EDATE($D20,Milestones!$AA$118)&lt;=AsOfDate,IF($R20=0,$X20,IF(AND($T20&lt;&gt;"",EDATE($D20,Milestones!$AA$118)&gt;=$T20),$W20,IF(AND($S20&lt;&gt;"",EDATE($D20,Milestones!$AA$118)&gt;=$S20),$V20,$U20)))=Milestones!$AB$118),UPPER(TEXT(EDATE($D20,Milestones!$AA$118),"dd mmm yy"))&amp;" "&amp;Milestones!$AB$118&amp;" "&amp;Milestones!$AC$118&amp;";  ","")&amp;IF(AND(EDATE($D20,Milestones!$AA$119)&lt;=AsOfDate,IF($R20=0,$X20,IF(AND($T20&lt;&gt;"",EDATE($D20,Milestones!$AA$119)&gt;=$T20),$W20,IF(AND($S20&lt;&gt;"",EDATE($D20,Milestones!$AA$119)&gt;=$S20),$V20,$U20)))=Milestones!$AB$119),UPPER(TEXT(EDATE($D20,Milestones!$AA$119),"dd mmm yy"))&amp;" "&amp;Milestones!$AB$119&amp;" "&amp;Milestones!$AC$119&amp;";  ",""))</f>
        <v/>
      </c>
      <c r="N20" s="0" t="str">
        <f aca="false">IF(OR($A20="",$D20=""),"",IF(AND(EDATE($D20,Milestones!$AA$120)&lt;=AsOfDate,IF($R20=0,$X20,IF(AND($T20&lt;&gt;"",EDATE($D20,Milestones!$AA$120)&gt;=$T20),$W20,IF(AND($S20&lt;&gt;"",EDATE($D20,Milestones!$AA$120)&gt;=$S20),$V20,$U20)))=Milestones!$AB$120),UPPER(TEXT(EDATE($D20,Milestones!$AA$120),"dd mmm yy"))&amp;" "&amp;Milestones!$AB$120&amp;" "&amp;Milestones!$AC$120&amp;";  ","")&amp;IF(AND(EDATE($D20,Milestones!$AA$121)&lt;=AsOfDate,IF($R20=0,$X20,IF(AND($T20&lt;&gt;"",EDATE($D20,Milestones!$AA$121)&gt;=$T20),$W20,IF(AND($S20&lt;&gt;"",EDATE($D20,Milestones!$AA$121)&gt;=$S20),$V20,$U20)))=Milestones!$AB$121),UPPER(TEXT(EDATE($D20,Milestones!$AA$121),"dd mmm yy"))&amp;" "&amp;Milestones!$AB$121&amp;" "&amp;Milestones!$AC$121&amp;";  ","")&amp;IF(AND(EDATE($D20,Milestones!$AA$122)&lt;=AsOfDate,IF($R20=0,$X20,IF(AND($T20&lt;&gt;"",EDATE($D20,Milestones!$AA$122)&gt;=$T20),$W20,IF(AND($S20&lt;&gt;"",EDATE($D20,Milestones!$AA$122)&gt;=$S20),$V20,$U20)))=Milestones!$AB$122),UPPER(TEXT(EDATE($D20,Milestones!$AA$122),"dd mmm yy"))&amp;" "&amp;Milestones!$AB$122&amp;" "&amp;Milestones!$AC$122&amp;";  ","")&amp;IF(AND(EDATE($D20,Milestones!$AA$123)&lt;=AsOfDate,IF($R20=0,$X20,IF(AND($T20&lt;&gt;"",EDATE($D20,Milestones!$AA$123)&gt;=$T20),$W20,IF(AND($S20&lt;&gt;"",EDATE($D20,Milestones!$AA$123)&gt;=$S20),$V20,$U20)))=Milestones!$AB$123),UPPER(TEXT(EDATE($D20,Milestones!$AA$123),"dd mmm yy"))&amp;" "&amp;Milestones!$AB$123&amp;" "&amp;Milestones!$AC$123&amp;";  ","")&amp;IF(AND(EDATE($D20,Milestones!$AA$124)&lt;=AsOfDate,IF($R20=0,$X20,IF(AND($T20&lt;&gt;"",EDATE($D20,Milestones!$AA$124)&gt;=$T20),$W20,IF(AND($S20&lt;&gt;"",EDATE($D20,Milestones!$AA$124)&gt;=$S20),$V20,$U20)))=Milestones!$AB$124),UPPER(TEXT(EDATE($D20,Milestones!$AA$124),"dd mmm yy"))&amp;" "&amp;Milestones!$AB$124&amp;" "&amp;Milestones!$AC$124&amp;";  ","")&amp;IF(AND(EDATE($D20,Milestones!$AA$125)&lt;=AsOfDate,IF($R20=0,$X20,IF(AND($T20&lt;&gt;"",EDATE($D20,Milestones!$AA$125)&gt;=$T20),$W20,IF(AND($S20&lt;&gt;"",EDATE($D20,Milestones!$AA$125)&gt;=$S20),$V20,$U20)))=Milestones!$AB$125),UPPER(TEXT(EDATE($D20,Milestones!$AA$125),"dd mmm yy"))&amp;" "&amp;Milestones!$AB$125&amp;" "&amp;Milestones!$AC$125&amp;";  ","")&amp;IF(AND(EDATE($D20,Milestones!$AA$126)&lt;=AsOfDate,IF($R20=0,$X20,IF(AND($T20&lt;&gt;"",EDATE($D20,Milestones!$AA$126)&gt;=$T20),$W20,IF(AND($S20&lt;&gt;"",EDATE($D20,Milestones!$AA$126)&gt;=$S20),$V20,$U20)))=Milestones!$AB$126),UPPER(TEXT(EDATE($D20,Milestones!$AA$126),"dd mmm yy"))&amp;" "&amp;Milestones!$AB$126&amp;" "&amp;Milestones!$AC$126&amp;";  ","")&amp;IF(AND(EDATE($D20,Milestones!$AA$127)&lt;=AsOfDate,IF($R20=0,$X20,IF(AND($T20&lt;&gt;"",EDATE($D20,Milestones!$AA$127)&gt;=$T20),$W20,IF(AND($S20&lt;&gt;"",EDATE($D20,Milestones!$AA$127)&gt;=$S20),$V20,$U20)))=Milestones!$AB$127),UPPER(TEXT(EDATE($D20,Milestones!$AA$127),"dd mmm yy"))&amp;" "&amp;Milestones!$AB$127&amp;" "&amp;Milestones!$AC$127&amp;";  ","")&amp;IF(AND(EDATE($D20,Milestones!$AA$128)&lt;=AsOfDate,IF($R20=0,$X20,IF(AND($T20&lt;&gt;"",EDATE($D20,Milestones!$AA$128)&gt;=$T20),$W20,IF(AND($S20&lt;&gt;"",EDATE($D20,Milestones!$AA$128)&gt;=$S20),$V20,$U20)))=Milestones!$AB$128),UPPER(TEXT(EDATE($D20,Milestones!$AA$128),"dd mmm yy"))&amp;" "&amp;Milestones!$AB$128&amp;" "&amp;Milestones!$AC$128&amp;";  ","")&amp;IF(AND(EDATE($D20,Milestones!$AA$129)&lt;=AsOfDate,IF($R20=0,$X20,IF(AND($T20&lt;&gt;"",EDATE($D20,Milestones!$AA$129)&gt;=$T20),$W20,IF(AND($S20&lt;&gt;"",EDATE($D20,Milestones!$AA$129)&gt;=$S20),$V20,$U20)))=Milestones!$AB$129),UPPER(TEXT(EDATE($D20,Milestones!$AA$129),"dd mmm yy"))&amp;" "&amp;Milestones!$AB$129&amp;" "&amp;Milestones!$AC$129&amp;";  ","")&amp;IF(AND(EDATE($D20,Milestones!$AA$130)&lt;=AsOfDate,IF($R20=0,$X20,IF(AND($T20&lt;&gt;"",EDATE($D20,Milestones!$AA$130)&gt;=$T20),$W20,IF(AND($S20&lt;&gt;"",EDATE($D20,Milestones!$AA$130)&gt;=$S20),$V20,$U20)))=Milestones!$AB$130),UPPER(TEXT(EDATE($D20,Milestones!$AA$130),"dd mmm yy"))&amp;" "&amp;Milestones!$AB$130&amp;" "&amp;Milestones!$AC$130&amp;";  ","")&amp;IF(AND(EDATE($D20,Milestones!$AA$131)&lt;=AsOfDate,IF($R20=0,$X20,IF(AND($T20&lt;&gt;"",EDATE($D20,Milestones!$AA$131)&gt;=$T20),$W20,IF(AND($S20&lt;&gt;"",EDATE($D20,Milestones!$AA$131)&gt;=$S20),$V20,$U20)))=Milestones!$AB$131),UPPER(TEXT(EDATE($D20,Milestones!$AA$131),"dd mmm yy"))&amp;" "&amp;Milestones!$AB$131&amp;" "&amp;Milestones!$AC$131&amp;";  ","")&amp;IF(AND(EDATE($D20,Milestones!$AA$132)&lt;=AsOfDate,IF($R20=0,$X20,IF(AND($T20&lt;&gt;"",EDATE($D20,Milestones!$AA$132)&gt;=$T20),$W20,IF(AND($S20&lt;&gt;"",EDATE($D20,Milestones!$AA$132)&gt;=$S20),$V20,$U20)))=Milestones!$AB$132),UPPER(TEXT(EDATE($D20,Milestones!$AA$132),"dd mmm yy"))&amp;" "&amp;Milestones!$AB$132&amp;" "&amp;Milestones!$AC$132&amp;";  ","")&amp;IF(AND(EDATE($D20,Milestones!$AA$133)&lt;=AsOfDate,IF($R20=0,$X20,IF(AND($T20&lt;&gt;"",EDATE($D20,Milestones!$AA$133)&gt;=$T20),$W20,IF(AND($S20&lt;&gt;"",EDATE($D20,Milestones!$AA$133)&gt;=$S20),$V20,$U20)))=Milestones!$AB$133),UPPER(TEXT(EDATE($D20,Milestones!$AA$133),"dd mmm yy"))&amp;" "&amp;Milestones!$AB$133&amp;" "&amp;Milestones!$AC$133&amp;";  ","")&amp;IF(AND(EDATE($D20,Milestones!$AA$134)&lt;=AsOfDate,IF($R20=0,$X20,IF(AND($T20&lt;&gt;"",EDATE($D20,Milestones!$AA$134)&gt;=$T20),$W20,IF(AND($S20&lt;&gt;"",EDATE($D20,Milestones!$AA$134)&gt;=$S20),$V20,$U20)))=Milestones!$AB$134),UPPER(TEXT(EDATE($D20,Milestones!$AA$134),"dd mmm yy"))&amp;" "&amp;Milestones!$AB$134&amp;" "&amp;Milestones!$AC$134&amp;";  ","")&amp;IF(AND(EDATE($D20,Milestones!$AA$135)&lt;=AsOfDate,IF($R20=0,$X20,IF(AND($T20&lt;&gt;"",EDATE($D20,Milestones!$AA$135)&gt;=$T20),$W20,IF(AND($S20&lt;&gt;"",EDATE($D20,Milestones!$AA$135)&gt;=$S20),$V20,$U20)))=Milestones!$AB$135),UPPER(TEXT(EDATE($D20,Milestones!$AA$135),"dd mmm yy"))&amp;" "&amp;Milestones!$AB$135&amp;" "&amp;Milestones!$AC$135&amp;";  ","")&amp;IF(AND(EDATE($D20,Milestones!$AA$136)&lt;=AsOfDate,IF($R20=0,$X20,IF(AND($T20&lt;&gt;"",EDATE($D20,Milestones!$AA$136)&gt;=$T20),$W20,IF(AND($S20&lt;&gt;"",EDATE($D20,Milestones!$AA$136)&gt;=$S20),$V20,$U20)))=Milestones!$AB$136),UPPER(TEXT(EDATE($D20,Milestones!$AA$136),"dd mmm yy"))&amp;" "&amp;Milestones!$AB$136&amp;" "&amp;Milestones!$AC$136&amp;";  ","")&amp;IF(AND(EDATE($D20,Milestones!$AA$137)&lt;=AsOfDate,IF($R20=0,$X20,IF(AND($T20&lt;&gt;"",EDATE($D20,Milestones!$AA$137)&gt;=$T20),$W20,IF(AND($S20&lt;&gt;"",EDATE($D20,Milestones!$AA$137)&gt;=$S20),$V20,$U20)))=Milestones!$AB$137),UPPER(TEXT(EDATE($D20,Milestones!$AA$137),"dd mmm yy"))&amp;" "&amp;Milestones!$AB$137&amp;" "&amp;Milestones!$AC$137&amp;";  ","")&amp;IF(AND(EDATE($D20,Milestones!$AA$138)&lt;=AsOfDate,IF($R20=0,$X20,IF(AND($T20&lt;&gt;"",EDATE($D20,Milestones!$AA$138)&gt;=$T20),$W20,IF(AND($S20&lt;&gt;"",EDATE($D20,Milestones!$AA$138)&gt;=$S20),$V20,$U20)))=Milestones!$AB$138),UPPER(TEXT(EDATE($D20,Milestones!$AA$138),"dd mmm yy"))&amp;" "&amp;Milestones!$AB$138&amp;" "&amp;Milestones!$AC$138&amp;";  ","")&amp;IF(AND(EDATE($D20,Milestones!$AA$139)&lt;=AsOfDate,IF($R20=0,$X20,IF(AND($T20&lt;&gt;"",EDATE($D20,Milestones!$AA$139)&gt;=$T20),$W20,IF(AND($S20&lt;&gt;"",EDATE($D20,Milestones!$AA$139)&gt;=$S20),$V20,$U20)))=Milestones!$AB$139),UPPER(TEXT(EDATE($D20,Milestones!$AA$139),"dd mmm yy"))&amp;" "&amp;Milestones!$AB$139&amp;" "&amp;Milestones!$AC$139&amp;";  ",""))</f>
        <v/>
      </c>
      <c r="O20" s="0" t="str">
        <f aca="false">IF(OR($A20="",$D20=""),"",IF(AND(EDATE($D20,Milestones!$AA$140)&lt;=AsOfDate,IF($R20=0,$X20,IF(AND($T20&lt;&gt;"",EDATE($D20,Milestones!$AA$140)&gt;=$T20),$W20,IF(AND($S20&lt;&gt;"",EDATE($D20,Milestones!$AA$140)&gt;=$S20),$V20,$U20)))=Milestones!$AB$140),UPPER(TEXT(EDATE($D20,Milestones!$AA$140),"dd mmm yy"))&amp;" "&amp;Milestones!$AB$140&amp;" "&amp;Milestones!$AC$140&amp;";  ","")&amp;IF(AND(EDATE($D20,Milestones!$AA$141)&lt;=AsOfDate,IF($R20=0,$X20,IF(AND($T20&lt;&gt;"",EDATE($D20,Milestones!$AA$141)&gt;=$T20),$W20,IF(AND($S20&lt;&gt;"",EDATE($D20,Milestones!$AA$141)&gt;=$S20),$V20,$U20)))=Milestones!$AB$141),UPPER(TEXT(EDATE($D20,Milestones!$AA$141),"dd mmm yy"))&amp;" "&amp;Milestones!$AB$141&amp;" "&amp;Milestones!$AC$141&amp;";  ","")&amp;IF(AND(EDATE($D20,Milestones!$AA$142)&lt;=AsOfDate,IF($R20=0,$X20,IF(AND($T20&lt;&gt;"",EDATE($D20,Milestones!$AA$142)&gt;=$T20),$W20,IF(AND($S20&lt;&gt;"",EDATE($D20,Milestones!$AA$142)&gt;=$S20),$V20,$U20)))=Milestones!$AB$142),UPPER(TEXT(EDATE($D20,Milestones!$AA$142),"dd mmm yy"))&amp;" "&amp;Milestones!$AB$142&amp;" "&amp;Milestones!$AC$142&amp;";  ","")&amp;IF(AND(EDATE($D20,Milestones!$AA$143)&lt;=AsOfDate,IF($R20=0,$X20,IF(AND($T20&lt;&gt;"",EDATE($D20,Milestones!$AA$143)&gt;=$T20),$W20,IF(AND($S20&lt;&gt;"",EDATE($D20,Milestones!$AA$143)&gt;=$S20),$V20,$U20)))=Milestones!$AB$143),UPPER(TEXT(EDATE($D20,Milestones!$AA$143),"dd mmm yy"))&amp;" "&amp;Milestones!$AB$143&amp;" "&amp;Milestones!$AC$143&amp;";  ","")&amp;IF(AND(EDATE($D20,Milestones!$AA$144)&lt;=AsOfDate,IF($R20=0,$X20,IF(AND($T20&lt;&gt;"",EDATE($D20,Milestones!$AA$144)&gt;=$T20),$W20,IF(AND($S20&lt;&gt;"",EDATE($D20,Milestones!$AA$144)&gt;=$S20),$V20,$U20)))=Milestones!$AB$144),UPPER(TEXT(EDATE($D20,Milestones!$AA$144),"dd mmm yy"))&amp;" "&amp;Milestones!$AB$144&amp;" "&amp;Milestones!$AC$144&amp;";  ","")&amp;IF(AND(EDATE($D20,Milestones!$AA$145)&lt;=AsOfDate,IF($R20=0,$X20,IF(AND($T20&lt;&gt;"",EDATE($D20,Milestones!$AA$145)&gt;=$T20),$W20,IF(AND($S20&lt;&gt;"",EDATE($D20,Milestones!$AA$145)&gt;=$S20),$V20,$U20)))=Milestones!$AB$145),UPPER(TEXT(EDATE($D20,Milestones!$AA$145),"dd mmm yy"))&amp;" "&amp;Milestones!$AB$145&amp;" "&amp;Milestones!$AC$145&amp;";  ","")&amp;IF(AND(EDATE($D20,Milestones!$AA$146)&lt;=AsOfDate,IF($R20=0,$X20,IF(AND($T20&lt;&gt;"",EDATE($D20,Milestones!$AA$146)&gt;=$T20),$W20,IF(AND($S20&lt;&gt;"",EDATE($D20,Milestones!$AA$146)&gt;=$S20),$V20,$U20)))=Milestones!$AB$146),UPPER(TEXT(EDATE($D20,Milestones!$AA$146),"dd mmm yy"))&amp;" "&amp;Milestones!$AB$146&amp;" "&amp;Milestones!$AC$146&amp;";  ","")&amp;IF(AND(EDATE($D20,Milestones!$AA$147)&lt;=AsOfDate,IF($R20=0,$X20,IF(AND($T20&lt;&gt;"",EDATE($D20,Milestones!$AA$147)&gt;=$T20),$W20,IF(AND($S20&lt;&gt;"",EDATE($D20,Milestones!$AA$147)&gt;=$S20),$V20,$U20)))=Milestones!$AB$147),UPPER(TEXT(EDATE($D20,Milestones!$AA$147),"dd mmm yy"))&amp;" "&amp;Milestones!$AB$147&amp;" "&amp;Milestones!$AC$147&amp;";  ","")&amp;IF(AND(EDATE($D20,Milestones!$AA$148)&lt;=AsOfDate,IF($R20=0,$X20,IF(AND($T20&lt;&gt;"",EDATE($D20,Milestones!$AA$148)&gt;=$T20),$W20,IF(AND($S20&lt;&gt;"",EDATE($D20,Milestones!$AA$148)&gt;=$S20),$V20,$U20)))=Milestones!$AB$148),UPPER(TEXT(EDATE($D20,Milestones!$AA$148),"dd mmm yy"))&amp;" "&amp;Milestones!$AB$148&amp;" "&amp;Milestones!$AC$148&amp;";  ","")&amp;IF(AND(EDATE($D20,Milestones!$AA$149)&lt;=AsOfDate,IF($R20=0,$X20,IF(AND($T20&lt;&gt;"",EDATE($D20,Milestones!$AA$149)&gt;=$T20),$W20,IF(AND($S20&lt;&gt;"",EDATE($D20,Milestones!$AA$149)&gt;=$S20),$V20,$U20)))=Milestones!$AB$149),UPPER(TEXT(EDATE($D20,Milestones!$AA$149),"dd mmm yy"))&amp;" "&amp;Milestones!$AB$149&amp;" "&amp;Milestones!$AC$149&amp;";  ","")&amp;IF(AND(EDATE($D20,Milestones!$AA$150)&lt;=AsOfDate,IF($R20=0,$X20,IF(AND($T20&lt;&gt;"",EDATE($D20,Milestones!$AA$150)&gt;=$T20),$W20,IF(AND($S20&lt;&gt;"",EDATE($D20,Milestones!$AA$150)&gt;=$S20),$V20,$U20)))=Milestones!$AB$150),UPPER(TEXT(EDATE($D20,Milestones!$AA$150),"dd mmm yy"))&amp;" "&amp;Milestones!$AB$150&amp;" "&amp;Milestones!$AC$150&amp;";  ","")&amp;IF(AND(EDATE($D20,Milestones!$AA$151)&lt;=AsOfDate,IF($R20=0,$X20,IF(AND($T20&lt;&gt;"",EDATE($D20,Milestones!$AA$151)&gt;=$T20),$W20,IF(AND($S20&lt;&gt;"",EDATE($D20,Milestones!$AA$151)&gt;=$S20),$V20,$U20)))=Milestones!$AB$151),UPPER(TEXT(EDATE($D20,Milestones!$AA$151),"dd mmm yy"))&amp;" "&amp;Milestones!$AB$151&amp;" "&amp;Milestones!$AC$151&amp;";  ","")&amp;IF(AND(EDATE($D20,Milestones!$AA$152)&lt;=AsOfDate,IF($R20=0,$X20,IF(AND($T20&lt;&gt;"",EDATE($D20,Milestones!$AA$152)&gt;=$T20),$W20,IF(AND($S20&lt;&gt;"",EDATE($D20,Milestones!$AA$152)&gt;=$S20),$V20,$U20)))=Milestones!$AB$152),UPPER(TEXT(EDATE($D20,Milestones!$AA$152),"dd mmm yy"))&amp;" "&amp;Milestones!$AB$152&amp;" "&amp;Milestones!$AC$152&amp;";  ","")&amp;IF(AND(EDATE($D20,Milestones!$AA$153)&lt;=AsOfDate,IF($R20=0,$X20,IF(AND($T20&lt;&gt;"",EDATE($D20,Milestones!$AA$153)&gt;=$T20),$W20,IF(AND($S20&lt;&gt;"",EDATE($D20,Milestones!$AA$153)&gt;=$S20),$V20,$U20)))=Milestones!$AB$153),UPPER(TEXT(EDATE($D20,Milestones!$AA$153),"dd mmm yy"))&amp;" "&amp;Milestones!$AB$153&amp;" "&amp;Milestones!$AC$153&amp;";  ","")&amp;IF(AND(EDATE($D20,Milestones!$AA$154)&lt;=AsOfDate,IF($R20=0,$X20,IF(AND($T20&lt;&gt;"",EDATE($D20,Milestones!$AA$154)&gt;=$T20),$W20,IF(AND($S20&lt;&gt;"",EDATE($D20,Milestones!$AA$154)&gt;=$S20),$V20,$U20)))=Milestones!$AB$154),UPPER(TEXT(EDATE($D20,Milestones!$AA$154),"dd mmm yy"))&amp;" "&amp;Milestones!$AB$154&amp;" "&amp;Milestones!$AC$154&amp;";  ","")&amp;IF(AND(EDATE($D20,Milestones!$AA$155)&lt;=AsOfDate,IF($R20=0,$X20,IF(AND($T20&lt;&gt;"",EDATE($D20,Milestones!$AA$155)&gt;=$T20),$W20,IF(AND($S20&lt;&gt;"",EDATE($D20,Milestones!$AA$155)&gt;=$S20),$V20,$U20)))=Milestones!$AB$155),UPPER(TEXT(EDATE($D20,Milestones!$AA$155),"dd mmm yy"))&amp;" "&amp;Milestones!$AB$155&amp;" "&amp;Milestones!$AC$155&amp;";  ","")&amp;IF(AND(EDATE($D20,Milestones!$AA$156)&lt;=AsOfDate,IF($R20=0,$X20,IF(AND($T20&lt;&gt;"",EDATE($D20,Milestones!$AA$156)&gt;=$T20),$W20,IF(AND($S20&lt;&gt;"",EDATE($D20,Milestones!$AA$156)&gt;=$S20),$V20,$U20)))=Milestones!$AB$156),UPPER(TEXT(EDATE($D20,Milestones!$AA$156),"dd mmm yy"))&amp;" "&amp;Milestones!$AB$156&amp;" "&amp;Milestones!$AC$156&amp;";  ","")&amp;IF(AND(EDATE($D20,Milestones!$AA$157)&lt;=AsOfDate,IF($R20=0,$X20,IF(AND($T20&lt;&gt;"",EDATE($D20,Milestones!$AA$157)&gt;=$T20),$W20,IF(AND($S20&lt;&gt;"",EDATE($D20,Milestones!$AA$157)&gt;=$S20),$V20,$U20)))=Milestones!$AB$157),UPPER(TEXT(EDATE($D20,Milestones!$AA$157),"dd mmm yy"))&amp;" "&amp;Milestones!$AB$157&amp;" "&amp;Milestones!$AC$157&amp;";  ","")&amp;IF(AND(EDATE($D20,Milestones!$AA$158)&lt;=AsOfDate,IF($R20=0,$X20,IF(AND($T20&lt;&gt;"",EDATE($D20,Milestones!$AA$158)&gt;=$T20),$W20,IF(AND($S20&lt;&gt;"",EDATE($D20,Milestones!$AA$158)&gt;=$S20),$V20,$U20)))=Milestones!$AB$158),UPPER(TEXT(EDATE($D20,Milestones!$AA$158),"dd mmm yy"))&amp;" "&amp;Milestones!$AB$158&amp;" "&amp;Milestones!$AC$158&amp;";  ","")&amp;IF(AND(EDATE($D20,Milestones!$AA$159)&lt;=AsOfDate,IF($R20=0,$X20,IF(AND($T20&lt;&gt;"",EDATE($D20,Milestones!$AA$159)&gt;=$T20),$W20,IF(AND($S20&lt;&gt;"",EDATE($D20,Milestones!$AA$159)&gt;=$S20),$V20,$U20)))=Milestones!$AB$159),UPPER(TEXT(EDATE($D20,Milestones!$AA$159),"dd mmm yy"))&amp;" "&amp;Milestones!$AB$159&amp;" "&amp;Milestones!$AC$159&amp;";  ",""))</f>
        <v/>
      </c>
      <c r="P20" s="0" t="str">
        <f aca="false">IF(OR($A20="",$D20=""),"",IF(AND(EDATE($D20,Milestones!$AA$160)&lt;=AsOfDate,IF($R20=0,$X20,IF(AND($T20&lt;&gt;"",EDATE($D20,Milestones!$AA$160)&gt;=$T20),$W20,IF(AND($S20&lt;&gt;"",EDATE($D20,Milestones!$AA$160)&gt;=$S20),$V20,$U20)))=Milestones!$AB$160),UPPER(TEXT(EDATE($D20,Milestones!$AA$160),"dd mmm yy"))&amp;" "&amp;Milestones!$AB$160&amp;" "&amp;Milestones!$AC$160&amp;";  ","")&amp;IF(AND(EDATE($D20,Milestones!$AA$161)&lt;=AsOfDate,IF($R20=0,$X20,IF(AND($T20&lt;&gt;"",EDATE($D20,Milestones!$AA$161)&gt;=$T20),$W20,IF(AND($S20&lt;&gt;"",EDATE($D20,Milestones!$AA$161)&gt;=$S20),$V20,$U20)))=Milestones!$AB$161),UPPER(TEXT(EDATE($D20,Milestones!$AA$161),"dd mmm yy"))&amp;" "&amp;Milestones!$AB$161&amp;" "&amp;Milestones!$AC$161&amp;";  ","")&amp;IF(AND(EDATE($D20,Milestones!$AA$162)&lt;=AsOfDate,IF($R20=0,$X20,IF(AND($T20&lt;&gt;"",EDATE($D20,Milestones!$AA$162)&gt;=$T20),$W20,IF(AND($S20&lt;&gt;"",EDATE($D20,Milestones!$AA$162)&gt;=$S20),$V20,$U20)))=Milestones!$AB$162),UPPER(TEXT(EDATE($D20,Milestones!$AA$162),"dd mmm yy"))&amp;" "&amp;Milestones!$AB$162&amp;" "&amp;Milestones!$AC$162&amp;";  ","")&amp;IF(AND(EDATE($D20,Milestones!$AA$163)&lt;=AsOfDate,IF($R20=0,$X20,IF(AND($T20&lt;&gt;"",EDATE($D20,Milestones!$AA$163)&gt;=$T20),$W20,IF(AND($S20&lt;&gt;"",EDATE($D20,Milestones!$AA$163)&gt;=$S20),$V20,$U20)))=Milestones!$AB$163),UPPER(TEXT(EDATE($D20,Milestones!$AA$163),"dd mmm yy"))&amp;" "&amp;Milestones!$AB$163&amp;" "&amp;Milestones!$AC$163&amp;";  ","")&amp;IF(AND(EDATE($D20,Milestones!$AA$164)&lt;=AsOfDate,IF($R20=0,$X20,IF(AND($T20&lt;&gt;"",EDATE($D20,Milestones!$AA$164)&gt;=$T20),$W20,IF(AND($S20&lt;&gt;"",EDATE($D20,Milestones!$AA$164)&gt;=$S20),$V20,$U20)))=Milestones!$AB$164),UPPER(TEXT(EDATE($D20,Milestones!$AA$164),"dd mmm yy"))&amp;" "&amp;Milestones!$AB$164&amp;" "&amp;Milestones!$AC$164&amp;";  ","")&amp;IF(AND(EDATE($D20,Milestones!$AA$165)&lt;=AsOfDate,IF($R20=0,$X20,IF(AND($T20&lt;&gt;"",EDATE($D20,Milestones!$AA$165)&gt;=$T20),$W20,IF(AND($S20&lt;&gt;"",EDATE($D20,Milestones!$AA$165)&gt;=$S20),$V20,$U20)))=Milestones!$AB$165),UPPER(TEXT(EDATE($D20,Milestones!$AA$165),"dd mmm yy"))&amp;" "&amp;Milestones!$AB$165&amp;" "&amp;Milestones!$AC$165&amp;";  ","")&amp;IF(AND(EDATE($D20,Milestones!$AA$166)&lt;=AsOfDate,IF($R20=0,$X20,IF(AND($T20&lt;&gt;"",EDATE($D20,Milestones!$AA$166)&gt;=$T20),$W20,IF(AND($S20&lt;&gt;"",EDATE($D20,Milestones!$AA$166)&gt;=$S20),$V20,$U20)))=Milestones!$AB$166),UPPER(TEXT(EDATE($D20,Milestones!$AA$166),"dd mmm yy"))&amp;" "&amp;Milestones!$AB$166&amp;" "&amp;Milestones!$AC$166&amp;";  ","")&amp;IF(AND(EDATE($D20,Milestones!$AA$167)&lt;=AsOfDate,IF($R20=0,$X20,IF(AND($T20&lt;&gt;"",EDATE($D20,Milestones!$AA$167)&gt;=$T20),$W20,IF(AND($S20&lt;&gt;"",EDATE($D20,Milestones!$AA$167)&gt;=$S20),$V20,$U20)))=Milestones!$AB$167),UPPER(TEXT(EDATE($D20,Milestones!$AA$167),"dd mmm yy"))&amp;" "&amp;Milestones!$AB$167&amp;" "&amp;Milestones!$AC$167&amp;";  ","")&amp;IF(AND(EDATE($D20,Milestones!$AA$168)&lt;=AsOfDate,IF($R20=0,$X20,IF(AND($T20&lt;&gt;"",EDATE($D20,Milestones!$AA$168)&gt;=$T20),$W20,IF(AND($S20&lt;&gt;"",EDATE($D20,Milestones!$AA$168)&gt;=$S20),$V20,$U20)))=Milestones!$AB$168),UPPER(TEXT(EDATE($D20,Milestones!$AA$168),"dd mmm yy"))&amp;" "&amp;Milestones!$AB$168&amp;" "&amp;Milestones!$AC$168&amp;";  ","")&amp;IF(AND(EDATE($D20,Milestones!$AA$169)&lt;=AsOfDate,IF($R20=0,$X20,IF(AND($T20&lt;&gt;"",EDATE($D20,Milestones!$AA$169)&gt;=$T20),$W20,IF(AND($S20&lt;&gt;"",EDATE($D20,Milestones!$AA$169)&gt;=$S20),$V20,$U20)))=Milestones!$AB$169),UPPER(TEXT(EDATE($D20,Milestones!$AA$169),"dd mmm yy"))&amp;" "&amp;Milestones!$AB$169&amp;" "&amp;Milestones!$AC$169&amp;";  ","")&amp;IF(AND(EDATE($D20,Milestones!$AA$170)&lt;=AsOfDate,IF($R20=0,$X20,IF(AND($T20&lt;&gt;"",EDATE($D20,Milestones!$AA$170)&gt;=$T20),$W20,IF(AND($S20&lt;&gt;"",EDATE($D20,Milestones!$AA$170)&gt;=$S20),$V20,$U20)))=Milestones!$AB$170),UPPER(TEXT(EDATE($D20,Milestones!$AA$170),"dd mmm yy"))&amp;" "&amp;Milestones!$AB$170&amp;" "&amp;Milestones!$AC$170&amp;";  ","")&amp;IF(AND(EDATE($D20,Milestones!$AA$171)&lt;=AsOfDate,IF($R20=0,$X20,IF(AND($T20&lt;&gt;"",EDATE($D20,Milestones!$AA$171)&gt;=$T20),$W20,IF(AND($S20&lt;&gt;"",EDATE($D20,Milestones!$AA$171)&gt;=$S20),$V20,$U20)))=Milestones!$AB$171),UPPER(TEXT(EDATE($D20,Milestones!$AA$171),"dd mmm yy"))&amp;" "&amp;Milestones!$AB$171&amp;" "&amp;Milestones!$AC$171&amp;";  ","")&amp;IF(AND(EDATE($D20,Milestones!$AA$172)&lt;=AsOfDate,IF($R20=0,$X20,IF(AND($T20&lt;&gt;"",EDATE($D20,Milestones!$AA$172)&gt;=$T20),$W20,IF(AND($S20&lt;&gt;"",EDATE($D20,Milestones!$AA$172)&gt;=$S20),$V20,$U20)))=Milestones!$AB$172),UPPER(TEXT(EDATE($D20,Milestones!$AA$172),"dd mmm yy"))&amp;" "&amp;Milestones!$AB$172&amp;" "&amp;Milestones!$AC$172&amp;";  ","")&amp;IF(AND(EDATE($D20,Milestones!$AA$173)&lt;=AsOfDate,IF($R20=0,$X20,IF(AND($T20&lt;&gt;"",EDATE($D20,Milestones!$AA$173)&gt;=$T20),$W20,IF(AND($S20&lt;&gt;"",EDATE($D20,Milestones!$AA$173)&gt;=$S20),$V20,$U20)))=Milestones!$AB$173),UPPER(TEXT(EDATE($D20,Milestones!$AA$173),"dd mmm yy"))&amp;" "&amp;Milestones!$AB$173&amp;" "&amp;Milestones!$AC$173&amp;";  ","")&amp;IF(AND(EDATE($D20,Milestones!$AA$174)&lt;=AsOfDate,IF($R20=0,$X20,IF(AND($T20&lt;&gt;"",EDATE($D20,Milestones!$AA$174)&gt;=$T20),$W20,IF(AND($S20&lt;&gt;"",EDATE($D20,Milestones!$AA$174)&gt;=$S20),$V20,$U20)))=Milestones!$AB$174),UPPER(TEXT(EDATE($D20,Milestones!$AA$174),"dd mmm yy"))&amp;" "&amp;Milestones!$AB$174&amp;" "&amp;Milestones!$AC$174&amp;";  ","")&amp;IF(AND(EDATE($D20,Milestones!$AA$175)&lt;=AsOfDate,IF($R20=0,$X20,IF(AND($T20&lt;&gt;"",EDATE($D20,Milestones!$AA$175)&gt;=$T20),$W20,IF(AND($S20&lt;&gt;"",EDATE($D20,Milestones!$AA$175)&gt;=$S20),$V20,$U20)))=Milestones!$AB$175),UPPER(TEXT(EDATE($D20,Milestones!$AA$175),"dd mmm yy"))&amp;" "&amp;Milestones!$AB$175&amp;" "&amp;Milestones!$AC$175&amp;";  ","")&amp;IF(AND(EDATE($D20,Milestones!$AA$176)&lt;=AsOfDate,IF($R20=0,$X20,IF(AND($T20&lt;&gt;"",EDATE($D20,Milestones!$AA$176)&gt;=$T20),$W20,IF(AND($S20&lt;&gt;"",EDATE($D20,Milestones!$AA$176)&gt;=$S20),$V20,$U20)))=Milestones!$AB$176),UPPER(TEXT(EDATE($D20,Milestones!$AA$176),"dd mmm yy"))&amp;" "&amp;Milestones!$AB$176&amp;" "&amp;Milestones!$AC$176&amp;";  ","")&amp;IF(AND(EDATE($D20,Milestones!$AA$177)&lt;=AsOfDate,IF($R20=0,$X20,IF(AND($T20&lt;&gt;"",EDATE($D20,Milestones!$AA$177)&gt;=$T20),$W20,IF(AND($S20&lt;&gt;"",EDATE($D20,Milestones!$AA$177)&gt;=$S20),$V20,$U20)))=Milestones!$AB$177),UPPER(TEXT(EDATE($D20,Milestones!$AA$177),"dd mmm yy"))&amp;" "&amp;Milestones!$AB$177&amp;" "&amp;Milestones!$AC$177&amp;";  ","")&amp;IF(AND(EDATE($D20,Milestones!$AA$178)&lt;=AsOfDate,IF($R20=0,$X20,IF(AND($T20&lt;&gt;"",EDATE($D20,Milestones!$AA$178)&gt;=$T20),$W20,IF(AND($S20&lt;&gt;"",EDATE($D20,Milestones!$AA$178)&gt;=$S20),$V20,$U20)))=Milestones!$AB$178),UPPER(TEXT(EDATE($D20,Milestones!$AA$178),"dd mmm yy"))&amp;" "&amp;Milestones!$AB$178&amp;" "&amp;Milestones!$AC$178&amp;";  ","")&amp;IF(AND(EDATE($D20,Milestones!$AA$179)&lt;=AsOfDate,IF($R20=0,$X20,IF(AND($T20&lt;&gt;"",EDATE($D20,Milestones!$AA$179)&gt;=$T20),$W20,IF(AND($S20&lt;&gt;"",EDATE($D20,Milestones!$AA$179)&gt;=$S20),$V20,$U20)))=Milestones!$AB$179),UPPER(TEXT(EDATE($D20,Milestones!$AA$179),"dd mmm yy"))&amp;" "&amp;Milestones!$AB$179&amp;" "&amp;Milestones!$AC$179&amp;";  ",""))</f>
        <v/>
      </c>
      <c r="Q20" s="0" t="str">
        <f aca="false">IF(OR($A20="",$D20=""),"",IF(AND(EDATE($D20,Milestones!$AA$180)&lt;=AsOfDate,IF($R20=0,$X20,IF(AND($T20&lt;&gt;"",EDATE($D20,Milestones!$AA$180)&gt;=$T20),$W20,IF(AND($S20&lt;&gt;"",EDATE($D20,Milestones!$AA$180)&gt;=$S20),$V20,$U20)))=Milestones!$AB$180),UPPER(TEXT(EDATE($D20,Milestones!$AA$180),"dd mmm yy"))&amp;" "&amp;Milestones!$AB$180&amp;" "&amp;Milestones!$AC$180&amp;";  ","")&amp;IF(AND(EDATE($D20,Milestones!$AA$181)&lt;=AsOfDate,IF($R20=0,$X20,IF(AND($T20&lt;&gt;"",EDATE($D20,Milestones!$AA$181)&gt;=$T20),$W20,IF(AND($S20&lt;&gt;"",EDATE($D20,Milestones!$AA$181)&gt;=$S20),$V20,$U20)))=Milestones!$AB$181),UPPER(TEXT(EDATE($D20,Milestones!$AA$181),"dd mmm yy"))&amp;" "&amp;Milestones!$AB$181&amp;" "&amp;Milestones!$AC$181&amp;";  ","")&amp;IF(AND(EDATE($D20,Milestones!$AA$182)&lt;=AsOfDate,IF($R20=0,$X20,IF(AND($T20&lt;&gt;"",EDATE($D20,Milestones!$AA$182)&gt;=$T20),$W20,IF(AND($S20&lt;&gt;"",EDATE($D20,Milestones!$AA$182)&gt;=$S20),$V20,$U20)))=Milestones!$AB$182),UPPER(TEXT(EDATE($D20,Milestones!$AA$182),"dd mmm yy"))&amp;" "&amp;Milestones!$AB$182&amp;" "&amp;Milestones!$AC$182&amp;";  ","")&amp;IF(AND(EDATE($D20,Milestones!$AA$183)&lt;=AsOfDate,IF($R20=0,$X20,IF(AND($T20&lt;&gt;"",EDATE($D20,Milestones!$AA$183)&gt;=$T20),$W20,IF(AND($S20&lt;&gt;"",EDATE($D20,Milestones!$AA$183)&gt;=$S20),$V20,$U20)))=Milestones!$AB$183),UPPER(TEXT(EDATE($D20,Milestones!$AA$183),"dd mmm yy"))&amp;" "&amp;Milestones!$AB$183&amp;" "&amp;Milestones!$AC$183&amp;";  ","")&amp;IF(AND(EDATE($D20,Milestones!$AA$184)&lt;=AsOfDate,IF($R20=0,$X20,IF(AND($T20&lt;&gt;"",EDATE($D20,Milestones!$AA$184)&gt;=$T20),$W20,IF(AND($S20&lt;&gt;"",EDATE($D20,Milestones!$AA$184)&gt;=$S20),$V20,$U20)))=Milestones!$AB$184),UPPER(TEXT(EDATE($D20,Milestones!$AA$184),"dd mmm yy"))&amp;" "&amp;Milestones!$AB$184&amp;" "&amp;Milestones!$AC$184&amp;";  ","")&amp;IF(AND(EDATE($D20,Milestones!$AA$185)&lt;=AsOfDate,IF($R20=0,$X20,IF(AND($T20&lt;&gt;"",EDATE($D20,Milestones!$AA$185)&gt;=$T20),$W20,IF(AND($S20&lt;&gt;"",EDATE($D20,Milestones!$AA$185)&gt;=$S20),$V20,$U20)))=Milestones!$AB$185),UPPER(TEXT(EDATE($D20,Milestones!$AA$185),"dd mmm yy"))&amp;" "&amp;Milestones!$AB$185&amp;" "&amp;Milestones!$AC$185&amp;";  ","")&amp;IF(AND(EDATE($D20,Milestones!$AA$186)&lt;=AsOfDate,IF($R20=0,$X20,IF(AND($T20&lt;&gt;"",EDATE($D20,Milestones!$AA$186)&gt;=$T20),$W20,IF(AND($S20&lt;&gt;"",EDATE($D20,Milestones!$AA$186)&gt;=$S20),$V20,$U20)))=Milestones!$AB$186),UPPER(TEXT(EDATE($D20,Milestones!$AA$186),"dd mmm yy"))&amp;" "&amp;Milestones!$AB$186&amp;" "&amp;Milestones!$AC$186&amp;";  ","")&amp;IF(AND(EDATE($D20,Milestones!$AA$187)&lt;=AsOfDate,IF($R20=0,$X20,IF(AND($T20&lt;&gt;"",EDATE($D20,Milestones!$AA$187)&gt;=$T20),$W20,IF(AND($S20&lt;&gt;"",EDATE($D20,Milestones!$AA$187)&gt;=$S20),$V20,$U20)))=Milestones!$AB$187),UPPER(TEXT(EDATE($D20,Milestones!$AA$187),"dd mmm yy"))&amp;" "&amp;Milestones!$AB$187&amp;" "&amp;Milestones!$AC$187&amp;";  ","")&amp;IF(AND(EDATE($D20,Milestones!$AA$188)&lt;=AsOfDate,IF($R20=0,$X20,IF(AND($T20&lt;&gt;"",EDATE($D20,Milestones!$AA$188)&gt;=$T20),$W20,IF(AND($S20&lt;&gt;"",EDATE($D20,Milestones!$AA$188)&gt;=$S20),$V20,$U20)))=Milestones!$AB$188),UPPER(TEXT(EDATE($D20,Milestones!$AA$188),"dd mmm yy"))&amp;" "&amp;Milestones!$AB$188&amp;" "&amp;Milestones!$AC$188&amp;";  ","")&amp;IF(AND(EDATE($D20,Milestones!$AA$189)&lt;=AsOfDate,IF($R20=0,$X20,IF(AND($T20&lt;&gt;"",EDATE($D20,Milestones!$AA$189)&gt;=$T20),$W20,IF(AND($S20&lt;&gt;"",EDATE($D20,Milestones!$AA$189)&gt;=$S20),$V20,$U20)))=Milestones!$AB$189),UPPER(TEXT(EDATE($D20,Milestones!$AA$189),"dd mmm yy"))&amp;" "&amp;Milestones!$AB$189&amp;" "&amp;Milestones!$AC$189&amp;";  ","")&amp;IF(AND(EDATE($D20,Milestones!$AA$190)&lt;=AsOfDate,IF($R20=0,$X20,IF(AND($T20&lt;&gt;"",EDATE($D20,Milestones!$AA$190)&gt;=$T20),$W20,IF(AND($S20&lt;&gt;"",EDATE($D20,Milestones!$AA$190)&gt;=$S20),$V20,$U20)))=Milestones!$AB$190),UPPER(TEXT(EDATE($D20,Milestones!$AA$190),"dd mmm yy"))&amp;" "&amp;Milestones!$AB$190&amp;" "&amp;Milestones!$AC$190&amp;";  ","")&amp;IF(AND(EDATE($D20,Milestones!$AA$191)&lt;=AsOfDate,IF($R20=0,$X20,IF(AND($T20&lt;&gt;"",EDATE($D20,Milestones!$AA$191)&gt;=$T20),$W20,IF(AND($S20&lt;&gt;"",EDATE($D20,Milestones!$AA$191)&gt;=$S20),$V20,$U20)))=Milestones!$AB$191),UPPER(TEXT(EDATE($D20,Milestones!$AA$191),"dd mmm yy"))&amp;" "&amp;Milestones!$AB$191&amp;" "&amp;Milestones!$AC$191&amp;";  ","")&amp;IF(AND(EDATE($D20,Milestones!$AA$192)&lt;=AsOfDate,IF($R20=0,$X20,IF(AND($T20&lt;&gt;"",EDATE($D20,Milestones!$AA$192)&gt;=$T20),$W20,IF(AND($S20&lt;&gt;"",EDATE($D20,Milestones!$AA$192)&gt;=$S20),$V20,$U20)))=Milestones!$AB$192),UPPER(TEXT(EDATE($D20,Milestones!$AA$192),"dd mmm yy"))&amp;" "&amp;Milestones!$AB$192&amp;" "&amp;Milestones!$AC$192&amp;";  ","")&amp;IF(AND(EDATE($D20,Milestones!$AA$193)&lt;=AsOfDate,IF($R20=0,$X20,IF(AND($T20&lt;&gt;"",EDATE($D20,Milestones!$AA$193)&gt;=$T20),$W20,IF(AND($S20&lt;&gt;"",EDATE($D20,Milestones!$AA$193)&gt;=$S20),$V20,$U20)))=Milestones!$AB$193),UPPER(TEXT(EDATE($D20,Milestones!$AA$193),"dd mmm yy"))&amp;" "&amp;Milestones!$AB$193&amp;" "&amp;Milestones!$AC$193&amp;";  ","")&amp;IF(AND(EDATE($D20,Milestones!$AA$194)&lt;=AsOfDate,IF($R20=0,$X20,IF(AND($T20&lt;&gt;"",EDATE($D20,Milestones!$AA$194)&gt;=$T20),$W20,IF(AND($S20&lt;&gt;"",EDATE($D20,Milestones!$AA$194)&gt;=$S20),$V20,$U20)))=Milestones!$AB$194),UPPER(TEXT(EDATE($D20,Milestones!$AA$194),"dd mmm yy"))&amp;" "&amp;Milestones!$AB$194&amp;" "&amp;Milestones!$AC$194&amp;";  ","")&amp;IF(AND(EDATE($D20,Milestones!$AA$195)&lt;=AsOfDate,IF($R20=0,$X20,IF(AND($T20&lt;&gt;"",EDATE($D20,Milestones!$AA$195)&gt;=$T20),$W20,IF(AND($S20&lt;&gt;"",EDATE($D20,Milestones!$AA$195)&gt;=$S20),$V20,$U20)))=Milestones!$AB$195),UPPER(TEXT(EDATE($D20,Milestones!$AA$195),"dd mmm yy"))&amp;" "&amp;Milestones!$AB$195&amp;" "&amp;Milestones!$AC$195&amp;";  ","")&amp;IF(AND(EDATE($D20,Milestones!$AA$196)&lt;=AsOfDate,IF($R20=0,$X20,IF(AND($T20&lt;&gt;"",EDATE($D20,Milestones!$AA$196)&gt;=$T20),$W20,IF(AND($S20&lt;&gt;"",EDATE($D20,Milestones!$AA$196)&gt;=$S20),$V20,$U20)))=Milestones!$AB$196),UPPER(TEXT(EDATE($D20,Milestones!$AA$196),"dd mmm yy"))&amp;" "&amp;Milestones!$AB$196&amp;" "&amp;Milestones!$AC$196&amp;";  ","")&amp;IF(AND(EDATE($D20,Milestones!$AA$197)&lt;=AsOfDate,IF($R20=0,$X20,IF(AND($T20&lt;&gt;"",EDATE($D20,Milestones!$AA$197)&gt;=$T20),$W20,IF(AND($S20&lt;&gt;"",EDATE($D20,Milestones!$AA$197)&gt;=$S20),$V20,$U20)))=Milestones!$AB$197),UPPER(TEXT(EDATE($D20,Milestones!$AA$197),"dd mmm yy"))&amp;" "&amp;Milestones!$AB$197&amp;" "&amp;Milestones!$AC$197&amp;";  ","")&amp;IF(AND(EDATE($D20,Milestones!$AA$198)&lt;=AsOfDate,IF($R20=0,$X20,IF(AND($T20&lt;&gt;"",EDATE($D20,Milestones!$AA$198)&gt;=$T20),$W20,IF(AND($S20&lt;&gt;"",EDATE($D20,Milestones!$AA$198)&gt;=$S20),$V20,$U20)))=Milestones!$AB$198),UPPER(TEXT(EDATE($D20,Milestones!$AA$198),"dd mmm yy"))&amp;" "&amp;Milestones!$AB$198&amp;" "&amp;Milestones!$AC$198&amp;";  ","")&amp;IF(AND(EDATE($D20,Milestones!$AA$199)&lt;=AsOfDate,IF($R20=0,$X20,IF(AND($T20&lt;&gt;"",EDATE($D20,Milestones!$AA$199)&gt;=$T20),$W20,IF(AND($S20&lt;&gt;"",EDATE($D20,Milestones!$AA$199)&gt;=$S20),$V20,$U20)))=Milestones!$AB$199),UPPER(TEXT(EDATE($D20,Milestones!$AA$199),"dd mmm yy"))&amp;" "&amp;Milestones!$AB$199&amp;" "&amp;Milestones!$AC$199&amp;";  ",""))</f>
        <v/>
      </c>
      <c r="R20" s="0" t="str">
        <f aca="false">IF(Staff!$A20="","",Staff!$AI20)</f>
        <v/>
      </c>
      <c r="S20" s="0" t="str">
        <f aca="false">IF(Staff!$A20="","",Staff!$AK20)</f>
        <v/>
      </c>
      <c r="T20" s="0" t="str">
        <f aca="false">IF(Staff!$A20="","",Staff!$AL20)</f>
        <v/>
      </c>
      <c r="U20" s="0" t="str">
        <f aca="false">IF(Staff!$A20="","",Staff!$AP20)</f>
        <v/>
      </c>
      <c r="V20" s="0" t="str">
        <f aca="false">IF(Staff!$A20="","",Staff!$AQ20)</f>
        <v/>
      </c>
      <c r="W20" s="0" t="str">
        <f aca="false">IF(Staff!$A20="","",Staff!$AR20)</f>
        <v/>
      </c>
      <c r="X20" s="0" t="str">
        <f aca="false">IF(Staff!$A20="","",Staff!$AS20)</f>
        <v/>
      </c>
    </row>
    <row r="21" customFormat="false" ht="15" hidden="false" customHeight="false" outlineLevel="0" collapsed="false">
      <c r="A21" s="14" t="str">
        <f aca="false">IF(Staff!$A21="","",Staff!$A21)</f>
        <v/>
      </c>
      <c r="B21" s="14" t="str">
        <f aca="false">IF(Staff!$A21="","",Staff!$B21)</f>
        <v/>
      </c>
      <c r="C21" s="14" t="str">
        <f aca="false">IF(Staff!$A21="","",Staff!$C21)</f>
        <v/>
      </c>
      <c r="D21" s="12" t="str">
        <f aca="false">IF(Staff!$A21="","",Staff!$AH21)</f>
        <v/>
      </c>
      <c r="E21" s="14" t="str">
        <f aca="false">IF(Staff!$A21="","",Staff!$O21)</f>
        <v/>
      </c>
      <c r="F21" s="14" t="str">
        <f aca="false">IF(E21="","",E21*HoursPerDay)</f>
        <v/>
      </c>
      <c r="G21" s="14" t="str">
        <f aca="false">IF(Staff!$A21="","",Staff!$AE21)</f>
        <v/>
      </c>
      <c r="H21" s="26" t="str">
        <f aca="false">IF($A21="","",I21&amp;J21&amp;K21&amp;L21&amp;M21&amp;N21&amp;O21&amp;P21&amp;Q21)</f>
        <v/>
      </c>
      <c r="I21" s="0" t="str">
        <f aca="false">IF(OR($A21="",$D21=""),"",IF(AND(EDATE($D21,Milestones!$AA$20)&lt;=AsOfDate,IF($R21=0,$X21,IF(AND($T21&lt;&gt;"",EDATE($D21,Milestones!$AA$20)&gt;=$T21),$W21,IF(AND($S21&lt;&gt;"",EDATE($D21,Milestones!$AA$20)&gt;=$S21),$V21,$U21)))=Milestones!$AB$20),UPPER(TEXT(EDATE($D21,Milestones!$AA$20),"dd mmm yy"))&amp;" "&amp;Milestones!$AB$20&amp;" "&amp;Milestones!$AC$20&amp;";  ","")&amp;IF(AND(EDATE($D21,Milestones!$AA$21)&lt;=AsOfDate,IF($R21=0,$X21,IF(AND($T21&lt;&gt;"",EDATE($D21,Milestones!$AA$21)&gt;=$T21),$W21,IF(AND($S21&lt;&gt;"",EDATE($D21,Milestones!$AA$21)&gt;=$S21),$V21,$U21)))=Milestones!$AB$21),UPPER(TEXT(EDATE($D21,Milestones!$AA$21),"dd mmm yy"))&amp;" "&amp;Milestones!$AB$21&amp;" "&amp;Milestones!$AC$21&amp;";  ","")&amp;IF(AND(EDATE($D21,Milestones!$AA$22)&lt;=AsOfDate,IF($R21=0,$X21,IF(AND($T21&lt;&gt;"",EDATE($D21,Milestones!$AA$22)&gt;=$T21),$W21,IF(AND($S21&lt;&gt;"",EDATE($D21,Milestones!$AA$22)&gt;=$S21),$V21,$U21)))=Milestones!$AB$22),UPPER(TEXT(EDATE($D21,Milestones!$AA$22),"dd mmm yy"))&amp;" "&amp;Milestones!$AB$22&amp;" "&amp;Milestones!$AC$22&amp;";  ","")&amp;IF(AND(EDATE($D21,Milestones!$AA$23)&lt;=AsOfDate,IF($R21=0,$X21,IF(AND($T21&lt;&gt;"",EDATE($D21,Milestones!$AA$23)&gt;=$T21),$W21,IF(AND($S21&lt;&gt;"",EDATE($D21,Milestones!$AA$23)&gt;=$S21),$V21,$U21)))=Milestones!$AB$23),UPPER(TEXT(EDATE($D21,Milestones!$AA$23),"dd mmm yy"))&amp;" "&amp;Milestones!$AB$23&amp;" "&amp;Milestones!$AC$23&amp;";  ","")&amp;IF(AND(EDATE($D21,Milestones!$AA$24)&lt;=AsOfDate,IF($R21=0,$X21,IF(AND($T21&lt;&gt;"",EDATE($D21,Milestones!$AA$24)&gt;=$T21),$W21,IF(AND($S21&lt;&gt;"",EDATE($D21,Milestones!$AA$24)&gt;=$S21),$V21,$U21)))=Milestones!$AB$24),UPPER(TEXT(EDATE($D21,Milestones!$AA$24),"dd mmm yy"))&amp;" "&amp;Milestones!$AB$24&amp;" "&amp;Milestones!$AC$24&amp;";  ","")&amp;IF(AND(EDATE($D21,Milestones!$AA$25)&lt;=AsOfDate,IF($R21=0,$X21,IF(AND($T21&lt;&gt;"",EDATE($D21,Milestones!$AA$25)&gt;=$T21),$W21,IF(AND($S21&lt;&gt;"",EDATE($D21,Milestones!$AA$25)&gt;=$S21),$V21,$U21)))=Milestones!$AB$25),UPPER(TEXT(EDATE($D21,Milestones!$AA$25),"dd mmm yy"))&amp;" "&amp;Milestones!$AB$25&amp;" "&amp;Milestones!$AC$25&amp;";  ","")&amp;IF(AND(EDATE($D21,Milestones!$AA$26)&lt;=AsOfDate,IF($R21=0,$X21,IF(AND($T21&lt;&gt;"",EDATE($D21,Milestones!$AA$26)&gt;=$T21),$W21,IF(AND($S21&lt;&gt;"",EDATE($D21,Milestones!$AA$26)&gt;=$S21),$V21,$U21)))=Milestones!$AB$26),UPPER(TEXT(EDATE($D21,Milestones!$AA$26),"dd mmm yy"))&amp;" "&amp;Milestones!$AB$26&amp;" "&amp;Milestones!$AC$26&amp;";  ","")&amp;IF(AND(EDATE($D21,Milestones!$AA$27)&lt;=AsOfDate,IF($R21=0,$X21,IF(AND($T21&lt;&gt;"",EDATE($D21,Milestones!$AA$27)&gt;=$T21),$W21,IF(AND($S21&lt;&gt;"",EDATE($D21,Milestones!$AA$27)&gt;=$S21),$V21,$U21)))=Milestones!$AB$27),UPPER(TEXT(EDATE($D21,Milestones!$AA$27),"dd mmm yy"))&amp;" "&amp;Milestones!$AB$27&amp;" "&amp;Milestones!$AC$27&amp;";  ","")&amp;IF(AND(EDATE($D21,Milestones!$AA$28)&lt;=AsOfDate,IF($R21=0,$X21,IF(AND($T21&lt;&gt;"",EDATE($D21,Milestones!$AA$28)&gt;=$T21),$W21,IF(AND($S21&lt;&gt;"",EDATE($D21,Milestones!$AA$28)&gt;=$S21),$V21,$U21)))=Milestones!$AB$28),UPPER(TEXT(EDATE($D21,Milestones!$AA$28),"dd mmm yy"))&amp;" "&amp;Milestones!$AB$28&amp;" "&amp;Milestones!$AC$28&amp;";  ","")&amp;IF(AND(EDATE($D21,Milestones!$AA$29)&lt;=AsOfDate,IF($R21=0,$X21,IF(AND($T21&lt;&gt;"",EDATE($D21,Milestones!$AA$29)&gt;=$T21),$W21,IF(AND($S21&lt;&gt;"",EDATE($D21,Milestones!$AA$29)&gt;=$S21),$V21,$U21)))=Milestones!$AB$29),UPPER(TEXT(EDATE($D21,Milestones!$AA$29),"dd mmm yy"))&amp;" "&amp;Milestones!$AB$29&amp;" "&amp;Milestones!$AC$29&amp;";  ","")&amp;IF(AND(EDATE($D21,Milestones!$AA$30)&lt;=AsOfDate,IF($R21=0,$X21,IF(AND($T21&lt;&gt;"",EDATE($D21,Milestones!$AA$30)&gt;=$T21),$W21,IF(AND($S21&lt;&gt;"",EDATE($D21,Milestones!$AA$30)&gt;=$S21),$V21,$U21)))=Milestones!$AB$30),UPPER(TEXT(EDATE($D21,Milestones!$AA$30),"dd mmm yy"))&amp;" "&amp;Milestones!$AB$30&amp;" "&amp;Milestones!$AC$30&amp;";  ","")&amp;IF(AND(EDATE($D21,Milestones!$AA$31)&lt;=AsOfDate,IF($R21=0,$X21,IF(AND($T21&lt;&gt;"",EDATE($D21,Milestones!$AA$31)&gt;=$T21),$W21,IF(AND($S21&lt;&gt;"",EDATE($D21,Milestones!$AA$31)&gt;=$S21),$V21,$U21)))=Milestones!$AB$31),UPPER(TEXT(EDATE($D21,Milestones!$AA$31),"dd mmm yy"))&amp;" "&amp;Milestones!$AB$31&amp;" "&amp;Milestones!$AC$31&amp;";  ","")&amp;IF(AND(EDATE($D21,Milestones!$AA$32)&lt;=AsOfDate,IF($R21=0,$X21,IF(AND($T21&lt;&gt;"",EDATE($D21,Milestones!$AA$32)&gt;=$T21),$W21,IF(AND($S21&lt;&gt;"",EDATE($D21,Milestones!$AA$32)&gt;=$S21),$V21,$U21)))=Milestones!$AB$32),UPPER(TEXT(EDATE($D21,Milestones!$AA$32),"dd mmm yy"))&amp;" "&amp;Milestones!$AB$32&amp;" "&amp;Milestones!$AC$32&amp;";  ","")&amp;IF(AND(EDATE($D21,Milestones!$AA$33)&lt;=AsOfDate,IF($R21=0,$X21,IF(AND($T21&lt;&gt;"",EDATE($D21,Milestones!$AA$33)&gt;=$T21),$W21,IF(AND($S21&lt;&gt;"",EDATE($D21,Milestones!$AA$33)&gt;=$S21),$V21,$U21)))=Milestones!$AB$33),UPPER(TEXT(EDATE($D21,Milestones!$AA$33),"dd mmm yy"))&amp;" "&amp;Milestones!$AB$33&amp;" "&amp;Milestones!$AC$33&amp;";  ","")&amp;IF(AND(EDATE($D21,Milestones!$AA$34)&lt;=AsOfDate,IF($R21=0,$X21,IF(AND($T21&lt;&gt;"",EDATE($D21,Milestones!$AA$34)&gt;=$T21),$W21,IF(AND($S21&lt;&gt;"",EDATE($D21,Milestones!$AA$34)&gt;=$S21),$V21,$U21)))=Milestones!$AB$34),UPPER(TEXT(EDATE($D21,Milestones!$AA$34),"dd mmm yy"))&amp;" "&amp;Milestones!$AB$34&amp;" "&amp;Milestones!$AC$34&amp;";  ","")&amp;IF(AND(EDATE($D21,Milestones!$AA$35)&lt;=AsOfDate,IF($R21=0,$X21,IF(AND($T21&lt;&gt;"",EDATE($D21,Milestones!$AA$35)&gt;=$T21),$W21,IF(AND($S21&lt;&gt;"",EDATE($D21,Milestones!$AA$35)&gt;=$S21),$V21,$U21)))=Milestones!$AB$35),UPPER(TEXT(EDATE($D21,Milestones!$AA$35),"dd mmm yy"))&amp;" "&amp;Milestones!$AB$35&amp;" "&amp;Milestones!$AC$35&amp;";  ","")&amp;IF(AND(EDATE($D21,Milestones!$AA$36)&lt;=AsOfDate,IF($R21=0,$X21,IF(AND($T21&lt;&gt;"",EDATE($D21,Milestones!$AA$36)&gt;=$T21),$W21,IF(AND($S21&lt;&gt;"",EDATE($D21,Milestones!$AA$36)&gt;=$S21),$V21,$U21)))=Milestones!$AB$36),UPPER(TEXT(EDATE($D21,Milestones!$AA$36),"dd mmm yy"))&amp;" "&amp;Milestones!$AB$36&amp;" "&amp;Milestones!$AC$36&amp;";  ","")&amp;IF(AND(EDATE($D21,Milestones!$AA$37)&lt;=AsOfDate,IF($R21=0,$X21,IF(AND($T21&lt;&gt;"",EDATE($D21,Milestones!$AA$37)&gt;=$T21),$W21,IF(AND($S21&lt;&gt;"",EDATE($D21,Milestones!$AA$37)&gt;=$S21),$V21,$U21)))=Milestones!$AB$37),UPPER(TEXT(EDATE($D21,Milestones!$AA$37),"dd mmm yy"))&amp;" "&amp;Milestones!$AB$37&amp;" "&amp;Milestones!$AC$37&amp;";  ","")&amp;IF(AND(EDATE($D21,Milestones!$AA$38)&lt;=AsOfDate,IF($R21=0,$X21,IF(AND($T21&lt;&gt;"",EDATE($D21,Milestones!$AA$38)&gt;=$T21),$W21,IF(AND($S21&lt;&gt;"",EDATE($D21,Milestones!$AA$38)&gt;=$S21),$V21,$U21)))=Milestones!$AB$38),UPPER(TEXT(EDATE($D21,Milestones!$AA$38),"dd mmm yy"))&amp;" "&amp;Milestones!$AB$38&amp;" "&amp;Milestones!$AC$38&amp;";  ","")&amp;IF(AND(EDATE($D21,Milestones!$AA$39)&lt;=AsOfDate,IF($R21=0,$X21,IF(AND($T21&lt;&gt;"",EDATE($D21,Milestones!$AA$39)&gt;=$T21),$W21,IF(AND($S21&lt;&gt;"",EDATE($D21,Milestones!$AA$39)&gt;=$S21),$V21,$U21)))=Milestones!$AB$39),UPPER(TEXT(EDATE($D21,Milestones!$AA$39),"dd mmm yy"))&amp;" "&amp;Milestones!$AB$39&amp;" "&amp;Milestones!$AC$39&amp;";  ",""))</f>
        <v/>
      </c>
      <c r="J21" s="0" t="str">
        <f aca="false">IF(OR($A21="",$D21=""),"",IF(AND(EDATE($D21,Milestones!$AA$40)&lt;=AsOfDate,IF($R21=0,$X21,IF(AND($T21&lt;&gt;"",EDATE($D21,Milestones!$AA$40)&gt;=$T21),$W21,IF(AND($S21&lt;&gt;"",EDATE($D21,Milestones!$AA$40)&gt;=$S21),$V21,$U21)))=Milestones!$AB$40),UPPER(TEXT(EDATE($D21,Milestones!$AA$40),"dd mmm yy"))&amp;" "&amp;Milestones!$AB$40&amp;" "&amp;Milestones!$AC$40&amp;";  ","")&amp;IF(AND(EDATE($D21,Milestones!$AA$41)&lt;=AsOfDate,IF($R21=0,$X21,IF(AND($T21&lt;&gt;"",EDATE($D21,Milestones!$AA$41)&gt;=$T21),$W21,IF(AND($S21&lt;&gt;"",EDATE($D21,Milestones!$AA$41)&gt;=$S21),$V21,$U21)))=Milestones!$AB$41),UPPER(TEXT(EDATE($D21,Milestones!$AA$41),"dd mmm yy"))&amp;" "&amp;Milestones!$AB$41&amp;" "&amp;Milestones!$AC$41&amp;";  ","")&amp;IF(AND(EDATE($D21,Milestones!$AA$42)&lt;=AsOfDate,IF($R21=0,$X21,IF(AND($T21&lt;&gt;"",EDATE($D21,Milestones!$AA$42)&gt;=$T21),$W21,IF(AND($S21&lt;&gt;"",EDATE($D21,Milestones!$AA$42)&gt;=$S21),$V21,$U21)))=Milestones!$AB$42),UPPER(TEXT(EDATE($D21,Milestones!$AA$42),"dd mmm yy"))&amp;" "&amp;Milestones!$AB$42&amp;" "&amp;Milestones!$AC$42&amp;";  ","")&amp;IF(AND(EDATE($D21,Milestones!$AA$43)&lt;=AsOfDate,IF($R21=0,$X21,IF(AND($T21&lt;&gt;"",EDATE($D21,Milestones!$AA$43)&gt;=$T21),$W21,IF(AND($S21&lt;&gt;"",EDATE($D21,Milestones!$AA$43)&gt;=$S21),$V21,$U21)))=Milestones!$AB$43),UPPER(TEXT(EDATE($D21,Milestones!$AA$43),"dd mmm yy"))&amp;" "&amp;Milestones!$AB$43&amp;" "&amp;Milestones!$AC$43&amp;";  ","")&amp;IF(AND(EDATE($D21,Milestones!$AA$44)&lt;=AsOfDate,IF($R21=0,$X21,IF(AND($T21&lt;&gt;"",EDATE($D21,Milestones!$AA$44)&gt;=$T21),$W21,IF(AND($S21&lt;&gt;"",EDATE($D21,Milestones!$AA$44)&gt;=$S21),$V21,$U21)))=Milestones!$AB$44),UPPER(TEXT(EDATE($D21,Milestones!$AA$44),"dd mmm yy"))&amp;" "&amp;Milestones!$AB$44&amp;" "&amp;Milestones!$AC$44&amp;";  ","")&amp;IF(AND(EDATE($D21,Milestones!$AA$45)&lt;=AsOfDate,IF($R21=0,$X21,IF(AND($T21&lt;&gt;"",EDATE($D21,Milestones!$AA$45)&gt;=$T21),$W21,IF(AND($S21&lt;&gt;"",EDATE($D21,Milestones!$AA$45)&gt;=$S21),$V21,$U21)))=Milestones!$AB$45),UPPER(TEXT(EDATE($D21,Milestones!$AA$45),"dd mmm yy"))&amp;" "&amp;Milestones!$AB$45&amp;" "&amp;Milestones!$AC$45&amp;";  ","")&amp;IF(AND(EDATE($D21,Milestones!$AA$46)&lt;=AsOfDate,IF($R21=0,$X21,IF(AND($T21&lt;&gt;"",EDATE($D21,Milestones!$AA$46)&gt;=$T21),$W21,IF(AND($S21&lt;&gt;"",EDATE($D21,Milestones!$AA$46)&gt;=$S21),$V21,$U21)))=Milestones!$AB$46),UPPER(TEXT(EDATE($D21,Milestones!$AA$46),"dd mmm yy"))&amp;" "&amp;Milestones!$AB$46&amp;" "&amp;Milestones!$AC$46&amp;";  ","")&amp;IF(AND(EDATE($D21,Milestones!$AA$47)&lt;=AsOfDate,IF($R21=0,$X21,IF(AND($T21&lt;&gt;"",EDATE($D21,Milestones!$AA$47)&gt;=$T21),$W21,IF(AND($S21&lt;&gt;"",EDATE($D21,Milestones!$AA$47)&gt;=$S21),$V21,$U21)))=Milestones!$AB$47),UPPER(TEXT(EDATE($D21,Milestones!$AA$47),"dd mmm yy"))&amp;" "&amp;Milestones!$AB$47&amp;" "&amp;Milestones!$AC$47&amp;";  ","")&amp;IF(AND(EDATE($D21,Milestones!$AA$48)&lt;=AsOfDate,IF($R21=0,$X21,IF(AND($T21&lt;&gt;"",EDATE($D21,Milestones!$AA$48)&gt;=$T21),$W21,IF(AND($S21&lt;&gt;"",EDATE($D21,Milestones!$AA$48)&gt;=$S21),$V21,$U21)))=Milestones!$AB$48),UPPER(TEXT(EDATE($D21,Milestones!$AA$48),"dd mmm yy"))&amp;" "&amp;Milestones!$AB$48&amp;" "&amp;Milestones!$AC$48&amp;";  ","")&amp;IF(AND(EDATE($D21,Milestones!$AA$49)&lt;=AsOfDate,IF($R21=0,$X21,IF(AND($T21&lt;&gt;"",EDATE($D21,Milestones!$AA$49)&gt;=$T21),$W21,IF(AND($S21&lt;&gt;"",EDATE($D21,Milestones!$AA$49)&gt;=$S21),$V21,$U21)))=Milestones!$AB$49),UPPER(TEXT(EDATE($D21,Milestones!$AA$49),"dd mmm yy"))&amp;" "&amp;Milestones!$AB$49&amp;" "&amp;Milestones!$AC$49&amp;";  ","")&amp;IF(AND(EDATE($D21,Milestones!$AA$50)&lt;=AsOfDate,IF($R21=0,$X21,IF(AND($T21&lt;&gt;"",EDATE($D21,Milestones!$AA$50)&gt;=$T21),$W21,IF(AND($S21&lt;&gt;"",EDATE($D21,Milestones!$AA$50)&gt;=$S21),$V21,$U21)))=Milestones!$AB$50),UPPER(TEXT(EDATE($D21,Milestones!$AA$50),"dd mmm yy"))&amp;" "&amp;Milestones!$AB$50&amp;" "&amp;Milestones!$AC$50&amp;";  ","")&amp;IF(AND(EDATE($D21,Milestones!$AA$51)&lt;=AsOfDate,IF($R21=0,$X21,IF(AND($T21&lt;&gt;"",EDATE($D21,Milestones!$AA$51)&gt;=$T21),$W21,IF(AND($S21&lt;&gt;"",EDATE($D21,Milestones!$AA$51)&gt;=$S21),$V21,$U21)))=Milestones!$AB$51),UPPER(TEXT(EDATE($D21,Milestones!$AA$51),"dd mmm yy"))&amp;" "&amp;Milestones!$AB$51&amp;" "&amp;Milestones!$AC$51&amp;";  ","")&amp;IF(AND(EDATE($D21,Milestones!$AA$52)&lt;=AsOfDate,IF($R21=0,$X21,IF(AND($T21&lt;&gt;"",EDATE($D21,Milestones!$AA$52)&gt;=$T21),$W21,IF(AND($S21&lt;&gt;"",EDATE($D21,Milestones!$AA$52)&gt;=$S21),$V21,$U21)))=Milestones!$AB$52),UPPER(TEXT(EDATE($D21,Milestones!$AA$52),"dd mmm yy"))&amp;" "&amp;Milestones!$AB$52&amp;" "&amp;Milestones!$AC$52&amp;";  ","")&amp;IF(AND(EDATE($D21,Milestones!$AA$53)&lt;=AsOfDate,IF($R21=0,$X21,IF(AND($T21&lt;&gt;"",EDATE($D21,Milestones!$AA$53)&gt;=$T21),$W21,IF(AND($S21&lt;&gt;"",EDATE($D21,Milestones!$AA$53)&gt;=$S21),$V21,$U21)))=Milestones!$AB$53),UPPER(TEXT(EDATE($D21,Milestones!$AA$53),"dd mmm yy"))&amp;" "&amp;Milestones!$AB$53&amp;" "&amp;Milestones!$AC$53&amp;";  ","")&amp;IF(AND(EDATE($D21,Milestones!$AA$54)&lt;=AsOfDate,IF($R21=0,$X21,IF(AND($T21&lt;&gt;"",EDATE($D21,Milestones!$AA$54)&gt;=$T21),$W21,IF(AND($S21&lt;&gt;"",EDATE($D21,Milestones!$AA$54)&gt;=$S21),$V21,$U21)))=Milestones!$AB$54),UPPER(TEXT(EDATE($D21,Milestones!$AA$54),"dd mmm yy"))&amp;" "&amp;Milestones!$AB$54&amp;" "&amp;Milestones!$AC$54&amp;";  ","")&amp;IF(AND(EDATE($D21,Milestones!$AA$55)&lt;=AsOfDate,IF($R21=0,$X21,IF(AND($T21&lt;&gt;"",EDATE($D21,Milestones!$AA$55)&gt;=$T21),$W21,IF(AND($S21&lt;&gt;"",EDATE($D21,Milestones!$AA$55)&gt;=$S21),$V21,$U21)))=Milestones!$AB$55),UPPER(TEXT(EDATE($D21,Milestones!$AA$55),"dd mmm yy"))&amp;" "&amp;Milestones!$AB$55&amp;" "&amp;Milestones!$AC$55&amp;";  ","")&amp;IF(AND(EDATE($D21,Milestones!$AA$56)&lt;=AsOfDate,IF($R21=0,$X21,IF(AND($T21&lt;&gt;"",EDATE($D21,Milestones!$AA$56)&gt;=$T21),$W21,IF(AND($S21&lt;&gt;"",EDATE($D21,Milestones!$AA$56)&gt;=$S21),$V21,$U21)))=Milestones!$AB$56),UPPER(TEXT(EDATE($D21,Milestones!$AA$56),"dd mmm yy"))&amp;" "&amp;Milestones!$AB$56&amp;" "&amp;Milestones!$AC$56&amp;";  ","")&amp;IF(AND(EDATE($D21,Milestones!$AA$57)&lt;=AsOfDate,IF($R21=0,$X21,IF(AND($T21&lt;&gt;"",EDATE($D21,Milestones!$AA$57)&gt;=$T21),$W21,IF(AND($S21&lt;&gt;"",EDATE($D21,Milestones!$AA$57)&gt;=$S21),$V21,$U21)))=Milestones!$AB$57),UPPER(TEXT(EDATE($D21,Milestones!$AA$57),"dd mmm yy"))&amp;" "&amp;Milestones!$AB$57&amp;" "&amp;Milestones!$AC$57&amp;";  ","")&amp;IF(AND(EDATE($D21,Milestones!$AA$58)&lt;=AsOfDate,IF($R21=0,$X21,IF(AND($T21&lt;&gt;"",EDATE($D21,Milestones!$AA$58)&gt;=$T21),$W21,IF(AND($S21&lt;&gt;"",EDATE($D21,Milestones!$AA$58)&gt;=$S21),$V21,$U21)))=Milestones!$AB$58),UPPER(TEXT(EDATE($D21,Milestones!$AA$58),"dd mmm yy"))&amp;" "&amp;Milestones!$AB$58&amp;" "&amp;Milestones!$AC$58&amp;";  ","")&amp;IF(AND(EDATE($D21,Milestones!$AA$59)&lt;=AsOfDate,IF($R21=0,$X21,IF(AND($T21&lt;&gt;"",EDATE($D21,Milestones!$AA$59)&gt;=$T21),$W21,IF(AND($S21&lt;&gt;"",EDATE($D21,Milestones!$AA$59)&gt;=$S21),$V21,$U21)))=Milestones!$AB$59),UPPER(TEXT(EDATE($D21,Milestones!$AA$59),"dd mmm yy"))&amp;" "&amp;Milestones!$AB$59&amp;" "&amp;Milestones!$AC$59&amp;";  ",""))</f>
        <v/>
      </c>
      <c r="K21" s="0" t="str">
        <f aca="false">IF(OR($A21="",$D21=""),"",IF(AND(EDATE($D21,Milestones!$AA$60)&lt;=AsOfDate,IF($R21=0,$X21,IF(AND($T21&lt;&gt;"",EDATE($D21,Milestones!$AA$60)&gt;=$T21),$W21,IF(AND($S21&lt;&gt;"",EDATE($D21,Milestones!$AA$60)&gt;=$S21),$V21,$U21)))=Milestones!$AB$60),UPPER(TEXT(EDATE($D21,Milestones!$AA$60),"dd mmm yy"))&amp;" "&amp;Milestones!$AB$60&amp;" "&amp;Milestones!$AC$60&amp;";  ","")&amp;IF(AND(EDATE($D21,Milestones!$AA$61)&lt;=AsOfDate,IF($R21=0,$X21,IF(AND($T21&lt;&gt;"",EDATE($D21,Milestones!$AA$61)&gt;=$T21),$W21,IF(AND($S21&lt;&gt;"",EDATE($D21,Milestones!$AA$61)&gt;=$S21),$V21,$U21)))=Milestones!$AB$61),UPPER(TEXT(EDATE($D21,Milestones!$AA$61),"dd mmm yy"))&amp;" "&amp;Milestones!$AB$61&amp;" "&amp;Milestones!$AC$61&amp;";  ","")&amp;IF(AND(EDATE($D21,Milestones!$AA$62)&lt;=AsOfDate,IF($R21=0,$X21,IF(AND($T21&lt;&gt;"",EDATE($D21,Milestones!$AA$62)&gt;=$T21),$W21,IF(AND($S21&lt;&gt;"",EDATE($D21,Milestones!$AA$62)&gt;=$S21),$V21,$U21)))=Milestones!$AB$62),UPPER(TEXT(EDATE($D21,Milestones!$AA$62),"dd mmm yy"))&amp;" "&amp;Milestones!$AB$62&amp;" "&amp;Milestones!$AC$62&amp;";  ","")&amp;IF(AND(EDATE($D21,Milestones!$AA$63)&lt;=AsOfDate,IF($R21=0,$X21,IF(AND($T21&lt;&gt;"",EDATE($D21,Milestones!$AA$63)&gt;=$T21),$W21,IF(AND($S21&lt;&gt;"",EDATE($D21,Milestones!$AA$63)&gt;=$S21),$V21,$U21)))=Milestones!$AB$63),UPPER(TEXT(EDATE($D21,Milestones!$AA$63),"dd mmm yy"))&amp;" "&amp;Milestones!$AB$63&amp;" "&amp;Milestones!$AC$63&amp;";  ","")&amp;IF(AND(EDATE($D21,Milestones!$AA$64)&lt;=AsOfDate,IF($R21=0,$X21,IF(AND($T21&lt;&gt;"",EDATE($D21,Milestones!$AA$64)&gt;=$T21),$W21,IF(AND($S21&lt;&gt;"",EDATE($D21,Milestones!$AA$64)&gt;=$S21),$V21,$U21)))=Milestones!$AB$64),UPPER(TEXT(EDATE($D21,Milestones!$AA$64),"dd mmm yy"))&amp;" "&amp;Milestones!$AB$64&amp;" "&amp;Milestones!$AC$64&amp;";  ","")&amp;IF(AND(EDATE($D21,Milestones!$AA$65)&lt;=AsOfDate,IF($R21=0,$X21,IF(AND($T21&lt;&gt;"",EDATE($D21,Milestones!$AA$65)&gt;=$T21),$W21,IF(AND($S21&lt;&gt;"",EDATE($D21,Milestones!$AA$65)&gt;=$S21),$V21,$U21)))=Milestones!$AB$65),UPPER(TEXT(EDATE($D21,Milestones!$AA$65),"dd mmm yy"))&amp;" "&amp;Milestones!$AB$65&amp;" "&amp;Milestones!$AC$65&amp;";  ","")&amp;IF(AND(EDATE($D21,Milestones!$AA$66)&lt;=AsOfDate,IF($R21=0,$X21,IF(AND($T21&lt;&gt;"",EDATE($D21,Milestones!$AA$66)&gt;=$T21),$W21,IF(AND($S21&lt;&gt;"",EDATE($D21,Milestones!$AA$66)&gt;=$S21),$V21,$U21)))=Milestones!$AB$66),UPPER(TEXT(EDATE($D21,Milestones!$AA$66),"dd mmm yy"))&amp;" "&amp;Milestones!$AB$66&amp;" "&amp;Milestones!$AC$66&amp;";  ","")&amp;IF(AND(EDATE($D21,Milestones!$AA$67)&lt;=AsOfDate,IF($R21=0,$X21,IF(AND($T21&lt;&gt;"",EDATE($D21,Milestones!$AA$67)&gt;=$T21),$W21,IF(AND($S21&lt;&gt;"",EDATE($D21,Milestones!$AA$67)&gt;=$S21),$V21,$U21)))=Milestones!$AB$67),UPPER(TEXT(EDATE($D21,Milestones!$AA$67),"dd mmm yy"))&amp;" "&amp;Milestones!$AB$67&amp;" "&amp;Milestones!$AC$67&amp;";  ","")&amp;IF(AND(EDATE($D21,Milestones!$AA$68)&lt;=AsOfDate,IF($R21=0,$X21,IF(AND($T21&lt;&gt;"",EDATE($D21,Milestones!$AA$68)&gt;=$T21),$W21,IF(AND($S21&lt;&gt;"",EDATE($D21,Milestones!$AA$68)&gt;=$S21),$V21,$U21)))=Milestones!$AB$68),UPPER(TEXT(EDATE($D21,Milestones!$AA$68),"dd mmm yy"))&amp;" "&amp;Milestones!$AB$68&amp;" "&amp;Milestones!$AC$68&amp;";  ","")&amp;IF(AND(EDATE($D21,Milestones!$AA$69)&lt;=AsOfDate,IF($R21=0,$X21,IF(AND($T21&lt;&gt;"",EDATE($D21,Milestones!$AA$69)&gt;=$T21),$W21,IF(AND($S21&lt;&gt;"",EDATE($D21,Milestones!$AA$69)&gt;=$S21),$V21,$U21)))=Milestones!$AB$69),UPPER(TEXT(EDATE($D21,Milestones!$AA$69),"dd mmm yy"))&amp;" "&amp;Milestones!$AB$69&amp;" "&amp;Milestones!$AC$69&amp;";  ","")&amp;IF(AND(EDATE($D21,Milestones!$AA$70)&lt;=AsOfDate,IF($R21=0,$X21,IF(AND($T21&lt;&gt;"",EDATE($D21,Milestones!$AA$70)&gt;=$T21),$W21,IF(AND($S21&lt;&gt;"",EDATE($D21,Milestones!$AA$70)&gt;=$S21),$V21,$U21)))=Milestones!$AB$70),UPPER(TEXT(EDATE($D21,Milestones!$AA$70),"dd mmm yy"))&amp;" "&amp;Milestones!$AB$70&amp;" "&amp;Milestones!$AC$70&amp;";  ","")&amp;IF(AND(EDATE($D21,Milestones!$AA$71)&lt;=AsOfDate,IF($R21=0,$X21,IF(AND($T21&lt;&gt;"",EDATE($D21,Milestones!$AA$71)&gt;=$T21),$W21,IF(AND($S21&lt;&gt;"",EDATE($D21,Milestones!$AA$71)&gt;=$S21),$V21,$U21)))=Milestones!$AB$71),UPPER(TEXT(EDATE($D21,Milestones!$AA$71),"dd mmm yy"))&amp;" "&amp;Milestones!$AB$71&amp;" "&amp;Milestones!$AC$71&amp;";  ","")&amp;IF(AND(EDATE($D21,Milestones!$AA$72)&lt;=AsOfDate,IF($R21=0,$X21,IF(AND($T21&lt;&gt;"",EDATE($D21,Milestones!$AA$72)&gt;=$T21),$W21,IF(AND($S21&lt;&gt;"",EDATE($D21,Milestones!$AA$72)&gt;=$S21),$V21,$U21)))=Milestones!$AB$72),UPPER(TEXT(EDATE($D21,Milestones!$AA$72),"dd mmm yy"))&amp;" "&amp;Milestones!$AB$72&amp;" "&amp;Milestones!$AC$72&amp;";  ","")&amp;IF(AND(EDATE($D21,Milestones!$AA$73)&lt;=AsOfDate,IF($R21=0,$X21,IF(AND($T21&lt;&gt;"",EDATE($D21,Milestones!$AA$73)&gt;=$T21),$W21,IF(AND($S21&lt;&gt;"",EDATE($D21,Milestones!$AA$73)&gt;=$S21),$V21,$U21)))=Milestones!$AB$73),UPPER(TEXT(EDATE($D21,Milestones!$AA$73),"dd mmm yy"))&amp;" "&amp;Milestones!$AB$73&amp;" "&amp;Milestones!$AC$73&amp;";  ","")&amp;IF(AND(EDATE($D21,Milestones!$AA$74)&lt;=AsOfDate,IF($R21=0,$X21,IF(AND($T21&lt;&gt;"",EDATE($D21,Milestones!$AA$74)&gt;=$T21),$W21,IF(AND($S21&lt;&gt;"",EDATE($D21,Milestones!$AA$74)&gt;=$S21),$V21,$U21)))=Milestones!$AB$74),UPPER(TEXT(EDATE($D21,Milestones!$AA$74),"dd mmm yy"))&amp;" "&amp;Milestones!$AB$74&amp;" "&amp;Milestones!$AC$74&amp;";  ","")&amp;IF(AND(EDATE($D21,Milestones!$AA$75)&lt;=AsOfDate,IF($R21=0,$X21,IF(AND($T21&lt;&gt;"",EDATE($D21,Milestones!$AA$75)&gt;=$T21),$W21,IF(AND($S21&lt;&gt;"",EDATE($D21,Milestones!$AA$75)&gt;=$S21),$V21,$U21)))=Milestones!$AB$75),UPPER(TEXT(EDATE($D21,Milestones!$AA$75),"dd mmm yy"))&amp;" "&amp;Milestones!$AB$75&amp;" "&amp;Milestones!$AC$75&amp;";  ","")&amp;IF(AND(EDATE($D21,Milestones!$AA$76)&lt;=AsOfDate,IF($R21=0,$X21,IF(AND($T21&lt;&gt;"",EDATE($D21,Milestones!$AA$76)&gt;=$T21),$W21,IF(AND($S21&lt;&gt;"",EDATE($D21,Milestones!$AA$76)&gt;=$S21),$V21,$U21)))=Milestones!$AB$76),UPPER(TEXT(EDATE($D21,Milestones!$AA$76),"dd mmm yy"))&amp;" "&amp;Milestones!$AB$76&amp;" "&amp;Milestones!$AC$76&amp;";  ","")&amp;IF(AND(EDATE($D21,Milestones!$AA$77)&lt;=AsOfDate,IF($R21=0,$X21,IF(AND($T21&lt;&gt;"",EDATE($D21,Milestones!$AA$77)&gt;=$T21),$W21,IF(AND($S21&lt;&gt;"",EDATE($D21,Milestones!$AA$77)&gt;=$S21),$V21,$U21)))=Milestones!$AB$77),UPPER(TEXT(EDATE($D21,Milestones!$AA$77),"dd mmm yy"))&amp;" "&amp;Milestones!$AB$77&amp;" "&amp;Milestones!$AC$77&amp;";  ","")&amp;IF(AND(EDATE($D21,Milestones!$AA$78)&lt;=AsOfDate,IF($R21=0,$X21,IF(AND($T21&lt;&gt;"",EDATE($D21,Milestones!$AA$78)&gt;=$T21),$W21,IF(AND($S21&lt;&gt;"",EDATE($D21,Milestones!$AA$78)&gt;=$S21),$V21,$U21)))=Milestones!$AB$78),UPPER(TEXT(EDATE($D21,Milestones!$AA$78),"dd mmm yy"))&amp;" "&amp;Milestones!$AB$78&amp;" "&amp;Milestones!$AC$78&amp;";  ","")&amp;IF(AND(EDATE($D21,Milestones!$AA$79)&lt;=AsOfDate,IF($R21=0,$X21,IF(AND($T21&lt;&gt;"",EDATE($D21,Milestones!$AA$79)&gt;=$T21),$W21,IF(AND($S21&lt;&gt;"",EDATE($D21,Milestones!$AA$79)&gt;=$S21),$V21,$U21)))=Milestones!$AB$79),UPPER(TEXT(EDATE($D21,Milestones!$AA$79),"dd mmm yy"))&amp;" "&amp;Milestones!$AB$79&amp;" "&amp;Milestones!$AC$79&amp;";  ",""))</f>
        <v/>
      </c>
      <c r="L21" s="0" t="str">
        <f aca="false">IF(OR($A21="",$D21=""),"",IF(AND(EDATE($D21,Milestones!$AA$80)&lt;=AsOfDate,IF($R21=0,$X21,IF(AND($T21&lt;&gt;"",EDATE($D21,Milestones!$AA$80)&gt;=$T21),$W21,IF(AND($S21&lt;&gt;"",EDATE($D21,Milestones!$AA$80)&gt;=$S21),$V21,$U21)))=Milestones!$AB$80),UPPER(TEXT(EDATE($D21,Milestones!$AA$80),"dd mmm yy"))&amp;" "&amp;Milestones!$AB$80&amp;" "&amp;Milestones!$AC$80&amp;";  ","")&amp;IF(AND(EDATE($D21,Milestones!$AA$81)&lt;=AsOfDate,IF($R21=0,$X21,IF(AND($T21&lt;&gt;"",EDATE($D21,Milestones!$AA$81)&gt;=$T21),$W21,IF(AND($S21&lt;&gt;"",EDATE($D21,Milestones!$AA$81)&gt;=$S21),$V21,$U21)))=Milestones!$AB$81),UPPER(TEXT(EDATE($D21,Milestones!$AA$81),"dd mmm yy"))&amp;" "&amp;Milestones!$AB$81&amp;" "&amp;Milestones!$AC$81&amp;";  ","")&amp;IF(AND(EDATE($D21,Milestones!$AA$82)&lt;=AsOfDate,IF($R21=0,$X21,IF(AND($T21&lt;&gt;"",EDATE($D21,Milestones!$AA$82)&gt;=$T21),$W21,IF(AND($S21&lt;&gt;"",EDATE($D21,Milestones!$AA$82)&gt;=$S21),$V21,$U21)))=Milestones!$AB$82),UPPER(TEXT(EDATE($D21,Milestones!$AA$82),"dd mmm yy"))&amp;" "&amp;Milestones!$AB$82&amp;" "&amp;Milestones!$AC$82&amp;";  ","")&amp;IF(AND(EDATE($D21,Milestones!$AA$83)&lt;=AsOfDate,IF($R21=0,$X21,IF(AND($T21&lt;&gt;"",EDATE($D21,Milestones!$AA$83)&gt;=$T21),$W21,IF(AND($S21&lt;&gt;"",EDATE($D21,Milestones!$AA$83)&gt;=$S21),$V21,$U21)))=Milestones!$AB$83),UPPER(TEXT(EDATE($D21,Milestones!$AA$83),"dd mmm yy"))&amp;" "&amp;Milestones!$AB$83&amp;" "&amp;Milestones!$AC$83&amp;";  ","")&amp;IF(AND(EDATE($D21,Milestones!$AA$84)&lt;=AsOfDate,IF($R21=0,$X21,IF(AND($T21&lt;&gt;"",EDATE($D21,Milestones!$AA$84)&gt;=$T21),$W21,IF(AND($S21&lt;&gt;"",EDATE($D21,Milestones!$AA$84)&gt;=$S21),$V21,$U21)))=Milestones!$AB$84),UPPER(TEXT(EDATE($D21,Milestones!$AA$84),"dd mmm yy"))&amp;" "&amp;Milestones!$AB$84&amp;" "&amp;Milestones!$AC$84&amp;";  ","")&amp;IF(AND(EDATE($D21,Milestones!$AA$85)&lt;=AsOfDate,IF($R21=0,$X21,IF(AND($T21&lt;&gt;"",EDATE($D21,Milestones!$AA$85)&gt;=$T21),$W21,IF(AND($S21&lt;&gt;"",EDATE($D21,Milestones!$AA$85)&gt;=$S21),$V21,$U21)))=Milestones!$AB$85),UPPER(TEXT(EDATE($D21,Milestones!$AA$85),"dd mmm yy"))&amp;" "&amp;Milestones!$AB$85&amp;" "&amp;Milestones!$AC$85&amp;";  ","")&amp;IF(AND(EDATE($D21,Milestones!$AA$86)&lt;=AsOfDate,IF($R21=0,$X21,IF(AND($T21&lt;&gt;"",EDATE($D21,Milestones!$AA$86)&gt;=$T21),$W21,IF(AND($S21&lt;&gt;"",EDATE($D21,Milestones!$AA$86)&gt;=$S21),$V21,$U21)))=Milestones!$AB$86),UPPER(TEXT(EDATE($D21,Milestones!$AA$86),"dd mmm yy"))&amp;" "&amp;Milestones!$AB$86&amp;" "&amp;Milestones!$AC$86&amp;";  ","")&amp;IF(AND(EDATE($D21,Milestones!$AA$87)&lt;=AsOfDate,IF($R21=0,$X21,IF(AND($T21&lt;&gt;"",EDATE($D21,Milestones!$AA$87)&gt;=$T21),$W21,IF(AND($S21&lt;&gt;"",EDATE($D21,Milestones!$AA$87)&gt;=$S21),$V21,$U21)))=Milestones!$AB$87),UPPER(TEXT(EDATE($D21,Milestones!$AA$87),"dd mmm yy"))&amp;" "&amp;Milestones!$AB$87&amp;" "&amp;Milestones!$AC$87&amp;";  ","")&amp;IF(AND(EDATE($D21,Milestones!$AA$88)&lt;=AsOfDate,IF($R21=0,$X21,IF(AND($T21&lt;&gt;"",EDATE($D21,Milestones!$AA$88)&gt;=$T21),$W21,IF(AND($S21&lt;&gt;"",EDATE($D21,Milestones!$AA$88)&gt;=$S21),$V21,$U21)))=Milestones!$AB$88),UPPER(TEXT(EDATE($D21,Milestones!$AA$88),"dd mmm yy"))&amp;" "&amp;Milestones!$AB$88&amp;" "&amp;Milestones!$AC$88&amp;";  ","")&amp;IF(AND(EDATE($D21,Milestones!$AA$89)&lt;=AsOfDate,IF($R21=0,$X21,IF(AND($T21&lt;&gt;"",EDATE($D21,Milestones!$AA$89)&gt;=$T21),$W21,IF(AND($S21&lt;&gt;"",EDATE($D21,Milestones!$AA$89)&gt;=$S21),$V21,$U21)))=Milestones!$AB$89),UPPER(TEXT(EDATE($D21,Milestones!$AA$89),"dd mmm yy"))&amp;" "&amp;Milestones!$AB$89&amp;" "&amp;Milestones!$AC$89&amp;";  ","")&amp;IF(AND(EDATE($D21,Milestones!$AA$90)&lt;=AsOfDate,IF($R21=0,$X21,IF(AND($T21&lt;&gt;"",EDATE($D21,Milestones!$AA$90)&gt;=$T21),$W21,IF(AND($S21&lt;&gt;"",EDATE($D21,Milestones!$AA$90)&gt;=$S21),$V21,$U21)))=Milestones!$AB$90),UPPER(TEXT(EDATE($D21,Milestones!$AA$90),"dd mmm yy"))&amp;" "&amp;Milestones!$AB$90&amp;" "&amp;Milestones!$AC$90&amp;";  ","")&amp;IF(AND(EDATE($D21,Milestones!$AA$91)&lt;=AsOfDate,IF($R21=0,$X21,IF(AND($T21&lt;&gt;"",EDATE($D21,Milestones!$AA$91)&gt;=$T21),$W21,IF(AND($S21&lt;&gt;"",EDATE($D21,Milestones!$AA$91)&gt;=$S21),$V21,$U21)))=Milestones!$AB$91),UPPER(TEXT(EDATE($D21,Milestones!$AA$91),"dd mmm yy"))&amp;" "&amp;Milestones!$AB$91&amp;" "&amp;Milestones!$AC$91&amp;";  ","")&amp;IF(AND(EDATE($D21,Milestones!$AA$92)&lt;=AsOfDate,IF($R21=0,$X21,IF(AND($T21&lt;&gt;"",EDATE($D21,Milestones!$AA$92)&gt;=$T21),$W21,IF(AND($S21&lt;&gt;"",EDATE($D21,Milestones!$AA$92)&gt;=$S21),$V21,$U21)))=Milestones!$AB$92),UPPER(TEXT(EDATE($D21,Milestones!$AA$92),"dd mmm yy"))&amp;" "&amp;Milestones!$AB$92&amp;" "&amp;Milestones!$AC$92&amp;";  ","")&amp;IF(AND(EDATE($D21,Milestones!$AA$93)&lt;=AsOfDate,IF($R21=0,$X21,IF(AND($T21&lt;&gt;"",EDATE($D21,Milestones!$AA$93)&gt;=$T21),$W21,IF(AND($S21&lt;&gt;"",EDATE($D21,Milestones!$AA$93)&gt;=$S21),$V21,$U21)))=Milestones!$AB$93),UPPER(TEXT(EDATE($D21,Milestones!$AA$93),"dd mmm yy"))&amp;" "&amp;Milestones!$AB$93&amp;" "&amp;Milestones!$AC$93&amp;";  ","")&amp;IF(AND(EDATE($D21,Milestones!$AA$94)&lt;=AsOfDate,IF($R21=0,$X21,IF(AND($T21&lt;&gt;"",EDATE($D21,Milestones!$AA$94)&gt;=$T21),$W21,IF(AND($S21&lt;&gt;"",EDATE($D21,Milestones!$AA$94)&gt;=$S21),$V21,$U21)))=Milestones!$AB$94),UPPER(TEXT(EDATE($D21,Milestones!$AA$94),"dd mmm yy"))&amp;" "&amp;Milestones!$AB$94&amp;" "&amp;Milestones!$AC$94&amp;";  ","")&amp;IF(AND(EDATE($D21,Milestones!$AA$95)&lt;=AsOfDate,IF($R21=0,$X21,IF(AND($T21&lt;&gt;"",EDATE($D21,Milestones!$AA$95)&gt;=$T21),$W21,IF(AND($S21&lt;&gt;"",EDATE($D21,Milestones!$AA$95)&gt;=$S21),$V21,$U21)))=Milestones!$AB$95),UPPER(TEXT(EDATE($D21,Milestones!$AA$95),"dd mmm yy"))&amp;" "&amp;Milestones!$AB$95&amp;" "&amp;Milestones!$AC$95&amp;";  ","")&amp;IF(AND(EDATE($D21,Milestones!$AA$96)&lt;=AsOfDate,IF($R21=0,$X21,IF(AND($T21&lt;&gt;"",EDATE($D21,Milestones!$AA$96)&gt;=$T21),$W21,IF(AND($S21&lt;&gt;"",EDATE($D21,Milestones!$AA$96)&gt;=$S21),$V21,$U21)))=Milestones!$AB$96),UPPER(TEXT(EDATE($D21,Milestones!$AA$96),"dd mmm yy"))&amp;" "&amp;Milestones!$AB$96&amp;" "&amp;Milestones!$AC$96&amp;";  ","")&amp;IF(AND(EDATE($D21,Milestones!$AA$97)&lt;=AsOfDate,IF($R21=0,$X21,IF(AND($T21&lt;&gt;"",EDATE($D21,Milestones!$AA$97)&gt;=$T21),$W21,IF(AND($S21&lt;&gt;"",EDATE($D21,Milestones!$AA$97)&gt;=$S21),$V21,$U21)))=Milestones!$AB$97),UPPER(TEXT(EDATE($D21,Milestones!$AA$97),"dd mmm yy"))&amp;" "&amp;Milestones!$AB$97&amp;" "&amp;Milestones!$AC$97&amp;";  ","")&amp;IF(AND(EDATE($D21,Milestones!$AA$98)&lt;=AsOfDate,IF($R21=0,$X21,IF(AND($T21&lt;&gt;"",EDATE($D21,Milestones!$AA$98)&gt;=$T21),$W21,IF(AND($S21&lt;&gt;"",EDATE($D21,Milestones!$AA$98)&gt;=$S21),$V21,$U21)))=Milestones!$AB$98),UPPER(TEXT(EDATE($D21,Milestones!$AA$98),"dd mmm yy"))&amp;" "&amp;Milestones!$AB$98&amp;" "&amp;Milestones!$AC$98&amp;";  ","")&amp;IF(AND(EDATE($D21,Milestones!$AA$99)&lt;=AsOfDate,IF($R21=0,$X21,IF(AND($T21&lt;&gt;"",EDATE($D21,Milestones!$AA$99)&gt;=$T21),$W21,IF(AND($S21&lt;&gt;"",EDATE($D21,Milestones!$AA$99)&gt;=$S21),$V21,$U21)))=Milestones!$AB$99),UPPER(TEXT(EDATE($D21,Milestones!$AA$99),"dd mmm yy"))&amp;" "&amp;Milestones!$AB$99&amp;" "&amp;Milestones!$AC$99&amp;";  ",""))</f>
        <v/>
      </c>
      <c r="M21" s="0" t="str">
        <f aca="false">IF(OR($A21="",$D21=""),"",IF(AND(EDATE($D21,Milestones!$AA$100)&lt;=AsOfDate,IF($R21=0,$X21,IF(AND($T21&lt;&gt;"",EDATE($D21,Milestones!$AA$100)&gt;=$T21),$W21,IF(AND($S21&lt;&gt;"",EDATE($D21,Milestones!$AA$100)&gt;=$S21),$V21,$U21)))=Milestones!$AB$100),UPPER(TEXT(EDATE($D21,Milestones!$AA$100),"dd mmm yy"))&amp;" "&amp;Milestones!$AB$100&amp;" "&amp;Milestones!$AC$100&amp;";  ","")&amp;IF(AND(EDATE($D21,Milestones!$AA$101)&lt;=AsOfDate,IF($R21=0,$X21,IF(AND($T21&lt;&gt;"",EDATE($D21,Milestones!$AA$101)&gt;=$T21),$W21,IF(AND($S21&lt;&gt;"",EDATE($D21,Milestones!$AA$101)&gt;=$S21),$V21,$U21)))=Milestones!$AB$101),UPPER(TEXT(EDATE($D21,Milestones!$AA$101),"dd mmm yy"))&amp;" "&amp;Milestones!$AB$101&amp;" "&amp;Milestones!$AC$101&amp;";  ","")&amp;IF(AND(EDATE($D21,Milestones!$AA$102)&lt;=AsOfDate,IF($R21=0,$X21,IF(AND($T21&lt;&gt;"",EDATE($D21,Milestones!$AA$102)&gt;=$T21),$W21,IF(AND($S21&lt;&gt;"",EDATE($D21,Milestones!$AA$102)&gt;=$S21),$V21,$U21)))=Milestones!$AB$102),UPPER(TEXT(EDATE($D21,Milestones!$AA$102),"dd mmm yy"))&amp;" "&amp;Milestones!$AB$102&amp;" "&amp;Milestones!$AC$102&amp;";  ","")&amp;IF(AND(EDATE($D21,Milestones!$AA$103)&lt;=AsOfDate,IF($R21=0,$X21,IF(AND($T21&lt;&gt;"",EDATE($D21,Milestones!$AA$103)&gt;=$T21),$W21,IF(AND($S21&lt;&gt;"",EDATE($D21,Milestones!$AA$103)&gt;=$S21),$V21,$U21)))=Milestones!$AB$103),UPPER(TEXT(EDATE($D21,Milestones!$AA$103),"dd mmm yy"))&amp;" "&amp;Milestones!$AB$103&amp;" "&amp;Milestones!$AC$103&amp;";  ","")&amp;IF(AND(EDATE($D21,Milestones!$AA$104)&lt;=AsOfDate,IF($R21=0,$X21,IF(AND($T21&lt;&gt;"",EDATE($D21,Milestones!$AA$104)&gt;=$T21),$W21,IF(AND($S21&lt;&gt;"",EDATE($D21,Milestones!$AA$104)&gt;=$S21),$V21,$U21)))=Milestones!$AB$104),UPPER(TEXT(EDATE($D21,Milestones!$AA$104),"dd mmm yy"))&amp;" "&amp;Milestones!$AB$104&amp;" "&amp;Milestones!$AC$104&amp;";  ","")&amp;IF(AND(EDATE($D21,Milestones!$AA$105)&lt;=AsOfDate,IF($R21=0,$X21,IF(AND($T21&lt;&gt;"",EDATE($D21,Milestones!$AA$105)&gt;=$T21),$W21,IF(AND($S21&lt;&gt;"",EDATE($D21,Milestones!$AA$105)&gt;=$S21),$V21,$U21)))=Milestones!$AB$105),UPPER(TEXT(EDATE($D21,Milestones!$AA$105),"dd mmm yy"))&amp;" "&amp;Milestones!$AB$105&amp;" "&amp;Milestones!$AC$105&amp;";  ","")&amp;IF(AND(EDATE($D21,Milestones!$AA$106)&lt;=AsOfDate,IF($R21=0,$X21,IF(AND($T21&lt;&gt;"",EDATE($D21,Milestones!$AA$106)&gt;=$T21),$W21,IF(AND($S21&lt;&gt;"",EDATE($D21,Milestones!$AA$106)&gt;=$S21),$V21,$U21)))=Milestones!$AB$106),UPPER(TEXT(EDATE($D21,Milestones!$AA$106),"dd mmm yy"))&amp;" "&amp;Milestones!$AB$106&amp;" "&amp;Milestones!$AC$106&amp;";  ","")&amp;IF(AND(EDATE($D21,Milestones!$AA$107)&lt;=AsOfDate,IF($R21=0,$X21,IF(AND($T21&lt;&gt;"",EDATE($D21,Milestones!$AA$107)&gt;=$T21),$W21,IF(AND($S21&lt;&gt;"",EDATE($D21,Milestones!$AA$107)&gt;=$S21),$V21,$U21)))=Milestones!$AB$107),UPPER(TEXT(EDATE($D21,Milestones!$AA$107),"dd mmm yy"))&amp;" "&amp;Milestones!$AB$107&amp;" "&amp;Milestones!$AC$107&amp;";  ","")&amp;IF(AND(EDATE($D21,Milestones!$AA$108)&lt;=AsOfDate,IF($R21=0,$X21,IF(AND($T21&lt;&gt;"",EDATE($D21,Milestones!$AA$108)&gt;=$T21),$W21,IF(AND($S21&lt;&gt;"",EDATE($D21,Milestones!$AA$108)&gt;=$S21),$V21,$U21)))=Milestones!$AB$108),UPPER(TEXT(EDATE($D21,Milestones!$AA$108),"dd mmm yy"))&amp;" "&amp;Milestones!$AB$108&amp;" "&amp;Milestones!$AC$108&amp;";  ","")&amp;IF(AND(EDATE($D21,Milestones!$AA$109)&lt;=AsOfDate,IF($R21=0,$X21,IF(AND($T21&lt;&gt;"",EDATE($D21,Milestones!$AA$109)&gt;=$T21),$W21,IF(AND($S21&lt;&gt;"",EDATE($D21,Milestones!$AA$109)&gt;=$S21),$V21,$U21)))=Milestones!$AB$109),UPPER(TEXT(EDATE($D21,Milestones!$AA$109),"dd mmm yy"))&amp;" "&amp;Milestones!$AB$109&amp;" "&amp;Milestones!$AC$109&amp;";  ","")&amp;IF(AND(EDATE($D21,Milestones!$AA$110)&lt;=AsOfDate,IF($R21=0,$X21,IF(AND($T21&lt;&gt;"",EDATE($D21,Milestones!$AA$110)&gt;=$T21),$W21,IF(AND($S21&lt;&gt;"",EDATE($D21,Milestones!$AA$110)&gt;=$S21),$V21,$U21)))=Milestones!$AB$110),UPPER(TEXT(EDATE($D21,Milestones!$AA$110),"dd mmm yy"))&amp;" "&amp;Milestones!$AB$110&amp;" "&amp;Milestones!$AC$110&amp;";  ","")&amp;IF(AND(EDATE($D21,Milestones!$AA$111)&lt;=AsOfDate,IF($R21=0,$X21,IF(AND($T21&lt;&gt;"",EDATE($D21,Milestones!$AA$111)&gt;=$T21),$W21,IF(AND($S21&lt;&gt;"",EDATE($D21,Milestones!$AA$111)&gt;=$S21),$V21,$U21)))=Milestones!$AB$111),UPPER(TEXT(EDATE($D21,Milestones!$AA$111),"dd mmm yy"))&amp;" "&amp;Milestones!$AB$111&amp;" "&amp;Milestones!$AC$111&amp;";  ","")&amp;IF(AND(EDATE($D21,Milestones!$AA$112)&lt;=AsOfDate,IF($R21=0,$X21,IF(AND($T21&lt;&gt;"",EDATE($D21,Milestones!$AA$112)&gt;=$T21),$W21,IF(AND($S21&lt;&gt;"",EDATE($D21,Milestones!$AA$112)&gt;=$S21),$V21,$U21)))=Milestones!$AB$112),UPPER(TEXT(EDATE($D21,Milestones!$AA$112),"dd mmm yy"))&amp;" "&amp;Milestones!$AB$112&amp;" "&amp;Milestones!$AC$112&amp;";  ","")&amp;IF(AND(EDATE($D21,Milestones!$AA$113)&lt;=AsOfDate,IF($R21=0,$X21,IF(AND($T21&lt;&gt;"",EDATE($D21,Milestones!$AA$113)&gt;=$T21),$W21,IF(AND($S21&lt;&gt;"",EDATE($D21,Milestones!$AA$113)&gt;=$S21),$V21,$U21)))=Milestones!$AB$113),UPPER(TEXT(EDATE($D21,Milestones!$AA$113),"dd mmm yy"))&amp;" "&amp;Milestones!$AB$113&amp;" "&amp;Milestones!$AC$113&amp;";  ","")&amp;IF(AND(EDATE($D21,Milestones!$AA$114)&lt;=AsOfDate,IF($R21=0,$X21,IF(AND($T21&lt;&gt;"",EDATE($D21,Milestones!$AA$114)&gt;=$T21),$W21,IF(AND($S21&lt;&gt;"",EDATE($D21,Milestones!$AA$114)&gt;=$S21),$V21,$U21)))=Milestones!$AB$114),UPPER(TEXT(EDATE($D21,Milestones!$AA$114),"dd mmm yy"))&amp;" "&amp;Milestones!$AB$114&amp;" "&amp;Milestones!$AC$114&amp;";  ","")&amp;IF(AND(EDATE($D21,Milestones!$AA$115)&lt;=AsOfDate,IF($R21=0,$X21,IF(AND($T21&lt;&gt;"",EDATE($D21,Milestones!$AA$115)&gt;=$T21),$W21,IF(AND($S21&lt;&gt;"",EDATE($D21,Milestones!$AA$115)&gt;=$S21),$V21,$U21)))=Milestones!$AB$115),UPPER(TEXT(EDATE($D21,Milestones!$AA$115),"dd mmm yy"))&amp;" "&amp;Milestones!$AB$115&amp;" "&amp;Milestones!$AC$115&amp;";  ","")&amp;IF(AND(EDATE($D21,Milestones!$AA$116)&lt;=AsOfDate,IF($R21=0,$X21,IF(AND($T21&lt;&gt;"",EDATE($D21,Milestones!$AA$116)&gt;=$T21),$W21,IF(AND($S21&lt;&gt;"",EDATE($D21,Milestones!$AA$116)&gt;=$S21),$V21,$U21)))=Milestones!$AB$116),UPPER(TEXT(EDATE($D21,Milestones!$AA$116),"dd mmm yy"))&amp;" "&amp;Milestones!$AB$116&amp;" "&amp;Milestones!$AC$116&amp;";  ","")&amp;IF(AND(EDATE($D21,Milestones!$AA$117)&lt;=AsOfDate,IF($R21=0,$X21,IF(AND($T21&lt;&gt;"",EDATE($D21,Milestones!$AA$117)&gt;=$T21),$W21,IF(AND($S21&lt;&gt;"",EDATE($D21,Milestones!$AA$117)&gt;=$S21),$V21,$U21)))=Milestones!$AB$117),UPPER(TEXT(EDATE($D21,Milestones!$AA$117),"dd mmm yy"))&amp;" "&amp;Milestones!$AB$117&amp;" "&amp;Milestones!$AC$117&amp;";  ","")&amp;IF(AND(EDATE($D21,Milestones!$AA$118)&lt;=AsOfDate,IF($R21=0,$X21,IF(AND($T21&lt;&gt;"",EDATE($D21,Milestones!$AA$118)&gt;=$T21),$W21,IF(AND($S21&lt;&gt;"",EDATE($D21,Milestones!$AA$118)&gt;=$S21),$V21,$U21)))=Milestones!$AB$118),UPPER(TEXT(EDATE($D21,Milestones!$AA$118),"dd mmm yy"))&amp;" "&amp;Milestones!$AB$118&amp;" "&amp;Milestones!$AC$118&amp;";  ","")&amp;IF(AND(EDATE($D21,Milestones!$AA$119)&lt;=AsOfDate,IF($R21=0,$X21,IF(AND($T21&lt;&gt;"",EDATE($D21,Milestones!$AA$119)&gt;=$T21),$W21,IF(AND($S21&lt;&gt;"",EDATE($D21,Milestones!$AA$119)&gt;=$S21),$V21,$U21)))=Milestones!$AB$119),UPPER(TEXT(EDATE($D21,Milestones!$AA$119),"dd mmm yy"))&amp;" "&amp;Milestones!$AB$119&amp;" "&amp;Milestones!$AC$119&amp;";  ",""))</f>
        <v/>
      </c>
      <c r="N21" s="0" t="str">
        <f aca="false">IF(OR($A21="",$D21=""),"",IF(AND(EDATE($D21,Milestones!$AA$120)&lt;=AsOfDate,IF($R21=0,$X21,IF(AND($T21&lt;&gt;"",EDATE($D21,Milestones!$AA$120)&gt;=$T21),$W21,IF(AND($S21&lt;&gt;"",EDATE($D21,Milestones!$AA$120)&gt;=$S21),$V21,$U21)))=Milestones!$AB$120),UPPER(TEXT(EDATE($D21,Milestones!$AA$120),"dd mmm yy"))&amp;" "&amp;Milestones!$AB$120&amp;" "&amp;Milestones!$AC$120&amp;";  ","")&amp;IF(AND(EDATE($D21,Milestones!$AA$121)&lt;=AsOfDate,IF($R21=0,$X21,IF(AND($T21&lt;&gt;"",EDATE($D21,Milestones!$AA$121)&gt;=$T21),$W21,IF(AND($S21&lt;&gt;"",EDATE($D21,Milestones!$AA$121)&gt;=$S21),$V21,$U21)))=Milestones!$AB$121),UPPER(TEXT(EDATE($D21,Milestones!$AA$121),"dd mmm yy"))&amp;" "&amp;Milestones!$AB$121&amp;" "&amp;Milestones!$AC$121&amp;";  ","")&amp;IF(AND(EDATE($D21,Milestones!$AA$122)&lt;=AsOfDate,IF($R21=0,$X21,IF(AND($T21&lt;&gt;"",EDATE($D21,Milestones!$AA$122)&gt;=$T21),$W21,IF(AND($S21&lt;&gt;"",EDATE($D21,Milestones!$AA$122)&gt;=$S21),$V21,$U21)))=Milestones!$AB$122),UPPER(TEXT(EDATE($D21,Milestones!$AA$122),"dd mmm yy"))&amp;" "&amp;Milestones!$AB$122&amp;" "&amp;Milestones!$AC$122&amp;";  ","")&amp;IF(AND(EDATE($D21,Milestones!$AA$123)&lt;=AsOfDate,IF($R21=0,$X21,IF(AND($T21&lt;&gt;"",EDATE($D21,Milestones!$AA$123)&gt;=$T21),$W21,IF(AND($S21&lt;&gt;"",EDATE($D21,Milestones!$AA$123)&gt;=$S21),$V21,$U21)))=Milestones!$AB$123),UPPER(TEXT(EDATE($D21,Milestones!$AA$123),"dd mmm yy"))&amp;" "&amp;Milestones!$AB$123&amp;" "&amp;Milestones!$AC$123&amp;";  ","")&amp;IF(AND(EDATE($D21,Milestones!$AA$124)&lt;=AsOfDate,IF($R21=0,$X21,IF(AND($T21&lt;&gt;"",EDATE($D21,Milestones!$AA$124)&gt;=$T21),$W21,IF(AND($S21&lt;&gt;"",EDATE($D21,Milestones!$AA$124)&gt;=$S21),$V21,$U21)))=Milestones!$AB$124),UPPER(TEXT(EDATE($D21,Milestones!$AA$124),"dd mmm yy"))&amp;" "&amp;Milestones!$AB$124&amp;" "&amp;Milestones!$AC$124&amp;";  ","")&amp;IF(AND(EDATE($D21,Milestones!$AA$125)&lt;=AsOfDate,IF($R21=0,$X21,IF(AND($T21&lt;&gt;"",EDATE($D21,Milestones!$AA$125)&gt;=$T21),$W21,IF(AND($S21&lt;&gt;"",EDATE($D21,Milestones!$AA$125)&gt;=$S21),$V21,$U21)))=Milestones!$AB$125),UPPER(TEXT(EDATE($D21,Milestones!$AA$125),"dd mmm yy"))&amp;" "&amp;Milestones!$AB$125&amp;" "&amp;Milestones!$AC$125&amp;";  ","")&amp;IF(AND(EDATE($D21,Milestones!$AA$126)&lt;=AsOfDate,IF($R21=0,$X21,IF(AND($T21&lt;&gt;"",EDATE($D21,Milestones!$AA$126)&gt;=$T21),$W21,IF(AND($S21&lt;&gt;"",EDATE($D21,Milestones!$AA$126)&gt;=$S21),$V21,$U21)))=Milestones!$AB$126),UPPER(TEXT(EDATE($D21,Milestones!$AA$126),"dd mmm yy"))&amp;" "&amp;Milestones!$AB$126&amp;" "&amp;Milestones!$AC$126&amp;";  ","")&amp;IF(AND(EDATE($D21,Milestones!$AA$127)&lt;=AsOfDate,IF($R21=0,$X21,IF(AND($T21&lt;&gt;"",EDATE($D21,Milestones!$AA$127)&gt;=$T21),$W21,IF(AND($S21&lt;&gt;"",EDATE($D21,Milestones!$AA$127)&gt;=$S21),$V21,$U21)))=Milestones!$AB$127),UPPER(TEXT(EDATE($D21,Milestones!$AA$127),"dd mmm yy"))&amp;" "&amp;Milestones!$AB$127&amp;" "&amp;Milestones!$AC$127&amp;";  ","")&amp;IF(AND(EDATE($D21,Milestones!$AA$128)&lt;=AsOfDate,IF($R21=0,$X21,IF(AND($T21&lt;&gt;"",EDATE($D21,Milestones!$AA$128)&gt;=$T21),$W21,IF(AND($S21&lt;&gt;"",EDATE($D21,Milestones!$AA$128)&gt;=$S21),$V21,$U21)))=Milestones!$AB$128),UPPER(TEXT(EDATE($D21,Milestones!$AA$128),"dd mmm yy"))&amp;" "&amp;Milestones!$AB$128&amp;" "&amp;Milestones!$AC$128&amp;";  ","")&amp;IF(AND(EDATE($D21,Milestones!$AA$129)&lt;=AsOfDate,IF($R21=0,$X21,IF(AND($T21&lt;&gt;"",EDATE($D21,Milestones!$AA$129)&gt;=$T21),$W21,IF(AND($S21&lt;&gt;"",EDATE($D21,Milestones!$AA$129)&gt;=$S21),$V21,$U21)))=Milestones!$AB$129),UPPER(TEXT(EDATE($D21,Milestones!$AA$129),"dd mmm yy"))&amp;" "&amp;Milestones!$AB$129&amp;" "&amp;Milestones!$AC$129&amp;";  ","")&amp;IF(AND(EDATE($D21,Milestones!$AA$130)&lt;=AsOfDate,IF($R21=0,$X21,IF(AND($T21&lt;&gt;"",EDATE($D21,Milestones!$AA$130)&gt;=$T21),$W21,IF(AND($S21&lt;&gt;"",EDATE($D21,Milestones!$AA$130)&gt;=$S21),$V21,$U21)))=Milestones!$AB$130),UPPER(TEXT(EDATE($D21,Milestones!$AA$130),"dd mmm yy"))&amp;" "&amp;Milestones!$AB$130&amp;" "&amp;Milestones!$AC$130&amp;";  ","")&amp;IF(AND(EDATE($D21,Milestones!$AA$131)&lt;=AsOfDate,IF($R21=0,$X21,IF(AND($T21&lt;&gt;"",EDATE($D21,Milestones!$AA$131)&gt;=$T21),$W21,IF(AND($S21&lt;&gt;"",EDATE($D21,Milestones!$AA$131)&gt;=$S21),$V21,$U21)))=Milestones!$AB$131),UPPER(TEXT(EDATE($D21,Milestones!$AA$131),"dd mmm yy"))&amp;" "&amp;Milestones!$AB$131&amp;" "&amp;Milestones!$AC$131&amp;";  ","")&amp;IF(AND(EDATE($D21,Milestones!$AA$132)&lt;=AsOfDate,IF($R21=0,$X21,IF(AND($T21&lt;&gt;"",EDATE($D21,Milestones!$AA$132)&gt;=$T21),$W21,IF(AND($S21&lt;&gt;"",EDATE($D21,Milestones!$AA$132)&gt;=$S21),$V21,$U21)))=Milestones!$AB$132),UPPER(TEXT(EDATE($D21,Milestones!$AA$132),"dd mmm yy"))&amp;" "&amp;Milestones!$AB$132&amp;" "&amp;Milestones!$AC$132&amp;";  ","")&amp;IF(AND(EDATE($D21,Milestones!$AA$133)&lt;=AsOfDate,IF($R21=0,$X21,IF(AND($T21&lt;&gt;"",EDATE($D21,Milestones!$AA$133)&gt;=$T21),$W21,IF(AND($S21&lt;&gt;"",EDATE($D21,Milestones!$AA$133)&gt;=$S21),$V21,$U21)))=Milestones!$AB$133),UPPER(TEXT(EDATE($D21,Milestones!$AA$133),"dd mmm yy"))&amp;" "&amp;Milestones!$AB$133&amp;" "&amp;Milestones!$AC$133&amp;";  ","")&amp;IF(AND(EDATE($D21,Milestones!$AA$134)&lt;=AsOfDate,IF($R21=0,$X21,IF(AND($T21&lt;&gt;"",EDATE($D21,Milestones!$AA$134)&gt;=$T21),$W21,IF(AND($S21&lt;&gt;"",EDATE($D21,Milestones!$AA$134)&gt;=$S21),$V21,$U21)))=Milestones!$AB$134),UPPER(TEXT(EDATE($D21,Milestones!$AA$134),"dd mmm yy"))&amp;" "&amp;Milestones!$AB$134&amp;" "&amp;Milestones!$AC$134&amp;";  ","")&amp;IF(AND(EDATE($D21,Milestones!$AA$135)&lt;=AsOfDate,IF($R21=0,$X21,IF(AND($T21&lt;&gt;"",EDATE($D21,Milestones!$AA$135)&gt;=$T21),$W21,IF(AND($S21&lt;&gt;"",EDATE($D21,Milestones!$AA$135)&gt;=$S21),$V21,$U21)))=Milestones!$AB$135),UPPER(TEXT(EDATE($D21,Milestones!$AA$135),"dd mmm yy"))&amp;" "&amp;Milestones!$AB$135&amp;" "&amp;Milestones!$AC$135&amp;";  ","")&amp;IF(AND(EDATE($D21,Milestones!$AA$136)&lt;=AsOfDate,IF($R21=0,$X21,IF(AND($T21&lt;&gt;"",EDATE($D21,Milestones!$AA$136)&gt;=$T21),$W21,IF(AND($S21&lt;&gt;"",EDATE($D21,Milestones!$AA$136)&gt;=$S21),$V21,$U21)))=Milestones!$AB$136),UPPER(TEXT(EDATE($D21,Milestones!$AA$136),"dd mmm yy"))&amp;" "&amp;Milestones!$AB$136&amp;" "&amp;Milestones!$AC$136&amp;";  ","")&amp;IF(AND(EDATE($D21,Milestones!$AA$137)&lt;=AsOfDate,IF($R21=0,$X21,IF(AND($T21&lt;&gt;"",EDATE($D21,Milestones!$AA$137)&gt;=$T21),$W21,IF(AND($S21&lt;&gt;"",EDATE($D21,Milestones!$AA$137)&gt;=$S21),$V21,$U21)))=Milestones!$AB$137),UPPER(TEXT(EDATE($D21,Milestones!$AA$137),"dd mmm yy"))&amp;" "&amp;Milestones!$AB$137&amp;" "&amp;Milestones!$AC$137&amp;";  ","")&amp;IF(AND(EDATE($D21,Milestones!$AA$138)&lt;=AsOfDate,IF($R21=0,$X21,IF(AND($T21&lt;&gt;"",EDATE($D21,Milestones!$AA$138)&gt;=$T21),$W21,IF(AND($S21&lt;&gt;"",EDATE($D21,Milestones!$AA$138)&gt;=$S21),$V21,$U21)))=Milestones!$AB$138),UPPER(TEXT(EDATE($D21,Milestones!$AA$138),"dd mmm yy"))&amp;" "&amp;Milestones!$AB$138&amp;" "&amp;Milestones!$AC$138&amp;";  ","")&amp;IF(AND(EDATE($D21,Milestones!$AA$139)&lt;=AsOfDate,IF($R21=0,$X21,IF(AND($T21&lt;&gt;"",EDATE($D21,Milestones!$AA$139)&gt;=$T21),$W21,IF(AND($S21&lt;&gt;"",EDATE($D21,Milestones!$AA$139)&gt;=$S21),$V21,$U21)))=Milestones!$AB$139),UPPER(TEXT(EDATE($D21,Milestones!$AA$139),"dd mmm yy"))&amp;" "&amp;Milestones!$AB$139&amp;" "&amp;Milestones!$AC$139&amp;";  ",""))</f>
        <v/>
      </c>
      <c r="O21" s="0" t="str">
        <f aca="false">IF(OR($A21="",$D21=""),"",IF(AND(EDATE($D21,Milestones!$AA$140)&lt;=AsOfDate,IF($R21=0,$X21,IF(AND($T21&lt;&gt;"",EDATE($D21,Milestones!$AA$140)&gt;=$T21),$W21,IF(AND($S21&lt;&gt;"",EDATE($D21,Milestones!$AA$140)&gt;=$S21),$V21,$U21)))=Milestones!$AB$140),UPPER(TEXT(EDATE($D21,Milestones!$AA$140),"dd mmm yy"))&amp;" "&amp;Milestones!$AB$140&amp;" "&amp;Milestones!$AC$140&amp;";  ","")&amp;IF(AND(EDATE($D21,Milestones!$AA$141)&lt;=AsOfDate,IF($R21=0,$X21,IF(AND($T21&lt;&gt;"",EDATE($D21,Milestones!$AA$141)&gt;=$T21),$W21,IF(AND($S21&lt;&gt;"",EDATE($D21,Milestones!$AA$141)&gt;=$S21),$V21,$U21)))=Milestones!$AB$141),UPPER(TEXT(EDATE($D21,Milestones!$AA$141),"dd mmm yy"))&amp;" "&amp;Milestones!$AB$141&amp;" "&amp;Milestones!$AC$141&amp;";  ","")&amp;IF(AND(EDATE($D21,Milestones!$AA$142)&lt;=AsOfDate,IF($R21=0,$X21,IF(AND($T21&lt;&gt;"",EDATE($D21,Milestones!$AA$142)&gt;=$T21),$W21,IF(AND($S21&lt;&gt;"",EDATE($D21,Milestones!$AA$142)&gt;=$S21),$V21,$U21)))=Milestones!$AB$142),UPPER(TEXT(EDATE($D21,Milestones!$AA$142),"dd mmm yy"))&amp;" "&amp;Milestones!$AB$142&amp;" "&amp;Milestones!$AC$142&amp;";  ","")&amp;IF(AND(EDATE($D21,Milestones!$AA$143)&lt;=AsOfDate,IF($R21=0,$X21,IF(AND($T21&lt;&gt;"",EDATE($D21,Milestones!$AA$143)&gt;=$T21),$W21,IF(AND($S21&lt;&gt;"",EDATE($D21,Milestones!$AA$143)&gt;=$S21),$V21,$U21)))=Milestones!$AB$143),UPPER(TEXT(EDATE($D21,Milestones!$AA$143),"dd mmm yy"))&amp;" "&amp;Milestones!$AB$143&amp;" "&amp;Milestones!$AC$143&amp;";  ","")&amp;IF(AND(EDATE($D21,Milestones!$AA$144)&lt;=AsOfDate,IF($R21=0,$X21,IF(AND($T21&lt;&gt;"",EDATE($D21,Milestones!$AA$144)&gt;=$T21),$W21,IF(AND($S21&lt;&gt;"",EDATE($D21,Milestones!$AA$144)&gt;=$S21),$V21,$U21)))=Milestones!$AB$144),UPPER(TEXT(EDATE($D21,Milestones!$AA$144),"dd mmm yy"))&amp;" "&amp;Milestones!$AB$144&amp;" "&amp;Milestones!$AC$144&amp;";  ","")&amp;IF(AND(EDATE($D21,Milestones!$AA$145)&lt;=AsOfDate,IF($R21=0,$X21,IF(AND($T21&lt;&gt;"",EDATE($D21,Milestones!$AA$145)&gt;=$T21),$W21,IF(AND($S21&lt;&gt;"",EDATE($D21,Milestones!$AA$145)&gt;=$S21),$V21,$U21)))=Milestones!$AB$145),UPPER(TEXT(EDATE($D21,Milestones!$AA$145),"dd mmm yy"))&amp;" "&amp;Milestones!$AB$145&amp;" "&amp;Milestones!$AC$145&amp;";  ","")&amp;IF(AND(EDATE($D21,Milestones!$AA$146)&lt;=AsOfDate,IF($R21=0,$X21,IF(AND($T21&lt;&gt;"",EDATE($D21,Milestones!$AA$146)&gt;=$T21),$W21,IF(AND($S21&lt;&gt;"",EDATE($D21,Milestones!$AA$146)&gt;=$S21),$V21,$U21)))=Milestones!$AB$146),UPPER(TEXT(EDATE($D21,Milestones!$AA$146),"dd mmm yy"))&amp;" "&amp;Milestones!$AB$146&amp;" "&amp;Milestones!$AC$146&amp;";  ","")&amp;IF(AND(EDATE($D21,Milestones!$AA$147)&lt;=AsOfDate,IF($R21=0,$X21,IF(AND($T21&lt;&gt;"",EDATE($D21,Milestones!$AA$147)&gt;=$T21),$W21,IF(AND($S21&lt;&gt;"",EDATE($D21,Milestones!$AA$147)&gt;=$S21),$V21,$U21)))=Milestones!$AB$147),UPPER(TEXT(EDATE($D21,Milestones!$AA$147),"dd mmm yy"))&amp;" "&amp;Milestones!$AB$147&amp;" "&amp;Milestones!$AC$147&amp;";  ","")&amp;IF(AND(EDATE($D21,Milestones!$AA$148)&lt;=AsOfDate,IF($R21=0,$X21,IF(AND($T21&lt;&gt;"",EDATE($D21,Milestones!$AA$148)&gt;=$T21),$W21,IF(AND($S21&lt;&gt;"",EDATE($D21,Milestones!$AA$148)&gt;=$S21),$V21,$U21)))=Milestones!$AB$148),UPPER(TEXT(EDATE($D21,Milestones!$AA$148),"dd mmm yy"))&amp;" "&amp;Milestones!$AB$148&amp;" "&amp;Milestones!$AC$148&amp;";  ","")&amp;IF(AND(EDATE($D21,Milestones!$AA$149)&lt;=AsOfDate,IF($R21=0,$X21,IF(AND($T21&lt;&gt;"",EDATE($D21,Milestones!$AA$149)&gt;=$T21),$W21,IF(AND($S21&lt;&gt;"",EDATE($D21,Milestones!$AA$149)&gt;=$S21),$V21,$U21)))=Milestones!$AB$149),UPPER(TEXT(EDATE($D21,Milestones!$AA$149),"dd mmm yy"))&amp;" "&amp;Milestones!$AB$149&amp;" "&amp;Milestones!$AC$149&amp;";  ","")&amp;IF(AND(EDATE($D21,Milestones!$AA$150)&lt;=AsOfDate,IF($R21=0,$X21,IF(AND($T21&lt;&gt;"",EDATE($D21,Milestones!$AA$150)&gt;=$T21),$W21,IF(AND($S21&lt;&gt;"",EDATE($D21,Milestones!$AA$150)&gt;=$S21),$V21,$U21)))=Milestones!$AB$150),UPPER(TEXT(EDATE($D21,Milestones!$AA$150),"dd mmm yy"))&amp;" "&amp;Milestones!$AB$150&amp;" "&amp;Milestones!$AC$150&amp;";  ","")&amp;IF(AND(EDATE($D21,Milestones!$AA$151)&lt;=AsOfDate,IF($R21=0,$X21,IF(AND($T21&lt;&gt;"",EDATE($D21,Milestones!$AA$151)&gt;=$T21),$W21,IF(AND($S21&lt;&gt;"",EDATE($D21,Milestones!$AA$151)&gt;=$S21),$V21,$U21)))=Milestones!$AB$151),UPPER(TEXT(EDATE($D21,Milestones!$AA$151),"dd mmm yy"))&amp;" "&amp;Milestones!$AB$151&amp;" "&amp;Milestones!$AC$151&amp;";  ","")&amp;IF(AND(EDATE($D21,Milestones!$AA$152)&lt;=AsOfDate,IF($R21=0,$X21,IF(AND($T21&lt;&gt;"",EDATE($D21,Milestones!$AA$152)&gt;=$T21),$W21,IF(AND($S21&lt;&gt;"",EDATE($D21,Milestones!$AA$152)&gt;=$S21),$V21,$U21)))=Milestones!$AB$152),UPPER(TEXT(EDATE($D21,Milestones!$AA$152),"dd mmm yy"))&amp;" "&amp;Milestones!$AB$152&amp;" "&amp;Milestones!$AC$152&amp;";  ","")&amp;IF(AND(EDATE($D21,Milestones!$AA$153)&lt;=AsOfDate,IF($R21=0,$X21,IF(AND($T21&lt;&gt;"",EDATE($D21,Milestones!$AA$153)&gt;=$T21),$W21,IF(AND($S21&lt;&gt;"",EDATE($D21,Milestones!$AA$153)&gt;=$S21),$V21,$U21)))=Milestones!$AB$153),UPPER(TEXT(EDATE($D21,Milestones!$AA$153),"dd mmm yy"))&amp;" "&amp;Milestones!$AB$153&amp;" "&amp;Milestones!$AC$153&amp;";  ","")&amp;IF(AND(EDATE($D21,Milestones!$AA$154)&lt;=AsOfDate,IF($R21=0,$X21,IF(AND($T21&lt;&gt;"",EDATE($D21,Milestones!$AA$154)&gt;=$T21),$W21,IF(AND($S21&lt;&gt;"",EDATE($D21,Milestones!$AA$154)&gt;=$S21),$V21,$U21)))=Milestones!$AB$154),UPPER(TEXT(EDATE($D21,Milestones!$AA$154),"dd mmm yy"))&amp;" "&amp;Milestones!$AB$154&amp;" "&amp;Milestones!$AC$154&amp;";  ","")&amp;IF(AND(EDATE($D21,Milestones!$AA$155)&lt;=AsOfDate,IF($R21=0,$X21,IF(AND($T21&lt;&gt;"",EDATE($D21,Milestones!$AA$155)&gt;=$T21),$W21,IF(AND($S21&lt;&gt;"",EDATE($D21,Milestones!$AA$155)&gt;=$S21),$V21,$U21)))=Milestones!$AB$155),UPPER(TEXT(EDATE($D21,Milestones!$AA$155),"dd mmm yy"))&amp;" "&amp;Milestones!$AB$155&amp;" "&amp;Milestones!$AC$155&amp;";  ","")&amp;IF(AND(EDATE($D21,Milestones!$AA$156)&lt;=AsOfDate,IF($R21=0,$X21,IF(AND($T21&lt;&gt;"",EDATE($D21,Milestones!$AA$156)&gt;=$T21),$W21,IF(AND($S21&lt;&gt;"",EDATE($D21,Milestones!$AA$156)&gt;=$S21),$V21,$U21)))=Milestones!$AB$156),UPPER(TEXT(EDATE($D21,Milestones!$AA$156),"dd mmm yy"))&amp;" "&amp;Milestones!$AB$156&amp;" "&amp;Milestones!$AC$156&amp;";  ","")&amp;IF(AND(EDATE($D21,Milestones!$AA$157)&lt;=AsOfDate,IF($R21=0,$X21,IF(AND($T21&lt;&gt;"",EDATE($D21,Milestones!$AA$157)&gt;=$T21),$W21,IF(AND($S21&lt;&gt;"",EDATE($D21,Milestones!$AA$157)&gt;=$S21),$V21,$U21)))=Milestones!$AB$157),UPPER(TEXT(EDATE($D21,Milestones!$AA$157),"dd mmm yy"))&amp;" "&amp;Milestones!$AB$157&amp;" "&amp;Milestones!$AC$157&amp;";  ","")&amp;IF(AND(EDATE($D21,Milestones!$AA$158)&lt;=AsOfDate,IF($R21=0,$X21,IF(AND($T21&lt;&gt;"",EDATE($D21,Milestones!$AA$158)&gt;=$T21),$W21,IF(AND($S21&lt;&gt;"",EDATE($D21,Milestones!$AA$158)&gt;=$S21),$V21,$U21)))=Milestones!$AB$158),UPPER(TEXT(EDATE($D21,Milestones!$AA$158),"dd mmm yy"))&amp;" "&amp;Milestones!$AB$158&amp;" "&amp;Milestones!$AC$158&amp;";  ","")&amp;IF(AND(EDATE($D21,Milestones!$AA$159)&lt;=AsOfDate,IF($R21=0,$X21,IF(AND($T21&lt;&gt;"",EDATE($D21,Milestones!$AA$159)&gt;=$T21),$W21,IF(AND($S21&lt;&gt;"",EDATE($D21,Milestones!$AA$159)&gt;=$S21),$V21,$U21)))=Milestones!$AB$159),UPPER(TEXT(EDATE($D21,Milestones!$AA$159),"dd mmm yy"))&amp;" "&amp;Milestones!$AB$159&amp;" "&amp;Milestones!$AC$159&amp;";  ",""))</f>
        <v/>
      </c>
      <c r="P21" s="0" t="str">
        <f aca="false">IF(OR($A21="",$D21=""),"",IF(AND(EDATE($D21,Milestones!$AA$160)&lt;=AsOfDate,IF($R21=0,$X21,IF(AND($T21&lt;&gt;"",EDATE($D21,Milestones!$AA$160)&gt;=$T21),$W21,IF(AND($S21&lt;&gt;"",EDATE($D21,Milestones!$AA$160)&gt;=$S21),$V21,$U21)))=Milestones!$AB$160),UPPER(TEXT(EDATE($D21,Milestones!$AA$160),"dd mmm yy"))&amp;" "&amp;Milestones!$AB$160&amp;" "&amp;Milestones!$AC$160&amp;";  ","")&amp;IF(AND(EDATE($D21,Milestones!$AA$161)&lt;=AsOfDate,IF($R21=0,$X21,IF(AND($T21&lt;&gt;"",EDATE($D21,Milestones!$AA$161)&gt;=$T21),$W21,IF(AND($S21&lt;&gt;"",EDATE($D21,Milestones!$AA$161)&gt;=$S21),$V21,$U21)))=Milestones!$AB$161),UPPER(TEXT(EDATE($D21,Milestones!$AA$161),"dd mmm yy"))&amp;" "&amp;Milestones!$AB$161&amp;" "&amp;Milestones!$AC$161&amp;";  ","")&amp;IF(AND(EDATE($D21,Milestones!$AA$162)&lt;=AsOfDate,IF($R21=0,$X21,IF(AND($T21&lt;&gt;"",EDATE($D21,Milestones!$AA$162)&gt;=$T21),$W21,IF(AND($S21&lt;&gt;"",EDATE($D21,Milestones!$AA$162)&gt;=$S21),$V21,$U21)))=Milestones!$AB$162),UPPER(TEXT(EDATE($D21,Milestones!$AA$162),"dd mmm yy"))&amp;" "&amp;Milestones!$AB$162&amp;" "&amp;Milestones!$AC$162&amp;";  ","")&amp;IF(AND(EDATE($D21,Milestones!$AA$163)&lt;=AsOfDate,IF($R21=0,$X21,IF(AND($T21&lt;&gt;"",EDATE($D21,Milestones!$AA$163)&gt;=$T21),$W21,IF(AND($S21&lt;&gt;"",EDATE($D21,Milestones!$AA$163)&gt;=$S21),$V21,$U21)))=Milestones!$AB$163),UPPER(TEXT(EDATE($D21,Milestones!$AA$163),"dd mmm yy"))&amp;" "&amp;Milestones!$AB$163&amp;" "&amp;Milestones!$AC$163&amp;";  ","")&amp;IF(AND(EDATE($D21,Milestones!$AA$164)&lt;=AsOfDate,IF($R21=0,$X21,IF(AND($T21&lt;&gt;"",EDATE($D21,Milestones!$AA$164)&gt;=$T21),$W21,IF(AND($S21&lt;&gt;"",EDATE($D21,Milestones!$AA$164)&gt;=$S21),$V21,$U21)))=Milestones!$AB$164),UPPER(TEXT(EDATE($D21,Milestones!$AA$164),"dd mmm yy"))&amp;" "&amp;Milestones!$AB$164&amp;" "&amp;Milestones!$AC$164&amp;";  ","")&amp;IF(AND(EDATE($D21,Milestones!$AA$165)&lt;=AsOfDate,IF($R21=0,$X21,IF(AND($T21&lt;&gt;"",EDATE($D21,Milestones!$AA$165)&gt;=$T21),$W21,IF(AND($S21&lt;&gt;"",EDATE($D21,Milestones!$AA$165)&gt;=$S21),$V21,$U21)))=Milestones!$AB$165),UPPER(TEXT(EDATE($D21,Milestones!$AA$165),"dd mmm yy"))&amp;" "&amp;Milestones!$AB$165&amp;" "&amp;Milestones!$AC$165&amp;";  ","")&amp;IF(AND(EDATE($D21,Milestones!$AA$166)&lt;=AsOfDate,IF($R21=0,$X21,IF(AND($T21&lt;&gt;"",EDATE($D21,Milestones!$AA$166)&gt;=$T21),$W21,IF(AND($S21&lt;&gt;"",EDATE($D21,Milestones!$AA$166)&gt;=$S21),$V21,$U21)))=Milestones!$AB$166),UPPER(TEXT(EDATE($D21,Milestones!$AA$166),"dd mmm yy"))&amp;" "&amp;Milestones!$AB$166&amp;" "&amp;Milestones!$AC$166&amp;";  ","")&amp;IF(AND(EDATE($D21,Milestones!$AA$167)&lt;=AsOfDate,IF($R21=0,$X21,IF(AND($T21&lt;&gt;"",EDATE($D21,Milestones!$AA$167)&gt;=$T21),$W21,IF(AND($S21&lt;&gt;"",EDATE($D21,Milestones!$AA$167)&gt;=$S21),$V21,$U21)))=Milestones!$AB$167),UPPER(TEXT(EDATE($D21,Milestones!$AA$167),"dd mmm yy"))&amp;" "&amp;Milestones!$AB$167&amp;" "&amp;Milestones!$AC$167&amp;";  ","")&amp;IF(AND(EDATE($D21,Milestones!$AA$168)&lt;=AsOfDate,IF($R21=0,$X21,IF(AND($T21&lt;&gt;"",EDATE($D21,Milestones!$AA$168)&gt;=$T21),$W21,IF(AND($S21&lt;&gt;"",EDATE($D21,Milestones!$AA$168)&gt;=$S21),$V21,$U21)))=Milestones!$AB$168),UPPER(TEXT(EDATE($D21,Milestones!$AA$168),"dd mmm yy"))&amp;" "&amp;Milestones!$AB$168&amp;" "&amp;Milestones!$AC$168&amp;";  ","")&amp;IF(AND(EDATE($D21,Milestones!$AA$169)&lt;=AsOfDate,IF($R21=0,$X21,IF(AND($T21&lt;&gt;"",EDATE($D21,Milestones!$AA$169)&gt;=$T21),$W21,IF(AND($S21&lt;&gt;"",EDATE($D21,Milestones!$AA$169)&gt;=$S21),$V21,$U21)))=Milestones!$AB$169),UPPER(TEXT(EDATE($D21,Milestones!$AA$169),"dd mmm yy"))&amp;" "&amp;Milestones!$AB$169&amp;" "&amp;Milestones!$AC$169&amp;";  ","")&amp;IF(AND(EDATE($D21,Milestones!$AA$170)&lt;=AsOfDate,IF($R21=0,$X21,IF(AND($T21&lt;&gt;"",EDATE($D21,Milestones!$AA$170)&gt;=$T21),$W21,IF(AND($S21&lt;&gt;"",EDATE($D21,Milestones!$AA$170)&gt;=$S21),$V21,$U21)))=Milestones!$AB$170),UPPER(TEXT(EDATE($D21,Milestones!$AA$170),"dd mmm yy"))&amp;" "&amp;Milestones!$AB$170&amp;" "&amp;Milestones!$AC$170&amp;";  ","")&amp;IF(AND(EDATE($D21,Milestones!$AA$171)&lt;=AsOfDate,IF($R21=0,$X21,IF(AND($T21&lt;&gt;"",EDATE($D21,Milestones!$AA$171)&gt;=$T21),$W21,IF(AND($S21&lt;&gt;"",EDATE($D21,Milestones!$AA$171)&gt;=$S21),$V21,$U21)))=Milestones!$AB$171),UPPER(TEXT(EDATE($D21,Milestones!$AA$171),"dd mmm yy"))&amp;" "&amp;Milestones!$AB$171&amp;" "&amp;Milestones!$AC$171&amp;";  ","")&amp;IF(AND(EDATE($D21,Milestones!$AA$172)&lt;=AsOfDate,IF($R21=0,$X21,IF(AND($T21&lt;&gt;"",EDATE($D21,Milestones!$AA$172)&gt;=$T21),$W21,IF(AND($S21&lt;&gt;"",EDATE($D21,Milestones!$AA$172)&gt;=$S21),$V21,$U21)))=Milestones!$AB$172),UPPER(TEXT(EDATE($D21,Milestones!$AA$172),"dd mmm yy"))&amp;" "&amp;Milestones!$AB$172&amp;" "&amp;Milestones!$AC$172&amp;";  ","")&amp;IF(AND(EDATE($D21,Milestones!$AA$173)&lt;=AsOfDate,IF($R21=0,$X21,IF(AND($T21&lt;&gt;"",EDATE($D21,Milestones!$AA$173)&gt;=$T21),$W21,IF(AND($S21&lt;&gt;"",EDATE($D21,Milestones!$AA$173)&gt;=$S21),$V21,$U21)))=Milestones!$AB$173),UPPER(TEXT(EDATE($D21,Milestones!$AA$173),"dd mmm yy"))&amp;" "&amp;Milestones!$AB$173&amp;" "&amp;Milestones!$AC$173&amp;";  ","")&amp;IF(AND(EDATE($D21,Milestones!$AA$174)&lt;=AsOfDate,IF($R21=0,$X21,IF(AND($T21&lt;&gt;"",EDATE($D21,Milestones!$AA$174)&gt;=$T21),$W21,IF(AND($S21&lt;&gt;"",EDATE($D21,Milestones!$AA$174)&gt;=$S21),$V21,$U21)))=Milestones!$AB$174),UPPER(TEXT(EDATE($D21,Milestones!$AA$174),"dd mmm yy"))&amp;" "&amp;Milestones!$AB$174&amp;" "&amp;Milestones!$AC$174&amp;";  ","")&amp;IF(AND(EDATE($D21,Milestones!$AA$175)&lt;=AsOfDate,IF($R21=0,$X21,IF(AND($T21&lt;&gt;"",EDATE($D21,Milestones!$AA$175)&gt;=$T21),$W21,IF(AND($S21&lt;&gt;"",EDATE($D21,Milestones!$AA$175)&gt;=$S21),$V21,$U21)))=Milestones!$AB$175),UPPER(TEXT(EDATE($D21,Milestones!$AA$175),"dd mmm yy"))&amp;" "&amp;Milestones!$AB$175&amp;" "&amp;Milestones!$AC$175&amp;";  ","")&amp;IF(AND(EDATE($D21,Milestones!$AA$176)&lt;=AsOfDate,IF($R21=0,$X21,IF(AND($T21&lt;&gt;"",EDATE($D21,Milestones!$AA$176)&gt;=$T21),$W21,IF(AND($S21&lt;&gt;"",EDATE($D21,Milestones!$AA$176)&gt;=$S21),$V21,$U21)))=Milestones!$AB$176),UPPER(TEXT(EDATE($D21,Milestones!$AA$176),"dd mmm yy"))&amp;" "&amp;Milestones!$AB$176&amp;" "&amp;Milestones!$AC$176&amp;";  ","")&amp;IF(AND(EDATE($D21,Milestones!$AA$177)&lt;=AsOfDate,IF($R21=0,$X21,IF(AND($T21&lt;&gt;"",EDATE($D21,Milestones!$AA$177)&gt;=$T21),$W21,IF(AND($S21&lt;&gt;"",EDATE($D21,Milestones!$AA$177)&gt;=$S21),$V21,$U21)))=Milestones!$AB$177),UPPER(TEXT(EDATE($D21,Milestones!$AA$177),"dd mmm yy"))&amp;" "&amp;Milestones!$AB$177&amp;" "&amp;Milestones!$AC$177&amp;";  ","")&amp;IF(AND(EDATE($D21,Milestones!$AA$178)&lt;=AsOfDate,IF($R21=0,$X21,IF(AND($T21&lt;&gt;"",EDATE($D21,Milestones!$AA$178)&gt;=$T21),$W21,IF(AND($S21&lt;&gt;"",EDATE($D21,Milestones!$AA$178)&gt;=$S21),$V21,$U21)))=Milestones!$AB$178),UPPER(TEXT(EDATE($D21,Milestones!$AA$178),"dd mmm yy"))&amp;" "&amp;Milestones!$AB$178&amp;" "&amp;Milestones!$AC$178&amp;";  ","")&amp;IF(AND(EDATE($D21,Milestones!$AA$179)&lt;=AsOfDate,IF($R21=0,$X21,IF(AND($T21&lt;&gt;"",EDATE($D21,Milestones!$AA$179)&gt;=$T21),$W21,IF(AND($S21&lt;&gt;"",EDATE($D21,Milestones!$AA$179)&gt;=$S21),$V21,$U21)))=Milestones!$AB$179),UPPER(TEXT(EDATE($D21,Milestones!$AA$179),"dd mmm yy"))&amp;" "&amp;Milestones!$AB$179&amp;" "&amp;Milestones!$AC$179&amp;";  ",""))</f>
        <v/>
      </c>
      <c r="Q21" s="0" t="str">
        <f aca="false">IF(OR($A21="",$D21=""),"",IF(AND(EDATE($D21,Milestones!$AA$180)&lt;=AsOfDate,IF($R21=0,$X21,IF(AND($T21&lt;&gt;"",EDATE($D21,Milestones!$AA$180)&gt;=$T21),$W21,IF(AND($S21&lt;&gt;"",EDATE($D21,Milestones!$AA$180)&gt;=$S21),$V21,$U21)))=Milestones!$AB$180),UPPER(TEXT(EDATE($D21,Milestones!$AA$180),"dd mmm yy"))&amp;" "&amp;Milestones!$AB$180&amp;" "&amp;Milestones!$AC$180&amp;";  ","")&amp;IF(AND(EDATE($D21,Milestones!$AA$181)&lt;=AsOfDate,IF($R21=0,$X21,IF(AND($T21&lt;&gt;"",EDATE($D21,Milestones!$AA$181)&gt;=$T21),$W21,IF(AND($S21&lt;&gt;"",EDATE($D21,Milestones!$AA$181)&gt;=$S21),$V21,$U21)))=Milestones!$AB$181),UPPER(TEXT(EDATE($D21,Milestones!$AA$181),"dd mmm yy"))&amp;" "&amp;Milestones!$AB$181&amp;" "&amp;Milestones!$AC$181&amp;";  ","")&amp;IF(AND(EDATE($D21,Milestones!$AA$182)&lt;=AsOfDate,IF($R21=0,$X21,IF(AND($T21&lt;&gt;"",EDATE($D21,Milestones!$AA$182)&gt;=$T21),$W21,IF(AND($S21&lt;&gt;"",EDATE($D21,Milestones!$AA$182)&gt;=$S21),$V21,$U21)))=Milestones!$AB$182),UPPER(TEXT(EDATE($D21,Milestones!$AA$182),"dd mmm yy"))&amp;" "&amp;Milestones!$AB$182&amp;" "&amp;Milestones!$AC$182&amp;";  ","")&amp;IF(AND(EDATE($D21,Milestones!$AA$183)&lt;=AsOfDate,IF($R21=0,$X21,IF(AND($T21&lt;&gt;"",EDATE($D21,Milestones!$AA$183)&gt;=$T21),$W21,IF(AND($S21&lt;&gt;"",EDATE($D21,Milestones!$AA$183)&gt;=$S21),$V21,$U21)))=Milestones!$AB$183),UPPER(TEXT(EDATE($D21,Milestones!$AA$183),"dd mmm yy"))&amp;" "&amp;Milestones!$AB$183&amp;" "&amp;Milestones!$AC$183&amp;";  ","")&amp;IF(AND(EDATE($D21,Milestones!$AA$184)&lt;=AsOfDate,IF($R21=0,$X21,IF(AND($T21&lt;&gt;"",EDATE($D21,Milestones!$AA$184)&gt;=$T21),$W21,IF(AND($S21&lt;&gt;"",EDATE($D21,Milestones!$AA$184)&gt;=$S21),$V21,$U21)))=Milestones!$AB$184),UPPER(TEXT(EDATE($D21,Milestones!$AA$184),"dd mmm yy"))&amp;" "&amp;Milestones!$AB$184&amp;" "&amp;Milestones!$AC$184&amp;";  ","")&amp;IF(AND(EDATE($D21,Milestones!$AA$185)&lt;=AsOfDate,IF($R21=0,$X21,IF(AND($T21&lt;&gt;"",EDATE($D21,Milestones!$AA$185)&gt;=$T21),$W21,IF(AND($S21&lt;&gt;"",EDATE($D21,Milestones!$AA$185)&gt;=$S21),$V21,$U21)))=Milestones!$AB$185),UPPER(TEXT(EDATE($D21,Milestones!$AA$185),"dd mmm yy"))&amp;" "&amp;Milestones!$AB$185&amp;" "&amp;Milestones!$AC$185&amp;";  ","")&amp;IF(AND(EDATE($D21,Milestones!$AA$186)&lt;=AsOfDate,IF($R21=0,$X21,IF(AND($T21&lt;&gt;"",EDATE($D21,Milestones!$AA$186)&gt;=$T21),$W21,IF(AND($S21&lt;&gt;"",EDATE($D21,Milestones!$AA$186)&gt;=$S21),$V21,$U21)))=Milestones!$AB$186),UPPER(TEXT(EDATE($D21,Milestones!$AA$186),"dd mmm yy"))&amp;" "&amp;Milestones!$AB$186&amp;" "&amp;Milestones!$AC$186&amp;";  ","")&amp;IF(AND(EDATE($D21,Milestones!$AA$187)&lt;=AsOfDate,IF($R21=0,$X21,IF(AND($T21&lt;&gt;"",EDATE($D21,Milestones!$AA$187)&gt;=$T21),$W21,IF(AND($S21&lt;&gt;"",EDATE($D21,Milestones!$AA$187)&gt;=$S21),$V21,$U21)))=Milestones!$AB$187),UPPER(TEXT(EDATE($D21,Milestones!$AA$187),"dd mmm yy"))&amp;" "&amp;Milestones!$AB$187&amp;" "&amp;Milestones!$AC$187&amp;";  ","")&amp;IF(AND(EDATE($D21,Milestones!$AA$188)&lt;=AsOfDate,IF($R21=0,$X21,IF(AND($T21&lt;&gt;"",EDATE($D21,Milestones!$AA$188)&gt;=$T21),$W21,IF(AND($S21&lt;&gt;"",EDATE($D21,Milestones!$AA$188)&gt;=$S21),$V21,$U21)))=Milestones!$AB$188),UPPER(TEXT(EDATE($D21,Milestones!$AA$188),"dd mmm yy"))&amp;" "&amp;Milestones!$AB$188&amp;" "&amp;Milestones!$AC$188&amp;";  ","")&amp;IF(AND(EDATE($D21,Milestones!$AA$189)&lt;=AsOfDate,IF($R21=0,$X21,IF(AND($T21&lt;&gt;"",EDATE($D21,Milestones!$AA$189)&gt;=$T21),$W21,IF(AND($S21&lt;&gt;"",EDATE($D21,Milestones!$AA$189)&gt;=$S21),$V21,$U21)))=Milestones!$AB$189),UPPER(TEXT(EDATE($D21,Milestones!$AA$189),"dd mmm yy"))&amp;" "&amp;Milestones!$AB$189&amp;" "&amp;Milestones!$AC$189&amp;";  ","")&amp;IF(AND(EDATE($D21,Milestones!$AA$190)&lt;=AsOfDate,IF($R21=0,$X21,IF(AND($T21&lt;&gt;"",EDATE($D21,Milestones!$AA$190)&gt;=$T21),$W21,IF(AND($S21&lt;&gt;"",EDATE($D21,Milestones!$AA$190)&gt;=$S21),$V21,$U21)))=Milestones!$AB$190),UPPER(TEXT(EDATE($D21,Milestones!$AA$190),"dd mmm yy"))&amp;" "&amp;Milestones!$AB$190&amp;" "&amp;Milestones!$AC$190&amp;";  ","")&amp;IF(AND(EDATE($D21,Milestones!$AA$191)&lt;=AsOfDate,IF($R21=0,$X21,IF(AND($T21&lt;&gt;"",EDATE($D21,Milestones!$AA$191)&gt;=$T21),$W21,IF(AND($S21&lt;&gt;"",EDATE($D21,Milestones!$AA$191)&gt;=$S21),$V21,$U21)))=Milestones!$AB$191),UPPER(TEXT(EDATE($D21,Milestones!$AA$191),"dd mmm yy"))&amp;" "&amp;Milestones!$AB$191&amp;" "&amp;Milestones!$AC$191&amp;";  ","")&amp;IF(AND(EDATE($D21,Milestones!$AA$192)&lt;=AsOfDate,IF($R21=0,$X21,IF(AND($T21&lt;&gt;"",EDATE($D21,Milestones!$AA$192)&gt;=$T21),$W21,IF(AND($S21&lt;&gt;"",EDATE($D21,Milestones!$AA$192)&gt;=$S21),$V21,$U21)))=Milestones!$AB$192),UPPER(TEXT(EDATE($D21,Milestones!$AA$192),"dd mmm yy"))&amp;" "&amp;Milestones!$AB$192&amp;" "&amp;Milestones!$AC$192&amp;";  ","")&amp;IF(AND(EDATE($D21,Milestones!$AA$193)&lt;=AsOfDate,IF($R21=0,$X21,IF(AND($T21&lt;&gt;"",EDATE($D21,Milestones!$AA$193)&gt;=$T21),$W21,IF(AND($S21&lt;&gt;"",EDATE($D21,Milestones!$AA$193)&gt;=$S21),$V21,$U21)))=Milestones!$AB$193),UPPER(TEXT(EDATE($D21,Milestones!$AA$193),"dd mmm yy"))&amp;" "&amp;Milestones!$AB$193&amp;" "&amp;Milestones!$AC$193&amp;";  ","")&amp;IF(AND(EDATE($D21,Milestones!$AA$194)&lt;=AsOfDate,IF($R21=0,$X21,IF(AND($T21&lt;&gt;"",EDATE($D21,Milestones!$AA$194)&gt;=$T21),$W21,IF(AND($S21&lt;&gt;"",EDATE($D21,Milestones!$AA$194)&gt;=$S21),$V21,$U21)))=Milestones!$AB$194),UPPER(TEXT(EDATE($D21,Milestones!$AA$194),"dd mmm yy"))&amp;" "&amp;Milestones!$AB$194&amp;" "&amp;Milestones!$AC$194&amp;";  ","")&amp;IF(AND(EDATE($D21,Milestones!$AA$195)&lt;=AsOfDate,IF($R21=0,$X21,IF(AND($T21&lt;&gt;"",EDATE($D21,Milestones!$AA$195)&gt;=$T21),$W21,IF(AND($S21&lt;&gt;"",EDATE($D21,Milestones!$AA$195)&gt;=$S21),$V21,$U21)))=Milestones!$AB$195),UPPER(TEXT(EDATE($D21,Milestones!$AA$195),"dd mmm yy"))&amp;" "&amp;Milestones!$AB$195&amp;" "&amp;Milestones!$AC$195&amp;";  ","")&amp;IF(AND(EDATE($D21,Milestones!$AA$196)&lt;=AsOfDate,IF($R21=0,$X21,IF(AND($T21&lt;&gt;"",EDATE($D21,Milestones!$AA$196)&gt;=$T21),$W21,IF(AND($S21&lt;&gt;"",EDATE($D21,Milestones!$AA$196)&gt;=$S21),$V21,$U21)))=Milestones!$AB$196),UPPER(TEXT(EDATE($D21,Milestones!$AA$196),"dd mmm yy"))&amp;" "&amp;Milestones!$AB$196&amp;" "&amp;Milestones!$AC$196&amp;";  ","")&amp;IF(AND(EDATE($D21,Milestones!$AA$197)&lt;=AsOfDate,IF($R21=0,$X21,IF(AND($T21&lt;&gt;"",EDATE($D21,Milestones!$AA$197)&gt;=$T21),$W21,IF(AND($S21&lt;&gt;"",EDATE($D21,Milestones!$AA$197)&gt;=$S21),$V21,$U21)))=Milestones!$AB$197),UPPER(TEXT(EDATE($D21,Milestones!$AA$197),"dd mmm yy"))&amp;" "&amp;Milestones!$AB$197&amp;" "&amp;Milestones!$AC$197&amp;";  ","")&amp;IF(AND(EDATE($D21,Milestones!$AA$198)&lt;=AsOfDate,IF($R21=0,$X21,IF(AND($T21&lt;&gt;"",EDATE($D21,Milestones!$AA$198)&gt;=$T21),$W21,IF(AND($S21&lt;&gt;"",EDATE($D21,Milestones!$AA$198)&gt;=$S21),$V21,$U21)))=Milestones!$AB$198),UPPER(TEXT(EDATE($D21,Milestones!$AA$198),"dd mmm yy"))&amp;" "&amp;Milestones!$AB$198&amp;" "&amp;Milestones!$AC$198&amp;";  ","")&amp;IF(AND(EDATE($D21,Milestones!$AA$199)&lt;=AsOfDate,IF($R21=0,$X21,IF(AND($T21&lt;&gt;"",EDATE($D21,Milestones!$AA$199)&gt;=$T21),$W21,IF(AND($S21&lt;&gt;"",EDATE($D21,Milestones!$AA$199)&gt;=$S21),$V21,$U21)))=Milestones!$AB$199),UPPER(TEXT(EDATE($D21,Milestones!$AA$199),"dd mmm yy"))&amp;" "&amp;Milestones!$AB$199&amp;" "&amp;Milestones!$AC$199&amp;";  ",""))</f>
        <v/>
      </c>
      <c r="R21" s="0" t="str">
        <f aca="false">IF(Staff!$A21="","",Staff!$AI21)</f>
        <v/>
      </c>
      <c r="S21" s="0" t="str">
        <f aca="false">IF(Staff!$A21="","",Staff!$AK21)</f>
        <v/>
      </c>
      <c r="T21" s="0" t="str">
        <f aca="false">IF(Staff!$A21="","",Staff!$AL21)</f>
        <v/>
      </c>
      <c r="U21" s="0" t="str">
        <f aca="false">IF(Staff!$A21="","",Staff!$AP21)</f>
        <v/>
      </c>
      <c r="V21" s="0" t="str">
        <f aca="false">IF(Staff!$A21="","",Staff!$AQ21)</f>
        <v/>
      </c>
      <c r="W21" s="0" t="str">
        <f aca="false">IF(Staff!$A21="","",Staff!$AR21)</f>
        <v/>
      </c>
      <c r="X21" s="0" t="str">
        <f aca="false">IF(Staff!$A21="","",Staff!$AS21)</f>
        <v/>
      </c>
    </row>
    <row r="22" customFormat="false" ht="15" hidden="false" customHeight="false" outlineLevel="0" collapsed="false">
      <c r="A22" s="14" t="str">
        <f aca="false">IF(Staff!$A22="","",Staff!$A22)</f>
        <v/>
      </c>
      <c r="B22" s="14" t="str">
        <f aca="false">IF(Staff!$A22="","",Staff!$B22)</f>
        <v/>
      </c>
      <c r="C22" s="14" t="str">
        <f aca="false">IF(Staff!$A22="","",Staff!$C22)</f>
        <v/>
      </c>
      <c r="D22" s="12" t="str">
        <f aca="false">IF(Staff!$A22="","",Staff!$AH22)</f>
        <v/>
      </c>
      <c r="E22" s="14" t="str">
        <f aca="false">IF(Staff!$A22="","",Staff!$O22)</f>
        <v/>
      </c>
      <c r="F22" s="14" t="str">
        <f aca="false">IF(E22="","",E22*HoursPerDay)</f>
        <v/>
      </c>
      <c r="G22" s="14" t="str">
        <f aca="false">IF(Staff!$A22="","",Staff!$AE22)</f>
        <v/>
      </c>
      <c r="H22" s="26" t="str">
        <f aca="false">IF($A22="","",I22&amp;J22&amp;K22&amp;L22&amp;M22&amp;N22&amp;O22&amp;P22&amp;Q22)</f>
        <v/>
      </c>
      <c r="I22" s="0" t="str">
        <f aca="false">IF(OR($A22="",$D22=""),"",IF(AND(EDATE($D22,Milestones!$AA$20)&lt;=AsOfDate,IF($R22=0,$X22,IF(AND($T22&lt;&gt;"",EDATE($D22,Milestones!$AA$20)&gt;=$T22),$W22,IF(AND($S22&lt;&gt;"",EDATE($D22,Milestones!$AA$20)&gt;=$S22),$V22,$U22)))=Milestones!$AB$20),UPPER(TEXT(EDATE($D22,Milestones!$AA$20),"dd mmm yy"))&amp;" "&amp;Milestones!$AB$20&amp;" "&amp;Milestones!$AC$20&amp;";  ","")&amp;IF(AND(EDATE($D22,Milestones!$AA$21)&lt;=AsOfDate,IF($R22=0,$X22,IF(AND($T22&lt;&gt;"",EDATE($D22,Milestones!$AA$21)&gt;=$T22),$W22,IF(AND($S22&lt;&gt;"",EDATE($D22,Milestones!$AA$21)&gt;=$S22),$V22,$U22)))=Milestones!$AB$21),UPPER(TEXT(EDATE($D22,Milestones!$AA$21),"dd mmm yy"))&amp;" "&amp;Milestones!$AB$21&amp;" "&amp;Milestones!$AC$21&amp;";  ","")&amp;IF(AND(EDATE($D22,Milestones!$AA$22)&lt;=AsOfDate,IF($R22=0,$X22,IF(AND($T22&lt;&gt;"",EDATE($D22,Milestones!$AA$22)&gt;=$T22),$W22,IF(AND($S22&lt;&gt;"",EDATE($D22,Milestones!$AA$22)&gt;=$S22),$V22,$U22)))=Milestones!$AB$22),UPPER(TEXT(EDATE($D22,Milestones!$AA$22),"dd mmm yy"))&amp;" "&amp;Milestones!$AB$22&amp;" "&amp;Milestones!$AC$22&amp;";  ","")&amp;IF(AND(EDATE($D22,Milestones!$AA$23)&lt;=AsOfDate,IF($R22=0,$X22,IF(AND($T22&lt;&gt;"",EDATE($D22,Milestones!$AA$23)&gt;=$T22),$W22,IF(AND($S22&lt;&gt;"",EDATE($D22,Milestones!$AA$23)&gt;=$S22),$V22,$U22)))=Milestones!$AB$23),UPPER(TEXT(EDATE($D22,Milestones!$AA$23),"dd mmm yy"))&amp;" "&amp;Milestones!$AB$23&amp;" "&amp;Milestones!$AC$23&amp;";  ","")&amp;IF(AND(EDATE($D22,Milestones!$AA$24)&lt;=AsOfDate,IF($R22=0,$X22,IF(AND($T22&lt;&gt;"",EDATE($D22,Milestones!$AA$24)&gt;=$T22),$W22,IF(AND($S22&lt;&gt;"",EDATE($D22,Milestones!$AA$24)&gt;=$S22),$V22,$U22)))=Milestones!$AB$24),UPPER(TEXT(EDATE($D22,Milestones!$AA$24),"dd mmm yy"))&amp;" "&amp;Milestones!$AB$24&amp;" "&amp;Milestones!$AC$24&amp;";  ","")&amp;IF(AND(EDATE($D22,Milestones!$AA$25)&lt;=AsOfDate,IF($R22=0,$X22,IF(AND($T22&lt;&gt;"",EDATE($D22,Milestones!$AA$25)&gt;=$T22),$W22,IF(AND($S22&lt;&gt;"",EDATE($D22,Milestones!$AA$25)&gt;=$S22),$V22,$U22)))=Milestones!$AB$25),UPPER(TEXT(EDATE($D22,Milestones!$AA$25),"dd mmm yy"))&amp;" "&amp;Milestones!$AB$25&amp;" "&amp;Milestones!$AC$25&amp;";  ","")&amp;IF(AND(EDATE($D22,Milestones!$AA$26)&lt;=AsOfDate,IF($R22=0,$X22,IF(AND($T22&lt;&gt;"",EDATE($D22,Milestones!$AA$26)&gt;=$T22),$W22,IF(AND($S22&lt;&gt;"",EDATE($D22,Milestones!$AA$26)&gt;=$S22),$V22,$U22)))=Milestones!$AB$26),UPPER(TEXT(EDATE($D22,Milestones!$AA$26),"dd mmm yy"))&amp;" "&amp;Milestones!$AB$26&amp;" "&amp;Milestones!$AC$26&amp;";  ","")&amp;IF(AND(EDATE($D22,Milestones!$AA$27)&lt;=AsOfDate,IF($R22=0,$X22,IF(AND($T22&lt;&gt;"",EDATE($D22,Milestones!$AA$27)&gt;=$T22),$W22,IF(AND($S22&lt;&gt;"",EDATE($D22,Milestones!$AA$27)&gt;=$S22),$V22,$U22)))=Milestones!$AB$27),UPPER(TEXT(EDATE($D22,Milestones!$AA$27),"dd mmm yy"))&amp;" "&amp;Milestones!$AB$27&amp;" "&amp;Milestones!$AC$27&amp;";  ","")&amp;IF(AND(EDATE($D22,Milestones!$AA$28)&lt;=AsOfDate,IF($R22=0,$X22,IF(AND($T22&lt;&gt;"",EDATE($D22,Milestones!$AA$28)&gt;=$T22),$W22,IF(AND($S22&lt;&gt;"",EDATE($D22,Milestones!$AA$28)&gt;=$S22),$V22,$U22)))=Milestones!$AB$28),UPPER(TEXT(EDATE($D22,Milestones!$AA$28),"dd mmm yy"))&amp;" "&amp;Milestones!$AB$28&amp;" "&amp;Milestones!$AC$28&amp;";  ","")&amp;IF(AND(EDATE($D22,Milestones!$AA$29)&lt;=AsOfDate,IF($R22=0,$X22,IF(AND($T22&lt;&gt;"",EDATE($D22,Milestones!$AA$29)&gt;=$T22),$W22,IF(AND($S22&lt;&gt;"",EDATE($D22,Milestones!$AA$29)&gt;=$S22),$V22,$U22)))=Milestones!$AB$29),UPPER(TEXT(EDATE($D22,Milestones!$AA$29),"dd mmm yy"))&amp;" "&amp;Milestones!$AB$29&amp;" "&amp;Milestones!$AC$29&amp;";  ","")&amp;IF(AND(EDATE($D22,Milestones!$AA$30)&lt;=AsOfDate,IF($R22=0,$X22,IF(AND($T22&lt;&gt;"",EDATE($D22,Milestones!$AA$30)&gt;=$T22),$W22,IF(AND($S22&lt;&gt;"",EDATE($D22,Milestones!$AA$30)&gt;=$S22),$V22,$U22)))=Milestones!$AB$30),UPPER(TEXT(EDATE($D22,Milestones!$AA$30),"dd mmm yy"))&amp;" "&amp;Milestones!$AB$30&amp;" "&amp;Milestones!$AC$30&amp;";  ","")&amp;IF(AND(EDATE($D22,Milestones!$AA$31)&lt;=AsOfDate,IF($R22=0,$X22,IF(AND($T22&lt;&gt;"",EDATE($D22,Milestones!$AA$31)&gt;=$T22),$W22,IF(AND($S22&lt;&gt;"",EDATE($D22,Milestones!$AA$31)&gt;=$S22),$V22,$U22)))=Milestones!$AB$31),UPPER(TEXT(EDATE($D22,Milestones!$AA$31),"dd mmm yy"))&amp;" "&amp;Milestones!$AB$31&amp;" "&amp;Milestones!$AC$31&amp;";  ","")&amp;IF(AND(EDATE($D22,Milestones!$AA$32)&lt;=AsOfDate,IF($R22=0,$X22,IF(AND($T22&lt;&gt;"",EDATE($D22,Milestones!$AA$32)&gt;=$T22),$W22,IF(AND($S22&lt;&gt;"",EDATE($D22,Milestones!$AA$32)&gt;=$S22),$V22,$U22)))=Milestones!$AB$32),UPPER(TEXT(EDATE($D22,Milestones!$AA$32),"dd mmm yy"))&amp;" "&amp;Milestones!$AB$32&amp;" "&amp;Milestones!$AC$32&amp;";  ","")&amp;IF(AND(EDATE($D22,Milestones!$AA$33)&lt;=AsOfDate,IF($R22=0,$X22,IF(AND($T22&lt;&gt;"",EDATE($D22,Milestones!$AA$33)&gt;=$T22),$W22,IF(AND($S22&lt;&gt;"",EDATE($D22,Milestones!$AA$33)&gt;=$S22),$V22,$U22)))=Milestones!$AB$33),UPPER(TEXT(EDATE($D22,Milestones!$AA$33),"dd mmm yy"))&amp;" "&amp;Milestones!$AB$33&amp;" "&amp;Milestones!$AC$33&amp;";  ","")&amp;IF(AND(EDATE($D22,Milestones!$AA$34)&lt;=AsOfDate,IF($R22=0,$X22,IF(AND($T22&lt;&gt;"",EDATE($D22,Milestones!$AA$34)&gt;=$T22),$W22,IF(AND($S22&lt;&gt;"",EDATE($D22,Milestones!$AA$34)&gt;=$S22),$V22,$U22)))=Milestones!$AB$34),UPPER(TEXT(EDATE($D22,Milestones!$AA$34),"dd mmm yy"))&amp;" "&amp;Milestones!$AB$34&amp;" "&amp;Milestones!$AC$34&amp;";  ","")&amp;IF(AND(EDATE($D22,Milestones!$AA$35)&lt;=AsOfDate,IF($R22=0,$X22,IF(AND($T22&lt;&gt;"",EDATE($D22,Milestones!$AA$35)&gt;=$T22),$W22,IF(AND($S22&lt;&gt;"",EDATE($D22,Milestones!$AA$35)&gt;=$S22),$V22,$U22)))=Milestones!$AB$35),UPPER(TEXT(EDATE($D22,Milestones!$AA$35),"dd mmm yy"))&amp;" "&amp;Milestones!$AB$35&amp;" "&amp;Milestones!$AC$35&amp;";  ","")&amp;IF(AND(EDATE($D22,Milestones!$AA$36)&lt;=AsOfDate,IF($R22=0,$X22,IF(AND($T22&lt;&gt;"",EDATE($D22,Milestones!$AA$36)&gt;=$T22),$W22,IF(AND($S22&lt;&gt;"",EDATE($D22,Milestones!$AA$36)&gt;=$S22),$V22,$U22)))=Milestones!$AB$36),UPPER(TEXT(EDATE($D22,Milestones!$AA$36),"dd mmm yy"))&amp;" "&amp;Milestones!$AB$36&amp;" "&amp;Milestones!$AC$36&amp;";  ","")&amp;IF(AND(EDATE($D22,Milestones!$AA$37)&lt;=AsOfDate,IF($R22=0,$X22,IF(AND($T22&lt;&gt;"",EDATE($D22,Milestones!$AA$37)&gt;=$T22),$W22,IF(AND($S22&lt;&gt;"",EDATE($D22,Milestones!$AA$37)&gt;=$S22),$V22,$U22)))=Milestones!$AB$37),UPPER(TEXT(EDATE($D22,Milestones!$AA$37),"dd mmm yy"))&amp;" "&amp;Milestones!$AB$37&amp;" "&amp;Milestones!$AC$37&amp;";  ","")&amp;IF(AND(EDATE($D22,Milestones!$AA$38)&lt;=AsOfDate,IF($R22=0,$X22,IF(AND($T22&lt;&gt;"",EDATE($D22,Milestones!$AA$38)&gt;=$T22),$W22,IF(AND($S22&lt;&gt;"",EDATE($D22,Milestones!$AA$38)&gt;=$S22),$V22,$U22)))=Milestones!$AB$38),UPPER(TEXT(EDATE($D22,Milestones!$AA$38),"dd mmm yy"))&amp;" "&amp;Milestones!$AB$38&amp;" "&amp;Milestones!$AC$38&amp;";  ","")&amp;IF(AND(EDATE($D22,Milestones!$AA$39)&lt;=AsOfDate,IF($R22=0,$X22,IF(AND($T22&lt;&gt;"",EDATE($D22,Milestones!$AA$39)&gt;=$T22),$W22,IF(AND($S22&lt;&gt;"",EDATE($D22,Milestones!$AA$39)&gt;=$S22),$V22,$U22)))=Milestones!$AB$39),UPPER(TEXT(EDATE($D22,Milestones!$AA$39),"dd mmm yy"))&amp;" "&amp;Milestones!$AB$39&amp;" "&amp;Milestones!$AC$39&amp;";  ",""))</f>
        <v/>
      </c>
      <c r="J22" s="0" t="str">
        <f aca="false">IF(OR($A22="",$D22=""),"",IF(AND(EDATE($D22,Milestones!$AA$40)&lt;=AsOfDate,IF($R22=0,$X22,IF(AND($T22&lt;&gt;"",EDATE($D22,Milestones!$AA$40)&gt;=$T22),$W22,IF(AND($S22&lt;&gt;"",EDATE($D22,Milestones!$AA$40)&gt;=$S22),$V22,$U22)))=Milestones!$AB$40),UPPER(TEXT(EDATE($D22,Milestones!$AA$40),"dd mmm yy"))&amp;" "&amp;Milestones!$AB$40&amp;" "&amp;Milestones!$AC$40&amp;";  ","")&amp;IF(AND(EDATE($D22,Milestones!$AA$41)&lt;=AsOfDate,IF($R22=0,$X22,IF(AND($T22&lt;&gt;"",EDATE($D22,Milestones!$AA$41)&gt;=$T22),$W22,IF(AND($S22&lt;&gt;"",EDATE($D22,Milestones!$AA$41)&gt;=$S22),$V22,$U22)))=Milestones!$AB$41),UPPER(TEXT(EDATE($D22,Milestones!$AA$41),"dd mmm yy"))&amp;" "&amp;Milestones!$AB$41&amp;" "&amp;Milestones!$AC$41&amp;";  ","")&amp;IF(AND(EDATE($D22,Milestones!$AA$42)&lt;=AsOfDate,IF($R22=0,$X22,IF(AND($T22&lt;&gt;"",EDATE($D22,Milestones!$AA$42)&gt;=$T22),$W22,IF(AND($S22&lt;&gt;"",EDATE($D22,Milestones!$AA$42)&gt;=$S22),$V22,$U22)))=Milestones!$AB$42),UPPER(TEXT(EDATE($D22,Milestones!$AA$42),"dd mmm yy"))&amp;" "&amp;Milestones!$AB$42&amp;" "&amp;Milestones!$AC$42&amp;";  ","")&amp;IF(AND(EDATE($D22,Milestones!$AA$43)&lt;=AsOfDate,IF($R22=0,$X22,IF(AND($T22&lt;&gt;"",EDATE($D22,Milestones!$AA$43)&gt;=$T22),$W22,IF(AND($S22&lt;&gt;"",EDATE($D22,Milestones!$AA$43)&gt;=$S22),$V22,$U22)))=Milestones!$AB$43),UPPER(TEXT(EDATE($D22,Milestones!$AA$43),"dd mmm yy"))&amp;" "&amp;Milestones!$AB$43&amp;" "&amp;Milestones!$AC$43&amp;";  ","")&amp;IF(AND(EDATE($D22,Milestones!$AA$44)&lt;=AsOfDate,IF($R22=0,$X22,IF(AND($T22&lt;&gt;"",EDATE($D22,Milestones!$AA$44)&gt;=$T22),$W22,IF(AND($S22&lt;&gt;"",EDATE($D22,Milestones!$AA$44)&gt;=$S22),$V22,$U22)))=Milestones!$AB$44),UPPER(TEXT(EDATE($D22,Milestones!$AA$44),"dd mmm yy"))&amp;" "&amp;Milestones!$AB$44&amp;" "&amp;Milestones!$AC$44&amp;";  ","")&amp;IF(AND(EDATE($D22,Milestones!$AA$45)&lt;=AsOfDate,IF($R22=0,$X22,IF(AND($T22&lt;&gt;"",EDATE($D22,Milestones!$AA$45)&gt;=$T22),$W22,IF(AND($S22&lt;&gt;"",EDATE($D22,Milestones!$AA$45)&gt;=$S22),$V22,$U22)))=Milestones!$AB$45),UPPER(TEXT(EDATE($D22,Milestones!$AA$45),"dd mmm yy"))&amp;" "&amp;Milestones!$AB$45&amp;" "&amp;Milestones!$AC$45&amp;";  ","")&amp;IF(AND(EDATE($D22,Milestones!$AA$46)&lt;=AsOfDate,IF($R22=0,$X22,IF(AND($T22&lt;&gt;"",EDATE($D22,Milestones!$AA$46)&gt;=$T22),$W22,IF(AND($S22&lt;&gt;"",EDATE($D22,Milestones!$AA$46)&gt;=$S22),$V22,$U22)))=Milestones!$AB$46),UPPER(TEXT(EDATE($D22,Milestones!$AA$46),"dd mmm yy"))&amp;" "&amp;Milestones!$AB$46&amp;" "&amp;Milestones!$AC$46&amp;";  ","")&amp;IF(AND(EDATE($D22,Milestones!$AA$47)&lt;=AsOfDate,IF($R22=0,$X22,IF(AND($T22&lt;&gt;"",EDATE($D22,Milestones!$AA$47)&gt;=$T22),$W22,IF(AND($S22&lt;&gt;"",EDATE($D22,Milestones!$AA$47)&gt;=$S22),$V22,$U22)))=Milestones!$AB$47),UPPER(TEXT(EDATE($D22,Milestones!$AA$47),"dd mmm yy"))&amp;" "&amp;Milestones!$AB$47&amp;" "&amp;Milestones!$AC$47&amp;";  ","")&amp;IF(AND(EDATE($D22,Milestones!$AA$48)&lt;=AsOfDate,IF($R22=0,$X22,IF(AND($T22&lt;&gt;"",EDATE($D22,Milestones!$AA$48)&gt;=$T22),$W22,IF(AND($S22&lt;&gt;"",EDATE($D22,Milestones!$AA$48)&gt;=$S22),$V22,$U22)))=Milestones!$AB$48),UPPER(TEXT(EDATE($D22,Milestones!$AA$48),"dd mmm yy"))&amp;" "&amp;Milestones!$AB$48&amp;" "&amp;Milestones!$AC$48&amp;";  ","")&amp;IF(AND(EDATE($D22,Milestones!$AA$49)&lt;=AsOfDate,IF($R22=0,$X22,IF(AND($T22&lt;&gt;"",EDATE($D22,Milestones!$AA$49)&gt;=$T22),$W22,IF(AND($S22&lt;&gt;"",EDATE($D22,Milestones!$AA$49)&gt;=$S22),$V22,$U22)))=Milestones!$AB$49),UPPER(TEXT(EDATE($D22,Milestones!$AA$49),"dd mmm yy"))&amp;" "&amp;Milestones!$AB$49&amp;" "&amp;Milestones!$AC$49&amp;";  ","")&amp;IF(AND(EDATE($D22,Milestones!$AA$50)&lt;=AsOfDate,IF($R22=0,$X22,IF(AND($T22&lt;&gt;"",EDATE($D22,Milestones!$AA$50)&gt;=$T22),$W22,IF(AND($S22&lt;&gt;"",EDATE($D22,Milestones!$AA$50)&gt;=$S22),$V22,$U22)))=Milestones!$AB$50),UPPER(TEXT(EDATE($D22,Milestones!$AA$50),"dd mmm yy"))&amp;" "&amp;Milestones!$AB$50&amp;" "&amp;Milestones!$AC$50&amp;";  ","")&amp;IF(AND(EDATE($D22,Milestones!$AA$51)&lt;=AsOfDate,IF($R22=0,$X22,IF(AND($T22&lt;&gt;"",EDATE($D22,Milestones!$AA$51)&gt;=$T22),$W22,IF(AND($S22&lt;&gt;"",EDATE($D22,Milestones!$AA$51)&gt;=$S22),$V22,$U22)))=Milestones!$AB$51),UPPER(TEXT(EDATE($D22,Milestones!$AA$51),"dd mmm yy"))&amp;" "&amp;Milestones!$AB$51&amp;" "&amp;Milestones!$AC$51&amp;";  ","")&amp;IF(AND(EDATE($D22,Milestones!$AA$52)&lt;=AsOfDate,IF($R22=0,$X22,IF(AND($T22&lt;&gt;"",EDATE($D22,Milestones!$AA$52)&gt;=$T22),$W22,IF(AND($S22&lt;&gt;"",EDATE($D22,Milestones!$AA$52)&gt;=$S22),$V22,$U22)))=Milestones!$AB$52),UPPER(TEXT(EDATE($D22,Milestones!$AA$52),"dd mmm yy"))&amp;" "&amp;Milestones!$AB$52&amp;" "&amp;Milestones!$AC$52&amp;";  ","")&amp;IF(AND(EDATE($D22,Milestones!$AA$53)&lt;=AsOfDate,IF($R22=0,$X22,IF(AND($T22&lt;&gt;"",EDATE($D22,Milestones!$AA$53)&gt;=$T22),$W22,IF(AND($S22&lt;&gt;"",EDATE($D22,Milestones!$AA$53)&gt;=$S22),$V22,$U22)))=Milestones!$AB$53),UPPER(TEXT(EDATE($D22,Milestones!$AA$53),"dd mmm yy"))&amp;" "&amp;Milestones!$AB$53&amp;" "&amp;Milestones!$AC$53&amp;";  ","")&amp;IF(AND(EDATE($D22,Milestones!$AA$54)&lt;=AsOfDate,IF($R22=0,$X22,IF(AND($T22&lt;&gt;"",EDATE($D22,Milestones!$AA$54)&gt;=$T22),$W22,IF(AND($S22&lt;&gt;"",EDATE($D22,Milestones!$AA$54)&gt;=$S22),$V22,$U22)))=Milestones!$AB$54),UPPER(TEXT(EDATE($D22,Milestones!$AA$54),"dd mmm yy"))&amp;" "&amp;Milestones!$AB$54&amp;" "&amp;Milestones!$AC$54&amp;";  ","")&amp;IF(AND(EDATE($D22,Milestones!$AA$55)&lt;=AsOfDate,IF($R22=0,$X22,IF(AND($T22&lt;&gt;"",EDATE($D22,Milestones!$AA$55)&gt;=$T22),$W22,IF(AND($S22&lt;&gt;"",EDATE($D22,Milestones!$AA$55)&gt;=$S22),$V22,$U22)))=Milestones!$AB$55),UPPER(TEXT(EDATE($D22,Milestones!$AA$55),"dd mmm yy"))&amp;" "&amp;Milestones!$AB$55&amp;" "&amp;Milestones!$AC$55&amp;";  ","")&amp;IF(AND(EDATE($D22,Milestones!$AA$56)&lt;=AsOfDate,IF($R22=0,$X22,IF(AND($T22&lt;&gt;"",EDATE($D22,Milestones!$AA$56)&gt;=$T22),$W22,IF(AND($S22&lt;&gt;"",EDATE($D22,Milestones!$AA$56)&gt;=$S22),$V22,$U22)))=Milestones!$AB$56),UPPER(TEXT(EDATE($D22,Milestones!$AA$56),"dd mmm yy"))&amp;" "&amp;Milestones!$AB$56&amp;" "&amp;Milestones!$AC$56&amp;";  ","")&amp;IF(AND(EDATE($D22,Milestones!$AA$57)&lt;=AsOfDate,IF($R22=0,$X22,IF(AND($T22&lt;&gt;"",EDATE($D22,Milestones!$AA$57)&gt;=$T22),$W22,IF(AND($S22&lt;&gt;"",EDATE($D22,Milestones!$AA$57)&gt;=$S22),$V22,$U22)))=Milestones!$AB$57),UPPER(TEXT(EDATE($D22,Milestones!$AA$57),"dd mmm yy"))&amp;" "&amp;Milestones!$AB$57&amp;" "&amp;Milestones!$AC$57&amp;";  ","")&amp;IF(AND(EDATE($D22,Milestones!$AA$58)&lt;=AsOfDate,IF($R22=0,$X22,IF(AND($T22&lt;&gt;"",EDATE($D22,Milestones!$AA$58)&gt;=$T22),$W22,IF(AND($S22&lt;&gt;"",EDATE($D22,Milestones!$AA$58)&gt;=$S22),$V22,$U22)))=Milestones!$AB$58),UPPER(TEXT(EDATE($D22,Milestones!$AA$58),"dd mmm yy"))&amp;" "&amp;Milestones!$AB$58&amp;" "&amp;Milestones!$AC$58&amp;";  ","")&amp;IF(AND(EDATE($D22,Milestones!$AA$59)&lt;=AsOfDate,IF($R22=0,$X22,IF(AND($T22&lt;&gt;"",EDATE($D22,Milestones!$AA$59)&gt;=$T22),$W22,IF(AND($S22&lt;&gt;"",EDATE($D22,Milestones!$AA$59)&gt;=$S22),$V22,$U22)))=Milestones!$AB$59),UPPER(TEXT(EDATE($D22,Milestones!$AA$59),"dd mmm yy"))&amp;" "&amp;Milestones!$AB$59&amp;" "&amp;Milestones!$AC$59&amp;";  ",""))</f>
        <v/>
      </c>
      <c r="K22" s="0" t="str">
        <f aca="false">IF(OR($A22="",$D22=""),"",IF(AND(EDATE($D22,Milestones!$AA$60)&lt;=AsOfDate,IF($R22=0,$X22,IF(AND($T22&lt;&gt;"",EDATE($D22,Milestones!$AA$60)&gt;=$T22),$W22,IF(AND($S22&lt;&gt;"",EDATE($D22,Milestones!$AA$60)&gt;=$S22),$V22,$U22)))=Milestones!$AB$60),UPPER(TEXT(EDATE($D22,Milestones!$AA$60),"dd mmm yy"))&amp;" "&amp;Milestones!$AB$60&amp;" "&amp;Milestones!$AC$60&amp;";  ","")&amp;IF(AND(EDATE($D22,Milestones!$AA$61)&lt;=AsOfDate,IF($R22=0,$X22,IF(AND($T22&lt;&gt;"",EDATE($D22,Milestones!$AA$61)&gt;=$T22),$W22,IF(AND($S22&lt;&gt;"",EDATE($D22,Milestones!$AA$61)&gt;=$S22),$V22,$U22)))=Milestones!$AB$61),UPPER(TEXT(EDATE($D22,Milestones!$AA$61),"dd mmm yy"))&amp;" "&amp;Milestones!$AB$61&amp;" "&amp;Milestones!$AC$61&amp;";  ","")&amp;IF(AND(EDATE($D22,Milestones!$AA$62)&lt;=AsOfDate,IF($R22=0,$X22,IF(AND($T22&lt;&gt;"",EDATE($D22,Milestones!$AA$62)&gt;=$T22),$W22,IF(AND($S22&lt;&gt;"",EDATE($D22,Milestones!$AA$62)&gt;=$S22),$V22,$U22)))=Milestones!$AB$62),UPPER(TEXT(EDATE($D22,Milestones!$AA$62),"dd mmm yy"))&amp;" "&amp;Milestones!$AB$62&amp;" "&amp;Milestones!$AC$62&amp;";  ","")&amp;IF(AND(EDATE($D22,Milestones!$AA$63)&lt;=AsOfDate,IF($R22=0,$X22,IF(AND($T22&lt;&gt;"",EDATE($D22,Milestones!$AA$63)&gt;=$T22),$W22,IF(AND($S22&lt;&gt;"",EDATE($D22,Milestones!$AA$63)&gt;=$S22),$V22,$U22)))=Milestones!$AB$63),UPPER(TEXT(EDATE($D22,Milestones!$AA$63),"dd mmm yy"))&amp;" "&amp;Milestones!$AB$63&amp;" "&amp;Milestones!$AC$63&amp;";  ","")&amp;IF(AND(EDATE($D22,Milestones!$AA$64)&lt;=AsOfDate,IF($R22=0,$X22,IF(AND($T22&lt;&gt;"",EDATE($D22,Milestones!$AA$64)&gt;=$T22),$W22,IF(AND($S22&lt;&gt;"",EDATE($D22,Milestones!$AA$64)&gt;=$S22),$V22,$U22)))=Milestones!$AB$64),UPPER(TEXT(EDATE($D22,Milestones!$AA$64),"dd mmm yy"))&amp;" "&amp;Milestones!$AB$64&amp;" "&amp;Milestones!$AC$64&amp;";  ","")&amp;IF(AND(EDATE($D22,Milestones!$AA$65)&lt;=AsOfDate,IF($R22=0,$X22,IF(AND($T22&lt;&gt;"",EDATE($D22,Milestones!$AA$65)&gt;=$T22),$W22,IF(AND($S22&lt;&gt;"",EDATE($D22,Milestones!$AA$65)&gt;=$S22),$V22,$U22)))=Milestones!$AB$65),UPPER(TEXT(EDATE($D22,Milestones!$AA$65),"dd mmm yy"))&amp;" "&amp;Milestones!$AB$65&amp;" "&amp;Milestones!$AC$65&amp;";  ","")&amp;IF(AND(EDATE($D22,Milestones!$AA$66)&lt;=AsOfDate,IF($R22=0,$X22,IF(AND($T22&lt;&gt;"",EDATE($D22,Milestones!$AA$66)&gt;=$T22),$W22,IF(AND($S22&lt;&gt;"",EDATE($D22,Milestones!$AA$66)&gt;=$S22),$V22,$U22)))=Milestones!$AB$66),UPPER(TEXT(EDATE($D22,Milestones!$AA$66),"dd mmm yy"))&amp;" "&amp;Milestones!$AB$66&amp;" "&amp;Milestones!$AC$66&amp;";  ","")&amp;IF(AND(EDATE($D22,Milestones!$AA$67)&lt;=AsOfDate,IF($R22=0,$X22,IF(AND($T22&lt;&gt;"",EDATE($D22,Milestones!$AA$67)&gt;=$T22),$W22,IF(AND($S22&lt;&gt;"",EDATE($D22,Milestones!$AA$67)&gt;=$S22),$V22,$U22)))=Milestones!$AB$67),UPPER(TEXT(EDATE($D22,Milestones!$AA$67),"dd mmm yy"))&amp;" "&amp;Milestones!$AB$67&amp;" "&amp;Milestones!$AC$67&amp;";  ","")&amp;IF(AND(EDATE($D22,Milestones!$AA$68)&lt;=AsOfDate,IF($R22=0,$X22,IF(AND($T22&lt;&gt;"",EDATE($D22,Milestones!$AA$68)&gt;=$T22),$W22,IF(AND($S22&lt;&gt;"",EDATE($D22,Milestones!$AA$68)&gt;=$S22),$V22,$U22)))=Milestones!$AB$68),UPPER(TEXT(EDATE($D22,Milestones!$AA$68),"dd mmm yy"))&amp;" "&amp;Milestones!$AB$68&amp;" "&amp;Milestones!$AC$68&amp;";  ","")&amp;IF(AND(EDATE($D22,Milestones!$AA$69)&lt;=AsOfDate,IF($R22=0,$X22,IF(AND($T22&lt;&gt;"",EDATE($D22,Milestones!$AA$69)&gt;=$T22),$W22,IF(AND($S22&lt;&gt;"",EDATE($D22,Milestones!$AA$69)&gt;=$S22),$V22,$U22)))=Milestones!$AB$69),UPPER(TEXT(EDATE($D22,Milestones!$AA$69),"dd mmm yy"))&amp;" "&amp;Milestones!$AB$69&amp;" "&amp;Milestones!$AC$69&amp;";  ","")&amp;IF(AND(EDATE($D22,Milestones!$AA$70)&lt;=AsOfDate,IF($R22=0,$X22,IF(AND($T22&lt;&gt;"",EDATE($D22,Milestones!$AA$70)&gt;=$T22),$W22,IF(AND($S22&lt;&gt;"",EDATE($D22,Milestones!$AA$70)&gt;=$S22),$V22,$U22)))=Milestones!$AB$70),UPPER(TEXT(EDATE($D22,Milestones!$AA$70),"dd mmm yy"))&amp;" "&amp;Milestones!$AB$70&amp;" "&amp;Milestones!$AC$70&amp;";  ","")&amp;IF(AND(EDATE($D22,Milestones!$AA$71)&lt;=AsOfDate,IF($R22=0,$X22,IF(AND($T22&lt;&gt;"",EDATE($D22,Milestones!$AA$71)&gt;=$T22),$W22,IF(AND($S22&lt;&gt;"",EDATE($D22,Milestones!$AA$71)&gt;=$S22),$V22,$U22)))=Milestones!$AB$71),UPPER(TEXT(EDATE($D22,Milestones!$AA$71),"dd mmm yy"))&amp;" "&amp;Milestones!$AB$71&amp;" "&amp;Milestones!$AC$71&amp;";  ","")&amp;IF(AND(EDATE($D22,Milestones!$AA$72)&lt;=AsOfDate,IF($R22=0,$X22,IF(AND($T22&lt;&gt;"",EDATE($D22,Milestones!$AA$72)&gt;=$T22),$W22,IF(AND($S22&lt;&gt;"",EDATE($D22,Milestones!$AA$72)&gt;=$S22),$V22,$U22)))=Milestones!$AB$72),UPPER(TEXT(EDATE($D22,Milestones!$AA$72),"dd mmm yy"))&amp;" "&amp;Milestones!$AB$72&amp;" "&amp;Milestones!$AC$72&amp;";  ","")&amp;IF(AND(EDATE($D22,Milestones!$AA$73)&lt;=AsOfDate,IF($R22=0,$X22,IF(AND($T22&lt;&gt;"",EDATE($D22,Milestones!$AA$73)&gt;=$T22),$W22,IF(AND($S22&lt;&gt;"",EDATE($D22,Milestones!$AA$73)&gt;=$S22),$V22,$U22)))=Milestones!$AB$73),UPPER(TEXT(EDATE($D22,Milestones!$AA$73),"dd mmm yy"))&amp;" "&amp;Milestones!$AB$73&amp;" "&amp;Milestones!$AC$73&amp;";  ","")&amp;IF(AND(EDATE($D22,Milestones!$AA$74)&lt;=AsOfDate,IF($R22=0,$X22,IF(AND($T22&lt;&gt;"",EDATE($D22,Milestones!$AA$74)&gt;=$T22),$W22,IF(AND($S22&lt;&gt;"",EDATE($D22,Milestones!$AA$74)&gt;=$S22),$V22,$U22)))=Milestones!$AB$74),UPPER(TEXT(EDATE($D22,Milestones!$AA$74),"dd mmm yy"))&amp;" "&amp;Milestones!$AB$74&amp;" "&amp;Milestones!$AC$74&amp;";  ","")&amp;IF(AND(EDATE($D22,Milestones!$AA$75)&lt;=AsOfDate,IF($R22=0,$X22,IF(AND($T22&lt;&gt;"",EDATE($D22,Milestones!$AA$75)&gt;=$T22),$W22,IF(AND($S22&lt;&gt;"",EDATE($D22,Milestones!$AA$75)&gt;=$S22),$V22,$U22)))=Milestones!$AB$75),UPPER(TEXT(EDATE($D22,Milestones!$AA$75),"dd mmm yy"))&amp;" "&amp;Milestones!$AB$75&amp;" "&amp;Milestones!$AC$75&amp;";  ","")&amp;IF(AND(EDATE($D22,Milestones!$AA$76)&lt;=AsOfDate,IF($R22=0,$X22,IF(AND($T22&lt;&gt;"",EDATE($D22,Milestones!$AA$76)&gt;=$T22),$W22,IF(AND($S22&lt;&gt;"",EDATE($D22,Milestones!$AA$76)&gt;=$S22),$V22,$U22)))=Milestones!$AB$76),UPPER(TEXT(EDATE($D22,Milestones!$AA$76),"dd mmm yy"))&amp;" "&amp;Milestones!$AB$76&amp;" "&amp;Milestones!$AC$76&amp;";  ","")&amp;IF(AND(EDATE($D22,Milestones!$AA$77)&lt;=AsOfDate,IF($R22=0,$X22,IF(AND($T22&lt;&gt;"",EDATE($D22,Milestones!$AA$77)&gt;=$T22),$W22,IF(AND($S22&lt;&gt;"",EDATE($D22,Milestones!$AA$77)&gt;=$S22),$V22,$U22)))=Milestones!$AB$77),UPPER(TEXT(EDATE($D22,Milestones!$AA$77),"dd mmm yy"))&amp;" "&amp;Milestones!$AB$77&amp;" "&amp;Milestones!$AC$77&amp;";  ","")&amp;IF(AND(EDATE($D22,Milestones!$AA$78)&lt;=AsOfDate,IF($R22=0,$X22,IF(AND($T22&lt;&gt;"",EDATE($D22,Milestones!$AA$78)&gt;=$T22),$W22,IF(AND($S22&lt;&gt;"",EDATE($D22,Milestones!$AA$78)&gt;=$S22),$V22,$U22)))=Milestones!$AB$78),UPPER(TEXT(EDATE($D22,Milestones!$AA$78),"dd mmm yy"))&amp;" "&amp;Milestones!$AB$78&amp;" "&amp;Milestones!$AC$78&amp;";  ","")&amp;IF(AND(EDATE($D22,Milestones!$AA$79)&lt;=AsOfDate,IF($R22=0,$X22,IF(AND($T22&lt;&gt;"",EDATE($D22,Milestones!$AA$79)&gt;=$T22),$W22,IF(AND($S22&lt;&gt;"",EDATE($D22,Milestones!$AA$79)&gt;=$S22),$V22,$U22)))=Milestones!$AB$79),UPPER(TEXT(EDATE($D22,Milestones!$AA$79),"dd mmm yy"))&amp;" "&amp;Milestones!$AB$79&amp;" "&amp;Milestones!$AC$79&amp;";  ",""))</f>
        <v/>
      </c>
      <c r="L22" s="0" t="str">
        <f aca="false">IF(OR($A22="",$D22=""),"",IF(AND(EDATE($D22,Milestones!$AA$80)&lt;=AsOfDate,IF($R22=0,$X22,IF(AND($T22&lt;&gt;"",EDATE($D22,Milestones!$AA$80)&gt;=$T22),$W22,IF(AND($S22&lt;&gt;"",EDATE($D22,Milestones!$AA$80)&gt;=$S22),$V22,$U22)))=Milestones!$AB$80),UPPER(TEXT(EDATE($D22,Milestones!$AA$80),"dd mmm yy"))&amp;" "&amp;Milestones!$AB$80&amp;" "&amp;Milestones!$AC$80&amp;";  ","")&amp;IF(AND(EDATE($D22,Milestones!$AA$81)&lt;=AsOfDate,IF($R22=0,$X22,IF(AND($T22&lt;&gt;"",EDATE($D22,Milestones!$AA$81)&gt;=$T22),$W22,IF(AND($S22&lt;&gt;"",EDATE($D22,Milestones!$AA$81)&gt;=$S22),$V22,$U22)))=Milestones!$AB$81),UPPER(TEXT(EDATE($D22,Milestones!$AA$81),"dd mmm yy"))&amp;" "&amp;Milestones!$AB$81&amp;" "&amp;Milestones!$AC$81&amp;";  ","")&amp;IF(AND(EDATE($D22,Milestones!$AA$82)&lt;=AsOfDate,IF($R22=0,$X22,IF(AND($T22&lt;&gt;"",EDATE($D22,Milestones!$AA$82)&gt;=$T22),$W22,IF(AND($S22&lt;&gt;"",EDATE($D22,Milestones!$AA$82)&gt;=$S22),$V22,$U22)))=Milestones!$AB$82),UPPER(TEXT(EDATE($D22,Milestones!$AA$82),"dd mmm yy"))&amp;" "&amp;Milestones!$AB$82&amp;" "&amp;Milestones!$AC$82&amp;";  ","")&amp;IF(AND(EDATE($D22,Milestones!$AA$83)&lt;=AsOfDate,IF($R22=0,$X22,IF(AND($T22&lt;&gt;"",EDATE($D22,Milestones!$AA$83)&gt;=$T22),$W22,IF(AND($S22&lt;&gt;"",EDATE($D22,Milestones!$AA$83)&gt;=$S22),$V22,$U22)))=Milestones!$AB$83),UPPER(TEXT(EDATE($D22,Milestones!$AA$83),"dd mmm yy"))&amp;" "&amp;Milestones!$AB$83&amp;" "&amp;Milestones!$AC$83&amp;";  ","")&amp;IF(AND(EDATE($D22,Milestones!$AA$84)&lt;=AsOfDate,IF($R22=0,$X22,IF(AND($T22&lt;&gt;"",EDATE($D22,Milestones!$AA$84)&gt;=$T22),$W22,IF(AND($S22&lt;&gt;"",EDATE($D22,Milestones!$AA$84)&gt;=$S22),$V22,$U22)))=Milestones!$AB$84),UPPER(TEXT(EDATE($D22,Milestones!$AA$84),"dd mmm yy"))&amp;" "&amp;Milestones!$AB$84&amp;" "&amp;Milestones!$AC$84&amp;";  ","")&amp;IF(AND(EDATE($D22,Milestones!$AA$85)&lt;=AsOfDate,IF($R22=0,$X22,IF(AND($T22&lt;&gt;"",EDATE($D22,Milestones!$AA$85)&gt;=$T22),$W22,IF(AND($S22&lt;&gt;"",EDATE($D22,Milestones!$AA$85)&gt;=$S22),$V22,$U22)))=Milestones!$AB$85),UPPER(TEXT(EDATE($D22,Milestones!$AA$85),"dd mmm yy"))&amp;" "&amp;Milestones!$AB$85&amp;" "&amp;Milestones!$AC$85&amp;";  ","")&amp;IF(AND(EDATE($D22,Milestones!$AA$86)&lt;=AsOfDate,IF($R22=0,$X22,IF(AND($T22&lt;&gt;"",EDATE($D22,Milestones!$AA$86)&gt;=$T22),$W22,IF(AND($S22&lt;&gt;"",EDATE($D22,Milestones!$AA$86)&gt;=$S22),$V22,$U22)))=Milestones!$AB$86),UPPER(TEXT(EDATE($D22,Milestones!$AA$86),"dd mmm yy"))&amp;" "&amp;Milestones!$AB$86&amp;" "&amp;Milestones!$AC$86&amp;";  ","")&amp;IF(AND(EDATE($D22,Milestones!$AA$87)&lt;=AsOfDate,IF($R22=0,$X22,IF(AND($T22&lt;&gt;"",EDATE($D22,Milestones!$AA$87)&gt;=$T22),$W22,IF(AND($S22&lt;&gt;"",EDATE($D22,Milestones!$AA$87)&gt;=$S22),$V22,$U22)))=Milestones!$AB$87),UPPER(TEXT(EDATE($D22,Milestones!$AA$87),"dd mmm yy"))&amp;" "&amp;Milestones!$AB$87&amp;" "&amp;Milestones!$AC$87&amp;";  ","")&amp;IF(AND(EDATE($D22,Milestones!$AA$88)&lt;=AsOfDate,IF($R22=0,$X22,IF(AND($T22&lt;&gt;"",EDATE($D22,Milestones!$AA$88)&gt;=$T22),$W22,IF(AND($S22&lt;&gt;"",EDATE($D22,Milestones!$AA$88)&gt;=$S22),$V22,$U22)))=Milestones!$AB$88),UPPER(TEXT(EDATE($D22,Milestones!$AA$88),"dd mmm yy"))&amp;" "&amp;Milestones!$AB$88&amp;" "&amp;Milestones!$AC$88&amp;";  ","")&amp;IF(AND(EDATE($D22,Milestones!$AA$89)&lt;=AsOfDate,IF($R22=0,$X22,IF(AND($T22&lt;&gt;"",EDATE($D22,Milestones!$AA$89)&gt;=$T22),$W22,IF(AND($S22&lt;&gt;"",EDATE($D22,Milestones!$AA$89)&gt;=$S22),$V22,$U22)))=Milestones!$AB$89),UPPER(TEXT(EDATE($D22,Milestones!$AA$89),"dd mmm yy"))&amp;" "&amp;Milestones!$AB$89&amp;" "&amp;Milestones!$AC$89&amp;";  ","")&amp;IF(AND(EDATE($D22,Milestones!$AA$90)&lt;=AsOfDate,IF($R22=0,$X22,IF(AND($T22&lt;&gt;"",EDATE($D22,Milestones!$AA$90)&gt;=$T22),$W22,IF(AND($S22&lt;&gt;"",EDATE($D22,Milestones!$AA$90)&gt;=$S22),$V22,$U22)))=Milestones!$AB$90),UPPER(TEXT(EDATE($D22,Milestones!$AA$90),"dd mmm yy"))&amp;" "&amp;Milestones!$AB$90&amp;" "&amp;Milestones!$AC$90&amp;";  ","")&amp;IF(AND(EDATE($D22,Milestones!$AA$91)&lt;=AsOfDate,IF($R22=0,$X22,IF(AND($T22&lt;&gt;"",EDATE($D22,Milestones!$AA$91)&gt;=$T22),$W22,IF(AND($S22&lt;&gt;"",EDATE($D22,Milestones!$AA$91)&gt;=$S22),$V22,$U22)))=Milestones!$AB$91),UPPER(TEXT(EDATE($D22,Milestones!$AA$91),"dd mmm yy"))&amp;" "&amp;Milestones!$AB$91&amp;" "&amp;Milestones!$AC$91&amp;";  ","")&amp;IF(AND(EDATE($D22,Milestones!$AA$92)&lt;=AsOfDate,IF($R22=0,$X22,IF(AND($T22&lt;&gt;"",EDATE($D22,Milestones!$AA$92)&gt;=$T22),$W22,IF(AND($S22&lt;&gt;"",EDATE($D22,Milestones!$AA$92)&gt;=$S22),$V22,$U22)))=Milestones!$AB$92),UPPER(TEXT(EDATE($D22,Milestones!$AA$92),"dd mmm yy"))&amp;" "&amp;Milestones!$AB$92&amp;" "&amp;Milestones!$AC$92&amp;";  ","")&amp;IF(AND(EDATE($D22,Milestones!$AA$93)&lt;=AsOfDate,IF($R22=0,$X22,IF(AND($T22&lt;&gt;"",EDATE($D22,Milestones!$AA$93)&gt;=$T22),$W22,IF(AND($S22&lt;&gt;"",EDATE($D22,Milestones!$AA$93)&gt;=$S22),$V22,$U22)))=Milestones!$AB$93),UPPER(TEXT(EDATE($D22,Milestones!$AA$93),"dd mmm yy"))&amp;" "&amp;Milestones!$AB$93&amp;" "&amp;Milestones!$AC$93&amp;";  ","")&amp;IF(AND(EDATE($D22,Milestones!$AA$94)&lt;=AsOfDate,IF($R22=0,$X22,IF(AND($T22&lt;&gt;"",EDATE($D22,Milestones!$AA$94)&gt;=$T22),$W22,IF(AND($S22&lt;&gt;"",EDATE($D22,Milestones!$AA$94)&gt;=$S22),$V22,$U22)))=Milestones!$AB$94),UPPER(TEXT(EDATE($D22,Milestones!$AA$94),"dd mmm yy"))&amp;" "&amp;Milestones!$AB$94&amp;" "&amp;Milestones!$AC$94&amp;";  ","")&amp;IF(AND(EDATE($D22,Milestones!$AA$95)&lt;=AsOfDate,IF($R22=0,$X22,IF(AND($T22&lt;&gt;"",EDATE($D22,Milestones!$AA$95)&gt;=$T22),$W22,IF(AND($S22&lt;&gt;"",EDATE($D22,Milestones!$AA$95)&gt;=$S22),$V22,$U22)))=Milestones!$AB$95),UPPER(TEXT(EDATE($D22,Milestones!$AA$95),"dd mmm yy"))&amp;" "&amp;Milestones!$AB$95&amp;" "&amp;Milestones!$AC$95&amp;";  ","")&amp;IF(AND(EDATE($D22,Milestones!$AA$96)&lt;=AsOfDate,IF($R22=0,$X22,IF(AND($T22&lt;&gt;"",EDATE($D22,Milestones!$AA$96)&gt;=$T22),$W22,IF(AND($S22&lt;&gt;"",EDATE($D22,Milestones!$AA$96)&gt;=$S22),$V22,$U22)))=Milestones!$AB$96),UPPER(TEXT(EDATE($D22,Milestones!$AA$96),"dd mmm yy"))&amp;" "&amp;Milestones!$AB$96&amp;" "&amp;Milestones!$AC$96&amp;";  ","")&amp;IF(AND(EDATE($D22,Milestones!$AA$97)&lt;=AsOfDate,IF($R22=0,$X22,IF(AND($T22&lt;&gt;"",EDATE($D22,Milestones!$AA$97)&gt;=$T22),$W22,IF(AND($S22&lt;&gt;"",EDATE($D22,Milestones!$AA$97)&gt;=$S22),$V22,$U22)))=Milestones!$AB$97),UPPER(TEXT(EDATE($D22,Milestones!$AA$97),"dd mmm yy"))&amp;" "&amp;Milestones!$AB$97&amp;" "&amp;Milestones!$AC$97&amp;";  ","")&amp;IF(AND(EDATE($D22,Milestones!$AA$98)&lt;=AsOfDate,IF($R22=0,$X22,IF(AND($T22&lt;&gt;"",EDATE($D22,Milestones!$AA$98)&gt;=$T22),$W22,IF(AND($S22&lt;&gt;"",EDATE($D22,Milestones!$AA$98)&gt;=$S22),$V22,$U22)))=Milestones!$AB$98),UPPER(TEXT(EDATE($D22,Milestones!$AA$98),"dd mmm yy"))&amp;" "&amp;Milestones!$AB$98&amp;" "&amp;Milestones!$AC$98&amp;";  ","")&amp;IF(AND(EDATE($D22,Milestones!$AA$99)&lt;=AsOfDate,IF($R22=0,$X22,IF(AND($T22&lt;&gt;"",EDATE($D22,Milestones!$AA$99)&gt;=$T22),$W22,IF(AND($S22&lt;&gt;"",EDATE($D22,Milestones!$AA$99)&gt;=$S22),$V22,$U22)))=Milestones!$AB$99),UPPER(TEXT(EDATE($D22,Milestones!$AA$99),"dd mmm yy"))&amp;" "&amp;Milestones!$AB$99&amp;" "&amp;Milestones!$AC$99&amp;";  ",""))</f>
        <v/>
      </c>
      <c r="M22" s="0" t="str">
        <f aca="false">IF(OR($A22="",$D22=""),"",IF(AND(EDATE($D22,Milestones!$AA$100)&lt;=AsOfDate,IF($R22=0,$X22,IF(AND($T22&lt;&gt;"",EDATE($D22,Milestones!$AA$100)&gt;=$T22),$W22,IF(AND($S22&lt;&gt;"",EDATE($D22,Milestones!$AA$100)&gt;=$S22),$V22,$U22)))=Milestones!$AB$100),UPPER(TEXT(EDATE($D22,Milestones!$AA$100),"dd mmm yy"))&amp;" "&amp;Milestones!$AB$100&amp;" "&amp;Milestones!$AC$100&amp;";  ","")&amp;IF(AND(EDATE($D22,Milestones!$AA$101)&lt;=AsOfDate,IF($R22=0,$X22,IF(AND($T22&lt;&gt;"",EDATE($D22,Milestones!$AA$101)&gt;=$T22),$W22,IF(AND($S22&lt;&gt;"",EDATE($D22,Milestones!$AA$101)&gt;=$S22),$V22,$U22)))=Milestones!$AB$101),UPPER(TEXT(EDATE($D22,Milestones!$AA$101),"dd mmm yy"))&amp;" "&amp;Milestones!$AB$101&amp;" "&amp;Milestones!$AC$101&amp;";  ","")&amp;IF(AND(EDATE($D22,Milestones!$AA$102)&lt;=AsOfDate,IF($R22=0,$X22,IF(AND($T22&lt;&gt;"",EDATE($D22,Milestones!$AA$102)&gt;=$T22),$W22,IF(AND($S22&lt;&gt;"",EDATE($D22,Milestones!$AA$102)&gt;=$S22),$V22,$U22)))=Milestones!$AB$102),UPPER(TEXT(EDATE($D22,Milestones!$AA$102),"dd mmm yy"))&amp;" "&amp;Milestones!$AB$102&amp;" "&amp;Milestones!$AC$102&amp;";  ","")&amp;IF(AND(EDATE($D22,Milestones!$AA$103)&lt;=AsOfDate,IF($R22=0,$X22,IF(AND($T22&lt;&gt;"",EDATE($D22,Milestones!$AA$103)&gt;=$T22),$W22,IF(AND($S22&lt;&gt;"",EDATE($D22,Milestones!$AA$103)&gt;=$S22),$V22,$U22)))=Milestones!$AB$103),UPPER(TEXT(EDATE($D22,Milestones!$AA$103),"dd mmm yy"))&amp;" "&amp;Milestones!$AB$103&amp;" "&amp;Milestones!$AC$103&amp;";  ","")&amp;IF(AND(EDATE($D22,Milestones!$AA$104)&lt;=AsOfDate,IF($R22=0,$X22,IF(AND($T22&lt;&gt;"",EDATE($D22,Milestones!$AA$104)&gt;=$T22),$W22,IF(AND($S22&lt;&gt;"",EDATE($D22,Milestones!$AA$104)&gt;=$S22),$V22,$U22)))=Milestones!$AB$104),UPPER(TEXT(EDATE($D22,Milestones!$AA$104),"dd mmm yy"))&amp;" "&amp;Milestones!$AB$104&amp;" "&amp;Milestones!$AC$104&amp;";  ","")&amp;IF(AND(EDATE($D22,Milestones!$AA$105)&lt;=AsOfDate,IF($R22=0,$X22,IF(AND($T22&lt;&gt;"",EDATE($D22,Milestones!$AA$105)&gt;=$T22),$W22,IF(AND($S22&lt;&gt;"",EDATE($D22,Milestones!$AA$105)&gt;=$S22),$V22,$U22)))=Milestones!$AB$105),UPPER(TEXT(EDATE($D22,Milestones!$AA$105),"dd mmm yy"))&amp;" "&amp;Milestones!$AB$105&amp;" "&amp;Milestones!$AC$105&amp;";  ","")&amp;IF(AND(EDATE($D22,Milestones!$AA$106)&lt;=AsOfDate,IF($R22=0,$X22,IF(AND($T22&lt;&gt;"",EDATE($D22,Milestones!$AA$106)&gt;=$T22),$W22,IF(AND($S22&lt;&gt;"",EDATE($D22,Milestones!$AA$106)&gt;=$S22),$V22,$U22)))=Milestones!$AB$106),UPPER(TEXT(EDATE($D22,Milestones!$AA$106),"dd mmm yy"))&amp;" "&amp;Milestones!$AB$106&amp;" "&amp;Milestones!$AC$106&amp;";  ","")&amp;IF(AND(EDATE($D22,Milestones!$AA$107)&lt;=AsOfDate,IF($R22=0,$X22,IF(AND($T22&lt;&gt;"",EDATE($D22,Milestones!$AA$107)&gt;=$T22),$W22,IF(AND($S22&lt;&gt;"",EDATE($D22,Milestones!$AA$107)&gt;=$S22),$V22,$U22)))=Milestones!$AB$107),UPPER(TEXT(EDATE($D22,Milestones!$AA$107),"dd mmm yy"))&amp;" "&amp;Milestones!$AB$107&amp;" "&amp;Milestones!$AC$107&amp;";  ","")&amp;IF(AND(EDATE($D22,Milestones!$AA$108)&lt;=AsOfDate,IF($R22=0,$X22,IF(AND($T22&lt;&gt;"",EDATE($D22,Milestones!$AA$108)&gt;=$T22),$W22,IF(AND($S22&lt;&gt;"",EDATE($D22,Milestones!$AA$108)&gt;=$S22),$V22,$U22)))=Milestones!$AB$108),UPPER(TEXT(EDATE($D22,Milestones!$AA$108),"dd mmm yy"))&amp;" "&amp;Milestones!$AB$108&amp;" "&amp;Milestones!$AC$108&amp;";  ","")&amp;IF(AND(EDATE($D22,Milestones!$AA$109)&lt;=AsOfDate,IF($R22=0,$X22,IF(AND($T22&lt;&gt;"",EDATE($D22,Milestones!$AA$109)&gt;=$T22),$W22,IF(AND($S22&lt;&gt;"",EDATE($D22,Milestones!$AA$109)&gt;=$S22),$V22,$U22)))=Milestones!$AB$109),UPPER(TEXT(EDATE($D22,Milestones!$AA$109),"dd mmm yy"))&amp;" "&amp;Milestones!$AB$109&amp;" "&amp;Milestones!$AC$109&amp;";  ","")&amp;IF(AND(EDATE($D22,Milestones!$AA$110)&lt;=AsOfDate,IF($R22=0,$X22,IF(AND($T22&lt;&gt;"",EDATE($D22,Milestones!$AA$110)&gt;=$T22),$W22,IF(AND($S22&lt;&gt;"",EDATE($D22,Milestones!$AA$110)&gt;=$S22),$V22,$U22)))=Milestones!$AB$110),UPPER(TEXT(EDATE($D22,Milestones!$AA$110),"dd mmm yy"))&amp;" "&amp;Milestones!$AB$110&amp;" "&amp;Milestones!$AC$110&amp;";  ","")&amp;IF(AND(EDATE($D22,Milestones!$AA$111)&lt;=AsOfDate,IF($R22=0,$X22,IF(AND($T22&lt;&gt;"",EDATE($D22,Milestones!$AA$111)&gt;=$T22),$W22,IF(AND($S22&lt;&gt;"",EDATE($D22,Milestones!$AA$111)&gt;=$S22),$V22,$U22)))=Milestones!$AB$111),UPPER(TEXT(EDATE($D22,Milestones!$AA$111),"dd mmm yy"))&amp;" "&amp;Milestones!$AB$111&amp;" "&amp;Milestones!$AC$111&amp;";  ","")&amp;IF(AND(EDATE($D22,Milestones!$AA$112)&lt;=AsOfDate,IF($R22=0,$X22,IF(AND($T22&lt;&gt;"",EDATE($D22,Milestones!$AA$112)&gt;=$T22),$W22,IF(AND($S22&lt;&gt;"",EDATE($D22,Milestones!$AA$112)&gt;=$S22),$V22,$U22)))=Milestones!$AB$112),UPPER(TEXT(EDATE($D22,Milestones!$AA$112),"dd mmm yy"))&amp;" "&amp;Milestones!$AB$112&amp;" "&amp;Milestones!$AC$112&amp;";  ","")&amp;IF(AND(EDATE($D22,Milestones!$AA$113)&lt;=AsOfDate,IF($R22=0,$X22,IF(AND($T22&lt;&gt;"",EDATE($D22,Milestones!$AA$113)&gt;=$T22),$W22,IF(AND($S22&lt;&gt;"",EDATE($D22,Milestones!$AA$113)&gt;=$S22),$V22,$U22)))=Milestones!$AB$113),UPPER(TEXT(EDATE($D22,Milestones!$AA$113),"dd mmm yy"))&amp;" "&amp;Milestones!$AB$113&amp;" "&amp;Milestones!$AC$113&amp;";  ","")&amp;IF(AND(EDATE($D22,Milestones!$AA$114)&lt;=AsOfDate,IF($R22=0,$X22,IF(AND($T22&lt;&gt;"",EDATE($D22,Milestones!$AA$114)&gt;=$T22),$W22,IF(AND($S22&lt;&gt;"",EDATE($D22,Milestones!$AA$114)&gt;=$S22),$V22,$U22)))=Milestones!$AB$114),UPPER(TEXT(EDATE($D22,Milestones!$AA$114),"dd mmm yy"))&amp;" "&amp;Milestones!$AB$114&amp;" "&amp;Milestones!$AC$114&amp;";  ","")&amp;IF(AND(EDATE($D22,Milestones!$AA$115)&lt;=AsOfDate,IF($R22=0,$X22,IF(AND($T22&lt;&gt;"",EDATE($D22,Milestones!$AA$115)&gt;=$T22),$W22,IF(AND($S22&lt;&gt;"",EDATE($D22,Milestones!$AA$115)&gt;=$S22),$V22,$U22)))=Milestones!$AB$115),UPPER(TEXT(EDATE($D22,Milestones!$AA$115),"dd mmm yy"))&amp;" "&amp;Milestones!$AB$115&amp;" "&amp;Milestones!$AC$115&amp;";  ","")&amp;IF(AND(EDATE($D22,Milestones!$AA$116)&lt;=AsOfDate,IF($R22=0,$X22,IF(AND($T22&lt;&gt;"",EDATE($D22,Milestones!$AA$116)&gt;=$T22),$W22,IF(AND($S22&lt;&gt;"",EDATE($D22,Milestones!$AA$116)&gt;=$S22),$V22,$U22)))=Milestones!$AB$116),UPPER(TEXT(EDATE($D22,Milestones!$AA$116),"dd mmm yy"))&amp;" "&amp;Milestones!$AB$116&amp;" "&amp;Milestones!$AC$116&amp;";  ","")&amp;IF(AND(EDATE($D22,Milestones!$AA$117)&lt;=AsOfDate,IF($R22=0,$X22,IF(AND($T22&lt;&gt;"",EDATE($D22,Milestones!$AA$117)&gt;=$T22),$W22,IF(AND($S22&lt;&gt;"",EDATE($D22,Milestones!$AA$117)&gt;=$S22),$V22,$U22)))=Milestones!$AB$117),UPPER(TEXT(EDATE($D22,Milestones!$AA$117),"dd mmm yy"))&amp;" "&amp;Milestones!$AB$117&amp;" "&amp;Milestones!$AC$117&amp;";  ","")&amp;IF(AND(EDATE($D22,Milestones!$AA$118)&lt;=AsOfDate,IF($R22=0,$X22,IF(AND($T22&lt;&gt;"",EDATE($D22,Milestones!$AA$118)&gt;=$T22),$W22,IF(AND($S22&lt;&gt;"",EDATE($D22,Milestones!$AA$118)&gt;=$S22),$V22,$U22)))=Milestones!$AB$118),UPPER(TEXT(EDATE($D22,Milestones!$AA$118),"dd mmm yy"))&amp;" "&amp;Milestones!$AB$118&amp;" "&amp;Milestones!$AC$118&amp;";  ","")&amp;IF(AND(EDATE($D22,Milestones!$AA$119)&lt;=AsOfDate,IF($R22=0,$X22,IF(AND($T22&lt;&gt;"",EDATE($D22,Milestones!$AA$119)&gt;=$T22),$W22,IF(AND($S22&lt;&gt;"",EDATE($D22,Milestones!$AA$119)&gt;=$S22),$V22,$U22)))=Milestones!$AB$119),UPPER(TEXT(EDATE($D22,Milestones!$AA$119),"dd mmm yy"))&amp;" "&amp;Milestones!$AB$119&amp;" "&amp;Milestones!$AC$119&amp;";  ",""))</f>
        <v/>
      </c>
      <c r="N22" s="0" t="str">
        <f aca="false">IF(OR($A22="",$D22=""),"",IF(AND(EDATE($D22,Milestones!$AA$120)&lt;=AsOfDate,IF($R22=0,$X22,IF(AND($T22&lt;&gt;"",EDATE($D22,Milestones!$AA$120)&gt;=$T22),$W22,IF(AND($S22&lt;&gt;"",EDATE($D22,Milestones!$AA$120)&gt;=$S22),$V22,$U22)))=Milestones!$AB$120),UPPER(TEXT(EDATE($D22,Milestones!$AA$120),"dd mmm yy"))&amp;" "&amp;Milestones!$AB$120&amp;" "&amp;Milestones!$AC$120&amp;";  ","")&amp;IF(AND(EDATE($D22,Milestones!$AA$121)&lt;=AsOfDate,IF($R22=0,$X22,IF(AND($T22&lt;&gt;"",EDATE($D22,Milestones!$AA$121)&gt;=$T22),$W22,IF(AND($S22&lt;&gt;"",EDATE($D22,Milestones!$AA$121)&gt;=$S22),$V22,$U22)))=Milestones!$AB$121),UPPER(TEXT(EDATE($D22,Milestones!$AA$121),"dd mmm yy"))&amp;" "&amp;Milestones!$AB$121&amp;" "&amp;Milestones!$AC$121&amp;";  ","")&amp;IF(AND(EDATE($D22,Milestones!$AA$122)&lt;=AsOfDate,IF($R22=0,$X22,IF(AND($T22&lt;&gt;"",EDATE($D22,Milestones!$AA$122)&gt;=$T22),$W22,IF(AND($S22&lt;&gt;"",EDATE($D22,Milestones!$AA$122)&gt;=$S22),$V22,$U22)))=Milestones!$AB$122),UPPER(TEXT(EDATE($D22,Milestones!$AA$122),"dd mmm yy"))&amp;" "&amp;Milestones!$AB$122&amp;" "&amp;Milestones!$AC$122&amp;";  ","")&amp;IF(AND(EDATE($D22,Milestones!$AA$123)&lt;=AsOfDate,IF($R22=0,$X22,IF(AND($T22&lt;&gt;"",EDATE($D22,Milestones!$AA$123)&gt;=$T22),$W22,IF(AND($S22&lt;&gt;"",EDATE($D22,Milestones!$AA$123)&gt;=$S22),$V22,$U22)))=Milestones!$AB$123),UPPER(TEXT(EDATE($D22,Milestones!$AA$123),"dd mmm yy"))&amp;" "&amp;Milestones!$AB$123&amp;" "&amp;Milestones!$AC$123&amp;";  ","")&amp;IF(AND(EDATE($D22,Milestones!$AA$124)&lt;=AsOfDate,IF($R22=0,$X22,IF(AND($T22&lt;&gt;"",EDATE($D22,Milestones!$AA$124)&gt;=$T22),$W22,IF(AND($S22&lt;&gt;"",EDATE($D22,Milestones!$AA$124)&gt;=$S22),$V22,$U22)))=Milestones!$AB$124),UPPER(TEXT(EDATE($D22,Milestones!$AA$124),"dd mmm yy"))&amp;" "&amp;Milestones!$AB$124&amp;" "&amp;Milestones!$AC$124&amp;";  ","")&amp;IF(AND(EDATE($D22,Milestones!$AA$125)&lt;=AsOfDate,IF($R22=0,$X22,IF(AND($T22&lt;&gt;"",EDATE($D22,Milestones!$AA$125)&gt;=$T22),$W22,IF(AND($S22&lt;&gt;"",EDATE($D22,Milestones!$AA$125)&gt;=$S22),$V22,$U22)))=Milestones!$AB$125),UPPER(TEXT(EDATE($D22,Milestones!$AA$125),"dd mmm yy"))&amp;" "&amp;Milestones!$AB$125&amp;" "&amp;Milestones!$AC$125&amp;";  ","")&amp;IF(AND(EDATE($D22,Milestones!$AA$126)&lt;=AsOfDate,IF($R22=0,$X22,IF(AND($T22&lt;&gt;"",EDATE($D22,Milestones!$AA$126)&gt;=$T22),$W22,IF(AND($S22&lt;&gt;"",EDATE($D22,Milestones!$AA$126)&gt;=$S22),$V22,$U22)))=Milestones!$AB$126),UPPER(TEXT(EDATE($D22,Milestones!$AA$126),"dd mmm yy"))&amp;" "&amp;Milestones!$AB$126&amp;" "&amp;Milestones!$AC$126&amp;";  ","")&amp;IF(AND(EDATE($D22,Milestones!$AA$127)&lt;=AsOfDate,IF($R22=0,$X22,IF(AND($T22&lt;&gt;"",EDATE($D22,Milestones!$AA$127)&gt;=$T22),$W22,IF(AND($S22&lt;&gt;"",EDATE($D22,Milestones!$AA$127)&gt;=$S22),$V22,$U22)))=Milestones!$AB$127),UPPER(TEXT(EDATE($D22,Milestones!$AA$127),"dd mmm yy"))&amp;" "&amp;Milestones!$AB$127&amp;" "&amp;Milestones!$AC$127&amp;";  ","")&amp;IF(AND(EDATE($D22,Milestones!$AA$128)&lt;=AsOfDate,IF($R22=0,$X22,IF(AND($T22&lt;&gt;"",EDATE($D22,Milestones!$AA$128)&gt;=$T22),$W22,IF(AND($S22&lt;&gt;"",EDATE($D22,Milestones!$AA$128)&gt;=$S22),$V22,$U22)))=Milestones!$AB$128),UPPER(TEXT(EDATE($D22,Milestones!$AA$128),"dd mmm yy"))&amp;" "&amp;Milestones!$AB$128&amp;" "&amp;Milestones!$AC$128&amp;";  ","")&amp;IF(AND(EDATE($D22,Milestones!$AA$129)&lt;=AsOfDate,IF($R22=0,$X22,IF(AND($T22&lt;&gt;"",EDATE($D22,Milestones!$AA$129)&gt;=$T22),$W22,IF(AND($S22&lt;&gt;"",EDATE($D22,Milestones!$AA$129)&gt;=$S22),$V22,$U22)))=Milestones!$AB$129),UPPER(TEXT(EDATE($D22,Milestones!$AA$129),"dd mmm yy"))&amp;" "&amp;Milestones!$AB$129&amp;" "&amp;Milestones!$AC$129&amp;";  ","")&amp;IF(AND(EDATE($D22,Milestones!$AA$130)&lt;=AsOfDate,IF($R22=0,$X22,IF(AND($T22&lt;&gt;"",EDATE($D22,Milestones!$AA$130)&gt;=$T22),$W22,IF(AND($S22&lt;&gt;"",EDATE($D22,Milestones!$AA$130)&gt;=$S22),$V22,$U22)))=Milestones!$AB$130),UPPER(TEXT(EDATE($D22,Milestones!$AA$130),"dd mmm yy"))&amp;" "&amp;Milestones!$AB$130&amp;" "&amp;Milestones!$AC$130&amp;";  ","")&amp;IF(AND(EDATE($D22,Milestones!$AA$131)&lt;=AsOfDate,IF($R22=0,$X22,IF(AND($T22&lt;&gt;"",EDATE($D22,Milestones!$AA$131)&gt;=$T22),$W22,IF(AND($S22&lt;&gt;"",EDATE($D22,Milestones!$AA$131)&gt;=$S22),$V22,$U22)))=Milestones!$AB$131),UPPER(TEXT(EDATE($D22,Milestones!$AA$131),"dd mmm yy"))&amp;" "&amp;Milestones!$AB$131&amp;" "&amp;Milestones!$AC$131&amp;";  ","")&amp;IF(AND(EDATE($D22,Milestones!$AA$132)&lt;=AsOfDate,IF($R22=0,$X22,IF(AND($T22&lt;&gt;"",EDATE($D22,Milestones!$AA$132)&gt;=$T22),$W22,IF(AND($S22&lt;&gt;"",EDATE($D22,Milestones!$AA$132)&gt;=$S22),$V22,$U22)))=Milestones!$AB$132),UPPER(TEXT(EDATE($D22,Milestones!$AA$132),"dd mmm yy"))&amp;" "&amp;Milestones!$AB$132&amp;" "&amp;Milestones!$AC$132&amp;";  ","")&amp;IF(AND(EDATE($D22,Milestones!$AA$133)&lt;=AsOfDate,IF($R22=0,$X22,IF(AND($T22&lt;&gt;"",EDATE($D22,Milestones!$AA$133)&gt;=$T22),$W22,IF(AND($S22&lt;&gt;"",EDATE($D22,Milestones!$AA$133)&gt;=$S22),$V22,$U22)))=Milestones!$AB$133),UPPER(TEXT(EDATE($D22,Milestones!$AA$133),"dd mmm yy"))&amp;" "&amp;Milestones!$AB$133&amp;" "&amp;Milestones!$AC$133&amp;";  ","")&amp;IF(AND(EDATE($D22,Milestones!$AA$134)&lt;=AsOfDate,IF($R22=0,$X22,IF(AND($T22&lt;&gt;"",EDATE($D22,Milestones!$AA$134)&gt;=$T22),$W22,IF(AND($S22&lt;&gt;"",EDATE($D22,Milestones!$AA$134)&gt;=$S22),$V22,$U22)))=Milestones!$AB$134),UPPER(TEXT(EDATE($D22,Milestones!$AA$134),"dd mmm yy"))&amp;" "&amp;Milestones!$AB$134&amp;" "&amp;Milestones!$AC$134&amp;";  ","")&amp;IF(AND(EDATE($D22,Milestones!$AA$135)&lt;=AsOfDate,IF($R22=0,$X22,IF(AND($T22&lt;&gt;"",EDATE($D22,Milestones!$AA$135)&gt;=$T22),$W22,IF(AND($S22&lt;&gt;"",EDATE($D22,Milestones!$AA$135)&gt;=$S22),$V22,$U22)))=Milestones!$AB$135),UPPER(TEXT(EDATE($D22,Milestones!$AA$135),"dd mmm yy"))&amp;" "&amp;Milestones!$AB$135&amp;" "&amp;Milestones!$AC$135&amp;";  ","")&amp;IF(AND(EDATE($D22,Milestones!$AA$136)&lt;=AsOfDate,IF($R22=0,$X22,IF(AND($T22&lt;&gt;"",EDATE($D22,Milestones!$AA$136)&gt;=$T22),$W22,IF(AND($S22&lt;&gt;"",EDATE($D22,Milestones!$AA$136)&gt;=$S22),$V22,$U22)))=Milestones!$AB$136),UPPER(TEXT(EDATE($D22,Milestones!$AA$136),"dd mmm yy"))&amp;" "&amp;Milestones!$AB$136&amp;" "&amp;Milestones!$AC$136&amp;";  ","")&amp;IF(AND(EDATE($D22,Milestones!$AA$137)&lt;=AsOfDate,IF($R22=0,$X22,IF(AND($T22&lt;&gt;"",EDATE($D22,Milestones!$AA$137)&gt;=$T22),$W22,IF(AND($S22&lt;&gt;"",EDATE($D22,Milestones!$AA$137)&gt;=$S22),$V22,$U22)))=Milestones!$AB$137),UPPER(TEXT(EDATE($D22,Milestones!$AA$137),"dd mmm yy"))&amp;" "&amp;Milestones!$AB$137&amp;" "&amp;Milestones!$AC$137&amp;";  ","")&amp;IF(AND(EDATE($D22,Milestones!$AA$138)&lt;=AsOfDate,IF($R22=0,$X22,IF(AND($T22&lt;&gt;"",EDATE($D22,Milestones!$AA$138)&gt;=$T22),$W22,IF(AND($S22&lt;&gt;"",EDATE($D22,Milestones!$AA$138)&gt;=$S22),$V22,$U22)))=Milestones!$AB$138),UPPER(TEXT(EDATE($D22,Milestones!$AA$138),"dd mmm yy"))&amp;" "&amp;Milestones!$AB$138&amp;" "&amp;Milestones!$AC$138&amp;";  ","")&amp;IF(AND(EDATE($D22,Milestones!$AA$139)&lt;=AsOfDate,IF($R22=0,$X22,IF(AND($T22&lt;&gt;"",EDATE($D22,Milestones!$AA$139)&gt;=$T22),$W22,IF(AND($S22&lt;&gt;"",EDATE($D22,Milestones!$AA$139)&gt;=$S22),$V22,$U22)))=Milestones!$AB$139),UPPER(TEXT(EDATE($D22,Milestones!$AA$139),"dd mmm yy"))&amp;" "&amp;Milestones!$AB$139&amp;" "&amp;Milestones!$AC$139&amp;";  ",""))</f>
        <v/>
      </c>
      <c r="O22" s="0" t="str">
        <f aca="false">IF(OR($A22="",$D22=""),"",IF(AND(EDATE($D22,Milestones!$AA$140)&lt;=AsOfDate,IF($R22=0,$X22,IF(AND($T22&lt;&gt;"",EDATE($D22,Milestones!$AA$140)&gt;=$T22),$W22,IF(AND($S22&lt;&gt;"",EDATE($D22,Milestones!$AA$140)&gt;=$S22),$V22,$U22)))=Milestones!$AB$140),UPPER(TEXT(EDATE($D22,Milestones!$AA$140),"dd mmm yy"))&amp;" "&amp;Milestones!$AB$140&amp;" "&amp;Milestones!$AC$140&amp;";  ","")&amp;IF(AND(EDATE($D22,Milestones!$AA$141)&lt;=AsOfDate,IF($R22=0,$X22,IF(AND($T22&lt;&gt;"",EDATE($D22,Milestones!$AA$141)&gt;=$T22),$W22,IF(AND($S22&lt;&gt;"",EDATE($D22,Milestones!$AA$141)&gt;=$S22),$V22,$U22)))=Milestones!$AB$141),UPPER(TEXT(EDATE($D22,Milestones!$AA$141),"dd mmm yy"))&amp;" "&amp;Milestones!$AB$141&amp;" "&amp;Milestones!$AC$141&amp;";  ","")&amp;IF(AND(EDATE($D22,Milestones!$AA$142)&lt;=AsOfDate,IF($R22=0,$X22,IF(AND($T22&lt;&gt;"",EDATE($D22,Milestones!$AA$142)&gt;=$T22),$W22,IF(AND($S22&lt;&gt;"",EDATE($D22,Milestones!$AA$142)&gt;=$S22),$V22,$U22)))=Milestones!$AB$142),UPPER(TEXT(EDATE($D22,Milestones!$AA$142),"dd mmm yy"))&amp;" "&amp;Milestones!$AB$142&amp;" "&amp;Milestones!$AC$142&amp;";  ","")&amp;IF(AND(EDATE($D22,Milestones!$AA$143)&lt;=AsOfDate,IF($R22=0,$X22,IF(AND($T22&lt;&gt;"",EDATE($D22,Milestones!$AA$143)&gt;=$T22),$W22,IF(AND($S22&lt;&gt;"",EDATE($D22,Milestones!$AA$143)&gt;=$S22),$V22,$U22)))=Milestones!$AB$143),UPPER(TEXT(EDATE($D22,Milestones!$AA$143),"dd mmm yy"))&amp;" "&amp;Milestones!$AB$143&amp;" "&amp;Milestones!$AC$143&amp;";  ","")&amp;IF(AND(EDATE($D22,Milestones!$AA$144)&lt;=AsOfDate,IF($R22=0,$X22,IF(AND($T22&lt;&gt;"",EDATE($D22,Milestones!$AA$144)&gt;=$T22),$W22,IF(AND($S22&lt;&gt;"",EDATE($D22,Milestones!$AA$144)&gt;=$S22),$V22,$U22)))=Milestones!$AB$144),UPPER(TEXT(EDATE($D22,Milestones!$AA$144),"dd mmm yy"))&amp;" "&amp;Milestones!$AB$144&amp;" "&amp;Milestones!$AC$144&amp;";  ","")&amp;IF(AND(EDATE($D22,Milestones!$AA$145)&lt;=AsOfDate,IF($R22=0,$X22,IF(AND($T22&lt;&gt;"",EDATE($D22,Milestones!$AA$145)&gt;=$T22),$W22,IF(AND($S22&lt;&gt;"",EDATE($D22,Milestones!$AA$145)&gt;=$S22),$V22,$U22)))=Milestones!$AB$145),UPPER(TEXT(EDATE($D22,Milestones!$AA$145),"dd mmm yy"))&amp;" "&amp;Milestones!$AB$145&amp;" "&amp;Milestones!$AC$145&amp;";  ","")&amp;IF(AND(EDATE($D22,Milestones!$AA$146)&lt;=AsOfDate,IF($R22=0,$X22,IF(AND($T22&lt;&gt;"",EDATE($D22,Milestones!$AA$146)&gt;=$T22),$W22,IF(AND($S22&lt;&gt;"",EDATE($D22,Milestones!$AA$146)&gt;=$S22),$V22,$U22)))=Milestones!$AB$146),UPPER(TEXT(EDATE($D22,Milestones!$AA$146),"dd mmm yy"))&amp;" "&amp;Milestones!$AB$146&amp;" "&amp;Milestones!$AC$146&amp;";  ","")&amp;IF(AND(EDATE($D22,Milestones!$AA$147)&lt;=AsOfDate,IF($R22=0,$X22,IF(AND($T22&lt;&gt;"",EDATE($D22,Milestones!$AA$147)&gt;=$T22),$W22,IF(AND($S22&lt;&gt;"",EDATE($D22,Milestones!$AA$147)&gt;=$S22),$V22,$U22)))=Milestones!$AB$147),UPPER(TEXT(EDATE($D22,Milestones!$AA$147),"dd mmm yy"))&amp;" "&amp;Milestones!$AB$147&amp;" "&amp;Milestones!$AC$147&amp;";  ","")&amp;IF(AND(EDATE($D22,Milestones!$AA$148)&lt;=AsOfDate,IF($R22=0,$X22,IF(AND($T22&lt;&gt;"",EDATE($D22,Milestones!$AA$148)&gt;=$T22),$W22,IF(AND($S22&lt;&gt;"",EDATE($D22,Milestones!$AA$148)&gt;=$S22),$V22,$U22)))=Milestones!$AB$148),UPPER(TEXT(EDATE($D22,Milestones!$AA$148),"dd mmm yy"))&amp;" "&amp;Milestones!$AB$148&amp;" "&amp;Milestones!$AC$148&amp;";  ","")&amp;IF(AND(EDATE($D22,Milestones!$AA$149)&lt;=AsOfDate,IF($R22=0,$X22,IF(AND($T22&lt;&gt;"",EDATE($D22,Milestones!$AA$149)&gt;=$T22),$W22,IF(AND($S22&lt;&gt;"",EDATE($D22,Milestones!$AA$149)&gt;=$S22),$V22,$U22)))=Milestones!$AB$149),UPPER(TEXT(EDATE($D22,Milestones!$AA$149),"dd mmm yy"))&amp;" "&amp;Milestones!$AB$149&amp;" "&amp;Milestones!$AC$149&amp;";  ","")&amp;IF(AND(EDATE($D22,Milestones!$AA$150)&lt;=AsOfDate,IF($R22=0,$X22,IF(AND($T22&lt;&gt;"",EDATE($D22,Milestones!$AA$150)&gt;=$T22),$W22,IF(AND($S22&lt;&gt;"",EDATE($D22,Milestones!$AA$150)&gt;=$S22),$V22,$U22)))=Milestones!$AB$150),UPPER(TEXT(EDATE($D22,Milestones!$AA$150),"dd mmm yy"))&amp;" "&amp;Milestones!$AB$150&amp;" "&amp;Milestones!$AC$150&amp;";  ","")&amp;IF(AND(EDATE($D22,Milestones!$AA$151)&lt;=AsOfDate,IF($R22=0,$X22,IF(AND($T22&lt;&gt;"",EDATE($D22,Milestones!$AA$151)&gt;=$T22),$W22,IF(AND($S22&lt;&gt;"",EDATE($D22,Milestones!$AA$151)&gt;=$S22),$V22,$U22)))=Milestones!$AB$151),UPPER(TEXT(EDATE($D22,Milestones!$AA$151),"dd mmm yy"))&amp;" "&amp;Milestones!$AB$151&amp;" "&amp;Milestones!$AC$151&amp;";  ","")&amp;IF(AND(EDATE($D22,Milestones!$AA$152)&lt;=AsOfDate,IF($R22=0,$X22,IF(AND($T22&lt;&gt;"",EDATE($D22,Milestones!$AA$152)&gt;=$T22),$W22,IF(AND($S22&lt;&gt;"",EDATE($D22,Milestones!$AA$152)&gt;=$S22),$V22,$U22)))=Milestones!$AB$152),UPPER(TEXT(EDATE($D22,Milestones!$AA$152),"dd mmm yy"))&amp;" "&amp;Milestones!$AB$152&amp;" "&amp;Milestones!$AC$152&amp;";  ","")&amp;IF(AND(EDATE($D22,Milestones!$AA$153)&lt;=AsOfDate,IF($R22=0,$X22,IF(AND($T22&lt;&gt;"",EDATE($D22,Milestones!$AA$153)&gt;=$T22),$W22,IF(AND($S22&lt;&gt;"",EDATE($D22,Milestones!$AA$153)&gt;=$S22),$V22,$U22)))=Milestones!$AB$153),UPPER(TEXT(EDATE($D22,Milestones!$AA$153),"dd mmm yy"))&amp;" "&amp;Milestones!$AB$153&amp;" "&amp;Milestones!$AC$153&amp;";  ","")&amp;IF(AND(EDATE($D22,Milestones!$AA$154)&lt;=AsOfDate,IF($R22=0,$X22,IF(AND($T22&lt;&gt;"",EDATE($D22,Milestones!$AA$154)&gt;=$T22),$W22,IF(AND($S22&lt;&gt;"",EDATE($D22,Milestones!$AA$154)&gt;=$S22),$V22,$U22)))=Milestones!$AB$154),UPPER(TEXT(EDATE($D22,Milestones!$AA$154),"dd mmm yy"))&amp;" "&amp;Milestones!$AB$154&amp;" "&amp;Milestones!$AC$154&amp;";  ","")&amp;IF(AND(EDATE($D22,Milestones!$AA$155)&lt;=AsOfDate,IF($R22=0,$X22,IF(AND($T22&lt;&gt;"",EDATE($D22,Milestones!$AA$155)&gt;=$T22),$W22,IF(AND($S22&lt;&gt;"",EDATE($D22,Milestones!$AA$155)&gt;=$S22),$V22,$U22)))=Milestones!$AB$155),UPPER(TEXT(EDATE($D22,Milestones!$AA$155),"dd mmm yy"))&amp;" "&amp;Milestones!$AB$155&amp;" "&amp;Milestones!$AC$155&amp;";  ","")&amp;IF(AND(EDATE($D22,Milestones!$AA$156)&lt;=AsOfDate,IF($R22=0,$X22,IF(AND($T22&lt;&gt;"",EDATE($D22,Milestones!$AA$156)&gt;=$T22),$W22,IF(AND($S22&lt;&gt;"",EDATE($D22,Milestones!$AA$156)&gt;=$S22),$V22,$U22)))=Milestones!$AB$156),UPPER(TEXT(EDATE($D22,Milestones!$AA$156),"dd mmm yy"))&amp;" "&amp;Milestones!$AB$156&amp;" "&amp;Milestones!$AC$156&amp;";  ","")&amp;IF(AND(EDATE($D22,Milestones!$AA$157)&lt;=AsOfDate,IF($R22=0,$X22,IF(AND($T22&lt;&gt;"",EDATE($D22,Milestones!$AA$157)&gt;=$T22),$W22,IF(AND($S22&lt;&gt;"",EDATE($D22,Milestones!$AA$157)&gt;=$S22),$V22,$U22)))=Milestones!$AB$157),UPPER(TEXT(EDATE($D22,Milestones!$AA$157),"dd mmm yy"))&amp;" "&amp;Milestones!$AB$157&amp;" "&amp;Milestones!$AC$157&amp;";  ","")&amp;IF(AND(EDATE($D22,Milestones!$AA$158)&lt;=AsOfDate,IF($R22=0,$X22,IF(AND($T22&lt;&gt;"",EDATE($D22,Milestones!$AA$158)&gt;=$T22),$W22,IF(AND($S22&lt;&gt;"",EDATE($D22,Milestones!$AA$158)&gt;=$S22),$V22,$U22)))=Milestones!$AB$158),UPPER(TEXT(EDATE($D22,Milestones!$AA$158),"dd mmm yy"))&amp;" "&amp;Milestones!$AB$158&amp;" "&amp;Milestones!$AC$158&amp;";  ","")&amp;IF(AND(EDATE($D22,Milestones!$AA$159)&lt;=AsOfDate,IF($R22=0,$X22,IF(AND($T22&lt;&gt;"",EDATE($D22,Milestones!$AA$159)&gt;=$T22),$W22,IF(AND($S22&lt;&gt;"",EDATE($D22,Milestones!$AA$159)&gt;=$S22),$V22,$U22)))=Milestones!$AB$159),UPPER(TEXT(EDATE($D22,Milestones!$AA$159),"dd mmm yy"))&amp;" "&amp;Milestones!$AB$159&amp;" "&amp;Milestones!$AC$159&amp;";  ",""))</f>
        <v/>
      </c>
      <c r="P22" s="0" t="str">
        <f aca="false">IF(OR($A22="",$D22=""),"",IF(AND(EDATE($D22,Milestones!$AA$160)&lt;=AsOfDate,IF($R22=0,$X22,IF(AND($T22&lt;&gt;"",EDATE($D22,Milestones!$AA$160)&gt;=$T22),$W22,IF(AND($S22&lt;&gt;"",EDATE($D22,Milestones!$AA$160)&gt;=$S22),$V22,$U22)))=Milestones!$AB$160),UPPER(TEXT(EDATE($D22,Milestones!$AA$160),"dd mmm yy"))&amp;" "&amp;Milestones!$AB$160&amp;" "&amp;Milestones!$AC$160&amp;";  ","")&amp;IF(AND(EDATE($D22,Milestones!$AA$161)&lt;=AsOfDate,IF($R22=0,$X22,IF(AND($T22&lt;&gt;"",EDATE($D22,Milestones!$AA$161)&gt;=$T22),$W22,IF(AND($S22&lt;&gt;"",EDATE($D22,Milestones!$AA$161)&gt;=$S22),$V22,$U22)))=Milestones!$AB$161),UPPER(TEXT(EDATE($D22,Milestones!$AA$161),"dd mmm yy"))&amp;" "&amp;Milestones!$AB$161&amp;" "&amp;Milestones!$AC$161&amp;";  ","")&amp;IF(AND(EDATE($D22,Milestones!$AA$162)&lt;=AsOfDate,IF($R22=0,$X22,IF(AND($T22&lt;&gt;"",EDATE($D22,Milestones!$AA$162)&gt;=$T22),$W22,IF(AND($S22&lt;&gt;"",EDATE($D22,Milestones!$AA$162)&gt;=$S22),$V22,$U22)))=Milestones!$AB$162),UPPER(TEXT(EDATE($D22,Milestones!$AA$162),"dd mmm yy"))&amp;" "&amp;Milestones!$AB$162&amp;" "&amp;Milestones!$AC$162&amp;";  ","")&amp;IF(AND(EDATE($D22,Milestones!$AA$163)&lt;=AsOfDate,IF($R22=0,$X22,IF(AND($T22&lt;&gt;"",EDATE($D22,Milestones!$AA$163)&gt;=$T22),$W22,IF(AND($S22&lt;&gt;"",EDATE($D22,Milestones!$AA$163)&gt;=$S22),$V22,$U22)))=Milestones!$AB$163),UPPER(TEXT(EDATE($D22,Milestones!$AA$163),"dd mmm yy"))&amp;" "&amp;Milestones!$AB$163&amp;" "&amp;Milestones!$AC$163&amp;";  ","")&amp;IF(AND(EDATE($D22,Milestones!$AA$164)&lt;=AsOfDate,IF($R22=0,$X22,IF(AND($T22&lt;&gt;"",EDATE($D22,Milestones!$AA$164)&gt;=$T22),$W22,IF(AND($S22&lt;&gt;"",EDATE($D22,Milestones!$AA$164)&gt;=$S22),$V22,$U22)))=Milestones!$AB$164),UPPER(TEXT(EDATE($D22,Milestones!$AA$164),"dd mmm yy"))&amp;" "&amp;Milestones!$AB$164&amp;" "&amp;Milestones!$AC$164&amp;";  ","")&amp;IF(AND(EDATE($D22,Milestones!$AA$165)&lt;=AsOfDate,IF($R22=0,$X22,IF(AND($T22&lt;&gt;"",EDATE($D22,Milestones!$AA$165)&gt;=$T22),$W22,IF(AND($S22&lt;&gt;"",EDATE($D22,Milestones!$AA$165)&gt;=$S22),$V22,$U22)))=Milestones!$AB$165),UPPER(TEXT(EDATE($D22,Milestones!$AA$165),"dd mmm yy"))&amp;" "&amp;Milestones!$AB$165&amp;" "&amp;Milestones!$AC$165&amp;";  ","")&amp;IF(AND(EDATE($D22,Milestones!$AA$166)&lt;=AsOfDate,IF($R22=0,$X22,IF(AND($T22&lt;&gt;"",EDATE($D22,Milestones!$AA$166)&gt;=$T22),$W22,IF(AND($S22&lt;&gt;"",EDATE($D22,Milestones!$AA$166)&gt;=$S22),$V22,$U22)))=Milestones!$AB$166),UPPER(TEXT(EDATE($D22,Milestones!$AA$166),"dd mmm yy"))&amp;" "&amp;Milestones!$AB$166&amp;" "&amp;Milestones!$AC$166&amp;";  ","")&amp;IF(AND(EDATE($D22,Milestones!$AA$167)&lt;=AsOfDate,IF($R22=0,$X22,IF(AND($T22&lt;&gt;"",EDATE($D22,Milestones!$AA$167)&gt;=$T22),$W22,IF(AND($S22&lt;&gt;"",EDATE($D22,Milestones!$AA$167)&gt;=$S22),$V22,$U22)))=Milestones!$AB$167),UPPER(TEXT(EDATE($D22,Milestones!$AA$167),"dd mmm yy"))&amp;" "&amp;Milestones!$AB$167&amp;" "&amp;Milestones!$AC$167&amp;";  ","")&amp;IF(AND(EDATE($D22,Milestones!$AA$168)&lt;=AsOfDate,IF($R22=0,$X22,IF(AND($T22&lt;&gt;"",EDATE($D22,Milestones!$AA$168)&gt;=$T22),$W22,IF(AND($S22&lt;&gt;"",EDATE($D22,Milestones!$AA$168)&gt;=$S22),$V22,$U22)))=Milestones!$AB$168),UPPER(TEXT(EDATE($D22,Milestones!$AA$168),"dd mmm yy"))&amp;" "&amp;Milestones!$AB$168&amp;" "&amp;Milestones!$AC$168&amp;";  ","")&amp;IF(AND(EDATE($D22,Milestones!$AA$169)&lt;=AsOfDate,IF($R22=0,$X22,IF(AND($T22&lt;&gt;"",EDATE($D22,Milestones!$AA$169)&gt;=$T22),$W22,IF(AND($S22&lt;&gt;"",EDATE($D22,Milestones!$AA$169)&gt;=$S22),$V22,$U22)))=Milestones!$AB$169),UPPER(TEXT(EDATE($D22,Milestones!$AA$169),"dd mmm yy"))&amp;" "&amp;Milestones!$AB$169&amp;" "&amp;Milestones!$AC$169&amp;";  ","")&amp;IF(AND(EDATE($D22,Milestones!$AA$170)&lt;=AsOfDate,IF($R22=0,$X22,IF(AND($T22&lt;&gt;"",EDATE($D22,Milestones!$AA$170)&gt;=$T22),$W22,IF(AND($S22&lt;&gt;"",EDATE($D22,Milestones!$AA$170)&gt;=$S22),$V22,$U22)))=Milestones!$AB$170),UPPER(TEXT(EDATE($D22,Milestones!$AA$170),"dd mmm yy"))&amp;" "&amp;Milestones!$AB$170&amp;" "&amp;Milestones!$AC$170&amp;";  ","")&amp;IF(AND(EDATE($D22,Milestones!$AA$171)&lt;=AsOfDate,IF($R22=0,$X22,IF(AND($T22&lt;&gt;"",EDATE($D22,Milestones!$AA$171)&gt;=$T22),$W22,IF(AND($S22&lt;&gt;"",EDATE($D22,Milestones!$AA$171)&gt;=$S22),$V22,$U22)))=Milestones!$AB$171),UPPER(TEXT(EDATE($D22,Milestones!$AA$171),"dd mmm yy"))&amp;" "&amp;Milestones!$AB$171&amp;" "&amp;Milestones!$AC$171&amp;";  ","")&amp;IF(AND(EDATE($D22,Milestones!$AA$172)&lt;=AsOfDate,IF($R22=0,$X22,IF(AND($T22&lt;&gt;"",EDATE($D22,Milestones!$AA$172)&gt;=$T22),$W22,IF(AND($S22&lt;&gt;"",EDATE($D22,Milestones!$AA$172)&gt;=$S22),$V22,$U22)))=Milestones!$AB$172),UPPER(TEXT(EDATE($D22,Milestones!$AA$172),"dd mmm yy"))&amp;" "&amp;Milestones!$AB$172&amp;" "&amp;Milestones!$AC$172&amp;";  ","")&amp;IF(AND(EDATE($D22,Milestones!$AA$173)&lt;=AsOfDate,IF($R22=0,$X22,IF(AND($T22&lt;&gt;"",EDATE($D22,Milestones!$AA$173)&gt;=$T22),$W22,IF(AND($S22&lt;&gt;"",EDATE($D22,Milestones!$AA$173)&gt;=$S22),$V22,$U22)))=Milestones!$AB$173),UPPER(TEXT(EDATE($D22,Milestones!$AA$173),"dd mmm yy"))&amp;" "&amp;Milestones!$AB$173&amp;" "&amp;Milestones!$AC$173&amp;";  ","")&amp;IF(AND(EDATE($D22,Milestones!$AA$174)&lt;=AsOfDate,IF($R22=0,$X22,IF(AND($T22&lt;&gt;"",EDATE($D22,Milestones!$AA$174)&gt;=$T22),$W22,IF(AND($S22&lt;&gt;"",EDATE($D22,Milestones!$AA$174)&gt;=$S22),$V22,$U22)))=Milestones!$AB$174),UPPER(TEXT(EDATE($D22,Milestones!$AA$174),"dd mmm yy"))&amp;" "&amp;Milestones!$AB$174&amp;" "&amp;Milestones!$AC$174&amp;";  ","")&amp;IF(AND(EDATE($D22,Milestones!$AA$175)&lt;=AsOfDate,IF($R22=0,$X22,IF(AND($T22&lt;&gt;"",EDATE($D22,Milestones!$AA$175)&gt;=$T22),$W22,IF(AND($S22&lt;&gt;"",EDATE($D22,Milestones!$AA$175)&gt;=$S22),$V22,$U22)))=Milestones!$AB$175),UPPER(TEXT(EDATE($D22,Milestones!$AA$175),"dd mmm yy"))&amp;" "&amp;Milestones!$AB$175&amp;" "&amp;Milestones!$AC$175&amp;";  ","")&amp;IF(AND(EDATE($D22,Milestones!$AA$176)&lt;=AsOfDate,IF($R22=0,$X22,IF(AND($T22&lt;&gt;"",EDATE($D22,Milestones!$AA$176)&gt;=$T22),$W22,IF(AND($S22&lt;&gt;"",EDATE($D22,Milestones!$AA$176)&gt;=$S22),$V22,$U22)))=Milestones!$AB$176),UPPER(TEXT(EDATE($D22,Milestones!$AA$176),"dd mmm yy"))&amp;" "&amp;Milestones!$AB$176&amp;" "&amp;Milestones!$AC$176&amp;";  ","")&amp;IF(AND(EDATE($D22,Milestones!$AA$177)&lt;=AsOfDate,IF($R22=0,$X22,IF(AND($T22&lt;&gt;"",EDATE($D22,Milestones!$AA$177)&gt;=$T22),$W22,IF(AND($S22&lt;&gt;"",EDATE($D22,Milestones!$AA$177)&gt;=$S22),$V22,$U22)))=Milestones!$AB$177),UPPER(TEXT(EDATE($D22,Milestones!$AA$177),"dd mmm yy"))&amp;" "&amp;Milestones!$AB$177&amp;" "&amp;Milestones!$AC$177&amp;";  ","")&amp;IF(AND(EDATE($D22,Milestones!$AA$178)&lt;=AsOfDate,IF($R22=0,$X22,IF(AND($T22&lt;&gt;"",EDATE($D22,Milestones!$AA$178)&gt;=$T22),$W22,IF(AND($S22&lt;&gt;"",EDATE($D22,Milestones!$AA$178)&gt;=$S22),$V22,$U22)))=Milestones!$AB$178),UPPER(TEXT(EDATE($D22,Milestones!$AA$178),"dd mmm yy"))&amp;" "&amp;Milestones!$AB$178&amp;" "&amp;Milestones!$AC$178&amp;";  ","")&amp;IF(AND(EDATE($D22,Milestones!$AA$179)&lt;=AsOfDate,IF($R22=0,$X22,IF(AND($T22&lt;&gt;"",EDATE($D22,Milestones!$AA$179)&gt;=$T22),$W22,IF(AND($S22&lt;&gt;"",EDATE($D22,Milestones!$AA$179)&gt;=$S22),$V22,$U22)))=Milestones!$AB$179),UPPER(TEXT(EDATE($D22,Milestones!$AA$179),"dd mmm yy"))&amp;" "&amp;Milestones!$AB$179&amp;" "&amp;Milestones!$AC$179&amp;";  ",""))</f>
        <v/>
      </c>
      <c r="Q22" s="0" t="str">
        <f aca="false">IF(OR($A22="",$D22=""),"",IF(AND(EDATE($D22,Milestones!$AA$180)&lt;=AsOfDate,IF($R22=0,$X22,IF(AND($T22&lt;&gt;"",EDATE($D22,Milestones!$AA$180)&gt;=$T22),$W22,IF(AND($S22&lt;&gt;"",EDATE($D22,Milestones!$AA$180)&gt;=$S22),$V22,$U22)))=Milestones!$AB$180),UPPER(TEXT(EDATE($D22,Milestones!$AA$180),"dd mmm yy"))&amp;" "&amp;Milestones!$AB$180&amp;" "&amp;Milestones!$AC$180&amp;";  ","")&amp;IF(AND(EDATE($D22,Milestones!$AA$181)&lt;=AsOfDate,IF($R22=0,$X22,IF(AND($T22&lt;&gt;"",EDATE($D22,Milestones!$AA$181)&gt;=$T22),$W22,IF(AND($S22&lt;&gt;"",EDATE($D22,Milestones!$AA$181)&gt;=$S22),$V22,$U22)))=Milestones!$AB$181),UPPER(TEXT(EDATE($D22,Milestones!$AA$181),"dd mmm yy"))&amp;" "&amp;Milestones!$AB$181&amp;" "&amp;Milestones!$AC$181&amp;";  ","")&amp;IF(AND(EDATE($D22,Milestones!$AA$182)&lt;=AsOfDate,IF($R22=0,$X22,IF(AND($T22&lt;&gt;"",EDATE($D22,Milestones!$AA$182)&gt;=$T22),$W22,IF(AND($S22&lt;&gt;"",EDATE($D22,Milestones!$AA$182)&gt;=$S22),$V22,$U22)))=Milestones!$AB$182),UPPER(TEXT(EDATE($D22,Milestones!$AA$182),"dd mmm yy"))&amp;" "&amp;Milestones!$AB$182&amp;" "&amp;Milestones!$AC$182&amp;";  ","")&amp;IF(AND(EDATE($D22,Milestones!$AA$183)&lt;=AsOfDate,IF($R22=0,$X22,IF(AND($T22&lt;&gt;"",EDATE($D22,Milestones!$AA$183)&gt;=$T22),$W22,IF(AND($S22&lt;&gt;"",EDATE($D22,Milestones!$AA$183)&gt;=$S22),$V22,$U22)))=Milestones!$AB$183),UPPER(TEXT(EDATE($D22,Milestones!$AA$183),"dd mmm yy"))&amp;" "&amp;Milestones!$AB$183&amp;" "&amp;Milestones!$AC$183&amp;";  ","")&amp;IF(AND(EDATE($D22,Milestones!$AA$184)&lt;=AsOfDate,IF($R22=0,$X22,IF(AND($T22&lt;&gt;"",EDATE($D22,Milestones!$AA$184)&gt;=$T22),$W22,IF(AND($S22&lt;&gt;"",EDATE($D22,Milestones!$AA$184)&gt;=$S22),$V22,$U22)))=Milestones!$AB$184),UPPER(TEXT(EDATE($D22,Milestones!$AA$184),"dd mmm yy"))&amp;" "&amp;Milestones!$AB$184&amp;" "&amp;Milestones!$AC$184&amp;";  ","")&amp;IF(AND(EDATE($D22,Milestones!$AA$185)&lt;=AsOfDate,IF($R22=0,$X22,IF(AND($T22&lt;&gt;"",EDATE($D22,Milestones!$AA$185)&gt;=$T22),$W22,IF(AND($S22&lt;&gt;"",EDATE($D22,Milestones!$AA$185)&gt;=$S22),$V22,$U22)))=Milestones!$AB$185),UPPER(TEXT(EDATE($D22,Milestones!$AA$185),"dd mmm yy"))&amp;" "&amp;Milestones!$AB$185&amp;" "&amp;Milestones!$AC$185&amp;";  ","")&amp;IF(AND(EDATE($D22,Milestones!$AA$186)&lt;=AsOfDate,IF($R22=0,$X22,IF(AND($T22&lt;&gt;"",EDATE($D22,Milestones!$AA$186)&gt;=$T22),$W22,IF(AND($S22&lt;&gt;"",EDATE($D22,Milestones!$AA$186)&gt;=$S22),$V22,$U22)))=Milestones!$AB$186),UPPER(TEXT(EDATE($D22,Milestones!$AA$186),"dd mmm yy"))&amp;" "&amp;Milestones!$AB$186&amp;" "&amp;Milestones!$AC$186&amp;";  ","")&amp;IF(AND(EDATE($D22,Milestones!$AA$187)&lt;=AsOfDate,IF($R22=0,$X22,IF(AND($T22&lt;&gt;"",EDATE($D22,Milestones!$AA$187)&gt;=$T22),$W22,IF(AND($S22&lt;&gt;"",EDATE($D22,Milestones!$AA$187)&gt;=$S22),$V22,$U22)))=Milestones!$AB$187),UPPER(TEXT(EDATE($D22,Milestones!$AA$187),"dd mmm yy"))&amp;" "&amp;Milestones!$AB$187&amp;" "&amp;Milestones!$AC$187&amp;";  ","")&amp;IF(AND(EDATE($D22,Milestones!$AA$188)&lt;=AsOfDate,IF($R22=0,$X22,IF(AND($T22&lt;&gt;"",EDATE($D22,Milestones!$AA$188)&gt;=$T22),$W22,IF(AND($S22&lt;&gt;"",EDATE($D22,Milestones!$AA$188)&gt;=$S22),$V22,$U22)))=Milestones!$AB$188),UPPER(TEXT(EDATE($D22,Milestones!$AA$188),"dd mmm yy"))&amp;" "&amp;Milestones!$AB$188&amp;" "&amp;Milestones!$AC$188&amp;";  ","")&amp;IF(AND(EDATE($D22,Milestones!$AA$189)&lt;=AsOfDate,IF($R22=0,$X22,IF(AND($T22&lt;&gt;"",EDATE($D22,Milestones!$AA$189)&gt;=$T22),$W22,IF(AND($S22&lt;&gt;"",EDATE($D22,Milestones!$AA$189)&gt;=$S22),$V22,$U22)))=Milestones!$AB$189),UPPER(TEXT(EDATE($D22,Milestones!$AA$189),"dd mmm yy"))&amp;" "&amp;Milestones!$AB$189&amp;" "&amp;Milestones!$AC$189&amp;";  ","")&amp;IF(AND(EDATE($D22,Milestones!$AA$190)&lt;=AsOfDate,IF($R22=0,$X22,IF(AND($T22&lt;&gt;"",EDATE($D22,Milestones!$AA$190)&gt;=$T22),$W22,IF(AND($S22&lt;&gt;"",EDATE($D22,Milestones!$AA$190)&gt;=$S22),$V22,$U22)))=Milestones!$AB$190),UPPER(TEXT(EDATE($D22,Milestones!$AA$190),"dd mmm yy"))&amp;" "&amp;Milestones!$AB$190&amp;" "&amp;Milestones!$AC$190&amp;";  ","")&amp;IF(AND(EDATE($D22,Milestones!$AA$191)&lt;=AsOfDate,IF($R22=0,$X22,IF(AND($T22&lt;&gt;"",EDATE($D22,Milestones!$AA$191)&gt;=$T22),$W22,IF(AND($S22&lt;&gt;"",EDATE($D22,Milestones!$AA$191)&gt;=$S22),$V22,$U22)))=Milestones!$AB$191),UPPER(TEXT(EDATE($D22,Milestones!$AA$191),"dd mmm yy"))&amp;" "&amp;Milestones!$AB$191&amp;" "&amp;Milestones!$AC$191&amp;";  ","")&amp;IF(AND(EDATE($D22,Milestones!$AA$192)&lt;=AsOfDate,IF($R22=0,$X22,IF(AND($T22&lt;&gt;"",EDATE($D22,Milestones!$AA$192)&gt;=$T22),$W22,IF(AND($S22&lt;&gt;"",EDATE($D22,Milestones!$AA$192)&gt;=$S22),$V22,$U22)))=Milestones!$AB$192),UPPER(TEXT(EDATE($D22,Milestones!$AA$192),"dd mmm yy"))&amp;" "&amp;Milestones!$AB$192&amp;" "&amp;Milestones!$AC$192&amp;";  ","")&amp;IF(AND(EDATE($D22,Milestones!$AA$193)&lt;=AsOfDate,IF($R22=0,$X22,IF(AND($T22&lt;&gt;"",EDATE($D22,Milestones!$AA$193)&gt;=$T22),$W22,IF(AND($S22&lt;&gt;"",EDATE($D22,Milestones!$AA$193)&gt;=$S22),$V22,$U22)))=Milestones!$AB$193),UPPER(TEXT(EDATE($D22,Milestones!$AA$193),"dd mmm yy"))&amp;" "&amp;Milestones!$AB$193&amp;" "&amp;Milestones!$AC$193&amp;";  ","")&amp;IF(AND(EDATE($D22,Milestones!$AA$194)&lt;=AsOfDate,IF($R22=0,$X22,IF(AND($T22&lt;&gt;"",EDATE($D22,Milestones!$AA$194)&gt;=$T22),$W22,IF(AND($S22&lt;&gt;"",EDATE($D22,Milestones!$AA$194)&gt;=$S22),$V22,$U22)))=Milestones!$AB$194),UPPER(TEXT(EDATE($D22,Milestones!$AA$194),"dd mmm yy"))&amp;" "&amp;Milestones!$AB$194&amp;" "&amp;Milestones!$AC$194&amp;";  ","")&amp;IF(AND(EDATE($D22,Milestones!$AA$195)&lt;=AsOfDate,IF($R22=0,$X22,IF(AND($T22&lt;&gt;"",EDATE($D22,Milestones!$AA$195)&gt;=$T22),$W22,IF(AND($S22&lt;&gt;"",EDATE($D22,Milestones!$AA$195)&gt;=$S22),$V22,$U22)))=Milestones!$AB$195),UPPER(TEXT(EDATE($D22,Milestones!$AA$195),"dd mmm yy"))&amp;" "&amp;Milestones!$AB$195&amp;" "&amp;Milestones!$AC$195&amp;";  ","")&amp;IF(AND(EDATE($D22,Milestones!$AA$196)&lt;=AsOfDate,IF($R22=0,$X22,IF(AND($T22&lt;&gt;"",EDATE($D22,Milestones!$AA$196)&gt;=$T22),$W22,IF(AND($S22&lt;&gt;"",EDATE($D22,Milestones!$AA$196)&gt;=$S22),$V22,$U22)))=Milestones!$AB$196),UPPER(TEXT(EDATE($D22,Milestones!$AA$196),"dd mmm yy"))&amp;" "&amp;Milestones!$AB$196&amp;" "&amp;Milestones!$AC$196&amp;";  ","")&amp;IF(AND(EDATE($D22,Milestones!$AA$197)&lt;=AsOfDate,IF($R22=0,$X22,IF(AND($T22&lt;&gt;"",EDATE($D22,Milestones!$AA$197)&gt;=$T22),$W22,IF(AND($S22&lt;&gt;"",EDATE($D22,Milestones!$AA$197)&gt;=$S22),$V22,$U22)))=Milestones!$AB$197),UPPER(TEXT(EDATE($D22,Milestones!$AA$197),"dd mmm yy"))&amp;" "&amp;Milestones!$AB$197&amp;" "&amp;Milestones!$AC$197&amp;";  ","")&amp;IF(AND(EDATE($D22,Milestones!$AA$198)&lt;=AsOfDate,IF($R22=0,$X22,IF(AND($T22&lt;&gt;"",EDATE($D22,Milestones!$AA$198)&gt;=$T22),$W22,IF(AND($S22&lt;&gt;"",EDATE($D22,Milestones!$AA$198)&gt;=$S22),$V22,$U22)))=Milestones!$AB$198),UPPER(TEXT(EDATE($D22,Milestones!$AA$198),"dd mmm yy"))&amp;" "&amp;Milestones!$AB$198&amp;" "&amp;Milestones!$AC$198&amp;";  ","")&amp;IF(AND(EDATE($D22,Milestones!$AA$199)&lt;=AsOfDate,IF($R22=0,$X22,IF(AND($T22&lt;&gt;"",EDATE($D22,Milestones!$AA$199)&gt;=$T22),$W22,IF(AND($S22&lt;&gt;"",EDATE($D22,Milestones!$AA$199)&gt;=$S22),$V22,$U22)))=Milestones!$AB$199),UPPER(TEXT(EDATE($D22,Milestones!$AA$199),"dd mmm yy"))&amp;" "&amp;Milestones!$AB$199&amp;" "&amp;Milestones!$AC$199&amp;";  ",""))</f>
        <v/>
      </c>
      <c r="R22" s="0" t="str">
        <f aca="false">IF(Staff!$A22="","",Staff!$AI22)</f>
        <v/>
      </c>
      <c r="S22" s="0" t="str">
        <f aca="false">IF(Staff!$A22="","",Staff!$AK22)</f>
        <v/>
      </c>
      <c r="T22" s="0" t="str">
        <f aca="false">IF(Staff!$A22="","",Staff!$AL22)</f>
        <v/>
      </c>
      <c r="U22" s="0" t="str">
        <f aca="false">IF(Staff!$A22="","",Staff!$AP22)</f>
        <v/>
      </c>
      <c r="V22" s="0" t="str">
        <f aca="false">IF(Staff!$A22="","",Staff!$AQ22)</f>
        <v/>
      </c>
      <c r="W22" s="0" t="str">
        <f aca="false">IF(Staff!$A22="","",Staff!$AR22)</f>
        <v/>
      </c>
      <c r="X22" s="0" t="str">
        <f aca="false">IF(Staff!$A22="","",Staff!$AS22)</f>
        <v/>
      </c>
    </row>
    <row r="23" customFormat="false" ht="15" hidden="false" customHeight="false" outlineLevel="0" collapsed="false">
      <c r="A23" s="14" t="str">
        <f aca="false">IF(Staff!$A23="","",Staff!$A23)</f>
        <v/>
      </c>
      <c r="B23" s="14" t="str">
        <f aca="false">IF(Staff!$A23="","",Staff!$B23)</f>
        <v/>
      </c>
      <c r="C23" s="14" t="str">
        <f aca="false">IF(Staff!$A23="","",Staff!$C23)</f>
        <v/>
      </c>
      <c r="D23" s="12" t="str">
        <f aca="false">IF(Staff!$A23="","",Staff!$AH23)</f>
        <v/>
      </c>
      <c r="E23" s="14" t="str">
        <f aca="false">IF(Staff!$A23="","",Staff!$O23)</f>
        <v/>
      </c>
      <c r="F23" s="14" t="str">
        <f aca="false">IF(E23="","",E23*HoursPerDay)</f>
        <v/>
      </c>
      <c r="G23" s="14" t="str">
        <f aca="false">IF(Staff!$A23="","",Staff!$AE23)</f>
        <v/>
      </c>
      <c r="H23" s="26" t="str">
        <f aca="false">IF($A23="","",I23&amp;J23&amp;K23&amp;L23&amp;M23&amp;N23&amp;O23&amp;P23&amp;Q23)</f>
        <v/>
      </c>
      <c r="I23" s="0" t="str">
        <f aca="false">IF(OR($A23="",$D23=""),"",IF(AND(EDATE($D23,Milestones!$AA$20)&lt;=AsOfDate,IF($R23=0,$X23,IF(AND($T23&lt;&gt;"",EDATE($D23,Milestones!$AA$20)&gt;=$T23),$W23,IF(AND($S23&lt;&gt;"",EDATE($D23,Milestones!$AA$20)&gt;=$S23),$V23,$U23)))=Milestones!$AB$20),UPPER(TEXT(EDATE($D23,Milestones!$AA$20),"dd mmm yy"))&amp;" "&amp;Milestones!$AB$20&amp;" "&amp;Milestones!$AC$20&amp;";  ","")&amp;IF(AND(EDATE($D23,Milestones!$AA$21)&lt;=AsOfDate,IF($R23=0,$X23,IF(AND($T23&lt;&gt;"",EDATE($D23,Milestones!$AA$21)&gt;=$T23),$W23,IF(AND($S23&lt;&gt;"",EDATE($D23,Milestones!$AA$21)&gt;=$S23),$V23,$U23)))=Milestones!$AB$21),UPPER(TEXT(EDATE($D23,Milestones!$AA$21),"dd mmm yy"))&amp;" "&amp;Milestones!$AB$21&amp;" "&amp;Milestones!$AC$21&amp;";  ","")&amp;IF(AND(EDATE($D23,Milestones!$AA$22)&lt;=AsOfDate,IF($R23=0,$X23,IF(AND($T23&lt;&gt;"",EDATE($D23,Milestones!$AA$22)&gt;=$T23),$W23,IF(AND($S23&lt;&gt;"",EDATE($D23,Milestones!$AA$22)&gt;=$S23),$V23,$U23)))=Milestones!$AB$22),UPPER(TEXT(EDATE($D23,Milestones!$AA$22),"dd mmm yy"))&amp;" "&amp;Milestones!$AB$22&amp;" "&amp;Milestones!$AC$22&amp;";  ","")&amp;IF(AND(EDATE($D23,Milestones!$AA$23)&lt;=AsOfDate,IF($R23=0,$X23,IF(AND($T23&lt;&gt;"",EDATE($D23,Milestones!$AA$23)&gt;=$T23),$W23,IF(AND($S23&lt;&gt;"",EDATE($D23,Milestones!$AA$23)&gt;=$S23),$V23,$U23)))=Milestones!$AB$23),UPPER(TEXT(EDATE($D23,Milestones!$AA$23),"dd mmm yy"))&amp;" "&amp;Milestones!$AB$23&amp;" "&amp;Milestones!$AC$23&amp;";  ","")&amp;IF(AND(EDATE($D23,Milestones!$AA$24)&lt;=AsOfDate,IF($R23=0,$X23,IF(AND($T23&lt;&gt;"",EDATE($D23,Milestones!$AA$24)&gt;=$T23),$W23,IF(AND($S23&lt;&gt;"",EDATE($D23,Milestones!$AA$24)&gt;=$S23),$V23,$U23)))=Milestones!$AB$24),UPPER(TEXT(EDATE($D23,Milestones!$AA$24),"dd mmm yy"))&amp;" "&amp;Milestones!$AB$24&amp;" "&amp;Milestones!$AC$24&amp;";  ","")&amp;IF(AND(EDATE($D23,Milestones!$AA$25)&lt;=AsOfDate,IF($R23=0,$X23,IF(AND($T23&lt;&gt;"",EDATE($D23,Milestones!$AA$25)&gt;=$T23),$W23,IF(AND($S23&lt;&gt;"",EDATE($D23,Milestones!$AA$25)&gt;=$S23),$V23,$U23)))=Milestones!$AB$25),UPPER(TEXT(EDATE($D23,Milestones!$AA$25),"dd mmm yy"))&amp;" "&amp;Milestones!$AB$25&amp;" "&amp;Milestones!$AC$25&amp;";  ","")&amp;IF(AND(EDATE($D23,Milestones!$AA$26)&lt;=AsOfDate,IF($R23=0,$X23,IF(AND($T23&lt;&gt;"",EDATE($D23,Milestones!$AA$26)&gt;=$T23),$W23,IF(AND($S23&lt;&gt;"",EDATE($D23,Milestones!$AA$26)&gt;=$S23),$V23,$U23)))=Milestones!$AB$26),UPPER(TEXT(EDATE($D23,Milestones!$AA$26),"dd mmm yy"))&amp;" "&amp;Milestones!$AB$26&amp;" "&amp;Milestones!$AC$26&amp;";  ","")&amp;IF(AND(EDATE($D23,Milestones!$AA$27)&lt;=AsOfDate,IF($R23=0,$X23,IF(AND($T23&lt;&gt;"",EDATE($D23,Milestones!$AA$27)&gt;=$T23),$W23,IF(AND($S23&lt;&gt;"",EDATE($D23,Milestones!$AA$27)&gt;=$S23),$V23,$U23)))=Milestones!$AB$27),UPPER(TEXT(EDATE($D23,Milestones!$AA$27),"dd mmm yy"))&amp;" "&amp;Milestones!$AB$27&amp;" "&amp;Milestones!$AC$27&amp;";  ","")&amp;IF(AND(EDATE($D23,Milestones!$AA$28)&lt;=AsOfDate,IF($R23=0,$X23,IF(AND($T23&lt;&gt;"",EDATE($D23,Milestones!$AA$28)&gt;=$T23),$W23,IF(AND($S23&lt;&gt;"",EDATE($D23,Milestones!$AA$28)&gt;=$S23),$V23,$U23)))=Milestones!$AB$28),UPPER(TEXT(EDATE($D23,Milestones!$AA$28),"dd mmm yy"))&amp;" "&amp;Milestones!$AB$28&amp;" "&amp;Milestones!$AC$28&amp;";  ","")&amp;IF(AND(EDATE($D23,Milestones!$AA$29)&lt;=AsOfDate,IF($R23=0,$X23,IF(AND($T23&lt;&gt;"",EDATE($D23,Milestones!$AA$29)&gt;=$T23),$W23,IF(AND($S23&lt;&gt;"",EDATE($D23,Milestones!$AA$29)&gt;=$S23),$V23,$U23)))=Milestones!$AB$29),UPPER(TEXT(EDATE($D23,Milestones!$AA$29),"dd mmm yy"))&amp;" "&amp;Milestones!$AB$29&amp;" "&amp;Milestones!$AC$29&amp;";  ","")&amp;IF(AND(EDATE($D23,Milestones!$AA$30)&lt;=AsOfDate,IF($R23=0,$X23,IF(AND($T23&lt;&gt;"",EDATE($D23,Milestones!$AA$30)&gt;=$T23),$W23,IF(AND($S23&lt;&gt;"",EDATE($D23,Milestones!$AA$30)&gt;=$S23),$V23,$U23)))=Milestones!$AB$30),UPPER(TEXT(EDATE($D23,Milestones!$AA$30),"dd mmm yy"))&amp;" "&amp;Milestones!$AB$30&amp;" "&amp;Milestones!$AC$30&amp;";  ","")&amp;IF(AND(EDATE($D23,Milestones!$AA$31)&lt;=AsOfDate,IF($R23=0,$X23,IF(AND($T23&lt;&gt;"",EDATE($D23,Milestones!$AA$31)&gt;=$T23),$W23,IF(AND($S23&lt;&gt;"",EDATE($D23,Milestones!$AA$31)&gt;=$S23),$V23,$U23)))=Milestones!$AB$31),UPPER(TEXT(EDATE($D23,Milestones!$AA$31),"dd mmm yy"))&amp;" "&amp;Milestones!$AB$31&amp;" "&amp;Milestones!$AC$31&amp;";  ","")&amp;IF(AND(EDATE($D23,Milestones!$AA$32)&lt;=AsOfDate,IF($R23=0,$X23,IF(AND($T23&lt;&gt;"",EDATE($D23,Milestones!$AA$32)&gt;=$T23),$W23,IF(AND($S23&lt;&gt;"",EDATE($D23,Milestones!$AA$32)&gt;=$S23),$V23,$U23)))=Milestones!$AB$32),UPPER(TEXT(EDATE($D23,Milestones!$AA$32),"dd mmm yy"))&amp;" "&amp;Milestones!$AB$32&amp;" "&amp;Milestones!$AC$32&amp;";  ","")&amp;IF(AND(EDATE($D23,Milestones!$AA$33)&lt;=AsOfDate,IF($R23=0,$X23,IF(AND($T23&lt;&gt;"",EDATE($D23,Milestones!$AA$33)&gt;=$T23),$W23,IF(AND($S23&lt;&gt;"",EDATE($D23,Milestones!$AA$33)&gt;=$S23),$V23,$U23)))=Milestones!$AB$33),UPPER(TEXT(EDATE($D23,Milestones!$AA$33),"dd mmm yy"))&amp;" "&amp;Milestones!$AB$33&amp;" "&amp;Milestones!$AC$33&amp;";  ","")&amp;IF(AND(EDATE($D23,Milestones!$AA$34)&lt;=AsOfDate,IF($R23=0,$X23,IF(AND($T23&lt;&gt;"",EDATE($D23,Milestones!$AA$34)&gt;=$T23),$W23,IF(AND($S23&lt;&gt;"",EDATE($D23,Milestones!$AA$34)&gt;=$S23),$V23,$U23)))=Milestones!$AB$34),UPPER(TEXT(EDATE($D23,Milestones!$AA$34),"dd mmm yy"))&amp;" "&amp;Milestones!$AB$34&amp;" "&amp;Milestones!$AC$34&amp;";  ","")&amp;IF(AND(EDATE($D23,Milestones!$AA$35)&lt;=AsOfDate,IF($R23=0,$X23,IF(AND($T23&lt;&gt;"",EDATE($D23,Milestones!$AA$35)&gt;=$T23),$W23,IF(AND($S23&lt;&gt;"",EDATE($D23,Milestones!$AA$35)&gt;=$S23),$V23,$U23)))=Milestones!$AB$35),UPPER(TEXT(EDATE($D23,Milestones!$AA$35),"dd mmm yy"))&amp;" "&amp;Milestones!$AB$35&amp;" "&amp;Milestones!$AC$35&amp;";  ","")&amp;IF(AND(EDATE($D23,Milestones!$AA$36)&lt;=AsOfDate,IF($R23=0,$X23,IF(AND($T23&lt;&gt;"",EDATE($D23,Milestones!$AA$36)&gt;=$T23),$W23,IF(AND($S23&lt;&gt;"",EDATE($D23,Milestones!$AA$36)&gt;=$S23),$V23,$U23)))=Milestones!$AB$36),UPPER(TEXT(EDATE($D23,Milestones!$AA$36),"dd mmm yy"))&amp;" "&amp;Milestones!$AB$36&amp;" "&amp;Milestones!$AC$36&amp;";  ","")&amp;IF(AND(EDATE($D23,Milestones!$AA$37)&lt;=AsOfDate,IF($R23=0,$X23,IF(AND($T23&lt;&gt;"",EDATE($D23,Milestones!$AA$37)&gt;=$T23),$W23,IF(AND($S23&lt;&gt;"",EDATE($D23,Milestones!$AA$37)&gt;=$S23),$V23,$U23)))=Milestones!$AB$37),UPPER(TEXT(EDATE($D23,Milestones!$AA$37),"dd mmm yy"))&amp;" "&amp;Milestones!$AB$37&amp;" "&amp;Milestones!$AC$37&amp;";  ","")&amp;IF(AND(EDATE($D23,Milestones!$AA$38)&lt;=AsOfDate,IF($R23=0,$X23,IF(AND($T23&lt;&gt;"",EDATE($D23,Milestones!$AA$38)&gt;=$T23),$W23,IF(AND($S23&lt;&gt;"",EDATE($D23,Milestones!$AA$38)&gt;=$S23),$V23,$U23)))=Milestones!$AB$38),UPPER(TEXT(EDATE($D23,Milestones!$AA$38),"dd mmm yy"))&amp;" "&amp;Milestones!$AB$38&amp;" "&amp;Milestones!$AC$38&amp;";  ","")&amp;IF(AND(EDATE($D23,Milestones!$AA$39)&lt;=AsOfDate,IF($R23=0,$X23,IF(AND($T23&lt;&gt;"",EDATE($D23,Milestones!$AA$39)&gt;=$T23),$W23,IF(AND($S23&lt;&gt;"",EDATE($D23,Milestones!$AA$39)&gt;=$S23),$V23,$U23)))=Milestones!$AB$39),UPPER(TEXT(EDATE($D23,Milestones!$AA$39),"dd mmm yy"))&amp;" "&amp;Milestones!$AB$39&amp;" "&amp;Milestones!$AC$39&amp;";  ",""))</f>
        <v/>
      </c>
      <c r="J23" s="0" t="str">
        <f aca="false">IF(OR($A23="",$D23=""),"",IF(AND(EDATE($D23,Milestones!$AA$40)&lt;=AsOfDate,IF($R23=0,$X23,IF(AND($T23&lt;&gt;"",EDATE($D23,Milestones!$AA$40)&gt;=$T23),$W23,IF(AND($S23&lt;&gt;"",EDATE($D23,Milestones!$AA$40)&gt;=$S23),$V23,$U23)))=Milestones!$AB$40),UPPER(TEXT(EDATE($D23,Milestones!$AA$40),"dd mmm yy"))&amp;" "&amp;Milestones!$AB$40&amp;" "&amp;Milestones!$AC$40&amp;";  ","")&amp;IF(AND(EDATE($D23,Milestones!$AA$41)&lt;=AsOfDate,IF($R23=0,$X23,IF(AND($T23&lt;&gt;"",EDATE($D23,Milestones!$AA$41)&gt;=$T23),$W23,IF(AND($S23&lt;&gt;"",EDATE($D23,Milestones!$AA$41)&gt;=$S23),$V23,$U23)))=Milestones!$AB$41),UPPER(TEXT(EDATE($D23,Milestones!$AA$41),"dd mmm yy"))&amp;" "&amp;Milestones!$AB$41&amp;" "&amp;Milestones!$AC$41&amp;";  ","")&amp;IF(AND(EDATE($D23,Milestones!$AA$42)&lt;=AsOfDate,IF($R23=0,$X23,IF(AND($T23&lt;&gt;"",EDATE($D23,Milestones!$AA$42)&gt;=$T23),$W23,IF(AND($S23&lt;&gt;"",EDATE($D23,Milestones!$AA$42)&gt;=$S23),$V23,$U23)))=Milestones!$AB$42),UPPER(TEXT(EDATE($D23,Milestones!$AA$42),"dd mmm yy"))&amp;" "&amp;Milestones!$AB$42&amp;" "&amp;Milestones!$AC$42&amp;";  ","")&amp;IF(AND(EDATE($D23,Milestones!$AA$43)&lt;=AsOfDate,IF($R23=0,$X23,IF(AND($T23&lt;&gt;"",EDATE($D23,Milestones!$AA$43)&gt;=$T23),$W23,IF(AND($S23&lt;&gt;"",EDATE($D23,Milestones!$AA$43)&gt;=$S23),$V23,$U23)))=Milestones!$AB$43),UPPER(TEXT(EDATE($D23,Milestones!$AA$43),"dd mmm yy"))&amp;" "&amp;Milestones!$AB$43&amp;" "&amp;Milestones!$AC$43&amp;";  ","")&amp;IF(AND(EDATE($D23,Milestones!$AA$44)&lt;=AsOfDate,IF($R23=0,$X23,IF(AND($T23&lt;&gt;"",EDATE($D23,Milestones!$AA$44)&gt;=$T23),$W23,IF(AND($S23&lt;&gt;"",EDATE($D23,Milestones!$AA$44)&gt;=$S23),$V23,$U23)))=Milestones!$AB$44),UPPER(TEXT(EDATE($D23,Milestones!$AA$44),"dd mmm yy"))&amp;" "&amp;Milestones!$AB$44&amp;" "&amp;Milestones!$AC$44&amp;";  ","")&amp;IF(AND(EDATE($D23,Milestones!$AA$45)&lt;=AsOfDate,IF($R23=0,$X23,IF(AND($T23&lt;&gt;"",EDATE($D23,Milestones!$AA$45)&gt;=$T23),$W23,IF(AND($S23&lt;&gt;"",EDATE($D23,Milestones!$AA$45)&gt;=$S23),$V23,$U23)))=Milestones!$AB$45),UPPER(TEXT(EDATE($D23,Milestones!$AA$45),"dd mmm yy"))&amp;" "&amp;Milestones!$AB$45&amp;" "&amp;Milestones!$AC$45&amp;";  ","")&amp;IF(AND(EDATE($D23,Milestones!$AA$46)&lt;=AsOfDate,IF($R23=0,$X23,IF(AND($T23&lt;&gt;"",EDATE($D23,Milestones!$AA$46)&gt;=$T23),$W23,IF(AND($S23&lt;&gt;"",EDATE($D23,Milestones!$AA$46)&gt;=$S23),$V23,$U23)))=Milestones!$AB$46),UPPER(TEXT(EDATE($D23,Milestones!$AA$46),"dd mmm yy"))&amp;" "&amp;Milestones!$AB$46&amp;" "&amp;Milestones!$AC$46&amp;";  ","")&amp;IF(AND(EDATE($D23,Milestones!$AA$47)&lt;=AsOfDate,IF($R23=0,$X23,IF(AND($T23&lt;&gt;"",EDATE($D23,Milestones!$AA$47)&gt;=$T23),$W23,IF(AND($S23&lt;&gt;"",EDATE($D23,Milestones!$AA$47)&gt;=$S23),$V23,$U23)))=Milestones!$AB$47),UPPER(TEXT(EDATE($D23,Milestones!$AA$47),"dd mmm yy"))&amp;" "&amp;Milestones!$AB$47&amp;" "&amp;Milestones!$AC$47&amp;";  ","")&amp;IF(AND(EDATE($D23,Milestones!$AA$48)&lt;=AsOfDate,IF($R23=0,$X23,IF(AND($T23&lt;&gt;"",EDATE($D23,Milestones!$AA$48)&gt;=$T23),$W23,IF(AND($S23&lt;&gt;"",EDATE($D23,Milestones!$AA$48)&gt;=$S23),$V23,$U23)))=Milestones!$AB$48),UPPER(TEXT(EDATE($D23,Milestones!$AA$48),"dd mmm yy"))&amp;" "&amp;Milestones!$AB$48&amp;" "&amp;Milestones!$AC$48&amp;";  ","")&amp;IF(AND(EDATE($D23,Milestones!$AA$49)&lt;=AsOfDate,IF($R23=0,$X23,IF(AND($T23&lt;&gt;"",EDATE($D23,Milestones!$AA$49)&gt;=$T23),$W23,IF(AND($S23&lt;&gt;"",EDATE($D23,Milestones!$AA$49)&gt;=$S23),$V23,$U23)))=Milestones!$AB$49),UPPER(TEXT(EDATE($D23,Milestones!$AA$49),"dd mmm yy"))&amp;" "&amp;Milestones!$AB$49&amp;" "&amp;Milestones!$AC$49&amp;";  ","")&amp;IF(AND(EDATE($D23,Milestones!$AA$50)&lt;=AsOfDate,IF($R23=0,$X23,IF(AND($T23&lt;&gt;"",EDATE($D23,Milestones!$AA$50)&gt;=$T23),$W23,IF(AND($S23&lt;&gt;"",EDATE($D23,Milestones!$AA$50)&gt;=$S23),$V23,$U23)))=Milestones!$AB$50),UPPER(TEXT(EDATE($D23,Milestones!$AA$50),"dd mmm yy"))&amp;" "&amp;Milestones!$AB$50&amp;" "&amp;Milestones!$AC$50&amp;";  ","")&amp;IF(AND(EDATE($D23,Milestones!$AA$51)&lt;=AsOfDate,IF($R23=0,$X23,IF(AND($T23&lt;&gt;"",EDATE($D23,Milestones!$AA$51)&gt;=$T23),$W23,IF(AND($S23&lt;&gt;"",EDATE($D23,Milestones!$AA$51)&gt;=$S23),$V23,$U23)))=Milestones!$AB$51),UPPER(TEXT(EDATE($D23,Milestones!$AA$51),"dd mmm yy"))&amp;" "&amp;Milestones!$AB$51&amp;" "&amp;Milestones!$AC$51&amp;";  ","")&amp;IF(AND(EDATE($D23,Milestones!$AA$52)&lt;=AsOfDate,IF($R23=0,$X23,IF(AND($T23&lt;&gt;"",EDATE($D23,Milestones!$AA$52)&gt;=$T23),$W23,IF(AND($S23&lt;&gt;"",EDATE($D23,Milestones!$AA$52)&gt;=$S23),$V23,$U23)))=Milestones!$AB$52),UPPER(TEXT(EDATE($D23,Milestones!$AA$52),"dd mmm yy"))&amp;" "&amp;Milestones!$AB$52&amp;" "&amp;Milestones!$AC$52&amp;";  ","")&amp;IF(AND(EDATE($D23,Milestones!$AA$53)&lt;=AsOfDate,IF($R23=0,$X23,IF(AND($T23&lt;&gt;"",EDATE($D23,Milestones!$AA$53)&gt;=$T23),$W23,IF(AND($S23&lt;&gt;"",EDATE($D23,Milestones!$AA$53)&gt;=$S23),$V23,$U23)))=Milestones!$AB$53),UPPER(TEXT(EDATE($D23,Milestones!$AA$53),"dd mmm yy"))&amp;" "&amp;Milestones!$AB$53&amp;" "&amp;Milestones!$AC$53&amp;";  ","")&amp;IF(AND(EDATE($D23,Milestones!$AA$54)&lt;=AsOfDate,IF($R23=0,$X23,IF(AND($T23&lt;&gt;"",EDATE($D23,Milestones!$AA$54)&gt;=$T23),$W23,IF(AND($S23&lt;&gt;"",EDATE($D23,Milestones!$AA$54)&gt;=$S23),$V23,$U23)))=Milestones!$AB$54),UPPER(TEXT(EDATE($D23,Milestones!$AA$54),"dd mmm yy"))&amp;" "&amp;Milestones!$AB$54&amp;" "&amp;Milestones!$AC$54&amp;";  ","")&amp;IF(AND(EDATE($D23,Milestones!$AA$55)&lt;=AsOfDate,IF($R23=0,$X23,IF(AND($T23&lt;&gt;"",EDATE($D23,Milestones!$AA$55)&gt;=$T23),$W23,IF(AND($S23&lt;&gt;"",EDATE($D23,Milestones!$AA$55)&gt;=$S23),$V23,$U23)))=Milestones!$AB$55),UPPER(TEXT(EDATE($D23,Milestones!$AA$55),"dd mmm yy"))&amp;" "&amp;Milestones!$AB$55&amp;" "&amp;Milestones!$AC$55&amp;";  ","")&amp;IF(AND(EDATE($D23,Milestones!$AA$56)&lt;=AsOfDate,IF($R23=0,$X23,IF(AND($T23&lt;&gt;"",EDATE($D23,Milestones!$AA$56)&gt;=$T23),$W23,IF(AND($S23&lt;&gt;"",EDATE($D23,Milestones!$AA$56)&gt;=$S23),$V23,$U23)))=Milestones!$AB$56),UPPER(TEXT(EDATE($D23,Milestones!$AA$56),"dd mmm yy"))&amp;" "&amp;Milestones!$AB$56&amp;" "&amp;Milestones!$AC$56&amp;";  ","")&amp;IF(AND(EDATE($D23,Milestones!$AA$57)&lt;=AsOfDate,IF($R23=0,$X23,IF(AND($T23&lt;&gt;"",EDATE($D23,Milestones!$AA$57)&gt;=$T23),$W23,IF(AND($S23&lt;&gt;"",EDATE($D23,Milestones!$AA$57)&gt;=$S23),$V23,$U23)))=Milestones!$AB$57),UPPER(TEXT(EDATE($D23,Milestones!$AA$57),"dd mmm yy"))&amp;" "&amp;Milestones!$AB$57&amp;" "&amp;Milestones!$AC$57&amp;";  ","")&amp;IF(AND(EDATE($D23,Milestones!$AA$58)&lt;=AsOfDate,IF($R23=0,$X23,IF(AND($T23&lt;&gt;"",EDATE($D23,Milestones!$AA$58)&gt;=$T23),$W23,IF(AND($S23&lt;&gt;"",EDATE($D23,Milestones!$AA$58)&gt;=$S23),$V23,$U23)))=Milestones!$AB$58),UPPER(TEXT(EDATE($D23,Milestones!$AA$58),"dd mmm yy"))&amp;" "&amp;Milestones!$AB$58&amp;" "&amp;Milestones!$AC$58&amp;";  ","")&amp;IF(AND(EDATE($D23,Milestones!$AA$59)&lt;=AsOfDate,IF($R23=0,$X23,IF(AND($T23&lt;&gt;"",EDATE($D23,Milestones!$AA$59)&gt;=$T23),$W23,IF(AND($S23&lt;&gt;"",EDATE($D23,Milestones!$AA$59)&gt;=$S23),$V23,$U23)))=Milestones!$AB$59),UPPER(TEXT(EDATE($D23,Milestones!$AA$59),"dd mmm yy"))&amp;" "&amp;Milestones!$AB$59&amp;" "&amp;Milestones!$AC$59&amp;";  ",""))</f>
        <v/>
      </c>
      <c r="K23" s="0" t="str">
        <f aca="false">IF(OR($A23="",$D23=""),"",IF(AND(EDATE($D23,Milestones!$AA$60)&lt;=AsOfDate,IF($R23=0,$X23,IF(AND($T23&lt;&gt;"",EDATE($D23,Milestones!$AA$60)&gt;=$T23),$W23,IF(AND($S23&lt;&gt;"",EDATE($D23,Milestones!$AA$60)&gt;=$S23),$V23,$U23)))=Milestones!$AB$60),UPPER(TEXT(EDATE($D23,Milestones!$AA$60),"dd mmm yy"))&amp;" "&amp;Milestones!$AB$60&amp;" "&amp;Milestones!$AC$60&amp;";  ","")&amp;IF(AND(EDATE($D23,Milestones!$AA$61)&lt;=AsOfDate,IF($R23=0,$X23,IF(AND($T23&lt;&gt;"",EDATE($D23,Milestones!$AA$61)&gt;=$T23),$W23,IF(AND($S23&lt;&gt;"",EDATE($D23,Milestones!$AA$61)&gt;=$S23),$V23,$U23)))=Milestones!$AB$61),UPPER(TEXT(EDATE($D23,Milestones!$AA$61),"dd mmm yy"))&amp;" "&amp;Milestones!$AB$61&amp;" "&amp;Milestones!$AC$61&amp;";  ","")&amp;IF(AND(EDATE($D23,Milestones!$AA$62)&lt;=AsOfDate,IF($R23=0,$X23,IF(AND($T23&lt;&gt;"",EDATE($D23,Milestones!$AA$62)&gt;=$T23),$W23,IF(AND($S23&lt;&gt;"",EDATE($D23,Milestones!$AA$62)&gt;=$S23),$V23,$U23)))=Milestones!$AB$62),UPPER(TEXT(EDATE($D23,Milestones!$AA$62),"dd mmm yy"))&amp;" "&amp;Milestones!$AB$62&amp;" "&amp;Milestones!$AC$62&amp;";  ","")&amp;IF(AND(EDATE($D23,Milestones!$AA$63)&lt;=AsOfDate,IF($R23=0,$X23,IF(AND($T23&lt;&gt;"",EDATE($D23,Milestones!$AA$63)&gt;=$T23),$W23,IF(AND($S23&lt;&gt;"",EDATE($D23,Milestones!$AA$63)&gt;=$S23),$V23,$U23)))=Milestones!$AB$63),UPPER(TEXT(EDATE($D23,Milestones!$AA$63),"dd mmm yy"))&amp;" "&amp;Milestones!$AB$63&amp;" "&amp;Milestones!$AC$63&amp;";  ","")&amp;IF(AND(EDATE($D23,Milestones!$AA$64)&lt;=AsOfDate,IF($R23=0,$X23,IF(AND($T23&lt;&gt;"",EDATE($D23,Milestones!$AA$64)&gt;=$T23),$W23,IF(AND($S23&lt;&gt;"",EDATE($D23,Milestones!$AA$64)&gt;=$S23),$V23,$U23)))=Milestones!$AB$64),UPPER(TEXT(EDATE($D23,Milestones!$AA$64),"dd mmm yy"))&amp;" "&amp;Milestones!$AB$64&amp;" "&amp;Milestones!$AC$64&amp;";  ","")&amp;IF(AND(EDATE($D23,Milestones!$AA$65)&lt;=AsOfDate,IF($R23=0,$X23,IF(AND($T23&lt;&gt;"",EDATE($D23,Milestones!$AA$65)&gt;=$T23),$W23,IF(AND($S23&lt;&gt;"",EDATE($D23,Milestones!$AA$65)&gt;=$S23),$V23,$U23)))=Milestones!$AB$65),UPPER(TEXT(EDATE($D23,Milestones!$AA$65),"dd mmm yy"))&amp;" "&amp;Milestones!$AB$65&amp;" "&amp;Milestones!$AC$65&amp;";  ","")&amp;IF(AND(EDATE($D23,Milestones!$AA$66)&lt;=AsOfDate,IF($R23=0,$X23,IF(AND($T23&lt;&gt;"",EDATE($D23,Milestones!$AA$66)&gt;=$T23),$W23,IF(AND($S23&lt;&gt;"",EDATE($D23,Milestones!$AA$66)&gt;=$S23),$V23,$U23)))=Milestones!$AB$66),UPPER(TEXT(EDATE($D23,Milestones!$AA$66),"dd mmm yy"))&amp;" "&amp;Milestones!$AB$66&amp;" "&amp;Milestones!$AC$66&amp;";  ","")&amp;IF(AND(EDATE($D23,Milestones!$AA$67)&lt;=AsOfDate,IF($R23=0,$X23,IF(AND($T23&lt;&gt;"",EDATE($D23,Milestones!$AA$67)&gt;=$T23),$W23,IF(AND($S23&lt;&gt;"",EDATE($D23,Milestones!$AA$67)&gt;=$S23),$V23,$U23)))=Milestones!$AB$67),UPPER(TEXT(EDATE($D23,Milestones!$AA$67),"dd mmm yy"))&amp;" "&amp;Milestones!$AB$67&amp;" "&amp;Milestones!$AC$67&amp;";  ","")&amp;IF(AND(EDATE($D23,Milestones!$AA$68)&lt;=AsOfDate,IF($R23=0,$X23,IF(AND($T23&lt;&gt;"",EDATE($D23,Milestones!$AA$68)&gt;=$T23),$W23,IF(AND($S23&lt;&gt;"",EDATE($D23,Milestones!$AA$68)&gt;=$S23),$V23,$U23)))=Milestones!$AB$68),UPPER(TEXT(EDATE($D23,Milestones!$AA$68),"dd mmm yy"))&amp;" "&amp;Milestones!$AB$68&amp;" "&amp;Milestones!$AC$68&amp;";  ","")&amp;IF(AND(EDATE($D23,Milestones!$AA$69)&lt;=AsOfDate,IF($R23=0,$X23,IF(AND($T23&lt;&gt;"",EDATE($D23,Milestones!$AA$69)&gt;=$T23),$W23,IF(AND($S23&lt;&gt;"",EDATE($D23,Milestones!$AA$69)&gt;=$S23),$V23,$U23)))=Milestones!$AB$69),UPPER(TEXT(EDATE($D23,Milestones!$AA$69),"dd mmm yy"))&amp;" "&amp;Milestones!$AB$69&amp;" "&amp;Milestones!$AC$69&amp;";  ","")&amp;IF(AND(EDATE($D23,Milestones!$AA$70)&lt;=AsOfDate,IF($R23=0,$X23,IF(AND($T23&lt;&gt;"",EDATE($D23,Milestones!$AA$70)&gt;=$T23),$W23,IF(AND($S23&lt;&gt;"",EDATE($D23,Milestones!$AA$70)&gt;=$S23),$V23,$U23)))=Milestones!$AB$70),UPPER(TEXT(EDATE($D23,Milestones!$AA$70),"dd mmm yy"))&amp;" "&amp;Milestones!$AB$70&amp;" "&amp;Milestones!$AC$70&amp;";  ","")&amp;IF(AND(EDATE($D23,Milestones!$AA$71)&lt;=AsOfDate,IF($R23=0,$X23,IF(AND($T23&lt;&gt;"",EDATE($D23,Milestones!$AA$71)&gt;=$T23),$W23,IF(AND($S23&lt;&gt;"",EDATE($D23,Milestones!$AA$71)&gt;=$S23),$V23,$U23)))=Milestones!$AB$71),UPPER(TEXT(EDATE($D23,Milestones!$AA$71),"dd mmm yy"))&amp;" "&amp;Milestones!$AB$71&amp;" "&amp;Milestones!$AC$71&amp;";  ","")&amp;IF(AND(EDATE($D23,Milestones!$AA$72)&lt;=AsOfDate,IF($R23=0,$X23,IF(AND($T23&lt;&gt;"",EDATE($D23,Milestones!$AA$72)&gt;=$T23),$W23,IF(AND($S23&lt;&gt;"",EDATE($D23,Milestones!$AA$72)&gt;=$S23),$V23,$U23)))=Milestones!$AB$72),UPPER(TEXT(EDATE($D23,Milestones!$AA$72),"dd mmm yy"))&amp;" "&amp;Milestones!$AB$72&amp;" "&amp;Milestones!$AC$72&amp;";  ","")&amp;IF(AND(EDATE($D23,Milestones!$AA$73)&lt;=AsOfDate,IF($R23=0,$X23,IF(AND($T23&lt;&gt;"",EDATE($D23,Milestones!$AA$73)&gt;=$T23),$W23,IF(AND($S23&lt;&gt;"",EDATE($D23,Milestones!$AA$73)&gt;=$S23),$V23,$U23)))=Milestones!$AB$73),UPPER(TEXT(EDATE($D23,Milestones!$AA$73),"dd mmm yy"))&amp;" "&amp;Milestones!$AB$73&amp;" "&amp;Milestones!$AC$73&amp;";  ","")&amp;IF(AND(EDATE($D23,Milestones!$AA$74)&lt;=AsOfDate,IF($R23=0,$X23,IF(AND($T23&lt;&gt;"",EDATE($D23,Milestones!$AA$74)&gt;=$T23),$W23,IF(AND($S23&lt;&gt;"",EDATE($D23,Milestones!$AA$74)&gt;=$S23),$V23,$U23)))=Milestones!$AB$74),UPPER(TEXT(EDATE($D23,Milestones!$AA$74),"dd mmm yy"))&amp;" "&amp;Milestones!$AB$74&amp;" "&amp;Milestones!$AC$74&amp;";  ","")&amp;IF(AND(EDATE($D23,Milestones!$AA$75)&lt;=AsOfDate,IF($R23=0,$X23,IF(AND($T23&lt;&gt;"",EDATE($D23,Milestones!$AA$75)&gt;=$T23),$W23,IF(AND($S23&lt;&gt;"",EDATE($D23,Milestones!$AA$75)&gt;=$S23),$V23,$U23)))=Milestones!$AB$75),UPPER(TEXT(EDATE($D23,Milestones!$AA$75),"dd mmm yy"))&amp;" "&amp;Milestones!$AB$75&amp;" "&amp;Milestones!$AC$75&amp;";  ","")&amp;IF(AND(EDATE($D23,Milestones!$AA$76)&lt;=AsOfDate,IF($R23=0,$X23,IF(AND($T23&lt;&gt;"",EDATE($D23,Milestones!$AA$76)&gt;=$T23),$W23,IF(AND($S23&lt;&gt;"",EDATE($D23,Milestones!$AA$76)&gt;=$S23),$V23,$U23)))=Milestones!$AB$76),UPPER(TEXT(EDATE($D23,Milestones!$AA$76),"dd mmm yy"))&amp;" "&amp;Milestones!$AB$76&amp;" "&amp;Milestones!$AC$76&amp;";  ","")&amp;IF(AND(EDATE($D23,Milestones!$AA$77)&lt;=AsOfDate,IF($R23=0,$X23,IF(AND($T23&lt;&gt;"",EDATE($D23,Milestones!$AA$77)&gt;=$T23),$W23,IF(AND($S23&lt;&gt;"",EDATE($D23,Milestones!$AA$77)&gt;=$S23),$V23,$U23)))=Milestones!$AB$77),UPPER(TEXT(EDATE($D23,Milestones!$AA$77),"dd mmm yy"))&amp;" "&amp;Milestones!$AB$77&amp;" "&amp;Milestones!$AC$77&amp;";  ","")&amp;IF(AND(EDATE($D23,Milestones!$AA$78)&lt;=AsOfDate,IF($R23=0,$X23,IF(AND($T23&lt;&gt;"",EDATE($D23,Milestones!$AA$78)&gt;=$T23),$W23,IF(AND($S23&lt;&gt;"",EDATE($D23,Milestones!$AA$78)&gt;=$S23),$V23,$U23)))=Milestones!$AB$78),UPPER(TEXT(EDATE($D23,Milestones!$AA$78),"dd mmm yy"))&amp;" "&amp;Milestones!$AB$78&amp;" "&amp;Milestones!$AC$78&amp;";  ","")&amp;IF(AND(EDATE($D23,Milestones!$AA$79)&lt;=AsOfDate,IF($R23=0,$X23,IF(AND($T23&lt;&gt;"",EDATE($D23,Milestones!$AA$79)&gt;=$T23),$W23,IF(AND($S23&lt;&gt;"",EDATE($D23,Milestones!$AA$79)&gt;=$S23),$V23,$U23)))=Milestones!$AB$79),UPPER(TEXT(EDATE($D23,Milestones!$AA$79),"dd mmm yy"))&amp;" "&amp;Milestones!$AB$79&amp;" "&amp;Milestones!$AC$79&amp;";  ",""))</f>
        <v/>
      </c>
      <c r="L23" s="0" t="str">
        <f aca="false">IF(OR($A23="",$D23=""),"",IF(AND(EDATE($D23,Milestones!$AA$80)&lt;=AsOfDate,IF($R23=0,$X23,IF(AND($T23&lt;&gt;"",EDATE($D23,Milestones!$AA$80)&gt;=$T23),$W23,IF(AND($S23&lt;&gt;"",EDATE($D23,Milestones!$AA$80)&gt;=$S23),$V23,$U23)))=Milestones!$AB$80),UPPER(TEXT(EDATE($D23,Milestones!$AA$80),"dd mmm yy"))&amp;" "&amp;Milestones!$AB$80&amp;" "&amp;Milestones!$AC$80&amp;";  ","")&amp;IF(AND(EDATE($D23,Milestones!$AA$81)&lt;=AsOfDate,IF($R23=0,$X23,IF(AND($T23&lt;&gt;"",EDATE($D23,Milestones!$AA$81)&gt;=$T23),$W23,IF(AND($S23&lt;&gt;"",EDATE($D23,Milestones!$AA$81)&gt;=$S23),$V23,$U23)))=Milestones!$AB$81),UPPER(TEXT(EDATE($D23,Milestones!$AA$81),"dd mmm yy"))&amp;" "&amp;Milestones!$AB$81&amp;" "&amp;Milestones!$AC$81&amp;";  ","")&amp;IF(AND(EDATE($D23,Milestones!$AA$82)&lt;=AsOfDate,IF($R23=0,$X23,IF(AND($T23&lt;&gt;"",EDATE($D23,Milestones!$AA$82)&gt;=$T23),$W23,IF(AND($S23&lt;&gt;"",EDATE($D23,Milestones!$AA$82)&gt;=$S23),$V23,$U23)))=Milestones!$AB$82),UPPER(TEXT(EDATE($D23,Milestones!$AA$82),"dd mmm yy"))&amp;" "&amp;Milestones!$AB$82&amp;" "&amp;Milestones!$AC$82&amp;";  ","")&amp;IF(AND(EDATE($D23,Milestones!$AA$83)&lt;=AsOfDate,IF($R23=0,$X23,IF(AND($T23&lt;&gt;"",EDATE($D23,Milestones!$AA$83)&gt;=$T23),$W23,IF(AND($S23&lt;&gt;"",EDATE($D23,Milestones!$AA$83)&gt;=$S23),$V23,$U23)))=Milestones!$AB$83),UPPER(TEXT(EDATE($D23,Milestones!$AA$83),"dd mmm yy"))&amp;" "&amp;Milestones!$AB$83&amp;" "&amp;Milestones!$AC$83&amp;";  ","")&amp;IF(AND(EDATE($D23,Milestones!$AA$84)&lt;=AsOfDate,IF($R23=0,$X23,IF(AND($T23&lt;&gt;"",EDATE($D23,Milestones!$AA$84)&gt;=$T23),$W23,IF(AND($S23&lt;&gt;"",EDATE($D23,Milestones!$AA$84)&gt;=$S23),$V23,$U23)))=Milestones!$AB$84),UPPER(TEXT(EDATE($D23,Milestones!$AA$84),"dd mmm yy"))&amp;" "&amp;Milestones!$AB$84&amp;" "&amp;Milestones!$AC$84&amp;";  ","")&amp;IF(AND(EDATE($D23,Milestones!$AA$85)&lt;=AsOfDate,IF($R23=0,$X23,IF(AND($T23&lt;&gt;"",EDATE($D23,Milestones!$AA$85)&gt;=$T23),$W23,IF(AND($S23&lt;&gt;"",EDATE($D23,Milestones!$AA$85)&gt;=$S23),$V23,$U23)))=Milestones!$AB$85),UPPER(TEXT(EDATE($D23,Milestones!$AA$85),"dd mmm yy"))&amp;" "&amp;Milestones!$AB$85&amp;" "&amp;Milestones!$AC$85&amp;";  ","")&amp;IF(AND(EDATE($D23,Milestones!$AA$86)&lt;=AsOfDate,IF($R23=0,$X23,IF(AND($T23&lt;&gt;"",EDATE($D23,Milestones!$AA$86)&gt;=$T23),$W23,IF(AND($S23&lt;&gt;"",EDATE($D23,Milestones!$AA$86)&gt;=$S23),$V23,$U23)))=Milestones!$AB$86),UPPER(TEXT(EDATE($D23,Milestones!$AA$86),"dd mmm yy"))&amp;" "&amp;Milestones!$AB$86&amp;" "&amp;Milestones!$AC$86&amp;";  ","")&amp;IF(AND(EDATE($D23,Milestones!$AA$87)&lt;=AsOfDate,IF($R23=0,$X23,IF(AND($T23&lt;&gt;"",EDATE($D23,Milestones!$AA$87)&gt;=$T23),$W23,IF(AND($S23&lt;&gt;"",EDATE($D23,Milestones!$AA$87)&gt;=$S23),$V23,$U23)))=Milestones!$AB$87),UPPER(TEXT(EDATE($D23,Milestones!$AA$87),"dd mmm yy"))&amp;" "&amp;Milestones!$AB$87&amp;" "&amp;Milestones!$AC$87&amp;";  ","")&amp;IF(AND(EDATE($D23,Milestones!$AA$88)&lt;=AsOfDate,IF($R23=0,$X23,IF(AND($T23&lt;&gt;"",EDATE($D23,Milestones!$AA$88)&gt;=$T23),$W23,IF(AND($S23&lt;&gt;"",EDATE($D23,Milestones!$AA$88)&gt;=$S23),$V23,$U23)))=Milestones!$AB$88),UPPER(TEXT(EDATE($D23,Milestones!$AA$88),"dd mmm yy"))&amp;" "&amp;Milestones!$AB$88&amp;" "&amp;Milestones!$AC$88&amp;";  ","")&amp;IF(AND(EDATE($D23,Milestones!$AA$89)&lt;=AsOfDate,IF($R23=0,$X23,IF(AND($T23&lt;&gt;"",EDATE($D23,Milestones!$AA$89)&gt;=$T23),$W23,IF(AND($S23&lt;&gt;"",EDATE($D23,Milestones!$AA$89)&gt;=$S23),$V23,$U23)))=Milestones!$AB$89),UPPER(TEXT(EDATE($D23,Milestones!$AA$89),"dd mmm yy"))&amp;" "&amp;Milestones!$AB$89&amp;" "&amp;Milestones!$AC$89&amp;";  ","")&amp;IF(AND(EDATE($D23,Milestones!$AA$90)&lt;=AsOfDate,IF($R23=0,$X23,IF(AND($T23&lt;&gt;"",EDATE($D23,Milestones!$AA$90)&gt;=$T23),$W23,IF(AND($S23&lt;&gt;"",EDATE($D23,Milestones!$AA$90)&gt;=$S23),$V23,$U23)))=Milestones!$AB$90),UPPER(TEXT(EDATE($D23,Milestones!$AA$90),"dd mmm yy"))&amp;" "&amp;Milestones!$AB$90&amp;" "&amp;Milestones!$AC$90&amp;";  ","")&amp;IF(AND(EDATE($D23,Milestones!$AA$91)&lt;=AsOfDate,IF($R23=0,$X23,IF(AND($T23&lt;&gt;"",EDATE($D23,Milestones!$AA$91)&gt;=$T23),$W23,IF(AND($S23&lt;&gt;"",EDATE($D23,Milestones!$AA$91)&gt;=$S23),$V23,$U23)))=Milestones!$AB$91),UPPER(TEXT(EDATE($D23,Milestones!$AA$91),"dd mmm yy"))&amp;" "&amp;Milestones!$AB$91&amp;" "&amp;Milestones!$AC$91&amp;";  ","")&amp;IF(AND(EDATE($D23,Milestones!$AA$92)&lt;=AsOfDate,IF($R23=0,$X23,IF(AND($T23&lt;&gt;"",EDATE($D23,Milestones!$AA$92)&gt;=$T23),$W23,IF(AND($S23&lt;&gt;"",EDATE($D23,Milestones!$AA$92)&gt;=$S23),$V23,$U23)))=Milestones!$AB$92),UPPER(TEXT(EDATE($D23,Milestones!$AA$92),"dd mmm yy"))&amp;" "&amp;Milestones!$AB$92&amp;" "&amp;Milestones!$AC$92&amp;";  ","")&amp;IF(AND(EDATE($D23,Milestones!$AA$93)&lt;=AsOfDate,IF($R23=0,$X23,IF(AND($T23&lt;&gt;"",EDATE($D23,Milestones!$AA$93)&gt;=$T23),$W23,IF(AND($S23&lt;&gt;"",EDATE($D23,Milestones!$AA$93)&gt;=$S23),$V23,$U23)))=Milestones!$AB$93),UPPER(TEXT(EDATE($D23,Milestones!$AA$93),"dd mmm yy"))&amp;" "&amp;Milestones!$AB$93&amp;" "&amp;Milestones!$AC$93&amp;";  ","")&amp;IF(AND(EDATE($D23,Milestones!$AA$94)&lt;=AsOfDate,IF($R23=0,$X23,IF(AND($T23&lt;&gt;"",EDATE($D23,Milestones!$AA$94)&gt;=$T23),$W23,IF(AND($S23&lt;&gt;"",EDATE($D23,Milestones!$AA$94)&gt;=$S23),$V23,$U23)))=Milestones!$AB$94),UPPER(TEXT(EDATE($D23,Milestones!$AA$94),"dd mmm yy"))&amp;" "&amp;Milestones!$AB$94&amp;" "&amp;Milestones!$AC$94&amp;";  ","")&amp;IF(AND(EDATE($D23,Milestones!$AA$95)&lt;=AsOfDate,IF($R23=0,$X23,IF(AND($T23&lt;&gt;"",EDATE($D23,Milestones!$AA$95)&gt;=$T23),$W23,IF(AND($S23&lt;&gt;"",EDATE($D23,Milestones!$AA$95)&gt;=$S23),$V23,$U23)))=Milestones!$AB$95),UPPER(TEXT(EDATE($D23,Milestones!$AA$95),"dd mmm yy"))&amp;" "&amp;Milestones!$AB$95&amp;" "&amp;Milestones!$AC$95&amp;";  ","")&amp;IF(AND(EDATE($D23,Milestones!$AA$96)&lt;=AsOfDate,IF($R23=0,$X23,IF(AND($T23&lt;&gt;"",EDATE($D23,Milestones!$AA$96)&gt;=$T23),$W23,IF(AND($S23&lt;&gt;"",EDATE($D23,Milestones!$AA$96)&gt;=$S23),$V23,$U23)))=Milestones!$AB$96),UPPER(TEXT(EDATE($D23,Milestones!$AA$96),"dd mmm yy"))&amp;" "&amp;Milestones!$AB$96&amp;" "&amp;Milestones!$AC$96&amp;";  ","")&amp;IF(AND(EDATE($D23,Milestones!$AA$97)&lt;=AsOfDate,IF($R23=0,$X23,IF(AND($T23&lt;&gt;"",EDATE($D23,Milestones!$AA$97)&gt;=$T23),$W23,IF(AND($S23&lt;&gt;"",EDATE($D23,Milestones!$AA$97)&gt;=$S23),$V23,$U23)))=Milestones!$AB$97),UPPER(TEXT(EDATE($D23,Milestones!$AA$97),"dd mmm yy"))&amp;" "&amp;Milestones!$AB$97&amp;" "&amp;Milestones!$AC$97&amp;";  ","")&amp;IF(AND(EDATE($D23,Milestones!$AA$98)&lt;=AsOfDate,IF($R23=0,$X23,IF(AND($T23&lt;&gt;"",EDATE($D23,Milestones!$AA$98)&gt;=$T23),$W23,IF(AND($S23&lt;&gt;"",EDATE($D23,Milestones!$AA$98)&gt;=$S23),$V23,$U23)))=Milestones!$AB$98),UPPER(TEXT(EDATE($D23,Milestones!$AA$98),"dd mmm yy"))&amp;" "&amp;Milestones!$AB$98&amp;" "&amp;Milestones!$AC$98&amp;";  ","")&amp;IF(AND(EDATE($D23,Milestones!$AA$99)&lt;=AsOfDate,IF($R23=0,$X23,IF(AND($T23&lt;&gt;"",EDATE($D23,Milestones!$AA$99)&gt;=$T23),$W23,IF(AND($S23&lt;&gt;"",EDATE($D23,Milestones!$AA$99)&gt;=$S23),$V23,$U23)))=Milestones!$AB$99),UPPER(TEXT(EDATE($D23,Milestones!$AA$99),"dd mmm yy"))&amp;" "&amp;Milestones!$AB$99&amp;" "&amp;Milestones!$AC$99&amp;";  ",""))</f>
        <v/>
      </c>
      <c r="M23" s="0" t="str">
        <f aca="false">IF(OR($A23="",$D23=""),"",IF(AND(EDATE($D23,Milestones!$AA$100)&lt;=AsOfDate,IF($R23=0,$X23,IF(AND($T23&lt;&gt;"",EDATE($D23,Milestones!$AA$100)&gt;=$T23),$W23,IF(AND($S23&lt;&gt;"",EDATE($D23,Milestones!$AA$100)&gt;=$S23),$V23,$U23)))=Milestones!$AB$100),UPPER(TEXT(EDATE($D23,Milestones!$AA$100),"dd mmm yy"))&amp;" "&amp;Milestones!$AB$100&amp;" "&amp;Milestones!$AC$100&amp;";  ","")&amp;IF(AND(EDATE($D23,Milestones!$AA$101)&lt;=AsOfDate,IF($R23=0,$X23,IF(AND($T23&lt;&gt;"",EDATE($D23,Milestones!$AA$101)&gt;=$T23),$W23,IF(AND($S23&lt;&gt;"",EDATE($D23,Milestones!$AA$101)&gt;=$S23),$V23,$U23)))=Milestones!$AB$101),UPPER(TEXT(EDATE($D23,Milestones!$AA$101),"dd mmm yy"))&amp;" "&amp;Milestones!$AB$101&amp;" "&amp;Milestones!$AC$101&amp;";  ","")&amp;IF(AND(EDATE($D23,Milestones!$AA$102)&lt;=AsOfDate,IF($R23=0,$X23,IF(AND($T23&lt;&gt;"",EDATE($D23,Milestones!$AA$102)&gt;=$T23),$W23,IF(AND($S23&lt;&gt;"",EDATE($D23,Milestones!$AA$102)&gt;=$S23),$V23,$U23)))=Milestones!$AB$102),UPPER(TEXT(EDATE($D23,Milestones!$AA$102),"dd mmm yy"))&amp;" "&amp;Milestones!$AB$102&amp;" "&amp;Milestones!$AC$102&amp;";  ","")&amp;IF(AND(EDATE($D23,Milestones!$AA$103)&lt;=AsOfDate,IF($R23=0,$X23,IF(AND($T23&lt;&gt;"",EDATE($D23,Milestones!$AA$103)&gt;=$T23),$W23,IF(AND($S23&lt;&gt;"",EDATE($D23,Milestones!$AA$103)&gt;=$S23),$V23,$U23)))=Milestones!$AB$103),UPPER(TEXT(EDATE($D23,Milestones!$AA$103),"dd mmm yy"))&amp;" "&amp;Milestones!$AB$103&amp;" "&amp;Milestones!$AC$103&amp;";  ","")&amp;IF(AND(EDATE($D23,Milestones!$AA$104)&lt;=AsOfDate,IF($R23=0,$X23,IF(AND($T23&lt;&gt;"",EDATE($D23,Milestones!$AA$104)&gt;=$T23),$W23,IF(AND($S23&lt;&gt;"",EDATE($D23,Milestones!$AA$104)&gt;=$S23),$V23,$U23)))=Milestones!$AB$104),UPPER(TEXT(EDATE($D23,Milestones!$AA$104),"dd mmm yy"))&amp;" "&amp;Milestones!$AB$104&amp;" "&amp;Milestones!$AC$104&amp;";  ","")&amp;IF(AND(EDATE($D23,Milestones!$AA$105)&lt;=AsOfDate,IF($R23=0,$X23,IF(AND($T23&lt;&gt;"",EDATE($D23,Milestones!$AA$105)&gt;=$T23),$W23,IF(AND($S23&lt;&gt;"",EDATE($D23,Milestones!$AA$105)&gt;=$S23),$V23,$U23)))=Milestones!$AB$105),UPPER(TEXT(EDATE($D23,Milestones!$AA$105),"dd mmm yy"))&amp;" "&amp;Milestones!$AB$105&amp;" "&amp;Milestones!$AC$105&amp;";  ","")&amp;IF(AND(EDATE($D23,Milestones!$AA$106)&lt;=AsOfDate,IF($R23=0,$X23,IF(AND($T23&lt;&gt;"",EDATE($D23,Milestones!$AA$106)&gt;=$T23),$W23,IF(AND($S23&lt;&gt;"",EDATE($D23,Milestones!$AA$106)&gt;=$S23),$V23,$U23)))=Milestones!$AB$106),UPPER(TEXT(EDATE($D23,Milestones!$AA$106),"dd mmm yy"))&amp;" "&amp;Milestones!$AB$106&amp;" "&amp;Milestones!$AC$106&amp;";  ","")&amp;IF(AND(EDATE($D23,Milestones!$AA$107)&lt;=AsOfDate,IF($R23=0,$X23,IF(AND($T23&lt;&gt;"",EDATE($D23,Milestones!$AA$107)&gt;=$T23),$W23,IF(AND($S23&lt;&gt;"",EDATE($D23,Milestones!$AA$107)&gt;=$S23),$V23,$U23)))=Milestones!$AB$107),UPPER(TEXT(EDATE($D23,Milestones!$AA$107),"dd mmm yy"))&amp;" "&amp;Milestones!$AB$107&amp;" "&amp;Milestones!$AC$107&amp;";  ","")&amp;IF(AND(EDATE($D23,Milestones!$AA$108)&lt;=AsOfDate,IF($R23=0,$X23,IF(AND($T23&lt;&gt;"",EDATE($D23,Milestones!$AA$108)&gt;=$T23),$W23,IF(AND($S23&lt;&gt;"",EDATE($D23,Milestones!$AA$108)&gt;=$S23),$V23,$U23)))=Milestones!$AB$108),UPPER(TEXT(EDATE($D23,Milestones!$AA$108),"dd mmm yy"))&amp;" "&amp;Milestones!$AB$108&amp;" "&amp;Milestones!$AC$108&amp;";  ","")&amp;IF(AND(EDATE($D23,Milestones!$AA$109)&lt;=AsOfDate,IF($R23=0,$X23,IF(AND($T23&lt;&gt;"",EDATE($D23,Milestones!$AA$109)&gt;=$T23),$W23,IF(AND($S23&lt;&gt;"",EDATE($D23,Milestones!$AA$109)&gt;=$S23),$V23,$U23)))=Milestones!$AB$109),UPPER(TEXT(EDATE($D23,Milestones!$AA$109),"dd mmm yy"))&amp;" "&amp;Milestones!$AB$109&amp;" "&amp;Milestones!$AC$109&amp;";  ","")&amp;IF(AND(EDATE($D23,Milestones!$AA$110)&lt;=AsOfDate,IF($R23=0,$X23,IF(AND($T23&lt;&gt;"",EDATE($D23,Milestones!$AA$110)&gt;=$T23),$W23,IF(AND($S23&lt;&gt;"",EDATE($D23,Milestones!$AA$110)&gt;=$S23),$V23,$U23)))=Milestones!$AB$110),UPPER(TEXT(EDATE($D23,Milestones!$AA$110),"dd mmm yy"))&amp;" "&amp;Milestones!$AB$110&amp;" "&amp;Milestones!$AC$110&amp;";  ","")&amp;IF(AND(EDATE($D23,Milestones!$AA$111)&lt;=AsOfDate,IF($R23=0,$X23,IF(AND($T23&lt;&gt;"",EDATE($D23,Milestones!$AA$111)&gt;=$T23),$W23,IF(AND($S23&lt;&gt;"",EDATE($D23,Milestones!$AA$111)&gt;=$S23),$V23,$U23)))=Milestones!$AB$111),UPPER(TEXT(EDATE($D23,Milestones!$AA$111),"dd mmm yy"))&amp;" "&amp;Milestones!$AB$111&amp;" "&amp;Milestones!$AC$111&amp;";  ","")&amp;IF(AND(EDATE($D23,Milestones!$AA$112)&lt;=AsOfDate,IF($R23=0,$X23,IF(AND($T23&lt;&gt;"",EDATE($D23,Milestones!$AA$112)&gt;=$T23),$W23,IF(AND($S23&lt;&gt;"",EDATE($D23,Milestones!$AA$112)&gt;=$S23),$V23,$U23)))=Milestones!$AB$112),UPPER(TEXT(EDATE($D23,Milestones!$AA$112),"dd mmm yy"))&amp;" "&amp;Milestones!$AB$112&amp;" "&amp;Milestones!$AC$112&amp;";  ","")&amp;IF(AND(EDATE($D23,Milestones!$AA$113)&lt;=AsOfDate,IF($R23=0,$X23,IF(AND($T23&lt;&gt;"",EDATE($D23,Milestones!$AA$113)&gt;=$T23),$W23,IF(AND($S23&lt;&gt;"",EDATE($D23,Milestones!$AA$113)&gt;=$S23),$V23,$U23)))=Milestones!$AB$113),UPPER(TEXT(EDATE($D23,Milestones!$AA$113),"dd mmm yy"))&amp;" "&amp;Milestones!$AB$113&amp;" "&amp;Milestones!$AC$113&amp;";  ","")&amp;IF(AND(EDATE($D23,Milestones!$AA$114)&lt;=AsOfDate,IF($R23=0,$X23,IF(AND($T23&lt;&gt;"",EDATE($D23,Milestones!$AA$114)&gt;=$T23),$W23,IF(AND($S23&lt;&gt;"",EDATE($D23,Milestones!$AA$114)&gt;=$S23),$V23,$U23)))=Milestones!$AB$114),UPPER(TEXT(EDATE($D23,Milestones!$AA$114),"dd mmm yy"))&amp;" "&amp;Milestones!$AB$114&amp;" "&amp;Milestones!$AC$114&amp;";  ","")&amp;IF(AND(EDATE($D23,Milestones!$AA$115)&lt;=AsOfDate,IF($R23=0,$X23,IF(AND($T23&lt;&gt;"",EDATE($D23,Milestones!$AA$115)&gt;=$T23),$W23,IF(AND($S23&lt;&gt;"",EDATE($D23,Milestones!$AA$115)&gt;=$S23),$V23,$U23)))=Milestones!$AB$115),UPPER(TEXT(EDATE($D23,Milestones!$AA$115),"dd mmm yy"))&amp;" "&amp;Milestones!$AB$115&amp;" "&amp;Milestones!$AC$115&amp;";  ","")&amp;IF(AND(EDATE($D23,Milestones!$AA$116)&lt;=AsOfDate,IF($R23=0,$X23,IF(AND($T23&lt;&gt;"",EDATE($D23,Milestones!$AA$116)&gt;=$T23),$W23,IF(AND($S23&lt;&gt;"",EDATE($D23,Milestones!$AA$116)&gt;=$S23),$V23,$U23)))=Milestones!$AB$116),UPPER(TEXT(EDATE($D23,Milestones!$AA$116),"dd mmm yy"))&amp;" "&amp;Milestones!$AB$116&amp;" "&amp;Milestones!$AC$116&amp;";  ","")&amp;IF(AND(EDATE($D23,Milestones!$AA$117)&lt;=AsOfDate,IF($R23=0,$X23,IF(AND($T23&lt;&gt;"",EDATE($D23,Milestones!$AA$117)&gt;=$T23),$W23,IF(AND($S23&lt;&gt;"",EDATE($D23,Milestones!$AA$117)&gt;=$S23),$V23,$U23)))=Milestones!$AB$117),UPPER(TEXT(EDATE($D23,Milestones!$AA$117),"dd mmm yy"))&amp;" "&amp;Milestones!$AB$117&amp;" "&amp;Milestones!$AC$117&amp;";  ","")&amp;IF(AND(EDATE($D23,Milestones!$AA$118)&lt;=AsOfDate,IF($R23=0,$X23,IF(AND($T23&lt;&gt;"",EDATE($D23,Milestones!$AA$118)&gt;=$T23),$W23,IF(AND($S23&lt;&gt;"",EDATE($D23,Milestones!$AA$118)&gt;=$S23),$V23,$U23)))=Milestones!$AB$118),UPPER(TEXT(EDATE($D23,Milestones!$AA$118),"dd mmm yy"))&amp;" "&amp;Milestones!$AB$118&amp;" "&amp;Milestones!$AC$118&amp;";  ","")&amp;IF(AND(EDATE($D23,Milestones!$AA$119)&lt;=AsOfDate,IF($R23=0,$X23,IF(AND($T23&lt;&gt;"",EDATE($D23,Milestones!$AA$119)&gt;=$T23),$W23,IF(AND($S23&lt;&gt;"",EDATE($D23,Milestones!$AA$119)&gt;=$S23),$V23,$U23)))=Milestones!$AB$119),UPPER(TEXT(EDATE($D23,Milestones!$AA$119),"dd mmm yy"))&amp;" "&amp;Milestones!$AB$119&amp;" "&amp;Milestones!$AC$119&amp;";  ",""))</f>
        <v/>
      </c>
      <c r="N23" s="0" t="str">
        <f aca="false">IF(OR($A23="",$D23=""),"",IF(AND(EDATE($D23,Milestones!$AA$120)&lt;=AsOfDate,IF($R23=0,$X23,IF(AND($T23&lt;&gt;"",EDATE($D23,Milestones!$AA$120)&gt;=$T23),$W23,IF(AND($S23&lt;&gt;"",EDATE($D23,Milestones!$AA$120)&gt;=$S23),$V23,$U23)))=Milestones!$AB$120),UPPER(TEXT(EDATE($D23,Milestones!$AA$120),"dd mmm yy"))&amp;" "&amp;Milestones!$AB$120&amp;" "&amp;Milestones!$AC$120&amp;";  ","")&amp;IF(AND(EDATE($D23,Milestones!$AA$121)&lt;=AsOfDate,IF($R23=0,$X23,IF(AND($T23&lt;&gt;"",EDATE($D23,Milestones!$AA$121)&gt;=$T23),$W23,IF(AND($S23&lt;&gt;"",EDATE($D23,Milestones!$AA$121)&gt;=$S23),$V23,$U23)))=Milestones!$AB$121),UPPER(TEXT(EDATE($D23,Milestones!$AA$121),"dd mmm yy"))&amp;" "&amp;Milestones!$AB$121&amp;" "&amp;Milestones!$AC$121&amp;";  ","")&amp;IF(AND(EDATE($D23,Milestones!$AA$122)&lt;=AsOfDate,IF($R23=0,$X23,IF(AND($T23&lt;&gt;"",EDATE($D23,Milestones!$AA$122)&gt;=$T23),$W23,IF(AND($S23&lt;&gt;"",EDATE($D23,Milestones!$AA$122)&gt;=$S23),$V23,$U23)))=Milestones!$AB$122),UPPER(TEXT(EDATE($D23,Milestones!$AA$122),"dd mmm yy"))&amp;" "&amp;Milestones!$AB$122&amp;" "&amp;Milestones!$AC$122&amp;";  ","")&amp;IF(AND(EDATE($D23,Milestones!$AA$123)&lt;=AsOfDate,IF($R23=0,$X23,IF(AND($T23&lt;&gt;"",EDATE($D23,Milestones!$AA$123)&gt;=$T23),$W23,IF(AND($S23&lt;&gt;"",EDATE($D23,Milestones!$AA$123)&gt;=$S23),$V23,$U23)))=Milestones!$AB$123),UPPER(TEXT(EDATE($D23,Milestones!$AA$123),"dd mmm yy"))&amp;" "&amp;Milestones!$AB$123&amp;" "&amp;Milestones!$AC$123&amp;";  ","")&amp;IF(AND(EDATE($D23,Milestones!$AA$124)&lt;=AsOfDate,IF($R23=0,$X23,IF(AND($T23&lt;&gt;"",EDATE($D23,Milestones!$AA$124)&gt;=$T23),$W23,IF(AND($S23&lt;&gt;"",EDATE($D23,Milestones!$AA$124)&gt;=$S23),$V23,$U23)))=Milestones!$AB$124),UPPER(TEXT(EDATE($D23,Milestones!$AA$124),"dd mmm yy"))&amp;" "&amp;Milestones!$AB$124&amp;" "&amp;Milestones!$AC$124&amp;";  ","")&amp;IF(AND(EDATE($D23,Milestones!$AA$125)&lt;=AsOfDate,IF($R23=0,$X23,IF(AND($T23&lt;&gt;"",EDATE($D23,Milestones!$AA$125)&gt;=$T23),$W23,IF(AND($S23&lt;&gt;"",EDATE($D23,Milestones!$AA$125)&gt;=$S23),$V23,$U23)))=Milestones!$AB$125),UPPER(TEXT(EDATE($D23,Milestones!$AA$125),"dd mmm yy"))&amp;" "&amp;Milestones!$AB$125&amp;" "&amp;Milestones!$AC$125&amp;";  ","")&amp;IF(AND(EDATE($D23,Milestones!$AA$126)&lt;=AsOfDate,IF($R23=0,$X23,IF(AND($T23&lt;&gt;"",EDATE($D23,Milestones!$AA$126)&gt;=$T23),$W23,IF(AND($S23&lt;&gt;"",EDATE($D23,Milestones!$AA$126)&gt;=$S23),$V23,$U23)))=Milestones!$AB$126),UPPER(TEXT(EDATE($D23,Milestones!$AA$126),"dd mmm yy"))&amp;" "&amp;Milestones!$AB$126&amp;" "&amp;Milestones!$AC$126&amp;";  ","")&amp;IF(AND(EDATE($D23,Milestones!$AA$127)&lt;=AsOfDate,IF($R23=0,$X23,IF(AND($T23&lt;&gt;"",EDATE($D23,Milestones!$AA$127)&gt;=$T23),$W23,IF(AND($S23&lt;&gt;"",EDATE($D23,Milestones!$AA$127)&gt;=$S23),$V23,$U23)))=Milestones!$AB$127),UPPER(TEXT(EDATE($D23,Milestones!$AA$127),"dd mmm yy"))&amp;" "&amp;Milestones!$AB$127&amp;" "&amp;Milestones!$AC$127&amp;";  ","")&amp;IF(AND(EDATE($D23,Milestones!$AA$128)&lt;=AsOfDate,IF($R23=0,$X23,IF(AND($T23&lt;&gt;"",EDATE($D23,Milestones!$AA$128)&gt;=$T23),$W23,IF(AND($S23&lt;&gt;"",EDATE($D23,Milestones!$AA$128)&gt;=$S23),$V23,$U23)))=Milestones!$AB$128),UPPER(TEXT(EDATE($D23,Milestones!$AA$128),"dd mmm yy"))&amp;" "&amp;Milestones!$AB$128&amp;" "&amp;Milestones!$AC$128&amp;";  ","")&amp;IF(AND(EDATE($D23,Milestones!$AA$129)&lt;=AsOfDate,IF($R23=0,$X23,IF(AND($T23&lt;&gt;"",EDATE($D23,Milestones!$AA$129)&gt;=$T23),$W23,IF(AND($S23&lt;&gt;"",EDATE($D23,Milestones!$AA$129)&gt;=$S23),$V23,$U23)))=Milestones!$AB$129),UPPER(TEXT(EDATE($D23,Milestones!$AA$129),"dd mmm yy"))&amp;" "&amp;Milestones!$AB$129&amp;" "&amp;Milestones!$AC$129&amp;";  ","")&amp;IF(AND(EDATE($D23,Milestones!$AA$130)&lt;=AsOfDate,IF($R23=0,$X23,IF(AND($T23&lt;&gt;"",EDATE($D23,Milestones!$AA$130)&gt;=$T23),$W23,IF(AND($S23&lt;&gt;"",EDATE($D23,Milestones!$AA$130)&gt;=$S23),$V23,$U23)))=Milestones!$AB$130),UPPER(TEXT(EDATE($D23,Milestones!$AA$130),"dd mmm yy"))&amp;" "&amp;Milestones!$AB$130&amp;" "&amp;Milestones!$AC$130&amp;";  ","")&amp;IF(AND(EDATE($D23,Milestones!$AA$131)&lt;=AsOfDate,IF($R23=0,$X23,IF(AND($T23&lt;&gt;"",EDATE($D23,Milestones!$AA$131)&gt;=$T23),$W23,IF(AND($S23&lt;&gt;"",EDATE($D23,Milestones!$AA$131)&gt;=$S23),$V23,$U23)))=Milestones!$AB$131),UPPER(TEXT(EDATE($D23,Milestones!$AA$131),"dd mmm yy"))&amp;" "&amp;Milestones!$AB$131&amp;" "&amp;Milestones!$AC$131&amp;";  ","")&amp;IF(AND(EDATE($D23,Milestones!$AA$132)&lt;=AsOfDate,IF($R23=0,$X23,IF(AND($T23&lt;&gt;"",EDATE($D23,Milestones!$AA$132)&gt;=$T23),$W23,IF(AND($S23&lt;&gt;"",EDATE($D23,Milestones!$AA$132)&gt;=$S23),$V23,$U23)))=Milestones!$AB$132),UPPER(TEXT(EDATE($D23,Milestones!$AA$132),"dd mmm yy"))&amp;" "&amp;Milestones!$AB$132&amp;" "&amp;Milestones!$AC$132&amp;";  ","")&amp;IF(AND(EDATE($D23,Milestones!$AA$133)&lt;=AsOfDate,IF($R23=0,$X23,IF(AND($T23&lt;&gt;"",EDATE($D23,Milestones!$AA$133)&gt;=$T23),$W23,IF(AND($S23&lt;&gt;"",EDATE($D23,Milestones!$AA$133)&gt;=$S23),$V23,$U23)))=Milestones!$AB$133),UPPER(TEXT(EDATE($D23,Milestones!$AA$133),"dd mmm yy"))&amp;" "&amp;Milestones!$AB$133&amp;" "&amp;Milestones!$AC$133&amp;";  ","")&amp;IF(AND(EDATE($D23,Milestones!$AA$134)&lt;=AsOfDate,IF($R23=0,$X23,IF(AND($T23&lt;&gt;"",EDATE($D23,Milestones!$AA$134)&gt;=$T23),$W23,IF(AND($S23&lt;&gt;"",EDATE($D23,Milestones!$AA$134)&gt;=$S23),$V23,$U23)))=Milestones!$AB$134),UPPER(TEXT(EDATE($D23,Milestones!$AA$134),"dd mmm yy"))&amp;" "&amp;Milestones!$AB$134&amp;" "&amp;Milestones!$AC$134&amp;";  ","")&amp;IF(AND(EDATE($D23,Milestones!$AA$135)&lt;=AsOfDate,IF($R23=0,$X23,IF(AND($T23&lt;&gt;"",EDATE($D23,Milestones!$AA$135)&gt;=$T23),$W23,IF(AND($S23&lt;&gt;"",EDATE($D23,Milestones!$AA$135)&gt;=$S23),$V23,$U23)))=Milestones!$AB$135),UPPER(TEXT(EDATE($D23,Milestones!$AA$135),"dd mmm yy"))&amp;" "&amp;Milestones!$AB$135&amp;" "&amp;Milestones!$AC$135&amp;";  ","")&amp;IF(AND(EDATE($D23,Milestones!$AA$136)&lt;=AsOfDate,IF($R23=0,$X23,IF(AND($T23&lt;&gt;"",EDATE($D23,Milestones!$AA$136)&gt;=$T23),$W23,IF(AND($S23&lt;&gt;"",EDATE($D23,Milestones!$AA$136)&gt;=$S23),$V23,$U23)))=Milestones!$AB$136),UPPER(TEXT(EDATE($D23,Milestones!$AA$136),"dd mmm yy"))&amp;" "&amp;Milestones!$AB$136&amp;" "&amp;Milestones!$AC$136&amp;";  ","")&amp;IF(AND(EDATE($D23,Milestones!$AA$137)&lt;=AsOfDate,IF($R23=0,$X23,IF(AND($T23&lt;&gt;"",EDATE($D23,Milestones!$AA$137)&gt;=$T23),$W23,IF(AND($S23&lt;&gt;"",EDATE($D23,Milestones!$AA$137)&gt;=$S23),$V23,$U23)))=Milestones!$AB$137),UPPER(TEXT(EDATE($D23,Milestones!$AA$137),"dd mmm yy"))&amp;" "&amp;Milestones!$AB$137&amp;" "&amp;Milestones!$AC$137&amp;";  ","")&amp;IF(AND(EDATE($D23,Milestones!$AA$138)&lt;=AsOfDate,IF($R23=0,$X23,IF(AND($T23&lt;&gt;"",EDATE($D23,Milestones!$AA$138)&gt;=$T23),$W23,IF(AND($S23&lt;&gt;"",EDATE($D23,Milestones!$AA$138)&gt;=$S23),$V23,$U23)))=Milestones!$AB$138),UPPER(TEXT(EDATE($D23,Milestones!$AA$138),"dd mmm yy"))&amp;" "&amp;Milestones!$AB$138&amp;" "&amp;Milestones!$AC$138&amp;";  ","")&amp;IF(AND(EDATE($D23,Milestones!$AA$139)&lt;=AsOfDate,IF($R23=0,$X23,IF(AND($T23&lt;&gt;"",EDATE($D23,Milestones!$AA$139)&gt;=$T23),$W23,IF(AND($S23&lt;&gt;"",EDATE($D23,Milestones!$AA$139)&gt;=$S23),$V23,$U23)))=Milestones!$AB$139),UPPER(TEXT(EDATE($D23,Milestones!$AA$139),"dd mmm yy"))&amp;" "&amp;Milestones!$AB$139&amp;" "&amp;Milestones!$AC$139&amp;";  ",""))</f>
        <v/>
      </c>
      <c r="O23" s="0" t="str">
        <f aca="false">IF(OR($A23="",$D23=""),"",IF(AND(EDATE($D23,Milestones!$AA$140)&lt;=AsOfDate,IF($R23=0,$X23,IF(AND($T23&lt;&gt;"",EDATE($D23,Milestones!$AA$140)&gt;=$T23),$W23,IF(AND($S23&lt;&gt;"",EDATE($D23,Milestones!$AA$140)&gt;=$S23),$V23,$U23)))=Milestones!$AB$140),UPPER(TEXT(EDATE($D23,Milestones!$AA$140),"dd mmm yy"))&amp;" "&amp;Milestones!$AB$140&amp;" "&amp;Milestones!$AC$140&amp;";  ","")&amp;IF(AND(EDATE($D23,Milestones!$AA$141)&lt;=AsOfDate,IF($R23=0,$X23,IF(AND($T23&lt;&gt;"",EDATE($D23,Milestones!$AA$141)&gt;=$T23),$W23,IF(AND($S23&lt;&gt;"",EDATE($D23,Milestones!$AA$141)&gt;=$S23),$V23,$U23)))=Milestones!$AB$141),UPPER(TEXT(EDATE($D23,Milestones!$AA$141),"dd mmm yy"))&amp;" "&amp;Milestones!$AB$141&amp;" "&amp;Milestones!$AC$141&amp;";  ","")&amp;IF(AND(EDATE($D23,Milestones!$AA$142)&lt;=AsOfDate,IF($R23=0,$X23,IF(AND($T23&lt;&gt;"",EDATE($D23,Milestones!$AA$142)&gt;=$T23),$W23,IF(AND($S23&lt;&gt;"",EDATE($D23,Milestones!$AA$142)&gt;=$S23),$V23,$U23)))=Milestones!$AB$142),UPPER(TEXT(EDATE($D23,Milestones!$AA$142),"dd mmm yy"))&amp;" "&amp;Milestones!$AB$142&amp;" "&amp;Milestones!$AC$142&amp;";  ","")&amp;IF(AND(EDATE($D23,Milestones!$AA$143)&lt;=AsOfDate,IF($R23=0,$X23,IF(AND($T23&lt;&gt;"",EDATE($D23,Milestones!$AA$143)&gt;=$T23),$W23,IF(AND($S23&lt;&gt;"",EDATE($D23,Milestones!$AA$143)&gt;=$S23),$V23,$U23)))=Milestones!$AB$143),UPPER(TEXT(EDATE($D23,Milestones!$AA$143),"dd mmm yy"))&amp;" "&amp;Milestones!$AB$143&amp;" "&amp;Milestones!$AC$143&amp;";  ","")&amp;IF(AND(EDATE($D23,Milestones!$AA$144)&lt;=AsOfDate,IF($R23=0,$X23,IF(AND($T23&lt;&gt;"",EDATE($D23,Milestones!$AA$144)&gt;=$T23),$W23,IF(AND($S23&lt;&gt;"",EDATE($D23,Milestones!$AA$144)&gt;=$S23),$V23,$U23)))=Milestones!$AB$144),UPPER(TEXT(EDATE($D23,Milestones!$AA$144),"dd mmm yy"))&amp;" "&amp;Milestones!$AB$144&amp;" "&amp;Milestones!$AC$144&amp;";  ","")&amp;IF(AND(EDATE($D23,Milestones!$AA$145)&lt;=AsOfDate,IF($R23=0,$X23,IF(AND($T23&lt;&gt;"",EDATE($D23,Milestones!$AA$145)&gt;=$T23),$W23,IF(AND($S23&lt;&gt;"",EDATE($D23,Milestones!$AA$145)&gt;=$S23),$V23,$U23)))=Milestones!$AB$145),UPPER(TEXT(EDATE($D23,Milestones!$AA$145),"dd mmm yy"))&amp;" "&amp;Milestones!$AB$145&amp;" "&amp;Milestones!$AC$145&amp;";  ","")&amp;IF(AND(EDATE($D23,Milestones!$AA$146)&lt;=AsOfDate,IF($R23=0,$X23,IF(AND($T23&lt;&gt;"",EDATE($D23,Milestones!$AA$146)&gt;=$T23),$W23,IF(AND($S23&lt;&gt;"",EDATE($D23,Milestones!$AA$146)&gt;=$S23),$V23,$U23)))=Milestones!$AB$146),UPPER(TEXT(EDATE($D23,Milestones!$AA$146),"dd mmm yy"))&amp;" "&amp;Milestones!$AB$146&amp;" "&amp;Milestones!$AC$146&amp;";  ","")&amp;IF(AND(EDATE($D23,Milestones!$AA$147)&lt;=AsOfDate,IF($R23=0,$X23,IF(AND($T23&lt;&gt;"",EDATE($D23,Milestones!$AA$147)&gt;=$T23),$W23,IF(AND($S23&lt;&gt;"",EDATE($D23,Milestones!$AA$147)&gt;=$S23),$V23,$U23)))=Milestones!$AB$147),UPPER(TEXT(EDATE($D23,Milestones!$AA$147),"dd mmm yy"))&amp;" "&amp;Milestones!$AB$147&amp;" "&amp;Milestones!$AC$147&amp;";  ","")&amp;IF(AND(EDATE($D23,Milestones!$AA$148)&lt;=AsOfDate,IF($R23=0,$X23,IF(AND($T23&lt;&gt;"",EDATE($D23,Milestones!$AA$148)&gt;=$T23),$W23,IF(AND($S23&lt;&gt;"",EDATE($D23,Milestones!$AA$148)&gt;=$S23),$V23,$U23)))=Milestones!$AB$148),UPPER(TEXT(EDATE($D23,Milestones!$AA$148),"dd mmm yy"))&amp;" "&amp;Milestones!$AB$148&amp;" "&amp;Milestones!$AC$148&amp;";  ","")&amp;IF(AND(EDATE($D23,Milestones!$AA$149)&lt;=AsOfDate,IF($R23=0,$X23,IF(AND($T23&lt;&gt;"",EDATE($D23,Milestones!$AA$149)&gt;=$T23),$W23,IF(AND($S23&lt;&gt;"",EDATE($D23,Milestones!$AA$149)&gt;=$S23),$V23,$U23)))=Milestones!$AB$149),UPPER(TEXT(EDATE($D23,Milestones!$AA$149),"dd mmm yy"))&amp;" "&amp;Milestones!$AB$149&amp;" "&amp;Milestones!$AC$149&amp;";  ","")&amp;IF(AND(EDATE($D23,Milestones!$AA$150)&lt;=AsOfDate,IF($R23=0,$X23,IF(AND($T23&lt;&gt;"",EDATE($D23,Milestones!$AA$150)&gt;=$T23),$W23,IF(AND($S23&lt;&gt;"",EDATE($D23,Milestones!$AA$150)&gt;=$S23),$V23,$U23)))=Milestones!$AB$150),UPPER(TEXT(EDATE($D23,Milestones!$AA$150),"dd mmm yy"))&amp;" "&amp;Milestones!$AB$150&amp;" "&amp;Milestones!$AC$150&amp;";  ","")&amp;IF(AND(EDATE($D23,Milestones!$AA$151)&lt;=AsOfDate,IF($R23=0,$X23,IF(AND($T23&lt;&gt;"",EDATE($D23,Milestones!$AA$151)&gt;=$T23),$W23,IF(AND($S23&lt;&gt;"",EDATE($D23,Milestones!$AA$151)&gt;=$S23),$V23,$U23)))=Milestones!$AB$151),UPPER(TEXT(EDATE($D23,Milestones!$AA$151),"dd mmm yy"))&amp;" "&amp;Milestones!$AB$151&amp;" "&amp;Milestones!$AC$151&amp;";  ","")&amp;IF(AND(EDATE($D23,Milestones!$AA$152)&lt;=AsOfDate,IF($R23=0,$X23,IF(AND($T23&lt;&gt;"",EDATE($D23,Milestones!$AA$152)&gt;=$T23),$W23,IF(AND($S23&lt;&gt;"",EDATE($D23,Milestones!$AA$152)&gt;=$S23),$V23,$U23)))=Milestones!$AB$152),UPPER(TEXT(EDATE($D23,Milestones!$AA$152),"dd mmm yy"))&amp;" "&amp;Milestones!$AB$152&amp;" "&amp;Milestones!$AC$152&amp;";  ","")&amp;IF(AND(EDATE($D23,Milestones!$AA$153)&lt;=AsOfDate,IF($R23=0,$X23,IF(AND($T23&lt;&gt;"",EDATE($D23,Milestones!$AA$153)&gt;=$T23),$W23,IF(AND($S23&lt;&gt;"",EDATE($D23,Milestones!$AA$153)&gt;=$S23),$V23,$U23)))=Milestones!$AB$153),UPPER(TEXT(EDATE($D23,Milestones!$AA$153),"dd mmm yy"))&amp;" "&amp;Milestones!$AB$153&amp;" "&amp;Milestones!$AC$153&amp;";  ","")&amp;IF(AND(EDATE($D23,Milestones!$AA$154)&lt;=AsOfDate,IF($R23=0,$X23,IF(AND($T23&lt;&gt;"",EDATE($D23,Milestones!$AA$154)&gt;=$T23),$W23,IF(AND($S23&lt;&gt;"",EDATE($D23,Milestones!$AA$154)&gt;=$S23),$V23,$U23)))=Milestones!$AB$154),UPPER(TEXT(EDATE($D23,Milestones!$AA$154),"dd mmm yy"))&amp;" "&amp;Milestones!$AB$154&amp;" "&amp;Milestones!$AC$154&amp;";  ","")&amp;IF(AND(EDATE($D23,Milestones!$AA$155)&lt;=AsOfDate,IF($R23=0,$X23,IF(AND($T23&lt;&gt;"",EDATE($D23,Milestones!$AA$155)&gt;=$T23),$W23,IF(AND($S23&lt;&gt;"",EDATE($D23,Milestones!$AA$155)&gt;=$S23),$V23,$U23)))=Milestones!$AB$155),UPPER(TEXT(EDATE($D23,Milestones!$AA$155),"dd mmm yy"))&amp;" "&amp;Milestones!$AB$155&amp;" "&amp;Milestones!$AC$155&amp;";  ","")&amp;IF(AND(EDATE($D23,Milestones!$AA$156)&lt;=AsOfDate,IF($R23=0,$X23,IF(AND($T23&lt;&gt;"",EDATE($D23,Milestones!$AA$156)&gt;=$T23),$W23,IF(AND($S23&lt;&gt;"",EDATE($D23,Milestones!$AA$156)&gt;=$S23),$V23,$U23)))=Milestones!$AB$156),UPPER(TEXT(EDATE($D23,Milestones!$AA$156),"dd mmm yy"))&amp;" "&amp;Milestones!$AB$156&amp;" "&amp;Milestones!$AC$156&amp;";  ","")&amp;IF(AND(EDATE($D23,Milestones!$AA$157)&lt;=AsOfDate,IF($R23=0,$X23,IF(AND($T23&lt;&gt;"",EDATE($D23,Milestones!$AA$157)&gt;=$T23),$W23,IF(AND($S23&lt;&gt;"",EDATE($D23,Milestones!$AA$157)&gt;=$S23),$V23,$U23)))=Milestones!$AB$157),UPPER(TEXT(EDATE($D23,Milestones!$AA$157),"dd mmm yy"))&amp;" "&amp;Milestones!$AB$157&amp;" "&amp;Milestones!$AC$157&amp;";  ","")&amp;IF(AND(EDATE($D23,Milestones!$AA$158)&lt;=AsOfDate,IF($R23=0,$X23,IF(AND($T23&lt;&gt;"",EDATE($D23,Milestones!$AA$158)&gt;=$T23),$W23,IF(AND($S23&lt;&gt;"",EDATE($D23,Milestones!$AA$158)&gt;=$S23),$V23,$U23)))=Milestones!$AB$158),UPPER(TEXT(EDATE($D23,Milestones!$AA$158),"dd mmm yy"))&amp;" "&amp;Milestones!$AB$158&amp;" "&amp;Milestones!$AC$158&amp;";  ","")&amp;IF(AND(EDATE($D23,Milestones!$AA$159)&lt;=AsOfDate,IF($R23=0,$X23,IF(AND($T23&lt;&gt;"",EDATE($D23,Milestones!$AA$159)&gt;=$T23),$W23,IF(AND($S23&lt;&gt;"",EDATE($D23,Milestones!$AA$159)&gt;=$S23),$V23,$U23)))=Milestones!$AB$159),UPPER(TEXT(EDATE($D23,Milestones!$AA$159),"dd mmm yy"))&amp;" "&amp;Milestones!$AB$159&amp;" "&amp;Milestones!$AC$159&amp;";  ",""))</f>
        <v/>
      </c>
      <c r="P23" s="0" t="str">
        <f aca="false">IF(OR($A23="",$D23=""),"",IF(AND(EDATE($D23,Milestones!$AA$160)&lt;=AsOfDate,IF($R23=0,$X23,IF(AND($T23&lt;&gt;"",EDATE($D23,Milestones!$AA$160)&gt;=$T23),$W23,IF(AND($S23&lt;&gt;"",EDATE($D23,Milestones!$AA$160)&gt;=$S23),$V23,$U23)))=Milestones!$AB$160),UPPER(TEXT(EDATE($D23,Milestones!$AA$160),"dd mmm yy"))&amp;" "&amp;Milestones!$AB$160&amp;" "&amp;Milestones!$AC$160&amp;";  ","")&amp;IF(AND(EDATE($D23,Milestones!$AA$161)&lt;=AsOfDate,IF($R23=0,$X23,IF(AND($T23&lt;&gt;"",EDATE($D23,Milestones!$AA$161)&gt;=$T23),$W23,IF(AND($S23&lt;&gt;"",EDATE($D23,Milestones!$AA$161)&gt;=$S23),$V23,$U23)))=Milestones!$AB$161),UPPER(TEXT(EDATE($D23,Milestones!$AA$161),"dd mmm yy"))&amp;" "&amp;Milestones!$AB$161&amp;" "&amp;Milestones!$AC$161&amp;";  ","")&amp;IF(AND(EDATE($D23,Milestones!$AA$162)&lt;=AsOfDate,IF($R23=0,$X23,IF(AND($T23&lt;&gt;"",EDATE($D23,Milestones!$AA$162)&gt;=$T23),$W23,IF(AND($S23&lt;&gt;"",EDATE($D23,Milestones!$AA$162)&gt;=$S23),$V23,$U23)))=Milestones!$AB$162),UPPER(TEXT(EDATE($D23,Milestones!$AA$162),"dd mmm yy"))&amp;" "&amp;Milestones!$AB$162&amp;" "&amp;Milestones!$AC$162&amp;";  ","")&amp;IF(AND(EDATE($D23,Milestones!$AA$163)&lt;=AsOfDate,IF($R23=0,$X23,IF(AND($T23&lt;&gt;"",EDATE($D23,Milestones!$AA$163)&gt;=$T23),$W23,IF(AND($S23&lt;&gt;"",EDATE($D23,Milestones!$AA$163)&gt;=$S23),$V23,$U23)))=Milestones!$AB$163),UPPER(TEXT(EDATE($D23,Milestones!$AA$163),"dd mmm yy"))&amp;" "&amp;Milestones!$AB$163&amp;" "&amp;Milestones!$AC$163&amp;";  ","")&amp;IF(AND(EDATE($D23,Milestones!$AA$164)&lt;=AsOfDate,IF($R23=0,$X23,IF(AND($T23&lt;&gt;"",EDATE($D23,Milestones!$AA$164)&gt;=$T23),$W23,IF(AND($S23&lt;&gt;"",EDATE($D23,Milestones!$AA$164)&gt;=$S23),$V23,$U23)))=Milestones!$AB$164),UPPER(TEXT(EDATE($D23,Milestones!$AA$164),"dd mmm yy"))&amp;" "&amp;Milestones!$AB$164&amp;" "&amp;Milestones!$AC$164&amp;";  ","")&amp;IF(AND(EDATE($D23,Milestones!$AA$165)&lt;=AsOfDate,IF($R23=0,$X23,IF(AND($T23&lt;&gt;"",EDATE($D23,Milestones!$AA$165)&gt;=$T23),$W23,IF(AND($S23&lt;&gt;"",EDATE($D23,Milestones!$AA$165)&gt;=$S23),$V23,$U23)))=Milestones!$AB$165),UPPER(TEXT(EDATE($D23,Milestones!$AA$165),"dd mmm yy"))&amp;" "&amp;Milestones!$AB$165&amp;" "&amp;Milestones!$AC$165&amp;";  ","")&amp;IF(AND(EDATE($D23,Milestones!$AA$166)&lt;=AsOfDate,IF($R23=0,$X23,IF(AND($T23&lt;&gt;"",EDATE($D23,Milestones!$AA$166)&gt;=$T23),$W23,IF(AND($S23&lt;&gt;"",EDATE($D23,Milestones!$AA$166)&gt;=$S23),$V23,$U23)))=Milestones!$AB$166),UPPER(TEXT(EDATE($D23,Milestones!$AA$166),"dd mmm yy"))&amp;" "&amp;Milestones!$AB$166&amp;" "&amp;Milestones!$AC$166&amp;";  ","")&amp;IF(AND(EDATE($D23,Milestones!$AA$167)&lt;=AsOfDate,IF($R23=0,$X23,IF(AND($T23&lt;&gt;"",EDATE($D23,Milestones!$AA$167)&gt;=$T23),$W23,IF(AND($S23&lt;&gt;"",EDATE($D23,Milestones!$AA$167)&gt;=$S23),$V23,$U23)))=Milestones!$AB$167),UPPER(TEXT(EDATE($D23,Milestones!$AA$167),"dd mmm yy"))&amp;" "&amp;Milestones!$AB$167&amp;" "&amp;Milestones!$AC$167&amp;";  ","")&amp;IF(AND(EDATE($D23,Milestones!$AA$168)&lt;=AsOfDate,IF($R23=0,$X23,IF(AND($T23&lt;&gt;"",EDATE($D23,Milestones!$AA$168)&gt;=$T23),$W23,IF(AND($S23&lt;&gt;"",EDATE($D23,Milestones!$AA$168)&gt;=$S23),$V23,$U23)))=Milestones!$AB$168),UPPER(TEXT(EDATE($D23,Milestones!$AA$168),"dd mmm yy"))&amp;" "&amp;Milestones!$AB$168&amp;" "&amp;Milestones!$AC$168&amp;";  ","")&amp;IF(AND(EDATE($D23,Milestones!$AA$169)&lt;=AsOfDate,IF($R23=0,$X23,IF(AND($T23&lt;&gt;"",EDATE($D23,Milestones!$AA$169)&gt;=$T23),$W23,IF(AND($S23&lt;&gt;"",EDATE($D23,Milestones!$AA$169)&gt;=$S23),$V23,$U23)))=Milestones!$AB$169),UPPER(TEXT(EDATE($D23,Milestones!$AA$169),"dd mmm yy"))&amp;" "&amp;Milestones!$AB$169&amp;" "&amp;Milestones!$AC$169&amp;";  ","")&amp;IF(AND(EDATE($D23,Milestones!$AA$170)&lt;=AsOfDate,IF($R23=0,$X23,IF(AND($T23&lt;&gt;"",EDATE($D23,Milestones!$AA$170)&gt;=$T23),$W23,IF(AND($S23&lt;&gt;"",EDATE($D23,Milestones!$AA$170)&gt;=$S23),$V23,$U23)))=Milestones!$AB$170),UPPER(TEXT(EDATE($D23,Milestones!$AA$170),"dd mmm yy"))&amp;" "&amp;Milestones!$AB$170&amp;" "&amp;Milestones!$AC$170&amp;";  ","")&amp;IF(AND(EDATE($D23,Milestones!$AA$171)&lt;=AsOfDate,IF($R23=0,$X23,IF(AND($T23&lt;&gt;"",EDATE($D23,Milestones!$AA$171)&gt;=$T23),$W23,IF(AND($S23&lt;&gt;"",EDATE($D23,Milestones!$AA$171)&gt;=$S23),$V23,$U23)))=Milestones!$AB$171),UPPER(TEXT(EDATE($D23,Milestones!$AA$171),"dd mmm yy"))&amp;" "&amp;Milestones!$AB$171&amp;" "&amp;Milestones!$AC$171&amp;";  ","")&amp;IF(AND(EDATE($D23,Milestones!$AA$172)&lt;=AsOfDate,IF($R23=0,$X23,IF(AND($T23&lt;&gt;"",EDATE($D23,Milestones!$AA$172)&gt;=$T23),$W23,IF(AND($S23&lt;&gt;"",EDATE($D23,Milestones!$AA$172)&gt;=$S23),$V23,$U23)))=Milestones!$AB$172),UPPER(TEXT(EDATE($D23,Milestones!$AA$172),"dd mmm yy"))&amp;" "&amp;Milestones!$AB$172&amp;" "&amp;Milestones!$AC$172&amp;";  ","")&amp;IF(AND(EDATE($D23,Milestones!$AA$173)&lt;=AsOfDate,IF($R23=0,$X23,IF(AND($T23&lt;&gt;"",EDATE($D23,Milestones!$AA$173)&gt;=$T23),$W23,IF(AND($S23&lt;&gt;"",EDATE($D23,Milestones!$AA$173)&gt;=$S23),$V23,$U23)))=Milestones!$AB$173),UPPER(TEXT(EDATE($D23,Milestones!$AA$173),"dd mmm yy"))&amp;" "&amp;Milestones!$AB$173&amp;" "&amp;Milestones!$AC$173&amp;";  ","")&amp;IF(AND(EDATE($D23,Milestones!$AA$174)&lt;=AsOfDate,IF($R23=0,$X23,IF(AND($T23&lt;&gt;"",EDATE($D23,Milestones!$AA$174)&gt;=$T23),$W23,IF(AND($S23&lt;&gt;"",EDATE($D23,Milestones!$AA$174)&gt;=$S23),$V23,$U23)))=Milestones!$AB$174),UPPER(TEXT(EDATE($D23,Milestones!$AA$174),"dd mmm yy"))&amp;" "&amp;Milestones!$AB$174&amp;" "&amp;Milestones!$AC$174&amp;";  ","")&amp;IF(AND(EDATE($D23,Milestones!$AA$175)&lt;=AsOfDate,IF($R23=0,$X23,IF(AND($T23&lt;&gt;"",EDATE($D23,Milestones!$AA$175)&gt;=$T23),$W23,IF(AND($S23&lt;&gt;"",EDATE($D23,Milestones!$AA$175)&gt;=$S23),$V23,$U23)))=Milestones!$AB$175),UPPER(TEXT(EDATE($D23,Milestones!$AA$175),"dd mmm yy"))&amp;" "&amp;Milestones!$AB$175&amp;" "&amp;Milestones!$AC$175&amp;";  ","")&amp;IF(AND(EDATE($D23,Milestones!$AA$176)&lt;=AsOfDate,IF($R23=0,$X23,IF(AND($T23&lt;&gt;"",EDATE($D23,Milestones!$AA$176)&gt;=$T23),$W23,IF(AND($S23&lt;&gt;"",EDATE($D23,Milestones!$AA$176)&gt;=$S23),$V23,$U23)))=Milestones!$AB$176),UPPER(TEXT(EDATE($D23,Milestones!$AA$176),"dd mmm yy"))&amp;" "&amp;Milestones!$AB$176&amp;" "&amp;Milestones!$AC$176&amp;";  ","")&amp;IF(AND(EDATE($D23,Milestones!$AA$177)&lt;=AsOfDate,IF($R23=0,$X23,IF(AND($T23&lt;&gt;"",EDATE($D23,Milestones!$AA$177)&gt;=$T23),$W23,IF(AND($S23&lt;&gt;"",EDATE($D23,Milestones!$AA$177)&gt;=$S23),$V23,$U23)))=Milestones!$AB$177),UPPER(TEXT(EDATE($D23,Milestones!$AA$177),"dd mmm yy"))&amp;" "&amp;Milestones!$AB$177&amp;" "&amp;Milestones!$AC$177&amp;";  ","")&amp;IF(AND(EDATE($D23,Milestones!$AA$178)&lt;=AsOfDate,IF($R23=0,$X23,IF(AND($T23&lt;&gt;"",EDATE($D23,Milestones!$AA$178)&gt;=$T23),$W23,IF(AND($S23&lt;&gt;"",EDATE($D23,Milestones!$AA$178)&gt;=$S23),$V23,$U23)))=Milestones!$AB$178),UPPER(TEXT(EDATE($D23,Milestones!$AA$178),"dd mmm yy"))&amp;" "&amp;Milestones!$AB$178&amp;" "&amp;Milestones!$AC$178&amp;";  ","")&amp;IF(AND(EDATE($D23,Milestones!$AA$179)&lt;=AsOfDate,IF($R23=0,$X23,IF(AND($T23&lt;&gt;"",EDATE($D23,Milestones!$AA$179)&gt;=$T23),$W23,IF(AND($S23&lt;&gt;"",EDATE($D23,Milestones!$AA$179)&gt;=$S23),$V23,$U23)))=Milestones!$AB$179),UPPER(TEXT(EDATE($D23,Milestones!$AA$179),"dd mmm yy"))&amp;" "&amp;Milestones!$AB$179&amp;" "&amp;Milestones!$AC$179&amp;";  ",""))</f>
        <v/>
      </c>
      <c r="Q23" s="0" t="str">
        <f aca="false">IF(OR($A23="",$D23=""),"",IF(AND(EDATE($D23,Milestones!$AA$180)&lt;=AsOfDate,IF($R23=0,$X23,IF(AND($T23&lt;&gt;"",EDATE($D23,Milestones!$AA$180)&gt;=$T23),$W23,IF(AND($S23&lt;&gt;"",EDATE($D23,Milestones!$AA$180)&gt;=$S23),$V23,$U23)))=Milestones!$AB$180),UPPER(TEXT(EDATE($D23,Milestones!$AA$180),"dd mmm yy"))&amp;" "&amp;Milestones!$AB$180&amp;" "&amp;Milestones!$AC$180&amp;";  ","")&amp;IF(AND(EDATE($D23,Milestones!$AA$181)&lt;=AsOfDate,IF($R23=0,$X23,IF(AND($T23&lt;&gt;"",EDATE($D23,Milestones!$AA$181)&gt;=$T23),$W23,IF(AND($S23&lt;&gt;"",EDATE($D23,Milestones!$AA$181)&gt;=$S23),$V23,$U23)))=Milestones!$AB$181),UPPER(TEXT(EDATE($D23,Milestones!$AA$181),"dd mmm yy"))&amp;" "&amp;Milestones!$AB$181&amp;" "&amp;Milestones!$AC$181&amp;";  ","")&amp;IF(AND(EDATE($D23,Milestones!$AA$182)&lt;=AsOfDate,IF($R23=0,$X23,IF(AND($T23&lt;&gt;"",EDATE($D23,Milestones!$AA$182)&gt;=$T23),$W23,IF(AND($S23&lt;&gt;"",EDATE($D23,Milestones!$AA$182)&gt;=$S23),$V23,$U23)))=Milestones!$AB$182),UPPER(TEXT(EDATE($D23,Milestones!$AA$182),"dd mmm yy"))&amp;" "&amp;Milestones!$AB$182&amp;" "&amp;Milestones!$AC$182&amp;";  ","")&amp;IF(AND(EDATE($D23,Milestones!$AA$183)&lt;=AsOfDate,IF($R23=0,$X23,IF(AND($T23&lt;&gt;"",EDATE($D23,Milestones!$AA$183)&gt;=$T23),$W23,IF(AND($S23&lt;&gt;"",EDATE($D23,Milestones!$AA$183)&gt;=$S23),$V23,$U23)))=Milestones!$AB$183),UPPER(TEXT(EDATE($D23,Milestones!$AA$183),"dd mmm yy"))&amp;" "&amp;Milestones!$AB$183&amp;" "&amp;Milestones!$AC$183&amp;";  ","")&amp;IF(AND(EDATE($D23,Milestones!$AA$184)&lt;=AsOfDate,IF($R23=0,$X23,IF(AND($T23&lt;&gt;"",EDATE($D23,Milestones!$AA$184)&gt;=$T23),$W23,IF(AND($S23&lt;&gt;"",EDATE($D23,Milestones!$AA$184)&gt;=$S23),$V23,$U23)))=Milestones!$AB$184),UPPER(TEXT(EDATE($D23,Milestones!$AA$184),"dd mmm yy"))&amp;" "&amp;Milestones!$AB$184&amp;" "&amp;Milestones!$AC$184&amp;";  ","")&amp;IF(AND(EDATE($D23,Milestones!$AA$185)&lt;=AsOfDate,IF($R23=0,$X23,IF(AND($T23&lt;&gt;"",EDATE($D23,Milestones!$AA$185)&gt;=$T23),$W23,IF(AND($S23&lt;&gt;"",EDATE($D23,Milestones!$AA$185)&gt;=$S23),$V23,$U23)))=Milestones!$AB$185),UPPER(TEXT(EDATE($D23,Milestones!$AA$185),"dd mmm yy"))&amp;" "&amp;Milestones!$AB$185&amp;" "&amp;Milestones!$AC$185&amp;";  ","")&amp;IF(AND(EDATE($D23,Milestones!$AA$186)&lt;=AsOfDate,IF($R23=0,$X23,IF(AND($T23&lt;&gt;"",EDATE($D23,Milestones!$AA$186)&gt;=$T23),$W23,IF(AND($S23&lt;&gt;"",EDATE($D23,Milestones!$AA$186)&gt;=$S23),$V23,$U23)))=Milestones!$AB$186),UPPER(TEXT(EDATE($D23,Milestones!$AA$186),"dd mmm yy"))&amp;" "&amp;Milestones!$AB$186&amp;" "&amp;Milestones!$AC$186&amp;";  ","")&amp;IF(AND(EDATE($D23,Milestones!$AA$187)&lt;=AsOfDate,IF($R23=0,$X23,IF(AND($T23&lt;&gt;"",EDATE($D23,Milestones!$AA$187)&gt;=$T23),$W23,IF(AND($S23&lt;&gt;"",EDATE($D23,Milestones!$AA$187)&gt;=$S23),$V23,$U23)))=Milestones!$AB$187),UPPER(TEXT(EDATE($D23,Milestones!$AA$187),"dd mmm yy"))&amp;" "&amp;Milestones!$AB$187&amp;" "&amp;Milestones!$AC$187&amp;";  ","")&amp;IF(AND(EDATE($D23,Milestones!$AA$188)&lt;=AsOfDate,IF($R23=0,$X23,IF(AND($T23&lt;&gt;"",EDATE($D23,Milestones!$AA$188)&gt;=$T23),$W23,IF(AND($S23&lt;&gt;"",EDATE($D23,Milestones!$AA$188)&gt;=$S23),$V23,$U23)))=Milestones!$AB$188),UPPER(TEXT(EDATE($D23,Milestones!$AA$188),"dd mmm yy"))&amp;" "&amp;Milestones!$AB$188&amp;" "&amp;Milestones!$AC$188&amp;";  ","")&amp;IF(AND(EDATE($D23,Milestones!$AA$189)&lt;=AsOfDate,IF($R23=0,$X23,IF(AND($T23&lt;&gt;"",EDATE($D23,Milestones!$AA$189)&gt;=$T23),$W23,IF(AND($S23&lt;&gt;"",EDATE($D23,Milestones!$AA$189)&gt;=$S23),$V23,$U23)))=Milestones!$AB$189),UPPER(TEXT(EDATE($D23,Milestones!$AA$189),"dd mmm yy"))&amp;" "&amp;Milestones!$AB$189&amp;" "&amp;Milestones!$AC$189&amp;";  ","")&amp;IF(AND(EDATE($D23,Milestones!$AA$190)&lt;=AsOfDate,IF($R23=0,$X23,IF(AND($T23&lt;&gt;"",EDATE($D23,Milestones!$AA$190)&gt;=$T23),$W23,IF(AND($S23&lt;&gt;"",EDATE($D23,Milestones!$AA$190)&gt;=$S23),$V23,$U23)))=Milestones!$AB$190),UPPER(TEXT(EDATE($D23,Milestones!$AA$190),"dd mmm yy"))&amp;" "&amp;Milestones!$AB$190&amp;" "&amp;Milestones!$AC$190&amp;";  ","")&amp;IF(AND(EDATE($D23,Milestones!$AA$191)&lt;=AsOfDate,IF($R23=0,$X23,IF(AND($T23&lt;&gt;"",EDATE($D23,Milestones!$AA$191)&gt;=$T23),$W23,IF(AND($S23&lt;&gt;"",EDATE($D23,Milestones!$AA$191)&gt;=$S23),$V23,$U23)))=Milestones!$AB$191),UPPER(TEXT(EDATE($D23,Milestones!$AA$191),"dd mmm yy"))&amp;" "&amp;Milestones!$AB$191&amp;" "&amp;Milestones!$AC$191&amp;";  ","")&amp;IF(AND(EDATE($D23,Milestones!$AA$192)&lt;=AsOfDate,IF($R23=0,$X23,IF(AND($T23&lt;&gt;"",EDATE($D23,Milestones!$AA$192)&gt;=$T23),$W23,IF(AND($S23&lt;&gt;"",EDATE($D23,Milestones!$AA$192)&gt;=$S23),$V23,$U23)))=Milestones!$AB$192),UPPER(TEXT(EDATE($D23,Milestones!$AA$192),"dd mmm yy"))&amp;" "&amp;Milestones!$AB$192&amp;" "&amp;Milestones!$AC$192&amp;";  ","")&amp;IF(AND(EDATE($D23,Milestones!$AA$193)&lt;=AsOfDate,IF($R23=0,$X23,IF(AND($T23&lt;&gt;"",EDATE($D23,Milestones!$AA$193)&gt;=$T23),$W23,IF(AND($S23&lt;&gt;"",EDATE($D23,Milestones!$AA$193)&gt;=$S23),$V23,$U23)))=Milestones!$AB$193),UPPER(TEXT(EDATE($D23,Milestones!$AA$193),"dd mmm yy"))&amp;" "&amp;Milestones!$AB$193&amp;" "&amp;Milestones!$AC$193&amp;";  ","")&amp;IF(AND(EDATE($D23,Milestones!$AA$194)&lt;=AsOfDate,IF($R23=0,$X23,IF(AND($T23&lt;&gt;"",EDATE($D23,Milestones!$AA$194)&gt;=$T23),$W23,IF(AND($S23&lt;&gt;"",EDATE($D23,Milestones!$AA$194)&gt;=$S23),$V23,$U23)))=Milestones!$AB$194),UPPER(TEXT(EDATE($D23,Milestones!$AA$194),"dd mmm yy"))&amp;" "&amp;Milestones!$AB$194&amp;" "&amp;Milestones!$AC$194&amp;";  ","")&amp;IF(AND(EDATE($D23,Milestones!$AA$195)&lt;=AsOfDate,IF($R23=0,$X23,IF(AND($T23&lt;&gt;"",EDATE($D23,Milestones!$AA$195)&gt;=$T23),$W23,IF(AND($S23&lt;&gt;"",EDATE($D23,Milestones!$AA$195)&gt;=$S23),$V23,$U23)))=Milestones!$AB$195),UPPER(TEXT(EDATE($D23,Milestones!$AA$195),"dd mmm yy"))&amp;" "&amp;Milestones!$AB$195&amp;" "&amp;Milestones!$AC$195&amp;";  ","")&amp;IF(AND(EDATE($D23,Milestones!$AA$196)&lt;=AsOfDate,IF($R23=0,$X23,IF(AND($T23&lt;&gt;"",EDATE($D23,Milestones!$AA$196)&gt;=$T23),$W23,IF(AND($S23&lt;&gt;"",EDATE($D23,Milestones!$AA$196)&gt;=$S23),$V23,$U23)))=Milestones!$AB$196),UPPER(TEXT(EDATE($D23,Milestones!$AA$196),"dd mmm yy"))&amp;" "&amp;Milestones!$AB$196&amp;" "&amp;Milestones!$AC$196&amp;";  ","")&amp;IF(AND(EDATE($D23,Milestones!$AA$197)&lt;=AsOfDate,IF($R23=0,$X23,IF(AND($T23&lt;&gt;"",EDATE($D23,Milestones!$AA$197)&gt;=$T23),$W23,IF(AND($S23&lt;&gt;"",EDATE($D23,Milestones!$AA$197)&gt;=$S23),$V23,$U23)))=Milestones!$AB$197),UPPER(TEXT(EDATE($D23,Milestones!$AA$197),"dd mmm yy"))&amp;" "&amp;Milestones!$AB$197&amp;" "&amp;Milestones!$AC$197&amp;";  ","")&amp;IF(AND(EDATE($D23,Milestones!$AA$198)&lt;=AsOfDate,IF($R23=0,$X23,IF(AND($T23&lt;&gt;"",EDATE($D23,Milestones!$AA$198)&gt;=$T23),$W23,IF(AND($S23&lt;&gt;"",EDATE($D23,Milestones!$AA$198)&gt;=$S23),$V23,$U23)))=Milestones!$AB$198),UPPER(TEXT(EDATE($D23,Milestones!$AA$198),"dd mmm yy"))&amp;" "&amp;Milestones!$AB$198&amp;" "&amp;Milestones!$AC$198&amp;";  ","")&amp;IF(AND(EDATE($D23,Milestones!$AA$199)&lt;=AsOfDate,IF($R23=0,$X23,IF(AND($T23&lt;&gt;"",EDATE($D23,Milestones!$AA$199)&gt;=$T23),$W23,IF(AND($S23&lt;&gt;"",EDATE($D23,Milestones!$AA$199)&gt;=$S23),$V23,$U23)))=Milestones!$AB$199),UPPER(TEXT(EDATE($D23,Milestones!$AA$199),"dd mmm yy"))&amp;" "&amp;Milestones!$AB$199&amp;" "&amp;Milestones!$AC$199&amp;";  ",""))</f>
        <v/>
      </c>
      <c r="R23" s="0" t="str">
        <f aca="false">IF(Staff!$A23="","",Staff!$AI23)</f>
        <v/>
      </c>
      <c r="S23" s="0" t="str">
        <f aca="false">IF(Staff!$A23="","",Staff!$AK23)</f>
        <v/>
      </c>
      <c r="T23" s="0" t="str">
        <f aca="false">IF(Staff!$A23="","",Staff!$AL23)</f>
        <v/>
      </c>
      <c r="U23" s="0" t="str">
        <f aca="false">IF(Staff!$A23="","",Staff!$AP23)</f>
        <v/>
      </c>
      <c r="V23" s="0" t="str">
        <f aca="false">IF(Staff!$A23="","",Staff!$AQ23)</f>
        <v/>
      </c>
      <c r="W23" s="0" t="str">
        <f aca="false">IF(Staff!$A23="","",Staff!$AR23)</f>
        <v/>
      </c>
      <c r="X23" s="0" t="str">
        <f aca="false">IF(Staff!$A23="","",Staff!$AS23)</f>
        <v/>
      </c>
    </row>
    <row r="24" customFormat="false" ht="15" hidden="false" customHeight="false" outlineLevel="0" collapsed="false">
      <c r="A24" s="14" t="str">
        <f aca="false">IF(Staff!$A24="","",Staff!$A24)</f>
        <v/>
      </c>
      <c r="B24" s="14" t="str">
        <f aca="false">IF(Staff!$A24="","",Staff!$B24)</f>
        <v/>
      </c>
      <c r="C24" s="14" t="str">
        <f aca="false">IF(Staff!$A24="","",Staff!$C24)</f>
        <v/>
      </c>
      <c r="D24" s="12" t="str">
        <f aca="false">IF(Staff!$A24="","",Staff!$AH24)</f>
        <v/>
      </c>
      <c r="E24" s="14" t="str">
        <f aca="false">IF(Staff!$A24="","",Staff!$O24)</f>
        <v/>
      </c>
      <c r="F24" s="14" t="str">
        <f aca="false">IF(E24="","",E24*HoursPerDay)</f>
        <v/>
      </c>
      <c r="G24" s="14" t="str">
        <f aca="false">IF(Staff!$A24="","",Staff!$AE24)</f>
        <v/>
      </c>
      <c r="H24" s="26" t="str">
        <f aca="false">IF($A24="","",I24&amp;J24&amp;K24&amp;L24&amp;M24&amp;N24&amp;O24&amp;P24&amp;Q24)</f>
        <v/>
      </c>
      <c r="I24" s="0" t="str">
        <f aca="false">IF(OR($A24="",$D24=""),"",IF(AND(EDATE($D24,Milestones!$AA$20)&lt;=AsOfDate,IF($R24=0,$X24,IF(AND($T24&lt;&gt;"",EDATE($D24,Milestones!$AA$20)&gt;=$T24),$W24,IF(AND($S24&lt;&gt;"",EDATE($D24,Milestones!$AA$20)&gt;=$S24),$V24,$U24)))=Milestones!$AB$20),UPPER(TEXT(EDATE($D24,Milestones!$AA$20),"dd mmm yy"))&amp;" "&amp;Milestones!$AB$20&amp;" "&amp;Milestones!$AC$20&amp;";  ","")&amp;IF(AND(EDATE($D24,Milestones!$AA$21)&lt;=AsOfDate,IF($R24=0,$X24,IF(AND($T24&lt;&gt;"",EDATE($D24,Milestones!$AA$21)&gt;=$T24),$W24,IF(AND($S24&lt;&gt;"",EDATE($D24,Milestones!$AA$21)&gt;=$S24),$V24,$U24)))=Milestones!$AB$21),UPPER(TEXT(EDATE($D24,Milestones!$AA$21),"dd mmm yy"))&amp;" "&amp;Milestones!$AB$21&amp;" "&amp;Milestones!$AC$21&amp;";  ","")&amp;IF(AND(EDATE($D24,Milestones!$AA$22)&lt;=AsOfDate,IF($R24=0,$X24,IF(AND($T24&lt;&gt;"",EDATE($D24,Milestones!$AA$22)&gt;=$T24),$W24,IF(AND($S24&lt;&gt;"",EDATE($D24,Milestones!$AA$22)&gt;=$S24),$V24,$U24)))=Milestones!$AB$22),UPPER(TEXT(EDATE($D24,Milestones!$AA$22),"dd mmm yy"))&amp;" "&amp;Milestones!$AB$22&amp;" "&amp;Milestones!$AC$22&amp;";  ","")&amp;IF(AND(EDATE($D24,Milestones!$AA$23)&lt;=AsOfDate,IF($R24=0,$X24,IF(AND($T24&lt;&gt;"",EDATE($D24,Milestones!$AA$23)&gt;=$T24),$W24,IF(AND($S24&lt;&gt;"",EDATE($D24,Milestones!$AA$23)&gt;=$S24),$V24,$U24)))=Milestones!$AB$23),UPPER(TEXT(EDATE($D24,Milestones!$AA$23),"dd mmm yy"))&amp;" "&amp;Milestones!$AB$23&amp;" "&amp;Milestones!$AC$23&amp;";  ","")&amp;IF(AND(EDATE($D24,Milestones!$AA$24)&lt;=AsOfDate,IF($R24=0,$X24,IF(AND($T24&lt;&gt;"",EDATE($D24,Milestones!$AA$24)&gt;=$T24),$W24,IF(AND($S24&lt;&gt;"",EDATE($D24,Milestones!$AA$24)&gt;=$S24),$V24,$U24)))=Milestones!$AB$24),UPPER(TEXT(EDATE($D24,Milestones!$AA$24),"dd mmm yy"))&amp;" "&amp;Milestones!$AB$24&amp;" "&amp;Milestones!$AC$24&amp;";  ","")&amp;IF(AND(EDATE($D24,Milestones!$AA$25)&lt;=AsOfDate,IF($R24=0,$X24,IF(AND($T24&lt;&gt;"",EDATE($D24,Milestones!$AA$25)&gt;=$T24),$W24,IF(AND($S24&lt;&gt;"",EDATE($D24,Milestones!$AA$25)&gt;=$S24),$V24,$U24)))=Milestones!$AB$25),UPPER(TEXT(EDATE($D24,Milestones!$AA$25),"dd mmm yy"))&amp;" "&amp;Milestones!$AB$25&amp;" "&amp;Milestones!$AC$25&amp;";  ","")&amp;IF(AND(EDATE($D24,Milestones!$AA$26)&lt;=AsOfDate,IF($R24=0,$X24,IF(AND($T24&lt;&gt;"",EDATE($D24,Milestones!$AA$26)&gt;=$T24),$W24,IF(AND($S24&lt;&gt;"",EDATE($D24,Milestones!$AA$26)&gt;=$S24),$V24,$U24)))=Milestones!$AB$26),UPPER(TEXT(EDATE($D24,Milestones!$AA$26),"dd mmm yy"))&amp;" "&amp;Milestones!$AB$26&amp;" "&amp;Milestones!$AC$26&amp;";  ","")&amp;IF(AND(EDATE($D24,Milestones!$AA$27)&lt;=AsOfDate,IF($R24=0,$X24,IF(AND($T24&lt;&gt;"",EDATE($D24,Milestones!$AA$27)&gt;=$T24),$W24,IF(AND($S24&lt;&gt;"",EDATE($D24,Milestones!$AA$27)&gt;=$S24),$V24,$U24)))=Milestones!$AB$27),UPPER(TEXT(EDATE($D24,Milestones!$AA$27),"dd mmm yy"))&amp;" "&amp;Milestones!$AB$27&amp;" "&amp;Milestones!$AC$27&amp;";  ","")&amp;IF(AND(EDATE($D24,Milestones!$AA$28)&lt;=AsOfDate,IF($R24=0,$X24,IF(AND($T24&lt;&gt;"",EDATE($D24,Milestones!$AA$28)&gt;=$T24),$W24,IF(AND($S24&lt;&gt;"",EDATE($D24,Milestones!$AA$28)&gt;=$S24),$V24,$U24)))=Milestones!$AB$28),UPPER(TEXT(EDATE($D24,Milestones!$AA$28),"dd mmm yy"))&amp;" "&amp;Milestones!$AB$28&amp;" "&amp;Milestones!$AC$28&amp;";  ","")&amp;IF(AND(EDATE($D24,Milestones!$AA$29)&lt;=AsOfDate,IF($R24=0,$X24,IF(AND($T24&lt;&gt;"",EDATE($D24,Milestones!$AA$29)&gt;=$T24),$W24,IF(AND($S24&lt;&gt;"",EDATE($D24,Milestones!$AA$29)&gt;=$S24),$V24,$U24)))=Milestones!$AB$29),UPPER(TEXT(EDATE($D24,Milestones!$AA$29),"dd mmm yy"))&amp;" "&amp;Milestones!$AB$29&amp;" "&amp;Milestones!$AC$29&amp;";  ","")&amp;IF(AND(EDATE($D24,Milestones!$AA$30)&lt;=AsOfDate,IF($R24=0,$X24,IF(AND($T24&lt;&gt;"",EDATE($D24,Milestones!$AA$30)&gt;=$T24),$W24,IF(AND($S24&lt;&gt;"",EDATE($D24,Milestones!$AA$30)&gt;=$S24),$V24,$U24)))=Milestones!$AB$30),UPPER(TEXT(EDATE($D24,Milestones!$AA$30),"dd mmm yy"))&amp;" "&amp;Milestones!$AB$30&amp;" "&amp;Milestones!$AC$30&amp;";  ","")&amp;IF(AND(EDATE($D24,Milestones!$AA$31)&lt;=AsOfDate,IF($R24=0,$X24,IF(AND($T24&lt;&gt;"",EDATE($D24,Milestones!$AA$31)&gt;=$T24),$W24,IF(AND($S24&lt;&gt;"",EDATE($D24,Milestones!$AA$31)&gt;=$S24),$V24,$U24)))=Milestones!$AB$31),UPPER(TEXT(EDATE($D24,Milestones!$AA$31),"dd mmm yy"))&amp;" "&amp;Milestones!$AB$31&amp;" "&amp;Milestones!$AC$31&amp;";  ","")&amp;IF(AND(EDATE($D24,Milestones!$AA$32)&lt;=AsOfDate,IF($R24=0,$X24,IF(AND($T24&lt;&gt;"",EDATE($D24,Milestones!$AA$32)&gt;=$T24),$W24,IF(AND($S24&lt;&gt;"",EDATE($D24,Milestones!$AA$32)&gt;=$S24),$V24,$U24)))=Milestones!$AB$32),UPPER(TEXT(EDATE($D24,Milestones!$AA$32),"dd mmm yy"))&amp;" "&amp;Milestones!$AB$32&amp;" "&amp;Milestones!$AC$32&amp;";  ","")&amp;IF(AND(EDATE($D24,Milestones!$AA$33)&lt;=AsOfDate,IF($R24=0,$X24,IF(AND($T24&lt;&gt;"",EDATE($D24,Milestones!$AA$33)&gt;=$T24),$W24,IF(AND($S24&lt;&gt;"",EDATE($D24,Milestones!$AA$33)&gt;=$S24),$V24,$U24)))=Milestones!$AB$33),UPPER(TEXT(EDATE($D24,Milestones!$AA$33),"dd mmm yy"))&amp;" "&amp;Milestones!$AB$33&amp;" "&amp;Milestones!$AC$33&amp;";  ","")&amp;IF(AND(EDATE($D24,Milestones!$AA$34)&lt;=AsOfDate,IF($R24=0,$X24,IF(AND($T24&lt;&gt;"",EDATE($D24,Milestones!$AA$34)&gt;=$T24),$W24,IF(AND($S24&lt;&gt;"",EDATE($D24,Milestones!$AA$34)&gt;=$S24),$V24,$U24)))=Milestones!$AB$34),UPPER(TEXT(EDATE($D24,Milestones!$AA$34),"dd mmm yy"))&amp;" "&amp;Milestones!$AB$34&amp;" "&amp;Milestones!$AC$34&amp;";  ","")&amp;IF(AND(EDATE($D24,Milestones!$AA$35)&lt;=AsOfDate,IF($R24=0,$X24,IF(AND($T24&lt;&gt;"",EDATE($D24,Milestones!$AA$35)&gt;=$T24),$W24,IF(AND($S24&lt;&gt;"",EDATE($D24,Milestones!$AA$35)&gt;=$S24),$V24,$U24)))=Milestones!$AB$35),UPPER(TEXT(EDATE($D24,Milestones!$AA$35),"dd mmm yy"))&amp;" "&amp;Milestones!$AB$35&amp;" "&amp;Milestones!$AC$35&amp;";  ","")&amp;IF(AND(EDATE($D24,Milestones!$AA$36)&lt;=AsOfDate,IF($R24=0,$X24,IF(AND($T24&lt;&gt;"",EDATE($D24,Milestones!$AA$36)&gt;=$T24),$W24,IF(AND($S24&lt;&gt;"",EDATE($D24,Milestones!$AA$36)&gt;=$S24),$V24,$U24)))=Milestones!$AB$36),UPPER(TEXT(EDATE($D24,Milestones!$AA$36),"dd mmm yy"))&amp;" "&amp;Milestones!$AB$36&amp;" "&amp;Milestones!$AC$36&amp;";  ","")&amp;IF(AND(EDATE($D24,Milestones!$AA$37)&lt;=AsOfDate,IF($R24=0,$X24,IF(AND($T24&lt;&gt;"",EDATE($D24,Milestones!$AA$37)&gt;=$T24),$W24,IF(AND($S24&lt;&gt;"",EDATE($D24,Milestones!$AA$37)&gt;=$S24),$V24,$U24)))=Milestones!$AB$37),UPPER(TEXT(EDATE($D24,Milestones!$AA$37),"dd mmm yy"))&amp;" "&amp;Milestones!$AB$37&amp;" "&amp;Milestones!$AC$37&amp;";  ","")&amp;IF(AND(EDATE($D24,Milestones!$AA$38)&lt;=AsOfDate,IF($R24=0,$X24,IF(AND($T24&lt;&gt;"",EDATE($D24,Milestones!$AA$38)&gt;=$T24),$W24,IF(AND($S24&lt;&gt;"",EDATE($D24,Milestones!$AA$38)&gt;=$S24),$V24,$U24)))=Milestones!$AB$38),UPPER(TEXT(EDATE($D24,Milestones!$AA$38),"dd mmm yy"))&amp;" "&amp;Milestones!$AB$38&amp;" "&amp;Milestones!$AC$38&amp;";  ","")&amp;IF(AND(EDATE($D24,Milestones!$AA$39)&lt;=AsOfDate,IF($R24=0,$X24,IF(AND($T24&lt;&gt;"",EDATE($D24,Milestones!$AA$39)&gt;=$T24),$W24,IF(AND($S24&lt;&gt;"",EDATE($D24,Milestones!$AA$39)&gt;=$S24),$V24,$U24)))=Milestones!$AB$39),UPPER(TEXT(EDATE($D24,Milestones!$AA$39),"dd mmm yy"))&amp;" "&amp;Milestones!$AB$39&amp;" "&amp;Milestones!$AC$39&amp;";  ",""))</f>
        <v/>
      </c>
      <c r="J24" s="0" t="str">
        <f aca="false">IF(OR($A24="",$D24=""),"",IF(AND(EDATE($D24,Milestones!$AA$40)&lt;=AsOfDate,IF($R24=0,$X24,IF(AND($T24&lt;&gt;"",EDATE($D24,Milestones!$AA$40)&gt;=$T24),$W24,IF(AND($S24&lt;&gt;"",EDATE($D24,Milestones!$AA$40)&gt;=$S24),$V24,$U24)))=Milestones!$AB$40),UPPER(TEXT(EDATE($D24,Milestones!$AA$40),"dd mmm yy"))&amp;" "&amp;Milestones!$AB$40&amp;" "&amp;Milestones!$AC$40&amp;";  ","")&amp;IF(AND(EDATE($D24,Milestones!$AA$41)&lt;=AsOfDate,IF($R24=0,$X24,IF(AND($T24&lt;&gt;"",EDATE($D24,Milestones!$AA$41)&gt;=$T24),$W24,IF(AND($S24&lt;&gt;"",EDATE($D24,Milestones!$AA$41)&gt;=$S24),$V24,$U24)))=Milestones!$AB$41),UPPER(TEXT(EDATE($D24,Milestones!$AA$41),"dd mmm yy"))&amp;" "&amp;Milestones!$AB$41&amp;" "&amp;Milestones!$AC$41&amp;";  ","")&amp;IF(AND(EDATE($D24,Milestones!$AA$42)&lt;=AsOfDate,IF($R24=0,$X24,IF(AND($T24&lt;&gt;"",EDATE($D24,Milestones!$AA$42)&gt;=$T24),$W24,IF(AND($S24&lt;&gt;"",EDATE($D24,Milestones!$AA$42)&gt;=$S24),$V24,$U24)))=Milestones!$AB$42),UPPER(TEXT(EDATE($D24,Milestones!$AA$42),"dd mmm yy"))&amp;" "&amp;Milestones!$AB$42&amp;" "&amp;Milestones!$AC$42&amp;";  ","")&amp;IF(AND(EDATE($D24,Milestones!$AA$43)&lt;=AsOfDate,IF($R24=0,$X24,IF(AND($T24&lt;&gt;"",EDATE($D24,Milestones!$AA$43)&gt;=$T24),$W24,IF(AND($S24&lt;&gt;"",EDATE($D24,Milestones!$AA$43)&gt;=$S24),$V24,$U24)))=Milestones!$AB$43),UPPER(TEXT(EDATE($D24,Milestones!$AA$43),"dd mmm yy"))&amp;" "&amp;Milestones!$AB$43&amp;" "&amp;Milestones!$AC$43&amp;";  ","")&amp;IF(AND(EDATE($D24,Milestones!$AA$44)&lt;=AsOfDate,IF($R24=0,$X24,IF(AND($T24&lt;&gt;"",EDATE($D24,Milestones!$AA$44)&gt;=$T24),$W24,IF(AND($S24&lt;&gt;"",EDATE($D24,Milestones!$AA$44)&gt;=$S24),$V24,$U24)))=Milestones!$AB$44),UPPER(TEXT(EDATE($D24,Milestones!$AA$44),"dd mmm yy"))&amp;" "&amp;Milestones!$AB$44&amp;" "&amp;Milestones!$AC$44&amp;";  ","")&amp;IF(AND(EDATE($D24,Milestones!$AA$45)&lt;=AsOfDate,IF($R24=0,$X24,IF(AND($T24&lt;&gt;"",EDATE($D24,Milestones!$AA$45)&gt;=$T24),$W24,IF(AND($S24&lt;&gt;"",EDATE($D24,Milestones!$AA$45)&gt;=$S24),$V24,$U24)))=Milestones!$AB$45),UPPER(TEXT(EDATE($D24,Milestones!$AA$45),"dd mmm yy"))&amp;" "&amp;Milestones!$AB$45&amp;" "&amp;Milestones!$AC$45&amp;";  ","")&amp;IF(AND(EDATE($D24,Milestones!$AA$46)&lt;=AsOfDate,IF($R24=0,$X24,IF(AND($T24&lt;&gt;"",EDATE($D24,Milestones!$AA$46)&gt;=$T24),$W24,IF(AND($S24&lt;&gt;"",EDATE($D24,Milestones!$AA$46)&gt;=$S24),$V24,$U24)))=Milestones!$AB$46),UPPER(TEXT(EDATE($D24,Milestones!$AA$46),"dd mmm yy"))&amp;" "&amp;Milestones!$AB$46&amp;" "&amp;Milestones!$AC$46&amp;";  ","")&amp;IF(AND(EDATE($D24,Milestones!$AA$47)&lt;=AsOfDate,IF($R24=0,$X24,IF(AND($T24&lt;&gt;"",EDATE($D24,Milestones!$AA$47)&gt;=$T24),$W24,IF(AND($S24&lt;&gt;"",EDATE($D24,Milestones!$AA$47)&gt;=$S24),$V24,$U24)))=Milestones!$AB$47),UPPER(TEXT(EDATE($D24,Milestones!$AA$47),"dd mmm yy"))&amp;" "&amp;Milestones!$AB$47&amp;" "&amp;Milestones!$AC$47&amp;";  ","")&amp;IF(AND(EDATE($D24,Milestones!$AA$48)&lt;=AsOfDate,IF($R24=0,$X24,IF(AND($T24&lt;&gt;"",EDATE($D24,Milestones!$AA$48)&gt;=$T24),$W24,IF(AND($S24&lt;&gt;"",EDATE($D24,Milestones!$AA$48)&gt;=$S24),$V24,$U24)))=Milestones!$AB$48),UPPER(TEXT(EDATE($D24,Milestones!$AA$48),"dd mmm yy"))&amp;" "&amp;Milestones!$AB$48&amp;" "&amp;Milestones!$AC$48&amp;";  ","")&amp;IF(AND(EDATE($D24,Milestones!$AA$49)&lt;=AsOfDate,IF($R24=0,$X24,IF(AND($T24&lt;&gt;"",EDATE($D24,Milestones!$AA$49)&gt;=$T24),$W24,IF(AND($S24&lt;&gt;"",EDATE($D24,Milestones!$AA$49)&gt;=$S24),$V24,$U24)))=Milestones!$AB$49),UPPER(TEXT(EDATE($D24,Milestones!$AA$49),"dd mmm yy"))&amp;" "&amp;Milestones!$AB$49&amp;" "&amp;Milestones!$AC$49&amp;";  ","")&amp;IF(AND(EDATE($D24,Milestones!$AA$50)&lt;=AsOfDate,IF($R24=0,$X24,IF(AND($T24&lt;&gt;"",EDATE($D24,Milestones!$AA$50)&gt;=$T24),$W24,IF(AND($S24&lt;&gt;"",EDATE($D24,Milestones!$AA$50)&gt;=$S24),$V24,$U24)))=Milestones!$AB$50),UPPER(TEXT(EDATE($D24,Milestones!$AA$50),"dd mmm yy"))&amp;" "&amp;Milestones!$AB$50&amp;" "&amp;Milestones!$AC$50&amp;";  ","")&amp;IF(AND(EDATE($D24,Milestones!$AA$51)&lt;=AsOfDate,IF($R24=0,$X24,IF(AND($T24&lt;&gt;"",EDATE($D24,Milestones!$AA$51)&gt;=$T24),$W24,IF(AND($S24&lt;&gt;"",EDATE($D24,Milestones!$AA$51)&gt;=$S24),$V24,$U24)))=Milestones!$AB$51),UPPER(TEXT(EDATE($D24,Milestones!$AA$51),"dd mmm yy"))&amp;" "&amp;Milestones!$AB$51&amp;" "&amp;Milestones!$AC$51&amp;";  ","")&amp;IF(AND(EDATE($D24,Milestones!$AA$52)&lt;=AsOfDate,IF($R24=0,$X24,IF(AND($T24&lt;&gt;"",EDATE($D24,Milestones!$AA$52)&gt;=$T24),$W24,IF(AND($S24&lt;&gt;"",EDATE($D24,Milestones!$AA$52)&gt;=$S24),$V24,$U24)))=Milestones!$AB$52),UPPER(TEXT(EDATE($D24,Milestones!$AA$52),"dd mmm yy"))&amp;" "&amp;Milestones!$AB$52&amp;" "&amp;Milestones!$AC$52&amp;";  ","")&amp;IF(AND(EDATE($D24,Milestones!$AA$53)&lt;=AsOfDate,IF($R24=0,$X24,IF(AND($T24&lt;&gt;"",EDATE($D24,Milestones!$AA$53)&gt;=$T24),$W24,IF(AND($S24&lt;&gt;"",EDATE($D24,Milestones!$AA$53)&gt;=$S24),$V24,$U24)))=Milestones!$AB$53),UPPER(TEXT(EDATE($D24,Milestones!$AA$53),"dd mmm yy"))&amp;" "&amp;Milestones!$AB$53&amp;" "&amp;Milestones!$AC$53&amp;";  ","")&amp;IF(AND(EDATE($D24,Milestones!$AA$54)&lt;=AsOfDate,IF($R24=0,$X24,IF(AND($T24&lt;&gt;"",EDATE($D24,Milestones!$AA$54)&gt;=$T24),$W24,IF(AND($S24&lt;&gt;"",EDATE($D24,Milestones!$AA$54)&gt;=$S24),$V24,$U24)))=Milestones!$AB$54),UPPER(TEXT(EDATE($D24,Milestones!$AA$54),"dd mmm yy"))&amp;" "&amp;Milestones!$AB$54&amp;" "&amp;Milestones!$AC$54&amp;";  ","")&amp;IF(AND(EDATE($D24,Milestones!$AA$55)&lt;=AsOfDate,IF($R24=0,$X24,IF(AND($T24&lt;&gt;"",EDATE($D24,Milestones!$AA$55)&gt;=$T24),$W24,IF(AND($S24&lt;&gt;"",EDATE($D24,Milestones!$AA$55)&gt;=$S24),$V24,$U24)))=Milestones!$AB$55),UPPER(TEXT(EDATE($D24,Milestones!$AA$55),"dd mmm yy"))&amp;" "&amp;Milestones!$AB$55&amp;" "&amp;Milestones!$AC$55&amp;";  ","")&amp;IF(AND(EDATE($D24,Milestones!$AA$56)&lt;=AsOfDate,IF($R24=0,$X24,IF(AND($T24&lt;&gt;"",EDATE($D24,Milestones!$AA$56)&gt;=$T24),$W24,IF(AND($S24&lt;&gt;"",EDATE($D24,Milestones!$AA$56)&gt;=$S24),$V24,$U24)))=Milestones!$AB$56),UPPER(TEXT(EDATE($D24,Milestones!$AA$56),"dd mmm yy"))&amp;" "&amp;Milestones!$AB$56&amp;" "&amp;Milestones!$AC$56&amp;";  ","")&amp;IF(AND(EDATE($D24,Milestones!$AA$57)&lt;=AsOfDate,IF($R24=0,$X24,IF(AND($T24&lt;&gt;"",EDATE($D24,Milestones!$AA$57)&gt;=$T24),$W24,IF(AND($S24&lt;&gt;"",EDATE($D24,Milestones!$AA$57)&gt;=$S24),$V24,$U24)))=Milestones!$AB$57),UPPER(TEXT(EDATE($D24,Milestones!$AA$57),"dd mmm yy"))&amp;" "&amp;Milestones!$AB$57&amp;" "&amp;Milestones!$AC$57&amp;";  ","")&amp;IF(AND(EDATE($D24,Milestones!$AA$58)&lt;=AsOfDate,IF($R24=0,$X24,IF(AND($T24&lt;&gt;"",EDATE($D24,Milestones!$AA$58)&gt;=$T24),$W24,IF(AND($S24&lt;&gt;"",EDATE($D24,Milestones!$AA$58)&gt;=$S24),$V24,$U24)))=Milestones!$AB$58),UPPER(TEXT(EDATE($D24,Milestones!$AA$58),"dd mmm yy"))&amp;" "&amp;Milestones!$AB$58&amp;" "&amp;Milestones!$AC$58&amp;";  ","")&amp;IF(AND(EDATE($D24,Milestones!$AA$59)&lt;=AsOfDate,IF($R24=0,$X24,IF(AND($T24&lt;&gt;"",EDATE($D24,Milestones!$AA$59)&gt;=$T24),$W24,IF(AND($S24&lt;&gt;"",EDATE($D24,Milestones!$AA$59)&gt;=$S24),$V24,$U24)))=Milestones!$AB$59),UPPER(TEXT(EDATE($D24,Milestones!$AA$59),"dd mmm yy"))&amp;" "&amp;Milestones!$AB$59&amp;" "&amp;Milestones!$AC$59&amp;";  ",""))</f>
        <v/>
      </c>
      <c r="K24" s="0" t="str">
        <f aca="false">IF(OR($A24="",$D24=""),"",IF(AND(EDATE($D24,Milestones!$AA$60)&lt;=AsOfDate,IF($R24=0,$X24,IF(AND($T24&lt;&gt;"",EDATE($D24,Milestones!$AA$60)&gt;=$T24),$W24,IF(AND($S24&lt;&gt;"",EDATE($D24,Milestones!$AA$60)&gt;=$S24),$V24,$U24)))=Milestones!$AB$60),UPPER(TEXT(EDATE($D24,Milestones!$AA$60),"dd mmm yy"))&amp;" "&amp;Milestones!$AB$60&amp;" "&amp;Milestones!$AC$60&amp;";  ","")&amp;IF(AND(EDATE($D24,Milestones!$AA$61)&lt;=AsOfDate,IF($R24=0,$X24,IF(AND($T24&lt;&gt;"",EDATE($D24,Milestones!$AA$61)&gt;=$T24),$W24,IF(AND($S24&lt;&gt;"",EDATE($D24,Milestones!$AA$61)&gt;=$S24),$V24,$U24)))=Milestones!$AB$61),UPPER(TEXT(EDATE($D24,Milestones!$AA$61),"dd mmm yy"))&amp;" "&amp;Milestones!$AB$61&amp;" "&amp;Milestones!$AC$61&amp;";  ","")&amp;IF(AND(EDATE($D24,Milestones!$AA$62)&lt;=AsOfDate,IF($R24=0,$X24,IF(AND($T24&lt;&gt;"",EDATE($D24,Milestones!$AA$62)&gt;=$T24),$W24,IF(AND($S24&lt;&gt;"",EDATE($D24,Milestones!$AA$62)&gt;=$S24),$V24,$U24)))=Milestones!$AB$62),UPPER(TEXT(EDATE($D24,Milestones!$AA$62),"dd mmm yy"))&amp;" "&amp;Milestones!$AB$62&amp;" "&amp;Milestones!$AC$62&amp;";  ","")&amp;IF(AND(EDATE($D24,Milestones!$AA$63)&lt;=AsOfDate,IF($R24=0,$X24,IF(AND($T24&lt;&gt;"",EDATE($D24,Milestones!$AA$63)&gt;=$T24),$W24,IF(AND($S24&lt;&gt;"",EDATE($D24,Milestones!$AA$63)&gt;=$S24),$V24,$U24)))=Milestones!$AB$63),UPPER(TEXT(EDATE($D24,Milestones!$AA$63),"dd mmm yy"))&amp;" "&amp;Milestones!$AB$63&amp;" "&amp;Milestones!$AC$63&amp;";  ","")&amp;IF(AND(EDATE($D24,Milestones!$AA$64)&lt;=AsOfDate,IF($R24=0,$X24,IF(AND($T24&lt;&gt;"",EDATE($D24,Milestones!$AA$64)&gt;=$T24),$W24,IF(AND($S24&lt;&gt;"",EDATE($D24,Milestones!$AA$64)&gt;=$S24),$V24,$U24)))=Milestones!$AB$64),UPPER(TEXT(EDATE($D24,Milestones!$AA$64),"dd mmm yy"))&amp;" "&amp;Milestones!$AB$64&amp;" "&amp;Milestones!$AC$64&amp;";  ","")&amp;IF(AND(EDATE($D24,Milestones!$AA$65)&lt;=AsOfDate,IF($R24=0,$X24,IF(AND($T24&lt;&gt;"",EDATE($D24,Milestones!$AA$65)&gt;=$T24),$W24,IF(AND($S24&lt;&gt;"",EDATE($D24,Milestones!$AA$65)&gt;=$S24),$V24,$U24)))=Milestones!$AB$65),UPPER(TEXT(EDATE($D24,Milestones!$AA$65),"dd mmm yy"))&amp;" "&amp;Milestones!$AB$65&amp;" "&amp;Milestones!$AC$65&amp;";  ","")&amp;IF(AND(EDATE($D24,Milestones!$AA$66)&lt;=AsOfDate,IF($R24=0,$X24,IF(AND($T24&lt;&gt;"",EDATE($D24,Milestones!$AA$66)&gt;=$T24),$W24,IF(AND($S24&lt;&gt;"",EDATE($D24,Milestones!$AA$66)&gt;=$S24),$V24,$U24)))=Milestones!$AB$66),UPPER(TEXT(EDATE($D24,Milestones!$AA$66),"dd mmm yy"))&amp;" "&amp;Milestones!$AB$66&amp;" "&amp;Milestones!$AC$66&amp;";  ","")&amp;IF(AND(EDATE($D24,Milestones!$AA$67)&lt;=AsOfDate,IF($R24=0,$X24,IF(AND($T24&lt;&gt;"",EDATE($D24,Milestones!$AA$67)&gt;=$T24),$W24,IF(AND($S24&lt;&gt;"",EDATE($D24,Milestones!$AA$67)&gt;=$S24),$V24,$U24)))=Milestones!$AB$67),UPPER(TEXT(EDATE($D24,Milestones!$AA$67),"dd mmm yy"))&amp;" "&amp;Milestones!$AB$67&amp;" "&amp;Milestones!$AC$67&amp;";  ","")&amp;IF(AND(EDATE($D24,Milestones!$AA$68)&lt;=AsOfDate,IF($R24=0,$X24,IF(AND($T24&lt;&gt;"",EDATE($D24,Milestones!$AA$68)&gt;=$T24),$W24,IF(AND($S24&lt;&gt;"",EDATE($D24,Milestones!$AA$68)&gt;=$S24),$V24,$U24)))=Milestones!$AB$68),UPPER(TEXT(EDATE($D24,Milestones!$AA$68),"dd mmm yy"))&amp;" "&amp;Milestones!$AB$68&amp;" "&amp;Milestones!$AC$68&amp;";  ","")&amp;IF(AND(EDATE($D24,Milestones!$AA$69)&lt;=AsOfDate,IF($R24=0,$X24,IF(AND($T24&lt;&gt;"",EDATE($D24,Milestones!$AA$69)&gt;=$T24),$W24,IF(AND($S24&lt;&gt;"",EDATE($D24,Milestones!$AA$69)&gt;=$S24),$V24,$U24)))=Milestones!$AB$69),UPPER(TEXT(EDATE($D24,Milestones!$AA$69),"dd mmm yy"))&amp;" "&amp;Milestones!$AB$69&amp;" "&amp;Milestones!$AC$69&amp;";  ","")&amp;IF(AND(EDATE($D24,Milestones!$AA$70)&lt;=AsOfDate,IF($R24=0,$X24,IF(AND($T24&lt;&gt;"",EDATE($D24,Milestones!$AA$70)&gt;=$T24),$W24,IF(AND($S24&lt;&gt;"",EDATE($D24,Milestones!$AA$70)&gt;=$S24),$V24,$U24)))=Milestones!$AB$70),UPPER(TEXT(EDATE($D24,Milestones!$AA$70),"dd mmm yy"))&amp;" "&amp;Milestones!$AB$70&amp;" "&amp;Milestones!$AC$70&amp;";  ","")&amp;IF(AND(EDATE($D24,Milestones!$AA$71)&lt;=AsOfDate,IF($R24=0,$X24,IF(AND($T24&lt;&gt;"",EDATE($D24,Milestones!$AA$71)&gt;=$T24),$W24,IF(AND($S24&lt;&gt;"",EDATE($D24,Milestones!$AA$71)&gt;=$S24),$V24,$U24)))=Milestones!$AB$71),UPPER(TEXT(EDATE($D24,Milestones!$AA$71),"dd mmm yy"))&amp;" "&amp;Milestones!$AB$71&amp;" "&amp;Milestones!$AC$71&amp;";  ","")&amp;IF(AND(EDATE($D24,Milestones!$AA$72)&lt;=AsOfDate,IF($R24=0,$X24,IF(AND($T24&lt;&gt;"",EDATE($D24,Milestones!$AA$72)&gt;=$T24),$W24,IF(AND($S24&lt;&gt;"",EDATE($D24,Milestones!$AA$72)&gt;=$S24),$V24,$U24)))=Milestones!$AB$72),UPPER(TEXT(EDATE($D24,Milestones!$AA$72),"dd mmm yy"))&amp;" "&amp;Milestones!$AB$72&amp;" "&amp;Milestones!$AC$72&amp;";  ","")&amp;IF(AND(EDATE($D24,Milestones!$AA$73)&lt;=AsOfDate,IF($R24=0,$X24,IF(AND($T24&lt;&gt;"",EDATE($D24,Milestones!$AA$73)&gt;=$T24),$W24,IF(AND($S24&lt;&gt;"",EDATE($D24,Milestones!$AA$73)&gt;=$S24),$V24,$U24)))=Milestones!$AB$73),UPPER(TEXT(EDATE($D24,Milestones!$AA$73),"dd mmm yy"))&amp;" "&amp;Milestones!$AB$73&amp;" "&amp;Milestones!$AC$73&amp;";  ","")&amp;IF(AND(EDATE($D24,Milestones!$AA$74)&lt;=AsOfDate,IF($R24=0,$X24,IF(AND($T24&lt;&gt;"",EDATE($D24,Milestones!$AA$74)&gt;=$T24),$W24,IF(AND($S24&lt;&gt;"",EDATE($D24,Milestones!$AA$74)&gt;=$S24),$V24,$U24)))=Milestones!$AB$74),UPPER(TEXT(EDATE($D24,Milestones!$AA$74),"dd mmm yy"))&amp;" "&amp;Milestones!$AB$74&amp;" "&amp;Milestones!$AC$74&amp;";  ","")&amp;IF(AND(EDATE($D24,Milestones!$AA$75)&lt;=AsOfDate,IF($R24=0,$X24,IF(AND($T24&lt;&gt;"",EDATE($D24,Milestones!$AA$75)&gt;=$T24),$W24,IF(AND($S24&lt;&gt;"",EDATE($D24,Milestones!$AA$75)&gt;=$S24),$V24,$U24)))=Milestones!$AB$75),UPPER(TEXT(EDATE($D24,Milestones!$AA$75),"dd mmm yy"))&amp;" "&amp;Milestones!$AB$75&amp;" "&amp;Milestones!$AC$75&amp;";  ","")&amp;IF(AND(EDATE($D24,Milestones!$AA$76)&lt;=AsOfDate,IF($R24=0,$X24,IF(AND($T24&lt;&gt;"",EDATE($D24,Milestones!$AA$76)&gt;=$T24),$W24,IF(AND($S24&lt;&gt;"",EDATE($D24,Milestones!$AA$76)&gt;=$S24),$V24,$U24)))=Milestones!$AB$76),UPPER(TEXT(EDATE($D24,Milestones!$AA$76),"dd mmm yy"))&amp;" "&amp;Milestones!$AB$76&amp;" "&amp;Milestones!$AC$76&amp;";  ","")&amp;IF(AND(EDATE($D24,Milestones!$AA$77)&lt;=AsOfDate,IF($R24=0,$X24,IF(AND($T24&lt;&gt;"",EDATE($D24,Milestones!$AA$77)&gt;=$T24),$W24,IF(AND($S24&lt;&gt;"",EDATE($D24,Milestones!$AA$77)&gt;=$S24),$V24,$U24)))=Milestones!$AB$77),UPPER(TEXT(EDATE($D24,Milestones!$AA$77),"dd mmm yy"))&amp;" "&amp;Milestones!$AB$77&amp;" "&amp;Milestones!$AC$77&amp;";  ","")&amp;IF(AND(EDATE($D24,Milestones!$AA$78)&lt;=AsOfDate,IF($R24=0,$X24,IF(AND($T24&lt;&gt;"",EDATE($D24,Milestones!$AA$78)&gt;=$T24),$W24,IF(AND($S24&lt;&gt;"",EDATE($D24,Milestones!$AA$78)&gt;=$S24),$V24,$U24)))=Milestones!$AB$78),UPPER(TEXT(EDATE($D24,Milestones!$AA$78),"dd mmm yy"))&amp;" "&amp;Milestones!$AB$78&amp;" "&amp;Milestones!$AC$78&amp;";  ","")&amp;IF(AND(EDATE($D24,Milestones!$AA$79)&lt;=AsOfDate,IF($R24=0,$X24,IF(AND($T24&lt;&gt;"",EDATE($D24,Milestones!$AA$79)&gt;=$T24),$W24,IF(AND($S24&lt;&gt;"",EDATE($D24,Milestones!$AA$79)&gt;=$S24),$V24,$U24)))=Milestones!$AB$79),UPPER(TEXT(EDATE($D24,Milestones!$AA$79),"dd mmm yy"))&amp;" "&amp;Milestones!$AB$79&amp;" "&amp;Milestones!$AC$79&amp;";  ",""))</f>
        <v/>
      </c>
      <c r="L24" s="0" t="str">
        <f aca="false">IF(OR($A24="",$D24=""),"",IF(AND(EDATE($D24,Milestones!$AA$80)&lt;=AsOfDate,IF($R24=0,$X24,IF(AND($T24&lt;&gt;"",EDATE($D24,Milestones!$AA$80)&gt;=$T24),$W24,IF(AND($S24&lt;&gt;"",EDATE($D24,Milestones!$AA$80)&gt;=$S24),$V24,$U24)))=Milestones!$AB$80),UPPER(TEXT(EDATE($D24,Milestones!$AA$80),"dd mmm yy"))&amp;" "&amp;Milestones!$AB$80&amp;" "&amp;Milestones!$AC$80&amp;";  ","")&amp;IF(AND(EDATE($D24,Milestones!$AA$81)&lt;=AsOfDate,IF($R24=0,$X24,IF(AND($T24&lt;&gt;"",EDATE($D24,Milestones!$AA$81)&gt;=$T24),$W24,IF(AND($S24&lt;&gt;"",EDATE($D24,Milestones!$AA$81)&gt;=$S24),$V24,$U24)))=Milestones!$AB$81),UPPER(TEXT(EDATE($D24,Milestones!$AA$81),"dd mmm yy"))&amp;" "&amp;Milestones!$AB$81&amp;" "&amp;Milestones!$AC$81&amp;";  ","")&amp;IF(AND(EDATE($D24,Milestones!$AA$82)&lt;=AsOfDate,IF($R24=0,$X24,IF(AND($T24&lt;&gt;"",EDATE($D24,Milestones!$AA$82)&gt;=$T24),$W24,IF(AND($S24&lt;&gt;"",EDATE($D24,Milestones!$AA$82)&gt;=$S24),$V24,$U24)))=Milestones!$AB$82),UPPER(TEXT(EDATE($D24,Milestones!$AA$82),"dd mmm yy"))&amp;" "&amp;Milestones!$AB$82&amp;" "&amp;Milestones!$AC$82&amp;";  ","")&amp;IF(AND(EDATE($D24,Milestones!$AA$83)&lt;=AsOfDate,IF($R24=0,$X24,IF(AND($T24&lt;&gt;"",EDATE($D24,Milestones!$AA$83)&gt;=$T24),$W24,IF(AND($S24&lt;&gt;"",EDATE($D24,Milestones!$AA$83)&gt;=$S24),$V24,$U24)))=Milestones!$AB$83),UPPER(TEXT(EDATE($D24,Milestones!$AA$83),"dd mmm yy"))&amp;" "&amp;Milestones!$AB$83&amp;" "&amp;Milestones!$AC$83&amp;";  ","")&amp;IF(AND(EDATE($D24,Milestones!$AA$84)&lt;=AsOfDate,IF($R24=0,$X24,IF(AND($T24&lt;&gt;"",EDATE($D24,Milestones!$AA$84)&gt;=$T24),$W24,IF(AND($S24&lt;&gt;"",EDATE($D24,Milestones!$AA$84)&gt;=$S24),$V24,$U24)))=Milestones!$AB$84),UPPER(TEXT(EDATE($D24,Milestones!$AA$84),"dd mmm yy"))&amp;" "&amp;Milestones!$AB$84&amp;" "&amp;Milestones!$AC$84&amp;";  ","")&amp;IF(AND(EDATE($D24,Milestones!$AA$85)&lt;=AsOfDate,IF($R24=0,$X24,IF(AND($T24&lt;&gt;"",EDATE($D24,Milestones!$AA$85)&gt;=$T24),$W24,IF(AND($S24&lt;&gt;"",EDATE($D24,Milestones!$AA$85)&gt;=$S24),$V24,$U24)))=Milestones!$AB$85),UPPER(TEXT(EDATE($D24,Milestones!$AA$85),"dd mmm yy"))&amp;" "&amp;Milestones!$AB$85&amp;" "&amp;Milestones!$AC$85&amp;";  ","")&amp;IF(AND(EDATE($D24,Milestones!$AA$86)&lt;=AsOfDate,IF($R24=0,$X24,IF(AND($T24&lt;&gt;"",EDATE($D24,Milestones!$AA$86)&gt;=$T24),$W24,IF(AND($S24&lt;&gt;"",EDATE($D24,Milestones!$AA$86)&gt;=$S24),$V24,$U24)))=Milestones!$AB$86),UPPER(TEXT(EDATE($D24,Milestones!$AA$86),"dd mmm yy"))&amp;" "&amp;Milestones!$AB$86&amp;" "&amp;Milestones!$AC$86&amp;";  ","")&amp;IF(AND(EDATE($D24,Milestones!$AA$87)&lt;=AsOfDate,IF($R24=0,$X24,IF(AND($T24&lt;&gt;"",EDATE($D24,Milestones!$AA$87)&gt;=$T24),$W24,IF(AND($S24&lt;&gt;"",EDATE($D24,Milestones!$AA$87)&gt;=$S24),$V24,$U24)))=Milestones!$AB$87),UPPER(TEXT(EDATE($D24,Milestones!$AA$87),"dd mmm yy"))&amp;" "&amp;Milestones!$AB$87&amp;" "&amp;Milestones!$AC$87&amp;";  ","")&amp;IF(AND(EDATE($D24,Milestones!$AA$88)&lt;=AsOfDate,IF($R24=0,$X24,IF(AND($T24&lt;&gt;"",EDATE($D24,Milestones!$AA$88)&gt;=$T24),$W24,IF(AND($S24&lt;&gt;"",EDATE($D24,Milestones!$AA$88)&gt;=$S24),$V24,$U24)))=Milestones!$AB$88),UPPER(TEXT(EDATE($D24,Milestones!$AA$88),"dd mmm yy"))&amp;" "&amp;Milestones!$AB$88&amp;" "&amp;Milestones!$AC$88&amp;";  ","")&amp;IF(AND(EDATE($D24,Milestones!$AA$89)&lt;=AsOfDate,IF($R24=0,$X24,IF(AND($T24&lt;&gt;"",EDATE($D24,Milestones!$AA$89)&gt;=$T24),$W24,IF(AND($S24&lt;&gt;"",EDATE($D24,Milestones!$AA$89)&gt;=$S24),$V24,$U24)))=Milestones!$AB$89),UPPER(TEXT(EDATE($D24,Milestones!$AA$89),"dd mmm yy"))&amp;" "&amp;Milestones!$AB$89&amp;" "&amp;Milestones!$AC$89&amp;";  ","")&amp;IF(AND(EDATE($D24,Milestones!$AA$90)&lt;=AsOfDate,IF($R24=0,$X24,IF(AND($T24&lt;&gt;"",EDATE($D24,Milestones!$AA$90)&gt;=$T24),$W24,IF(AND($S24&lt;&gt;"",EDATE($D24,Milestones!$AA$90)&gt;=$S24),$V24,$U24)))=Milestones!$AB$90),UPPER(TEXT(EDATE($D24,Milestones!$AA$90),"dd mmm yy"))&amp;" "&amp;Milestones!$AB$90&amp;" "&amp;Milestones!$AC$90&amp;";  ","")&amp;IF(AND(EDATE($D24,Milestones!$AA$91)&lt;=AsOfDate,IF($R24=0,$X24,IF(AND($T24&lt;&gt;"",EDATE($D24,Milestones!$AA$91)&gt;=$T24),$W24,IF(AND($S24&lt;&gt;"",EDATE($D24,Milestones!$AA$91)&gt;=$S24),$V24,$U24)))=Milestones!$AB$91),UPPER(TEXT(EDATE($D24,Milestones!$AA$91),"dd mmm yy"))&amp;" "&amp;Milestones!$AB$91&amp;" "&amp;Milestones!$AC$91&amp;";  ","")&amp;IF(AND(EDATE($D24,Milestones!$AA$92)&lt;=AsOfDate,IF($R24=0,$X24,IF(AND($T24&lt;&gt;"",EDATE($D24,Milestones!$AA$92)&gt;=$T24),$W24,IF(AND($S24&lt;&gt;"",EDATE($D24,Milestones!$AA$92)&gt;=$S24),$V24,$U24)))=Milestones!$AB$92),UPPER(TEXT(EDATE($D24,Milestones!$AA$92),"dd mmm yy"))&amp;" "&amp;Milestones!$AB$92&amp;" "&amp;Milestones!$AC$92&amp;";  ","")&amp;IF(AND(EDATE($D24,Milestones!$AA$93)&lt;=AsOfDate,IF($R24=0,$X24,IF(AND($T24&lt;&gt;"",EDATE($D24,Milestones!$AA$93)&gt;=$T24),$W24,IF(AND($S24&lt;&gt;"",EDATE($D24,Milestones!$AA$93)&gt;=$S24),$V24,$U24)))=Milestones!$AB$93),UPPER(TEXT(EDATE($D24,Milestones!$AA$93),"dd mmm yy"))&amp;" "&amp;Milestones!$AB$93&amp;" "&amp;Milestones!$AC$93&amp;";  ","")&amp;IF(AND(EDATE($D24,Milestones!$AA$94)&lt;=AsOfDate,IF($R24=0,$X24,IF(AND($T24&lt;&gt;"",EDATE($D24,Milestones!$AA$94)&gt;=$T24),$W24,IF(AND($S24&lt;&gt;"",EDATE($D24,Milestones!$AA$94)&gt;=$S24),$V24,$U24)))=Milestones!$AB$94),UPPER(TEXT(EDATE($D24,Milestones!$AA$94),"dd mmm yy"))&amp;" "&amp;Milestones!$AB$94&amp;" "&amp;Milestones!$AC$94&amp;";  ","")&amp;IF(AND(EDATE($D24,Milestones!$AA$95)&lt;=AsOfDate,IF($R24=0,$X24,IF(AND($T24&lt;&gt;"",EDATE($D24,Milestones!$AA$95)&gt;=$T24),$W24,IF(AND($S24&lt;&gt;"",EDATE($D24,Milestones!$AA$95)&gt;=$S24),$V24,$U24)))=Milestones!$AB$95),UPPER(TEXT(EDATE($D24,Milestones!$AA$95),"dd mmm yy"))&amp;" "&amp;Milestones!$AB$95&amp;" "&amp;Milestones!$AC$95&amp;";  ","")&amp;IF(AND(EDATE($D24,Milestones!$AA$96)&lt;=AsOfDate,IF($R24=0,$X24,IF(AND($T24&lt;&gt;"",EDATE($D24,Milestones!$AA$96)&gt;=$T24),$W24,IF(AND($S24&lt;&gt;"",EDATE($D24,Milestones!$AA$96)&gt;=$S24),$V24,$U24)))=Milestones!$AB$96),UPPER(TEXT(EDATE($D24,Milestones!$AA$96),"dd mmm yy"))&amp;" "&amp;Milestones!$AB$96&amp;" "&amp;Milestones!$AC$96&amp;";  ","")&amp;IF(AND(EDATE($D24,Milestones!$AA$97)&lt;=AsOfDate,IF($R24=0,$X24,IF(AND($T24&lt;&gt;"",EDATE($D24,Milestones!$AA$97)&gt;=$T24),$W24,IF(AND($S24&lt;&gt;"",EDATE($D24,Milestones!$AA$97)&gt;=$S24),$V24,$U24)))=Milestones!$AB$97),UPPER(TEXT(EDATE($D24,Milestones!$AA$97),"dd mmm yy"))&amp;" "&amp;Milestones!$AB$97&amp;" "&amp;Milestones!$AC$97&amp;";  ","")&amp;IF(AND(EDATE($D24,Milestones!$AA$98)&lt;=AsOfDate,IF($R24=0,$X24,IF(AND($T24&lt;&gt;"",EDATE($D24,Milestones!$AA$98)&gt;=$T24),$W24,IF(AND($S24&lt;&gt;"",EDATE($D24,Milestones!$AA$98)&gt;=$S24),$V24,$U24)))=Milestones!$AB$98),UPPER(TEXT(EDATE($D24,Milestones!$AA$98),"dd mmm yy"))&amp;" "&amp;Milestones!$AB$98&amp;" "&amp;Milestones!$AC$98&amp;";  ","")&amp;IF(AND(EDATE($D24,Milestones!$AA$99)&lt;=AsOfDate,IF($R24=0,$X24,IF(AND($T24&lt;&gt;"",EDATE($D24,Milestones!$AA$99)&gt;=$T24),$W24,IF(AND($S24&lt;&gt;"",EDATE($D24,Milestones!$AA$99)&gt;=$S24),$V24,$U24)))=Milestones!$AB$99),UPPER(TEXT(EDATE($D24,Milestones!$AA$99),"dd mmm yy"))&amp;" "&amp;Milestones!$AB$99&amp;" "&amp;Milestones!$AC$99&amp;";  ",""))</f>
        <v/>
      </c>
      <c r="M24" s="0" t="str">
        <f aca="false">IF(OR($A24="",$D24=""),"",IF(AND(EDATE($D24,Milestones!$AA$100)&lt;=AsOfDate,IF($R24=0,$X24,IF(AND($T24&lt;&gt;"",EDATE($D24,Milestones!$AA$100)&gt;=$T24),$W24,IF(AND($S24&lt;&gt;"",EDATE($D24,Milestones!$AA$100)&gt;=$S24),$V24,$U24)))=Milestones!$AB$100),UPPER(TEXT(EDATE($D24,Milestones!$AA$100),"dd mmm yy"))&amp;" "&amp;Milestones!$AB$100&amp;" "&amp;Milestones!$AC$100&amp;";  ","")&amp;IF(AND(EDATE($D24,Milestones!$AA$101)&lt;=AsOfDate,IF($R24=0,$X24,IF(AND($T24&lt;&gt;"",EDATE($D24,Milestones!$AA$101)&gt;=$T24),$W24,IF(AND($S24&lt;&gt;"",EDATE($D24,Milestones!$AA$101)&gt;=$S24),$V24,$U24)))=Milestones!$AB$101),UPPER(TEXT(EDATE($D24,Milestones!$AA$101),"dd mmm yy"))&amp;" "&amp;Milestones!$AB$101&amp;" "&amp;Milestones!$AC$101&amp;";  ","")&amp;IF(AND(EDATE($D24,Milestones!$AA$102)&lt;=AsOfDate,IF($R24=0,$X24,IF(AND($T24&lt;&gt;"",EDATE($D24,Milestones!$AA$102)&gt;=$T24),$W24,IF(AND($S24&lt;&gt;"",EDATE($D24,Milestones!$AA$102)&gt;=$S24),$V24,$U24)))=Milestones!$AB$102),UPPER(TEXT(EDATE($D24,Milestones!$AA$102),"dd mmm yy"))&amp;" "&amp;Milestones!$AB$102&amp;" "&amp;Milestones!$AC$102&amp;";  ","")&amp;IF(AND(EDATE($D24,Milestones!$AA$103)&lt;=AsOfDate,IF($R24=0,$X24,IF(AND($T24&lt;&gt;"",EDATE($D24,Milestones!$AA$103)&gt;=$T24),$W24,IF(AND($S24&lt;&gt;"",EDATE($D24,Milestones!$AA$103)&gt;=$S24),$V24,$U24)))=Milestones!$AB$103),UPPER(TEXT(EDATE($D24,Milestones!$AA$103),"dd mmm yy"))&amp;" "&amp;Milestones!$AB$103&amp;" "&amp;Milestones!$AC$103&amp;";  ","")&amp;IF(AND(EDATE($D24,Milestones!$AA$104)&lt;=AsOfDate,IF($R24=0,$X24,IF(AND($T24&lt;&gt;"",EDATE($D24,Milestones!$AA$104)&gt;=$T24),$W24,IF(AND($S24&lt;&gt;"",EDATE($D24,Milestones!$AA$104)&gt;=$S24),$V24,$U24)))=Milestones!$AB$104),UPPER(TEXT(EDATE($D24,Milestones!$AA$104),"dd mmm yy"))&amp;" "&amp;Milestones!$AB$104&amp;" "&amp;Milestones!$AC$104&amp;";  ","")&amp;IF(AND(EDATE($D24,Milestones!$AA$105)&lt;=AsOfDate,IF($R24=0,$X24,IF(AND($T24&lt;&gt;"",EDATE($D24,Milestones!$AA$105)&gt;=$T24),$W24,IF(AND($S24&lt;&gt;"",EDATE($D24,Milestones!$AA$105)&gt;=$S24),$V24,$U24)))=Milestones!$AB$105),UPPER(TEXT(EDATE($D24,Milestones!$AA$105),"dd mmm yy"))&amp;" "&amp;Milestones!$AB$105&amp;" "&amp;Milestones!$AC$105&amp;";  ","")&amp;IF(AND(EDATE($D24,Milestones!$AA$106)&lt;=AsOfDate,IF($R24=0,$X24,IF(AND($T24&lt;&gt;"",EDATE($D24,Milestones!$AA$106)&gt;=$T24),$W24,IF(AND($S24&lt;&gt;"",EDATE($D24,Milestones!$AA$106)&gt;=$S24),$V24,$U24)))=Milestones!$AB$106),UPPER(TEXT(EDATE($D24,Milestones!$AA$106),"dd mmm yy"))&amp;" "&amp;Milestones!$AB$106&amp;" "&amp;Milestones!$AC$106&amp;";  ","")&amp;IF(AND(EDATE($D24,Milestones!$AA$107)&lt;=AsOfDate,IF($R24=0,$X24,IF(AND($T24&lt;&gt;"",EDATE($D24,Milestones!$AA$107)&gt;=$T24),$W24,IF(AND($S24&lt;&gt;"",EDATE($D24,Milestones!$AA$107)&gt;=$S24),$V24,$U24)))=Milestones!$AB$107),UPPER(TEXT(EDATE($D24,Milestones!$AA$107),"dd mmm yy"))&amp;" "&amp;Milestones!$AB$107&amp;" "&amp;Milestones!$AC$107&amp;";  ","")&amp;IF(AND(EDATE($D24,Milestones!$AA$108)&lt;=AsOfDate,IF($R24=0,$X24,IF(AND($T24&lt;&gt;"",EDATE($D24,Milestones!$AA$108)&gt;=$T24),$W24,IF(AND($S24&lt;&gt;"",EDATE($D24,Milestones!$AA$108)&gt;=$S24),$V24,$U24)))=Milestones!$AB$108),UPPER(TEXT(EDATE($D24,Milestones!$AA$108),"dd mmm yy"))&amp;" "&amp;Milestones!$AB$108&amp;" "&amp;Milestones!$AC$108&amp;";  ","")&amp;IF(AND(EDATE($D24,Milestones!$AA$109)&lt;=AsOfDate,IF($R24=0,$X24,IF(AND($T24&lt;&gt;"",EDATE($D24,Milestones!$AA$109)&gt;=$T24),$W24,IF(AND($S24&lt;&gt;"",EDATE($D24,Milestones!$AA$109)&gt;=$S24),$V24,$U24)))=Milestones!$AB$109),UPPER(TEXT(EDATE($D24,Milestones!$AA$109),"dd mmm yy"))&amp;" "&amp;Milestones!$AB$109&amp;" "&amp;Milestones!$AC$109&amp;";  ","")&amp;IF(AND(EDATE($D24,Milestones!$AA$110)&lt;=AsOfDate,IF($R24=0,$X24,IF(AND($T24&lt;&gt;"",EDATE($D24,Milestones!$AA$110)&gt;=$T24),$W24,IF(AND($S24&lt;&gt;"",EDATE($D24,Milestones!$AA$110)&gt;=$S24),$V24,$U24)))=Milestones!$AB$110),UPPER(TEXT(EDATE($D24,Milestones!$AA$110),"dd mmm yy"))&amp;" "&amp;Milestones!$AB$110&amp;" "&amp;Milestones!$AC$110&amp;";  ","")&amp;IF(AND(EDATE($D24,Milestones!$AA$111)&lt;=AsOfDate,IF($R24=0,$X24,IF(AND($T24&lt;&gt;"",EDATE($D24,Milestones!$AA$111)&gt;=$T24),$W24,IF(AND($S24&lt;&gt;"",EDATE($D24,Milestones!$AA$111)&gt;=$S24),$V24,$U24)))=Milestones!$AB$111),UPPER(TEXT(EDATE($D24,Milestones!$AA$111),"dd mmm yy"))&amp;" "&amp;Milestones!$AB$111&amp;" "&amp;Milestones!$AC$111&amp;";  ","")&amp;IF(AND(EDATE($D24,Milestones!$AA$112)&lt;=AsOfDate,IF($R24=0,$X24,IF(AND($T24&lt;&gt;"",EDATE($D24,Milestones!$AA$112)&gt;=$T24),$W24,IF(AND($S24&lt;&gt;"",EDATE($D24,Milestones!$AA$112)&gt;=$S24),$V24,$U24)))=Milestones!$AB$112),UPPER(TEXT(EDATE($D24,Milestones!$AA$112),"dd mmm yy"))&amp;" "&amp;Milestones!$AB$112&amp;" "&amp;Milestones!$AC$112&amp;";  ","")&amp;IF(AND(EDATE($D24,Milestones!$AA$113)&lt;=AsOfDate,IF($R24=0,$X24,IF(AND($T24&lt;&gt;"",EDATE($D24,Milestones!$AA$113)&gt;=$T24),$W24,IF(AND($S24&lt;&gt;"",EDATE($D24,Milestones!$AA$113)&gt;=$S24),$V24,$U24)))=Milestones!$AB$113),UPPER(TEXT(EDATE($D24,Milestones!$AA$113),"dd mmm yy"))&amp;" "&amp;Milestones!$AB$113&amp;" "&amp;Milestones!$AC$113&amp;";  ","")&amp;IF(AND(EDATE($D24,Milestones!$AA$114)&lt;=AsOfDate,IF($R24=0,$X24,IF(AND($T24&lt;&gt;"",EDATE($D24,Milestones!$AA$114)&gt;=$T24),$W24,IF(AND($S24&lt;&gt;"",EDATE($D24,Milestones!$AA$114)&gt;=$S24),$V24,$U24)))=Milestones!$AB$114),UPPER(TEXT(EDATE($D24,Milestones!$AA$114),"dd mmm yy"))&amp;" "&amp;Milestones!$AB$114&amp;" "&amp;Milestones!$AC$114&amp;";  ","")&amp;IF(AND(EDATE($D24,Milestones!$AA$115)&lt;=AsOfDate,IF($R24=0,$X24,IF(AND($T24&lt;&gt;"",EDATE($D24,Milestones!$AA$115)&gt;=$T24),$W24,IF(AND($S24&lt;&gt;"",EDATE($D24,Milestones!$AA$115)&gt;=$S24),$V24,$U24)))=Milestones!$AB$115),UPPER(TEXT(EDATE($D24,Milestones!$AA$115),"dd mmm yy"))&amp;" "&amp;Milestones!$AB$115&amp;" "&amp;Milestones!$AC$115&amp;";  ","")&amp;IF(AND(EDATE($D24,Milestones!$AA$116)&lt;=AsOfDate,IF($R24=0,$X24,IF(AND($T24&lt;&gt;"",EDATE($D24,Milestones!$AA$116)&gt;=$T24),$W24,IF(AND($S24&lt;&gt;"",EDATE($D24,Milestones!$AA$116)&gt;=$S24),$V24,$U24)))=Milestones!$AB$116),UPPER(TEXT(EDATE($D24,Milestones!$AA$116),"dd mmm yy"))&amp;" "&amp;Milestones!$AB$116&amp;" "&amp;Milestones!$AC$116&amp;";  ","")&amp;IF(AND(EDATE($D24,Milestones!$AA$117)&lt;=AsOfDate,IF($R24=0,$X24,IF(AND($T24&lt;&gt;"",EDATE($D24,Milestones!$AA$117)&gt;=$T24),$W24,IF(AND($S24&lt;&gt;"",EDATE($D24,Milestones!$AA$117)&gt;=$S24),$V24,$U24)))=Milestones!$AB$117),UPPER(TEXT(EDATE($D24,Milestones!$AA$117),"dd mmm yy"))&amp;" "&amp;Milestones!$AB$117&amp;" "&amp;Milestones!$AC$117&amp;";  ","")&amp;IF(AND(EDATE($D24,Milestones!$AA$118)&lt;=AsOfDate,IF($R24=0,$X24,IF(AND($T24&lt;&gt;"",EDATE($D24,Milestones!$AA$118)&gt;=$T24),$W24,IF(AND($S24&lt;&gt;"",EDATE($D24,Milestones!$AA$118)&gt;=$S24),$V24,$U24)))=Milestones!$AB$118),UPPER(TEXT(EDATE($D24,Milestones!$AA$118),"dd mmm yy"))&amp;" "&amp;Milestones!$AB$118&amp;" "&amp;Milestones!$AC$118&amp;";  ","")&amp;IF(AND(EDATE($D24,Milestones!$AA$119)&lt;=AsOfDate,IF($R24=0,$X24,IF(AND($T24&lt;&gt;"",EDATE($D24,Milestones!$AA$119)&gt;=$T24),$W24,IF(AND($S24&lt;&gt;"",EDATE($D24,Milestones!$AA$119)&gt;=$S24),$V24,$U24)))=Milestones!$AB$119),UPPER(TEXT(EDATE($D24,Milestones!$AA$119),"dd mmm yy"))&amp;" "&amp;Milestones!$AB$119&amp;" "&amp;Milestones!$AC$119&amp;";  ",""))</f>
        <v/>
      </c>
      <c r="N24" s="0" t="str">
        <f aca="false">IF(OR($A24="",$D24=""),"",IF(AND(EDATE($D24,Milestones!$AA$120)&lt;=AsOfDate,IF($R24=0,$X24,IF(AND($T24&lt;&gt;"",EDATE($D24,Milestones!$AA$120)&gt;=$T24),$W24,IF(AND($S24&lt;&gt;"",EDATE($D24,Milestones!$AA$120)&gt;=$S24),$V24,$U24)))=Milestones!$AB$120),UPPER(TEXT(EDATE($D24,Milestones!$AA$120),"dd mmm yy"))&amp;" "&amp;Milestones!$AB$120&amp;" "&amp;Milestones!$AC$120&amp;";  ","")&amp;IF(AND(EDATE($D24,Milestones!$AA$121)&lt;=AsOfDate,IF($R24=0,$X24,IF(AND($T24&lt;&gt;"",EDATE($D24,Milestones!$AA$121)&gt;=$T24),$W24,IF(AND($S24&lt;&gt;"",EDATE($D24,Milestones!$AA$121)&gt;=$S24),$V24,$U24)))=Milestones!$AB$121),UPPER(TEXT(EDATE($D24,Milestones!$AA$121),"dd mmm yy"))&amp;" "&amp;Milestones!$AB$121&amp;" "&amp;Milestones!$AC$121&amp;";  ","")&amp;IF(AND(EDATE($D24,Milestones!$AA$122)&lt;=AsOfDate,IF($R24=0,$X24,IF(AND($T24&lt;&gt;"",EDATE($D24,Milestones!$AA$122)&gt;=$T24),$W24,IF(AND($S24&lt;&gt;"",EDATE($D24,Milestones!$AA$122)&gt;=$S24),$V24,$U24)))=Milestones!$AB$122),UPPER(TEXT(EDATE($D24,Milestones!$AA$122),"dd mmm yy"))&amp;" "&amp;Milestones!$AB$122&amp;" "&amp;Milestones!$AC$122&amp;";  ","")&amp;IF(AND(EDATE($D24,Milestones!$AA$123)&lt;=AsOfDate,IF($R24=0,$X24,IF(AND($T24&lt;&gt;"",EDATE($D24,Milestones!$AA$123)&gt;=$T24),$W24,IF(AND($S24&lt;&gt;"",EDATE($D24,Milestones!$AA$123)&gt;=$S24),$V24,$U24)))=Milestones!$AB$123),UPPER(TEXT(EDATE($D24,Milestones!$AA$123),"dd mmm yy"))&amp;" "&amp;Milestones!$AB$123&amp;" "&amp;Milestones!$AC$123&amp;";  ","")&amp;IF(AND(EDATE($D24,Milestones!$AA$124)&lt;=AsOfDate,IF($R24=0,$X24,IF(AND($T24&lt;&gt;"",EDATE($D24,Milestones!$AA$124)&gt;=$T24),$W24,IF(AND($S24&lt;&gt;"",EDATE($D24,Milestones!$AA$124)&gt;=$S24),$V24,$U24)))=Milestones!$AB$124),UPPER(TEXT(EDATE($D24,Milestones!$AA$124),"dd mmm yy"))&amp;" "&amp;Milestones!$AB$124&amp;" "&amp;Milestones!$AC$124&amp;";  ","")&amp;IF(AND(EDATE($D24,Milestones!$AA$125)&lt;=AsOfDate,IF($R24=0,$X24,IF(AND($T24&lt;&gt;"",EDATE($D24,Milestones!$AA$125)&gt;=$T24),$W24,IF(AND($S24&lt;&gt;"",EDATE($D24,Milestones!$AA$125)&gt;=$S24),$V24,$U24)))=Milestones!$AB$125),UPPER(TEXT(EDATE($D24,Milestones!$AA$125),"dd mmm yy"))&amp;" "&amp;Milestones!$AB$125&amp;" "&amp;Milestones!$AC$125&amp;";  ","")&amp;IF(AND(EDATE($D24,Milestones!$AA$126)&lt;=AsOfDate,IF($R24=0,$X24,IF(AND($T24&lt;&gt;"",EDATE($D24,Milestones!$AA$126)&gt;=$T24),$W24,IF(AND($S24&lt;&gt;"",EDATE($D24,Milestones!$AA$126)&gt;=$S24),$V24,$U24)))=Milestones!$AB$126),UPPER(TEXT(EDATE($D24,Milestones!$AA$126),"dd mmm yy"))&amp;" "&amp;Milestones!$AB$126&amp;" "&amp;Milestones!$AC$126&amp;";  ","")&amp;IF(AND(EDATE($D24,Milestones!$AA$127)&lt;=AsOfDate,IF($R24=0,$X24,IF(AND($T24&lt;&gt;"",EDATE($D24,Milestones!$AA$127)&gt;=$T24),$W24,IF(AND($S24&lt;&gt;"",EDATE($D24,Milestones!$AA$127)&gt;=$S24),$V24,$U24)))=Milestones!$AB$127),UPPER(TEXT(EDATE($D24,Milestones!$AA$127),"dd mmm yy"))&amp;" "&amp;Milestones!$AB$127&amp;" "&amp;Milestones!$AC$127&amp;";  ","")&amp;IF(AND(EDATE($D24,Milestones!$AA$128)&lt;=AsOfDate,IF($R24=0,$X24,IF(AND($T24&lt;&gt;"",EDATE($D24,Milestones!$AA$128)&gt;=$T24),$W24,IF(AND($S24&lt;&gt;"",EDATE($D24,Milestones!$AA$128)&gt;=$S24),$V24,$U24)))=Milestones!$AB$128),UPPER(TEXT(EDATE($D24,Milestones!$AA$128),"dd mmm yy"))&amp;" "&amp;Milestones!$AB$128&amp;" "&amp;Milestones!$AC$128&amp;";  ","")&amp;IF(AND(EDATE($D24,Milestones!$AA$129)&lt;=AsOfDate,IF($R24=0,$X24,IF(AND($T24&lt;&gt;"",EDATE($D24,Milestones!$AA$129)&gt;=$T24),$W24,IF(AND($S24&lt;&gt;"",EDATE($D24,Milestones!$AA$129)&gt;=$S24),$V24,$U24)))=Milestones!$AB$129),UPPER(TEXT(EDATE($D24,Milestones!$AA$129),"dd mmm yy"))&amp;" "&amp;Milestones!$AB$129&amp;" "&amp;Milestones!$AC$129&amp;";  ","")&amp;IF(AND(EDATE($D24,Milestones!$AA$130)&lt;=AsOfDate,IF($R24=0,$X24,IF(AND($T24&lt;&gt;"",EDATE($D24,Milestones!$AA$130)&gt;=$T24),$W24,IF(AND($S24&lt;&gt;"",EDATE($D24,Milestones!$AA$130)&gt;=$S24),$V24,$U24)))=Milestones!$AB$130),UPPER(TEXT(EDATE($D24,Milestones!$AA$130),"dd mmm yy"))&amp;" "&amp;Milestones!$AB$130&amp;" "&amp;Milestones!$AC$130&amp;";  ","")&amp;IF(AND(EDATE($D24,Milestones!$AA$131)&lt;=AsOfDate,IF($R24=0,$X24,IF(AND($T24&lt;&gt;"",EDATE($D24,Milestones!$AA$131)&gt;=$T24),$W24,IF(AND($S24&lt;&gt;"",EDATE($D24,Milestones!$AA$131)&gt;=$S24),$V24,$U24)))=Milestones!$AB$131),UPPER(TEXT(EDATE($D24,Milestones!$AA$131),"dd mmm yy"))&amp;" "&amp;Milestones!$AB$131&amp;" "&amp;Milestones!$AC$131&amp;";  ","")&amp;IF(AND(EDATE($D24,Milestones!$AA$132)&lt;=AsOfDate,IF($R24=0,$X24,IF(AND($T24&lt;&gt;"",EDATE($D24,Milestones!$AA$132)&gt;=$T24),$W24,IF(AND($S24&lt;&gt;"",EDATE($D24,Milestones!$AA$132)&gt;=$S24),$V24,$U24)))=Milestones!$AB$132),UPPER(TEXT(EDATE($D24,Milestones!$AA$132),"dd mmm yy"))&amp;" "&amp;Milestones!$AB$132&amp;" "&amp;Milestones!$AC$132&amp;";  ","")&amp;IF(AND(EDATE($D24,Milestones!$AA$133)&lt;=AsOfDate,IF($R24=0,$X24,IF(AND($T24&lt;&gt;"",EDATE($D24,Milestones!$AA$133)&gt;=$T24),$W24,IF(AND($S24&lt;&gt;"",EDATE($D24,Milestones!$AA$133)&gt;=$S24),$V24,$U24)))=Milestones!$AB$133),UPPER(TEXT(EDATE($D24,Milestones!$AA$133),"dd mmm yy"))&amp;" "&amp;Milestones!$AB$133&amp;" "&amp;Milestones!$AC$133&amp;";  ","")&amp;IF(AND(EDATE($D24,Milestones!$AA$134)&lt;=AsOfDate,IF($R24=0,$X24,IF(AND($T24&lt;&gt;"",EDATE($D24,Milestones!$AA$134)&gt;=$T24),$W24,IF(AND($S24&lt;&gt;"",EDATE($D24,Milestones!$AA$134)&gt;=$S24),$V24,$U24)))=Milestones!$AB$134),UPPER(TEXT(EDATE($D24,Milestones!$AA$134),"dd mmm yy"))&amp;" "&amp;Milestones!$AB$134&amp;" "&amp;Milestones!$AC$134&amp;";  ","")&amp;IF(AND(EDATE($D24,Milestones!$AA$135)&lt;=AsOfDate,IF($R24=0,$X24,IF(AND($T24&lt;&gt;"",EDATE($D24,Milestones!$AA$135)&gt;=$T24),$W24,IF(AND($S24&lt;&gt;"",EDATE($D24,Milestones!$AA$135)&gt;=$S24),$V24,$U24)))=Milestones!$AB$135),UPPER(TEXT(EDATE($D24,Milestones!$AA$135),"dd mmm yy"))&amp;" "&amp;Milestones!$AB$135&amp;" "&amp;Milestones!$AC$135&amp;";  ","")&amp;IF(AND(EDATE($D24,Milestones!$AA$136)&lt;=AsOfDate,IF($R24=0,$X24,IF(AND($T24&lt;&gt;"",EDATE($D24,Milestones!$AA$136)&gt;=$T24),$W24,IF(AND($S24&lt;&gt;"",EDATE($D24,Milestones!$AA$136)&gt;=$S24),$V24,$U24)))=Milestones!$AB$136),UPPER(TEXT(EDATE($D24,Milestones!$AA$136),"dd mmm yy"))&amp;" "&amp;Milestones!$AB$136&amp;" "&amp;Milestones!$AC$136&amp;";  ","")&amp;IF(AND(EDATE($D24,Milestones!$AA$137)&lt;=AsOfDate,IF($R24=0,$X24,IF(AND($T24&lt;&gt;"",EDATE($D24,Milestones!$AA$137)&gt;=$T24),$W24,IF(AND($S24&lt;&gt;"",EDATE($D24,Milestones!$AA$137)&gt;=$S24),$V24,$U24)))=Milestones!$AB$137),UPPER(TEXT(EDATE($D24,Milestones!$AA$137),"dd mmm yy"))&amp;" "&amp;Milestones!$AB$137&amp;" "&amp;Milestones!$AC$137&amp;";  ","")&amp;IF(AND(EDATE($D24,Milestones!$AA$138)&lt;=AsOfDate,IF($R24=0,$X24,IF(AND($T24&lt;&gt;"",EDATE($D24,Milestones!$AA$138)&gt;=$T24),$W24,IF(AND($S24&lt;&gt;"",EDATE($D24,Milestones!$AA$138)&gt;=$S24),$V24,$U24)))=Milestones!$AB$138),UPPER(TEXT(EDATE($D24,Milestones!$AA$138),"dd mmm yy"))&amp;" "&amp;Milestones!$AB$138&amp;" "&amp;Milestones!$AC$138&amp;";  ","")&amp;IF(AND(EDATE($D24,Milestones!$AA$139)&lt;=AsOfDate,IF($R24=0,$X24,IF(AND($T24&lt;&gt;"",EDATE($D24,Milestones!$AA$139)&gt;=$T24),$W24,IF(AND($S24&lt;&gt;"",EDATE($D24,Milestones!$AA$139)&gt;=$S24),$V24,$U24)))=Milestones!$AB$139),UPPER(TEXT(EDATE($D24,Milestones!$AA$139),"dd mmm yy"))&amp;" "&amp;Milestones!$AB$139&amp;" "&amp;Milestones!$AC$139&amp;";  ",""))</f>
        <v/>
      </c>
      <c r="O24" s="0" t="str">
        <f aca="false">IF(OR($A24="",$D24=""),"",IF(AND(EDATE($D24,Milestones!$AA$140)&lt;=AsOfDate,IF($R24=0,$X24,IF(AND($T24&lt;&gt;"",EDATE($D24,Milestones!$AA$140)&gt;=$T24),$W24,IF(AND($S24&lt;&gt;"",EDATE($D24,Milestones!$AA$140)&gt;=$S24),$V24,$U24)))=Milestones!$AB$140),UPPER(TEXT(EDATE($D24,Milestones!$AA$140),"dd mmm yy"))&amp;" "&amp;Milestones!$AB$140&amp;" "&amp;Milestones!$AC$140&amp;";  ","")&amp;IF(AND(EDATE($D24,Milestones!$AA$141)&lt;=AsOfDate,IF($R24=0,$X24,IF(AND($T24&lt;&gt;"",EDATE($D24,Milestones!$AA$141)&gt;=$T24),$W24,IF(AND($S24&lt;&gt;"",EDATE($D24,Milestones!$AA$141)&gt;=$S24),$V24,$U24)))=Milestones!$AB$141),UPPER(TEXT(EDATE($D24,Milestones!$AA$141),"dd mmm yy"))&amp;" "&amp;Milestones!$AB$141&amp;" "&amp;Milestones!$AC$141&amp;";  ","")&amp;IF(AND(EDATE($D24,Milestones!$AA$142)&lt;=AsOfDate,IF($R24=0,$X24,IF(AND($T24&lt;&gt;"",EDATE($D24,Milestones!$AA$142)&gt;=$T24),$W24,IF(AND($S24&lt;&gt;"",EDATE($D24,Milestones!$AA$142)&gt;=$S24),$V24,$U24)))=Milestones!$AB$142),UPPER(TEXT(EDATE($D24,Milestones!$AA$142),"dd mmm yy"))&amp;" "&amp;Milestones!$AB$142&amp;" "&amp;Milestones!$AC$142&amp;";  ","")&amp;IF(AND(EDATE($D24,Milestones!$AA$143)&lt;=AsOfDate,IF($R24=0,$X24,IF(AND($T24&lt;&gt;"",EDATE($D24,Milestones!$AA$143)&gt;=$T24),$W24,IF(AND($S24&lt;&gt;"",EDATE($D24,Milestones!$AA$143)&gt;=$S24),$V24,$U24)))=Milestones!$AB$143),UPPER(TEXT(EDATE($D24,Milestones!$AA$143),"dd mmm yy"))&amp;" "&amp;Milestones!$AB$143&amp;" "&amp;Milestones!$AC$143&amp;";  ","")&amp;IF(AND(EDATE($D24,Milestones!$AA$144)&lt;=AsOfDate,IF($R24=0,$X24,IF(AND($T24&lt;&gt;"",EDATE($D24,Milestones!$AA$144)&gt;=$T24),$W24,IF(AND($S24&lt;&gt;"",EDATE($D24,Milestones!$AA$144)&gt;=$S24),$V24,$U24)))=Milestones!$AB$144),UPPER(TEXT(EDATE($D24,Milestones!$AA$144),"dd mmm yy"))&amp;" "&amp;Milestones!$AB$144&amp;" "&amp;Milestones!$AC$144&amp;";  ","")&amp;IF(AND(EDATE($D24,Milestones!$AA$145)&lt;=AsOfDate,IF($R24=0,$X24,IF(AND($T24&lt;&gt;"",EDATE($D24,Milestones!$AA$145)&gt;=$T24),$W24,IF(AND($S24&lt;&gt;"",EDATE($D24,Milestones!$AA$145)&gt;=$S24),$V24,$U24)))=Milestones!$AB$145),UPPER(TEXT(EDATE($D24,Milestones!$AA$145),"dd mmm yy"))&amp;" "&amp;Milestones!$AB$145&amp;" "&amp;Milestones!$AC$145&amp;";  ","")&amp;IF(AND(EDATE($D24,Milestones!$AA$146)&lt;=AsOfDate,IF($R24=0,$X24,IF(AND($T24&lt;&gt;"",EDATE($D24,Milestones!$AA$146)&gt;=$T24),$W24,IF(AND($S24&lt;&gt;"",EDATE($D24,Milestones!$AA$146)&gt;=$S24),$V24,$U24)))=Milestones!$AB$146),UPPER(TEXT(EDATE($D24,Milestones!$AA$146),"dd mmm yy"))&amp;" "&amp;Milestones!$AB$146&amp;" "&amp;Milestones!$AC$146&amp;";  ","")&amp;IF(AND(EDATE($D24,Milestones!$AA$147)&lt;=AsOfDate,IF($R24=0,$X24,IF(AND($T24&lt;&gt;"",EDATE($D24,Milestones!$AA$147)&gt;=$T24),$W24,IF(AND($S24&lt;&gt;"",EDATE($D24,Milestones!$AA$147)&gt;=$S24),$V24,$U24)))=Milestones!$AB$147),UPPER(TEXT(EDATE($D24,Milestones!$AA$147),"dd mmm yy"))&amp;" "&amp;Milestones!$AB$147&amp;" "&amp;Milestones!$AC$147&amp;";  ","")&amp;IF(AND(EDATE($D24,Milestones!$AA$148)&lt;=AsOfDate,IF($R24=0,$X24,IF(AND($T24&lt;&gt;"",EDATE($D24,Milestones!$AA$148)&gt;=$T24),$W24,IF(AND($S24&lt;&gt;"",EDATE($D24,Milestones!$AA$148)&gt;=$S24),$V24,$U24)))=Milestones!$AB$148),UPPER(TEXT(EDATE($D24,Milestones!$AA$148),"dd mmm yy"))&amp;" "&amp;Milestones!$AB$148&amp;" "&amp;Milestones!$AC$148&amp;";  ","")&amp;IF(AND(EDATE($D24,Milestones!$AA$149)&lt;=AsOfDate,IF($R24=0,$X24,IF(AND($T24&lt;&gt;"",EDATE($D24,Milestones!$AA$149)&gt;=$T24),$W24,IF(AND($S24&lt;&gt;"",EDATE($D24,Milestones!$AA$149)&gt;=$S24),$V24,$U24)))=Milestones!$AB$149),UPPER(TEXT(EDATE($D24,Milestones!$AA$149),"dd mmm yy"))&amp;" "&amp;Milestones!$AB$149&amp;" "&amp;Milestones!$AC$149&amp;";  ","")&amp;IF(AND(EDATE($D24,Milestones!$AA$150)&lt;=AsOfDate,IF($R24=0,$X24,IF(AND($T24&lt;&gt;"",EDATE($D24,Milestones!$AA$150)&gt;=$T24),$W24,IF(AND($S24&lt;&gt;"",EDATE($D24,Milestones!$AA$150)&gt;=$S24),$V24,$U24)))=Milestones!$AB$150),UPPER(TEXT(EDATE($D24,Milestones!$AA$150),"dd mmm yy"))&amp;" "&amp;Milestones!$AB$150&amp;" "&amp;Milestones!$AC$150&amp;";  ","")&amp;IF(AND(EDATE($D24,Milestones!$AA$151)&lt;=AsOfDate,IF($R24=0,$X24,IF(AND($T24&lt;&gt;"",EDATE($D24,Milestones!$AA$151)&gt;=$T24),$W24,IF(AND($S24&lt;&gt;"",EDATE($D24,Milestones!$AA$151)&gt;=$S24),$V24,$U24)))=Milestones!$AB$151),UPPER(TEXT(EDATE($D24,Milestones!$AA$151),"dd mmm yy"))&amp;" "&amp;Milestones!$AB$151&amp;" "&amp;Milestones!$AC$151&amp;";  ","")&amp;IF(AND(EDATE($D24,Milestones!$AA$152)&lt;=AsOfDate,IF($R24=0,$X24,IF(AND($T24&lt;&gt;"",EDATE($D24,Milestones!$AA$152)&gt;=$T24),$W24,IF(AND($S24&lt;&gt;"",EDATE($D24,Milestones!$AA$152)&gt;=$S24),$V24,$U24)))=Milestones!$AB$152),UPPER(TEXT(EDATE($D24,Milestones!$AA$152),"dd mmm yy"))&amp;" "&amp;Milestones!$AB$152&amp;" "&amp;Milestones!$AC$152&amp;";  ","")&amp;IF(AND(EDATE($D24,Milestones!$AA$153)&lt;=AsOfDate,IF($R24=0,$X24,IF(AND($T24&lt;&gt;"",EDATE($D24,Milestones!$AA$153)&gt;=$T24),$W24,IF(AND($S24&lt;&gt;"",EDATE($D24,Milestones!$AA$153)&gt;=$S24),$V24,$U24)))=Milestones!$AB$153),UPPER(TEXT(EDATE($D24,Milestones!$AA$153),"dd mmm yy"))&amp;" "&amp;Milestones!$AB$153&amp;" "&amp;Milestones!$AC$153&amp;";  ","")&amp;IF(AND(EDATE($D24,Milestones!$AA$154)&lt;=AsOfDate,IF($R24=0,$X24,IF(AND($T24&lt;&gt;"",EDATE($D24,Milestones!$AA$154)&gt;=$T24),$W24,IF(AND($S24&lt;&gt;"",EDATE($D24,Milestones!$AA$154)&gt;=$S24),$V24,$U24)))=Milestones!$AB$154),UPPER(TEXT(EDATE($D24,Milestones!$AA$154),"dd mmm yy"))&amp;" "&amp;Milestones!$AB$154&amp;" "&amp;Milestones!$AC$154&amp;";  ","")&amp;IF(AND(EDATE($D24,Milestones!$AA$155)&lt;=AsOfDate,IF($R24=0,$X24,IF(AND($T24&lt;&gt;"",EDATE($D24,Milestones!$AA$155)&gt;=$T24),$W24,IF(AND($S24&lt;&gt;"",EDATE($D24,Milestones!$AA$155)&gt;=$S24),$V24,$U24)))=Milestones!$AB$155),UPPER(TEXT(EDATE($D24,Milestones!$AA$155),"dd mmm yy"))&amp;" "&amp;Milestones!$AB$155&amp;" "&amp;Milestones!$AC$155&amp;";  ","")&amp;IF(AND(EDATE($D24,Milestones!$AA$156)&lt;=AsOfDate,IF($R24=0,$X24,IF(AND($T24&lt;&gt;"",EDATE($D24,Milestones!$AA$156)&gt;=$T24),$W24,IF(AND($S24&lt;&gt;"",EDATE($D24,Milestones!$AA$156)&gt;=$S24),$V24,$U24)))=Milestones!$AB$156),UPPER(TEXT(EDATE($D24,Milestones!$AA$156),"dd mmm yy"))&amp;" "&amp;Milestones!$AB$156&amp;" "&amp;Milestones!$AC$156&amp;";  ","")&amp;IF(AND(EDATE($D24,Milestones!$AA$157)&lt;=AsOfDate,IF($R24=0,$X24,IF(AND($T24&lt;&gt;"",EDATE($D24,Milestones!$AA$157)&gt;=$T24),$W24,IF(AND($S24&lt;&gt;"",EDATE($D24,Milestones!$AA$157)&gt;=$S24),$V24,$U24)))=Milestones!$AB$157),UPPER(TEXT(EDATE($D24,Milestones!$AA$157),"dd mmm yy"))&amp;" "&amp;Milestones!$AB$157&amp;" "&amp;Milestones!$AC$157&amp;";  ","")&amp;IF(AND(EDATE($D24,Milestones!$AA$158)&lt;=AsOfDate,IF($R24=0,$X24,IF(AND($T24&lt;&gt;"",EDATE($D24,Milestones!$AA$158)&gt;=$T24),$W24,IF(AND($S24&lt;&gt;"",EDATE($D24,Milestones!$AA$158)&gt;=$S24),$V24,$U24)))=Milestones!$AB$158),UPPER(TEXT(EDATE($D24,Milestones!$AA$158),"dd mmm yy"))&amp;" "&amp;Milestones!$AB$158&amp;" "&amp;Milestones!$AC$158&amp;";  ","")&amp;IF(AND(EDATE($D24,Milestones!$AA$159)&lt;=AsOfDate,IF($R24=0,$X24,IF(AND($T24&lt;&gt;"",EDATE($D24,Milestones!$AA$159)&gt;=$T24),$W24,IF(AND($S24&lt;&gt;"",EDATE($D24,Milestones!$AA$159)&gt;=$S24),$V24,$U24)))=Milestones!$AB$159),UPPER(TEXT(EDATE($D24,Milestones!$AA$159),"dd mmm yy"))&amp;" "&amp;Milestones!$AB$159&amp;" "&amp;Milestones!$AC$159&amp;";  ",""))</f>
        <v/>
      </c>
      <c r="P24" s="0" t="str">
        <f aca="false">IF(OR($A24="",$D24=""),"",IF(AND(EDATE($D24,Milestones!$AA$160)&lt;=AsOfDate,IF($R24=0,$X24,IF(AND($T24&lt;&gt;"",EDATE($D24,Milestones!$AA$160)&gt;=$T24),$W24,IF(AND($S24&lt;&gt;"",EDATE($D24,Milestones!$AA$160)&gt;=$S24),$V24,$U24)))=Milestones!$AB$160),UPPER(TEXT(EDATE($D24,Milestones!$AA$160),"dd mmm yy"))&amp;" "&amp;Milestones!$AB$160&amp;" "&amp;Milestones!$AC$160&amp;";  ","")&amp;IF(AND(EDATE($D24,Milestones!$AA$161)&lt;=AsOfDate,IF($R24=0,$X24,IF(AND($T24&lt;&gt;"",EDATE($D24,Milestones!$AA$161)&gt;=$T24),$W24,IF(AND($S24&lt;&gt;"",EDATE($D24,Milestones!$AA$161)&gt;=$S24),$V24,$U24)))=Milestones!$AB$161),UPPER(TEXT(EDATE($D24,Milestones!$AA$161),"dd mmm yy"))&amp;" "&amp;Milestones!$AB$161&amp;" "&amp;Milestones!$AC$161&amp;";  ","")&amp;IF(AND(EDATE($D24,Milestones!$AA$162)&lt;=AsOfDate,IF($R24=0,$X24,IF(AND($T24&lt;&gt;"",EDATE($D24,Milestones!$AA$162)&gt;=$T24),$W24,IF(AND($S24&lt;&gt;"",EDATE($D24,Milestones!$AA$162)&gt;=$S24),$V24,$U24)))=Milestones!$AB$162),UPPER(TEXT(EDATE($D24,Milestones!$AA$162),"dd mmm yy"))&amp;" "&amp;Milestones!$AB$162&amp;" "&amp;Milestones!$AC$162&amp;";  ","")&amp;IF(AND(EDATE($D24,Milestones!$AA$163)&lt;=AsOfDate,IF($R24=0,$X24,IF(AND($T24&lt;&gt;"",EDATE($D24,Milestones!$AA$163)&gt;=$T24),$W24,IF(AND($S24&lt;&gt;"",EDATE($D24,Milestones!$AA$163)&gt;=$S24),$V24,$U24)))=Milestones!$AB$163),UPPER(TEXT(EDATE($D24,Milestones!$AA$163),"dd mmm yy"))&amp;" "&amp;Milestones!$AB$163&amp;" "&amp;Milestones!$AC$163&amp;";  ","")&amp;IF(AND(EDATE($D24,Milestones!$AA$164)&lt;=AsOfDate,IF($R24=0,$X24,IF(AND($T24&lt;&gt;"",EDATE($D24,Milestones!$AA$164)&gt;=$T24),$W24,IF(AND($S24&lt;&gt;"",EDATE($D24,Milestones!$AA$164)&gt;=$S24),$V24,$U24)))=Milestones!$AB$164),UPPER(TEXT(EDATE($D24,Milestones!$AA$164),"dd mmm yy"))&amp;" "&amp;Milestones!$AB$164&amp;" "&amp;Milestones!$AC$164&amp;";  ","")&amp;IF(AND(EDATE($D24,Milestones!$AA$165)&lt;=AsOfDate,IF($R24=0,$X24,IF(AND($T24&lt;&gt;"",EDATE($D24,Milestones!$AA$165)&gt;=$T24),$W24,IF(AND($S24&lt;&gt;"",EDATE($D24,Milestones!$AA$165)&gt;=$S24),$V24,$U24)))=Milestones!$AB$165),UPPER(TEXT(EDATE($D24,Milestones!$AA$165),"dd mmm yy"))&amp;" "&amp;Milestones!$AB$165&amp;" "&amp;Milestones!$AC$165&amp;";  ","")&amp;IF(AND(EDATE($D24,Milestones!$AA$166)&lt;=AsOfDate,IF($R24=0,$X24,IF(AND($T24&lt;&gt;"",EDATE($D24,Milestones!$AA$166)&gt;=$T24),$W24,IF(AND($S24&lt;&gt;"",EDATE($D24,Milestones!$AA$166)&gt;=$S24),$V24,$U24)))=Milestones!$AB$166),UPPER(TEXT(EDATE($D24,Milestones!$AA$166),"dd mmm yy"))&amp;" "&amp;Milestones!$AB$166&amp;" "&amp;Milestones!$AC$166&amp;";  ","")&amp;IF(AND(EDATE($D24,Milestones!$AA$167)&lt;=AsOfDate,IF($R24=0,$X24,IF(AND($T24&lt;&gt;"",EDATE($D24,Milestones!$AA$167)&gt;=$T24),$W24,IF(AND($S24&lt;&gt;"",EDATE($D24,Milestones!$AA$167)&gt;=$S24),$V24,$U24)))=Milestones!$AB$167),UPPER(TEXT(EDATE($D24,Milestones!$AA$167),"dd mmm yy"))&amp;" "&amp;Milestones!$AB$167&amp;" "&amp;Milestones!$AC$167&amp;";  ","")&amp;IF(AND(EDATE($D24,Milestones!$AA$168)&lt;=AsOfDate,IF($R24=0,$X24,IF(AND($T24&lt;&gt;"",EDATE($D24,Milestones!$AA$168)&gt;=$T24),$W24,IF(AND($S24&lt;&gt;"",EDATE($D24,Milestones!$AA$168)&gt;=$S24),$V24,$U24)))=Milestones!$AB$168),UPPER(TEXT(EDATE($D24,Milestones!$AA$168),"dd mmm yy"))&amp;" "&amp;Milestones!$AB$168&amp;" "&amp;Milestones!$AC$168&amp;";  ","")&amp;IF(AND(EDATE($D24,Milestones!$AA$169)&lt;=AsOfDate,IF($R24=0,$X24,IF(AND($T24&lt;&gt;"",EDATE($D24,Milestones!$AA$169)&gt;=$T24),$W24,IF(AND($S24&lt;&gt;"",EDATE($D24,Milestones!$AA$169)&gt;=$S24),$V24,$U24)))=Milestones!$AB$169),UPPER(TEXT(EDATE($D24,Milestones!$AA$169),"dd mmm yy"))&amp;" "&amp;Milestones!$AB$169&amp;" "&amp;Milestones!$AC$169&amp;";  ","")&amp;IF(AND(EDATE($D24,Milestones!$AA$170)&lt;=AsOfDate,IF($R24=0,$X24,IF(AND($T24&lt;&gt;"",EDATE($D24,Milestones!$AA$170)&gt;=$T24),$W24,IF(AND($S24&lt;&gt;"",EDATE($D24,Milestones!$AA$170)&gt;=$S24),$V24,$U24)))=Milestones!$AB$170),UPPER(TEXT(EDATE($D24,Milestones!$AA$170),"dd mmm yy"))&amp;" "&amp;Milestones!$AB$170&amp;" "&amp;Milestones!$AC$170&amp;";  ","")&amp;IF(AND(EDATE($D24,Milestones!$AA$171)&lt;=AsOfDate,IF($R24=0,$X24,IF(AND($T24&lt;&gt;"",EDATE($D24,Milestones!$AA$171)&gt;=$T24),$W24,IF(AND($S24&lt;&gt;"",EDATE($D24,Milestones!$AA$171)&gt;=$S24),$V24,$U24)))=Milestones!$AB$171),UPPER(TEXT(EDATE($D24,Milestones!$AA$171),"dd mmm yy"))&amp;" "&amp;Milestones!$AB$171&amp;" "&amp;Milestones!$AC$171&amp;";  ","")&amp;IF(AND(EDATE($D24,Milestones!$AA$172)&lt;=AsOfDate,IF($R24=0,$X24,IF(AND($T24&lt;&gt;"",EDATE($D24,Milestones!$AA$172)&gt;=$T24),$W24,IF(AND($S24&lt;&gt;"",EDATE($D24,Milestones!$AA$172)&gt;=$S24),$V24,$U24)))=Milestones!$AB$172),UPPER(TEXT(EDATE($D24,Milestones!$AA$172),"dd mmm yy"))&amp;" "&amp;Milestones!$AB$172&amp;" "&amp;Milestones!$AC$172&amp;";  ","")&amp;IF(AND(EDATE($D24,Milestones!$AA$173)&lt;=AsOfDate,IF($R24=0,$X24,IF(AND($T24&lt;&gt;"",EDATE($D24,Milestones!$AA$173)&gt;=$T24),$W24,IF(AND($S24&lt;&gt;"",EDATE($D24,Milestones!$AA$173)&gt;=$S24),$V24,$U24)))=Milestones!$AB$173),UPPER(TEXT(EDATE($D24,Milestones!$AA$173),"dd mmm yy"))&amp;" "&amp;Milestones!$AB$173&amp;" "&amp;Milestones!$AC$173&amp;";  ","")&amp;IF(AND(EDATE($D24,Milestones!$AA$174)&lt;=AsOfDate,IF($R24=0,$X24,IF(AND($T24&lt;&gt;"",EDATE($D24,Milestones!$AA$174)&gt;=$T24),$W24,IF(AND($S24&lt;&gt;"",EDATE($D24,Milestones!$AA$174)&gt;=$S24),$V24,$U24)))=Milestones!$AB$174),UPPER(TEXT(EDATE($D24,Milestones!$AA$174),"dd mmm yy"))&amp;" "&amp;Milestones!$AB$174&amp;" "&amp;Milestones!$AC$174&amp;";  ","")&amp;IF(AND(EDATE($D24,Milestones!$AA$175)&lt;=AsOfDate,IF($R24=0,$X24,IF(AND($T24&lt;&gt;"",EDATE($D24,Milestones!$AA$175)&gt;=$T24),$W24,IF(AND($S24&lt;&gt;"",EDATE($D24,Milestones!$AA$175)&gt;=$S24),$V24,$U24)))=Milestones!$AB$175),UPPER(TEXT(EDATE($D24,Milestones!$AA$175),"dd mmm yy"))&amp;" "&amp;Milestones!$AB$175&amp;" "&amp;Milestones!$AC$175&amp;";  ","")&amp;IF(AND(EDATE($D24,Milestones!$AA$176)&lt;=AsOfDate,IF($R24=0,$X24,IF(AND($T24&lt;&gt;"",EDATE($D24,Milestones!$AA$176)&gt;=$T24),$W24,IF(AND($S24&lt;&gt;"",EDATE($D24,Milestones!$AA$176)&gt;=$S24),$V24,$U24)))=Milestones!$AB$176),UPPER(TEXT(EDATE($D24,Milestones!$AA$176),"dd mmm yy"))&amp;" "&amp;Milestones!$AB$176&amp;" "&amp;Milestones!$AC$176&amp;";  ","")&amp;IF(AND(EDATE($D24,Milestones!$AA$177)&lt;=AsOfDate,IF($R24=0,$X24,IF(AND($T24&lt;&gt;"",EDATE($D24,Milestones!$AA$177)&gt;=$T24),$W24,IF(AND($S24&lt;&gt;"",EDATE($D24,Milestones!$AA$177)&gt;=$S24),$V24,$U24)))=Milestones!$AB$177),UPPER(TEXT(EDATE($D24,Milestones!$AA$177),"dd mmm yy"))&amp;" "&amp;Milestones!$AB$177&amp;" "&amp;Milestones!$AC$177&amp;";  ","")&amp;IF(AND(EDATE($D24,Milestones!$AA$178)&lt;=AsOfDate,IF($R24=0,$X24,IF(AND($T24&lt;&gt;"",EDATE($D24,Milestones!$AA$178)&gt;=$T24),$W24,IF(AND($S24&lt;&gt;"",EDATE($D24,Milestones!$AA$178)&gt;=$S24),$V24,$U24)))=Milestones!$AB$178),UPPER(TEXT(EDATE($D24,Milestones!$AA$178),"dd mmm yy"))&amp;" "&amp;Milestones!$AB$178&amp;" "&amp;Milestones!$AC$178&amp;";  ","")&amp;IF(AND(EDATE($D24,Milestones!$AA$179)&lt;=AsOfDate,IF($R24=0,$X24,IF(AND($T24&lt;&gt;"",EDATE($D24,Milestones!$AA$179)&gt;=$T24),$W24,IF(AND($S24&lt;&gt;"",EDATE($D24,Milestones!$AA$179)&gt;=$S24),$V24,$U24)))=Milestones!$AB$179),UPPER(TEXT(EDATE($D24,Milestones!$AA$179),"dd mmm yy"))&amp;" "&amp;Milestones!$AB$179&amp;" "&amp;Milestones!$AC$179&amp;";  ",""))</f>
        <v/>
      </c>
      <c r="Q24" s="0" t="str">
        <f aca="false">IF(OR($A24="",$D24=""),"",IF(AND(EDATE($D24,Milestones!$AA$180)&lt;=AsOfDate,IF($R24=0,$X24,IF(AND($T24&lt;&gt;"",EDATE($D24,Milestones!$AA$180)&gt;=$T24),$W24,IF(AND($S24&lt;&gt;"",EDATE($D24,Milestones!$AA$180)&gt;=$S24),$V24,$U24)))=Milestones!$AB$180),UPPER(TEXT(EDATE($D24,Milestones!$AA$180),"dd mmm yy"))&amp;" "&amp;Milestones!$AB$180&amp;" "&amp;Milestones!$AC$180&amp;";  ","")&amp;IF(AND(EDATE($D24,Milestones!$AA$181)&lt;=AsOfDate,IF($R24=0,$X24,IF(AND($T24&lt;&gt;"",EDATE($D24,Milestones!$AA$181)&gt;=$T24),$W24,IF(AND($S24&lt;&gt;"",EDATE($D24,Milestones!$AA$181)&gt;=$S24),$V24,$U24)))=Milestones!$AB$181),UPPER(TEXT(EDATE($D24,Milestones!$AA$181),"dd mmm yy"))&amp;" "&amp;Milestones!$AB$181&amp;" "&amp;Milestones!$AC$181&amp;";  ","")&amp;IF(AND(EDATE($D24,Milestones!$AA$182)&lt;=AsOfDate,IF($R24=0,$X24,IF(AND($T24&lt;&gt;"",EDATE($D24,Milestones!$AA$182)&gt;=$T24),$W24,IF(AND($S24&lt;&gt;"",EDATE($D24,Milestones!$AA$182)&gt;=$S24),$V24,$U24)))=Milestones!$AB$182),UPPER(TEXT(EDATE($D24,Milestones!$AA$182),"dd mmm yy"))&amp;" "&amp;Milestones!$AB$182&amp;" "&amp;Milestones!$AC$182&amp;";  ","")&amp;IF(AND(EDATE($D24,Milestones!$AA$183)&lt;=AsOfDate,IF($R24=0,$X24,IF(AND($T24&lt;&gt;"",EDATE($D24,Milestones!$AA$183)&gt;=$T24),$W24,IF(AND($S24&lt;&gt;"",EDATE($D24,Milestones!$AA$183)&gt;=$S24),$V24,$U24)))=Milestones!$AB$183),UPPER(TEXT(EDATE($D24,Milestones!$AA$183),"dd mmm yy"))&amp;" "&amp;Milestones!$AB$183&amp;" "&amp;Milestones!$AC$183&amp;";  ","")&amp;IF(AND(EDATE($D24,Milestones!$AA$184)&lt;=AsOfDate,IF($R24=0,$X24,IF(AND($T24&lt;&gt;"",EDATE($D24,Milestones!$AA$184)&gt;=$T24),$W24,IF(AND($S24&lt;&gt;"",EDATE($D24,Milestones!$AA$184)&gt;=$S24),$V24,$U24)))=Milestones!$AB$184),UPPER(TEXT(EDATE($D24,Milestones!$AA$184),"dd mmm yy"))&amp;" "&amp;Milestones!$AB$184&amp;" "&amp;Milestones!$AC$184&amp;";  ","")&amp;IF(AND(EDATE($D24,Milestones!$AA$185)&lt;=AsOfDate,IF($R24=0,$X24,IF(AND($T24&lt;&gt;"",EDATE($D24,Milestones!$AA$185)&gt;=$T24),$W24,IF(AND($S24&lt;&gt;"",EDATE($D24,Milestones!$AA$185)&gt;=$S24),$V24,$U24)))=Milestones!$AB$185),UPPER(TEXT(EDATE($D24,Milestones!$AA$185),"dd mmm yy"))&amp;" "&amp;Milestones!$AB$185&amp;" "&amp;Milestones!$AC$185&amp;";  ","")&amp;IF(AND(EDATE($D24,Milestones!$AA$186)&lt;=AsOfDate,IF($R24=0,$X24,IF(AND($T24&lt;&gt;"",EDATE($D24,Milestones!$AA$186)&gt;=$T24),$W24,IF(AND($S24&lt;&gt;"",EDATE($D24,Milestones!$AA$186)&gt;=$S24),$V24,$U24)))=Milestones!$AB$186),UPPER(TEXT(EDATE($D24,Milestones!$AA$186),"dd mmm yy"))&amp;" "&amp;Milestones!$AB$186&amp;" "&amp;Milestones!$AC$186&amp;";  ","")&amp;IF(AND(EDATE($D24,Milestones!$AA$187)&lt;=AsOfDate,IF($R24=0,$X24,IF(AND($T24&lt;&gt;"",EDATE($D24,Milestones!$AA$187)&gt;=$T24),$W24,IF(AND($S24&lt;&gt;"",EDATE($D24,Milestones!$AA$187)&gt;=$S24),$V24,$U24)))=Milestones!$AB$187),UPPER(TEXT(EDATE($D24,Milestones!$AA$187),"dd mmm yy"))&amp;" "&amp;Milestones!$AB$187&amp;" "&amp;Milestones!$AC$187&amp;";  ","")&amp;IF(AND(EDATE($D24,Milestones!$AA$188)&lt;=AsOfDate,IF($R24=0,$X24,IF(AND($T24&lt;&gt;"",EDATE($D24,Milestones!$AA$188)&gt;=$T24),$W24,IF(AND($S24&lt;&gt;"",EDATE($D24,Milestones!$AA$188)&gt;=$S24),$V24,$U24)))=Milestones!$AB$188),UPPER(TEXT(EDATE($D24,Milestones!$AA$188),"dd mmm yy"))&amp;" "&amp;Milestones!$AB$188&amp;" "&amp;Milestones!$AC$188&amp;";  ","")&amp;IF(AND(EDATE($D24,Milestones!$AA$189)&lt;=AsOfDate,IF($R24=0,$X24,IF(AND($T24&lt;&gt;"",EDATE($D24,Milestones!$AA$189)&gt;=$T24),$W24,IF(AND($S24&lt;&gt;"",EDATE($D24,Milestones!$AA$189)&gt;=$S24),$V24,$U24)))=Milestones!$AB$189),UPPER(TEXT(EDATE($D24,Milestones!$AA$189),"dd mmm yy"))&amp;" "&amp;Milestones!$AB$189&amp;" "&amp;Milestones!$AC$189&amp;";  ","")&amp;IF(AND(EDATE($D24,Milestones!$AA$190)&lt;=AsOfDate,IF($R24=0,$X24,IF(AND($T24&lt;&gt;"",EDATE($D24,Milestones!$AA$190)&gt;=$T24),$W24,IF(AND($S24&lt;&gt;"",EDATE($D24,Milestones!$AA$190)&gt;=$S24),$V24,$U24)))=Milestones!$AB$190),UPPER(TEXT(EDATE($D24,Milestones!$AA$190),"dd mmm yy"))&amp;" "&amp;Milestones!$AB$190&amp;" "&amp;Milestones!$AC$190&amp;";  ","")&amp;IF(AND(EDATE($D24,Milestones!$AA$191)&lt;=AsOfDate,IF($R24=0,$X24,IF(AND($T24&lt;&gt;"",EDATE($D24,Milestones!$AA$191)&gt;=$T24),$W24,IF(AND($S24&lt;&gt;"",EDATE($D24,Milestones!$AA$191)&gt;=$S24),$V24,$U24)))=Milestones!$AB$191),UPPER(TEXT(EDATE($D24,Milestones!$AA$191),"dd mmm yy"))&amp;" "&amp;Milestones!$AB$191&amp;" "&amp;Milestones!$AC$191&amp;";  ","")&amp;IF(AND(EDATE($D24,Milestones!$AA$192)&lt;=AsOfDate,IF($R24=0,$X24,IF(AND($T24&lt;&gt;"",EDATE($D24,Milestones!$AA$192)&gt;=$T24),$W24,IF(AND($S24&lt;&gt;"",EDATE($D24,Milestones!$AA$192)&gt;=$S24),$V24,$U24)))=Milestones!$AB$192),UPPER(TEXT(EDATE($D24,Milestones!$AA$192),"dd mmm yy"))&amp;" "&amp;Milestones!$AB$192&amp;" "&amp;Milestones!$AC$192&amp;";  ","")&amp;IF(AND(EDATE($D24,Milestones!$AA$193)&lt;=AsOfDate,IF($R24=0,$X24,IF(AND($T24&lt;&gt;"",EDATE($D24,Milestones!$AA$193)&gt;=$T24),$W24,IF(AND($S24&lt;&gt;"",EDATE($D24,Milestones!$AA$193)&gt;=$S24),$V24,$U24)))=Milestones!$AB$193),UPPER(TEXT(EDATE($D24,Milestones!$AA$193),"dd mmm yy"))&amp;" "&amp;Milestones!$AB$193&amp;" "&amp;Milestones!$AC$193&amp;";  ","")&amp;IF(AND(EDATE($D24,Milestones!$AA$194)&lt;=AsOfDate,IF($R24=0,$X24,IF(AND($T24&lt;&gt;"",EDATE($D24,Milestones!$AA$194)&gt;=$T24),$W24,IF(AND($S24&lt;&gt;"",EDATE($D24,Milestones!$AA$194)&gt;=$S24),$V24,$U24)))=Milestones!$AB$194),UPPER(TEXT(EDATE($D24,Milestones!$AA$194),"dd mmm yy"))&amp;" "&amp;Milestones!$AB$194&amp;" "&amp;Milestones!$AC$194&amp;";  ","")&amp;IF(AND(EDATE($D24,Milestones!$AA$195)&lt;=AsOfDate,IF($R24=0,$X24,IF(AND($T24&lt;&gt;"",EDATE($D24,Milestones!$AA$195)&gt;=$T24),$W24,IF(AND($S24&lt;&gt;"",EDATE($D24,Milestones!$AA$195)&gt;=$S24),$V24,$U24)))=Milestones!$AB$195),UPPER(TEXT(EDATE($D24,Milestones!$AA$195),"dd mmm yy"))&amp;" "&amp;Milestones!$AB$195&amp;" "&amp;Milestones!$AC$195&amp;";  ","")&amp;IF(AND(EDATE($D24,Milestones!$AA$196)&lt;=AsOfDate,IF($R24=0,$X24,IF(AND($T24&lt;&gt;"",EDATE($D24,Milestones!$AA$196)&gt;=$T24),$W24,IF(AND($S24&lt;&gt;"",EDATE($D24,Milestones!$AA$196)&gt;=$S24),$V24,$U24)))=Milestones!$AB$196),UPPER(TEXT(EDATE($D24,Milestones!$AA$196),"dd mmm yy"))&amp;" "&amp;Milestones!$AB$196&amp;" "&amp;Milestones!$AC$196&amp;";  ","")&amp;IF(AND(EDATE($D24,Milestones!$AA$197)&lt;=AsOfDate,IF($R24=0,$X24,IF(AND($T24&lt;&gt;"",EDATE($D24,Milestones!$AA$197)&gt;=$T24),$W24,IF(AND($S24&lt;&gt;"",EDATE($D24,Milestones!$AA$197)&gt;=$S24),$V24,$U24)))=Milestones!$AB$197),UPPER(TEXT(EDATE($D24,Milestones!$AA$197),"dd mmm yy"))&amp;" "&amp;Milestones!$AB$197&amp;" "&amp;Milestones!$AC$197&amp;";  ","")&amp;IF(AND(EDATE($D24,Milestones!$AA$198)&lt;=AsOfDate,IF($R24=0,$X24,IF(AND($T24&lt;&gt;"",EDATE($D24,Milestones!$AA$198)&gt;=$T24),$W24,IF(AND($S24&lt;&gt;"",EDATE($D24,Milestones!$AA$198)&gt;=$S24),$V24,$U24)))=Milestones!$AB$198),UPPER(TEXT(EDATE($D24,Milestones!$AA$198),"dd mmm yy"))&amp;" "&amp;Milestones!$AB$198&amp;" "&amp;Milestones!$AC$198&amp;";  ","")&amp;IF(AND(EDATE($D24,Milestones!$AA$199)&lt;=AsOfDate,IF($R24=0,$X24,IF(AND($T24&lt;&gt;"",EDATE($D24,Milestones!$AA$199)&gt;=$T24),$W24,IF(AND($S24&lt;&gt;"",EDATE($D24,Milestones!$AA$199)&gt;=$S24),$V24,$U24)))=Milestones!$AB$199),UPPER(TEXT(EDATE($D24,Milestones!$AA$199),"dd mmm yy"))&amp;" "&amp;Milestones!$AB$199&amp;" "&amp;Milestones!$AC$199&amp;";  ",""))</f>
        <v/>
      </c>
      <c r="R24" s="0" t="str">
        <f aca="false">IF(Staff!$A24="","",Staff!$AI24)</f>
        <v/>
      </c>
      <c r="S24" s="0" t="str">
        <f aca="false">IF(Staff!$A24="","",Staff!$AK24)</f>
        <v/>
      </c>
      <c r="T24" s="0" t="str">
        <f aca="false">IF(Staff!$A24="","",Staff!$AL24)</f>
        <v/>
      </c>
      <c r="U24" s="0" t="str">
        <f aca="false">IF(Staff!$A24="","",Staff!$AP24)</f>
        <v/>
      </c>
      <c r="V24" s="0" t="str">
        <f aca="false">IF(Staff!$A24="","",Staff!$AQ24)</f>
        <v/>
      </c>
      <c r="W24" s="0" t="str">
        <f aca="false">IF(Staff!$A24="","",Staff!$AR24)</f>
        <v/>
      </c>
      <c r="X24" s="0" t="str">
        <f aca="false">IF(Staff!$A24="","",Staff!$AS24)</f>
        <v/>
      </c>
    </row>
    <row r="25" customFormat="false" ht="15" hidden="false" customHeight="false" outlineLevel="0" collapsed="false">
      <c r="A25" s="14" t="str">
        <f aca="false">IF(Staff!$A25="","",Staff!$A25)</f>
        <v/>
      </c>
      <c r="B25" s="14" t="str">
        <f aca="false">IF(Staff!$A25="","",Staff!$B25)</f>
        <v/>
      </c>
      <c r="C25" s="14" t="str">
        <f aca="false">IF(Staff!$A25="","",Staff!$C25)</f>
        <v/>
      </c>
      <c r="D25" s="12" t="str">
        <f aca="false">IF(Staff!$A25="","",Staff!$AH25)</f>
        <v/>
      </c>
      <c r="E25" s="14" t="str">
        <f aca="false">IF(Staff!$A25="","",Staff!$O25)</f>
        <v/>
      </c>
      <c r="F25" s="14" t="str">
        <f aca="false">IF(E25="","",E25*HoursPerDay)</f>
        <v/>
      </c>
      <c r="G25" s="14" t="str">
        <f aca="false">IF(Staff!$A25="","",Staff!$AE25)</f>
        <v/>
      </c>
      <c r="H25" s="26" t="str">
        <f aca="false">IF($A25="","",I25&amp;J25&amp;K25&amp;L25&amp;M25&amp;N25&amp;O25&amp;P25&amp;Q25)</f>
        <v/>
      </c>
      <c r="I25" s="0" t="str">
        <f aca="false">IF(OR($A25="",$D25=""),"",IF(AND(EDATE($D25,Milestones!$AA$20)&lt;=AsOfDate,IF($R25=0,$X25,IF(AND($T25&lt;&gt;"",EDATE($D25,Milestones!$AA$20)&gt;=$T25),$W25,IF(AND($S25&lt;&gt;"",EDATE($D25,Milestones!$AA$20)&gt;=$S25),$V25,$U25)))=Milestones!$AB$20),UPPER(TEXT(EDATE($D25,Milestones!$AA$20),"dd mmm yy"))&amp;" "&amp;Milestones!$AB$20&amp;" "&amp;Milestones!$AC$20&amp;";  ","")&amp;IF(AND(EDATE($D25,Milestones!$AA$21)&lt;=AsOfDate,IF($R25=0,$X25,IF(AND($T25&lt;&gt;"",EDATE($D25,Milestones!$AA$21)&gt;=$T25),$W25,IF(AND($S25&lt;&gt;"",EDATE($D25,Milestones!$AA$21)&gt;=$S25),$V25,$U25)))=Milestones!$AB$21),UPPER(TEXT(EDATE($D25,Milestones!$AA$21),"dd mmm yy"))&amp;" "&amp;Milestones!$AB$21&amp;" "&amp;Milestones!$AC$21&amp;";  ","")&amp;IF(AND(EDATE($D25,Milestones!$AA$22)&lt;=AsOfDate,IF($R25=0,$X25,IF(AND($T25&lt;&gt;"",EDATE($D25,Milestones!$AA$22)&gt;=$T25),$W25,IF(AND($S25&lt;&gt;"",EDATE($D25,Milestones!$AA$22)&gt;=$S25),$V25,$U25)))=Milestones!$AB$22),UPPER(TEXT(EDATE($D25,Milestones!$AA$22),"dd mmm yy"))&amp;" "&amp;Milestones!$AB$22&amp;" "&amp;Milestones!$AC$22&amp;";  ","")&amp;IF(AND(EDATE($D25,Milestones!$AA$23)&lt;=AsOfDate,IF($R25=0,$X25,IF(AND($T25&lt;&gt;"",EDATE($D25,Milestones!$AA$23)&gt;=$T25),$W25,IF(AND($S25&lt;&gt;"",EDATE($D25,Milestones!$AA$23)&gt;=$S25),$V25,$U25)))=Milestones!$AB$23),UPPER(TEXT(EDATE($D25,Milestones!$AA$23),"dd mmm yy"))&amp;" "&amp;Milestones!$AB$23&amp;" "&amp;Milestones!$AC$23&amp;";  ","")&amp;IF(AND(EDATE($D25,Milestones!$AA$24)&lt;=AsOfDate,IF($R25=0,$X25,IF(AND($T25&lt;&gt;"",EDATE($D25,Milestones!$AA$24)&gt;=$T25),$W25,IF(AND($S25&lt;&gt;"",EDATE($D25,Milestones!$AA$24)&gt;=$S25),$V25,$U25)))=Milestones!$AB$24),UPPER(TEXT(EDATE($D25,Milestones!$AA$24),"dd mmm yy"))&amp;" "&amp;Milestones!$AB$24&amp;" "&amp;Milestones!$AC$24&amp;";  ","")&amp;IF(AND(EDATE($D25,Milestones!$AA$25)&lt;=AsOfDate,IF($R25=0,$X25,IF(AND($T25&lt;&gt;"",EDATE($D25,Milestones!$AA$25)&gt;=$T25),$W25,IF(AND($S25&lt;&gt;"",EDATE($D25,Milestones!$AA$25)&gt;=$S25),$V25,$U25)))=Milestones!$AB$25),UPPER(TEXT(EDATE($D25,Milestones!$AA$25),"dd mmm yy"))&amp;" "&amp;Milestones!$AB$25&amp;" "&amp;Milestones!$AC$25&amp;";  ","")&amp;IF(AND(EDATE($D25,Milestones!$AA$26)&lt;=AsOfDate,IF($R25=0,$X25,IF(AND($T25&lt;&gt;"",EDATE($D25,Milestones!$AA$26)&gt;=$T25),$W25,IF(AND($S25&lt;&gt;"",EDATE($D25,Milestones!$AA$26)&gt;=$S25),$V25,$U25)))=Milestones!$AB$26),UPPER(TEXT(EDATE($D25,Milestones!$AA$26),"dd mmm yy"))&amp;" "&amp;Milestones!$AB$26&amp;" "&amp;Milestones!$AC$26&amp;";  ","")&amp;IF(AND(EDATE($D25,Milestones!$AA$27)&lt;=AsOfDate,IF($R25=0,$X25,IF(AND($T25&lt;&gt;"",EDATE($D25,Milestones!$AA$27)&gt;=$T25),$W25,IF(AND($S25&lt;&gt;"",EDATE($D25,Milestones!$AA$27)&gt;=$S25),$V25,$U25)))=Milestones!$AB$27),UPPER(TEXT(EDATE($D25,Milestones!$AA$27),"dd mmm yy"))&amp;" "&amp;Milestones!$AB$27&amp;" "&amp;Milestones!$AC$27&amp;";  ","")&amp;IF(AND(EDATE($D25,Milestones!$AA$28)&lt;=AsOfDate,IF($R25=0,$X25,IF(AND($T25&lt;&gt;"",EDATE($D25,Milestones!$AA$28)&gt;=$T25),$W25,IF(AND($S25&lt;&gt;"",EDATE($D25,Milestones!$AA$28)&gt;=$S25),$V25,$U25)))=Milestones!$AB$28),UPPER(TEXT(EDATE($D25,Milestones!$AA$28),"dd mmm yy"))&amp;" "&amp;Milestones!$AB$28&amp;" "&amp;Milestones!$AC$28&amp;";  ","")&amp;IF(AND(EDATE($D25,Milestones!$AA$29)&lt;=AsOfDate,IF($R25=0,$X25,IF(AND($T25&lt;&gt;"",EDATE($D25,Milestones!$AA$29)&gt;=$T25),$W25,IF(AND($S25&lt;&gt;"",EDATE($D25,Milestones!$AA$29)&gt;=$S25),$V25,$U25)))=Milestones!$AB$29),UPPER(TEXT(EDATE($D25,Milestones!$AA$29),"dd mmm yy"))&amp;" "&amp;Milestones!$AB$29&amp;" "&amp;Milestones!$AC$29&amp;";  ","")&amp;IF(AND(EDATE($D25,Milestones!$AA$30)&lt;=AsOfDate,IF($R25=0,$X25,IF(AND($T25&lt;&gt;"",EDATE($D25,Milestones!$AA$30)&gt;=$T25),$W25,IF(AND($S25&lt;&gt;"",EDATE($D25,Milestones!$AA$30)&gt;=$S25),$V25,$U25)))=Milestones!$AB$30),UPPER(TEXT(EDATE($D25,Milestones!$AA$30),"dd mmm yy"))&amp;" "&amp;Milestones!$AB$30&amp;" "&amp;Milestones!$AC$30&amp;";  ","")&amp;IF(AND(EDATE($D25,Milestones!$AA$31)&lt;=AsOfDate,IF($R25=0,$X25,IF(AND($T25&lt;&gt;"",EDATE($D25,Milestones!$AA$31)&gt;=$T25),$W25,IF(AND($S25&lt;&gt;"",EDATE($D25,Milestones!$AA$31)&gt;=$S25),$V25,$U25)))=Milestones!$AB$31),UPPER(TEXT(EDATE($D25,Milestones!$AA$31),"dd mmm yy"))&amp;" "&amp;Milestones!$AB$31&amp;" "&amp;Milestones!$AC$31&amp;";  ","")&amp;IF(AND(EDATE($D25,Milestones!$AA$32)&lt;=AsOfDate,IF($R25=0,$X25,IF(AND($T25&lt;&gt;"",EDATE($D25,Milestones!$AA$32)&gt;=$T25),$W25,IF(AND($S25&lt;&gt;"",EDATE($D25,Milestones!$AA$32)&gt;=$S25),$V25,$U25)))=Milestones!$AB$32),UPPER(TEXT(EDATE($D25,Milestones!$AA$32),"dd mmm yy"))&amp;" "&amp;Milestones!$AB$32&amp;" "&amp;Milestones!$AC$32&amp;";  ","")&amp;IF(AND(EDATE($D25,Milestones!$AA$33)&lt;=AsOfDate,IF($R25=0,$X25,IF(AND($T25&lt;&gt;"",EDATE($D25,Milestones!$AA$33)&gt;=$T25),$W25,IF(AND($S25&lt;&gt;"",EDATE($D25,Milestones!$AA$33)&gt;=$S25),$V25,$U25)))=Milestones!$AB$33),UPPER(TEXT(EDATE($D25,Milestones!$AA$33),"dd mmm yy"))&amp;" "&amp;Milestones!$AB$33&amp;" "&amp;Milestones!$AC$33&amp;";  ","")&amp;IF(AND(EDATE($D25,Milestones!$AA$34)&lt;=AsOfDate,IF($R25=0,$X25,IF(AND($T25&lt;&gt;"",EDATE($D25,Milestones!$AA$34)&gt;=$T25),$W25,IF(AND($S25&lt;&gt;"",EDATE($D25,Milestones!$AA$34)&gt;=$S25),$V25,$U25)))=Milestones!$AB$34),UPPER(TEXT(EDATE($D25,Milestones!$AA$34),"dd mmm yy"))&amp;" "&amp;Milestones!$AB$34&amp;" "&amp;Milestones!$AC$34&amp;";  ","")&amp;IF(AND(EDATE($D25,Milestones!$AA$35)&lt;=AsOfDate,IF($R25=0,$X25,IF(AND($T25&lt;&gt;"",EDATE($D25,Milestones!$AA$35)&gt;=$T25),$W25,IF(AND($S25&lt;&gt;"",EDATE($D25,Milestones!$AA$35)&gt;=$S25),$V25,$U25)))=Milestones!$AB$35),UPPER(TEXT(EDATE($D25,Milestones!$AA$35),"dd mmm yy"))&amp;" "&amp;Milestones!$AB$35&amp;" "&amp;Milestones!$AC$35&amp;";  ","")&amp;IF(AND(EDATE($D25,Milestones!$AA$36)&lt;=AsOfDate,IF($R25=0,$X25,IF(AND($T25&lt;&gt;"",EDATE($D25,Milestones!$AA$36)&gt;=$T25),$W25,IF(AND($S25&lt;&gt;"",EDATE($D25,Milestones!$AA$36)&gt;=$S25),$V25,$U25)))=Milestones!$AB$36),UPPER(TEXT(EDATE($D25,Milestones!$AA$36),"dd mmm yy"))&amp;" "&amp;Milestones!$AB$36&amp;" "&amp;Milestones!$AC$36&amp;";  ","")&amp;IF(AND(EDATE($D25,Milestones!$AA$37)&lt;=AsOfDate,IF($R25=0,$X25,IF(AND($T25&lt;&gt;"",EDATE($D25,Milestones!$AA$37)&gt;=$T25),$W25,IF(AND($S25&lt;&gt;"",EDATE($D25,Milestones!$AA$37)&gt;=$S25),$V25,$U25)))=Milestones!$AB$37),UPPER(TEXT(EDATE($D25,Milestones!$AA$37),"dd mmm yy"))&amp;" "&amp;Milestones!$AB$37&amp;" "&amp;Milestones!$AC$37&amp;";  ","")&amp;IF(AND(EDATE($D25,Milestones!$AA$38)&lt;=AsOfDate,IF($R25=0,$X25,IF(AND($T25&lt;&gt;"",EDATE($D25,Milestones!$AA$38)&gt;=$T25),$W25,IF(AND($S25&lt;&gt;"",EDATE($D25,Milestones!$AA$38)&gt;=$S25),$V25,$U25)))=Milestones!$AB$38),UPPER(TEXT(EDATE($D25,Milestones!$AA$38),"dd mmm yy"))&amp;" "&amp;Milestones!$AB$38&amp;" "&amp;Milestones!$AC$38&amp;";  ","")&amp;IF(AND(EDATE($D25,Milestones!$AA$39)&lt;=AsOfDate,IF($R25=0,$X25,IF(AND($T25&lt;&gt;"",EDATE($D25,Milestones!$AA$39)&gt;=$T25),$W25,IF(AND($S25&lt;&gt;"",EDATE($D25,Milestones!$AA$39)&gt;=$S25),$V25,$U25)))=Milestones!$AB$39),UPPER(TEXT(EDATE($D25,Milestones!$AA$39),"dd mmm yy"))&amp;" "&amp;Milestones!$AB$39&amp;" "&amp;Milestones!$AC$39&amp;";  ",""))</f>
        <v/>
      </c>
      <c r="J25" s="0" t="str">
        <f aca="false">IF(OR($A25="",$D25=""),"",IF(AND(EDATE($D25,Milestones!$AA$40)&lt;=AsOfDate,IF($R25=0,$X25,IF(AND($T25&lt;&gt;"",EDATE($D25,Milestones!$AA$40)&gt;=$T25),$W25,IF(AND($S25&lt;&gt;"",EDATE($D25,Milestones!$AA$40)&gt;=$S25),$V25,$U25)))=Milestones!$AB$40),UPPER(TEXT(EDATE($D25,Milestones!$AA$40),"dd mmm yy"))&amp;" "&amp;Milestones!$AB$40&amp;" "&amp;Milestones!$AC$40&amp;";  ","")&amp;IF(AND(EDATE($D25,Milestones!$AA$41)&lt;=AsOfDate,IF($R25=0,$X25,IF(AND($T25&lt;&gt;"",EDATE($D25,Milestones!$AA$41)&gt;=$T25),$W25,IF(AND($S25&lt;&gt;"",EDATE($D25,Milestones!$AA$41)&gt;=$S25),$V25,$U25)))=Milestones!$AB$41),UPPER(TEXT(EDATE($D25,Milestones!$AA$41),"dd mmm yy"))&amp;" "&amp;Milestones!$AB$41&amp;" "&amp;Milestones!$AC$41&amp;";  ","")&amp;IF(AND(EDATE($D25,Milestones!$AA$42)&lt;=AsOfDate,IF($R25=0,$X25,IF(AND($T25&lt;&gt;"",EDATE($D25,Milestones!$AA$42)&gt;=$T25),$W25,IF(AND($S25&lt;&gt;"",EDATE($D25,Milestones!$AA$42)&gt;=$S25),$V25,$U25)))=Milestones!$AB$42),UPPER(TEXT(EDATE($D25,Milestones!$AA$42),"dd mmm yy"))&amp;" "&amp;Milestones!$AB$42&amp;" "&amp;Milestones!$AC$42&amp;";  ","")&amp;IF(AND(EDATE($D25,Milestones!$AA$43)&lt;=AsOfDate,IF($R25=0,$X25,IF(AND($T25&lt;&gt;"",EDATE($D25,Milestones!$AA$43)&gt;=$T25),$W25,IF(AND($S25&lt;&gt;"",EDATE($D25,Milestones!$AA$43)&gt;=$S25),$V25,$U25)))=Milestones!$AB$43),UPPER(TEXT(EDATE($D25,Milestones!$AA$43),"dd mmm yy"))&amp;" "&amp;Milestones!$AB$43&amp;" "&amp;Milestones!$AC$43&amp;";  ","")&amp;IF(AND(EDATE($D25,Milestones!$AA$44)&lt;=AsOfDate,IF($R25=0,$X25,IF(AND($T25&lt;&gt;"",EDATE($D25,Milestones!$AA$44)&gt;=$T25),$W25,IF(AND($S25&lt;&gt;"",EDATE($D25,Milestones!$AA$44)&gt;=$S25),$V25,$U25)))=Milestones!$AB$44),UPPER(TEXT(EDATE($D25,Milestones!$AA$44),"dd mmm yy"))&amp;" "&amp;Milestones!$AB$44&amp;" "&amp;Milestones!$AC$44&amp;";  ","")&amp;IF(AND(EDATE($D25,Milestones!$AA$45)&lt;=AsOfDate,IF($R25=0,$X25,IF(AND($T25&lt;&gt;"",EDATE($D25,Milestones!$AA$45)&gt;=$T25),$W25,IF(AND($S25&lt;&gt;"",EDATE($D25,Milestones!$AA$45)&gt;=$S25),$V25,$U25)))=Milestones!$AB$45),UPPER(TEXT(EDATE($D25,Milestones!$AA$45),"dd mmm yy"))&amp;" "&amp;Milestones!$AB$45&amp;" "&amp;Milestones!$AC$45&amp;";  ","")&amp;IF(AND(EDATE($D25,Milestones!$AA$46)&lt;=AsOfDate,IF($R25=0,$X25,IF(AND($T25&lt;&gt;"",EDATE($D25,Milestones!$AA$46)&gt;=$T25),$W25,IF(AND($S25&lt;&gt;"",EDATE($D25,Milestones!$AA$46)&gt;=$S25),$V25,$U25)))=Milestones!$AB$46),UPPER(TEXT(EDATE($D25,Milestones!$AA$46),"dd mmm yy"))&amp;" "&amp;Milestones!$AB$46&amp;" "&amp;Milestones!$AC$46&amp;";  ","")&amp;IF(AND(EDATE($D25,Milestones!$AA$47)&lt;=AsOfDate,IF($R25=0,$X25,IF(AND($T25&lt;&gt;"",EDATE($D25,Milestones!$AA$47)&gt;=$T25),$W25,IF(AND($S25&lt;&gt;"",EDATE($D25,Milestones!$AA$47)&gt;=$S25),$V25,$U25)))=Milestones!$AB$47),UPPER(TEXT(EDATE($D25,Milestones!$AA$47),"dd mmm yy"))&amp;" "&amp;Milestones!$AB$47&amp;" "&amp;Milestones!$AC$47&amp;";  ","")&amp;IF(AND(EDATE($D25,Milestones!$AA$48)&lt;=AsOfDate,IF($R25=0,$X25,IF(AND($T25&lt;&gt;"",EDATE($D25,Milestones!$AA$48)&gt;=$T25),$W25,IF(AND($S25&lt;&gt;"",EDATE($D25,Milestones!$AA$48)&gt;=$S25),$V25,$U25)))=Milestones!$AB$48),UPPER(TEXT(EDATE($D25,Milestones!$AA$48),"dd mmm yy"))&amp;" "&amp;Milestones!$AB$48&amp;" "&amp;Milestones!$AC$48&amp;";  ","")&amp;IF(AND(EDATE($D25,Milestones!$AA$49)&lt;=AsOfDate,IF($R25=0,$X25,IF(AND($T25&lt;&gt;"",EDATE($D25,Milestones!$AA$49)&gt;=$T25),$W25,IF(AND($S25&lt;&gt;"",EDATE($D25,Milestones!$AA$49)&gt;=$S25),$V25,$U25)))=Milestones!$AB$49),UPPER(TEXT(EDATE($D25,Milestones!$AA$49),"dd mmm yy"))&amp;" "&amp;Milestones!$AB$49&amp;" "&amp;Milestones!$AC$49&amp;";  ","")&amp;IF(AND(EDATE($D25,Milestones!$AA$50)&lt;=AsOfDate,IF($R25=0,$X25,IF(AND($T25&lt;&gt;"",EDATE($D25,Milestones!$AA$50)&gt;=$T25),$W25,IF(AND($S25&lt;&gt;"",EDATE($D25,Milestones!$AA$50)&gt;=$S25),$V25,$U25)))=Milestones!$AB$50),UPPER(TEXT(EDATE($D25,Milestones!$AA$50),"dd mmm yy"))&amp;" "&amp;Milestones!$AB$50&amp;" "&amp;Milestones!$AC$50&amp;";  ","")&amp;IF(AND(EDATE($D25,Milestones!$AA$51)&lt;=AsOfDate,IF($R25=0,$X25,IF(AND($T25&lt;&gt;"",EDATE($D25,Milestones!$AA$51)&gt;=$T25),$W25,IF(AND($S25&lt;&gt;"",EDATE($D25,Milestones!$AA$51)&gt;=$S25),$V25,$U25)))=Milestones!$AB$51),UPPER(TEXT(EDATE($D25,Milestones!$AA$51),"dd mmm yy"))&amp;" "&amp;Milestones!$AB$51&amp;" "&amp;Milestones!$AC$51&amp;";  ","")&amp;IF(AND(EDATE($D25,Milestones!$AA$52)&lt;=AsOfDate,IF($R25=0,$X25,IF(AND($T25&lt;&gt;"",EDATE($D25,Milestones!$AA$52)&gt;=$T25),$W25,IF(AND($S25&lt;&gt;"",EDATE($D25,Milestones!$AA$52)&gt;=$S25),$V25,$U25)))=Milestones!$AB$52),UPPER(TEXT(EDATE($D25,Milestones!$AA$52),"dd mmm yy"))&amp;" "&amp;Milestones!$AB$52&amp;" "&amp;Milestones!$AC$52&amp;";  ","")&amp;IF(AND(EDATE($D25,Milestones!$AA$53)&lt;=AsOfDate,IF($R25=0,$X25,IF(AND($T25&lt;&gt;"",EDATE($D25,Milestones!$AA$53)&gt;=$T25),$W25,IF(AND($S25&lt;&gt;"",EDATE($D25,Milestones!$AA$53)&gt;=$S25),$V25,$U25)))=Milestones!$AB$53),UPPER(TEXT(EDATE($D25,Milestones!$AA$53),"dd mmm yy"))&amp;" "&amp;Milestones!$AB$53&amp;" "&amp;Milestones!$AC$53&amp;";  ","")&amp;IF(AND(EDATE($D25,Milestones!$AA$54)&lt;=AsOfDate,IF($R25=0,$X25,IF(AND($T25&lt;&gt;"",EDATE($D25,Milestones!$AA$54)&gt;=$T25),$W25,IF(AND($S25&lt;&gt;"",EDATE($D25,Milestones!$AA$54)&gt;=$S25),$V25,$U25)))=Milestones!$AB$54),UPPER(TEXT(EDATE($D25,Milestones!$AA$54),"dd mmm yy"))&amp;" "&amp;Milestones!$AB$54&amp;" "&amp;Milestones!$AC$54&amp;";  ","")&amp;IF(AND(EDATE($D25,Milestones!$AA$55)&lt;=AsOfDate,IF($R25=0,$X25,IF(AND($T25&lt;&gt;"",EDATE($D25,Milestones!$AA$55)&gt;=$T25),$W25,IF(AND($S25&lt;&gt;"",EDATE($D25,Milestones!$AA$55)&gt;=$S25),$V25,$U25)))=Milestones!$AB$55),UPPER(TEXT(EDATE($D25,Milestones!$AA$55),"dd mmm yy"))&amp;" "&amp;Milestones!$AB$55&amp;" "&amp;Milestones!$AC$55&amp;";  ","")&amp;IF(AND(EDATE($D25,Milestones!$AA$56)&lt;=AsOfDate,IF($R25=0,$X25,IF(AND($T25&lt;&gt;"",EDATE($D25,Milestones!$AA$56)&gt;=$T25),$W25,IF(AND($S25&lt;&gt;"",EDATE($D25,Milestones!$AA$56)&gt;=$S25),$V25,$U25)))=Milestones!$AB$56),UPPER(TEXT(EDATE($D25,Milestones!$AA$56),"dd mmm yy"))&amp;" "&amp;Milestones!$AB$56&amp;" "&amp;Milestones!$AC$56&amp;";  ","")&amp;IF(AND(EDATE($D25,Milestones!$AA$57)&lt;=AsOfDate,IF($R25=0,$X25,IF(AND($T25&lt;&gt;"",EDATE($D25,Milestones!$AA$57)&gt;=$T25),$W25,IF(AND($S25&lt;&gt;"",EDATE($D25,Milestones!$AA$57)&gt;=$S25),$V25,$U25)))=Milestones!$AB$57),UPPER(TEXT(EDATE($D25,Milestones!$AA$57),"dd mmm yy"))&amp;" "&amp;Milestones!$AB$57&amp;" "&amp;Milestones!$AC$57&amp;";  ","")&amp;IF(AND(EDATE($D25,Milestones!$AA$58)&lt;=AsOfDate,IF($R25=0,$X25,IF(AND($T25&lt;&gt;"",EDATE($D25,Milestones!$AA$58)&gt;=$T25),$W25,IF(AND($S25&lt;&gt;"",EDATE($D25,Milestones!$AA$58)&gt;=$S25),$V25,$U25)))=Milestones!$AB$58),UPPER(TEXT(EDATE($D25,Milestones!$AA$58),"dd mmm yy"))&amp;" "&amp;Milestones!$AB$58&amp;" "&amp;Milestones!$AC$58&amp;";  ","")&amp;IF(AND(EDATE($D25,Milestones!$AA$59)&lt;=AsOfDate,IF($R25=0,$X25,IF(AND($T25&lt;&gt;"",EDATE($D25,Milestones!$AA$59)&gt;=$T25),$W25,IF(AND($S25&lt;&gt;"",EDATE($D25,Milestones!$AA$59)&gt;=$S25),$V25,$U25)))=Milestones!$AB$59),UPPER(TEXT(EDATE($D25,Milestones!$AA$59),"dd mmm yy"))&amp;" "&amp;Milestones!$AB$59&amp;" "&amp;Milestones!$AC$59&amp;";  ",""))</f>
        <v/>
      </c>
      <c r="K25" s="0" t="str">
        <f aca="false">IF(OR($A25="",$D25=""),"",IF(AND(EDATE($D25,Milestones!$AA$60)&lt;=AsOfDate,IF($R25=0,$X25,IF(AND($T25&lt;&gt;"",EDATE($D25,Milestones!$AA$60)&gt;=$T25),$W25,IF(AND($S25&lt;&gt;"",EDATE($D25,Milestones!$AA$60)&gt;=$S25),$V25,$U25)))=Milestones!$AB$60),UPPER(TEXT(EDATE($D25,Milestones!$AA$60),"dd mmm yy"))&amp;" "&amp;Milestones!$AB$60&amp;" "&amp;Milestones!$AC$60&amp;";  ","")&amp;IF(AND(EDATE($D25,Milestones!$AA$61)&lt;=AsOfDate,IF($R25=0,$X25,IF(AND($T25&lt;&gt;"",EDATE($D25,Milestones!$AA$61)&gt;=$T25),$W25,IF(AND($S25&lt;&gt;"",EDATE($D25,Milestones!$AA$61)&gt;=$S25),$V25,$U25)))=Milestones!$AB$61),UPPER(TEXT(EDATE($D25,Milestones!$AA$61),"dd mmm yy"))&amp;" "&amp;Milestones!$AB$61&amp;" "&amp;Milestones!$AC$61&amp;";  ","")&amp;IF(AND(EDATE($D25,Milestones!$AA$62)&lt;=AsOfDate,IF($R25=0,$X25,IF(AND($T25&lt;&gt;"",EDATE($D25,Milestones!$AA$62)&gt;=$T25),$W25,IF(AND($S25&lt;&gt;"",EDATE($D25,Milestones!$AA$62)&gt;=$S25),$V25,$U25)))=Milestones!$AB$62),UPPER(TEXT(EDATE($D25,Milestones!$AA$62),"dd mmm yy"))&amp;" "&amp;Milestones!$AB$62&amp;" "&amp;Milestones!$AC$62&amp;";  ","")&amp;IF(AND(EDATE($D25,Milestones!$AA$63)&lt;=AsOfDate,IF($R25=0,$X25,IF(AND($T25&lt;&gt;"",EDATE($D25,Milestones!$AA$63)&gt;=$T25),$W25,IF(AND($S25&lt;&gt;"",EDATE($D25,Milestones!$AA$63)&gt;=$S25),$V25,$U25)))=Milestones!$AB$63),UPPER(TEXT(EDATE($D25,Milestones!$AA$63),"dd mmm yy"))&amp;" "&amp;Milestones!$AB$63&amp;" "&amp;Milestones!$AC$63&amp;";  ","")&amp;IF(AND(EDATE($D25,Milestones!$AA$64)&lt;=AsOfDate,IF($R25=0,$X25,IF(AND($T25&lt;&gt;"",EDATE($D25,Milestones!$AA$64)&gt;=$T25),$W25,IF(AND($S25&lt;&gt;"",EDATE($D25,Milestones!$AA$64)&gt;=$S25),$V25,$U25)))=Milestones!$AB$64),UPPER(TEXT(EDATE($D25,Milestones!$AA$64),"dd mmm yy"))&amp;" "&amp;Milestones!$AB$64&amp;" "&amp;Milestones!$AC$64&amp;";  ","")&amp;IF(AND(EDATE($D25,Milestones!$AA$65)&lt;=AsOfDate,IF($R25=0,$X25,IF(AND($T25&lt;&gt;"",EDATE($D25,Milestones!$AA$65)&gt;=$T25),$W25,IF(AND($S25&lt;&gt;"",EDATE($D25,Milestones!$AA$65)&gt;=$S25),$V25,$U25)))=Milestones!$AB$65),UPPER(TEXT(EDATE($D25,Milestones!$AA$65),"dd mmm yy"))&amp;" "&amp;Milestones!$AB$65&amp;" "&amp;Milestones!$AC$65&amp;";  ","")&amp;IF(AND(EDATE($D25,Milestones!$AA$66)&lt;=AsOfDate,IF($R25=0,$X25,IF(AND($T25&lt;&gt;"",EDATE($D25,Milestones!$AA$66)&gt;=$T25),$W25,IF(AND($S25&lt;&gt;"",EDATE($D25,Milestones!$AA$66)&gt;=$S25),$V25,$U25)))=Milestones!$AB$66),UPPER(TEXT(EDATE($D25,Milestones!$AA$66),"dd mmm yy"))&amp;" "&amp;Milestones!$AB$66&amp;" "&amp;Milestones!$AC$66&amp;";  ","")&amp;IF(AND(EDATE($D25,Milestones!$AA$67)&lt;=AsOfDate,IF($R25=0,$X25,IF(AND($T25&lt;&gt;"",EDATE($D25,Milestones!$AA$67)&gt;=$T25),$W25,IF(AND($S25&lt;&gt;"",EDATE($D25,Milestones!$AA$67)&gt;=$S25),$V25,$U25)))=Milestones!$AB$67),UPPER(TEXT(EDATE($D25,Milestones!$AA$67),"dd mmm yy"))&amp;" "&amp;Milestones!$AB$67&amp;" "&amp;Milestones!$AC$67&amp;";  ","")&amp;IF(AND(EDATE($D25,Milestones!$AA$68)&lt;=AsOfDate,IF($R25=0,$X25,IF(AND($T25&lt;&gt;"",EDATE($D25,Milestones!$AA$68)&gt;=$T25),$W25,IF(AND($S25&lt;&gt;"",EDATE($D25,Milestones!$AA$68)&gt;=$S25),$V25,$U25)))=Milestones!$AB$68),UPPER(TEXT(EDATE($D25,Milestones!$AA$68),"dd mmm yy"))&amp;" "&amp;Milestones!$AB$68&amp;" "&amp;Milestones!$AC$68&amp;";  ","")&amp;IF(AND(EDATE($D25,Milestones!$AA$69)&lt;=AsOfDate,IF($R25=0,$X25,IF(AND($T25&lt;&gt;"",EDATE($D25,Milestones!$AA$69)&gt;=$T25),$W25,IF(AND($S25&lt;&gt;"",EDATE($D25,Milestones!$AA$69)&gt;=$S25),$V25,$U25)))=Milestones!$AB$69),UPPER(TEXT(EDATE($D25,Milestones!$AA$69),"dd mmm yy"))&amp;" "&amp;Milestones!$AB$69&amp;" "&amp;Milestones!$AC$69&amp;";  ","")&amp;IF(AND(EDATE($D25,Milestones!$AA$70)&lt;=AsOfDate,IF($R25=0,$X25,IF(AND($T25&lt;&gt;"",EDATE($D25,Milestones!$AA$70)&gt;=$T25),$W25,IF(AND($S25&lt;&gt;"",EDATE($D25,Milestones!$AA$70)&gt;=$S25),$V25,$U25)))=Milestones!$AB$70),UPPER(TEXT(EDATE($D25,Milestones!$AA$70),"dd mmm yy"))&amp;" "&amp;Milestones!$AB$70&amp;" "&amp;Milestones!$AC$70&amp;";  ","")&amp;IF(AND(EDATE($D25,Milestones!$AA$71)&lt;=AsOfDate,IF($R25=0,$X25,IF(AND($T25&lt;&gt;"",EDATE($D25,Milestones!$AA$71)&gt;=$T25),$W25,IF(AND($S25&lt;&gt;"",EDATE($D25,Milestones!$AA$71)&gt;=$S25),$V25,$U25)))=Milestones!$AB$71),UPPER(TEXT(EDATE($D25,Milestones!$AA$71),"dd mmm yy"))&amp;" "&amp;Milestones!$AB$71&amp;" "&amp;Milestones!$AC$71&amp;";  ","")&amp;IF(AND(EDATE($D25,Milestones!$AA$72)&lt;=AsOfDate,IF($R25=0,$X25,IF(AND($T25&lt;&gt;"",EDATE($D25,Milestones!$AA$72)&gt;=$T25),$W25,IF(AND($S25&lt;&gt;"",EDATE($D25,Milestones!$AA$72)&gt;=$S25),$V25,$U25)))=Milestones!$AB$72),UPPER(TEXT(EDATE($D25,Milestones!$AA$72),"dd mmm yy"))&amp;" "&amp;Milestones!$AB$72&amp;" "&amp;Milestones!$AC$72&amp;";  ","")&amp;IF(AND(EDATE($D25,Milestones!$AA$73)&lt;=AsOfDate,IF($R25=0,$X25,IF(AND($T25&lt;&gt;"",EDATE($D25,Milestones!$AA$73)&gt;=$T25),$W25,IF(AND($S25&lt;&gt;"",EDATE($D25,Milestones!$AA$73)&gt;=$S25),$V25,$U25)))=Milestones!$AB$73),UPPER(TEXT(EDATE($D25,Milestones!$AA$73),"dd mmm yy"))&amp;" "&amp;Milestones!$AB$73&amp;" "&amp;Milestones!$AC$73&amp;";  ","")&amp;IF(AND(EDATE($D25,Milestones!$AA$74)&lt;=AsOfDate,IF($R25=0,$X25,IF(AND($T25&lt;&gt;"",EDATE($D25,Milestones!$AA$74)&gt;=$T25),$W25,IF(AND($S25&lt;&gt;"",EDATE($D25,Milestones!$AA$74)&gt;=$S25),$V25,$U25)))=Milestones!$AB$74),UPPER(TEXT(EDATE($D25,Milestones!$AA$74),"dd mmm yy"))&amp;" "&amp;Milestones!$AB$74&amp;" "&amp;Milestones!$AC$74&amp;";  ","")&amp;IF(AND(EDATE($D25,Milestones!$AA$75)&lt;=AsOfDate,IF($R25=0,$X25,IF(AND($T25&lt;&gt;"",EDATE($D25,Milestones!$AA$75)&gt;=$T25),$W25,IF(AND($S25&lt;&gt;"",EDATE($D25,Milestones!$AA$75)&gt;=$S25),$V25,$U25)))=Milestones!$AB$75),UPPER(TEXT(EDATE($D25,Milestones!$AA$75),"dd mmm yy"))&amp;" "&amp;Milestones!$AB$75&amp;" "&amp;Milestones!$AC$75&amp;";  ","")&amp;IF(AND(EDATE($D25,Milestones!$AA$76)&lt;=AsOfDate,IF($R25=0,$X25,IF(AND($T25&lt;&gt;"",EDATE($D25,Milestones!$AA$76)&gt;=$T25),$W25,IF(AND($S25&lt;&gt;"",EDATE($D25,Milestones!$AA$76)&gt;=$S25),$V25,$U25)))=Milestones!$AB$76),UPPER(TEXT(EDATE($D25,Milestones!$AA$76),"dd mmm yy"))&amp;" "&amp;Milestones!$AB$76&amp;" "&amp;Milestones!$AC$76&amp;";  ","")&amp;IF(AND(EDATE($D25,Milestones!$AA$77)&lt;=AsOfDate,IF($R25=0,$X25,IF(AND($T25&lt;&gt;"",EDATE($D25,Milestones!$AA$77)&gt;=$T25),$W25,IF(AND($S25&lt;&gt;"",EDATE($D25,Milestones!$AA$77)&gt;=$S25),$V25,$U25)))=Milestones!$AB$77),UPPER(TEXT(EDATE($D25,Milestones!$AA$77),"dd mmm yy"))&amp;" "&amp;Milestones!$AB$77&amp;" "&amp;Milestones!$AC$77&amp;";  ","")&amp;IF(AND(EDATE($D25,Milestones!$AA$78)&lt;=AsOfDate,IF($R25=0,$X25,IF(AND($T25&lt;&gt;"",EDATE($D25,Milestones!$AA$78)&gt;=$T25),$W25,IF(AND($S25&lt;&gt;"",EDATE($D25,Milestones!$AA$78)&gt;=$S25),$V25,$U25)))=Milestones!$AB$78),UPPER(TEXT(EDATE($D25,Milestones!$AA$78),"dd mmm yy"))&amp;" "&amp;Milestones!$AB$78&amp;" "&amp;Milestones!$AC$78&amp;";  ","")&amp;IF(AND(EDATE($D25,Milestones!$AA$79)&lt;=AsOfDate,IF($R25=0,$X25,IF(AND($T25&lt;&gt;"",EDATE($D25,Milestones!$AA$79)&gt;=$T25),$W25,IF(AND($S25&lt;&gt;"",EDATE($D25,Milestones!$AA$79)&gt;=$S25),$V25,$U25)))=Milestones!$AB$79),UPPER(TEXT(EDATE($D25,Milestones!$AA$79),"dd mmm yy"))&amp;" "&amp;Milestones!$AB$79&amp;" "&amp;Milestones!$AC$79&amp;";  ",""))</f>
        <v/>
      </c>
      <c r="L25" s="0" t="str">
        <f aca="false">IF(OR($A25="",$D25=""),"",IF(AND(EDATE($D25,Milestones!$AA$80)&lt;=AsOfDate,IF($R25=0,$X25,IF(AND($T25&lt;&gt;"",EDATE($D25,Milestones!$AA$80)&gt;=$T25),$W25,IF(AND($S25&lt;&gt;"",EDATE($D25,Milestones!$AA$80)&gt;=$S25),$V25,$U25)))=Milestones!$AB$80),UPPER(TEXT(EDATE($D25,Milestones!$AA$80),"dd mmm yy"))&amp;" "&amp;Milestones!$AB$80&amp;" "&amp;Milestones!$AC$80&amp;";  ","")&amp;IF(AND(EDATE($D25,Milestones!$AA$81)&lt;=AsOfDate,IF($R25=0,$X25,IF(AND($T25&lt;&gt;"",EDATE($D25,Milestones!$AA$81)&gt;=$T25),$W25,IF(AND($S25&lt;&gt;"",EDATE($D25,Milestones!$AA$81)&gt;=$S25),$V25,$U25)))=Milestones!$AB$81),UPPER(TEXT(EDATE($D25,Milestones!$AA$81),"dd mmm yy"))&amp;" "&amp;Milestones!$AB$81&amp;" "&amp;Milestones!$AC$81&amp;";  ","")&amp;IF(AND(EDATE($D25,Milestones!$AA$82)&lt;=AsOfDate,IF($R25=0,$X25,IF(AND($T25&lt;&gt;"",EDATE($D25,Milestones!$AA$82)&gt;=$T25),$W25,IF(AND($S25&lt;&gt;"",EDATE($D25,Milestones!$AA$82)&gt;=$S25),$V25,$U25)))=Milestones!$AB$82),UPPER(TEXT(EDATE($D25,Milestones!$AA$82),"dd mmm yy"))&amp;" "&amp;Milestones!$AB$82&amp;" "&amp;Milestones!$AC$82&amp;";  ","")&amp;IF(AND(EDATE($D25,Milestones!$AA$83)&lt;=AsOfDate,IF($R25=0,$X25,IF(AND($T25&lt;&gt;"",EDATE($D25,Milestones!$AA$83)&gt;=$T25),$W25,IF(AND($S25&lt;&gt;"",EDATE($D25,Milestones!$AA$83)&gt;=$S25),$V25,$U25)))=Milestones!$AB$83),UPPER(TEXT(EDATE($D25,Milestones!$AA$83),"dd mmm yy"))&amp;" "&amp;Milestones!$AB$83&amp;" "&amp;Milestones!$AC$83&amp;";  ","")&amp;IF(AND(EDATE($D25,Milestones!$AA$84)&lt;=AsOfDate,IF($R25=0,$X25,IF(AND($T25&lt;&gt;"",EDATE($D25,Milestones!$AA$84)&gt;=$T25),$W25,IF(AND($S25&lt;&gt;"",EDATE($D25,Milestones!$AA$84)&gt;=$S25),$V25,$U25)))=Milestones!$AB$84),UPPER(TEXT(EDATE($D25,Milestones!$AA$84),"dd mmm yy"))&amp;" "&amp;Milestones!$AB$84&amp;" "&amp;Milestones!$AC$84&amp;";  ","")&amp;IF(AND(EDATE($D25,Milestones!$AA$85)&lt;=AsOfDate,IF($R25=0,$X25,IF(AND($T25&lt;&gt;"",EDATE($D25,Milestones!$AA$85)&gt;=$T25),$W25,IF(AND($S25&lt;&gt;"",EDATE($D25,Milestones!$AA$85)&gt;=$S25),$V25,$U25)))=Milestones!$AB$85),UPPER(TEXT(EDATE($D25,Milestones!$AA$85),"dd mmm yy"))&amp;" "&amp;Milestones!$AB$85&amp;" "&amp;Milestones!$AC$85&amp;";  ","")&amp;IF(AND(EDATE($D25,Milestones!$AA$86)&lt;=AsOfDate,IF($R25=0,$X25,IF(AND($T25&lt;&gt;"",EDATE($D25,Milestones!$AA$86)&gt;=$T25),$W25,IF(AND($S25&lt;&gt;"",EDATE($D25,Milestones!$AA$86)&gt;=$S25),$V25,$U25)))=Milestones!$AB$86),UPPER(TEXT(EDATE($D25,Milestones!$AA$86),"dd mmm yy"))&amp;" "&amp;Milestones!$AB$86&amp;" "&amp;Milestones!$AC$86&amp;";  ","")&amp;IF(AND(EDATE($D25,Milestones!$AA$87)&lt;=AsOfDate,IF($R25=0,$X25,IF(AND($T25&lt;&gt;"",EDATE($D25,Milestones!$AA$87)&gt;=$T25),$W25,IF(AND($S25&lt;&gt;"",EDATE($D25,Milestones!$AA$87)&gt;=$S25),$V25,$U25)))=Milestones!$AB$87),UPPER(TEXT(EDATE($D25,Milestones!$AA$87),"dd mmm yy"))&amp;" "&amp;Milestones!$AB$87&amp;" "&amp;Milestones!$AC$87&amp;";  ","")&amp;IF(AND(EDATE($D25,Milestones!$AA$88)&lt;=AsOfDate,IF($R25=0,$X25,IF(AND($T25&lt;&gt;"",EDATE($D25,Milestones!$AA$88)&gt;=$T25),$W25,IF(AND($S25&lt;&gt;"",EDATE($D25,Milestones!$AA$88)&gt;=$S25),$V25,$U25)))=Milestones!$AB$88),UPPER(TEXT(EDATE($D25,Milestones!$AA$88),"dd mmm yy"))&amp;" "&amp;Milestones!$AB$88&amp;" "&amp;Milestones!$AC$88&amp;";  ","")&amp;IF(AND(EDATE($D25,Milestones!$AA$89)&lt;=AsOfDate,IF($R25=0,$X25,IF(AND($T25&lt;&gt;"",EDATE($D25,Milestones!$AA$89)&gt;=$T25),$W25,IF(AND($S25&lt;&gt;"",EDATE($D25,Milestones!$AA$89)&gt;=$S25),$V25,$U25)))=Milestones!$AB$89),UPPER(TEXT(EDATE($D25,Milestones!$AA$89),"dd mmm yy"))&amp;" "&amp;Milestones!$AB$89&amp;" "&amp;Milestones!$AC$89&amp;";  ","")&amp;IF(AND(EDATE($D25,Milestones!$AA$90)&lt;=AsOfDate,IF($R25=0,$X25,IF(AND($T25&lt;&gt;"",EDATE($D25,Milestones!$AA$90)&gt;=$T25),$W25,IF(AND($S25&lt;&gt;"",EDATE($D25,Milestones!$AA$90)&gt;=$S25),$V25,$U25)))=Milestones!$AB$90),UPPER(TEXT(EDATE($D25,Milestones!$AA$90),"dd mmm yy"))&amp;" "&amp;Milestones!$AB$90&amp;" "&amp;Milestones!$AC$90&amp;";  ","")&amp;IF(AND(EDATE($D25,Milestones!$AA$91)&lt;=AsOfDate,IF($R25=0,$X25,IF(AND($T25&lt;&gt;"",EDATE($D25,Milestones!$AA$91)&gt;=$T25),$W25,IF(AND($S25&lt;&gt;"",EDATE($D25,Milestones!$AA$91)&gt;=$S25),$V25,$U25)))=Milestones!$AB$91),UPPER(TEXT(EDATE($D25,Milestones!$AA$91),"dd mmm yy"))&amp;" "&amp;Milestones!$AB$91&amp;" "&amp;Milestones!$AC$91&amp;";  ","")&amp;IF(AND(EDATE($D25,Milestones!$AA$92)&lt;=AsOfDate,IF($R25=0,$X25,IF(AND($T25&lt;&gt;"",EDATE($D25,Milestones!$AA$92)&gt;=$T25),$W25,IF(AND($S25&lt;&gt;"",EDATE($D25,Milestones!$AA$92)&gt;=$S25),$V25,$U25)))=Milestones!$AB$92),UPPER(TEXT(EDATE($D25,Milestones!$AA$92),"dd mmm yy"))&amp;" "&amp;Milestones!$AB$92&amp;" "&amp;Milestones!$AC$92&amp;";  ","")&amp;IF(AND(EDATE($D25,Milestones!$AA$93)&lt;=AsOfDate,IF($R25=0,$X25,IF(AND($T25&lt;&gt;"",EDATE($D25,Milestones!$AA$93)&gt;=$T25),$W25,IF(AND($S25&lt;&gt;"",EDATE($D25,Milestones!$AA$93)&gt;=$S25),$V25,$U25)))=Milestones!$AB$93),UPPER(TEXT(EDATE($D25,Milestones!$AA$93),"dd mmm yy"))&amp;" "&amp;Milestones!$AB$93&amp;" "&amp;Milestones!$AC$93&amp;";  ","")&amp;IF(AND(EDATE($D25,Milestones!$AA$94)&lt;=AsOfDate,IF($R25=0,$X25,IF(AND($T25&lt;&gt;"",EDATE($D25,Milestones!$AA$94)&gt;=$T25),$W25,IF(AND($S25&lt;&gt;"",EDATE($D25,Milestones!$AA$94)&gt;=$S25),$V25,$U25)))=Milestones!$AB$94),UPPER(TEXT(EDATE($D25,Milestones!$AA$94),"dd mmm yy"))&amp;" "&amp;Milestones!$AB$94&amp;" "&amp;Milestones!$AC$94&amp;";  ","")&amp;IF(AND(EDATE($D25,Milestones!$AA$95)&lt;=AsOfDate,IF($R25=0,$X25,IF(AND($T25&lt;&gt;"",EDATE($D25,Milestones!$AA$95)&gt;=$T25),$W25,IF(AND($S25&lt;&gt;"",EDATE($D25,Milestones!$AA$95)&gt;=$S25),$V25,$U25)))=Milestones!$AB$95),UPPER(TEXT(EDATE($D25,Milestones!$AA$95),"dd mmm yy"))&amp;" "&amp;Milestones!$AB$95&amp;" "&amp;Milestones!$AC$95&amp;";  ","")&amp;IF(AND(EDATE($D25,Milestones!$AA$96)&lt;=AsOfDate,IF($R25=0,$X25,IF(AND($T25&lt;&gt;"",EDATE($D25,Milestones!$AA$96)&gt;=$T25),$W25,IF(AND($S25&lt;&gt;"",EDATE($D25,Milestones!$AA$96)&gt;=$S25),$V25,$U25)))=Milestones!$AB$96),UPPER(TEXT(EDATE($D25,Milestones!$AA$96),"dd mmm yy"))&amp;" "&amp;Milestones!$AB$96&amp;" "&amp;Milestones!$AC$96&amp;";  ","")&amp;IF(AND(EDATE($D25,Milestones!$AA$97)&lt;=AsOfDate,IF($R25=0,$X25,IF(AND($T25&lt;&gt;"",EDATE($D25,Milestones!$AA$97)&gt;=$T25),$W25,IF(AND($S25&lt;&gt;"",EDATE($D25,Milestones!$AA$97)&gt;=$S25),$V25,$U25)))=Milestones!$AB$97),UPPER(TEXT(EDATE($D25,Milestones!$AA$97),"dd mmm yy"))&amp;" "&amp;Milestones!$AB$97&amp;" "&amp;Milestones!$AC$97&amp;";  ","")&amp;IF(AND(EDATE($D25,Milestones!$AA$98)&lt;=AsOfDate,IF($R25=0,$X25,IF(AND($T25&lt;&gt;"",EDATE($D25,Milestones!$AA$98)&gt;=$T25),$W25,IF(AND($S25&lt;&gt;"",EDATE($D25,Milestones!$AA$98)&gt;=$S25),$V25,$U25)))=Milestones!$AB$98),UPPER(TEXT(EDATE($D25,Milestones!$AA$98),"dd mmm yy"))&amp;" "&amp;Milestones!$AB$98&amp;" "&amp;Milestones!$AC$98&amp;";  ","")&amp;IF(AND(EDATE($D25,Milestones!$AA$99)&lt;=AsOfDate,IF($R25=0,$X25,IF(AND($T25&lt;&gt;"",EDATE($D25,Milestones!$AA$99)&gt;=$T25),$W25,IF(AND($S25&lt;&gt;"",EDATE($D25,Milestones!$AA$99)&gt;=$S25),$V25,$U25)))=Milestones!$AB$99),UPPER(TEXT(EDATE($D25,Milestones!$AA$99),"dd mmm yy"))&amp;" "&amp;Milestones!$AB$99&amp;" "&amp;Milestones!$AC$99&amp;";  ",""))</f>
        <v/>
      </c>
      <c r="M25" s="0" t="str">
        <f aca="false">IF(OR($A25="",$D25=""),"",IF(AND(EDATE($D25,Milestones!$AA$100)&lt;=AsOfDate,IF($R25=0,$X25,IF(AND($T25&lt;&gt;"",EDATE($D25,Milestones!$AA$100)&gt;=$T25),$W25,IF(AND($S25&lt;&gt;"",EDATE($D25,Milestones!$AA$100)&gt;=$S25),$V25,$U25)))=Milestones!$AB$100),UPPER(TEXT(EDATE($D25,Milestones!$AA$100),"dd mmm yy"))&amp;" "&amp;Milestones!$AB$100&amp;" "&amp;Milestones!$AC$100&amp;";  ","")&amp;IF(AND(EDATE($D25,Milestones!$AA$101)&lt;=AsOfDate,IF($R25=0,$X25,IF(AND($T25&lt;&gt;"",EDATE($D25,Milestones!$AA$101)&gt;=$T25),$W25,IF(AND($S25&lt;&gt;"",EDATE($D25,Milestones!$AA$101)&gt;=$S25),$V25,$U25)))=Milestones!$AB$101),UPPER(TEXT(EDATE($D25,Milestones!$AA$101),"dd mmm yy"))&amp;" "&amp;Milestones!$AB$101&amp;" "&amp;Milestones!$AC$101&amp;";  ","")&amp;IF(AND(EDATE($D25,Milestones!$AA$102)&lt;=AsOfDate,IF($R25=0,$X25,IF(AND($T25&lt;&gt;"",EDATE($D25,Milestones!$AA$102)&gt;=$T25),$W25,IF(AND($S25&lt;&gt;"",EDATE($D25,Milestones!$AA$102)&gt;=$S25),$V25,$U25)))=Milestones!$AB$102),UPPER(TEXT(EDATE($D25,Milestones!$AA$102),"dd mmm yy"))&amp;" "&amp;Milestones!$AB$102&amp;" "&amp;Milestones!$AC$102&amp;";  ","")&amp;IF(AND(EDATE($D25,Milestones!$AA$103)&lt;=AsOfDate,IF($R25=0,$X25,IF(AND($T25&lt;&gt;"",EDATE($D25,Milestones!$AA$103)&gt;=$T25),$W25,IF(AND($S25&lt;&gt;"",EDATE($D25,Milestones!$AA$103)&gt;=$S25),$V25,$U25)))=Milestones!$AB$103),UPPER(TEXT(EDATE($D25,Milestones!$AA$103),"dd mmm yy"))&amp;" "&amp;Milestones!$AB$103&amp;" "&amp;Milestones!$AC$103&amp;";  ","")&amp;IF(AND(EDATE($D25,Milestones!$AA$104)&lt;=AsOfDate,IF($R25=0,$X25,IF(AND($T25&lt;&gt;"",EDATE($D25,Milestones!$AA$104)&gt;=$T25),$W25,IF(AND($S25&lt;&gt;"",EDATE($D25,Milestones!$AA$104)&gt;=$S25),$V25,$U25)))=Milestones!$AB$104),UPPER(TEXT(EDATE($D25,Milestones!$AA$104),"dd mmm yy"))&amp;" "&amp;Milestones!$AB$104&amp;" "&amp;Milestones!$AC$104&amp;";  ","")&amp;IF(AND(EDATE($D25,Milestones!$AA$105)&lt;=AsOfDate,IF($R25=0,$X25,IF(AND($T25&lt;&gt;"",EDATE($D25,Milestones!$AA$105)&gt;=$T25),$W25,IF(AND($S25&lt;&gt;"",EDATE($D25,Milestones!$AA$105)&gt;=$S25),$V25,$U25)))=Milestones!$AB$105),UPPER(TEXT(EDATE($D25,Milestones!$AA$105),"dd mmm yy"))&amp;" "&amp;Milestones!$AB$105&amp;" "&amp;Milestones!$AC$105&amp;";  ","")&amp;IF(AND(EDATE($D25,Milestones!$AA$106)&lt;=AsOfDate,IF($R25=0,$X25,IF(AND($T25&lt;&gt;"",EDATE($D25,Milestones!$AA$106)&gt;=$T25),$W25,IF(AND($S25&lt;&gt;"",EDATE($D25,Milestones!$AA$106)&gt;=$S25),$V25,$U25)))=Milestones!$AB$106),UPPER(TEXT(EDATE($D25,Milestones!$AA$106),"dd mmm yy"))&amp;" "&amp;Milestones!$AB$106&amp;" "&amp;Milestones!$AC$106&amp;";  ","")&amp;IF(AND(EDATE($D25,Milestones!$AA$107)&lt;=AsOfDate,IF($R25=0,$X25,IF(AND($T25&lt;&gt;"",EDATE($D25,Milestones!$AA$107)&gt;=$T25),$W25,IF(AND($S25&lt;&gt;"",EDATE($D25,Milestones!$AA$107)&gt;=$S25),$V25,$U25)))=Milestones!$AB$107),UPPER(TEXT(EDATE($D25,Milestones!$AA$107),"dd mmm yy"))&amp;" "&amp;Milestones!$AB$107&amp;" "&amp;Milestones!$AC$107&amp;";  ","")&amp;IF(AND(EDATE($D25,Milestones!$AA$108)&lt;=AsOfDate,IF($R25=0,$X25,IF(AND($T25&lt;&gt;"",EDATE($D25,Milestones!$AA$108)&gt;=$T25),$W25,IF(AND($S25&lt;&gt;"",EDATE($D25,Milestones!$AA$108)&gt;=$S25),$V25,$U25)))=Milestones!$AB$108),UPPER(TEXT(EDATE($D25,Milestones!$AA$108),"dd mmm yy"))&amp;" "&amp;Milestones!$AB$108&amp;" "&amp;Milestones!$AC$108&amp;";  ","")&amp;IF(AND(EDATE($D25,Milestones!$AA$109)&lt;=AsOfDate,IF($R25=0,$X25,IF(AND($T25&lt;&gt;"",EDATE($D25,Milestones!$AA$109)&gt;=$T25),$W25,IF(AND($S25&lt;&gt;"",EDATE($D25,Milestones!$AA$109)&gt;=$S25),$V25,$U25)))=Milestones!$AB$109),UPPER(TEXT(EDATE($D25,Milestones!$AA$109),"dd mmm yy"))&amp;" "&amp;Milestones!$AB$109&amp;" "&amp;Milestones!$AC$109&amp;";  ","")&amp;IF(AND(EDATE($D25,Milestones!$AA$110)&lt;=AsOfDate,IF($R25=0,$X25,IF(AND($T25&lt;&gt;"",EDATE($D25,Milestones!$AA$110)&gt;=$T25),$W25,IF(AND($S25&lt;&gt;"",EDATE($D25,Milestones!$AA$110)&gt;=$S25),$V25,$U25)))=Milestones!$AB$110),UPPER(TEXT(EDATE($D25,Milestones!$AA$110),"dd mmm yy"))&amp;" "&amp;Milestones!$AB$110&amp;" "&amp;Milestones!$AC$110&amp;";  ","")&amp;IF(AND(EDATE($D25,Milestones!$AA$111)&lt;=AsOfDate,IF($R25=0,$X25,IF(AND($T25&lt;&gt;"",EDATE($D25,Milestones!$AA$111)&gt;=$T25),$W25,IF(AND($S25&lt;&gt;"",EDATE($D25,Milestones!$AA$111)&gt;=$S25),$V25,$U25)))=Milestones!$AB$111),UPPER(TEXT(EDATE($D25,Milestones!$AA$111),"dd mmm yy"))&amp;" "&amp;Milestones!$AB$111&amp;" "&amp;Milestones!$AC$111&amp;";  ","")&amp;IF(AND(EDATE($D25,Milestones!$AA$112)&lt;=AsOfDate,IF($R25=0,$X25,IF(AND($T25&lt;&gt;"",EDATE($D25,Milestones!$AA$112)&gt;=$T25),$W25,IF(AND($S25&lt;&gt;"",EDATE($D25,Milestones!$AA$112)&gt;=$S25),$V25,$U25)))=Milestones!$AB$112),UPPER(TEXT(EDATE($D25,Milestones!$AA$112),"dd mmm yy"))&amp;" "&amp;Milestones!$AB$112&amp;" "&amp;Milestones!$AC$112&amp;";  ","")&amp;IF(AND(EDATE($D25,Milestones!$AA$113)&lt;=AsOfDate,IF($R25=0,$X25,IF(AND($T25&lt;&gt;"",EDATE($D25,Milestones!$AA$113)&gt;=$T25),$W25,IF(AND($S25&lt;&gt;"",EDATE($D25,Milestones!$AA$113)&gt;=$S25),$V25,$U25)))=Milestones!$AB$113),UPPER(TEXT(EDATE($D25,Milestones!$AA$113),"dd mmm yy"))&amp;" "&amp;Milestones!$AB$113&amp;" "&amp;Milestones!$AC$113&amp;";  ","")&amp;IF(AND(EDATE($D25,Milestones!$AA$114)&lt;=AsOfDate,IF($R25=0,$X25,IF(AND($T25&lt;&gt;"",EDATE($D25,Milestones!$AA$114)&gt;=$T25),$W25,IF(AND($S25&lt;&gt;"",EDATE($D25,Milestones!$AA$114)&gt;=$S25),$V25,$U25)))=Milestones!$AB$114),UPPER(TEXT(EDATE($D25,Milestones!$AA$114),"dd mmm yy"))&amp;" "&amp;Milestones!$AB$114&amp;" "&amp;Milestones!$AC$114&amp;";  ","")&amp;IF(AND(EDATE($D25,Milestones!$AA$115)&lt;=AsOfDate,IF($R25=0,$X25,IF(AND($T25&lt;&gt;"",EDATE($D25,Milestones!$AA$115)&gt;=$T25),$W25,IF(AND($S25&lt;&gt;"",EDATE($D25,Milestones!$AA$115)&gt;=$S25),$V25,$U25)))=Milestones!$AB$115),UPPER(TEXT(EDATE($D25,Milestones!$AA$115),"dd mmm yy"))&amp;" "&amp;Milestones!$AB$115&amp;" "&amp;Milestones!$AC$115&amp;";  ","")&amp;IF(AND(EDATE($D25,Milestones!$AA$116)&lt;=AsOfDate,IF($R25=0,$X25,IF(AND($T25&lt;&gt;"",EDATE($D25,Milestones!$AA$116)&gt;=$T25),$W25,IF(AND($S25&lt;&gt;"",EDATE($D25,Milestones!$AA$116)&gt;=$S25),$V25,$U25)))=Milestones!$AB$116),UPPER(TEXT(EDATE($D25,Milestones!$AA$116),"dd mmm yy"))&amp;" "&amp;Milestones!$AB$116&amp;" "&amp;Milestones!$AC$116&amp;";  ","")&amp;IF(AND(EDATE($D25,Milestones!$AA$117)&lt;=AsOfDate,IF($R25=0,$X25,IF(AND($T25&lt;&gt;"",EDATE($D25,Milestones!$AA$117)&gt;=$T25),$W25,IF(AND($S25&lt;&gt;"",EDATE($D25,Milestones!$AA$117)&gt;=$S25),$V25,$U25)))=Milestones!$AB$117),UPPER(TEXT(EDATE($D25,Milestones!$AA$117),"dd mmm yy"))&amp;" "&amp;Milestones!$AB$117&amp;" "&amp;Milestones!$AC$117&amp;";  ","")&amp;IF(AND(EDATE($D25,Milestones!$AA$118)&lt;=AsOfDate,IF($R25=0,$X25,IF(AND($T25&lt;&gt;"",EDATE($D25,Milestones!$AA$118)&gt;=$T25),$W25,IF(AND($S25&lt;&gt;"",EDATE($D25,Milestones!$AA$118)&gt;=$S25),$V25,$U25)))=Milestones!$AB$118),UPPER(TEXT(EDATE($D25,Milestones!$AA$118),"dd mmm yy"))&amp;" "&amp;Milestones!$AB$118&amp;" "&amp;Milestones!$AC$118&amp;";  ","")&amp;IF(AND(EDATE($D25,Milestones!$AA$119)&lt;=AsOfDate,IF($R25=0,$X25,IF(AND($T25&lt;&gt;"",EDATE($D25,Milestones!$AA$119)&gt;=$T25),$W25,IF(AND($S25&lt;&gt;"",EDATE($D25,Milestones!$AA$119)&gt;=$S25),$V25,$U25)))=Milestones!$AB$119),UPPER(TEXT(EDATE($D25,Milestones!$AA$119),"dd mmm yy"))&amp;" "&amp;Milestones!$AB$119&amp;" "&amp;Milestones!$AC$119&amp;";  ",""))</f>
        <v/>
      </c>
      <c r="N25" s="0" t="str">
        <f aca="false">IF(OR($A25="",$D25=""),"",IF(AND(EDATE($D25,Milestones!$AA$120)&lt;=AsOfDate,IF($R25=0,$X25,IF(AND($T25&lt;&gt;"",EDATE($D25,Milestones!$AA$120)&gt;=$T25),$W25,IF(AND($S25&lt;&gt;"",EDATE($D25,Milestones!$AA$120)&gt;=$S25),$V25,$U25)))=Milestones!$AB$120),UPPER(TEXT(EDATE($D25,Milestones!$AA$120),"dd mmm yy"))&amp;" "&amp;Milestones!$AB$120&amp;" "&amp;Milestones!$AC$120&amp;";  ","")&amp;IF(AND(EDATE($D25,Milestones!$AA$121)&lt;=AsOfDate,IF($R25=0,$X25,IF(AND($T25&lt;&gt;"",EDATE($D25,Milestones!$AA$121)&gt;=$T25),$W25,IF(AND($S25&lt;&gt;"",EDATE($D25,Milestones!$AA$121)&gt;=$S25),$V25,$U25)))=Milestones!$AB$121),UPPER(TEXT(EDATE($D25,Milestones!$AA$121),"dd mmm yy"))&amp;" "&amp;Milestones!$AB$121&amp;" "&amp;Milestones!$AC$121&amp;";  ","")&amp;IF(AND(EDATE($D25,Milestones!$AA$122)&lt;=AsOfDate,IF($R25=0,$X25,IF(AND($T25&lt;&gt;"",EDATE($D25,Milestones!$AA$122)&gt;=$T25),$W25,IF(AND($S25&lt;&gt;"",EDATE($D25,Milestones!$AA$122)&gt;=$S25),$V25,$U25)))=Milestones!$AB$122),UPPER(TEXT(EDATE($D25,Milestones!$AA$122),"dd mmm yy"))&amp;" "&amp;Milestones!$AB$122&amp;" "&amp;Milestones!$AC$122&amp;";  ","")&amp;IF(AND(EDATE($D25,Milestones!$AA$123)&lt;=AsOfDate,IF($R25=0,$X25,IF(AND($T25&lt;&gt;"",EDATE($D25,Milestones!$AA$123)&gt;=$T25),$W25,IF(AND($S25&lt;&gt;"",EDATE($D25,Milestones!$AA$123)&gt;=$S25),$V25,$U25)))=Milestones!$AB$123),UPPER(TEXT(EDATE($D25,Milestones!$AA$123),"dd mmm yy"))&amp;" "&amp;Milestones!$AB$123&amp;" "&amp;Milestones!$AC$123&amp;";  ","")&amp;IF(AND(EDATE($D25,Milestones!$AA$124)&lt;=AsOfDate,IF($R25=0,$X25,IF(AND($T25&lt;&gt;"",EDATE($D25,Milestones!$AA$124)&gt;=$T25),$W25,IF(AND($S25&lt;&gt;"",EDATE($D25,Milestones!$AA$124)&gt;=$S25),$V25,$U25)))=Milestones!$AB$124),UPPER(TEXT(EDATE($D25,Milestones!$AA$124),"dd mmm yy"))&amp;" "&amp;Milestones!$AB$124&amp;" "&amp;Milestones!$AC$124&amp;";  ","")&amp;IF(AND(EDATE($D25,Milestones!$AA$125)&lt;=AsOfDate,IF($R25=0,$X25,IF(AND($T25&lt;&gt;"",EDATE($D25,Milestones!$AA$125)&gt;=$T25),$W25,IF(AND($S25&lt;&gt;"",EDATE($D25,Milestones!$AA$125)&gt;=$S25),$V25,$U25)))=Milestones!$AB$125),UPPER(TEXT(EDATE($D25,Milestones!$AA$125),"dd mmm yy"))&amp;" "&amp;Milestones!$AB$125&amp;" "&amp;Milestones!$AC$125&amp;";  ","")&amp;IF(AND(EDATE($D25,Milestones!$AA$126)&lt;=AsOfDate,IF($R25=0,$X25,IF(AND($T25&lt;&gt;"",EDATE($D25,Milestones!$AA$126)&gt;=$T25),$W25,IF(AND($S25&lt;&gt;"",EDATE($D25,Milestones!$AA$126)&gt;=$S25),$V25,$U25)))=Milestones!$AB$126),UPPER(TEXT(EDATE($D25,Milestones!$AA$126),"dd mmm yy"))&amp;" "&amp;Milestones!$AB$126&amp;" "&amp;Milestones!$AC$126&amp;";  ","")&amp;IF(AND(EDATE($D25,Milestones!$AA$127)&lt;=AsOfDate,IF($R25=0,$X25,IF(AND($T25&lt;&gt;"",EDATE($D25,Milestones!$AA$127)&gt;=$T25),$W25,IF(AND($S25&lt;&gt;"",EDATE($D25,Milestones!$AA$127)&gt;=$S25),$V25,$U25)))=Milestones!$AB$127),UPPER(TEXT(EDATE($D25,Milestones!$AA$127),"dd mmm yy"))&amp;" "&amp;Milestones!$AB$127&amp;" "&amp;Milestones!$AC$127&amp;";  ","")&amp;IF(AND(EDATE($D25,Milestones!$AA$128)&lt;=AsOfDate,IF($R25=0,$X25,IF(AND($T25&lt;&gt;"",EDATE($D25,Milestones!$AA$128)&gt;=$T25),$W25,IF(AND($S25&lt;&gt;"",EDATE($D25,Milestones!$AA$128)&gt;=$S25),$V25,$U25)))=Milestones!$AB$128),UPPER(TEXT(EDATE($D25,Milestones!$AA$128),"dd mmm yy"))&amp;" "&amp;Milestones!$AB$128&amp;" "&amp;Milestones!$AC$128&amp;";  ","")&amp;IF(AND(EDATE($D25,Milestones!$AA$129)&lt;=AsOfDate,IF($R25=0,$X25,IF(AND($T25&lt;&gt;"",EDATE($D25,Milestones!$AA$129)&gt;=$T25),$W25,IF(AND($S25&lt;&gt;"",EDATE($D25,Milestones!$AA$129)&gt;=$S25),$V25,$U25)))=Milestones!$AB$129),UPPER(TEXT(EDATE($D25,Milestones!$AA$129),"dd mmm yy"))&amp;" "&amp;Milestones!$AB$129&amp;" "&amp;Milestones!$AC$129&amp;";  ","")&amp;IF(AND(EDATE($D25,Milestones!$AA$130)&lt;=AsOfDate,IF($R25=0,$X25,IF(AND($T25&lt;&gt;"",EDATE($D25,Milestones!$AA$130)&gt;=$T25),$W25,IF(AND($S25&lt;&gt;"",EDATE($D25,Milestones!$AA$130)&gt;=$S25),$V25,$U25)))=Milestones!$AB$130),UPPER(TEXT(EDATE($D25,Milestones!$AA$130),"dd mmm yy"))&amp;" "&amp;Milestones!$AB$130&amp;" "&amp;Milestones!$AC$130&amp;";  ","")&amp;IF(AND(EDATE($D25,Milestones!$AA$131)&lt;=AsOfDate,IF($R25=0,$X25,IF(AND($T25&lt;&gt;"",EDATE($D25,Milestones!$AA$131)&gt;=$T25),$W25,IF(AND($S25&lt;&gt;"",EDATE($D25,Milestones!$AA$131)&gt;=$S25),$V25,$U25)))=Milestones!$AB$131),UPPER(TEXT(EDATE($D25,Milestones!$AA$131),"dd mmm yy"))&amp;" "&amp;Milestones!$AB$131&amp;" "&amp;Milestones!$AC$131&amp;";  ","")&amp;IF(AND(EDATE($D25,Milestones!$AA$132)&lt;=AsOfDate,IF($R25=0,$X25,IF(AND($T25&lt;&gt;"",EDATE($D25,Milestones!$AA$132)&gt;=$T25),$W25,IF(AND($S25&lt;&gt;"",EDATE($D25,Milestones!$AA$132)&gt;=$S25),$V25,$U25)))=Milestones!$AB$132),UPPER(TEXT(EDATE($D25,Milestones!$AA$132),"dd mmm yy"))&amp;" "&amp;Milestones!$AB$132&amp;" "&amp;Milestones!$AC$132&amp;";  ","")&amp;IF(AND(EDATE($D25,Milestones!$AA$133)&lt;=AsOfDate,IF($R25=0,$X25,IF(AND($T25&lt;&gt;"",EDATE($D25,Milestones!$AA$133)&gt;=$T25),$W25,IF(AND($S25&lt;&gt;"",EDATE($D25,Milestones!$AA$133)&gt;=$S25),$V25,$U25)))=Milestones!$AB$133),UPPER(TEXT(EDATE($D25,Milestones!$AA$133),"dd mmm yy"))&amp;" "&amp;Milestones!$AB$133&amp;" "&amp;Milestones!$AC$133&amp;";  ","")&amp;IF(AND(EDATE($D25,Milestones!$AA$134)&lt;=AsOfDate,IF($R25=0,$X25,IF(AND($T25&lt;&gt;"",EDATE($D25,Milestones!$AA$134)&gt;=$T25),$W25,IF(AND($S25&lt;&gt;"",EDATE($D25,Milestones!$AA$134)&gt;=$S25),$V25,$U25)))=Milestones!$AB$134),UPPER(TEXT(EDATE($D25,Milestones!$AA$134),"dd mmm yy"))&amp;" "&amp;Milestones!$AB$134&amp;" "&amp;Milestones!$AC$134&amp;";  ","")&amp;IF(AND(EDATE($D25,Milestones!$AA$135)&lt;=AsOfDate,IF($R25=0,$X25,IF(AND($T25&lt;&gt;"",EDATE($D25,Milestones!$AA$135)&gt;=$T25),$W25,IF(AND($S25&lt;&gt;"",EDATE($D25,Milestones!$AA$135)&gt;=$S25),$V25,$U25)))=Milestones!$AB$135),UPPER(TEXT(EDATE($D25,Milestones!$AA$135),"dd mmm yy"))&amp;" "&amp;Milestones!$AB$135&amp;" "&amp;Milestones!$AC$135&amp;";  ","")&amp;IF(AND(EDATE($D25,Milestones!$AA$136)&lt;=AsOfDate,IF($R25=0,$X25,IF(AND($T25&lt;&gt;"",EDATE($D25,Milestones!$AA$136)&gt;=$T25),$W25,IF(AND($S25&lt;&gt;"",EDATE($D25,Milestones!$AA$136)&gt;=$S25),$V25,$U25)))=Milestones!$AB$136),UPPER(TEXT(EDATE($D25,Milestones!$AA$136),"dd mmm yy"))&amp;" "&amp;Milestones!$AB$136&amp;" "&amp;Milestones!$AC$136&amp;";  ","")&amp;IF(AND(EDATE($D25,Milestones!$AA$137)&lt;=AsOfDate,IF($R25=0,$X25,IF(AND($T25&lt;&gt;"",EDATE($D25,Milestones!$AA$137)&gt;=$T25),$W25,IF(AND($S25&lt;&gt;"",EDATE($D25,Milestones!$AA$137)&gt;=$S25),$V25,$U25)))=Milestones!$AB$137),UPPER(TEXT(EDATE($D25,Milestones!$AA$137),"dd mmm yy"))&amp;" "&amp;Milestones!$AB$137&amp;" "&amp;Milestones!$AC$137&amp;";  ","")&amp;IF(AND(EDATE($D25,Milestones!$AA$138)&lt;=AsOfDate,IF($R25=0,$X25,IF(AND($T25&lt;&gt;"",EDATE($D25,Milestones!$AA$138)&gt;=$T25),$W25,IF(AND($S25&lt;&gt;"",EDATE($D25,Milestones!$AA$138)&gt;=$S25),$V25,$U25)))=Milestones!$AB$138),UPPER(TEXT(EDATE($D25,Milestones!$AA$138),"dd mmm yy"))&amp;" "&amp;Milestones!$AB$138&amp;" "&amp;Milestones!$AC$138&amp;";  ","")&amp;IF(AND(EDATE($D25,Milestones!$AA$139)&lt;=AsOfDate,IF($R25=0,$X25,IF(AND($T25&lt;&gt;"",EDATE($D25,Milestones!$AA$139)&gt;=$T25),$W25,IF(AND($S25&lt;&gt;"",EDATE($D25,Milestones!$AA$139)&gt;=$S25),$V25,$U25)))=Milestones!$AB$139),UPPER(TEXT(EDATE($D25,Milestones!$AA$139),"dd mmm yy"))&amp;" "&amp;Milestones!$AB$139&amp;" "&amp;Milestones!$AC$139&amp;";  ",""))</f>
        <v/>
      </c>
      <c r="O25" s="0" t="str">
        <f aca="false">IF(OR($A25="",$D25=""),"",IF(AND(EDATE($D25,Milestones!$AA$140)&lt;=AsOfDate,IF($R25=0,$X25,IF(AND($T25&lt;&gt;"",EDATE($D25,Milestones!$AA$140)&gt;=$T25),$W25,IF(AND($S25&lt;&gt;"",EDATE($D25,Milestones!$AA$140)&gt;=$S25),$V25,$U25)))=Milestones!$AB$140),UPPER(TEXT(EDATE($D25,Milestones!$AA$140),"dd mmm yy"))&amp;" "&amp;Milestones!$AB$140&amp;" "&amp;Milestones!$AC$140&amp;";  ","")&amp;IF(AND(EDATE($D25,Milestones!$AA$141)&lt;=AsOfDate,IF($R25=0,$X25,IF(AND($T25&lt;&gt;"",EDATE($D25,Milestones!$AA$141)&gt;=$T25),$W25,IF(AND($S25&lt;&gt;"",EDATE($D25,Milestones!$AA$141)&gt;=$S25),$V25,$U25)))=Milestones!$AB$141),UPPER(TEXT(EDATE($D25,Milestones!$AA$141),"dd mmm yy"))&amp;" "&amp;Milestones!$AB$141&amp;" "&amp;Milestones!$AC$141&amp;";  ","")&amp;IF(AND(EDATE($D25,Milestones!$AA$142)&lt;=AsOfDate,IF($R25=0,$X25,IF(AND($T25&lt;&gt;"",EDATE($D25,Milestones!$AA$142)&gt;=$T25),$W25,IF(AND($S25&lt;&gt;"",EDATE($D25,Milestones!$AA$142)&gt;=$S25),$V25,$U25)))=Milestones!$AB$142),UPPER(TEXT(EDATE($D25,Milestones!$AA$142),"dd mmm yy"))&amp;" "&amp;Milestones!$AB$142&amp;" "&amp;Milestones!$AC$142&amp;";  ","")&amp;IF(AND(EDATE($D25,Milestones!$AA$143)&lt;=AsOfDate,IF($R25=0,$X25,IF(AND($T25&lt;&gt;"",EDATE($D25,Milestones!$AA$143)&gt;=$T25),$W25,IF(AND($S25&lt;&gt;"",EDATE($D25,Milestones!$AA$143)&gt;=$S25),$V25,$U25)))=Milestones!$AB$143),UPPER(TEXT(EDATE($D25,Milestones!$AA$143),"dd mmm yy"))&amp;" "&amp;Milestones!$AB$143&amp;" "&amp;Milestones!$AC$143&amp;";  ","")&amp;IF(AND(EDATE($D25,Milestones!$AA$144)&lt;=AsOfDate,IF($R25=0,$X25,IF(AND($T25&lt;&gt;"",EDATE($D25,Milestones!$AA$144)&gt;=$T25),$W25,IF(AND($S25&lt;&gt;"",EDATE($D25,Milestones!$AA$144)&gt;=$S25),$V25,$U25)))=Milestones!$AB$144),UPPER(TEXT(EDATE($D25,Milestones!$AA$144),"dd mmm yy"))&amp;" "&amp;Milestones!$AB$144&amp;" "&amp;Milestones!$AC$144&amp;";  ","")&amp;IF(AND(EDATE($D25,Milestones!$AA$145)&lt;=AsOfDate,IF($R25=0,$X25,IF(AND($T25&lt;&gt;"",EDATE($D25,Milestones!$AA$145)&gt;=$T25),$W25,IF(AND($S25&lt;&gt;"",EDATE($D25,Milestones!$AA$145)&gt;=$S25),$V25,$U25)))=Milestones!$AB$145),UPPER(TEXT(EDATE($D25,Milestones!$AA$145),"dd mmm yy"))&amp;" "&amp;Milestones!$AB$145&amp;" "&amp;Milestones!$AC$145&amp;";  ","")&amp;IF(AND(EDATE($D25,Milestones!$AA$146)&lt;=AsOfDate,IF($R25=0,$X25,IF(AND($T25&lt;&gt;"",EDATE($D25,Milestones!$AA$146)&gt;=$T25),$W25,IF(AND($S25&lt;&gt;"",EDATE($D25,Milestones!$AA$146)&gt;=$S25),$V25,$U25)))=Milestones!$AB$146),UPPER(TEXT(EDATE($D25,Milestones!$AA$146),"dd mmm yy"))&amp;" "&amp;Milestones!$AB$146&amp;" "&amp;Milestones!$AC$146&amp;";  ","")&amp;IF(AND(EDATE($D25,Milestones!$AA$147)&lt;=AsOfDate,IF($R25=0,$X25,IF(AND($T25&lt;&gt;"",EDATE($D25,Milestones!$AA$147)&gt;=$T25),$W25,IF(AND($S25&lt;&gt;"",EDATE($D25,Milestones!$AA$147)&gt;=$S25),$V25,$U25)))=Milestones!$AB$147),UPPER(TEXT(EDATE($D25,Milestones!$AA$147),"dd mmm yy"))&amp;" "&amp;Milestones!$AB$147&amp;" "&amp;Milestones!$AC$147&amp;";  ","")&amp;IF(AND(EDATE($D25,Milestones!$AA$148)&lt;=AsOfDate,IF($R25=0,$X25,IF(AND($T25&lt;&gt;"",EDATE($D25,Milestones!$AA$148)&gt;=$T25),$W25,IF(AND($S25&lt;&gt;"",EDATE($D25,Milestones!$AA$148)&gt;=$S25),$V25,$U25)))=Milestones!$AB$148),UPPER(TEXT(EDATE($D25,Milestones!$AA$148),"dd mmm yy"))&amp;" "&amp;Milestones!$AB$148&amp;" "&amp;Milestones!$AC$148&amp;";  ","")&amp;IF(AND(EDATE($D25,Milestones!$AA$149)&lt;=AsOfDate,IF($R25=0,$X25,IF(AND($T25&lt;&gt;"",EDATE($D25,Milestones!$AA$149)&gt;=$T25),$W25,IF(AND($S25&lt;&gt;"",EDATE($D25,Milestones!$AA$149)&gt;=$S25),$V25,$U25)))=Milestones!$AB$149),UPPER(TEXT(EDATE($D25,Milestones!$AA$149),"dd mmm yy"))&amp;" "&amp;Milestones!$AB$149&amp;" "&amp;Milestones!$AC$149&amp;";  ","")&amp;IF(AND(EDATE($D25,Milestones!$AA$150)&lt;=AsOfDate,IF($R25=0,$X25,IF(AND($T25&lt;&gt;"",EDATE($D25,Milestones!$AA$150)&gt;=$T25),$W25,IF(AND($S25&lt;&gt;"",EDATE($D25,Milestones!$AA$150)&gt;=$S25),$V25,$U25)))=Milestones!$AB$150),UPPER(TEXT(EDATE($D25,Milestones!$AA$150),"dd mmm yy"))&amp;" "&amp;Milestones!$AB$150&amp;" "&amp;Milestones!$AC$150&amp;";  ","")&amp;IF(AND(EDATE($D25,Milestones!$AA$151)&lt;=AsOfDate,IF($R25=0,$X25,IF(AND($T25&lt;&gt;"",EDATE($D25,Milestones!$AA$151)&gt;=$T25),$W25,IF(AND($S25&lt;&gt;"",EDATE($D25,Milestones!$AA$151)&gt;=$S25),$V25,$U25)))=Milestones!$AB$151),UPPER(TEXT(EDATE($D25,Milestones!$AA$151),"dd mmm yy"))&amp;" "&amp;Milestones!$AB$151&amp;" "&amp;Milestones!$AC$151&amp;";  ","")&amp;IF(AND(EDATE($D25,Milestones!$AA$152)&lt;=AsOfDate,IF($R25=0,$X25,IF(AND($T25&lt;&gt;"",EDATE($D25,Milestones!$AA$152)&gt;=$T25),$W25,IF(AND($S25&lt;&gt;"",EDATE($D25,Milestones!$AA$152)&gt;=$S25),$V25,$U25)))=Milestones!$AB$152),UPPER(TEXT(EDATE($D25,Milestones!$AA$152),"dd mmm yy"))&amp;" "&amp;Milestones!$AB$152&amp;" "&amp;Milestones!$AC$152&amp;";  ","")&amp;IF(AND(EDATE($D25,Milestones!$AA$153)&lt;=AsOfDate,IF($R25=0,$X25,IF(AND($T25&lt;&gt;"",EDATE($D25,Milestones!$AA$153)&gt;=$T25),$W25,IF(AND($S25&lt;&gt;"",EDATE($D25,Milestones!$AA$153)&gt;=$S25),$V25,$U25)))=Milestones!$AB$153),UPPER(TEXT(EDATE($D25,Milestones!$AA$153),"dd mmm yy"))&amp;" "&amp;Milestones!$AB$153&amp;" "&amp;Milestones!$AC$153&amp;";  ","")&amp;IF(AND(EDATE($D25,Milestones!$AA$154)&lt;=AsOfDate,IF($R25=0,$X25,IF(AND($T25&lt;&gt;"",EDATE($D25,Milestones!$AA$154)&gt;=$T25),$W25,IF(AND($S25&lt;&gt;"",EDATE($D25,Milestones!$AA$154)&gt;=$S25),$V25,$U25)))=Milestones!$AB$154),UPPER(TEXT(EDATE($D25,Milestones!$AA$154),"dd mmm yy"))&amp;" "&amp;Milestones!$AB$154&amp;" "&amp;Milestones!$AC$154&amp;";  ","")&amp;IF(AND(EDATE($D25,Milestones!$AA$155)&lt;=AsOfDate,IF($R25=0,$X25,IF(AND($T25&lt;&gt;"",EDATE($D25,Milestones!$AA$155)&gt;=$T25),$W25,IF(AND($S25&lt;&gt;"",EDATE($D25,Milestones!$AA$155)&gt;=$S25),$V25,$U25)))=Milestones!$AB$155),UPPER(TEXT(EDATE($D25,Milestones!$AA$155),"dd mmm yy"))&amp;" "&amp;Milestones!$AB$155&amp;" "&amp;Milestones!$AC$155&amp;";  ","")&amp;IF(AND(EDATE($D25,Milestones!$AA$156)&lt;=AsOfDate,IF($R25=0,$X25,IF(AND($T25&lt;&gt;"",EDATE($D25,Milestones!$AA$156)&gt;=$T25),$W25,IF(AND($S25&lt;&gt;"",EDATE($D25,Milestones!$AA$156)&gt;=$S25),$V25,$U25)))=Milestones!$AB$156),UPPER(TEXT(EDATE($D25,Milestones!$AA$156),"dd mmm yy"))&amp;" "&amp;Milestones!$AB$156&amp;" "&amp;Milestones!$AC$156&amp;";  ","")&amp;IF(AND(EDATE($D25,Milestones!$AA$157)&lt;=AsOfDate,IF($R25=0,$X25,IF(AND($T25&lt;&gt;"",EDATE($D25,Milestones!$AA$157)&gt;=$T25),$W25,IF(AND($S25&lt;&gt;"",EDATE($D25,Milestones!$AA$157)&gt;=$S25),$V25,$U25)))=Milestones!$AB$157),UPPER(TEXT(EDATE($D25,Milestones!$AA$157),"dd mmm yy"))&amp;" "&amp;Milestones!$AB$157&amp;" "&amp;Milestones!$AC$157&amp;";  ","")&amp;IF(AND(EDATE($D25,Milestones!$AA$158)&lt;=AsOfDate,IF($R25=0,$X25,IF(AND($T25&lt;&gt;"",EDATE($D25,Milestones!$AA$158)&gt;=$T25),$W25,IF(AND($S25&lt;&gt;"",EDATE($D25,Milestones!$AA$158)&gt;=$S25),$V25,$U25)))=Milestones!$AB$158),UPPER(TEXT(EDATE($D25,Milestones!$AA$158),"dd mmm yy"))&amp;" "&amp;Milestones!$AB$158&amp;" "&amp;Milestones!$AC$158&amp;";  ","")&amp;IF(AND(EDATE($D25,Milestones!$AA$159)&lt;=AsOfDate,IF($R25=0,$X25,IF(AND($T25&lt;&gt;"",EDATE($D25,Milestones!$AA$159)&gt;=$T25),$W25,IF(AND($S25&lt;&gt;"",EDATE($D25,Milestones!$AA$159)&gt;=$S25),$V25,$U25)))=Milestones!$AB$159),UPPER(TEXT(EDATE($D25,Milestones!$AA$159),"dd mmm yy"))&amp;" "&amp;Milestones!$AB$159&amp;" "&amp;Milestones!$AC$159&amp;";  ",""))</f>
        <v/>
      </c>
      <c r="P25" s="0" t="str">
        <f aca="false">IF(OR($A25="",$D25=""),"",IF(AND(EDATE($D25,Milestones!$AA$160)&lt;=AsOfDate,IF($R25=0,$X25,IF(AND($T25&lt;&gt;"",EDATE($D25,Milestones!$AA$160)&gt;=$T25),$W25,IF(AND($S25&lt;&gt;"",EDATE($D25,Milestones!$AA$160)&gt;=$S25),$V25,$U25)))=Milestones!$AB$160),UPPER(TEXT(EDATE($D25,Milestones!$AA$160),"dd mmm yy"))&amp;" "&amp;Milestones!$AB$160&amp;" "&amp;Milestones!$AC$160&amp;";  ","")&amp;IF(AND(EDATE($D25,Milestones!$AA$161)&lt;=AsOfDate,IF($R25=0,$X25,IF(AND($T25&lt;&gt;"",EDATE($D25,Milestones!$AA$161)&gt;=$T25),$W25,IF(AND($S25&lt;&gt;"",EDATE($D25,Milestones!$AA$161)&gt;=$S25),$V25,$U25)))=Milestones!$AB$161),UPPER(TEXT(EDATE($D25,Milestones!$AA$161),"dd mmm yy"))&amp;" "&amp;Milestones!$AB$161&amp;" "&amp;Milestones!$AC$161&amp;";  ","")&amp;IF(AND(EDATE($D25,Milestones!$AA$162)&lt;=AsOfDate,IF($R25=0,$X25,IF(AND($T25&lt;&gt;"",EDATE($D25,Milestones!$AA$162)&gt;=$T25),$W25,IF(AND($S25&lt;&gt;"",EDATE($D25,Milestones!$AA$162)&gt;=$S25),$V25,$U25)))=Milestones!$AB$162),UPPER(TEXT(EDATE($D25,Milestones!$AA$162),"dd mmm yy"))&amp;" "&amp;Milestones!$AB$162&amp;" "&amp;Milestones!$AC$162&amp;";  ","")&amp;IF(AND(EDATE($D25,Milestones!$AA$163)&lt;=AsOfDate,IF($R25=0,$X25,IF(AND($T25&lt;&gt;"",EDATE($D25,Milestones!$AA$163)&gt;=$T25),$W25,IF(AND($S25&lt;&gt;"",EDATE($D25,Milestones!$AA$163)&gt;=$S25),$V25,$U25)))=Milestones!$AB$163),UPPER(TEXT(EDATE($D25,Milestones!$AA$163),"dd mmm yy"))&amp;" "&amp;Milestones!$AB$163&amp;" "&amp;Milestones!$AC$163&amp;";  ","")&amp;IF(AND(EDATE($D25,Milestones!$AA$164)&lt;=AsOfDate,IF($R25=0,$X25,IF(AND($T25&lt;&gt;"",EDATE($D25,Milestones!$AA$164)&gt;=$T25),$W25,IF(AND($S25&lt;&gt;"",EDATE($D25,Milestones!$AA$164)&gt;=$S25),$V25,$U25)))=Milestones!$AB$164),UPPER(TEXT(EDATE($D25,Milestones!$AA$164),"dd mmm yy"))&amp;" "&amp;Milestones!$AB$164&amp;" "&amp;Milestones!$AC$164&amp;";  ","")&amp;IF(AND(EDATE($D25,Milestones!$AA$165)&lt;=AsOfDate,IF($R25=0,$X25,IF(AND($T25&lt;&gt;"",EDATE($D25,Milestones!$AA$165)&gt;=$T25),$W25,IF(AND($S25&lt;&gt;"",EDATE($D25,Milestones!$AA$165)&gt;=$S25),$V25,$U25)))=Milestones!$AB$165),UPPER(TEXT(EDATE($D25,Milestones!$AA$165),"dd mmm yy"))&amp;" "&amp;Milestones!$AB$165&amp;" "&amp;Milestones!$AC$165&amp;";  ","")&amp;IF(AND(EDATE($D25,Milestones!$AA$166)&lt;=AsOfDate,IF($R25=0,$X25,IF(AND($T25&lt;&gt;"",EDATE($D25,Milestones!$AA$166)&gt;=$T25),$W25,IF(AND($S25&lt;&gt;"",EDATE($D25,Milestones!$AA$166)&gt;=$S25),$V25,$U25)))=Milestones!$AB$166),UPPER(TEXT(EDATE($D25,Milestones!$AA$166),"dd mmm yy"))&amp;" "&amp;Milestones!$AB$166&amp;" "&amp;Milestones!$AC$166&amp;";  ","")&amp;IF(AND(EDATE($D25,Milestones!$AA$167)&lt;=AsOfDate,IF($R25=0,$X25,IF(AND($T25&lt;&gt;"",EDATE($D25,Milestones!$AA$167)&gt;=$T25),$W25,IF(AND($S25&lt;&gt;"",EDATE($D25,Milestones!$AA$167)&gt;=$S25),$V25,$U25)))=Milestones!$AB$167),UPPER(TEXT(EDATE($D25,Milestones!$AA$167),"dd mmm yy"))&amp;" "&amp;Milestones!$AB$167&amp;" "&amp;Milestones!$AC$167&amp;";  ","")&amp;IF(AND(EDATE($D25,Milestones!$AA$168)&lt;=AsOfDate,IF($R25=0,$X25,IF(AND($T25&lt;&gt;"",EDATE($D25,Milestones!$AA$168)&gt;=$T25),$W25,IF(AND($S25&lt;&gt;"",EDATE($D25,Milestones!$AA$168)&gt;=$S25),$V25,$U25)))=Milestones!$AB$168),UPPER(TEXT(EDATE($D25,Milestones!$AA$168),"dd mmm yy"))&amp;" "&amp;Milestones!$AB$168&amp;" "&amp;Milestones!$AC$168&amp;";  ","")&amp;IF(AND(EDATE($D25,Milestones!$AA$169)&lt;=AsOfDate,IF($R25=0,$X25,IF(AND($T25&lt;&gt;"",EDATE($D25,Milestones!$AA$169)&gt;=$T25),$W25,IF(AND($S25&lt;&gt;"",EDATE($D25,Milestones!$AA$169)&gt;=$S25),$V25,$U25)))=Milestones!$AB$169),UPPER(TEXT(EDATE($D25,Milestones!$AA$169),"dd mmm yy"))&amp;" "&amp;Milestones!$AB$169&amp;" "&amp;Milestones!$AC$169&amp;";  ","")&amp;IF(AND(EDATE($D25,Milestones!$AA$170)&lt;=AsOfDate,IF($R25=0,$X25,IF(AND($T25&lt;&gt;"",EDATE($D25,Milestones!$AA$170)&gt;=$T25),$W25,IF(AND($S25&lt;&gt;"",EDATE($D25,Milestones!$AA$170)&gt;=$S25),$V25,$U25)))=Milestones!$AB$170),UPPER(TEXT(EDATE($D25,Milestones!$AA$170),"dd mmm yy"))&amp;" "&amp;Milestones!$AB$170&amp;" "&amp;Milestones!$AC$170&amp;";  ","")&amp;IF(AND(EDATE($D25,Milestones!$AA$171)&lt;=AsOfDate,IF($R25=0,$X25,IF(AND($T25&lt;&gt;"",EDATE($D25,Milestones!$AA$171)&gt;=$T25),$W25,IF(AND($S25&lt;&gt;"",EDATE($D25,Milestones!$AA$171)&gt;=$S25),$V25,$U25)))=Milestones!$AB$171),UPPER(TEXT(EDATE($D25,Milestones!$AA$171),"dd mmm yy"))&amp;" "&amp;Milestones!$AB$171&amp;" "&amp;Milestones!$AC$171&amp;";  ","")&amp;IF(AND(EDATE($D25,Milestones!$AA$172)&lt;=AsOfDate,IF($R25=0,$X25,IF(AND($T25&lt;&gt;"",EDATE($D25,Milestones!$AA$172)&gt;=$T25),$W25,IF(AND($S25&lt;&gt;"",EDATE($D25,Milestones!$AA$172)&gt;=$S25),$V25,$U25)))=Milestones!$AB$172),UPPER(TEXT(EDATE($D25,Milestones!$AA$172),"dd mmm yy"))&amp;" "&amp;Milestones!$AB$172&amp;" "&amp;Milestones!$AC$172&amp;";  ","")&amp;IF(AND(EDATE($D25,Milestones!$AA$173)&lt;=AsOfDate,IF($R25=0,$X25,IF(AND($T25&lt;&gt;"",EDATE($D25,Milestones!$AA$173)&gt;=$T25),$W25,IF(AND($S25&lt;&gt;"",EDATE($D25,Milestones!$AA$173)&gt;=$S25),$V25,$U25)))=Milestones!$AB$173),UPPER(TEXT(EDATE($D25,Milestones!$AA$173),"dd mmm yy"))&amp;" "&amp;Milestones!$AB$173&amp;" "&amp;Milestones!$AC$173&amp;";  ","")&amp;IF(AND(EDATE($D25,Milestones!$AA$174)&lt;=AsOfDate,IF($R25=0,$X25,IF(AND($T25&lt;&gt;"",EDATE($D25,Milestones!$AA$174)&gt;=$T25),$W25,IF(AND($S25&lt;&gt;"",EDATE($D25,Milestones!$AA$174)&gt;=$S25),$V25,$U25)))=Milestones!$AB$174),UPPER(TEXT(EDATE($D25,Milestones!$AA$174),"dd mmm yy"))&amp;" "&amp;Milestones!$AB$174&amp;" "&amp;Milestones!$AC$174&amp;";  ","")&amp;IF(AND(EDATE($D25,Milestones!$AA$175)&lt;=AsOfDate,IF($R25=0,$X25,IF(AND($T25&lt;&gt;"",EDATE($D25,Milestones!$AA$175)&gt;=$T25),$W25,IF(AND($S25&lt;&gt;"",EDATE($D25,Milestones!$AA$175)&gt;=$S25),$V25,$U25)))=Milestones!$AB$175),UPPER(TEXT(EDATE($D25,Milestones!$AA$175),"dd mmm yy"))&amp;" "&amp;Milestones!$AB$175&amp;" "&amp;Milestones!$AC$175&amp;";  ","")&amp;IF(AND(EDATE($D25,Milestones!$AA$176)&lt;=AsOfDate,IF($R25=0,$X25,IF(AND($T25&lt;&gt;"",EDATE($D25,Milestones!$AA$176)&gt;=$T25),$W25,IF(AND($S25&lt;&gt;"",EDATE($D25,Milestones!$AA$176)&gt;=$S25),$V25,$U25)))=Milestones!$AB$176),UPPER(TEXT(EDATE($D25,Milestones!$AA$176),"dd mmm yy"))&amp;" "&amp;Milestones!$AB$176&amp;" "&amp;Milestones!$AC$176&amp;";  ","")&amp;IF(AND(EDATE($D25,Milestones!$AA$177)&lt;=AsOfDate,IF($R25=0,$X25,IF(AND($T25&lt;&gt;"",EDATE($D25,Milestones!$AA$177)&gt;=$T25),$W25,IF(AND($S25&lt;&gt;"",EDATE($D25,Milestones!$AA$177)&gt;=$S25),$V25,$U25)))=Milestones!$AB$177),UPPER(TEXT(EDATE($D25,Milestones!$AA$177),"dd mmm yy"))&amp;" "&amp;Milestones!$AB$177&amp;" "&amp;Milestones!$AC$177&amp;";  ","")&amp;IF(AND(EDATE($D25,Milestones!$AA$178)&lt;=AsOfDate,IF($R25=0,$X25,IF(AND($T25&lt;&gt;"",EDATE($D25,Milestones!$AA$178)&gt;=$T25),$W25,IF(AND($S25&lt;&gt;"",EDATE($D25,Milestones!$AA$178)&gt;=$S25),$V25,$U25)))=Milestones!$AB$178),UPPER(TEXT(EDATE($D25,Milestones!$AA$178),"dd mmm yy"))&amp;" "&amp;Milestones!$AB$178&amp;" "&amp;Milestones!$AC$178&amp;";  ","")&amp;IF(AND(EDATE($D25,Milestones!$AA$179)&lt;=AsOfDate,IF($R25=0,$X25,IF(AND($T25&lt;&gt;"",EDATE($D25,Milestones!$AA$179)&gt;=$T25),$W25,IF(AND($S25&lt;&gt;"",EDATE($D25,Milestones!$AA$179)&gt;=$S25),$V25,$U25)))=Milestones!$AB$179),UPPER(TEXT(EDATE($D25,Milestones!$AA$179),"dd mmm yy"))&amp;" "&amp;Milestones!$AB$179&amp;" "&amp;Milestones!$AC$179&amp;";  ",""))</f>
        <v/>
      </c>
      <c r="Q25" s="0" t="str">
        <f aca="false">IF(OR($A25="",$D25=""),"",IF(AND(EDATE($D25,Milestones!$AA$180)&lt;=AsOfDate,IF($R25=0,$X25,IF(AND($T25&lt;&gt;"",EDATE($D25,Milestones!$AA$180)&gt;=$T25),$W25,IF(AND($S25&lt;&gt;"",EDATE($D25,Milestones!$AA$180)&gt;=$S25),$V25,$U25)))=Milestones!$AB$180),UPPER(TEXT(EDATE($D25,Milestones!$AA$180),"dd mmm yy"))&amp;" "&amp;Milestones!$AB$180&amp;" "&amp;Milestones!$AC$180&amp;";  ","")&amp;IF(AND(EDATE($D25,Milestones!$AA$181)&lt;=AsOfDate,IF($R25=0,$X25,IF(AND($T25&lt;&gt;"",EDATE($D25,Milestones!$AA$181)&gt;=$T25),$W25,IF(AND($S25&lt;&gt;"",EDATE($D25,Milestones!$AA$181)&gt;=$S25),$V25,$U25)))=Milestones!$AB$181),UPPER(TEXT(EDATE($D25,Milestones!$AA$181),"dd mmm yy"))&amp;" "&amp;Milestones!$AB$181&amp;" "&amp;Milestones!$AC$181&amp;";  ","")&amp;IF(AND(EDATE($D25,Milestones!$AA$182)&lt;=AsOfDate,IF($R25=0,$X25,IF(AND($T25&lt;&gt;"",EDATE($D25,Milestones!$AA$182)&gt;=$T25),$W25,IF(AND($S25&lt;&gt;"",EDATE($D25,Milestones!$AA$182)&gt;=$S25),$V25,$U25)))=Milestones!$AB$182),UPPER(TEXT(EDATE($D25,Milestones!$AA$182),"dd mmm yy"))&amp;" "&amp;Milestones!$AB$182&amp;" "&amp;Milestones!$AC$182&amp;";  ","")&amp;IF(AND(EDATE($D25,Milestones!$AA$183)&lt;=AsOfDate,IF($R25=0,$X25,IF(AND($T25&lt;&gt;"",EDATE($D25,Milestones!$AA$183)&gt;=$T25),$W25,IF(AND($S25&lt;&gt;"",EDATE($D25,Milestones!$AA$183)&gt;=$S25),$V25,$U25)))=Milestones!$AB$183),UPPER(TEXT(EDATE($D25,Milestones!$AA$183),"dd mmm yy"))&amp;" "&amp;Milestones!$AB$183&amp;" "&amp;Milestones!$AC$183&amp;";  ","")&amp;IF(AND(EDATE($D25,Milestones!$AA$184)&lt;=AsOfDate,IF($R25=0,$X25,IF(AND($T25&lt;&gt;"",EDATE($D25,Milestones!$AA$184)&gt;=$T25),$W25,IF(AND($S25&lt;&gt;"",EDATE($D25,Milestones!$AA$184)&gt;=$S25),$V25,$U25)))=Milestones!$AB$184),UPPER(TEXT(EDATE($D25,Milestones!$AA$184),"dd mmm yy"))&amp;" "&amp;Milestones!$AB$184&amp;" "&amp;Milestones!$AC$184&amp;";  ","")&amp;IF(AND(EDATE($D25,Milestones!$AA$185)&lt;=AsOfDate,IF($R25=0,$X25,IF(AND($T25&lt;&gt;"",EDATE($D25,Milestones!$AA$185)&gt;=$T25),$W25,IF(AND($S25&lt;&gt;"",EDATE($D25,Milestones!$AA$185)&gt;=$S25),$V25,$U25)))=Milestones!$AB$185),UPPER(TEXT(EDATE($D25,Milestones!$AA$185),"dd mmm yy"))&amp;" "&amp;Milestones!$AB$185&amp;" "&amp;Milestones!$AC$185&amp;";  ","")&amp;IF(AND(EDATE($D25,Milestones!$AA$186)&lt;=AsOfDate,IF($R25=0,$X25,IF(AND($T25&lt;&gt;"",EDATE($D25,Milestones!$AA$186)&gt;=$T25),$W25,IF(AND($S25&lt;&gt;"",EDATE($D25,Milestones!$AA$186)&gt;=$S25),$V25,$U25)))=Milestones!$AB$186),UPPER(TEXT(EDATE($D25,Milestones!$AA$186),"dd mmm yy"))&amp;" "&amp;Milestones!$AB$186&amp;" "&amp;Milestones!$AC$186&amp;";  ","")&amp;IF(AND(EDATE($D25,Milestones!$AA$187)&lt;=AsOfDate,IF($R25=0,$X25,IF(AND($T25&lt;&gt;"",EDATE($D25,Milestones!$AA$187)&gt;=$T25),$W25,IF(AND($S25&lt;&gt;"",EDATE($D25,Milestones!$AA$187)&gt;=$S25),$V25,$U25)))=Milestones!$AB$187),UPPER(TEXT(EDATE($D25,Milestones!$AA$187),"dd mmm yy"))&amp;" "&amp;Milestones!$AB$187&amp;" "&amp;Milestones!$AC$187&amp;";  ","")&amp;IF(AND(EDATE($D25,Milestones!$AA$188)&lt;=AsOfDate,IF($R25=0,$X25,IF(AND($T25&lt;&gt;"",EDATE($D25,Milestones!$AA$188)&gt;=$T25),$W25,IF(AND($S25&lt;&gt;"",EDATE($D25,Milestones!$AA$188)&gt;=$S25),$V25,$U25)))=Milestones!$AB$188),UPPER(TEXT(EDATE($D25,Milestones!$AA$188),"dd mmm yy"))&amp;" "&amp;Milestones!$AB$188&amp;" "&amp;Milestones!$AC$188&amp;";  ","")&amp;IF(AND(EDATE($D25,Milestones!$AA$189)&lt;=AsOfDate,IF($R25=0,$X25,IF(AND($T25&lt;&gt;"",EDATE($D25,Milestones!$AA$189)&gt;=$T25),$W25,IF(AND($S25&lt;&gt;"",EDATE($D25,Milestones!$AA$189)&gt;=$S25),$V25,$U25)))=Milestones!$AB$189),UPPER(TEXT(EDATE($D25,Milestones!$AA$189),"dd mmm yy"))&amp;" "&amp;Milestones!$AB$189&amp;" "&amp;Milestones!$AC$189&amp;";  ","")&amp;IF(AND(EDATE($D25,Milestones!$AA$190)&lt;=AsOfDate,IF($R25=0,$X25,IF(AND($T25&lt;&gt;"",EDATE($D25,Milestones!$AA$190)&gt;=$T25),$W25,IF(AND($S25&lt;&gt;"",EDATE($D25,Milestones!$AA$190)&gt;=$S25),$V25,$U25)))=Milestones!$AB$190),UPPER(TEXT(EDATE($D25,Milestones!$AA$190),"dd mmm yy"))&amp;" "&amp;Milestones!$AB$190&amp;" "&amp;Milestones!$AC$190&amp;";  ","")&amp;IF(AND(EDATE($D25,Milestones!$AA$191)&lt;=AsOfDate,IF($R25=0,$X25,IF(AND($T25&lt;&gt;"",EDATE($D25,Milestones!$AA$191)&gt;=$T25),$W25,IF(AND($S25&lt;&gt;"",EDATE($D25,Milestones!$AA$191)&gt;=$S25),$V25,$U25)))=Milestones!$AB$191),UPPER(TEXT(EDATE($D25,Milestones!$AA$191),"dd mmm yy"))&amp;" "&amp;Milestones!$AB$191&amp;" "&amp;Milestones!$AC$191&amp;";  ","")&amp;IF(AND(EDATE($D25,Milestones!$AA$192)&lt;=AsOfDate,IF($R25=0,$X25,IF(AND($T25&lt;&gt;"",EDATE($D25,Milestones!$AA$192)&gt;=$T25),$W25,IF(AND($S25&lt;&gt;"",EDATE($D25,Milestones!$AA$192)&gt;=$S25),$V25,$U25)))=Milestones!$AB$192),UPPER(TEXT(EDATE($D25,Milestones!$AA$192),"dd mmm yy"))&amp;" "&amp;Milestones!$AB$192&amp;" "&amp;Milestones!$AC$192&amp;";  ","")&amp;IF(AND(EDATE($D25,Milestones!$AA$193)&lt;=AsOfDate,IF($R25=0,$X25,IF(AND($T25&lt;&gt;"",EDATE($D25,Milestones!$AA$193)&gt;=$T25),$W25,IF(AND($S25&lt;&gt;"",EDATE($D25,Milestones!$AA$193)&gt;=$S25),$V25,$U25)))=Milestones!$AB$193),UPPER(TEXT(EDATE($D25,Milestones!$AA$193),"dd mmm yy"))&amp;" "&amp;Milestones!$AB$193&amp;" "&amp;Milestones!$AC$193&amp;";  ","")&amp;IF(AND(EDATE($D25,Milestones!$AA$194)&lt;=AsOfDate,IF($R25=0,$X25,IF(AND($T25&lt;&gt;"",EDATE($D25,Milestones!$AA$194)&gt;=$T25),$W25,IF(AND($S25&lt;&gt;"",EDATE($D25,Milestones!$AA$194)&gt;=$S25),$V25,$U25)))=Milestones!$AB$194),UPPER(TEXT(EDATE($D25,Milestones!$AA$194),"dd mmm yy"))&amp;" "&amp;Milestones!$AB$194&amp;" "&amp;Milestones!$AC$194&amp;";  ","")&amp;IF(AND(EDATE($D25,Milestones!$AA$195)&lt;=AsOfDate,IF($R25=0,$X25,IF(AND($T25&lt;&gt;"",EDATE($D25,Milestones!$AA$195)&gt;=$T25),$W25,IF(AND($S25&lt;&gt;"",EDATE($D25,Milestones!$AA$195)&gt;=$S25),$V25,$U25)))=Milestones!$AB$195),UPPER(TEXT(EDATE($D25,Milestones!$AA$195),"dd mmm yy"))&amp;" "&amp;Milestones!$AB$195&amp;" "&amp;Milestones!$AC$195&amp;";  ","")&amp;IF(AND(EDATE($D25,Milestones!$AA$196)&lt;=AsOfDate,IF($R25=0,$X25,IF(AND($T25&lt;&gt;"",EDATE($D25,Milestones!$AA$196)&gt;=$T25),$W25,IF(AND($S25&lt;&gt;"",EDATE($D25,Milestones!$AA$196)&gt;=$S25),$V25,$U25)))=Milestones!$AB$196),UPPER(TEXT(EDATE($D25,Milestones!$AA$196),"dd mmm yy"))&amp;" "&amp;Milestones!$AB$196&amp;" "&amp;Milestones!$AC$196&amp;";  ","")&amp;IF(AND(EDATE($D25,Milestones!$AA$197)&lt;=AsOfDate,IF($R25=0,$X25,IF(AND($T25&lt;&gt;"",EDATE($D25,Milestones!$AA$197)&gt;=$T25),$W25,IF(AND($S25&lt;&gt;"",EDATE($D25,Milestones!$AA$197)&gt;=$S25),$V25,$U25)))=Milestones!$AB$197),UPPER(TEXT(EDATE($D25,Milestones!$AA$197),"dd mmm yy"))&amp;" "&amp;Milestones!$AB$197&amp;" "&amp;Milestones!$AC$197&amp;";  ","")&amp;IF(AND(EDATE($D25,Milestones!$AA$198)&lt;=AsOfDate,IF($R25=0,$X25,IF(AND($T25&lt;&gt;"",EDATE($D25,Milestones!$AA$198)&gt;=$T25),$W25,IF(AND($S25&lt;&gt;"",EDATE($D25,Milestones!$AA$198)&gt;=$S25),$V25,$U25)))=Milestones!$AB$198),UPPER(TEXT(EDATE($D25,Milestones!$AA$198),"dd mmm yy"))&amp;" "&amp;Milestones!$AB$198&amp;" "&amp;Milestones!$AC$198&amp;";  ","")&amp;IF(AND(EDATE($D25,Milestones!$AA$199)&lt;=AsOfDate,IF($R25=0,$X25,IF(AND($T25&lt;&gt;"",EDATE($D25,Milestones!$AA$199)&gt;=$T25),$W25,IF(AND($S25&lt;&gt;"",EDATE($D25,Milestones!$AA$199)&gt;=$S25),$V25,$U25)))=Milestones!$AB$199),UPPER(TEXT(EDATE($D25,Milestones!$AA$199),"dd mmm yy"))&amp;" "&amp;Milestones!$AB$199&amp;" "&amp;Milestones!$AC$199&amp;";  ",""))</f>
        <v/>
      </c>
      <c r="R25" s="0" t="str">
        <f aca="false">IF(Staff!$A25="","",Staff!$AI25)</f>
        <v/>
      </c>
      <c r="S25" s="0" t="str">
        <f aca="false">IF(Staff!$A25="","",Staff!$AK25)</f>
        <v/>
      </c>
      <c r="T25" s="0" t="str">
        <f aca="false">IF(Staff!$A25="","",Staff!$AL25)</f>
        <v/>
      </c>
      <c r="U25" s="0" t="str">
        <f aca="false">IF(Staff!$A25="","",Staff!$AP25)</f>
        <v/>
      </c>
      <c r="V25" s="0" t="str">
        <f aca="false">IF(Staff!$A25="","",Staff!$AQ25)</f>
        <v/>
      </c>
      <c r="W25" s="0" t="str">
        <f aca="false">IF(Staff!$A25="","",Staff!$AR25)</f>
        <v/>
      </c>
      <c r="X25" s="0" t="str">
        <f aca="false">IF(Staff!$A25="","",Staff!$AS25)</f>
        <v/>
      </c>
    </row>
    <row r="26" customFormat="false" ht="15" hidden="false" customHeight="false" outlineLevel="0" collapsed="false">
      <c r="A26" s="14" t="str">
        <f aca="false">IF(Staff!$A26="","",Staff!$A26)</f>
        <v/>
      </c>
      <c r="B26" s="14" t="str">
        <f aca="false">IF(Staff!$A26="","",Staff!$B26)</f>
        <v/>
      </c>
      <c r="C26" s="14" t="str">
        <f aca="false">IF(Staff!$A26="","",Staff!$C26)</f>
        <v/>
      </c>
      <c r="D26" s="12" t="str">
        <f aca="false">IF(Staff!$A26="","",Staff!$AH26)</f>
        <v/>
      </c>
      <c r="E26" s="14" t="str">
        <f aca="false">IF(Staff!$A26="","",Staff!$O26)</f>
        <v/>
      </c>
      <c r="F26" s="14" t="str">
        <f aca="false">IF(E26="","",E26*HoursPerDay)</f>
        <v/>
      </c>
      <c r="G26" s="14" t="str">
        <f aca="false">IF(Staff!$A26="","",Staff!$AE26)</f>
        <v/>
      </c>
      <c r="H26" s="26" t="str">
        <f aca="false">IF($A26="","",I26&amp;J26&amp;K26&amp;L26&amp;M26&amp;N26&amp;O26&amp;P26&amp;Q26)</f>
        <v/>
      </c>
      <c r="I26" s="0" t="str">
        <f aca="false">IF(OR($A26="",$D26=""),"",IF(AND(EDATE($D26,Milestones!$AA$20)&lt;=AsOfDate,IF($R26=0,$X26,IF(AND($T26&lt;&gt;"",EDATE($D26,Milestones!$AA$20)&gt;=$T26),$W26,IF(AND($S26&lt;&gt;"",EDATE($D26,Milestones!$AA$20)&gt;=$S26),$V26,$U26)))=Milestones!$AB$20),UPPER(TEXT(EDATE($D26,Milestones!$AA$20),"dd mmm yy"))&amp;" "&amp;Milestones!$AB$20&amp;" "&amp;Milestones!$AC$20&amp;";  ","")&amp;IF(AND(EDATE($D26,Milestones!$AA$21)&lt;=AsOfDate,IF($R26=0,$X26,IF(AND($T26&lt;&gt;"",EDATE($D26,Milestones!$AA$21)&gt;=$T26),$W26,IF(AND($S26&lt;&gt;"",EDATE($D26,Milestones!$AA$21)&gt;=$S26),$V26,$U26)))=Milestones!$AB$21),UPPER(TEXT(EDATE($D26,Milestones!$AA$21),"dd mmm yy"))&amp;" "&amp;Milestones!$AB$21&amp;" "&amp;Milestones!$AC$21&amp;";  ","")&amp;IF(AND(EDATE($D26,Milestones!$AA$22)&lt;=AsOfDate,IF($R26=0,$X26,IF(AND($T26&lt;&gt;"",EDATE($D26,Milestones!$AA$22)&gt;=$T26),$W26,IF(AND($S26&lt;&gt;"",EDATE($D26,Milestones!$AA$22)&gt;=$S26),$V26,$U26)))=Milestones!$AB$22),UPPER(TEXT(EDATE($D26,Milestones!$AA$22),"dd mmm yy"))&amp;" "&amp;Milestones!$AB$22&amp;" "&amp;Milestones!$AC$22&amp;";  ","")&amp;IF(AND(EDATE($D26,Milestones!$AA$23)&lt;=AsOfDate,IF($R26=0,$X26,IF(AND($T26&lt;&gt;"",EDATE($D26,Milestones!$AA$23)&gt;=$T26),$W26,IF(AND($S26&lt;&gt;"",EDATE($D26,Milestones!$AA$23)&gt;=$S26),$V26,$U26)))=Milestones!$AB$23),UPPER(TEXT(EDATE($D26,Milestones!$AA$23),"dd mmm yy"))&amp;" "&amp;Milestones!$AB$23&amp;" "&amp;Milestones!$AC$23&amp;";  ","")&amp;IF(AND(EDATE($D26,Milestones!$AA$24)&lt;=AsOfDate,IF($R26=0,$X26,IF(AND($T26&lt;&gt;"",EDATE($D26,Milestones!$AA$24)&gt;=$T26),$W26,IF(AND($S26&lt;&gt;"",EDATE($D26,Milestones!$AA$24)&gt;=$S26),$V26,$U26)))=Milestones!$AB$24),UPPER(TEXT(EDATE($D26,Milestones!$AA$24),"dd mmm yy"))&amp;" "&amp;Milestones!$AB$24&amp;" "&amp;Milestones!$AC$24&amp;";  ","")&amp;IF(AND(EDATE($D26,Milestones!$AA$25)&lt;=AsOfDate,IF($R26=0,$X26,IF(AND($T26&lt;&gt;"",EDATE($D26,Milestones!$AA$25)&gt;=$T26),$W26,IF(AND($S26&lt;&gt;"",EDATE($D26,Milestones!$AA$25)&gt;=$S26),$V26,$U26)))=Milestones!$AB$25),UPPER(TEXT(EDATE($D26,Milestones!$AA$25),"dd mmm yy"))&amp;" "&amp;Milestones!$AB$25&amp;" "&amp;Milestones!$AC$25&amp;";  ","")&amp;IF(AND(EDATE($D26,Milestones!$AA$26)&lt;=AsOfDate,IF($R26=0,$X26,IF(AND($T26&lt;&gt;"",EDATE($D26,Milestones!$AA$26)&gt;=$T26),$W26,IF(AND($S26&lt;&gt;"",EDATE($D26,Milestones!$AA$26)&gt;=$S26),$V26,$U26)))=Milestones!$AB$26),UPPER(TEXT(EDATE($D26,Milestones!$AA$26),"dd mmm yy"))&amp;" "&amp;Milestones!$AB$26&amp;" "&amp;Milestones!$AC$26&amp;";  ","")&amp;IF(AND(EDATE($D26,Milestones!$AA$27)&lt;=AsOfDate,IF($R26=0,$X26,IF(AND($T26&lt;&gt;"",EDATE($D26,Milestones!$AA$27)&gt;=$T26),$W26,IF(AND($S26&lt;&gt;"",EDATE($D26,Milestones!$AA$27)&gt;=$S26),$V26,$U26)))=Milestones!$AB$27),UPPER(TEXT(EDATE($D26,Milestones!$AA$27),"dd mmm yy"))&amp;" "&amp;Milestones!$AB$27&amp;" "&amp;Milestones!$AC$27&amp;";  ","")&amp;IF(AND(EDATE($D26,Milestones!$AA$28)&lt;=AsOfDate,IF($R26=0,$X26,IF(AND($T26&lt;&gt;"",EDATE($D26,Milestones!$AA$28)&gt;=$T26),$W26,IF(AND($S26&lt;&gt;"",EDATE($D26,Milestones!$AA$28)&gt;=$S26),$V26,$U26)))=Milestones!$AB$28),UPPER(TEXT(EDATE($D26,Milestones!$AA$28),"dd mmm yy"))&amp;" "&amp;Milestones!$AB$28&amp;" "&amp;Milestones!$AC$28&amp;";  ","")&amp;IF(AND(EDATE($D26,Milestones!$AA$29)&lt;=AsOfDate,IF($R26=0,$X26,IF(AND($T26&lt;&gt;"",EDATE($D26,Milestones!$AA$29)&gt;=$T26),$W26,IF(AND($S26&lt;&gt;"",EDATE($D26,Milestones!$AA$29)&gt;=$S26),$V26,$U26)))=Milestones!$AB$29),UPPER(TEXT(EDATE($D26,Milestones!$AA$29),"dd mmm yy"))&amp;" "&amp;Milestones!$AB$29&amp;" "&amp;Milestones!$AC$29&amp;";  ","")&amp;IF(AND(EDATE($D26,Milestones!$AA$30)&lt;=AsOfDate,IF($R26=0,$X26,IF(AND($T26&lt;&gt;"",EDATE($D26,Milestones!$AA$30)&gt;=$T26),$W26,IF(AND($S26&lt;&gt;"",EDATE($D26,Milestones!$AA$30)&gt;=$S26),$V26,$U26)))=Milestones!$AB$30),UPPER(TEXT(EDATE($D26,Milestones!$AA$30),"dd mmm yy"))&amp;" "&amp;Milestones!$AB$30&amp;" "&amp;Milestones!$AC$30&amp;";  ","")&amp;IF(AND(EDATE($D26,Milestones!$AA$31)&lt;=AsOfDate,IF($R26=0,$X26,IF(AND($T26&lt;&gt;"",EDATE($D26,Milestones!$AA$31)&gt;=$T26),$W26,IF(AND($S26&lt;&gt;"",EDATE($D26,Milestones!$AA$31)&gt;=$S26),$V26,$U26)))=Milestones!$AB$31),UPPER(TEXT(EDATE($D26,Milestones!$AA$31),"dd mmm yy"))&amp;" "&amp;Milestones!$AB$31&amp;" "&amp;Milestones!$AC$31&amp;";  ","")&amp;IF(AND(EDATE($D26,Milestones!$AA$32)&lt;=AsOfDate,IF($R26=0,$X26,IF(AND($T26&lt;&gt;"",EDATE($D26,Milestones!$AA$32)&gt;=$T26),$W26,IF(AND($S26&lt;&gt;"",EDATE($D26,Milestones!$AA$32)&gt;=$S26),$V26,$U26)))=Milestones!$AB$32),UPPER(TEXT(EDATE($D26,Milestones!$AA$32),"dd mmm yy"))&amp;" "&amp;Milestones!$AB$32&amp;" "&amp;Milestones!$AC$32&amp;";  ","")&amp;IF(AND(EDATE($D26,Milestones!$AA$33)&lt;=AsOfDate,IF($R26=0,$X26,IF(AND($T26&lt;&gt;"",EDATE($D26,Milestones!$AA$33)&gt;=$T26),$W26,IF(AND($S26&lt;&gt;"",EDATE($D26,Milestones!$AA$33)&gt;=$S26),$V26,$U26)))=Milestones!$AB$33),UPPER(TEXT(EDATE($D26,Milestones!$AA$33),"dd mmm yy"))&amp;" "&amp;Milestones!$AB$33&amp;" "&amp;Milestones!$AC$33&amp;";  ","")&amp;IF(AND(EDATE($D26,Milestones!$AA$34)&lt;=AsOfDate,IF($R26=0,$X26,IF(AND($T26&lt;&gt;"",EDATE($D26,Milestones!$AA$34)&gt;=$T26),$W26,IF(AND($S26&lt;&gt;"",EDATE($D26,Milestones!$AA$34)&gt;=$S26),$V26,$U26)))=Milestones!$AB$34),UPPER(TEXT(EDATE($D26,Milestones!$AA$34),"dd mmm yy"))&amp;" "&amp;Milestones!$AB$34&amp;" "&amp;Milestones!$AC$34&amp;";  ","")&amp;IF(AND(EDATE($D26,Milestones!$AA$35)&lt;=AsOfDate,IF($R26=0,$X26,IF(AND($T26&lt;&gt;"",EDATE($D26,Milestones!$AA$35)&gt;=$T26),$W26,IF(AND($S26&lt;&gt;"",EDATE($D26,Milestones!$AA$35)&gt;=$S26),$V26,$U26)))=Milestones!$AB$35),UPPER(TEXT(EDATE($D26,Milestones!$AA$35),"dd mmm yy"))&amp;" "&amp;Milestones!$AB$35&amp;" "&amp;Milestones!$AC$35&amp;";  ","")&amp;IF(AND(EDATE($D26,Milestones!$AA$36)&lt;=AsOfDate,IF($R26=0,$X26,IF(AND($T26&lt;&gt;"",EDATE($D26,Milestones!$AA$36)&gt;=$T26),$W26,IF(AND($S26&lt;&gt;"",EDATE($D26,Milestones!$AA$36)&gt;=$S26),$V26,$U26)))=Milestones!$AB$36),UPPER(TEXT(EDATE($D26,Milestones!$AA$36),"dd mmm yy"))&amp;" "&amp;Milestones!$AB$36&amp;" "&amp;Milestones!$AC$36&amp;";  ","")&amp;IF(AND(EDATE($D26,Milestones!$AA$37)&lt;=AsOfDate,IF($R26=0,$X26,IF(AND($T26&lt;&gt;"",EDATE($D26,Milestones!$AA$37)&gt;=$T26),$W26,IF(AND($S26&lt;&gt;"",EDATE($D26,Milestones!$AA$37)&gt;=$S26),$V26,$U26)))=Milestones!$AB$37),UPPER(TEXT(EDATE($D26,Milestones!$AA$37),"dd mmm yy"))&amp;" "&amp;Milestones!$AB$37&amp;" "&amp;Milestones!$AC$37&amp;";  ","")&amp;IF(AND(EDATE($D26,Milestones!$AA$38)&lt;=AsOfDate,IF($R26=0,$X26,IF(AND($T26&lt;&gt;"",EDATE($D26,Milestones!$AA$38)&gt;=$T26),$W26,IF(AND($S26&lt;&gt;"",EDATE($D26,Milestones!$AA$38)&gt;=$S26),$V26,$U26)))=Milestones!$AB$38),UPPER(TEXT(EDATE($D26,Milestones!$AA$38),"dd mmm yy"))&amp;" "&amp;Milestones!$AB$38&amp;" "&amp;Milestones!$AC$38&amp;";  ","")&amp;IF(AND(EDATE($D26,Milestones!$AA$39)&lt;=AsOfDate,IF($R26=0,$X26,IF(AND($T26&lt;&gt;"",EDATE($D26,Milestones!$AA$39)&gt;=$T26),$W26,IF(AND($S26&lt;&gt;"",EDATE($D26,Milestones!$AA$39)&gt;=$S26),$V26,$U26)))=Milestones!$AB$39),UPPER(TEXT(EDATE($D26,Milestones!$AA$39),"dd mmm yy"))&amp;" "&amp;Milestones!$AB$39&amp;" "&amp;Milestones!$AC$39&amp;";  ",""))</f>
        <v/>
      </c>
      <c r="J26" s="0" t="str">
        <f aca="false">IF(OR($A26="",$D26=""),"",IF(AND(EDATE($D26,Milestones!$AA$40)&lt;=AsOfDate,IF($R26=0,$X26,IF(AND($T26&lt;&gt;"",EDATE($D26,Milestones!$AA$40)&gt;=$T26),$W26,IF(AND($S26&lt;&gt;"",EDATE($D26,Milestones!$AA$40)&gt;=$S26),$V26,$U26)))=Milestones!$AB$40),UPPER(TEXT(EDATE($D26,Milestones!$AA$40),"dd mmm yy"))&amp;" "&amp;Milestones!$AB$40&amp;" "&amp;Milestones!$AC$40&amp;";  ","")&amp;IF(AND(EDATE($D26,Milestones!$AA$41)&lt;=AsOfDate,IF($R26=0,$X26,IF(AND($T26&lt;&gt;"",EDATE($D26,Milestones!$AA$41)&gt;=$T26),$W26,IF(AND($S26&lt;&gt;"",EDATE($D26,Milestones!$AA$41)&gt;=$S26),$V26,$U26)))=Milestones!$AB$41),UPPER(TEXT(EDATE($D26,Milestones!$AA$41),"dd mmm yy"))&amp;" "&amp;Milestones!$AB$41&amp;" "&amp;Milestones!$AC$41&amp;";  ","")&amp;IF(AND(EDATE($D26,Milestones!$AA$42)&lt;=AsOfDate,IF($R26=0,$X26,IF(AND($T26&lt;&gt;"",EDATE($D26,Milestones!$AA$42)&gt;=$T26),$W26,IF(AND($S26&lt;&gt;"",EDATE($D26,Milestones!$AA$42)&gt;=$S26),$V26,$U26)))=Milestones!$AB$42),UPPER(TEXT(EDATE($D26,Milestones!$AA$42),"dd mmm yy"))&amp;" "&amp;Milestones!$AB$42&amp;" "&amp;Milestones!$AC$42&amp;";  ","")&amp;IF(AND(EDATE($D26,Milestones!$AA$43)&lt;=AsOfDate,IF($R26=0,$X26,IF(AND($T26&lt;&gt;"",EDATE($D26,Milestones!$AA$43)&gt;=$T26),$W26,IF(AND($S26&lt;&gt;"",EDATE($D26,Milestones!$AA$43)&gt;=$S26),$V26,$U26)))=Milestones!$AB$43),UPPER(TEXT(EDATE($D26,Milestones!$AA$43),"dd mmm yy"))&amp;" "&amp;Milestones!$AB$43&amp;" "&amp;Milestones!$AC$43&amp;";  ","")&amp;IF(AND(EDATE($D26,Milestones!$AA$44)&lt;=AsOfDate,IF($R26=0,$X26,IF(AND($T26&lt;&gt;"",EDATE($D26,Milestones!$AA$44)&gt;=$T26),$W26,IF(AND($S26&lt;&gt;"",EDATE($D26,Milestones!$AA$44)&gt;=$S26),$V26,$U26)))=Milestones!$AB$44),UPPER(TEXT(EDATE($D26,Milestones!$AA$44),"dd mmm yy"))&amp;" "&amp;Milestones!$AB$44&amp;" "&amp;Milestones!$AC$44&amp;";  ","")&amp;IF(AND(EDATE($D26,Milestones!$AA$45)&lt;=AsOfDate,IF($R26=0,$X26,IF(AND($T26&lt;&gt;"",EDATE($D26,Milestones!$AA$45)&gt;=$T26),$W26,IF(AND($S26&lt;&gt;"",EDATE($D26,Milestones!$AA$45)&gt;=$S26),$V26,$U26)))=Milestones!$AB$45),UPPER(TEXT(EDATE($D26,Milestones!$AA$45),"dd mmm yy"))&amp;" "&amp;Milestones!$AB$45&amp;" "&amp;Milestones!$AC$45&amp;";  ","")&amp;IF(AND(EDATE($D26,Milestones!$AA$46)&lt;=AsOfDate,IF($R26=0,$X26,IF(AND($T26&lt;&gt;"",EDATE($D26,Milestones!$AA$46)&gt;=$T26),$W26,IF(AND($S26&lt;&gt;"",EDATE($D26,Milestones!$AA$46)&gt;=$S26),$V26,$U26)))=Milestones!$AB$46),UPPER(TEXT(EDATE($D26,Milestones!$AA$46),"dd mmm yy"))&amp;" "&amp;Milestones!$AB$46&amp;" "&amp;Milestones!$AC$46&amp;";  ","")&amp;IF(AND(EDATE($D26,Milestones!$AA$47)&lt;=AsOfDate,IF($R26=0,$X26,IF(AND($T26&lt;&gt;"",EDATE($D26,Milestones!$AA$47)&gt;=$T26),$W26,IF(AND($S26&lt;&gt;"",EDATE($D26,Milestones!$AA$47)&gt;=$S26),$V26,$U26)))=Milestones!$AB$47),UPPER(TEXT(EDATE($D26,Milestones!$AA$47),"dd mmm yy"))&amp;" "&amp;Milestones!$AB$47&amp;" "&amp;Milestones!$AC$47&amp;";  ","")&amp;IF(AND(EDATE($D26,Milestones!$AA$48)&lt;=AsOfDate,IF($R26=0,$X26,IF(AND($T26&lt;&gt;"",EDATE($D26,Milestones!$AA$48)&gt;=$T26),$W26,IF(AND($S26&lt;&gt;"",EDATE($D26,Milestones!$AA$48)&gt;=$S26),$V26,$U26)))=Milestones!$AB$48),UPPER(TEXT(EDATE($D26,Milestones!$AA$48),"dd mmm yy"))&amp;" "&amp;Milestones!$AB$48&amp;" "&amp;Milestones!$AC$48&amp;";  ","")&amp;IF(AND(EDATE($D26,Milestones!$AA$49)&lt;=AsOfDate,IF($R26=0,$X26,IF(AND($T26&lt;&gt;"",EDATE($D26,Milestones!$AA$49)&gt;=$T26),$W26,IF(AND($S26&lt;&gt;"",EDATE($D26,Milestones!$AA$49)&gt;=$S26),$V26,$U26)))=Milestones!$AB$49),UPPER(TEXT(EDATE($D26,Milestones!$AA$49),"dd mmm yy"))&amp;" "&amp;Milestones!$AB$49&amp;" "&amp;Milestones!$AC$49&amp;";  ","")&amp;IF(AND(EDATE($D26,Milestones!$AA$50)&lt;=AsOfDate,IF($R26=0,$X26,IF(AND($T26&lt;&gt;"",EDATE($D26,Milestones!$AA$50)&gt;=$T26),$W26,IF(AND($S26&lt;&gt;"",EDATE($D26,Milestones!$AA$50)&gt;=$S26),$V26,$U26)))=Milestones!$AB$50),UPPER(TEXT(EDATE($D26,Milestones!$AA$50),"dd mmm yy"))&amp;" "&amp;Milestones!$AB$50&amp;" "&amp;Milestones!$AC$50&amp;";  ","")&amp;IF(AND(EDATE($D26,Milestones!$AA$51)&lt;=AsOfDate,IF($R26=0,$X26,IF(AND($T26&lt;&gt;"",EDATE($D26,Milestones!$AA$51)&gt;=$T26),$W26,IF(AND($S26&lt;&gt;"",EDATE($D26,Milestones!$AA$51)&gt;=$S26),$V26,$U26)))=Milestones!$AB$51),UPPER(TEXT(EDATE($D26,Milestones!$AA$51),"dd mmm yy"))&amp;" "&amp;Milestones!$AB$51&amp;" "&amp;Milestones!$AC$51&amp;";  ","")&amp;IF(AND(EDATE($D26,Milestones!$AA$52)&lt;=AsOfDate,IF($R26=0,$X26,IF(AND($T26&lt;&gt;"",EDATE($D26,Milestones!$AA$52)&gt;=$T26),$W26,IF(AND($S26&lt;&gt;"",EDATE($D26,Milestones!$AA$52)&gt;=$S26),$V26,$U26)))=Milestones!$AB$52),UPPER(TEXT(EDATE($D26,Milestones!$AA$52),"dd mmm yy"))&amp;" "&amp;Milestones!$AB$52&amp;" "&amp;Milestones!$AC$52&amp;";  ","")&amp;IF(AND(EDATE($D26,Milestones!$AA$53)&lt;=AsOfDate,IF($R26=0,$X26,IF(AND($T26&lt;&gt;"",EDATE($D26,Milestones!$AA$53)&gt;=$T26),$W26,IF(AND($S26&lt;&gt;"",EDATE($D26,Milestones!$AA$53)&gt;=$S26),$V26,$U26)))=Milestones!$AB$53),UPPER(TEXT(EDATE($D26,Milestones!$AA$53),"dd mmm yy"))&amp;" "&amp;Milestones!$AB$53&amp;" "&amp;Milestones!$AC$53&amp;";  ","")&amp;IF(AND(EDATE($D26,Milestones!$AA$54)&lt;=AsOfDate,IF($R26=0,$X26,IF(AND($T26&lt;&gt;"",EDATE($D26,Milestones!$AA$54)&gt;=$T26),$W26,IF(AND($S26&lt;&gt;"",EDATE($D26,Milestones!$AA$54)&gt;=$S26),$V26,$U26)))=Milestones!$AB$54),UPPER(TEXT(EDATE($D26,Milestones!$AA$54),"dd mmm yy"))&amp;" "&amp;Milestones!$AB$54&amp;" "&amp;Milestones!$AC$54&amp;";  ","")&amp;IF(AND(EDATE($D26,Milestones!$AA$55)&lt;=AsOfDate,IF($R26=0,$X26,IF(AND($T26&lt;&gt;"",EDATE($D26,Milestones!$AA$55)&gt;=$T26),$W26,IF(AND($S26&lt;&gt;"",EDATE($D26,Milestones!$AA$55)&gt;=$S26),$V26,$U26)))=Milestones!$AB$55),UPPER(TEXT(EDATE($D26,Milestones!$AA$55),"dd mmm yy"))&amp;" "&amp;Milestones!$AB$55&amp;" "&amp;Milestones!$AC$55&amp;";  ","")&amp;IF(AND(EDATE($D26,Milestones!$AA$56)&lt;=AsOfDate,IF($R26=0,$X26,IF(AND($T26&lt;&gt;"",EDATE($D26,Milestones!$AA$56)&gt;=$T26),$W26,IF(AND($S26&lt;&gt;"",EDATE($D26,Milestones!$AA$56)&gt;=$S26),$V26,$U26)))=Milestones!$AB$56),UPPER(TEXT(EDATE($D26,Milestones!$AA$56),"dd mmm yy"))&amp;" "&amp;Milestones!$AB$56&amp;" "&amp;Milestones!$AC$56&amp;";  ","")&amp;IF(AND(EDATE($D26,Milestones!$AA$57)&lt;=AsOfDate,IF($R26=0,$X26,IF(AND($T26&lt;&gt;"",EDATE($D26,Milestones!$AA$57)&gt;=$T26),$W26,IF(AND($S26&lt;&gt;"",EDATE($D26,Milestones!$AA$57)&gt;=$S26),$V26,$U26)))=Milestones!$AB$57),UPPER(TEXT(EDATE($D26,Milestones!$AA$57),"dd mmm yy"))&amp;" "&amp;Milestones!$AB$57&amp;" "&amp;Milestones!$AC$57&amp;";  ","")&amp;IF(AND(EDATE($D26,Milestones!$AA$58)&lt;=AsOfDate,IF($R26=0,$X26,IF(AND($T26&lt;&gt;"",EDATE($D26,Milestones!$AA$58)&gt;=$T26),$W26,IF(AND($S26&lt;&gt;"",EDATE($D26,Milestones!$AA$58)&gt;=$S26),$V26,$U26)))=Milestones!$AB$58),UPPER(TEXT(EDATE($D26,Milestones!$AA$58),"dd mmm yy"))&amp;" "&amp;Milestones!$AB$58&amp;" "&amp;Milestones!$AC$58&amp;";  ","")&amp;IF(AND(EDATE($D26,Milestones!$AA$59)&lt;=AsOfDate,IF($R26=0,$X26,IF(AND($T26&lt;&gt;"",EDATE($D26,Milestones!$AA$59)&gt;=$T26),$W26,IF(AND($S26&lt;&gt;"",EDATE($D26,Milestones!$AA$59)&gt;=$S26),$V26,$U26)))=Milestones!$AB$59),UPPER(TEXT(EDATE($D26,Milestones!$AA$59),"dd mmm yy"))&amp;" "&amp;Milestones!$AB$59&amp;" "&amp;Milestones!$AC$59&amp;";  ",""))</f>
        <v/>
      </c>
      <c r="K26" s="0" t="str">
        <f aca="false">IF(OR($A26="",$D26=""),"",IF(AND(EDATE($D26,Milestones!$AA$60)&lt;=AsOfDate,IF($R26=0,$X26,IF(AND($T26&lt;&gt;"",EDATE($D26,Milestones!$AA$60)&gt;=$T26),$W26,IF(AND($S26&lt;&gt;"",EDATE($D26,Milestones!$AA$60)&gt;=$S26),$V26,$U26)))=Milestones!$AB$60),UPPER(TEXT(EDATE($D26,Milestones!$AA$60),"dd mmm yy"))&amp;" "&amp;Milestones!$AB$60&amp;" "&amp;Milestones!$AC$60&amp;";  ","")&amp;IF(AND(EDATE($D26,Milestones!$AA$61)&lt;=AsOfDate,IF($R26=0,$X26,IF(AND($T26&lt;&gt;"",EDATE($D26,Milestones!$AA$61)&gt;=$T26),$W26,IF(AND($S26&lt;&gt;"",EDATE($D26,Milestones!$AA$61)&gt;=$S26),$V26,$U26)))=Milestones!$AB$61),UPPER(TEXT(EDATE($D26,Milestones!$AA$61),"dd mmm yy"))&amp;" "&amp;Milestones!$AB$61&amp;" "&amp;Milestones!$AC$61&amp;";  ","")&amp;IF(AND(EDATE($D26,Milestones!$AA$62)&lt;=AsOfDate,IF($R26=0,$X26,IF(AND($T26&lt;&gt;"",EDATE($D26,Milestones!$AA$62)&gt;=$T26),$W26,IF(AND($S26&lt;&gt;"",EDATE($D26,Milestones!$AA$62)&gt;=$S26),$V26,$U26)))=Milestones!$AB$62),UPPER(TEXT(EDATE($D26,Milestones!$AA$62),"dd mmm yy"))&amp;" "&amp;Milestones!$AB$62&amp;" "&amp;Milestones!$AC$62&amp;";  ","")&amp;IF(AND(EDATE($D26,Milestones!$AA$63)&lt;=AsOfDate,IF($R26=0,$X26,IF(AND($T26&lt;&gt;"",EDATE($D26,Milestones!$AA$63)&gt;=$T26),$W26,IF(AND($S26&lt;&gt;"",EDATE($D26,Milestones!$AA$63)&gt;=$S26),$V26,$U26)))=Milestones!$AB$63),UPPER(TEXT(EDATE($D26,Milestones!$AA$63),"dd mmm yy"))&amp;" "&amp;Milestones!$AB$63&amp;" "&amp;Milestones!$AC$63&amp;";  ","")&amp;IF(AND(EDATE($D26,Milestones!$AA$64)&lt;=AsOfDate,IF($R26=0,$X26,IF(AND($T26&lt;&gt;"",EDATE($D26,Milestones!$AA$64)&gt;=$T26),$W26,IF(AND($S26&lt;&gt;"",EDATE($D26,Milestones!$AA$64)&gt;=$S26),$V26,$U26)))=Milestones!$AB$64),UPPER(TEXT(EDATE($D26,Milestones!$AA$64),"dd mmm yy"))&amp;" "&amp;Milestones!$AB$64&amp;" "&amp;Milestones!$AC$64&amp;";  ","")&amp;IF(AND(EDATE($D26,Milestones!$AA$65)&lt;=AsOfDate,IF($R26=0,$X26,IF(AND($T26&lt;&gt;"",EDATE($D26,Milestones!$AA$65)&gt;=$T26),$W26,IF(AND($S26&lt;&gt;"",EDATE($D26,Milestones!$AA$65)&gt;=$S26),$V26,$U26)))=Milestones!$AB$65),UPPER(TEXT(EDATE($D26,Milestones!$AA$65),"dd mmm yy"))&amp;" "&amp;Milestones!$AB$65&amp;" "&amp;Milestones!$AC$65&amp;";  ","")&amp;IF(AND(EDATE($D26,Milestones!$AA$66)&lt;=AsOfDate,IF($R26=0,$X26,IF(AND($T26&lt;&gt;"",EDATE($D26,Milestones!$AA$66)&gt;=$T26),$W26,IF(AND($S26&lt;&gt;"",EDATE($D26,Milestones!$AA$66)&gt;=$S26),$V26,$U26)))=Milestones!$AB$66),UPPER(TEXT(EDATE($D26,Milestones!$AA$66),"dd mmm yy"))&amp;" "&amp;Milestones!$AB$66&amp;" "&amp;Milestones!$AC$66&amp;";  ","")&amp;IF(AND(EDATE($D26,Milestones!$AA$67)&lt;=AsOfDate,IF($R26=0,$X26,IF(AND($T26&lt;&gt;"",EDATE($D26,Milestones!$AA$67)&gt;=$T26),$W26,IF(AND($S26&lt;&gt;"",EDATE($D26,Milestones!$AA$67)&gt;=$S26),$V26,$U26)))=Milestones!$AB$67),UPPER(TEXT(EDATE($D26,Milestones!$AA$67),"dd mmm yy"))&amp;" "&amp;Milestones!$AB$67&amp;" "&amp;Milestones!$AC$67&amp;";  ","")&amp;IF(AND(EDATE($D26,Milestones!$AA$68)&lt;=AsOfDate,IF($R26=0,$X26,IF(AND($T26&lt;&gt;"",EDATE($D26,Milestones!$AA$68)&gt;=$T26),$W26,IF(AND($S26&lt;&gt;"",EDATE($D26,Milestones!$AA$68)&gt;=$S26),$V26,$U26)))=Milestones!$AB$68),UPPER(TEXT(EDATE($D26,Milestones!$AA$68),"dd mmm yy"))&amp;" "&amp;Milestones!$AB$68&amp;" "&amp;Milestones!$AC$68&amp;";  ","")&amp;IF(AND(EDATE($D26,Milestones!$AA$69)&lt;=AsOfDate,IF($R26=0,$X26,IF(AND($T26&lt;&gt;"",EDATE($D26,Milestones!$AA$69)&gt;=$T26),$W26,IF(AND($S26&lt;&gt;"",EDATE($D26,Milestones!$AA$69)&gt;=$S26),$V26,$U26)))=Milestones!$AB$69),UPPER(TEXT(EDATE($D26,Milestones!$AA$69),"dd mmm yy"))&amp;" "&amp;Milestones!$AB$69&amp;" "&amp;Milestones!$AC$69&amp;";  ","")&amp;IF(AND(EDATE($D26,Milestones!$AA$70)&lt;=AsOfDate,IF($R26=0,$X26,IF(AND($T26&lt;&gt;"",EDATE($D26,Milestones!$AA$70)&gt;=$T26),$W26,IF(AND($S26&lt;&gt;"",EDATE($D26,Milestones!$AA$70)&gt;=$S26),$V26,$U26)))=Milestones!$AB$70),UPPER(TEXT(EDATE($D26,Milestones!$AA$70),"dd mmm yy"))&amp;" "&amp;Milestones!$AB$70&amp;" "&amp;Milestones!$AC$70&amp;";  ","")&amp;IF(AND(EDATE($D26,Milestones!$AA$71)&lt;=AsOfDate,IF($R26=0,$X26,IF(AND($T26&lt;&gt;"",EDATE($D26,Milestones!$AA$71)&gt;=$T26),$W26,IF(AND($S26&lt;&gt;"",EDATE($D26,Milestones!$AA$71)&gt;=$S26),$V26,$U26)))=Milestones!$AB$71),UPPER(TEXT(EDATE($D26,Milestones!$AA$71),"dd mmm yy"))&amp;" "&amp;Milestones!$AB$71&amp;" "&amp;Milestones!$AC$71&amp;";  ","")&amp;IF(AND(EDATE($D26,Milestones!$AA$72)&lt;=AsOfDate,IF($R26=0,$X26,IF(AND($T26&lt;&gt;"",EDATE($D26,Milestones!$AA$72)&gt;=$T26),$W26,IF(AND($S26&lt;&gt;"",EDATE($D26,Milestones!$AA$72)&gt;=$S26),$V26,$U26)))=Milestones!$AB$72),UPPER(TEXT(EDATE($D26,Milestones!$AA$72),"dd mmm yy"))&amp;" "&amp;Milestones!$AB$72&amp;" "&amp;Milestones!$AC$72&amp;";  ","")&amp;IF(AND(EDATE($D26,Milestones!$AA$73)&lt;=AsOfDate,IF($R26=0,$X26,IF(AND($T26&lt;&gt;"",EDATE($D26,Milestones!$AA$73)&gt;=$T26),$W26,IF(AND($S26&lt;&gt;"",EDATE($D26,Milestones!$AA$73)&gt;=$S26),$V26,$U26)))=Milestones!$AB$73),UPPER(TEXT(EDATE($D26,Milestones!$AA$73),"dd mmm yy"))&amp;" "&amp;Milestones!$AB$73&amp;" "&amp;Milestones!$AC$73&amp;";  ","")&amp;IF(AND(EDATE($D26,Milestones!$AA$74)&lt;=AsOfDate,IF($R26=0,$X26,IF(AND($T26&lt;&gt;"",EDATE($D26,Milestones!$AA$74)&gt;=$T26),$W26,IF(AND($S26&lt;&gt;"",EDATE($D26,Milestones!$AA$74)&gt;=$S26),$V26,$U26)))=Milestones!$AB$74),UPPER(TEXT(EDATE($D26,Milestones!$AA$74),"dd mmm yy"))&amp;" "&amp;Milestones!$AB$74&amp;" "&amp;Milestones!$AC$74&amp;";  ","")&amp;IF(AND(EDATE($D26,Milestones!$AA$75)&lt;=AsOfDate,IF($R26=0,$X26,IF(AND($T26&lt;&gt;"",EDATE($D26,Milestones!$AA$75)&gt;=$T26),$W26,IF(AND($S26&lt;&gt;"",EDATE($D26,Milestones!$AA$75)&gt;=$S26),$V26,$U26)))=Milestones!$AB$75),UPPER(TEXT(EDATE($D26,Milestones!$AA$75),"dd mmm yy"))&amp;" "&amp;Milestones!$AB$75&amp;" "&amp;Milestones!$AC$75&amp;";  ","")&amp;IF(AND(EDATE($D26,Milestones!$AA$76)&lt;=AsOfDate,IF($R26=0,$X26,IF(AND($T26&lt;&gt;"",EDATE($D26,Milestones!$AA$76)&gt;=$T26),$W26,IF(AND($S26&lt;&gt;"",EDATE($D26,Milestones!$AA$76)&gt;=$S26),$V26,$U26)))=Milestones!$AB$76),UPPER(TEXT(EDATE($D26,Milestones!$AA$76),"dd mmm yy"))&amp;" "&amp;Milestones!$AB$76&amp;" "&amp;Milestones!$AC$76&amp;";  ","")&amp;IF(AND(EDATE($D26,Milestones!$AA$77)&lt;=AsOfDate,IF($R26=0,$X26,IF(AND($T26&lt;&gt;"",EDATE($D26,Milestones!$AA$77)&gt;=$T26),$W26,IF(AND($S26&lt;&gt;"",EDATE($D26,Milestones!$AA$77)&gt;=$S26),$V26,$U26)))=Milestones!$AB$77),UPPER(TEXT(EDATE($D26,Milestones!$AA$77),"dd mmm yy"))&amp;" "&amp;Milestones!$AB$77&amp;" "&amp;Milestones!$AC$77&amp;";  ","")&amp;IF(AND(EDATE($D26,Milestones!$AA$78)&lt;=AsOfDate,IF($R26=0,$X26,IF(AND($T26&lt;&gt;"",EDATE($D26,Milestones!$AA$78)&gt;=$T26),$W26,IF(AND($S26&lt;&gt;"",EDATE($D26,Milestones!$AA$78)&gt;=$S26),$V26,$U26)))=Milestones!$AB$78),UPPER(TEXT(EDATE($D26,Milestones!$AA$78),"dd mmm yy"))&amp;" "&amp;Milestones!$AB$78&amp;" "&amp;Milestones!$AC$78&amp;";  ","")&amp;IF(AND(EDATE($D26,Milestones!$AA$79)&lt;=AsOfDate,IF($R26=0,$X26,IF(AND($T26&lt;&gt;"",EDATE($D26,Milestones!$AA$79)&gt;=$T26),$W26,IF(AND($S26&lt;&gt;"",EDATE($D26,Milestones!$AA$79)&gt;=$S26),$V26,$U26)))=Milestones!$AB$79),UPPER(TEXT(EDATE($D26,Milestones!$AA$79),"dd mmm yy"))&amp;" "&amp;Milestones!$AB$79&amp;" "&amp;Milestones!$AC$79&amp;";  ",""))</f>
        <v/>
      </c>
      <c r="L26" s="0" t="str">
        <f aca="false">IF(OR($A26="",$D26=""),"",IF(AND(EDATE($D26,Milestones!$AA$80)&lt;=AsOfDate,IF($R26=0,$X26,IF(AND($T26&lt;&gt;"",EDATE($D26,Milestones!$AA$80)&gt;=$T26),$W26,IF(AND($S26&lt;&gt;"",EDATE($D26,Milestones!$AA$80)&gt;=$S26),$V26,$U26)))=Milestones!$AB$80),UPPER(TEXT(EDATE($D26,Milestones!$AA$80),"dd mmm yy"))&amp;" "&amp;Milestones!$AB$80&amp;" "&amp;Milestones!$AC$80&amp;";  ","")&amp;IF(AND(EDATE($D26,Milestones!$AA$81)&lt;=AsOfDate,IF($R26=0,$X26,IF(AND($T26&lt;&gt;"",EDATE($D26,Milestones!$AA$81)&gt;=$T26),$W26,IF(AND($S26&lt;&gt;"",EDATE($D26,Milestones!$AA$81)&gt;=$S26),$V26,$U26)))=Milestones!$AB$81),UPPER(TEXT(EDATE($D26,Milestones!$AA$81),"dd mmm yy"))&amp;" "&amp;Milestones!$AB$81&amp;" "&amp;Milestones!$AC$81&amp;";  ","")&amp;IF(AND(EDATE($D26,Milestones!$AA$82)&lt;=AsOfDate,IF($R26=0,$X26,IF(AND($T26&lt;&gt;"",EDATE($D26,Milestones!$AA$82)&gt;=$T26),$W26,IF(AND($S26&lt;&gt;"",EDATE($D26,Milestones!$AA$82)&gt;=$S26),$V26,$U26)))=Milestones!$AB$82),UPPER(TEXT(EDATE($D26,Milestones!$AA$82),"dd mmm yy"))&amp;" "&amp;Milestones!$AB$82&amp;" "&amp;Milestones!$AC$82&amp;";  ","")&amp;IF(AND(EDATE($D26,Milestones!$AA$83)&lt;=AsOfDate,IF($R26=0,$X26,IF(AND($T26&lt;&gt;"",EDATE($D26,Milestones!$AA$83)&gt;=$T26),$W26,IF(AND($S26&lt;&gt;"",EDATE($D26,Milestones!$AA$83)&gt;=$S26),$V26,$U26)))=Milestones!$AB$83),UPPER(TEXT(EDATE($D26,Milestones!$AA$83),"dd mmm yy"))&amp;" "&amp;Milestones!$AB$83&amp;" "&amp;Milestones!$AC$83&amp;";  ","")&amp;IF(AND(EDATE($D26,Milestones!$AA$84)&lt;=AsOfDate,IF($R26=0,$X26,IF(AND($T26&lt;&gt;"",EDATE($D26,Milestones!$AA$84)&gt;=$T26),$W26,IF(AND($S26&lt;&gt;"",EDATE($D26,Milestones!$AA$84)&gt;=$S26),$V26,$U26)))=Milestones!$AB$84),UPPER(TEXT(EDATE($D26,Milestones!$AA$84),"dd mmm yy"))&amp;" "&amp;Milestones!$AB$84&amp;" "&amp;Milestones!$AC$84&amp;";  ","")&amp;IF(AND(EDATE($D26,Milestones!$AA$85)&lt;=AsOfDate,IF($R26=0,$X26,IF(AND($T26&lt;&gt;"",EDATE($D26,Milestones!$AA$85)&gt;=$T26),$W26,IF(AND($S26&lt;&gt;"",EDATE($D26,Milestones!$AA$85)&gt;=$S26),$V26,$U26)))=Milestones!$AB$85),UPPER(TEXT(EDATE($D26,Milestones!$AA$85),"dd mmm yy"))&amp;" "&amp;Milestones!$AB$85&amp;" "&amp;Milestones!$AC$85&amp;";  ","")&amp;IF(AND(EDATE($D26,Milestones!$AA$86)&lt;=AsOfDate,IF($R26=0,$X26,IF(AND($T26&lt;&gt;"",EDATE($D26,Milestones!$AA$86)&gt;=$T26),$W26,IF(AND($S26&lt;&gt;"",EDATE($D26,Milestones!$AA$86)&gt;=$S26),$V26,$U26)))=Milestones!$AB$86),UPPER(TEXT(EDATE($D26,Milestones!$AA$86),"dd mmm yy"))&amp;" "&amp;Milestones!$AB$86&amp;" "&amp;Milestones!$AC$86&amp;";  ","")&amp;IF(AND(EDATE($D26,Milestones!$AA$87)&lt;=AsOfDate,IF($R26=0,$X26,IF(AND($T26&lt;&gt;"",EDATE($D26,Milestones!$AA$87)&gt;=$T26),$W26,IF(AND($S26&lt;&gt;"",EDATE($D26,Milestones!$AA$87)&gt;=$S26),$V26,$U26)))=Milestones!$AB$87),UPPER(TEXT(EDATE($D26,Milestones!$AA$87),"dd mmm yy"))&amp;" "&amp;Milestones!$AB$87&amp;" "&amp;Milestones!$AC$87&amp;";  ","")&amp;IF(AND(EDATE($D26,Milestones!$AA$88)&lt;=AsOfDate,IF($R26=0,$X26,IF(AND($T26&lt;&gt;"",EDATE($D26,Milestones!$AA$88)&gt;=$T26),$W26,IF(AND($S26&lt;&gt;"",EDATE($D26,Milestones!$AA$88)&gt;=$S26),$V26,$U26)))=Milestones!$AB$88),UPPER(TEXT(EDATE($D26,Milestones!$AA$88),"dd mmm yy"))&amp;" "&amp;Milestones!$AB$88&amp;" "&amp;Milestones!$AC$88&amp;";  ","")&amp;IF(AND(EDATE($D26,Milestones!$AA$89)&lt;=AsOfDate,IF($R26=0,$X26,IF(AND($T26&lt;&gt;"",EDATE($D26,Milestones!$AA$89)&gt;=$T26),$W26,IF(AND($S26&lt;&gt;"",EDATE($D26,Milestones!$AA$89)&gt;=$S26),$V26,$U26)))=Milestones!$AB$89),UPPER(TEXT(EDATE($D26,Milestones!$AA$89),"dd mmm yy"))&amp;" "&amp;Milestones!$AB$89&amp;" "&amp;Milestones!$AC$89&amp;";  ","")&amp;IF(AND(EDATE($D26,Milestones!$AA$90)&lt;=AsOfDate,IF($R26=0,$X26,IF(AND($T26&lt;&gt;"",EDATE($D26,Milestones!$AA$90)&gt;=$T26),$W26,IF(AND($S26&lt;&gt;"",EDATE($D26,Milestones!$AA$90)&gt;=$S26),$V26,$U26)))=Milestones!$AB$90),UPPER(TEXT(EDATE($D26,Milestones!$AA$90),"dd mmm yy"))&amp;" "&amp;Milestones!$AB$90&amp;" "&amp;Milestones!$AC$90&amp;";  ","")&amp;IF(AND(EDATE($D26,Milestones!$AA$91)&lt;=AsOfDate,IF($R26=0,$X26,IF(AND($T26&lt;&gt;"",EDATE($D26,Milestones!$AA$91)&gt;=$T26),$W26,IF(AND($S26&lt;&gt;"",EDATE($D26,Milestones!$AA$91)&gt;=$S26),$V26,$U26)))=Milestones!$AB$91),UPPER(TEXT(EDATE($D26,Milestones!$AA$91),"dd mmm yy"))&amp;" "&amp;Milestones!$AB$91&amp;" "&amp;Milestones!$AC$91&amp;";  ","")&amp;IF(AND(EDATE($D26,Milestones!$AA$92)&lt;=AsOfDate,IF($R26=0,$X26,IF(AND($T26&lt;&gt;"",EDATE($D26,Milestones!$AA$92)&gt;=$T26),$W26,IF(AND($S26&lt;&gt;"",EDATE($D26,Milestones!$AA$92)&gt;=$S26),$V26,$U26)))=Milestones!$AB$92),UPPER(TEXT(EDATE($D26,Milestones!$AA$92),"dd mmm yy"))&amp;" "&amp;Milestones!$AB$92&amp;" "&amp;Milestones!$AC$92&amp;";  ","")&amp;IF(AND(EDATE($D26,Milestones!$AA$93)&lt;=AsOfDate,IF($R26=0,$X26,IF(AND($T26&lt;&gt;"",EDATE($D26,Milestones!$AA$93)&gt;=$T26),$W26,IF(AND($S26&lt;&gt;"",EDATE($D26,Milestones!$AA$93)&gt;=$S26),$V26,$U26)))=Milestones!$AB$93),UPPER(TEXT(EDATE($D26,Milestones!$AA$93),"dd mmm yy"))&amp;" "&amp;Milestones!$AB$93&amp;" "&amp;Milestones!$AC$93&amp;";  ","")&amp;IF(AND(EDATE($D26,Milestones!$AA$94)&lt;=AsOfDate,IF($R26=0,$X26,IF(AND($T26&lt;&gt;"",EDATE($D26,Milestones!$AA$94)&gt;=$T26),$W26,IF(AND($S26&lt;&gt;"",EDATE($D26,Milestones!$AA$94)&gt;=$S26),$V26,$U26)))=Milestones!$AB$94),UPPER(TEXT(EDATE($D26,Milestones!$AA$94),"dd mmm yy"))&amp;" "&amp;Milestones!$AB$94&amp;" "&amp;Milestones!$AC$94&amp;";  ","")&amp;IF(AND(EDATE($D26,Milestones!$AA$95)&lt;=AsOfDate,IF($R26=0,$X26,IF(AND($T26&lt;&gt;"",EDATE($D26,Milestones!$AA$95)&gt;=$T26),$W26,IF(AND($S26&lt;&gt;"",EDATE($D26,Milestones!$AA$95)&gt;=$S26),$V26,$U26)))=Milestones!$AB$95),UPPER(TEXT(EDATE($D26,Milestones!$AA$95),"dd mmm yy"))&amp;" "&amp;Milestones!$AB$95&amp;" "&amp;Milestones!$AC$95&amp;";  ","")&amp;IF(AND(EDATE($D26,Milestones!$AA$96)&lt;=AsOfDate,IF($R26=0,$X26,IF(AND($T26&lt;&gt;"",EDATE($D26,Milestones!$AA$96)&gt;=$T26),$W26,IF(AND($S26&lt;&gt;"",EDATE($D26,Milestones!$AA$96)&gt;=$S26),$V26,$U26)))=Milestones!$AB$96),UPPER(TEXT(EDATE($D26,Milestones!$AA$96),"dd mmm yy"))&amp;" "&amp;Milestones!$AB$96&amp;" "&amp;Milestones!$AC$96&amp;";  ","")&amp;IF(AND(EDATE($D26,Milestones!$AA$97)&lt;=AsOfDate,IF($R26=0,$X26,IF(AND($T26&lt;&gt;"",EDATE($D26,Milestones!$AA$97)&gt;=$T26),$W26,IF(AND($S26&lt;&gt;"",EDATE($D26,Milestones!$AA$97)&gt;=$S26),$V26,$U26)))=Milestones!$AB$97),UPPER(TEXT(EDATE($D26,Milestones!$AA$97),"dd mmm yy"))&amp;" "&amp;Milestones!$AB$97&amp;" "&amp;Milestones!$AC$97&amp;";  ","")&amp;IF(AND(EDATE($D26,Milestones!$AA$98)&lt;=AsOfDate,IF($R26=0,$X26,IF(AND($T26&lt;&gt;"",EDATE($D26,Milestones!$AA$98)&gt;=$T26),$W26,IF(AND($S26&lt;&gt;"",EDATE($D26,Milestones!$AA$98)&gt;=$S26),$V26,$U26)))=Milestones!$AB$98),UPPER(TEXT(EDATE($D26,Milestones!$AA$98),"dd mmm yy"))&amp;" "&amp;Milestones!$AB$98&amp;" "&amp;Milestones!$AC$98&amp;";  ","")&amp;IF(AND(EDATE($D26,Milestones!$AA$99)&lt;=AsOfDate,IF($R26=0,$X26,IF(AND($T26&lt;&gt;"",EDATE($D26,Milestones!$AA$99)&gt;=$T26),$W26,IF(AND($S26&lt;&gt;"",EDATE($D26,Milestones!$AA$99)&gt;=$S26),$V26,$U26)))=Milestones!$AB$99),UPPER(TEXT(EDATE($D26,Milestones!$AA$99),"dd mmm yy"))&amp;" "&amp;Milestones!$AB$99&amp;" "&amp;Milestones!$AC$99&amp;";  ",""))</f>
        <v/>
      </c>
      <c r="M26" s="0" t="str">
        <f aca="false">IF(OR($A26="",$D26=""),"",IF(AND(EDATE($D26,Milestones!$AA$100)&lt;=AsOfDate,IF($R26=0,$X26,IF(AND($T26&lt;&gt;"",EDATE($D26,Milestones!$AA$100)&gt;=$T26),$W26,IF(AND($S26&lt;&gt;"",EDATE($D26,Milestones!$AA$100)&gt;=$S26),$V26,$U26)))=Milestones!$AB$100),UPPER(TEXT(EDATE($D26,Milestones!$AA$100),"dd mmm yy"))&amp;" "&amp;Milestones!$AB$100&amp;" "&amp;Milestones!$AC$100&amp;";  ","")&amp;IF(AND(EDATE($D26,Milestones!$AA$101)&lt;=AsOfDate,IF($R26=0,$X26,IF(AND($T26&lt;&gt;"",EDATE($D26,Milestones!$AA$101)&gt;=$T26),$W26,IF(AND($S26&lt;&gt;"",EDATE($D26,Milestones!$AA$101)&gt;=$S26),$V26,$U26)))=Milestones!$AB$101),UPPER(TEXT(EDATE($D26,Milestones!$AA$101),"dd mmm yy"))&amp;" "&amp;Milestones!$AB$101&amp;" "&amp;Milestones!$AC$101&amp;";  ","")&amp;IF(AND(EDATE($D26,Milestones!$AA$102)&lt;=AsOfDate,IF($R26=0,$X26,IF(AND($T26&lt;&gt;"",EDATE($D26,Milestones!$AA$102)&gt;=$T26),$W26,IF(AND($S26&lt;&gt;"",EDATE($D26,Milestones!$AA$102)&gt;=$S26),$V26,$U26)))=Milestones!$AB$102),UPPER(TEXT(EDATE($D26,Milestones!$AA$102),"dd mmm yy"))&amp;" "&amp;Milestones!$AB$102&amp;" "&amp;Milestones!$AC$102&amp;";  ","")&amp;IF(AND(EDATE($D26,Milestones!$AA$103)&lt;=AsOfDate,IF($R26=0,$X26,IF(AND($T26&lt;&gt;"",EDATE($D26,Milestones!$AA$103)&gt;=$T26),$W26,IF(AND($S26&lt;&gt;"",EDATE($D26,Milestones!$AA$103)&gt;=$S26),$V26,$U26)))=Milestones!$AB$103),UPPER(TEXT(EDATE($D26,Milestones!$AA$103),"dd mmm yy"))&amp;" "&amp;Milestones!$AB$103&amp;" "&amp;Milestones!$AC$103&amp;";  ","")&amp;IF(AND(EDATE($D26,Milestones!$AA$104)&lt;=AsOfDate,IF($R26=0,$X26,IF(AND($T26&lt;&gt;"",EDATE($D26,Milestones!$AA$104)&gt;=$T26),$W26,IF(AND($S26&lt;&gt;"",EDATE($D26,Milestones!$AA$104)&gt;=$S26),$V26,$U26)))=Milestones!$AB$104),UPPER(TEXT(EDATE($D26,Milestones!$AA$104),"dd mmm yy"))&amp;" "&amp;Milestones!$AB$104&amp;" "&amp;Milestones!$AC$104&amp;";  ","")&amp;IF(AND(EDATE($D26,Milestones!$AA$105)&lt;=AsOfDate,IF($R26=0,$X26,IF(AND($T26&lt;&gt;"",EDATE($D26,Milestones!$AA$105)&gt;=$T26),$W26,IF(AND($S26&lt;&gt;"",EDATE($D26,Milestones!$AA$105)&gt;=$S26),$V26,$U26)))=Milestones!$AB$105),UPPER(TEXT(EDATE($D26,Milestones!$AA$105),"dd mmm yy"))&amp;" "&amp;Milestones!$AB$105&amp;" "&amp;Milestones!$AC$105&amp;";  ","")&amp;IF(AND(EDATE($D26,Milestones!$AA$106)&lt;=AsOfDate,IF($R26=0,$X26,IF(AND($T26&lt;&gt;"",EDATE($D26,Milestones!$AA$106)&gt;=$T26),$W26,IF(AND($S26&lt;&gt;"",EDATE($D26,Milestones!$AA$106)&gt;=$S26),$V26,$U26)))=Milestones!$AB$106),UPPER(TEXT(EDATE($D26,Milestones!$AA$106),"dd mmm yy"))&amp;" "&amp;Milestones!$AB$106&amp;" "&amp;Milestones!$AC$106&amp;";  ","")&amp;IF(AND(EDATE($D26,Milestones!$AA$107)&lt;=AsOfDate,IF($R26=0,$X26,IF(AND($T26&lt;&gt;"",EDATE($D26,Milestones!$AA$107)&gt;=$T26),$W26,IF(AND($S26&lt;&gt;"",EDATE($D26,Milestones!$AA$107)&gt;=$S26),$V26,$U26)))=Milestones!$AB$107),UPPER(TEXT(EDATE($D26,Milestones!$AA$107),"dd mmm yy"))&amp;" "&amp;Milestones!$AB$107&amp;" "&amp;Milestones!$AC$107&amp;";  ","")&amp;IF(AND(EDATE($D26,Milestones!$AA$108)&lt;=AsOfDate,IF($R26=0,$X26,IF(AND($T26&lt;&gt;"",EDATE($D26,Milestones!$AA$108)&gt;=$T26),$W26,IF(AND($S26&lt;&gt;"",EDATE($D26,Milestones!$AA$108)&gt;=$S26),$V26,$U26)))=Milestones!$AB$108),UPPER(TEXT(EDATE($D26,Milestones!$AA$108),"dd mmm yy"))&amp;" "&amp;Milestones!$AB$108&amp;" "&amp;Milestones!$AC$108&amp;";  ","")&amp;IF(AND(EDATE($D26,Milestones!$AA$109)&lt;=AsOfDate,IF($R26=0,$X26,IF(AND($T26&lt;&gt;"",EDATE($D26,Milestones!$AA$109)&gt;=$T26),$W26,IF(AND($S26&lt;&gt;"",EDATE($D26,Milestones!$AA$109)&gt;=$S26),$V26,$U26)))=Milestones!$AB$109),UPPER(TEXT(EDATE($D26,Milestones!$AA$109),"dd mmm yy"))&amp;" "&amp;Milestones!$AB$109&amp;" "&amp;Milestones!$AC$109&amp;";  ","")&amp;IF(AND(EDATE($D26,Milestones!$AA$110)&lt;=AsOfDate,IF($R26=0,$X26,IF(AND($T26&lt;&gt;"",EDATE($D26,Milestones!$AA$110)&gt;=$T26),$W26,IF(AND($S26&lt;&gt;"",EDATE($D26,Milestones!$AA$110)&gt;=$S26),$V26,$U26)))=Milestones!$AB$110),UPPER(TEXT(EDATE($D26,Milestones!$AA$110),"dd mmm yy"))&amp;" "&amp;Milestones!$AB$110&amp;" "&amp;Milestones!$AC$110&amp;";  ","")&amp;IF(AND(EDATE($D26,Milestones!$AA$111)&lt;=AsOfDate,IF($R26=0,$X26,IF(AND($T26&lt;&gt;"",EDATE($D26,Milestones!$AA$111)&gt;=$T26),$W26,IF(AND($S26&lt;&gt;"",EDATE($D26,Milestones!$AA$111)&gt;=$S26),$V26,$U26)))=Milestones!$AB$111),UPPER(TEXT(EDATE($D26,Milestones!$AA$111),"dd mmm yy"))&amp;" "&amp;Milestones!$AB$111&amp;" "&amp;Milestones!$AC$111&amp;";  ","")&amp;IF(AND(EDATE($D26,Milestones!$AA$112)&lt;=AsOfDate,IF($R26=0,$X26,IF(AND($T26&lt;&gt;"",EDATE($D26,Milestones!$AA$112)&gt;=$T26),$W26,IF(AND($S26&lt;&gt;"",EDATE($D26,Milestones!$AA$112)&gt;=$S26),$V26,$U26)))=Milestones!$AB$112),UPPER(TEXT(EDATE($D26,Milestones!$AA$112),"dd mmm yy"))&amp;" "&amp;Milestones!$AB$112&amp;" "&amp;Milestones!$AC$112&amp;";  ","")&amp;IF(AND(EDATE($D26,Milestones!$AA$113)&lt;=AsOfDate,IF($R26=0,$X26,IF(AND($T26&lt;&gt;"",EDATE($D26,Milestones!$AA$113)&gt;=$T26),$W26,IF(AND($S26&lt;&gt;"",EDATE($D26,Milestones!$AA$113)&gt;=$S26),$V26,$U26)))=Milestones!$AB$113),UPPER(TEXT(EDATE($D26,Milestones!$AA$113),"dd mmm yy"))&amp;" "&amp;Milestones!$AB$113&amp;" "&amp;Milestones!$AC$113&amp;";  ","")&amp;IF(AND(EDATE($D26,Milestones!$AA$114)&lt;=AsOfDate,IF($R26=0,$X26,IF(AND($T26&lt;&gt;"",EDATE($D26,Milestones!$AA$114)&gt;=$T26),$W26,IF(AND($S26&lt;&gt;"",EDATE($D26,Milestones!$AA$114)&gt;=$S26),$V26,$U26)))=Milestones!$AB$114),UPPER(TEXT(EDATE($D26,Milestones!$AA$114),"dd mmm yy"))&amp;" "&amp;Milestones!$AB$114&amp;" "&amp;Milestones!$AC$114&amp;";  ","")&amp;IF(AND(EDATE($D26,Milestones!$AA$115)&lt;=AsOfDate,IF($R26=0,$X26,IF(AND($T26&lt;&gt;"",EDATE($D26,Milestones!$AA$115)&gt;=$T26),$W26,IF(AND($S26&lt;&gt;"",EDATE($D26,Milestones!$AA$115)&gt;=$S26),$V26,$U26)))=Milestones!$AB$115),UPPER(TEXT(EDATE($D26,Milestones!$AA$115),"dd mmm yy"))&amp;" "&amp;Milestones!$AB$115&amp;" "&amp;Milestones!$AC$115&amp;";  ","")&amp;IF(AND(EDATE($D26,Milestones!$AA$116)&lt;=AsOfDate,IF($R26=0,$X26,IF(AND($T26&lt;&gt;"",EDATE($D26,Milestones!$AA$116)&gt;=$T26),$W26,IF(AND($S26&lt;&gt;"",EDATE($D26,Milestones!$AA$116)&gt;=$S26),$V26,$U26)))=Milestones!$AB$116),UPPER(TEXT(EDATE($D26,Milestones!$AA$116),"dd mmm yy"))&amp;" "&amp;Milestones!$AB$116&amp;" "&amp;Milestones!$AC$116&amp;";  ","")&amp;IF(AND(EDATE($D26,Milestones!$AA$117)&lt;=AsOfDate,IF($R26=0,$X26,IF(AND($T26&lt;&gt;"",EDATE($D26,Milestones!$AA$117)&gt;=$T26),$W26,IF(AND($S26&lt;&gt;"",EDATE($D26,Milestones!$AA$117)&gt;=$S26),$V26,$U26)))=Milestones!$AB$117),UPPER(TEXT(EDATE($D26,Milestones!$AA$117),"dd mmm yy"))&amp;" "&amp;Milestones!$AB$117&amp;" "&amp;Milestones!$AC$117&amp;";  ","")&amp;IF(AND(EDATE($D26,Milestones!$AA$118)&lt;=AsOfDate,IF($R26=0,$X26,IF(AND($T26&lt;&gt;"",EDATE($D26,Milestones!$AA$118)&gt;=$T26),$W26,IF(AND($S26&lt;&gt;"",EDATE($D26,Milestones!$AA$118)&gt;=$S26),$V26,$U26)))=Milestones!$AB$118),UPPER(TEXT(EDATE($D26,Milestones!$AA$118),"dd mmm yy"))&amp;" "&amp;Milestones!$AB$118&amp;" "&amp;Milestones!$AC$118&amp;";  ","")&amp;IF(AND(EDATE($D26,Milestones!$AA$119)&lt;=AsOfDate,IF($R26=0,$X26,IF(AND($T26&lt;&gt;"",EDATE($D26,Milestones!$AA$119)&gt;=$T26),$W26,IF(AND($S26&lt;&gt;"",EDATE($D26,Milestones!$AA$119)&gt;=$S26),$V26,$U26)))=Milestones!$AB$119),UPPER(TEXT(EDATE($D26,Milestones!$AA$119),"dd mmm yy"))&amp;" "&amp;Milestones!$AB$119&amp;" "&amp;Milestones!$AC$119&amp;";  ",""))</f>
        <v/>
      </c>
      <c r="N26" s="0" t="str">
        <f aca="false">IF(OR($A26="",$D26=""),"",IF(AND(EDATE($D26,Milestones!$AA$120)&lt;=AsOfDate,IF($R26=0,$X26,IF(AND($T26&lt;&gt;"",EDATE($D26,Milestones!$AA$120)&gt;=$T26),$W26,IF(AND($S26&lt;&gt;"",EDATE($D26,Milestones!$AA$120)&gt;=$S26),$V26,$U26)))=Milestones!$AB$120),UPPER(TEXT(EDATE($D26,Milestones!$AA$120),"dd mmm yy"))&amp;" "&amp;Milestones!$AB$120&amp;" "&amp;Milestones!$AC$120&amp;";  ","")&amp;IF(AND(EDATE($D26,Milestones!$AA$121)&lt;=AsOfDate,IF($R26=0,$X26,IF(AND($T26&lt;&gt;"",EDATE($D26,Milestones!$AA$121)&gt;=$T26),$W26,IF(AND($S26&lt;&gt;"",EDATE($D26,Milestones!$AA$121)&gt;=$S26),$V26,$U26)))=Milestones!$AB$121),UPPER(TEXT(EDATE($D26,Milestones!$AA$121),"dd mmm yy"))&amp;" "&amp;Milestones!$AB$121&amp;" "&amp;Milestones!$AC$121&amp;";  ","")&amp;IF(AND(EDATE($D26,Milestones!$AA$122)&lt;=AsOfDate,IF($R26=0,$X26,IF(AND($T26&lt;&gt;"",EDATE($D26,Milestones!$AA$122)&gt;=$T26),$W26,IF(AND($S26&lt;&gt;"",EDATE($D26,Milestones!$AA$122)&gt;=$S26),$V26,$U26)))=Milestones!$AB$122),UPPER(TEXT(EDATE($D26,Milestones!$AA$122),"dd mmm yy"))&amp;" "&amp;Milestones!$AB$122&amp;" "&amp;Milestones!$AC$122&amp;";  ","")&amp;IF(AND(EDATE($D26,Milestones!$AA$123)&lt;=AsOfDate,IF($R26=0,$X26,IF(AND($T26&lt;&gt;"",EDATE($D26,Milestones!$AA$123)&gt;=$T26),$W26,IF(AND($S26&lt;&gt;"",EDATE($D26,Milestones!$AA$123)&gt;=$S26),$V26,$U26)))=Milestones!$AB$123),UPPER(TEXT(EDATE($D26,Milestones!$AA$123),"dd mmm yy"))&amp;" "&amp;Milestones!$AB$123&amp;" "&amp;Milestones!$AC$123&amp;";  ","")&amp;IF(AND(EDATE($D26,Milestones!$AA$124)&lt;=AsOfDate,IF($R26=0,$X26,IF(AND($T26&lt;&gt;"",EDATE($D26,Milestones!$AA$124)&gt;=$T26),$W26,IF(AND($S26&lt;&gt;"",EDATE($D26,Milestones!$AA$124)&gt;=$S26),$V26,$U26)))=Milestones!$AB$124),UPPER(TEXT(EDATE($D26,Milestones!$AA$124),"dd mmm yy"))&amp;" "&amp;Milestones!$AB$124&amp;" "&amp;Milestones!$AC$124&amp;";  ","")&amp;IF(AND(EDATE($D26,Milestones!$AA$125)&lt;=AsOfDate,IF($R26=0,$X26,IF(AND($T26&lt;&gt;"",EDATE($D26,Milestones!$AA$125)&gt;=$T26),$W26,IF(AND($S26&lt;&gt;"",EDATE($D26,Milestones!$AA$125)&gt;=$S26),$V26,$U26)))=Milestones!$AB$125),UPPER(TEXT(EDATE($D26,Milestones!$AA$125),"dd mmm yy"))&amp;" "&amp;Milestones!$AB$125&amp;" "&amp;Milestones!$AC$125&amp;";  ","")&amp;IF(AND(EDATE($D26,Milestones!$AA$126)&lt;=AsOfDate,IF($R26=0,$X26,IF(AND($T26&lt;&gt;"",EDATE($D26,Milestones!$AA$126)&gt;=$T26),$W26,IF(AND($S26&lt;&gt;"",EDATE($D26,Milestones!$AA$126)&gt;=$S26),$V26,$U26)))=Milestones!$AB$126),UPPER(TEXT(EDATE($D26,Milestones!$AA$126),"dd mmm yy"))&amp;" "&amp;Milestones!$AB$126&amp;" "&amp;Milestones!$AC$126&amp;";  ","")&amp;IF(AND(EDATE($D26,Milestones!$AA$127)&lt;=AsOfDate,IF($R26=0,$X26,IF(AND($T26&lt;&gt;"",EDATE($D26,Milestones!$AA$127)&gt;=$T26),$W26,IF(AND($S26&lt;&gt;"",EDATE($D26,Milestones!$AA$127)&gt;=$S26),$V26,$U26)))=Milestones!$AB$127),UPPER(TEXT(EDATE($D26,Milestones!$AA$127),"dd mmm yy"))&amp;" "&amp;Milestones!$AB$127&amp;" "&amp;Milestones!$AC$127&amp;";  ","")&amp;IF(AND(EDATE($D26,Milestones!$AA$128)&lt;=AsOfDate,IF($R26=0,$X26,IF(AND($T26&lt;&gt;"",EDATE($D26,Milestones!$AA$128)&gt;=$T26),$W26,IF(AND($S26&lt;&gt;"",EDATE($D26,Milestones!$AA$128)&gt;=$S26),$V26,$U26)))=Milestones!$AB$128),UPPER(TEXT(EDATE($D26,Milestones!$AA$128),"dd mmm yy"))&amp;" "&amp;Milestones!$AB$128&amp;" "&amp;Milestones!$AC$128&amp;";  ","")&amp;IF(AND(EDATE($D26,Milestones!$AA$129)&lt;=AsOfDate,IF($R26=0,$X26,IF(AND($T26&lt;&gt;"",EDATE($D26,Milestones!$AA$129)&gt;=$T26),$W26,IF(AND($S26&lt;&gt;"",EDATE($D26,Milestones!$AA$129)&gt;=$S26),$V26,$U26)))=Milestones!$AB$129),UPPER(TEXT(EDATE($D26,Milestones!$AA$129),"dd mmm yy"))&amp;" "&amp;Milestones!$AB$129&amp;" "&amp;Milestones!$AC$129&amp;";  ","")&amp;IF(AND(EDATE($D26,Milestones!$AA$130)&lt;=AsOfDate,IF($R26=0,$X26,IF(AND($T26&lt;&gt;"",EDATE($D26,Milestones!$AA$130)&gt;=$T26),$W26,IF(AND($S26&lt;&gt;"",EDATE($D26,Milestones!$AA$130)&gt;=$S26),$V26,$U26)))=Milestones!$AB$130),UPPER(TEXT(EDATE($D26,Milestones!$AA$130),"dd mmm yy"))&amp;" "&amp;Milestones!$AB$130&amp;" "&amp;Milestones!$AC$130&amp;";  ","")&amp;IF(AND(EDATE($D26,Milestones!$AA$131)&lt;=AsOfDate,IF($R26=0,$X26,IF(AND($T26&lt;&gt;"",EDATE($D26,Milestones!$AA$131)&gt;=$T26),$W26,IF(AND($S26&lt;&gt;"",EDATE($D26,Milestones!$AA$131)&gt;=$S26),$V26,$U26)))=Milestones!$AB$131),UPPER(TEXT(EDATE($D26,Milestones!$AA$131),"dd mmm yy"))&amp;" "&amp;Milestones!$AB$131&amp;" "&amp;Milestones!$AC$131&amp;";  ","")&amp;IF(AND(EDATE($D26,Milestones!$AA$132)&lt;=AsOfDate,IF($R26=0,$X26,IF(AND($T26&lt;&gt;"",EDATE($D26,Milestones!$AA$132)&gt;=$T26),$W26,IF(AND($S26&lt;&gt;"",EDATE($D26,Milestones!$AA$132)&gt;=$S26),$V26,$U26)))=Milestones!$AB$132),UPPER(TEXT(EDATE($D26,Milestones!$AA$132),"dd mmm yy"))&amp;" "&amp;Milestones!$AB$132&amp;" "&amp;Milestones!$AC$132&amp;";  ","")&amp;IF(AND(EDATE($D26,Milestones!$AA$133)&lt;=AsOfDate,IF($R26=0,$X26,IF(AND($T26&lt;&gt;"",EDATE($D26,Milestones!$AA$133)&gt;=$T26),$W26,IF(AND($S26&lt;&gt;"",EDATE($D26,Milestones!$AA$133)&gt;=$S26),$V26,$U26)))=Milestones!$AB$133),UPPER(TEXT(EDATE($D26,Milestones!$AA$133),"dd mmm yy"))&amp;" "&amp;Milestones!$AB$133&amp;" "&amp;Milestones!$AC$133&amp;";  ","")&amp;IF(AND(EDATE($D26,Milestones!$AA$134)&lt;=AsOfDate,IF($R26=0,$X26,IF(AND($T26&lt;&gt;"",EDATE($D26,Milestones!$AA$134)&gt;=$T26),$W26,IF(AND($S26&lt;&gt;"",EDATE($D26,Milestones!$AA$134)&gt;=$S26),$V26,$U26)))=Milestones!$AB$134),UPPER(TEXT(EDATE($D26,Milestones!$AA$134),"dd mmm yy"))&amp;" "&amp;Milestones!$AB$134&amp;" "&amp;Milestones!$AC$134&amp;";  ","")&amp;IF(AND(EDATE($D26,Milestones!$AA$135)&lt;=AsOfDate,IF($R26=0,$X26,IF(AND($T26&lt;&gt;"",EDATE($D26,Milestones!$AA$135)&gt;=$T26),$W26,IF(AND($S26&lt;&gt;"",EDATE($D26,Milestones!$AA$135)&gt;=$S26),$V26,$U26)))=Milestones!$AB$135),UPPER(TEXT(EDATE($D26,Milestones!$AA$135),"dd mmm yy"))&amp;" "&amp;Milestones!$AB$135&amp;" "&amp;Milestones!$AC$135&amp;";  ","")&amp;IF(AND(EDATE($D26,Milestones!$AA$136)&lt;=AsOfDate,IF($R26=0,$X26,IF(AND($T26&lt;&gt;"",EDATE($D26,Milestones!$AA$136)&gt;=$T26),$W26,IF(AND($S26&lt;&gt;"",EDATE($D26,Milestones!$AA$136)&gt;=$S26),$V26,$U26)))=Milestones!$AB$136),UPPER(TEXT(EDATE($D26,Milestones!$AA$136),"dd mmm yy"))&amp;" "&amp;Milestones!$AB$136&amp;" "&amp;Milestones!$AC$136&amp;";  ","")&amp;IF(AND(EDATE($D26,Milestones!$AA$137)&lt;=AsOfDate,IF($R26=0,$X26,IF(AND($T26&lt;&gt;"",EDATE($D26,Milestones!$AA$137)&gt;=$T26),$W26,IF(AND($S26&lt;&gt;"",EDATE($D26,Milestones!$AA$137)&gt;=$S26),$V26,$U26)))=Milestones!$AB$137),UPPER(TEXT(EDATE($D26,Milestones!$AA$137),"dd mmm yy"))&amp;" "&amp;Milestones!$AB$137&amp;" "&amp;Milestones!$AC$137&amp;";  ","")&amp;IF(AND(EDATE($D26,Milestones!$AA$138)&lt;=AsOfDate,IF($R26=0,$X26,IF(AND($T26&lt;&gt;"",EDATE($D26,Milestones!$AA$138)&gt;=$T26),$W26,IF(AND($S26&lt;&gt;"",EDATE($D26,Milestones!$AA$138)&gt;=$S26),$V26,$U26)))=Milestones!$AB$138),UPPER(TEXT(EDATE($D26,Milestones!$AA$138),"dd mmm yy"))&amp;" "&amp;Milestones!$AB$138&amp;" "&amp;Milestones!$AC$138&amp;";  ","")&amp;IF(AND(EDATE($D26,Milestones!$AA$139)&lt;=AsOfDate,IF($R26=0,$X26,IF(AND($T26&lt;&gt;"",EDATE($D26,Milestones!$AA$139)&gt;=$T26),$W26,IF(AND($S26&lt;&gt;"",EDATE($D26,Milestones!$AA$139)&gt;=$S26),$V26,$U26)))=Milestones!$AB$139),UPPER(TEXT(EDATE($D26,Milestones!$AA$139),"dd mmm yy"))&amp;" "&amp;Milestones!$AB$139&amp;" "&amp;Milestones!$AC$139&amp;";  ",""))</f>
        <v/>
      </c>
      <c r="O26" s="0" t="str">
        <f aca="false">IF(OR($A26="",$D26=""),"",IF(AND(EDATE($D26,Milestones!$AA$140)&lt;=AsOfDate,IF($R26=0,$X26,IF(AND($T26&lt;&gt;"",EDATE($D26,Milestones!$AA$140)&gt;=$T26),$W26,IF(AND($S26&lt;&gt;"",EDATE($D26,Milestones!$AA$140)&gt;=$S26),$V26,$U26)))=Milestones!$AB$140),UPPER(TEXT(EDATE($D26,Milestones!$AA$140),"dd mmm yy"))&amp;" "&amp;Milestones!$AB$140&amp;" "&amp;Milestones!$AC$140&amp;";  ","")&amp;IF(AND(EDATE($D26,Milestones!$AA$141)&lt;=AsOfDate,IF($R26=0,$X26,IF(AND($T26&lt;&gt;"",EDATE($D26,Milestones!$AA$141)&gt;=$T26),$W26,IF(AND($S26&lt;&gt;"",EDATE($D26,Milestones!$AA$141)&gt;=$S26),$V26,$U26)))=Milestones!$AB$141),UPPER(TEXT(EDATE($D26,Milestones!$AA$141),"dd mmm yy"))&amp;" "&amp;Milestones!$AB$141&amp;" "&amp;Milestones!$AC$141&amp;";  ","")&amp;IF(AND(EDATE($D26,Milestones!$AA$142)&lt;=AsOfDate,IF($R26=0,$X26,IF(AND($T26&lt;&gt;"",EDATE($D26,Milestones!$AA$142)&gt;=$T26),$W26,IF(AND($S26&lt;&gt;"",EDATE($D26,Milestones!$AA$142)&gt;=$S26),$V26,$U26)))=Milestones!$AB$142),UPPER(TEXT(EDATE($D26,Milestones!$AA$142),"dd mmm yy"))&amp;" "&amp;Milestones!$AB$142&amp;" "&amp;Milestones!$AC$142&amp;";  ","")&amp;IF(AND(EDATE($D26,Milestones!$AA$143)&lt;=AsOfDate,IF($R26=0,$X26,IF(AND($T26&lt;&gt;"",EDATE($D26,Milestones!$AA$143)&gt;=$T26),$W26,IF(AND($S26&lt;&gt;"",EDATE($D26,Milestones!$AA$143)&gt;=$S26),$V26,$U26)))=Milestones!$AB$143),UPPER(TEXT(EDATE($D26,Milestones!$AA$143),"dd mmm yy"))&amp;" "&amp;Milestones!$AB$143&amp;" "&amp;Milestones!$AC$143&amp;";  ","")&amp;IF(AND(EDATE($D26,Milestones!$AA$144)&lt;=AsOfDate,IF($R26=0,$X26,IF(AND($T26&lt;&gt;"",EDATE($D26,Milestones!$AA$144)&gt;=$T26),$W26,IF(AND($S26&lt;&gt;"",EDATE($D26,Milestones!$AA$144)&gt;=$S26),$V26,$U26)))=Milestones!$AB$144),UPPER(TEXT(EDATE($D26,Milestones!$AA$144),"dd mmm yy"))&amp;" "&amp;Milestones!$AB$144&amp;" "&amp;Milestones!$AC$144&amp;";  ","")&amp;IF(AND(EDATE($D26,Milestones!$AA$145)&lt;=AsOfDate,IF($R26=0,$X26,IF(AND($T26&lt;&gt;"",EDATE($D26,Milestones!$AA$145)&gt;=$T26),$W26,IF(AND($S26&lt;&gt;"",EDATE($D26,Milestones!$AA$145)&gt;=$S26),$V26,$U26)))=Milestones!$AB$145),UPPER(TEXT(EDATE($D26,Milestones!$AA$145),"dd mmm yy"))&amp;" "&amp;Milestones!$AB$145&amp;" "&amp;Milestones!$AC$145&amp;";  ","")&amp;IF(AND(EDATE($D26,Milestones!$AA$146)&lt;=AsOfDate,IF($R26=0,$X26,IF(AND($T26&lt;&gt;"",EDATE($D26,Milestones!$AA$146)&gt;=$T26),$W26,IF(AND($S26&lt;&gt;"",EDATE($D26,Milestones!$AA$146)&gt;=$S26),$V26,$U26)))=Milestones!$AB$146),UPPER(TEXT(EDATE($D26,Milestones!$AA$146),"dd mmm yy"))&amp;" "&amp;Milestones!$AB$146&amp;" "&amp;Milestones!$AC$146&amp;";  ","")&amp;IF(AND(EDATE($D26,Milestones!$AA$147)&lt;=AsOfDate,IF($R26=0,$X26,IF(AND($T26&lt;&gt;"",EDATE($D26,Milestones!$AA$147)&gt;=$T26),$W26,IF(AND($S26&lt;&gt;"",EDATE($D26,Milestones!$AA$147)&gt;=$S26),$V26,$U26)))=Milestones!$AB$147),UPPER(TEXT(EDATE($D26,Milestones!$AA$147),"dd mmm yy"))&amp;" "&amp;Milestones!$AB$147&amp;" "&amp;Milestones!$AC$147&amp;";  ","")&amp;IF(AND(EDATE($D26,Milestones!$AA$148)&lt;=AsOfDate,IF($R26=0,$X26,IF(AND($T26&lt;&gt;"",EDATE($D26,Milestones!$AA$148)&gt;=$T26),$W26,IF(AND($S26&lt;&gt;"",EDATE($D26,Milestones!$AA$148)&gt;=$S26),$V26,$U26)))=Milestones!$AB$148),UPPER(TEXT(EDATE($D26,Milestones!$AA$148),"dd mmm yy"))&amp;" "&amp;Milestones!$AB$148&amp;" "&amp;Milestones!$AC$148&amp;";  ","")&amp;IF(AND(EDATE($D26,Milestones!$AA$149)&lt;=AsOfDate,IF($R26=0,$X26,IF(AND($T26&lt;&gt;"",EDATE($D26,Milestones!$AA$149)&gt;=$T26),$W26,IF(AND($S26&lt;&gt;"",EDATE($D26,Milestones!$AA$149)&gt;=$S26),$V26,$U26)))=Milestones!$AB$149),UPPER(TEXT(EDATE($D26,Milestones!$AA$149),"dd mmm yy"))&amp;" "&amp;Milestones!$AB$149&amp;" "&amp;Milestones!$AC$149&amp;";  ","")&amp;IF(AND(EDATE($D26,Milestones!$AA$150)&lt;=AsOfDate,IF($R26=0,$X26,IF(AND($T26&lt;&gt;"",EDATE($D26,Milestones!$AA$150)&gt;=$T26),$W26,IF(AND($S26&lt;&gt;"",EDATE($D26,Milestones!$AA$150)&gt;=$S26),$V26,$U26)))=Milestones!$AB$150),UPPER(TEXT(EDATE($D26,Milestones!$AA$150),"dd mmm yy"))&amp;" "&amp;Milestones!$AB$150&amp;" "&amp;Milestones!$AC$150&amp;";  ","")&amp;IF(AND(EDATE($D26,Milestones!$AA$151)&lt;=AsOfDate,IF($R26=0,$X26,IF(AND($T26&lt;&gt;"",EDATE($D26,Milestones!$AA$151)&gt;=$T26),$W26,IF(AND($S26&lt;&gt;"",EDATE($D26,Milestones!$AA$151)&gt;=$S26),$V26,$U26)))=Milestones!$AB$151),UPPER(TEXT(EDATE($D26,Milestones!$AA$151),"dd mmm yy"))&amp;" "&amp;Milestones!$AB$151&amp;" "&amp;Milestones!$AC$151&amp;";  ","")&amp;IF(AND(EDATE($D26,Milestones!$AA$152)&lt;=AsOfDate,IF($R26=0,$X26,IF(AND($T26&lt;&gt;"",EDATE($D26,Milestones!$AA$152)&gt;=$T26),$W26,IF(AND($S26&lt;&gt;"",EDATE($D26,Milestones!$AA$152)&gt;=$S26),$V26,$U26)))=Milestones!$AB$152),UPPER(TEXT(EDATE($D26,Milestones!$AA$152),"dd mmm yy"))&amp;" "&amp;Milestones!$AB$152&amp;" "&amp;Milestones!$AC$152&amp;";  ","")&amp;IF(AND(EDATE($D26,Milestones!$AA$153)&lt;=AsOfDate,IF($R26=0,$X26,IF(AND($T26&lt;&gt;"",EDATE($D26,Milestones!$AA$153)&gt;=$T26),$W26,IF(AND($S26&lt;&gt;"",EDATE($D26,Milestones!$AA$153)&gt;=$S26),$V26,$U26)))=Milestones!$AB$153),UPPER(TEXT(EDATE($D26,Milestones!$AA$153),"dd mmm yy"))&amp;" "&amp;Milestones!$AB$153&amp;" "&amp;Milestones!$AC$153&amp;";  ","")&amp;IF(AND(EDATE($D26,Milestones!$AA$154)&lt;=AsOfDate,IF($R26=0,$X26,IF(AND($T26&lt;&gt;"",EDATE($D26,Milestones!$AA$154)&gt;=$T26),$W26,IF(AND($S26&lt;&gt;"",EDATE($D26,Milestones!$AA$154)&gt;=$S26),$V26,$U26)))=Milestones!$AB$154),UPPER(TEXT(EDATE($D26,Milestones!$AA$154),"dd mmm yy"))&amp;" "&amp;Milestones!$AB$154&amp;" "&amp;Milestones!$AC$154&amp;";  ","")&amp;IF(AND(EDATE($D26,Milestones!$AA$155)&lt;=AsOfDate,IF($R26=0,$X26,IF(AND($T26&lt;&gt;"",EDATE($D26,Milestones!$AA$155)&gt;=$T26),$W26,IF(AND($S26&lt;&gt;"",EDATE($D26,Milestones!$AA$155)&gt;=$S26),$V26,$U26)))=Milestones!$AB$155),UPPER(TEXT(EDATE($D26,Milestones!$AA$155),"dd mmm yy"))&amp;" "&amp;Milestones!$AB$155&amp;" "&amp;Milestones!$AC$155&amp;";  ","")&amp;IF(AND(EDATE($D26,Milestones!$AA$156)&lt;=AsOfDate,IF($R26=0,$X26,IF(AND($T26&lt;&gt;"",EDATE($D26,Milestones!$AA$156)&gt;=$T26),$W26,IF(AND($S26&lt;&gt;"",EDATE($D26,Milestones!$AA$156)&gt;=$S26),$V26,$U26)))=Milestones!$AB$156),UPPER(TEXT(EDATE($D26,Milestones!$AA$156),"dd mmm yy"))&amp;" "&amp;Milestones!$AB$156&amp;" "&amp;Milestones!$AC$156&amp;";  ","")&amp;IF(AND(EDATE($D26,Milestones!$AA$157)&lt;=AsOfDate,IF($R26=0,$X26,IF(AND($T26&lt;&gt;"",EDATE($D26,Milestones!$AA$157)&gt;=$T26),$W26,IF(AND($S26&lt;&gt;"",EDATE($D26,Milestones!$AA$157)&gt;=$S26),$V26,$U26)))=Milestones!$AB$157),UPPER(TEXT(EDATE($D26,Milestones!$AA$157),"dd mmm yy"))&amp;" "&amp;Milestones!$AB$157&amp;" "&amp;Milestones!$AC$157&amp;";  ","")&amp;IF(AND(EDATE($D26,Milestones!$AA$158)&lt;=AsOfDate,IF($R26=0,$X26,IF(AND($T26&lt;&gt;"",EDATE($D26,Milestones!$AA$158)&gt;=$T26),$W26,IF(AND($S26&lt;&gt;"",EDATE($D26,Milestones!$AA$158)&gt;=$S26),$V26,$U26)))=Milestones!$AB$158),UPPER(TEXT(EDATE($D26,Milestones!$AA$158),"dd mmm yy"))&amp;" "&amp;Milestones!$AB$158&amp;" "&amp;Milestones!$AC$158&amp;";  ","")&amp;IF(AND(EDATE($D26,Milestones!$AA$159)&lt;=AsOfDate,IF($R26=0,$X26,IF(AND($T26&lt;&gt;"",EDATE($D26,Milestones!$AA$159)&gt;=$T26),$W26,IF(AND($S26&lt;&gt;"",EDATE($D26,Milestones!$AA$159)&gt;=$S26),$V26,$U26)))=Milestones!$AB$159),UPPER(TEXT(EDATE($D26,Milestones!$AA$159),"dd mmm yy"))&amp;" "&amp;Milestones!$AB$159&amp;" "&amp;Milestones!$AC$159&amp;";  ",""))</f>
        <v/>
      </c>
      <c r="P26" s="0" t="str">
        <f aca="false">IF(OR($A26="",$D26=""),"",IF(AND(EDATE($D26,Milestones!$AA$160)&lt;=AsOfDate,IF($R26=0,$X26,IF(AND($T26&lt;&gt;"",EDATE($D26,Milestones!$AA$160)&gt;=$T26),$W26,IF(AND($S26&lt;&gt;"",EDATE($D26,Milestones!$AA$160)&gt;=$S26),$V26,$U26)))=Milestones!$AB$160),UPPER(TEXT(EDATE($D26,Milestones!$AA$160),"dd mmm yy"))&amp;" "&amp;Milestones!$AB$160&amp;" "&amp;Milestones!$AC$160&amp;";  ","")&amp;IF(AND(EDATE($D26,Milestones!$AA$161)&lt;=AsOfDate,IF($R26=0,$X26,IF(AND($T26&lt;&gt;"",EDATE($D26,Milestones!$AA$161)&gt;=$T26),$W26,IF(AND($S26&lt;&gt;"",EDATE($D26,Milestones!$AA$161)&gt;=$S26),$V26,$U26)))=Milestones!$AB$161),UPPER(TEXT(EDATE($D26,Milestones!$AA$161),"dd mmm yy"))&amp;" "&amp;Milestones!$AB$161&amp;" "&amp;Milestones!$AC$161&amp;";  ","")&amp;IF(AND(EDATE($D26,Milestones!$AA$162)&lt;=AsOfDate,IF($R26=0,$X26,IF(AND($T26&lt;&gt;"",EDATE($D26,Milestones!$AA$162)&gt;=$T26),$W26,IF(AND($S26&lt;&gt;"",EDATE($D26,Milestones!$AA$162)&gt;=$S26),$V26,$U26)))=Milestones!$AB$162),UPPER(TEXT(EDATE($D26,Milestones!$AA$162),"dd mmm yy"))&amp;" "&amp;Milestones!$AB$162&amp;" "&amp;Milestones!$AC$162&amp;";  ","")&amp;IF(AND(EDATE($D26,Milestones!$AA$163)&lt;=AsOfDate,IF($R26=0,$X26,IF(AND($T26&lt;&gt;"",EDATE($D26,Milestones!$AA$163)&gt;=$T26),$W26,IF(AND($S26&lt;&gt;"",EDATE($D26,Milestones!$AA$163)&gt;=$S26),$V26,$U26)))=Milestones!$AB$163),UPPER(TEXT(EDATE($D26,Milestones!$AA$163),"dd mmm yy"))&amp;" "&amp;Milestones!$AB$163&amp;" "&amp;Milestones!$AC$163&amp;";  ","")&amp;IF(AND(EDATE($D26,Milestones!$AA$164)&lt;=AsOfDate,IF($R26=0,$X26,IF(AND($T26&lt;&gt;"",EDATE($D26,Milestones!$AA$164)&gt;=$T26),$W26,IF(AND($S26&lt;&gt;"",EDATE($D26,Milestones!$AA$164)&gt;=$S26),$V26,$U26)))=Milestones!$AB$164),UPPER(TEXT(EDATE($D26,Milestones!$AA$164),"dd mmm yy"))&amp;" "&amp;Milestones!$AB$164&amp;" "&amp;Milestones!$AC$164&amp;";  ","")&amp;IF(AND(EDATE($D26,Milestones!$AA$165)&lt;=AsOfDate,IF($R26=0,$X26,IF(AND($T26&lt;&gt;"",EDATE($D26,Milestones!$AA$165)&gt;=$T26),$W26,IF(AND($S26&lt;&gt;"",EDATE($D26,Milestones!$AA$165)&gt;=$S26),$V26,$U26)))=Milestones!$AB$165),UPPER(TEXT(EDATE($D26,Milestones!$AA$165),"dd mmm yy"))&amp;" "&amp;Milestones!$AB$165&amp;" "&amp;Milestones!$AC$165&amp;";  ","")&amp;IF(AND(EDATE($D26,Milestones!$AA$166)&lt;=AsOfDate,IF($R26=0,$X26,IF(AND($T26&lt;&gt;"",EDATE($D26,Milestones!$AA$166)&gt;=$T26),$W26,IF(AND($S26&lt;&gt;"",EDATE($D26,Milestones!$AA$166)&gt;=$S26),$V26,$U26)))=Milestones!$AB$166),UPPER(TEXT(EDATE($D26,Milestones!$AA$166),"dd mmm yy"))&amp;" "&amp;Milestones!$AB$166&amp;" "&amp;Milestones!$AC$166&amp;";  ","")&amp;IF(AND(EDATE($D26,Milestones!$AA$167)&lt;=AsOfDate,IF($R26=0,$X26,IF(AND($T26&lt;&gt;"",EDATE($D26,Milestones!$AA$167)&gt;=$T26),$W26,IF(AND($S26&lt;&gt;"",EDATE($D26,Milestones!$AA$167)&gt;=$S26),$V26,$U26)))=Milestones!$AB$167),UPPER(TEXT(EDATE($D26,Milestones!$AA$167),"dd mmm yy"))&amp;" "&amp;Milestones!$AB$167&amp;" "&amp;Milestones!$AC$167&amp;";  ","")&amp;IF(AND(EDATE($D26,Milestones!$AA$168)&lt;=AsOfDate,IF($R26=0,$X26,IF(AND($T26&lt;&gt;"",EDATE($D26,Milestones!$AA$168)&gt;=$T26),$W26,IF(AND($S26&lt;&gt;"",EDATE($D26,Milestones!$AA$168)&gt;=$S26),$V26,$U26)))=Milestones!$AB$168),UPPER(TEXT(EDATE($D26,Milestones!$AA$168),"dd mmm yy"))&amp;" "&amp;Milestones!$AB$168&amp;" "&amp;Milestones!$AC$168&amp;";  ","")&amp;IF(AND(EDATE($D26,Milestones!$AA$169)&lt;=AsOfDate,IF($R26=0,$X26,IF(AND($T26&lt;&gt;"",EDATE($D26,Milestones!$AA$169)&gt;=$T26),$W26,IF(AND($S26&lt;&gt;"",EDATE($D26,Milestones!$AA$169)&gt;=$S26),$V26,$U26)))=Milestones!$AB$169),UPPER(TEXT(EDATE($D26,Milestones!$AA$169),"dd mmm yy"))&amp;" "&amp;Milestones!$AB$169&amp;" "&amp;Milestones!$AC$169&amp;";  ","")&amp;IF(AND(EDATE($D26,Milestones!$AA$170)&lt;=AsOfDate,IF($R26=0,$X26,IF(AND($T26&lt;&gt;"",EDATE($D26,Milestones!$AA$170)&gt;=$T26),$W26,IF(AND($S26&lt;&gt;"",EDATE($D26,Milestones!$AA$170)&gt;=$S26),$V26,$U26)))=Milestones!$AB$170),UPPER(TEXT(EDATE($D26,Milestones!$AA$170),"dd mmm yy"))&amp;" "&amp;Milestones!$AB$170&amp;" "&amp;Milestones!$AC$170&amp;";  ","")&amp;IF(AND(EDATE($D26,Milestones!$AA$171)&lt;=AsOfDate,IF($R26=0,$X26,IF(AND($T26&lt;&gt;"",EDATE($D26,Milestones!$AA$171)&gt;=$T26),$W26,IF(AND($S26&lt;&gt;"",EDATE($D26,Milestones!$AA$171)&gt;=$S26),$V26,$U26)))=Milestones!$AB$171),UPPER(TEXT(EDATE($D26,Milestones!$AA$171),"dd mmm yy"))&amp;" "&amp;Milestones!$AB$171&amp;" "&amp;Milestones!$AC$171&amp;";  ","")&amp;IF(AND(EDATE($D26,Milestones!$AA$172)&lt;=AsOfDate,IF($R26=0,$X26,IF(AND($T26&lt;&gt;"",EDATE($D26,Milestones!$AA$172)&gt;=$T26),$W26,IF(AND($S26&lt;&gt;"",EDATE($D26,Milestones!$AA$172)&gt;=$S26),$V26,$U26)))=Milestones!$AB$172),UPPER(TEXT(EDATE($D26,Milestones!$AA$172),"dd mmm yy"))&amp;" "&amp;Milestones!$AB$172&amp;" "&amp;Milestones!$AC$172&amp;";  ","")&amp;IF(AND(EDATE($D26,Milestones!$AA$173)&lt;=AsOfDate,IF($R26=0,$X26,IF(AND($T26&lt;&gt;"",EDATE($D26,Milestones!$AA$173)&gt;=$T26),$W26,IF(AND($S26&lt;&gt;"",EDATE($D26,Milestones!$AA$173)&gt;=$S26),$V26,$U26)))=Milestones!$AB$173),UPPER(TEXT(EDATE($D26,Milestones!$AA$173),"dd mmm yy"))&amp;" "&amp;Milestones!$AB$173&amp;" "&amp;Milestones!$AC$173&amp;";  ","")&amp;IF(AND(EDATE($D26,Milestones!$AA$174)&lt;=AsOfDate,IF($R26=0,$X26,IF(AND($T26&lt;&gt;"",EDATE($D26,Milestones!$AA$174)&gt;=$T26),$W26,IF(AND($S26&lt;&gt;"",EDATE($D26,Milestones!$AA$174)&gt;=$S26),$V26,$U26)))=Milestones!$AB$174),UPPER(TEXT(EDATE($D26,Milestones!$AA$174),"dd mmm yy"))&amp;" "&amp;Milestones!$AB$174&amp;" "&amp;Milestones!$AC$174&amp;";  ","")&amp;IF(AND(EDATE($D26,Milestones!$AA$175)&lt;=AsOfDate,IF($R26=0,$X26,IF(AND($T26&lt;&gt;"",EDATE($D26,Milestones!$AA$175)&gt;=$T26),$W26,IF(AND($S26&lt;&gt;"",EDATE($D26,Milestones!$AA$175)&gt;=$S26),$V26,$U26)))=Milestones!$AB$175),UPPER(TEXT(EDATE($D26,Milestones!$AA$175),"dd mmm yy"))&amp;" "&amp;Milestones!$AB$175&amp;" "&amp;Milestones!$AC$175&amp;";  ","")&amp;IF(AND(EDATE($D26,Milestones!$AA$176)&lt;=AsOfDate,IF($R26=0,$X26,IF(AND($T26&lt;&gt;"",EDATE($D26,Milestones!$AA$176)&gt;=$T26),$W26,IF(AND($S26&lt;&gt;"",EDATE($D26,Milestones!$AA$176)&gt;=$S26),$V26,$U26)))=Milestones!$AB$176),UPPER(TEXT(EDATE($D26,Milestones!$AA$176),"dd mmm yy"))&amp;" "&amp;Milestones!$AB$176&amp;" "&amp;Milestones!$AC$176&amp;";  ","")&amp;IF(AND(EDATE($D26,Milestones!$AA$177)&lt;=AsOfDate,IF($R26=0,$X26,IF(AND($T26&lt;&gt;"",EDATE($D26,Milestones!$AA$177)&gt;=$T26),$W26,IF(AND($S26&lt;&gt;"",EDATE($D26,Milestones!$AA$177)&gt;=$S26),$V26,$U26)))=Milestones!$AB$177),UPPER(TEXT(EDATE($D26,Milestones!$AA$177),"dd mmm yy"))&amp;" "&amp;Milestones!$AB$177&amp;" "&amp;Milestones!$AC$177&amp;";  ","")&amp;IF(AND(EDATE($D26,Milestones!$AA$178)&lt;=AsOfDate,IF($R26=0,$X26,IF(AND($T26&lt;&gt;"",EDATE($D26,Milestones!$AA$178)&gt;=$T26),$W26,IF(AND($S26&lt;&gt;"",EDATE($D26,Milestones!$AA$178)&gt;=$S26),$V26,$U26)))=Milestones!$AB$178),UPPER(TEXT(EDATE($D26,Milestones!$AA$178),"dd mmm yy"))&amp;" "&amp;Milestones!$AB$178&amp;" "&amp;Milestones!$AC$178&amp;";  ","")&amp;IF(AND(EDATE($D26,Milestones!$AA$179)&lt;=AsOfDate,IF($R26=0,$X26,IF(AND($T26&lt;&gt;"",EDATE($D26,Milestones!$AA$179)&gt;=$T26),$W26,IF(AND($S26&lt;&gt;"",EDATE($D26,Milestones!$AA$179)&gt;=$S26),$V26,$U26)))=Milestones!$AB$179),UPPER(TEXT(EDATE($D26,Milestones!$AA$179),"dd mmm yy"))&amp;" "&amp;Milestones!$AB$179&amp;" "&amp;Milestones!$AC$179&amp;";  ",""))</f>
        <v/>
      </c>
      <c r="Q26" s="0" t="str">
        <f aca="false">IF(OR($A26="",$D26=""),"",IF(AND(EDATE($D26,Milestones!$AA$180)&lt;=AsOfDate,IF($R26=0,$X26,IF(AND($T26&lt;&gt;"",EDATE($D26,Milestones!$AA$180)&gt;=$T26),$W26,IF(AND($S26&lt;&gt;"",EDATE($D26,Milestones!$AA$180)&gt;=$S26),$V26,$U26)))=Milestones!$AB$180),UPPER(TEXT(EDATE($D26,Milestones!$AA$180),"dd mmm yy"))&amp;" "&amp;Milestones!$AB$180&amp;" "&amp;Milestones!$AC$180&amp;";  ","")&amp;IF(AND(EDATE($D26,Milestones!$AA$181)&lt;=AsOfDate,IF($R26=0,$X26,IF(AND($T26&lt;&gt;"",EDATE($D26,Milestones!$AA$181)&gt;=$T26),$W26,IF(AND($S26&lt;&gt;"",EDATE($D26,Milestones!$AA$181)&gt;=$S26),$V26,$U26)))=Milestones!$AB$181),UPPER(TEXT(EDATE($D26,Milestones!$AA$181),"dd mmm yy"))&amp;" "&amp;Milestones!$AB$181&amp;" "&amp;Milestones!$AC$181&amp;";  ","")&amp;IF(AND(EDATE($D26,Milestones!$AA$182)&lt;=AsOfDate,IF($R26=0,$X26,IF(AND($T26&lt;&gt;"",EDATE($D26,Milestones!$AA$182)&gt;=$T26),$W26,IF(AND($S26&lt;&gt;"",EDATE($D26,Milestones!$AA$182)&gt;=$S26),$V26,$U26)))=Milestones!$AB$182),UPPER(TEXT(EDATE($D26,Milestones!$AA$182),"dd mmm yy"))&amp;" "&amp;Milestones!$AB$182&amp;" "&amp;Milestones!$AC$182&amp;";  ","")&amp;IF(AND(EDATE($D26,Milestones!$AA$183)&lt;=AsOfDate,IF($R26=0,$X26,IF(AND($T26&lt;&gt;"",EDATE($D26,Milestones!$AA$183)&gt;=$T26),$W26,IF(AND($S26&lt;&gt;"",EDATE($D26,Milestones!$AA$183)&gt;=$S26),$V26,$U26)))=Milestones!$AB$183),UPPER(TEXT(EDATE($D26,Milestones!$AA$183),"dd mmm yy"))&amp;" "&amp;Milestones!$AB$183&amp;" "&amp;Milestones!$AC$183&amp;";  ","")&amp;IF(AND(EDATE($D26,Milestones!$AA$184)&lt;=AsOfDate,IF($R26=0,$X26,IF(AND($T26&lt;&gt;"",EDATE($D26,Milestones!$AA$184)&gt;=$T26),$W26,IF(AND($S26&lt;&gt;"",EDATE($D26,Milestones!$AA$184)&gt;=$S26),$V26,$U26)))=Milestones!$AB$184),UPPER(TEXT(EDATE($D26,Milestones!$AA$184),"dd mmm yy"))&amp;" "&amp;Milestones!$AB$184&amp;" "&amp;Milestones!$AC$184&amp;";  ","")&amp;IF(AND(EDATE($D26,Milestones!$AA$185)&lt;=AsOfDate,IF($R26=0,$X26,IF(AND($T26&lt;&gt;"",EDATE($D26,Milestones!$AA$185)&gt;=$T26),$W26,IF(AND($S26&lt;&gt;"",EDATE($D26,Milestones!$AA$185)&gt;=$S26),$V26,$U26)))=Milestones!$AB$185),UPPER(TEXT(EDATE($D26,Milestones!$AA$185),"dd mmm yy"))&amp;" "&amp;Milestones!$AB$185&amp;" "&amp;Milestones!$AC$185&amp;";  ","")&amp;IF(AND(EDATE($D26,Milestones!$AA$186)&lt;=AsOfDate,IF($R26=0,$X26,IF(AND($T26&lt;&gt;"",EDATE($D26,Milestones!$AA$186)&gt;=$T26),$W26,IF(AND($S26&lt;&gt;"",EDATE($D26,Milestones!$AA$186)&gt;=$S26),$V26,$U26)))=Milestones!$AB$186),UPPER(TEXT(EDATE($D26,Milestones!$AA$186),"dd mmm yy"))&amp;" "&amp;Milestones!$AB$186&amp;" "&amp;Milestones!$AC$186&amp;";  ","")&amp;IF(AND(EDATE($D26,Milestones!$AA$187)&lt;=AsOfDate,IF($R26=0,$X26,IF(AND($T26&lt;&gt;"",EDATE($D26,Milestones!$AA$187)&gt;=$T26),$W26,IF(AND($S26&lt;&gt;"",EDATE($D26,Milestones!$AA$187)&gt;=$S26),$V26,$U26)))=Milestones!$AB$187),UPPER(TEXT(EDATE($D26,Milestones!$AA$187),"dd mmm yy"))&amp;" "&amp;Milestones!$AB$187&amp;" "&amp;Milestones!$AC$187&amp;";  ","")&amp;IF(AND(EDATE($D26,Milestones!$AA$188)&lt;=AsOfDate,IF($R26=0,$X26,IF(AND($T26&lt;&gt;"",EDATE($D26,Milestones!$AA$188)&gt;=$T26),$W26,IF(AND($S26&lt;&gt;"",EDATE($D26,Milestones!$AA$188)&gt;=$S26),$V26,$U26)))=Milestones!$AB$188),UPPER(TEXT(EDATE($D26,Milestones!$AA$188),"dd mmm yy"))&amp;" "&amp;Milestones!$AB$188&amp;" "&amp;Milestones!$AC$188&amp;";  ","")&amp;IF(AND(EDATE($D26,Milestones!$AA$189)&lt;=AsOfDate,IF($R26=0,$X26,IF(AND($T26&lt;&gt;"",EDATE($D26,Milestones!$AA$189)&gt;=$T26),$W26,IF(AND($S26&lt;&gt;"",EDATE($D26,Milestones!$AA$189)&gt;=$S26),$V26,$U26)))=Milestones!$AB$189),UPPER(TEXT(EDATE($D26,Milestones!$AA$189),"dd mmm yy"))&amp;" "&amp;Milestones!$AB$189&amp;" "&amp;Milestones!$AC$189&amp;";  ","")&amp;IF(AND(EDATE($D26,Milestones!$AA$190)&lt;=AsOfDate,IF($R26=0,$X26,IF(AND($T26&lt;&gt;"",EDATE($D26,Milestones!$AA$190)&gt;=$T26),$W26,IF(AND($S26&lt;&gt;"",EDATE($D26,Milestones!$AA$190)&gt;=$S26),$V26,$U26)))=Milestones!$AB$190),UPPER(TEXT(EDATE($D26,Milestones!$AA$190),"dd mmm yy"))&amp;" "&amp;Milestones!$AB$190&amp;" "&amp;Milestones!$AC$190&amp;";  ","")&amp;IF(AND(EDATE($D26,Milestones!$AA$191)&lt;=AsOfDate,IF($R26=0,$X26,IF(AND($T26&lt;&gt;"",EDATE($D26,Milestones!$AA$191)&gt;=$T26),$W26,IF(AND($S26&lt;&gt;"",EDATE($D26,Milestones!$AA$191)&gt;=$S26),$V26,$U26)))=Milestones!$AB$191),UPPER(TEXT(EDATE($D26,Milestones!$AA$191),"dd mmm yy"))&amp;" "&amp;Milestones!$AB$191&amp;" "&amp;Milestones!$AC$191&amp;";  ","")&amp;IF(AND(EDATE($D26,Milestones!$AA$192)&lt;=AsOfDate,IF($R26=0,$X26,IF(AND($T26&lt;&gt;"",EDATE($D26,Milestones!$AA$192)&gt;=$T26),$W26,IF(AND($S26&lt;&gt;"",EDATE($D26,Milestones!$AA$192)&gt;=$S26),$V26,$U26)))=Milestones!$AB$192),UPPER(TEXT(EDATE($D26,Milestones!$AA$192),"dd mmm yy"))&amp;" "&amp;Milestones!$AB$192&amp;" "&amp;Milestones!$AC$192&amp;";  ","")&amp;IF(AND(EDATE($D26,Milestones!$AA$193)&lt;=AsOfDate,IF($R26=0,$X26,IF(AND($T26&lt;&gt;"",EDATE($D26,Milestones!$AA$193)&gt;=$T26),$W26,IF(AND($S26&lt;&gt;"",EDATE($D26,Milestones!$AA$193)&gt;=$S26),$V26,$U26)))=Milestones!$AB$193),UPPER(TEXT(EDATE($D26,Milestones!$AA$193),"dd mmm yy"))&amp;" "&amp;Milestones!$AB$193&amp;" "&amp;Milestones!$AC$193&amp;";  ","")&amp;IF(AND(EDATE($D26,Milestones!$AA$194)&lt;=AsOfDate,IF($R26=0,$X26,IF(AND($T26&lt;&gt;"",EDATE($D26,Milestones!$AA$194)&gt;=$T26),$W26,IF(AND($S26&lt;&gt;"",EDATE($D26,Milestones!$AA$194)&gt;=$S26),$V26,$U26)))=Milestones!$AB$194),UPPER(TEXT(EDATE($D26,Milestones!$AA$194),"dd mmm yy"))&amp;" "&amp;Milestones!$AB$194&amp;" "&amp;Milestones!$AC$194&amp;";  ","")&amp;IF(AND(EDATE($D26,Milestones!$AA$195)&lt;=AsOfDate,IF($R26=0,$X26,IF(AND($T26&lt;&gt;"",EDATE($D26,Milestones!$AA$195)&gt;=$T26),$W26,IF(AND($S26&lt;&gt;"",EDATE($D26,Milestones!$AA$195)&gt;=$S26),$V26,$U26)))=Milestones!$AB$195),UPPER(TEXT(EDATE($D26,Milestones!$AA$195),"dd mmm yy"))&amp;" "&amp;Milestones!$AB$195&amp;" "&amp;Milestones!$AC$195&amp;";  ","")&amp;IF(AND(EDATE($D26,Milestones!$AA$196)&lt;=AsOfDate,IF($R26=0,$X26,IF(AND($T26&lt;&gt;"",EDATE($D26,Milestones!$AA$196)&gt;=$T26),$W26,IF(AND($S26&lt;&gt;"",EDATE($D26,Milestones!$AA$196)&gt;=$S26),$V26,$U26)))=Milestones!$AB$196),UPPER(TEXT(EDATE($D26,Milestones!$AA$196),"dd mmm yy"))&amp;" "&amp;Milestones!$AB$196&amp;" "&amp;Milestones!$AC$196&amp;";  ","")&amp;IF(AND(EDATE($D26,Milestones!$AA$197)&lt;=AsOfDate,IF($R26=0,$X26,IF(AND($T26&lt;&gt;"",EDATE($D26,Milestones!$AA$197)&gt;=$T26),$W26,IF(AND($S26&lt;&gt;"",EDATE($D26,Milestones!$AA$197)&gt;=$S26),$V26,$U26)))=Milestones!$AB$197),UPPER(TEXT(EDATE($D26,Milestones!$AA$197),"dd mmm yy"))&amp;" "&amp;Milestones!$AB$197&amp;" "&amp;Milestones!$AC$197&amp;";  ","")&amp;IF(AND(EDATE($D26,Milestones!$AA$198)&lt;=AsOfDate,IF($R26=0,$X26,IF(AND($T26&lt;&gt;"",EDATE($D26,Milestones!$AA$198)&gt;=$T26),$W26,IF(AND($S26&lt;&gt;"",EDATE($D26,Milestones!$AA$198)&gt;=$S26),$V26,$U26)))=Milestones!$AB$198),UPPER(TEXT(EDATE($D26,Milestones!$AA$198),"dd mmm yy"))&amp;" "&amp;Milestones!$AB$198&amp;" "&amp;Milestones!$AC$198&amp;";  ","")&amp;IF(AND(EDATE($D26,Milestones!$AA$199)&lt;=AsOfDate,IF($R26=0,$X26,IF(AND($T26&lt;&gt;"",EDATE($D26,Milestones!$AA$199)&gt;=$T26),$W26,IF(AND($S26&lt;&gt;"",EDATE($D26,Milestones!$AA$199)&gt;=$S26),$V26,$U26)))=Milestones!$AB$199),UPPER(TEXT(EDATE($D26,Milestones!$AA$199),"dd mmm yy"))&amp;" "&amp;Milestones!$AB$199&amp;" "&amp;Milestones!$AC$199&amp;";  ",""))</f>
        <v/>
      </c>
      <c r="R26" s="0" t="str">
        <f aca="false">IF(Staff!$A26="","",Staff!$AI26)</f>
        <v/>
      </c>
      <c r="S26" s="0" t="str">
        <f aca="false">IF(Staff!$A26="","",Staff!$AK26)</f>
        <v/>
      </c>
      <c r="T26" s="0" t="str">
        <f aca="false">IF(Staff!$A26="","",Staff!$AL26)</f>
        <v/>
      </c>
      <c r="U26" s="0" t="str">
        <f aca="false">IF(Staff!$A26="","",Staff!$AP26)</f>
        <v/>
      </c>
      <c r="V26" s="0" t="str">
        <f aca="false">IF(Staff!$A26="","",Staff!$AQ26)</f>
        <v/>
      </c>
      <c r="W26" s="0" t="str">
        <f aca="false">IF(Staff!$A26="","",Staff!$AR26)</f>
        <v/>
      </c>
      <c r="X26" s="0" t="str">
        <f aca="false">IF(Staff!$A26="","",Staff!$AS26)</f>
        <v/>
      </c>
    </row>
    <row r="27" customFormat="false" ht="15" hidden="false" customHeight="false" outlineLevel="0" collapsed="false">
      <c r="A27" s="14" t="str">
        <f aca="false">IF(Staff!$A27="","",Staff!$A27)</f>
        <v/>
      </c>
      <c r="B27" s="14" t="str">
        <f aca="false">IF(Staff!$A27="","",Staff!$B27)</f>
        <v/>
      </c>
      <c r="C27" s="14" t="str">
        <f aca="false">IF(Staff!$A27="","",Staff!$C27)</f>
        <v/>
      </c>
      <c r="D27" s="12" t="str">
        <f aca="false">IF(Staff!$A27="","",Staff!$AH27)</f>
        <v/>
      </c>
      <c r="E27" s="14" t="str">
        <f aca="false">IF(Staff!$A27="","",Staff!$O27)</f>
        <v/>
      </c>
      <c r="F27" s="14" t="str">
        <f aca="false">IF(E27="","",E27*HoursPerDay)</f>
        <v/>
      </c>
      <c r="G27" s="14" t="str">
        <f aca="false">IF(Staff!$A27="","",Staff!$AE27)</f>
        <v/>
      </c>
      <c r="H27" s="26" t="str">
        <f aca="false">IF($A27="","",I27&amp;J27&amp;K27&amp;L27&amp;M27&amp;N27&amp;O27&amp;P27&amp;Q27)</f>
        <v/>
      </c>
      <c r="I27" s="0" t="str">
        <f aca="false">IF(OR($A27="",$D27=""),"",IF(AND(EDATE($D27,Milestones!$AA$20)&lt;=AsOfDate,IF($R27=0,$X27,IF(AND($T27&lt;&gt;"",EDATE($D27,Milestones!$AA$20)&gt;=$T27),$W27,IF(AND($S27&lt;&gt;"",EDATE($D27,Milestones!$AA$20)&gt;=$S27),$V27,$U27)))=Milestones!$AB$20),UPPER(TEXT(EDATE($D27,Milestones!$AA$20),"dd mmm yy"))&amp;" "&amp;Milestones!$AB$20&amp;" "&amp;Milestones!$AC$20&amp;";  ","")&amp;IF(AND(EDATE($D27,Milestones!$AA$21)&lt;=AsOfDate,IF($R27=0,$X27,IF(AND($T27&lt;&gt;"",EDATE($D27,Milestones!$AA$21)&gt;=$T27),$W27,IF(AND($S27&lt;&gt;"",EDATE($D27,Milestones!$AA$21)&gt;=$S27),$V27,$U27)))=Milestones!$AB$21),UPPER(TEXT(EDATE($D27,Milestones!$AA$21),"dd mmm yy"))&amp;" "&amp;Milestones!$AB$21&amp;" "&amp;Milestones!$AC$21&amp;";  ","")&amp;IF(AND(EDATE($D27,Milestones!$AA$22)&lt;=AsOfDate,IF($R27=0,$X27,IF(AND($T27&lt;&gt;"",EDATE($D27,Milestones!$AA$22)&gt;=$T27),$W27,IF(AND($S27&lt;&gt;"",EDATE($D27,Milestones!$AA$22)&gt;=$S27),$V27,$U27)))=Milestones!$AB$22),UPPER(TEXT(EDATE($D27,Milestones!$AA$22),"dd mmm yy"))&amp;" "&amp;Milestones!$AB$22&amp;" "&amp;Milestones!$AC$22&amp;";  ","")&amp;IF(AND(EDATE($D27,Milestones!$AA$23)&lt;=AsOfDate,IF($R27=0,$X27,IF(AND($T27&lt;&gt;"",EDATE($D27,Milestones!$AA$23)&gt;=$T27),$W27,IF(AND($S27&lt;&gt;"",EDATE($D27,Milestones!$AA$23)&gt;=$S27),$V27,$U27)))=Milestones!$AB$23),UPPER(TEXT(EDATE($D27,Milestones!$AA$23),"dd mmm yy"))&amp;" "&amp;Milestones!$AB$23&amp;" "&amp;Milestones!$AC$23&amp;";  ","")&amp;IF(AND(EDATE($D27,Milestones!$AA$24)&lt;=AsOfDate,IF($R27=0,$X27,IF(AND($T27&lt;&gt;"",EDATE($D27,Milestones!$AA$24)&gt;=$T27),$W27,IF(AND($S27&lt;&gt;"",EDATE($D27,Milestones!$AA$24)&gt;=$S27),$V27,$U27)))=Milestones!$AB$24),UPPER(TEXT(EDATE($D27,Milestones!$AA$24),"dd mmm yy"))&amp;" "&amp;Milestones!$AB$24&amp;" "&amp;Milestones!$AC$24&amp;";  ","")&amp;IF(AND(EDATE($D27,Milestones!$AA$25)&lt;=AsOfDate,IF($R27=0,$X27,IF(AND($T27&lt;&gt;"",EDATE($D27,Milestones!$AA$25)&gt;=$T27),$W27,IF(AND($S27&lt;&gt;"",EDATE($D27,Milestones!$AA$25)&gt;=$S27),$V27,$U27)))=Milestones!$AB$25),UPPER(TEXT(EDATE($D27,Milestones!$AA$25),"dd mmm yy"))&amp;" "&amp;Milestones!$AB$25&amp;" "&amp;Milestones!$AC$25&amp;";  ","")&amp;IF(AND(EDATE($D27,Milestones!$AA$26)&lt;=AsOfDate,IF($R27=0,$X27,IF(AND($T27&lt;&gt;"",EDATE($D27,Milestones!$AA$26)&gt;=$T27),$W27,IF(AND($S27&lt;&gt;"",EDATE($D27,Milestones!$AA$26)&gt;=$S27),$V27,$U27)))=Milestones!$AB$26),UPPER(TEXT(EDATE($D27,Milestones!$AA$26),"dd mmm yy"))&amp;" "&amp;Milestones!$AB$26&amp;" "&amp;Milestones!$AC$26&amp;";  ","")&amp;IF(AND(EDATE($D27,Milestones!$AA$27)&lt;=AsOfDate,IF($R27=0,$X27,IF(AND($T27&lt;&gt;"",EDATE($D27,Milestones!$AA$27)&gt;=$T27),$W27,IF(AND($S27&lt;&gt;"",EDATE($D27,Milestones!$AA$27)&gt;=$S27),$V27,$U27)))=Milestones!$AB$27),UPPER(TEXT(EDATE($D27,Milestones!$AA$27),"dd mmm yy"))&amp;" "&amp;Milestones!$AB$27&amp;" "&amp;Milestones!$AC$27&amp;";  ","")&amp;IF(AND(EDATE($D27,Milestones!$AA$28)&lt;=AsOfDate,IF($R27=0,$X27,IF(AND($T27&lt;&gt;"",EDATE($D27,Milestones!$AA$28)&gt;=$T27),$W27,IF(AND($S27&lt;&gt;"",EDATE($D27,Milestones!$AA$28)&gt;=$S27),$V27,$U27)))=Milestones!$AB$28),UPPER(TEXT(EDATE($D27,Milestones!$AA$28),"dd mmm yy"))&amp;" "&amp;Milestones!$AB$28&amp;" "&amp;Milestones!$AC$28&amp;";  ","")&amp;IF(AND(EDATE($D27,Milestones!$AA$29)&lt;=AsOfDate,IF($R27=0,$X27,IF(AND($T27&lt;&gt;"",EDATE($D27,Milestones!$AA$29)&gt;=$T27),$W27,IF(AND($S27&lt;&gt;"",EDATE($D27,Milestones!$AA$29)&gt;=$S27),$V27,$U27)))=Milestones!$AB$29),UPPER(TEXT(EDATE($D27,Milestones!$AA$29),"dd mmm yy"))&amp;" "&amp;Milestones!$AB$29&amp;" "&amp;Milestones!$AC$29&amp;";  ","")&amp;IF(AND(EDATE($D27,Milestones!$AA$30)&lt;=AsOfDate,IF($R27=0,$X27,IF(AND($T27&lt;&gt;"",EDATE($D27,Milestones!$AA$30)&gt;=$T27),$W27,IF(AND($S27&lt;&gt;"",EDATE($D27,Milestones!$AA$30)&gt;=$S27),$V27,$U27)))=Milestones!$AB$30),UPPER(TEXT(EDATE($D27,Milestones!$AA$30),"dd mmm yy"))&amp;" "&amp;Milestones!$AB$30&amp;" "&amp;Milestones!$AC$30&amp;";  ","")&amp;IF(AND(EDATE($D27,Milestones!$AA$31)&lt;=AsOfDate,IF($R27=0,$X27,IF(AND($T27&lt;&gt;"",EDATE($D27,Milestones!$AA$31)&gt;=$T27),$W27,IF(AND($S27&lt;&gt;"",EDATE($D27,Milestones!$AA$31)&gt;=$S27),$V27,$U27)))=Milestones!$AB$31),UPPER(TEXT(EDATE($D27,Milestones!$AA$31),"dd mmm yy"))&amp;" "&amp;Milestones!$AB$31&amp;" "&amp;Milestones!$AC$31&amp;";  ","")&amp;IF(AND(EDATE($D27,Milestones!$AA$32)&lt;=AsOfDate,IF($R27=0,$X27,IF(AND($T27&lt;&gt;"",EDATE($D27,Milestones!$AA$32)&gt;=$T27),$W27,IF(AND($S27&lt;&gt;"",EDATE($D27,Milestones!$AA$32)&gt;=$S27),$V27,$U27)))=Milestones!$AB$32),UPPER(TEXT(EDATE($D27,Milestones!$AA$32),"dd mmm yy"))&amp;" "&amp;Milestones!$AB$32&amp;" "&amp;Milestones!$AC$32&amp;";  ","")&amp;IF(AND(EDATE($D27,Milestones!$AA$33)&lt;=AsOfDate,IF($R27=0,$X27,IF(AND($T27&lt;&gt;"",EDATE($D27,Milestones!$AA$33)&gt;=$T27),$W27,IF(AND($S27&lt;&gt;"",EDATE($D27,Milestones!$AA$33)&gt;=$S27),$V27,$U27)))=Milestones!$AB$33),UPPER(TEXT(EDATE($D27,Milestones!$AA$33),"dd mmm yy"))&amp;" "&amp;Milestones!$AB$33&amp;" "&amp;Milestones!$AC$33&amp;";  ","")&amp;IF(AND(EDATE($D27,Milestones!$AA$34)&lt;=AsOfDate,IF($R27=0,$X27,IF(AND($T27&lt;&gt;"",EDATE($D27,Milestones!$AA$34)&gt;=$T27),$W27,IF(AND($S27&lt;&gt;"",EDATE($D27,Milestones!$AA$34)&gt;=$S27),$V27,$U27)))=Milestones!$AB$34),UPPER(TEXT(EDATE($D27,Milestones!$AA$34),"dd mmm yy"))&amp;" "&amp;Milestones!$AB$34&amp;" "&amp;Milestones!$AC$34&amp;";  ","")&amp;IF(AND(EDATE($D27,Milestones!$AA$35)&lt;=AsOfDate,IF($R27=0,$X27,IF(AND($T27&lt;&gt;"",EDATE($D27,Milestones!$AA$35)&gt;=$T27),$W27,IF(AND($S27&lt;&gt;"",EDATE($D27,Milestones!$AA$35)&gt;=$S27),$V27,$U27)))=Milestones!$AB$35),UPPER(TEXT(EDATE($D27,Milestones!$AA$35),"dd mmm yy"))&amp;" "&amp;Milestones!$AB$35&amp;" "&amp;Milestones!$AC$35&amp;";  ","")&amp;IF(AND(EDATE($D27,Milestones!$AA$36)&lt;=AsOfDate,IF($R27=0,$X27,IF(AND($T27&lt;&gt;"",EDATE($D27,Milestones!$AA$36)&gt;=$T27),$W27,IF(AND($S27&lt;&gt;"",EDATE($D27,Milestones!$AA$36)&gt;=$S27),$V27,$U27)))=Milestones!$AB$36),UPPER(TEXT(EDATE($D27,Milestones!$AA$36),"dd mmm yy"))&amp;" "&amp;Milestones!$AB$36&amp;" "&amp;Milestones!$AC$36&amp;";  ","")&amp;IF(AND(EDATE($D27,Milestones!$AA$37)&lt;=AsOfDate,IF($R27=0,$X27,IF(AND($T27&lt;&gt;"",EDATE($D27,Milestones!$AA$37)&gt;=$T27),$W27,IF(AND($S27&lt;&gt;"",EDATE($D27,Milestones!$AA$37)&gt;=$S27),$V27,$U27)))=Milestones!$AB$37),UPPER(TEXT(EDATE($D27,Milestones!$AA$37),"dd mmm yy"))&amp;" "&amp;Milestones!$AB$37&amp;" "&amp;Milestones!$AC$37&amp;";  ","")&amp;IF(AND(EDATE($D27,Milestones!$AA$38)&lt;=AsOfDate,IF($R27=0,$X27,IF(AND($T27&lt;&gt;"",EDATE($D27,Milestones!$AA$38)&gt;=$T27),$W27,IF(AND($S27&lt;&gt;"",EDATE($D27,Milestones!$AA$38)&gt;=$S27),$V27,$U27)))=Milestones!$AB$38),UPPER(TEXT(EDATE($D27,Milestones!$AA$38),"dd mmm yy"))&amp;" "&amp;Milestones!$AB$38&amp;" "&amp;Milestones!$AC$38&amp;";  ","")&amp;IF(AND(EDATE($D27,Milestones!$AA$39)&lt;=AsOfDate,IF($R27=0,$X27,IF(AND($T27&lt;&gt;"",EDATE($D27,Milestones!$AA$39)&gt;=$T27),$W27,IF(AND($S27&lt;&gt;"",EDATE($D27,Milestones!$AA$39)&gt;=$S27),$V27,$U27)))=Milestones!$AB$39),UPPER(TEXT(EDATE($D27,Milestones!$AA$39),"dd mmm yy"))&amp;" "&amp;Milestones!$AB$39&amp;" "&amp;Milestones!$AC$39&amp;";  ",""))</f>
        <v/>
      </c>
      <c r="J27" s="0" t="str">
        <f aca="false">IF(OR($A27="",$D27=""),"",IF(AND(EDATE($D27,Milestones!$AA$40)&lt;=AsOfDate,IF($R27=0,$X27,IF(AND($T27&lt;&gt;"",EDATE($D27,Milestones!$AA$40)&gt;=$T27),$W27,IF(AND($S27&lt;&gt;"",EDATE($D27,Milestones!$AA$40)&gt;=$S27),$V27,$U27)))=Milestones!$AB$40),UPPER(TEXT(EDATE($D27,Milestones!$AA$40),"dd mmm yy"))&amp;" "&amp;Milestones!$AB$40&amp;" "&amp;Milestones!$AC$40&amp;";  ","")&amp;IF(AND(EDATE($D27,Milestones!$AA$41)&lt;=AsOfDate,IF($R27=0,$X27,IF(AND($T27&lt;&gt;"",EDATE($D27,Milestones!$AA$41)&gt;=$T27),$W27,IF(AND($S27&lt;&gt;"",EDATE($D27,Milestones!$AA$41)&gt;=$S27),$V27,$U27)))=Milestones!$AB$41),UPPER(TEXT(EDATE($D27,Milestones!$AA$41),"dd mmm yy"))&amp;" "&amp;Milestones!$AB$41&amp;" "&amp;Milestones!$AC$41&amp;";  ","")&amp;IF(AND(EDATE($D27,Milestones!$AA$42)&lt;=AsOfDate,IF($R27=0,$X27,IF(AND($T27&lt;&gt;"",EDATE($D27,Milestones!$AA$42)&gt;=$T27),$W27,IF(AND($S27&lt;&gt;"",EDATE($D27,Milestones!$AA$42)&gt;=$S27),$V27,$U27)))=Milestones!$AB$42),UPPER(TEXT(EDATE($D27,Milestones!$AA$42),"dd mmm yy"))&amp;" "&amp;Milestones!$AB$42&amp;" "&amp;Milestones!$AC$42&amp;";  ","")&amp;IF(AND(EDATE($D27,Milestones!$AA$43)&lt;=AsOfDate,IF($R27=0,$X27,IF(AND($T27&lt;&gt;"",EDATE($D27,Milestones!$AA$43)&gt;=$T27),$W27,IF(AND($S27&lt;&gt;"",EDATE($D27,Milestones!$AA$43)&gt;=$S27),$V27,$U27)))=Milestones!$AB$43),UPPER(TEXT(EDATE($D27,Milestones!$AA$43),"dd mmm yy"))&amp;" "&amp;Milestones!$AB$43&amp;" "&amp;Milestones!$AC$43&amp;";  ","")&amp;IF(AND(EDATE($D27,Milestones!$AA$44)&lt;=AsOfDate,IF($R27=0,$X27,IF(AND($T27&lt;&gt;"",EDATE($D27,Milestones!$AA$44)&gt;=$T27),$W27,IF(AND($S27&lt;&gt;"",EDATE($D27,Milestones!$AA$44)&gt;=$S27),$V27,$U27)))=Milestones!$AB$44),UPPER(TEXT(EDATE($D27,Milestones!$AA$44),"dd mmm yy"))&amp;" "&amp;Milestones!$AB$44&amp;" "&amp;Milestones!$AC$44&amp;";  ","")&amp;IF(AND(EDATE($D27,Milestones!$AA$45)&lt;=AsOfDate,IF($R27=0,$X27,IF(AND($T27&lt;&gt;"",EDATE($D27,Milestones!$AA$45)&gt;=$T27),$W27,IF(AND($S27&lt;&gt;"",EDATE($D27,Milestones!$AA$45)&gt;=$S27),$V27,$U27)))=Milestones!$AB$45),UPPER(TEXT(EDATE($D27,Milestones!$AA$45),"dd mmm yy"))&amp;" "&amp;Milestones!$AB$45&amp;" "&amp;Milestones!$AC$45&amp;";  ","")&amp;IF(AND(EDATE($D27,Milestones!$AA$46)&lt;=AsOfDate,IF($R27=0,$X27,IF(AND($T27&lt;&gt;"",EDATE($D27,Milestones!$AA$46)&gt;=$T27),$W27,IF(AND($S27&lt;&gt;"",EDATE($D27,Milestones!$AA$46)&gt;=$S27),$V27,$U27)))=Milestones!$AB$46),UPPER(TEXT(EDATE($D27,Milestones!$AA$46),"dd mmm yy"))&amp;" "&amp;Milestones!$AB$46&amp;" "&amp;Milestones!$AC$46&amp;";  ","")&amp;IF(AND(EDATE($D27,Milestones!$AA$47)&lt;=AsOfDate,IF($R27=0,$X27,IF(AND($T27&lt;&gt;"",EDATE($D27,Milestones!$AA$47)&gt;=$T27),$W27,IF(AND($S27&lt;&gt;"",EDATE($D27,Milestones!$AA$47)&gt;=$S27),$V27,$U27)))=Milestones!$AB$47),UPPER(TEXT(EDATE($D27,Milestones!$AA$47),"dd mmm yy"))&amp;" "&amp;Milestones!$AB$47&amp;" "&amp;Milestones!$AC$47&amp;";  ","")&amp;IF(AND(EDATE($D27,Milestones!$AA$48)&lt;=AsOfDate,IF($R27=0,$X27,IF(AND($T27&lt;&gt;"",EDATE($D27,Milestones!$AA$48)&gt;=$T27),$W27,IF(AND($S27&lt;&gt;"",EDATE($D27,Milestones!$AA$48)&gt;=$S27),$V27,$U27)))=Milestones!$AB$48),UPPER(TEXT(EDATE($D27,Milestones!$AA$48),"dd mmm yy"))&amp;" "&amp;Milestones!$AB$48&amp;" "&amp;Milestones!$AC$48&amp;";  ","")&amp;IF(AND(EDATE($D27,Milestones!$AA$49)&lt;=AsOfDate,IF($R27=0,$X27,IF(AND($T27&lt;&gt;"",EDATE($D27,Milestones!$AA$49)&gt;=$T27),$W27,IF(AND($S27&lt;&gt;"",EDATE($D27,Milestones!$AA$49)&gt;=$S27),$V27,$U27)))=Milestones!$AB$49),UPPER(TEXT(EDATE($D27,Milestones!$AA$49),"dd mmm yy"))&amp;" "&amp;Milestones!$AB$49&amp;" "&amp;Milestones!$AC$49&amp;";  ","")&amp;IF(AND(EDATE($D27,Milestones!$AA$50)&lt;=AsOfDate,IF($R27=0,$X27,IF(AND($T27&lt;&gt;"",EDATE($D27,Milestones!$AA$50)&gt;=$T27),$W27,IF(AND($S27&lt;&gt;"",EDATE($D27,Milestones!$AA$50)&gt;=$S27),$V27,$U27)))=Milestones!$AB$50),UPPER(TEXT(EDATE($D27,Milestones!$AA$50),"dd mmm yy"))&amp;" "&amp;Milestones!$AB$50&amp;" "&amp;Milestones!$AC$50&amp;";  ","")&amp;IF(AND(EDATE($D27,Milestones!$AA$51)&lt;=AsOfDate,IF($R27=0,$X27,IF(AND($T27&lt;&gt;"",EDATE($D27,Milestones!$AA$51)&gt;=$T27),$W27,IF(AND($S27&lt;&gt;"",EDATE($D27,Milestones!$AA$51)&gt;=$S27),$V27,$U27)))=Milestones!$AB$51),UPPER(TEXT(EDATE($D27,Milestones!$AA$51),"dd mmm yy"))&amp;" "&amp;Milestones!$AB$51&amp;" "&amp;Milestones!$AC$51&amp;";  ","")&amp;IF(AND(EDATE($D27,Milestones!$AA$52)&lt;=AsOfDate,IF($R27=0,$X27,IF(AND($T27&lt;&gt;"",EDATE($D27,Milestones!$AA$52)&gt;=$T27),$W27,IF(AND($S27&lt;&gt;"",EDATE($D27,Milestones!$AA$52)&gt;=$S27),$V27,$U27)))=Milestones!$AB$52),UPPER(TEXT(EDATE($D27,Milestones!$AA$52),"dd mmm yy"))&amp;" "&amp;Milestones!$AB$52&amp;" "&amp;Milestones!$AC$52&amp;";  ","")&amp;IF(AND(EDATE($D27,Milestones!$AA$53)&lt;=AsOfDate,IF($R27=0,$X27,IF(AND($T27&lt;&gt;"",EDATE($D27,Milestones!$AA$53)&gt;=$T27),$W27,IF(AND($S27&lt;&gt;"",EDATE($D27,Milestones!$AA$53)&gt;=$S27),$V27,$U27)))=Milestones!$AB$53),UPPER(TEXT(EDATE($D27,Milestones!$AA$53),"dd mmm yy"))&amp;" "&amp;Milestones!$AB$53&amp;" "&amp;Milestones!$AC$53&amp;";  ","")&amp;IF(AND(EDATE($D27,Milestones!$AA$54)&lt;=AsOfDate,IF($R27=0,$X27,IF(AND($T27&lt;&gt;"",EDATE($D27,Milestones!$AA$54)&gt;=$T27),$W27,IF(AND($S27&lt;&gt;"",EDATE($D27,Milestones!$AA$54)&gt;=$S27),$V27,$U27)))=Milestones!$AB$54),UPPER(TEXT(EDATE($D27,Milestones!$AA$54),"dd mmm yy"))&amp;" "&amp;Milestones!$AB$54&amp;" "&amp;Milestones!$AC$54&amp;";  ","")&amp;IF(AND(EDATE($D27,Milestones!$AA$55)&lt;=AsOfDate,IF($R27=0,$X27,IF(AND($T27&lt;&gt;"",EDATE($D27,Milestones!$AA$55)&gt;=$T27),$W27,IF(AND($S27&lt;&gt;"",EDATE($D27,Milestones!$AA$55)&gt;=$S27),$V27,$U27)))=Milestones!$AB$55),UPPER(TEXT(EDATE($D27,Milestones!$AA$55),"dd mmm yy"))&amp;" "&amp;Milestones!$AB$55&amp;" "&amp;Milestones!$AC$55&amp;";  ","")&amp;IF(AND(EDATE($D27,Milestones!$AA$56)&lt;=AsOfDate,IF($R27=0,$X27,IF(AND($T27&lt;&gt;"",EDATE($D27,Milestones!$AA$56)&gt;=$T27),$W27,IF(AND($S27&lt;&gt;"",EDATE($D27,Milestones!$AA$56)&gt;=$S27),$V27,$U27)))=Milestones!$AB$56),UPPER(TEXT(EDATE($D27,Milestones!$AA$56),"dd mmm yy"))&amp;" "&amp;Milestones!$AB$56&amp;" "&amp;Milestones!$AC$56&amp;";  ","")&amp;IF(AND(EDATE($D27,Milestones!$AA$57)&lt;=AsOfDate,IF($R27=0,$X27,IF(AND($T27&lt;&gt;"",EDATE($D27,Milestones!$AA$57)&gt;=$T27),$W27,IF(AND($S27&lt;&gt;"",EDATE($D27,Milestones!$AA$57)&gt;=$S27),$V27,$U27)))=Milestones!$AB$57),UPPER(TEXT(EDATE($D27,Milestones!$AA$57),"dd mmm yy"))&amp;" "&amp;Milestones!$AB$57&amp;" "&amp;Milestones!$AC$57&amp;";  ","")&amp;IF(AND(EDATE($D27,Milestones!$AA$58)&lt;=AsOfDate,IF($R27=0,$X27,IF(AND($T27&lt;&gt;"",EDATE($D27,Milestones!$AA$58)&gt;=$T27),$W27,IF(AND($S27&lt;&gt;"",EDATE($D27,Milestones!$AA$58)&gt;=$S27),$V27,$U27)))=Milestones!$AB$58),UPPER(TEXT(EDATE($D27,Milestones!$AA$58),"dd mmm yy"))&amp;" "&amp;Milestones!$AB$58&amp;" "&amp;Milestones!$AC$58&amp;";  ","")&amp;IF(AND(EDATE($D27,Milestones!$AA$59)&lt;=AsOfDate,IF($R27=0,$X27,IF(AND($T27&lt;&gt;"",EDATE($D27,Milestones!$AA$59)&gt;=$T27),$W27,IF(AND($S27&lt;&gt;"",EDATE($D27,Milestones!$AA$59)&gt;=$S27),$V27,$U27)))=Milestones!$AB$59),UPPER(TEXT(EDATE($D27,Milestones!$AA$59),"dd mmm yy"))&amp;" "&amp;Milestones!$AB$59&amp;" "&amp;Milestones!$AC$59&amp;";  ",""))</f>
        <v/>
      </c>
      <c r="K27" s="0" t="str">
        <f aca="false">IF(OR($A27="",$D27=""),"",IF(AND(EDATE($D27,Milestones!$AA$60)&lt;=AsOfDate,IF($R27=0,$X27,IF(AND($T27&lt;&gt;"",EDATE($D27,Milestones!$AA$60)&gt;=$T27),$W27,IF(AND($S27&lt;&gt;"",EDATE($D27,Milestones!$AA$60)&gt;=$S27),$V27,$U27)))=Milestones!$AB$60),UPPER(TEXT(EDATE($D27,Milestones!$AA$60),"dd mmm yy"))&amp;" "&amp;Milestones!$AB$60&amp;" "&amp;Milestones!$AC$60&amp;";  ","")&amp;IF(AND(EDATE($D27,Milestones!$AA$61)&lt;=AsOfDate,IF($R27=0,$X27,IF(AND($T27&lt;&gt;"",EDATE($D27,Milestones!$AA$61)&gt;=$T27),$W27,IF(AND($S27&lt;&gt;"",EDATE($D27,Milestones!$AA$61)&gt;=$S27),$V27,$U27)))=Milestones!$AB$61),UPPER(TEXT(EDATE($D27,Milestones!$AA$61),"dd mmm yy"))&amp;" "&amp;Milestones!$AB$61&amp;" "&amp;Milestones!$AC$61&amp;";  ","")&amp;IF(AND(EDATE($D27,Milestones!$AA$62)&lt;=AsOfDate,IF($R27=0,$X27,IF(AND($T27&lt;&gt;"",EDATE($D27,Milestones!$AA$62)&gt;=$T27),$W27,IF(AND($S27&lt;&gt;"",EDATE($D27,Milestones!$AA$62)&gt;=$S27),$V27,$U27)))=Milestones!$AB$62),UPPER(TEXT(EDATE($D27,Milestones!$AA$62),"dd mmm yy"))&amp;" "&amp;Milestones!$AB$62&amp;" "&amp;Milestones!$AC$62&amp;";  ","")&amp;IF(AND(EDATE($D27,Milestones!$AA$63)&lt;=AsOfDate,IF($R27=0,$X27,IF(AND($T27&lt;&gt;"",EDATE($D27,Milestones!$AA$63)&gt;=$T27),$W27,IF(AND($S27&lt;&gt;"",EDATE($D27,Milestones!$AA$63)&gt;=$S27),$V27,$U27)))=Milestones!$AB$63),UPPER(TEXT(EDATE($D27,Milestones!$AA$63),"dd mmm yy"))&amp;" "&amp;Milestones!$AB$63&amp;" "&amp;Milestones!$AC$63&amp;";  ","")&amp;IF(AND(EDATE($D27,Milestones!$AA$64)&lt;=AsOfDate,IF($R27=0,$X27,IF(AND($T27&lt;&gt;"",EDATE($D27,Milestones!$AA$64)&gt;=$T27),$W27,IF(AND($S27&lt;&gt;"",EDATE($D27,Milestones!$AA$64)&gt;=$S27),$V27,$U27)))=Milestones!$AB$64),UPPER(TEXT(EDATE($D27,Milestones!$AA$64),"dd mmm yy"))&amp;" "&amp;Milestones!$AB$64&amp;" "&amp;Milestones!$AC$64&amp;";  ","")&amp;IF(AND(EDATE($D27,Milestones!$AA$65)&lt;=AsOfDate,IF($R27=0,$X27,IF(AND($T27&lt;&gt;"",EDATE($D27,Milestones!$AA$65)&gt;=$T27),$W27,IF(AND($S27&lt;&gt;"",EDATE($D27,Milestones!$AA$65)&gt;=$S27),$V27,$U27)))=Milestones!$AB$65),UPPER(TEXT(EDATE($D27,Milestones!$AA$65),"dd mmm yy"))&amp;" "&amp;Milestones!$AB$65&amp;" "&amp;Milestones!$AC$65&amp;";  ","")&amp;IF(AND(EDATE($D27,Milestones!$AA$66)&lt;=AsOfDate,IF($R27=0,$X27,IF(AND($T27&lt;&gt;"",EDATE($D27,Milestones!$AA$66)&gt;=$T27),$W27,IF(AND($S27&lt;&gt;"",EDATE($D27,Milestones!$AA$66)&gt;=$S27),$V27,$U27)))=Milestones!$AB$66),UPPER(TEXT(EDATE($D27,Milestones!$AA$66),"dd mmm yy"))&amp;" "&amp;Milestones!$AB$66&amp;" "&amp;Milestones!$AC$66&amp;";  ","")&amp;IF(AND(EDATE($D27,Milestones!$AA$67)&lt;=AsOfDate,IF($R27=0,$X27,IF(AND($T27&lt;&gt;"",EDATE($D27,Milestones!$AA$67)&gt;=$T27),$W27,IF(AND($S27&lt;&gt;"",EDATE($D27,Milestones!$AA$67)&gt;=$S27),$V27,$U27)))=Milestones!$AB$67),UPPER(TEXT(EDATE($D27,Milestones!$AA$67),"dd mmm yy"))&amp;" "&amp;Milestones!$AB$67&amp;" "&amp;Milestones!$AC$67&amp;";  ","")&amp;IF(AND(EDATE($D27,Milestones!$AA$68)&lt;=AsOfDate,IF($R27=0,$X27,IF(AND($T27&lt;&gt;"",EDATE($D27,Milestones!$AA$68)&gt;=$T27),$W27,IF(AND($S27&lt;&gt;"",EDATE($D27,Milestones!$AA$68)&gt;=$S27),$V27,$U27)))=Milestones!$AB$68),UPPER(TEXT(EDATE($D27,Milestones!$AA$68),"dd mmm yy"))&amp;" "&amp;Milestones!$AB$68&amp;" "&amp;Milestones!$AC$68&amp;";  ","")&amp;IF(AND(EDATE($D27,Milestones!$AA$69)&lt;=AsOfDate,IF($R27=0,$X27,IF(AND($T27&lt;&gt;"",EDATE($D27,Milestones!$AA$69)&gt;=$T27),$W27,IF(AND($S27&lt;&gt;"",EDATE($D27,Milestones!$AA$69)&gt;=$S27),$V27,$U27)))=Milestones!$AB$69),UPPER(TEXT(EDATE($D27,Milestones!$AA$69),"dd mmm yy"))&amp;" "&amp;Milestones!$AB$69&amp;" "&amp;Milestones!$AC$69&amp;";  ","")&amp;IF(AND(EDATE($D27,Milestones!$AA$70)&lt;=AsOfDate,IF($R27=0,$X27,IF(AND($T27&lt;&gt;"",EDATE($D27,Milestones!$AA$70)&gt;=$T27),$W27,IF(AND($S27&lt;&gt;"",EDATE($D27,Milestones!$AA$70)&gt;=$S27),$V27,$U27)))=Milestones!$AB$70),UPPER(TEXT(EDATE($D27,Milestones!$AA$70),"dd mmm yy"))&amp;" "&amp;Milestones!$AB$70&amp;" "&amp;Milestones!$AC$70&amp;";  ","")&amp;IF(AND(EDATE($D27,Milestones!$AA$71)&lt;=AsOfDate,IF($R27=0,$X27,IF(AND($T27&lt;&gt;"",EDATE($D27,Milestones!$AA$71)&gt;=$T27),$W27,IF(AND($S27&lt;&gt;"",EDATE($D27,Milestones!$AA$71)&gt;=$S27),$V27,$U27)))=Milestones!$AB$71),UPPER(TEXT(EDATE($D27,Milestones!$AA$71),"dd mmm yy"))&amp;" "&amp;Milestones!$AB$71&amp;" "&amp;Milestones!$AC$71&amp;";  ","")&amp;IF(AND(EDATE($D27,Milestones!$AA$72)&lt;=AsOfDate,IF($R27=0,$X27,IF(AND($T27&lt;&gt;"",EDATE($D27,Milestones!$AA$72)&gt;=$T27),$W27,IF(AND($S27&lt;&gt;"",EDATE($D27,Milestones!$AA$72)&gt;=$S27),$V27,$U27)))=Milestones!$AB$72),UPPER(TEXT(EDATE($D27,Milestones!$AA$72),"dd mmm yy"))&amp;" "&amp;Milestones!$AB$72&amp;" "&amp;Milestones!$AC$72&amp;";  ","")&amp;IF(AND(EDATE($D27,Milestones!$AA$73)&lt;=AsOfDate,IF($R27=0,$X27,IF(AND($T27&lt;&gt;"",EDATE($D27,Milestones!$AA$73)&gt;=$T27),$W27,IF(AND($S27&lt;&gt;"",EDATE($D27,Milestones!$AA$73)&gt;=$S27),$V27,$U27)))=Milestones!$AB$73),UPPER(TEXT(EDATE($D27,Milestones!$AA$73),"dd mmm yy"))&amp;" "&amp;Milestones!$AB$73&amp;" "&amp;Milestones!$AC$73&amp;";  ","")&amp;IF(AND(EDATE($D27,Milestones!$AA$74)&lt;=AsOfDate,IF($R27=0,$X27,IF(AND($T27&lt;&gt;"",EDATE($D27,Milestones!$AA$74)&gt;=$T27),$W27,IF(AND($S27&lt;&gt;"",EDATE($D27,Milestones!$AA$74)&gt;=$S27),$V27,$U27)))=Milestones!$AB$74),UPPER(TEXT(EDATE($D27,Milestones!$AA$74),"dd mmm yy"))&amp;" "&amp;Milestones!$AB$74&amp;" "&amp;Milestones!$AC$74&amp;";  ","")&amp;IF(AND(EDATE($D27,Milestones!$AA$75)&lt;=AsOfDate,IF($R27=0,$X27,IF(AND($T27&lt;&gt;"",EDATE($D27,Milestones!$AA$75)&gt;=$T27),$W27,IF(AND($S27&lt;&gt;"",EDATE($D27,Milestones!$AA$75)&gt;=$S27),$V27,$U27)))=Milestones!$AB$75),UPPER(TEXT(EDATE($D27,Milestones!$AA$75),"dd mmm yy"))&amp;" "&amp;Milestones!$AB$75&amp;" "&amp;Milestones!$AC$75&amp;";  ","")&amp;IF(AND(EDATE($D27,Milestones!$AA$76)&lt;=AsOfDate,IF($R27=0,$X27,IF(AND($T27&lt;&gt;"",EDATE($D27,Milestones!$AA$76)&gt;=$T27),$W27,IF(AND($S27&lt;&gt;"",EDATE($D27,Milestones!$AA$76)&gt;=$S27),$V27,$U27)))=Milestones!$AB$76),UPPER(TEXT(EDATE($D27,Milestones!$AA$76),"dd mmm yy"))&amp;" "&amp;Milestones!$AB$76&amp;" "&amp;Milestones!$AC$76&amp;";  ","")&amp;IF(AND(EDATE($D27,Milestones!$AA$77)&lt;=AsOfDate,IF($R27=0,$X27,IF(AND($T27&lt;&gt;"",EDATE($D27,Milestones!$AA$77)&gt;=$T27),$W27,IF(AND($S27&lt;&gt;"",EDATE($D27,Milestones!$AA$77)&gt;=$S27),$V27,$U27)))=Milestones!$AB$77),UPPER(TEXT(EDATE($D27,Milestones!$AA$77),"dd mmm yy"))&amp;" "&amp;Milestones!$AB$77&amp;" "&amp;Milestones!$AC$77&amp;";  ","")&amp;IF(AND(EDATE($D27,Milestones!$AA$78)&lt;=AsOfDate,IF($R27=0,$X27,IF(AND($T27&lt;&gt;"",EDATE($D27,Milestones!$AA$78)&gt;=$T27),$W27,IF(AND($S27&lt;&gt;"",EDATE($D27,Milestones!$AA$78)&gt;=$S27),$V27,$U27)))=Milestones!$AB$78),UPPER(TEXT(EDATE($D27,Milestones!$AA$78),"dd mmm yy"))&amp;" "&amp;Milestones!$AB$78&amp;" "&amp;Milestones!$AC$78&amp;";  ","")&amp;IF(AND(EDATE($D27,Milestones!$AA$79)&lt;=AsOfDate,IF($R27=0,$X27,IF(AND($T27&lt;&gt;"",EDATE($D27,Milestones!$AA$79)&gt;=$T27),$W27,IF(AND($S27&lt;&gt;"",EDATE($D27,Milestones!$AA$79)&gt;=$S27),$V27,$U27)))=Milestones!$AB$79),UPPER(TEXT(EDATE($D27,Milestones!$AA$79),"dd mmm yy"))&amp;" "&amp;Milestones!$AB$79&amp;" "&amp;Milestones!$AC$79&amp;";  ",""))</f>
        <v/>
      </c>
      <c r="L27" s="0" t="str">
        <f aca="false">IF(OR($A27="",$D27=""),"",IF(AND(EDATE($D27,Milestones!$AA$80)&lt;=AsOfDate,IF($R27=0,$X27,IF(AND($T27&lt;&gt;"",EDATE($D27,Milestones!$AA$80)&gt;=$T27),$W27,IF(AND($S27&lt;&gt;"",EDATE($D27,Milestones!$AA$80)&gt;=$S27),$V27,$U27)))=Milestones!$AB$80),UPPER(TEXT(EDATE($D27,Milestones!$AA$80),"dd mmm yy"))&amp;" "&amp;Milestones!$AB$80&amp;" "&amp;Milestones!$AC$80&amp;";  ","")&amp;IF(AND(EDATE($D27,Milestones!$AA$81)&lt;=AsOfDate,IF($R27=0,$X27,IF(AND($T27&lt;&gt;"",EDATE($D27,Milestones!$AA$81)&gt;=$T27),$W27,IF(AND($S27&lt;&gt;"",EDATE($D27,Milestones!$AA$81)&gt;=$S27),$V27,$U27)))=Milestones!$AB$81),UPPER(TEXT(EDATE($D27,Milestones!$AA$81),"dd mmm yy"))&amp;" "&amp;Milestones!$AB$81&amp;" "&amp;Milestones!$AC$81&amp;";  ","")&amp;IF(AND(EDATE($D27,Milestones!$AA$82)&lt;=AsOfDate,IF($R27=0,$X27,IF(AND($T27&lt;&gt;"",EDATE($D27,Milestones!$AA$82)&gt;=$T27),$W27,IF(AND($S27&lt;&gt;"",EDATE($D27,Milestones!$AA$82)&gt;=$S27),$V27,$U27)))=Milestones!$AB$82),UPPER(TEXT(EDATE($D27,Milestones!$AA$82),"dd mmm yy"))&amp;" "&amp;Milestones!$AB$82&amp;" "&amp;Milestones!$AC$82&amp;";  ","")&amp;IF(AND(EDATE($D27,Milestones!$AA$83)&lt;=AsOfDate,IF($R27=0,$X27,IF(AND($T27&lt;&gt;"",EDATE($D27,Milestones!$AA$83)&gt;=$T27),$W27,IF(AND($S27&lt;&gt;"",EDATE($D27,Milestones!$AA$83)&gt;=$S27),$V27,$U27)))=Milestones!$AB$83),UPPER(TEXT(EDATE($D27,Milestones!$AA$83),"dd mmm yy"))&amp;" "&amp;Milestones!$AB$83&amp;" "&amp;Milestones!$AC$83&amp;";  ","")&amp;IF(AND(EDATE($D27,Milestones!$AA$84)&lt;=AsOfDate,IF($R27=0,$X27,IF(AND($T27&lt;&gt;"",EDATE($D27,Milestones!$AA$84)&gt;=$T27),$W27,IF(AND($S27&lt;&gt;"",EDATE($D27,Milestones!$AA$84)&gt;=$S27),$V27,$U27)))=Milestones!$AB$84),UPPER(TEXT(EDATE($D27,Milestones!$AA$84),"dd mmm yy"))&amp;" "&amp;Milestones!$AB$84&amp;" "&amp;Milestones!$AC$84&amp;";  ","")&amp;IF(AND(EDATE($D27,Milestones!$AA$85)&lt;=AsOfDate,IF($R27=0,$X27,IF(AND($T27&lt;&gt;"",EDATE($D27,Milestones!$AA$85)&gt;=$T27),$W27,IF(AND($S27&lt;&gt;"",EDATE($D27,Milestones!$AA$85)&gt;=$S27),$V27,$U27)))=Milestones!$AB$85),UPPER(TEXT(EDATE($D27,Milestones!$AA$85),"dd mmm yy"))&amp;" "&amp;Milestones!$AB$85&amp;" "&amp;Milestones!$AC$85&amp;";  ","")&amp;IF(AND(EDATE($D27,Milestones!$AA$86)&lt;=AsOfDate,IF($R27=0,$X27,IF(AND($T27&lt;&gt;"",EDATE($D27,Milestones!$AA$86)&gt;=$T27),$W27,IF(AND($S27&lt;&gt;"",EDATE($D27,Milestones!$AA$86)&gt;=$S27),$V27,$U27)))=Milestones!$AB$86),UPPER(TEXT(EDATE($D27,Milestones!$AA$86),"dd mmm yy"))&amp;" "&amp;Milestones!$AB$86&amp;" "&amp;Milestones!$AC$86&amp;";  ","")&amp;IF(AND(EDATE($D27,Milestones!$AA$87)&lt;=AsOfDate,IF($R27=0,$X27,IF(AND($T27&lt;&gt;"",EDATE($D27,Milestones!$AA$87)&gt;=$T27),$W27,IF(AND($S27&lt;&gt;"",EDATE($D27,Milestones!$AA$87)&gt;=$S27),$V27,$U27)))=Milestones!$AB$87),UPPER(TEXT(EDATE($D27,Milestones!$AA$87),"dd mmm yy"))&amp;" "&amp;Milestones!$AB$87&amp;" "&amp;Milestones!$AC$87&amp;";  ","")&amp;IF(AND(EDATE($D27,Milestones!$AA$88)&lt;=AsOfDate,IF($R27=0,$X27,IF(AND($T27&lt;&gt;"",EDATE($D27,Milestones!$AA$88)&gt;=$T27),$W27,IF(AND($S27&lt;&gt;"",EDATE($D27,Milestones!$AA$88)&gt;=$S27),$V27,$U27)))=Milestones!$AB$88),UPPER(TEXT(EDATE($D27,Milestones!$AA$88),"dd mmm yy"))&amp;" "&amp;Milestones!$AB$88&amp;" "&amp;Milestones!$AC$88&amp;";  ","")&amp;IF(AND(EDATE($D27,Milestones!$AA$89)&lt;=AsOfDate,IF($R27=0,$X27,IF(AND($T27&lt;&gt;"",EDATE($D27,Milestones!$AA$89)&gt;=$T27),$W27,IF(AND($S27&lt;&gt;"",EDATE($D27,Milestones!$AA$89)&gt;=$S27),$V27,$U27)))=Milestones!$AB$89),UPPER(TEXT(EDATE($D27,Milestones!$AA$89),"dd mmm yy"))&amp;" "&amp;Milestones!$AB$89&amp;" "&amp;Milestones!$AC$89&amp;";  ","")&amp;IF(AND(EDATE($D27,Milestones!$AA$90)&lt;=AsOfDate,IF($R27=0,$X27,IF(AND($T27&lt;&gt;"",EDATE($D27,Milestones!$AA$90)&gt;=$T27),$W27,IF(AND($S27&lt;&gt;"",EDATE($D27,Milestones!$AA$90)&gt;=$S27),$V27,$U27)))=Milestones!$AB$90),UPPER(TEXT(EDATE($D27,Milestones!$AA$90),"dd mmm yy"))&amp;" "&amp;Milestones!$AB$90&amp;" "&amp;Milestones!$AC$90&amp;";  ","")&amp;IF(AND(EDATE($D27,Milestones!$AA$91)&lt;=AsOfDate,IF($R27=0,$X27,IF(AND($T27&lt;&gt;"",EDATE($D27,Milestones!$AA$91)&gt;=$T27),$W27,IF(AND($S27&lt;&gt;"",EDATE($D27,Milestones!$AA$91)&gt;=$S27),$V27,$U27)))=Milestones!$AB$91),UPPER(TEXT(EDATE($D27,Milestones!$AA$91),"dd mmm yy"))&amp;" "&amp;Milestones!$AB$91&amp;" "&amp;Milestones!$AC$91&amp;";  ","")&amp;IF(AND(EDATE($D27,Milestones!$AA$92)&lt;=AsOfDate,IF($R27=0,$X27,IF(AND($T27&lt;&gt;"",EDATE($D27,Milestones!$AA$92)&gt;=$T27),$W27,IF(AND($S27&lt;&gt;"",EDATE($D27,Milestones!$AA$92)&gt;=$S27),$V27,$U27)))=Milestones!$AB$92),UPPER(TEXT(EDATE($D27,Milestones!$AA$92),"dd mmm yy"))&amp;" "&amp;Milestones!$AB$92&amp;" "&amp;Milestones!$AC$92&amp;";  ","")&amp;IF(AND(EDATE($D27,Milestones!$AA$93)&lt;=AsOfDate,IF($R27=0,$X27,IF(AND($T27&lt;&gt;"",EDATE($D27,Milestones!$AA$93)&gt;=$T27),$W27,IF(AND($S27&lt;&gt;"",EDATE($D27,Milestones!$AA$93)&gt;=$S27),$V27,$U27)))=Milestones!$AB$93),UPPER(TEXT(EDATE($D27,Milestones!$AA$93),"dd mmm yy"))&amp;" "&amp;Milestones!$AB$93&amp;" "&amp;Milestones!$AC$93&amp;";  ","")&amp;IF(AND(EDATE($D27,Milestones!$AA$94)&lt;=AsOfDate,IF($R27=0,$X27,IF(AND($T27&lt;&gt;"",EDATE($D27,Milestones!$AA$94)&gt;=$T27),$W27,IF(AND($S27&lt;&gt;"",EDATE($D27,Milestones!$AA$94)&gt;=$S27),$V27,$U27)))=Milestones!$AB$94),UPPER(TEXT(EDATE($D27,Milestones!$AA$94),"dd mmm yy"))&amp;" "&amp;Milestones!$AB$94&amp;" "&amp;Milestones!$AC$94&amp;";  ","")&amp;IF(AND(EDATE($D27,Milestones!$AA$95)&lt;=AsOfDate,IF($R27=0,$X27,IF(AND($T27&lt;&gt;"",EDATE($D27,Milestones!$AA$95)&gt;=$T27),$W27,IF(AND($S27&lt;&gt;"",EDATE($D27,Milestones!$AA$95)&gt;=$S27),$V27,$U27)))=Milestones!$AB$95),UPPER(TEXT(EDATE($D27,Milestones!$AA$95),"dd mmm yy"))&amp;" "&amp;Milestones!$AB$95&amp;" "&amp;Milestones!$AC$95&amp;";  ","")&amp;IF(AND(EDATE($D27,Milestones!$AA$96)&lt;=AsOfDate,IF($R27=0,$X27,IF(AND($T27&lt;&gt;"",EDATE($D27,Milestones!$AA$96)&gt;=$T27),$W27,IF(AND($S27&lt;&gt;"",EDATE($D27,Milestones!$AA$96)&gt;=$S27),$V27,$U27)))=Milestones!$AB$96),UPPER(TEXT(EDATE($D27,Milestones!$AA$96),"dd mmm yy"))&amp;" "&amp;Milestones!$AB$96&amp;" "&amp;Milestones!$AC$96&amp;";  ","")&amp;IF(AND(EDATE($D27,Milestones!$AA$97)&lt;=AsOfDate,IF($R27=0,$X27,IF(AND($T27&lt;&gt;"",EDATE($D27,Milestones!$AA$97)&gt;=$T27),$W27,IF(AND($S27&lt;&gt;"",EDATE($D27,Milestones!$AA$97)&gt;=$S27),$V27,$U27)))=Milestones!$AB$97),UPPER(TEXT(EDATE($D27,Milestones!$AA$97),"dd mmm yy"))&amp;" "&amp;Milestones!$AB$97&amp;" "&amp;Milestones!$AC$97&amp;";  ","")&amp;IF(AND(EDATE($D27,Milestones!$AA$98)&lt;=AsOfDate,IF($R27=0,$X27,IF(AND($T27&lt;&gt;"",EDATE($D27,Milestones!$AA$98)&gt;=$T27),$W27,IF(AND($S27&lt;&gt;"",EDATE($D27,Milestones!$AA$98)&gt;=$S27),$V27,$U27)))=Milestones!$AB$98),UPPER(TEXT(EDATE($D27,Milestones!$AA$98),"dd mmm yy"))&amp;" "&amp;Milestones!$AB$98&amp;" "&amp;Milestones!$AC$98&amp;";  ","")&amp;IF(AND(EDATE($D27,Milestones!$AA$99)&lt;=AsOfDate,IF($R27=0,$X27,IF(AND($T27&lt;&gt;"",EDATE($D27,Milestones!$AA$99)&gt;=$T27),$W27,IF(AND($S27&lt;&gt;"",EDATE($D27,Milestones!$AA$99)&gt;=$S27),$V27,$U27)))=Milestones!$AB$99),UPPER(TEXT(EDATE($D27,Milestones!$AA$99),"dd mmm yy"))&amp;" "&amp;Milestones!$AB$99&amp;" "&amp;Milestones!$AC$99&amp;";  ",""))</f>
        <v/>
      </c>
      <c r="M27" s="0" t="str">
        <f aca="false">IF(OR($A27="",$D27=""),"",IF(AND(EDATE($D27,Milestones!$AA$100)&lt;=AsOfDate,IF($R27=0,$X27,IF(AND($T27&lt;&gt;"",EDATE($D27,Milestones!$AA$100)&gt;=$T27),$W27,IF(AND($S27&lt;&gt;"",EDATE($D27,Milestones!$AA$100)&gt;=$S27),$V27,$U27)))=Milestones!$AB$100),UPPER(TEXT(EDATE($D27,Milestones!$AA$100),"dd mmm yy"))&amp;" "&amp;Milestones!$AB$100&amp;" "&amp;Milestones!$AC$100&amp;";  ","")&amp;IF(AND(EDATE($D27,Milestones!$AA$101)&lt;=AsOfDate,IF($R27=0,$X27,IF(AND($T27&lt;&gt;"",EDATE($D27,Milestones!$AA$101)&gt;=$T27),$W27,IF(AND($S27&lt;&gt;"",EDATE($D27,Milestones!$AA$101)&gt;=$S27),$V27,$U27)))=Milestones!$AB$101),UPPER(TEXT(EDATE($D27,Milestones!$AA$101),"dd mmm yy"))&amp;" "&amp;Milestones!$AB$101&amp;" "&amp;Milestones!$AC$101&amp;";  ","")&amp;IF(AND(EDATE($D27,Milestones!$AA$102)&lt;=AsOfDate,IF($R27=0,$X27,IF(AND($T27&lt;&gt;"",EDATE($D27,Milestones!$AA$102)&gt;=$T27),$W27,IF(AND($S27&lt;&gt;"",EDATE($D27,Milestones!$AA$102)&gt;=$S27),$V27,$U27)))=Milestones!$AB$102),UPPER(TEXT(EDATE($D27,Milestones!$AA$102),"dd mmm yy"))&amp;" "&amp;Milestones!$AB$102&amp;" "&amp;Milestones!$AC$102&amp;";  ","")&amp;IF(AND(EDATE($D27,Milestones!$AA$103)&lt;=AsOfDate,IF($R27=0,$X27,IF(AND($T27&lt;&gt;"",EDATE($D27,Milestones!$AA$103)&gt;=$T27),$W27,IF(AND($S27&lt;&gt;"",EDATE($D27,Milestones!$AA$103)&gt;=$S27),$V27,$U27)))=Milestones!$AB$103),UPPER(TEXT(EDATE($D27,Milestones!$AA$103),"dd mmm yy"))&amp;" "&amp;Milestones!$AB$103&amp;" "&amp;Milestones!$AC$103&amp;";  ","")&amp;IF(AND(EDATE($D27,Milestones!$AA$104)&lt;=AsOfDate,IF($R27=0,$X27,IF(AND($T27&lt;&gt;"",EDATE($D27,Milestones!$AA$104)&gt;=$T27),$W27,IF(AND($S27&lt;&gt;"",EDATE($D27,Milestones!$AA$104)&gt;=$S27),$V27,$U27)))=Milestones!$AB$104),UPPER(TEXT(EDATE($D27,Milestones!$AA$104),"dd mmm yy"))&amp;" "&amp;Milestones!$AB$104&amp;" "&amp;Milestones!$AC$104&amp;";  ","")&amp;IF(AND(EDATE($D27,Milestones!$AA$105)&lt;=AsOfDate,IF($R27=0,$X27,IF(AND($T27&lt;&gt;"",EDATE($D27,Milestones!$AA$105)&gt;=$T27),$W27,IF(AND($S27&lt;&gt;"",EDATE($D27,Milestones!$AA$105)&gt;=$S27),$V27,$U27)))=Milestones!$AB$105),UPPER(TEXT(EDATE($D27,Milestones!$AA$105),"dd mmm yy"))&amp;" "&amp;Milestones!$AB$105&amp;" "&amp;Milestones!$AC$105&amp;";  ","")&amp;IF(AND(EDATE($D27,Milestones!$AA$106)&lt;=AsOfDate,IF($R27=0,$X27,IF(AND($T27&lt;&gt;"",EDATE($D27,Milestones!$AA$106)&gt;=$T27),$W27,IF(AND($S27&lt;&gt;"",EDATE($D27,Milestones!$AA$106)&gt;=$S27),$V27,$U27)))=Milestones!$AB$106),UPPER(TEXT(EDATE($D27,Milestones!$AA$106),"dd mmm yy"))&amp;" "&amp;Milestones!$AB$106&amp;" "&amp;Milestones!$AC$106&amp;";  ","")&amp;IF(AND(EDATE($D27,Milestones!$AA$107)&lt;=AsOfDate,IF($R27=0,$X27,IF(AND($T27&lt;&gt;"",EDATE($D27,Milestones!$AA$107)&gt;=$T27),$W27,IF(AND($S27&lt;&gt;"",EDATE($D27,Milestones!$AA$107)&gt;=$S27),$V27,$U27)))=Milestones!$AB$107),UPPER(TEXT(EDATE($D27,Milestones!$AA$107),"dd mmm yy"))&amp;" "&amp;Milestones!$AB$107&amp;" "&amp;Milestones!$AC$107&amp;";  ","")&amp;IF(AND(EDATE($D27,Milestones!$AA$108)&lt;=AsOfDate,IF($R27=0,$X27,IF(AND($T27&lt;&gt;"",EDATE($D27,Milestones!$AA$108)&gt;=$T27),$W27,IF(AND($S27&lt;&gt;"",EDATE($D27,Milestones!$AA$108)&gt;=$S27),$V27,$U27)))=Milestones!$AB$108),UPPER(TEXT(EDATE($D27,Milestones!$AA$108),"dd mmm yy"))&amp;" "&amp;Milestones!$AB$108&amp;" "&amp;Milestones!$AC$108&amp;";  ","")&amp;IF(AND(EDATE($D27,Milestones!$AA$109)&lt;=AsOfDate,IF($R27=0,$X27,IF(AND($T27&lt;&gt;"",EDATE($D27,Milestones!$AA$109)&gt;=$T27),$W27,IF(AND($S27&lt;&gt;"",EDATE($D27,Milestones!$AA$109)&gt;=$S27),$V27,$U27)))=Milestones!$AB$109),UPPER(TEXT(EDATE($D27,Milestones!$AA$109),"dd mmm yy"))&amp;" "&amp;Milestones!$AB$109&amp;" "&amp;Milestones!$AC$109&amp;";  ","")&amp;IF(AND(EDATE($D27,Milestones!$AA$110)&lt;=AsOfDate,IF($R27=0,$X27,IF(AND($T27&lt;&gt;"",EDATE($D27,Milestones!$AA$110)&gt;=$T27),$W27,IF(AND($S27&lt;&gt;"",EDATE($D27,Milestones!$AA$110)&gt;=$S27),$V27,$U27)))=Milestones!$AB$110),UPPER(TEXT(EDATE($D27,Milestones!$AA$110),"dd mmm yy"))&amp;" "&amp;Milestones!$AB$110&amp;" "&amp;Milestones!$AC$110&amp;";  ","")&amp;IF(AND(EDATE($D27,Milestones!$AA$111)&lt;=AsOfDate,IF($R27=0,$X27,IF(AND($T27&lt;&gt;"",EDATE($D27,Milestones!$AA$111)&gt;=$T27),$W27,IF(AND($S27&lt;&gt;"",EDATE($D27,Milestones!$AA$111)&gt;=$S27),$V27,$U27)))=Milestones!$AB$111),UPPER(TEXT(EDATE($D27,Milestones!$AA$111),"dd mmm yy"))&amp;" "&amp;Milestones!$AB$111&amp;" "&amp;Milestones!$AC$111&amp;";  ","")&amp;IF(AND(EDATE($D27,Milestones!$AA$112)&lt;=AsOfDate,IF($R27=0,$X27,IF(AND($T27&lt;&gt;"",EDATE($D27,Milestones!$AA$112)&gt;=$T27),$W27,IF(AND($S27&lt;&gt;"",EDATE($D27,Milestones!$AA$112)&gt;=$S27),$V27,$U27)))=Milestones!$AB$112),UPPER(TEXT(EDATE($D27,Milestones!$AA$112),"dd mmm yy"))&amp;" "&amp;Milestones!$AB$112&amp;" "&amp;Milestones!$AC$112&amp;";  ","")&amp;IF(AND(EDATE($D27,Milestones!$AA$113)&lt;=AsOfDate,IF($R27=0,$X27,IF(AND($T27&lt;&gt;"",EDATE($D27,Milestones!$AA$113)&gt;=$T27),$W27,IF(AND($S27&lt;&gt;"",EDATE($D27,Milestones!$AA$113)&gt;=$S27),$V27,$U27)))=Milestones!$AB$113),UPPER(TEXT(EDATE($D27,Milestones!$AA$113),"dd mmm yy"))&amp;" "&amp;Milestones!$AB$113&amp;" "&amp;Milestones!$AC$113&amp;";  ","")&amp;IF(AND(EDATE($D27,Milestones!$AA$114)&lt;=AsOfDate,IF($R27=0,$X27,IF(AND($T27&lt;&gt;"",EDATE($D27,Milestones!$AA$114)&gt;=$T27),$W27,IF(AND($S27&lt;&gt;"",EDATE($D27,Milestones!$AA$114)&gt;=$S27),$V27,$U27)))=Milestones!$AB$114),UPPER(TEXT(EDATE($D27,Milestones!$AA$114),"dd mmm yy"))&amp;" "&amp;Milestones!$AB$114&amp;" "&amp;Milestones!$AC$114&amp;";  ","")&amp;IF(AND(EDATE($D27,Milestones!$AA$115)&lt;=AsOfDate,IF($R27=0,$X27,IF(AND($T27&lt;&gt;"",EDATE($D27,Milestones!$AA$115)&gt;=$T27),$W27,IF(AND($S27&lt;&gt;"",EDATE($D27,Milestones!$AA$115)&gt;=$S27),$V27,$U27)))=Milestones!$AB$115),UPPER(TEXT(EDATE($D27,Milestones!$AA$115),"dd mmm yy"))&amp;" "&amp;Milestones!$AB$115&amp;" "&amp;Milestones!$AC$115&amp;";  ","")&amp;IF(AND(EDATE($D27,Milestones!$AA$116)&lt;=AsOfDate,IF($R27=0,$X27,IF(AND($T27&lt;&gt;"",EDATE($D27,Milestones!$AA$116)&gt;=$T27),$W27,IF(AND($S27&lt;&gt;"",EDATE($D27,Milestones!$AA$116)&gt;=$S27),$V27,$U27)))=Milestones!$AB$116),UPPER(TEXT(EDATE($D27,Milestones!$AA$116),"dd mmm yy"))&amp;" "&amp;Milestones!$AB$116&amp;" "&amp;Milestones!$AC$116&amp;";  ","")&amp;IF(AND(EDATE($D27,Milestones!$AA$117)&lt;=AsOfDate,IF($R27=0,$X27,IF(AND($T27&lt;&gt;"",EDATE($D27,Milestones!$AA$117)&gt;=$T27),$W27,IF(AND($S27&lt;&gt;"",EDATE($D27,Milestones!$AA$117)&gt;=$S27),$V27,$U27)))=Milestones!$AB$117),UPPER(TEXT(EDATE($D27,Milestones!$AA$117),"dd mmm yy"))&amp;" "&amp;Milestones!$AB$117&amp;" "&amp;Milestones!$AC$117&amp;";  ","")&amp;IF(AND(EDATE($D27,Milestones!$AA$118)&lt;=AsOfDate,IF($R27=0,$X27,IF(AND($T27&lt;&gt;"",EDATE($D27,Milestones!$AA$118)&gt;=$T27),$W27,IF(AND($S27&lt;&gt;"",EDATE($D27,Milestones!$AA$118)&gt;=$S27),$V27,$U27)))=Milestones!$AB$118),UPPER(TEXT(EDATE($D27,Milestones!$AA$118),"dd mmm yy"))&amp;" "&amp;Milestones!$AB$118&amp;" "&amp;Milestones!$AC$118&amp;";  ","")&amp;IF(AND(EDATE($D27,Milestones!$AA$119)&lt;=AsOfDate,IF($R27=0,$X27,IF(AND($T27&lt;&gt;"",EDATE($D27,Milestones!$AA$119)&gt;=$T27),$W27,IF(AND($S27&lt;&gt;"",EDATE($D27,Milestones!$AA$119)&gt;=$S27),$V27,$U27)))=Milestones!$AB$119),UPPER(TEXT(EDATE($D27,Milestones!$AA$119),"dd mmm yy"))&amp;" "&amp;Milestones!$AB$119&amp;" "&amp;Milestones!$AC$119&amp;";  ",""))</f>
        <v/>
      </c>
      <c r="N27" s="0" t="str">
        <f aca="false">IF(OR($A27="",$D27=""),"",IF(AND(EDATE($D27,Milestones!$AA$120)&lt;=AsOfDate,IF($R27=0,$X27,IF(AND($T27&lt;&gt;"",EDATE($D27,Milestones!$AA$120)&gt;=$T27),$W27,IF(AND($S27&lt;&gt;"",EDATE($D27,Milestones!$AA$120)&gt;=$S27),$V27,$U27)))=Milestones!$AB$120),UPPER(TEXT(EDATE($D27,Milestones!$AA$120),"dd mmm yy"))&amp;" "&amp;Milestones!$AB$120&amp;" "&amp;Milestones!$AC$120&amp;";  ","")&amp;IF(AND(EDATE($D27,Milestones!$AA$121)&lt;=AsOfDate,IF($R27=0,$X27,IF(AND($T27&lt;&gt;"",EDATE($D27,Milestones!$AA$121)&gt;=$T27),$W27,IF(AND($S27&lt;&gt;"",EDATE($D27,Milestones!$AA$121)&gt;=$S27),$V27,$U27)))=Milestones!$AB$121),UPPER(TEXT(EDATE($D27,Milestones!$AA$121),"dd mmm yy"))&amp;" "&amp;Milestones!$AB$121&amp;" "&amp;Milestones!$AC$121&amp;";  ","")&amp;IF(AND(EDATE($D27,Milestones!$AA$122)&lt;=AsOfDate,IF($R27=0,$X27,IF(AND($T27&lt;&gt;"",EDATE($D27,Milestones!$AA$122)&gt;=$T27),$W27,IF(AND($S27&lt;&gt;"",EDATE($D27,Milestones!$AA$122)&gt;=$S27),$V27,$U27)))=Milestones!$AB$122),UPPER(TEXT(EDATE($D27,Milestones!$AA$122),"dd mmm yy"))&amp;" "&amp;Milestones!$AB$122&amp;" "&amp;Milestones!$AC$122&amp;";  ","")&amp;IF(AND(EDATE($D27,Milestones!$AA$123)&lt;=AsOfDate,IF($R27=0,$X27,IF(AND($T27&lt;&gt;"",EDATE($D27,Milestones!$AA$123)&gt;=$T27),$W27,IF(AND($S27&lt;&gt;"",EDATE($D27,Milestones!$AA$123)&gt;=$S27),$V27,$U27)))=Milestones!$AB$123),UPPER(TEXT(EDATE($D27,Milestones!$AA$123),"dd mmm yy"))&amp;" "&amp;Milestones!$AB$123&amp;" "&amp;Milestones!$AC$123&amp;";  ","")&amp;IF(AND(EDATE($D27,Milestones!$AA$124)&lt;=AsOfDate,IF($R27=0,$X27,IF(AND($T27&lt;&gt;"",EDATE($D27,Milestones!$AA$124)&gt;=$T27),$W27,IF(AND($S27&lt;&gt;"",EDATE($D27,Milestones!$AA$124)&gt;=$S27),$V27,$U27)))=Milestones!$AB$124),UPPER(TEXT(EDATE($D27,Milestones!$AA$124),"dd mmm yy"))&amp;" "&amp;Milestones!$AB$124&amp;" "&amp;Milestones!$AC$124&amp;";  ","")&amp;IF(AND(EDATE($D27,Milestones!$AA$125)&lt;=AsOfDate,IF($R27=0,$X27,IF(AND($T27&lt;&gt;"",EDATE($D27,Milestones!$AA$125)&gt;=$T27),$W27,IF(AND($S27&lt;&gt;"",EDATE($D27,Milestones!$AA$125)&gt;=$S27),$V27,$U27)))=Milestones!$AB$125),UPPER(TEXT(EDATE($D27,Milestones!$AA$125),"dd mmm yy"))&amp;" "&amp;Milestones!$AB$125&amp;" "&amp;Milestones!$AC$125&amp;";  ","")&amp;IF(AND(EDATE($D27,Milestones!$AA$126)&lt;=AsOfDate,IF($R27=0,$X27,IF(AND($T27&lt;&gt;"",EDATE($D27,Milestones!$AA$126)&gt;=$T27),$W27,IF(AND($S27&lt;&gt;"",EDATE($D27,Milestones!$AA$126)&gt;=$S27),$V27,$U27)))=Milestones!$AB$126),UPPER(TEXT(EDATE($D27,Milestones!$AA$126),"dd mmm yy"))&amp;" "&amp;Milestones!$AB$126&amp;" "&amp;Milestones!$AC$126&amp;";  ","")&amp;IF(AND(EDATE($D27,Milestones!$AA$127)&lt;=AsOfDate,IF($R27=0,$X27,IF(AND($T27&lt;&gt;"",EDATE($D27,Milestones!$AA$127)&gt;=$T27),$W27,IF(AND($S27&lt;&gt;"",EDATE($D27,Milestones!$AA$127)&gt;=$S27),$V27,$U27)))=Milestones!$AB$127),UPPER(TEXT(EDATE($D27,Milestones!$AA$127),"dd mmm yy"))&amp;" "&amp;Milestones!$AB$127&amp;" "&amp;Milestones!$AC$127&amp;";  ","")&amp;IF(AND(EDATE($D27,Milestones!$AA$128)&lt;=AsOfDate,IF($R27=0,$X27,IF(AND($T27&lt;&gt;"",EDATE($D27,Milestones!$AA$128)&gt;=$T27),$W27,IF(AND($S27&lt;&gt;"",EDATE($D27,Milestones!$AA$128)&gt;=$S27),$V27,$U27)))=Milestones!$AB$128),UPPER(TEXT(EDATE($D27,Milestones!$AA$128),"dd mmm yy"))&amp;" "&amp;Milestones!$AB$128&amp;" "&amp;Milestones!$AC$128&amp;";  ","")&amp;IF(AND(EDATE($D27,Milestones!$AA$129)&lt;=AsOfDate,IF($R27=0,$X27,IF(AND($T27&lt;&gt;"",EDATE($D27,Milestones!$AA$129)&gt;=$T27),$W27,IF(AND($S27&lt;&gt;"",EDATE($D27,Milestones!$AA$129)&gt;=$S27),$V27,$U27)))=Milestones!$AB$129),UPPER(TEXT(EDATE($D27,Milestones!$AA$129),"dd mmm yy"))&amp;" "&amp;Milestones!$AB$129&amp;" "&amp;Milestones!$AC$129&amp;";  ","")&amp;IF(AND(EDATE($D27,Milestones!$AA$130)&lt;=AsOfDate,IF($R27=0,$X27,IF(AND($T27&lt;&gt;"",EDATE($D27,Milestones!$AA$130)&gt;=$T27),$W27,IF(AND($S27&lt;&gt;"",EDATE($D27,Milestones!$AA$130)&gt;=$S27),$V27,$U27)))=Milestones!$AB$130),UPPER(TEXT(EDATE($D27,Milestones!$AA$130),"dd mmm yy"))&amp;" "&amp;Milestones!$AB$130&amp;" "&amp;Milestones!$AC$130&amp;";  ","")&amp;IF(AND(EDATE($D27,Milestones!$AA$131)&lt;=AsOfDate,IF($R27=0,$X27,IF(AND($T27&lt;&gt;"",EDATE($D27,Milestones!$AA$131)&gt;=$T27),$W27,IF(AND($S27&lt;&gt;"",EDATE($D27,Milestones!$AA$131)&gt;=$S27),$V27,$U27)))=Milestones!$AB$131),UPPER(TEXT(EDATE($D27,Milestones!$AA$131),"dd mmm yy"))&amp;" "&amp;Milestones!$AB$131&amp;" "&amp;Milestones!$AC$131&amp;";  ","")&amp;IF(AND(EDATE($D27,Milestones!$AA$132)&lt;=AsOfDate,IF($R27=0,$X27,IF(AND($T27&lt;&gt;"",EDATE($D27,Milestones!$AA$132)&gt;=$T27),$W27,IF(AND($S27&lt;&gt;"",EDATE($D27,Milestones!$AA$132)&gt;=$S27),$V27,$U27)))=Milestones!$AB$132),UPPER(TEXT(EDATE($D27,Milestones!$AA$132),"dd mmm yy"))&amp;" "&amp;Milestones!$AB$132&amp;" "&amp;Milestones!$AC$132&amp;";  ","")&amp;IF(AND(EDATE($D27,Milestones!$AA$133)&lt;=AsOfDate,IF($R27=0,$X27,IF(AND($T27&lt;&gt;"",EDATE($D27,Milestones!$AA$133)&gt;=$T27),$W27,IF(AND($S27&lt;&gt;"",EDATE($D27,Milestones!$AA$133)&gt;=$S27),$V27,$U27)))=Milestones!$AB$133),UPPER(TEXT(EDATE($D27,Milestones!$AA$133),"dd mmm yy"))&amp;" "&amp;Milestones!$AB$133&amp;" "&amp;Milestones!$AC$133&amp;";  ","")&amp;IF(AND(EDATE($D27,Milestones!$AA$134)&lt;=AsOfDate,IF($R27=0,$X27,IF(AND($T27&lt;&gt;"",EDATE($D27,Milestones!$AA$134)&gt;=$T27),$W27,IF(AND($S27&lt;&gt;"",EDATE($D27,Milestones!$AA$134)&gt;=$S27),$V27,$U27)))=Milestones!$AB$134),UPPER(TEXT(EDATE($D27,Milestones!$AA$134),"dd mmm yy"))&amp;" "&amp;Milestones!$AB$134&amp;" "&amp;Milestones!$AC$134&amp;";  ","")&amp;IF(AND(EDATE($D27,Milestones!$AA$135)&lt;=AsOfDate,IF($R27=0,$X27,IF(AND($T27&lt;&gt;"",EDATE($D27,Milestones!$AA$135)&gt;=$T27),$W27,IF(AND($S27&lt;&gt;"",EDATE($D27,Milestones!$AA$135)&gt;=$S27),$V27,$U27)))=Milestones!$AB$135),UPPER(TEXT(EDATE($D27,Milestones!$AA$135),"dd mmm yy"))&amp;" "&amp;Milestones!$AB$135&amp;" "&amp;Milestones!$AC$135&amp;";  ","")&amp;IF(AND(EDATE($D27,Milestones!$AA$136)&lt;=AsOfDate,IF($R27=0,$X27,IF(AND($T27&lt;&gt;"",EDATE($D27,Milestones!$AA$136)&gt;=$T27),$W27,IF(AND($S27&lt;&gt;"",EDATE($D27,Milestones!$AA$136)&gt;=$S27),$V27,$U27)))=Milestones!$AB$136),UPPER(TEXT(EDATE($D27,Milestones!$AA$136),"dd mmm yy"))&amp;" "&amp;Milestones!$AB$136&amp;" "&amp;Milestones!$AC$136&amp;";  ","")&amp;IF(AND(EDATE($D27,Milestones!$AA$137)&lt;=AsOfDate,IF($R27=0,$X27,IF(AND($T27&lt;&gt;"",EDATE($D27,Milestones!$AA$137)&gt;=$T27),$W27,IF(AND($S27&lt;&gt;"",EDATE($D27,Milestones!$AA$137)&gt;=$S27),$V27,$U27)))=Milestones!$AB$137),UPPER(TEXT(EDATE($D27,Milestones!$AA$137),"dd mmm yy"))&amp;" "&amp;Milestones!$AB$137&amp;" "&amp;Milestones!$AC$137&amp;";  ","")&amp;IF(AND(EDATE($D27,Milestones!$AA$138)&lt;=AsOfDate,IF($R27=0,$X27,IF(AND($T27&lt;&gt;"",EDATE($D27,Milestones!$AA$138)&gt;=$T27),$W27,IF(AND($S27&lt;&gt;"",EDATE($D27,Milestones!$AA$138)&gt;=$S27),$V27,$U27)))=Milestones!$AB$138),UPPER(TEXT(EDATE($D27,Milestones!$AA$138),"dd mmm yy"))&amp;" "&amp;Milestones!$AB$138&amp;" "&amp;Milestones!$AC$138&amp;";  ","")&amp;IF(AND(EDATE($D27,Milestones!$AA$139)&lt;=AsOfDate,IF($R27=0,$X27,IF(AND($T27&lt;&gt;"",EDATE($D27,Milestones!$AA$139)&gt;=$T27),$W27,IF(AND($S27&lt;&gt;"",EDATE($D27,Milestones!$AA$139)&gt;=$S27),$V27,$U27)))=Milestones!$AB$139),UPPER(TEXT(EDATE($D27,Milestones!$AA$139),"dd mmm yy"))&amp;" "&amp;Milestones!$AB$139&amp;" "&amp;Milestones!$AC$139&amp;";  ",""))</f>
        <v/>
      </c>
      <c r="O27" s="0" t="str">
        <f aca="false">IF(OR($A27="",$D27=""),"",IF(AND(EDATE($D27,Milestones!$AA$140)&lt;=AsOfDate,IF($R27=0,$X27,IF(AND($T27&lt;&gt;"",EDATE($D27,Milestones!$AA$140)&gt;=$T27),$W27,IF(AND($S27&lt;&gt;"",EDATE($D27,Milestones!$AA$140)&gt;=$S27),$V27,$U27)))=Milestones!$AB$140),UPPER(TEXT(EDATE($D27,Milestones!$AA$140),"dd mmm yy"))&amp;" "&amp;Milestones!$AB$140&amp;" "&amp;Milestones!$AC$140&amp;";  ","")&amp;IF(AND(EDATE($D27,Milestones!$AA$141)&lt;=AsOfDate,IF($R27=0,$X27,IF(AND($T27&lt;&gt;"",EDATE($D27,Milestones!$AA$141)&gt;=$T27),$W27,IF(AND($S27&lt;&gt;"",EDATE($D27,Milestones!$AA$141)&gt;=$S27),$V27,$U27)))=Milestones!$AB$141),UPPER(TEXT(EDATE($D27,Milestones!$AA$141),"dd mmm yy"))&amp;" "&amp;Milestones!$AB$141&amp;" "&amp;Milestones!$AC$141&amp;";  ","")&amp;IF(AND(EDATE($D27,Milestones!$AA$142)&lt;=AsOfDate,IF($R27=0,$X27,IF(AND($T27&lt;&gt;"",EDATE($D27,Milestones!$AA$142)&gt;=$T27),$W27,IF(AND($S27&lt;&gt;"",EDATE($D27,Milestones!$AA$142)&gt;=$S27),$V27,$U27)))=Milestones!$AB$142),UPPER(TEXT(EDATE($D27,Milestones!$AA$142),"dd mmm yy"))&amp;" "&amp;Milestones!$AB$142&amp;" "&amp;Milestones!$AC$142&amp;";  ","")&amp;IF(AND(EDATE($D27,Milestones!$AA$143)&lt;=AsOfDate,IF($R27=0,$X27,IF(AND($T27&lt;&gt;"",EDATE($D27,Milestones!$AA$143)&gt;=$T27),$W27,IF(AND($S27&lt;&gt;"",EDATE($D27,Milestones!$AA$143)&gt;=$S27),$V27,$U27)))=Milestones!$AB$143),UPPER(TEXT(EDATE($D27,Milestones!$AA$143),"dd mmm yy"))&amp;" "&amp;Milestones!$AB$143&amp;" "&amp;Milestones!$AC$143&amp;";  ","")&amp;IF(AND(EDATE($D27,Milestones!$AA$144)&lt;=AsOfDate,IF($R27=0,$X27,IF(AND($T27&lt;&gt;"",EDATE($D27,Milestones!$AA$144)&gt;=$T27),$W27,IF(AND($S27&lt;&gt;"",EDATE($D27,Milestones!$AA$144)&gt;=$S27),$V27,$U27)))=Milestones!$AB$144),UPPER(TEXT(EDATE($D27,Milestones!$AA$144),"dd mmm yy"))&amp;" "&amp;Milestones!$AB$144&amp;" "&amp;Milestones!$AC$144&amp;";  ","")&amp;IF(AND(EDATE($D27,Milestones!$AA$145)&lt;=AsOfDate,IF($R27=0,$X27,IF(AND($T27&lt;&gt;"",EDATE($D27,Milestones!$AA$145)&gt;=$T27),$W27,IF(AND($S27&lt;&gt;"",EDATE($D27,Milestones!$AA$145)&gt;=$S27),$V27,$U27)))=Milestones!$AB$145),UPPER(TEXT(EDATE($D27,Milestones!$AA$145),"dd mmm yy"))&amp;" "&amp;Milestones!$AB$145&amp;" "&amp;Milestones!$AC$145&amp;";  ","")&amp;IF(AND(EDATE($D27,Milestones!$AA$146)&lt;=AsOfDate,IF($R27=0,$X27,IF(AND($T27&lt;&gt;"",EDATE($D27,Milestones!$AA$146)&gt;=$T27),$W27,IF(AND($S27&lt;&gt;"",EDATE($D27,Milestones!$AA$146)&gt;=$S27),$V27,$U27)))=Milestones!$AB$146),UPPER(TEXT(EDATE($D27,Milestones!$AA$146),"dd mmm yy"))&amp;" "&amp;Milestones!$AB$146&amp;" "&amp;Milestones!$AC$146&amp;";  ","")&amp;IF(AND(EDATE($D27,Milestones!$AA$147)&lt;=AsOfDate,IF($R27=0,$X27,IF(AND($T27&lt;&gt;"",EDATE($D27,Milestones!$AA$147)&gt;=$T27),$W27,IF(AND($S27&lt;&gt;"",EDATE($D27,Milestones!$AA$147)&gt;=$S27),$V27,$U27)))=Milestones!$AB$147),UPPER(TEXT(EDATE($D27,Milestones!$AA$147),"dd mmm yy"))&amp;" "&amp;Milestones!$AB$147&amp;" "&amp;Milestones!$AC$147&amp;";  ","")&amp;IF(AND(EDATE($D27,Milestones!$AA$148)&lt;=AsOfDate,IF($R27=0,$X27,IF(AND($T27&lt;&gt;"",EDATE($D27,Milestones!$AA$148)&gt;=$T27),$W27,IF(AND($S27&lt;&gt;"",EDATE($D27,Milestones!$AA$148)&gt;=$S27),$V27,$U27)))=Milestones!$AB$148),UPPER(TEXT(EDATE($D27,Milestones!$AA$148),"dd mmm yy"))&amp;" "&amp;Milestones!$AB$148&amp;" "&amp;Milestones!$AC$148&amp;";  ","")&amp;IF(AND(EDATE($D27,Milestones!$AA$149)&lt;=AsOfDate,IF($R27=0,$X27,IF(AND($T27&lt;&gt;"",EDATE($D27,Milestones!$AA$149)&gt;=$T27),$W27,IF(AND($S27&lt;&gt;"",EDATE($D27,Milestones!$AA$149)&gt;=$S27),$V27,$U27)))=Milestones!$AB$149),UPPER(TEXT(EDATE($D27,Milestones!$AA$149),"dd mmm yy"))&amp;" "&amp;Milestones!$AB$149&amp;" "&amp;Milestones!$AC$149&amp;";  ","")&amp;IF(AND(EDATE($D27,Milestones!$AA$150)&lt;=AsOfDate,IF($R27=0,$X27,IF(AND($T27&lt;&gt;"",EDATE($D27,Milestones!$AA$150)&gt;=$T27),$W27,IF(AND($S27&lt;&gt;"",EDATE($D27,Milestones!$AA$150)&gt;=$S27),$V27,$U27)))=Milestones!$AB$150),UPPER(TEXT(EDATE($D27,Milestones!$AA$150),"dd mmm yy"))&amp;" "&amp;Milestones!$AB$150&amp;" "&amp;Milestones!$AC$150&amp;";  ","")&amp;IF(AND(EDATE($D27,Milestones!$AA$151)&lt;=AsOfDate,IF($R27=0,$X27,IF(AND($T27&lt;&gt;"",EDATE($D27,Milestones!$AA$151)&gt;=$T27),$W27,IF(AND($S27&lt;&gt;"",EDATE($D27,Milestones!$AA$151)&gt;=$S27),$V27,$U27)))=Milestones!$AB$151),UPPER(TEXT(EDATE($D27,Milestones!$AA$151),"dd mmm yy"))&amp;" "&amp;Milestones!$AB$151&amp;" "&amp;Milestones!$AC$151&amp;";  ","")&amp;IF(AND(EDATE($D27,Milestones!$AA$152)&lt;=AsOfDate,IF($R27=0,$X27,IF(AND($T27&lt;&gt;"",EDATE($D27,Milestones!$AA$152)&gt;=$T27),$W27,IF(AND($S27&lt;&gt;"",EDATE($D27,Milestones!$AA$152)&gt;=$S27),$V27,$U27)))=Milestones!$AB$152),UPPER(TEXT(EDATE($D27,Milestones!$AA$152),"dd mmm yy"))&amp;" "&amp;Milestones!$AB$152&amp;" "&amp;Milestones!$AC$152&amp;";  ","")&amp;IF(AND(EDATE($D27,Milestones!$AA$153)&lt;=AsOfDate,IF($R27=0,$X27,IF(AND($T27&lt;&gt;"",EDATE($D27,Milestones!$AA$153)&gt;=$T27),$W27,IF(AND($S27&lt;&gt;"",EDATE($D27,Milestones!$AA$153)&gt;=$S27),$V27,$U27)))=Milestones!$AB$153),UPPER(TEXT(EDATE($D27,Milestones!$AA$153),"dd mmm yy"))&amp;" "&amp;Milestones!$AB$153&amp;" "&amp;Milestones!$AC$153&amp;";  ","")&amp;IF(AND(EDATE($D27,Milestones!$AA$154)&lt;=AsOfDate,IF($R27=0,$X27,IF(AND($T27&lt;&gt;"",EDATE($D27,Milestones!$AA$154)&gt;=$T27),$W27,IF(AND($S27&lt;&gt;"",EDATE($D27,Milestones!$AA$154)&gt;=$S27),$V27,$U27)))=Milestones!$AB$154),UPPER(TEXT(EDATE($D27,Milestones!$AA$154),"dd mmm yy"))&amp;" "&amp;Milestones!$AB$154&amp;" "&amp;Milestones!$AC$154&amp;";  ","")&amp;IF(AND(EDATE($D27,Milestones!$AA$155)&lt;=AsOfDate,IF($R27=0,$X27,IF(AND($T27&lt;&gt;"",EDATE($D27,Milestones!$AA$155)&gt;=$T27),$W27,IF(AND($S27&lt;&gt;"",EDATE($D27,Milestones!$AA$155)&gt;=$S27),$V27,$U27)))=Milestones!$AB$155),UPPER(TEXT(EDATE($D27,Milestones!$AA$155),"dd mmm yy"))&amp;" "&amp;Milestones!$AB$155&amp;" "&amp;Milestones!$AC$155&amp;";  ","")&amp;IF(AND(EDATE($D27,Milestones!$AA$156)&lt;=AsOfDate,IF($R27=0,$X27,IF(AND($T27&lt;&gt;"",EDATE($D27,Milestones!$AA$156)&gt;=$T27),$W27,IF(AND($S27&lt;&gt;"",EDATE($D27,Milestones!$AA$156)&gt;=$S27),$V27,$U27)))=Milestones!$AB$156),UPPER(TEXT(EDATE($D27,Milestones!$AA$156),"dd mmm yy"))&amp;" "&amp;Milestones!$AB$156&amp;" "&amp;Milestones!$AC$156&amp;";  ","")&amp;IF(AND(EDATE($D27,Milestones!$AA$157)&lt;=AsOfDate,IF($R27=0,$X27,IF(AND($T27&lt;&gt;"",EDATE($D27,Milestones!$AA$157)&gt;=$T27),$W27,IF(AND($S27&lt;&gt;"",EDATE($D27,Milestones!$AA$157)&gt;=$S27),$V27,$U27)))=Milestones!$AB$157),UPPER(TEXT(EDATE($D27,Milestones!$AA$157),"dd mmm yy"))&amp;" "&amp;Milestones!$AB$157&amp;" "&amp;Milestones!$AC$157&amp;";  ","")&amp;IF(AND(EDATE($D27,Milestones!$AA$158)&lt;=AsOfDate,IF($R27=0,$X27,IF(AND($T27&lt;&gt;"",EDATE($D27,Milestones!$AA$158)&gt;=$T27),$W27,IF(AND($S27&lt;&gt;"",EDATE($D27,Milestones!$AA$158)&gt;=$S27),$V27,$U27)))=Milestones!$AB$158),UPPER(TEXT(EDATE($D27,Milestones!$AA$158),"dd mmm yy"))&amp;" "&amp;Milestones!$AB$158&amp;" "&amp;Milestones!$AC$158&amp;";  ","")&amp;IF(AND(EDATE($D27,Milestones!$AA$159)&lt;=AsOfDate,IF($R27=0,$X27,IF(AND($T27&lt;&gt;"",EDATE($D27,Milestones!$AA$159)&gt;=$T27),$W27,IF(AND($S27&lt;&gt;"",EDATE($D27,Milestones!$AA$159)&gt;=$S27),$V27,$U27)))=Milestones!$AB$159),UPPER(TEXT(EDATE($D27,Milestones!$AA$159),"dd mmm yy"))&amp;" "&amp;Milestones!$AB$159&amp;" "&amp;Milestones!$AC$159&amp;";  ",""))</f>
        <v/>
      </c>
      <c r="P27" s="0" t="str">
        <f aca="false">IF(OR($A27="",$D27=""),"",IF(AND(EDATE($D27,Milestones!$AA$160)&lt;=AsOfDate,IF($R27=0,$X27,IF(AND($T27&lt;&gt;"",EDATE($D27,Milestones!$AA$160)&gt;=$T27),$W27,IF(AND($S27&lt;&gt;"",EDATE($D27,Milestones!$AA$160)&gt;=$S27),$V27,$U27)))=Milestones!$AB$160),UPPER(TEXT(EDATE($D27,Milestones!$AA$160),"dd mmm yy"))&amp;" "&amp;Milestones!$AB$160&amp;" "&amp;Milestones!$AC$160&amp;";  ","")&amp;IF(AND(EDATE($D27,Milestones!$AA$161)&lt;=AsOfDate,IF($R27=0,$X27,IF(AND($T27&lt;&gt;"",EDATE($D27,Milestones!$AA$161)&gt;=$T27),$W27,IF(AND($S27&lt;&gt;"",EDATE($D27,Milestones!$AA$161)&gt;=$S27),$V27,$U27)))=Milestones!$AB$161),UPPER(TEXT(EDATE($D27,Milestones!$AA$161),"dd mmm yy"))&amp;" "&amp;Milestones!$AB$161&amp;" "&amp;Milestones!$AC$161&amp;";  ","")&amp;IF(AND(EDATE($D27,Milestones!$AA$162)&lt;=AsOfDate,IF($R27=0,$X27,IF(AND($T27&lt;&gt;"",EDATE($D27,Milestones!$AA$162)&gt;=$T27),$W27,IF(AND($S27&lt;&gt;"",EDATE($D27,Milestones!$AA$162)&gt;=$S27),$V27,$U27)))=Milestones!$AB$162),UPPER(TEXT(EDATE($D27,Milestones!$AA$162),"dd mmm yy"))&amp;" "&amp;Milestones!$AB$162&amp;" "&amp;Milestones!$AC$162&amp;";  ","")&amp;IF(AND(EDATE($D27,Milestones!$AA$163)&lt;=AsOfDate,IF($R27=0,$X27,IF(AND($T27&lt;&gt;"",EDATE($D27,Milestones!$AA$163)&gt;=$T27),$W27,IF(AND($S27&lt;&gt;"",EDATE($D27,Milestones!$AA$163)&gt;=$S27),$V27,$U27)))=Milestones!$AB$163),UPPER(TEXT(EDATE($D27,Milestones!$AA$163),"dd mmm yy"))&amp;" "&amp;Milestones!$AB$163&amp;" "&amp;Milestones!$AC$163&amp;";  ","")&amp;IF(AND(EDATE($D27,Milestones!$AA$164)&lt;=AsOfDate,IF($R27=0,$X27,IF(AND($T27&lt;&gt;"",EDATE($D27,Milestones!$AA$164)&gt;=$T27),$W27,IF(AND($S27&lt;&gt;"",EDATE($D27,Milestones!$AA$164)&gt;=$S27),$V27,$U27)))=Milestones!$AB$164),UPPER(TEXT(EDATE($D27,Milestones!$AA$164),"dd mmm yy"))&amp;" "&amp;Milestones!$AB$164&amp;" "&amp;Milestones!$AC$164&amp;";  ","")&amp;IF(AND(EDATE($D27,Milestones!$AA$165)&lt;=AsOfDate,IF($R27=0,$X27,IF(AND($T27&lt;&gt;"",EDATE($D27,Milestones!$AA$165)&gt;=$T27),$W27,IF(AND($S27&lt;&gt;"",EDATE($D27,Milestones!$AA$165)&gt;=$S27),$V27,$U27)))=Milestones!$AB$165),UPPER(TEXT(EDATE($D27,Milestones!$AA$165),"dd mmm yy"))&amp;" "&amp;Milestones!$AB$165&amp;" "&amp;Milestones!$AC$165&amp;";  ","")&amp;IF(AND(EDATE($D27,Milestones!$AA$166)&lt;=AsOfDate,IF($R27=0,$X27,IF(AND($T27&lt;&gt;"",EDATE($D27,Milestones!$AA$166)&gt;=$T27),$W27,IF(AND($S27&lt;&gt;"",EDATE($D27,Milestones!$AA$166)&gt;=$S27),$V27,$U27)))=Milestones!$AB$166),UPPER(TEXT(EDATE($D27,Milestones!$AA$166),"dd mmm yy"))&amp;" "&amp;Milestones!$AB$166&amp;" "&amp;Milestones!$AC$166&amp;";  ","")&amp;IF(AND(EDATE($D27,Milestones!$AA$167)&lt;=AsOfDate,IF($R27=0,$X27,IF(AND($T27&lt;&gt;"",EDATE($D27,Milestones!$AA$167)&gt;=$T27),$W27,IF(AND($S27&lt;&gt;"",EDATE($D27,Milestones!$AA$167)&gt;=$S27),$V27,$U27)))=Milestones!$AB$167),UPPER(TEXT(EDATE($D27,Milestones!$AA$167),"dd mmm yy"))&amp;" "&amp;Milestones!$AB$167&amp;" "&amp;Milestones!$AC$167&amp;";  ","")&amp;IF(AND(EDATE($D27,Milestones!$AA$168)&lt;=AsOfDate,IF($R27=0,$X27,IF(AND($T27&lt;&gt;"",EDATE($D27,Milestones!$AA$168)&gt;=$T27),$W27,IF(AND($S27&lt;&gt;"",EDATE($D27,Milestones!$AA$168)&gt;=$S27),$V27,$U27)))=Milestones!$AB$168),UPPER(TEXT(EDATE($D27,Milestones!$AA$168),"dd mmm yy"))&amp;" "&amp;Milestones!$AB$168&amp;" "&amp;Milestones!$AC$168&amp;";  ","")&amp;IF(AND(EDATE($D27,Milestones!$AA$169)&lt;=AsOfDate,IF($R27=0,$X27,IF(AND($T27&lt;&gt;"",EDATE($D27,Milestones!$AA$169)&gt;=$T27),$W27,IF(AND($S27&lt;&gt;"",EDATE($D27,Milestones!$AA$169)&gt;=$S27),$V27,$U27)))=Milestones!$AB$169),UPPER(TEXT(EDATE($D27,Milestones!$AA$169),"dd mmm yy"))&amp;" "&amp;Milestones!$AB$169&amp;" "&amp;Milestones!$AC$169&amp;";  ","")&amp;IF(AND(EDATE($D27,Milestones!$AA$170)&lt;=AsOfDate,IF($R27=0,$X27,IF(AND($T27&lt;&gt;"",EDATE($D27,Milestones!$AA$170)&gt;=$T27),$W27,IF(AND($S27&lt;&gt;"",EDATE($D27,Milestones!$AA$170)&gt;=$S27),$V27,$U27)))=Milestones!$AB$170),UPPER(TEXT(EDATE($D27,Milestones!$AA$170),"dd mmm yy"))&amp;" "&amp;Milestones!$AB$170&amp;" "&amp;Milestones!$AC$170&amp;";  ","")&amp;IF(AND(EDATE($D27,Milestones!$AA$171)&lt;=AsOfDate,IF($R27=0,$X27,IF(AND($T27&lt;&gt;"",EDATE($D27,Milestones!$AA$171)&gt;=$T27),$W27,IF(AND($S27&lt;&gt;"",EDATE($D27,Milestones!$AA$171)&gt;=$S27),$V27,$U27)))=Milestones!$AB$171),UPPER(TEXT(EDATE($D27,Milestones!$AA$171),"dd mmm yy"))&amp;" "&amp;Milestones!$AB$171&amp;" "&amp;Milestones!$AC$171&amp;";  ","")&amp;IF(AND(EDATE($D27,Milestones!$AA$172)&lt;=AsOfDate,IF($R27=0,$X27,IF(AND($T27&lt;&gt;"",EDATE($D27,Milestones!$AA$172)&gt;=$T27),$W27,IF(AND($S27&lt;&gt;"",EDATE($D27,Milestones!$AA$172)&gt;=$S27),$V27,$U27)))=Milestones!$AB$172),UPPER(TEXT(EDATE($D27,Milestones!$AA$172),"dd mmm yy"))&amp;" "&amp;Milestones!$AB$172&amp;" "&amp;Milestones!$AC$172&amp;";  ","")&amp;IF(AND(EDATE($D27,Milestones!$AA$173)&lt;=AsOfDate,IF($R27=0,$X27,IF(AND($T27&lt;&gt;"",EDATE($D27,Milestones!$AA$173)&gt;=$T27),$W27,IF(AND($S27&lt;&gt;"",EDATE($D27,Milestones!$AA$173)&gt;=$S27),$V27,$U27)))=Milestones!$AB$173),UPPER(TEXT(EDATE($D27,Milestones!$AA$173),"dd mmm yy"))&amp;" "&amp;Milestones!$AB$173&amp;" "&amp;Milestones!$AC$173&amp;";  ","")&amp;IF(AND(EDATE($D27,Milestones!$AA$174)&lt;=AsOfDate,IF($R27=0,$X27,IF(AND($T27&lt;&gt;"",EDATE($D27,Milestones!$AA$174)&gt;=$T27),$W27,IF(AND($S27&lt;&gt;"",EDATE($D27,Milestones!$AA$174)&gt;=$S27),$V27,$U27)))=Milestones!$AB$174),UPPER(TEXT(EDATE($D27,Milestones!$AA$174),"dd mmm yy"))&amp;" "&amp;Milestones!$AB$174&amp;" "&amp;Milestones!$AC$174&amp;";  ","")&amp;IF(AND(EDATE($D27,Milestones!$AA$175)&lt;=AsOfDate,IF($R27=0,$X27,IF(AND($T27&lt;&gt;"",EDATE($D27,Milestones!$AA$175)&gt;=$T27),$W27,IF(AND($S27&lt;&gt;"",EDATE($D27,Milestones!$AA$175)&gt;=$S27),$V27,$U27)))=Milestones!$AB$175),UPPER(TEXT(EDATE($D27,Milestones!$AA$175),"dd mmm yy"))&amp;" "&amp;Milestones!$AB$175&amp;" "&amp;Milestones!$AC$175&amp;";  ","")&amp;IF(AND(EDATE($D27,Milestones!$AA$176)&lt;=AsOfDate,IF($R27=0,$X27,IF(AND($T27&lt;&gt;"",EDATE($D27,Milestones!$AA$176)&gt;=$T27),$W27,IF(AND($S27&lt;&gt;"",EDATE($D27,Milestones!$AA$176)&gt;=$S27),$V27,$U27)))=Milestones!$AB$176),UPPER(TEXT(EDATE($D27,Milestones!$AA$176),"dd mmm yy"))&amp;" "&amp;Milestones!$AB$176&amp;" "&amp;Milestones!$AC$176&amp;";  ","")&amp;IF(AND(EDATE($D27,Milestones!$AA$177)&lt;=AsOfDate,IF($R27=0,$X27,IF(AND($T27&lt;&gt;"",EDATE($D27,Milestones!$AA$177)&gt;=$T27),$W27,IF(AND($S27&lt;&gt;"",EDATE($D27,Milestones!$AA$177)&gt;=$S27),$V27,$U27)))=Milestones!$AB$177),UPPER(TEXT(EDATE($D27,Milestones!$AA$177),"dd mmm yy"))&amp;" "&amp;Milestones!$AB$177&amp;" "&amp;Milestones!$AC$177&amp;";  ","")&amp;IF(AND(EDATE($D27,Milestones!$AA$178)&lt;=AsOfDate,IF($R27=0,$X27,IF(AND($T27&lt;&gt;"",EDATE($D27,Milestones!$AA$178)&gt;=$T27),$W27,IF(AND($S27&lt;&gt;"",EDATE($D27,Milestones!$AA$178)&gt;=$S27),$V27,$U27)))=Milestones!$AB$178),UPPER(TEXT(EDATE($D27,Milestones!$AA$178),"dd mmm yy"))&amp;" "&amp;Milestones!$AB$178&amp;" "&amp;Milestones!$AC$178&amp;";  ","")&amp;IF(AND(EDATE($D27,Milestones!$AA$179)&lt;=AsOfDate,IF($R27=0,$X27,IF(AND($T27&lt;&gt;"",EDATE($D27,Milestones!$AA$179)&gt;=$T27),$W27,IF(AND($S27&lt;&gt;"",EDATE($D27,Milestones!$AA$179)&gt;=$S27),$V27,$U27)))=Milestones!$AB$179),UPPER(TEXT(EDATE($D27,Milestones!$AA$179),"dd mmm yy"))&amp;" "&amp;Milestones!$AB$179&amp;" "&amp;Milestones!$AC$179&amp;";  ",""))</f>
        <v/>
      </c>
      <c r="Q27" s="0" t="str">
        <f aca="false">IF(OR($A27="",$D27=""),"",IF(AND(EDATE($D27,Milestones!$AA$180)&lt;=AsOfDate,IF($R27=0,$X27,IF(AND($T27&lt;&gt;"",EDATE($D27,Milestones!$AA$180)&gt;=$T27),$W27,IF(AND($S27&lt;&gt;"",EDATE($D27,Milestones!$AA$180)&gt;=$S27),$V27,$U27)))=Milestones!$AB$180),UPPER(TEXT(EDATE($D27,Milestones!$AA$180),"dd mmm yy"))&amp;" "&amp;Milestones!$AB$180&amp;" "&amp;Milestones!$AC$180&amp;";  ","")&amp;IF(AND(EDATE($D27,Milestones!$AA$181)&lt;=AsOfDate,IF($R27=0,$X27,IF(AND($T27&lt;&gt;"",EDATE($D27,Milestones!$AA$181)&gt;=$T27),$W27,IF(AND($S27&lt;&gt;"",EDATE($D27,Milestones!$AA$181)&gt;=$S27),$V27,$U27)))=Milestones!$AB$181),UPPER(TEXT(EDATE($D27,Milestones!$AA$181),"dd mmm yy"))&amp;" "&amp;Milestones!$AB$181&amp;" "&amp;Milestones!$AC$181&amp;";  ","")&amp;IF(AND(EDATE($D27,Milestones!$AA$182)&lt;=AsOfDate,IF($R27=0,$X27,IF(AND($T27&lt;&gt;"",EDATE($D27,Milestones!$AA$182)&gt;=$T27),$W27,IF(AND($S27&lt;&gt;"",EDATE($D27,Milestones!$AA$182)&gt;=$S27),$V27,$U27)))=Milestones!$AB$182),UPPER(TEXT(EDATE($D27,Milestones!$AA$182),"dd mmm yy"))&amp;" "&amp;Milestones!$AB$182&amp;" "&amp;Milestones!$AC$182&amp;";  ","")&amp;IF(AND(EDATE($D27,Milestones!$AA$183)&lt;=AsOfDate,IF($R27=0,$X27,IF(AND($T27&lt;&gt;"",EDATE($D27,Milestones!$AA$183)&gt;=$T27),$W27,IF(AND($S27&lt;&gt;"",EDATE($D27,Milestones!$AA$183)&gt;=$S27),$V27,$U27)))=Milestones!$AB$183),UPPER(TEXT(EDATE($D27,Milestones!$AA$183),"dd mmm yy"))&amp;" "&amp;Milestones!$AB$183&amp;" "&amp;Milestones!$AC$183&amp;";  ","")&amp;IF(AND(EDATE($D27,Milestones!$AA$184)&lt;=AsOfDate,IF($R27=0,$X27,IF(AND($T27&lt;&gt;"",EDATE($D27,Milestones!$AA$184)&gt;=$T27),$W27,IF(AND($S27&lt;&gt;"",EDATE($D27,Milestones!$AA$184)&gt;=$S27),$V27,$U27)))=Milestones!$AB$184),UPPER(TEXT(EDATE($D27,Milestones!$AA$184),"dd mmm yy"))&amp;" "&amp;Milestones!$AB$184&amp;" "&amp;Milestones!$AC$184&amp;";  ","")&amp;IF(AND(EDATE($D27,Milestones!$AA$185)&lt;=AsOfDate,IF($R27=0,$X27,IF(AND($T27&lt;&gt;"",EDATE($D27,Milestones!$AA$185)&gt;=$T27),$W27,IF(AND($S27&lt;&gt;"",EDATE($D27,Milestones!$AA$185)&gt;=$S27),$V27,$U27)))=Milestones!$AB$185),UPPER(TEXT(EDATE($D27,Milestones!$AA$185),"dd mmm yy"))&amp;" "&amp;Milestones!$AB$185&amp;" "&amp;Milestones!$AC$185&amp;";  ","")&amp;IF(AND(EDATE($D27,Milestones!$AA$186)&lt;=AsOfDate,IF($R27=0,$X27,IF(AND($T27&lt;&gt;"",EDATE($D27,Milestones!$AA$186)&gt;=$T27),$W27,IF(AND($S27&lt;&gt;"",EDATE($D27,Milestones!$AA$186)&gt;=$S27),$V27,$U27)))=Milestones!$AB$186),UPPER(TEXT(EDATE($D27,Milestones!$AA$186),"dd mmm yy"))&amp;" "&amp;Milestones!$AB$186&amp;" "&amp;Milestones!$AC$186&amp;";  ","")&amp;IF(AND(EDATE($D27,Milestones!$AA$187)&lt;=AsOfDate,IF($R27=0,$X27,IF(AND($T27&lt;&gt;"",EDATE($D27,Milestones!$AA$187)&gt;=$T27),$W27,IF(AND($S27&lt;&gt;"",EDATE($D27,Milestones!$AA$187)&gt;=$S27),$V27,$U27)))=Milestones!$AB$187),UPPER(TEXT(EDATE($D27,Milestones!$AA$187),"dd mmm yy"))&amp;" "&amp;Milestones!$AB$187&amp;" "&amp;Milestones!$AC$187&amp;";  ","")&amp;IF(AND(EDATE($D27,Milestones!$AA$188)&lt;=AsOfDate,IF($R27=0,$X27,IF(AND($T27&lt;&gt;"",EDATE($D27,Milestones!$AA$188)&gt;=$T27),$W27,IF(AND($S27&lt;&gt;"",EDATE($D27,Milestones!$AA$188)&gt;=$S27),$V27,$U27)))=Milestones!$AB$188),UPPER(TEXT(EDATE($D27,Milestones!$AA$188),"dd mmm yy"))&amp;" "&amp;Milestones!$AB$188&amp;" "&amp;Milestones!$AC$188&amp;";  ","")&amp;IF(AND(EDATE($D27,Milestones!$AA$189)&lt;=AsOfDate,IF($R27=0,$X27,IF(AND($T27&lt;&gt;"",EDATE($D27,Milestones!$AA$189)&gt;=$T27),$W27,IF(AND($S27&lt;&gt;"",EDATE($D27,Milestones!$AA$189)&gt;=$S27),$V27,$U27)))=Milestones!$AB$189),UPPER(TEXT(EDATE($D27,Milestones!$AA$189),"dd mmm yy"))&amp;" "&amp;Milestones!$AB$189&amp;" "&amp;Milestones!$AC$189&amp;";  ","")&amp;IF(AND(EDATE($D27,Milestones!$AA$190)&lt;=AsOfDate,IF($R27=0,$X27,IF(AND($T27&lt;&gt;"",EDATE($D27,Milestones!$AA$190)&gt;=$T27),$W27,IF(AND($S27&lt;&gt;"",EDATE($D27,Milestones!$AA$190)&gt;=$S27),$V27,$U27)))=Milestones!$AB$190),UPPER(TEXT(EDATE($D27,Milestones!$AA$190),"dd mmm yy"))&amp;" "&amp;Milestones!$AB$190&amp;" "&amp;Milestones!$AC$190&amp;";  ","")&amp;IF(AND(EDATE($D27,Milestones!$AA$191)&lt;=AsOfDate,IF($R27=0,$X27,IF(AND($T27&lt;&gt;"",EDATE($D27,Milestones!$AA$191)&gt;=$T27),$W27,IF(AND($S27&lt;&gt;"",EDATE($D27,Milestones!$AA$191)&gt;=$S27),$V27,$U27)))=Milestones!$AB$191),UPPER(TEXT(EDATE($D27,Milestones!$AA$191),"dd mmm yy"))&amp;" "&amp;Milestones!$AB$191&amp;" "&amp;Milestones!$AC$191&amp;";  ","")&amp;IF(AND(EDATE($D27,Milestones!$AA$192)&lt;=AsOfDate,IF($R27=0,$X27,IF(AND($T27&lt;&gt;"",EDATE($D27,Milestones!$AA$192)&gt;=$T27),$W27,IF(AND($S27&lt;&gt;"",EDATE($D27,Milestones!$AA$192)&gt;=$S27),$V27,$U27)))=Milestones!$AB$192),UPPER(TEXT(EDATE($D27,Milestones!$AA$192),"dd mmm yy"))&amp;" "&amp;Milestones!$AB$192&amp;" "&amp;Milestones!$AC$192&amp;";  ","")&amp;IF(AND(EDATE($D27,Milestones!$AA$193)&lt;=AsOfDate,IF($R27=0,$X27,IF(AND($T27&lt;&gt;"",EDATE($D27,Milestones!$AA$193)&gt;=$T27),$W27,IF(AND($S27&lt;&gt;"",EDATE($D27,Milestones!$AA$193)&gt;=$S27),$V27,$U27)))=Milestones!$AB$193),UPPER(TEXT(EDATE($D27,Milestones!$AA$193),"dd mmm yy"))&amp;" "&amp;Milestones!$AB$193&amp;" "&amp;Milestones!$AC$193&amp;";  ","")&amp;IF(AND(EDATE($D27,Milestones!$AA$194)&lt;=AsOfDate,IF($R27=0,$X27,IF(AND($T27&lt;&gt;"",EDATE($D27,Milestones!$AA$194)&gt;=$T27),$W27,IF(AND($S27&lt;&gt;"",EDATE($D27,Milestones!$AA$194)&gt;=$S27),$V27,$U27)))=Milestones!$AB$194),UPPER(TEXT(EDATE($D27,Milestones!$AA$194),"dd mmm yy"))&amp;" "&amp;Milestones!$AB$194&amp;" "&amp;Milestones!$AC$194&amp;";  ","")&amp;IF(AND(EDATE($D27,Milestones!$AA$195)&lt;=AsOfDate,IF($R27=0,$X27,IF(AND($T27&lt;&gt;"",EDATE($D27,Milestones!$AA$195)&gt;=$T27),$W27,IF(AND($S27&lt;&gt;"",EDATE($D27,Milestones!$AA$195)&gt;=$S27),$V27,$U27)))=Milestones!$AB$195),UPPER(TEXT(EDATE($D27,Milestones!$AA$195),"dd mmm yy"))&amp;" "&amp;Milestones!$AB$195&amp;" "&amp;Milestones!$AC$195&amp;";  ","")&amp;IF(AND(EDATE($D27,Milestones!$AA$196)&lt;=AsOfDate,IF($R27=0,$X27,IF(AND($T27&lt;&gt;"",EDATE($D27,Milestones!$AA$196)&gt;=$T27),$W27,IF(AND($S27&lt;&gt;"",EDATE($D27,Milestones!$AA$196)&gt;=$S27),$V27,$U27)))=Milestones!$AB$196),UPPER(TEXT(EDATE($D27,Milestones!$AA$196),"dd mmm yy"))&amp;" "&amp;Milestones!$AB$196&amp;" "&amp;Milestones!$AC$196&amp;";  ","")&amp;IF(AND(EDATE($D27,Milestones!$AA$197)&lt;=AsOfDate,IF($R27=0,$X27,IF(AND($T27&lt;&gt;"",EDATE($D27,Milestones!$AA$197)&gt;=$T27),$W27,IF(AND($S27&lt;&gt;"",EDATE($D27,Milestones!$AA$197)&gt;=$S27),$V27,$U27)))=Milestones!$AB$197),UPPER(TEXT(EDATE($D27,Milestones!$AA$197),"dd mmm yy"))&amp;" "&amp;Milestones!$AB$197&amp;" "&amp;Milestones!$AC$197&amp;";  ","")&amp;IF(AND(EDATE($D27,Milestones!$AA$198)&lt;=AsOfDate,IF($R27=0,$X27,IF(AND($T27&lt;&gt;"",EDATE($D27,Milestones!$AA$198)&gt;=$T27),$W27,IF(AND($S27&lt;&gt;"",EDATE($D27,Milestones!$AA$198)&gt;=$S27),$V27,$U27)))=Milestones!$AB$198),UPPER(TEXT(EDATE($D27,Milestones!$AA$198),"dd mmm yy"))&amp;" "&amp;Milestones!$AB$198&amp;" "&amp;Milestones!$AC$198&amp;";  ","")&amp;IF(AND(EDATE($D27,Milestones!$AA$199)&lt;=AsOfDate,IF($R27=0,$X27,IF(AND($T27&lt;&gt;"",EDATE($D27,Milestones!$AA$199)&gt;=$T27),$W27,IF(AND($S27&lt;&gt;"",EDATE($D27,Milestones!$AA$199)&gt;=$S27),$V27,$U27)))=Milestones!$AB$199),UPPER(TEXT(EDATE($D27,Milestones!$AA$199),"dd mmm yy"))&amp;" "&amp;Milestones!$AB$199&amp;" "&amp;Milestones!$AC$199&amp;";  ",""))</f>
        <v/>
      </c>
      <c r="R27" s="0" t="str">
        <f aca="false">IF(Staff!$A27="","",Staff!$AI27)</f>
        <v/>
      </c>
      <c r="S27" s="0" t="str">
        <f aca="false">IF(Staff!$A27="","",Staff!$AK27)</f>
        <v/>
      </c>
      <c r="T27" s="0" t="str">
        <f aca="false">IF(Staff!$A27="","",Staff!$AL27)</f>
        <v/>
      </c>
      <c r="U27" s="0" t="str">
        <f aca="false">IF(Staff!$A27="","",Staff!$AP27)</f>
        <v/>
      </c>
      <c r="V27" s="0" t="str">
        <f aca="false">IF(Staff!$A27="","",Staff!$AQ27)</f>
        <v/>
      </c>
      <c r="W27" s="0" t="str">
        <f aca="false">IF(Staff!$A27="","",Staff!$AR27)</f>
        <v/>
      </c>
      <c r="X27" s="0" t="str">
        <f aca="false">IF(Staff!$A27="","",Staff!$AS27)</f>
        <v/>
      </c>
    </row>
    <row r="28" customFormat="false" ht="15" hidden="false" customHeight="false" outlineLevel="0" collapsed="false">
      <c r="A28" s="14" t="str">
        <f aca="false">IF(Staff!$A28="","",Staff!$A28)</f>
        <v/>
      </c>
      <c r="B28" s="14" t="str">
        <f aca="false">IF(Staff!$A28="","",Staff!$B28)</f>
        <v/>
      </c>
      <c r="C28" s="14" t="str">
        <f aca="false">IF(Staff!$A28="","",Staff!$C28)</f>
        <v/>
      </c>
      <c r="D28" s="12" t="str">
        <f aca="false">IF(Staff!$A28="","",Staff!$AH28)</f>
        <v/>
      </c>
      <c r="E28" s="14" t="str">
        <f aca="false">IF(Staff!$A28="","",Staff!$O28)</f>
        <v/>
      </c>
      <c r="F28" s="14" t="str">
        <f aca="false">IF(E28="","",E28*HoursPerDay)</f>
        <v/>
      </c>
      <c r="G28" s="14" t="str">
        <f aca="false">IF(Staff!$A28="","",Staff!$AE28)</f>
        <v/>
      </c>
      <c r="H28" s="26" t="str">
        <f aca="false">IF($A28="","",I28&amp;J28&amp;K28&amp;L28&amp;M28&amp;N28&amp;O28&amp;P28&amp;Q28)</f>
        <v/>
      </c>
      <c r="I28" s="0" t="str">
        <f aca="false">IF(OR($A28="",$D28=""),"",IF(AND(EDATE($D28,Milestones!$AA$20)&lt;=AsOfDate,IF($R28=0,$X28,IF(AND($T28&lt;&gt;"",EDATE($D28,Milestones!$AA$20)&gt;=$T28),$W28,IF(AND($S28&lt;&gt;"",EDATE($D28,Milestones!$AA$20)&gt;=$S28),$V28,$U28)))=Milestones!$AB$20),UPPER(TEXT(EDATE($D28,Milestones!$AA$20),"dd mmm yy"))&amp;" "&amp;Milestones!$AB$20&amp;" "&amp;Milestones!$AC$20&amp;";  ","")&amp;IF(AND(EDATE($D28,Milestones!$AA$21)&lt;=AsOfDate,IF($R28=0,$X28,IF(AND($T28&lt;&gt;"",EDATE($D28,Milestones!$AA$21)&gt;=$T28),$W28,IF(AND($S28&lt;&gt;"",EDATE($D28,Milestones!$AA$21)&gt;=$S28),$V28,$U28)))=Milestones!$AB$21),UPPER(TEXT(EDATE($D28,Milestones!$AA$21),"dd mmm yy"))&amp;" "&amp;Milestones!$AB$21&amp;" "&amp;Milestones!$AC$21&amp;";  ","")&amp;IF(AND(EDATE($D28,Milestones!$AA$22)&lt;=AsOfDate,IF($R28=0,$X28,IF(AND($T28&lt;&gt;"",EDATE($D28,Milestones!$AA$22)&gt;=$T28),$W28,IF(AND($S28&lt;&gt;"",EDATE($D28,Milestones!$AA$22)&gt;=$S28),$V28,$U28)))=Milestones!$AB$22),UPPER(TEXT(EDATE($D28,Milestones!$AA$22),"dd mmm yy"))&amp;" "&amp;Milestones!$AB$22&amp;" "&amp;Milestones!$AC$22&amp;";  ","")&amp;IF(AND(EDATE($D28,Milestones!$AA$23)&lt;=AsOfDate,IF($R28=0,$X28,IF(AND($T28&lt;&gt;"",EDATE($D28,Milestones!$AA$23)&gt;=$T28),$W28,IF(AND($S28&lt;&gt;"",EDATE($D28,Milestones!$AA$23)&gt;=$S28),$V28,$U28)))=Milestones!$AB$23),UPPER(TEXT(EDATE($D28,Milestones!$AA$23),"dd mmm yy"))&amp;" "&amp;Milestones!$AB$23&amp;" "&amp;Milestones!$AC$23&amp;";  ","")&amp;IF(AND(EDATE($D28,Milestones!$AA$24)&lt;=AsOfDate,IF($R28=0,$X28,IF(AND($T28&lt;&gt;"",EDATE($D28,Milestones!$AA$24)&gt;=$T28),$W28,IF(AND($S28&lt;&gt;"",EDATE($D28,Milestones!$AA$24)&gt;=$S28),$V28,$U28)))=Milestones!$AB$24),UPPER(TEXT(EDATE($D28,Milestones!$AA$24),"dd mmm yy"))&amp;" "&amp;Milestones!$AB$24&amp;" "&amp;Milestones!$AC$24&amp;";  ","")&amp;IF(AND(EDATE($D28,Milestones!$AA$25)&lt;=AsOfDate,IF($R28=0,$X28,IF(AND($T28&lt;&gt;"",EDATE($D28,Milestones!$AA$25)&gt;=$T28),$W28,IF(AND($S28&lt;&gt;"",EDATE($D28,Milestones!$AA$25)&gt;=$S28),$V28,$U28)))=Milestones!$AB$25),UPPER(TEXT(EDATE($D28,Milestones!$AA$25),"dd mmm yy"))&amp;" "&amp;Milestones!$AB$25&amp;" "&amp;Milestones!$AC$25&amp;";  ","")&amp;IF(AND(EDATE($D28,Milestones!$AA$26)&lt;=AsOfDate,IF($R28=0,$X28,IF(AND($T28&lt;&gt;"",EDATE($D28,Milestones!$AA$26)&gt;=$T28),$W28,IF(AND($S28&lt;&gt;"",EDATE($D28,Milestones!$AA$26)&gt;=$S28),$V28,$U28)))=Milestones!$AB$26),UPPER(TEXT(EDATE($D28,Milestones!$AA$26),"dd mmm yy"))&amp;" "&amp;Milestones!$AB$26&amp;" "&amp;Milestones!$AC$26&amp;";  ","")&amp;IF(AND(EDATE($D28,Milestones!$AA$27)&lt;=AsOfDate,IF($R28=0,$X28,IF(AND($T28&lt;&gt;"",EDATE($D28,Milestones!$AA$27)&gt;=$T28),$W28,IF(AND($S28&lt;&gt;"",EDATE($D28,Milestones!$AA$27)&gt;=$S28),$V28,$U28)))=Milestones!$AB$27),UPPER(TEXT(EDATE($D28,Milestones!$AA$27),"dd mmm yy"))&amp;" "&amp;Milestones!$AB$27&amp;" "&amp;Milestones!$AC$27&amp;";  ","")&amp;IF(AND(EDATE($D28,Milestones!$AA$28)&lt;=AsOfDate,IF($R28=0,$X28,IF(AND($T28&lt;&gt;"",EDATE($D28,Milestones!$AA$28)&gt;=$T28),$W28,IF(AND($S28&lt;&gt;"",EDATE($D28,Milestones!$AA$28)&gt;=$S28),$V28,$U28)))=Milestones!$AB$28),UPPER(TEXT(EDATE($D28,Milestones!$AA$28),"dd mmm yy"))&amp;" "&amp;Milestones!$AB$28&amp;" "&amp;Milestones!$AC$28&amp;";  ","")&amp;IF(AND(EDATE($D28,Milestones!$AA$29)&lt;=AsOfDate,IF($R28=0,$X28,IF(AND($T28&lt;&gt;"",EDATE($D28,Milestones!$AA$29)&gt;=$T28),$W28,IF(AND($S28&lt;&gt;"",EDATE($D28,Milestones!$AA$29)&gt;=$S28),$V28,$U28)))=Milestones!$AB$29),UPPER(TEXT(EDATE($D28,Milestones!$AA$29),"dd mmm yy"))&amp;" "&amp;Milestones!$AB$29&amp;" "&amp;Milestones!$AC$29&amp;";  ","")&amp;IF(AND(EDATE($D28,Milestones!$AA$30)&lt;=AsOfDate,IF($R28=0,$X28,IF(AND($T28&lt;&gt;"",EDATE($D28,Milestones!$AA$30)&gt;=$T28),$W28,IF(AND($S28&lt;&gt;"",EDATE($D28,Milestones!$AA$30)&gt;=$S28),$V28,$U28)))=Milestones!$AB$30),UPPER(TEXT(EDATE($D28,Milestones!$AA$30),"dd mmm yy"))&amp;" "&amp;Milestones!$AB$30&amp;" "&amp;Milestones!$AC$30&amp;";  ","")&amp;IF(AND(EDATE($D28,Milestones!$AA$31)&lt;=AsOfDate,IF($R28=0,$X28,IF(AND($T28&lt;&gt;"",EDATE($D28,Milestones!$AA$31)&gt;=$T28),$W28,IF(AND($S28&lt;&gt;"",EDATE($D28,Milestones!$AA$31)&gt;=$S28),$V28,$U28)))=Milestones!$AB$31),UPPER(TEXT(EDATE($D28,Milestones!$AA$31),"dd mmm yy"))&amp;" "&amp;Milestones!$AB$31&amp;" "&amp;Milestones!$AC$31&amp;";  ","")&amp;IF(AND(EDATE($D28,Milestones!$AA$32)&lt;=AsOfDate,IF($R28=0,$X28,IF(AND($T28&lt;&gt;"",EDATE($D28,Milestones!$AA$32)&gt;=$T28),$W28,IF(AND($S28&lt;&gt;"",EDATE($D28,Milestones!$AA$32)&gt;=$S28),$V28,$U28)))=Milestones!$AB$32),UPPER(TEXT(EDATE($D28,Milestones!$AA$32),"dd mmm yy"))&amp;" "&amp;Milestones!$AB$32&amp;" "&amp;Milestones!$AC$32&amp;";  ","")&amp;IF(AND(EDATE($D28,Milestones!$AA$33)&lt;=AsOfDate,IF($R28=0,$X28,IF(AND($T28&lt;&gt;"",EDATE($D28,Milestones!$AA$33)&gt;=$T28),$W28,IF(AND($S28&lt;&gt;"",EDATE($D28,Milestones!$AA$33)&gt;=$S28),$V28,$U28)))=Milestones!$AB$33),UPPER(TEXT(EDATE($D28,Milestones!$AA$33),"dd mmm yy"))&amp;" "&amp;Milestones!$AB$33&amp;" "&amp;Milestones!$AC$33&amp;";  ","")&amp;IF(AND(EDATE($D28,Milestones!$AA$34)&lt;=AsOfDate,IF($R28=0,$X28,IF(AND($T28&lt;&gt;"",EDATE($D28,Milestones!$AA$34)&gt;=$T28),$W28,IF(AND($S28&lt;&gt;"",EDATE($D28,Milestones!$AA$34)&gt;=$S28),$V28,$U28)))=Milestones!$AB$34),UPPER(TEXT(EDATE($D28,Milestones!$AA$34),"dd mmm yy"))&amp;" "&amp;Milestones!$AB$34&amp;" "&amp;Milestones!$AC$34&amp;";  ","")&amp;IF(AND(EDATE($D28,Milestones!$AA$35)&lt;=AsOfDate,IF($R28=0,$X28,IF(AND($T28&lt;&gt;"",EDATE($D28,Milestones!$AA$35)&gt;=$T28),$W28,IF(AND($S28&lt;&gt;"",EDATE($D28,Milestones!$AA$35)&gt;=$S28),$V28,$U28)))=Milestones!$AB$35),UPPER(TEXT(EDATE($D28,Milestones!$AA$35),"dd mmm yy"))&amp;" "&amp;Milestones!$AB$35&amp;" "&amp;Milestones!$AC$35&amp;";  ","")&amp;IF(AND(EDATE($D28,Milestones!$AA$36)&lt;=AsOfDate,IF($R28=0,$X28,IF(AND($T28&lt;&gt;"",EDATE($D28,Milestones!$AA$36)&gt;=$T28),$W28,IF(AND($S28&lt;&gt;"",EDATE($D28,Milestones!$AA$36)&gt;=$S28),$V28,$U28)))=Milestones!$AB$36),UPPER(TEXT(EDATE($D28,Milestones!$AA$36),"dd mmm yy"))&amp;" "&amp;Milestones!$AB$36&amp;" "&amp;Milestones!$AC$36&amp;";  ","")&amp;IF(AND(EDATE($D28,Milestones!$AA$37)&lt;=AsOfDate,IF($R28=0,$X28,IF(AND($T28&lt;&gt;"",EDATE($D28,Milestones!$AA$37)&gt;=$T28),$W28,IF(AND($S28&lt;&gt;"",EDATE($D28,Milestones!$AA$37)&gt;=$S28),$V28,$U28)))=Milestones!$AB$37),UPPER(TEXT(EDATE($D28,Milestones!$AA$37),"dd mmm yy"))&amp;" "&amp;Milestones!$AB$37&amp;" "&amp;Milestones!$AC$37&amp;";  ","")&amp;IF(AND(EDATE($D28,Milestones!$AA$38)&lt;=AsOfDate,IF($R28=0,$X28,IF(AND($T28&lt;&gt;"",EDATE($D28,Milestones!$AA$38)&gt;=$T28),$W28,IF(AND($S28&lt;&gt;"",EDATE($D28,Milestones!$AA$38)&gt;=$S28),$V28,$U28)))=Milestones!$AB$38),UPPER(TEXT(EDATE($D28,Milestones!$AA$38),"dd mmm yy"))&amp;" "&amp;Milestones!$AB$38&amp;" "&amp;Milestones!$AC$38&amp;";  ","")&amp;IF(AND(EDATE($D28,Milestones!$AA$39)&lt;=AsOfDate,IF($R28=0,$X28,IF(AND($T28&lt;&gt;"",EDATE($D28,Milestones!$AA$39)&gt;=$T28),$W28,IF(AND($S28&lt;&gt;"",EDATE($D28,Milestones!$AA$39)&gt;=$S28),$V28,$U28)))=Milestones!$AB$39),UPPER(TEXT(EDATE($D28,Milestones!$AA$39),"dd mmm yy"))&amp;" "&amp;Milestones!$AB$39&amp;" "&amp;Milestones!$AC$39&amp;";  ",""))</f>
        <v/>
      </c>
      <c r="J28" s="0" t="str">
        <f aca="false">IF(OR($A28="",$D28=""),"",IF(AND(EDATE($D28,Milestones!$AA$40)&lt;=AsOfDate,IF($R28=0,$X28,IF(AND($T28&lt;&gt;"",EDATE($D28,Milestones!$AA$40)&gt;=$T28),$W28,IF(AND($S28&lt;&gt;"",EDATE($D28,Milestones!$AA$40)&gt;=$S28),$V28,$U28)))=Milestones!$AB$40),UPPER(TEXT(EDATE($D28,Milestones!$AA$40),"dd mmm yy"))&amp;" "&amp;Milestones!$AB$40&amp;" "&amp;Milestones!$AC$40&amp;";  ","")&amp;IF(AND(EDATE($D28,Milestones!$AA$41)&lt;=AsOfDate,IF($R28=0,$X28,IF(AND($T28&lt;&gt;"",EDATE($D28,Milestones!$AA$41)&gt;=$T28),$W28,IF(AND($S28&lt;&gt;"",EDATE($D28,Milestones!$AA$41)&gt;=$S28),$V28,$U28)))=Milestones!$AB$41),UPPER(TEXT(EDATE($D28,Milestones!$AA$41),"dd mmm yy"))&amp;" "&amp;Milestones!$AB$41&amp;" "&amp;Milestones!$AC$41&amp;";  ","")&amp;IF(AND(EDATE($D28,Milestones!$AA$42)&lt;=AsOfDate,IF($R28=0,$X28,IF(AND($T28&lt;&gt;"",EDATE($D28,Milestones!$AA$42)&gt;=$T28),$W28,IF(AND($S28&lt;&gt;"",EDATE($D28,Milestones!$AA$42)&gt;=$S28),$V28,$U28)))=Milestones!$AB$42),UPPER(TEXT(EDATE($D28,Milestones!$AA$42),"dd mmm yy"))&amp;" "&amp;Milestones!$AB$42&amp;" "&amp;Milestones!$AC$42&amp;";  ","")&amp;IF(AND(EDATE($D28,Milestones!$AA$43)&lt;=AsOfDate,IF($R28=0,$X28,IF(AND($T28&lt;&gt;"",EDATE($D28,Milestones!$AA$43)&gt;=$T28),$W28,IF(AND($S28&lt;&gt;"",EDATE($D28,Milestones!$AA$43)&gt;=$S28),$V28,$U28)))=Milestones!$AB$43),UPPER(TEXT(EDATE($D28,Milestones!$AA$43),"dd mmm yy"))&amp;" "&amp;Milestones!$AB$43&amp;" "&amp;Milestones!$AC$43&amp;";  ","")&amp;IF(AND(EDATE($D28,Milestones!$AA$44)&lt;=AsOfDate,IF($R28=0,$X28,IF(AND($T28&lt;&gt;"",EDATE($D28,Milestones!$AA$44)&gt;=$T28),$W28,IF(AND($S28&lt;&gt;"",EDATE($D28,Milestones!$AA$44)&gt;=$S28),$V28,$U28)))=Milestones!$AB$44),UPPER(TEXT(EDATE($D28,Milestones!$AA$44),"dd mmm yy"))&amp;" "&amp;Milestones!$AB$44&amp;" "&amp;Milestones!$AC$44&amp;";  ","")&amp;IF(AND(EDATE($D28,Milestones!$AA$45)&lt;=AsOfDate,IF($R28=0,$X28,IF(AND($T28&lt;&gt;"",EDATE($D28,Milestones!$AA$45)&gt;=$T28),$W28,IF(AND($S28&lt;&gt;"",EDATE($D28,Milestones!$AA$45)&gt;=$S28),$V28,$U28)))=Milestones!$AB$45),UPPER(TEXT(EDATE($D28,Milestones!$AA$45),"dd mmm yy"))&amp;" "&amp;Milestones!$AB$45&amp;" "&amp;Milestones!$AC$45&amp;";  ","")&amp;IF(AND(EDATE($D28,Milestones!$AA$46)&lt;=AsOfDate,IF($R28=0,$X28,IF(AND($T28&lt;&gt;"",EDATE($D28,Milestones!$AA$46)&gt;=$T28),$W28,IF(AND($S28&lt;&gt;"",EDATE($D28,Milestones!$AA$46)&gt;=$S28),$V28,$U28)))=Milestones!$AB$46),UPPER(TEXT(EDATE($D28,Milestones!$AA$46),"dd mmm yy"))&amp;" "&amp;Milestones!$AB$46&amp;" "&amp;Milestones!$AC$46&amp;";  ","")&amp;IF(AND(EDATE($D28,Milestones!$AA$47)&lt;=AsOfDate,IF($R28=0,$X28,IF(AND($T28&lt;&gt;"",EDATE($D28,Milestones!$AA$47)&gt;=$T28),$W28,IF(AND($S28&lt;&gt;"",EDATE($D28,Milestones!$AA$47)&gt;=$S28),$V28,$U28)))=Milestones!$AB$47),UPPER(TEXT(EDATE($D28,Milestones!$AA$47),"dd mmm yy"))&amp;" "&amp;Milestones!$AB$47&amp;" "&amp;Milestones!$AC$47&amp;";  ","")&amp;IF(AND(EDATE($D28,Milestones!$AA$48)&lt;=AsOfDate,IF($R28=0,$X28,IF(AND($T28&lt;&gt;"",EDATE($D28,Milestones!$AA$48)&gt;=$T28),$W28,IF(AND($S28&lt;&gt;"",EDATE($D28,Milestones!$AA$48)&gt;=$S28),$V28,$U28)))=Milestones!$AB$48),UPPER(TEXT(EDATE($D28,Milestones!$AA$48),"dd mmm yy"))&amp;" "&amp;Milestones!$AB$48&amp;" "&amp;Milestones!$AC$48&amp;";  ","")&amp;IF(AND(EDATE($D28,Milestones!$AA$49)&lt;=AsOfDate,IF($R28=0,$X28,IF(AND($T28&lt;&gt;"",EDATE($D28,Milestones!$AA$49)&gt;=$T28),$W28,IF(AND($S28&lt;&gt;"",EDATE($D28,Milestones!$AA$49)&gt;=$S28),$V28,$U28)))=Milestones!$AB$49),UPPER(TEXT(EDATE($D28,Milestones!$AA$49),"dd mmm yy"))&amp;" "&amp;Milestones!$AB$49&amp;" "&amp;Milestones!$AC$49&amp;";  ","")&amp;IF(AND(EDATE($D28,Milestones!$AA$50)&lt;=AsOfDate,IF($R28=0,$X28,IF(AND($T28&lt;&gt;"",EDATE($D28,Milestones!$AA$50)&gt;=$T28),$W28,IF(AND($S28&lt;&gt;"",EDATE($D28,Milestones!$AA$50)&gt;=$S28),$V28,$U28)))=Milestones!$AB$50),UPPER(TEXT(EDATE($D28,Milestones!$AA$50),"dd mmm yy"))&amp;" "&amp;Milestones!$AB$50&amp;" "&amp;Milestones!$AC$50&amp;";  ","")&amp;IF(AND(EDATE($D28,Milestones!$AA$51)&lt;=AsOfDate,IF($R28=0,$X28,IF(AND($T28&lt;&gt;"",EDATE($D28,Milestones!$AA$51)&gt;=$T28),$W28,IF(AND($S28&lt;&gt;"",EDATE($D28,Milestones!$AA$51)&gt;=$S28),$V28,$U28)))=Milestones!$AB$51),UPPER(TEXT(EDATE($D28,Milestones!$AA$51),"dd mmm yy"))&amp;" "&amp;Milestones!$AB$51&amp;" "&amp;Milestones!$AC$51&amp;";  ","")&amp;IF(AND(EDATE($D28,Milestones!$AA$52)&lt;=AsOfDate,IF($R28=0,$X28,IF(AND($T28&lt;&gt;"",EDATE($D28,Milestones!$AA$52)&gt;=$T28),$W28,IF(AND($S28&lt;&gt;"",EDATE($D28,Milestones!$AA$52)&gt;=$S28),$V28,$U28)))=Milestones!$AB$52),UPPER(TEXT(EDATE($D28,Milestones!$AA$52),"dd mmm yy"))&amp;" "&amp;Milestones!$AB$52&amp;" "&amp;Milestones!$AC$52&amp;";  ","")&amp;IF(AND(EDATE($D28,Milestones!$AA$53)&lt;=AsOfDate,IF($R28=0,$X28,IF(AND($T28&lt;&gt;"",EDATE($D28,Milestones!$AA$53)&gt;=$T28),$W28,IF(AND($S28&lt;&gt;"",EDATE($D28,Milestones!$AA$53)&gt;=$S28),$V28,$U28)))=Milestones!$AB$53),UPPER(TEXT(EDATE($D28,Milestones!$AA$53),"dd mmm yy"))&amp;" "&amp;Milestones!$AB$53&amp;" "&amp;Milestones!$AC$53&amp;";  ","")&amp;IF(AND(EDATE($D28,Milestones!$AA$54)&lt;=AsOfDate,IF($R28=0,$X28,IF(AND($T28&lt;&gt;"",EDATE($D28,Milestones!$AA$54)&gt;=$T28),$W28,IF(AND($S28&lt;&gt;"",EDATE($D28,Milestones!$AA$54)&gt;=$S28),$V28,$U28)))=Milestones!$AB$54),UPPER(TEXT(EDATE($D28,Milestones!$AA$54),"dd mmm yy"))&amp;" "&amp;Milestones!$AB$54&amp;" "&amp;Milestones!$AC$54&amp;";  ","")&amp;IF(AND(EDATE($D28,Milestones!$AA$55)&lt;=AsOfDate,IF($R28=0,$X28,IF(AND($T28&lt;&gt;"",EDATE($D28,Milestones!$AA$55)&gt;=$T28),$W28,IF(AND($S28&lt;&gt;"",EDATE($D28,Milestones!$AA$55)&gt;=$S28),$V28,$U28)))=Milestones!$AB$55),UPPER(TEXT(EDATE($D28,Milestones!$AA$55),"dd mmm yy"))&amp;" "&amp;Milestones!$AB$55&amp;" "&amp;Milestones!$AC$55&amp;";  ","")&amp;IF(AND(EDATE($D28,Milestones!$AA$56)&lt;=AsOfDate,IF($R28=0,$X28,IF(AND($T28&lt;&gt;"",EDATE($D28,Milestones!$AA$56)&gt;=$T28),$W28,IF(AND($S28&lt;&gt;"",EDATE($D28,Milestones!$AA$56)&gt;=$S28),$V28,$U28)))=Milestones!$AB$56),UPPER(TEXT(EDATE($D28,Milestones!$AA$56),"dd mmm yy"))&amp;" "&amp;Milestones!$AB$56&amp;" "&amp;Milestones!$AC$56&amp;";  ","")&amp;IF(AND(EDATE($D28,Milestones!$AA$57)&lt;=AsOfDate,IF($R28=0,$X28,IF(AND($T28&lt;&gt;"",EDATE($D28,Milestones!$AA$57)&gt;=$T28),$W28,IF(AND($S28&lt;&gt;"",EDATE($D28,Milestones!$AA$57)&gt;=$S28),$V28,$U28)))=Milestones!$AB$57),UPPER(TEXT(EDATE($D28,Milestones!$AA$57),"dd mmm yy"))&amp;" "&amp;Milestones!$AB$57&amp;" "&amp;Milestones!$AC$57&amp;";  ","")&amp;IF(AND(EDATE($D28,Milestones!$AA$58)&lt;=AsOfDate,IF($R28=0,$X28,IF(AND($T28&lt;&gt;"",EDATE($D28,Milestones!$AA$58)&gt;=$T28),$W28,IF(AND($S28&lt;&gt;"",EDATE($D28,Milestones!$AA$58)&gt;=$S28),$V28,$U28)))=Milestones!$AB$58),UPPER(TEXT(EDATE($D28,Milestones!$AA$58),"dd mmm yy"))&amp;" "&amp;Milestones!$AB$58&amp;" "&amp;Milestones!$AC$58&amp;";  ","")&amp;IF(AND(EDATE($D28,Milestones!$AA$59)&lt;=AsOfDate,IF($R28=0,$X28,IF(AND($T28&lt;&gt;"",EDATE($D28,Milestones!$AA$59)&gt;=$T28),$W28,IF(AND($S28&lt;&gt;"",EDATE($D28,Milestones!$AA$59)&gt;=$S28),$V28,$U28)))=Milestones!$AB$59),UPPER(TEXT(EDATE($D28,Milestones!$AA$59),"dd mmm yy"))&amp;" "&amp;Milestones!$AB$59&amp;" "&amp;Milestones!$AC$59&amp;";  ",""))</f>
        <v/>
      </c>
      <c r="K28" s="0" t="str">
        <f aca="false">IF(OR($A28="",$D28=""),"",IF(AND(EDATE($D28,Milestones!$AA$60)&lt;=AsOfDate,IF($R28=0,$X28,IF(AND($T28&lt;&gt;"",EDATE($D28,Milestones!$AA$60)&gt;=$T28),$W28,IF(AND($S28&lt;&gt;"",EDATE($D28,Milestones!$AA$60)&gt;=$S28),$V28,$U28)))=Milestones!$AB$60),UPPER(TEXT(EDATE($D28,Milestones!$AA$60),"dd mmm yy"))&amp;" "&amp;Milestones!$AB$60&amp;" "&amp;Milestones!$AC$60&amp;";  ","")&amp;IF(AND(EDATE($D28,Milestones!$AA$61)&lt;=AsOfDate,IF($R28=0,$X28,IF(AND($T28&lt;&gt;"",EDATE($D28,Milestones!$AA$61)&gt;=$T28),$W28,IF(AND($S28&lt;&gt;"",EDATE($D28,Milestones!$AA$61)&gt;=$S28),$V28,$U28)))=Milestones!$AB$61),UPPER(TEXT(EDATE($D28,Milestones!$AA$61),"dd mmm yy"))&amp;" "&amp;Milestones!$AB$61&amp;" "&amp;Milestones!$AC$61&amp;";  ","")&amp;IF(AND(EDATE($D28,Milestones!$AA$62)&lt;=AsOfDate,IF($R28=0,$X28,IF(AND($T28&lt;&gt;"",EDATE($D28,Milestones!$AA$62)&gt;=$T28),$W28,IF(AND($S28&lt;&gt;"",EDATE($D28,Milestones!$AA$62)&gt;=$S28),$V28,$U28)))=Milestones!$AB$62),UPPER(TEXT(EDATE($D28,Milestones!$AA$62),"dd mmm yy"))&amp;" "&amp;Milestones!$AB$62&amp;" "&amp;Milestones!$AC$62&amp;";  ","")&amp;IF(AND(EDATE($D28,Milestones!$AA$63)&lt;=AsOfDate,IF($R28=0,$X28,IF(AND($T28&lt;&gt;"",EDATE($D28,Milestones!$AA$63)&gt;=$T28),$W28,IF(AND($S28&lt;&gt;"",EDATE($D28,Milestones!$AA$63)&gt;=$S28),$V28,$U28)))=Milestones!$AB$63),UPPER(TEXT(EDATE($D28,Milestones!$AA$63),"dd mmm yy"))&amp;" "&amp;Milestones!$AB$63&amp;" "&amp;Milestones!$AC$63&amp;";  ","")&amp;IF(AND(EDATE($D28,Milestones!$AA$64)&lt;=AsOfDate,IF($R28=0,$X28,IF(AND($T28&lt;&gt;"",EDATE($D28,Milestones!$AA$64)&gt;=$T28),$W28,IF(AND($S28&lt;&gt;"",EDATE($D28,Milestones!$AA$64)&gt;=$S28),$V28,$U28)))=Milestones!$AB$64),UPPER(TEXT(EDATE($D28,Milestones!$AA$64),"dd mmm yy"))&amp;" "&amp;Milestones!$AB$64&amp;" "&amp;Milestones!$AC$64&amp;";  ","")&amp;IF(AND(EDATE($D28,Milestones!$AA$65)&lt;=AsOfDate,IF($R28=0,$X28,IF(AND($T28&lt;&gt;"",EDATE($D28,Milestones!$AA$65)&gt;=$T28),$W28,IF(AND($S28&lt;&gt;"",EDATE($D28,Milestones!$AA$65)&gt;=$S28),$V28,$U28)))=Milestones!$AB$65),UPPER(TEXT(EDATE($D28,Milestones!$AA$65),"dd mmm yy"))&amp;" "&amp;Milestones!$AB$65&amp;" "&amp;Milestones!$AC$65&amp;";  ","")&amp;IF(AND(EDATE($D28,Milestones!$AA$66)&lt;=AsOfDate,IF($R28=0,$X28,IF(AND($T28&lt;&gt;"",EDATE($D28,Milestones!$AA$66)&gt;=$T28),$W28,IF(AND($S28&lt;&gt;"",EDATE($D28,Milestones!$AA$66)&gt;=$S28),$V28,$U28)))=Milestones!$AB$66),UPPER(TEXT(EDATE($D28,Milestones!$AA$66),"dd mmm yy"))&amp;" "&amp;Milestones!$AB$66&amp;" "&amp;Milestones!$AC$66&amp;";  ","")&amp;IF(AND(EDATE($D28,Milestones!$AA$67)&lt;=AsOfDate,IF($R28=0,$X28,IF(AND($T28&lt;&gt;"",EDATE($D28,Milestones!$AA$67)&gt;=$T28),$W28,IF(AND($S28&lt;&gt;"",EDATE($D28,Milestones!$AA$67)&gt;=$S28),$V28,$U28)))=Milestones!$AB$67),UPPER(TEXT(EDATE($D28,Milestones!$AA$67),"dd mmm yy"))&amp;" "&amp;Milestones!$AB$67&amp;" "&amp;Milestones!$AC$67&amp;";  ","")&amp;IF(AND(EDATE($D28,Milestones!$AA$68)&lt;=AsOfDate,IF($R28=0,$X28,IF(AND($T28&lt;&gt;"",EDATE($D28,Milestones!$AA$68)&gt;=$T28),$W28,IF(AND($S28&lt;&gt;"",EDATE($D28,Milestones!$AA$68)&gt;=$S28),$V28,$U28)))=Milestones!$AB$68),UPPER(TEXT(EDATE($D28,Milestones!$AA$68),"dd mmm yy"))&amp;" "&amp;Milestones!$AB$68&amp;" "&amp;Milestones!$AC$68&amp;";  ","")&amp;IF(AND(EDATE($D28,Milestones!$AA$69)&lt;=AsOfDate,IF($R28=0,$X28,IF(AND($T28&lt;&gt;"",EDATE($D28,Milestones!$AA$69)&gt;=$T28),$W28,IF(AND($S28&lt;&gt;"",EDATE($D28,Milestones!$AA$69)&gt;=$S28),$V28,$U28)))=Milestones!$AB$69),UPPER(TEXT(EDATE($D28,Milestones!$AA$69),"dd mmm yy"))&amp;" "&amp;Milestones!$AB$69&amp;" "&amp;Milestones!$AC$69&amp;";  ","")&amp;IF(AND(EDATE($D28,Milestones!$AA$70)&lt;=AsOfDate,IF($R28=0,$X28,IF(AND($T28&lt;&gt;"",EDATE($D28,Milestones!$AA$70)&gt;=$T28),$W28,IF(AND($S28&lt;&gt;"",EDATE($D28,Milestones!$AA$70)&gt;=$S28),$V28,$U28)))=Milestones!$AB$70),UPPER(TEXT(EDATE($D28,Milestones!$AA$70),"dd mmm yy"))&amp;" "&amp;Milestones!$AB$70&amp;" "&amp;Milestones!$AC$70&amp;";  ","")&amp;IF(AND(EDATE($D28,Milestones!$AA$71)&lt;=AsOfDate,IF($R28=0,$X28,IF(AND($T28&lt;&gt;"",EDATE($D28,Milestones!$AA$71)&gt;=$T28),$W28,IF(AND($S28&lt;&gt;"",EDATE($D28,Milestones!$AA$71)&gt;=$S28),$V28,$U28)))=Milestones!$AB$71),UPPER(TEXT(EDATE($D28,Milestones!$AA$71),"dd mmm yy"))&amp;" "&amp;Milestones!$AB$71&amp;" "&amp;Milestones!$AC$71&amp;";  ","")&amp;IF(AND(EDATE($D28,Milestones!$AA$72)&lt;=AsOfDate,IF($R28=0,$X28,IF(AND($T28&lt;&gt;"",EDATE($D28,Milestones!$AA$72)&gt;=$T28),$W28,IF(AND($S28&lt;&gt;"",EDATE($D28,Milestones!$AA$72)&gt;=$S28),$V28,$U28)))=Milestones!$AB$72),UPPER(TEXT(EDATE($D28,Milestones!$AA$72),"dd mmm yy"))&amp;" "&amp;Milestones!$AB$72&amp;" "&amp;Milestones!$AC$72&amp;";  ","")&amp;IF(AND(EDATE($D28,Milestones!$AA$73)&lt;=AsOfDate,IF($R28=0,$X28,IF(AND($T28&lt;&gt;"",EDATE($D28,Milestones!$AA$73)&gt;=$T28),$W28,IF(AND($S28&lt;&gt;"",EDATE($D28,Milestones!$AA$73)&gt;=$S28),$V28,$U28)))=Milestones!$AB$73),UPPER(TEXT(EDATE($D28,Milestones!$AA$73),"dd mmm yy"))&amp;" "&amp;Milestones!$AB$73&amp;" "&amp;Milestones!$AC$73&amp;";  ","")&amp;IF(AND(EDATE($D28,Milestones!$AA$74)&lt;=AsOfDate,IF($R28=0,$X28,IF(AND($T28&lt;&gt;"",EDATE($D28,Milestones!$AA$74)&gt;=$T28),$W28,IF(AND($S28&lt;&gt;"",EDATE($D28,Milestones!$AA$74)&gt;=$S28),$V28,$U28)))=Milestones!$AB$74),UPPER(TEXT(EDATE($D28,Milestones!$AA$74),"dd mmm yy"))&amp;" "&amp;Milestones!$AB$74&amp;" "&amp;Milestones!$AC$74&amp;";  ","")&amp;IF(AND(EDATE($D28,Milestones!$AA$75)&lt;=AsOfDate,IF($R28=0,$X28,IF(AND($T28&lt;&gt;"",EDATE($D28,Milestones!$AA$75)&gt;=$T28),$W28,IF(AND($S28&lt;&gt;"",EDATE($D28,Milestones!$AA$75)&gt;=$S28),$V28,$U28)))=Milestones!$AB$75),UPPER(TEXT(EDATE($D28,Milestones!$AA$75),"dd mmm yy"))&amp;" "&amp;Milestones!$AB$75&amp;" "&amp;Milestones!$AC$75&amp;";  ","")&amp;IF(AND(EDATE($D28,Milestones!$AA$76)&lt;=AsOfDate,IF($R28=0,$X28,IF(AND($T28&lt;&gt;"",EDATE($D28,Milestones!$AA$76)&gt;=$T28),$W28,IF(AND($S28&lt;&gt;"",EDATE($D28,Milestones!$AA$76)&gt;=$S28),$V28,$U28)))=Milestones!$AB$76),UPPER(TEXT(EDATE($D28,Milestones!$AA$76),"dd mmm yy"))&amp;" "&amp;Milestones!$AB$76&amp;" "&amp;Milestones!$AC$76&amp;";  ","")&amp;IF(AND(EDATE($D28,Milestones!$AA$77)&lt;=AsOfDate,IF($R28=0,$X28,IF(AND($T28&lt;&gt;"",EDATE($D28,Milestones!$AA$77)&gt;=$T28),$W28,IF(AND($S28&lt;&gt;"",EDATE($D28,Milestones!$AA$77)&gt;=$S28),$V28,$U28)))=Milestones!$AB$77),UPPER(TEXT(EDATE($D28,Milestones!$AA$77),"dd mmm yy"))&amp;" "&amp;Milestones!$AB$77&amp;" "&amp;Milestones!$AC$77&amp;";  ","")&amp;IF(AND(EDATE($D28,Milestones!$AA$78)&lt;=AsOfDate,IF($R28=0,$X28,IF(AND($T28&lt;&gt;"",EDATE($D28,Milestones!$AA$78)&gt;=$T28),$W28,IF(AND($S28&lt;&gt;"",EDATE($D28,Milestones!$AA$78)&gt;=$S28),$V28,$U28)))=Milestones!$AB$78),UPPER(TEXT(EDATE($D28,Milestones!$AA$78),"dd mmm yy"))&amp;" "&amp;Milestones!$AB$78&amp;" "&amp;Milestones!$AC$78&amp;";  ","")&amp;IF(AND(EDATE($D28,Milestones!$AA$79)&lt;=AsOfDate,IF($R28=0,$X28,IF(AND($T28&lt;&gt;"",EDATE($D28,Milestones!$AA$79)&gt;=$T28),$W28,IF(AND($S28&lt;&gt;"",EDATE($D28,Milestones!$AA$79)&gt;=$S28),$V28,$U28)))=Milestones!$AB$79),UPPER(TEXT(EDATE($D28,Milestones!$AA$79),"dd mmm yy"))&amp;" "&amp;Milestones!$AB$79&amp;" "&amp;Milestones!$AC$79&amp;";  ",""))</f>
        <v/>
      </c>
      <c r="L28" s="0" t="str">
        <f aca="false">IF(OR($A28="",$D28=""),"",IF(AND(EDATE($D28,Milestones!$AA$80)&lt;=AsOfDate,IF($R28=0,$X28,IF(AND($T28&lt;&gt;"",EDATE($D28,Milestones!$AA$80)&gt;=$T28),$W28,IF(AND($S28&lt;&gt;"",EDATE($D28,Milestones!$AA$80)&gt;=$S28),$V28,$U28)))=Milestones!$AB$80),UPPER(TEXT(EDATE($D28,Milestones!$AA$80),"dd mmm yy"))&amp;" "&amp;Milestones!$AB$80&amp;" "&amp;Milestones!$AC$80&amp;";  ","")&amp;IF(AND(EDATE($D28,Milestones!$AA$81)&lt;=AsOfDate,IF($R28=0,$X28,IF(AND($T28&lt;&gt;"",EDATE($D28,Milestones!$AA$81)&gt;=$T28),$W28,IF(AND($S28&lt;&gt;"",EDATE($D28,Milestones!$AA$81)&gt;=$S28),$V28,$U28)))=Milestones!$AB$81),UPPER(TEXT(EDATE($D28,Milestones!$AA$81),"dd mmm yy"))&amp;" "&amp;Milestones!$AB$81&amp;" "&amp;Milestones!$AC$81&amp;";  ","")&amp;IF(AND(EDATE($D28,Milestones!$AA$82)&lt;=AsOfDate,IF($R28=0,$X28,IF(AND($T28&lt;&gt;"",EDATE($D28,Milestones!$AA$82)&gt;=$T28),$W28,IF(AND($S28&lt;&gt;"",EDATE($D28,Milestones!$AA$82)&gt;=$S28),$V28,$U28)))=Milestones!$AB$82),UPPER(TEXT(EDATE($D28,Milestones!$AA$82),"dd mmm yy"))&amp;" "&amp;Milestones!$AB$82&amp;" "&amp;Milestones!$AC$82&amp;";  ","")&amp;IF(AND(EDATE($D28,Milestones!$AA$83)&lt;=AsOfDate,IF($R28=0,$X28,IF(AND($T28&lt;&gt;"",EDATE($D28,Milestones!$AA$83)&gt;=$T28),$W28,IF(AND($S28&lt;&gt;"",EDATE($D28,Milestones!$AA$83)&gt;=$S28),$V28,$U28)))=Milestones!$AB$83),UPPER(TEXT(EDATE($D28,Milestones!$AA$83),"dd mmm yy"))&amp;" "&amp;Milestones!$AB$83&amp;" "&amp;Milestones!$AC$83&amp;";  ","")&amp;IF(AND(EDATE($D28,Milestones!$AA$84)&lt;=AsOfDate,IF($R28=0,$X28,IF(AND($T28&lt;&gt;"",EDATE($D28,Milestones!$AA$84)&gt;=$T28),$W28,IF(AND($S28&lt;&gt;"",EDATE($D28,Milestones!$AA$84)&gt;=$S28),$V28,$U28)))=Milestones!$AB$84),UPPER(TEXT(EDATE($D28,Milestones!$AA$84),"dd mmm yy"))&amp;" "&amp;Milestones!$AB$84&amp;" "&amp;Milestones!$AC$84&amp;";  ","")&amp;IF(AND(EDATE($D28,Milestones!$AA$85)&lt;=AsOfDate,IF($R28=0,$X28,IF(AND($T28&lt;&gt;"",EDATE($D28,Milestones!$AA$85)&gt;=$T28),$W28,IF(AND($S28&lt;&gt;"",EDATE($D28,Milestones!$AA$85)&gt;=$S28),$V28,$U28)))=Milestones!$AB$85),UPPER(TEXT(EDATE($D28,Milestones!$AA$85),"dd mmm yy"))&amp;" "&amp;Milestones!$AB$85&amp;" "&amp;Milestones!$AC$85&amp;";  ","")&amp;IF(AND(EDATE($D28,Milestones!$AA$86)&lt;=AsOfDate,IF($R28=0,$X28,IF(AND($T28&lt;&gt;"",EDATE($D28,Milestones!$AA$86)&gt;=$T28),$W28,IF(AND($S28&lt;&gt;"",EDATE($D28,Milestones!$AA$86)&gt;=$S28),$V28,$U28)))=Milestones!$AB$86),UPPER(TEXT(EDATE($D28,Milestones!$AA$86),"dd mmm yy"))&amp;" "&amp;Milestones!$AB$86&amp;" "&amp;Milestones!$AC$86&amp;";  ","")&amp;IF(AND(EDATE($D28,Milestones!$AA$87)&lt;=AsOfDate,IF($R28=0,$X28,IF(AND($T28&lt;&gt;"",EDATE($D28,Milestones!$AA$87)&gt;=$T28),$W28,IF(AND($S28&lt;&gt;"",EDATE($D28,Milestones!$AA$87)&gt;=$S28),$V28,$U28)))=Milestones!$AB$87),UPPER(TEXT(EDATE($D28,Milestones!$AA$87),"dd mmm yy"))&amp;" "&amp;Milestones!$AB$87&amp;" "&amp;Milestones!$AC$87&amp;";  ","")&amp;IF(AND(EDATE($D28,Milestones!$AA$88)&lt;=AsOfDate,IF($R28=0,$X28,IF(AND($T28&lt;&gt;"",EDATE($D28,Milestones!$AA$88)&gt;=$T28),$W28,IF(AND($S28&lt;&gt;"",EDATE($D28,Milestones!$AA$88)&gt;=$S28),$V28,$U28)))=Milestones!$AB$88),UPPER(TEXT(EDATE($D28,Milestones!$AA$88),"dd mmm yy"))&amp;" "&amp;Milestones!$AB$88&amp;" "&amp;Milestones!$AC$88&amp;";  ","")&amp;IF(AND(EDATE($D28,Milestones!$AA$89)&lt;=AsOfDate,IF($R28=0,$X28,IF(AND($T28&lt;&gt;"",EDATE($D28,Milestones!$AA$89)&gt;=$T28),$W28,IF(AND($S28&lt;&gt;"",EDATE($D28,Milestones!$AA$89)&gt;=$S28),$V28,$U28)))=Milestones!$AB$89),UPPER(TEXT(EDATE($D28,Milestones!$AA$89),"dd mmm yy"))&amp;" "&amp;Milestones!$AB$89&amp;" "&amp;Milestones!$AC$89&amp;";  ","")&amp;IF(AND(EDATE($D28,Milestones!$AA$90)&lt;=AsOfDate,IF($R28=0,$X28,IF(AND($T28&lt;&gt;"",EDATE($D28,Milestones!$AA$90)&gt;=$T28),$W28,IF(AND($S28&lt;&gt;"",EDATE($D28,Milestones!$AA$90)&gt;=$S28),$V28,$U28)))=Milestones!$AB$90),UPPER(TEXT(EDATE($D28,Milestones!$AA$90),"dd mmm yy"))&amp;" "&amp;Milestones!$AB$90&amp;" "&amp;Milestones!$AC$90&amp;";  ","")&amp;IF(AND(EDATE($D28,Milestones!$AA$91)&lt;=AsOfDate,IF($R28=0,$X28,IF(AND($T28&lt;&gt;"",EDATE($D28,Milestones!$AA$91)&gt;=$T28),$W28,IF(AND($S28&lt;&gt;"",EDATE($D28,Milestones!$AA$91)&gt;=$S28),$V28,$U28)))=Milestones!$AB$91),UPPER(TEXT(EDATE($D28,Milestones!$AA$91),"dd mmm yy"))&amp;" "&amp;Milestones!$AB$91&amp;" "&amp;Milestones!$AC$91&amp;";  ","")&amp;IF(AND(EDATE($D28,Milestones!$AA$92)&lt;=AsOfDate,IF($R28=0,$X28,IF(AND($T28&lt;&gt;"",EDATE($D28,Milestones!$AA$92)&gt;=$T28),$W28,IF(AND($S28&lt;&gt;"",EDATE($D28,Milestones!$AA$92)&gt;=$S28),$V28,$U28)))=Milestones!$AB$92),UPPER(TEXT(EDATE($D28,Milestones!$AA$92),"dd mmm yy"))&amp;" "&amp;Milestones!$AB$92&amp;" "&amp;Milestones!$AC$92&amp;";  ","")&amp;IF(AND(EDATE($D28,Milestones!$AA$93)&lt;=AsOfDate,IF($R28=0,$X28,IF(AND($T28&lt;&gt;"",EDATE($D28,Milestones!$AA$93)&gt;=$T28),$W28,IF(AND($S28&lt;&gt;"",EDATE($D28,Milestones!$AA$93)&gt;=$S28),$V28,$U28)))=Milestones!$AB$93),UPPER(TEXT(EDATE($D28,Milestones!$AA$93),"dd mmm yy"))&amp;" "&amp;Milestones!$AB$93&amp;" "&amp;Milestones!$AC$93&amp;";  ","")&amp;IF(AND(EDATE($D28,Milestones!$AA$94)&lt;=AsOfDate,IF($R28=0,$X28,IF(AND($T28&lt;&gt;"",EDATE($D28,Milestones!$AA$94)&gt;=$T28),$W28,IF(AND($S28&lt;&gt;"",EDATE($D28,Milestones!$AA$94)&gt;=$S28),$V28,$U28)))=Milestones!$AB$94),UPPER(TEXT(EDATE($D28,Milestones!$AA$94),"dd mmm yy"))&amp;" "&amp;Milestones!$AB$94&amp;" "&amp;Milestones!$AC$94&amp;";  ","")&amp;IF(AND(EDATE($D28,Milestones!$AA$95)&lt;=AsOfDate,IF($R28=0,$X28,IF(AND($T28&lt;&gt;"",EDATE($D28,Milestones!$AA$95)&gt;=$T28),$W28,IF(AND($S28&lt;&gt;"",EDATE($D28,Milestones!$AA$95)&gt;=$S28),$V28,$U28)))=Milestones!$AB$95),UPPER(TEXT(EDATE($D28,Milestones!$AA$95),"dd mmm yy"))&amp;" "&amp;Milestones!$AB$95&amp;" "&amp;Milestones!$AC$95&amp;";  ","")&amp;IF(AND(EDATE($D28,Milestones!$AA$96)&lt;=AsOfDate,IF($R28=0,$X28,IF(AND($T28&lt;&gt;"",EDATE($D28,Milestones!$AA$96)&gt;=$T28),$W28,IF(AND($S28&lt;&gt;"",EDATE($D28,Milestones!$AA$96)&gt;=$S28),$V28,$U28)))=Milestones!$AB$96),UPPER(TEXT(EDATE($D28,Milestones!$AA$96),"dd mmm yy"))&amp;" "&amp;Milestones!$AB$96&amp;" "&amp;Milestones!$AC$96&amp;";  ","")&amp;IF(AND(EDATE($D28,Milestones!$AA$97)&lt;=AsOfDate,IF($R28=0,$X28,IF(AND($T28&lt;&gt;"",EDATE($D28,Milestones!$AA$97)&gt;=$T28),$W28,IF(AND($S28&lt;&gt;"",EDATE($D28,Milestones!$AA$97)&gt;=$S28),$V28,$U28)))=Milestones!$AB$97),UPPER(TEXT(EDATE($D28,Milestones!$AA$97),"dd mmm yy"))&amp;" "&amp;Milestones!$AB$97&amp;" "&amp;Milestones!$AC$97&amp;";  ","")&amp;IF(AND(EDATE($D28,Milestones!$AA$98)&lt;=AsOfDate,IF($R28=0,$X28,IF(AND($T28&lt;&gt;"",EDATE($D28,Milestones!$AA$98)&gt;=$T28),$W28,IF(AND($S28&lt;&gt;"",EDATE($D28,Milestones!$AA$98)&gt;=$S28),$V28,$U28)))=Milestones!$AB$98),UPPER(TEXT(EDATE($D28,Milestones!$AA$98),"dd mmm yy"))&amp;" "&amp;Milestones!$AB$98&amp;" "&amp;Milestones!$AC$98&amp;";  ","")&amp;IF(AND(EDATE($D28,Milestones!$AA$99)&lt;=AsOfDate,IF($R28=0,$X28,IF(AND($T28&lt;&gt;"",EDATE($D28,Milestones!$AA$99)&gt;=$T28),$W28,IF(AND($S28&lt;&gt;"",EDATE($D28,Milestones!$AA$99)&gt;=$S28),$V28,$U28)))=Milestones!$AB$99),UPPER(TEXT(EDATE($D28,Milestones!$AA$99),"dd mmm yy"))&amp;" "&amp;Milestones!$AB$99&amp;" "&amp;Milestones!$AC$99&amp;";  ",""))</f>
        <v/>
      </c>
      <c r="M28" s="0" t="str">
        <f aca="false">IF(OR($A28="",$D28=""),"",IF(AND(EDATE($D28,Milestones!$AA$100)&lt;=AsOfDate,IF($R28=0,$X28,IF(AND($T28&lt;&gt;"",EDATE($D28,Milestones!$AA$100)&gt;=$T28),$W28,IF(AND($S28&lt;&gt;"",EDATE($D28,Milestones!$AA$100)&gt;=$S28),$V28,$U28)))=Milestones!$AB$100),UPPER(TEXT(EDATE($D28,Milestones!$AA$100),"dd mmm yy"))&amp;" "&amp;Milestones!$AB$100&amp;" "&amp;Milestones!$AC$100&amp;";  ","")&amp;IF(AND(EDATE($D28,Milestones!$AA$101)&lt;=AsOfDate,IF($R28=0,$X28,IF(AND($T28&lt;&gt;"",EDATE($D28,Milestones!$AA$101)&gt;=$T28),$W28,IF(AND($S28&lt;&gt;"",EDATE($D28,Milestones!$AA$101)&gt;=$S28),$V28,$U28)))=Milestones!$AB$101),UPPER(TEXT(EDATE($D28,Milestones!$AA$101),"dd mmm yy"))&amp;" "&amp;Milestones!$AB$101&amp;" "&amp;Milestones!$AC$101&amp;";  ","")&amp;IF(AND(EDATE($D28,Milestones!$AA$102)&lt;=AsOfDate,IF($R28=0,$X28,IF(AND($T28&lt;&gt;"",EDATE($D28,Milestones!$AA$102)&gt;=$T28),$W28,IF(AND($S28&lt;&gt;"",EDATE($D28,Milestones!$AA$102)&gt;=$S28),$V28,$U28)))=Milestones!$AB$102),UPPER(TEXT(EDATE($D28,Milestones!$AA$102),"dd mmm yy"))&amp;" "&amp;Milestones!$AB$102&amp;" "&amp;Milestones!$AC$102&amp;";  ","")&amp;IF(AND(EDATE($D28,Milestones!$AA$103)&lt;=AsOfDate,IF($R28=0,$X28,IF(AND($T28&lt;&gt;"",EDATE($D28,Milestones!$AA$103)&gt;=$T28),$W28,IF(AND($S28&lt;&gt;"",EDATE($D28,Milestones!$AA$103)&gt;=$S28),$V28,$U28)))=Milestones!$AB$103),UPPER(TEXT(EDATE($D28,Milestones!$AA$103),"dd mmm yy"))&amp;" "&amp;Milestones!$AB$103&amp;" "&amp;Milestones!$AC$103&amp;";  ","")&amp;IF(AND(EDATE($D28,Milestones!$AA$104)&lt;=AsOfDate,IF($R28=0,$X28,IF(AND($T28&lt;&gt;"",EDATE($D28,Milestones!$AA$104)&gt;=$T28),$W28,IF(AND($S28&lt;&gt;"",EDATE($D28,Milestones!$AA$104)&gt;=$S28),$V28,$U28)))=Milestones!$AB$104),UPPER(TEXT(EDATE($D28,Milestones!$AA$104),"dd mmm yy"))&amp;" "&amp;Milestones!$AB$104&amp;" "&amp;Milestones!$AC$104&amp;";  ","")&amp;IF(AND(EDATE($D28,Milestones!$AA$105)&lt;=AsOfDate,IF($R28=0,$X28,IF(AND($T28&lt;&gt;"",EDATE($D28,Milestones!$AA$105)&gt;=$T28),$W28,IF(AND($S28&lt;&gt;"",EDATE($D28,Milestones!$AA$105)&gt;=$S28),$V28,$U28)))=Milestones!$AB$105),UPPER(TEXT(EDATE($D28,Milestones!$AA$105),"dd mmm yy"))&amp;" "&amp;Milestones!$AB$105&amp;" "&amp;Milestones!$AC$105&amp;";  ","")&amp;IF(AND(EDATE($D28,Milestones!$AA$106)&lt;=AsOfDate,IF($R28=0,$X28,IF(AND($T28&lt;&gt;"",EDATE($D28,Milestones!$AA$106)&gt;=$T28),$W28,IF(AND($S28&lt;&gt;"",EDATE($D28,Milestones!$AA$106)&gt;=$S28),$V28,$U28)))=Milestones!$AB$106),UPPER(TEXT(EDATE($D28,Milestones!$AA$106),"dd mmm yy"))&amp;" "&amp;Milestones!$AB$106&amp;" "&amp;Milestones!$AC$106&amp;";  ","")&amp;IF(AND(EDATE($D28,Milestones!$AA$107)&lt;=AsOfDate,IF($R28=0,$X28,IF(AND($T28&lt;&gt;"",EDATE($D28,Milestones!$AA$107)&gt;=$T28),$W28,IF(AND($S28&lt;&gt;"",EDATE($D28,Milestones!$AA$107)&gt;=$S28),$V28,$U28)))=Milestones!$AB$107),UPPER(TEXT(EDATE($D28,Milestones!$AA$107),"dd mmm yy"))&amp;" "&amp;Milestones!$AB$107&amp;" "&amp;Milestones!$AC$107&amp;";  ","")&amp;IF(AND(EDATE($D28,Milestones!$AA$108)&lt;=AsOfDate,IF($R28=0,$X28,IF(AND($T28&lt;&gt;"",EDATE($D28,Milestones!$AA$108)&gt;=$T28),$W28,IF(AND($S28&lt;&gt;"",EDATE($D28,Milestones!$AA$108)&gt;=$S28),$V28,$U28)))=Milestones!$AB$108),UPPER(TEXT(EDATE($D28,Milestones!$AA$108),"dd mmm yy"))&amp;" "&amp;Milestones!$AB$108&amp;" "&amp;Milestones!$AC$108&amp;";  ","")&amp;IF(AND(EDATE($D28,Milestones!$AA$109)&lt;=AsOfDate,IF($R28=0,$X28,IF(AND($T28&lt;&gt;"",EDATE($D28,Milestones!$AA$109)&gt;=$T28),$W28,IF(AND($S28&lt;&gt;"",EDATE($D28,Milestones!$AA$109)&gt;=$S28),$V28,$U28)))=Milestones!$AB$109),UPPER(TEXT(EDATE($D28,Milestones!$AA$109),"dd mmm yy"))&amp;" "&amp;Milestones!$AB$109&amp;" "&amp;Milestones!$AC$109&amp;";  ","")&amp;IF(AND(EDATE($D28,Milestones!$AA$110)&lt;=AsOfDate,IF($R28=0,$X28,IF(AND($T28&lt;&gt;"",EDATE($D28,Milestones!$AA$110)&gt;=$T28),$W28,IF(AND($S28&lt;&gt;"",EDATE($D28,Milestones!$AA$110)&gt;=$S28),$V28,$U28)))=Milestones!$AB$110),UPPER(TEXT(EDATE($D28,Milestones!$AA$110),"dd mmm yy"))&amp;" "&amp;Milestones!$AB$110&amp;" "&amp;Milestones!$AC$110&amp;";  ","")&amp;IF(AND(EDATE($D28,Milestones!$AA$111)&lt;=AsOfDate,IF($R28=0,$X28,IF(AND($T28&lt;&gt;"",EDATE($D28,Milestones!$AA$111)&gt;=$T28),$W28,IF(AND($S28&lt;&gt;"",EDATE($D28,Milestones!$AA$111)&gt;=$S28),$V28,$U28)))=Milestones!$AB$111),UPPER(TEXT(EDATE($D28,Milestones!$AA$111),"dd mmm yy"))&amp;" "&amp;Milestones!$AB$111&amp;" "&amp;Milestones!$AC$111&amp;";  ","")&amp;IF(AND(EDATE($D28,Milestones!$AA$112)&lt;=AsOfDate,IF($R28=0,$X28,IF(AND($T28&lt;&gt;"",EDATE($D28,Milestones!$AA$112)&gt;=$T28),$W28,IF(AND($S28&lt;&gt;"",EDATE($D28,Milestones!$AA$112)&gt;=$S28),$V28,$U28)))=Milestones!$AB$112),UPPER(TEXT(EDATE($D28,Milestones!$AA$112),"dd mmm yy"))&amp;" "&amp;Milestones!$AB$112&amp;" "&amp;Milestones!$AC$112&amp;";  ","")&amp;IF(AND(EDATE($D28,Milestones!$AA$113)&lt;=AsOfDate,IF($R28=0,$X28,IF(AND($T28&lt;&gt;"",EDATE($D28,Milestones!$AA$113)&gt;=$T28),$W28,IF(AND($S28&lt;&gt;"",EDATE($D28,Milestones!$AA$113)&gt;=$S28),$V28,$U28)))=Milestones!$AB$113),UPPER(TEXT(EDATE($D28,Milestones!$AA$113),"dd mmm yy"))&amp;" "&amp;Milestones!$AB$113&amp;" "&amp;Milestones!$AC$113&amp;";  ","")&amp;IF(AND(EDATE($D28,Milestones!$AA$114)&lt;=AsOfDate,IF($R28=0,$X28,IF(AND($T28&lt;&gt;"",EDATE($D28,Milestones!$AA$114)&gt;=$T28),$W28,IF(AND($S28&lt;&gt;"",EDATE($D28,Milestones!$AA$114)&gt;=$S28),$V28,$U28)))=Milestones!$AB$114),UPPER(TEXT(EDATE($D28,Milestones!$AA$114),"dd mmm yy"))&amp;" "&amp;Milestones!$AB$114&amp;" "&amp;Milestones!$AC$114&amp;";  ","")&amp;IF(AND(EDATE($D28,Milestones!$AA$115)&lt;=AsOfDate,IF($R28=0,$X28,IF(AND($T28&lt;&gt;"",EDATE($D28,Milestones!$AA$115)&gt;=$T28),$W28,IF(AND($S28&lt;&gt;"",EDATE($D28,Milestones!$AA$115)&gt;=$S28),$V28,$U28)))=Milestones!$AB$115),UPPER(TEXT(EDATE($D28,Milestones!$AA$115),"dd mmm yy"))&amp;" "&amp;Milestones!$AB$115&amp;" "&amp;Milestones!$AC$115&amp;";  ","")&amp;IF(AND(EDATE($D28,Milestones!$AA$116)&lt;=AsOfDate,IF($R28=0,$X28,IF(AND($T28&lt;&gt;"",EDATE($D28,Milestones!$AA$116)&gt;=$T28),$W28,IF(AND($S28&lt;&gt;"",EDATE($D28,Milestones!$AA$116)&gt;=$S28),$V28,$U28)))=Milestones!$AB$116),UPPER(TEXT(EDATE($D28,Milestones!$AA$116),"dd mmm yy"))&amp;" "&amp;Milestones!$AB$116&amp;" "&amp;Milestones!$AC$116&amp;";  ","")&amp;IF(AND(EDATE($D28,Milestones!$AA$117)&lt;=AsOfDate,IF($R28=0,$X28,IF(AND($T28&lt;&gt;"",EDATE($D28,Milestones!$AA$117)&gt;=$T28),$W28,IF(AND($S28&lt;&gt;"",EDATE($D28,Milestones!$AA$117)&gt;=$S28),$V28,$U28)))=Milestones!$AB$117),UPPER(TEXT(EDATE($D28,Milestones!$AA$117),"dd mmm yy"))&amp;" "&amp;Milestones!$AB$117&amp;" "&amp;Milestones!$AC$117&amp;";  ","")&amp;IF(AND(EDATE($D28,Milestones!$AA$118)&lt;=AsOfDate,IF($R28=0,$X28,IF(AND($T28&lt;&gt;"",EDATE($D28,Milestones!$AA$118)&gt;=$T28),$W28,IF(AND($S28&lt;&gt;"",EDATE($D28,Milestones!$AA$118)&gt;=$S28),$V28,$U28)))=Milestones!$AB$118),UPPER(TEXT(EDATE($D28,Milestones!$AA$118),"dd mmm yy"))&amp;" "&amp;Milestones!$AB$118&amp;" "&amp;Milestones!$AC$118&amp;";  ","")&amp;IF(AND(EDATE($D28,Milestones!$AA$119)&lt;=AsOfDate,IF($R28=0,$X28,IF(AND($T28&lt;&gt;"",EDATE($D28,Milestones!$AA$119)&gt;=$T28),$W28,IF(AND($S28&lt;&gt;"",EDATE($D28,Milestones!$AA$119)&gt;=$S28),$V28,$U28)))=Milestones!$AB$119),UPPER(TEXT(EDATE($D28,Milestones!$AA$119),"dd mmm yy"))&amp;" "&amp;Milestones!$AB$119&amp;" "&amp;Milestones!$AC$119&amp;";  ",""))</f>
        <v/>
      </c>
      <c r="N28" s="0" t="str">
        <f aca="false">IF(OR($A28="",$D28=""),"",IF(AND(EDATE($D28,Milestones!$AA$120)&lt;=AsOfDate,IF($R28=0,$X28,IF(AND($T28&lt;&gt;"",EDATE($D28,Milestones!$AA$120)&gt;=$T28),$W28,IF(AND($S28&lt;&gt;"",EDATE($D28,Milestones!$AA$120)&gt;=$S28),$V28,$U28)))=Milestones!$AB$120),UPPER(TEXT(EDATE($D28,Milestones!$AA$120),"dd mmm yy"))&amp;" "&amp;Milestones!$AB$120&amp;" "&amp;Milestones!$AC$120&amp;";  ","")&amp;IF(AND(EDATE($D28,Milestones!$AA$121)&lt;=AsOfDate,IF($R28=0,$X28,IF(AND($T28&lt;&gt;"",EDATE($D28,Milestones!$AA$121)&gt;=$T28),$W28,IF(AND($S28&lt;&gt;"",EDATE($D28,Milestones!$AA$121)&gt;=$S28),$V28,$U28)))=Milestones!$AB$121),UPPER(TEXT(EDATE($D28,Milestones!$AA$121),"dd mmm yy"))&amp;" "&amp;Milestones!$AB$121&amp;" "&amp;Milestones!$AC$121&amp;";  ","")&amp;IF(AND(EDATE($D28,Milestones!$AA$122)&lt;=AsOfDate,IF($R28=0,$X28,IF(AND($T28&lt;&gt;"",EDATE($D28,Milestones!$AA$122)&gt;=$T28),$W28,IF(AND($S28&lt;&gt;"",EDATE($D28,Milestones!$AA$122)&gt;=$S28),$V28,$U28)))=Milestones!$AB$122),UPPER(TEXT(EDATE($D28,Milestones!$AA$122),"dd mmm yy"))&amp;" "&amp;Milestones!$AB$122&amp;" "&amp;Milestones!$AC$122&amp;";  ","")&amp;IF(AND(EDATE($D28,Milestones!$AA$123)&lt;=AsOfDate,IF($R28=0,$X28,IF(AND($T28&lt;&gt;"",EDATE($D28,Milestones!$AA$123)&gt;=$T28),$W28,IF(AND($S28&lt;&gt;"",EDATE($D28,Milestones!$AA$123)&gt;=$S28),$V28,$U28)))=Milestones!$AB$123),UPPER(TEXT(EDATE($D28,Milestones!$AA$123),"dd mmm yy"))&amp;" "&amp;Milestones!$AB$123&amp;" "&amp;Milestones!$AC$123&amp;";  ","")&amp;IF(AND(EDATE($D28,Milestones!$AA$124)&lt;=AsOfDate,IF($R28=0,$X28,IF(AND($T28&lt;&gt;"",EDATE($D28,Milestones!$AA$124)&gt;=$T28),$W28,IF(AND($S28&lt;&gt;"",EDATE($D28,Milestones!$AA$124)&gt;=$S28),$V28,$U28)))=Milestones!$AB$124),UPPER(TEXT(EDATE($D28,Milestones!$AA$124),"dd mmm yy"))&amp;" "&amp;Milestones!$AB$124&amp;" "&amp;Milestones!$AC$124&amp;";  ","")&amp;IF(AND(EDATE($D28,Milestones!$AA$125)&lt;=AsOfDate,IF($R28=0,$X28,IF(AND($T28&lt;&gt;"",EDATE($D28,Milestones!$AA$125)&gt;=$T28),$W28,IF(AND($S28&lt;&gt;"",EDATE($D28,Milestones!$AA$125)&gt;=$S28),$V28,$U28)))=Milestones!$AB$125),UPPER(TEXT(EDATE($D28,Milestones!$AA$125),"dd mmm yy"))&amp;" "&amp;Milestones!$AB$125&amp;" "&amp;Milestones!$AC$125&amp;";  ","")&amp;IF(AND(EDATE($D28,Milestones!$AA$126)&lt;=AsOfDate,IF($R28=0,$X28,IF(AND($T28&lt;&gt;"",EDATE($D28,Milestones!$AA$126)&gt;=$T28),$W28,IF(AND($S28&lt;&gt;"",EDATE($D28,Milestones!$AA$126)&gt;=$S28),$V28,$U28)))=Milestones!$AB$126),UPPER(TEXT(EDATE($D28,Milestones!$AA$126),"dd mmm yy"))&amp;" "&amp;Milestones!$AB$126&amp;" "&amp;Milestones!$AC$126&amp;";  ","")&amp;IF(AND(EDATE($D28,Milestones!$AA$127)&lt;=AsOfDate,IF($R28=0,$X28,IF(AND($T28&lt;&gt;"",EDATE($D28,Milestones!$AA$127)&gt;=$T28),$W28,IF(AND($S28&lt;&gt;"",EDATE($D28,Milestones!$AA$127)&gt;=$S28),$V28,$U28)))=Milestones!$AB$127),UPPER(TEXT(EDATE($D28,Milestones!$AA$127),"dd mmm yy"))&amp;" "&amp;Milestones!$AB$127&amp;" "&amp;Milestones!$AC$127&amp;";  ","")&amp;IF(AND(EDATE($D28,Milestones!$AA$128)&lt;=AsOfDate,IF($R28=0,$X28,IF(AND($T28&lt;&gt;"",EDATE($D28,Milestones!$AA$128)&gt;=$T28),$W28,IF(AND($S28&lt;&gt;"",EDATE($D28,Milestones!$AA$128)&gt;=$S28),$V28,$U28)))=Milestones!$AB$128),UPPER(TEXT(EDATE($D28,Milestones!$AA$128),"dd mmm yy"))&amp;" "&amp;Milestones!$AB$128&amp;" "&amp;Milestones!$AC$128&amp;";  ","")&amp;IF(AND(EDATE($D28,Milestones!$AA$129)&lt;=AsOfDate,IF($R28=0,$X28,IF(AND($T28&lt;&gt;"",EDATE($D28,Milestones!$AA$129)&gt;=$T28),$W28,IF(AND($S28&lt;&gt;"",EDATE($D28,Milestones!$AA$129)&gt;=$S28),$V28,$U28)))=Milestones!$AB$129),UPPER(TEXT(EDATE($D28,Milestones!$AA$129),"dd mmm yy"))&amp;" "&amp;Milestones!$AB$129&amp;" "&amp;Milestones!$AC$129&amp;";  ","")&amp;IF(AND(EDATE($D28,Milestones!$AA$130)&lt;=AsOfDate,IF($R28=0,$X28,IF(AND($T28&lt;&gt;"",EDATE($D28,Milestones!$AA$130)&gt;=$T28),$W28,IF(AND($S28&lt;&gt;"",EDATE($D28,Milestones!$AA$130)&gt;=$S28),$V28,$U28)))=Milestones!$AB$130),UPPER(TEXT(EDATE($D28,Milestones!$AA$130),"dd mmm yy"))&amp;" "&amp;Milestones!$AB$130&amp;" "&amp;Milestones!$AC$130&amp;";  ","")&amp;IF(AND(EDATE($D28,Milestones!$AA$131)&lt;=AsOfDate,IF($R28=0,$X28,IF(AND($T28&lt;&gt;"",EDATE($D28,Milestones!$AA$131)&gt;=$T28),$W28,IF(AND($S28&lt;&gt;"",EDATE($D28,Milestones!$AA$131)&gt;=$S28),$V28,$U28)))=Milestones!$AB$131),UPPER(TEXT(EDATE($D28,Milestones!$AA$131),"dd mmm yy"))&amp;" "&amp;Milestones!$AB$131&amp;" "&amp;Milestones!$AC$131&amp;";  ","")&amp;IF(AND(EDATE($D28,Milestones!$AA$132)&lt;=AsOfDate,IF($R28=0,$X28,IF(AND($T28&lt;&gt;"",EDATE($D28,Milestones!$AA$132)&gt;=$T28),$W28,IF(AND($S28&lt;&gt;"",EDATE($D28,Milestones!$AA$132)&gt;=$S28),$V28,$U28)))=Milestones!$AB$132),UPPER(TEXT(EDATE($D28,Milestones!$AA$132),"dd mmm yy"))&amp;" "&amp;Milestones!$AB$132&amp;" "&amp;Milestones!$AC$132&amp;";  ","")&amp;IF(AND(EDATE($D28,Milestones!$AA$133)&lt;=AsOfDate,IF($R28=0,$X28,IF(AND($T28&lt;&gt;"",EDATE($D28,Milestones!$AA$133)&gt;=$T28),$W28,IF(AND($S28&lt;&gt;"",EDATE($D28,Milestones!$AA$133)&gt;=$S28),$V28,$U28)))=Milestones!$AB$133),UPPER(TEXT(EDATE($D28,Milestones!$AA$133),"dd mmm yy"))&amp;" "&amp;Milestones!$AB$133&amp;" "&amp;Milestones!$AC$133&amp;";  ","")&amp;IF(AND(EDATE($D28,Milestones!$AA$134)&lt;=AsOfDate,IF($R28=0,$X28,IF(AND($T28&lt;&gt;"",EDATE($D28,Milestones!$AA$134)&gt;=$T28),$W28,IF(AND($S28&lt;&gt;"",EDATE($D28,Milestones!$AA$134)&gt;=$S28),$V28,$U28)))=Milestones!$AB$134),UPPER(TEXT(EDATE($D28,Milestones!$AA$134),"dd mmm yy"))&amp;" "&amp;Milestones!$AB$134&amp;" "&amp;Milestones!$AC$134&amp;";  ","")&amp;IF(AND(EDATE($D28,Milestones!$AA$135)&lt;=AsOfDate,IF($R28=0,$X28,IF(AND($T28&lt;&gt;"",EDATE($D28,Milestones!$AA$135)&gt;=$T28),$W28,IF(AND($S28&lt;&gt;"",EDATE($D28,Milestones!$AA$135)&gt;=$S28),$V28,$U28)))=Milestones!$AB$135),UPPER(TEXT(EDATE($D28,Milestones!$AA$135),"dd mmm yy"))&amp;" "&amp;Milestones!$AB$135&amp;" "&amp;Milestones!$AC$135&amp;";  ","")&amp;IF(AND(EDATE($D28,Milestones!$AA$136)&lt;=AsOfDate,IF($R28=0,$X28,IF(AND($T28&lt;&gt;"",EDATE($D28,Milestones!$AA$136)&gt;=$T28),$W28,IF(AND($S28&lt;&gt;"",EDATE($D28,Milestones!$AA$136)&gt;=$S28),$V28,$U28)))=Milestones!$AB$136),UPPER(TEXT(EDATE($D28,Milestones!$AA$136),"dd mmm yy"))&amp;" "&amp;Milestones!$AB$136&amp;" "&amp;Milestones!$AC$136&amp;";  ","")&amp;IF(AND(EDATE($D28,Milestones!$AA$137)&lt;=AsOfDate,IF($R28=0,$X28,IF(AND($T28&lt;&gt;"",EDATE($D28,Milestones!$AA$137)&gt;=$T28),$W28,IF(AND($S28&lt;&gt;"",EDATE($D28,Milestones!$AA$137)&gt;=$S28),$V28,$U28)))=Milestones!$AB$137),UPPER(TEXT(EDATE($D28,Milestones!$AA$137),"dd mmm yy"))&amp;" "&amp;Milestones!$AB$137&amp;" "&amp;Milestones!$AC$137&amp;";  ","")&amp;IF(AND(EDATE($D28,Milestones!$AA$138)&lt;=AsOfDate,IF($R28=0,$X28,IF(AND($T28&lt;&gt;"",EDATE($D28,Milestones!$AA$138)&gt;=$T28),$W28,IF(AND($S28&lt;&gt;"",EDATE($D28,Milestones!$AA$138)&gt;=$S28),$V28,$U28)))=Milestones!$AB$138),UPPER(TEXT(EDATE($D28,Milestones!$AA$138),"dd mmm yy"))&amp;" "&amp;Milestones!$AB$138&amp;" "&amp;Milestones!$AC$138&amp;";  ","")&amp;IF(AND(EDATE($D28,Milestones!$AA$139)&lt;=AsOfDate,IF($R28=0,$X28,IF(AND($T28&lt;&gt;"",EDATE($D28,Milestones!$AA$139)&gt;=$T28),$W28,IF(AND($S28&lt;&gt;"",EDATE($D28,Milestones!$AA$139)&gt;=$S28),$V28,$U28)))=Milestones!$AB$139),UPPER(TEXT(EDATE($D28,Milestones!$AA$139),"dd mmm yy"))&amp;" "&amp;Milestones!$AB$139&amp;" "&amp;Milestones!$AC$139&amp;";  ",""))</f>
        <v/>
      </c>
      <c r="O28" s="0" t="str">
        <f aca="false">IF(OR($A28="",$D28=""),"",IF(AND(EDATE($D28,Milestones!$AA$140)&lt;=AsOfDate,IF($R28=0,$X28,IF(AND($T28&lt;&gt;"",EDATE($D28,Milestones!$AA$140)&gt;=$T28),$W28,IF(AND($S28&lt;&gt;"",EDATE($D28,Milestones!$AA$140)&gt;=$S28),$V28,$U28)))=Milestones!$AB$140),UPPER(TEXT(EDATE($D28,Milestones!$AA$140),"dd mmm yy"))&amp;" "&amp;Milestones!$AB$140&amp;" "&amp;Milestones!$AC$140&amp;";  ","")&amp;IF(AND(EDATE($D28,Milestones!$AA$141)&lt;=AsOfDate,IF($R28=0,$X28,IF(AND($T28&lt;&gt;"",EDATE($D28,Milestones!$AA$141)&gt;=$T28),$W28,IF(AND($S28&lt;&gt;"",EDATE($D28,Milestones!$AA$141)&gt;=$S28),$V28,$U28)))=Milestones!$AB$141),UPPER(TEXT(EDATE($D28,Milestones!$AA$141),"dd mmm yy"))&amp;" "&amp;Milestones!$AB$141&amp;" "&amp;Milestones!$AC$141&amp;";  ","")&amp;IF(AND(EDATE($D28,Milestones!$AA$142)&lt;=AsOfDate,IF($R28=0,$X28,IF(AND($T28&lt;&gt;"",EDATE($D28,Milestones!$AA$142)&gt;=$T28),$W28,IF(AND($S28&lt;&gt;"",EDATE($D28,Milestones!$AA$142)&gt;=$S28),$V28,$U28)))=Milestones!$AB$142),UPPER(TEXT(EDATE($D28,Milestones!$AA$142),"dd mmm yy"))&amp;" "&amp;Milestones!$AB$142&amp;" "&amp;Milestones!$AC$142&amp;";  ","")&amp;IF(AND(EDATE($D28,Milestones!$AA$143)&lt;=AsOfDate,IF($R28=0,$X28,IF(AND($T28&lt;&gt;"",EDATE($D28,Milestones!$AA$143)&gt;=$T28),$W28,IF(AND($S28&lt;&gt;"",EDATE($D28,Milestones!$AA$143)&gt;=$S28),$V28,$U28)))=Milestones!$AB$143),UPPER(TEXT(EDATE($D28,Milestones!$AA$143),"dd mmm yy"))&amp;" "&amp;Milestones!$AB$143&amp;" "&amp;Milestones!$AC$143&amp;";  ","")&amp;IF(AND(EDATE($D28,Milestones!$AA$144)&lt;=AsOfDate,IF($R28=0,$X28,IF(AND($T28&lt;&gt;"",EDATE($D28,Milestones!$AA$144)&gt;=$T28),$W28,IF(AND($S28&lt;&gt;"",EDATE($D28,Milestones!$AA$144)&gt;=$S28),$V28,$U28)))=Milestones!$AB$144),UPPER(TEXT(EDATE($D28,Milestones!$AA$144),"dd mmm yy"))&amp;" "&amp;Milestones!$AB$144&amp;" "&amp;Milestones!$AC$144&amp;";  ","")&amp;IF(AND(EDATE($D28,Milestones!$AA$145)&lt;=AsOfDate,IF($R28=0,$X28,IF(AND($T28&lt;&gt;"",EDATE($D28,Milestones!$AA$145)&gt;=$T28),$W28,IF(AND($S28&lt;&gt;"",EDATE($D28,Milestones!$AA$145)&gt;=$S28),$V28,$U28)))=Milestones!$AB$145),UPPER(TEXT(EDATE($D28,Milestones!$AA$145),"dd mmm yy"))&amp;" "&amp;Milestones!$AB$145&amp;" "&amp;Milestones!$AC$145&amp;";  ","")&amp;IF(AND(EDATE($D28,Milestones!$AA$146)&lt;=AsOfDate,IF($R28=0,$X28,IF(AND($T28&lt;&gt;"",EDATE($D28,Milestones!$AA$146)&gt;=$T28),$W28,IF(AND($S28&lt;&gt;"",EDATE($D28,Milestones!$AA$146)&gt;=$S28),$V28,$U28)))=Milestones!$AB$146),UPPER(TEXT(EDATE($D28,Milestones!$AA$146),"dd mmm yy"))&amp;" "&amp;Milestones!$AB$146&amp;" "&amp;Milestones!$AC$146&amp;";  ","")&amp;IF(AND(EDATE($D28,Milestones!$AA$147)&lt;=AsOfDate,IF($R28=0,$X28,IF(AND($T28&lt;&gt;"",EDATE($D28,Milestones!$AA$147)&gt;=$T28),$W28,IF(AND($S28&lt;&gt;"",EDATE($D28,Milestones!$AA$147)&gt;=$S28),$V28,$U28)))=Milestones!$AB$147),UPPER(TEXT(EDATE($D28,Milestones!$AA$147),"dd mmm yy"))&amp;" "&amp;Milestones!$AB$147&amp;" "&amp;Milestones!$AC$147&amp;";  ","")&amp;IF(AND(EDATE($D28,Milestones!$AA$148)&lt;=AsOfDate,IF($R28=0,$X28,IF(AND($T28&lt;&gt;"",EDATE($D28,Milestones!$AA$148)&gt;=$T28),$W28,IF(AND($S28&lt;&gt;"",EDATE($D28,Milestones!$AA$148)&gt;=$S28),$V28,$U28)))=Milestones!$AB$148),UPPER(TEXT(EDATE($D28,Milestones!$AA$148),"dd mmm yy"))&amp;" "&amp;Milestones!$AB$148&amp;" "&amp;Milestones!$AC$148&amp;";  ","")&amp;IF(AND(EDATE($D28,Milestones!$AA$149)&lt;=AsOfDate,IF($R28=0,$X28,IF(AND($T28&lt;&gt;"",EDATE($D28,Milestones!$AA$149)&gt;=$T28),$W28,IF(AND($S28&lt;&gt;"",EDATE($D28,Milestones!$AA$149)&gt;=$S28),$V28,$U28)))=Milestones!$AB$149),UPPER(TEXT(EDATE($D28,Milestones!$AA$149),"dd mmm yy"))&amp;" "&amp;Milestones!$AB$149&amp;" "&amp;Milestones!$AC$149&amp;";  ","")&amp;IF(AND(EDATE($D28,Milestones!$AA$150)&lt;=AsOfDate,IF($R28=0,$X28,IF(AND($T28&lt;&gt;"",EDATE($D28,Milestones!$AA$150)&gt;=$T28),$W28,IF(AND($S28&lt;&gt;"",EDATE($D28,Milestones!$AA$150)&gt;=$S28),$V28,$U28)))=Milestones!$AB$150),UPPER(TEXT(EDATE($D28,Milestones!$AA$150),"dd mmm yy"))&amp;" "&amp;Milestones!$AB$150&amp;" "&amp;Milestones!$AC$150&amp;";  ","")&amp;IF(AND(EDATE($D28,Milestones!$AA$151)&lt;=AsOfDate,IF($R28=0,$X28,IF(AND($T28&lt;&gt;"",EDATE($D28,Milestones!$AA$151)&gt;=$T28),$W28,IF(AND($S28&lt;&gt;"",EDATE($D28,Milestones!$AA$151)&gt;=$S28),$V28,$U28)))=Milestones!$AB$151),UPPER(TEXT(EDATE($D28,Milestones!$AA$151),"dd mmm yy"))&amp;" "&amp;Milestones!$AB$151&amp;" "&amp;Milestones!$AC$151&amp;";  ","")&amp;IF(AND(EDATE($D28,Milestones!$AA$152)&lt;=AsOfDate,IF($R28=0,$X28,IF(AND($T28&lt;&gt;"",EDATE($D28,Milestones!$AA$152)&gt;=$T28),$W28,IF(AND($S28&lt;&gt;"",EDATE($D28,Milestones!$AA$152)&gt;=$S28),$V28,$U28)))=Milestones!$AB$152),UPPER(TEXT(EDATE($D28,Milestones!$AA$152),"dd mmm yy"))&amp;" "&amp;Milestones!$AB$152&amp;" "&amp;Milestones!$AC$152&amp;";  ","")&amp;IF(AND(EDATE($D28,Milestones!$AA$153)&lt;=AsOfDate,IF($R28=0,$X28,IF(AND($T28&lt;&gt;"",EDATE($D28,Milestones!$AA$153)&gt;=$T28),$W28,IF(AND($S28&lt;&gt;"",EDATE($D28,Milestones!$AA$153)&gt;=$S28),$V28,$U28)))=Milestones!$AB$153),UPPER(TEXT(EDATE($D28,Milestones!$AA$153),"dd mmm yy"))&amp;" "&amp;Milestones!$AB$153&amp;" "&amp;Milestones!$AC$153&amp;";  ","")&amp;IF(AND(EDATE($D28,Milestones!$AA$154)&lt;=AsOfDate,IF($R28=0,$X28,IF(AND($T28&lt;&gt;"",EDATE($D28,Milestones!$AA$154)&gt;=$T28),$W28,IF(AND($S28&lt;&gt;"",EDATE($D28,Milestones!$AA$154)&gt;=$S28),$V28,$U28)))=Milestones!$AB$154),UPPER(TEXT(EDATE($D28,Milestones!$AA$154),"dd mmm yy"))&amp;" "&amp;Milestones!$AB$154&amp;" "&amp;Milestones!$AC$154&amp;";  ","")&amp;IF(AND(EDATE($D28,Milestones!$AA$155)&lt;=AsOfDate,IF($R28=0,$X28,IF(AND($T28&lt;&gt;"",EDATE($D28,Milestones!$AA$155)&gt;=$T28),$W28,IF(AND($S28&lt;&gt;"",EDATE($D28,Milestones!$AA$155)&gt;=$S28),$V28,$U28)))=Milestones!$AB$155),UPPER(TEXT(EDATE($D28,Milestones!$AA$155),"dd mmm yy"))&amp;" "&amp;Milestones!$AB$155&amp;" "&amp;Milestones!$AC$155&amp;";  ","")&amp;IF(AND(EDATE($D28,Milestones!$AA$156)&lt;=AsOfDate,IF($R28=0,$X28,IF(AND($T28&lt;&gt;"",EDATE($D28,Milestones!$AA$156)&gt;=$T28),$W28,IF(AND($S28&lt;&gt;"",EDATE($D28,Milestones!$AA$156)&gt;=$S28),$V28,$U28)))=Milestones!$AB$156),UPPER(TEXT(EDATE($D28,Milestones!$AA$156),"dd mmm yy"))&amp;" "&amp;Milestones!$AB$156&amp;" "&amp;Milestones!$AC$156&amp;";  ","")&amp;IF(AND(EDATE($D28,Milestones!$AA$157)&lt;=AsOfDate,IF($R28=0,$X28,IF(AND($T28&lt;&gt;"",EDATE($D28,Milestones!$AA$157)&gt;=$T28),$W28,IF(AND($S28&lt;&gt;"",EDATE($D28,Milestones!$AA$157)&gt;=$S28),$V28,$U28)))=Milestones!$AB$157),UPPER(TEXT(EDATE($D28,Milestones!$AA$157),"dd mmm yy"))&amp;" "&amp;Milestones!$AB$157&amp;" "&amp;Milestones!$AC$157&amp;";  ","")&amp;IF(AND(EDATE($D28,Milestones!$AA$158)&lt;=AsOfDate,IF($R28=0,$X28,IF(AND($T28&lt;&gt;"",EDATE($D28,Milestones!$AA$158)&gt;=$T28),$W28,IF(AND($S28&lt;&gt;"",EDATE($D28,Milestones!$AA$158)&gt;=$S28),$V28,$U28)))=Milestones!$AB$158),UPPER(TEXT(EDATE($D28,Milestones!$AA$158),"dd mmm yy"))&amp;" "&amp;Milestones!$AB$158&amp;" "&amp;Milestones!$AC$158&amp;";  ","")&amp;IF(AND(EDATE($D28,Milestones!$AA$159)&lt;=AsOfDate,IF($R28=0,$X28,IF(AND($T28&lt;&gt;"",EDATE($D28,Milestones!$AA$159)&gt;=$T28),$W28,IF(AND($S28&lt;&gt;"",EDATE($D28,Milestones!$AA$159)&gt;=$S28),$V28,$U28)))=Milestones!$AB$159),UPPER(TEXT(EDATE($D28,Milestones!$AA$159),"dd mmm yy"))&amp;" "&amp;Milestones!$AB$159&amp;" "&amp;Milestones!$AC$159&amp;";  ",""))</f>
        <v/>
      </c>
      <c r="P28" s="0" t="str">
        <f aca="false">IF(OR($A28="",$D28=""),"",IF(AND(EDATE($D28,Milestones!$AA$160)&lt;=AsOfDate,IF($R28=0,$X28,IF(AND($T28&lt;&gt;"",EDATE($D28,Milestones!$AA$160)&gt;=$T28),$W28,IF(AND($S28&lt;&gt;"",EDATE($D28,Milestones!$AA$160)&gt;=$S28),$V28,$U28)))=Milestones!$AB$160),UPPER(TEXT(EDATE($D28,Milestones!$AA$160),"dd mmm yy"))&amp;" "&amp;Milestones!$AB$160&amp;" "&amp;Milestones!$AC$160&amp;";  ","")&amp;IF(AND(EDATE($D28,Milestones!$AA$161)&lt;=AsOfDate,IF($R28=0,$X28,IF(AND($T28&lt;&gt;"",EDATE($D28,Milestones!$AA$161)&gt;=$T28),$W28,IF(AND($S28&lt;&gt;"",EDATE($D28,Milestones!$AA$161)&gt;=$S28),$V28,$U28)))=Milestones!$AB$161),UPPER(TEXT(EDATE($D28,Milestones!$AA$161),"dd mmm yy"))&amp;" "&amp;Milestones!$AB$161&amp;" "&amp;Milestones!$AC$161&amp;";  ","")&amp;IF(AND(EDATE($D28,Milestones!$AA$162)&lt;=AsOfDate,IF($R28=0,$X28,IF(AND($T28&lt;&gt;"",EDATE($D28,Milestones!$AA$162)&gt;=$T28),$W28,IF(AND($S28&lt;&gt;"",EDATE($D28,Milestones!$AA$162)&gt;=$S28),$V28,$U28)))=Milestones!$AB$162),UPPER(TEXT(EDATE($D28,Milestones!$AA$162),"dd mmm yy"))&amp;" "&amp;Milestones!$AB$162&amp;" "&amp;Milestones!$AC$162&amp;";  ","")&amp;IF(AND(EDATE($D28,Milestones!$AA$163)&lt;=AsOfDate,IF($R28=0,$X28,IF(AND($T28&lt;&gt;"",EDATE($D28,Milestones!$AA$163)&gt;=$T28),$W28,IF(AND($S28&lt;&gt;"",EDATE($D28,Milestones!$AA$163)&gt;=$S28),$V28,$U28)))=Milestones!$AB$163),UPPER(TEXT(EDATE($D28,Milestones!$AA$163),"dd mmm yy"))&amp;" "&amp;Milestones!$AB$163&amp;" "&amp;Milestones!$AC$163&amp;";  ","")&amp;IF(AND(EDATE($D28,Milestones!$AA$164)&lt;=AsOfDate,IF($R28=0,$X28,IF(AND($T28&lt;&gt;"",EDATE($D28,Milestones!$AA$164)&gt;=$T28),$W28,IF(AND($S28&lt;&gt;"",EDATE($D28,Milestones!$AA$164)&gt;=$S28),$V28,$U28)))=Milestones!$AB$164),UPPER(TEXT(EDATE($D28,Milestones!$AA$164),"dd mmm yy"))&amp;" "&amp;Milestones!$AB$164&amp;" "&amp;Milestones!$AC$164&amp;";  ","")&amp;IF(AND(EDATE($D28,Milestones!$AA$165)&lt;=AsOfDate,IF($R28=0,$X28,IF(AND($T28&lt;&gt;"",EDATE($D28,Milestones!$AA$165)&gt;=$T28),$W28,IF(AND($S28&lt;&gt;"",EDATE($D28,Milestones!$AA$165)&gt;=$S28),$V28,$U28)))=Milestones!$AB$165),UPPER(TEXT(EDATE($D28,Milestones!$AA$165),"dd mmm yy"))&amp;" "&amp;Milestones!$AB$165&amp;" "&amp;Milestones!$AC$165&amp;";  ","")&amp;IF(AND(EDATE($D28,Milestones!$AA$166)&lt;=AsOfDate,IF($R28=0,$X28,IF(AND($T28&lt;&gt;"",EDATE($D28,Milestones!$AA$166)&gt;=$T28),$W28,IF(AND($S28&lt;&gt;"",EDATE($D28,Milestones!$AA$166)&gt;=$S28),$V28,$U28)))=Milestones!$AB$166),UPPER(TEXT(EDATE($D28,Milestones!$AA$166),"dd mmm yy"))&amp;" "&amp;Milestones!$AB$166&amp;" "&amp;Milestones!$AC$166&amp;";  ","")&amp;IF(AND(EDATE($D28,Milestones!$AA$167)&lt;=AsOfDate,IF($R28=0,$X28,IF(AND($T28&lt;&gt;"",EDATE($D28,Milestones!$AA$167)&gt;=$T28),$W28,IF(AND($S28&lt;&gt;"",EDATE($D28,Milestones!$AA$167)&gt;=$S28),$V28,$U28)))=Milestones!$AB$167),UPPER(TEXT(EDATE($D28,Milestones!$AA$167),"dd mmm yy"))&amp;" "&amp;Milestones!$AB$167&amp;" "&amp;Milestones!$AC$167&amp;";  ","")&amp;IF(AND(EDATE($D28,Milestones!$AA$168)&lt;=AsOfDate,IF($R28=0,$X28,IF(AND($T28&lt;&gt;"",EDATE($D28,Milestones!$AA$168)&gt;=$T28),$W28,IF(AND($S28&lt;&gt;"",EDATE($D28,Milestones!$AA$168)&gt;=$S28),$V28,$U28)))=Milestones!$AB$168),UPPER(TEXT(EDATE($D28,Milestones!$AA$168),"dd mmm yy"))&amp;" "&amp;Milestones!$AB$168&amp;" "&amp;Milestones!$AC$168&amp;";  ","")&amp;IF(AND(EDATE($D28,Milestones!$AA$169)&lt;=AsOfDate,IF($R28=0,$X28,IF(AND($T28&lt;&gt;"",EDATE($D28,Milestones!$AA$169)&gt;=$T28),$W28,IF(AND($S28&lt;&gt;"",EDATE($D28,Milestones!$AA$169)&gt;=$S28),$V28,$U28)))=Milestones!$AB$169),UPPER(TEXT(EDATE($D28,Milestones!$AA$169),"dd mmm yy"))&amp;" "&amp;Milestones!$AB$169&amp;" "&amp;Milestones!$AC$169&amp;";  ","")&amp;IF(AND(EDATE($D28,Milestones!$AA$170)&lt;=AsOfDate,IF($R28=0,$X28,IF(AND($T28&lt;&gt;"",EDATE($D28,Milestones!$AA$170)&gt;=$T28),$W28,IF(AND($S28&lt;&gt;"",EDATE($D28,Milestones!$AA$170)&gt;=$S28),$V28,$U28)))=Milestones!$AB$170),UPPER(TEXT(EDATE($D28,Milestones!$AA$170),"dd mmm yy"))&amp;" "&amp;Milestones!$AB$170&amp;" "&amp;Milestones!$AC$170&amp;";  ","")&amp;IF(AND(EDATE($D28,Milestones!$AA$171)&lt;=AsOfDate,IF($R28=0,$X28,IF(AND($T28&lt;&gt;"",EDATE($D28,Milestones!$AA$171)&gt;=$T28),$W28,IF(AND($S28&lt;&gt;"",EDATE($D28,Milestones!$AA$171)&gt;=$S28),$V28,$U28)))=Milestones!$AB$171),UPPER(TEXT(EDATE($D28,Milestones!$AA$171),"dd mmm yy"))&amp;" "&amp;Milestones!$AB$171&amp;" "&amp;Milestones!$AC$171&amp;";  ","")&amp;IF(AND(EDATE($D28,Milestones!$AA$172)&lt;=AsOfDate,IF($R28=0,$X28,IF(AND($T28&lt;&gt;"",EDATE($D28,Milestones!$AA$172)&gt;=$T28),$W28,IF(AND($S28&lt;&gt;"",EDATE($D28,Milestones!$AA$172)&gt;=$S28),$V28,$U28)))=Milestones!$AB$172),UPPER(TEXT(EDATE($D28,Milestones!$AA$172),"dd mmm yy"))&amp;" "&amp;Milestones!$AB$172&amp;" "&amp;Milestones!$AC$172&amp;";  ","")&amp;IF(AND(EDATE($D28,Milestones!$AA$173)&lt;=AsOfDate,IF($R28=0,$X28,IF(AND($T28&lt;&gt;"",EDATE($D28,Milestones!$AA$173)&gt;=$T28),$W28,IF(AND($S28&lt;&gt;"",EDATE($D28,Milestones!$AA$173)&gt;=$S28),$V28,$U28)))=Milestones!$AB$173),UPPER(TEXT(EDATE($D28,Milestones!$AA$173),"dd mmm yy"))&amp;" "&amp;Milestones!$AB$173&amp;" "&amp;Milestones!$AC$173&amp;";  ","")&amp;IF(AND(EDATE($D28,Milestones!$AA$174)&lt;=AsOfDate,IF($R28=0,$X28,IF(AND($T28&lt;&gt;"",EDATE($D28,Milestones!$AA$174)&gt;=$T28),$W28,IF(AND($S28&lt;&gt;"",EDATE($D28,Milestones!$AA$174)&gt;=$S28),$V28,$U28)))=Milestones!$AB$174),UPPER(TEXT(EDATE($D28,Milestones!$AA$174),"dd mmm yy"))&amp;" "&amp;Milestones!$AB$174&amp;" "&amp;Milestones!$AC$174&amp;";  ","")&amp;IF(AND(EDATE($D28,Milestones!$AA$175)&lt;=AsOfDate,IF($R28=0,$X28,IF(AND($T28&lt;&gt;"",EDATE($D28,Milestones!$AA$175)&gt;=$T28),$W28,IF(AND($S28&lt;&gt;"",EDATE($D28,Milestones!$AA$175)&gt;=$S28),$V28,$U28)))=Milestones!$AB$175),UPPER(TEXT(EDATE($D28,Milestones!$AA$175),"dd mmm yy"))&amp;" "&amp;Milestones!$AB$175&amp;" "&amp;Milestones!$AC$175&amp;";  ","")&amp;IF(AND(EDATE($D28,Milestones!$AA$176)&lt;=AsOfDate,IF($R28=0,$X28,IF(AND($T28&lt;&gt;"",EDATE($D28,Milestones!$AA$176)&gt;=$T28),$W28,IF(AND($S28&lt;&gt;"",EDATE($D28,Milestones!$AA$176)&gt;=$S28),$V28,$U28)))=Milestones!$AB$176),UPPER(TEXT(EDATE($D28,Milestones!$AA$176),"dd mmm yy"))&amp;" "&amp;Milestones!$AB$176&amp;" "&amp;Milestones!$AC$176&amp;";  ","")&amp;IF(AND(EDATE($D28,Milestones!$AA$177)&lt;=AsOfDate,IF($R28=0,$X28,IF(AND($T28&lt;&gt;"",EDATE($D28,Milestones!$AA$177)&gt;=$T28),$W28,IF(AND($S28&lt;&gt;"",EDATE($D28,Milestones!$AA$177)&gt;=$S28),$V28,$U28)))=Milestones!$AB$177),UPPER(TEXT(EDATE($D28,Milestones!$AA$177),"dd mmm yy"))&amp;" "&amp;Milestones!$AB$177&amp;" "&amp;Milestones!$AC$177&amp;";  ","")&amp;IF(AND(EDATE($D28,Milestones!$AA$178)&lt;=AsOfDate,IF($R28=0,$X28,IF(AND($T28&lt;&gt;"",EDATE($D28,Milestones!$AA$178)&gt;=$T28),$W28,IF(AND($S28&lt;&gt;"",EDATE($D28,Milestones!$AA$178)&gt;=$S28),$V28,$U28)))=Milestones!$AB$178),UPPER(TEXT(EDATE($D28,Milestones!$AA$178),"dd mmm yy"))&amp;" "&amp;Milestones!$AB$178&amp;" "&amp;Milestones!$AC$178&amp;";  ","")&amp;IF(AND(EDATE($D28,Milestones!$AA$179)&lt;=AsOfDate,IF($R28=0,$X28,IF(AND($T28&lt;&gt;"",EDATE($D28,Milestones!$AA$179)&gt;=$T28),$W28,IF(AND($S28&lt;&gt;"",EDATE($D28,Milestones!$AA$179)&gt;=$S28),$V28,$U28)))=Milestones!$AB$179),UPPER(TEXT(EDATE($D28,Milestones!$AA$179),"dd mmm yy"))&amp;" "&amp;Milestones!$AB$179&amp;" "&amp;Milestones!$AC$179&amp;";  ",""))</f>
        <v/>
      </c>
      <c r="Q28" s="0" t="str">
        <f aca="false">IF(OR($A28="",$D28=""),"",IF(AND(EDATE($D28,Milestones!$AA$180)&lt;=AsOfDate,IF($R28=0,$X28,IF(AND($T28&lt;&gt;"",EDATE($D28,Milestones!$AA$180)&gt;=$T28),$W28,IF(AND($S28&lt;&gt;"",EDATE($D28,Milestones!$AA$180)&gt;=$S28),$V28,$U28)))=Milestones!$AB$180),UPPER(TEXT(EDATE($D28,Milestones!$AA$180),"dd mmm yy"))&amp;" "&amp;Milestones!$AB$180&amp;" "&amp;Milestones!$AC$180&amp;";  ","")&amp;IF(AND(EDATE($D28,Milestones!$AA$181)&lt;=AsOfDate,IF($R28=0,$X28,IF(AND($T28&lt;&gt;"",EDATE($D28,Milestones!$AA$181)&gt;=$T28),$W28,IF(AND($S28&lt;&gt;"",EDATE($D28,Milestones!$AA$181)&gt;=$S28),$V28,$U28)))=Milestones!$AB$181),UPPER(TEXT(EDATE($D28,Milestones!$AA$181),"dd mmm yy"))&amp;" "&amp;Milestones!$AB$181&amp;" "&amp;Milestones!$AC$181&amp;";  ","")&amp;IF(AND(EDATE($D28,Milestones!$AA$182)&lt;=AsOfDate,IF($R28=0,$X28,IF(AND($T28&lt;&gt;"",EDATE($D28,Milestones!$AA$182)&gt;=$T28),$W28,IF(AND($S28&lt;&gt;"",EDATE($D28,Milestones!$AA$182)&gt;=$S28),$V28,$U28)))=Milestones!$AB$182),UPPER(TEXT(EDATE($D28,Milestones!$AA$182),"dd mmm yy"))&amp;" "&amp;Milestones!$AB$182&amp;" "&amp;Milestones!$AC$182&amp;";  ","")&amp;IF(AND(EDATE($D28,Milestones!$AA$183)&lt;=AsOfDate,IF($R28=0,$X28,IF(AND($T28&lt;&gt;"",EDATE($D28,Milestones!$AA$183)&gt;=$T28),$W28,IF(AND($S28&lt;&gt;"",EDATE($D28,Milestones!$AA$183)&gt;=$S28),$V28,$U28)))=Milestones!$AB$183),UPPER(TEXT(EDATE($D28,Milestones!$AA$183),"dd mmm yy"))&amp;" "&amp;Milestones!$AB$183&amp;" "&amp;Milestones!$AC$183&amp;";  ","")&amp;IF(AND(EDATE($D28,Milestones!$AA$184)&lt;=AsOfDate,IF($R28=0,$X28,IF(AND($T28&lt;&gt;"",EDATE($D28,Milestones!$AA$184)&gt;=$T28),$W28,IF(AND($S28&lt;&gt;"",EDATE($D28,Milestones!$AA$184)&gt;=$S28),$V28,$U28)))=Milestones!$AB$184),UPPER(TEXT(EDATE($D28,Milestones!$AA$184),"dd mmm yy"))&amp;" "&amp;Milestones!$AB$184&amp;" "&amp;Milestones!$AC$184&amp;";  ","")&amp;IF(AND(EDATE($D28,Milestones!$AA$185)&lt;=AsOfDate,IF($R28=0,$X28,IF(AND($T28&lt;&gt;"",EDATE($D28,Milestones!$AA$185)&gt;=$T28),$W28,IF(AND($S28&lt;&gt;"",EDATE($D28,Milestones!$AA$185)&gt;=$S28),$V28,$U28)))=Milestones!$AB$185),UPPER(TEXT(EDATE($D28,Milestones!$AA$185),"dd mmm yy"))&amp;" "&amp;Milestones!$AB$185&amp;" "&amp;Milestones!$AC$185&amp;";  ","")&amp;IF(AND(EDATE($D28,Milestones!$AA$186)&lt;=AsOfDate,IF($R28=0,$X28,IF(AND($T28&lt;&gt;"",EDATE($D28,Milestones!$AA$186)&gt;=$T28),$W28,IF(AND($S28&lt;&gt;"",EDATE($D28,Milestones!$AA$186)&gt;=$S28),$V28,$U28)))=Milestones!$AB$186),UPPER(TEXT(EDATE($D28,Milestones!$AA$186),"dd mmm yy"))&amp;" "&amp;Milestones!$AB$186&amp;" "&amp;Milestones!$AC$186&amp;";  ","")&amp;IF(AND(EDATE($D28,Milestones!$AA$187)&lt;=AsOfDate,IF($R28=0,$X28,IF(AND($T28&lt;&gt;"",EDATE($D28,Milestones!$AA$187)&gt;=$T28),$W28,IF(AND($S28&lt;&gt;"",EDATE($D28,Milestones!$AA$187)&gt;=$S28),$V28,$U28)))=Milestones!$AB$187),UPPER(TEXT(EDATE($D28,Milestones!$AA$187),"dd mmm yy"))&amp;" "&amp;Milestones!$AB$187&amp;" "&amp;Milestones!$AC$187&amp;";  ","")&amp;IF(AND(EDATE($D28,Milestones!$AA$188)&lt;=AsOfDate,IF($R28=0,$X28,IF(AND($T28&lt;&gt;"",EDATE($D28,Milestones!$AA$188)&gt;=$T28),$W28,IF(AND($S28&lt;&gt;"",EDATE($D28,Milestones!$AA$188)&gt;=$S28),$V28,$U28)))=Milestones!$AB$188),UPPER(TEXT(EDATE($D28,Milestones!$AA$188),"dd mmm yy"))&amp;" "&amp;Milestones!$AB$188&amp;" "&amp;Milestones!$AC$188&amp;";  ","")&amp;IF(AND(EDATE($D28,Milestones!$AA$189)&lt;=AsOfDate,IF($R28=0,$X28,IF(AND($T28&lt;&gt;"",EDATE($D28,Milestones!$AA$189)&gt;=$T28),$W28,IF(AND($S28&lt;&gt;"",EDATE($D28,Milestones!$AA$189)&gt;=$S28),$V28,$U28)))=Milestones!$AB$189),UPPER(TEXT(EDATE($D28,Milestones!$AA$189),"dd mmm yy"))&amp;" "&amp;Milestones!$AB$189&amp;" "&amp;Milestones!$AC$189&amp;";  ","")&amp;IF(AND(EDATE($D28,Milestones!$AA$190)&lt;=AsOfDate,IF($R28=0,$X28,IF(AND($T28&lt;&gt;"",EDATE($D28,Milestones!$AA$190)&gt;=$T28),$W28,IF(AND($S28&lt;&gt;"",EDATE($D28,Milestones!$AA$190)&gt;=$S28),$V28,$U28)))=Milestones!$AB$190),UPPER(TEXT(EDATE($D28,Milestones!$AA$190),"dd mmm yy"))&amp;" "&amp;Milestones!$AB$190&amp;" "&amp;Milestones!$AC$190&amp;";  ","")&amp;IF(AND(EDATE($D28,Milestones!$AA$191)&lt;=AsOfDate,IF($R28=0,$X28,IF(AND($T28&lt;&gt;"",EDATE($D28,Milestones!$AA$191)&gt;=$T28),$W28,IF(AND($S28&lt;&gt;"",EDATE($D28,Milestones!$AA$191)&gt;=$S28),$V28,$U28)))=Milestones!$AB$191),UPPER(TEXT(EDATE($D28,Milestones!$AA$191),"dd mmm yy"))&amp;" "&amp;Milestones!$AB$191&amp;" "&amp;Milestones!$AC$191&amp;";  ","")&amp;IF(AND(EDATE($D28,Milestones!$AA$192)&lt;=AsOfDate,IF($R28=0,$X28,IF(AND($T28&lt;&gt;"",EDATE($D28,Milestones!$AA$192)&gt;=$T28),$W28,IF(AND($S28&lt;&gt;"",EDATE($D28,Milestones!$AA$192)&gt;=$S28),$V28,$U28)))=Milestones!$AB$192),UPPER(TEXT(EDATE($D28,Milestones!$AA$192),"dd mmm yy"))&amp;" "&amp;Milestones!$AB$192&amp;" "&amp;Milestones!$AC$192&amp;";  ","")&amp;IF(AND(EDATE($D28,Milestones!$AA$193)&lt;=AsOfDate,IF($R28=0,$X28,IF(AND($T28&lt;&gt;"",EDATE($D28,Milestones!$AA$193)&gt;=$T28),$W28,IF(AND($S28&lt;&gt;"",EDATE($D28,Milestones!$AA$193)&gt;=$S28),$V28,$U28)))=Milestones!$AB$193),UPPER(TEXT(EDATE($D28,Milestones!$AA$193),"dd mmm yy"))&amp;" "&amp;Milestones!$AB$193&amp;" "&amp;Milestones!$AC$193&amp;";  ","")&amp;IF(AND(EDATE($D28,Milestones!$AA$194)&lt;=AsOfDate,IF($R28=0,$X28,IF(AND($T28&lt;&gt;"",EDATE($D28,Milestones!$AA$194)&gt;=$T28),$W28,IF(AND($S28&lt;&gt;"",EDATE($D28,Milestones!$AA$194)&gt;=$S28),$V28,$U28)))=Milestones!$AB$194),UPPER(TEXT(EDATE($D28,Milestones!$AA$194),"dd mmm yy"))&amp;" "&amp;Milestones!$AB$194&amp;" "&amp;Milestones!$AC$194&amp;";  ","")&amp;IF(AND(EDATE($D28,Milestones!$AA$195)&lt;=AsOfDate,IF($R28=0,$X28,IF(AND($T28&lt;&gt;"",EDATE($D28,Milestones!$AA$195)&gt;=$T28),$W28,IF(AND($S28&lt;&gt;"",EDATE($D28,Milestones!$AA$195)&gt;=$S28),$V28,$U28)))=Milestones!$AB$195),UPPER(TEXT(EDATE($D28,Milestones!$AA$195),"dd mmm yy"))&amp;" "&amp;Milestones!$AB$195&amp;" "&amp;Milestones!$AC$195&amp;";  ","")&amp;IF(AND(EDATE($D28,Milestones!$AA$196)&lt;=AsOfDate,IF($R28=0,$X28,IF(AND($T28&lt;&gt;"",EDATE($D28,Milestones!$AA$196)&gt;=$T28),$W28,IF(AND($S28&lt;&gt;"",EDATE($D28,Milestones!$AA$196)&gt;=$S28),$V28,$U28)))=Milestones!$AB$196),UPPER(TEXT(EDATE($D28,Milestones!$AA$196),"dd mmm yy"))&amp;" "&amp;Milestones!$AB$196&amp;" "&amp;Milestones!$AC$196&amp;";  ","")&amp;IF(AND(EDATE($D28,Milestones!$AA$197)&lt;=AsOfDate,IF($R28=0,$X28,IF(AND($T28&lt;&gt;"",EDATE($D28,Milestones!$AA$197)&gt;=$T28),$W28,IF(AND($S28&lt;&gt;"",EDATE($D28,Milestones!$AA$197)&gt;=$S28),$V28,$U28)))=Milestones!$AB$197),UPPER(TEXT(EDATE($D28,Milestones!$AA$197),"dd mmm yy"))&amp;" "&amp;Milestones!$AB$197&amp;" "&amp;Milestones!$AC$197&amp;";  ","")&amp;IF(AND(EDATE($D28,Milestones!$AA$198)&lt;=AsOfDate,IF($R28=0,$X28,IF(AND($T28&lt;&gt;"",EDATE($D28,Milestones!$AA$198)&gt;=$T28),$W28,IF(AND($S28&lt;&gt;"",EDATE($D28,Milestones!$AA$198)&gt;=$S28),$V28,$U28)))=Milestones!$AB$198),UPPER(TEXT(EDATE($D28,Milestones!$AA$198),"dd mmm yy"))&amp;" "&amp;Milestones!$AB$198&amp;" "&amp;Milestones!$AC$198&amp;";  ","")&amp;IF(AND(EDATE($D28,Milestones!$AA$199)&lt;=AsOfDate,IF($R28=0,$X28,IF(AND($T28&lt;&gt;"",EDATE($D28,Milestones!$AA$199)&gt;=$T28),$W28,IF(AND($S28&lt;&gt;"",EDATE($D28,Milestones!$AA$199)&gt;=$S28),$V28,$U28)))=Milestones!$AB$199),UPPER(TEXT(EDATE($D28,Milestones!$AA$199),"dd mmm yy"))&amp;" "&amp;Milestones!$AB$199&amp;" "&amp;Milestones!$AC$199&amp;";  ",""))</f>
        <v/>
      </c>
      <c r="R28" s="0" t="str">
        <f aca="false">IF(Staff!$A28="","",Staff!$AI28)</f>
        <v/>
      </c>
      <c r="S28" s="0" t="str">
        <f aca="false">IF(Staff!$A28="","",Staff!$AK28)</f>
        <v/>
      </c>
      <c r="T28" s="0" t="str">
        <f aca="false">IF(Staff!$A28="","",Staff!$AL28)</f>
        <v/>
      </c>
      <c r="U28" s="0" t="str">
        <f aca="false">IF(Staff!$A28="","",Staff!$AP28)</f>
        <v/>
      </c>
      <c r="V28" s="0" t="str">
        <f aca="false">IF(Staff!$A28="","",Staff!$AQ28)</f>
        <v/>
      </c>
      <c r="W28" s="0" t="str">
        <f aca="false">IF(Staff!$A28="","",Staff!$AR28)</f>
        <v/>
      </c>
      <c r="X28" s="0" t="str">
        <f aca="false">IF(Staff!$A28="","",Staff!$AS28)</f>
        <v/>
      </c>
    </row>
    <row r="29" customFormat="false" ht="15" hidden="false" customHeight="false" outlineLevel="0" collapsed="false">
      <c r="A29" s="14" t="str">
        <f aca="false">IF(Staff!$A29="","",Staff!$A29)</f>
        <v/>
      </c>
      <c r="B29" s="14" t="str">
        <f aca="false">IF(Staff!$A29="","",Staff!$B29)</f>
        <v/>
      </c>
      <c r="C29" s="14" t="str">
        <f aca="false">IF(Staff!$A29="","",Staff!$C29)</f>
        <v/>
      </c>
      <c r="D29" s="12" t="str">
        <f aca="false">IF(Staff!$A29="","",Staff!$AH29)</f>
        <v/>
      </c>
      <c r="E29" s="14" t="str">
        <f aca="false">IF(Staff!$A29="","",Staff!$O29)</f>
        <v/>
      </c>
      <c r="F29" s="14" t="str">
        <f aca="false">IF(E29="","",E29*HoursPerDay)</f>
        <v/>
      </c>
      <c r="G29" s="14" t="str">
        <f aca="false">IF(Staff!$A29="","",Staff!$AE29)</f>
        <v/>
      </c>
      <c r="H29" s="26" t="str">
        <f aca="false">IF($A29="","",I29&amp;J29&amp;K29&amp;L29&amp;M29&amp;N29&amp;O29&amp;P29&amp;Q29)</f>
        <v/>
      </c>
      <c r="I29" s="0" t="str">
        <f aca="false">IF(OR($A29="",$D29=""),"",IF(AND(EDATE($D29,Milestones!$AA$20)&lt;=AsOfDate,IF($R29=0,$X29,IF(AND($T29&lt;&gt;"",EDATE($D29,Milestones!$AA$20)&gt;=$T29),$W29,IF(AND($S29&lt;&gt;"",EDATE($D29,Milestones!$AA$20)&gt;=$S29),$V29,$U29)))=Milestones!$AB$20),UPPER(TEXT(EDATE($D29,Milestones!$AA$20),"dd mmm yy"))&amp;" "&amp;Milestones!$AB$20&amp;" "&amp;Milestones!$AC$20&amp;";  ","")&amp;IF(AND(EDATE($D29,Milestones!$AA$21)&lt;=AsOfDate,IF($R29=0,$X29,IF(AND($T29&lt;&gt;"",EDATE($D29,Milestones!$AA$21)&gt;=$T29),$W29,IF(AND($S29&lt;&gt;"",EDATE($D29,Milestones!$AA$21)&gt;=$S29),$V29,$U29)))=Milestones!$AB$21),UPPER(TEXT(EDATE($D29,Milestones!$AA$21),"dd mmm yy"))&amp;" "&amp;Milestones!$AB$21&amp;" "&amp;Milestones!$AC$21&amp;";  ","")&amp;IF(AND(EDATE($D29,Milestones!$AA$22)&lt;=AsOfDate,IF($R29=0,$X29,IF(AND($T29&lt;&gt;"",EDATE($D29,Milestones!$AA$22)&gt;=$T29),$W29,IF(AND($S29&lt;&gt;"",EDATE($D29,Milestones!$AA$22)&gt;=$S29),$V29,$U29)))=Milestones!$AB$22),UPPER(TEXT(EDATE($D29,Milestones!$AA$22),"dd mmm yy"))&amp;" "&amp;Milestones!$AB$22&amp;" "&amp;Milestones!$AC$22&amp;";  ","")&amp;IF(AND(EDATE($D29,Milestones!$AA$23)&lt;=AsOfDate,IF($R29=0,$X29,IF(AND($T29&lt;&gt;"",EDATE($D29,Milestones!$AA$23)&gt;=$T29),$W29,IF(AND($S29&lt;&gt;"",EDATE($D29,Milestones!$AA$23)&gt;=$S29),$V29,$U29)))=Milestones!$AB$23),UPPER(TEXT(EDATE($D29,Milestones!$AA$23),"dd mmm yy"))&amp;" "&amp;Milestones!$AB$23&amp;" "&amp;Milestones!$AC$23&amp;";  ","")&amp;IF(AND(EDATE($D29,Milestones!$AA$24)&lt;=AsOfDate,IF($R29=0,$X29,IF(AND($T29&lt;&gt;"",EDATE($D29,Milestones!$AA$24)&gt;=$T29),$W29,IF(AND($S29&lt;&gt;"",EDATE($D29,Milestones!$AA$24)&gt;=$S29),$V29,$U29)))=Milestones!$AB$24),UPPER(TEXT(EDATE($D29,Milestones!$AA$24),"dd mmm yy"))&amp;" "&amp;Milestones!$AB$24&amp;" "&amp;Milestones!$AC$24&amp;";  ","")&amp;IF(AND(EDATE($D29,Milestones!$AA$25)&lt;=AsOfDate,IF($R29=0,$X29,IF(AND($T29&lt;&gt;"",EDATE($D29,Milestones!$AA$25)&gt;=$T29),$W29,IF(AND($S29&lt;&gt;"",EDATE($D29,Milestones!$AA$25)&gt;=$S29),$V29,$U29)))=Milestones!$AB$25),UPPER(TEXT(EDATE($D29,Milestones!$AA$25),"dd mmm yy"))&amp;" "&amp;Milestones!$AB$25&amp;" "&amp;Milestones!$AC$25&amp;";  ","")&amp;IF(AND(EDATE($D29,Milestones!$AA$26)&lt;=AsOfDate,IF($R29=0,$X29,IF(AND($T29&lt;&gt;"",EDATE($D29,Milestones!$AA$26)&gt;=$T29),$W29,IF(AND($S29&lt;&gt;"",EDATE($D29,Milestones!$AA$26)&gt;=$S29),$V29,$U29)))=Milestones!$AB$26),UPPER(TEXT(EDATE($D29,Milestones!$AA$26),"dd mmm yy"))&amp;" "&amp;Milestones!$AB$26&amp;" "&amp;Milestones!$AC$26&amp;";  ","")&amp;IF(AND(EDATE($D29,Milestones!$AA$27)&lt;=AsOfDate,IF($R29=0,$X29,IF(AND($T29&lt;&gt;"",EDATE($D29,Milestones!$AA$27)&gt;=$T29),$W29,IF(AND($S29&lt;&gt;"",EDATE($D29,Milestones!$AA$27)&gt;=$S29),$V29,$U29)))=Milestones!$AB$27),UPPER(TEXT(EDATE($D29,Milestones!$AA$27),"dd mmm yy"))&amp;" "&amp;Milestones!$AB$27&amp;" "&amp;Milestones!$AC$27&amp;";  ","")&amp;IF(AND(EDATE($D29,Milestones!$AA$28)&lt;=AsOfDate,IF($R29=0,$X29,IF(AND($T29&lt;&gt;"",EDATE($D29,Milestones!$AA$28)&gt;=$T29),$W29,IF(AND($S29&lt;&gt;"",EDATE($D29,Milestones!$AA$28)&gt;=$S29),$V29,$U29)))=Milestones!$AB$28),UPPER(TEXT(EDATE($D29,Milestones!$AA$28),"dd mmm yy"))&amp;" "&amp;Milestones!$AB$28&amp;" "&amp;Milestones!$AC$28&amp;";  ","")&amp;IF(AND(EDATE($D29,Milestones!$AA$29)&lt;=AsOfDate,IF($R29=0,$X29,IF(AND($T29&lt;&gt;"",EDATE($D29,Milestones!$AA$29)&gt;=$T29),$W29,IF(AND($S29&lt;&gt;"",EDATE($D29,Milestones!$AA$29)&gt;=$S29),$V29,$U29)))=Milestones!$AB$29),UPPER(TEXT(EDATE($D29,Milestones!$AA$29),"dd mmm yy"))&amp;" "&amp;Milestones!$AB$29&amp;" "&amp;Milestones!$AC$29&amp;";  ","")&amp;IF(AND(EDATE($D29,Milestones!$AA$30)&lt;=AsOfDate,IF($R29=0,$X29,IF(AND($T29&lt;&gt;"",EDATE($D29,Milestones!$AA$30)&gt;=$T29),$W29,IF(AND($S29&lt;&gt;"",EDATE($D29,Milestones!$AA$30)&gt;=$S29),$V29,$U29)))=Milestones!$AB$30),UPPER(TEXT(EDATE($D29,Milestones!$AA$30),"dd mmm yy"))&amp;" "&amp;Milestones!$AB$30&amp;" "&amp;Milestones!$AC$30&amp;";  ","")&amp;IF(AND(EDATE($D29,Milestones!$AA$31)&lt;=AsOfDate,IF($R29=0,$X29,IF(AND($T29&lt;&gt;"",EDATE($D29,Milestones!$AA$31)&gt;=$T29),$W29,IF(AND($S29&lt;&gt;"",EDATE($D29,Milestones!$AA$31)&gt;=$S29),$V29,$U29)))=Milestones!$AB$31),UPPER(TEXT(EDATE($D29,Milestones!$AA$31),"dd mmm yy"))&amp;" "&amp;Milestones!$AB$31&amp;" "&amp;Milestones!$AC$31&amp;";  ","")&amp;IF(AND(EDATE($D29,Milestones!$AA$32)&lt;=AsOfDate,IF($R29=0,$X29,IF(AND($T29&lt;&gt;"",EDATE($D29,Milestones!$AA$32)&gt;=$T29),$W29,IF(AND($S29&lt;&gt;"",EDATE($D29,Milestones!$AA$32)&gt;=$S29),$V29,$U29)))=Milestones!$AB$32),UPPER(TEXT(EDATE($D29,Milestones!$AA$32),"dd mmm yy"))&amp;" "&amp;Milestones!$AB$32&amp;" "&amp;Milestones!$AC$32&amp;";  ","")&amp;IF(AND(EDATE($D29,Milestones!$AA$33)&lt;=AsOfDate,IF($R29=0,$X29,IF(AND($T29&lt;&gt;"",EDATE($D29,Milestones!$AA$33)&gt;=$T29),$W29,IF(AND($S29&lt;&gt;"",EDATE($D29,Milestones!$AA$33)&gt;=$S29),$V29,$U29)))=Milestones!$AB$33),UPPER(TEXT(EDATE($D29,Milestones!$AA$33),"dd mmm yy"))&amp;" "&amp;Milestones!$AB$33&amp;" "&amp;Milestones!$AC$33&amp;";  ","")&amp;IF(AND(EDATE($D29,Milestones!$AA$34)&lt;=AsOfDate,IF($R29=0,$X29,IF(AND($T29&lt;&gt;"",EDATE($D29,Milestones!$AA$34)&gt;=$T29),$W29,IF(AND($S29&lt;&gt;"",EDATE($D29,Milestones!$AA$34)&gt;=$S29),$V29,$U29)))=Milestones!$AB$34),UPPER(TEXT(EDATE($D29,Milestones!$AA$34),"dd mmm yy"))&amp;" "&amp;Milestones!$AB$34&amp;" "&amp;Milestones!$AC$34&amp;";  ","")&amp;IF(AND(EDATE($D29,Milestones!$AA$35)&lt;=AsOfDate,IF($R29=0,$X29,IF(AND($T29&lt;&gt;"",EDATE($D29,Milestones!$AA$35)&gt;=$T29),$W29,IF(AND($S29&lt;&gt;"",EDATE($D29,Milestones!$AA$35)&gt;=$S29),$V29,$U29)))=Milestones!$AB$35),UPPER(TEXT(EDATE($D29,Milestones!$AA$35),"dd mmm yy"))&amp;" "&amp;Milestones!$AB$35&amp;" "&amp;Milestones!$AC$35&amp;";  ","")&amp;IF(AND(EDATE($D29,Milestones!$AA$36)&lt;=AsOfDate,IF($R29=0,$X29,IF(AND($T29&lt;&gt;"",EDATE($D29,Milestones!$AA$36)&gt;=$T29),$W29,IF(AND($S29&lt;&gt;"",EDATE($D29,Milestones!$AA$36)&gt;=$S29),$V29,$U29)))=Milestones!$AB$36),UPPER(TEXT(EDATE($D29,Milestones!$AA$36),"dd mmm yy"))&amp;" "&amp;Milestones!$AB$36&amp;" "&amp;Milestones!$AC$36&amp;";  ","")&amp;IF(AND(EDATE($D29,Milestones!$AA$37)&lt;=AsOfDate,IF($R29=0,$X29,IF(AND($T29&lt;&gt;"",EDATE($D29,Milestones!$AA$37)&gt;=$T29),$W29,IF(AND($S29&lt;&gt;"",EDATE($D29,Milestones!$AA$37)&gt;=$S29),$V29,$U29)))=Milestones!$AB$37),UPPER(TEXT(EDATE($D29,Milestones!$AA$37),"dd mmm yy"))&amp;" "&amp;Milestones!$AB$37&amp;" "&amp;Milestones!$AC$37&amp;";  ","")&amp;IF(AND(EDATE($D29,Milestones!$AA$38)&lt;=AsOfDate,IF($R29=0,$X29,IF(AND($T29&lt;&gt;"",EDATE($D29,Milestones!$AA$38)&gt;=$T29),$W29,IF(AND($S29&lt;&gt;"",EDATE($D29,Milestones!$AA$38)&gt;=$S29),$V29,$U29)))=Milestones!$AB$38),UPPER(TEXT(EDATE($D29,Milestones!$AA$38),"dd mmm yy"))&amp;" "&amp;Milestones!$AB$38&amp;" "&amp;Milestones!$AC$38&amp;";  ","")&amp;IF(AND(EDATE($D29,Milestones!$AA$39)&lt;=AsOfDate,IF($R29=0,$X29,IF(AND($T29&lt;&gt;"",EDATE($D29,Milestones!$AA$39)&gt;=$T29),$W29,IF(AND($S29&lt;&gt;"",EDATE($D29,Milestones!$AA$39)&gt;=$S29),$V29,$U29)))=Milestones!$AB$39),UPPER(TEXT(EDATE($D29,Milestones!$AA$39),"dd mmm yy"))&amp;" "&amp;Milestones!$AB$39&amp;" "&amp;Milestones!$AC$39&amp;";  ",""))</f>
        <v/>
      </c>
      <c r="J29" s="0" t="str">
        <f aca="false">IF(OR($A29="",$D29=""),"",IF(AND(EDATE($D29,Milestones!$AA$40)&lt;=AsOfDate,IF($R29=0,$X29,IF(AND($T29&lt;&gt;"",EDATE($D29,Milestones!$AA$40)&gt;=$T29),$W29,IF(AND($S29&lt;&gt;"",EDATE($D29,Milestones!$AA$40)&gt;=$S29),$V29,$U29)))=Milestones!$AB$40),UPPER(TEXT(EDATE($D29,Milestones!$AA$40),"dd mmm yy"))&amp;" "&amp;Milestones!$AB$40&amp;" "&amp;Milestones!$AC$40&amp;";  ","")&amp;IF(AND(EDATE($D29,Milestones!$AA$41)&lt;=AsOfDate,IF($R29=0,$X29,IF(AND($T29&lt;&gt;"",EDATE($D29,Milestones!$AA$41)&gt;=$T29),$W29,IF(AND($S29&lt;&gt;"",EDATE($D29,Milestones!$AA$41)&gt;=$S29),$V29,$U29)))=Milestones!$AB$41),UPPER(TEXT(EDATE($D29,Milestones!$AA$41),"dd mmm yy"))&amp;" "&amp;Milestones!$AB$41&amp;" "&amp;Milestones!$AC$41&amp;";  ","")&amp;IF(AND(EDATE($D29,Milestones!$AA$42)&lt;=AsOfDate,IF($R29=0,$X29,IF(AND($T29&lt;&gt;"",EDATE($D29,Milestones!$AA$42)&gt;=$T29),$W29,IF(AND($S29&lt;&gt;"",EDATE($D29,Milestones!$AA$42)&gt;=$S29),$V29,$U29)))=Milestones!$AB$42),UPPER(TEXT(EDATE($D29,Milestones!$AA$42),"dd mmm yy"))&amp;" "&amp;Milestones!$AB$42&amp;" "&amp;Milestones!$AC$42&amp;";  ","")&amp;IF(AND(EDATE($D29,Milestones!$AA$43)&lt;=AsOfDate,IF($R29=0,$X29,IF(AND($T29&lt;&gt;"",EDATE($D29,Milestones!$AA$43)&gt;=$T29),$W29,IF(AND($S29&lt;&gt;"",EDATE($D29,Milestones!$AA$43)&gt;=$S29),$V29,$U29)))=Milestones!$AB$43),UPPER(TEXT(EDATE($D29,Milestones!$AA$43),"dd mmm yy"))&amp;" "&amp;Milestones!$AB$43&amp;" "&amp;Milestones!$AC$43&amp;";  ","")&amp;IF(AND(EDATE($D29,Milestones!$AA$44)&lt;=AsOfDate,IF($R29=0,$X29,IF(AND($T29&lt;&gt;"",EDATE($D29,Milestones!$AA$44)&gt;=$T29),$W29,IF(AND($S29&lt;&gt;"",EDATE($D29,Milestones!$AA$44)&gt;=$S29),$V29,$U29)))=Milestones!$AB$44),UPPER(TEXT(EDATE($D29,Milestones!$AA$44),"dd mmm yy"))&amp;" "&amp;Milestones!$AB$44&amp;" "&amp;Milestones!$AC$44&amp;";  ","")&amp;IF(AND(EDATE($D29,Milestones!$AA$45)&lt;=AsOfDate,IF($R29=0,$X29,IF(AND($T29&lt;&gt;"",EDATE($D29,Milestones!$AA$45)&gt;=$T29),$W29,IF(AND($S29&lt;&gt;"",EDATE($D29,Milestones!$AA$45)&gt;=$S29),$V29,$U29)))=Milestones!$AB$45),UPPER(TEXT(EDATE($D29,Milestones!$AA$45),"dd mmm yy"))&amp;" "&amp;Milestones!$AB$45&amp;" "&amp;Milestones!$AC$45&amp;";  ","")&amp;IF(AND(EDATE($D29,Milestones!$AA$46)&lt;=AsOfDate,IF($R29=0,$X29,IF(AND($T29&lt;&gt;"",EDATE($D29,Milestones!$AA$46)&gt;=$T29),$W29,IF(AND($S29&lt;&gt;"",EDATE($D29,Milestones!$AA$46)&gt;=$S29),$V29,$U29)))=Milestones!$AB$46),UPPER(TEXT(EDATE($D29,Milestones!$AA$46),"dd mmm yy"))&amp;" "&amp;Milestones!$AB$46&amp;" "&amp;Milestones!$AC$46&amp;";  ","")&amp;IF(AND(EDATE($D29,Milestones!$AA$47)&lt;=AsOfDate,IF($R29=0,$X29,IF(AND($T29&lt;&gt;"",EDATE($D29,Milestones!$AA$47)&gt;=$T29),$W29,IF(AND($S29&lt;&gt;"",EDATE($D29,Milestones!$AA$47)&gt;=$S29),$V29,$U29)))=Milestones!$AB$47),UPPER(TEXT(EDATE($D29,Milestones!$AA$47),"dd mmm yy"))&amp;" "&amp;Milestones!$AB$47&amp;" "&amp;Milestones!$AC$47&amp;";  ","")&amp;IF(AND(EDATE($D29,Milestones!$AA$48)&lt;=AsOfDate,IF($R29=0,$X29,IF(AND($T29&lt;&gt;"",EDATE($D29,Milestones!$AA$48)&gt;=$T29),$W29,IF(AND($S29&lt;&gt;"",EDATE($D29,Milestones!$AA$48)&gt;=$S29),$V29,$U29)))=Milestones!$AB$48),UPPER(TEXT(EDATE($D29,Milestones!$AA$48),"dd mmm yy"))&amp;" "&amp;Milestones!$AB$48&amp;" "&amp;Milestones!$AC$48&amp;";  ","")&amp;IF(AND(EDATE($D29,Milestones!$AA$49)&lt;=AsOfDate,IF($R29=0,$X29,IF(AND($T29&lt;&gt;"",EDATE($D29,Milestones!$AA$49)&gt;=$T29),$W29,IF(AND($S29&lt;&gt;"",EDATE($D29,Milestones!$AA$49)&gt;=$S29),$V29,$U29)))=Milestones!$AB$49),UPPER(TEXT(EDATE($D29,Milestones!$AA$49),"dd mmm yy"))&amp;" "&amp;Milestones!$AB$49&amp;" "&amp;Milestones!$AC$49&amp;";  ","")&amp;IF(AND(EDATE($D29,Milestones!$AA$50)&lt;=AsOfDate,IF($R29=0,$X29,IF(AND($T29&lt;&gt;"",EDATE($D29,Milestones!$AA$50)&gt;=$T29),$W29,IF(AND($S29&lt;&gt;"",EDATE($D29,Milestones!$AA$50)&gt;=$S29),$V29,$U29)))=Milestones!$AB$50),UPPER(TEXT(EDATE($D29,Milestones!$AA$50),"dd mmm yy"))&amp;" "&amp;Milestones!$AB$50&amp;" "&amp;Milestones!$AC$50&amp;";  ","")&amp;IF(AND(EDATE($D29,Milestones!$AA$51)&lt;=AsOfDate,IF($R29=0,$X29,IF(AND($T29&lt;&gt;"",EDATE($D29,Milestones!$AA$51)&gt;=$T29),$W29,IF(AND($S29&lt;&gt;"",EDATE($D29,Milestones!$AA$51)&gt;=$S29),$V29,$U29)))=Milestones!$AB$51),UPPER(TEXT(EDATE($D29,Milestones!$AA$51),"dd mmm yy"))&amp;" "&amp;Milestones!$AB$51&amp;" "&amp;Milestones!$AC$51&amp;";  ","")&amp;IF(AND(EDATE($D29,Milestones!$AA$52)&lt;=AsOfDate,IF($R29=0,$X29,IF(AND($T29&lt;&gt;"",EDATE($D29,Milestones!$AA$52)&gt;=$T29),$W29,IF(AND($S29&lt;&gt;"",EDATE($D29,Milestones!$AA$52)&gt;=$S29),$V29,$U29)))=Milestones!$AB$52),UPPER(TEXT(EDATE($D29,Milestones!$AA$52),"dd mmm yy"))&amp;" "&amp;Milestones!$AB$52&amp;" "&amp;Milestones!$AC$52&amp;";  ","")&amp;IF(AND(EDATE($D29,Milestones!$AA$53)&lt;=AsOfDate,IF($R29=0,$X29,IF(AND($T29&lt;&gt;"",EDATE($D29,Milestones!$AA$53)&gt;=$T29),$W29,IF(AND($S29&lt;&gt;"",EDATE($D29,Milestones!$AA$53)&gt;=$S29),$V29,$U29)))=Milestones!$AB$53),UPPER(TEXT(EDATE($D29,Milestones!$AA$53),"dd mmm yy"))&amp;" "&amp;Milestones!$AB$53&amp;" "&amp;Milestones!$AC$53&amp;";  ","")&amp;IF(AND(EDATE($D29,Milestones!$AA$54)&lt;=AsOfDate,IF($R29=0,$X29,IF(AND($T29&lt;&gt;"",EDATE($D29,Milestones!$AA$54)&gt;=$T29),$W29,IF(AND($S29&lt;&gt;"",EDATE($D29,Milestones!$AA$54)&gt;=$S29),$V29,$U29)))=Milestones!$AB$54),UPPER(TEXT(EDATE($D29,Milestones!$AA$54),"dd mmm yy"))&amp;" "&amp;Milestones!$AB$54&amp;" "&amp;Milestones!$AC$54&amp;";  ","")&amp;IF(AND(EDATE($D29,Milestones!$AA$55)&lt;=AsOfDate,IF($R29=0,$X29,IF(AND($T29&lt;&gt;"",EDATE($D29,Milestones!$AA$55)&gt;=$T29),$W29,IF(AND($S29&lt;&gt;"",EDATE($D29,Milestones!$AA$55)&gt;=$S29),$V29,$U29)))=Milestones!$AB$55),UPPER(TEXT(EDATE($D29,Milestones!$AA$55),"dd mmm yy"))&amp;" "&amp;Milestones!$AB$55&amp;" "&amp;Milestones!$AC$55&amp;";  ","")&amp;IF(AND(EDATE($D29,Milestones!$AA$56)&lt;=AsOfDate,IF($R29=0,$X29,IF(AND($T29&lt;&gt;"",EDATE($D29,Milestones!$AA$56)&gt;=$T29),$W29,IF(AND($S29&lt;&gt;"",EDATE($D29,Milestones!$AA$56)&gt;=$S29),$V29,$U29)))=Milestones!$AB$56),UPPER(TEXT(EDATE($D29,Milestones!$AA$56),"dd mmm yy"))&amp;" "&amp;Milestones!$AB$56&amp;" "&amp;Milestones!$AC$56&amp;";  ","")&amp;IF(AND(EDATE($D29,Milestones!$AA$57)&lt;=AsOfDate,IF($R29=0,$X29,IF(AND($T29&lt;&gt;"",EDATE($D29,Milestones!$AA$57)&gt;=$T29),$W29,IF(AND($S29&lt;&gt;"",EDATE($D29,Milestones!$AA$57)&gt;=$S29),$V29,$U29)))=Milestones!$AB$57),UPPER(TEXT(EDATE($D29,Milestones!$AA$57),"dd mmm yy"))&amp;" "&amp;Milestones!$AB$57&amp;" "&amp;Milestones!$AC$57&amp;";  ","")&amp;IF(AND(EDATE($D29,Milestones!$AA$58)&lt;=AsOfDate,IF($R29=0,$X29,IF(AND($T29&lt;&gt;"",EDATE($D29,Milestones!$AA$58)&gt;=$T29),$W29,IF(AND($S29&lt;&gt;"",EDATE($D29,Milestones!$AA$58)&gt;=$S29),$V29,$U29)))=Milestones!$AB$58),UPPER(TEXT(EDATE($D29,Milestones!$AA$58),"dd mmm yy"))&amp;" "&amp;Milestones!$AB$58&amp;" "&amp;Milestones!$AC$58&amp;";  ","")&amp;IF(AND(EDATE($D29,Milestones!$AA$59)&lt;=AsOfDate,IF($R29=0,$X29,IF(AND($T29&lt;&gt;"",EDATE($D29,Milestones!$AA$59)&gt;=$T29),$W29,IF(AND($S29&lt;&gt;"",EDATE($D29,Milestones!$AA$59)&gt;=$S29),$V29,$U29)))=Milestones!$AB$59),UPPER(TEXT(EDATE($D29,Milestones!$AA$59),"dd mmm yy"))&amp;" "&amp;Milestones!$AB$59&amp;" "&amp;Milestones!$AC$59&amp;";  ",""))</f>
        <v/>
      </c>
      <c r="K29" s="0" t="str">
        <f aca="false">IF(OR($A29="",$D29=""),"",IF(AND(EDATE($D29,Milestones!$AA$60)&lt;=AsOfDate,IF($R29=0,$X29,IF(AND($T29&lt;&gt;"",EDATE($D29,Milestones!$AA$60)&gt;=$T29),$W29,IF(AND($S29&lt;&gt;"",EDATE($D29,Milestones!$AA$60)&gt;=$S29),$V29,$U29)))=Milestones!$AB$60),UPPER(TEXT(EDATE($D29,Milestones!$AA$60),"dd mmm yy"))&amp;" "&amp;Milestones!$AB$60&amp;" "&amp;Milestones!$AC$60&amp;";  ","")&amp;IF(AND(EDATE($D29,Milestones!$AA$61)&lt;=AsOfDate,IF($R29=0,$X29,IF(AND($T29&lt;&gt;"",EDATE($D29,Milestones!$AA$61)&gt;=$T29),$W29,IF(AND($S29&lt;&gt;"",EDATE($D29,Milestones!$AA$61)&gt;=$S29),$V29,$U29)))=Milestones!$AB$61),UPPER(TEXT(EDATE($D29,Milestones!$AA$61),"dd mmm yy"))&amp;" "&amp;Milestones!$AB$61&amp;" "&amp;Milestones!$AC$61&amp;";  ","")&amp;IF(AND(EDATE($D29,Milestones!$AA$62)&lt;=AsOfDate,IF($R29=0,$X29,IF(AND($T29&lt;&gt;"",EDATE($D29,Milestones!$AA$62)&gt;=$T29),$W29,IF(AND($S29&lt;&gt;"",EDATE($D29,Milestones!$AA$62)&gt;=$S29),$V29,$U29)))=Milestones!$AB$62),UPPER(TEXT(EDATE($D29,Milestones!$AA$62),"dd mmm yy"))&amp;" "&amp;Milestones!$AB$62&amp;" "&amp;Milestones!$AC$62&amp;";  ","")&amp;IF(AND(EDATE($D29,Milestones!$AA$63)&lt;=AsOfDate,IF($R29=0,$X29,IF(AND($T29&lt;&gt;"",EDATE($D29,Milestones!$AA$63)&gt;=$T29),$W29,IF(AND($S29&lt;&gt;"",EDATE($D29,Milestones!$AA$63)&gt;=$S29),$V29,$U29)))=Milestones!$AB$63),UPPER(TEXT(EDATE($D29,Milestones!$AA$63),"dd mmm yy"))&amp;" "&amp;Milestones!$AB$63&amp;" "&amp;Milestones!$AC$63&amp;";  ","")&amp;IF(AND(EDATE($D29,Milestones!$AA$64)&lt;=AsOfDate,IF($R29=0,$X29,IF(AND($T29&lt;&gt;"",EDATE($D29,Milestones!$AA$64)&gt;=$T29),$W29,IF(AND($S29&lt;&gt;"",EDATE($D29,Milestones!$AA$64)&gt;=$S29),$V29,$U29)))=Milestones!$AB$64),UPPER(TEXT(EDATE($D29,Milestones!$AA$64),"dd mmm yy"))&amp;" "&amp;Milestones!$AB$64&amp;" "&amp;Milestones!$AC$64&amp;";  ","")&amp;IF(AND(EDATE($D29,Milestones!$AA$65)&lt;=AsOfDate,IF($R29=0,$X29,IF(AND($T29&lt;&gt;"",EDATE($D29,Milestones!$AA$65)&gt;=$T29),$W29,IF(AND($S29&lt;&gt;"",EDATE($D29,Milestones!$AA$65)&gt;=$S29),$V29,$U29)))=Milestones!$AB$65),UPPER(TEXT(EDATE($D29,Milestones!$AA$65),"dd mmm yy"))&amp;" "&amp;Milestones!$AB$65&amp;" "&amp;Milestones!$AC$65&amp;";  ","")&amp;IF(AND(EDATE($D29,Milestones!$AA$66)&lt;=AsOfDate,IF($R29=0,$X29,IF(AND($T29&lt;&gt;"",EDATE($D29,Milestones!$AA$66)&gt;=$T29),$W29,IF(AND($S29&lt;&gt;"",EDATE($D29,Milestones!$AA$66)&gt;=$S29),$V29,$U29)))=Milestones!$AB$66),UPPER(TEXT(EDATE($D29,Milestones!$AA$66),"dd mmm yy"))&amp;" "&amp;Milestones!$AB$66&amp;" "&amp;Milestones!$AC$66&amp;";  ","")&amp;IF(AND(EDATE($D29,Milestones!$AA$67)&lt;=AsOfDate,IF($R29=0,$X29,IF(AND($T29&lt;&gt;"",EDATE($D29,Milestones!$AA$67)&gt;=$T29),$W29,IF(AND($S29&lt;&gt;"",EDATE($D29,Milestones!$AA$67)&gt;=$S29),$V29,$U29)))=Milestones!$AB$67),UPPER(TEXT(EDATE($D29,Milestones!$AA$67),"dd mmm yy"))&amp;" "&amp;Milestones!$AB$67&amp;" "&amp;Milestones!$AC$67&amp;";  ","")&amp;IF(AND(EDATE($D29,Milestones!$AA$68)&lt;=AsOfDate,IF($R29=0,$X29,IF(AND($T29&lt;&gt;"",EDATE($D29,Milestones!$AA$68)&gt;=$T29),$W29,IF(AND($S29&lt;&gt;"",EDATE($D29,Milestones!$AA$68)&gt;=$S29),$V29,$U29)))=Milestones!$AB$68),UPPER(TEXT(EDATE($D29,Milestones!$AA$68),"dd mmm yy"))&amp;" "&amp;Milestones!$AB$68&amp;" "&amp;Milestones!$AC$68&amp;";  ","")&amp;IF(AND(EDATE($D29,Milestones!$AA$69)&lt;=AsOfDate,IF($R29=0,$X29,IF(AND($T29&lt;&gt;"",EDATE($D29,Milestones!$AA$69)&gt;=$T29),$W29,IF(AND($S29&lt;&gt;"",EDATE($D29,Milestones!$AA$69)&gt;=$S29),$V29,$U29)))=Milestones!$AB$69),UPPER(TEXT(EDATE($D29,Milestones!$AA$69),"dd mmm yy"))&amp;" "&amp;Milestones!$AB$69&amp;" "&amp;Milestones!$AC$69&amp;";  ","")&amp;IF(AND(EDATE($D29,Milestones!$AA$70)&lt;=AsOfDate,IF($R29=0,$X29,IF(AND($T29&lt;&gt;"",EDATE($D29,Milestones!$AA$70)&gt;=$T29),$W29,IF(AND($S29&lt;&gt;"",EDATE($D29,Milestones!$AA$70)&gt;=$S29),$V29,$U29)))=Milestones!$AB$70),UPPER(TEXT(EDATE($D29,Milestones!$AA$70),"dd mmm yy"))&amp;" "&amp;Milestones!$AB$70&amp;" "&amp;Milestones!$AC$70&amp;";  ","")&amp;IF(AND(EDATE($D29,Milestones!$AA$71)&lt;=AsOfDate,IF($R29=0,$X29,IF(AND($T29&lt;&gt;"",EDATE($D29,Milestones!$AA$71)&gt;=$T29),$W29,IF(AND($S29&lt;&gt;"",EDATE($D29,Milestones!$AA$71)&gt;=$S29),$V29,$U29)))=Milestones!$AB$71),UPPER(TEXT(EDATE($D29,Milestones!$AA$71),"dd mmm yy"))&amp;" "&amp;Milestones!$AB$71&amp;" "&amp;Milestones!$AC$71&amp;";  ","")&amp;IF(AND(EDATE($D29,Milestones!$AA$72)&lt;=AsOfDate,IF($R29=0,$X29,IF(AND($T29&lt;&gt;"",EDATE($D29,Milestones!$AA$72)&gt;=$T29),$W29,IF(AND($S29&lt;&gt;"",EDATE($D29,Milestones!$AA$72)&gt;=$S29),$V29,$U29)))=Milestones!$AB$72),UPPER(TEXT(EDATE($D29,Milestones!$AA$72),"dd mmm yy"))&amp;" "&amp;Milestones!$AB$72&amp;" "&amp;Milestones!$AC$72&amp;";  ","")&amp;IF(AND(EDATE($D29,Milestones!$AA$73)&lt;=AsOfDate,IF($R29=0,$X29,IF(AND($T29&lt;&gt;"",EDATE($D29,Milestones!$AA$73)&gt;=$T29),$W29,IF(AND($S29&lt;&gt;"",EDATE($D29,Milestones!$AA$73)&gt;=$S29),$V29,$U29)))=Milestones!$AB$73),UPPER(TEXT(EDATE($D29,Milestones!$AA$73),"dd mmm yy"))&amp;" "&amp;Milestones!$AB$73&amp;" "&amp;Milestones!$AC$73&amp;";  ","")&amp;IF(AND(EDATE($D29,Milestones!$AA$74)&lt;=AsOfDate,IF($R29=0,$X29,IF(AND($T29&lt;&gt;"",EDATE($D29,Milestones!$AA$74)&gt;=$T29),$W29,IF(AND($S29&lt;&gt;"",EDATE($D29,Milestones!$AA$74)&gt;=$S29),$V29,$U29)))=Milestones!$AB$74),UPPER(TEXT(EDATE($D29,Milestones!$AA$74),"dd mmm yy"))&amp;" "&amp;Milestones!$AB$74&amp;" "&amp;Milestones!$AC$74&amp;";  ","")&amp;IF(AND(EDATE($D29,Milestones!$AA$75)&lt;=AsOfDate,IF($R29=0,$X29,IF(AND($T29&lt;&gt;"",EDATE($D29,Milestones!$AA$75)&gt;=$T29),$W29,IF(AND($S29&lt;&gt;"",EDATE($D29,Milestones!$AA$75)&gt;=$S29),$V29,$U29)))=Milestones!$AB$75),UPPER(TEXT(EDATE($D29,Milestones!$AA$75),"dd mmm yy"))&amp;" "&amp;Milestones!$AB$75&amp;" "&amp;Milestones!$AC$75&amp;";  ","")&amp;IF(AND(EDATE($D29,Milestones!$AA$76)&lt;=AsOfDate,IF($R29=0,$X29,IF(AND($T29&lt;&gt;"",EDATE($D29,Milestones!$AA$76)&gt;=$T29),$W29,IF(AND($S29&lt;&gt;"",EDATE($D29,Milestones!$AA$76)&gt;=$S29),$V29,$U29)))=Milestones!$AB$76),UPPER(TEXT(EDATE($D29,Milestones!$AA$76),"dd mmm yy"))&amp;" "&amp;Milestones!$AB$76&amp;" "&amp;Milestones!$AC$76&amp;";  ","")&amp;IF(AND(EDATE($D29,Milestones!$AA$77)&lt;=AsOfDate,IF($R29=0,$X29,IF(AND($T29&lt;&gt;"",EDATE($D29,Milestones!$AA$77)&gt;=$T29),$W29,IF(AND($S29&lt;&gt;"",EDATE($D29,Milestones!$AA$77)&gt;=$S29),$V29,$U29)))=Milestones!$AB$77),UPPER(TEXT(EDATE($D29,Milestones!$AA$77),"dd mmm yy"))&amp;" "&amp;Milestones!$AB$77&amp;" "&amp;Milestones!$AC$77&amp;";  ","")&amp;IF(AND(EDATE($D29,Milestones!$AA$78)&lt;=AsOfDate,IF($R29=0,$X29,IF(AND($T29&lt;&gt;"",EDATE($D29,Milestones!$AA$78)&gt;=$T29),$W29,IF(AND($S29&lt;&gt;"",EDATE($D29,Milestones!$AA$78)&gt;=$S29),$V29,$U29)))=Milestones!$AB$78),UPPER(TEXT(EDATE($D29,Milestones!$AA$78),"dd mmm yy"))&amp;" "&amp;Milestones!$AB$78&amp;" "&amp;Milestones!$AC$78&amp;";  ","")&amp;IF(AND(EDATE($D29,Milestones!$AA$79)&lt;=AsOfDate,IF($R29=0,$X29,IF(AND($T29&lt;&gt;"",EDATE($D29,Milestones!$AA$79)&gt;=$T29),$W29,IF(AND($S29&lt;&gt;"",EDATE($D29,Milestones!$AA$79)&gt;=$S29),$V29,$U29)))=Milestones!$AB$79),UPPER(TEXT(EDATE($D29,Milestones!$AA$79),"dd mmm yy"))&amp;" "&amp;Milestones!$AB$79&amp;" "&amp;Milestones!$AC$79&amp;";  ",""))</f>
        <v/>
      </c>
      <c r="L29" s="0" t="str">
        <f aca="false">IF(OR($A29="",$D29=""),"",IF(AND(EDATE($D29,Milestones!$AA$80)&lt;=AsOfDate,IF($R29=0,$X29,IF(AND($T29&lt;&gt;"",EDATE($D29,Milestones!$AA$80)&gt;=$T29),$W29,IF(AND($S29&lt;&gt;"",EDATE($D29,Milestones!$AA$80)&gt;=$S29),$V29,$U29)))=Milestones!$AB$80),UPPER(TEXT(EDATE($D29,Milestones!$AA$80),"dd mmm yy"))&amp;" "&amp;Milestones!$AB$80&amp;" "&amp;Milestones!$AC$80&amp;";  ","")&amp;IF(AND(EDATE($D29,Milestones!$AA$81)&lt;=AsOfDate,IF($R29=0,$X29,IF(AND($T29&lt;&gt;"",EDATE($D29,Milestones!$AA$81)&gt;=$T29),$W29,IF(AND($S29&lt;&gt;"",EDATE($D29,Milestones!$AA$81)&gt;=$S29),$V29,$U29)))=Milestones!$AB$81),UPPER(TEXT(EDATE($D29,Milestones!$AA$81),"dd mmm yy"))&amp;" "&amp;Milestones!$AB$81&amp;" "&amp;Milestones!$AC$81&amp;";  ","")&amp;IF(AND(EDATE($D29,Milestones!$AA$82)&lt;=AsOfDate,IF($R29=0,$X29,IF(AND($T29&lt;&gt;"",EDATE($D29,Milestones!$AA$82)&gt;=$T29),$W29,IF(AND($S29&lt;&gt;"",EDATE($D29,Milestones!$AA$82)&gt;=$S29),$V29,$U29)))=Milestones!$AB$82),UPPER(TEXT(EDATE($D29,Milestones!$AA$82),"dd mmm yy"))&amp;" "&amp;Milestones!$AB$82&amp;" "&amp;Milestones!$AC$82&amp;";  ","")&amp;IF(AND(EDATE($D29,Milestones!$AA$83)&lt;=AsOfDate,IF($R29=0,$X29,IF(AND($T29&lt;&gt;"",EDATE($D29,Milestones!$AA$83)&gt;=$T29),$W29,IF(AND($S29&lt;&gt;"",EDATE($D29,Milestones!$AA$83)&gt;=$S29),$V29,$U29)))=Milestones!$AB$83),UPPER(TEXT(EDATE($D29,Milestones!$AA$83),"dd mmm yy"))&amp;" "&amp;Milestones!$AB$83&amp;" "&amp;Milestones!$AC$83&amp;";  ","")&amp;IF(AND(EDATE($D29,Milestones!$AA$84)&lt;=AsOfDate,IF($R29=0,$X29,IF(AND($T29&lt;&gt;"",EDATE($D29,Milestones!$AA$84)&gt;=$T29),$W29,IF(AND($S29&lt;&gt;"",EDATE($D29,Milestones!$AA$84)&gt;=$S29),$V29,$U29)))=Milestones!$AB$84),UPPER(TEXT(EDATE($D29,Milestones!$AA$84),"dd mmm yy"))&amp;" "&amp;Milestones!$AB$84&amp;" "&amp;Milestones!$AC$84&amp;";  ","")&amp;IF(AND(EDATE($D29,Milestones!$AA$85)&lt;=AsOfDate,IF($R29=0,$X29,IF(AND($T29&lt;&gt;"",EDATE($D29,Milestones!$AA$85)&gt;=$T29),$W29,IF(AND($S29&lt;&gt;"",EDATE($D29,Milestones!$AA$85)&gt;=$S29),$V29,$U29)))=Milestones!$AB$85),UPPER(TEXT(EDATE($D29,Milestones!$AA$85),"dd mmm yy"))&amp;" "&amp;Milestones!$AB$85&amp;" "&amp;Milestones!$AC$85&amp;";  ","")&amp;IF(AND(EDATE($D29,Milestones!$AA$86)&lt;=AsOfDate,IF($R29=0,$X29,IF(AND($T29&lt;&gt;"",EDATE($D29,Milestones!$AA$86)&gt;=$T29),$W29,IF(AND($S29&lt;&gt;"",EDATE($D29,Milestones!$AA$86)&gt;=$S29),$V29,$U29)))=Milestones!$AB$86),UPPER(TEXT(EDATE($D29,Milestones!$AA$86),"dd mmm yy"))&amp;" "&amp;Milestones!$AB$86&amp;" "&amp;Milestones!$AC$86&amp;";  ","")&amp;IF(AND(EDATE($D29,Milestones!$AA$87)&lt;=AsOfDate,IF($R29=0,$X29,IF(AND($T29&lt;&gt;"",EDATE($D29,Milestones!$AA$87)&gt;=$T29),$W29,IF(AND($S29&lt;&gt;"",EDATE($D29,Milestones!$AA$87)&gt;=$S29),$V29,$U29)))=Milestones!$AB$87),UPPER(TEXT(EDATE($D29,Milestones!$AA$87),"dd mmm yy"))&amp;" "&amp;Milestones!$AB$87&amp;" "&amp;Milestones!$AC$87&amp;";  ","")&amp;IF(AND(EDATE($D29,Milestones!$AA$88)&lt;=AsOfDate,IF($R29=0,$X29,IF(AND($T29&lt;&gt;"",EDATE($D29,Milestones!$AA$88)&gt;=$T29),$W29,IF(AND($S29&lt;&gt;"",EDATE($D29,Milestones!$AA$88)&gt;=$S29),$V29,$U29)))=Milestones!$AB$88),UPPER(TEXT(EDATE($D29,Milestones!$AA$88),"dd mmm yy"))&amp;" "&amp;Milestones!$AB$88&amp;" "&amp;Milestones!$AC$88&amp;";  ","")&amp;IF(AND(EDATE($D29,Milestones!$AA$89)&lt;=AsOfDate,IF($R29=0,$X29,IF(AND($T29&lt;&gt;"",EDATE($D29,Milestones!$AA$89)&gt;=$T29),$W29,IF(AND($S29&lt;&gt;"",EDATE($D29,Milestones!$AA$89)&gt;=$S29),$V29,$U29)))=Milestones!$AB$89),UPPER(TEXT(EDATE($D29,Milestones!$AA$89),"dd mmm yy"))&amp;" "&amp;Milestones!$AB$89&amp;" "&amp;Milestones!$AC$89&amp;";  ","")&amp;IF(AND(EDATE($D29,Milestones!$AA$90)&lt;=AsOfDate,IF($R29=0,$X29,IF(AND($T29&lt;&gt;"",EDATE($D29,Milestones!$AA$90)&gt;=$T29),$W29,IF(AND($S29&lt;&gt;"",EDATE($D29,Milestones!$AA$90)&gt;=$S29),$V29,$U29)))=Milestones!$AB$90),UPPER(TEXT(EDATE($D29,Milestones!$AA$90),"dd mmm yy"))&amp;" "&amp;Milestones!$AB$90&amp;" "&amp;Milestones!$AC$90&amp;";  ","")&amp;IF(AND(EDATE($D29,Milestones!$AA$91)&lt;=AsOfDate,IF($R29=0,$X29,IF(AND($T29&lt;&gt;"",EDATE($D29,Milestones!$AA$91)&gt;=$T29),$W29,IF(AND($S29&lt;&gt;"",EDATE($D29,Milestones!$AA$91)&gt;=$S29),$V29,$U29)))=Milestones!$AB$91),UPPER(TEXT(EDATE($D29,Milestones!$AA$91),"dd mmm yy"))&amp;" "&amp;Milestones!$AB$91&amp;" "&amp;Milestones!$AC$91&amp;";  ","")&amp;IF(AND(EDATE($D29,Milestones!$AA$92)&lt;=AsOfDate,IF($R29=0,$X29,IF(AND($T29&lt;&gt;"",EDATE($D29,Milestones!$AA$92)&gt;=$T29),$W29,IF(AND($S29&lt;&gt;"",EDATE($D29,Milestones!$AA$92)&gt;=$S29),$V29,$U29)))=Milestones!$AB$92),UPPER(TEXT(EDATE($D29,Milestones!$AA$92),"dd mmm yy"))&amp;" "&amp;Milestones!$AB$92&amp;" "&amp;Milestones!$AC$92&amp;";  ","")&amp;IF(AND(EDATE($D29,Milestones!$AA$93)&lt;=AsOfDate,IF($R29=0,$X29,IF(AND($T29&lt;&gt;"",EDATE($D29,Milestones!$AA$93)&gt;=$T29),$W29,IF(AND($S29&lt;&gt;"",EDATE($D29,Milestones!$AA$93)&gt;=$S29),$V29,$U29)))=Milestones!$AB$93),UPPER(TEXT(EDATE($D29,Milestones!$AA$93),"dd mmm yy"))&amp;" "&amp;Milestones!$AB$93&amp;" "&amp;Milestones!$AC$93&amp;";  ","")&amp;IF(AND(EDATE($D29,Milestones!$AA$94)&lt;=AsOfDate,IF($R29=0,$X29,IF(AND($T29&lt;&gt;"",EDATE($D29,Milestones!$AA$94)&gt;=$T29),$W29,IF(AND($S29&lt;&gt;"",EDATE($D29,Milestones!$AA$94)&gt;=$S29),$V29,$U29)))=Milestones!$AB$94),UPPER(TEXT(EDATE($D29,Milestones!$AA$94),"dd mmm yy"))&amp;" "&amp;Milestones!$AB$94&amp;" "&amp;Milestones!$AC$94&amp;";  ","")&amp;IF(AND(EDATE($D29,Milestones!$AA$95)&lt;=AsOfDate,IF($R29=0,$X29,IF(AND($T29&lt;&gt;"",EDATE($D29,Milestones!$AA$95)&gt;=$T29),$W29,IF(AND($S29&lt;&gt;"",EDATE($D29,Milestones!$AA$95)&gt;=$S29),$V29,$U29)))=Milestones!$AB$95),UPPER(TEXT(EDATE($D29,Milestones!$AA$95),"dd mmm yy"))&amp;" "&amp;Milestones!$AB$95&amp;" "&amp;Milestones!$AC$95&amp;";  ","")&amp;IF(AND(EDATE($D29,Milestones!$AA$96)&lt;=AsOfDate,IF($R29=0,$X29,IF(AND($T29&lt;&gt;"",EDATE($D29,Milestones!$AA$96)&gt;=$T29),$W29,IF(AND($S29&lt;&gt;"",EDATE($D29,Milestones!$AA$96)&gt;=$S29),$V29,$U29)))=Milestones!$AB$96),UPPER(TEXT(EDATE($D29,Milestones!$AA$96),"dd mmm yy"))&amp;" "&amp;Milestones!$AB$96&amp;" "&amp;Milestones!$AC$96&amp;";  ","")&amp;IF(AND(EDATE($D29,Milestones!$AA$97)&lt;=AsOfDate,IF($R29=0,$X29,IF(AND($T29&lt;&gt;"",EDATE($D29,Milestones!$AA$97)&gt;=$T29),$W29,IF(AND($S29&lt;&gt;"",EDATE($D29,Milestones!$AA$97)&gt;=$S29),$V29,$U29)))=Milestones!$AB$97),UPPER(TEXT(EDATE($D29,Milestones!$AA$97),"dd mmm yy"))&amp;" "&amp;Milestones!$AB$97&amp;" "&amp;Milestones!$AC$97&amp;";  ","")&amp;IF(AND(EDATE($D29,Milestones!$AA$98)&lt;=AsOfDate,IF($R29=0,$X29,IF(AND($T29&lt;&gt;"",EDATE($D29,Milestones!$AA$98)&gt;=$T29),$W29,IF(AND($S29&lt;&gt;"",EDATE($D29,Milestones!$AA$98)&gt;=$S29),$V29,$U29)))=Milestones!$AB$98),UPPER(TEXT(EDATE($D29,Milestones!$AA$98),"dd mmm yy"))&amp;" "&amp;Milestones!$AB$98&amp;" "&amp;Milestones!$AC$98&amp;";  ","")&amp;IF(AND(EDATE($D29,Milestones!$AA$99)&lt;=AsOfDate,IF($R29=0,$X29,IF(AND($T29&lt;&gt;"",EDATE($D29,Milestones!$AA$99)&gt;=$T29),$W29,IF(AND($S29&lt;&gt;"",EDATE($D29,Milestones!$AA$99)&gt;=$S29),$V29,$U29)))=Milestones!$AB$99),UPPER(TEXT(EDATE($D29,Milestones!$AA$99),"dd mmm yy"))&amp;" "&amp;Milestones!$AB$99&amp;" "&amp;Milestones!$AC$99&amp;";  ",""))</f>
        <v/>
      </c>
      <c r="M29" s="0" t="str">
        <f aca="false">IF(OR($A29="",$D29=""),"",IF(AND(EDATE($D29,Milestones!$AA$100)&lt;=AsOfDate,IF($R29=0,$X29,IF(AND($T29&lt;&gt;"",EDATE($D29,Milestones!$AA$100)&gt;=$T29),$W29,IF(AND($S29&lt;&gt;"",EDATE($D29,Milestones!$AA$100)&gt;=$S29),$V29,$U29)))=Milestones!$AB$100),UPPER(TEXT(EDATE($D29,Milestones!$AA$100),"dd mmm yy"))&amp;" "&amp;Milestones!$AB$100&amp;" "&amp;Milestones!$AC$100&amp;";  ","")&amp;IF(AND(EDATE($D29,Milestones!$AA$101)&lt;=AsOfDate,IF($R29=0,$X29,IF(AND($T29&lt;&gt;"",EDATE($D29,Milestones!$AA$101)&gt;=$T29),$W29,IF(AND($S29&lt;&gt;"",EDATE($D29,Milestones!$AA$101)&gt;=$S29),$V29,$U29)))=Milestones!$AB$101),UPPER(TEXT(EDATE($D29,Milestones!$AA$101),"dd mmm yy"))&amp;" "&amp;Milestones!$AB$101&amp;" "&amp;Milestones!$AC$101&amp;";  ","")&amp;IF(AND(EDATE($D29,Milestones!$AA$102)&lt;=AsOfDate,IF($R29=0,$X29,IF(AND($T29&lt;&gt;"",EDATE($D29,Milestones!$AA$102)&gt;=$T29),$W29,IF(AND($S29&lt;&gt;"",EDATE($D29,Milestones!$AA$102)&gt;=$S29),$V29,$U29)))=Milestones!$AB$102),UPPER(TEXT(EDATE($D29,Milestones!$AA$102),"dd mmm yy"))&amp;" "&amp;Milestones!$AB$102&amp;" "&amp;Milestones!$AC$102&amp;";  ","")&amp;IF(AND(EDATE($D29,Milestones!$AA$103)&lt;=AsOfDate,IF($R29=0,$X29,IF(AND($T29&lt;&gt;"",EDATE($D29,Milestones!$AA$103)&gt;=$T29),$W29,IF(AND($S29&lt;&gt;"",EDATE($D29,Milestones!$AA$103)&gt;=$S29),$V29,$U29)))=Milestones!$AB$103),UPPER(TEXT(EDATE($D29,Milestones!$AA$103),"dd mmm yy"))&amp;" "&amp;Milestones!$AB$103&amp;" "&amp;Milestones!$AC$103&amp;";  ","")&amp;IF(AND(EDATE($D29,Milestones!$AA$104)&lt;=AsOfDate,IF($R29=0,$X29,IF(AND($T29&lt;&gt;"",EDATE($D29,Milestones!$AA$104)&gt;=$T29),$W29,IF(AND($S29&lt;&gt;"",EDATE($D29,Milestones!$AA$104)&gt;=$S29),$V29,$U29)))=Milestones!$AB$104),UPPER(TEXT(EDATE($D29,Milestones!$AA$104),"dd mmm yy"))&amp;" "&amp;Milestones!$AB$104&amp;" "&amp;Milestones!$AC$104&amp;";  ","")&amp;IF(AND(EDATE($D29,Milestones!$AA$105)&lt;=AsOfDate,IF($R29=0,$X29,IF(AND($T29&lt;&gt;"",EDATE($D29,Milestones!$AA$105)&gt;=$T29),$W29,IF(AND($S29&lt;&gt;"",EDATE($D29,Milestones!$AA$105)&gt;=$S29),$V29,$U29)))=Milestones!$AB$105),UPPER(TEXT(EDATE($D29,Milestones!$AA$105),"dd mmm yy"))&amp;" "&amp;Milestones!$AB$105&amp;" "&amp;Milestones!$AC$105&amp;";  ","")&amp;IF(AND(EDATE($D29,Milestones!$AA$106)&lt;=AsOfDate,IF($R29=0,$X29,IF(AND($T29&lt;&gt;"",EDATE($D29,Milestones!$AA$106)&gt;=$T29),$W29,IF(AND($S29&lt;&gt;"",EDATE($D29,Milestones!$AA$106)&gt;=$S29),$V29,$U29)))=Milestones!$AB$106),UPPER(TEXT(EDATE($D29,Milestones!$AA$106),"dd mmm yy"))&amp;" "&amp;Milestones!$AB$106&amp;" "&amp;Milestones!$AC$106&amp;";  ","")&amp;IF(AND(EDATE($D29,Milestones!$AA$107)&lt;=AsOfDate,IF($R29=0,$X29,IF(AND($T29&lt;&gt;"",EDATE($D29,Milestones!$AA$107)&gt;=$T29),$W29,IF(AND($S29&lt;&gt;"",EDATE($D29,Milestones!$AA$107)&gt;=$S29),$V29,$U29)))=Milestones!$AB$107),UPPER(TEXT(EDATE($D29,Milestones!$AA$107),"dd mmm yy"))&amp;" "&amp;Milestones!$AB$107&amp;" "&amp;Milestones!$AC$107&amp;";  ","")&amp;IF(AND(EDATE($D29,Milestones!$AA$108)&lt;=AsOfDate,IF($R29=0,$X29,IF(AND($T29&lt;&gt;"",EDATE($D29,Milestones!$AA$108)&gt;=$T29),$W29,IF(AND($S29&lt;&gt;"",EDATE($D29,Milestones!$AA$108)&gt;=$S29),$V29,$U29)))=Milestones!$AB$108),UPPER(TEXT(EDATE($D29,Milestones!$AA$108),"dd mmm yy"))&amp;" "&amp;Milestones!$AB$108&amp;" "&amp;Milestones!$AC$108&amp;";  ","")&amp;IF(AND(EDATE($D29,Milestones!$AA$109)&lt;=AsOfDate,IF($R29=0,$X29,IF(AND($T29&lt;&gt;"",EDATE($D29,Milestones!$AA$109)&gt;=$T29),$W29,IF(AND($S29&lt;&gt;"",EDATE($D29,Milestones!$AA$109)&gt;=$S29),$V29,$U29)))=Milestones!$AB$109),UPPER(TEXT(EDATE($D29,Milestones!$AA$109),"dd mmm yy"))&amp;" "&amp;Milestones!$AB$109&amp;" "&amp;Milestones!$AC$109&amp;";  ","")&amp;IF(AND(EDATE($D29,Milestones!$AA$110)&lt;=AsOfDate,IF($R29=0,$X29,IF(AND($T29&lt;&gt;"",EDATE($D29,Milestones!$AA$110)&gt;=$T29),$W29,IF(AND($S29&lt;&gt;"",EDATE($D29,Milestones!$AA$110)&gt;=$S29),$V29,$U29)))=Milestones!$AB$110),UPPER(TEXT(EDATE($D29,Milestones!$AA$110),"dd mmm yy"))&amp;" "&amp;Milestones!$AB$110&amp;" "&amp;Milestones!$AC$110&amp;";  ","")&amp;IF(AND(EDATE($D29,Milestones!$AA$111)&lt;=AsOfDate,IF($R29=0,$X29,IF(AND($T29&lt;&gt;"",EDATE($D29,Milestones!$AA$111)&gt;=$T29),$W29,IF(AND($S29&lt;&gt;"",EDATE($D29,Milestones!$AA$111)&gt;=$S29),$V29,$U29)))=Milestones!$AB$111),UPPER(TEXT(EDATE($D29,Milestones!$AA$111),"dd mmm yy"))&amp;" "&amp;Milestones!$AB$111&amp;" "&amp;Milestones!$AC$111&amp;";  ","")&amp;IF(AND(EDATE($D29,Milestones!$AA$112)&lt;=AsOfDate,IF($R29=0,$X29,IF(AND($T29&lt;&gt;"",EDATE($D29,Milestones!$AA$112)&gt;=$T29),$W29,IF(AND($S29&lt;&gt;"",EDATE($D29,Milestones!$AA$112)&gt;=$S29),$V29,$U29)))=Milestones!$AB$112),UPPER(TEXT(EDATE($D29,Milestones!$AA$112),"dd mmm yy"))&amp;" "&amp;Milestones!$AB$112&amp;" "&amp;Milestones!$AC$112&amp;";  ","")&amp;IF(AND(EDATE($D29,Milestones!$AA$113)&lt;=AsOfDate,IF($R29=0,$X29,IF(AND($T29&lt;&gt;"",EDATE($D29,Milestones!$AA$113)&gt;=$T29),$W29,IF(AND($S29&lt;&gt;"",EDATE($D29,Milestones!$AA$113)&gt;=$S29),$V29,$U29)))=Milestones!$AB$113),UPPER(TEXT(EDATE($D29,Milestones!$AA$113),"dd mmm yy"))&amp;" "&amp;Milestones!$AB$113&amp;" "&amp;Milestones!$AC$113&amp;";  ","")&amp;IF(AND(EDATE($D29,Milestones!$AA$114)&lt;=AsOfDate,IF($R29=0,$X29,IF(AND($T29&lt;&gt;"",EDATE($D29,Milestones!$AA$114)&gt;=$T29),$W29,IF(AND($S29&lt;&gt;"",EDATE($D29,Milestones!$AA$114)&gt;=$S29),$V29,$U29)))=Milestones!$AB$114),UPPER(TEXT(EDATE($D29,Milestones!$AA$114),"dd mmm yy"))&amp;" "&amp;Milestones!$AB$114&amp;" "&amp;Milestones!$AC$114&amp;";  ","")&amp;IF(AND(EDATE($D29,Milestones!$AA$115)&lt;=AsOfDate,IF($R29=0,$X29,IF(AND($T29&lt;&gt;"",EDATE($D29,Milestones!$AA$115)&gt;=$T29),$W29,IF(AND($S29&lt;&gt;"",EDATE($D29,Milestones!$AA$115)&gt;=$S29),$V29,$U29)))=Milestones!$AB$115),UPPER(TEXT(EDATE($D29,Milestones!$AA$115),"dd mmm yy"))&amp;" "&amp;Milestones!$AB$115&amp;" "&amp;Milestones!$AC$115&amp;";  ","")&amp;IF(AND(EDATE($D29,Milestones!$AA$116)&lt;=AsOfDate,IF($R29=0,$X29,IF(AND($T29&lt;&gt;"",EDATE($D29,Milestones!$AA$116)&gt;=$T29),$W29,IF(AND($S29&lt;&gt;"",EDATE($D29,Milestones!$AA$116)&gt;=$S29),$V29,$U29)))=Milestones!$AB$116),UPPER(TEXT(EDATE($D29,Milestones!$AA$116),"dd mmm yy"))&amp;" "&amp;Milestones!$AB$116&amp;" "&amp;Milestones!$AC$116&amp;";  ","")&amp;IF(AND(EDATE($D29,Milestones!$AA$117)&lt;=AsOfDate,IF($R29=0,$X29,IF(AND($T29&lt;&gt;"",EDATE($D29,Milestones!$AA$117)&gt;=$T29),$W29,IF(AND($S29&lt;&gt;"",EDATE($D29,Milestones!$AA$117)&gt;=$S29),$V29,$U29)))=Milestones!$AB$117),UPPER(TEXT(EDATE($D29,Milestones!$AA$117),"dd mmm yy"))&amp;" "&amp;Milestones!$AB$117&amp;" "&amp;Milestones!$AC$117&amp;";  ","")&amp;IF(AND(EDATE($D29,Milestones!$AA$118)&lt;=AsOfDate,IF($R29=0,$X29,IF(AND($T29&lt;&gt;"",EDATE($D29,Milestones!$AA$118)&gt;=$T29),$W29,IF(AND($S29&lt;&gt;"",EDATE($D29,Milestones!$AA$118)&gt;=$S29),$V29,$U29)))=Milestones!$AB$118),UPPER(TEXT(EDATE($D29,Milestones!$AA$118),"dd mmm yy"))&amp;" "&amp;Milestones!$AB$118&amp;" "&amp;Milestones!$AC$118&amp;";  ","")&amp;IF(AND(EDATE($D29,Milestones!$AA$119)&lt;=AsOfDate,IF($R29=0,$X29,IF(AND($T29&lt;&gt;"",EDATE($D29,Milestones!$AA$119)&gt;=$T29),$W29,IF(AND($S29&lt;&gt;"",EDATE($D29,Milestones!$AA$119)&gt;=$S29),$V29,$U29)))=Milestones!$AB$119),UPPER(TEXT(EDATE($D29,Milestones!$AA$119),"dd mmm yy"))&amp;" "&amp;Milestones!$AB$119&amp;" "&amp;Milestones!$AC$119&amp;";  ",""))</f>
        <v/>
      </c>
      <c r="N29" s="0" t="str">
        <f aca="false">IF(OR($A29="",$D29=""),"",IF(AND(EDATE($D29,Milestones!$AA$120)&lt;=AsOfDate,IF($R29=0,$X29,IF(AND($T29&lt;&gt;"",EDATE($D29,Milestones!$AA$120)&gt;=$T29),$W29,IF(AND($S29&lt;&gt;"",EDATE($D29,Milestones!$AA$120)&gt;=$S29),$V29,$U29)))=Milestones!$AB$120),UPPER(TEXT(EDATE($D29,Milestones!$AA$120),"dd mmm yy"))&amp;" "&amp;Milestones!$AB$120&amp;" "&amp;Milestones!$AC$120&amp;";  ","")&amp;IF(AND(EDATE($D29,Milestones!$AA$121)&lt;=AsOfDate,IF($R29=0,$X29,IF(AND($T29&lt;&gt;"",EDATE($D29,Milestones!$AA$121)&gt;=$T29),$W29,IF(AND($S29&lt;&gt;"",EDATE($D29,Milestones!$AA$121)&gt;=$S29),$V29,$U29)))=Milestones!$AB$121),UPPER(TEXT(EDATE($D29,Milestones!$AA$121),"dd mmm yy"))&amp;" "&amp;Milestones!$AB$121&amp;" "&amp;Milestones!$AC$121&amp;";  ","")&amp;IF(AND(EDATE($D29,Milestones!$AA$122)&lt;=AsOfDate,IF($R29=0,$X29,IF(AND($T29&lt;&gt;"",EDATE($D29,Milestones!$AA$122)&gt;=$T29),$W29,IF(AND($S29&lt;&gt;"",EDATE($D29,Milestones!$AA$122)&gt;=$S29),$V29,$U29)))=Milestones!$AB$122),UPPER(TEXT(EDATE($D29,Milestones!$AA$122),"dd mmm yy"))&amp;" "&amp;Milestones!$AB$122&amp;" "&amp;Milestones!$AC$122&amp;";  ","")&amp;IF(AND(EDATE($D29,Milestones!$AA$123)&lt;=AsOfDate,IF($R29=0,$X29,IF(AND($T29&lt;&gt;"",EDATE($D29,Milestones!$AA$123)&gt;=$T29),$W29,IF(AND($S29&lt;&gt;"",EDATE($D29,Milestones!$AA$123)&gt;=$S29),$V29,$U29)))=Milestones!$AB$123),UPPER(TEXT(EDATE($D29,Milestones!$AA$123),"dd mmm yy"))&amp;" "&amp;Milestones!$AB$123&amp;" "&amp;Milestones!$AC$123&amp;";  ","")&amp;IF(AND(EDATE($D29,Milestones!$AA$124)&lt;=AsOfDate,IF($R29=0,$X29,IF(AND($T29&lt;&gt;"",EDATE($D29,Milestones!$AA$124)&gt;=$T29),$W29,IF(AND($S29&lt;&gt;"",EDATE($D29,Milestones!$AA$124)&gt;=$S29),$V29,$U29)))=Milestones!$AB$124),UPPER(TEXT(EDATE($D29,Milestones!$AA$124),"dd mmm yy"))&amp;" "&amp;Milestones!$AB$124&amp;" "&amp;Milestones!$AC$124&amp;";  ","")&amp;IF(AND(EDATE($D29,Milestones!$AA$125)&lt;=AsOfDate,IF($R29=0,$X29,IF(AND($T29&lt;&gt;"",EDATE($D29,Milestones!$AA$125)&gt;=$T29),$W29,IF(AND($S29&lt;&gt;"",EDATE($D29,Milestones!$AA$125)&gt;=$S29),$V29,$U29)))=Milestones!$AB$125),UPPER(TEXT(EDATE($D29,Milestones!$AA$125),"dd mmm yy"))&amp;" "&amp;Milestones!$AB$125&amp;" "&amp;Milestones!$AC$125&amp;";  ","")&amp;IF(AND(EDATE($D29,Milestones!$AA$126)&lt;=AsOfDate,IF($R29=0,$X29,IF(AND($T29&lt;&gt;"",EDATE($D29,Milestones!$AA$126)&gt;=$T29),$W29,IF(AND($S29&lt;&gt;"",EDATE($D29,Milestones!$AA$126)&gt;=$S29),$V29,$U29)))=Milestones!$AB$126),UPPER(TEXT(EDATE($D29,Milestones!$AA$126),"dd mmm yy"))&amp;" "&amp;Milestones!$AB$126&amp;" "&amp;Milestones!$AC$126&amp;";  ","")&amp;IF(AND(EDATE($D29,Milestones!$AA$127)&lt;=AsOfDate,IF($R29=0,$X29,IF(AND($T29&lt;&gt;"",EDATE($D29,Milestones!$AA$127)&gt;=$T29),$W29,IF(AND($S29&lt;&gt;"",EDATE($D29,Milestones!$AA$127)&gt;=$S29),$V29,$U29)))=Milestones!$AB$127),UPPER(TEXT(EDATE($D29,Milestones!$AA$127),"dd mmm yy"))&amp;" "&amp;Milestones!$AB$127&amp;" "&amp;Milestones!$AC$127&amp;";  ","")&amp;IF(AND(EDATE($D29,Milestones!$AA$128)&lt;=AsOfDate,IF($R29=0,$X29,IF(AND($T29&lt;&gt;"",EDATE($D29,Milestones!$AA$128)&gt;=$T29),$W29,IF(AND($S29&lt;&gt;"",EDATE($D29,Milestones!$AA$128)&gt;=$S29),$V29,$U29)))=Milestones!$AB$128),UPPER(TEXT(EDATE($D29,Milestones!$AA$128),"dd mmm yy"))&amp;" "&amp;Milestones!$AB$128&amp;" "&amp;Milestones!$AC$128&amp;";  ","")&amp;IF(AND(EDATE($D29,Milestones!$AA$129)&lt;=AsOfDate,IF($R29=0,$X29,IF(AND($T29&lt;&gt;"",EDATE($D29,Milestones!$AA$129)&gt;=$T29),$W29,IF(AND($S29&lt;&gt;"",EDATE($D29,Milestones!$AA$129)&gt;=$S29),$V29,$U29)))=Milestones!$AB$129),UPPER(TEXT(EDATE($D29,Milestones!$AA$129),"dd mmm yy"))&amp;" "&amp;Milestones!$AB$129&amp;" "&amp;Milestones!$AC$129&amp;";  ","")&amp;IF(AND(EDATE($D29,Milestones!$AA$130)&lt;=AsOfDate,IF($R29=0,$X29,IF(AND($T29&lt;&gt;"",EDATE($D29,Milestones!$AA$130)&gt;=$T29),$W29,IF(AND($S29&lt;&gt;"",EDATE($D29,Milestones!$AA$130)&gt;=$S29),$V29,$U29)))=Milestones!$AB$130),UPPER(TEXT(EDATE($D29,Milestones!$AA$130),"dd mmm yy"))&amp;" "&amp;Milestones!$AB$130&amp;" "&amp;Milestones!$AC$130&amp;";  ","")&amp;IF(AND(EDATE($D29,Milestones!$AA$131)&lt;=AsOfDate,IF($R29=0,$X29,IF(AND($T29&lt;&gt;"",EDATE($D29,Milestones!$AA$131)&gt;=$T29),$W29,IF(AND($S29&lt;&gt;"",EDATE($D29,Milestones!$AA$131)&gt;=$S29),$V29,$U29)))=Milestones!$AB$131),UPPER(TEXT(EDATE($D29,Milestones!$AA$131),"dd mmm yy"))&amp;" "&amp;Milestones!$AB$131&amp;" "&amp;Milestones!$AC$131&amp;";  ","")&amp;IF(AND(EDATE($D29,Milestones!$AA$132)&lt;=AsOfDate,IF($R29=0,$X29,IF(AND($T29&lt;&gt;"",EDATE($D29,Milestones!$AA$132)&gt;=$T29),$W29,IF(AND($S29&lt;&gt;"",EDATE($D29,Milestones!$AA$132)&gt;=$S29),$V29,$U29)))=Milestones!$AB$132),UPPER(TEXT(EDATE($D29,Milestones!$AA$132),"dd mmm yy"))&amp;" "&amp;Milestones!$AB$132&amp;" "&amp;Milestones!$AC$132&amp;";  ","")&amp;IF(AND(EDATE($D29,Milestones!$AA$133)&lt;=AsOfDate,IF($R29=0,$X29,IF(AND($T29&lt;&gt;"",EDATE($D29,Milestones!$AA$133)&gt;=$T29),$W29,IF(AND($S29&lt;&gt;"",EDATE($D29,Milestones!$AA$133)&gt;=$S29),$V29,$U29)))=Milestones!$AB$133),UPPER(TEXT(EDATE($D29,Milestones!$AA$133),"dd mmm yy"))&amp;" "&amp;Milestones!$AB$133&amp;" "&amp;Milestones!$AC$133&amp;";  ","")&amp;IF(AND(EDATE($D29,Milestones!$AA$134)&lt;=AsOfDate,IF($R29=0,$X29,IF(AND($T29&lt;&gt;"",EDATE($D29,Milestones!$AA$134)&gt;=$T29),$W29,IF(AND($S29&lt;&gt;"",EDATE($D29,Milestones!$AA$134)&gt;=$S29),$V29,$U29)))=Milestones!$AB$134),UPPER(TEXT(EDATE($D29,Milestones!$AA$134),"dd mmm yy"))&amp;" "&amp;Milestones!$AB$134&amp;" "&amp;Milestones!$AC$134&amp;";  ","")&amp;IF(AND(EDATE($D29,Milestones!$AA$135)&lt;=AsOfDate,IF($R29=0,$X29,IF(AND($T29&lt;&gt;"",EDATE($D29,Milestones!$AA$135)&gt;=$T29),$W29,IF(AND($S29&lt;&gt;"",EDATE($D29,Milestones!$AA$135)&gt;=$S29),$V29,$U29)))=Milestones!$AB$135),UPPER(TEXT(EDATE($D29,Milestones!$AA$135),"dd mmm yy"))&amp;" "&amp;Milestones!$AB$135&amp;" "&amp;Milestones!$AC$135&amp;";  ","")&amp;IF(AND(EDATE($D29,Milestones!$AA$136)&lt;=AsOfDate,IF($R29=0,$X29,IF(AND($T29&lt;&gt;"",EDATE($D29,Milestones!$AA$136)&gt;=$T29),$W29,IF(AND($S29&lt;&gt;"",EDATE($D29,Milestones!$AA$136)&gt;=$S29),$V29,$U29)))=Milestones!$AB$136),UPPER(TEXT(EDATE($D29,Milestones!$AA$136),"dd mmm yy"))&amp;" "&amp;Milestones!$AB$136&amp;" "&amp;Milestones!$AC$136&amp;";  ","")&amp;IF(AND(EDATE($D29,Milestones!$AA$137)&lt;=AsOfDate,IF($R29=0,$X29,IF(AND($T29&lt;&gt;"",EDATE($D29,Milestones!$AA$137)&gt;=$T29),$W29,IF(AND($S29&lt;&gt;"",EDATE($D29,Milestones!$AA$137)&gt;=$S29),$V29,$U29)))=Milestones!$AB$137),UPPER(TEXT(EDATE($D29,Milestones!$AA$137),"dd mmm yy"))&amp;" "&amp;Milestones!$AB$137&amp;" "&amp;Milestones!$AC$137&amp;";  ","")&amp;IF(AND(EDATE($D29,Milestones!$AA$138)&lt;=AsOfDate,IF($R29=0,$X29,IF(AND($T29&lt;&gt;"",EDATE($D29,Milestones!$AA$138)&gt;=$T29),$W29,IF(AND($S29&lt;&gt;"",EDATE($D29,Milestones!$AA$138)&gt;=$S29),$V29,$U29)))=Milestones!$AB$138),UPPER(TEXT(EDATE($D29,Milestones!$AA$138),"dd mmm yy"))&amp;" "&amp;Milestones!$AB$138&amp;" "&amp;Milestones!$AC$138&amp;";  ","")&amp;IF(AND(EDATE($D29,Milestones!$AA$139)&lt;=AsOfDate,IF($R29=0,$X29,IF(AND($T29&lt;&gt;"",EDATE($D29,Milestones!$AA$139)&gt;=$T29),$W29,IF(AND($S29&lt;&gt;"",EDATE($D29,Milestones!$AA$139)&gt;=$S29),$V29,$U29)))=Milestones!$AB$139),UPPER(TEXT(EDATE($D29,Milestones!$AA$139),"dd mmm yy"))&amp;" "&amp;Milestones!$AB$139&amp;" "&amp;Milestones!$AC$139&amp;";  ",""))</f>
        <v/>
      </c>
      <c r="O29" s="0" t="str">
        <f aca="false">IF(OR($A29="",$D29=""),"",IF(AND(EDATE($D29,Milestones!$AA$140)&lt;=AsOfDate,IF($R29=0,$X29,IF(AND($T29&lt;&gt;"",EDATE($D29,Milestones!$AA$140)&gt;=$T29),$W29,IF(AND($S29&lt;&gt;"",EDATE($D29,Milestones!$AA$140)&gt;=$S29),$V29,$U29)))=Milestones!$AB$140),UPPER(TEXT(EDATE($D29,Milestones!$AA$140),"dd mmm yy"))&amp;" "&amp;Milestones!$AB$140&amp;" "&amp;Milestones!$AC$140&amp;";  ","")&amp;IF(AND(EDATE($D29,Milestones!$AA$141)&lt;=AsOfDate,IF($R29=0,$X29,IF(AND($T29&lt;&gt;"",EDATE($D29,Milestones!$AA$141)&gt;=$T29),$W29,IF(AND($S29&lt;&gt;"",EDATE($D29,Milestones!$AA$141)&gt;=$S29),$V29,$U29)))=Milestones!$AB$141),UPPER(TEXT(EDATE($D29,Milestones!$AA$141),"dd mmm yy"))&amp;" "&amp;Milestones!$AB$141&amp;" "&amp;Milestones!$AC$141&amp;";  ","")&amp;IF(AND(EDATE($D29,Milestones!$AA$142)&lt;=AsOfDate,IF($R29=0,$X29,IF(AND($T29&lt;&gt;"",EDATE($D29,Milestones!$AA$142)&gt;=$T29),$W29,IF(AND($S29&lt;&gt;"",EDATE($D29,Milestones!$AA$142)&gt;=$S29),$V29,$U29)))=Milestones!$AB$142),UPPER(TEXT(EDATE($D29,Milestones!$AA$142),"dd mmm yy"))&amp;" "&amp;Milestones!$AB$142&amp;" "&amp;Milestones!$AC$142&amp;";  ","")&amp;IF(AND(EDATE($D29,Milestones!$AA$143)&lt;=AsOfDate,IF($R29=0,$X29,IF(AND($T29&lt;&gt;"",EDATE($D29,Milestones!$AA$143)&gt;=$T29),$W29,IF(AND($S29&lt;&gt;"",EDATE($D29,Milestones!$AA$143)&gt;=$S29),$V29,$U29)))=Milestones!$AB$143),UPPER(TEXT(EDATE($D29,Milestones!$AA$143),"dd mmm yy"))&amp;" "&amp;Milestones!$AB$143&amp;" "&amp;Milestones!$AC$143&amp;";  ","")&amp;IF(AND(EDATE($D29,Milestones!$AA$144)&lt;=AsOfDate,IF($R29=0,$X29,IF(AND($T29&lt;&gt;"",EDATE($D29,Milestones!$AA$144)&gt;=$T29),$W29,IF(AND($S29&lt;&gt;"",EDATE($D29,Milestones!$AA$144)&gt;=$S29),$V29,$U29)))=Milestones!$AB$144),UPPER(TEXT(EDATE($D29,Milestones!$AA$144),"dd mmm yy"))&amp;" "&amp;Milestones!$AB$144&amp;" "&amp;Milestones!$AC$144&amp;";  ","")&amp;IF(AND(EDATE($D29,Milestones!$AA$145)&lt;=AsOfDate,IF($R29=0,$X29,IF(AND($T29&lt;&gt;"",EDATE($D29,Milestones!$AA$145)&gt;=$T29),$W29,IF(AND($S29&lt;&gt;"",EDATE($D29,Milestones!$AA$145)&gt;=$S29),$V29,$U29)))=Milestones!$AB$145),UPPER(TEXT(EDATE($D29,Milestones!$AA$145),"dd mmm yy"))&amp;" "&amp;Milestones!$AB$145&amp;" "&amp;Milestones!$AC$145&amp;";  ","")&amp;IF(AND(EDATE($D29,Milestones!$AA$146)&lt;=AsOfDate,IF($R29=0,$X29,IF(AND($T29&lt;&gt;"",EDATE($D29,Milestones!$AA$146)&gt;=$T29),$W29,IF(AND($S29&lt;&gt;"",EDATE($D29,Milestones!$AA$146)&gt;=$S29),$V29,$U29)))=Milestones!$AB$146),UPPER(TEXT(EDATE($D29,Milestones!$AA$146),"dd mmm yy"))&amp;" "&amp;Milestones!$AB$146&amp;" "&amp;Milestones!$AC$146&amp;";  ","")&amp;IF(AND(EDATE($D29,Milestones!$AA$147)&lt;=AsOfDate,IF($R29=0,$X29,IF(AND($T29&lt;&gt;"",EDATE($D29,Milestones!$AA$147)&gt;=$T29),$W29,IF(AND($S29&lt;&gt;"",EDATE($D29,Milestones!$AA$147)&gt;=$S29),$V29,$U29)))=Milestones!$AB$147),UPPER(TEXT(EDATE($D29,Milestones!$AA$147),"dd mmm yy"))&amp;" "&amp;Milestones!$AB$147&amp;" "&amp;Milestones!$AC$147&amp;";  ","")&amp;IF(AND(EDATE($D29,Milestones!$AA$148)&lt;=AsOfDate,IF($R29=0,$X29,IF(AND($T29&lt;&gt;"",EDATE($D29,Milestones!$AA$148)&gt;=$T29),$W29,IF(AND($S29&lt;&gt;"",EDATE($D29,Milestones!$AA$148)&gt;=$S29),$V29,$U29)))=Milestones!$AB$148),UPPER(TEXT(EDATE($D29,Milestones!$AA$148),"dd mmm yy"))&amp;" "&amp;Milestones!$AB$148&amp;" "&amp;Milestones!$AC$148&amp;";  ","")&amp;IF(AND(EDATE($D29,Milestones!$AA$149)&lt;=AsOfDate,IF($R29=0,$X29,IF(AND($T29&lt;&gt;"",EDATE($D29,Milestones!$AA$149)&gt;=$T29),$W29,IF(AND($S29&lt;&gt;"",EDATE($D29,Milestones!$AA$149)&gt;=$S29),$V29,$U29)))=Milestones!$AB$149),UPPER(TEXT(EDATE($D29,Milestones!$AA$149),"dd mmm yy"))&amp;" "&amp;Milestones!$AB$149&amp;" "&amp;Milestones!$AC$149&amp;";  ","")&amp;IF(AND(EDATE($D29,Milestones!$AA$150)&lt;=AsOfDate,IF($R29=0,$X29,IF(AND($T29&lt;&gt;"",EDATE($D29,Milestones!$AA$150)&gt;=$T29),$W29,IF(AND($S29&lt;&gt;"",EDATE($D29,Milestones!$AA$150)&gt;=$S29),$V29,$U29)))=Milestones!$AB$150),UPPER(TEXT(EDATE($D29,Milestones!$AA$150),"dd mmm yy"))&amp;" "&amp;Milestones!$AB$150&amp;" "&amp;Milestones!$AC$150&amp;";  ","")&amp;IF(AND(EDATE($D29,Milestones!$AA$151)&lt;=AsOfDate,IF($R29=0,$X29,IF(AND($T29&lt;&gt;"",EDATE($D29,Milestones!$AA$151)&gt;=$T29),$W29,IF(AND($S29&lt;&gt;"",EDATE($D29,Milestones!$AA$151)&gt;=$S29),$V29,$U29)))=Milestones!$AB$151),UPPER(TEXT(EDATE($D29,Milestones!$AA$151),"dd mmm yy"))&amp;" "&amp;Milestones!$AB$151&amp;" "&amp;Milestones!$AC$151&amp;";  ","")&amp;IF(AND(EDATE($D29,Milestones!$AA$152)&lt;=AsOfDate,IF($R29=0,$X29,IF(AND($T29&lt;&gt;"",EDATE($D29,Milestones!$AA$152)&gt;=$T29),$W29,IF(AND($S29&lt;&gt;"",EDATE($D29,Milestones!$AA$152)&gt;=$S29),$V29,$U29)))=Milestones!$AB$152),UPPER(TEXT(EDATE($D29,Milestones!$AA$152),"dd mmm yy"))&amp;" "&amp;Milestones!$AB$152&amp;" "&amp;Milestones!$AC$152&amp;";  ","")&amp;IF(AND(EDATE($D29,Milestones!$AA$153)&lt;=AsOfDate,IF($R29=0,$X29,IF(AND($T29&lt;&gt;"",EDATE($D29,Milestones!$AA$153)&gt;=$T29),$W29,IF(AND($S29&lt;&gt;"",EDATE($D29,Milestones!$AA$153)&gt;=$S29),$V29,$U29)))=Milestones!$AB$153),UPPER(TEXT(EDATE($D29,Milestones!$AA$153),"dd mmm yy"))&amp;" "&amp;Milestones!$AB$153&amp;" "&amp;Milestones!$AC$153&amp;";  ","")&amp;IF(AND(EDATE($D29,Milestones!$AA$154)&lt;=AsOfDate,IF($R29=0,$X29,IF(AND($T29&lt;&gt;"",EDATE($D29,Milestones!$AA$154)&gt;=$T29),$W29,IF(AND($S29&lt;&gt;"",EDATE($D29,Milestones!$AA$154)&gt;=$S29),$V29,$U29)))=Milestones!$AB$154),UPPER(TEXT(EDATE($D29,Milestones!$AA$154),"dd mmm yy"))&amp;" "&amp;Milestones!$AB$154&amp;" "&amp;Milestones!$AC$154&amp;";  ","")&amp;IF(AND(EDATE($D29,Milestones!$AA$155)&lt;=AsOfDate,IF($R29=0,$X29,IF(AND($T29&lt;&gt;"",EDATE($D29,Milestones!$AA$155)&gt;=$T29),$W29,IF(AND($S29&lt;&gt;"",EDATE($D29,Milestones!$AA$155)&gt;=$S29),$V29,$U29)))=Milestones!$AB$155),UPPER(TEXT(EDATE($D29,Milestones!$AA$155),"dd mmm yy"))&amp;" "&amp;Milestones!$AB$155&amp;" "&amp;Milestones!$AC$155&amp;";  ","")&amp;IF(AND(EDATE($D29,Milestones!$AA$156)&lt;=AsOfDate,IF($R29=0,$X29,IF(AND($T29&lt;&gt;"",EDATE($D29,Milestones!$AA$156)&gt;=$T29),$W29,IF(AND($S29&lt;&gt;"",EDATE($D29,Milestones!$AA$156)&gt;=$S29),$V29,$U29)))=Milestones!$AB$156),UPPER(TEXT(EDATE($D29,Milestones!$AA$156),"dd mmm yy"))&amp;" "&amp;Milestones!$AB$156&amp;" "&amp;Milestones!$AC$156&amp;";  ","")&amp;IF(AND(EDATE($D29,Milestones!$AA$157)&lt;=AsOfDate,IF($R29=0,$X29,IF(AND($T29&lt;&gt;"",EDATE($D29,Milestones!$AA$157)&gt;=$T29),$W29,IF(AND($S29&lt;&gt;"",EDATE($D29,Milestones!$AA$157)&gt;=$S29),$V29,$U29)))=Milestones!$AB$157),UPPER(TEXT(EDATE($D29,Milestones!$AA$157),"dd mmm yy"))&amp;" "&amp;Milestones!$AB$157&amp;" "&amp;Milestones!$AC$157&amp;";  ","")&amp;IF(AND(EDATE($D29,Milestones!$AA$158)&lt;=AsOfDate,IF($R29=0,$X29,IF(AND($T29&lt;&gt;"",EDATE($D29,Milestones!$AA$158)&gt;=$T29),$W29,IF(AND($S29&lt;&gt;"",EDATE($D29,Milestones!$AA$158)&gt;=$S29),$V29,$U29)))=Milestones!$AB$158),UPPER(TEXT(EDATE($D29,Milestones!$AA$158),"dd mmm yy"))&amp;" "&amp;Milestones!$AB$158&amp;" "&amp;Milestones!$AC$158&amp;";  ","")&amp;IF(AND(EDATE($D29,Milestones!$AA$159)&lt;=AsOfDate,IF($R29=0,$X29,IF(AND($T29&lt;&gt;"",EDATE($D29,Milestones!$AA$159)&gt;=$T29),$W29,IF(AND($S29&lt;&gt;"",EDATE($D29,Milestones!$AA$159)&gt;=$S29),$V29,$U29)))=Milestones!$AB$159),UPPER(TEXT(EDATE($D29,Milestones!$AA$159),"dd mmm yy"))&amp;" "&amp;Milestones!$AB$159&amp;" "&amp;Milestones!$AC$159&amp;";  ",""))</f>
        <v/>
      </c>
      <c r="P29" s="0" t="str">
        <f aca="false">IF(OR($A29="",$D29=""),"",IF(AND(EDATE($D29,Milestones!$AA$160)&lt;=AsOfDate,IF($R29=0,$X29,IF(AND($T29&lt;&gt;"",EDATE($D29,Milestones!$AA$160)&gt;=$T29),$W29,IF(AND($S29&lt;&gt;"",EDATE($D29,Milestones!$AA$160)&gt;=$S29),$V29,$U29)))=Milestones!$AB$160),UPPER(TEXT(EDATE($D29,Milestones!$AA$160),"dd mmm yy"))&amp;" "&amp;Milestones!$AB$160&amp;" "&amp;Milestones!$AC$160&amp;";  ","")&amp;IF(AND(EDATE($D29,Milestones!$AA$161)&lt;=AsOfDate,IF($R29=0,$X29,IF(AND($T29&lt;&gt;"",EDATE($D29,Milestones!$AA$161)&gt;=$T29),$W29,IF(AND($S29&lt;&gt;"",EDATE($D29,Milestones!$AA$161)&gt;=$S29),$V29,$U29)))=Milestones!$AB$161),UPPER(TEXT(EDATE($D29,Milestones!$AA$161),"dd mmm yy"))&amp;" "&amp;Milestones!$AB$161&amp;" "&amp;Milestones!$AC$161&amp;";  ","")&amp;IF(AND(EDATE($D29,Milestones!$AA$162)&lt;=AsOfDate,IF($R29=0,$X29,IF(AND($T29&lt;&gt;"",EDATE($D29,Milestones!$AA$162)&gt;=$T29),$W29,IF(AND($S29&lt;&gt;"",EDATE($D29,Milestones!$AA$162)&gt;=$S29),$V29,$U29)))=Milestones!$AB$162),UPPER(TEXT(EDATE($D29,Milestones!$AA$162),"dd mmm yy"))&amp;" "&amp;Milestones!$AB$162&amp;" "&amp;Milestones!$AC$162&amp;";  ","")&amp;IF(AND(EDATE($D29,Milestones!$AA$163)&lt;=AsOfDate,IF($R29=0,$X29,IF(AND($T29&lt;&gt;"",EDATE($D29,Milestones!$AA$163)&gt;=$T29),$W29,IF(AND($S29&lt;&gt;"",EDATE($D29,Milestones!$AA$163)&gt;=$S29),$V29,$U29)))=Milestones!$AB$163),UPPER(TEXT(EDATE($D29,Milestones!$AA$163),"dd mmm yy"))&amp;" "&amp;Milestones!$AB$163&amp;" "&amp;Milestones!$AC$163&amp;";  ","")&amp;IF(AND(EDATE($D29,Milestones!$AA$164)&lt;=AsOfDate,IF($R29=0,$X29,IF(AND($T29&lt;&gt;"",EDATE($D29,Milestones!$AA$164)&gt;=$T29),$W29,IF(AND($S29&lt;&gt;"",EDATE($D29,Milestones!$AA$164)&gt;=$S29),$V29,$U29)))=Milestones!$AB$164),UPPER(TEXT(EDATE($D29,Milestones!$AA$164),"dd mmm yy"))&amp;" "&amp;Milestones!$AB$164&amp;" "&amp;Milestones!$AC$164&amp;";  ","")&amp;IF(AND(EDATE($D29,Milestones!$AA$165)&lt;=AsOfDate,IF($R29=0,$X29,IF(AND($T29&lt;&gt;"",EDATE($D29,Milestones!$AA$165)&gt;=$T29),$W29,IF(AND($S29&lt;&gt;"",EDATE($D29,Milestones!$AA$165)&gt;=$S29),$V29,$U29)))=Milestones!$AB$165),UPPER(TEXT(EDATE($D29,Milestones!$AA$165),"dd mmm yy"))&amp;" "&amp;Milestones!$AB$165&amp;" "&amp;Milestones!$AC$165&amp;";  ","")&amp;IF(AND(EDATE($D29,Milestones!$AA$166)&lt;=AsOfDate,IF($R29=0,$X29,IF(AND($T29&lt;&gt;"",EDATE($D29,Milestones!$AA$166)&gt;=$T29),$W29,IF(AND($S29&lt;&gt;"",EDATE($D29,Milestones!$AA$166)&gt;=$S29),$V29,$U29)))=Milestones!$AB$166),UPPER(TEXT(EDATE($D29,Milestones!$AA$166),"dd mmm yy"))&amp;" "&amp;Milestones!$AB$166&amp;" "&amp;Milestones!$AC$166&amp;";  ","")&amp;IF(AND(EDATE($D29,Milestones!$AA$167)&lt;=AsOfDate,IF($R29=0,$X29,IF(AND($T29&lt;&gt;"",EDATE($D29,Milestones!$AA$167)&gt;=$T29),$W29,IF(AND($S29&lt;&gt;"",EDATE($D29,Milestones!$AA$167)&gt;=$S29),$V29,$U29)))=Milestones!$AB$167),UPPER(TEXT(EDATE($D29,Milestones!$AA$167),"dd mmm yy"))&amp;" "&amp;Milestones!$AB$167&amp;" "&amp;Milestones!$AC$167&amp;";  ","")&amp;IF(AND(EDATE($D29,Milestones!$AA$168)&lt;=AsOfDate,IF($R29=0,$X29,IF(AND($T29&lt;&gt;"",EDATE($D29,Milestones!$AA$168)&gt;=$T29),$W29,IF(AND($S29&lt;&gt;"",EDATE($D29,Milestones!$AA$168)&gt;=$S29),$V29,$U29)))=Milestones!$AB$168),UPPER(TEXT(EDATE($D29,Milestones!$AA$168),"dd mmm yy"))&amp;" "&amp;Milestones!$AB$168&amp;" "&amp;Milestones!$AC$168&amp;";  ","")&amp;IF(AND(EDATE($D29,Milestones!$AA$169)&lt;=AsOfDate,IF($R29=0,$X29,IF(AND($T29&lt;&gt;"",EDATE($D29,Milestones!$AA$169)&gt;=$T29),$W29,IF(AND($S29&lt;&gt;"",EDATE($D29,Milestones!$AA$169)&gt;=$S29),$V29,$U29)))=Milestones!$AB$169),UPPER(TEXT(EDATE($D29,Milestones!$AA$169),"dd mmm yy"))&amp;" "&amp;Milestones!$AB$169&amp;" "&amp;Milestones!$AC$169&amp;";  ","")&amp;IF(AND(EDATE($D29,Milestones!$AA$170)&lt;=AsOfDate,IF($R29=0,$X29,IF(AND($T29&lt;&gt;"",EDATE($D29,Milestones!$AA$170)&gt;=$T29),$W29,IF(AND($S29&lt;&gt;"",EDATE($D29,Milestones!$AA$170)&gt;=$S29),$V29,$U29)))=Milestones!$AB$170),UPPER(TEXT(EDATE($D29,Milestones!$AA$170),"dd mmm yy"))&amp;" "&amp;Milestones!$AB$170&amp;" "&amp;Milestones!$AC$170&amp;";  ","")&amp;IF(AND(EDATE($D29,Milestones!$AA$171)&lt;=AsOfDate,IF($R29=0,$X29,IF(AND($T29&lt;&gt;"",EDATE($D29,Milestones!$AA$171)&gt;=$T29),$W29,IF(AND($S29&lt;&gt;"",EDATE($D29,Milestones!$AA$171)&gt;=$S29),$V29,$U29)))=Milestones!$AB$171),UPPER(TEXT(EDATE($D29,Milestones!$AA$171),"dd mmm yy"))&amp;" "&amp;Milestones!$AB$171&amp;" "&amp;Milestones!$AC$171&amp;";  ","")&amp;IF(AND(EDATE($D29,Milestones!$AA$172)&lt;=AsOfDate,IF($R29=0,$X29,IF(AND($T29&lt;&gt;"",EDATE($D29,Milestones!$AA$172)&gt;=$T29),$W29,IF(AND($S29&lt;&gt;"",EDATE($D29,Milestones!$AA$172)&gt;=$S29),$V29,$U29)))=Milestones!$AB$172),UPPER(TEXT(EDATE($D29,Milestones!$AA$172),"dd mmm yy"))&amp;" "&amp;Milestones!$AB$172&amp;" "&amp;Milestones!$AC$172&amp;";  ","")&amp;IF(AND(EDATE($D29,Milestones!$AA$173)&lt;=AsOfDate,IF($R29=0,$X29,IF(AND($T29&lt;&gt;"",EDATE($D29,Milestones!$AA$173)&gt;=$T29),$W29,IF(AND($S29&lt;&gt;"",EDATE($D29,Milestones!$AA$173)&gt;=$S29),$V29,$U29)))=Milestones!$AB$173),UPPER(TEXT(EDATE($D29,Milestones!$AA$173),"dd mmm yy"))&amp;" "&amp;Milestones!$AB$173&amp;" "&amp;Milestones!$AC$173&amp;";  ","")&amp;IF(AND(EDATE($D29,Milestones!$AA$174)&lt;=AsOfDate,IF($R29=0,$X29,IF(AND($T29&lt;&gt;"",EDATE($D29,Milestones!$AA$174)&gt;=$T29),$W29,IF(AND($S29&lt;&gt;"",EDATE($D29,Milestones!$AA$174)&gt;=$S29),$V29,$U29)))=Milestones!$AB$174),UPPER(TEXT(EDATE($D29,Milestones!$AA$174),"dd mmm yy"))&amp;" "&amp;Milestones!$AB$174&amp;" "&amp;Milestones!$AC$174&amp;";  ","")&amp;IF(AND(EDATE($D29,Milestones!$AA$175)&lt;=AsOfDate,IF($R29=0,$X29,IF(AND($T29&lt;&gt;"",EDATE($D29,Milestones!$AA$175)&gt;=$T29),$W29,IF(AND($S29&lt;&gt;"",EDATE($D29,Milestones!$AA$175)&gt;=$S29),$V29,$U29)))=Milestones!$AB$175),UPPER(TEXT(EDATE($D29,Milestones!$AA$175),"dd mmm yy"))&amp;" "&amp;Milestones!$AB$175&amp;" "&amp;Milestones!$AC$175&amp;";  ","")&amp;IF(AND(EDATE($D29,Milestones!$AA$176)&lt;=AsOfDate,IF($R29=0,$X29,IF(AND($T29&lt;&gt;"",EDATE($D29,Milestones!$AA$176)&gt;=$T29),$W29,IF(AND($S29&lt;&gt;"",EDATE($D29,Milestones!$AA$176)&gt;=$S29),$V29,$U29)))=Milestones!$AB$176),UPPER(TEXT(EDATE($D29,Milestones!$AA$176),"dd mmm yy"))&amp;" "&amp;Milestones!$AB$176&amp;" "&amp;Milestones!$AC$176&amp;";  ","")&amp;IF(AND(EDATE($D29,Milestones!$AA$177)&lt;=AsOfDate,IF($R29=0,$X29,IF(AND($T29&lt;&gt;"",EDATE($D29,Milestones!$AA$177)&gt;=$T29),$W29,IF(AND($S29&lt;&gt;"",EDATE($D29,Milestones!$AA$177)&gt;=$S29),$V29,$U29)))=Milestones!$AB$177),UPPER(TEXT(EDATE($D29,Milestones!$AA$177),"dd mmm yy"))&amp;" "&amp;Milestones!$AB$177&amp;" "&amp;Milestones!$AC$177&amp;";  ","")&amp;IF(AND(EDATE($D29,Milestones!$AA$178)&lt;=AsOfDate,IF($R29=0,$X29,IF(AND($T29&lt;&gt;"",EDATE($D29,Milestones!$AA$178)&gt;=$T29),$W29,IF(AND($S29&lt;&gt;"",EDATE($D29,Milestones!$AA$178)&gt;=$S29),$V29,$U29)))=Milestones!$AB$178),UPPER(TEXT(EDATE($D29,Milestones!$AA$178),"dd mmm yy"))&amp;" "&amp;Milestones!$AB$178&amp;" "&amp;Milestones!$AC$178&amp;";  ","")&amp;IF(AND(EDATE($D29,Milestones!$AA$179)&lt;=AsOfDate,IF($R29=0,$X29,IF(AND($T29&lt;&gt;"",EDATE($D29,Milestones!$AA$179)&gt;=$T29),$W29,IF(AND($S29&lt;&gt;"",EDATE($D29,Milestones!$AA$179)&gt;=$S29),$V29,$U29)))=Milestones!$AB$179),UPPER(TEXT(EDATE($D29,Milestones!$AA$179),"dd mmm yy"))&amp;" "&amp;Milestones!$AB$179&amp;" "&amp;Milestones!$AC$179&amp;";  ",""))</f>
        <v/>
      </c>
      <c r="Q29" s="0" t="str">
        <f aca="false">IF(OR($A29="",$D29=""),"",IF(AND(EDATE($D29,Milestones!$AA$180)&lt;=AsOfDate,IF($R29=0,$X29,IF(AND($T29&lt;&gt;"",EDATE($D29,Milestones!$AA$180)&gt;=$T29),$W29,IF(AND($S29&lt;&gt;"",EDATE($D29,Milestones!$AA$180)&gt;=$S29),$V29,$U29)))=Milestones!$AB$180),UPPER(TEXT(EDATE($D29,Milestones!$AA$180),"dd mmm yy"))&amp;" "&amp;Milestones!$AB$180&amp;" "&amp;Milestones!$AC$180&amp;";  ","")&amp;IF(AND(EDATE($D29,Milestones!$AA$181)&lt;=AsOfDate,IF($R29=0,$X29,IF(AND($T29&lt;&gt;"",EDATE($D29,Milestones!$AA$181)&gt;=$T29),$W29,IF(AND($S29&lt;&gt;"",EDATE($D29,Milestones!$AA$181)&gt;=$S29),$V29,$U29)))=Milestones!$AB$181),UPPER(TEXT(EDATE($D29,Milestones!$AA$181),"dd mmm yy"))&amp;" "&amp;Milestones!$AB$181&amp;" "&amp;Milestones!$AC$181&amp;";  ","")&amp;IF(AND(EDATE($D29,Milestones!$AA$182)&lt;=AsOfDate,IF($R29=0,$X29,IF(AND($T29&lt;&gt;"",EDATE($D29,Milestones!$AA$182)&gt;=$T29),$W29,IF(AND($S29&lt;&gt;"",EDATE($D29,Milestones!$AA$182)&gt;=$S29),$V29,$U29)))=Milestones!$AB$182),UPPER(TEXT(EDATE($D29,Milestones!$AA$182),"dd mmm yy"))&amp;" "&amp;Milestones!$AB$182&amp;" "&amp;Milestones!$AC$182&amp;";  ","")&amp;IF(AND(EDATE($D29,Milestones!$AA$183)&lt;=AsOfDate,IF($R29=0,$X29,IF(AND($T29&lt;&gt;"",EDATE($D29,Milestones!$AA$183)&gt;=$T29),$W29,IF(AND($S29&lt;&gt;"",EDATE($D29,Milestones!$AA$183)&gt;=$S29),$V29,$U29)))=Milestones!$AB$183),UPPER(TEXT(EDATE($D29,Milestones!$AA$183),"dd mmm yy"))&amp;" "&amp;Milestones!$AB$183&amp;" "&amp;Milestones!$AC$183&amp;";  ","")&amp;IF(AND(EDATE($D29,Milestones!$AA$184)&lt;=AsOfDate,IF($R29=0,$X29,IF(AND($T29&lt;&gt;"",EDATE($D29,Milestones!$AA$184)&gt;=$T29),$W29,IF(AND($S29&lt;&gt;"",EDATE($D29,Milestones!$AA$184)&gt;=$S29),$V29,$U29)))=Milestones!$AB$184),UPPER(TEXT(EDATE($D29,Milestones!$AA$184),"dd mmm yy"))&amp;" "&amp;Milestones!$AB$184&amp;" "&amp;Milestones!$AC$184&amp;";  ","")&amp;IF(AND(EDATE($D29,Milestones!$AA$185)&lt;=AsOfDate,IF($R29=0,$X29,IF(AND($T29&lt;&gt;"",EDATE($D29,Milestones!$AA$185)&gt;=$T29),$W29,IF(AND($S29&lt;&gt;"",EDATE($D29,Milestones!$AA$185)&gt;=$S29),$V29,$U29)))=Milestones!$AB$185),UPPER(TEXT(EDATE($D29,Milestones!$AA$185),"dd mmm yy"))&amp;" "&amp;Milestones!$AB$185&amp;" "&amp;Milestones!$AC$185&amp;";  ","")&amp;IF(AND(EDATE($D29,Milestones!$AA$186)&lt;=AsOfDate,IF($R29=0,$X29,IF(AND($T29&lt;&gt;"",EDATE($D29,Milestones!$AA$186)&gt;=$T29),$W29,IF(AND($S29&lt;&gt;"",EDATE($D29,Milestones!$AA$186)&gt;=$S29),$V29,$U29)))=Milestones!$AB$186),UPPER(TEXT(EDATE($D29,Milestones!$AA$186),"dd mmm yy"))&amp;" "&amp;Milestones!$AB$186&amp;" "&amp;Milestones!$AC$186&amp;";  ","")&amp;IF(AND(EDATE($D29,Milestones!$AA$187)&lt;=AsOfDate,IF($R29=0,$X29,IF(AND($T29&lt;&gt;"",EDATE($D29,Milestones!$AA$187)&gt;=$T29),$W29,IF(AND($S29&lt;&gt;"",EDATE($D29,Milestones!$AA$187)&gt;=$S29),$V29,$U29)))=Milestones!$AB$187),UPPER(TEXT(EDATE($D29,Milestones!$AA$187),"dd mmm yy"))&amp;" "&amp;Milestones!$AB$187&amp;" "&amp;Milestones!$AC$187&amp;";  ","")&amp;IF(AND(EDATE($D29,Milestones!$AA$188)&lt;=AsOfDate,IF($R29=0,$X29,IF(AND($T29&lt;&gt;"",EDATE($D29,Milestones!$AA$188)&gt;=$T29),$W29,IF(AND($S29&lt;&gt;"",EDATE($D29,Milestones!$AA$188)&gt;=$S29),$V29,$U29)))=Milestones!$AB$188),UPPER(TEXT(EDATE($D29,Milestones!$AA$188),"dd mmm yy"))&amp;" "&amp;Milestones!$AB$188&amp;" "&amp;Milestones!$AC$188&amp;";  ","")&amp;IF(AND(EDATE($D29,Milestones!$AA$189)&lt;=AsOfDate,IF($R29=0,$X29,IF(AND($T29&lt;&gt;"",EDATE($D29,Milestones!$AA$189)&gt;=$T29),$W29,IF(AND($S29&lt;&gt;"",EDATE($D29,Milestones!$AA$189)&gt;=$S29),$V29,$U29)))=Milestones!$AB$189),UPPER(TEXT(EDATE($D29,Milestones!$AA$189),"dd mmm yy"))&amp;" "&amp;Milestones!$AB$189&amp;" "&amp;Milestones!$AC$189&amp;";  ","")&amp;IF(AND(EDATE($D29,Milestones!$AA$190)&lt;=AsOfDate,IF($R29=0,$X29,IF(AND($T29&lt;&gt;"",EDATE($D29,Milestones!$AA$190)&gt;=$T29),$W29,IF(AND($S29&lt;&gt;"",EDATE($D29,Milestones!$AA$190)&gt;=$S29),$V29,$U29)))=Milestones!$AB$190),UPPER(TEXT(EDATE($D29,Milestones!$AA$190),"dd mmm yy"))&amp;" "&amp;Milestones!$AB$190&amp;" "&amp;Milestones!$AC$190&amp;";  ","")&amp;IF(AND(EDATE($D29,Milestones!$AA$191)&lt;=AsOfDate,IF($R29=0,$X29,IF(AND($T29&lt;&gt;"",EDATE($D29,Milestones!$AA$191)&gt;=$T29),$W29,IF(AND($S29&lt;&gt;"",EDATE($D29,Milestones!$AA$191)&gt;=$S29),$V29,$U29)))=Milestones!$AB$191),UPPER(TEXT(EDATE($D29,Milestones!$AA$191),"dd mmm yy"))&amp;" "&amp;Milestones!$AB$191&amp;" "&amp;Milestones!$AC$191&amp;";  ","")&amp;IF(AND(EDATE($D29,Milestones!$AA$192)&lt;=AsOfDate,IF($R29=0,$X29,IF(AND($T29&lt;&gt;"",EDATE($D29,Milestones!$AA$192)&gt;=$T29),$W29,IF(AND($S29&lt;&gt;"",EDATE($D29,Milestones!$AA$192)&gt;=$S29),$V29,$U29)))=Milestones!$AB$192),UPPER(TEXT(EDATE($D29,Milestones!$AA$192),"dd mmm yy"))&amp;" "&amp;Milestones!$AB$192&amp;" "&amp;Milestones!$AC$192&amp;";  ","")&amp;IF(AND(EDATE($D29,Milestones!$AA$193)&lt;=AsOfDate,IF($R29=0,$X29,IF(AND($T29&lt;&gt;"",EDATE($D29,Milestones!$AA$193)&gt;=$T29),$W29,IF(AND($S29&lt;&gt;"",EDATE($D29,Milestones!$AA$193)&gt;=$S29),$V29,$U29)))=Milestones!$AB$193),UPPER(TEXT(EDATE($D29,Milestones!$AA$193),"dd mmm yy"))&amp;" "&amp;Milestones!$AB$193&amp;" "&amp;Milestones!$AC$193&amp;";  ","")&amp;IF(AND(EDATE($D29,Milestones!$AA$194)&lt;=AsOfDate,IF($R29=0,$X29,IF(AND($T29&lt;&gt;"",EDATE($D29,Milestones!$AA$194)&gt;=$T29),$W29,IF(AND($S29&lt;&gt;"",EDATE($D29,Milestones!$AA$194)&gt;=$S29),$V29,$U29)))=Milestones!$AB$194),UPPER(TEXT(EDATE($D29,Milestones!$AA$194),"dd mmm yy"))&amp;" "&amp;Milestones!$AB$194&amp;" "&amp;Milestones!$AC$194&amp;";  ","")&amp;IF(AND(EDATE($D29,Milestones!$AA$195)&lt;=AsOfDate,IF($R29=0,$X29,IF(AND($T29&lt;&gt;"",EDATE($D29,Milestones!$AA$195)&gt;=$T29),$W29,IF(AND($S29&lt;&gt;"",EDATE($D29,Milestones!$AA$195)&gt;=$S29),$V29,$U29)))=Milestones!$AB$195),UPPER(TEXT(EDATE($D29,Milestones!$AA$195),"dd mmm yy"))&amp;" "&amp;Milestones!$AB$195&amp;" "&amp;Milestones!$AC$195&amp;";  ","")&amp;IF(AND(EDATE($D29,Milestones!$AA$196)&lt;=AsOfDate,IF($R29=0,$X29,IF(AND($T29&lt;&gt;"",EDATE($D29,Milestones!$AA$196)&gt;=$T29),$W29,IF(AND($S29&lt;&gt;"",EDATE($D29,Milestones!$AA$196)&gt;=$S29),$V29,$U29)))=Milestones!$AB$196),UPPER(TEXT(EDATE($D29,Milestones!$AA$196),"dd mmm yy"))&amp;" "&amp;Milestones!$AB$196&amp;" "&amp;Milestones!$AC$196&amp;";  ","")&amp;IF(AND(EDATE($D29,Milestones!$AA$197)&lt;=AsOfDate,IF($R29=0,$X29,IF(AND($T29&lt;&gt;"",EDATE($D29,Milestones!$AA$197)&gt;=$T29),$W29,IF(AND($S29&lt;&gt;"",EDATE($D29,Milestones!$AA$197)&gt;=$S29),$V29,$U29)))=Milestones!$AB$197),UPPER(TEXT(EDATE($D29,Milestones!$AA$197),"dd mmm yy"))&amp;" "&amp;Milestones!$AB$197&amp;" "&amp;Milestones!$AC$197&amp;";  ","")&amp;IF(AND(EDATE($D29,Milestones!$AA$198)&lt;=AsOfDate,IF($R29=0,$X29,IF(AND($T29&lt;&gt;"",EDATE($D29,Milestones!$AA$198)&gt;=$T29),$W29,IF(AND($S29&lt;&gt;"",EDATE($D29,Milestones!$AA$198)&gt;=$S29),$V29,$U29)))=Milestones!$AB$198),UPPER(TEXT(EDATE($D29,Milestones!$AA$198),"dd mmm yy"))&amp;" "&amp;Milestones!$AB$198&amp;" "&amp;Milestones!$AC$198&amp;";  ","")&amp;IF(AND(EDATE($D29,Milestones!$AA$199)&lt;=AsOfDate,IF($R29=0,$X29,IF(AND($T29&lt;&gt;"",EDATE($D29,Milestones!$AA$199)&gt;=$T29),$W29,IF(AND($S29&lt;&gt;"",EDATE($D29,Milestones!$AA$199)&gt;=$S29),$V29,$U29)))=Milestones!$AB$199),UPPER(TEXT(EDATE($D29,Milestones!$AA$199),"dd mmm yy"))&amp;" "&amp;Milestones!$AB$199&amp;" "&amp;Milestones!$AC$199&amp;";  ",""))</f>
        <v/>
      </c>
      <c r="R29" s="0" t="str">
        <f aca="false">IF(Staff!$A29="","",Staff!$AI29)</f>
        <v/>
      </c>
      <c r="S29" s="0" t="str">
        <f aca="false">IF(Staff!$A29="","",Staff!$AK29)</f>
        <v/>
      </c>
      <c r="T29" s="0" t="str">
        <f aca="false">IF(Staff!$A29="","",Staff!$AL29)</f>
        <v/>
      </c>
      <c r="U29" s="0" t="str">
        <f aca="false">IF(Staff!$A29="","",Staff!$AP29)</f>
        <v/>
      </c>
      <c r="V29" s="0" t="str">
        <f aca="false">IF(Staff!$A29="","",Staff!$AQ29)</f>
        <v/>
      </c>
      <c r="W29" s="0" t="str">
        <f aca="false">IF(Staff!$A29="","",Staff!$AR29)</f>
        <v/>
      </c>
      <c r="X29" s="0" t="str">
        <f aca="false">IF(Staff!$A29="","",Staff!$AS29)</f>
        <v/>
      </c>
    </row>
    <row r="30" customFormat="false" ht="15" hidden="false" customHeight="false" outlineLevel="0" collapsed="false">
      <c r="A30" s="14" t="str">
        <f aca="false">IF(Staff!$A30="","",Staff!$A30)</f>
        <v/>
      </c>
      <c r="B30" s="14" t="str">
        <f aca="false">IF(Staff!$A30="","",Staff!$B30)</f>
        <v/>
      </c>
      <c r="C30" s="14" t="str">
        <f aca="false">IF(Staff!$A30="","",Staff!$C30)</f>
        <v/>
      </c>
      <c r="D30" s="12" t="str">
        <f aca="false">IF(Staff!$A30="","",Staff!$AH30)</f>
        <v/>
      </c>
      <c r="E30" s="14" t="str">
        <f aca="false">IF(Staff!$A30="","",Staff!$O30)</f>
        <v/>
      </c>
      <c r="F30" s="14" t="str">
        <f aca="false">IF(E30="","",E30*HoursPerDay)</f>
        <v/>
      </c>
      <c r="G30" s="14" t="str">
        <f aca="false">IF(Staff!$A30="","",Staff!$AE30)</f>
        <v/>
      </c>
      <c r="H30" s="26" t="str">
        <f aca="false">IF($A30="","",I30&amp;J30&amp;K30&amp;L30&amp;M30&amp;N30&amp;O30&amp;P30&amp;Q30)</f>
        <v/>
      </c>
      <c r="I30" s="0" t="str">
        <f aca="false">IF(OR($A30="",$D30=""),"",IF(AND(EDATE($D30,Milestones!$AA$20)&lt;=AsOfDate,IF($R30=0,$X30,IF(AND($T30&lt;&gt;"",EDATE($D30,Milestones!$AA$20)&gt;=$T30),$W30,IF(AND($S30&lt;&gt;"",EDATE($D30,Milestones!$AA$20)&gt;=$S30),$V30,$U30)))=Milestones!$AB$20),UPPER(TEXT(EDATE($D30,Milestones!$AA$20),"dd mmm yy"))&amp;" "&amp;Milestones!$AB$20&amp;" "&amp;Milestones!$AC$20&amp;";  ","")&amp;IF(AND(EDATE($D30,Milestones!$AA$21)&lt;=AsOfDate,IF($R30=0,$X30,IF(AND($T30&lt;&gt;"",EDATE($D30,Milestones!$AA$21)&gt;=$T30),$W30,IF(AND($S30&lt;&gt;"",EDATE($D30,Milestones!$AA$21)&gt;=$S30),$V30,$U30)))=Milestones!$AB$21),UPPER(TEXT(EDATE($D30,Milestones!$AA$21),"dd mmm yy"))&amp;" "&amp;Milestones!$AB$21&amp;" "&amp;Milestones!$AC$21&amp;";  ","")&amp;IF(AND(EDATE($D30,Milestones!$AA$22)&lt;=AsOfDate,IF($R30=0,$X30,IF(AND($T30&lt;&gt;"",EDATE($D30,Milestones!$AA$22)&gt;=$T30),$W30,IF(AND($S30&lt;&gt;"",EDATE($D30,Milestones!$AA$22)&gt;=$S30),$V30,$U30)))=Milestones!$AB$22),UPPER(TEXT(EDATE($D30,Milestones!$AA$22),"dd mmm yy"))&amp;" "&amp;Milestones!$AB$22&amp;" "&amp;Milestones!$AC$22&amp;";  ","")&amp;IF(AND(EDATE($D30,Milestones!$AA$23)&lt;=AsOfDate,IF($R30=0,$X30,IF(AND($T30&lt;&gt;"",EDATE($D30,Milestones!$AA$23)&gt;=$T30),$W30,IF(AND($S30&lt;&gt;"",EDATE($D30,Milestones!$AA$23)&gt;=$S30),$V30,$U30)))=Milestones!$AB$23),UPPER(TEXT(EDATE($D30,Milestones!$AA$23),"dd mmm yy"))&amp;" "&amp;Milestones!$AB$23&amp;" "&amp;Milestones!$AC$23&amp;";  ","")&amp;IF(AND(EDATE($D30,Milestones!$AA$24)&lt;=AsOfDate,IF($R30=0,$X30,IF(AND($T30&lt;&gt;"",EDATE($D30,Milestones!$AA$24)&gt;=$T30),$W30,IF(AND($S30&lt;&gt;"",EDATE($D30,Milestones!$AA$24)&gt;=$S30),$V30,$U30)))=Milestones!$AB$24),UPPER(TEXT(EDATE($D30,Milestones!$AA$24),"dd mmm yy"))&amp;" "&amp;Milestones!$AB$24&amp;" "&amp;Milestones!$AC$24&amp;";  ","")&amp;IF(AND(EDATE($D30,Milestones!$AA$25)&lt;=AsOfDate,IF($R30=0,$X30,IF(AND($T30&lt;&gt;"",EDATE($D30,Milestones!$AA$25)&gt;=$T30),$W30,IF(AND($S30&lt;&gt;"",EDATE($D30,Milestones!$AA$25)&gt;=$S30),$V30,$U30)))=Milestones!$AB$25),UPPER(TEXT(EDATE($D30,Milestones!$AA$25),"dd mmm yy"))&amp;" "&amp;Milestones!$AB$25&amp;" "&amp;Milestones!$AC$25&amp;";  ","")&amp;IF(AND(EDATE($D30,Milestones!$AA$26)&lt;=AsOfDate,IF($R30=0,$X30,IF(AND($T30&lt;&gt;"",EDATE($D30,Milestones!$AA$26)&gt;=$T30),$W30,IF(AND($S30&lt;&gt;"",EDATE($D30,Milestones!$AA$26)&gt;=$S30),$V30,$U30)))=Milestones!$AB$26),UPPER(TEXT(EDATE($D30,Milestones!$AA$26),"dd mmm yy"))&amp;" "&amp;Milestones!$AB$26&amp;" "&amp;Milestones!$AC$26&amp;";  ","")&amp;IF(AND(EDATE($D30,Milestones!$AA$27)&lt;=AsOfDate,IF($R30=0,$X30,IF(AND($T30&lt;&gt;"",EDATE($D30,Milestones!$AA$27)&gt;=$T30),$W30,IF(AND($S30&lt;&gt;"",EDATE($D30,Milestones!$AA$27)&gt;=$S30),$V30,$U30)))=Milestones!$AB$27),UPPER(TEXT(EDATE($D30,Milestones!$AA$27),"dd mmm yy"))&amp;" "&amp;Milestones!$AB$27&amp;" "&amp;Milestones!$AC$27&amp;";  ","")&amp;IF(AND(EDATE($D30,Milestones!$AA$28)&lt;=AsOfDate,IF($R30=0,$X30,IF(AND($T30&lt;&gt;"",EDATE($D30,Milestones!$AA$28)&gt;=$T30),$W30,IF(AND($S30&lt;&gt;"",EDATE($D30,Milestones!$AA$28)&gt;=$S30),$V30,$U30)))=Milestones!$AB$28),UPPER(TEXT(EDATE($D30,Milestones!$AA$28),"dd mmm yy"))&amp;" "&amp;Milestones!$AB$28&amp;" "&amp;Milestones!$AC$28&amp;";  ","")&amp;IF(AND(EDATE($D30,Milestones!$AA$29)&lt;=AsOfDate,IF($R30=0,$X30,IF(AND($T30&lt;&gt;"",EDATE($D30,Milestones!$AA$29)&gt;=$T30),$W30,IF(AND($S30&lt;&gt;"",EDATE($D30,Milestones!$AA$29)&gt;=$S30),$V30,$U30)))=Milestones!$AB$29),UPPER(TEXT(EDATE($D30,Milestones!$AA$29),"dd mmm yy"))&amp;" "&amp;Milestones!$AB$29&amp;" "&amp;Milestones!$AC$29&amp;";  ","")&amp;IF(AND(EDATE($D30,Milestones!$AA$30)&lt;=AsOfDate,IF($R30=0,$X30,IF(AND($T30&lt;&gt;"",EDATE($D30,Milestones!$AA$30)&gt;=$T30),$W30,IF(AND($S30&lt;&gt;"",EDATE($D30,Milestones!$AA$30)&gt;=$S30),$V30,$U30)))=Milestones!$AB$30),UPPER(TEXT(EDATE($D30,Milestones!$AA$30),"dd mmm yy"))&amp;" "&amp;Milestones!$AB$30&amp;" "&amp;Milestones!$AC$30&amp;";  ","")&amp;IF(AND(EDATE($D30,Milestones!$AA$31)&lt;=AsOfDate,IF($R30=0,$X30,IF(AND($T30&lt;&gt;"",EDATE($D30,Milestones!$AA$31)&gt;=$T30),$W30,IF(AND($S30&lt;&gt;"",EDATE($D30,Milestones!$AA$31)&gt;=$S30),$V30,$U30)))=Milestones!$AB$31),UPPER(TEXT(EDATE($D30,Milestones!$AA$31),"dd mmm yy"))&amp;" "&amp;Milestones!$AB$31&amp;" "&amp;Milestones!$AC$31&amp;";  ","")&amp;IF(AND(EDATE($D30,Milestones!$AA$32)&lt;=AsOfDate,IF($R30=0,$X30,IF(AND($T30&lt;&gt;"",EDATE($D30,Milestones!$AA$32)&gt;=$T30),$W30,IF(AND($S30&lt;&gt;"",EDATE($D30,Milestones!$AA$32)&gt;=$S30),$V30,$U30)))=Milestones!$AB$32),UPPER(TEXT(EDATE($D30,Milestones!$AA$32),"dd mmm yy"))&amp;" "&amp;Milestones!$AB$32&amp;" "&amp;Milestones!$AC$32&amp;";  ","")&amp;IF(AND(EDATE($D30,Milestones!$AA$33)&lt;=AsOfDate,IF($R30=0,$X30,IF(AND($T30&lt;&gt;"",EDATE($D30,Milestones!$AA$33)&gt;=$T30),$W30,IF(AND($S30&lt;&gt;"",EDATE($D30,Milestones!$AA$33)&gt;=$S30),$V30,$U30)))=Milestones!$AB$33),UPPER(TEXT(EDATE($D30,Milestones!$AA$33),"dd mmm yy"))&amp;" "&amp;Milestones!$AB$33&amp;" "&amp;Milestones!$AC$33&amp;";  ","")&amp;IF(AND(EDATE($D30,Milestones!$AA$34)&lt;=AsOfDate,IF($R30=0,$X30,IF(AND($T30&lt;&gt;"",EDATE($D30,Milestones!$AA$34)&gt;=$T30),$W30,IF(AND($S30&lt;&gt;"",EDATE($D30,Milestones!$AA$34)&gt;=$S30),$V30,$U30)))=Milestones!$AB$34),UPPER(TEXT(EDATE($D30,Milestones!$AA$34),"dd mmm yy"))&amp;" "&amp;Milestones!$AB$34&amp;" "&amp;Milestones!$AC$34&amp;";  ","")&amp;IF(AND(EDATE($D30,Milestones!$AA$35)&lt;=AsOfDate,IF($R30=0,$X30,IF(AND($T30&lt;&gt;"",EDATE($D30,Milestones!$AA$35)&gt;=$T30),$W30,IF(AND($S30&lt;&gt;"",EDATE($D30,Milestones!$AA$35)&gt;=$S30),$V30,$U30)))=Milestones!$AB$35),UPPER(TEXT(EDATE($D30,Milestones!$AA$35),"dd mmm yy"))&amp;" "&amp;Milestones!$AB$35&amp;" "&amp;Milestones!$AC$35&amp;";  ","")&amp;IF(AND(EDATE($D30,Milestones!$AA$36)&lt;=AsOfDate,IF($R30=0,$X30,IF(AND($T30&lt;&gt;"",EDATE($D30,Milestones!$AA$36)&gt;=$T30),$W30,IF(AND($S30&lt;&gt;"",EDATE($D30,Milestones!$AA$36)&gt;=$S30),$V30,$U30)))=Milestones!$AB$36),UPPER(TEXT(EDATE($D30,Milestones!$AA$36),"dd mmm yy"))&amp;" "&amp;Milestones!$AB$36&amp;" "&amp;Milestones!$AC$36&amp;";  ","")&amp;IF(AND(EDATE($D30,Milestones!$AA$37)&lt;=AsOfDate,IF($R30=0,$X30,IF(AND($T30&lt;&gt;"",EDATE($D30,Milestones!$AA$37)&gt;=$T30),$W30,IF(AND($S30&lt;&gt;"",EDATE($D30,Milestones!$AA$37)&gt;=$S30),$V30,$U30)))=Milestones!$AB$37),UPPER(TEXT(EDATE($D30,Milestones!$AA$37),"dd mmm yy"))&amp;" "&amp;Milestones!$AB$37&amp;" "&amp;Milestones!$AC$37&amp;";  ","")&amp;IF(AND(EDATE($D30,Milestones!$AA$38)&lt;=AsOfDate,IF($R30=0,$X30,IF(AND($T30&lt;&gt;"",EDATE($D30,Milestones!$AA$38)&gt;=$T30),$W30,IF(AND($S30&lt;&gt;"",EDATE($D30,Milestones!$AA$38)&gt;=$S30),$V30,$U30)))=Milestones!$AB$38),UPPER(TEXT(EDATE($D30,Milestones!$AA$38),"dd mmm yy"))&amp;" "&amp;Milestones!$AB$38&amp;" "&amp;Milestones!$AC$38&amp;";  ","")&amp;IF(AND(EDATE($D30,Milestones!$AA$39)&lt;=AsOfDate,IF($R30=0,$X30,IF(AND($T30&lt;&gt;"",EDATE($D30,Milestones!$AA$39)&gt;=$T30),$W30,IF(AND($S30&lt;&gt;"",EDATE($D30,Milestones!$AA$39)&gt;=$S30),$V30,$U30)))=Milestones!$AB$39),UPPER(TEXT(EDATE($D30,Milestones!$AA$39),"dd mmm yy"))&amp;" "&amp;Milestones!$AB$39&amp;" "&amp;Milestones!$AC$39&amp;";  ",""))</f>
        <v/>
      </c>
      <c r="J30" s="0" t="str">
        <f aca="false">IF(OR($A30="",$D30=""),"",IF(AND(EDATE($D30,Milestones!$AA$40)&lt;=AsOfDate,IF($R30=0,$X30,IF(AND($T30&lt;&gt;"",EDATE($D30,Milestones!$AA$40)&gt;=$T30),$W30,IF(AND($S30&lt;&gt;"",EDATE($D30,Milestones!$AA$40)&gt;=$S30),$V30,$U30)))=Milestones!$AB$40),UPPER(TEXT(EDATE($D30,Milestones!$AA$40),"dd mmm yy"))&amp;" "&amp;Milestones!$AB$40&amp;" "&amp;Milestones!$AC$40&amp;";  ","")&amp;IF(AND(EDATE($D30,Milestones!$AA$41)&lt;=AsOfDate,IF($R30=0,$X30,IF(AND($T30&lt;&gt;"",EDATE($D30,Milestones!$AA$41)&gt;=$T30),$W30,IF(AND($S30&lt;&gt;"",EDATE($D30,Milestones!$AA$41)&gt;=$S30),$V30,$U30)))=Milestones!$AB$41),UPPER(TEXT(EDATE($D30,Milestones!$AA$41),"dd mmm yy"))&amp;" "&amp;Milestones!$AB$41&amp;" "&amp;Milestones!$AC$41&amp;";  ","")&amp;IF(AND(EDATE($D30,Milestones!$AA$42)&lt;=AsOfDate,IF($R30=0,$X30,IF(AND($T30&lt;&gt;"",EDATE($D30,Milestones!$AA$42)&gt;=$T30),$W30,IF(AND($S30&lt;&gt;"",EDATE($D30,Milestones!$AA$42)&gt;=$S30),$V30,$U30)))=Milestones!$AB$42),UPPER(TEXT(EDATE($D30,Milestones!$AA$42),"dd mmm yy"))&amp;" "&amp;Milestones!$AB$42&amp;" "&amp;Milestones!$AC$42&amp;";  ","")&amp;IF(AND(EDATE($D30,Milestones!$AA$43)&lt;=AsOfDate,IF($R30=0,$X30,IF(AND($T30&lt;&gt;"",EDATE($D30,Milestones!$AA$43)&gt;=$T30),$W30,IF(AND($S30&lt;&gt;"",EDATE($D30,Milestones!$AA$43)&gt;=$S30),$V30,$U30)))=Milestones!$AB$43),UPPER(TEXT(EDATE($D30,Milestones!$AA$43),"dd mmm yy"))&amp;" "&amp;Milestones!$AB$43&amp;" "&amp;Milestones!$AC$43&amp;";  ","")&amp;IF(AND(EDATE($D30,Milestones!$AA$44)&lt;=AsOfDate,IF($R30=0,$X30,IF(AND($T30&lt;&gt;"",EDATE($D30,Milestones!$AA$44)&gt;=$T30),$W30,IF(AND($S30&lt;&gt;"",EDATE($D30,Milestones!$AA$44)&gt;=$S30),$V30,$U30)))=Milestones!$AB$44),UPPER(TEXT(EDATE($D30,Milestones!$AA$44),"dd mmm yy"))&amp;" "&amp;Milestones!$AB$44&amp;" "&amp;Milestones!$AC$44&amp;";  ","")&amp;IF(AND(EDATE($D30,Milestones!$AA$45)&lt;=AsOfDate,IF($R30=0,$X30,IF(AND($T30&lt;&gt;"",EDATE($D30,Milestones!$AA$45)&gt;=$T30),$W30,IF(AND($S30&lt;&gt;"",EDATE($D30,Milestones!$AA$45)&gt;=$S30),$V30,$U30)))=Milestones!$AB$45),UPPER(TEXT(EDATE($D30,Milestones!$AA$45),"dd mmm yy"))&amp;" "&amp;Milestones!$AB$45&amp;" "&amp;Milestones!$AC$45&amp;";  ","")&amp;IF(AND(EDATE($D30,Milestones!$AA$46)&lt;=AsOfDate,IF($R30=0,$X30,IF(AND($T30&lt;&gt;"",EDATE($D30,Milestones!$AA$46)&gt;=$T30),$W30,IF(AND($S30&lt;&gt;"",EDATE($D30,Milestones!$AA$46)&gt;=$S30),$V30,$U30)))=Milestones!$AB$46),UPPER(TEXT(EDATE($D30,Milestones!$AA$46),"dd mmm yy"))&amp;" "&amp;Milestones!$AB$46&amp;" "&amp;Milestones!$AC$46&amp;";  ","")&amp;IF(AND(EDATE($D30,Milestones!$AA$47)&lt;=AsOfDate,IF($R30=0,$X30,IF(AND($T30&lt;&gt;"",EDATE($D30,Milestones!$AA$47)&gt;=$T30),$W30,IF(AND($S30&lt;&gt;"",EDATE($D30,Milestones!$AA$47)&gt;=$S30),$V30,$U30)))=Milestones!$AB$47),UPPER(TEXT(EDATE($D30,Milestones!$AA$47),"dd mmm yy"))&amp;" "&amp;Milestones!$AB$47&amp;" "&amp;Milestones!$AC$47&amp;";  ","")&amp;IF(AND(EDATE($D30,Milestones!$AA$48)&lt;=AsOfDate,IF($R30=0,$X30,IF(AND($T30&lt;&gt;"",EDATE($D30,Milestones!$AA$48)&gt;=$T30),$W30,IF(AND($S30&lt;&gt;"",EDATE($D30,Milestones!$AA$48)&gt;=$S30),$V30,$U30)))=Milestones!$AB$48),UPPER(TEXT(EDATE($D30,Milestones!$AA$48),"dd mmm yy"))&amp;" "&amp;Milestones!$AB$48&amp;" "&amp;Milestones!$AC$48&amp;";  ","")&amp;IF(AND(EDATE($D30,Milestones!$AA$49)&lt;=AsOfDate,IF($R30=0,$X30,IF(AND($T30&lt;&gt;"",EDATE($D30,Milestones!$AA$49)&gt;=$T30),$W30,IF(AND($S30&lt;&gt;"",EDATE($D30,Milestones!$AA$49)&gt;=$S30),$V30,$U30)))=Milestones!$AB$49),UPPER(TEXT(EDATE($D30,Milestones!$AA$49),"dd mmm yy"))&amp;" "&amp;Milestones!$AB$49&amp;" "&amp;Milestones!$AC$49&amp;";  ","")&amp;IF(AND(EDATE($D30,Milestones!$AA$50)&lt;=AsOfDate,IF($R30=0,$X30,IF(AND($T30&lt;&gt;"",EDATE($D30,Milestones!$AA$50)&gt;=$T30),$W30,IF(AND($S30&lt;&gt;"",EDATE($D30,Milestones!$AA$50)&gt;=$S30),$V30,$U30)))=Milestones!$AB$50),UPPER(TEXT(EDATE($D30,Milestones!$AA$50),"dd mmm yy"))&amp;" "&amp;Milestones!$AB$50&amp;" "&amp;Milestones!$AC$50&amp;";  ","")&amp;IF(AND(EDATE($D30,Milestones!$AA$51)&lt;=AsOfDate,IF($R30=0,$X30,IF(AND($T30&lt;&gt;"",EDATE($D30,Milestones!$AA$51)&gt;=$T30),$W30,IF(AND($S30&lt;&gt;"",EDATE($D30,Milestones!$AA$51)&gt;=$S30),$V30,$U30)))=Milestones!$AB$51),UPPER(TEXT(EDATE($D30,Milestones!$AA$51),"dd mmm yy"))&amp;" "&amp;Milestones!$AB$51&amp;" "&amp;Milestones!$AC$51&amp;";  ","")&amp;IF(AND(EDATE($D30,Milestones!$AA$52)&lt;=AsOfDate,IF($R30=0,$X30,IF(AND($T30&lt;&gt;"",EDATE($D30,Milestones!$AA$52)&gt;=$T30),$W30,IF(AND($S30&lt;&gt;"",EDATE($D30,Milestones!$AA$52)&gt;=$S30),$V30,$U30)))=Milestones!$AB$52),UPPER(TEXT(EDATE($D30,Milestones!$AA$52),"dd mmm yy"))&amp;" "&amp;Milestones!$AB$52&amp;" "&amp;Milestones!$AC$52&amp;";  ","")&amp;IF(AND(EDATE($D30,Milestones!$AA$53)&lt;=AsOfDate,IF($R30=0,$X30,IF(AND($T30&lt;&gt;"",EDATE($D30,Milestones!$AA$53)&gt;=$T30),$W30,IF(AND($S30&lt;&gt;"",EDATE($D30,Milestones!$AA$53)&gt;=$S30),$V30,$U30)))=Milestones!$AB$53),UPPER(TEXT(EDATE($D30,Milestones!$AA$53),"dd mmm yy"))&amp;" "&amp;Milestones!$AB$53&amp;" "&amp;Milestones!$AC$53&amp;";  ","")&amp;IF(AND(EDATE($D30,Milestones!$AA$54)&lt;=AsOfDate,IF($R30=0,$X30,IF(AND($T30&lt;&gt;"",EDATE($D30,Milestones!$AA$54)&gt;=$T30),$W30,IF(AND($S30&lt;&gt;"",EDATE($D30,Milestones!$AA$54)&gt;=$S30),$V30,$U30)))=Milestones!$AB$54),UPPER(TEXT(EDATE($D30,Milestones!$AA$54),"dd mmm yy"))&amp;" "&amp;Milestones!$AB$54&amp;" "&amp;Milestones!$AC$54&amp;";  ","")&amp;IF(AND(EDATE($D30,Milestones!$AA$55)&lt;=AsOfDate,IF($R30=0,$X30,IF(AND($T30&lt;&gt;"",EDATE($D30,Milestones!$AA$55)&gt;=$T30),$W30,IF(AND($S30&lt;&gt;"",EDATE($D30,Milestones!$AA$55)&gt;=$S30),$V30,$U30)))=Milestones!$AB$55),UPPER(TEXT(EDATE($D30,Milestones!$AA$55),"dd mmm yy"))&amp;" "&amp;Milestones!$AB$55&amp;" "&amp;Milestones!$AC$55&amp;";  ","")&amp;IF(AND(EDATE($D30,Milestones!$AA$56)&lt;=AsOfDate,IF($R30=0,$X30,IF(AND($T30&lt;&gt;"",EDATE($D30,Milestones!$AA$56)&gt;=$T30),$W30,IF(AND($S30&lt;&gt;"",EDATE($D30,Milestones!$AA$56)&gt;=$S30),$V30,$U30)))=Milestones!$AB$56),UPPER(TEXT(EDATE($D30,Milestones!$AA$56),"dd mmm yy"))&amp;" "&amp;Milestones!$AB$56&amp;" "&amp;Milestones!$AC$56&amp;";  ","")&amp;IF(AND(EDATE($D30,Milestones!$AA$57)&lt;=AsOfDate,IF($R30=0,$X30,IF(AND($T30&lt;&gt;"",EDATE($D30,Milestones!$AA$57)&gt;=$T30),$W30,IF(AND($S30&lt;&gt;"",EDATE($D30,Milestones!$AA$57)&gt;=$S30),$V30,$U30)))=Milestones!$AB$57),UPPER(TEXT(EDATE($D30,Milestones!$AA$57),"dd mmm yy"))&amp;" "&amp;Milestones!$AB$57&amp;" "&amp;Milestones!$AC$57&amp;";  ","")&amp;IF(AND(EDATE($D30,Milestones!$AA$58)&lt;=AsOfDate,IF($R30=0,$X30,IF(AND($T30&lt;&gt;"",EDATE($D30,Milestones!$AA$58)&gt;=$T30),$W30,IF(AND($S30&lt;&gt;"",EDATE($D30,Milestones!$AA$58)&gt;=$S30),$V30,$U30)))=Milestones!$AB$58),UPPER(TEXT(EDATE($D30,Milestones!$AA$58),"dd mmm yy"))&amp;" "&amp;Milestones!$AB$58&amp;" "&amp;Milestones!$AC$58&amp;";  ","")&amp;IF(AND(EDATE($D30,Milestones!$AA$59)&lt;=AsOfDate,IF($R30=0,$X30,IF(AND($T30&lt;&gt;"",EDATE($D30,Milestones!$AA$59)&gt;=$T30),$W30,IF(AND($S30&lt;&gt;"",EDATE($D30,Milestones!$AA$59)&gt;=$S30),$V30,$U30)))=Milestones!$AB$59),UPPER(TEXT(EDATE($D30,Milestones!$AA$59),"dd mmm yy"))&amp;" "&amp;Milestones!$AB$59&amp;" "&amp;Milestones!$AC$59&amp;";  ",""))</f>
        <v/>
      </c>
      <c r="K30" s="0" t="str">
        <f aca="false">IF(OR($A30="",$D30=""),"",IF(AND(EDATE($D30,Milestones!$AA$60)&lt;=AsOfDate,IF($R30=0,$X30,IF(AND($T30&lt;&gt;"",EDATE($D30,Milestones!$AA$60)&gt;=$T30),$W30,IF(AND($S30&lt;&gt;"",EDATE($D30,Milestones!$AA$60)&gt;=$S30),$V30,$U30)))=Milestones!$AB$60),UPPER(TEXT(EDATE($D30,Milestones!$AA$60),"dd mmm yy"))&amp;" "&amp;Milestones!$AB$60&amp;" "&amp;Milestones!$AC$60&amp;";  ","")&amp;IF(AND(EDATE($D30,Milestones!$AA$61)&lt;=AsOfDate,IF($R30=0,$X30,IF(AND($T30&lt;&gt;"",EDATE($D30,Milestones!$AA$61)&gt;=$T30),$W30,IF(AND($S30&lt;&gt;"",EDATE($D30,Milestones!$AA$61)&gt;=$S30),$V30,$U30)))=Milestones!$AB$61),UPPER(TEXT(EDATE($D30,Milestones!$AA$61),"dd mmm yy"))&amp;" "&amp;Milestones!$AB$61&amp;" "&amp;Milestones!$AC$61&amp;";  ","")&amp;IF(AND(EDATE($D30,Milestones!$AA$62)&lt;=AsOfDate,IF($R30=0,$X30,IF(AND($T30&lt;&gt;"",EDATE($D30,Milestones!$AA$62)&gt;=$T30),$W30,IF(AND($S30&lt;&gt;"",EDATE($D30,Milestones!$AA$62)&gt;=$S30),$V30,$U30)))=Milestones!$AB$62),UPPER(TEXT(EDATE($D30,Milestones!$AA$62),"dd mmm yy"))&amp;" "&amp;Milestones!$AB$62&amp;" "&amp;Milestones!$AC$62&amp;";  ","")&amp;IF(AND(EDATE($D30,Milestones!$AA$63)&lt;=AsOfDate,IF($R30=0,$X30,IF(AND($T30&lt;&gt;"",EDATE($D30,Milestones!$AA$63)&gt;=$T30),$W30,IF(AND($S30&lt;&gt;"",EDATE($D30,Milestones!$AA$63)&gt;=$S30),$V30,$U30)))=Milestones!$AB$63),UPPER(TEXT(EDATE($D30,Milestones!$AA$63),"dd mmm yy"))&amp;" "&amp;Milestones!$AB$63&amp;" "&amp;Milestones!$AC$63&amp;";  ","")&amp;IF(AND(EDATE($D30,Milestones!$AA$64)&lt;=AsOfDate,IF($R30=0,$X30,IF(AND($T30&lt;&gt;"",EDATE($D30,Milestones!$AA$64)&gt;=$T30),$W30,IF(AND($S30&lt;&gt;"",EDATE($D30,Milestones!$AA$64)&gt;=$S30),$V30,$U30)))=Milestones!$AB$64),UPPER(TEXT(EDATE($D30,Milestones!$AA$64),"dd mmm yy"))&amp;" "&amp;Milestones!$AB$64&amp;" "&amp;Milestones!$AC$64&amp;";  ","")&amp;IF(AND(EDATE($D30,Milestones!$AA$65)&lt;=AsOfDate,IF($R30=0,$X30,IF(AND($T30&lt;&gt;"",EDATE($D30,Milestones!$AA$65)&gt;=$T30),$W30,IF(AND($S30&lt;&gt;"",EDATE($D30,Milestones!$AA$65)&gt;=$S30),$V30,$U30)))=Milestones!$AB$65),UPPER(TEXT(EDATE($D30,Milestones!$AA$65),"dd mmm yy"))&amp;" "&amp;Milestones!$AB$65&amp;" "&amp;Milestones!$AC$65&amp;";  ","")&amp;IF(AND(EDATE($D30,Milestones!$AA$66)&lt;=AsOfDate,IF($R30=0,$X30,IF(AND($T30&lt;&gt;"",EDATE($D30,Milestones!$AA$66)&gt;=$T30),$W30,IF(AND($S30&lt;&gt;"",EDATE($D30,Milestones!$AA$66)&gt;=$S30),$V30,$U30)))=Milestones!$AB$66),UPPER(TEXT(EDATE($D30,Milestones!$AA$66),"dd mmm yy"))&amp;" "&amp;Milestones!$AB$66&amp;" "&amp;Milestones!$AC$66&amp;";  ","")&amp;IF(AND(EDATE($D30,Milestones!$AA$67)&lt;=AsOfDate,IF($R30=0,$X30,IF(AND($T30&lt;&gt;"",EDATE($D30,Milestones!$AA$67)&gt;=$T30),$W30,IF(AND($S30&lt;&gt;"",EDATE($D30,Milestones!$AA$67)&gt;=$S30),$V30,$U30)))=Milestones!$AB$67),UPPER(TEXT(EDATE($D30,Milestones!$AA$67),"dd mmm yy"))&amp;" "&amp;Milestones!$AB$67&amp;" "&amp;Milestones!$AC$67&amp;";  ","")&amp;IF(AND(EDATE($D30,Milestones!$AA$68)&lt;=AsOfDate,IF($R30=0,$X30,IF(AND($T30&lt;&gt;"",EDATE($D30,Milestones!$AA$68)&gt;=$T30),$W30,IF(AND($S30&lt;&gt;"",EDATE($D30,Milestones!$AA$68)&gt;=$S30),$V30,$U30)))=Milestones!$AB$68),UPPER(TEXT(EDATE($D30,Milestones!$AA$68),"dd mmm yy"))&amp;" "&amp;Milestones!$AB$68&amp;" "&amp;Milestones!$AC$68&amp;";  ","")&amp;IF(AND(EDATE($D30,Milestones!$AA$69)&lt;=AsOfDate,IF($R30=0,$X30,IF(AND($T30&lt;&gt;"",EDATE($D30,Milestones!$AA$69)&gt;=$T30),$W30,IF(AND($S30&lt;&gt;"",EDATE($D30,Milestones!$AA$69)&gt;=$S30),$V30,$U30)))=Milestones!$AB$69),UPPER(TEXT(EDATE($D30,Milestones!$AA$69),"dd mmm yy"))&amp;" "&amp;Milestones!$AB$69&amp;" "&amp;Milestones!$AC$69&amp;";  ","")&amp;IF(AND(EDATE($D30,Milestones!$AA$70)&lt;=AsOfDate,IF($R30=0,$X30,IF(AND($T30&lt;&gt;"",EDATE($D30,Milestones!$AA$70)&gt;=$T30),$W30,IF(AND($S30&lt;&gt;"",EDATE($D30,Milestones!$AA$70)&gt;=$S30),$V30,$U30)))=Milestones!$AB$70),UPPER(TEXT(EDATE($D30,Milestones!$AA$70),"dd mmm yy"))&amp;" "&amp;Milestones!$AB$70&amp;" "&amp;Milestones!$AC$70&amp;";  ","")&amp;IF(AND(EDATE($D30,Milestones!$AA$71)&lt;=AsOfDate,IF($R30=0,$X30,IF(AND($T30&lt;&gt;"",EDATE($D30,Milestones!$AA$71)&gt;=$T30),$W30,IF(AND($S30&lt;&gt;"",EDATE($D30,Milestones!$AA$71)&gt;=$S30),$V30,$U30)))=Milestones!$AB$71),UPPER(TEXT(EDATE($D30,Milestones!$AA$71),"dd mmm yy"))&amp;" "&amp;Milestones!$AB$71&amp;" "&amp;Milestones!$AC$71&amp;";  ","")&amp;IF(AND(EDATE($D30,Milestones!$AA$72)&lt;=AsOfDate,IF($R30=0,$X30,IF(AND($T30&lt;&gt;"",EDATE($D30,Milestones!$AA$72)&gt;=$T30),$W30,IF(AND($S30&lt;&gt;"",EDATE($D30,Milestones!$AA$72)&gt;=$S30),$V30,$U30)))=Milestones!$AB$72),UPPER(TEXT(EDATE($D30,Milestones!$AA$72),"dd mmm yy"))&amp;" "&amp;Milestones!$AB$72&amp;" "&amp;Milestones!$AC$72&amp;";  ","")&amp;IF(AND(EDATE($D30,Milestones!$AA$73)&lt;=AsOfDate,IF($R30=0,$X30,IF(AND($T30&lt;&gt;"",EDATE($D30,Milestones!$AA$73)&gt;=$T30),$W30,IF(AND($S30&lt;&gt;"",EDATE($D30,Milestones!$AA$73)&gt;=$S30),$V30,$U30)))=Milestones!$AB$73),UPPER(TEXT(EDATE($D30,Milestones!$AA$73),"dd mmm yy"))&amp;" "&amp;Milestones!$AB$73&amp;" "&amp;Milestones!$AC$73&amp;";  ","")&amp;IF(AND(EDATE($D30,Milestones!$AA$74)&lt;=AsOfDate,IF($R30=0,$X30,IF(AND($T30&lt;&gt;"",EDATE($D30,Milestones!$AA$74)&gt;=$T30),$W30,IF(AND($S30&lt;&gt;"",EDATE($D30,Milestones!$AA$74)&gt;=$S30),$V30,$U30)))=Milestones!$AB$74),UPPER(TEXT(EDATE($D30,Milestones!$AA$74),"dd mmm yy"))&amp;" "&amp;Milestones!$AB$74&amp;" "&amp;Milestones!$AC$74&amp;";  ","")&amp;IF(AND(EDATE($D30,Milestones!$AA$75)&lt;=AsOfDate,IF($R30=0,$X30,IF(AND($T30&lt;&gt;"",EDATE($D30,Milestones!$AA$75)&gt;=$T30),$W30,IF(AND($S30&lt;&gt;"",EDATE($D30,Milestones!$AA$75)&gt;=$S30),$V30,$U30)))=Milestones!$AB$75),UPPER(TEXT(EDATE($D30,Milestones!$AA$75),"dd mmm yy"))&amp;" "&amp;Milestones!$AB$75&amp;" "&amp;Milestones!$AC$75&amp;";  ","")&amp;IF(AND(EDATE($D30,Milestones!$AA$76)&lt;=AsOfDate,IF($R30=0,$X30,IF(AND($T30&lt;&gt;"",EDATE($D30,Milestones!$AA$76)&gt;=$T30),$W30,IF(AND($S30&lt;&gt;"",EDATE($D30,Milestones!$AA$76)&gt;=$S30),$V30,$U30)))=Milestones!$AB$76),UPPER(TEXT(EDATE($D30,Milestones!$AA$76),"dd mmm yy"))&amp;" "&amp;Milestones!$AB$76&amp;" "&amp;Milestones!$AC$76&amp;";  ","")&amp;IF(AND(EDATE($D30,Milestones!$AA$77)&lt;=AsOfDate,IF($R30=0,$X30,IF(AND($T30&lt;&gt;"",EDATE($D30,Milestones!$AA$77)&gt;=$T30),$W30,IF(AND($S30&lt;&gt;"",EDATE($D30,Milestones!$AA$77)&gt;=$S30),$V30,$U30)))=Milestones!$AB$77),UPPER(TEXT(EDATE($D30,Milestones!$AA$77),"dd mmm yy"))&amp;" "&amp;Milestones!$AB$77&amp;" "&amp;Milestones!$AC$77&amp;";  ","")&amp;IF(AND(EDATE($D30,Milestones!$AA$78)&lt;=AsOfDate,IF($R30=0,$X30,IF(AND($T30&lt;&gt;"",EDATE($D30,Milestones!$AA$78)&gt;=$T30),$W30,IF(AND($S30&lt;&gt;"",EDATE($D30,Milestones!$AA$78)&gt;=$S30),$V30,$U30)))=Milestones!$AB$78),UPPER(TEXT(EDATE($D30,Milestones!$AA$78),"dd mmm yy"))&amp;" "&amp;Milestones!$AB$78&amp;" "&amp;Milestones!$AC$78&amp;";  ","")&amp;IF(AND(EDATE($D30,Milestones!$AA$79)&lt;=AsOfDate,IF($R30=0,$X30,IF(AND($T30&lt;&gt;"",EDATE($D30,Milestones!$AA$79)&gt;=$T30),$W30,IF(AND($S30&lt;&gt;"",EDATE($D30,Milestones!$AA$79)&gt;=$S30),$V30,$U30)))=Milestones!$AB$79),UPPER(TEXT(EDATE($D30,Milestones!$AA$79),"dd mmm yy"))&amp;" "&amp;Milestones!$AB$79&amp;" "&amp;Milestones!$AC$79&amp;";  ",""))</f>
        <v/>
      </c>
      <c r="L30" s="0" t="str">
        <f aca="false">IF(OR($A30="",$D30=""),"",IF(AND(EDATE($D30,Milestones!$AA$80)&lt;=AsOfDate,IF($R30=0,$X30,IF(AND($T30&lt;&gt;"",EDATE($D30,Milestones!$AA$80)&gt;=$T30),$W30,IF(AND($S30&lt;&gt;"",EDATE($D30,Milestones!$AA$80)&gt;=$S30),$V30,$U30)))=Milestones!$AB$80),UPPER(TEXT(EDATE($D30,Milestones!$AA$80),"dd mmm yy"))&amp;" "&amp;Milestones!$AB$80&amp;" "&amp;Milestones!$AC$80&amp;";  ","")&amp;IF(AND(EDATE($D30,Milestones!$AA$81)&lt;=AsOfDate,IF($R30=0,$X30,IF(AND($T30&lt;&gt;"",EDATE($D30,Milestones!$AA$81)&gt;=$T30),$W30,IF(AND($S30&lt;&gt;"",EDATE($D30,Milestones!$AA$81)&gt;=$S30),$V30,$U30)))=Milestones!$AB$81),UPPER(TEXT(EDATE($D30,Milestones!$AA$81),"dd mmm yy"))&amp;" "&amp;Milestones!$AB$81&amp;" "&amp;Milestones!$AC$81&amp;";  ","")&amp;IF(AND(EDATE($D30,Milestones!$AA$82)&lt;=AsOfDate,IF($R30=0,$X30,IF(AND($T30&lt;&gt;"",EDATE($D30,Milestones!$AA$82)&gt;=$T30),$W30,IF(AND($S30&lt;&gt;"",EDATE($D30,Milestones!$AA$82)&gt;=$S30),$V30,$U30)))=Milestones!$AB$82),UPPER(TEXT(EDATE($D30,Milestones!$AA$82),"dd mmm yy"))&amp;" "&amp;Milestones!$AB$82&amp;" "&amp;Milestones!$AC$82&amp;";  ","")&amp;IF(AND(EDATE($D30,Milestones!$AA$83)&lt;=AsOfDate,IF($R30=0,$X30,IF(AND($T30&lt;&gt;"",EDATE($D30,Milestones!$AA$83)&gt;=$T30),$W30,IF(AND($S30&lt;&gt;"",EDATE($D30,Milestones!$AA$83)&gt;=$S30),$V30,$U30)))=Milestones!$AB$83),UPPER(TEXT(EDATE($D30,Milestones!$AA$83),"dd mmm yy"))&amp;" "&amp;Milestones!$AB$83&amp;" "&amp;Milestones!$AC$83&amp;";  ","")&amp;IF(AND(EDATE($D30,Milestones!$AA$84)&lt;=AsOfDate,IF($R30=0,$X30,IF(AND($T30&lt;&gt;"",EDATE($D30,Milestones!$AA$84)&gt;=$T30),$W30,IF(AND($S30&lt;&gt;"",EDATE($D30,Milestones!$AA$84)&gt;=$S30),$V30,$U30)))=Milestones!$AB$84),UPPER(TEXT(EDATE($D30,Milestones!$AA$84),"dd mmm yy"))&amp;" "&amp;Milestones!$AB$84&amp;" "&amp;Milestones!$AC$84&amp;";  ","")&amp;IF(AND(EDATE($D30,Milestones!$AA$85)&lt;=AsOfDate,IF($R30=0,$X30,IF(AND($T30&lt;&gt;"",EDATE($D30,Milestones!$AA$85)&gt;=$T30),$W30,IF(AND($S30&lt;&gt;"",EDATE($D30,Milestones!$AA$85)&gt;=$S30),$V30,$U30)))=Milestones!$AB$85),UPPER(TEXT(EDATE($D30,Milestones!$AA$85),"dd mmm yy"))&amp;" "&amp;Milestones!$AB$85&amp;" "&amp;Milestones!$AC$85&amp;";  ","")&amp;IF(AND(EDATE($D30,Milestones!$AA$86)&lt;=AsOfDate,IF($R30=0,$X30,IF(AND($T30&lt;&gt;"",EDATE($D30,Milestones!$AA$86)&gt;=$T30),$W30,IF(AND($S30&lt;&gt;"",EDATE($D30,Milestones!$AA$86)&gt;=$S30),$V30,$U30)))=Milestones!$AB$86),UPPER(TEXT(EDATE($D30,Milestones!$AA$86),"dd mmm yy"))&amp;" "&amp;Milestones!$AB$86&amp;" "&amp;Milestones!$AC$86&amp;";  ","")&amp;IF(AND(EDATE($D30,Milestones!$AA$87)&lt;=AsOfDate,IF($R30=0,$X30,IF(AND($T30&lt;&gt;"",EDATE($D30,Milestones!$AA$87)&gt;=$T30),$W30,IF(AND($S30&lt;&gt;"",EDATE($D30,Milestones!$AA$87)&gt;=$S30),$V30,$U30)))=Milestones!$AB$87),UPPER(TEXT(EDATE($D30,Milestones!$AA$87),"dd mmm yy"))&amp;" "&amp;Milestones!$AB$87&amp;" "&amp;Milestones!$AC$87&amp;";  ","")&amp;IF(AND(EDATE($D30,Milestones!$AA$88)&lt;=AsOfDate,IF($R30=0,$X30,IF(AND($T30&lt;&gt;"",EDATE($D30,Milestones!$AA$88)&gt;=$T30),$W30,IF(AND($S30&lt;&gt;"",EDATE($D30,Milestones!$AA$88)&gt;=$S30),$V30,$U30)))=Milestones!$AB$88),UPPER(TEXT(EDATE($D30,Milestones!$AA$88),"dd mmm yy"))&amp;" "&amp;Milestones!$AB$88&amp;" "&amp;Milestones!$AC$88&amp;";  ","")&amp;IF(AND(EDATE($D30,Milestones!$AA$89)&lt;=AsOfDate,IF($R30=0,$X30,IF(AND($T30&lt;&gt;"",EDATE($D30,Milestones!$AA$89)&gt;=$T30),$W30,IF(AND($S30&lt;&gt;"",EDATE($D30,Milestones!$AA$89)&gt;=$S30),$V30,$U30)))=Milestones!$AB$89),UPPER(TEXT(EDATE($D30,Milestones!$AA$89),"dd mmm yy"))&amp;" "&amp;Milestones!$AB$89&amp;" "&amp;Milestones!$AC$89&amp;";  ","")&amp;IF(AND(EDATE($D30,Milestones!$AA$90)&lt;=AsOfDate,IF($R30=0,$X30,IF(AND($T30&lt;&gt;"",EDATE($D30,Milestones!$AA$90)&gt;=$T30),$W30,IF(AND($S30&lt;&gt;"",EDATE($D30,Milestones!$AA$90)&gt;=$S30),$V30,$U30)))=Milestones!$AB$90),UPPER(TEXT(EDATE($D30,Milestones!$AA$90),"dd mmm yy"))&amp;" "&amp;Milestones!$AB$90&amp;" "&amp;Milestones!$AC$90&amp;";  ","")&amp;IF(AND(EDATE($D30,Milestones!$AA$91)&lt;=AsOfDate,IF($R30=0,$X30,IF(AND($T30&lt;&gt;"",EDATE($D30,Milestones!$AA$91)&gt;=$T30),$W30,IF(AND($S30&lt;&gt;"",EDATE($D30,Milestones!$AA$91)&gt;=$S30),$V30,$U30)))=Milestones!$AB$91),UPPER(TEXT(EDATE($D30,Milestones!$AA$91),"dd mmm yy"))&amp;" "&amp;Milestones!$AB$91&amp;" "&amp;Milestones!$AC$91&amp;";  ","")&amp;IF(AND(EDATE($D30,Milestones!$AA$92)&lt;=AsOfDate,IF($R30=0,$X30,IF(AND($T30&lt;&gt;"",EDATE($D30,Milestones!$AA$92)&gt;=$T30),$W30,IF(AND($S30&lt;&gt;"",EDATE($D30,Milestones!$AA$92)&gt;=$S30),$V30,$U30)))=Milestones!$AB$92),UPPER(TEXT(EDATE($D30,Milestones!$AA$92),"dd mmm yy"))&amp;" "&amp;Milestones!$AB$92&amp;" "&amp;Milestones!$AC$92&amp;";  ","")&amp;IF(AND(EDATE($D30,Milestones!$AA$93)&lt;=AsOfDate,IF($R30=0,$X30,IF(AND($T30&lt;&gt;"",EDATE($D30,Milestones!$AA$93)&gt;=$T30),$W30,IF(AND($S30&lt;&gt;"",EDATE($D30,Milestones!$AA$93)&gt;=$S30),$V30,$U30)))=Milestones!$AB$93),UPPER(TEXT(EDATE($D30,Milestones!$AA$93),"dd mmm yy"))&amp;" "&amp;Milestones!$AB$93&amp;" "&amp;Milestones!$AC$93&amp;";  ","")&amp;IF(AND(EDATE($D30,Milestones!$AA$94)&lt;=AsOfDate,IF($R30=0,$X30,IF(AND($T30&lt;&gt;"",EDATE($D30,Milestones!$AA$94)&gt;=$T30),$W30,IF(AND($S30&lt;&gt;"",EDATE($D30,Milestones!$AA$94)&gt;=$S30),$V30,$U30)))=Milestones!$AB$94),UPPER(TEXT(EDATE($D30,Milestones!$AA$94),"dd mmm yy"))&amp;" "&amp;Milestones!$AB$94&amp;" "&amp;Milestones!$AC$94&amp;";  ","")&amp;IF(AND(EDATE($D30,Milestones!$AA$95)&lt;=AsOfDate,IF($R30=0,$X30,IF(AND($T30&lt;&gt;"",EDATE($D30,Milestones!$AA$95)&gt;=$T30),$W30,IF(AND($S30&lt;&gt;"",EDATE($D30,Milestones!$AA$95)&gt;=$S30),$V30,$U30)))=Milestones!$AB$95),UPPER(TEXT(EDATE($D30,Milestones!$AA$95),"dd mmm yy"))&amp;" "&amp;Milestones!$AB$95&amp;" "&amp;Milestones!$AC$95&amp;";  ","")&amp;IF(AND(EDATE($D30,Milestones!$AA$96)&lt;=AsOfDate,IF($R30=0,$X30,IF(AND($T30&lt;&gt;"",EDATE($D30,Milestones!$AA$96)&gt;=$T30),$W30,IF(AND($S30&lt;&gt;"",EDATE($D30,Milestones!$AA$96)&gt;=$S30),$V30,$U30)))=Milestones!$AB$96),UPPER(TEXT(EDATE($D30,Milestones!$AA$96),"dd mmm yy"))&amp;" "&amp;Milestones!$AB$96&amp;" "&amp;Milestones!$AC$96&amp;";  ","")&amp;IF(AND(EDATE($D30,Milestones!$AA$97)&lt;=AsOfDate,IF($R30=0,$X30,IF(AND($T30&lt;&gt;"",EDATE($D30,Milestones!$AA$97)&gt;=$T30),$W30,IF(AND($S30&lt;&gt;"",EDATE($D30,Milestones!$AA$97)&gt;=$S30),$V30,$U30)))=Milestones!$AB$97),UPPER(TEXT(EDATE($D30,Milestones!$AA$97),"dd mmm yy"))&amp;" "&amp;Milestones!$AB$97&amp;" "&amp;Milestones!$AC$97&amp;";  ","")&amp;IF(AND(EDATE($D30,Milestones!$AA$98)&lt;=AsOfDate,IF($R30=0,$X30,IF(AND($T30&lt;&gt;"",EDATE($D30,Milestones!$AA$98)&gt;=$T30),$W30,IF(AND($S30&lt;&gt;"",EDATE($D30,Milestones!$AA$98)&gt;=$S30),$V30,$U30)))=Milestones!$AB$98),UPPER(TEXT(EDATE($D30,Milestones!$AA$98),"dd mmm yy"))&amp;" "&amp;Milestones!$AB$98&amp;" "&amp;Milestones!$AC$98&amp;";  ","")&amp;IF(AND(EDATE($D30,Milestones!$AA$99)&lt;=AsOfDate,IF($R30=0,$X30,IF(AND($T30&lt;&gt;"",EDATE($D30,Milestones!$AA$99)&gt;=$T30),$W30,IF(AND($S30&lt;&gt;"",EDATE($D30,Milestones!$AA$99)&gt;=$S30),$V30,$U30)))=Milestones!$AB$99),UPPER(TEXT(EDATE($D30,Milestones!$AA$99),"dd mmm yy"))&amp;" "&amp;Milestones!$AB$99&amp;" "&amp;Milestones!$AC$99&amp;";  ",""))</f>
        <v/>
      </c>
      <c r="M30" s="0" t="str">
        <f aca="false">IF(OR($A30="",$D30=""),"",IF(AND(EDATE($D30,Milestones!$AA$100)&lt;=AsOfDate,IF($R30=0,$X30,IF(AND($T30&lt;&gt;"",EDATE($D30,Milestones!$AA$100)&gt;=$T30),$W30,IF(AND($S30&lt;&gt;"",EDATE($D30,Milestones!$AA$100)&gt;=$S30),$V30,$U30)))=Milestones!$AB$100),UPPER(TEXT(EDATE($D30,Milestones!$AA$100),"dd mmm yy"))&amp;" "&amp;Milestones!$AB$100&amp;" "&amp;Milestones!$AC$100&amp;";  ","")&amp;IF(AND(EDATE($D30,Milestones!$AA$101)&lt;=AsOfDate,IF($R30=0,$X30,IF(AND($T30&lt;&gt;"",EDATE($D30,Milestones!$AA$101)&gt;=$T30),$W30,IF(AND($S30&lt;&gt;"",EDATE($D30,Milestones!$AA$101)&gt;=$S30),$V30,$U30)))=Milestones!$AB$101),UPPER(TEXT(EDATE($D30,Milestones!$AA$101),"dd mmm yy"))&amp;" "&amp;Milestones!$AB$101&amp;" "&amp;Milestones!$AC$101&amp;";  ","")&amp;IF(AND(EDATE($D30,Milestones!$AA$102)&lt;=AsOfDate,IF($R30=0,$X30,IF(AND($T30&lt;&gt;"",EDATE($D30,Milestones!$AA$102)&gt;=$T30),$W30,IF(AND($S30&lt;&gt;"",EDATE($D30,Milestones!$AA$102)&gt;=$S30),$V30,$U30)))=Milestones!$AB$102),UPPER(TEXT(EDATE($D30,Milestones!$AA$102),"dd mmm yy"))&amp;" "&amp;Milestones!$AB$102&amp;" "&amp;Milestones!$AC$102&amp;";  ","")&amp;IF(AND(EDATE($D30,Milestones!$AA$103)&lt;=AsOfDate,IF($R30=0,$X30,IF(AND($T30&lt;&gt;"",EDATE($D30,Milestones!$AA$103)&gt;=$T30),$W30,IF(AND($S30&lt;&gt;"",EDATE($D30,Milestones!$AA$103)&gt;=$S30),$V30,$U30)))=Milestones!$AB$103),UPPER(TEXT(EDATE($D30,Milestones!$AA$103),"dd mmm yy"))&amp;" "&amp;Milestones!$AB$103&amp;" "&amp;Milestones!$AC$103&amp;";  ","")&amp;IF(AND(EDATE($D30,Milestones!$AA$104)&lt;=AsOfDate,IF($R30=0,$X30,IF(AND($T30&lt;&gt;"",EDATE($D30,Milestones!$AA$104)&gt;=$T30),$W30,IF(AND($S30&lt;&gt;"",EDATE($D30,Milestones!$AA$104)&gt;=$S30),$V30,$U30)))=Milestones!$AB$104),UPPER(TEXT(EDATE($D30,Milestones!$AA$104),"dd mmm yy"))&amp;" "&amp;Milestones!$AB$104&amp;" "&amp;Milestones!$AC$104&amp;";  ","")&amp;IF(AND(EDATE($D30,Milestones!$AA$105)&lt;=AsOfDate,IF($R30=0,$X30,IF(AND($T30&lt;&gt;"",EDATE($D30,Milestones!$AA$105)&gt;=$T30),$W30,IF(AND($S30&lt;&gt;"",EDATE($D30,Milestones!$AA$105)&gt;=$S30),$V30,$U30)))=Milestones!$AB$105),UPPER(TEXT(EDATE($D30,Milestones!$AA$105),"dd mmm yy"))&amp;" "&amp;Milestones!$AB$105&amp;" "&amp;Milestones!$AC$105&amp;";  ","")&amp;IF(AND(EDATE($D30,Milestones!$AA$106)&lt;=AsOfDate,IF($R30=0,$X30,IF(AND($T30&lt;&gt;"",EDATE($D30,Milestones!$AA$106)&gt;=$T30),$W30,IF(AND($S30&lt;&gt;"",EDATE($D30,Milestones!$AA$106)&gt;=$S30),$V30,$U30)))=Milestones!$AB$106),UPPER(TEXT(EDATE($D30,Milestones!$AA$106),"dd mmm yy"))&amp;" "&amp;Milestones!$AB$106&amp;" "&amp;Milestones!$AC$106&amp;";  ","")&amp;IF(AND(EDATE($D30,Milestones!$AA$107)&lt;=AsOfDate,IF($R30=0,$X30,IF(AND($T30&lt;&gt;"",EDATE($D30,Milestones!$AA$107)&gt;=$T30),$W30,IF(AND($S30&lt;&gt;"",EDATE($D30,Milestones!$AA$107)&gt;=$S30),$V30,$U30)))=Milestones!$AB$107),UPPER(TEXT(EDATE($D30,Milestones!$AA$107),"dd mmm yy"))&amp;" "&amp;Milestones!$AB$107&amp;" "&amp;Milestones!$AC$107&amp;";  ","")&amp;IF(AND(EDATE($D30,Milestones!$AA$108)&lt;=AsOfDate,IF($R30=0,$X30,IF(AND($T30&lt;&gt;"",EDATE($D30,Milestones!$AA$108)&gt;=$T30),$W30,IF(AND($S30&lt;&gt;"",EDATE($D30,Milestones!$AA$108)&gt;=$S30),$V30,$U30)))=Milestones!$AB$108),UPPER(TEXT(EDATE($D30,Milestones!$AA$108),"dd mmm yy"))&amp;" "&amp;Milestones!$AB$108&amp;" "&amp;Milestones!$AC$108&amp;";  ","")&amp;IF(AND(EDATE($D30,Milestones!$AA$109)&lt;=AsOfDate,IF($R30=0,$X30,IF(AND($T30&lt;&gt;"",EDATE($D30,Milestones!$AA$109)&gt;=$T30),$W30,IF(AND($S30&lt;&gt;"",EDATE($D30,Milestones!$AA$109)&gt;=$S30),$V30,$U30)))=Milestones!$AB$109),UPPER(TEXT(EDATE($D30,Milestones!$AA$109),"dd mmm yy"))&amp;" "&amp;Milestones!$AB$109&amp;" "&amp;Milestones!$AC$109&amp;";  ","")&amp;IF(AND(EDATE($D30,Milestones!$AA$110)&lt;=AsOfDate,IF($R30=0,$X30,IF(AND($T30&lt;&gt;"",EDATE($D30,Milestones!$AA$110)&gt;=$T30),$W30,IF(AND($S30&lt;&gt;"",EDATE($D30,Milestones!$AA$110)&gt;=$S30),$V30,$U30)))=Milestones!$AB$110),UPPER(TEXT(EDATE($D30,Milestones!$AA$110),"dd mmm yy"))&amp;" "&amp;Milestones!$AB$110&amp;" "&amp;Milestones!$AC$110&amp;";  ","")&amp;IF(AND(EDATE($D30,Milestones!$AA$111)&lt;=AsOfDate,IF($R30=0,$X30,IF(AND($T30&lt;&gt;"",EDATE($D30,Milestones!$AA$111)&gt;=$T30),$W30,IF(AND($S30&lt;&gt;"",EDATE($D30,Milestones!$AA$111)&gt;=$S30),$V30,$U30)))=Milestones!$AB$111),UPPER(TEXT(EDATE($D30,Milestones!$AA$111),"dd mmm yy"))&amp;" "&amp;Milestones!$AB$111&amp;" "&amp;Milestones!$AC$111&amp;";  ","")&amp;IF(AND(EDATE($D30,Milestones!$AA$112)&lt;=AsOfDate,IF($R30=0,$X30,IF(AND($T30&lt;&gt;"",EDATE($D30,Milestones!$AA$112)&gt;=$T30),$W30,IF(AND($S30&lt;&gt;"",EDATE($D30,Milestones!$AA$112)&gt;=$S30),$V30,$U30)))=Milestones!$AB$112),UPPER(TEXT(EDATE($D30,Milestones!$AA$112),"dd mmm yy"))&amp;" "&amp;Milestones!$AB$112&amp;" "&amp;Milestones!$AC$112&amp;";  ","")&amp;IF(AND(EDATE($D30,Milestones!$AA$113)&lt;=AsOfDate,IF($R30=0,$X30,IF(AND($T30&lt;&gt;"",EDATE($D30,Milestones!$AA$113)&gt;=$T30),$W30,IF(AND($S30&lt;&gt;"",EDATE($D30,Milestones!$AA$113)&gt;=$S30),$V30,$U30)))=Milestones!$AB$113),UPPER(TEXT(EDATE($D30,Milestones!$AA$113),"dd mmm yy"))&amp;" "&amp;Milestones!$AB$113&amp;" "&amp;Milestones!$AC$113&amp;";  ","")&amp;IF(AND(EDATE($D30,Milestones!$AA$114)&lt;=AsOfDate,IF($R30=0,$X30,IF(AND($T30&lt;&gt;"",EDATE($D30,Milestones!$AA$114)&gt;=$T30),$W30,IF(AND($S30&lt;&gt;"",EDATE($D30,Milestones!$AA$114)&gt;=$S30),$V30,$U30)))=Milestones!$AB$114),UPPER(TEXT(EDATE($D30,Milestones!$AA$114),"dd mmm yy"))&amp;" "&amp;Milestones!$AB$114&amp;" "&amp;Milestones!$AC$114&amp;";  ","")&amp;IF(AND(EDATE($D30,Milestones!$AA$115)&lt;=AsOfDate,IF($R30=0,$X30,IF(AND($T30&lt;&gt;"",EDATE($D30,Milestones!$AA$115)&gt;=$T30),$W30,IF(AND($S30&lt;&gt;"",EDATE($D30,Milestones!$AA$115)&gt;=$S30),$V30,$U30)))=Milestones!$AB$115),UPPER(TEXT(EDATE($D30,Milestones!$AA$115),"dd mmm yy"))&amp;" "&amp;Milestones!$AB$115&amp;" "&amp;Milestones!$AC$115&amp;";  ","")&amp;IF(AND(EDATE($D30,Milestones!$AA$116)&lt;=AsOfDate,IF($R30=0,$X30,IF(AND($T30&lt;&gt;"",EDATE($D30,Milestones!$AA$116)&gt;=$T30),$W30,IF(AND($S30&lt;&gt;"",EDATE($D30,Milestones!$AA$116)&gt;=$S30),$V30,$U30)))=Milestones!$AB$116),UPPER(TEXT(EDATE($D30,Milestones!$AA$116),"dd mmm yy"))&amp;" "&amp;Milestones!$AB$116&amp;" "&amp;Milestones!$AC$116&amp;";  ","")&amp;IF(AND(EDATE($D30,Milestones!$AA$117)&lt;=AsOfDate,IF($R30=0,$X30,IF(AND($T30&lt;&gt;"",EDATE($D30,Milestones!$AA$117)&gt;=$T30),$W30,IF(AND($S30&lt;&gt;"",EDATE($D30,Milestones!$AA$117)&gt;=$S30),$V30,$U30)))=Milestones!$AB$117),UPPER(TEXT(EDATE($D30,Milestones!$AA$117),"dd mmm yy"))&amp;" "&amp;Milestones!$AB$117&amp;" "&amp;Milestones!$AC$117&amp;";  ","")&amp;IF(AND(EDATE($D30,Milestones!$AA$118)&lt;=AsOfDate,IF($R30=0,$X30,IF(AND($T30&lt;&gt;"",EDATE($D30,Milestones!$AA$118)&gt;=$T30),$W30,IF(AND($S30&lt;&gt;"",EDATE($D30,Milestones!$AA$118)&gt;=$S30),$V30,$U30)))=Milestones!$AB$118),UPPER(TEXT(EDATE($D30,Milestones!$AA$118),"dd mmm yy"))&amp;" "&amp;Milestones!$AB$118&amp;" "&amp;Milestones!$AC$118&amp;";  ","")&amp;IF(AND(EDATE($D30,Milestones!$AA$119)&lt;=AsOfDate,IF($R30=0,$X30,IF(AND($T30&lt;&gt;"",EDATE($D30,Milestones!$AA$119)&gt;=$T30),$W30,IF(AND($S30&lt;&gt;"",EDATE($D30,Milestones!$AA$119)&gt;=$S30),$V30,$U30)))=Milestones!$AB$119),UPPER(TEXT(EDATE($D30,Milestones!$AA$119),"dd mmm yy"))&amp;" "&amp;Milestones!$AB$119&amp;" "&amp;Milestones!$AC$119&amp;";  ",""))</f>
        <v/>
      </c>
      <c r="N30" s="0" t="str">
        <f aca="false">IF(OR($A30="",$D30=""),"",IF(AND(EDATE($D30,Milestones!$AA$120)&lt;=AsOfDate,IF($R30=0,$X30,IF(AND($T30&lt;&gt;"",EDATE($D30,Milestones!$AA$120)&gt;=$T30),$W30,IF(AND($S30&lt;&gt;"",EDATE($D30,Milestones!$AA$120)&gt;=$S30),$V30,$U30)))=Milestones!$AB$120),UPPER(TEXT(EDATE($D30,Milestones!$AA$120),"dd mmm yy"))&amp;" "&amp;Milestones!$AB$120&amp;" "&amp;Milestones!$AC$120&amp;";  ","")&amp;IF(AND(EDATE($D30,Milestones!$AA$121)&lt;=AsOfDate,IF($R30=0,$X30,IF(AND($T30&lt;&gt;"",EDATE($D30,Milestones!$AA$121)&gt;=$T30),$W30,IF(AND($S30&lt;&gt;"",EDATE($D30,Milestones!$AA$121)&gt;=$S30),$V30,$U30)))=Milestones!$AB$121),UPPER(TEXT(EDATE($D30,Milestones!$AA$121),"dd mmm yy"))&amp;" "&amp;Milestones!$AB$121&amp;" "&amp;Milestones!$AC$121&amp;";  ","")&amp;IF(AND(EDATE($D30,Milestones!$AA$122)&lt;=AsOfDate,IF($R30=0,$X30,IF(AND($T30&lt;&gt;"",EDATE($D30,Milestones!$AA$122)&gt;=$T30),$W30,IF(AND($S30&lt;&gt;"",EDATE($D30,Milestones!$AA$122)&gt;=$S30),$V30,$U30)))=Milestones!$AB$122),UPPER(TEXT(EDATE($D30,Milestones!$AA$122),"dd mmm yy"))&amp;" "&amp;Milestones!$AB$122&amp;" "&amp;Milestones!$AC$122&amp;";  ","")&amp;IF(AND(EDATE($D30,Milestones!$AA$123)&lt;=AsOfDate,IF($R30=0,$X30,IF(AND($T30&lt;&gt;"",EDATE($D30,Milestones!$AA$123)&gt;=$T30),$W30,IF(AND($S30&lt;&gt;"",EDATE($D30,Milestones!$AA$123)&gt;=$S30),$V30,$U30)))=Milestones!$AB$123),UPPER(TEXT(EDATE($D30,Milestones!$AA$123),"dd mmm yy"))&amp;" "&amp;Milestones!$AB$123&amp;" "&amp;Milestones!$AC$123&amp;";  ","")&amp;IF(AND(EDATE($D30,Milestones!$AA$124)&lt;=AsOfDate,IF($R30=0,$X30,IF(AND($T30&lt;&gt;"",EDATE($D30,Milestones!$AA$124)&gt;=$T30),$W30,IF(AND($S30&lt;&gt;"",EDATE($D30,Milestones!$AA$124)&gt;=$S30),$V30,$U30)))=Milestones!$AB$124),UPPER(TEXT(EDATE($D30,Milestones!$AA$124),"dd mmm yy"))&amp;" "&amp;Milestones!$AB$124&amp;" "&amp;Milestones!$AC$124&amp;";  ","")&amp;IF(AND(EDATE($D30,Milestones!$AA$125)&lt;=AsOfDate,IF($R30=0,$X30,IF(AND($T30&lt;&gt;"",EDATE($D30,Milestones!$AA$125)&gt;=$T30),$W30,IF(AND($S30&lt;&gt;"",EDATE($D30,Milestones!$AA$125)&gt;=$S30),$V30,$U30)))=Milestones!$AB$125),UPPER(TEXT(EDATE($D30,Milestones!$AA$125),"dd mmm yy"))&amp;" "&amp;Milestones!$AB$125&amp;" "&amp;Milestones!$AC$125&amp;";  ","")&amp;IF(AND(EDATE($D30,Milestones!$AA$126)&lt;=AsOfDate,IF($R30=0,$X30,IF(AND($T30&lt;&gt;"",EDATE($D30,Milestones!$AA$126)&gt;=$T30),$W30,IF(AND($S30&lt;&gt;"",EDATE($D30,Milestones!$AA$126)&gt;=$S30),$V30,$U30)))=Milestones!$AB$126),UPPER(TEXT(EDATE($D30,Milestones!$AA$126),"dd mmm yy"))&amp;" "&amp;Milestones!$AB$126&amp;" "&amp;Milestones!$AC$126&amp;";  ","")&amp;IF(AND(EDATE($D30,Milestones!$AA$127)&lt;=AsOfDate,IF($R30=0,$X30,IF(AND($T30&lt;&gt;"",EDATE($D30,Milestones!$AA$127)&gt;=$T30),$W30,IF(AND($S30&lt;&gt;"",EDATE($D30,Milestones!$AA$127)&gt;=$S30),$V30,$U30)))=Milestones!$AB$127),UPPER(TEXT(EDATE($D30,Milestones!$AA$127),"dd mmm yy"))&amp;" "&amp;Milestones!$AB$127&amp;" "&amp;Milestones!$AC$127&amp;";  ","")&amp;IF(AND(EDATE($D30,Milestones!$AA$128)&lt;=AsOfDate,IF($R30=0,$X30,IF(AND($T30&lt;&gt;"",EDATE($D30,Milestones!$AA$128)&gt;=$T30),$W30,IF(AND($S30&lt;&gt;"",EDATE($D30,Milestones!$AA$128)&gt;=$S30),$V30,$U30)))=Milestones!$AB$128),UPPER(TEXT(EDATE($D30,Milestones!$AA$128),"dd mmm yy"))&amp;" "&amp;Milestones!$AB$128&amp;" "&amp;Milestones!$AC$128&amp;";  ","")&amp;IF(AND(EDATE($D30,Milestones!$AA$129)&lt;=AsOfDate,IF($R30=0,$X30,IF(AND($T30&lt;&gt;"",EDATE($D30,Milestones!$AA$129)&gt;=$T30),$W30,IF(AND($S30&lt;&gt;"",EDATE($D30,Milestones!$AA$129)&gt;=$S30),$V30,$U30)))=Milestones!$AB$129),UPPER(TEXT(EDATE($D30,Milestones!$AA$129),"dd mmm yy"))&amp;" "&amp;Milestones!$AB$129&amp;" "&amp;Milestones!$AC$129&amp;";  ","")&amp;IF(AND(EDATE($D30,Milestones!$AA$130)&lt;=AsOfDate,IF($R30=0,$X30,IF(AND($T30&lt;&gt;"",EDATE($D30,Milestones!$AA$130)&gt;=$T30),$W30,IF(AND($S30&lt;&gt;"",EDATE($D30,Milestones!$AA$130)&gt;=$S30),$V30,$U30)))=Milestones!$AB$130),UPPER(TEXT(EDATE($D30,Milestones!$AA$130),"dd mmm yy"))&amp;" "&amp;Milestones!$AB$130&amp;" "&amp;Milestones!$AC$130&amp;";  ","")&amp;IF(AND(EDATE($D30,Milestones!$AA$131)&lt;=AsOfDate,IF($R30=0,$X30,IF(AND($T30&lt;&gt;"",EDATE($D30,Milestones!$AA$131)&gt;=$T30),$W30,IF(AND($S30&lt;&gt;"",EDATE($D30,Milestones!$AA$131)&gt;=$S30),$V30,$U30)))=Milestones!$AB$131),UPPER(TEXT(EDATE($D30,Milestones!$AA$131),"dd mmm yy"))&amp;" "&amp;Milestones!$AB$131&amp;" "&amp;Milestones!$AC$131&amp;";  ","")&amp;IF(AND(EDATE($D30,Milestones!$AA$132)&lt;=AsOfDate,IF($R30=0,$X30,IF(AND($T30&lt;&gt;"",EDATE($D30,Milestones!$AA$132)&gt;=$T30),$W30,IF(AND($S30&lt;&gt;"",EDATE($D30,Milestones!$AA$132)&gt;=$S30),$V30,$U30)))=Milestones!$AB$132),UPPER(TEXT(EDATE($D30,Milestones!$AA$132),"dd mmm yy"))&amp;" "&amp;Milestones!$AB$132&amp;" "&amp;Milestones!$AC$132&amp;";  ","")&amp;IF(AND(EDATE($D30,Milestones!$AA$133)&lt;=AsOfDate,IF($R30=0,$X30,IF(AND($T30&lt;&gt;"",EDATE($D30,Milestones!$AA$133)&gt;=$T30),$W30,IF(AND($S30&lt;&gt;"",EDATE($D30,Milestones!$AA$133)&gt;=$S30),$V30,$U30)))=Milestones!$AB$133),UPPER(TEXT(EDATE($D30,Milestones!$AA$133),"dd mmm yy"))&amp;" "&amp;Milestones!$AB$133&amp;" "&amp;Milestones!$AC$133&amp;";  ","")&amp;IF(AND(EDATE($D30,Milestones!$AA$134)&lt;=AsOfDate,IF($R30=0,$X30,IF(AND($T30&lt;&gt;"",EDATE($D30,Milestones!$AA$134)&gt;=$T30),$W30,IF(AND($S30&lt;&gt;"",EDATE($D30,Milestones!$AA$134)&gt;=$S30),$V30,$U30)))=Milestones!$AB$134),UPPER(TEXT(EDATE($D30,Milestones!$AA$134),"dd mmm yy"))&amp;" "&amp;Milestones!$AB$134&amp;" "&amp;Milestones!$AC$134&amp;";  ","")&amp;IF(AND(EDATE($D30,Milestones!$AA$135)&lt;=AsOfDate,IF($R30=0,$X30,IF(AND($T30&lt;&gt;"",EDATE($D30,Milestones!$AA$135)&gt;=$T30),$W30,IF(AND($S30&lt;&gt;"",EDATE($D30,Milestones!$AA$135)&gt;=$S30),$V30,$U30)))=Milestones!$AB$135),UPPER(TEXT(EDATE($D30,Milestones!$AA$135),"dd mmm yy"))&amp;" "&amp;Milestones!$AB$135&amp;" "&amp;Milestones!$AC$135&amp;";  ","")&amp;IF(AND(EDATE($D30,Milestones!$AA$136)&lt;=AsOfDate,IF($R30=0,$X30,IF(AND($T30&lt;&gt;"",EDATE($D30,Milestones!$AA$136)&gt;=$T30),$W30,IF(AND($S30&lt;&gt;"",EDATE($D30,Milestones!$AA$136)&gt;=$S30),$V30,$U30)))=Milestones!$AB$136),UPPER(TEXT(EDATE($D30,Milestones!$AA$136),"dd mmm yy"))&amp;" "&amp;Milestones!$AB$136&amp;" "&amp;Milestones!$AC$136&amp;";  ","")&amp;IF(AND(EDATE($D30,Milestones!$AA$137)&lt;=AsOfDate,IF($R30=0,$X30,IF(AND($T30&lt;&gt;"",EDATE($D30,Milestones!$AA$137)&gt;=$T30),$W30,IF(AND($S30&lt;&gt;"",EDATE($D30,Milestones!$AA$137)&gt;=$S30),$V30,$U30)))=Milestones!$AB$137),UPPER(TEXT(EDATE($D30,Milestones!$AA$137),"dd mmm yy"))&amp;" "&amp;Milestones!$AB$137&amp;" "&amp;Milestones!$AC$137&amp;";  ","")&amp;IF(AND(EDATE($D30,Milestones!$AA$138)&lt;=AsOfDate,IF($R30=0,$X30,IF(AND($T30&lt;&gt;"",EDATE($D30,Milestones!$AA$138)&gt;=$T30),$W30,IF(AND($S30&lt;&gt;"",EDATE($D30,Milestones!$AA$138)&gt;=$S30),$V30,$U30)))=Milestones!$AB$138),UPPER(TEXT(EDATE($D30,Milestones!$AA$138),"dd mmm yy"))&amp;" "&amp;Milestones!$AB$138&amp;" "&amp;Milestones!$AC$138&amp;";  ","")&amp;IF(AND(EDATE($D30,Milestones!$AA$139)&lt;=AsOfDate,IF($R30=0,$X30,IF(AND($T30&lt;&gt;"",EDATE($D30,Milestones!$AA$139)&gt;=$T30),$W30,IF(AND($S30&lt;&gt;"",EDATE($D30,Milestones!$AA$139)&gt;=$S30),$V30,$U30)))=Milestones!$AB$139),UPPER(TEXT(EDATE($D30,Milestones!$AA$139),"dd mmm yy"))&amp;" "&amp;Milestones!$AB$139&amp;" "&amp;Milestones!$AC$139&amp;";  ",""))</f>
        <v/>
      </c>
      <c r="O30" s="0" t="str">
        <f aca="false">IF(OR($A30="",$D30=""),"",IF(AND(EDATE($D30,Milestones!$AA$140)&lt;=AsOfDate,IF($R30=0,$X30,IF(AND($T30&lt;&gt;"",EDATE($D30,Milestones!$AA$140)&gt;=$T30),$W30,IF(AND($S30&lt;&gt;"",EDATE($D30,Milestones!$AA$140)&gt;=$S30),$V30,$U30)))=Milestones!$AB$140),UPPER(TEXT(EDATE($D30,Milestones!$AA$140),"dd mmm yy"))&amp;" "&amp;Milestones!$AB$140&amp;" "&amp;Milestones!$AC$140&amp;";  ","")&amp;IF(AND(EDATE($D30,Milestones!$AA$141)&lt;=AsOfDate,IF($R30=0,$X30,IF(AND($T30&lt;&gt;"",EDATE($D30,Milestones!$AA$141)&gt;=$T30),$W30,IF(AND($S30&lt;&gt;"",EDATE($D30,Milestones!$AA$141)&gt;=$S30),$V30,$U30)))=Milestones!$AB$141),UPPER(TEXT(EDATE($D30,Milestones!$AA$141),"dd mmm yy"))&amp;" "&amp;Milestones!$AB$141&amp;" "&amp;Milestones!$AC$141&amp;";  ","")&amp;IF(AND(EDATE($D30,Milestones!$AA$142)&lt;=AsOfDate,IF($R30=0,$X30,IF(AND($T30&lt;&gt;"",EDATE($D30,Milestones!$AA$142)&gt;=$T30),$W30,IF(AND($S30&lt;&gt;"",EDATE($D30,Milestones!$AA$142)&gt;=$S30),$V30,$U30)))=Milestones!$AB$142),UPPER(TEXT(EDATE($D30,Milestones!$AA$142),"dd mmm yy"))&amp;" "&amp;Milestones!$AB$142&amp;" "&amp;Milestones!$AC$142&amp;";  ","")&amp;IF(AND(EDATE($D30,Milestones!$AA$143)&lt;=AsOfDate,IF($R30=0,$X30,IF(AND($T30&lt;&gt;"",EDATE($D30,Milestones!$AA$143)&gt;=$T30),$W30,IF(AND($S30&lt;&gt;"",EDATE($D30,Milestones!$AA$143)&gt;=$S30),$V30,$U30)))=Milestones!$AB$143),UPPER(TEXT(EDATE($D30,Milestones!$AA$143),"dd mmm yy"))&amp;" "&amp;Milestones!$AB$143&amp;" "&amp;Milestones!$AC$143&amp;";  ","")&amp;IF(AND(EDATE($D30,Milestones!$AA$144)&lt;=AsOfDate,IF($R30=0,$X30,IF(AND($T30&lt;&gt;"",EDATE($D30,Milestones!$AA$144)&gt;=$T30),$W30,IF(AND($S30&lt;&gt;"",EDATE($D30,Milestones!$AA$144)&gt;=$S30),$V30,$U30)))=Milestones!$AB$144),UPPER(TEXT(EDATE($D30,Milestones!$AA$144),"dd mmm yy"))&amp;" "&amp;Milestones!$AB$144&amp;" "&amp;Milestones!$AC$144&amp;";  ","")&amp;IF(AND(EDATE($D30,Milestones!$AA$145)&lt;=AsOfDate,IF($R30=0,$X30,IF(AND($T30&lt;&gt;"",EDATE($D30,Milestones!$AA$145)&gt;=$T30),$W30,IF(AND($S30&lt;&gt;"",EDATE($D30,Milestones!$AA$145)&gt;=$S30),$V30,$U30)))=Milestones!$AB$145),UPPER(TEXT(EDATE($D30,Milestones!$AA$145),"dd mmm yy"))&amp;" "&amp;Milestones!$AB$145&amp;" "&amp;Milestones!$AC$145&amp;";  ","")&amp;IF(AND(EDATE($D30,Milestones!$AA$146)&lt;=AsOfDate,IF($R30=0,$X30,IF(AND($T30&lt;&gt;"",EDATE($D30,Milestones!$AA$146)&gt;=$T30),$W30,IF(AND($S30&lt;&gt;"",EDATE($D30,Milestones!$AA$146)&gt;=$S30),$V30,$U30)))=Milestones!$AB$146),UPPER(TEXT(EDATE($D30,Milestones!$AA$146),"dd mmm yy"))&amp;" "&amp;Milestones!$AB$146&amp;" "&amp;Milestones!$AC$146&amp;";  ","")&amp;IF(AND(EDATE($D30,Milestones!$AA$147)&lt;=AsOfDate,IF($R30=0,$X30,IF(AND($T30&lt;&gt;"",EDATE($D30,Milestones!$AA$147)&gt;=$T30),$W30,IF(AND($S30&lt;&gt;"",EDATE($D30,Milestones!$AA$147)&gt;=$S30),$V30,$U30)))=Milestones!$AB$147),UPPER(TEXT(EDATE($D30,Milestones!$AA$147),"dd mmm yy"))&amp;" "&amp;Milestones!$AB$147&amp;" "&amp;Milestones!$AC$147&amp;";  ","")&amp;IF(AND(EDATE($D30,Milestones!$AA$148)&lt;=AsOfDate,IF($R30=0,$X30,IF(AND($T30&lt;&gt;"",EDATE($D30,Milestones!$AA$148)&gt;=$T30),$W30,IF(AND($S30&lt;&gt;"",EDATE($D30,Milestones!$AA$148)&gt;=$S30),$V30,$U30)))=Milestones!$AB$148),UPPER(TEXT(EDATE($D30,Milestones!$AA$148),"dd mmm yy"))&amp;" "&amp;Milestones!$AB$148&amp;" "&amp;Milestones!$AC$148&amp;";  ","")&amp;IF(AND(EDATE($D30,Milestones!$AA$149)&lt;=AsOfDate,IF($R30=0,$X30,IF(AND($T30&lt;&gt;"",EDATE($D30,Milestones!$AA$149)&gt;=$T30),$W30,IF(AND($S30&lt;&gt;"",EDATE($D30,Milestones!$AA$149)&gt;=$S30),$V30,$U30)))=Milestones!$AB$149),UPPER(TEXT(EDATE($D30,Milestones!$AA$149),"dd mmm yy"))&amp;" "&amp;Milestones!$AB$149&amp;" "&amp;Milestones!$AC$149&amp;";  ","")&amp;IF(AND(EDATE($D30,Milestones!$AA$150)&lt;=AsOfDate,IF($R30=0,$X30,IF(AND($T30&lt;&gt;"",EDATE($D30,Milestones!$AA$150)&gt;=$T30),$W30,IF(AND($S30&lt;&gt;"",EDATE($D30,Milestones!$AA$150)&gt;=$S30),$V30,$U30)))=Milestones!$AB$150),UPPER(TEXT(EDATE($D30,Milestones!$AA$150),"dd mmm yy"))&amp;" "&amp;Milestones!$AB$150&amp;" "&amp;Milestones!$AC$150&amp;";  ","")&amp;IF(AND(EDATE($D30,Milestones!$AA$151)&lt;=AsOfDate,IF($R30=0,$X30,IF(AND($T30&lt;&gt;"",EDATE($D30,Milestones!$AA$151)&gt;=$T30),$W30,IF(AND($S30&lt;&gt;"",EDATE($D30,Milestones!$AA$151)&gt;=$S30),$V30,$U30)))=Milestones!$AB$151),UPPER(TEXT(EDATE($D30,Milestones!$AA$151),"dd mmm yy"))&amp;" "&amp;Milestones!$AB$151&amp;" "&amp;Milestones!$AC$151&amp;";  ","")&amp;IF(AND(EDATE($D30,Milestones!$AA$152)&lt;=AsOfDate,IF($R30=0,$X30,IF(AND($T30&lt;&gt;"",EDATE($D30,Milestones!$AA$152)&gt;=$T30),$W30,IF(AND($S30&lt;&gt;"",EDATE($D30,Milestones!$AA$152)&gt;=$S30),$V30,$U30)))=Milestones!$AB$152),UPPER(TEXT(EDATE($D30,Milestones!$AA$152),"dd mmm yy"))&amp;" "&amp;Milestones!$AB$152&amp;" "&amp;Milestones!$AC$152&amp;";  ","")&amp;IF(AND(EDATE($D30,Milestones!$AA$153)&lt;=AsOfDate,IF($R30=0,$X30,IF(AND($T30&lt;&gt;"",EDATE($D30,Milestones!$AA$153)&gt;=$T30),$W30,IF(AND($S30&lt;&gt;"",EDATE($D30,Milestones!$AA$153)&gt;=$S30),$V30,$U30)))=Milestones!$AB$153),UPPER(TEXT(EDATE($D30,Milestones!$AA$153),"dd mmm yy"))&amp;" "&amp;Milestones!$AB$153&amp;" "&amp;Milestones!$AC$153&amp;";  ","")&amp;IF(AND(EDATE($D30,Milestones!$AA$154)&lt;=AsOfDate,IF($R30=0,$X30,IF(AND($T30&lt;&gt;"",EDATE($D30,Milestones!$AA$154)&gt;=$T30),$W30,IF(AND($S30&lt;&gt;"",EDATE($D30,Milestones!$AA$154)&gt;=$S30),$V30,$U30)))=Milestones!$AB$154),UPPER(TEXT(EDATE($D30,Milestones!$AA$154),"dd mmm yy"))&amp;" "&amp;Milestones!$AB$154&amp;" "&amp;Milestones!$AC$154&amp;";  ","")&amp;IF(AND(EDATE($D30,Milestones!$AA$155)&lt;=AsOfDate,IF($R30=0,$X30,IF(AND($T30&lt;&gt;"",EDATE($D30,Milestones!$AA$155)&gt;=$T30),$W30,IF(AND($S30&lt;&gt;"",EDATE($D30,Milestones!$AA$155)&gt;=$S30),$V30,$U30)))=Milestones!$AB$155),UPPER(TEXT(EDATE($D30,Milestones!$AA$155),"dd mmm yy"))&amp;" "&amp;Milestones!$AB$155&amp;" "&amp;Milestones!$AC$155&amp;";  ","")&amp;IF(AND(EDATE($D30,Milestones!$AA$156)&lt;=AsOfDate,IF($R30=0,$X30,IF(AND($T30&lt;&gt;"",EDATE($D30,Milestones!$AA$156)&gt;=$T30),$W30,IF(AND($S30&lt;&gt;"",EDATE($D30,Milestones!$AA$156)&gt;=$S30),$V30,$U30)))=Milestones!$AB$156),UPPER(TEXT(EDATE($D30,Milestones!$AA$156),"dd mmm yy"))&amp;" "&amp;Milestones!$AB$156&amp;" "&amp;Milestones!$AC$156&amp;";  ","")&amp;IF(AND(EDATE($D30,Milestones!$AA$157)&lt;=AsOfDate,IF($R30=0,$X30,IF(AND($T30&lt;&gt;"",EDATE($D30,Milestones!$AA$157)&gt;=$T30),$W30,IF(AND($S30&lt;&gt;"",EDATE($D30,Milestones!$AA$157)&gt;=$S30),$V30,$U30)))=Milestones!$AB$157),UPPER(TEXT(EDATE($D30,Milestones!$AA$157),"dd mmm yy"))&amp;" "&amp;Milestones!$AB$157&amp;" "&amp;Milestones!$AC$157&amp;";  ","")&amp;IF(AND(EDATE($D30,Milestones!$AA$158)&lt;=AsOfDate,IF($R30=0,$X30,IF(AND($T30&lt;&gt;"",EDATE($D30,Milestones!$AA$158)&gt;=$T30),$W30,IF(AND($S30&lt;&gt;"",EDATE($D30,Milestones!$AA$158)&gt;=$S30),$V30,$U30)))=Milestones!$AB$158),UPPER(TEXT(EDATE($D30,Milestones!$AA$158),"dd mmm yy"))&amp;" "&amp;Milestones!$AB$158&amp;" "&amp;Milestones!$AC$158&amp;";  ","")&amp;IF(AND(EDATE($D30,Milestones!$AA$159)&lt;=AsOfDate,IF($R30=0,$X30,IF(AND($T30&lt;&gt;"",EDATE($D30,Milestones!$AA$159)&gt;=$T30),$W30,IF(AND($S30&lt;&gt;"",EDATE($D30,Milestones!$AA$159)&gt;=$S30),$V30,$U30)))=Milestones!$AB$159),UPPER(TEXT(EDATE($D30,Milestones!$AA$159),"dd mmm yy"))&amp;" "&amp;Milestones!$AB$159&amp;" "&amp;Milestones!$AC$159&amp;";  ",""))</f>
        <v/>
      </c>
      <c r="P30" s="0" t="str">
        <f aca="false">IF(OR($A30="",$D30=""),"",IF(AND(EDATE($D30,Milestones!$AA$160)&lt;=AsOfDate,IF($R30=0,$X30,IF(AND($T30&lt;&gt;"",EDATE($D30,Milestones!$AA$160)&gt;=$T30),$W30,IF(AND($S30&lt;&gt;"",EDATE($D30,Milestones!$AA$160)&gt;=$S30),$V30,$U30)))=Milestones!$AB$160),UPPER(TEXT(EDATE($D30,Milestones!$AA$160),"dd mmm yy"))&amp;" "&amp;Milestones!$AB$160&amp;" "&amp;Milestones!$AC$160&amp;";  ","")&amp;IF(AND(EDATE($D30,Milestones!$AA$161)&lt;=AsOfDate,IF($R30=0,$X30,IF(AND($T30&lt;&gt;"",EDATE($D30,Milestones!$AA$161)&gt;=$T30),$W30,IF(AND($S30&lt;&gt;"",EDATE($D30,Milestones!$AA$161)&gt;=$S30),$V30,$U30)))=Milestones!$AB$161),UPPER(TEXT(EDATE($D30,Milestones!$AA$161),"dd mmm yy"))&amp;" "&amp;Milestones!$AB$161&amp;" "&amp;Milestones!$AC$161&amp;";  ","")&amp;IF(AND(EDATE($D30,Milestones!$AA$162)&lt;=AsOfDate,IF($R30=0,$X30,IF(AND($T30&lt;&gt;"",EDATE($D30,Milestones!$AA$162)&gt;=$T30),$W30,IF(AND($S30&lt;&gt;"",EDATE($D30,Milestones!$AA$162)&gt;=$S30),$V30,$U30)))=Milestones!$AB$162),UPPER(TEXT(EDATE($D30,Milestones!$AA$162),"dd mmm yy"))&amp;" "&amp;Milestones!$AB$162&amp;" "&amp;Milestones!$AC$162&amp;";  ","")&amp;IF(AND(EDATE($D30,Milestones!$AA$163)&lt;=AsOfDate,IF($R30=0,$X30,IF(AND($T30&lt;&gt;"",EDATE($D30,Milestones!$AA$163)&gt;=$T30),$W30,IF(AND($S30&lt;&gt;"",EDATE($D30,Milestones!$AA$163)&gt;=$S30),$V30,$U30)))=Milestones!$AB$163),UPPER(TEXT(EDATE($D30,Milestones!$AA$163),"dd mmm yy"))&amp;" "&amp;Milestones!$AB$163&amp;" "&amp;Milestones!$AC$163&amp;";  ","")&amp;IF(AND(EDATE($D30,Milestones!$AA$164)&lt;=AsOfDate,IF($R30=0,$X30,IF(AND($T30&lt;&gt;"",EDATE($D30,Milestones!$AA$164)&gt;=$T30),$W30,IF(AND($S30&lt;&gt;"",EDATE($D30,Milestones!$AA$164)&gt;=$S30),$V30,$U30)))=Milestones!$AB$164),UPPER(TEXT(EDATE($D30,Milestones!$AA$164),"dd mmm yy"))&amp;" "&amp;Milestones!$AB$164&amp;" "&amp;Milestones!$AC$164&amp;";  ","")&amp;IF(AND(EDATE($D30,Milestones!$AA$165)&lt;=AsOfDate,IF($R30=0,$X30,IF(AND($T30&lt;&gt;"",EDATE($D30,Milestones!$AA$165)&gt;=$T30),$W30,IF(AND($S30&lt;&gt;"",EDATE($D30,Milestones!$AA$165)&gt;=$S30),$V30,$U30)))=Milestones!$AB$165),UPPER(TEXT(EDATE($D30,Milestones!$AA$165),"dd mmm yy"))&amp;" "&amp;Milestones!$AB$165&amp;" "&amp;Milestones!$AC$165&amp;";  ","")&amp;IF(AND(EDATE($D30,Milestones!$AA$166)&lt;=AsOfDate,IF($R30=0,$X30,IF(AND($T30&lt;&gt;"",EDATE($D30,Milestones!$AA$166)&gt;=$T30),$W30,IF(AND($S30&lt;&gt;"",EDATE($D30,Milestones!$AA$166)&gt;=$S30),$V30,$U30)))=Milestones!$AB$166),UPPER(TEXT(EDATE($D30,Milestones!$AA$166),"dd mmm yy"))&amp;" "&amp;Milestones!$AB$166&amp;" "&amp;Milestones!$AC$166&amp;";  ","")&amp;IF(AND(EDATE($D30,Milestones!$AA$167)&lt;=AsOfDate,IF($R30=0,$X30,IF(AND($T30&lt;&gt;"",EDATE($D30,Milestones!$AA$167)&gt;=$T30),$W30,IF(AND($S30&lt;&gt;"",EDATE($D30,Milestones!$AA$167)&gt;=$S30),$V30,$U30)))=Milestones!$AB$167),UPPER(TEXT(EDATE($D30,Milestones!$AA$167),"dd mmm yy"))&amp;" "&amp;Milestones!$AB$167&amp;" "&amp;Milestones!$AC$167&amp;";  ","")&amp;IF(AND(EDATE($D30,Milestones!$AA$168)&lt;=AsOfDate,IF($R30=0,$X30,IF(AND($T30&lt;&gt;"",EDATE($D30,Milestones!$AA$168)&gt;=$T30),$W30,IF(AND($S30&lt;&gt;"",EDATE($D30,Milestones!$AA$168)&gt;=$S30),$V30,$U30)))=Milestones!$AB$168),UPPER(TEXT(EDATE($D30,Milestones!$AA$168),"dd mmm yy"))&amp;" "&amp;Milestones!$AB$168&amp;" "&amp;Milestones!$AC$168&amp;";  ","")&amp;IF(AND(EDATE($D30,Milestones!$AA$169)&lt;=AsOfDate,IF($R30=0,$X30,IF(AND($T30&lt;&gt;"",EDATE($D30,Milestones!$AA$169)&gt;=$T30),$W30,IF(AND($S30&lt;&gt;"",EDATE($D30,Milestones!$AA$169)&gt;=$S30),$V30,$U30)))=Milestones!$AB$169),UPPER(TEXT(EDATE($D30,Milestones!$AA$169),"dd mmm yy"))&amp;" "&amp;Milestones!$AB$169&amp;" "&amp;Milestones!$AC$169&amp;";  ","")&amp;IF(AND(EDATE($D30,Milestones!$AA$170)&lt;=AsOfDate,IF($R30=0,$X30,IF(AND($T30&lt;&gt;"",EDATE($D30,Milestones!$AA$170)&gt;=$T30),$W30,IF(AND($S30&lt;&gt;"",EDATE($D30,Milestones!$AA$170)&gt;=$S30),$V30,$U30)))=Milestones!$AB$170),UPPER(TEXT(EDATE($D30,Milestones!$AA$170),"dd mmm yy"))&amp;" "&amp;Milestones!$AB$170&amp;" "&amp;Milestones!$AC$170&amp;";  ","")&amp;IF(AND(EDATE($D30,Milestones!$AA$171)&lt;=AsOfDate,IF($R30=0,$X30,IF(AND($T30&lt;&gt;"",EDATE($D30,Milestones!$AA$171)&gt;=$T30),$W30,IF(AND($S30&lt;&gt;"",EDATE($D30,Milestones!$AA$171)&gt;=$S30),$V30,$U30)))=Milestones!$AB$171),UPPER(TEXT(EDATE($D30,Milestones!$AA$171),"dd mmm yy"))&amp;" "&amp;Milestones!$AB$171&amp;" "&amp;Milestones!$AC$171&amp;";  ","")&amp;IF(AND(EDATE($D30,Milestones!$AA$172)&lt;=AsOfDate,IF($R30=0,$X30,IF(AND($T30&lt;&gt;"",EDATE($D30,Milestones!$AA$172)&gt;=$T30),$W30,IF(AND($S30&lt;&gt;"",EDATE($D30,Milestones!$AA$172)&gt;=$S30),$V30,$U30)))=Milestones!$AB$172),UPPER(TEXT(EDATE($D30,Milestones!$AA$172),"dd mmm yy"))&amp;" "&amp;Milestones!$AB$172&amp;" "&amp;Milestones!$AC$172&amp;";  ","")&amp;IF(AND(EDATE($D30,Milestones!$AA$173)&lt;=AsOfDate,IF($R30=0,$X30,IF(AND($T30&lt;&gt;"",EDATE($D30,Milestones!$AA$173)&gt;=$T30),$W30,IF(AND($S30&lt;&gt;"",EDATE($D30,Milestones!$AA$173)&gt;=$S30),$V30,$U30)))=Milestones!$AB$173),UPPER(TEXT(EDATE($D30,Milestones!$AA$173),"dd mmm yy"))&amp;" "&amp;Milestones!$AB$173&amp;" "&amp;Milestones!$AC$173&amp;";  ","")&amp;IF(AND(EDATE($D30,Milestones!$AA$174)&lt;=AsOfDate,IF($R30=0,$X30,IF(AND($T30&lt;&gt;"",EDATE($D30,Milestones!$AA$174)&gt;=$T30),$W30,IF(AND($S30&lt;&gt;"",EDATE($D30,Milestones!$AA$174)&gt;=$S30),$V30,$U30)))=Milestones!$AB$174),UPPER(TEXT(EDATE($D30,Milestones!$AA$174),"dd mmm yy"))&amp;" "&amp;Milestones!$AB$174&amp;" "&amp;Milestones!$AC$174&amp;";  ","")&amp;IF(AND(EDATE($D30,Milestones!$AA$175)&lt;=AsOfDate,IF($R30=0,$X30,IF(AND($T30&lt;&gt;"",EDATE($D30,Milestones!$AA$175)&gt;=$T30),$W30,IF(AND($S30&lt;&gt;"",EDATE($D30,Milestones!$AA$175)&gt;=$S30),$V30,$U30)))=Milestones!$AB$175),UPPER(TEXT(EDATE($D30,Milestones!$AA$175),"dd mmm yy"))&amp;" "&amp;Milestones!$AB$175&amp;" "&amp;Milestones!$AC$175&amp;";  ","")&amp;IF(AND(EDATE($D30,Milestones!$AA$176)&lt;=AsOfDate,IF($R30=0,$X30,IF(AND($T30&lt;&gt;"",EDATE($D30,Milestones!$AA$176)&gt;=$T30),$W30,IF(AND($S30&lt;&gt;"",EDATE($D30,Milestones!$AA$176)&gt;=$S30),$V30,$U30)))=Milestones!$AB$176),UPPER(TEXT(EDATE($D30,Milestones!$AA$176),"dd mmm yy"))&amp;" "&amp;Milestones!$AB$176&amp;" "&amp;Milestones!$AC$176&amp;";  ","")&amp;IF(AND(EDATE($D30,Milestones!$AA$177)&lt;=AsOfDate,IF($R30=0,$X30,IF(AND($T30&lt;&gt;"",EDATE($D30,Milestones!$AA$177)&gt;=$T30),$W30,IF(AND($S30&lt;&gt;"",EDATE($D30,Milestones!$AA$177)&gt;=$S30),$V30,$U30)))=Milestones!$AB$177),UPPER(TEXT(EDATE($D30,Milestones!$AA$177),"dd mmm yy"))&amp;" "&amp;Milestones!$AB$177&amp;" "&amp;Milestones!$AC$177&amp;";  ","")&amp;IF(AND(EDATE($D30,Milestones!$AA$178)&lt;=AsOfDate,IF($R30=0,$X30,IF(AND($T30&lt;&gt;"",EDATE($D30,Milestones!$AA$178)&gt;=$T30),$W30,IF(AND($S30&lt;&gt;"",EDATE($D30,Milestones!$AA$178)&gt;=$S30),$V30,$U30)))=Milestones!$AB$178),UPPER(TEXT(EDATE($D30,Milestones!$AA$178),"dd mmm yy"))&amp;" "&amp;Milestones!$AB$178&amp;" "&amp;Milestones!$AC$178&amp;";  ","")&amp;IF(AND(EDATE($D30,Milestones!$AA$179)&lt;=AsOfDate,IF($R30=0,$X30,IF(AND($T30&lt;&gt;"",EDATE($D30,Milestones!$AA$179)&gt;=$T30),$W30,IF(AND($S30&lt;&gt;"",EDATE($D30,Milestones!$AA$179)&gt;=$S30),$V30,$U30)))=Milestones!$AB$179),UPPER(TEXT(EDATE($D30,Milestones!$AA$179),"dd mmm yy"))&amp;" "&amp;Milestones!$AB$179&amp;" "&amp;Milestones!$AC$179&amp;";  ",""))</f>
        <v/>
      </c>
      <c r="Q30" s="0" t="str">
        <f aca="false">IF(OR($A30="",$D30=""),"",IF(AND(EDATE($D30,Milestones!$AA$180)&lt;=AsOfDate,IF($R30=0,$X30,IF(AND($T30&lt;&gt;"",EDATE($D30,Milestones!$AA$180)&gt;=$T30),$W30,IF(AND($S30&lt;&gt;"",EDATE($D30,Milestones!$AA$180)&gt;=$S30),$V30,$U30)))=Milestones!$AB$180),UPPER(TEXT(EDATE($D30,Milestones!$AA$180),"dd mmm yy"))&amp;" "&amp;Milestones!$AB$180&amp;" "&amp;Milestones!$AC$180&amp;";  ","")&amp;IF(AND(EDATE($D30,Milestones!$AA$181)&lt;=AsOfDate,IF($R30=0,$X30,IF(AND($T30&lt;&gt;"",EDATE($D30,Milestones!$AA$181)&gt;=$T30),$W30,IF(AND($S30&lt;&gt;"",EDATE($D30,Milestones!$AA$181)&gt;=$S30),$V30,$U30)))=Milestones!$AB$181),UPPER(TEXT(EDATE($D30,Milestones!$AA$181),"dd mmm yy"))&amp;" "&amp;Milestones!$AB$181&amp;" "&amp;Milestones!$AC$181&amp;";  ","")&amp;IF(AND(EDATE($D30,Milestones!$AA$182)&lt;=AsOfDate,IF($R30=0,$X30,IF(AND($T30&lt;&gt;"",EDATE($D30,Milestones!$AA$182)&gt;=$T30),$W30,IF(AND($S30&lt;&gt;"",EDATE($D30,Milestones!$AA$182)&gt;=$S30),$V30,$U30)))=Milestones!$AB$182),UPPER(TEXT(EDATE($D30,Milestones!$AA$182),"dd mmm yy"))&amp;" "&amp;Milestones!$AB$182&amp;" "&amp;Milestones!$AC$182&amp;";  ","")&amp;IF(AND(EDATE($D30,Milestones!$AA$183)&lt;=AsOfDate,IF($R30=0,$X30,IF(AND($T30&lt;&gt;"",EDATE($D30,Milestones!$AA$183)&gt;=$T30),$W30,IF(AND($S30&lt;&gt;"",EDATE($D30,Milestones!$AA$183)&gt;=$S30),$V30,$U30)))=Milestones!$AB$183),UPPER(TEXT(EDATE($D30,Milestones!$AA$183),"dd mmm yy"))&amp;" "&amp;Milestones!$AB$183&amp;" "&amp;Milestones!$AC$183&amp;";  ","")&amp;IF(AND(EDATE($D30,Milestones!$AA$184)&lt;=AsOfDate,IF($R30=0,$X30,IF(AND($T30&lt;&gt;"",EDATE($D30,Milestones!$AA$184)&gt;=$T30),$W30,IF(AND($S30&lt;&gt;"",EDATE($D30,Milestones!$AA$184)&gt;=$S30),$V30,$U30)))=Milestones!$AB$184),UPPER(TEXT(EDATE($D30,Milestones!$AA$184),"dd mmm yy"))&amp;" "&amp;Milestones!$AB$184&amp;" "&amp;Milestones!$AC$184&amp;";  ","")&amp;IF(AND(EDATE($D30,Milestones!$AA$185)&lt;=AsOfDate,IF($R30=0,$X30,IF(AND($T30&lt;&gt;"",EDATE($D30,Milestones!$AA$185)&gt;=$T30),$W30,IF(AND($S30&lt;&gt;"",EDATE($D30,Milestones!$AA$185)&gt;=$S30),$V30,$U30)))=Milestones!$AB$185),UPPER(TEXT(EDATE($D30,Milestones!$AA$185),"dd mmm yy"))&amp;" "&amp;Milestones!$AB$185&amp;" "&amp;Milestones!$AC$185&amp;";  ","")&amp;IF(AND(EDATE($D30,Milestones!$AA$186)&lt;=AsOfDate,IF($R30=0,$X30,IF(AND($T30&lt;&gt;"",EDATE($D30,Milestones!$AA$186)&gt;=$T30),$W30,IF(AND($S30&lt;&gt;"",EDATE($D30,Milestones!$AA$186)&gt;=$S30),$V30,$U30)))=Milestones!$AB$186),UPPER(TEXT(EDATE($D30,Milestones!$AA$186),"dd mmm yy"))&amp;" "&amp;Milestones!$AB$186&amp;" "&amp;Milestones!$AC$186&amp;";  ","")&amp;IF(AND(EDATE($D30,Milestones!$AA$187)&lt;=AsOfDate,IF($R30=0,$X30,IF(AND($T30&lt;&gt;"",EDATE($D30,Milestones!$AA$187)&gt;=$T30),$W30,IF(AND($S30&lt;&gt;"",EDATE($D30,Milestones!$AA$187)&gt;=$S30),$V30,$U30)))=Milestones!$AB$187),UPPER(TEXT(EDATE($D30,Milestones!$AA$187),"dd mmm yy"))&amp;" "&amp;Milestones!$AB$187&amp;" "&amp;Milestones!$AC$187&amp;";  ","")&amp;IF(AND(EDATE($D30,Milestones!$AA$188)&lt;=AsOfDate,IF($R30=0,$X30,IF(AND($T30&lt;&gt;"",EDATE($D30,Milestones!$AA$188)&gt;=$T30),$W30,IF(AND($S30&lt;&gt;"",EDATE($D30,Milestones!$AA$188)&gt;=$S30),$V30,$U30)))=Milestones!$AB$188),UPPER(TEXT(EDATE($D30,Milestones!$AA$188),"dd mmm yy"))&amp;" "&amp;Milestones!$AB$188&amp;" "&amp;Milestones!$AC$188&amp;";  ","")&amp;IF(AND(EDATE($D30,Milestones!$AA$189)&lt;=AsOfDate,IF($R30=0,$X30,IF(AND($T30&lt;&gt;"",EDATE($D30,Milestones!$AA$189)&gt;=$T30),$W30,IF(AND($S30&lt;&gt;"",EDATE($D30,Milestones!$AA$189)&gt;=$S30),$V30,$U30)))=Milestones!$AB$189),UPPER(TEXT(EDATE($D30,Milestones!$AA$189),"dd mmm yy"))&amp;" "&amp;Milestones!$AB$189&amp;" "&amp;Milestones!$AC$189&amp;";  ","")&amp;IF(AND(EDATE($D30,Milestones!$AA$190)&lt;=AsOfDate,IF($R30=0,$X30,IF(AND($T30&lt;&gt;"",EDATE($D30,Milestones!$AA$190)&gt;=$T30),$W30,IF(AND($S30&lt;&gt;"",EDATE($D30,Milestones!$AA$190)&gt;=$S30),$V30,$U30)))=Milestones!$AB$190),UPPER(TEXT(EDATE($D30,Milestones!$AA$190),"dd mmm yy"))&amp;" "&amp;Milestones!$AB$190&amp;" "&amp;Milestones!$AC$190&amp;";  ","")&amp;IF(AND(EDATE($D30,Milestones!$AA$191)&lt;=AsOfDate,IF($R30=0,$X30,IF(AND($T30&lt;&gt;"",EDATE($D30,Milestones!$AA$191)&gt;=$T30),$W30,IF(AND($S30&lt;&gt;"",EDATE($D30,Milestones!$AA$191)&gt;=$S30),$V30,$U30)))=Milestones!$AB$191),UPPER(TEXT(EDATE($D30,Milestones!$AA$191),"dd mmm yy"))&amp;" "&amp;Milestones!$AB$191&amp;" "&amp;Milestones!$AC$191&amp;";  ","")&amp;IF(AND(EDATE($D30,Milestones!$AA$192)&lt;=AsOfDate,IF($R30=0,$X30,IF(AND($T30&lt;&gt;"",EDATE($D30,Milestones!$AA$192)&gt;=$T30),$W30,IF(AND($S30&lt;&gt;"",EDATE($D30,Milestones!$AA$192)&gt;=$S30),$V30,$U30)))=Milestones!$AB$192),UPPER(TEXT(EDATE($D30,Milestones!$AA$192),"dd mmm yy"))&amp;" "&amp;Milestones!$AB$192&amp;" "&amp;Milestones!$AC$192&amp;";  ","")&amp;IF(AND(EDATE($D30,Milestones!$AA$193)&lt;=AsOfDate,IF($R30=0,$X30,IF(AND($T30&lt;&gt;"",EDATE($D30,Milestones!$AA$193)&gt;=$T30),$W30,IF(AND($S30&lt;&gt;"",EDATE($D30,Milestones!$AA$193)&gt;=$S30),$V30,$U30)))=Milestones!$AB$193),UPPER(TEXT(EDATE($D30,Milestones!$AA$193),"dd mmm yy"))&amp;" "&amp;Milestones!$AB$193&amp;" "&amp;Milestones!$AC$193&amp;";  ","")&amp;IF(AND(EDATE($D30,Milestones!$AA$194)&lt;=AsOfDate,IF($R30=0,$X30,IF(AND($T30&lt;&gt;"",EDATE($D30,Milestones!$AA$194)&gt;=$T30),$W30,IF(AND($S30&lt;&gt;"",EDATE($D30,Milestones!$AA$194)&gt;=$S30),$V30,$U30)))=Milestones!$AB$194),UPPER(TEXT(EDATE($D30,Milestones!$AA$194),"dd mmm yy"))&amp;" "&amp;Milestones!$AB$194&amp;" "&amp;Milestones!$AC$194&amp;";  ","")&amp;IF(AND(EDATE($D30,Milestones!$AA$195)&lt;=AsOfDate,IF($R30=0,$X30,IF(AND($T30&lt;&gt;"",EDATE($D30,Milestones!$AA$195)&gt;=$T30),$W30,IF(AND($S30&lt;&gt;"",EDATE($D30,Milestones!$AA$195)&gt;=$S30),$V30,$U30)))=Milestones!$AB$195),UPPER(TEXT(EDATE($D30,Milestones!$AA$195),"dd mmm yy"))&amp;" "&amp;Milestones!$AB$195&amp;" "&amp;Milestones!$AC$195&amp;";  ","")&amp;IF(AND(EDATE($D30,Milestones!$AA$196)&lt;=AsOfDate,IF($R30=0,$X30,IF(AND($T30&lt;&gt;"",EDATE($D30,Milestones!$AA$196)&gt;=$T30),$W30,IF(AND($S30&lt;&gt;"",EDATE($D30,Milestones!$AA$196)&gt;=$S30),$V30,$U30)))=Milestones!$AB$196),UPPER(TEXT(EDATE($D30,Milestones!$AA$196),"dd mmm yy"))&amp;" "&amp;Milestones!$AB$196&amp;" "&amp;Milestones!$AC$196&amp;";  ","")&amp;IF(AND(EDATE($D30,Milestones!$AA$197)&lt;=AsOfDate,IF($R30=0,$X30,IF(AND($T30&lt;&gt;"",EDATE($D30,Milestones!$AA$197)&gt;=$T30),$W30,IF(AND($S30&lt;&gt;"",EDATE($D30,Milestones!$AA$197)&gt;=$S30),$V30,$U30)))=Milestones!$AB$197),UPPER(TEXT(EDATE($D30,Milestones!$AA$197),"dd mmm yy"))&amp;" "&amp;Milestones!$AB$197&amp;" "&amp;Milestones!$AC$197&amp;";  ","")&amp;IF(AND(EDATE($D30,Milestones!$AA$198)&lt;=AsOfDate,IF($R30=0,$X30,IF(AND($T30&lt;&gt;"",EDATE($D30,Milestones!$AA$198)&gt;=$T30),$W30,IF(AND($S30&lt;&gt;"",EDATE($D30,Milestones!$AA$198)&gt;=$S30),$V30,$U30)))=Milestones!$AB$198),UPPER(TEXT(EDATE($D30,Milestones!$AA$198),"dd mmm yy"))&amp;" "&amp;Milestones!$AB$198&amp;" "&amp;Milestones!$AC$198&amp;";  ","")&amp;IF(AND(EDATE($D30,Milestones!$AA$199)&lt;=AsOfDate,IF($R30=0,$X30,IF(AND($T30&lt;&gt;"",EDATE($D30,Milestones!$AA$199)&gt;=$T30),$W30,IF(AND($S30&lt;&gt;"",EDATE($D30,Milestones!$AA$199)&gt;=$S30),$V30,$U30)))=Milestones!$AB$199),UPPER(TEXT(EDATE($D30,Milestones!$AA$199),"dd mmm yy"))&amp;" "&amp;Milestones!$AB$199&amp;" "&amp;Milestones!$AC$199&amp;";  ",""))</f>
        <v/>
      </c>
      <c r="R30" s="0" t="str">
        <f aca="false">IF(Staff!$A30="","",Staff!$AI30)</f>
        <v/>
      </c>
      <c r="S30" s="0" t="str">
        <f aca="false">IF(Staff!$A30="","",Staff!$AK30)</f>
        <v/>
      </c>
      <c r="T30" s="0" t="str">
        <f aca="false">IF(Staff!$A30="","",Staff!$AL30)</f>
        <v/>
      </c>
      <c r="U30" s="0" t="str">
        <f aca="false">IF(Staff!$A30="","",Staff!$AP30)</f>
        <v/>
      </c>
      <c r="V30" s="0" t="str">
        <f aca="false">IF(Staff!$A30="","",Staff!$AQ30)</f>
        <v/>
      </c>
      <c r="W30" s="0" t="str">
        <f aca="false">IF(Staff!$A30="","",Staff!$AR30)</f>
        <v/>
      </c>
      <c r="X30" s="0" t="str">
        <f aca="false">IF(Staff!$A30="","",Staff!$AS30)</f>
        <v/>
      </c>
    </row>
    <row r="31" customFormat="false" ht="15" hidden="false" customHeight="false" outlineLevel="0" collapsed="false">
      <c r="A31" s="14" t="str">
        <f aca="false">IF(Staff!$A31="","",Staff!$A31)</f>
        <v/>
      </c>
      <c r="B31" s="14" t="str">
        <f aca="false">IF(Staff!$A31="","",Staff!$B31)</f>
        <v/>
      </c>
      <c r="C31" s="14" t="str">
        <f aca="false">IF(Staff!$A31="","",Staff!$C31)</f>
        <v/>
      </c>
      <c r="D31" s="12" t="str">
        <f aca="false">IF(Staff!$A31="","",Staff!$AH31)</f>
        <v/>
      </c>
      <c r="E31" s="14" t="str">
        <f aca="false">IF(Staff!$A31="","",Staff!$O31)</f>
        <v/>
      </c>
      <c r="F31" s="14" t="str">
        <f aca="false">IF(E31="","",E31*HoursPerDay)</f>
        <v/>
      </c>
      <c r="G31" s="14" t="str">
        <f aca="false">IF(Staff!$A31="","",Staff!$AE31)</f>
        <v/>
      </c>
      <c r="H31" s="26" t="str">
        <f aca="false">IF($A31="","",I31&amp;J31&amp;K31&amp;L31&amp;M31&amp;N31&amp;O31&amp;P31&amp;Q31)</f>
        <v/>
      </c>
      <c r="I31" s="0" t="str">
        <f aca="false">IF(OR($A31="",$D31=""),"",IF(AND(EDATE($D31,Milestones!$AA$20)&lt;=AsOfDate,IF($R31=0,$X31,IF(AND($T31&lt;&gt;"",EDATE($D31,Milestones!$AA$20)&gt;=$T31),$W31,IF(AND($S31&lt;&gt;"",EDATE($D31,Milestones!$AA$20)&gt;=$S31),$V31,$U31)))=Milestones!$AB$20),UPPER(TEXT(EDATE($D31,Milestones!$AA$20),"dd mmm yy"))&amp;" "&amp;Milestones!$AB$20&amp;" "&amp;Milestones!$AC$20&amp;";  ","")&amp;IF(AND(EDATE($D31,Milestones!$AA$21)&lt;=AsOfDate,IF($R31=0,$X31,IF(AND($T31&lt;&gt;"",EDATE($D31,Milestones!$AA$21)&gt;=$T31),$W31,IF(AND($S31&lt;&gt;"",EDATE($D31,Milestones!$AA$21)&gt;=$S31),$V31,$U31)))=Milestones!$AB$21),UPPER(TEXT(EDATE($D31,Milestones!$AA$21),"dd mmm yy"))&amp;" "&amp;Milestones!$AB$21&amp;" "&amp;Milestones!$AC$21&amp;";  ","")&amp;IF(AND(EDATE($D31,Milestones!$AA$22)&lt;=AsOfDate,IF($R31=0,$X31,IF(AND($T31&lt;&gt;"",EDATE($D31,Milestones!$AA$22)&gt;=$T31),$W31,IF(AND($S31&lt;&gt;"",EDATE($D31,Milestones!$AA$22)&gt;=$S31),$V31,$U31)))=Milestones!$AB$22),UPPER(TEXT(EDATE($D31,Milestones!$AA$22),"dd mmm yy"))&amp;" "&amp;Milestones!$AB$22&amp;" "&amp;Milestones!$AC$22&amp;";  ","")&amp;IF(AND(EDATE($D31,Milestones!$AA$23)&lt;=AsOfDate,IF($R31=0,$X31,IF(AND($T31&lt;&gt;"",EDATE($D31,Milestones!$AA$23)&gt;=$T31),$W31,IF(AND($S31&lt;&gt;"",EDATE($D31,Milestones!$AA$23)&gt;=$S31),$V31,$U31)))=Milestones!$AB$23),UPPER(TEXT(EDATE($D31,Milestones!$AA$23),"dd mmm yy"))&amp;" "&amp;Milestones!$AB$23&amp;" "&amp;Milestones!$AC$23&amp;";  ","")&amp;IF(AND(EDATE($D31,Milestones!$AA$24)&lt;=AsOfDate,IF($R31=0,$X31,IF(AND($T31&lt;&gt;"",EDATE($D31,Milestones!$AA$24)&gt;=$T31),$W31,IF(AND($S31&lt;&gt;"",EDATE($D31,Milestones!$AA$24)&gt;=$S31),$V31,$U31)))=Milestones!$AB$24),UPPER(TEXT(EDATE($D31,Milestones!$AA$24),"dd mmm yy"))&amp;" "&amp;Milestones!$AB$24&amp;" "&amp;Milestones!$AC$24&amp;";  ","")&amp;IF(AND(EDATE($D31,Milestones!$AA$25)&lt;=AsOfDate,IF($R31=0,$X31,IF(AND($T31&lt;&gt;"",EDATE($D31,Milestones!$AA$25)&gt;=$T31),$W31,IF(AND($S31&lt;&gt;"",EDATE($D31,Milestones!$AA$25)&gt;=$S31),$V31,$U31)))=Milestones!$AB$25),UPPER(TEXT(EDATE($D31,Milestones!$AA$25),"dd mmm yy"))&amp;" "&amp;Milestones!$AB$25&amp;" "&amp;Milestones!$AC$25&amp;";  ","")&amp;IF(AND(EDATE($D31,Milestones!$AA$26)&lt;=AsOfDate,IF($R31=0,$X31,IF(AND($T31&lt;&gt;"",EDATE($D31,Milestones!$AA$26)&gt;=$T31),$W31,IF(AND($S31&lt;&gt;"",EDATE($D31,Milestones!$AA$26)&gt;=$S31),$V31,$U31)))=Milestones!$AB$26),UPPER(TEXT(EDATE($D31,Milestones!$AA$26),"dd mmm yy"))&amp;" "&amp;Milestones!$AB$26&amp;" "&amp;Milestones!$AC$26&amp;";  ","")&amp;IF(AND(EDATE($D31,Milestones!$AA$27)&lt;=AsOfDate,IF($R31=0,$X31,IF(AND($T31&lt;&gt;"",EDATE($D31,Milestones!$AA$27)&gt;=$T31),$W31,IF(AND($S31&lt;&gt;"",EDATE($D31,Milestones!$AA$27)&gt;=$S31),$V31,$U31)))=Milestones!$AB$27),UPPER(TEXT(EDATE($D31,Milestones!$AA$27),"dd mmm yy"))&amp;" "&amp;Milestones!$AB$27&amp;" "&amp;Milestones!$AC$27&amp;";  ","")&amp;IF(AND(EDATE($D31,Milestones!$AA$28)&lt;=AsOfDate,IF($R31=0,$X31,IF(AND($T31&lt;&gt;"",EDATE($D31,Milestones!$AA$28)&gt;=$T31),$W31,IF(AND($S31&lt;&gt;"",EDATE($D31,Milestones!$AA$28)&gt;=$S31),$V31,$U31)))=Milestones!$AB$28),UPPER(TEXT(EDATE($D31,Milestones!$AA$28),"dd mmm yy"))&amp;" "&amp;Milestones!$AB$28&amp;" "&amp;Milestones!$AC$28&amp;";  ","")&amp;IF(AND(EDATE($D31,Milestones!$AA$29)&lt;=AsOfDate,IF($R31=0,$X31,IF(AND($T31&lt;&gt;"",EDATE($D31,Milestones!$AA$29)&gt;=$T31),$W31,IF(AND($S31&lt;&gt;"",EDATE($D31,Milestones!$AA$29)&gt;=$S31),$V31,$U31)))=Milestones!$AB$29),UPPER(TEXT(EDATE($D31,Milestones!$AA$29),"dd mmm yy"))&amp;" "&amp;Milestones!$AB$29&amp;" "&amp;Milestones!$AC$29&amp;";  ","")&amp;IF(AND(EDATE($D31,Milestones!$AA$30)&lt;=AsOfDate,IF($R31=0,$X31,IF(AND($T31&lt;&gt;"",EDATE($D31,Milestones!$AA$30)&gt;=$T31),$W31,IF(AND($S31&lt;&gt;"",EDATE($D31,Milestones!$AA$30)&gt;=$S31),$V31,$U31)))=Milestones!$AB$30),UPPER(TEXT(EDATE($D31,Milestones!$AA$30),"dd mmm yy"))&amp;" "&amp;Milestones!$AB$30&amp;" "&amp;Milestones!$AC$30&amp;";  ","")&amp;IF(AND(EDATE($D31,Milestones!$AA$31)&lt;=AsOfDate,IF($R31=0,$X31,IF(AND($T31&lt;&gt;"",EDATE($D31,Milestones!$AA$31)&gt;=$T31),$W31,IF(AND($S31&lt;&gt;"",EDATE($D31,Milestones!$AA$31)&gt;=$S31),$V31,$U31)))=Milestones!$AB$31),UPPER(TEXT(EDATE($D31,Milestones!$AA$31),"dd mmm yy"))&amp;" "&amp;Milestones!$AB$31&amp;" "&amp;Milestones!$AC$31&amp;";  ","")&amp;IF(AND(EDATE($D31,Milestones!$AA$32)&lt;=AsOfDate,IF($R31=0,$X31,IF(AND($T31&lt;&gt;"",EDATE($D31,Milestones!$AA$32)&gt;=$T31),$W31,IF(AND($S31&lt;&gt;"",EDATE($D31,Milestones!$AA$32)&gt;=$S31),$V31,$U31)))=Milestones!$AB$32),UPPER(TEXT(EDATE($D31,Milestones!$AA$32),"dd mmm yy"))&amp;" "&amp;Milestones!$AB$32&amp;" "&amp;Milestones!$AC$32&amp;";  ","")&amp;IF(AND(EDATE($D31,Milestones!$AA$33)&lt;=AsOfDate,IF($R31=0,$X31,IF(AND($T31&lt;&gt;"",EDATE($D31,Milestones!$AA$33)&gt;=$T31),$W31,IF(AND($S31&lt;&gt;"",EDATE($D31,Milestones!$AA$33)&gt;=$S31),$V31,$U31)))=Milestones!$AB$33),UPPER(TEXT(EDATE($D31,Milestones!$AA$33),"dd mmm yy"))&amp;" "&amp;Milestones!$AB$33&amp;" "&amp;Milestones!$AC$33&amp;";  ","")&amp;IF(AND(EDATE($D31,Milestones!$AA$34)&lt;=AsOfDate,IF($R31=0,$X31,IF(AND($T31&lt;&gt;"",EDATE($D31,Milestones!$AA$34)&gt;=$T31),$W31,IF(AND($S31&lt;&gt;"",EDATE($D31,Milestones!$AA$34)&gt;=$S31),$V31,$U31)))=Milestones!$AB$34),UPPER(TEXT(EDATE($D31,Milestones!$AA$34),"dd mmm yy"))&amp;" "&amp;Milestones!$AB$34&amp;" "&amp;Milestones!$AC$34&amp;";  ","")&amp;IF(AND(EDATE($D31,Milestones!$AA$35)&lt;=AsOfDate,IF($R31=0,$X31,IF(AND($T31&lt;&gt;"",EDATE($D31,Milestones!$AA$35)&gt;=$T31),$W31,IF(AND($S31&lt;&gt;"",EDATE($D31,Milestones!$AA$35)&gt;=$S31),$V31,$U31)))=Milestones!$AB$35),UPPER(TEXT(EDATE($D31,Milestones!$AA$35),"dd mmm yy"))&amp;" "&amp;Milestones!$AB$35&amp;" "&amp;Milestones!$AC$35&amp;";  ","")&amp;IF(AND(EDATE($D31,Milestones!$AA$36)&lt;=AsOfDate,IF($R31=0,$X31,IF(AND($T31&lt;&gt;"",EDATE($D31,Milestones!$AA$36)&gt;=$T31),$W31,IF(AND($S31&lt;&gt;"",EDATE($D31,Milestones!$AA$36)&gt;=$S31),$V31,$U31)))=Milestones!$AB$36),UPPER(TEXT(EDATE($D31,Milestones!$AA$36),"dd mmm yy"))&amp;" "&amp;Milestones!$AB$36&amp;" "&amp;Milestones!$AC$36&amp;";  ","")&amp;IF(AND(EDATE($D31,Milestones!$AA$37)&lt;=AsOfDate,IF($R31=0,$X31,IF(AND($T31&lt;&gt;"",EDATE($D31,Milestones!$AA$37)&gt;=$T31),$W31,IF(AND($S31&lt;&gt;"",EDATE($D31,Milestones!$AA$37)&gt;=$S31),$V31,$U31)))=Milestones!$AB$37),UPPER(TEXT(EDATE($D31,Milestones!$AA$37),"dd mmm yy"))&amp;" "&amp;Milestones!$AB$37&amp;" "&amp;Milestones!$AC$37&amp;";  ","")&amp;IF(AND(EDATE($D31,Milestones!$AA$38)&lt;=AsOfDate,IF($R31=0,$X31,IF(AND($T31&lt;&gt;"",EDATE($D31,Milestones!$AA$38)&gt;=$T31),$W31,IF(AND($S31&lt;&gt;"",EDATE($D31,Milestones!$AA$38)&gt;=$S31),$V31,$U31)))=Milestones!$AB$38),UPPER(TEXT(EDATE($D31,Milestones!$AA$38),"dd mmm yy"))&amp;" "&amp;Milestones!$AB$38&amp;" "&amp;Milestones!$AC$38&amp;";  ","")&amp;IF(AND(EDATE($D31,Milestones!$AA$39)&lt;=AsOfDate,IF($R31=0,$X31,IF(AND($T31&lt;&gt;"",EDATE($D31,Milestones!$AA$39)&gt;=$T31),$W31,IF(AND($S31&lt;&gt;"",EDATE($D31,Milestones!$AA$39)&gt;=$S31),$V31,$U31)))=Milestones!$AB$39),UPPER(TEXT(EDATE($D31,Milestones!$AA$39),"dd mmm yy"))&amp;" "&amp;Milestones!$AB$39&amp;" "&amp;Milestones!$AC$39&amp;";  ",""))</f>
        <v/>
      </c>
      <c r="J31" s="0" t="str">
        <f aca="false">IF(OR($A31="",$D31=""),"",IF(AND(EDATE($D31,Milestones!$AA$40)&lt;=AsOfDate,IF($R31=0,$X31,IF(AND($T31&lt;&gt;"",EDATE($D31,Milestones!$AA$40)&gt;=$T31),$W31,IF(AND($S31&lt;&gt;"",EDATE($D31,Milestones!$AA$40)&gt;=$S31),$V31,$U31)))=Milestones!$AB$40),UPPER(TEXT(EDATE($D31,Milestones!$AA$40),"dd mmm yy"))&amp;" "&amp;Milestones!$AB$40&amp;" "&amp;Milestones!$AC$40&amp;";  ","")&amp;IF(AND(EDATE($D31,Milestones!$AA$41)&lt;=AsOfDate,IF($R31=0,$X31,IF(AND($T31&lt;&gt;"",EDATE($D31,Milestones!$AA$41)&gt;=$T31),$W31,IF(AND($S31&lt;&gt;"",EDATE($D31,Milestones!$AA$41)&gt;=$S31),$V31,$U31)))=Milestones!$AB$41),UPPER(TEXT(EDATE($D31,Milestones!$AA$41),"dd mmm yy"))&amp;" "&amp;Milestones!$AB$41&amp;" "&amp;Milestones!$AC$41&amp;";  ","")&amp;IF(AND(EDATE($D31,Milestones!$AA$42)&lt;=AsOfDate,IF($R31=0,$X31,IF(AND($T31&lt;&gt;"",EDATE($D31,Milestones!$AA$42)&gt;=$T31),$W31,IF(AND($S31&lt;&gt;"",EDATE($D31,Milestones!$AA$42)&gt;=$S31),$V31,$U31)))=Milestones!$AB$42),UPPER(TEXT(EDATE($D31,Milestones!$AA$42),"dd mmm yy"))&amp;" "&amp;Milestones!$AB$42&amp;" "&amp;Milestones!$AC$42&amp;";  ","")&amp;IF(AND(EDATE($D31,Milestones!$AA$43)&lt;=AsOfDate,IF($R31=0,$X31,IF(AND($T31&lt;&gt;"",EDATE($D31,Milestones!$AA$43)&gt;=$T31),$W31,IF(AND($S31&lt;&gt;"",EDATE($D31,Milestones!$AA$43)&gt;=$S31),$V31,$U31)))=Milestones!$AB$43),UPPER(TEXT(EDATE($D31,Milestones!$AA$43),"dd mmm yy"))&amp;" "&amp;Milestones!$AB$43&amp;" "&amp;Milestones!$AC$43&amp;";  ","")&amp;IF(AND(EDATE($D31,Milestones!$AA$44)&lt;=AsOfDate,IF($R31=0,$X31,IF(AND($T31&lt;&gt;"",EDATE($D31,Milestones!$AA$44)&gt;=$T31),$W31,IF(AND($S31&lt;&gt;"",EDATE($D31,Milestones!$AA$44)&gt;=$S31),$V31,$U31)))=Milestones!$AB$44),UPPER(TEXT(EDATE($D31,Milestones!$AA$44),"dd mmm yy"))&amp;" "&amp;Milestones!$AB$44&amp;" "&amp;Milestones!$AC$44&amp;";  ","")&amp;IF(AND(EDATE($D31,Milestones!$AA$45)&lt;=AsOfDate,IF($R31=0,$X31,IF(AND($T31&lt;&gt;"",EDATE($D31,Milestones!$AA$45)&gt;=$T31),$W31,IF(AND($S31&lt;&gt;"",EDATE($D31,Milestones!$AA$45)&gt;=$S31),$V31,$U31)))=Milestones!$AB$45),UPPER(TEXT(EDATE($D31,Milestones!$AA$45),"dd mmm yy"))&amp;" "&amp;Milestones!$AB$45&amp;" "&amp;Milestones!$AC$45&amp;";  ","")&amp;IF(AND(EDATE($D31,Milestones!$AA$46)&lt;=AsOfDate,IF($R31=0,$X31,IF(AND($T31&lt;&gt;"",EDATE($D31,Milestones!$AA$46)&gt;=$T31),$W31,IF(AND($S31&lt;&gt;"",EDATE($D31,Milestones!$AA$46)&gt;=$S31),$V31,$U31)))=Milestones!$AB$46),UPPER(TEXT(EDATE($D31,Milestones!$AA$46),"dd mmm yy"))&amp;" "&amp;Milestones!$AB$46&amp;" "&amp;Milestones!$AC$46&amp;";  ","")&amp;IF(AND(EDATE($D31,Milestones!$AA$47)&lt;=AsOfDate,IF($R31=0,$X31,IF(AND($T31&lt;&gt;"",EDATE($D31,Milestones!$AA$47)&gt;=$T31),$W31,IF(AND($S31&lt;&gt;"",EDATE($D31,Milestones!$AA$47)&gt;=$S31),$V31,$U31)))=Milestones!$AB$47),UPPER(TEXT(EDATE($D31,Milestones!$AA$47),"dd mmm yy"))&amp;" "&amp;Milestones!$AB$47&amp;" "&amp;Milestones!$AC$47&amp;";  ","")&amp;IF(AND(EDATE($D31,Milestones!$AA$48)&lt;=AsOfDate,IF($R31=0,$X31,IF(AND($T31&lt;&gt;"",EDATE($D31,Milestones!$AA$48)&gt;=$T31),$W31,IF(AND($S31&lt;&gt;"",EDATE($D31,Milestones!$AA$48)&gt;=$S31),$V31,$U31)))=Milestones!$AB$48),UPPER(TEXT(EDATE($D31,Milestones!$AA$48),"dd mmm yy"))&amp;" "&amp;Milestones!$AB$48&amp;" "&amp;Milestones!$AC$48&amp;";  ","")&amp;IF(AND(EDATE($D31,Milestones!$AA$49)&lt;=AsOfDate,IF($R31=0,$X31,IF(AND($T31&lt;&gt;"",EDATE($D31,Milestones!$AA$49)&gt;=$T31),$W31,IF(AND($S31&lt;&gt;"",EDATE($D31,Milestones!$AA$49)&gt;=$S31),$V31,$U31)))=Milestones!$AB$49),UPPER(TEXT(EDATE($D31,Milestones!$AA$49),"dd mmm yy"))&amp;" "&amp;Milestones!$AB$49&amp;" "&amp;Milestones!$AC$49&amp;";  ","")&amp;IF(AND(EDATE($D31,Milestones!$AA$50)&lt;=AsOfDate,IF($R31=0,$X31,IF(AND($T31&lt;&gt;"",EDATE($D31,Milestones!$AA$50)&gt;=$T31),$W31,IF(AND($S31&lt;&gt;"",EDATE($D31,Milestones!$AA$50)&gt;=$S31),$V31,$U31)))=Milestones!$AB$50),UPPER(TEXT(EDATE($D31,Milestones!$AA$50),"dd mmm yy"))&amp;" "&amp;Milestones!$AB$50&amp;" "&amp;Milestones!$AC$50&amp;";  ","")&amp;IF(AND(EDATE($D31,Milestones!$AA$51)&lt;=AsOfDate,IF($R31=0,$X31,IF(AND($T31&lt;&gt;"",EDATE($D31,Milestones!$AA$51)&gt;=$T31),$W31,IF(AND($S31&lt;&gt;"",EDATE($D31,Milestones!$AA$51)&gt;=$S31),$V31,$U31)))=Milestones!$AB$51),UPPER(TEXT(EDATE($D31,Milestones!$AA$51),"dd mmm yy"))&amp;" "&amp;Milestones!$AB$51&amp;" "&amp;Milestones!$AC$51&amp;";  ","")&amp;IF(AND(EDATE($D31,Milestones!$AA$52)&lt;=AsOfDate,IF($R31=0,$X31,IF(AND($T31&lt;&gt;"",EDATE($D31,Milestones!$AA$52)&gt;=$T31),$W31,IF(AND($S31&lt;&gt;"",EDATE($D31,Milestones!$AA$52)&gt;=$S31),$V31,$U31)))=Milestones!$AB$52),UPPER(TEXT(EDATE($D31,Milestones!$AA$52),"dd mmm yy"))&amp;" "&amp;Milestones!$AB$52&amp;" "&amp;Milestones!$AC$52&amp;";  ","")&amp;IF(AND(EDATE($D31,Milestones!$AA$53)&lt;=AsOfDate,IF($R31=0,$X31,IF(AND($T31&lt;&gt;"",EDATE($D31,Milestones!$AA$53)&gt;=$T31),$W31,IF(AND($S31&lt;&gt;"",EDATE($D31,Milestones!$AA$53)&gt;=$S31),$V31,$U31)))=Milestones!$AB$53),UPPER(TEXT(EDATE($D31,Milestones!$AA$53),"dd mmm yy"))&amp;" "&amp;Milestones!$AB$53&amp;" "&amp;Milestones!$AC$53&amp;";  ","")&amp;IF(AND(EDATE($D31,Milestones!$AA$54)&lt;=AsOfDate,IF($R31=0,$X31,IF(AND($T31&lt;&gt;"",EDATE($D31,Milestones!$AA$54)&gt;=$T31),$W31,IF(AND($S31&lt;&gt;"",EDATE($D31,Milestones!$AA$54)&gt;=$S31),$V31,$U31)))=Milestones!$AB$54),UPPER(TEXT(EDATE($D31,Milestones!$AA$54),"dd mmm yy"))&amp;" "&amp;Milestones!$AB$54&amp;" "&amp;Milestones!$AC$54&amp;";  ","")&amp;IF(AND(EDATE($D31,Milestones!$AA$55)&lt;=AsOfDate,IF($R31=0,$X31,IF(AND($T31&lt;&gt;"",EDATE($D31,Milestones!$AA$55)&gt;=$T31),$W31,IF(AND($S31&lt;&gt;"",EDATE($D31,Milestones!$AA$55)&gt;=$S31),$V31,$U31)))=Milestones!$AB$55),UPPER(TEXT(EDATE($D31,Milestones!$AA$55),"dd mmm yy"))&amp;" "&amp;Milestones!$AB$55&amp;" "&amp;Milestones!$AC$55&amp;";  ","")&amp;IF(AND(EDATE($D31,Milestones!$AA$56)&lt;=AsOfDate,IF($R31=0,$X31,IF(AND($T31&lt;&gt;"",EDATE($D31,Milestones!$AA$56)&gt;=$T31),$W31,IF(AND($S31&lt;&gt;"",EDATE($D31,Milestones!$AA$56)&gt;=$S31),$V31,$U31)))=Milestones!$AB$56),UPPER(TEXT(EDATE($D31,Milestones!$AA$56),"dd mmm yy"))&amp;" "&amp;Milestones!$AB$56&amp;" "&amp;Milestones!$AC$56&amp;";  ","")&amp;IF(AND(EDATE($D31,Milestones!$AA$57)&lt;=AsOfDate,IF($R31=0,$X31,IF(AND($T31&lt;&gt;"",EDATE($D31,Milestones!$AA$57)&gt;=$T31),$W31,IF(AND($S31&lt;&gt;"",EDATE($D31,Milestones!$AA$57)&gt;=$S31),$V31,$U31)))=Milestones!$AB$57),UPPER(TEXT(EDATE($D31,Milestones!$AA$57),"dd mmm yy"))&amp;" "&amp;Milestones!$AB$57&amp;" "&amp;Milestones!$AC$57&amp;";  ","")&amp;IF(AND(EDATE($D31,Milestones!$AA$58)&lt;=AsOfDate,IF($R31=0,$X31,IF(AND($T31&lt;&gt;"",EDATE($D31,Milestones!$AA$58)&gt;=$T31),$W31,IF(AND($S31&lt;&gt;"",EDATE($D31,Milestones!$AA$58)&gt;=$S31),$V31,$U31)))=Milestones!$AB$58),UPPER(TEXT(EDATE($D31,Milestones!$AA$58),"dd mmm yy"))&amp;" "&amp;Milestones!$AB$58&amp;" "&amp;Milestones!$AC$58&amp;";  ","")&amp;IF(AND(EDATE($D31,Milestones!$AA$59)&lt;=AsOfDate,IF($R31=0,$X31,IF(AND($T31&lt;&gt;"",EDATE($D31,Milestones!$AA$59)&gt;=$T31),$W31,IF(AND($S31&lt;&gt;"",EDATE($D31,Milestones!$AA$59)&gt;=$S31),$V31,$U31)))=Milestones!$AB$59),UPPER(TEXT(EDATE($D31,Milestones!$AA$59),"dd mmm yy"))&amp;" "&amp;Milestones!$AB$59&amp;" "&amp;Milestones!$AC$59&amp;";  ",""))</f>
        <v/>
      </c>
      <c r="K31" s="0" t="str">
        <f aca="false">IF(OR($A31="",$D31=""),"",IF(AND(EDATE($D31,Milestones!$AA$60)&lt;=AsOfDate,IF($R31=0,$X31,IF(AND($T31&lt;&gt;"",EDATE($D31,Milestones!$AA$60)&gt;=$T31),$W31,IF(AND($S31&lt;&gt;"",EDATE($D31,Milestones!$AA$60)&gt;=$S31),$V31,$U31)))=Milestones!$AB$60),UPPER(TEXT(EDATE($D31,Milestones!$AA$60),"dd mmm yy"))&amp;" "&amp;Milestones!$AB$60&amp;" "&amp;Milestones!$AC$60&amp;";  ","")&amp;IF(AND(EDATE($D31,Milestones!$AA$61)&lt;=AsOfDate,IF($R31=0,$X31,IF(AND($T31&lt;&gt;"",EDATE($D31,Milestones!$AA$61)&gt;=$T31),$W31,IF(AND($S31&lt;&gt;"",EDATE($D31,Milestones!$AA$61)&gt;=$S31),$V31,$U31)))=Milestones!$AB$61),UPPER(TEXT(EDATE($D31,Milestones!$AA$61),"dd mmm yy"))&amp;" "&amp;Milestones!$AB$61&amp;" "&amp;Milestones!$AC$61&amp;";  ","")&amp;IF(AND(EDATE($D31,Milestones!$AA$62)&lt;=AsOfDate,IF($R31=0,$X31,IF(AND($T31&lt;&gt;"",EDATE($D31,Milestones!$AA$62)&gt;=$T31),$W31,IF(AND($S31&lt;&gt;"",EDATE($D31,Milestones!$AA$62)&gt;=$S31),$V31,$U31)))=Milestones!$AB$62),UPPER(TEXT(EDATE($D31,Milestones!$AA$62),"dd mmm yy"))&amp;" "&amp;Milestones!$AB$62&amp;" "&amp;Milestones!$AC$62&amp;";  ","")&amp;IF(AND(EDATE($D31,Milestones!$AA$63)&lt;=AsOfDate,IF($R31=0,$X31,IF(AND($T31&lt;&gt;"",EDATE($D31,Milestones!$AA$63)&gt;=$T31),$W31,IF(AND($S31&lt;&gt;"",EDATE($D31,Milestones!$AA$63)&gt;=$S31),$V31,$U31)))=Milestones!$AB$63),UPPER(TEXT(EDATE($D31,Milestones!$AA$63),"dd mmm yy"))&amp;" "&amp;Milestones!$AB$63&amp;" "&amp;Milestones!$AC$63&amp;";  ","")&amp;IF(AND(EDATE($D31,Milestones!$AA$64)&lt;=AsOfDate,IF($R31=0,$X31,IF(AND($T31&lt;&gt;"",EDATE($D31,Milestones!$AA$64)&gt;=$T31),$W31,IF(AND($S31&lt;&gt;"",EDATE($D31,Milestones!$AA$64)&gt;=$S31),$V31,$U31)))=Milestones!$AB$64),UPPER(TEXT(EDATE($D31,Milestones!$AA$64),"dd mmm yy"))&amp;" "&amp;Milestones!$AB$64&amp;" "&amp;Milestones!$AC$64&amp;";  ","")&amp;IF(AND(EDATE($D31,Milestones!$AA$65)&lt;=AsOfDate,IF($R31=0,$X31,IF(AND($T31&lt;&gt;"",EDATE($D31,Milestones!$AA$65)&gt;=$T31),$W31,IF(AND($S31&lt;&gt;"",EDATE($D31,Milestones!$AA$65)&gt;=$S31),$V31,$U31)))=Milestones!$AB$65),UPPER(TEXT(EDATE($D31,Milestones!$AA$65),"dd mmm yy"))&amp;" "&amp;Milestones!$AB$65&amp;" "&amp;Milestones!$AC$65&amp;";  ","")&amp;IF(AND(EDATE($D31,Milestones!$AA$66)&lt;=AsOfDate,IF($R31=0,$X31,IF(AND($T31&lt;&gt;"",EDATE($D31,Milestones!$AA$66)&gt;=$T31),$W31,IF(AND($S31&lt;&gt;"",EDATE($D31,Milestones!$AA$66)&gt;=$S31),$V31,$U31)))=Milestones!$AB$66),UPPER(TEXT(EDATE($D31,Milestones!$AA$66),"dd mmm yy"))&amp;" "&amp;Milestones!$AB$66&amp;" "&amp;Milestones!$AC$66&amp;";  ","")&amp;IF(AND(EDATE($D31,Milestones!$AA$67)&lt;=AsOfDate,IF($R31=0,$X31,IF(AND($T31&lt;&gt;"",EDATE($D31,Milestones!$AA$67)&gt;=$T31),$W31,IF(AND($S31&lt;&gt;"",EDATE($D31,Milestones!$AA$67)&gt;=$S31),$V31,$U31)))=Milestones!$AB$67),UPPER(TEXT(EDATE($D31,Milestones!$AA$67),"dd mmm yy"))&amp;" "&amp;Milestones!$AB$67&amp;" "&amp;Milestones!$AC$67&amp;";  ","")&amp;IF(AND(EDATE($D31,Milestones!$AA$68)&lt;=AsOfDate,IF($R31=0,$X31,IF(AND($T31&lt;&gt;"",EDATE($D31,Milestones!$AA$68)&gt;=$T31),$W31,IF(AND($S31&lt;&gt;"",EDATE($D31,Milestones!$AA$68)&gt;=$S31),$V31,$U31)))=Milestones!$AB$68),UPPER(TEXT(EDATE($D31,Milestones!$AA$68),"dd mmm yy"))&amp;" "&amp;Milestones!$AB$68&amp;" "&amp;Milestones!$AC$68&amp;";  ","")&amp;IF(AND(EDATE($D31,Milestones!$AA$69)&lt;=AsOfDate,IF($R31=0,$X31,IF(AND($T31&lt;&gt;"",EDATE($D31,Milestones!$AA$69)&gt;=$T31),$W31,IF(AND($S31&lt;&gt;"",EDATE($D31,Milestones!$AA$69)&gt;=$S31),$V31,$U31)))=Milestones!$AB$69),UPPER(TEXT(EDATE($D31,Milestones!$AA$69),"dd mmm yy"))&amp;" "&amp;Milestones!$AB$69&amp;" "&amp;Milestones!$AC$69&amp;";  ","")&amp;IF(AND(EDATE($D31,Milestones!$AA$70)&lt;=AsOfDate,IF($R31=0,$X31,IF(AND($T31&lt;&gt;"",EDATE($D31,Milestones!$AA$70)&gt;=$T31),$W31,IF(AND($S31&lt;&gt;"",EDATE($D31,Milestones!$AA$70)&gt;=$S31),$V31,$U31)))=Milestones!$AB$70),UPPER(TEXT(EDATE($D31,Milestones!$AA$70),"dd mmm yy"))&amp;" "&amp;Milestones!$AB$70&amp;" "&amp;Milestones!$AC$70&amp;";  ","")&amp;IF(AND(EDATE($D31,Milestones!$AA$71)&lt;=AsOfDate,IF($R31=0,$X31,IF(AND($T31&lt;&gt;"",EDATE($D31,Milestones!$AA$71)&gt;=$T31),$W31,IF(AND($S31&lt;&gt;"",EDATE($D31,Milestones!$AA$71)&gt;=$S31),$V31,$U31)))=Milestones!$AB$71),UPPER(TEXT(EDATE($D31,Milestones!$AA$71),"dd mmm yy"))&amp;" "&amp;Milestones!$AB$71&amp;" "&amp;Milestones!$AC$71&amp;";  ","")&amp;IF(AND(EDATE($D31,Milestones!$AA$72)&lt;=AsOfDate,IF($R31=0,$X31,IF(AND($T31&lt;&gt;"",EDATE($D31,Milestones!$AA$72)&gt;=$T31),$W31,IF(AND($S31&lt;&gt;"",EDATE($D31,Milestones!$AA$72)&gt;=$S31),$V31,$U31)))=Milestones!$AB$72),UPPER(TEXT(EDATE($D31,Milestones!$AA$72),"dd mmm yy"))&amp;" "&amp;Milestones!$AB$72&amp;" "&amp;Milestones!$AC$72&amp;";  ","")&amp;IF(AND(EDATE($D31,Milestones!$AA$73)&lt;=AsOfDate,IF($R31=0,$X31,IF(AND($T31&lt;&gt;"",EDATE($D31,Milestones!$AA$73)&gt;=$T31),$W31,IF(AND($S31&lt;&gt;"",EDATE($D31,Milestones!$AA$73)&gt;=$S31),$V31,$U31)))=Milestones!$AB$73),UPPER(TEXT(EDATE($D31,Milestones!$AA$73),"dd mmm yy"))&amp;" "&amp;Milestones!$AB$73&amp;" "&amp;Milestones!$AC$73&amp;";  ","")&amp;IF(AND(EDATE($D31,Milestones!$AA$74)&lt;=AsOfDate,IF($R31=0,$X31,IF(AND($T31&lt;&gt;"",EDATE($D31,Milestones!$AA$74)&gt;=$T31),$W31,IF(AND($S31&lt;&gt;"",EDATE($D31,Milestones!$AA$74)&gt;=$S31),$V31,$U31)))=Milestones!$AB$74),UPPER(TEXT(EDATE($D31,Milestones!$AA$74),"dd mmm yy"))&amp;" "&amp;Milestones!$AB$74&amp;" "&amp;Milestones!$AC$74&amp;";  ","")&amp;IF(AND(EDATE($D31,Milestones!$AA$75)&lt;=AsOfDate,IF($R31=0,$X31,IF(AND($T31&lt;&gt;"",EDATE($D31,Milestones!$AA$75)&gt;=$T31),$W31,IF(AND($S31&lt;&gt;"",EDATE($D31,Milestones!$AA$75)&gt;=$S31),$V31,$U31)))=Milestones!$AB$75),UPPER(TEXT(EDATE($D31,Milestones!$AA$75),"dd mmm yy"))&amp;" "&amp;Milestones!$AB$75&amp;" "&amp;Milestones!$AC$75&amp;";  ","")&amp;IF(AND(EDATE($D31,Milestones!$AA$76)&lt;=AsOfDate,IF($R31=0,$X31,IF(AND($T31&lt;&gt;"",EDATE($D31,Milestones!$AA$76)&gt;=$T31),$W31,IF(AND($S31&lt;&gt;"",EDATE($D31,Milestones!$AA$76)&gt;=$S31),$V31,$U31)))=Milestones!$AB$76),UPPER(TEXT(EDATE($D31,Milestones!$AA$76),"dd mmm yy"))&amp;" "&amp;Milestones!$AB$76&amp;" "&amp;Milestones!$AC$76&amp;";  ","")&amp;IF(AND(EDATE($D31,Milestones!$AA$77)&lt;=AsOfDate,IF($R31=0,$X31,IF(AND($T31&lt;&gt;"",EDATE($D31,Milestones!$AA$77)&gt;=$T31),$W31,IF(AND($S31&lt;&gt;"",EDATE($D31,Milestones!$AA$77)&gt;=$S31),$V31,$U31)))=Milestones!$AB$77),UPPER(TEXT(EDATE($D31,Milestones!$AA$77),"dd mmm yy"))&amp;" "&amp;Milestones!$AB$77&amp;" "&amp;Milestones!$AC$77&amp;";  ","")&amp;IF(AND(EDATE($D31,Milestones!$AA$78)&lt;=AsOfDate,IF($R31=0,$X31,IF(AND($T31&lt;&gt;"",EDATE($D31,Milestones!$AA$78)&gt;=$T31),$W31,IF(AND($S31&lt;&gt;"",EDATE($D31,Milestones!$AA$78)&gt;=$S31),$V31,$U31)))=Milestones!$AB$78),UPPER(TEXT(EDATE($D31,Milestones!$AA$78),"dd mmm yy"))&amp;" "&amp;Milestones!$AB$78&amp;" "&amp;Milestones!$AC$78&amp;";  ","")&amp;IF(AND(EDATE($D31,Milestones!$AA$79)&lt;=AsOfDate,IF($R31=0,$X31,IF(AND($T31&lt;&gt;"",EDATE($D31,Milestones!$AA$79)&gt;=$T31),$W31,IF(AND($S31&lt;&gt;"",EDATE($D31,Milestones!$AA$79)&gt;=$S31),$V31,$U31)))=Milestones!$AB$79),UPPER(TEXT(EDATE($D31,Milestones!$AA$79),"dd mmm yy"))&amp;" "&amp;Milestones!$AB$79&amp;" "&amp;Milestones!$AC$79&amp;";  ",""))</f>
        <v/>
      </c>
      <c r="L31" s="0" t="str">
        <f aca="false">IF(OR($A31="",$D31=""),"",IF(AND(EDATE($D31,Milestones!$AA$80)&lt;=AsOfDate,IF($R31=0,$X31,IF(AND($T31&lt;&gt;"",EDATE($D31,Milestones!$AA$80)&gt;=$T31),$W31,IF(AND($S31&lt;&gt;"",EDATE($D31,Milestones!$AA$80)&gt;=$S31),$V31,$U31)))=Milestones!$AB$80),UPPER(TEXT(EDATE($D31,Milestones!$AA$80),"dd mmm yy"))&amp;" "&amp;Milestones!$AB$80&amp;" "&amp;Milestones!$AC$80&amp;";  ","")&amp;IF(AND(EDATE($D31,Milestones!$AA$81)&lt;=AsOfDate,IF($R31=0,$X31,IF(AND($T31&lt;&gt;"",EDATE($D31,Milestones!$AA$81)&gt;=$T31),$W31,IF(AND($S31&lt;&gt;"",EDATE($D31,Milestones!$AA$81)&gt;=$S31),$V31,$U31)))=Milestones!$AB$81),UPPER(TEXT(EDATE($D31,Milestones!$AA$81),"dd mmm yy"))&amp;" "&amp;Milestones!$AB$81&amp;" "&amp;Milestones!$AC$81&amp;";  ","")&amp;IF(AND(EDATE($D31,Milestones!$AA$82)&lt;=AsOfDate,IF($R31=0,$X31,IF(AND($T31&lt;&gt;"",EDATE($D31,Milestones!$AA$82)&gt;=$T31),$W31,IF(AND($S31&lt;&gt;"",EDATE($D31,Milestones!$AA$82)&gt;=$S31),$V31,$U31)))=Milestones!$AB$82),UPPER(TEXT(EDATE($D31,Milestones!$AA$82),"dd mmm yy"))&amp;" "&amp;Milestones!$AB$82&amp;" "&amp;Milestones!$AC$82&amp;";  ","")&amp;IF(AND(EDATE($D31,Milestones!$AA$83)&lt;=AsOfDate,IF($R31=0,$X31,IF(AND($T31&lt;&gt;"",EDATE($D31,Milestones!$AA$83)&gt;=$T31),$W31,IF(AND($S31&lt;&gt;"",EDATE($D31,Milestones!$AA$83)&gt;=$S31),$V31,$U31)))=Milestones!$AB$83),UPPER(TEXT(EDATE($D31,Milestones!$AA$83),"dd mmm yy"))&amp;" "&amp;Milestones!$AB$83&amp;" "&amp;Milestones!$AC$83&amp;";  ","")&amp;IF(AND(EDATE($D31,Milestones!$AA$84)&lt;=AsOfDate,IF($R31=0,$X31,IF(AND($T31&lt;&gt;"",EDATE($D31,Milestones!$AA$84)&gt;=$T31),$W31,IF(AND($S31&lt;&gt;"",EDATE($D31,Milestones!$AA$84)&gt;=$S31),$V31,$U31)))=Milestones!$AB$84),UPPER(TEXT(EDATE($D31,Milestones!$AA$84),"dd mmm yy"))&amp;" "&amp;Milestones!$AB$84&amp;" "&amp;Milestones!$AC$84&amp;";  ","")&amp;IF(AND(EDATE($D31,Milestones!$AA$85)&lt;=AsOfDate,IF($R31=0,$X31,IF(AND($T31&lt;&gt;"",EDATE($D31,Milestones!$AA$85)&gt;=$T31),$W31,IF(AND($S31&lt;&gt;"",EDATE($D31,Milestones!$AA$85)&gt;=$S31),$V31,$U31)))=Milestones!$AB$85),UPPER(TEXT(EDATE($D31,Milestones!$AA$85),"dd mmm yy"))&amp;" "&amp;Milestones!$AB$85&amp;" "&amp;Milestones!$AC$85&amp;";  ","")&amp;IF(AND(EDATE($D31,Milestones!$AA$86)&lt;=AsOfDate,IF($R31=0,$X31,IF(AND($T31&lt;&gt;"",EDATE($D31,Milestones!$AA$86)&gt;=$T31),$W31,IF(AND($S31&lt;&gt;"",EDATE($D31,Milestones!$AA$86)&gt;=$S31),$V31,$U31)))=Milestones!$AB$86),UPPER(TEXT(EDATE($D31,Milestones!$AA$86),"dd mmm yy"))&amp;" "&amp;Milestones!$AB$86&amp;" "&amp;Milestones!$AC$86&amp;";  ","")&amp;IF(AND(EDATE($D31,Milestones!$AA$87)&lt;=AsOfDate,IF($R31=0,$X31,IF(AND($T31&lt;&gt;"",EDATE($D31,Milestones!$AA$87)&gt;=$T31),$W31,IF(AND($S31&lt;&gt;"",EDATE($D31,Milestones!$AA$87)&gt;=$S31),$V31,$U31)))=Milestones!$AB$87),UPPER(TEXT(EDATE($D31,Milestones!$AA$87),"dd mmm yy"))&amp;" "&amp;Milestones!$AB$87&amp;" "&amp;Milestones!$AC$87&amp;";  ","")&amp;IF(AND(EDATE($D31,Milestones!$AA$88)&lt;=AsOfDate,IF($R31=0,$X31,IF(AND($T31&lt;&gt;"",EDATE($D31,Milestones!$AA$88)&gt;=$T31),$W31,IF(AND($S31&lt;&gt;"",EDATE($D31,Milestones!$AA$88)&gt;=$S31),$V31,$U31)))=Milestones!$AB$88),UPPER(TEXT(EDATE($D31,Milestones!$AA$88),"dd mmm yy"))&amp;" "&amp;Milestones!$AB$88&amp;" "&amp;Milestones!$AC$88&amp;";  ","")&amp;IF(AND(EDATE($D31,Milestones!$AA$89)&lt;=AsOfDate,IF($R31=0,$X31,IF(AND($T31&lt;&gt;"",EDATE($D31,Milestones!$AA$89)&gt;=$T31),$W31,IF(AND($S31&lt;&gt;"",EDATE($D31,Milestones!$AA$89)&gt;=$S31),$V31,$U31)))=Milestones!$AB$89),UPPER(TEXT(EDATE($D31,Milestones!$AA$89),"dd mmm yy"))&amp;" "&amp;Milestones!$AB$89&amp;" "&amp;Milestones!$AC$89&amp;";  ","")&amp;IF(AND(EDATE($D31,Milestones!$AA$90)&lt;=AsOfDate,IF($R31=0,$X31,IF(AND($T31&lt;&gt;"",EDATE($D31,Milestones!$AA$90)&gt;=$T31),$W31,IF(AND($S31&lt;&gt;"",EDATE($D31,Milestones!$AA$90)&gt;=$S31),$V31,$U31)))=Milestones!$AB$90),UPPER(TEXT(EDATE($D31,Milestones!$AA$90),"dd mmm yy"))&amp;" "&amp;Milestones!$AB$90&amp;" "&amp;Milestones!$AC$90&amp;";  ","")&amp;IF(AND(EDATE($D31,Milestones!$AA$91)&lt;=AsOfDate,IF($R31=0,$X31,IF(AND($T31&lt;&gt;"",EDATE($D31,Milestones!$AA$91)&gt;=$T31),$W31,IF(AND($S31&lt;&gt;"",EDATE($D31,Milestones!$AA$91)&gt;=$S31),$V31,$U31)))=Milestones!$AB$91),UPPER(TEXT(EDATE($D31,Milestones!$AA$91),"dd mmm yy"))&amp;" "&amp;Milestones!$AB$91&amp;" "&amp;Milestones!$AC$91&amp;";  ","")&amp;IF(AND(EDATE($D31,Milestones!$AA$92)&lt;=AsOfDate,IF($R31=0,$X31,IF(AND($T31&lt;&gt;"",EDATE($D31,Milestones!$AA$92)&gt;=$T31),$W31,IF(AND($S31&lt;&gt;"",EDATE($D31,Milestones!$AA$92)&gt;=$S31),$V31,$U31)))=Milestones!$AB$92),UPPER(TEXT(EDATE($D31,Milestones!$AA$92),"dd mmm yy"))&amp;" "&amp;Milestones!$AB$92&amp;" "&amp;Milestones!$AC$92&amp;";  ","")&amp;IF(AND(EDATE($D31,Milestones!$AA$93)&lt;=AsOfDate,IF($R31=0,$X31,IF(AND($T31&lt;&gt;"",EDATE($D31,Milestones!$AA$93)&gt;=$T31),$W31,IF(AND($S31&lt;&gt;"",EDATE($D31,Milestones!$AA$93)&gt;=$S31),$V31,$U31)))=Milestones!$AB$93),UPPER(TEXT(EDATE($D31,Milestones!$AA$93),"dd mmm yy"))&amp;" "&amp;Milestones!$AB$93&amp;" "&amp;Milestones!$AC$93&amp;";  ","")&amp;IF(AND(EDATE($D31,Milestones!$AA$94)&lt;=AsOfDate,IF($R31=0,$X31,IF(AND($T31&lt;&gt;"",EDATE($D31,Milestones!$AA$94)&gt;=$T31),$W31,IF(AND($S31&lt;&gt;"",EDATE($D31,Milestones!$AA$94)&gt;=$S31),$V31,$U31)))=Milestones!$AB$94),UPPER(TEXT(EDATE($D31,Milestones!$AA$94),"dd mmm yy"))&amp;" "&amp;Milestones!$AB$94&amp;" "&amp;Milestones!$AC$94&amp;";  ","")&amp;IF(AND(EDATE($D31,Milestones!$AA$95)&lt;=AsOfDate,IF($R31=0,$X31,IF(AND($T31&lt;&gt;"",EDATE($D31,Milestones!$AA$95)&gt;=$T31),$W31,IF(AND($S31&lt;&gt;"",EDATE($D31,Milestones!$AA$95)&gt;=$S31),$V31,$U31)))=Milestones!$AB$95),UPPER(TEXT(EDATE($D31,Milestones!$AA$95),"dd mmm yy"))&amp;" "&amp;Milestones!$AB$95&amp;" "&amp;Milestones!$AC$95&amp;";  ","")&amp;IF(AND(EDATE($D31,Milestones!$AA$96)&lt;=AsOfDate,IF($R31=0,$X31,IF(AND($T31&lt;&gt;"",EDATE($D31,Milestones!$AA$96)&gt;=$T31),$W31,IF(AND($S31&lt;&gt;"",EDATE($D31,Milestones!$AA$96)&gt;=$S31),$V31,$U31)))=Milestones!$AB$96),UPPER(TEXT(EDATE($D31,Milestones!$AA$96),"dd mmm yy"))&amp;" "&amp;Milestones!$AB$96&amp;" "&amp;Milestones!$AC$96&amp;";  ","")&amp;IF(AND(EDATE($D31,Milestones!$AA$97)&lt;=AsOfDate,IF($R31=0,$X31,IF(AND($T31&lt;&gt;"",EDATE($D31,Milestones!$AA$97)&gt;=$T31),$W31,IF(AND($S31&lt;&gt;"",EDATE($D31,Milestones!$AA$97)&gt;=$S31),$V31,$U31)))=Milestones!$AB$97),UPPER(TEXT(EDATE($D31,Milestones!$AA$97),"dd mmm yy"))&amp;" "&amp;Milestones!$AB$97&amp;" "&amp;Milestones!$AC$97&amp;";  ","")&amp;IF(AND(EDATE($D31,Milestones!$AA$98)&lt;=AsOfDate,IF($R31=0,$X31,IF(AND($T31&lt;&gt;"",EDATE($D31,Milestones!$AA$98)&gt;=$T31),$W31,IF(AND($S31&lt;&gt;"",EDATE($D31,Milestones!$AA$98)&gt;=$S31),$V31,$U31)))=Milestones!$AB$98),UPPER(TEXT(EDATE($D31,Milestones!$AA$98),"dd mmm yy"))&amp;" "&amp;Milestones!$AB$98&amp;" "&amp;Milestones!$AC$98&amp;";  ","")&amp;IF(AND(EDATE($D31,Milestones!$AA$99)&lt;=AsOfDate,IF($R31=0,$X31,IF(AND($T31&lt;&gt;"",EDATE($D31,Milestones!$AA$99)&gt;=$T31),$W31,IF(AND($S31&lt;&gt;"",EDATE($D31,Milestones!$AA$99)&gt;=$S31),$V31,$U31)))=Milestones!$AB$99),UPPER(TEXT(EDATE($D31,Milestones!$AA$99),"dd mmm yy"))&amp;" "&amp;Milestones!$AB$99&amp;" "&amp;Milestones!$AC$99&amp;";  ",""))</f>
        <v/>
      </c>
      <c r="M31" s="0" t="str">
        <f aca="false">IF(OR($A31="",$D31=""),"",IF(AND(EDATE($D31,Milestones!$AA$100)&lt;=AsOfDate,IF($R31=0,$X31,IF(AND($T31&lt;&gt;"",EDATE($D31,Milestones!$AA$100)&gt;=$T31),$W31,IF(AND($S31&lt;&gt;"",EDATE($D31,Milestones!$AA$100)&gt;=$S31),$V31,$U31)))=Milestones!$AB$100),UPPER(TEXT(EDATE($D31,Milestones!$AA$100),"dd mmm yy"))&amp;" "&amp;Milestones!$AB$100&amp;" "&amp;Milestones!$AC$100&amp;";  ","")&amp;IF(AND(EDATE($D31,Milestones!$AA$101)&lt;=AsOfDate,IF($R31=0,$X31,IF(AND($T31&lt;&gt;"",EDATE($D31,Milestones!$AA$101)&gt;=$T31),$W31,IF(AND($S31&lt;&gt;"",EDATE($D31,Milestones!$AA$101)&gt;=$S31),$V31,$U31)))=Milestones!$AB$101),UPPER(TEXT(EDATE($D31,Milestones!$AA$101),"dd mmm yy"))&amp;" "&amp;Milestones!$AB$101&amp;" "&amp;Milestones!$AC$101&amp;";  ","")&amp;IF(AND(EDATE($D31,Milestones!$AA$102)&lt;=AsOfDate,IF($R31=0,$X31,IF(AND($T31&lt;&gt;"",EDATE($D31,Milestones!$AA$102)&gt;=$T31),$W31,IF(AND($S31&lt;&gt;"",EDATE($D31,Milestones!$AA$102)&gt;=$S31),$V31,$U31)))=Milestones!$AB$102),UPPER(TEXT(EDATE($D31,Milestones!$AA$102),"dd mmm yy"))&amp;" "&amp;Milestones!$AB$102&amp;" "&amp;Milestones!$AC$102&amp;";  ","")&amp;IF(AND(EDATE($D31,Milestones!$AA$103)&lt;=AsOfDate,IF($R31=0,$X31,IF(AND($T31&lt;&gt;"",EDATE($D31,Milestones!$AA$103)&gt;=$T31),$W31,IF(AND($S31&lt;&gt;"",EDATE($D31,Milestones!$AA$103)&gt;=$S31),$V31,$U31)))=Milestones!$AB$103),UPPER(TEXT(EDATE($D31,Milestones!$AA$103),"dd mmm yy"))&amp;" "&amp;Milestones!$AB$103&amp;" "&amp;Milestones!$AC$103&amp;";  ","")&amp;IF(AND(EDATE($D31,Milestones!$AA$104)&lt;=AsOfDate,IF($R31=0,$X31,IF(AND($T31&lt;&gt;"",EDATE($D31,Milestones!$AA$104)&gt;=$T31),$W31,IF(AND($S31&lt;&gt;"",EDATE($D31,Milestones!$AA$104)&gt;=$S31),$V31,$U31)))=Milestones!$AB$104),UPPER(TEXT(EDATE($D31,Milestones!$AA$104),"dd mmm yy"))&amp;" "&amp;Milestones!$AB$104&amp;" "&amp;Milestones!$AC$104&amp;";  ","")&amp;IF(AND(EDATE($D31,Milestones!$AA$105)&lt;=AsOfDate,IF($R31=0,$X31,IF(AND($T31&lt;&gt;"",EDATE($D31,Milestones!$AA$105)&gt;=$T31),$W31,IF(AND($S31&lt;&gt;"",EDATE($D31,Milestones!$AA$105)&gt;=$S31),$V31,$U31)))=Milestones!$AB$105),UPPER(TEXT(EDATE($D31,Milestones!$AA$105),"dd mmm yy"))&amp;" "&amp;Milestones!$AB$105&amp;" "&amp;Milestones!$AC$105&amp;";  ","")&amp;IF(AND(EDATE($D31,Milestones!$AA$106)&lt;=AsOfDate,IF($R31=0,$X31,IF(AND($T31&lt;&gt;"",EDATE($D31,Milestones!$AA$106)&gt;=$T31),$W31,IF(AND($S31&lt;&gt;"",EDATE($D31,Milestones!$AA$106)&gt;=$S31),$V31,$U31)))=Milestones!$AB$106),UPPER(TEXT(EDATE($D31,Milestones!$AA$106),"dd mmm yy"))&amp;" "&amp;Milestones!$AB$106&amp;" "&amp;Milestones!$AC$106&amp;";  ","")&amp;IF(AND(EDATE($D31,Milestones!$AA$107)&lt;=AsOfDate,IF($R31=0,$X31,IF(AND($T31&lt;&gt;"",EDATE($D31,Milestones!$AA$107)&gt;=$T31),$W31,IF(AND($S31&lt;&gt;"",EDATE($D31,Milestones!$AA$107)&gt;=$S31),$V31,$U31)))=Milestones!$AB$107),UPPER(TEXT(EDATE($D31,Milestones!$AA$107),"dd mmm yy"))&amp;" "&amp;Milestones!$AB$107&amp;" "&amp;Milestones!$AC$107&amp;";  ","")&amp;IF(AND(EDATE($D31,Milestones!$AA$108)&lt;=AsOfDate,IF($R31=0,$X31,IF(AND($T31&lt;&gt;"",EDATE($D31,Milestones!$AA$108)&gt;=$T31),$W31,IF(AND($S31&lt;&gt;"",EDATE($D31,Milestones!$AA$108)&gt;=$S31),$V31,$U31)))=Milestones!$AB$108),UPPER(TEXT(EDATE($D31,Milestones!$AA$108),"dd mmm yy"))&amp;" "&amp;Milestones!$AB$108&amp;" "&amp;Milestones!$AC$108&amp;";  ","")&amp;IF(AND(EDATE($D31,Milestones!$AA$109)&lt;=AsOfDate,IF($R31=0,$X31,IF(AND($T31&lt;&gt;"",EDATE($D31,Milestones!$AA$109)&gt;=$T31),$W31,IF(AND($S31&lt;&gt;"",EDATE($D31,Milestones!$AA$109)&gt;=$S31),$V31,$U31)))=Milestones!$AB$109),UPPER(TEXT(EDATE($D31,Milestones!$AA$109),"dd mmm yy"))&amp;" "&amp;Milestones!$AB$109&amp;" "&amp;Milestones!$AC$109&amp;";  ","")&amp;IF(AND(EDATE($D31,Milestones!$AA$110)&lt;=AsOfDate,IF($R31=0,$X31,IF(AND($T31&lt;&gt;"",EDATE($D31,Milestones!$AA$110)&gt;=$T31),$W31,IF(AND($S31&lt;&gt;"",EDATE($D31,Milestones!$AA$110)&gt;=$S31),$V31,$U31)))=Milestones!$AB$110),UPPER(TEXT(EDATE($D31,Milestones!$AA$110),"dd mmm yy"))&amp;" "&amp;Milestones!$AB$110&amp;" "&amp;Milestones!$AC$110&amp;";  ","")&amp;IF(AND(EDATE($D31,Milestones!$AA$111)&lt;=AsOfDate,IF($R31=0,$X31,IF(AND($T31&lt;&gt;"",EDATE($D31,Milestones!$AA$111)&gt;=$T31),$W31,IF(AND($S31&lt;&gt;"",EDATE($D31,Milestones!$AA$111)&gt;=$S31),$V31,$U31)))=Milestones!$AB$111),UPPER(TEXT(EDATE($D31,Milestones!$AA$111),"dd mmm yy"))&amp;" "&amp;Milestones!$AB$111&amp;" "&amp;Milestones!$AC$111&amp;";  ","")&amp;IF(AND(EDATE($D31,Milestones!$AA$112)&lt;=AsOfDate,IF($R31=0,$X31,IF(AND($T31&lt;&gt;"",EDATE($D31,Milestones!$AA$112)&gt;=$T31),$W31,IF(AND($S31&lt;&gt;"",EDATE($D31,Milestones!$AA$112)&gt;=$S31),$V31,$U31)))=Milestones!$AB$112),UPPER(TEXT(EDATE($D31,Milestones!$AA$112),"dd mmm yy"))&amp;" "&amp;Milestones!$AB$112&amp;" "&amp;Milestones!$AC$112&amp;";  ","")&amp;IF(AND(EDATE($D31,Milestones!$AA$113)&lt;=AsOfDate,IF($R31=0,$X31,IF(AND($T31&lt;&gt;"",EDATE($D31,Milestones!$AA$113)&gt;=$T31),$W31,IF(AND($S31&lt;&gt;"",EDATE($D31,Milestones!$AA$113)&gt;=$S31),$V31,$U31)))=Milestones!$AB$113),UPPER(TEXT(EDATE($D31,Milestones!$AA$113),"dd mmm yy"))&amp;" "&amp;Milestones!$AB$113&amp;" "&amp;Milestones!$AC$113&amp;";  ","")&amp;IF(AND(EDATE($D31,Milestones!$AA$114)&lt;=AsOfDate,IF($R31=0,$X31,IF(AND($T31&lt;&gt;"",EDATE($D31,Milestones!$AA$114)&gt;=$T31),$W31,IF(AND($S31&lt;&gt;"",EDATE($D31,Milestones!$AA$114)&gt;=$S31),$V31,$U31)))=Milestones!$AB$114),UPPER(TEXT(EDATE($D31,Milestones!$AA$114),"dd mmm yy"))&amp;" "&amp;Milestones!$AB$114&amp;" "&amp;Milestones!$AC$114&amp;";  ","")&amp;IF(AND(EDATE($D31,Milestones!$AA$115)&lt;=AsOfDate,IF($R31=0,$X31,IF(AND($T31&lt;&gt;"",EDATE($D31,Milestones!$AA$115)&gt;=$T31),$W31,IF(AND($S31&lt;&gt;"",EDATE($D31,Milestones!$AA$115)&gt;=$S31),$V31,$U31)))=Milestones!$AB$115),UPPER(TEXT(EDATE($D31,Milestones!$AA$115),"dd mmm yy"))&amp;" "&amp;Milestones!$AB$115&amp;" "&amp;Milestones!$AC$115&amp;";  ","")&amp;IF(AND(EDATE($D31,Milestones!$AA$116)&lt;=AsOfDate,IF($R31=0,$X31,IF(AND($T31&lt;&gt;"",EDATE($D31,Milestones!$AA$116)&gt;=$T31),$W31,IF(AND($S31&lt;&gt;"",EDATE($D31,Milestones!$AA$116)&gt;=$S31),$V31,$U31)))=Milestones!$AB$116),UPPER(TEXT(EDATE($D31,Milestones!$AA$116),"dd mmm yy"))&amp;" "&amp;Milestones!$AB$116&amp;" "&amp;Milestones!$AC$116&amp;";  ","")&amp;IF(AND(EDATE($D31,Milestones!$AA$117)&lt;=AsOfDate,IF($R31=0,$X31,IF(AND($T31&lt;&gt;"",EDATE($D31,Milestones!$AA$117)&gt;=$T31),$W31,IF(AND($S31&lt;&gt;"",EDATE($D31,Milestones!$AA$117)&gt;=$S31),$V31,$U31)))=Milestones!$AB$117),UPPER(TEXT(EDATE($D31,Milestones!$AA$117),"dd mmm yy"))&amp;" "&amp;Milestones!$AB$117&amp;" "&amp;Milestones!$AC$117&amp;";  ","")&amp;IF(AND(EDATE($D31,Milestones!$AA$118)&lt;=AsOfDate,IF($R31=0,$X31,IF(AND($T31&lt;&gt;"",EDATE($D31,Milestones!$AA$118)&gt;=$T31),$W31,IF(AND($S31&lt;&gt;"",EDATE($D31,Milestones!$AA$118)&gt;=$S31),$V31,$U31)))=Milestones!$AB$118),UPPER(TEXT(EDATE($D31,Milestones!$AA$118),"dd mmm yy"))&amp;" "&amp;Milestones!$AB$118&amp;" "&amp;Milestones!$AC$118&amp;";  ","")&amp;IF(AND(EDATE($D31,Milestones!$AA$119)&lt;=AsOfDate,IF($R31=0,$X31,IF(AND($T31&lt;&gt;"",EDATE($D31,Milestones!$AA$119)&gt;=$T31),$W31,IF(AND($S31&lt;&gt;"",EDATE($D31,Milestones!$AA$119)&gt;=$S31),$V31,$U31)))=Milestones!$AB$119),UPPER(TEXT(EDATE($D31,Milestones!$AA$119),"dd mmm yy"))&amp;" "&amp;Milestones!$AB$119&amp;" "&amp;Milestones!$AC$119&amp;";  ",""))</f>
        <v/>
      </c>
      <c r="N31" s="0" t="str">
        <f aca="false">IF(OR($A31="",$D31=""),"",IF(AND(EDATE($D31,Milestones!$AA$120)&lt;=AsOfDate,IF($R31=0,$X31,IF(AND($T31&lt;&gt;"",EDATE($D31,Milestones!$AA$120)&gt;=$T31),$W31,IF(AND($S31&lt;&gt;"",EDATE($D31,Milestones!$AA$120)&gt;=$S31),$V31,$U31)))=Milestones!$AB$120),UPPER(TEXT(EDATE($D31,Milestones!$AA$120),"dd mmm yy"))&amp;" "&amp;Milestones!$AB$120&amp;" "&amp;Milestones!$AC$120&amp;";  ","")&amp;IF(AND(EDATE($D31,Milestones!$AA$121)&lt;=AsOfDate,IF($R31=0,$X31,IF(AND($T31&lt;&gt;"",EDATE($D31,Milestones!$AA$121)&gt;=$T31),$W31,IF(AND($S31&lt;&gt;"",EDATE($D31,Milestones!$AA$121)&gt;=$S31),$V31,$U31)))=Milestones!$AB$121),UPPER(TEXT(EDATE($D31,Milestones!$AA$121),"dd mmm yy"))&amp;" "&amp;Milestones!$AB$121&amp;" "&amp;Milestones!$AC$121&amp;";  ","")&amp;IF(AND(EDATE($D31,Milestones!$AA$122)&lt;=AsOfDate,IF($R31=0,$X31,IF(AND($T31&lt;&gt;"",EDATE($D31,Milestones!$AA$122)&gt;=$T31),$W31,IF(AND($S31&lt;&gt;"",EDATE($D31,Milestones!$AA$122)&gt;=$S31),$V31,$U31)))=Milestones!$AB$122),UPPER(TEXT(EDATE($D31,Milestones!$AA$122),"dd mmm yy"))&amp;" "&amp;Milestones!$AB$122&amp;" "&amp;Milestones!$AC$122&amp;";  ","")&amp;IF(AND(EDATE($D31,Milestones!$AA$123)&lt;=AsOfDate,IF($R31=0,$X31,IF(AND($T31&lt;&gt;"",EDATE($D31,Milestones!$AA$123)&gt;=$T31),$W31,IF(AND($S31&lt;&gt;"",EDATE($D31,Milestones!$AA$123)&gt;=$S31),$V31,$U31)))=Milestones!$AB$123),UPPER(TEXT(EDATE($D31,Milestones!$AA$123),"dd mmm yy"))&amp;" "&amp;Milestones!$AB$123&amp;" "&amp;Milestones!$AC$123&amp;";  ","")&amp;IF(AND(EDATE($D31,Milestones!$AA$124)&lt;=AsOfDate,IF($R31=0,$X31,IF(AND($T31&lt;&gt;"",EDATE($D31,Milestones!$AA$124)&gt;=$T31),$W31,IF(AND($S31&lt;&gt;"",EDATE($D31,Milestones!$AA$124)&gt;=$S31),$V31,$U31)))=Milestones!$AB$124),UPPER(TEXT(EDATE($D31,Milestones!$AA$124),"dd mmm yy"))&amp;" "&amp;Milestones!$AB$124&amp;" "&amp;Milestones!$AC$124&amp;";  ","")&amp;IF(AND(EDATE($D31,Milestones!$AA$125)&lt;=AsOfDate,IF($R31=0,$X31,IF(AND($T31&lt;&gt;"",EDATE($D31,Milestones!$AA$125)&gt;=$T31),$W31,IF(AND($S31&lt;&gt;"",EDATE($D31,Milestones!$AA$125)&gt;=$S31),$V31,$U31)))=Milestones!$AB$125),UPPER(TEXT(EDATE($D31,Milestones!$AA$125),"dd mmm yy"))&amp;" "&amp;Milestones!$AB$125&amp;" "&amp;Milestones!$AC$125&amp;";  ","")&amp;IF(AND(EDATE($D31,Milestones!$AA$126)&lt;=AsOfDate,IF($R31=0,$X31,IF(AND($T31&lt;&gt;"",EDATE($D31,Milestones!$AA$126)&gt;=$T31),$W31,IF(AND($S31&lt;&gt;"",EDATE($D31,Milestones!$AA$126)&gt;=$S31),$V31,$U31)))=Milestones!$AB$126),UPPER(TEXT(EDATE($D31,Milestones!$AA$126),"dd mmm yy"))&amp;" "&amp;Milestones!$AB$126&amp;" "&amp;Milestones!$AC$126&amp;";  ","")&amp;IF(AND(EDATE($D31,Milestones!$AA$127)&lt;=AsOfDate,IF($R31=0,$X31,IF(AND($T31&lt;&gt;"",EDATE($D31,Milestones!$AA$127)&gt;=$T31),$W31,IF(AND($S31&lt;&gt;"",EDATE($D31,Milestones!$AA$127)&gt;=$S31),$V31,$U31)))=Milestones!$AB$127),UPPER(TEXT(EDATE($D31,Milestones!$AA$127),"dd mmm yy"))&amp;" "&amp;Milestones!$AB$127&amp;" "&amp;Milestones!$AC$127&amp;";  ","")&amp;IF(AND(EDATE($D31,Milestones!$AA$128)&lt;=AsOfDate,IF($R31=0,$X31,IF(AND($T31&lt;&gt;"",EDATE($D31,Milestones!$AA$128)&gt;=$T31),$W31,IF(AND($S31&lt;&gt;"",EDATE($D31,Milestones!$AA$128)&gt;=$S31),$V31,$U31)))=Milestones!$AB$128),UPPER(TEXT(EDATE($D31,Milestones!$AA$128),"dd mmm yy"))&amp;" "&amp;Milestones!$AB$128&amp;" "&amp;Milestones!$AC$128&amp;";  ","")&amp;IF(AND(EDATE($D31,Milestones!$AA$129)&lt;=AsOfDate,IF($R31=0,$X31,IF(AND($T31&lt;&gt;"",EDATE($D31,Milestones!$AA$129)&gt;=$T31),$W31,IF(AND($S31&lt;&gt;"",EDATE($D31,Milestones!$AA$129)&gt;=$S31),$V31,$U31)))=Milestones!$AB$129),UPPER(TEXT(EDATE($D31,Milestones!$AA$129),"dd mmm yy"))&amp;" "&amp;Milestones!$AB$129&amp;" "&amp;Milestones!$AC$129&amp;";  ","")&amp;IF(AND(EDATE($D31,Milestones!$AA$130)&lt;=AsOfDate,IF($R31=0,$X31,IF(AND($T31&lt;&gt;"",EDATE($D31,Milestones!$AA$130)&gt;=$T31),$W31,IF(AND($S31&lt;&gt;"",EDATE($D31,Milestones!$AA$130)&gt;=$S31),$V31,$U31)))=Milestones!$AB$130),UPPER(TEXT(EDATE($D31,Milestones!$AA$130),"dd mmm yy"))&amp;" "&amp;Milestones!$AB$130&amp;" "&amp;Milestones!$AC$130&amp;";  ","")&amp;IF(AND(EDATE($D31,Milestones!$AA$131)&lt;=AsOfDate,IF($R31=0,$X31,IF(AND($T31&lt;&gt;"",EDATE($D31,Milestones!$AA$131)&gt;=$T31),$W31,IF(AND($S31&lt;&gt;"",EDATE($D31,Milestones!$AA$131)&gt;=$S31),$V31,$U31)))=Milestones!$AB$131),UPPER(TEXT(EDATE($D31,Milestones!$AA$131),"dd mmm yy"))&amp;" "&amp;Milestones!$AB$131&amp;" "&amp;Milestones!$AC$131&amp;";  ","")&amp;IF(AND(EDATE($D31,Milestones!$AA$132)&lt;=AsOfDate,IF($R31=0,$X31,IF(AND($T31&lt;&gt;"",EDATE($D31,Milestones!$AA$132)&gt;=$T31),$W31,IF(AND($S31&lt;&gt;"",EDATE($D31,Milestones!$AA$132)&gt;=$S31),$V31,$U31)))=Milestones!$AB$132),UPPER(TEXT(EDATE($D31,Milestones!$AA$132),"dd mmm yy"))&amp;" "&amp;Milestones!$AB$132&amp;" "&amp;Milestones!$AC$132&amp;";  ","")&amp;IF(AND(EDATE($D31,Milestones!$AA$133)&lt;=AsOfDate,IF($R31=0,$X31,IF(AND($T31&lt;&gt;"",EDATE($D31,Milestones!$AA$133)&gt;=$T31),$W31,IF(AND($S31&lt;&gt;"",EDATE($D31,Milestones!$AA$133)&gt;=$S31),$V31,$U31)))=Milestones!$AB$133),UPPER(TEXT(EDATE($D31,Milestones!$AA$133),"dd mmm yy"))&amp;" "&amp;Milestones!$AB$133&amp;" "&amp;Milestones!$AC$133&amp;";  ","")&amp;IF(AND(EDATE($D31,Milestones!$AA$134)&lt;=AsOfDate,IF($R31=0,$X31,IF(AND($T31&lt;&gt;"",EDATE($D31,Milestones!$AA$134)&gt;=$T31),$W31,IF(AND($S31&lt;&gt;"",EDATE($D31,Milestones!$AA$134)&gt;=$S31),$V31,$U31)))=Milestones!$AB$134),UPPER(TEXT(EDATE($D31,Milestones!$AA$134),"dd mmm yy"))&amp;" "&amp;Milestones!$AB$134&amp;" "&amp;Milestones!$AC$134&amp;";  ","")&amp;IF(AND(EDATE($D31,Milestones!$AA$135)&lt;=AsOfDate,IF($R31=0,$X31,IF(AND($T31&lt;&gt;"",EDATE($D31,Milestones!$AA$135)&gt;=$T31),$W31,IF(AND($S31&lt;&gt;"",EDATE($D31,Milestones!$AA$135)&gt;=$S31),$V31,$U31)))=Milestones!$AB$135),UPPER(TEXT(EDATE($D31,Milestones!$AA$135),"dd mmm yy"))&amp;" "&amp;Milestones!$AB$135&amp;" "&amp;Milestones!$AC$135&amp;";  ","")&amp;IF(AND(EDATE($D31,Milestones!$AA$136)&lt;=AsOfDate,IF($R31=0,$X31,IF(AND($T31&lt;&gt;"",EDATE($D31,Milestones!$AA$136)&gt;=$T31),$W31,IF(AND($S31&lt;&gt;"",EDATE($D31,Milestones!$AA$136)&gt;=$S31),$V31,$U31)))=Milestones!$AB$136),UPPER(TEXT(EDATE($D31,Milestones!$AA$136),"dd mmm yy"))&amp;" "&amp;Milestones!$AB$136&amp;" "&amp;Milestones!$AC$136&amp;";  ","")&amp;IF(AND(EDATE($D31,Milestones!$AA$137)&lt;=AsOfDate,IF($R31=0,$X31,IF(AND($T31&lt;&gt;"",EDATE($D31,Milestones!$AA$137)&gt;=$T31),$W31,IF(AND($S31&lt;&gt;"",EDATE($D31,Milestones!$AA$137)&gt;=$S31),$V31,$U31)))=Milestones!$AB$137),UPPER(TEXT(EDATE($D31,Milestones!$AA$137),"dd mmm yy"))&amp;" "&amp;Milestones!$AB$137&amp;" "&amp;Milestones!$AC$137&amp;";  ","")&amp;IF(AND(EDATE($D31,Milestones!$AA$138)&lt;=AsOfDate,IF($R31=0,$X31,IF(AND($T31&lt;&gt;"",EDATE($D31,Milestones!$AA$138)&gt;=$T31),$W31,IF(AND($S31&lt;&gt;"",EDATE($D31,Milestones!$AA$138)&gt;=$S31),$V31,$U31)))=Milestones!$AB$138),UPPER(TEXT(EDATE($D31,Milestones!$AA$138),"dd mmm yy"))&amp;" "&amp;Milestones!$AB$138&amp;" "&amp;Milestones!$AC$138&amp;";  ","")&amp;IF(AND(EDATE($D31,Milestones!$AA$139)&lt;=AsOfDate,IF($R31=0,$X31,IF(AND($T31&lt;&gt;"",EDATE($D31,Milestones!$AA$139)&gt;=$T31),$W31,IF(AND($S31&lt;&gt;"",EDATE($D31,Milestones!$AA$139)&gt;=$S31),$V31,$U31)))=Milestones!$AB$139),UPPER(TEXT(EDATE($D31,Milestones!$AA$139),"dd mmm yy"))&amp;" "&amp;Milestones!$AB$139&amp;" "&amp;Milestones!$AC$139&amp;";  ",""))</f>
        <v/>
      </c>
      <c r="O31" s="0" t="str">
        <f aca="false">IF(OR($A31="",$D31=""),"",IF(AND(EDATE($D31,Milestones!$AA$140)&lt;=AsOfDate,IF($R31=0,$X31,IF(AND($T31&lt;&gt;"",EDATE($D31,Milestones!$AA$140)&gt;=$T31),$W31,IF(AND($S31&lt;&gt;"",EDATE($D31,Milestones!$AA$140)&gt;=$S31),$V31,$U31)))=Milestones!$AB$140),UPPER(TEXT(EDATE($D31,Milestones!$AA$140),"dd mmm yy"))&amp;" "&amp;Milestones!$AB$140&amp;" "&amp;Milestones!$AC$140&amp;";  ","")&amp;IF(AND(EDATE($D31,Milestones!$AA$141)&lt;=AsOfDate,IF($R31=0,$X31,IF(AND($T31&lt;&gt;"",EDATE($D31,Milestones!$AA$141)&gt;=$T31),$W31,IF(AND($S31&lt;&gt;"",EDATE($D31,Milestones!$AA$141)&gt;=$S31),$V31,$U31)))=Milestones!$AB$141),UPPER(TEXT(EDATE($D31,Milestones!$AA$141),"dd mmm yy"))&amp;" "&amp;Milestones!$AB$141&amp;" "&amp;Milestones!$AC$141&amp;";  ","")&amp;IF(AND(EDATE($D31,Milestones!$AA$142)&lt;=AsOfDate,IF($R31=0,$X31,IF(AND($T31&lt;&gt;"",EDATE($D31,Milestones!$AA$142)&gt;=$T31),$W31,IF(AND($S31&lt;&gt;"",EDATE($D31,Milestones!$AA$142)&gt;=$S31),$V31,$U31)))=Milestones!$AB$142),UPPER(TEXT(EDATE($D31,Milestones!$AA$142),"dd mmm yy"))&amp;" "&amp;Milestones!$AB$142&amp;" "&amp;Milestones!$AC$142&amp;";  ","")&amp;IF(AND(EDATE($D31,Milestones!$AA$143)&lt;=AsOfDate,IF($R31=0,$X31,IF(AND($T31&lt;&gt;"",EDATE($D31,Milestones!$AA$143)&gt;=$T31),$W31,IF(AND($S31&lt;&gt;"",EDATE($D31,Milestones!$AA$143)&gt;=$S31),$V31,$U31)))=Milestones!$AB$143),UPPER(TEXT(EDATE($D31,Milestones!$AA$143),"dd mmm yy"))&amp;" "&amp;Milestones!$AB$143&amp;" "&amp;Milestones!$AC$143&amp;";  ","")&amp;IF(AND(EDATE($D31,Milestones!$AA$144)&lt;=AsOfDate,IF($R31=0,$X31,IF(AND($T31&lt;&gt;"",EDATE($D31,Milestones!$AA$144)&gt;=$T31),$W31,IF(AND($S31&lt;&gt;"",EDATE($D31,Milestones!$AA$144)&gt;=$S31),$V31,$U31)))=Milestones!$AB$144),UPPER(TEXT(EDATE($D31,Milestones!$AA$144),"dd mmm yy"))&amp;" "&amp;Milestones!$AB$144&amp;" "&amp;Milestones!$AC$144&amp;";  ","")&amp;IF(AND(EDATE($D31,Milestones!$AA$145)&lt;=AsOfDate,IF($R31=0,$X31,IF(AND($T31&lt;&gt;"",EDATE($D31,Milestones!$AA$145)&gt;=$T31),$W31,IF(AND($S31&lt;&gt;"",EDATE($D31,Milestones!$AA$145)&gt;=$S31),$V31,$U31)))=Milestones!$AB$145),UPPER(TEXT(EDATE($D31,Milestones!$AA$145),"dd mmm yy"))&amp;" "&amp;Milestones!$AB$145&amp;" "&amp;Milestones!$AC$145&amp;";  ","")&amp;IF(AND(EDATE($D31,Milestones!$AA$146)&lt;=AsOfDate,IF($R31=0,$X31,IF(AND($T31&lt;&gt;"",EDATE($D31,Milestones!$AA$146)&gt;=$T31),$W31,IF(AND($S31&lt;&gt;"",EDATE($D31,Milestones!$AA$146)&gt;=$S31),$V31,$U31)))=Milestones!$AB$146),UPPER(TEXT(EDATE($D31,Milestones!$AA$146),"dd mmm yy"))&amp;" "&amp;Milestones!$AB$146&amp;" "&amp;Milestones!$AC$146&amp;";  ","")&amp;IF(AND(EDATE($D31,Milestones!$AA$147)&lt;=AsOfDate,IF($R31=0,$X31,IF(AND($T31&lt;&gt;"",EDATE($D31,Milestones!$AA$147)&gt;=$T31),$W31,IF(AND($S31&lt;&gt;"",EDATE($D31,Milestones!$AA$147)&gt;=$S31),$V31,$U31)))=Milestones!$AB$147),UPPER(TEXT(EDATE($D31,Milestones!$AA$147),"dd mmm yy"))&amp;" "&amp;Milestones!$AB$147&amp;" "&amp;Milestones!$AC$147&amp;";  ","")&amp;IF(AND(EDATE($D31,Milestones!$AA$148)&lt;=AsOfDate,IF($R31=0,$X31,IF(AND($T31&lt;&gt;"",EDATE($D31,Milestones!$AA$148)&gt;=$T31),$W31,IF(AND($S31&lt;&gt;"",EDATE($D31,Milestones!$AA$148)&gt;=$S31),$V31,$U31)))=Milestones!$AB$148),UPPER(TEXT(EDATE($D31,Milestones!$AA$148),"dd mmm yy"))&amp;" "&amp;Milestones!$AB$148&amp;" "&amp;Milestones!$AC$148&amp;";  ","")&amp;IF(AND(EDATE($D31,Milestones!$AA$149)&lt;=AsOfDate,IF($R31=0,$X31,IF(AND($T31&lt;&gt;"",EDATE($D31,Milestones!$AA$149)&gt;=$T31),$W31,IF(AND($S31&lt;&gt;"",EDATE($D31,Milestones!$AA$149)&gt;=$S31),$V31,$U31)))=Milestones!$AB$149),UPPER(TEXT(EDATE($D31,Milestones!$AA$149),"dd mmm yy"))&amp;" "&amp;Milestones!$AB$149&amp;" "&amp;Milestones!$AC$149&amp;";  ","")&amp;IF(AND(EDATE($D31,Milestones!$AA$150)&lt;=AsOfDate,IF($R31=0,$X31,IF(AND($T31&lt;&gt;"",EDATE($D31,Milestones!$AA$150)&gt;=$T31),$W31,IF(AND($S31&lt;&gt;"",EDATE($D31,Milestones!$AA$150)&gt;=$S31),$V31,$U31)))=Milestones!$AB$150),UPPER(TEXT(EDATE($D31,Milestones!$AA$150),"dd mmm yy"))&amp;" "&amp;Milestones!$AB$150&amp;" "&amp;Milestones!$AC$150&amp;";  ","")&amp;IF(AND(EDATE($D31,Milestones!$AA$151)&lt;=AsOfDate,IF($R31=0,$X31,IF(AND($T31&lt;&gt;"",EDATE($D31,Milestones!$AA$151)&gt;=$T31),$W31,IF(AND($S31&lt;&gt;"",EDATE($D31,Milestones!$AA$151)&gt;=$S31),$V31,$U31)))=Milestones!$AB$151),UPPER(TEXT(EDATE($D31,Milestones!$AA$151),"dd mmm yy"))&amp;" "&amp;Milestones!$AB$151&amp;" "&amp;Milestones!$AC$151&amp;";  ","")&amp;IF(AND(EDATE($D31,Milestones!$AA$152)&lt;=AsOfDate,IF($R31=0,$X31,IF(AND($T31&lt;&gt;"",EDATE($D31,Milestones!$AA$152)&gt;=$T31),$W31,IF(AND($S31&lt;&gt;"",EDATE($D31,Milestones!$AA$152)&gt;=$S31),$V31,$U31)))=Milestones!$AB$152),UPPER(TEXT(EDATE($D31,Milestones!$AA$152),"dd mmm yy"))&amp;" "&amp;Milestones!$AB$152&amp;" "&amp;Milestones!$AC$152&amp;";  ","")&amp;IF(AND(EDATE($D31,Milestones!$AA$153)&lt;=AsOfDate,IF($R31=0,$X31,IF(AND($T31&lt;&gt;"",EDATE($D31,Milestones!$AA$153)&gt;=$T31),$W31,IF(AND($S31&lt;&gt;"",EDATE($D31,Milestones!$AA$153)&gt;=$S31),$V31,$U31)))=Milestones!$AB$153),UPPER(TEXT(EDATE($D31,Milestones!$AA$153),"dd mmm yy"))&amp;" "&amp;Milestones!$AB$153&amp;" "&amp;Milestones!$AC$153&amp;";  ","")&amp;IF(AND(EDATE($D31,Milestones!$AA$154)&lt;=AsOfDate,IF($R31=0,$X31,IF(AND($T31&lt;&gt;"",EDATE($D31,Milestones!$AA$154)&gt;=$T31),$W31,IF(AND($S31&lt;&gt;"",EDATE($D31,Milestones!$AA$154)&gt;=$S31),$V31,$U31)))=Milestones!$AB$154),UPPER(TEXT(EDATE($D31,Milestones!$AA$154),"dd mmm yy"))&amp;" "&amp;Milestones!$AB$154&amp;" "&amp;Milestones!$AC$154&amp;";  ","")&amp;IF(AND(EDATE($D31,Milestones!$AA$155)&lt;=AsOfDate,IF($R31=0,$X31,IF(AND($T31&lt;&gt;"",EDATE($D31,Milestones!$AA$155)&gt;=$T31),$W31,IF(AND($S31&lt;&gt;"",EDATE($D31,Milestones!$AA$155)&gt;=$S31),$V31,$U31)))=Milestones!$AB$155),UPPER(TEXT(EDATE($D31,Milestones!$AA$155),"dd mmm yy"))&amp;" "&amp;Milestones!$AB$155&amp;" "&amp;Milestones!$AC$155&amp;";  ","")&amp;IF(AND(EDATE($D31,Milestones!$AA$156)&lt;=AsOfDate,IF($R31=0,$X31,IF(AND($T31&lt;&gt;"",EDATE($D31,Milestones!$AA$156)&gt;=$T31),$W31,IF(AND($S31&lt;&gt;"",EDATE($D31,Milestones!$AA$156)&gt;=$S31),$V31,$U31)))=Milestones!$AB$156),UPPER(TEXT(EDATE($D31,Milestones!$AA$156),"dd mmm yy"))&amp;" "&amp;Milestones!$AB$156&amp;" "&amp;Milestones!$AC$156&amp;";  ","")&amp;IF(AND(EDATE($D31,Milestones!$AA$157)&lt;=AsOfDate,IF($R31=0,$X31,IF(AND($T31&lt;&gt;"",EDATE($D31,Milestones!$AA$157)&gt;=$T31),$W31,IF(AND($S31&lt;&gt;"",EDATE($D31,Milestones!$AA$157)&gt;=$S31),$V31,$U31)))=Milestones!$AB$157),UPPER(TEXT(EDATE($D31,Milestones!$AA$157),"dd mmm yy"))&amp;" "&amp;Milestones!$AB$157&amp;" "&amp;Milestones!$AC$157&amp;";  ","")&amp;IF(AND(EDATE($D31,Milestones!$AA$158)&lt;=AsOfDate,IF($R31=0,$X31,IF(AND($T31&lt;&gt;"",EDATE($D31,Milestones!$AA$158)&gt;=$T31),$W31,IF(AND($S31&lt;&gt;"",EDATE($D31,Milestones!$AA$158)&gt;=$S31),$V31,$U31)))=Milestones!$AB$158),UPPER(TEXT(EDATE($D31,Milestones!$AA$158),"dd mmm yy"))&amp;" "&amp;Milestones!$AB$158&amp;" "&amp;Milestones!$AC$158&amp;";  ","")&amp;IF(AND(EDATE($D31,Milestones!$AA$159)&lt;=AsOfDate,IF($R31=0,$X31,IF(AND($T31&lt;&gt;"",EDATE($D31,Milestones!$AA$159)&gt;=$T31),$W31,IF(AND($S31&lt;&gt;"",EDATE($D31,Milestones!$AA$159)&gt;=$S31),$V31,$U31)))=Milestones!$AB$159),UPPER(TEXT(EDATE($D31,Milestones!$AA$159),"dd mmm yy"))&amp;" "&amp;Milestones!$AB$159&amp;" "&amp;Milestones!$AC$159&amp;";  ",""))</f>
        <v/>
      </c>
      <c r="P31" s="0" t="str">
        <f aca="false">IF(OR($A31="",$D31=""),"",IF(AND(EDATE($D31,Milestones!$AA$160)&lt;=AsOfDate,IF($R31=0,$X31,IF(AND($T31&lt;&gt;"",EDATE($D31,Milestones!$AA$160)&gt;=$T31),$W31,IF(AND($S31&lt;&gt;"",EDATE($D31,Milestones!$AA$160)&gt;=$S31),$V31,$U31)))=Milestones!$AB$160),UPPER(TEXT(EDATE($D31,Milestones!$AA$160),"dd mmm yy"))&amp;" "&amp;Milestones!$AB$160&amp;" "&amp;Milestones!$AC$160&amp;";  ","")&amp;IF(AND(EDATE($D31,Milestones!$AA$161)&lt;=AsOfDate,IF($R31=0,$X31,IF(AND($T31&lt;&gt;"",EDATE($D31,Milestones!$AA$161)&gt;=$T31),$W31,IF(AND($S31&lt;&gt;"",EDATE($D31,Milestones!$AA$161)&gt;=$S31),$V31,$U31)))=Milestones!$AB$161),UPPER(TEXT(EDATE($D31,Milestones!$AA$161),"dd mmm yy"))&amp;" "&amp;Milestones!$AB$161&amp;" "&amp;Milestones!$AC$161&amp;";  ","")&amp;IF(AND(EDATE($D31,Milestones!$AA$162)&lt;=AsOfDate,IF($R31=0,$X31,IF(AND($T31&lt;&gt;"",EDATE($D31,Milestones!$AA$162)&gt;=$T31),$W31,IF(AND($S31&lt;&gt;"",EDATE($D31,Milestones!$AA$162)&gt;=$S31),$V31,$U31)))=Milestones!$AB$162),UPPER(TEXT(EDATE($D31,Milestones!$AA$162),"dd mmm yy"))&amp;" "&amp;Milestones!$AB$162&amp;" "&amp;Milestones!$AC$162&amp;";  ","")&amp;IF(AND(EDATE($D31,Milestones!$AA$163)&lt;=AsOfDate,IF($R31=0,$X31,IF(AND($T31&lt;&gt;"",EDATE($D31,Milestones!$AA$163)&gt;=$T31),$W31,IF(AND($S31&lt;&gt;"",EDATE($D31,Milestones!$AA$163)&gt;=$S31),$V31,$U31)))=Milestones!$AB$163),UPPER(TEXT(EDATE($D31,Milestones!$AA$163),"dd mmm yy"))&amp;" "&amp;Milestones!$AB$163&amp;" "&amp;Milestones!$AC$163&amp;";  ","")&amp;IF(AND(EDATE($D31,Milestones!$AA$164)&lt;=AsOfDate,IF($R31=0,$X31,IF(AND($T31&lt;&gt;"",EDATE($D31,Milestones!$AA$164)&gt;=$T31),$W31,IF(AND($S31&lt;&gt;"",EDATE($D31,Milestones!$AA$164)&gt;=$S31),$V31,$U31)))=Milestones!$AB$164),UPPER(TEXT(EDATE($D31,Milestones!$AA$164),"dd mmm yy"))&amp;" "&amp;Milestones!$AB$164&amp;" "&amp;Milestones!$AC$164&amp;";  ","")&amp;IF(AND(EDATE($D31,Milestones!$AA$165)&lt;=AsOfDate,IF($R31=0,$X31,IF(AND($T31&lt;&gt;"",EDATE($D31,Milestones!$AA$165)&gt;=$T31),$W31,IF(AND($S31&lt;&gt;"",EDATE($D31,Milestones!$AA$165)&gt;=$S31),$V31,$U31)))=Milestones!$AB$165),UPPER(TEXT(EDATE($D31,Milestones!$AA$165),"dd mmm yy"))&amp;" "&amp;Milestones!$AB$165&amp;" "&amp;Milestones!$AC$165&amp;";  ","")&amp;IF(AND(EDATE($D31,Milestones!$AA$166)&lt;=AsOfDate,IF($R31=0,$X31,IF(AND($T31&lt;&gt;"",EDATE($D31,Milestones!$AA$166)&gt;=$T31),$W31,IF(AND($S31&lt;&gt;"",EDATE($D31,Milestones!$AA$166)&gt;=$S31),$V31,$U31)))=Milestones!$AB$166),UPPER(TEXT(EDATE($D31,Milestones!$AA$166),"dd mmm yy"))&amp;" "&amp;Milestones!$AB$166&amp;" "&amp;Milestones!$AC$166&amp;";  ","")&amp;IF(AND(EDATE($D31,Milestones!$AA$167)&lt;=AsOfDate,IF($R31=0,$X31,IF(AND($T31&lt;&gt;"",EDATE($D31,Milestones!$AA$167)&gt;=$T31),$W31,IF(AND($S31&lt;&gt;"",EDATE($D31,Milestones!$AA$167)&gt;=$S31),$V31,$U31)))=Milestones!$AB$167),UPPER(TEXT(EDATE($D31,Milestones!$AA$167),"dd mmm yy"))&amp;" "&amp;Milestones!$AB$167&amp;" "&amp;Milestones!$AC$167&amp;";  ","")&amp;IF(AND(EDATE($D31,Milestones!$AA$168)&lt;=AsOfDate,IF($R31=0,$X31,IF(AND($T31&lt;&gt;"",EDATE($D31,Milestones!$AA$168)&gt;=$T31),$W31,IF(AND($S31&lt;&gt;"",EDATE($D31,Milestones!$AA$168)&gt;=$S31),$V31,$U31)))=Milestones!$AB$168),UPPER(TEXT(EDATE($D31,Milestones!$AA$168),"dd mmm yy"))&amp;" "&amp;Milestones!$AB$168&amp;" "&amp;Milestones!$AC$168&amp;";  ","")&amp;IF(AND(EDATE($D31,Milestones!$AA$169)&lt;=AsOfDate,IF($R31=0,$X31,IF(AND($T31&lt;&gt;"",EDATE($D31,Milestones!$AA$169)&gt;=$T31),$W31,IF(AND($S31&lt;&gt;"",EDATE($D31,Milestones!$AA$169)&gt;=$S31),$V31,$U31)))=Milestones!$AB$169),UPPER(TEXT(EDATE($D31,Milestones!$AA$169),"dd mmm yy"))&amp;" "&amp;Milestones!$AB$169&amp;" "&amp;Milestones!$AC$169&amp;";  ","")&amp;IF(AND(EDATE($D31,Milestones!$AA$170)&lt;=AsOfDate,IF($R31=0,$X31,IF(AND($T31&lt;&gt;"",EDATE($D31,Milestones!$AA$170)&gt;=$T31),$W31,IF(AND($S31&lt;&gt;"",EDATE($D31,Milestones!$AA$170)&gt;=$S31),$V31,$U31)))=Milestones!$AB$170),UPPER(TEXT(EDATE($D31,Milestones!$AA$170),"dd mmm yy"))&amp;" "&amp;Milestones!$AB$170&amp;" "&amp;Milestones!$AC$170&amp;";  ","")&amp;IF(AND(EDATE($D31,Milestones!$AA$171)&lt;=AsOfDate,IF($R31=0,$X31,IF(AND($T31&lt;&gt;"",EDATE($D31,Milestones!$AA$171)&gt;=$T31),$W31,IF(AND($S31&lt;&gt;"",EDATE($D31,Milestones!$AA$171)&gt;=$S31),$V31,$U31)))=Milestones!$AB$171),UPPER(TEXT(EDATE($D31,Milestones!$AA$171),"dd mmm yy"))&amp;" "&amp;Milestones!$AB$171&amp;" "&amp;Milestones!$AC$171&amp;";  ","")&amp;IF(AND(EDATE($D31,Milestones!$AA$172)&lt;=AsOfDate,IF($R31=0,$X31,IF(AND($T31&lt;&gt;"",EDATE($D31,Milestones!$AA$172)&gt;=$T31),$W31,IF(AND($S31&lt;&gt;"",EDATE($D31,Milestones!$AA$172)&gt;=$S31),$V31,$U31)))=Milestones!$AB$172),UPPER(TEXT(EDATE($D31,Milestones!$AA$172),"dd mmm yy"))&amp;" "&amp;Milestones!$AB$172&amp;" "&amp;Milestones!$AC$172&amp;";  ","")&amp;IF(AND(EDATE($D31,Milestones!$AA$173)&lt;=AsOfDate,IF($R31=0,$X31,IF(AND($T31&lt;&gt;"",EDATE($D31,Milestones!$AA$173)&gt;=$T31),$W31,IF(AND($S31&lt;&gt;"",EDATE($D31,Milestones!$AA$173)&gt;=$S31),$V31,$U31)))=Milestones!$AB$173),UPPER(TEXT(EDATE($D31,Milestones!$AA$173),"dd mmm yy"))&amp;" "&amp;Milestones!$AB$173&amp;" "&amp;Milestones!$AC$173&amp;";  ","")&amp;IF(AND(EDATE($D31,Milestones!$AA$174)&lt;=AsOfDate,IF($R31=0,$X31,IF(AND($T31&lt;&gt;"",EDATE($D31,Milestones!$AA$174)&gt;=$T31),$W31,IF(AND($S31&lt;&gt;"",EDATE($D31,Milestones!$AA$174)&gt;=$S31),$V31,$U31)))=Milestones!$AB$174),UPPER(TEXT(EDATE($D31,Milestones!$AA$174),"dd mmm yy"))&amp;" "&amp;Milestones!$AB$174&amp;" "&amp;Milestones!$AC$174&amp;";  ","")&amp;IF(AND(EDATE($D31,Milestones!$AA$175)&lt;=AsOfDate,IF($R31=0,$X31,IF(AND($T31&lt;&gt;"",EDATE($D31,Milestones!$AA$175)&gt;=$T31),$W31,IF(AND($S31&lt;&gt;"",EDATE($D31,Milestones!$AA$175)&gt;=$S31),$V31,$U31)))=Milestones!$AB$175),UPPER(TEXT(EDATE($D31,Milestones!$AA$175),"dd mmm yy"))&amp;" "&amp;Milestones!$AB$175&amp;" "&amp;Milestones!$AC$175&amp;";  ","")&amp;IF(AND(EDATE($D31,Milestones!$AA$176)&lt;=AsOfDate,IF($R31=0,$X31,IF(AND($T31&lt;&gt;"",EDATE($D31,Milestones!$AA$176)&gt;=$T31),$W31,IF(AND($S31&lt;&gt;"",EDATE($D31,Milestones!$AA$176)&gt;=$S31),$V31,$U31)))=Milestones!$AB$176),UPPER(TEXT(EDATE($D31,Milestones!$AA$176),"dd mmm yy"))&amp;" "&amp;Milestones!$AB$176&amp;" "&amp;Milestones!$AC$176&amp;";  ","")&amp;IF(AND(EDATE($D31,Milestones!$AA$177)&lt;=AsOfDate,IF($R31=0,$X31,IF(AND($T31&lt;&gt;"",EDATE($D31,Milestones!$AA$177)&gt;=$T31),$W31,IF(AND($S31&lt;&gt;"",EDATE($D31,Milestones!$AA$177)&gt;=$S31),$V31,$U31)))=Milestones!$AB$177),UPPER(TEXT(EDATE($D31,Milestones!$AA$177),"dd mmm yy"))&amp;" "&amp;Milestones!$AB$177&amp;" "&amp;Milestones!$AC$177&amp;";  ","")&amp;IF(AND(EDATE($D31,Milestones!$AA$178)&lt;=AsOfDate,IF($R31=0,$X31,IF(AND($T31&lt;&gt;"",EDATE($D31,Milestones!$AA$178)&gt;=$T31),$W31,IF(AND($S31&lt;&gt;"",EDATE($D31,Milestones!$AA$178)&gt;=$S31),$V31,$U31)))=Milestones!$AB$178),UPPER(TEXT(EDATE($D31,Milestones!$AA$178),"dd mmm yy"))&amp;" "&amp;Milestones!$AB$178&amp;" "&amp;Milestones!$AC$178&amp;";  ","")&amp;IF(AND(EDATE($D31,Milestones!$AA$179)&lt;=AsOfDate,IF($R31=0,$X31,IF(AND($T31&lt;&gt;"",EDATE($D31,Milestones!$AA$179)&gt;=$T31),$W31,IF(AND($S31&lt;&gt;"",EDATE($D31,Milestones!$AA$179)&gt;=$S31),$V31,$U31)))=Milestones!$AB$179),UPPER(TEXT(EDATE($D31,Milestones!$AA$179),"dd mmm yy"))&amp;" "&amp;Milestones!$AB$179&amp;" "&amp;Milestones!$AC$179&amp;";  ",""))</f>
        <v/>
      </c>
      <c r="Q31" s="0" t="str">
        <f aca="false">IF(OR($A31="",$D31=""),"",IF(AND(EDATE($D31,Milestones!$AA$180)&lt;=AsOfDate,IF($R31=0,$X31,IF(AND($T31&lt;&gt;"",EDATE($D31,Milestones!$AA$180)&gt;=$T31),$W31,IF(AND($S31&lt;&gt;"",EDATE($D31,Milestones!$AA$180)&gt;=$S31),$V31,$U31)))=Milestones!$AB$180),UPPER(TEXT(EDATE($D31,Milestones!$AA$180),"dd mmm yy"))&amp;" "&amp;Milestones!$AB$180&amp;" "&amp;Milestones!$AC$180&amp;";  ","")&amp;IF(AND(EDATE($D31,Milestones!$AA$181)&lt;=AsOfDate,IF($R31=0,$X31,IF(AND($T31&lt;&gt;"",EDATE($D31,Milestones!$AA$181)&gt;=$T31),$W31,IF(AND($S31&lt;&gt;"",EDATE($D31,Milestones!$AA$181)&gt;=$S31),$V31,$U31)))=Milestones!$AB$181),UPPER(TEXT(EDATE($D31,Milestones!$AA$181),"dd mmm yy"))&amp;" "&amp;Milestones!$AB$181&amp;" "&amp;Milestones!$AC$181&amp;";  ","")&amp;IF(AND(EDATE($D31,Milestones!$AA$182)&lt;=AsOfDate,IF($R31=0,$X31,IF(AND($T31&lt;&gt;"",EDATE($D31,Milestones!$AA$182)&gt;=$T31),$W31,IF(AND($S31&lt;&gt;"",EDATE($D31,Milestones!$AA$182)&gt;=$S31),$V31,$U31)))=Milestones!$AB$182),UPPER(TEXT(EDATE($D31,Milestones!$AA$182),"dd mmm yy"))&amp;" "&amp;Milestones!$AB$182&amp;" "&amp;Milestones!$AC$182&amp;";  ","")&amp;IF(AND(EDATE($D31,Milestones!$AA$183)&lt;=AsOfDate,IF($R31=0,$X31,IF(AND($T31&lt;&gt;"",EDATE($D31,Milestones!$AA$183)&gt;=$T31),$W31,IF(AND($S31&lt;&gt;"",EDATE($D31,Milestones!$AA$183)&gt;=$S31),$V31,$U31)))=Milestones!$AB$183),UPPER(TEXT(EDATE($D31,Milestones!$AA$183),"dd mmm yy"))&amp;" "&amp;Milestones!$AB$183&amp;" "&amp;Milestones!$AC$183&amp;";  ","")&amp;IF(AND(EDATE($D31,Milestones!$AA$184)&lt;=AsOfDate,IF($R31=0,$X31,IF(AND($T31&lt;&gt;"",EDATE($D31,Milestones!$AA$184)&gt;=$T31),$W31,IF(AND($S31&lt;&gt;"",EDATE($D31,Milestones!$AA$184)&gt;=$S31),$V31,$U31)))=Milestones!$AB$184),UPPER(TEXT(EDATE($D31,Milestones!$AA$184),"dd mmm yy"))&amp;" "&amp;Milestones!$AB$184&amp;" "&amp;Milestones!$AC$184&amp;";  ","")&amp;IF(AND(EDATE($D31,Milestones!$AA$185)&lt;=AsOfDate,IF($R31=0,$X31,IF(AND($T31&lt;&gt;"",EDATE($D31,Milestones!$AA$185)&gt;=$T31),$W31,IF(AND($S31&lt;&gt;"",EDATE($D31,Milestones!$AA$185)&gt;=$S31),$V31,$U31)))=Milestones!$AB$185),UPPER(TEXT(EDATE($D31,Milestones!$AA$185),"dd mmm yy"))&amp;" "&amp;Milestones!$AB$185&amp;" "&amp;Milestones!$AC$185&amp;";  ","")&amp;IF(AND(EDATE($D31,Milestones!$AA$186)&lt;=AsOfDate,IF($R31=0,$X31,IF(AND($T31&lt;&gt;"",EDATE($D31,Milestones!$AA$186)&gt;=$T31),$W31,IF(AND($S31&lt;&gt;"",EDATE($D31,Milestones!$AA$186)&gt;=$S31),$V31,$U31)))=Milestones!$AB$186),UPPER(TEXT(EDATE($D31,Milestones!$AA$186),"dd mmm yy"))&amp;" "&amp;Milestones!$AB$186&amp;" "&amp;Milestones!$AC$186&amp;";  ","")&amp;IF(AND(EDATE($D31,Milestones!$AA$187)&lt;=AsOfDate,IF($R31=0,$X31,IF(AND($T31&lt;&gt;"",EDATE($D31,Milestones!$AA$187)&gt;=$T31),$W31,IF(AND($S31&lt;&gt;"",EDATE($D31,Milestones!$AA$187)&gt;=$S31),$V31,$U31)))=Milestones!$AB$187),UPPER(TEXT(EDATE($D31,Milestones!$AA$187),"dd mmm yy"))&amp;" "&amp;Milestones!$AB$187&amp;" "&amp;Milestones!$AC$187&amp;";  ","")&amp;IF(AND(EDATE($D31,Milestones!$AA$188)&lt;=AsOfDate,IF($R31=0,$X31,IF(AND($T31&lt;&gt;"",EDATE($D31,Milestones!$AA$188)&gt;=$T31),$W31,IF(AND($S31&lt;&gt;"",EDATE($D31,Milestones!$AA$188)&gt;=$S31),$V31,$U31)))=Milestones!$AB$188),UPPER(TEXT(EDATE($D31,Milestones!$AA$188),"dd mmm yy"))&amp;" "&amp;Milestones!$AB$188&amp;" "&amp;Milestones!$AC$188&amp;";  ","")&amp;IF(AND(EDATE($D31,Milestones!$AA$189)&lt;=AsOfDate,IF($R31=0,$X31,IF(AND($T31&lt;&gt;"",EDATE($D31,Milestones!$AA$189)&gt;=$T31),$W31,IF(AND($S31&lt;&gt;"",EDATE($D31,Milestones!$AA$189)&gt;=$S31),$V31,$U31)))=Milestones!$AB$189),UPPER(TEXT(EDATE($D31,Milestones!$AA$189),"dd mmm yy"))&amp;" "&amp;Milestones!$AB$189&amp;" "&amp;Milestones!$AC$189&amp;";  ","")&amp;IF(AND(EDATE($D31,Milestones!$AA$190)&lt;=AsOfDate,IF($R31=0,$X31,IF(AND($T31&lt;&gt;"",EDATE($D31,Milestones!$AA$190)&gt;=$T31),$W31,IF(AND($S31&lt;&gt;"",EDATE($D31,Milestones!$AA$190)&gt;=$S31),$V31,$U31)))=Milestones!$AB$190),UPPER(TEXT(EDATE($D31,Milestones!$AA$190),"dd mmm yy"))&amp;" "&amp;Milestones!$AB$190&amp;" "&amp;Milestones!$AC$190&amp;";  ","")&amp;IF(AND(EDATE($D31,Milestones!$AA$191)&lt;=AsOfDate,IF($R31=0,$X31,IF(AND($T31&lt;&gt;"",EDATE($D31,Milestones!$AA$191)&gt;=$T31),$W31,IF(AND($S31&lt;&gt;"",EDATE($D31,Milestones!$AA$191)&gt;=$S31),$V31,$U31)))=Milestones!$AB$191),UPPER(TEXT(EDATE($D31,Milestones!$AA$191),"dd mmm yy"))&amp;" "&amp;Milestones!$AB$191&amp;" "&amp;Milestones!$AC$191&amp;";  ","")&amp;IF(AND(EDATE($D31,Milestones!$AA$192)&lt;=AsOfDate,IF($R31=0,$X31,IF(AND($T31&lt;&gt;"",EDATE($D31,Milestones!$AA$192)&gt;=$T31),$W31,IF(AND($S31&lt;&gt;"",EDATE($D31,Milestones!$AA$192)&gt;=$S31),$V31,$U31)))=Milestones!$AB$192),UPPER(TEXT(EDATE($D31,Milestones!$AA$192),"dd mmm yy"))&amp;" "&amp;Milestones!$AB$192&amp;" "&amp;Milestones!$AC$192&amp;";  ","")&amp;IF(AND(EDATE($D31,Milestones!$AA$193)&lt;=AsOfDate,IF($R31=0,$X31,IF(AND($T31&lt;&gt;"",EDATE($D31,Milestones!$AA$193)&gt;=$T31),$W31,IF(AND($S31&lt;&gt;"",EDATE($D31,Milestones!$AA$193)&gt;=$S31),$V31,$U31)))=Milestones!$AB$193),UPPER(TEXT(EDATE($D31,Milestones!$AA$193),"dd mmm yy"))&amp;" "&amp;Milestones!$AB$193&amp;" "&amp;Milestones!$AC$193&amp;";  ","")&amp;IF(AND(EDATE($D31,Milestones!$AA$194)&lt;=AsOfDate,IF($R31=0,$X31,IF(AND($T31&lt;&gt;"",EDATE($D31,Milestones!$AA$194)&gt;=$T31),$W31,IF(AND($S31&lt;&gt;"",EDATE($D31,Milestones!$AA$194)&gt;=$S31),$V31,$U31)))=Milestones!$AB$194),UPPER(TEXT(EDATE($D31,Milestones!$AA$194),"dd mmm yy"))&amp;" "&amp;Milestones!$AB$194&amp;" "&amp;Milestones!$AC$194&amp;";  ","")&amp;IF(AND(EDATE($D31,Milestones!$AA$195)&lt;=AsOfDate,IF($R31=0,$X31,IF(AND($T31&lt;&gt;"",EDATE($D31,Milestones!$AA$195)&gt;=$T31),$W31,IF(AND($S31&lt;&gt;"",EDATE($D31,Milestones!$AA$195)&gt;=$S31),$V31,$U31)))=Milestones!$AB$195),UPPER(TEXT(EDATE($D31,Milestones!$AA$195),"dd mmm yy"))&amp;" "&amp;Milestones!$AB$195&amp;" "&amp;Milestones!$AC$195&amp;";  ","")&amp;IF(AND(EDATE($D31,Milestones!$AA$196)&lt;=AsOfDate,IF($R31=0,$X31,IF(AND($T31&lt;&gt;"",EDATE($D31,Milestones!$AA$196)&gt;=$T31),$W31,IF(AND($S31&lt;&gt;"",EDATE($D31,Milestones!$AA$196)&gt;=$S31),$V31,$U31)))=Milestones!$AB$196),UPPER(TEXT(EDATE($D31,Milestones!$AA$196),"dd mmm yy"))&amp;" "&amp;Milestones!$AB$196&amp;" "&amp;Milestones!$AC$196&amp;";  ","")&amp;IF(AND(EDATE($D31,Milestones!$AA$197)&lt;=AsOfDate,IF($R31=0,$X31,IF(AND($T31&lt;&gt;"",EDATE($D31,Milestones!$AA$197)&gt;=$T31),$W31,IF(AND($S31&lt;&gt;"",EDATE($D31,Milestones!$AA$197)&gt;=$S31),$V31,$U31)))=Milestones!$AB$197),UPPER(TEXT(EDATE($D31,Milestones!$AA$197),"dd mmm yy"))&amp;" "&amp;Milestones!$AB$197&amp;" "&amp;Milestones!$AC$197&amp;";  ","")&amp;IF(AND(EDATE($D31,Milestones!$AA$198)&lt;=AsOfDate,IF($R31=0,$X31,IF(AND($T31&lt;&gt;"",EDATE($D31,Milestones!$AA$198)&gt;=$T31),$W31,IF(AND($S31&lt;&gt;"",EDATE($D31,Milestones!$AA$198)&gt;=$S31),$V31,$U31)))=Milestones!$AB$198),UPPER(TEXT(EDATE($D31,Milestones!$AA$198),"dd mmm yy"))&amp;" "&amp;Milestones!$AB$198&amp;" "&amp;Milestones!$AC$198&amp;";  ","")&amp;IF(AND(EDATE($D31,Milestones!$AA$199)&lt;=AsOfDate,IF($R31=0,$X31,IF(AND($T31&lt;&gt;"",EDATE($D31,Milestones!$AA$199)&gt;=$T31),$W31,IF(AND($S31&lt;&gt;"",EDATE($D31,Milestones!$AA$199)&gt;=$S31),$V31,$U31)))=Milestones!$AB$199),UPPER(TEXT(EDATE($D31,Milestones!$AA$199),"dd mmm yy"))&amp;" "&amp;Milestones!$AB$199&amp;" "&amp;Milestones!$AC$199&amp;";  ",""))</f>
        <v/>
      </c>
      <c r="R31" s="0" t="str">
        <f aca="false">IF(Staff!$A31="","",Staff!$AI31)</f>
        <v/>
      </c>
      <c r="S31" s="0" t="str">
        <f aca="false">IF(Staff!$A31="","",Staff!$AK31)</f>
        <v/>
      </c>
      <c r="T31" s="0" t="str">
        <f aca="false">IF(Staff!$A31="","",Staff!$AL31)</f>
        <v/>
      </c>
      <c r="U31" s="0" t="str">
        <f aca="false">IF(Staff!$A31="","",Staff!$AP31)</f>
        <v/>
      </c>
      <c r="V31" s="0" t="str">
        <f aca="false">IF(Staff!$A31="","",Staff!$AQ31)</f>
        <v/>
      </c>
      <c r="W31" s="0" t="str">
        <f aca="false">IF(Staff!$A31="","",Staff!$AR31)</f>
        <v/>
      </c>
      <c r="X31" s="0" t="str">
        <f aca="false">IF(Staff!$A31="","",Staff!$AS31)</f>
        <v/>
      </c>
    </row>
    <row r="32" customFormat="false" ht="15" hidden="false" customHeight="false" outlineLevel="0" collapsed="false">
      <c r="A32" s="14" t="str">
        <f aca="false">IF(Staff!$A32="","",Staff!$A32)</f>
        <v/>
      </c>
      <c r="B32" s="14" t="str">
        <f aca="false">IF(Staff!$A32="","",Staff!$B32)</f>
        <v/>
      </c>
      <c r="C32" s="14" t="str">
        <f aca="false">IF(Staff!$A32="","",Staff!$C32)</f>
        <v/>
      </c>
      <c r="D32" s="12" t="str">
        <f aca="false">IF(Staff!$A32="","",Staff!$AH32)</f>
        <v/>
      </c>
      <c r="E32" s="14" t="str">
        <f aca="false">IF(Staff!$A32="","",Staff!$O32)</f>
        <v/>
      </c>
      <c r="F32" s="14" t="str">
        <f aca="false">IF(E32="","",E32*HoursPerDay)</f>
        <v/>
      </c>
      <c r="G32" s="14" t="str">
        <f aca="false">IF(Staff!$A32="","",Staff!$AE32)</f>
        <v/>
      </c>
      <c r="H32" s="26" t="str">
        <f aca="false">IF($A32="","",I32&amp;J32&amp;K32&amp;L32&amp;M32&amp;N32&amp;O32&amp;P32&amp;Q32)</f>
        <v/>
      </c>
      <c r="I32" s="0" t="str">
        <f aca="false">IF(OR($A32="",$D32=""),"",IF(AND(EDATE($D32,Milestones!$AA$20)&lt;=AsOfDate,IF($R32=0,$X32,IF(AND($T32&lt;&gt;"",EDATE($D32,Milestones!$AA$20)&gt;=$T32),$W32,IF(AND($S32&lt;&gt;"",EDATE($D32,Milestones!$AA$20)&gt;=$S32),$V32,$U32)))=Milestones!$AB$20),UPPER(TEXT(EDATE($D32,Milestones!$AA$20),"dd mmm yy"))&amp;" "&amp;Milestones!$AB$20&amp;" "&amp;Milestones!$AC$20&amp;";  ","")&amp;IF(AND(EDATE($D32,Milestones!$AA$21)&lt;=AsOfDate,IF($R32=0,$X32,IF(AND($T32&lt;&gt;"",EDATE($D32,Milestones!$AA$21)&gt;=$T32),$W32,IF(AND($S32&lt;&gt;"",EDATE($D32,Milestones!$AA$21)&gt;=$S32),$V32,$U32)))=Milestones!$AB$21),UPPER(TEXT(EDATE($D32,Milestones!$AA$21),"dd mmm yy"))&amp;" "&amp;Milestones!$AB$21&amp;" "&amp;Milestones!$AC$21&amp;";  ","")&amp;IF(AND(EDATE($D32,Milestones!$AA$22)&lt;=AsOfDate,IF($R32=0,$X32,IF(AND($T32&lt;&gt;"",EDATE($D32,Milestones!$AA$22)&gt;=$T32),$W32,IF(AND($S32&lt;&gt;"",EDATE($D32,Milestones!$AA$22)&gt;=$S32),$V32,$U32)))=Milestones!$AB$22),UPPER(TEXT(EDATE($D32,Milestones!$AA$22),"dd mmm yy"))&amp;" "&amp;Milestones!$AB$22&amp;" "&amp;Milestones!$AC$22&amp;";  ","")&amp;IF(AND(EDATE($D32,Milestones!$AA$23)&lt;=AsOfDate,IF($R32=0,$X32,IF(AND($T32&lt;&gt;"",EDATE($D32,Milestones!$AA$23)&gt;=$T32),$W32,IF(AND($S32&lt;&gt;"",EDATE($D32,Milestones!$AA$23)&gt;=$S32),$V32,$U32)))=Milestones!$AB$23),UPPER(TEXT(EDATE($D32,Milestones!$AA$23),"dd mmm yy"))&amp;" "&amp;Milestones!$AB$23&amp;" "&amp;Milestones!$AC$23&amp;";  ","")&amp;IF(AND(EDATE($D32,Milestones!$AA$24)&lt;=AsOfDate,IF($R32=0,$X32,IF(AND($T32&lt;&gt;"",EDATE($D32,Milestones!$AA$24)&gt;=$T32),$W32,IF(AND($S32&lt;&gt;"",EDATE($D32,Milestones!$AA$24)&gt;=$S32),$V32,$U32)))=Milestones!$AB$24),UPPER(TEXT(EDATE($D32,Milestones!$AA$24),"dd mmm yy"))&amp;" "&amp;Milestones!$AB$24&amp;" "&amp;Milestones!$AC$24&amp;";  ","")&amp;IF(AND(EDATE($D32,Milestones!$AA$25)&lt;=AsOfDate,IF($R32=0,$X32,IF(AND($T32&lt;&gt;"",EDATE($D32,Milestones!$AA$25)&gt;=$T32),$W32,IF(AND($S32&lt;&gt;"",EDATE($D32,Milestones!$AA$25)&gt;=$S32),$V32,$U32)))=Milestones!$AB$25),UPPER(TEXT(EDATE($D32,Milestones!$AA$25),"dd mmm yy"))&amp;" "&amp;Milestones!$AB$25&amp;" "&amp;Milestones!$AC$25&amp;";  ","")&amp;IF(AND(EDATE($D32,Milestones!$AA$26)&lt;=AsOfDate,IF($R32=0,$X32,IF(AND($T32&lt;&gt;"",EDATE($D32,Milestones!$AA$26)&gt;=$T32),$W32,IF(AND($S32&lt;&gt;"",EDATE($D32,Milestones!$AA$26)&gt;=$S32),$V32,$U32)))=Milestones!$AB$26),UPPER(TEXT(EDATE($D32,Milestones!$AA$26),"dd mmm yy"))&amp;" "&amp;Milestones!$AB$26&amp;" "&amp;Milestones!$AC$26&amp;";  ","")&amp;IF(AND(EDATE($D32,Milestones!$AA$27)&lt;=AsOfDate,IF($R32=0,$X32,IF(AND($T32&lt;&gt;"",EDATE($D32,Milestones!$AA$27)&gt;=$T32),$W32,IF(AND($S32&lt;&gt;"",EDATE($D32,Milestones!$AA$27)&gt;=$S32),$V32,$U32)))=Milestones!$AB$27),UPPER(TEXT(EDATE($D32,Milestones!$AA$27),"dd mmm yy"))&amp;" "&amp;Milestones!$AB$27&amp;" "&amp;Milestones!$AC$27&amp;";  ","")&amp;IF(AND(EDATE($D32,Milestones!$AA$28)&lt;=AsOfDate,IF($R32=0,$X32,IF(AND($T32&lt;&gt;"",EDATE($D32,Milestones!$AA$28)&gt;=$T32),$W32,IF(AND($S32&lt;&gt;"",EDATE($D32,Milestones!$AA$28)&gt;=$S32),$V32,$U32)))=Milestones!$AB$28),UPPER(TEXT(EDATE($D32,Milestones!$AA$28),"dd mmm yy"))&amp;" "&amp;Milestones!$AB$28&amp;" "&amp;Milestones!$AC$28&amp;";  ","")&amp;IF(AND(EDATE($D32,Milestones!$AA$29)&lt;=AsOfDate,IF($R32=0,$X32,IF(AND($T32&lt;&gt;"",EDATE($D32,Milestones!$AA$29)&gt;=$T32),$W32,IF(AND($S32&lt;&gt;"",EDATE($D32,Milestones!$AA$29)&gt;=$S32),$V32,$U32)))=Milestones!$AB$29),UPPER(TEXT(EDATE($D32,Milestones!$AA$29),"dd mmm yy"))&amp;" "&amp;Milestones!$AB$29&amp;" "&amp;Milestones!$AC$29&amp;";  ","")&amp;IF(AND(EDATE($D32,Milestones!$AA$30)&lt;=AsOfDate,IF($R32=0,$X32,IF(AND($T32&lt;&gt;"",EDATE($D32,Milestones!$AA$30)&gt;=$T32),$W32,IF(AND($S32&lt;&gt;"",EDATE($D32,Milestones!$AA$30)&gt;=$S32),$V32,$U32)))=Milestones!$AB$30),UPPER(TEXT(EDATE($D32,Milestones!$AA$30),"dd mmm yy"))&amp;" "&amp;Milestones!$AB$30&amp;" "&amp;Milestones!$AC$30&amp;";  ","")&amp;IF(AND(EDATE($D32,Milestones!$AA$31)&lt;=AsOfDate,IF($R32=0,$X32,IF(AND($T32&lt;&gt;"",EDATE($D32,Milestones!$AA$31)&gt;=$T32),$W32,IF(AND($S32&lt;&gt;"",EDATE($D32,Milestones!$AA$31)&gt;=$S32),$V32,$U32)))=Milestones!$AB$31),UPPER(TEXT(EDATE($D32,Milestones!$AA$31),"dd mmm yy"))&amp;" "&amp;Milestones!$AB$31&amp;" "&amp;Milestones!$AC$31&amp;";  ","")&amp;IF(AND(EDATE($D32,Milestones!$AA$32)&lt;=AsOfDate,IF($R32=0,$X32,IF(AND($T32&lt;&gt;"",EDATE($D32,Milestones!$AA$32)&gt;=$T32),$W32,IF(AND($S32&lt;&gt;"",EDATE($D32,Milestones!$AA$32)&gt;=$S32),$V32,$U32)))=Milestones!$AB$32),UPPER(TEXT(EDATE($D32,Milestones!$AA$32),"dd mmm yy"))&amp;" "&amp;Milestones!$AB$32&amp;" "&amp;Milestones!$AC$32&amp;";  ","")&amp;IF(AND(EDATE($D32,Milestones!$AA$33)&lt;=AsOfDate,IF($R32=0,$X32,IF(AND($T32&lt;&gt;"",EDATE($D32,Milestones!$AA$33)&gt;=$T32),$W32,IF(AND($S32&lt;&gt;"",EDATE($D32,Milestones!$AA$33)&gt;=$S32),$V32,$U32)))=Milestones!$AB$33),UPPER(TEXT(EDATE($D32,Milestones!$AA$33),"dd mmm yy"))&amp;" "&amp;Milestones!$AB$33&amp;" "&amp;Milestones!$AC$33&amp;";  ","")&amp;IF(AND(EDATE($D32,Milestones!$AA$34)&lt;=AsOfDate,IF($R32=0,$X32,IF(AND($T32&lt;&gt;"",EDATE($D32,Milestones!$AA$34)&gt;=$T32),$W32,IF(AND($S32&lt;&gt;"",EDATE($D32,Milestones!$AA$34)&gt;=$S32),$V32,$U32)))=Milestones!$AB$34),UPPER(TEXT(EDATE($D32,Milestones!$AA$34),"dd mmm yy"))&amp;" "&amp;Milestones!$AB$34&amp;" "&amp;Milestones!$AC$34&amp;";  ","")&amp;IF(AND(EDATE($D32,Milestones!$AA$35)&lt;=AsOfDate,IF($R32=0,$X32,IF(AND($T32&lt;&gt;"",EDATE($D32,Milestones!$AA$35)&gt;=$T32),$W32,IF(AND($S32&lt;&gt;"",EDATE($D32,Milestones!$AA$35)&gt;=$S32),$V32,$U32)))=Milestones!$AB$35),UPPER(TEXT(EDATE($D32,Milestones!$AA$35),"dd mmm yy"))&amp;" "&amp;Milestones!$AB$35&amp;" "&amp;Milestones!$AC$35&amp;";  ","")&amp;IF(AND(EDATE($D32,Milestones!$AA$36)&lt;=AsOfDate,IF($R32=0,$X32,IF(AND($T32&lt;&gt;"",EDATE($D32,Milestones!$AA$36)&gt;=$T32),$W32,IF(AND($S32&lt;&gt;"",EDATE($D32,Milestones!$AA$36)&gt;=$S32),$V32,$U32)))=Milestones!$AB$36),UPPER(TEXT(EDATE($D32,Milestones!$AA$36),"dd mmm yy"))&amp;" "&amp;Milestones!$AB$36&amp;" "&amp;Milestones!$AC$36&amp;";  ","")&amp;IF(AND(EDATE($D32,Milestones!$AA$37)&lt;=AsOfDate,IF($R32=0,$X32,IF(AND($T32&lt;&gt;"",EDATE($D32,Milestones!$AA$37)&gt;=$T32),$W32,IF(AND($S32&lt;&gt;"",EDATE($D32,Milestones!$AA$37)&gt;=$S32),$V32,$U32)))=Milestones!$AB$37),UPPER(TEXT(EDATE($D32,Milestones!$AA$37),"dd mmm yy"))&amp;" "&amp;Milestones!$AB$37&amp;" "&amp;Milestones!$AC$37&amp;";  ","")&amp;IF(AND(EDATE($D32,Milestones!$AA$38)&lt;=AsOfDate,IF($R32=0,$X32,IF(AND($T32&lt;&gt;"",EDATE($D32,Milestones!$AA$38)&gt;=$T32),$W32,IF(AND($S32&lt;&gt;"",EDATE($D32,Milestones!$AA$38)&gt;=$S32),$V32,$U32)))=Milestones!$AB$38),UPPER(TEXT(EDATE($D32,Milestones!$AA$38),"dd mmm yy"))&amp;" "&amp;Milestones!$AB$38&amp;" "&amp;Milestones!$AC$38&amp;";  ","")&amp;IF(AND(EDATE($D32,Milestones!$AA$39)&lt;=AsOfDate,IF($R32=0,$X32,IF(AND($T32&lt;&gt;"",EDATE($D32,Milestones!$AA$39)&gt;=$T32),$W32,IF(AND($S32&lt;&gt;"",EDATE($D32,Milestones!$AA$39)&gt;=$S32),$V32,$U32)))=Milestones!$AB$39),UPPER(TEXT(EDATE($D32,Milestones!$AA$39),"dd mmm yy"))&amp;" "&amp;Milestones!$AB$39&amp;" "&amp;Milestones!$AC$39&amp;";  ",""))</f>
        <v/>
      </c>
      <c r="J32" s="0" t="str">
        <f aca="false">IF(OR($A32="",$D32=""),"",IF(AND(EDATE($D32,Milestones!$AA$40)&lt;=AsOfDate,IF($R32=0,$X32,IF(AND($T32&lt;&gt;"",EDATE($D32,Milestones!$AA$40)&gt;=$T32),$W32,IF(AND($S32&lt;&gt;"",EDATE($D32,Milestones!$AA$40)&gt;=$S32),$V32,$U32)))=Milestones!$AB$40),UPPER(TEXT(EDATE($D32,Milestones!$AA$40),"dd mmm yy"))&amp;" "&amp;Milestones!$AB$40&amp;" "&amp;Milestones!$AC$40&amp;";  ","")&amp;IF(AND(EDATE($D32,Milestones!$AA$41)&lt;=AsOfDate,IF($R32=0,$X32,IF(AND($T32&lt;&gt;"",EDATE($D32,Milestones!$AA$41)&gt;=$T32),$W32,IF(AND($S32&lt;&gt;"",EDATE($D32,Milestones!$AA$41)&gt;=$S32),$V32,$U32)))=Milestones!$AB$41),UPPER(TEXT(EDATE($D32,Milestones!$AA$41),"dd mmm yy"))&amp;" "&amp;Milestones!$AB$41&amp;" "&amp;Milestones!$AC$41&amp;";  ","")&amp;IF(AND(EDATE($D32,Milestones!$AA$42)&lt;=AsOfDate,IF($R32=0,$X32,IF(AND($T32&lt;&gt;"",EDATE($D32,Milestones!$AA$42)&gt;=$T32),$W32,IF(AND($S32&lt;&gt;"",EDATE($D32,Milestones!$AA$42)&gt;=$S32),$V32,$U32)))=Milestones!$AB$42),UPPER(TEXT(EDATE($D32,Milestones!$AA$42),"dd mmm yy"))&amp;" "&amp;Milestones!$AB$42&amp;" "&amp;Milestones!$AC$42&amp;";  ","")&amp;IF(AND(EDATE($D32,Milestones!$AA$43)&lt;=AsOfDate,IF($R32=0,$X32,IF(AND($T32&lt;&gt;"",EDATE($D32,Milestones!$AA$43)&gt;=$T32),$W32,IF(AND($S32&lt;&gt;"",EDATE($D32,Milestones!$AA$43)&gt;=$S32),$V32,$U32)))=Milestones!$AB$43),UPPER(TEXT(EDATE($D32,Milestones!$AA$43),"dd mmm yy"))&amp;" "&amp;Milestones!$AB$43&amp;" "&amp;Milestones!$AC$43&amp;";  ","")&amp;IF(AND(EDATE($D32,Milestones!$AA$44)&lt;=AsOfDate,IF($R32=0,$X32,IF(AND($T32&lt;&gt;"",EDATE($D32,Milestones!$AA$44)&gt;=$T32),$W32,IF(AND($S32&lt;&gt;"",EDATE($D32,Milestones!$AA$44)&gt;=$S32),$V32,$U32)))=Milestones!$AB$44),UPPER(TEXT(EDATE($D32,Milestones!$AA$44),"dd mmm yy"))&amp;" "&amp;Milestones!$AB$44&amp;" "&amp;Milestones!$AC$44&amp;";  ","")&amp;IF(AND(EDATE($D32,Milestones!$AA$45)&lt;=AsOfDate,IF($R32=0,$X32,IF(AND($T32&lt;&gt;"",EDATE($D32,Milestones!$AA$45)&gt;=$T32),$W32,IF(AND($S32&lt;&gt;"",EDATE($D32,Milestones!$AA$45)&gt;=$S32),$V32,$U32)))=Milestones!$AB$45),UPPER(TEXT(EDATE($D32,Milestones!$AA$45),"dd mmm yy"))&amp;" "&amp;Milestones!$AB$45&amp;" "&amp;Milestones!$AC$45&amp;";  ","")&amp;IF(AND(EDATE($D32,Milestones!$AA$46)&lt;=AsOfDate,IF($R32=0,$X32,IF(AND($T32&lt;&gt;"",EDATE($D32,Milestones!$AA$46)&gt;=$T32),$W32,IF(AND($S32&lt;&gt;"",EDATE($D32,Milestones!$AA$46)&gt;=$S32),$V32,$U32)))=Milestones!$AB$46),UPPER(TEXT(EDATE($D32,Milestones!$AA$46),"dd mmm yy"))&amp;" "&amp;Milestones!$AB$46&amp;" "&amp;Milestones!$AC$46&amp;";  ","")&amp;IF(AND(EDATE($D32,Milestones!$AA$47)&lt;=AsOfDate,IF($R32=0,$X32,IF(AND($T32&lt;&gt;"",EDATE($D32,Milestones!$AA$47)&gt;=$T32),$W32,IF(AND($S32&lt;&gt;"",EDATE($D32,Milestones!$AA$47)&gt;=$S32),$V32,$U32)))=Milestones!$AB$47),UPPER(TEXT(EDATE($D32,Milestones!$AA$47),"dd mmm yy"))&amp;" "&amp;Milestones!$AB$47&amp;" "&amp;Milestones!$AC$47&amp;";  ","")&amp;IF(AND(EDATE($D32,Milestones!$AA$48)&lt;=AsOfDate,IF($R32=0,$X32,IF(AND($T32&lt;&gt;"",EDATE($D32,Milestones!$AA$48)&gt;=$T32),$W32,IF(AND($S32&lt;&gt;"",EDATE($D32,Milestones!$AA$48)&gt;=$S32),$V32,$U32)))=Milestones!$AB$48),UPPER(TEXT(EDATE($D32,Milestones!$AA$48),"dd mmm yy"))&amp;" "&amp;Milestones!$AB$48&amp;" "&amp;Milestones!$AC$48&amp;";  ","")&amp;IF(AND(EDATE($D32,Milestones!$AA$49)&lt;=AsOfDate,IF($R32=0,$X32,IF(AND($T32&lt;&gt;"",EDATE($D32,Milestones!$AA$49)&gt;=$T32),$W32,IF(AND($S32&lt;&gt;"",EDATE($D32,Milestones!$AA$49)&gt;=$S32),$V32,$U32)))=Milestones!$AB$49),UPPER(TEXT(EDATE($D32,Milestones!$AA$49),"dd mmm yy"))&amp;" "&amp;Milestones!$AB$49&amp;" "&amp;Milestones!$AC$49&amp;";  ","")&amp;IF(AND(EDATE($D32,Milestones!$AA$50)&lt;=AsOfDate,IF($R32=0,$X32,IF(AND($T32&lt;&gt;"",EDATE($D32,Milestones!$AA$50)&gt;=$T32),$W32,IF(AND($S32&lt;&gt;"",EDATE($D32,Milestones!$AA$50)&gt;=$S32),$V32,$U32)))=Milestones!$AB$50),UPPER(TEXT(EDATE($D32,Milestones!$AA$50),"dd mmm yy"))&amp;" "&amp;Milestones!$AB$50&amp;" "&amp;Milestones!$AC$50&amp;";  ","")&amp;IF(AND(EDATE($D32,Milestones!$AA$51)&lt;=AsOfDate,IF($R32=0,$X32,IF(AND($T32&lt;&gt;"",EDATE($D32,Milestones!$AA$51)&gt;=$T32),$W32,IF(AND($S32&lt;&gt;"",EDATE($D32,Milestones!$AA$51)&gt;=$S32),$V32,$U32)))=Milestones!$AB$51),UPPER(TEXT(EDATE($D32,Milestones!$AA$51),"dd mmm yy"))&amp;" "&amp;Milestones!$AB$51&amp;" "&amp;Milestones!$AC$51&amp;";  ","")&amp;IF(AND(EDATE($D32,Milestones!$AA$52)&lt;=AsOfDate,IF($R32=0,$X32,IF(AND($T32&lt;&gt;"",EDATE($D32,Milestones!$AA$52)&gt;=$T32),$W32,IF(AND($S32&lt;&gt;"",EDATE($D32,Milestones!$AA$52)&gt;=$S32),$V32,$U32)))=Milestones!$AB$52),UPPER(TEXT(EDATE($D32,Milestones!$AA$52),"dd mmm yy"))&amp;" "&amp;Milestones!$AB$52&amp;" "&amp;Milestones!$AC$52&amp;";  ","")&amp;IF(AND(EDATE($D32,Milestones!$AA$53)&lt;=AsOfDate,IF($R32=0,$X32,IF(AND($T32&lt;&gt;"",EDATE($D32,Milestones!$AA$53)&gt;=$T32),$W32,IF(AND($S32&lt;&gt;"",EDATE($D32,Milestones!$AA$53)&gt;=$S32),$V32,$U32)))=Milestones!$AB$53),UPPER(TEXT(EDATE($D32,Milestones!$AA$53),"dd mmm yy"))&amp;" "&amp;Milestones!$AB$53&amp;" "&amp;Milestones!$AC$53&amp;";  ","")&amp;IF(AND(EDATE($D32,Milestones!$AA$54)&lt;=AsOfDate,IF($R32=0,$X32,IF(AND($T32&lt;&gt;"",EDATE($D32,Milestones!$AA$54)&gt;=$T32),$W32,IF(AND($S32&lt;&gt;"",EDATE($D32,Milestones!$AA$54)&gt;=$S32),$V32,$U32)))=Milestones!$AB$54),UPPER(TEXT(EDATE($D32,Milestones!$AA$54),"dd mmm yy"))&amp;" "&amp;Milestones!$AB$54&amp;" "&amp;Milestones!$AC$54&amp;";  ","")&amp;IF(AND(EDATE($D32,Milestones!$AA$55)&lt;=AsOfDate,IF($R32=0,$X32,IF(AND($T32&lt;&gt;"",EDATE($D32,Milestones!$AA$55)&gt;=$T32),$W32,IF(AND($S32&lt;&gt;"",EDATE($D32,Milestones!$AA$55)&gt;=$S32),$V32,$U32)))=Milestones!$AB$55),UPPER(TEXT(EDATE($D32,Milestones!$AA$55),"dd mmm yy"))&amp;" "&amp;Milestones!$AB$55&amp;" "&amp;Milestones!$AC$55&amp;";  ","")&amp;IF(AND(EDATE($D32,Milestones!$AA$56)&lt;=AsOfDate,IF($R32=0,$X32,IF(AND($T32&lt;&gt;"",EDATE($D32,Milestones!$AA$56)&gt;=$T32),$W32,IF(AND($S32&lt;&gt;"",EDATE($D32,Milestones!$AA$56)&gt;=$S32),$V32,$U32)))=Milestones!$AB$56),UPPER(TEXT(EDATE($D32,Milestones!$AA$56),"dd mmm yy"))&amp;" "&amp;Milestones!$AB$56&amp;" "&amp;Milestones!$AC$56&amp;";  ","")&amp;IF(AND(EDATE($D32,Milestones!$AA$57)&lt;=AsOfDate,IF($R32=0,$X32,IF(AND($T32&lt;&gt;"",EDATE($D32,Milestones!$AA$57)&gt;=$T32),$W32,IF(AND($S32&lt;&gt;"",EDATE($D32,Milestones!$AA$57)&gt;=$S32),$V32,$U32)))=Milestones!$AB$57),UPPER(TEXT(EDATE($D32,Milestones!$AA$57),"dd mmm yy"))&amp;" "&amp;Milestones!$AB$57&amp;" "&amp;Milestones!$AC$57&amp;";  ","")&amp;IF(AND(EDATE($D32,Milestones!$AA$58)&lt;=AsOfDate,IF($R32=0,$X32,IF(AND($T32&lt;&gt;"",EDATE($D32,Milestones!$AA$58)&gt;=$T32),$W32,IF(AND($S32&lt;&gt;"",EDATE($D32,Milestones!$AA$58)&gt;=$S32),$V32,$U32)))=Milestones!$AB$58),UPPER(TEXT(EDATE($D32,Milestones!$AA$58),"dd mmm yy"))&amp;" "&amp;Milestones!$AB$58&amp;" "&amp;Milestones!$AC$58&amp;";  ","")&amp;IF(AND(EDATE($D32,Milestones!$AA$59)&lt;=AsOfDate,IF($R32=0,$X32,IF(AND($T32&lt;&gt;"",EDATE($D32,Milestones!$AA$59)&gt;=$T32),$W32,IF(AND($S32&lt;&gt;"",EDATE($D32,Milestones!$AA$59)&gt;=$S32),$V32,$U32)))=Milestones!$AB$59),UPPER(TEXT(EDATE($D32,Milestones!$AA$59),"dd mmm yy"))&amp;" "&amp;Milestones!$AB$59&amp;" "&amp;Milestones!$AC$59&amp;";  ",""))</f>
        <v/>
      </c>
      <c r="K32" s="0" t="str">
        <f aca="false">IF(OR($A32="",$D32=""),"",IF(AND(EDATE($D32,Milestones!$AA$60)&lt;=AsOfDate,IF($R32=0,$X32,IF(AND($T32&lt;&gt;"",EDATE($D32,Milestones!$AA$60)&gt;=$T32),$W32,IF(AND($S32&lt;&gt;"",EDATE($D32,Milestones!$AA$60)&gt;=$S32),$V32,$U32)))=Milestones!$AB$60),UPPER(TEXT(EDATE($D32,Milestones!$AA$60),"dd mmm yy"))&amp;" "&amp;Milestones!$AB$60&amp;" "&amp;Milestones!$AC$60&amp;";  ","")&amp;IF(AND(EDATE($D32,Milestones!$AA$61)&lt;=AsOfDate,IF($R32=0,$X32,IF(AND($T32&lt;&gt;"",EDATE($D32,Milestones!$AA$61)&gt;=$T32),$W32,IF(AND($S32&lt;&gt;"",EDATE($D32,Milestones!$AA$61)&gt;=$S32),$V32,$U32)))=Milestones!$AB$61),UPPER(TEXT(EDATE($D32,Milestones!$AA$61),"dd mmm yy"))&amp;" "&amp;Milestones!$AB$61&amp;" "&amp;Milestones!$AC$61&amp;";  ","")&amp;IF(AND(EDATE($D32,Milestones!$AA$62)&lt;=AsOfDate,IF($R32=0,$X32,IF(AND($T32&lt;&gt;"",EDATE($D32,Milestones!$AA$62)&gt;=$T32),$W32,IF(AND($S32&lt;&gt;"",EDATE($D32,Milestones!$AA$62)&gt;=$S32),$V32,$U32)))=Milestones!$AB$62),UPPER(TEXT(EDATE($D32,Milestones!$AA$62),"dd mmm yy"))&amp;" "&amp;Milestones!$AB$62&amp;" "&amp;Milestones!$AC$62&amp;";  ","")&amp;IF(AND(EDATE($D32,Milestones!$AA$63)&lt;=AsOfDate,IF($R32=0,$X32,IF(AND($T32&lt;&gt;"",EDATE($D32,Milestones!$AA$63)&gt;=$T32),$W32,IF(AND($S32&lt;&gt;"",EDATE($D32,Milestones!$AA$63)&gt;=$S32),$V32,$U32)))=Milestones!$AB$63),UPPER(TEXT(EDATE($D32,Milestones!$AA$63),"dd mmm yy"))&amp;" "&amp;Milestones!$AB$63&amp;" "&amp;Milestones!$AC$63&amp;";  ","")&amp;IF(AND(EDATE($D32,Milestones!$AA$64)&lt;=AsOfDate,IF($R32=0,$X32,IF(AND($T32&lt;&gt;"",EDATE($D32,Milestones!$AA$64)&gt;=$T32),$W32,IF(AND($S32&lt;&gt;"",EDATE($D32,Milestones!$AA$64)&gt;=$S32),$V32,$U32)))=Milestones!$AB$64),UPPER(TEXT(EDATE($D32,Milestones!$AA$64),"dd mmm yy"))&amp;" "&amp;Milestones!$AB$64&amp;" "&amp;Milestones!$AC$64&amp;";  ","")&amp;IF(AND(EDATE($D32,Milestones!$AA$65)&lt;=AsOfDate,IF($R32=0,$X32,IF(AND($T32&lt;&gt;"",EDATE($D32,Milestones!$AA$65)&gt;=$T32),$W32,IF(AND($S32&lt;&gt;"",EDATE($D32,Milestones!$AA$65)&gt;=$S32),$V32,$U32)))=Milestones!$AB$65),UPPER(TEXT(EDATE($D32,Milestones!$AA$65),"dd mmm yy"))&amp;" "&amp;Milestones!$AB$65&amp;" "&amp;Milestones!$AC$65&amp;";  ","")&amp;IF(AND(EDATE($D32,Milestones!$AA$66)&lt;=AsOfDate,IF($R32=0,$X32,IF(AND($T32&lt;&gt;"",EDATE($D32,Milestones!$AA$66)&gt;=$T32),$W32,IF(AND($S32&lt;&gt;"",EDATE($D32,Milestones!$AA$66)&gt;=$S32),$V32,$U32)))=Milestones!$AB$66),UPPER(TEXT(EDATE($D32,Milestones!$AA$66),"dd mmm yy"))&amp;" "&amp;Milestones!$AB$66&amp;" "&amp;Milestones!$AC$66&amp;";  ","")&amp;IF(AND(EDATE($D32,Milestones!$AA$67)&lt;=AsOfDate,IF($R32=0,$X32,IF(AND($T32&lt;&gt;"",EDATE($D32,Milestones!$AA$67)&gt;=$T32),$W32,IF(AND($S32&lt;&gt;"",EDATE($D32,Milestones!$AA$67)&gt;=$S32),$V32,$U32)))=Milestones!$AB$67),UPPER(TEXT(EDATE($D32,Milestones!$AA$67),"dd mmm yy"))&amp;" "&amp;Milestones!$AB$67&amp;" "&amp;Milestones!$AC$67&amp;";  ","")&amp;IF(AND(EDATE($D32,Milestones!$AA$68)&lt;=AsOfDate,IF($R32=0,$X32,IF(AND($T32&lt;&gt;"",EDATE($D32,Milestones!$AA$68)&gt;=$T32),$W32,IF(AND($S32&lt;&gt;"",EDATE($D32,Milestones!$AA$68)&gt;=$S32),$V32,$U32)))=Milestones!$AB$68),UPPER(TEXT(EDATE($D32,Milestones!$AA$68),"dd mmm yy"))&amp;" "&amp;Milestones!$AB$68&amp;" "&amp;Milestones!$AC$68&amp;";  ","")&amp;IF(AND(EDATE($D32,Milestones!$AA$69)&lt;=AsOfDate,IF($R32=0,$X32,IF(AND($T32&lt;&gt;"",EDATE($D32,Milestones!$AA$69)&gt;=$T32),$W32,IF(AND($S32&lt;&gt;"",EDATE($D32,Milestones!$AA$69)&gt;=$S32),$V32,$U32)))=Milestones!$AB$69),UPPER(TEXT(EDATE($D32,Milestones!$AA$69),"dd mmm yy"))&amp;" "&amp;Milestones!$AB$69&amp;" "&amp;Milestones!$AC$69&amp;";  ","")&amp;IF(AND(EDATE($D32,Milestones!$AA$70)&lt;=AsOfDate,IF($R32=0,$X32,IF(AND($T32&lt;&gt;"",EDATE($D32,Milestones!$AA$70)&gt;=$T32),$W32,IF(AND($S32&lt;&gt;"",EDATE($D32,Milestones!$AA$70)&gt;=$S32),$V32,$U32)))=Milestones!$AB$70),UPPER(TEXT(EDATE($D32,Milestones!$AA$70),"dd mmm yy"))&amp;" "&amp;Milestones!$AB$70&amp;" "&amp;Milestones!$AC$70&amp;";  ","")&amp;IF(AND(EDATE($D32,Milestones!$AA$71)&lt;=AsOfDate,IF($R32=0,$X32,IF(AND($T32&lt;&gt;"",EDATE($D32,Milestones!$AA$71)&gt;=$T32),$W32,IF(AND($S32&lt;&gt;"",EDATE($D32,Milestones!$AA$71)&gt;=$S32),$V32,$U32)))=Milestones!$AB$71),UPPER(TEXT(EDATE($D32,Milestones!$AA$71),"dd mmm yy"))&amp;" "&amp;Milestones!$AB$71&amp;" "&amp;Milestones!$AC$71&amp;";  ","")&amp;IF(AND(EDATE($D32,Milestones!$AA$72)&lt;=AsOfDate,IF($R32=0,$X32,IF(AND($T32&lt;&gt;"",EDATE($D32,Milestones!$AA$72)&gt;=$T32),$W32,IF(AND($S32&lt;&gt;"",EDATE($D32,Milestones!$AA$72)&gt;=$S32),$V32,$U32)))=Milestones!$AB$72),UPPER(TEXT(EDATE($D32,Milestones!$AA$72),"dd mmm yy"))&amp;" "&amp;Milestones!$AB$72&amp;" "&amp;Milestones!$AC$72&amp;";  ","")&amp;IF(AND(EDATE($D32,Milestones!$AA$73)&lt;=AsOfDate,IF($R32=0,$X32,IF(AND($T32&lt;&gt;"",EDATE($D32,Milestones!$AA$73)&gt;=$T32),$W32,IF(AND($S32&lt;&gt;"",EDATE($D32,Milestones!$AA$73)&gt;=$S32),$V32,$U32)))=Milestones!$AB$73),UPPER(TEXT(EDATE($D32,Milestones!$AA$73),"dd mmm yy"))&amp;" "&amp;Milestones!$AB$73&amp;" "&amp;Milestones!$AC$73&amp;";  ","")&amp;IF(AND(EDATE($D32,Milestones!$AA$74)&lt;=AsOfDate,IF($R32=0,$X32,IF(AND($T32&lt;&gt;"",EDATE($D32,Milestones!$AA$74)&gt;=$T32),$W32,IF(AND($S32&lt;&gt;"",EDATE($D32,Milestones!$AA$74)&gt;=$S32),$V32,$U32)))=Milestones!$AB$74),UPPER(TEXT(EDATE($D32,Milestones!$AA$74),"dd mmm yy"))&amp;" "&amp;Milestones!$AB$74&amp;" "&amp;Milestones!$AC$74&amp;";  ","")&amp;IF(AND(EDATE($D32,Milestones!$AA$75)&lt;=AsOfDate,IF($R32=0,$X32,IF(AND($T32&lt;&gt;"",EDATE($D32,Milestones!$AA$75)&gt;=$T32),$W32,IF(AND($S32&lt;&gt;"",EDATE($D32,Milestones!$AA$75)&gt;=$S32),$V32,$U32)))=Milestones!$AB$75),UPPER(TEXT(EDATE($D32,Milestones!$AA$75),"dd mmm yy"))&amp;" "&amp;Milestones!$AB$75&amp;" "&amp;Milestones!$AC$75&amp;";  ","")&amp;IF(AND(EDATE($D32,Milestones!$AA$76)&lt;=AsOfDate,IF($R32=0,$X32,IF(AND($T32&lt;&gt;"",EDATE($D32,Milestones!$AA$76)&gt;=$T32),$W32,IF(AND($S32&lt;&gt;"",EDATE($D32,Milestones!$AA$76)&gt;=$S32),$V32,$U32)))=Milestones!$AB$76),UPPER(TEXT(EDATE($D32,Milestones!$AA$76),"dd mmm yy"))&amp;" "&amp;Milestones!$AB$76&amp;" "&amp;Milestones!$AC$76&amp;";  ","")&amp;IF(AND(EDATE($D32,Milestones!$AA$77)&lt;=AsOfDate,IF($R32=0,$X32,IF(AND($T32&lt;&gt;"",EDATE($D32,Milestones!$AA$77)&gt;=$T32),$W32,IF(AND($S32&lt;&gt;"",EDATE($D32,Milestones!$AA$77)&gt;=$S32),$V32,$U32)))=Milestones!$AB$77),UPPER(TEXT(EDATE($D32,Milestones!$AA$77),"dd mmm yy"))&amp;" "&amp;Milestones!$AB$77&amp;" "&amp;Milestones!$AC$77&amp;";  ","")&amp;IF(AND(EDATE($D32,Milestones!$AA$78)&lt;=AsOfDate,IF($R32=0,$X32,IF(AND($T32&lt;&gt;"",EDATE($D32,Milestones!$AA$78)&gt;=$T32),$W32,IF(AND($S32&lt;&gt;"",EDATE($D32,Milestones!$AA$78)&gt;=$S32),$V32,$U32)))=Milestones!$AB$78),UPPER(TEXT(EDATE($D32,Milestones!$AA$78),"dd mmm yy"))&amp;" "&amp;Milestones!$AB$78&amp;" "&amp;Milestones!$AC$78&amp;";  ","")&amp;IF(AND(EDATE($D32,Milestones!$AA$79)&lt;=AsOfDate,IF($R32=0,$X32,IF(AND($T32&lt;&gt;"",EDATE($D32,Milestones!$AA$79)&gt;=$T32),$W32,IF(AND($S32&lt;&gt;"",EDATE($D32,Milestones!$AA$79)&gt;=$S32),$V32,$U32)))=Milestones!$AB$79),UPPER(TEXT(EDATE($D32,Milestones!$AA$79),"dd mmm yy"))&amp;" "&amp;Milestones!$AB$79&amp;" "&amp;Milestones!$AC$79&amp;";  ",""))</f>
        <v/>
      </c>
      <c r="L32" s="0" t="str">
        <f aca="false">IF(OR($A32="",$D32=""),"",IF(AND(EDATE($D32,Milestones!$AA$80)&lt;=AsOfDate,IF($R32=0,$X32,IF(AND($T32&lt;&gt;"",EDATE($D32,Milestones!$AA$80)&gt;=$T32),$W32,IF(AND($S32&lt;&gt;"",EDATE($D32,Milestones!$AA$80)&gt;=$S32),$V32,$U32)))=Milestones!$AB$80),UPPER(TEXT(EDATE($D32,Milestones!$AA$80),"dd mmm yy"))&amp;" "&amp;Milestones!$AB$80&amp;" "&amp;Milestones!$AC$80&amp;";  ","")&amp;IF(AND(EDATE($D32,Milestones!$AA$81)&lt;=AsOfDate,IF($R32=0,$X32,IF(AND($T32&lt;&gt;"",EDATE($D32,Milestones!$AA$81)&gt;=$T32),$W32,IF(AND($S32&lt;&gt;"",EDATE($D32,Milestones!$AA$81)&gt;=$S32),$V32,$U32)))=Milestones!$AB$81),UPPER(TEXT(EDATE($D32,Milestones!$AA$81),"dd mmm yy"))&amp;" "&amp;Milestones!$AB$81&amp;" "&amp;Milestones!$AC$81&amp;";  ","")&amp;IF(AND(EDATE($D32,Milestones!$AA$82)&lt;=AsOfDate,IF($R32=0,$X32,IF(AND($T32&lt;&gt;"",EDATE($D32,Milestones!$AA$82)&gt;=$T32),$W32,IF(AND($S32&lt;&gt;"",EDATE($D32,Milestones!$AA$82)&gt;=$S32),$V32,$U32)))=Milestones!$AB$82),UPPER(TEXT(EDATE($D32,Milestones!$AA$82),"dd mmm yy"))&amp;" "&amp;Milestones!$AB$82&amp;" "&amp;Milestones!$AC$82&amp;";  ","")&amp;IF(AND(EDATE($D32,Milestones!$AA$83)&lt;=AsOfDate,IF($R32=0,$X32,IF(AND($T32&lt;&gt;"",EDATE($D32,Milestones!$AA$83)&gt;=$T32),$W32,IF(AND($S32&lt;&gt;"",EDATE($D32,Milestones!$AA$83)&gt;=$S32),$V32,$U32)))=Milestones!$AB$83),UPPER(TEXT(EDATE($D32,Milestones!$AA$83),"dd mmm yy"))&amp;" "&amp;Milestones!$AB$83&amp;" "&amp;Milestones!$AC$83&amp;";  ","")&amp;IF(AND(EDATE($D32,Milestones!$AA$84)&lt;=AsOfDate,IF($R32=0,$X32,IF(AND($T32&lt;&gt;"",EDATE($D32,Milestones!$AA$84)&gt;=$T32),$W32,IF(AND($S32&lt;&gt;"",EDATE($D32,Milestones!$AA$84)&gt;=$S32),$V32,$U32)))=Milestones!$AB$84),UPPER(TEXT(EDATE($D32,Milestones!$AA$84),"dd mmm yy"))&amp;" "&amp;Milestones!$AB$84&amp;" "&amp;Milestones!$AC$84&amp;";  ","")&amp;IF(AND(EDATE($D32,Milestones!$AA$85)&lt;=AsOfDate,IF($R32=0,$X32,IF(AND($T32&lt;&gt;"",EDATE($D32,Milestones!$AA$85)&gt;=$T32),$W32,IF(AND($S32&lt;&gt;"",EDATE($D32,Milestones!$AA$85)&gt;=$S32),$V32,$U32)))=Milestones!$AB$85),UPPER(TEXT(EDATE($D32,Milestones!$AA$85),"dd mmm yy"))&amp;" "&amp;Milestones!$AB$85&amp;" "&amp;Milestones!$AC$85&amp;";  ","")&amp;IF(AND(EDATE($D32,Milestones!$AA$86)&lt;=AsOfDate,IF($R32=0,$X32,IF(AND($T32&lt;&gt;"",EDATE($D32,Milestones!$AA$86)&gt;=$T32),$W32,IF(AND($S32&lt;&gt;"",EDATE($D32,Milestones!$AA$86)&gt;=$S32),$V32,$U32)))=Milestones!$AB$86),UPPER(TEXT(EDATE($D32,Milestones!$AA$86),"dd mmm yy"))&amp;" "&amp;Milestones!$AB$86&amp;" "&amp;Milestones!$AC$86&amp;";  ","")&amp;IF(AND(EDATE($D32,Milestones!$AA$87)&lt;=AsOfDate,IF($R32=0,$X32,IF(AND($T32&lt;&gt;"",EDATE($D32,Milestones!$AA$87)&gt;=$T32),$W32,IF(AND($S32&lt;&gt;"",EDATE($D32,Milestones!$AA$87)&gt;=$S32),$V32,$U32)))=Milestones!$AB$87),UPPER(TEXT(EDATE($D32,Milestones!$AA$87),"dd mmm yy"))&amp;" "&amp;Milestones!$AB$87&amp;" "&amp;Milestones!$AC$87&amp;";  ","")&amp;IF(AND(EDATE($D32,Milestones!$AA$88)&lt;=AsOfDate,IF($R32=0,$X32,IF(AND($T32&lt;&gt;"",EDATE($D32,Milestones!$AA$88)&gt;=$T32),$W32,IF(AND($S32&lt;&gt;"",EDATE($D32,Milestones!$AA$88)&gt;=$S32),$V32,$U32)))=Milestones!$AB$88),UPPER(TEXT(EDATE($D32,Milestones!$AA$88),"dd mmm yy"))&amp;" "&amp;Milestones!$AB$88&amp;" "&amp;Milestones!$AC$88&amp;";  ","")&amp;IF(AND(EDATE($D32,Milestones!$AA$89)&lt;=AsOfDate,IF($R32=0,$X32,IF(AND($T32&lt;&gt;"",EDATE($D32,Milestones!$AA$89)&gt;=$T32),$W32,IF(AND($S32&lt;&gt;"",EDATE($D32,Milestones!$AA$89)&gt;=$S32),$V32,$U32)))=Milestones!$AB$89),UPPER(TEXT(EDATE($D32,Milestones!$AA$89),"dd mmm yy"))&amp;" "&amp;Milestones!$AB$89&amp;" "&amp;Milestones!$AC$89&amp;";  ","")&amp;IF(AND(EDATE($D32,Milestones!$AA$90)&lt;=AsOfDate,IF($R32=0,$X32,IF(AND($T32&lt;&gt;"",EDATE($D32,Milestones!$AA$90)&gt;=$T32),$W32,IF(AND($S32&lt;&gt;"",EDATE($D32,Milestones!$AA$90)&gt;=$S32),$V32,$U32)))=Milestones!$AB$90),UPPER(TEXT(EDATE($D32,Milestones!$AA$90),"dd mmm yy"))&amp;" "&amp;Milestones!$AB$90&amp;" "&amp;Milestones!$AC$90&amp;";  ","")&amp;IF(AND(EDATE($D32,Milestones!$AA$91)&lt;=AsOfDate,IF($R32=0,$X32,IF(AND($T32&lt;&gt;"",EDATE($D32,Milestones!$AA$91)&gt;=$T32),$W32,IF(AND($S32&lt;&gt;"",EDATE($D32,Milestones!$AA$91)&gt;=$S32),$V32,$U32)))=Milestones!$AB$91),UPPER(TEXT(EDATE($D32,Milestones!$AA$91),"dd mmm yy"))&amp;" "&amp;Milestones!$AB$91&amp;" "&amp;Milestones!$AC$91&amp;";  ","")&amp;IF(AND(EDATE($D32,Milestones!$AA$92)&lt;=AsOfDate,IF($R32=0,$X32,IF(AND($T32&lt;&gt;"",EDATE($D32,Milestones!$AA$92)&gt;=$T32),$W32,IF(AND($S32&lt;&gt;"",EDATE($D32,Milestones!$AA$92)&gt;=$S32),$V32,$U32)))=Milestones!$AB$92),UPPER(TEXT(EDATE($D32,Milestones!$AA$92),"dd mmm yy"))&amp;" "&amp;Milestones!$AB$92&amp;" "&amp;Milestones!$AC$92&amp;";  ","")&amp;IF(AND(EDATE($D32,Milestones!$AA$93)&lt;=AsOfDate,IF($R32=0,$X32,IF(AND($T32&lt;&gt;"",EDATE($D32,Milestones!$AA$93)&gt;=$T32),$W32,IF(AND($S32&lt;&gt;"",EDATE($D32,Milestones!$AA$93)&gt;=$S32),$V32,$U32)))=Milestones!$AB$93),UPPER(TEXT(EDATE($D32,Milestones!$AA$93),"dd mmm yy"))&amp;" "&amp;Milestones!$AB$93&amp;" "&amp;Milestones!$AC$93&amp;";  ","")&amp;IF(AND(EDATE($D32,Milestones!$AA$94)&lt;=AsOfDate,IF($R32=0,$X32,IF(AND($T32&lt;&gt;"",EDATE($D32,Milestones!$AA$94)&gt;=$T32),$W32,IF(AND($S32&lt;&gt;"",EDATE($D32,Milestones!$AA$94)&gt;=$S32),$V32,$U32)))=Milestones!$AB$94),UPPER(TEXT(EDATE($D32,Milestones!$AA$94),"dd mmm yy"))&amp;" "&amp;Milestones!$AB$94&amp;" "&amp;Milestones!$AC$94&amp;";  ","")&amp;IF(AND(EDATE($D32,Milestones!$AA$95)&lt;=AsOfDate,IF($R32=0,$X32,IF(AND($T32&lt;&gt;"",EDATE($D32,Milestones!$AA$95)&gt;=$T32),$W32,IF(AND($S32&lt;&gt;"",EDATE($D32,Milestones!$AA$95)&gt;=$S32),$V32,$U32)))=Milestones!$AB$95),UPPER(TEXT(EDATE($D32,Milestones!$AA$95),"dd mmm yy"))&amp;" "&amp;Milestones!$AB$95&amp;" "&amp;Milestones!$AC$95&amp;";  ","")&amp;IF(AND(EDATE($D32,Milestones!$AA$96)&lt;=AsOfDate,IF($R32=0,$X32,IF(AND($T32&lt;&gt;"",EDATE($D32,Milestones!$AA$96)&gt;=$T32),$W32,IF(AND($S32&lt;&gt;"",EDATE($D32,Milestones!$AA$96)&gt;=$S32),$V32,$U32)))=Milestones!$AB$96),UPPER(TEXT(EDATE($D32,Milestones!$AA$96),"dd mmm yy"))&amp;" "&amp;Milestones!$AB$96&amp;" "&amp;Milestones!$AC$96&amp;";  ","")&amp;IF(AND(EDATE($D32,Milestones!$AA$97)&lt;=AsOfDate,IF($R32=0,$X32,IF(AND($T32&lt;&gt;"",EDATE($D32,Milestones!$AA$97)&gt;=$T32),$W32,IF(AND($S32&lt;&gt;"",EDATE($D32,Milestones!$AA$97)&gt;=$S32),$V32,$U32)))=Milestones!$AB$97),UPPER(TEXT(EDATE($D32,Milestones!$AA$97),"dd mmm yy"))&amp;" "&amp;Milestones!$AB$97&amp;" "&amp;Milestones!$AC$97&amp;";  ","")&amp;IF(AND(EDATE($D32,Milestones!$AA$98)&lt;=AsOfDate,IF($R32=0,$X32,IF(AND($T32&lt;&gt;"",EDATE($D32,Milestones!$AA$98)&gt;=$T32),$W32,IF(AND($S32&lt;&gt;"",EDATE($D32,Milestones!$AA$98)&gt;=$S32),$V32,$U32)))=Milestones!$AB$98),UPPER(TEXT(EDATE($D32,Milestones!$AA$98),"dd mmm yy"))&amp;" "&amp;Milestones!$AB$98&amp;" "&amp;Milestones!$AC$98&amp;";  ","")&amp;IF(AND(EDATE($D32,Milestones!$AA$99)&lt;=AsOfDate,IF($R32=0,$X32,IF(AND($T32&lt;&gt;"",EDATE($D32,Milestones!$AA$99)&gt;=$T32),$W32,IF(AND($S32&lt;&gt;"",EDATE($D32,Milestones!$AA$99)&gt;=$S32),$V32,$U32)))=Milestones!$AB$99),UPPER(TEXT(EDATE($D32,Milestones!$AA$99),"dd mmm yy"))&amp;" "&amp;Milestones!$AB$99&amp;" "&amp;Milestones!$AC$99&amp;";  ",""))</f>
        <v/>
      </c>
      <c r="M32" s="0" t="str">
        <f aca="false">IF(OR($A32="",$D32=""),"",IF(AND(EDATE($D32,Milestones!$AA$100)&lt;=AsOfDate,IF($R32=0,$X32,IF(AND($T32&lt;&gt;"",EDATE($D32,Milestones!$AA$100)&gt;=$T32),$W32,IF(AND($S32&lt;&gt;"",EDATE($D32,Milestones!$AA$100)&gt;=$S32),$V32,$U32)))=Milestones!$AB$100),UPPER(TEXT(EDATE($D32,Milestones!$AA$100),"dd mmm yy"))&amp;" "&amp;Milestones!$AB$100&amp;" "&amp;Milestones!$AC$100&amp;";  ","")&amp;IF(AND(EDATE($D32,Milestones!$AA$101)&lt;=AsOfDate,IF($R32=0,$X32,IF(AND($T32&lt;&gt;"",EDATE($D32,Milestones!$AA$101)&gt;=$T32),$W32,IF(AND($S32&lt;&gt;"",EDATE($D32,Milestones!$AA$101)&gt;=$S32),$V32,$U32)))=Milestones!$AB$101),UPPER(TEXT(EDATE($D32,Milestones!$AA$101),"dd mmm yy"))&amp;" "&amp;Milestones!$AB$101&amp;" "&amp;Milestones!$AC$101&amp;";  ","")&amp;IF(AND(EDATE($D32,Milestones!$AA$102)&lt;=AsOfDate,IF($R32=0,$X32,IF(AND($T32&lt;&gt;"",EDATE($D32,Milestones!$AA$102)&gt;=$T32),$W32,IF(AND($S32&lt;&gt;"",EDATE($D32,Milestones!$AA$102)&gt;=$S32),$V32,$U32)))=Milestones!$AB$102),UPPER(TEXT(EDATE($D32,Milestones!$AA$102),"dd mmm yy"))&amp;" "&amp;Milestones!$AB$102&amp;" "&amp;Milestones!$AC$102&amp;";  ","")&amp;IF(AND(EDATE($D32,Milestones!$AA$103)&lt;=AsOfDate,IF($R32=0,$X32,IF(AND($T32&lt;&gt;"",EDATE($D32,Milestones!$AA$103)&gt;=$T32),$W32,IF(AND($S32&lt;&gt;"",EDATE($D32,Milestones!$AA$103)&gt;=$S32),$V32,$U32)))=Milestones!$AB$103),UPPER(TEXT(EDATE($D32,Milestones!$AA$103),"dd mmm yy"))&amp;" "&amp;Milestones!$AB$103&amp;" "&amp;Milestones!$AC$103&amp;";  ","")&amp;IF(AND(EDATE($D32,Milestones!$AA$104)&lt;=AsOfDate,IF($R32=0,$X32,IF(AND($T32&lt;&gt;"",EDATE($D32,Milestones!$AA$104)&gt;=$T32),$W32,IF(AND($S32&lt;&gt;"",EDATE($D32,Milestones!$AA$104)&gt;=$S32),$V32,$U32)))=Milestones!$AB$104),UPPER(TEXT(EDATE($D32,Milestones!$AA$104),"dd mmm yy"))&amp;" "&amp;Milestones!$AB$104&amp;" "&amp;Milestones!$AC$104&amp;";  ","")&amp;IF(AND(EDATE($D32,Milestones!$AA$105)&lt;=AsOfDate,IF($R32=0,$X32,IF(AND($T32&lt;&gt;"",EDATE($D32,Milestones!$AA$105)&gt;=$T32),$W32,IF(AND($S32&lt;&gt;"",EDATE($D32,Milestones!$AA$105)&gt;=$S32),$V32,$U32)))=Milestones!$AB$105),UPPER(TEXT(EDATE($D32,Milestones!$AA$105),"dd mmm yy"))&amp;" "&amp;Milestones!$AB$105&amp;" "&amp;Milestones!$AC$105&amp;";  ","")&amp;IF(AND(EDATE($D32,Milestones!$AA$106)&lt;=AsOfDate,IF($R32=0,$X32,IF(AND($T32&lt;&gt;"",EDATE($D32,Milestones!$AA$106)&gt;=$T32),$W32,IF(AND($S32&lt;&gt;"",EDATE($D32,Milestones!$AA$106)&gt;=$S32),$V32,$U32)))=Milestones!$AB$106),UPPER(TEXT(EDATE($D32,Milestones!$AA$106),"dd mmm yy"))&amp;" "&amp;Milestones!$AB$106&amp;" "&amp;Milestones!$AC$106&amp;";  ","")&amp;IF(AND(EDATE($D32,Milestones!$AA$107)&lt;=AsOfDate,IF($R32=0,$X32,IF(AND($T32&lt;&gt;"",EDATE($D32,Milestones!$AA$107)&gt;=$T32),$W32,IF(AND($S32&lt;&gt;"",EDATE($D32,Milestones!$AA$107)&gt;=$S32),$V32,$U32)))=Milestones!$AB$107),UPPER(TEXT(EDATE($D32,Milestones!$AA$107),"dd mmm yy"))&amp;" "&amp;Milestones!$AB$107&amp;" "&amp;Milestones!$AC$107&amp;";  ","")&amp;IF(AND(EDATE($D32,Milestones!$AA$108)&lt;=AsOfDate,IF($R32=0,$X32,IF(AND($T32&lt;&gt;"",EDATE($D32,Milestones!$AA$108)&gt;=$T32),$W32,IF(AND($S32&lt;&gt;"",EDATE($D32,Milestones!$AA$108)&gt;=$S32),$V32,$U32)))=Milestones!$AB$108),UPPER(TEXT(EDATE($D32,Milestones!$AA$108),"dd mmm yy"))&amp;" "&amp;Milestones!$AB$108&amp;" "&amp;Milestones!$AC$108&amp;";  ","")&amp;IF(AND(EDATE($D32,Milestones!$AA$109)&lt;=AsOfDate,IF($R32=0,$X32,IF(AND($T32&lt;&gt;"",EDATE($D32,Milestones!$AA$109)&gt;=$T32),$W32,IF(AND($S32&lt;&gt;"",EDATE($D32,Milestones!$AA$109)&gt;=$S32),$V32,$U32)))=Milestones!$AB$109),UPPER(TEXT(EDATE($D32,Milestones!$AA$109),"dd mmm yy"))&amp;" "&amp;Milestones!$AB$109&amp;" "&amp;Milestones!$AC$109&amp;";  ","")&amp;IF(AND(EDATE($D32,Milestones!$AA$110)&lt;=AsOfDate,IF($R32=0,$X32,IF(AND($T32&lt;&gt;"",EDATE($D32,Milestones!$AA$110)&gt;=$T32),$W32,IF(AND($S32&lt;&gt;"",EDATE($D32,Milestones!$AA$110)&gt;=$S32),$V32,$U32)))=Milestones!$AB$110),UPPER(TEXT(EDATE($D32,Milestones!$AA$110),"dd mmm yy"))&amp;" "&amp;Milestones!$AB$110&amp;" "&amp;Milestones!$AC$110&amp;";  ","")&amp;IF(AND(EDATE($D32,Milestones!$AA$111)&lt;=AsOfDate,IF($R32=0,$X32,IF(AND($T32&lt;&gt;"",EDATE($D32,Milestones!$AA$111)&gt;=$T32),$W32,IF(AND($S32&lt;&gt;"",EDATE($D32,Milestones!$AA$111)&gt;=$S32),$V32,$U32)))=Milestones!$AB$111),UPPER(TEXT(EDATE($D32,Milestones!$AA$111),"dd mmm yy"))&amp;" "&amp;Milestones!$AB$111&amp;" "&amp;Milestones!$AC$111&amp;";  ","")&amp;IF(AND(EDATE($D32,Milestones!$AA$112)&lt;=AsOfDate,IF($R32=0,$X32,IF(AND($T32&lt;&gt;"",EDATE($D32,Milestones!$AA$112)&gt;=$T32),$W32,IF(AND($S32&lt;&gt;"",EDATE($D32,Milestones!$AA$112)&gt;=$S32),$V32,$U32)))=Milestones!$AB$112),UPPER(TEXT(EDATE($D32,Milestones!$AA$112),"dd mmm yy"))&amp;" "&amp;Milestones!$AB$112&amp;" "&amp;Milestones!$AC$112&amp;";  ","")&amp;IF(AND(EDATE($D32,Milestones!$AA$113)&lt;=AsOfDate,IF($R32=0,$X32,IF(AND($T32&lt;&gt;"",EDATE($D32,Milestones!$AA$113)&gt;=$T32),$W32,IF(AND($S32&lt;&gt;"",EDATE($D32,Milestones!$AA$113)&gt;=$S32),$V32,$U32)))=Milestones!$AB$113),UPPER(TEXT(EDATE($D32,Milestones!$AA$113),"dd mmm yy"))&amp;" "&amp;Milestones!$AB$113&amp;" "&amp;Milestones!$AC$113&amp;";  ","")&amp;IF(AND(EDATE($D32,Milestones!$AA$114)&lt;=AsOfDate,IF($R32=0,$X32,IF(AND($T32&lt;&gt;"",EDATE($D32,Milestones!$AA$114)&gt;=$T32),$W32,IF(AND($S32&lt;&gt;"",EDATE($D32,Milestones!$AA$114)&gt;=$S32),$V32,$U32)))=Milestones!$AB$114),UPPER(TEXT(EDATE($D32,Milestones!$AA$114),"dd mmm yy"))&amp;" "&amp;Milestones!$AB$114&amp;" "&amp;Milestones!$AC$114&amp;";  ","")&amp;IF(AND(EDATE($D32,Milestones!$AA$115)&lt;=AsOfDate,IF($R32=0,$X32,IF(AND($T32&lt;&gt;"",EDATE($D32,Milestones!$AA$115)&gt;=$T32),$W32,IF(AND($S32&lt;&gt;"",EDATE($D32,Milestones!$AA$115)&gt;=$S32),$V32,$U32)))=Milestones!$AB$115),UPPER(TEXT(EDATE($D32,Milestones!$AA$115),"dd mmm yy"))&amp;" "&amp;Milestones!$AB$115&amp;" "&amp;Milestones!$AC$115&amp;";  ","")&amp;IF(AND(EDATE($D32,Milestones!$AA$116)&lt;=AsOfDate,IF($R32=0,$X32,IF(AND($T32&lt;&gt;"",EDATE($D32,Milestones!$AA$116)&gt;=$T32),$W32,IF(AND($S32&lt;&gt;"",EDATE($D32,Milestones!$AA$116)&gt;=$S32),$V32,$U32)))=Milestones!$AB$116),UPPER(TEXT(EDATE($D32,Milestones!$AA$116),"dd mmm yy"))&amp;" "&amp;Milestones!$AB$116&amp;" "&amp;Milestones!$AC$116&amp;";  ","")&amp;IF(AND(EDATE($D32,Milestones!$AA$117)&lt;=AsOfDate,IF($R32=0,$X32,IF(AND($T32&lt;&gt;"",EDATE($D32,Milestones!$AA$117)&gt;=$T32),$W32,IF(AND($S32&lt;&gt;"",EDATE($D32,Milestones!$AA$117)&gt;=$S32),$V32,$U32)))=Milestones!$AB$117),UPPER(TEXT(EDATE($D32,Milestones!$AA$117),"dd mmm yy"))&amp;" "&amp;Milestones!$AB$117&amp;" "&amp;Milestones!$AC$117&amp;";  ","")&amp;IF(AND(EDATE($D32,Milestones!$AA$118)&lt;=AsOfDate,IF($R32=0,$X32,IF(AND($T32&lt;&gt;"",EDATE($D32,Milestones!$AA$118)&gt;=$T32),$W32,IF(AND($S32&lt;&gt;"",EDATE($D32,Milestones!$AA$118)&gt;=$S32),$V32,$U32)))=Milestones!$AB$118),UPPER(TEXT(EDATE($D32,Milestones!$AA$118),"dd mmm yy"))&amp;" "&amp;Milestones!$AB$118&amp;" "&amp;Milestones!$AC$118&amp;";  ","")&amp;IF(AND(EDATE($D32,Milestones!$AA$119)&lt;=AsOfDate,IF($R32=0,$X32,IF(AND($T32&lt;&gt;"",EDATE($D32,Milestones!$AA$119)&gt;=$T32),$W32,IF(AND($S32&lt;&gt;"",EDATE($D32,Milestones!$AA$119)&gt;=$S32),$V32,$U32)))=Milestones!$AB$119),UPPER(TEXT(EDATE($D32,Milestones!$AA$119),"dd mmm yy"))&amp;" "&amp;Milestones!$AB$119&amp;" "&amp;Milestones!$AC$119&amp;";  ",""))</f>
        <v/>
      </c>
      <c r="N32" s="0" t="str">
        <f aca="false">IF(OR($A32="",$D32=""),"",IF(AND(EDATE($D32,Milestones!$AA$120)&lt;=AsOfDate,IF($R32=0,$X32,IF(AND($T32&lt;&gt;"",EDATE($D32,Milestones!$AA$120)&gt;=$T32),$W32,IF(AND($S32&lt;&gt;"",EDATE($D32,Milestones!$AA$120)&gt;=$S32),$V32,$U32)))=Milestones!$AB$120),UPPER(TEXT(EDATE($D32,Milestones!$AA$120),"dd mmm yy"))&amp;" "&amp;Milestones!$AB$120&amp;" "&amp;Milestones!$AC$120&amp;";  ","")&amp;IF(AND(EDATE($D32,Milestones!$AA$121)&lt;=AsOfDate,IF($R32=0,$X32,IF(AND($T32&lt;&gt;"",EDATE($D32,Milestones!$AA$121)&gt;=$T32),$W32,IF(AND($S32&lt;&gt;"",EDATE($D32,Milestones!$AA$121)&gt;=$S32),$V32,$U32)))=Milestones!$AB$121),UPPER(TEXT(EDATE($D32,Milestones!$AA$121),"dd mmm yy"))&amp;" "&amp;Milestones!$AB$121&amp;" "&amp;Milestones!$AC$121&amp;";  ","")&amp;IF(AND(EDATE($D32,Milestones!$AA$122)&lt;=AsOfDate,IF($R32=0,$X32,IF(AND($T32&lt;&gt;"",EDATE($D32,Milestones!$AA$122)&gt;=$T32),$W32,IF(AND($S32&lt;&gt;"",EDATE($D32,Milestones!$AA$122)&gt;=$S32),$V32,$U32)))=Milestones!$AB$122),UPPER(TEXT(EDATE($D32,Milestones!$AA$122),"dd mmm yy"))&amp;" "&amp;Milestones!$AB$122&amp;" "&amp;Milestones!$AC$122&amp;";  ","")&amp;IF(AND(EDATE($D32,Milestones!$AA$123)&lt;=AsOfDate,IF($R32=0,$X32,IF(AND($T32&lt;&gt;"",EDATE($D32,Milestones!$AA$123)&gt;=$T32),$W32,IF(AND($S32&lt;&gt;"",EDATE($D32,Milestones!$AA$123)&gt;=$S32),$V32,$U32)))=Milestones!$AB$123),UPPER(TEXT(EDATE($D32,Milestones!$AA$123),"dd mmm yy"))&amp;" "&amp;Milestones!$AB$123&amp;" "&amp;Milestones!$AC$123&amp;";  ","")&amp;IF(AND(EDATE($D32,Milestones!$AA$124)&lt;=AsOfDate,IF($R32=0,$X32,IF(AND($T32&lt;&gt;"",EDATE($D32,Milestones!$AA$124)&gt;=$T32),$W32,IF(AND($S32&lt;&gt;"",EDATE($D32,Milestones!$AA$124)&gt;=$S32),$V32,$U32)))=Milestones!$AB$124),UPPER(TEXT(EDATE($D32,Milestones!$AA$124),"dd mmm yy"))&amp;" "&amp;Milestones!$AB$124&amp;" "&amp;Milestones!$AC$124&amp;";  ","")&amp;IF(AND(EDATE($D32,Milestones!$AA$125)&lt;=AsOfDate,IF($R32=0,$X32,IF(AND($T32&lt;&gt;"",EDATE($D32,Milestones!$AA$125)&gt;=$T32),$W32,IF(AND($S32&lt;&gt;"",EDATE($D32,Milestones!$AA$125)&gt;=$S32),$V32,$U32)))=Milestones!$AB$125),UPPER(TEXT(EDATE($D32,Milestones!$AA$125),"dd mmm yy"))&amp;" "&amp;Milestones!$AB$125&amp;" "&amp;Milestones!$AC$125&amp;";  ","")&amp;IF(AND(EDATE($D32,Milestones!$AA$126)&lt;=AsOfDate,IF($R32=0,$X32,IF(AND($T32&lt;&gt;"",EDATE($D32,Milestones!$AA$126)&gt;=$T32),$W32,IF(AND($S32&lt;&gt;"",EDATE($D32,Milestones!$AA$126)&gt;=$S32),$V32,$U32)))=Milestones!$AB$126),UPPER(TEXT(EDATE($D32,Milestones!$AA$126),"dd mmm yy"))&amp;" "&amp;Milestones!$AB$126&amp;" "&amp;Milestones!$AC$126&amp;";  ","")&amp;IF(AND(EDATE($D32,Milestones!$AA$127)&lt;=AsOfDate,IF($R32=0,$X32,IF(AND($T32&lt;&gt;"",EDATE($D32,Milestones!$AA$127)&gt;=$T32),$W32,IF(AND($S32&lt;&gt;"",EDATE($D32,Milestones!$AA$127)&gt;=$S32),$V32,$U32)))=Milestones!$AB$127),UPPER(TEXT(EDATE($D32,Milestones!$AA$127),"dd mmm yy"))&amp;" "&amp;Milestones!$AB$127&amp;" "&amp;Milestones!$AC$127&amp;";  ","")&amp;IF(AND(EDATE($D32,Milestones!$AA$128)&lt;=AsOfDate,IF($R32=0,$X32,IF(AND($T32&lt;&gt;"",EDATE($D32,Milestones!$AA$128)&gt;=$T32),$W32,IF(AND($S32&lt;&gt;"",EDATE($D32,Milestones!$AA$128)&gt;=$S32),$V32,$U32)))=Milestones!$AB$128),UPPER(TEXT(EDATE($D32,Milestones!$AA$128),"dd mmm yy"))&amp;" "&amp;Milestones!$AB$128&amp;" "&amp;Milestones!$AC$128&amp;";  ","")&amp;IF(AND(EDATE($D32,Milestones!$AA$129)&lt;=AsOfDate,IF($R32=0,$X32,IF(AND($T32&lt;&gt;"",EDATE($D32,Milestones!$AA$129)&gt;=$T32),$W32,IF(AND($S32&lt;&gt;"",EDATE($D32,Milestones!$AA$129)&gt;=$S32),$V32,$U32)))=Milestones!$AB$129),UPPER(TEXT(EDATE($D32,Milestones!$AA$129),"dd mmm yy"))&amp;" "&amp;Milestones!$AB$129&amp;" "&amp;Milestones!$AC$129&amp;";  ","")&amp;IF(AND(EDATE($D32,Milestones!$AA$130)&lt;=AsOfDate,IF($R32=0,$X32,IF(AND($T32&lt;&gt;"",EDATE($D32,Milestones!$AA$130)&gt;=$T32),$W32,IF(AND($S32&lt;&gt;"",EDATE($D32,Milestones!$AA$130)&gt;=$S32),$V32,$U32)))=Milestones!$AB$130),UPPER(TEXT(EDATE($D32,Milestones!$AA$130),"dd mmm yy"))&amp;" "&amp;Milestones!$AB$130&amp;" "&amp;Milestones!$AC$130&amp;";  ","")&amp;IF(AND(EDATE($D32,Milestones!$AA$131)&lt;=AsOfDate,IF($R32=0,$X32,IF(AND($T32&lt;&gt;"",EDATE($D32,Milestones!$AA$131)&gt;=$T32),$W32,IF(AND($S32&lt;&gt;"",EDATE($D32,Milestones!$AA$131)&gt;=$S32),$V32,$U32)))=Milestones!$AB$131),UPPER(TEXT(EDATE($D32,Milestones!$AA$131),"dd mmm yy"))&amp;" "&amp;Milestones!$AB$131&amp;" "&amp;Milestones!$AC$131&amp;";  ","")&amp;IF(AND(EDATE($D32,Milestones!$AA$132)&lt;=AsOfDate,IF($R32=0,$X32,IF(AND($T32&lt;&gt;"",EDATE($D32,Milestones!$AA$132)&gt;=$T32),$W32,IF(AND($S32&lt;&gt;"",EDATE($D32,Milestones!$AA$132)&gt;=$S32),$V32,$U32)))=Milestones!$AB$132),UPPER(TEXT(EDATE($D32,Milestones!$AA$132),"dd mmm yy"))&amp;" "&amp;Milestones!$AB$132&amp;" "&amp;Milestones!$AC$132&amp;";  ","")&amp;IF(AND(EDATE($D32,Milestones!$AA$133)&lt;=AsOfDate,IF($R32=0,$X32,IF(AND($T32&lt;&gt;"",EDATE($D32,Milestones!$AA$133)&gt;=$T32),$W32,IF(AND($S32&lt;&gt;"",EDATE($D32,Milestones!$AA$133)&gt;=$S32),$V32,$U32)))=Milestones!$AB$133),UPPER(TEXT(EDATE($D32,Milestones!$AA$133),"dd mmm yy"))&amp;" "&amp;Milestones!$AB$133&amp;" "&amp;Milestones!$AC$133&amp;";  ","")&amp;IF(AND(EDATE($D32,Milestones!$AA$134)&lt;=AsOfDate,IF($R32=0,$X32,IF(AND($T32&lt;&gt;"",EDATE($D32,Milestones!$AA$134)&gt;=$T32),$W32,IF(AND($S32&lt;&gt;"",EDATE($D32,Milestones!$AA$134)&gt;=$S32),$V32,$U32)))=Milestones!$AB$134),UPPER(TEXT(EDATE($D32,Milestones!$AA$134),"dd mmm yy"))&amp;" "&amp;Milestones!$AB$134&amp;" "&amp;Milestones!$AC$134&amp;";  ","")&amp;IF(AND(EDATE($D32,Milestones!$AA$135)&lt;=AsOfDate,IF($R32=0,$X32,IF(AND($T32&lt;&gt;"",EDATE($D32,Milestones!$AA$135)&gt;=$T32),$W32,IF(AND($S32&lt;&gt;"",EDATE($D32,Milestones!$AA$135)&gt;=$S32),$V32,$U32)))=Milestones!$AB$135),UPPER(TEXT(EDATE($D32,Milestones!$AA$135),"dd mmm yy"))&amp;" "&amp;Milestones!$AB$135&amp;" "&amp;Milestones!$AC$135&amp;";  ","")&amp;IF(AND(EDATE($D32,Milestones!$AA$136)&lt;=AsOfDate,IF($R32=0,$X32,IF(AND($T32&lt;&gt;"",EDATE($D32,Milestones!$AA$136)&gt;=$T32),$W32,IF(AND($S32&lt;&gt;"",EDATE($D32,Milestones!$AA$136)&gt;=$S32),$V32,$U32)))=Milestones!$AB$136),UPPER(TEXT(EDATE($D32,Milestones!$AA$136),"dd mmm yy"))&amp;" "&amp;Milestones!$AB$136&amp;" "&amp;Milestones!$AC$136&amp;";  ","")&amp;IF(AND(EDATE($D32,Milestones!$AA$137)&lt;=AsOfDate,IF($R32=0,$X32,IF(AND($T32&lt;&gt;"",EDATE($D32,Milestones!$AA$137)&gt;=$T32),$W32,IF(AND($S32&lt;&gt;"",EDATE($D32,Milestones!$AA$137)&gt;=$S32),$V32,$U32)))=Milestones!$AB$137),UPPER(TEXT(EDATE($D32,Milestones!$AA$137),"dd mmm yy"))&amp;" "&amp;Milestones!$AB$137&amp;" "&amp;Milestones!$AC$137&amp;";  ","")&amp;IF(AND(EDATE($D32,Milestones!$AA$138)&lt;=AsOfDate,IF($R32=0,$X32,IF(AND($T32&lt;&gt;"",EDATE($D32,Milestones!$AA$138)&gt;=$T32),$W32,IF(AND($S32&lt;&gt;"",EDATE($D32,Milestones!$AA$138)&gt;=$S32),$V32,$U32)))=Milestones!$AB$138),UPPER(TEXT(EDATE($D32,Milestones!$AA$138),"dd mmm yy"))&amp;" "&amp;Milestones!$AB$138&amp;" "&amp;Milestones!$AC$138&amp;";  ","")&amp;IF(AND(EDATE($D32,Milestones!$AA$139)&lt;=AsOfDate,IF($R32=0,$X32,IF(AND($T32&lt;&gt;"",EDATE($D32,Milestones!$AA$139)&gt;=$T32),$W32,IF(AND($S32&lt;&gt;"",EDATE($D32,Milestones!$AA$139)&gt;=$S32),$V32,$U32)))=Milestones!$AB$139),UPPER(TEXT(EDATE($D32,Milestones!$AA$139),"dd mmm yy"))&amp;" "&amp;Milestones!$AB$139&amp;" "&amp;Milestones!$AC$139&amp;";  ",""))</f>
        <v/>
      </c>
      <c r="O32" s="0" t="str">
        <f aca="false">IF(OR($A32="",$D32=""),"",IF(AND(EDATE($D32,Milestones!$AA$140)&lt;=AsOfDate,IF($R32=0,$X32,IF(AND($T32&lt;&gt;"",EDATE($D32,Milestones!$AA$140)&gt;=$T32),$W32,IF(AND($S32&lt;&gt;"",EDATE($D32,Milestones!$AA$140)&gt;=$S32),$V32,$U32)))=Milestones!$AB$140),UPPER(TEXT(EDATE($D32,Milestones!$AA$140),"dd mmm yy"))&amp;" "&amp;Milestones!$AB$140&amp;" "&amp;Milestones!$AC$140&amp;";  ","")&amp;IF(AND(EDATE($D32,Milestones!$AA$141)&lt;=AsOfDate,IF($R32=0,$X32,IF(AND($T32&lt;&gt;"",EDATE($D32,Milestones!$AA$141)&gt;=$T32),$W32,IF(AND($S32&lt;&gt;"",EDATE($D32,Milestones!$AA$141)&gt;=$S32),$V32,$U32)))=Milestones!$AB$141),UPPER(TEXT(EDATE($D32,Milestones!$AA$141),"dd mmm yy"))&amp;" "&amp;Milestones!$AB$141&amp;" "&amp;Milestones!$AC$141&amp;";  ","")&amp;IF(AND(EDATE($D32,Milestones!$AA$142)&lt;=AsOfDate,IF($R32=0,$X32,IF(AND($T32&lt;&gt;"",EDATE($D32,Milestones!$AA$142)&gt;=$T32),$W32,IF(AND($S32&lt;&gt;"",EDATE($D32,Milestones!$AA$142)&gt;=$S32),$V32,$U32)))=Milestones!$AB$142),UPPER(TEXT(EDATE($D32,Milestones!$AA$142),"dd mmm yy"))&amp;" "&amp;Milestones!$AB$142&amp;" "&amp;Milestones!$AC$142&amp;";  ","")&amp;IF(AND(EDATE($D32,Milestones!$AA$143)&lt;=AsOfDate,IF($R32=0,$X32,IF(AND($T32&lt;&gt;"",EDATE($D32,Milestones!$AA$143)&gt;=$T32),$W32,IF(AND($S32&lt;&gt;"",EDATE($D32,Milestones!$AA$143)&gt;=$S32),$V32,$U32)))=Milestones!$AB$143),UPPER(TEXT(EDATE($D32,Milestones!$AA$143),"dd mmm yy"))&amp;" "&amp;Milestones!$AB$143&amp;" "&amp;Milestones!$AC$143&amp;";  ","")&amp;IF(AND(EDATE($D32,Milestones!$AA$144)&lt;=AsOfDate,IF($R32=0,$X32,IF(AND($T32&lt;&gt;"",EDATE($D32,Milestones!$AA$144)&gt;=$T32),$W32,IF(AND($S32&lt;&gt;"",EDATE($D32,Milestones!$AA$144)&gt;=$S32),$V32,$U32)))=Milestones!$AB$144),UPPER(TEXT(EDATE($D32,Milestones!$AA$144),"dd mmm yy"))&amp;" "&amp;Milestones!$AB$144&amp;" "&amp;Milestones!$AC$144&amp;";  ","")&amp;IF(AND(EDATE($D32,Milestones!$AA$145)&lt;=AsOfDate,IF($R32=0,$X32,IF(AND($T32&lt;&gt;"",EDATE($D32,Milestones!$AA$145)&gt;=$T32),$W32,IF(AND($S32&lt;&gt;"",EDATE($D32,Milestones!$AA$145)&gt;=$S32),$V32,$U32)))=Milestones!$AB$145),UPPER(TEXT(EDATE($D32,Milestones!$AA$145),"dd mmm yy"))&amp;" "&amp;Milestones!$AB$145&amp;" "&amp;Milestones!$AC$145&amp;";  ","")&amp;IF(AND(EDATE($D32,Milestones!$AA$146)&lt;=AsOfDate,IF($R32=0,$X32,IF(AND($T32&lt;&gt;"",EDATE($D32,Milestones!$AA$146)&gt;=$T32),$W32,IF(AND($S32&lt;&gt;"",EDATE($D32,Milestones!$AA$146)&gt;=$S32),$V32,$U32)))=Milestones!$AB$146),UPPER(TEXT(EDATE($D32,Milestones!$AA$146),"dd mmm yy"))&amp;" "&amp;Milestones!$AB$146&amp;" "&amp;Milestones!$AC$146&amp;";  ","")&amp;IF(AND(EDATE($D32,Milestones!$AA$147)&lt;=AsOfDate,IF($R32=0,$X32,IF(AND($T32&lt;&gt;"",EDATE($D32,Milestones!$AA$147)&gt;=$T32),$W32,IF(AND($S32&lt;&gt;"",EDATE($D32,Milestones!$AA$147)&gt;=$S32),$V32,$U32)))=Milestones!$AB$147),UPPER(TEXT(EDATE($D32,Milestones!$AA$147),"dd mmm yy"))&amp;" "&amp;Milestones!$AB$147&amp;" "&amp;Milestones!$AC$147&amp;";  ","")&amp;IF(AND(EDATE($D32,Milestones!$AA$148)&lt;=AsOfDate,IF($R32=0,$X32,IF(AND($T32&lt;&gt;"",EDATE($D32,Milestones!$AA$148)&gt;=$T32),$W32,IF(AND($S32&lt;&gt;"",EDATE($D32,Milestones!$AA$148)&gt;=$S32),$V32,$U32)))=Milestones!$AB$148),UPPER(TEXT(EDATE($D32,Milestones!$AA$148),"dd mmm yy"))&amp;" "&amp;Milestones!$AB$148&amp;" "&amp;Milestones!$AC$148&amp;";  ","")&amp;IF(AND(EDATE($D32,Milestones!$AA$149)&lt;=AsOfDate,IF($R32=0,$X32,IF(AND($T32&lt;&gt;"",EDATE($D32,Milestones!$AA$149)&gt;=$T32),$W32,IF(AND($S32&lt;&gt;"",EDATE($D32,Milestones!$AA$149)&gt;=$S32),$V32,$U32)))=Milestones!$AB$149),UPPER(TEXT(EDATE($D32,Milestones!$AA$149),"dd mmm yy"))&amp;" "&amp;Milestones!$AB$149&amp;" "&amp;Milestones!$AC$149&amp;";  ","")&amp;IF(AND(EDATE($D32,Milestones!$AA$150)&lt;=AsOfDate,IF($R32=0,$X32,IF(AND($T32&lt;&gt;"",EDATE($D32,Milestones!$AA$150)&gt;=$T32),$W32,IF(AND($S32&lt;&gt;"",EDATE($D32,Milestones!$AA$150)&gt;=$S32),$V32,$U32)))=Milestones!$AB$150),UPPER(TEXT(EDATE($D32,Milestones!$AA$150),"dd mmm yy"))&amp;" "&amp;Milestones!$AB$150&amp;" "&amp;Milestones!$AC$150&amp;";  ","")&amp;IF(AND(EDATE($D32,Milestones!$AA$151)&lt;=AsOfDate,IF($R32=0,$X32,IF(AND($T32&lt;&gt;"",EDATE($D32,Milestones!$AA$151)&gt;=$T32),$W32,IF(AND($S32&lt;&gt;"",EDATE($D32,Milestones!$AA$151)&gt;=$S32),$V32,$U32)))=Milestones!$AB$151),UPPER(TEXT(EDATE($D32,Milestones!$AA$151),"dd mmm yy"))&amp;" "&amp;Milestones!$AB$151&amp;" "&amp;Milestones!$AC$151&amp;";  ","")&amp;IF(AND(EDATE($D32,Milestones!$AA$152)&lt;=AsOfDate,IF($R32=0,$X32,IF(AND($T32&lt;&gt;"",EDATE($D32,Milestones!$AA$152)&gt;=$T32),$W32,IF(AND($S32&lt;&gt;"",EDATE($D32,Milestones!$AA$152)&gt;=$S32),$V32,$U32)))=Milestones!$AB$152),UPPER(TEXT(EDATE($D32,Milestones!$AA$152),"dd mmm yy"))&amp;" "&amp;Milestones!$AB$152&amp;" "&amp;Milestones!$AC$152&amp;";  ","")&amp;IF(AND(EDATE($D32,Milestones!$AA$153)&lt;=AsOfDate,IF($R32=0,$X32,IF(AND($T32&lt;&gt;"",EDATE($D32,Milestones!$AA$153)&gt;=$T32),$W32,IF(AND($S32&lt;&gt;"",EDATE($D32,Milestones!$AA$153)&gt;=$S32),$V32,$U32)))=Milestones!$AB$153),UPPER(TEXT(EDATE($D32,Milestones!$AA$153),"dd mmm yy"))&amp;" "&amp;Milestones!$AB$153&amp;" "&amp;Milestones!$AC$153&amp;";  ","")&amp;IF(AND(EDATE($D32,Milestones!$AA$154)&lt;=AsOfDate,IF($R32=0,$X32,IF(AND($T32&lt;&gt;"",EDATE($D32,Milestones!$AA$154)&gt;=$T32),$W32,IF(AND($S32&lt;&gt;"",EDATE($D32,Milestones!$AA$154)&gt;=$S32),$V32,$U32)))=Milestones!$AB$154),UPPER(TEXT(EDATE($D32,Milestones!$AA$154),"dd mmm yy"))&amp;" "&amp;Milestones!$AB$154&amp;" "&amp;Milestones!$AC$154&amp;";  ","")&amp;IF(AND(EDATE($D32,Milestones!$AA$155)&lt;=AsOfDate,IF($R32=0,$X32,IF(AND($T32&lt;&gt;"",EDATE($D32,Milestones!$AA$155)&gt;=$T32),$W32,IF(AND($S32&lt;&gt;"",EDATE($D32,Milestones!$AA$155)&gt;=$S32),$V32,$U32)))=Milestones!$AB$155),UPPER(TEXT(EDATE($D32,Milestones!$AA$155),"dd mmm yy"))&amp;" "&amp;Milestones!$AB$155&amp;" "&amp;Milestones!$AC$155&amp;";  ","")&amp;IF(AND(EDATE($D32,Milestones!$AA$156)&lt;=AsOfDate,IF($R32=0,$X32,IF(AND($T32&lt;&gt;"",EDATE($D32,Milestones!$AA$156)&gt;=$T32),$W32,IF(AND($S32&lt;&gt;"",EDATE($D32,Milestones!$AA$156)&gt;=$S32),$V32,$U32)))=Milestones!$AB$156),UPPER(TEXT(EDATE($D32,Milestones!$AA$156),"dd mmm yy"))&amp;" "&amp;Milestones!$AB$156&amp;" "&amp;Milestones!$AC$156&amp;";  ","")&amp;IF(AND(EDATE($D32,Milestones!$AA$157)&lt;=AsOfDate,IF($R32=0,$X32,IF(AND($T32&lt;&gt;"",EDATE($D32,Milestones!$AA$157)&gt;=$T32),$W32,IF(AND($S32&lt;&gt;"",EDATE($D32,Milestones!$AA$157)&gt;=$S32),$V32,$U32)))=Milestones!$AB$157),UPPER(TEXT(EDATE($D32,Milestones!$AA$157),"dd mmm yy"))&amp;" "&amp;Milestones!$AB$157&amp;" "&amp;Milestones!$AC$157&amp;";  ","")&amp;IF(AND(EDATE($D32,Milestones!$AA$158)&lt;=AsOfDate,IF($R32=0,$X32,IF(AND($T32&lt;&gt;"",EDATE($D32,Milestones!$AA$158)&gt;=$T32),$W32,IF(AND($S32&lt;&gt;"",EDATE($D32,Milestones!$AA$158)&gt;=$S32),$V32,$U32)))=Milestones!$AB$158),UPPER(TEXT(EDATE($D32,Milestones!$AA$158),"dd mmm yy"))&amp;" "&amp;Milestones!$AB$158&amp;" "&amp;Milestones!$AC$158&amp;";  ","")&amp;IF(AND(EDATE($D32,Milestones!$AA$159)&lt;=AsOfDate,IF($R32=0,$X32,IF(AND($T32&lt;&gt;"",EDATE($D32,Milestones!$AA$159)&gt;=$T32),$W32,IF(AND($S32&lt;&gt;"",EDATE($D32,Milestones!$AA$159)&gt;=$S32),$V32,$U32)))=Milestones!$AB$159),UPPER(TEXT(EDATE($D32,Milestones!$AA$159),"dd mmm yy"))&amp;" "&amp;Milestones!$AB$159&amp;" "&amp;Milestones!$AC$159&amp;";  ",""))</f>
        <v/>
      </c>
      <c r="P32" s="0" t="str">
        <f aca="false">IF(OR($A32="",$D32=""),"",IF(AND(EDATE($D32,Milestones!$AA$160)&lt;=AsOfDate,IF($R32=0,$X32,IF(AND($T32&lt;&gt;"",EDATE($D32,Milestones!$AA$160)&gt;=$T32),$W32,IF(AND($S32&lt;&gt;"",EDATE($D32,Milestones!$AA$160)&gt;=$S32),$V32,$U32)))=Milestones!$AB$160),UPPER(TEXT(EDATE($D32,Milestones!$AA$160),"dd mmm yy"))&amp;" "&amp;Milestones!$AB$160&amp;" "&amp;Milestones!$AC$160&amp;";  ","")&amp;IF(AND(EDATE($D32,Milestones!$AA$161)&lt;=AsOfDate,IF($R32=0,$X32,IF(AND($T32&lt;&gt;"",EDATE($D32,Milestones!$AA$161)&gt;=$T32),$W32,IF(AND($S32&lt;&gt;"",EDATE($D32,Milestones!$AA$161)&gt;=$S32),$V32,$U32)))=Milestones!$AB$161),UPPER(TEXT(EDATE($D32,Milestones!$AA$161),"dd mmm yy"))&amp;" "&amp;Milestones!$AB$161&amp;" "&amp;Milestones!$AC$161&amp;";  ","")&amp;IF(AND(EDATE($D32,Milestones!$AA$162)&lt;=AsOfDate,IF($R32=0,$X32,IF(AND($T32&lt;&gt;"",EDATE($D32,Milestones!$AA$162)&gt;=$T32),$W32,IF(AND($S32&lt;&gt;"",EDATE($D32,Milestones!$AA$162)&gt;=$S32),$V32,$U32)))=Milestones!$AB$162),UPPER(TEXT(EDATE($D32,Milestones!$AA$162),"dd mmm yy"))&amp;" "&amp;Milestones!$AB$162&amp;" "&amp;Milestones!$AC$162&amp;";  ","")&amp;IF(AND(EDATE($D32,Milestones!$AA$163)&lt;=AsOfDate,IF($R32=0,$X32,IF(AND($T32&lt;&gt;"",EDATE($D32,Milestones!$AA$163)&gt;=$T32),$W32,IF(AND($S32&lt;&gt;"",EDATE($D32,Milestones!$AA$163)&gt;=$S32),$V32,$U32)))=Milestones!$AB$163),UPPER(TEXT(EDATE($D32,Milestones!$AA$163),"dd mmm yy"))&amp;" "&amp;Milestones!$AB$163&amp;" "&amp;Milestones!$AC$163&amp;";  ","")&amp;IF(AND(EDATE($D32,Milestones!$AA$164)&lt;=AsOfDate,IF($R32=0,$X32,IF(AND($T32&lt;&gt;"",EDATE($D32,Milestones!$AA$164)&gt;=$T32),$W32,IF(AND($S32&lt;&gt;"",EDATE($D32,Milestones!$AA$164)&gt;=$S32),$V32,$U32)))=Milestones!$AB$164),UPPER(TEXT(EDATE($D32,Milestones!$AA$164),"dd mmm yy"))&amp;" "&amp;Milestones!$AB$164&amp;" "&amp;Milestones!$AC$164&amp;";  ","")&amp;IF(AND(EDATE($D32,Milestones!$AA$165)&lt;=AsOfDate,IF($R32=0,$X32,IF(AND($T32&lt;&gt;"",EDATE($D32,Milestones!$AA$165)&gt;=$T32),$W32,IF(AND($S32&lt;&gt;"",EDATE($D32,Milestones!$AA$165)&gt;=$S32),$V32,$U32)))=Milestones!$AB$165),UPPER(TEXT(EDATE($D32,Milestones!$AA$165),"dd mmm yy"))&amp;" "&amp;Milestones!$AB$165&amp;" "&amp;Milestones!$AC$165&amp;";  ","")&amp;IF(AND(EDATE($D32,Milestones!$AA$166)&lt;=AsOfDate,IF($R32=0,$X32,IF(AND($T32&lt;&gt;"",EDATE($D32,Milestones!$AA$166)&gt;=$T32),$W32,IF(AND($S32&lt;&gt;"",EDATE($D32,Milestones!$AA$166)&gt;=$S32),$V32,$U32)))=Milestones!$AB$166),UPPER(TEXT(EDATE($D32,Milestones!$AA$166),"dd mmm yy"))&amp;" "&amp;Milestones!$AB$166&amp;" "&amp;Milestones!$AC$166&amp;";  ","")&amp;IF(AND(EDATE($D32,Milestones!$AA$167)&lt;=AsOfDate,IF($R32=0,$X32,IF(AND($T32&lt;&gt;"",EDATE($D32,Milestones!$AA$167)&gt;=$T32),$W32,IF(AND($S32&lt;&gt;"",EDATE($D32,Milestones!$AA$167)&gt;=$S32),$V32,$U32)))=Milestones!$AB$167),UPPER(TEXT(EDATE($D32,Milestones!$AA$167),"dd mmm yy"))&amp;" "&amp;Milestones!$AB$167&amp;" "&amp;Milestones!$AC$167&amp;";  ","")&amp;IF(AND(EDATE($D32,Milestones!$AA$168)&lt;=AsOfDate,IF($R32=0,$X32,IF(AND($T32&lt;&gt;"",EDATE($D32,Milestones!$AA$168)&gt;=$T32),$W32,IF(AND($S32&lt;&gt;"",EDATE($D32,Milestones!$AA$168)&gt;=$S32),$V32,$U32)))=Milestones!$AB$168),UPPER(TEXT(EDATE($D32,Milestones!$AA$168),"dd mmm yy"))&amp;" "&amp;Milestones!$AB$168&amp;" "&amp;Milestones!$AC$168&amp;";  ","")&amp;IF(AND(EDATE($D32,Milestones!$AA$169)&lt;=AsOfDate,IF($R32=0,$X32,IF(AND($T32&lt;&gt;"",EDATE($D32,Milestones!$AA$169)&gt;=$T32),$W32,IF(AND($S32&lt;&gt;"",EDATE($D32,Milestones!$AA$169)&gt;=$S32),$V32,$U32)))=Milestones!$AB$169),UPPER(TEXT(EDATE($D32,Milestones!$AA$169),"dd mmm yy"))&amp;" "&amp;Milestones!$AB$169&amp;" "&amp;Milestones!$AC$169&amp;";  ","")&amp;IF(AND(EDATE($D32,Milestones!$AA$170)&lt;=AsOfDate,IF($R32=0,$X32,IF(AND($T32&lt;&gt;"",EDATE($D32,Milestones!$AA$170)&gt;=$T32),$W32,IF(AND($S32&lt;&gt;"",EDATE($D32,Milestones!$AA$170)&gt;=$S32),$V32,$U32)))=Milestones!$AB$170),UPPER(TEXT(EDATE($D32,Milestones!$AA$170),"dd mmm yy"))&amp;" "&amp;Milestones!$AB$170&amp;" "&amp;Milestones!$AC$170&amp;";  ","")&amp;IF(AND(EDATE($D32,Milestones!$AA$171)&lt;=AsOfDate,IF($R32=0,$X32,IF(AND($T32&lt;&gt;"",EDATE($D32,Milestones!$AA$171)&gt;=$T32),$W32,IF(AND($S32&lt;&gt;"",EDATE($D32,Milestones!$AA$171)&gt;=$S32),$V32,$U32)))=Milestones!$AB$171),UPPER(TEXT(EDATE($D32,Milestones!$AA$171),"dd mmm yy"))&amp;" "&amp;Milestones!$AB$171&amp;" "&amp;Milestones!$AC$171&amp;";  ","")&amp;IF(AND(EDATE($D32,Milestones!$AA$172)&lt;=AsOfDate,IF($R32=0,$X32,IF(AND($T32&lt;&gt;"",EDATE($D32,Milestones!$AA$172)&gt;=$T32),$W32,IF(AND($S32&lt;&gt;"",EDATE($D32,Milestones!$AA$172)&gt;=$S32),$V32,$U32)))=Milestones!$AB$172),UPPER(TEXT(EDATE($D32,Milestones!$AA$172),"dd mmm yy"))&amp;" "&amp;Milestones!$AB$172&amp;" "&amp;Milestones!$AC$172&amp;";  ","")&amp;IF(AND(EDATE($D32,Milestones!$AA$173)&lt;=AsOfDate,IF($R32=0,$X32,IF(AND($T32&lt;&gt;"",EDATE($D32,Milestones!$AA$173)&gt;=$T32),$W32,IF(AND($S32&lt;&gt;"",EDATE($D32,Milestones!$AA$173)&gt;=$S32),$V32,$U32)))=Milestones!$AB$173),UPPER(TEXT(EDATE($D32,Milestones!$AA$173),"dd mmm yy"))&amp;" "&amp;Milestones!$AB$173&amp;" "&amp;Milestones!$AC$173&amp;";  ","")&amp;IF(AND(EDATE($D32,Milestones!$AA$174)&lt;=AsOfDate,IF($R32=0,$X32,IF(AND($T32&lt;&gt;"",EDATE($D32,Milestones!$AA$174)&gt;=$T32),$W32,IF(AND($S32&lt;&gt;"",EDATE($D32,Milestones!$AA$174)&gt;=$S32),$V32,$U32)))=Milestones!$AB$174),UPPER(TEXT(EDATE($D32,Milestones!$AA$174),"dd mmm yy"))&amp;" "&amp;Milestones!$AB$174&amp;" "&amp;Milestones!$AC$174&amp;";  ","")&amp;IF(AND(EDATE($D32,Milestones!$AA$175)&lt;=AsOfDate,IF($R32=0,$X32,IF(AND($T32&lt;&gt;"",EDATE($D32,Milestones!$AA$175)&gt;=$T32),$W32,IF(AND($S32&lt;&gt;"",EDATE($D32,Milestones!$AA$175)&gt;=$S32),$V32,$U32)))=Milestones!$AB$175),UPPER(TEXT(EDATE($D32,Milestones!$AA$175),"dd mmm yy"))&amp;" "&amp;Milestones!$AB$175&amp;" "&amp;Milestones!$AC$175&amp;";  ","")&amp;IF(AND(EDATE($D32,Milestones!$AA$176)&lt;=AsOfDate,IF($R32=0,$X32,IF(AND($T32&lt;&gt;"",EDATE($D32,Milestones!$AA$176)&gt;=$T32),$W32,IF(AND($S32&lt;&gt;"",EDATE($D32,Milestones!$AA$176)&gt;=$S32),$V32,$U32)))=Milestones!$AB$176),UPPER(TEXT(EDATE($D32,Milestones!$AA$176),"dd mmm yy"))&amp;" "&amp;Milestones!$AB$176&amp;" "&amp;Milestones!$AC$176&amp;";  ","")&amp;IF(AND(EDATE($D32,Milestones!$AA$177)&lt;=AsOfDate,IF($R32=0,$X32,IF(AND($T32&lt;&gt;"",EDATE($D32,Milestones!$AA$177)&gt;=$T32),$W32,IF(AND($S32&lt;&gt;"",EDATE($D32,Milestones!$AA$177)&gt;=$S32),$V32,$U32)))=Milestones!$AB$177),UPPER(TEXT(EDATE($D32,Milestones!$AA$177),"dd mmm yy"))&amp;" "&amp;Milestones!$AB$177&amp;" "&amp;Milestones!$AC$177&amp;";  ","")&amp;IF(AND(EDATE($D32,Milestones!$AA$178)&lt;=AsOfDate,IF($R32=0,$X32,IF(AND($T32&lt;&gt;"",EDATE($D32,Milestones!$AA$178)&gt;=$T32),$W32,IF(AND($S32&lt;&gt;"",EDATE($D32,Milestones!$AA$178)&gt;=$S32),$V32,$U32)))=Milestones!$AB$178),UPPER(TEXT(EDATE($D32,Milestones!$AA$178),"dd mmm yy"))&amp;" "&amp;Milestones!$AB$178&amp;" "&amp;Milestones!$AC$178&amp;";  ","")&amp;IF(AND(EDATE($D32,Milestones!$AA$179)&lt;=AsOfDate,IF($R32=0,$X32,IF(AND($T32&lt;&gt;"",EDATE($D32,Milestones!$AA$179)&gt;=$T32),$W32,IF(AND($S32&lt;&gt;"",EDATE($D32,Milestones!$AA$179)&gt;=$S32),$V32,$U32)))=Milestones!$AB$179),UPPER(TEXT(EDATE($D32,Milestones!$AA$179),"dd mmm yy"))&amp;" "&amp;Milestones!$AB$179&amp;" "&amp;Milestones!$AC$179&amp;";  ",""))</f>
        <v/>
      </c>
      <c r="Q32" s="0" t="str">
        <f aca="false">IF(OR($A32="",$D32=""),"",IF(AND(EDATE($D32,Milestones!$AA$180)&lt;=AsOfDate,IF($R32=0,$X32,IF(AND($T32&lt;&gt;"",EDATE($D32,Milestones!$AA$180)&gt;=$T32),$W32,IF(AND($S32&lt;&gt;"",EDATE($D32,Milestones!$AA$180)&gt;=$S32),$V32,$U32)))=Milestones!$AB$180),UPPER(TEXT(EDATE($D32,Milestones!$AA$180),"dd mmm yy"))&amp;" "&amp;Milestones!$AB$180&amp;" "&amp;Milestones!$AC$180&amp;";  ","")&amp;IF(AND(EDATE($D32,Milestones!$AA$181)&lt;=AsOfDate,IF($R32=0,$X32,IF(AND($T32&lt;&gt;"",EDATE($D32,Milestones!$AA$181)&gt;=$T32),$W32,IF(AND($S32&lt;&gt;"",EDATE($D32,Milestones!$AA$181)&gt;=$S32),$V32,$U32)))=Milestones!$AB$181),UPPER(TEXT(EDATE($D32,Milestones!$AA$181),"dd mmm yy"))&amp;" "&amp;Milestones!$AB$181&amp;" "&amp;Milestones!$AC$181&amp;";  ","")&amp;IF(AND(EDATE($D32,Milestones!$AA$182)&lt;=AsOfDate,IF($R32=0,$X32,IF(AND($T32&lt;&gt;"",EDATE($D32,Milestones!$AA$182)&gt;=$T32),$W32,IF(AND($S32&lt;&gt;"",EDATE($D32,Milestones!$AA$182)&gt;=$S32),$V32,$U32)))=Milestones!$AB$182),UPPER(TEXT(EDATE($D32,Milestones!$AA$182),"dd mmm yy"))&amp;" "&amp;Milestones!$AB$182&amp;" "&amp;Milestones!$AC$182&amp;";  ","")&amp;IF(AND(EDATE($D32,Milestones!$AA$183)&lt;=AsOfDate,IF($R32=0,$X32,IF(AND($T32&lt;&gt;"",EDATE($D32,Milestones!$AA$183)&gt;=$T32),$W32,IF(AND($S32&lt;&gt;"",EDATE($D32,Milestones!$AA$183)&gt;=$S32),$V32,$U32)))=Milestones!$AB$183),UPPER(TEXT(EDATE($D32,Milestones!$AA$183),"dd mmm yy"))&amp;" "&amp;Milestones!$AB$183&amp;" "&amp;Milestones!$AC$183&amp;";  ","")&amp;IF(AND(EDATE($D32,Milestones!$AA$184)&lt;=AsOfDate,IF($R32=0,$X32,IF(AND($T32&lt;&gt;"",EDATE($D32,Milestones!$AA$184)&gt;=$T32),$W32,IF(AND($S32&lt;&gt;"",EDATE($D32,Milestones!$AA$184)&gt;=$S32),$V32,$U32)))=Milestones!$AB$184),UPPER(TEXT(EDATE($D32,Milestones!$AA$184),"dd mmm yy"))&amp;" "&amp;Milestones!$AB$184&amp;" "&amp;Milestones!$AC$184&amp;";  ","")&amp;IF(AND(EDATE($D32,Milestones!$AA$185)&lt;=AsOfDate,IF($R32=0,$X32,IF(AND($T32&lt;&gt;"",EDATE($D32,Milestones!$AA$185)&gt;=$T32),$W32,IF(AND($S32&lt;&gt;"",EDATE($D32,Milestones!$AA$185)&gt;=$S32),$V32,$U32)))=Milestones!$AB$185),UPPER(TEXT(EDATE($D32,Milestones!$AA$185),"dd mmm yy"))&amp;" "&amp;Milestones!$AB$185&amp;" "&amp;Milestones!$AC$185&amp;";  ","")&amp;IF(AND(EDATE($D32,Milestones!$AA$186)&lt;=AsOfDate,IF($R32=0,$X32,IF(AND($T32&lt;&gt;"",EDATE($D32,Milestones!$AA$186)&gt;=$T32),$W32,IF(AND($S32&lt;&gt;"",EDATE($D32,Milestones!$AA$186)&gt;=$S32),$V32,$U32)))=Milestones!$AB$186),UPPER(TEXT(EDATE($D32,Milestones!$AA$186),"dd mmm yy"))&amp;" "&amp;Milestones!$AB$186&amp;" "&amp;Milestones!$AC$186&amp;";  ","")&amp;IF(AND(EDATE($D32,Milestones!$AA$187)&lt;=AsOfDate,IF($R32=0,$X32,IF(AND($T32&lt;&gt;"",EDATE($D32,Milestones!$AA$187)&gt;=$T32),$W32,IF(AND($S32&lt;&gt;"",EDATE($D32,Milestones!$AA$187)&gt;=$S32),$V32,$U32)))=Milestones!$AB$187),UPPER(TEXT(EDATE($D32,Milestones!$AA$187),"dd mmm yy"))&amp;" "&amp;Milestones!$AB$187&amp;" "&amp;Milestones!$AC$187&amp;";  ","")&amp;IF(AND(EDATE($D32,Milestones!$AA$188)&lt;=AsOfDate,IF($R32=0,$X32,IF(AND($T32&lt;&gt;"",EDATE($D32,Milestones!$AA$188)&gt;=$T32),$W32,IF(AND($S32&lt;&gt;"",EDATE($D32,Milestones!$AA$188)&gt;=$S32),$V32,$U32)))=Milestones!$AB$188),UPPER(TEXT(EDATE($D32,Milestones!$AA$188),"dd mmm yy"))&amp;" "&amp;Milestones!$AB$188&amp;" "&amp;Milestones!$AC$188&amp;";  ","")&amp;IF(AND(EDATE($D32,Milestones!$AA$189)&lt;=AsOfDate,IF($R32=0,$X32,IF(AND($T32&lt;&gt;"",EDATE($D32,Milestones!$AA$189)&gt;=$T32),$W32,IF(AND($S32&lt;&gt;"",EDATE($D32,Milestones!$AA$189)&gt;=$S32),$V32,$U32)))=Milestones!$AB$189),UPPER(TEXT(EDATE($D32,Milestones!$AA$189),"dd mmm yy"))&amp;" "&amp;Milestones!$AB$189&amp;" "&amp;Milestones!$AC$189&amp;";  ","")&amp;IF(AND(EDATE($D32,Milestones!$AA$190)&lt;=AsOfDate,IF($R32=0,$X32,IF(AND($T32&lt;&gt;"",EDATE($D32,Milestones!$AA$190)&gt;=$T32),$W32,IF(AND($S32&lt;&gt;"",EDATE($D32,Milestones!$AA$190)&gt;=$S32),$V32,$U32)))=Milestones!$AB$190),UPPER(TEXT(EDATE($D32,Milestones!$AA$190),"dd mmm yy"))&amp;" "&amp;Milestones!$AB$190&amp;" "&amp;Milestones!$AC$190&amp;";  ","")&amp;IF(AND(EDATE($D32,Milestones!$AA$191)&lt;=AsOfDate,IF($R32=0,$X32,IF(AND($T32&lt;&gt;"",EDATE($D32,Milestones!$AA$191)&gt;=$T32),$W32,IF(AND($S32&lt;&gt;"",EDATE($D32,Milestones!$AA$191)&gt;=$S32),$V32,$U32)))=Milestones!$AB$191),UPPER(TEXT(EDATE($D32,Milestones!$AA$191),"dd mmm yy"))&amp;" "&amp;Milestones!$AB$191&amp;" "&amp;Milestones!$AC$191&amp;";  ","")&amp;IF(AND(EDATE($D32,Milestones!$AA$192)&lt;=AsOfDate,IF($R32=0,$X32,IF(AND($T32&lt;&gt;"",EDATE($D32,Milestones!$AA$192)&gt;=$T32),$W32,IF(AND($S32&lt;&gt;"",EDATE($D32,Milestones!$AA$192)&gt;=$S32),$V32,$U32)))=Milestones!$AB$192),UPPER(TEXT(EDATE($D32,Milestones!$AA$192),"dd mmm yy"))&amp;" "&amp;Milestones!$AB$192&amp;" "&amp;Milestones!$AC$192&amp;";  ","")&amp;IF(AND(EDATE($D32,Milestones!$AA$193)&lt;=AsOfDate,IF($R32=0,$X32,IF(AND($T32&lt;&gt;"",EDATE($D32,Milestones!$AA$193)&gt;=$T32),$W32,IF(AND($S32&lt;&gt;"",EDATE($D32,Milestones!$AA$193)&gt;=$S32),$V32,$U32)))=Milestones!$AB$193),UPPER(TEXT(EDATE($D32,Milestones!$AA$193),"dd mmm yy"))&amp;" "&amp;Milestones!$AB$193&amp;" "&amp;Milestones!$AC$193&amp;";  ","")&amp;IF(AND(EDATE($D32,Milestones!$AA$194)&lt;=AsOfDate,IF($R32=0,$X32,IF(AND($T32&lt;&gt;"",EDATE($D32,Milestones!$AA$194)&gt;=$T32),$W32,IF(AND($S32&lt;&gt;"",EDATE($D32,Milestones!$AA$194)&gt;=$S32),$V32,$U32)))=Milestones!$AB$194),UPPER(TEXT(EDATE($D32,Milestones!$AA$194),"dd mmm yy"))&amp;" "&amp;Milestones!$AB$194&amp;" "&amp;Milestones!$AC$194&amp;";  ","")&amp;IF(AND(EDATE($D32,Milestones!$AA$195)&lt;=AsOfDate,IF($R32=0,$X32,IF(AND($T32&lt;&gt;"",EDATE($D32,Milestones!$AA$195)&gt;=$T32),$W32,IF(AND($S32&lt;&gt;"",EDATE($D32,Milestones!$AA$195)&gt;=$S32),$V32,$U32)))=Milestones!$AB$195),UPPER(TEXT(EDATE($D32,Milestones!$AA$195),"dd mmm yy"))&amp;" "&amp;Milestones!$AB$195&amp;" "&amp;Milestones!$AC$195&amp;";  ","")&amp;IF(AND(EDATE($D32,Milestones!$AA$196)&lt;=AsOfDate,IF($R32=0,$X32,IF(AND($T32&lt;&gt;"",EDATE($D32,Milestones!$AA$196)&gt;=$T32),$W32,IF(AND($S32&lt;&gt;"",EDATE($D32,Milestones!$AA$196)&gt;=$S32),$V32,$U32)))=Milestones!$AB$196),UPPER(TEXT(EDATE($D32,Milestones!$AA$196),"dd mmm yy"))&amp;" "&amp;Milestones!$AB$196&amp;" "&amp;Milestones!$AC$196&amp;";  ","")&amp;IF(AND(EDATE($D32,Milestones!$AA$197)&lt;=AsOfDate,IF($R32=0,$X32,IF(AND($T32&lt;&gt;"",EDATE($D32,Milestones!$AA$197)&gt;=$T32),$W32,IF(AND($S32&lt;&gt;"",EDATE($D32,Milestones!$AA$197)&gt;=$S32),$V32,$U32)))=Milestones!$AB$197),UPPER(TEXT(EDATE($D32,Milestones!$AA$197),"dd mmm yy"))&amp;" "&amp;Milestones!$AB$197&amp;" "&amp;Milestones!$AC$197&amp;";  ","")&amp;IF(AND(EDATE($D32,Milestones!$AA$198)&lt;=AsOfDate,IF($R32=0,$X32,IF(AND($T32&lt;&gt;"",EDATE($D32,Milestones!$AA$198)&gt;=$T32),$W32,IF(AND($S32&lt;&gt;"",EDATE($D32,Milestones!$AA$198)&gt;=$S32),$V32,$U32)))=Milestones!$AB$198),UPPER(TEXT(EDATE($D32,Milestones!$AA$198),"dd mmm yy"))&amp;" "&amp;Milestones!$AB$198&amp;" "&amp;Milestones!$AC$198&amp;";  ","")&amp;IF(AND(EDATE($D32,Milestones!$AA$199)&lt;=AsOfDate,IF($R32=0,$X32,IF(AND($T32&lt;&gt;"",EDATE($D32,Milestones!$AA$199)&gt;=$T32),$W32,IF(AND($S32&lt;&gt;"",EDATE($D32,Milestones!$AA$199)&gt;=$S32),$V32,$U32)))=Milestones!$AB$199),UPPER(TEXT(EDATE($D32,Milestones!$AA$199),"dd mmm yy"))&amp;" "&amp;Milestones!$AB$199&amp;" "&amp;Milestones!$AC$199&amp;";  ",""))</f>
        <v/>
      </c>
      <c r="R32" s="0" t="str">
        <f aca="false">IF(Staff!$A32="","",Staff!$AI32)</f>
        <v/>
      </c>
      <c r="S32" s="0" t="str">
        <f aca="false">IF(Staff!$A32="","",Staff!$AK32)</f>
        <v/>
      </c>
      <c r="T32" s="0" t="str">
        <f aca="false">IF(Staff!$A32="","",Staff!$AL32)</f>
        <v/>
      </c>
      <c r="U32" s="0" t="str">
        <f aca="false">IF(Staff!$A32="","",Staff!$AP32)</f>
        <v/>
      </c>
      <c r="V32" s="0" t="str">
        <f aca="false">IF(Staff!$A32="","",Staff!$AQ32)</f>
        <v/>
      </c>
      <c r="W32" s="0" t="str">
        <f aca="false">IF(Staff!$A32="","",Staff!$AR32)</f>
        <v/>
      </c>
      <c r="X32" s="0" t="str">
        <f aca="false">IF(Staff!$A32="","",Staff!$AS32)</f>
        <v/>
      </c>
    </row>
    <row r="33" customFormat="false" ht="15" hidden="false" customHeight="false" outlineLevel="0" collapsed="false">
      <c r="A33" s="14" t="str">
        <f aca="false">IF(Staff!$A33="","",Staff!$A33)</f>
        <v/>
      </c>
      <c r="B33" s="14" t="str">
        <f aca="false">IF(Staff!$A33="","",Staff!$B33)</f>
        <v/>
      </c>
      <c r="C33" s="14" t="str">
        <f aca="false">IF(Staff!$A33="","",Staff!$C33)</f>
        <v/>
      </c>
      <c r="D33" s="12" t="str">
        <f aca="false">IF(Staff!$A33="","",Staff!$AH33)</f>
        <v/>
      </c>
      <c r="E33" s="14" t="str">
        <f aca="false">IF(Staff!$A33="","",Staff!$O33)</f>
        <v/>
      </c>
      <c r="F33" s="14" t="str">
        <f aca="false">IF(E33="","",E33*HoursPerDay)</f>
        <v/>
      </c>
      <c r="G33" s="14" t="str">
        <f aca="false">IF(Staff!$A33="","",Staff!$AE33)</f>
        <v/>
      </c>
      <c r="H33" s="26" t="str">
        <f aca="false">IF($A33="","",I33&amp;J33&amp;K33&amp;L33&amp;M33&amp;N33&amp;O33&amp;P33&amp;Q33)</f>
        <v/>
      </c>
      <c r="I33" s="0" t="str">
        <f aca="false">IF(OR($A33="",$D33=""),"",IF(AND(EDATE($D33,Milestones!$AA$20)&lt;=AsOfDate,IF($R33=0,$X33,IF(AND($T33&lt;&gt;"",EDATE($D33,Milestones!$AA$20)&gt;=$T33),$W33,IF(AND($S33&lt;&gt;"",EDATE($D33,Milestones!$AA$20)&gt;=$S33),$V33,$U33)))=Milestones!$AB$20),UPPER(TEXT(EDATE($D33,Milestones!$AA$20),"dd mmm yy"))&amp;" "&amp;Milestones!$AB$20&amp;" "&amp;Milestones!$AC$20&amp;";  ","")&amp;IF(AND(EDATE($D33,Milestones!$AA$21)&lt;=AsOfDate,IF($R33=0,$X33,IF(AND($T33&lt;&gt;"",EDATE($D33,Milestones!$AA$21)&gt;=$T33),$W33,IF(AND($S33&lt;&gt;"",EDATE($D33,Milestones!$AA$21)&gt;=$S33),$V33,$U33)))=Milestones!$AB$21),UPPER(TEXT(EDATE($D33,Milestones!$AA$21),"dd mmm yy"))&amp;" "&amp;Milestones!$AB$21&amp;" "&amp;Milestones!$AC$21&amp;";  ","")&amp;IF(AND(EDATE($D33,Milestones!$AA$22)&lt;=AsOfDate,IF($R33=0,$X33,IF(AND($T33&lt;&gt;"",EDATE($D33,Milestones!$AA$22)&gt;=$T33),$W33,IF(AND($S33&lt;&gt;"",EDATE($D33,Milestones!$AA$22)&gt;=$S33),$V33,$U33)))=Milestones!$AB$22),UPPER(TEXT(EDATE($D33,Milestones!$AA$22),"dd mmm yy"))&amp;" "&amp;Milestones!$AB$22&amp;" "&amp;Milestones!$AC$22&amp;";  ","")&amp;IF(AND(EDATE($D33,Milestones!$AA$23)&lt;=AsOfDate,IF($R33=0,$X33,IF(AND($T33&lt;&gt;"",EDATE($D33,Milestones!$AA$23)&gt;=$T33),$W33,IF(AND($S33&lt;&gt;"",EDATE($D33,Milestones!$AA$23)&gt;=$S33),$V33,$U33)))=Milestones!$AB$23),UPPER(TEXT(EDATE($D33,Milestones!$AA$23),"dd mmm yy"))&amp;" "&amp;Milestones!$AB$23&amp;" "&amp;Milestones!$AC$23&amp;";  ","")&amp;IF(AND(EDATE($D33,Milestones!$AA$24)&lt;=AsOfDate,IF($R33=0,$X33,IF(AND($T33&lt;&gt;"",EDATE($D33,Milestones!$AA$24)&gt;=$T33),$W33,IF(AND($S33&lt;&gt;"",EDATE($D33,Milestones!$AA$24)&gt;=$S33),$V33,$U33)))=Milestones!$AB$24),UPPER(TEXT(EDATE($D33,Milestones!$AA$24),"dd mmm yy"))&amp;" "&amp;Milestones!$AB$24&amp;" "&amp;Milestones!$AC$24&amp;";  ","")&amp;IF(AND(EDATE($D33,Milestones!$AA$25)&lt;=AsOfDate,IF($R33=0,$X33,IF(AND($T33&lt;&gt;"",EDATE($D33,Milestones!$AA$25)&gt;=$T33),$W33,IF(AND($S33&lt;&gt;"",EDATE($D33,Milestones!$AA$25)&gt;=$S33),$V33,$U33)))=Milestones!$AB$25),UPPER(TEXT(EDATE($D33,Milestones!$AA$25),"dd mmm yy"))&amp;" "&amp;Milestones!$AB$25&amp;" "&amp;Milestones!$AC$25&amp;";  ","")&amp;IF(AND(EDATE($D33,Milestones!$AA$26)&lt;=AsOfDate,IF($R33=0,$X33,IF(AND($T33&lt;&gt;"",EDATE($D33,Milestones!$AA$26)&gt;=$T33),$W33,IF(AND($S33&lt;&gt;"",EDATE($D33,Milestones!$AA$26)&gt;=$S33),$V33,$U33)))=Milestones!$AB$26),UPPER(TEXT(EDATE($D33,Milestones!$AA$26),"dd mmm yy"))&amp;" "&amp;Milestones!$AB$26&amp;" "&amp;Milestones!$AC$26&amp;";  ","")&amp;IF(AND(EDATE($D33,Milestones!$AA$27)&lt;=AsOfDate,IF($R33=0,$X33,IF(AND($T33&lt;&gt;"",EDATE($D33,Milestones!$AA$27)&gt;=$T33),$W33,IF(AND($S33&lt;&gt;"",EDATE($D33,Milestones!$AA$27)&gt;=$S33),$V33,$U33)))=Milestones!$AB$27),UPPER(TEXT(EDATE($D33,Milestones!$AA$27),"dd mmm yy"))&amp;" "&amp;Milestones!$AB$27&amp;" "&amp;Milestones!$AC$27&amp;";  ","")&amp;IF(AND(EDATE($D33,Milestones!$AA$28)&lt;=AsOfDate,IF($R33=0,$X33,IF(AND($T33&lt;&gt;"",EDATE($D33,Milestones!$AA$28)&gt;=$T33),$W33,IF(AND($S33&lt;&gt;"",EDATE($D33,Milestones!$AA$28)&gt;=$S33),$V33,$U33)))=Milestones!$AB$28),UPPER(TEXT(EDATE($D33,Milestones!$AA$28),"dd mmm yy"))&amp;" "&amp;Milestones!$AB$28&amp;" "&amp;Milestones!$AC$28&amp;";  ","")&amp;IF(AND(EDATE($D33,Milestones!$AA$29)&lt;=AsOfDate,IF($R33=0,$X33,IF(AND($T33&lt;&gt;"",EDATE($D33,Milestones!$AA$29)&gt;=$T33),$W33,IF(AND($S33&lt;&gt;"",EDATE($D33,Milestones!$AA$29)&gt;=$S33),$V33,$U33)))=Milestones!$AB$29),UPPER(TEXT(EDATE($D33,Milestones!$AA$29),"dd mmm yy"))&amp;" "&amp;Milestones!$AB$29&amp;" "&amp;Milestones!$AC$29&amp;";  ","")&amp;IF(AND(EDATE($D33,Milestones!$AA$30)&lt;=AsOfDate,IF($R33=0,$X33,IF(AND($T33&lt;&gt;"",EDATE($D33,Milestones!$AA$30)&gt;=$T33),$W33,IF(AND($S33&lt;&gt;"",EDATE($D33,Milestones!$AA$30)&gt;=$S33),$V33,$U33)))=Milestones!$AB$30),UPPER(TEXT(EDATE($D33,Milestones!$AA$30),"dd mmm yy"))&amp;" "&amp;Milestones!$AB$30&amp;" "&amp;Milestones!$AC$30&amp;";  ","")&amp;IF(AND(EDATE($D33,Milestones!$AA$31)&lt;=AsOfDate,IF($R33=0,$X33,IF(AND($T33&lt;&gt;"",EDATE($D33,Milestones!$AA$31)&gt;=$T33),$W33,IF(AND($S33&lt;&gt;"",EDATE($D33,Milestones!$AA$31)&gt;=$S33),$V33,$U33)))=Milestones!$AB$31),UPPER(TEXT(EDATE($D33,Milestones!$AA$31),"dd mmm yy"))&amp;" "&amp;Milestones!$AB$31&amp;" "&amp;Milestones!$AC$31&amp;";  ","")&amp;IF(AND(EDATE($D33,Milestones!$AA$32)&lt;=AsOfDate,IF($R33=0,$X33,IF(AND($T33&lt;&gt;"",EDATE($D33,Milestones!$AA$32)&gt;=$T33),$W33,IF(AND($S33&lt;&gt;"",EDATE($D33,Milestones!$AA$32)&gt;=$S33),$V33,$U33)))=Milestones!$AB$32),UPPER(TEXT(EDATE($D33,Milestones!$AA$32),"dd mmm yy"))&amp;" "&amp;Milestones!$AB$32&amp;" "&amp;Milestones!$AC$32&amp;";  ","")&amp;IF(AND(EDATE($D33,Milestones!$AA$33)&lt;=AsOfDate,IF($R33=0,$X33,IF(AND($T33&lt;&gt;"",EDATE($D33,Milestones!$AA$33)&gt;=$T33),$W33,IF(AND($S33&lt;&gt;"",EDATE($D33,Milestones!$AA$33)&gt;=$S33),$V33,$U33)))=Milestones!$AB$33),UPPER(TEXT(EDATE($D33,Milestones!$AA$33),"dd mmm yy"))&amp;" "&amp;Milestones!$AB$33&amp;" "&amp;Milestones!$AC$33&amp;";  ","")&amp;IF(AND(EDATE($D33,Milestones!$AA$34)&lt;=AsOfDate,IF($R33=0,$X33,IF(AND($T33&lt;&gt;"",EDATE($D33,Milestones!$AA$34)&gt;=$T33),$W33,IF(AND($S33&lt;&gt;"",EDATE($D33,Milestones!$AA$34)&gt;=$S33),$V33,$U33)))=Milestones!$AB$34),UPPER(TEXT(EDATE($D33,Milestones!$AA$34),"dd mmm yy"))&amp;" "&amp;Milestones!$AB$34&amp;" "&amp;Milestones!$AC$34&amp;";  ","")&amp;IF(AND(EDATE($D33,Milestones!$AA$35)&lt;=AsOfDate,IF($R33=0,$X33,IF(AND($T33&lt;&gt;"",EDATE($D33,Milestones!$AA$35)&gt;=$T33),$W33,IF(AND($S33&lt;&gt;"",EDATE($D33,Milestones!$AA$35)&gt;=$S33),$V33,$U33)))=Milestones!$AB$35),UPPER(TEXT(EDATE($D33,Milestones!$AA$35),"dd mmm yy"))&amp;" "&amp;Milestones!$AB$35&amp;" "&amp;Milestones!$AC$35&amp;";  ","")&amp;IF(AND(EDATE($D33,Milestones!$AA$36)&lt;=AsOfDate,IF($R33=0,$X33,IF(AND($T33&lt;&gt;"",EDATE($D33,Milestones!$AA$36)&gt;=$T33),$W33,IF(AND($S33&lt;&gt;"",EDATE($D33,Milestones!$AA$36)&gt;=$S33),$V33,$U33)))=Milestones!$AB$36),UPPER(TEXT(EDATE($D33,Milestones!$AA$36),"dd mmm yy"))&amp;" "&amp;Milestones!$AB$36&amp;" "&amp;Milestones!$AC$36&amp;";  ","")&amp;IF(AND(EDATE($D33,Milestones!$AA$37)&lt;=AsOfDate,IF($R33=0,$X33,IF(AND($T33&lt;&gt;"",EDATE($D33,Milestones!$AA$37)&gt;=$T33),$W33,IF(AND($S33&lt;&gt;"",EDATE($D33,Milestones!$AA$37)&gt;=$S33),$V33,$U33)))=Milestones!$AB$37),UPPER(TEXT(EDATE($D33,Milestones!$AA$37),"dd mmm yy"))&amp;" "&amp;Milestones!$AB$37&amp;" "&amp;Milestones!$AC$37&amp;";  ","")&amp;IF(AND(EDATE($D33,Milestones!$AA$38)&lt;=AsOfDate,IF($R33=0,$X33,IF(AND($T33&lt;&gt;"",EDATE($D33,Milestones!$AA$38)&gt;=$T33),$W33,IF(AND($S33&lt;&gt;"",EDATE($D33,Milestones!$AA$38)&gt;=$S33),$V33,$U33)))=Milestones!$AB$38),UPPER(TEXT(EDATE($D33,Milestones!$AA$38),"dd mmm yy"))&amp;" "&amp;Milestones!$AB$38&amp;" "&amp;Milestones!$AC$38&amp;";  ","")&amp;IF(AND(EDATE($D33,Milestones!$AA$39)&lt;=AsOfDate,IF($R33=0,$X33,IF(AND($T33&lt;&gt;"",EDATE($D33,Milestones!$AA$39)&gt;=$T33),$W33,IF(AND($S33&lt;&gt;"",EDATE($D33,Milestones!$AA$39)&gt;=$S33),$V33,$U33)))=Milestones!$AB$39),UPPER(TEXT(EDATE($D33,Milestones!$AA$39),"dd mmm yy"))&amp;" "&amp;Milestones!$AB$39&amp;" "&amp;Milestones!$AC$39&amp;";  ",""))</f>
        <v/>
      </c>
      <c r="J33" s="0" t="str">
        <f aca="false">IF(OR($A33="",$D33=""),"",IF(AND(EDATE($D33,Milestones!$AA$40)&lt;=AsOfDate,IF($R33=0,$X33,IF(AND($T33&lt;&gt;"",EDATE($D33,Milestones!$AA$40)&gt;=$T33),$W33,IF(AND($S33&lt;&gt;"",EDATE($D33,Milestones!$AA$40)&gt;=$S33),$V33,$U33)))=Milestones!$AB$40),UPPER(TEXT(EDATE($D33,Milestones!$AA$40),"dd mmm yy"))&amp;" "&amp;Milestones!$AB$40&amp;" "&amp;Milestones!$AC$40&amp;";  ","")&amp;IF(AND(EDATE($D33,Milestones!$AA$41)&lt;=AsOfDate,IF($R33=0,$X33,IF(AND($T33&lt;&gt;"",EDATE($D33,Milestones!$AA$41)&gt;=$T33),$W33,IF(AND($S33&lt;&gt;"",EDATE($D33,Milestones!$AA$41)&gt;=$S33),$V33,$U33)))=Milestones!$AB$41),UPPER(TEXT(EDATE($D33,Milestones!$AA$41),"dd mmm yy"))&amp;" "&amp;Milestones!$AB$41&amp;" "&amp;Milestones!$AC$41&amp;";  ","")&amp;IF(AND(EDATE($D33,Milestones!$AA$42)&lt;=AsOfDate,IF($R33=0,$X33,IF(AND($T33&lt;&gt;"",EDATE($D33,Milestones!$AA$42)&gt;=$T33),$W33,IF(AND($S33&lt;&gt;"",EDATE($D33,Milestones!$AA$42)&gt;=$S33),$V33,$U33)))=Milestones!$AB$42),UPPER(TEXT(EDATE($D33,Milestones!$AA$42),"dd mmm yy"))&amp;" "&amp;Milestones!$AB$42&amp;" "&amp;Milestones!$AC$42&amp;";  ","")&amp;IF(AND(EDATE($D33,Milestones!$AA$43)&lt;=AsOfDate,IF($R33=0,$X33,IF(AND($T33&lt;&gt;"",EDATE($D33,Milestones!$AA$43)&gt;=$T33),$W33,IF(AND($S33&lt;&gt;"",EDATE($D33,Milestones!$AA$43)&gt;=$S33),$V33,$U33)))=Milestones!$AB$43),UPPER(TEXT(EDATE($D33,Milestones!$AA$43),"dd mmm yy"))&amp;" "&amp;Milestones!$AB$43&amp;" "&amp;Milestones!$AC$43&amp;";  ","")&amp;IF(AND(EDATE($D33,Milestones!$AA$44)&lt;=AsOfDate,IF($R33=0,$X33,IF(AND($T33&lt;&gt;"",EDATE($D33,Milestones!$AA$44)&gt;=$T33),$W33,IF(AND($S33&lt;&gt;"",EDATE($D33,Milestones!$AA$44)&gt;=$S33),$V33,$U33)))=Milestones!$AB$44),UPPER(TEXT(EDATE($D33,Milestones!$AA$44),"dd mmm yy"))&amp;" "&amp;Milestones!$AB$44&amp;" "&amp;Milestones!$AC$44&amp;";  ","")&amp;IF(AND(EDATE($D33,Milestones!$AA$45)&lt;=AsOfDate,IF($R33=0,$X33,IF(AND($T33&lt;&gt;"",EDATE($D33,Milestones!$AA$45)&gt;=$T33),$W33,IF(AND($S33&lt;&gt;"",EDATE($D33,Milestones!$AA$45)&gt;=$S33),$V33,$U33)))=Milestones!$AB$45),UPPER(TEXT(EDATE($D33,Milestones!$AA$45),"dd mmm yy"))&amp;" "&amp;Milestones!$AB$45&amp;" "&amp;Milestones!$AC$45&amp;";  ","")&amp;IF(AND(EDATE($D33,Milestones!$AA$46)&lt;=AsOfDate,IF($R33=0,$X33,IF(AND($T33&lt;&gt;"",EDATE($D33,Milestones!$AA$46)&gt;=$T33),$W33,IF(AND($S33&lt;&gt;"",EDATE($D33,Milestones!$AA$46)&gt;=$S33),$V33,$U33)))=Milestones!$AB$46),UPPER(TEXT(EDATE($D33,Milestones!$AA$46),"dd mmm yy"))&amp;" "&amp;Milestones!$AB$46&amp;" "&amp;Milestones!$AC$46&amp;";  ","")&amp;IF(AND(EDATE($D33,Milestones!$AA$47)&lt;=AsOfDate,IF($R33=0,$X33,IF(AND($T33&lt;&gt;"",EDATE($D33,Milestones!$AA$47)&gt;=$T33),$W33,IF(AND($S33&lt;&gt;"",EDATE($D33,Milestones!$AA$47)&gt;=$S33),$V33,$U33)))=Milestones!$AB$47),UPPER(TEXT(EDATE($D33,Milestones!$AA$47),"dd mmm yy"))&amp;" "&amp;Milestones!$AB$47&amp;" "&amp;Milestones!$AC$47&amp;";  ","")&amp;IF(AND(EDATE($D33,Milestones!$AA$48)&lt;=AsOfDate,IF($R33=0,$X33,IF(AND($T33&lt;&gt;"",EDATE($D33,Milestones!$AA$48)&gt;=$T33),$W33,IF(AND($S33&lt;&gt;"",EDATE($D33,Milestones!$AA$48)&gt;=$S33),$V33,$U33)))=Milestones!$AB$48),UPPER(TEXT(EDATE($D33,Milestones!$AA$48),"dd mmm yy"))&amp;" "&amp;Milestones!$AB$48&amp;" "&amp;Milestones!$AC$48&amp;";  ","")&amp;IF(AND(EDATE($D33,Milestones!$AA$49)&lt;=AsOfDate,IF($R33=0,$X33,IF(AND($T33&lt;&gt;"",EDATE($D33,Milestones!$AA$49)&gt;=$T33),$W33,IF(AND($S33&lt;&gt;"",EDATE($D33,Milestones!$AA$49)&gt;=$S33),$V33,$U33)))=Milestones!$AB$49),UPPER(TEXT(EDATE($D33,Milestones!$AA$49),"dd mmm yy"))&amp;" "&amp;Milestones!$AB$49&amp;" "&amp;Milestones!$AC$49&amp;";  ","")&amp;IF(AND(EDATE($D33,Milestones!$AA$50)&lt;=AsOfDate,IF($R33=0,$X33,IF(AND($T33&lt;&gt;"",EDATE($D33,Milestones!$AA$50)&gt;=$T33),$W33,IF(AND($S33&lt;&gt;"",EDATE($D33,Milestones!$AA$50)&gt;=$S33),$V33,$U33)))=Milestones!$AB$50),UPPER(TEXT(EDATE($D33,Milestones!$AA$50),"dd mmm yy"))&amp;" "&amp;Milestones!$AB$50&amp;" "&amp;Milestones!$AC$50&amp;";  ","")&amp;IF(AND(EDATE($D33,Milestones!$AA$51)&lt;=AsOfDate,IF($R33=0,$X33,IF(AND($T33&lt;&gt;"",EDATE($D33,Milestones!$AA$51)&gt;=$T33),$W33,IF(AND($S33&lt;&gt;"",EDATE($D33,Milestones!$AA$51)&gt;=$S33),$V33,$U33)))=Milestones!$AB$51),UPPER(TEXT(EDATE($D33,Milestones!$AA$51),"dd mmm yy"))&amp;" "&amp;Milestones!$AB$51&amp;" "&amp;Milestones!$AC$51&amp;";  ","")&amp;IF(AND(EDATE($D33,Milestones!$AA$52)&lt;=AsOfDate,IF($R33=0,$X33,IF(AND($T33&lt;&gt;"",EDATE($D33,Milestones!$AA$52)&gt;=$T33),$W33,IF(AND($S33&lt;&gt;"",EDATE($D33,Milestones!$AA$52)&gt;=$S33),$V33,$U33)))=Milestones!$AB$52),UPPER(TEXT(EDATE($D33,Milestones!$AA$52),"dd mmm yy"))&amp;" "&amp;Milestones!$AB$52&amp;" "&amp;Milestones!$AC$52&amp;";  ","")&amp;IF(AND(EDATE($D33,Milestones!$AA$53)&lt;=AsOfDate,IF($R33=0,$X33,IF(AND($T33&lt;&gt;"",EDATE($D33,Milestones!$AA$53)&gt;=$T33),$W33,IF(AND($S33&lt;&gt;"",EDATE($D33,Milestones!$AA$53)&gt;=$S33),$V33,$U33)))=Milestones!$AB$53),UPPER(TEXT(EDATE($D33,Milestones!$AA$53),"dd mmm yy"))&amp;" "&amp;Milestones!$AB$53&amp;" "&amp;Milestones!$AC$53&amp;";  ","")&amp;IF(AND(EDATE($D33,Milestones!$AA$54)&lt;=AsOfDate,IF($R33=0,$X33,IF(AND($T33&lt;&gt;"",EDATE($D33,Milestones!$AA$54)&gt;=$T33),$W33,IF(AND($S33&lt;&gt;"",EDATE($D33,Milestones!$AA$54)&gt;=$S33),$V33,$U33)))=Milestones!$AB$54),UPPER(TEXT(EDATE($D33,Milestones!$AA$54),"dd mmm yy"))&amp;" "&amp;Milestones!$AB$54&amp;" "&amp;Milestones!$AC$54&amp;";  ","")&amp;IF(AND(EDATE($D33,Milestones!$AA$55)&lt;=AsOfDate,IF($R33=0,$X33,IF(AND($T33&lt;&gt;"",EDATE($D33,Milestones!$AA$55)&gt;=$T33),$W33,IF(AND($S33&lt;&gt;"",EDATE($D33,Milestones!$AA$55)&gt;=$S33),$V33,$U33)))=Milestones!$AB$55),UPPER(TEXT(EDATE($D33,Milestones!$AA$55),"dd mmm yy"))&amp;" "&amp;Milestones!$AB$55&amp;" "&amp;Milestones!$AC$55&amp;";  ","")&amp;IF(AND(EDATE($D33,Milestones!$AA$56)&lt;=AsOfDate,IF($R33=0,$X33,IF(AND($T33&lt;&gt;"",EDATE($D33,Milestones!$AA$56)&gt;=$T33),$W33,IF(AND($S33&lt;&gt;"",EDATE($D33,Milestones!$AA$56)&gt;=$S33),$V33,$U33)))=Milestones!$AB$56),UPPER(TEXT(EDATE($D33,Milestones!$AA$56),"dd mmm yy"))&amp;" "&amp;Milestones!$AB$56&amp;" "&amp;Milestones!$AC$56&amp;";  ","")&amp;IF(AND(EDATE($D33,Milestones!$AA$57)&lt;=AsOfDate,IF($R33=0,$X33,IF(AND($T33&lt;&gt;"",EDATE($D33,Milestones!$AA$57)&gt;=$T33),$W33,IF(AND($S33&lt;&gt;"",EDATE($D33,Milestones!$AA$57)&gt;=$S33),$V33,$U33)))=Milestones!$AB$57),UPPER(TEXT(EDATE($D33,Milestones!$AA$57),"dd mmm yy"))&amp;" "&amp;Milestones!$AB$57&amp;" "&amp;Milestones!$AC$57&amp;";  ","")&amp;IF(AND(EDATE($D33,Milestones!$AA$58)&lt;=AsOfDate,IF($R33=0,$X33,IF(AND($T33&lt;&gt;"",EDATE($D33,Milestones!$AA$58)&gt;=$T33),$W33,IF(AND($S33&lt;&gt;"",EDATE($D33,Milestones!$AA$58)&gt;=$S33),$V33,$U33)))=Milestones!$AB$58),UPPER(TEXT(EDATE($D33,Milestones!$AA$58),"dd mmm yy"))&amp;" "&amp;Milestones!$AB$58&amp;" "&amp;Milestones!$AC$58&amp;";  ","")&amp;IF(AND(EDATE($D33,Milestones!$AA$59)&lt;=AsOfDate,IF($R33=0,$X33,IF(AND($T33&lt;&gt;"",EDATE($D33,Milestones!$AA$59)&gt;=$T33),$W33,IF(AND($S33&lt;&gt;"",EDATE($D33,Milestones!$AA$59)&gt;=$S33),$V33,$U33)))=Milestones!$AB$59),UPPER(TEXT(EDATE($D33,Milestones!$AA$59),"dd mmm yy"))&amp;" "&amp;Milestones!$AB$59&amp;" "&amp;Milestones!$AC$59&amp;";  ",""))</f>
        <v/>
      </c>
      <c r="K33" s="0" t="str">
        <f aca="false">IF(OR($A33="",$D33=""),"",IF(AND(EDATE($D33,Milestones!$AA$60)&lt;=AsOfDate,IF($R33=0,$X33,IF(AND($T33&lt;&gt;"",EDATE($D33,Milestones!$AA$60)&gt;=$T33),$W33,IF(AND($S33&lt;&gt;"",EDATE($D33,Milestones!$AA$60)&gt;=$S33),$V33,$U33)))=Milestones!$AB$60),UPPER(TEXT(EDATE($D33,Milestones!$AA$60),"dd mmm yy"))&amp;" "&amp;Milestones!$AB$60&amp;" "&amp;Milestones!$AC$60&amp;";  ","")&amp;IF(AND(EDATE($D33,Milestones!$AA$61)&lt;=AsOfDate,IF($R33=0,$X33,IF(AND($T33&lt;&gt;"",EDATE($D33,Milestones!$AA$61)&gt;=$T33),$W33,IF(AND($S33&lt;&gt;"",EDATE($D33,Milestones!$AA$61)&gt;=$S33),$V33,$U33)))=Milestones!$AB$61),UPPER(TEXT(EDATE($D33,Milestones!$AA$61),"dd mmm yy"))&amp;" "&amp;Milestones!$AB$61&amp;" "&amp;Milestones!$AC$61&amp;";  ","")&amp;IF(AND(EDATE($D33,Milestones!$AA$62)&lt;=AsOfDate,IF($R33=0,$X33,IF(AND($T33&lt;&gt;"",EDATE($D33,Milestones!$AA$62)&gt;=$T33),$W33,IF(AND($S33&lt;&gt;"",EDATE($D33,Milestones!$AA$62)&gt;=$S33),$V33,$U33)))=Milestones!$AB$62),UPPER(TEXT(EDATE($D33,Milestones!$AA$62),"dd mmm yy"))&amp;" "&amp;Milestones!$AB$62&amp;" "&amp;Milestones!$AC$62&amp;";  ","")&amp;IF(AND(EDATE($D33,Milestones!$AA$63)&lt;=AsOfDate,IF($R33=0,$X33,IF(AND($T33&lt;&gt;"",EDATE($D33,Milestones!$AA$63)&gt;=$T33),$W33,IF(AND($S33&lt;&gt;"",EDATE($D33,Milestones!$AA$63)&gt;=$S33),$V33,$U33)))=Milestones!$AB$63),UPPER(TEXT(EDATE($D33,Milestones!$AA$63),"dd mmm yy"))&amp;" "&amp;Milestones!$AB$63&amp;" "&amp;Milestones!$AC$63&amp;";  ","")&amp;IF(AND(EDATE($D33,Milestones!$AA$64)&lt;=AsOfDate,IF($R33=0,$X33,IF(AND($T33&lt;&gt;"",EDATE($D33,Milestones!$AA$64)&gt;=$T33),$W33,IF(AND($S33&lt;&gt;"",EDATE($D33,Milestones!$AA$64)&gt;=$S33),$V33,$U33)))=Milestones!$AB$64),UPPER(TEXT(EDATE($D33,Milestones!$AA$64),"dd mmm yy"))&amp;" "&amp;Milestones!$AB$64&amp;" "&amp;Milestones!$AC$64&amp;";  ","")&amp;IF(AND(EDATE($D33,Milestones!$AA$65)&lt;=AsOfDate,IF($R33=0,$X33,IF(AND($T33&lt;&gt;"",EDATE($D33,Milestones!$AA$65)&gt;=$T33),$W33,IF(AND($S33&lt;&gt;"",EDATE($D33,Milestones!$AA$65)&gt;=$S33),$V33,$U33)))=Milestones!$AB$65),UPPER(TEXT(EDATE($D33,Milestones!$AA$65),"dd mmm yy"))&amp;" "&amp;Milestones!$AB$65&amp;" "&amp;Milestones!$AC$65&amp;";  ","")&amp;IF(AND(EDATE($D33,Milestones!$AA$66)&lt;=AsOfDate,IF($R33=0,$X33,IF(AND($T33&lt;&gt;"",EDATE($D33,Milestones!$AA$66)&gt;=$T33),$W33,IF(AND($S33&lt;&gt;"",EDATE($D33,Milestones!$AA$66)&gt;=$S33),$V33,$U33)))=Milestones!$AB$66),UPPER(TEXT(EDATE($D33,Milestones!$AA$66),"dd mmm yy"))&amp;" "&amp;Milestones!$AB$66&amp;" "&amp;Milestones!$AC$66&amp;";  ","")&amp;IF(AND(EDATE($D33,Milestones!$AA$67)&lt;=AsOfDate,IF($R33=0,$X33,IF(AND($T33&lt;&gt;"",EDATE($D33,Milestones!$AA$67)&gt;=$T33),$W33,IF(AND($S33&lt;&gt;"",EDATE($D33,Milestones!$AA$67)&gt;=$S33),$V33,$U33)))=Milestones!$AB$67),UPPER(TEXT(EDATE($D33,Milestones!$AA$67),"dd mmm yy"))&amp;" "&amp;Milestones!$AB$67&amp;" "&amp;Milestones!$AC$67&amp;";  ","")&amp;IF(AND(EDATE($D33,Milestones!$AA$68)&lt;=AsOfDate,IF($R33=0,$X33,IF(AND($T33&lt;&gt;"",EDATE($D33,Milestones!$AA$68)&gt;=$T33),$W33,IF(AND($S33&lt;&gt;"",EDATE($D33,Milestones!$AA$68)&gt;=$S33),$V33,$U33)))=Milestones!$AB$68),UPPER(TEXT(EDATE($D33,Milestones!$AA$68),"dd mmm yy"))&amp;" "&amp;Milestones!$AB$68&amp;" "&amp;Milestones!$AC$68&amp;";  ","")&amp;IF(AND(EDATE($D33,Milestones!$AA$69)&lt;=AsOfDate,IF($R33=0,$X33,IF(AND($T33&lt;&gt;"",EDATE($D33,Milestones!$AA$69)&gt;=$T33),$W33,IF(AND($S33&lt;&gt;"",EDATE($D33,Milestones!$AA$69)&gt;=$S33),$V33,$U33)))=Milestones!$AB$69),UPPER(TEXT(EDATE($D33,Milestones!$AA$69),"dd mmm yy"))&amp;" "&amp;Milestones!$AB$69&amp;" "&amp;Milestones!$AC$69&amp;";  ","")&amp;IF(AND(EDATE($D33,Milestones!$AA$70)&lt;=AsOfDate,IF($R33=0,$X33,IF(AND($T33&lt;&gt;"",EDATE($D33,Milestones!$AA$70)&gt;=$T33),$W33,IF(AND($S33&lt;&gt;"",EDATE($D33,Milestones!$AA$70)&gt;=$S33),$V33,$U33)))=Milestones!$AB$70),UPPER(TEXT(EDATE($D33,Milestones!$AA$70),"dd mmm yy"))&amp;" "&amp;Milestones!$AB$70&amp;" "&amp;Milestones!$AC$70&amp;";  ","")&amp;IF(AND(EDATE($D33,Milestones!$AA$71)&lt;=AsOfDate,IF($R33=0,$X33,IF(AND($T33&lt;&gt;"",EDATE($D33,Milestones!$AA$71)&gt;=$T33),$W33,IF(AND($S33&lt;&gt;"",EDATE($D33,Milestones!$AA$71)&gt;=$S33),$V33,$U33)))=Milestones!$AB$71),UPPER(TEXT(EDATE($D33,Milestones!$AA$71),"dd mmm yy"))&amp;" "&amp;Milestones!$AB$71&amp;" "&amp;Milestones!$AC$71&amp;";  ","")&amp;IF(AND(EDATE($D33,Milestones!$AA$72)&lt;=AsOfDate,IF($R33=0,$X33,IF(AND($T33&lt;&gt;"",EDATE($D33,Milestones!$AA$72)&gt;=$T33),$W33,IF(AND($S33&lt;&gt;"",EDATE($D33,Milestones!$AA$72)&gt;=$S33),$V33,$U33)))=Milestones!$AB$72),UPPER(TEXT(EDATE($D33,Milestones!$AA$72),"dd mmm yy"))&amp;" "&amp;Milestones!$AB$72&amp;" "&amp;Milestones!$AC$72&amp;";  ","")&amp;IF(AND(EDATE($D33,Milestones!$AA$73)&lt;=AsOfDate,IF($R33=0,$X33,IF(AND($T33&lt;&gt;"",EDATE($D33,Milestones!$AA$73)&gt;=$T33),$W33,IF(AND($S33&lt;&gt;"",EDATE($D33,Milestones!$AA$73)&gt;=$S33),$V33,$U33)))=Milestones!$AB$73),UPPER(TEXT(EDATE($D33,Milestones!$AA$73),"dd mmm yy"))&amp;" "&amp;Milestones!$AB$73&amp;" "&amp;Milestones!$AC$73&amp;";  ","")&amp;IF(AND(EDATE($D33,Milestones!$AA$74)&lt;=AsOfDate,IF($R33=0,$X33,IF(AND($T33&lt;&gt;"",EDATE($D33,Milestones!$AA$74)&gt;=$T33),$W33,IF(AND($S33&lt;&gt;"",EDATE($D33,Milestones!$AA$74)&gt;=$S33),$V33,$U33)))=Milestones!$AB$74),UPPER(TEXT(EDATE($D33,Milestones!$AA$74),"dd mmm yy"))&amp;" "&amp;Milestones!$AB$74&amp;" "&amp;Milestones!$AC$74&amp;";  ","")&amp;IF(AND(EDATE($D33,Milestones!$AA$75)&lt;=AsOfDate,IF($R33=0,$X33,IF(AND($T33&lt;&gt;"",EDATE($D33,Milestones!$AA$75)&gt;=$T33),$W33,IF(AND($S33&lt;&gt;"",EDATE($D33,Milestones!$AA$75)&gt;=$S33),$V33,$U33)))=Milestones!$AB$75),UPPER(TEXT(EDATE($D33,Milestones!$AA$75),"dd mmm yy"))&amp;" "&amp;Milestones!$AB$75&amp;" "&amp;Milestones!$AC$75&amp;";  ","")&amp;IF(AND(EDATE($D33,Milestones!$AA$76)&lt;=AsOfDate,IF($R33=0,$X33,IF(AND($T33&lt;&gt;"",EDATE($D33,Milestones!$AA$76)&gt;=$T33),$W33,IF(AND($S33&lt;&gt;"",EDATE($D33,Milestones!$AA$76)&gt;=$S33),$V33,$U33)))=Milestones!$AB$76),UPPER(TEXT(EDATE($D33,Milestones!$AA$76),"dd mmm yy"))&amp;" "&amp;Milestones!$AB$76&amp;" "&amp;Milestones!$AC$76&amp;";  ","")&amp;IF(AND(EDATE($D33,Milestones!$AA$77)&lt;=AsOfDate,IF($R33=0,$X33,IF(AND($T33&lt;&gt;"",EDATE($D33,Milestones!$AA$77)&gt;=$T33),$W33,IF(AND($S33&lt;&gt;"",EDATE($D33,Milestones!$AA$77)&gt;=$S33),$V33,$U33)))=Milestones!$AB$77),UPPER(TEXT(EDATE($D33,Milestones!$AA$77),"dd mmm yy"))&amp;" "&amp;Milestones!$AB$77&amp;" "&amp;Milestones!$AC$77&amp;";  ","")&amp;IF(AND(EDATE($D33,Milestones!$AA$78)&lt;=AsOfDate,IF($R33=0,$X33,IF(AND($T33&lt;&gt;"",EDATE($D33,Milestones!$AA$78)&gt;=$T33),$W33,IF(AND($S33&lt;&gt;"",EDATE($D33,Milestones!$AA$78)&gt;=$S33),$V33,$U33)))=Milestones!$AB$78),UPPER(TEXT(EDATE($D33,Milestones!$AA$78),"dd mmm yy"))&amp;" "&amp;Milestones!$AB$78&amp;" "&amp;Milestones!$AC$78&amp;";  ","")&amp;IF(AND(EDATE($D33,Milestones!$AA$79)&lt;=AsOfDate,IF($R33=0,$X33,IF(AND($T33&lt;&gt;"",EDATE($D33,Milestones!$AA$79)&gt;=$T33),$W33,IF(AND($S33&lt;&gt;"",EDATE($D33,Milestones!$AA$79)&gt;=$S33),$V33,$U33)))=Milestones!$AB$79),UPPER(TEXT(EDATE($D33,Milestones!$AA$79),"dd mmm yy"))&amp;" "&amp;Milestones!$AB$79&amp;" "&amp;Milestones!$AC$79&amp;";  ",""))</f>
        <v/>
      </c>
      <c r="L33" s="0" t="str">
        <f aca="false">IF(OR($A33="",$D33=""),"",IF(AND(EDATE($D33,Milestones!$AA$80)&lt;=AsOfDate,IF($R33=0,$X33,IF(AND($T33&lt;&gt;"",EDATE($D33,Milestones!$AA$80)&gt;=$T33),$W33,IF(AND($S33&lt;&gt;"",EDATE($D33,Milestones!$AA$80)&gt;=$S33),$V33,$U33)))=Milestones!$AB$80),UPPER(TEXT(EDATE($D33,Milestones!$AA$80),"dd mmm yy"))&amp;" "&amp;Milestones!$AB$80&amp;" "&amp;Milestones!$AC$80&amp;";  ","")&amp;IF(AND(EDATE($D33,Milestones!$AA$81)&lt;=AsOfDate,IF($R33=0,$X33,IF(AND($T33&lt;&gt;"",EDATE($D33,Milestones!$AA$81)&gt;=$T33),$W33,IF(AND($S33&lt;&gt;"",EDATE($D33,Milestones!$AA$81)&gt;=$S33),$V33,$U33)))=Milestones!$AB$81),UPPER(TEXT(EDATE($D33,Milestones!$AA$81),"dd mmm yy"))&amp;" "&amp;Milestones!$AB$81&amp;" "&amp;Milestones!$AC$81&amp;";  ","")&amp;IF(AND(EDATE($D33,Milestones!$AA$82)&lt;=AsOfDate,IF($R33=0,$X33,IF(AND($T33&lt;&gt;"",EDATE($D33,Milestones!$AA$82)&gt;=$T33),$W33,IF(AND($S33&lt;&gt;"",EDATE($D33,Milestones!$AA$82)&gt;=$S33),$V33,$U33)))=Milestones!$AB$82),UPPER(TEXT(EDATE($D33,Milestones!$AA$82),"dd mmm yy"))&amp;" "&amp;Milestones!$AB$82&amp;" "&amp;Milestones!$AC$82&amp;";  ","")&amp;IF(AND(EDATE($D33,Milestones!$AA$83)&lt;=AsOfDate,IF($R33=0,$X33,IF(AND($T33&lt;&gt;"",EDATE($D33,Milestones!$AA$83)&gt;=$T33),$W33,IF(AND($S33&lt;&gt;"",EDATE($D33,Milestones!$AA$83)&gt;=$S33),$V33,$U33)))=Milestones!$AB$83),UPPER(TEXT(EDATE($D33,Milestones!$AA$83),"dd mmm yy"))&amp;" "&amp;Milestones!$AB$83&amp;" "&amp;Milestones!$AC$83&amp;";  ","")&amp;IF(AND(EDATE($D33,Milestones!$AA$84)&lt;=AsOfDate,IF($R33=0,$X33,IF(AND($T33&lt;&gt;"",EDATE($D33,Milestones!$AA$84)&gt;=$T33),$W33,IF(AND($S33&lt;&gt;"",EDATE($D33,Milestones!$AA$84)&gt;=$S33),$V33,$U33)))=Milestones!$AB$84),UPPER(TEXT(EDATE($D33,Milestones!$AA$84),"dd mmm yy"))&amp;" "&amp;Milestones!$AB$84&amp;" "&amp;Milestones!$AC$84&amp;";  ","")&amp;IF(AND(EDATE($D33,Milestones!$AA$85)&lt;=AsOfDate,IF($R33=0,$X33,IF(AND($T33&lt;&gt;"",EDATE($D33,Milestones!$AA$85)&gt;=$T33),$W33,IF(AND($S33&lt;&gt;"",EDATE($D33,Milestones!$AA$85)&gt;=$S33),$V33,$U33)))=Milestones!$AB$85),UPPER(TEXT(EDATE($D33,Milestones!$AA$85),"dd mmm yy"))&amp;" "&amp;Milestones!$AB$85&amp;" "&amp;Milestones!$AC$85&amp;";  ","")&amp;IF(AND(EDATE($D33,Milestones!$AA$86)&lt;=AsOfDate,IF($R33=0,$X33,IF(AND($T33&lt;&gt;"",EDATE($D33,Milestones!$AA$86)&gt;=$T33),$W33,IF(AND($S33&lt;&gt;"",EDATE($D33,Milestones!$AA$86)&gt;=$S33),$V33,$U33)))=Milestones!$AB$86),UPPER(TEXT(EDATE($D33,Milestones!$AA$86),"dd mmm yy"))&amp;" "&amp;Milestones!$AB$86&amp;" "&amp;Milestones!$AC$86&amp;";  ","")&amp;IF(AND(EDATE($D33,Milestones!$AA$87)&lt;=AsOfDate,IF($R33=0,$X33,IF(AND($T33&lt;&gt;"",EDATE($D33,Milestones!$AA$87)&gt;=$T33),$W33,IF(AND($S33&lt;&gt;"",EDATE($D33,Milestones!$AA$87)&gt;=$S33),$V33,$U33)))=Milestones!$AB$87),UPPER(TEXT(EDATE($D33,Milestones!$AA$87),"dd mmm yy"))&amp;" "&amp;Milestones!$AB$87&amp;" "&amp;Milestones!$AC$87&amp;";  ","")&amp;IF(AND(EDATE($D33,Milestones!$AA$88)&lt;=AsOfDate,IF($R33=0,$X33,IF(AND($T33&lt;&gt;"",EDATE($D33,Milestones!$AA$88)&gt;=$T33),$W33,IF(AND($S33&lt;&gt;"",EDATE($D33,Milestones!$AA$88)&gt;=$S33),$V33,$U33)))=Milestones!$AB$88),UPPER(TEXT(EDATE($D33,Milestones!$AA$88),"dd mmm yy"))&amp;" "&amp;Milestones!$AB$88&amp;" "&amp;Milestones!$AC$88&amp;";  ","")&amp;IF(AND(EDATE($D33,Milestones!$AA$89)&lt;=AsOfDate,IF($R33=0,$X33,IF(AND($T33&lt;&gt;"",EDATE($D33,Milestones!$AA$89)&gt;=$T33),$W33,IF(AND($S33&lt;&gt;"",EDATE($D33,Milestones!$AA$89)&gt;=$S33),$V33,$U33)))=Milestones!$AB$89),UPPER(TEXT(EDATE($D33,Milestones!$AA$89),"dd mmm yy"))&amp;" "&amp;Milestones!$AB$89&amp;" "&amp;Milestones!$AC$89&amp;";  ","")&amp;IF(AND(EDATE($D33,Milestones!$AA$90)&lt;=AsOfDate,IF($R33=0,$X33,IF(AND($T33&lt;&gt;"",EDATE($D33,Milestones!$AA$90)&gt;=$T33),$W33,IF(AND($S33&lt;&gt;"",EDATE($D33,Milestones!$AA$90)&gt;=$S33),$V33,$U33)))=Milestones!$AB$90),UPPER(TEXT(EDATE($D33,Milestones!$AA$90),"dd mmm yy"))&amp;" "&amp;Milestones!$AB$90&amp;" "&amp;Milestones!$AC$90&amp;";  ","")&amp;IF(AND(EDATE($D33,Milestones!$AA$91)&lt;=AsOfDate,IF($R33=0,$X33,IF(AND($T33&lt;&gt;"",EDATE($D33,Milestones!$AA$91)&gt;=$T33),$W33,IF(AND($S33&lt;&gt;"",EDATE($D33,Milestones!$AA$91)&gt;=$S33),$V33,$U33)))=Milestones!$AB$91),UPPER(TEXT(EDATE($D33,Milestones!$AA$91),"dd mmm yy"))&amp;" "&amp;Milestones!$AB$91&amp;" "&amp;Milestones!$AC$91&amp;";  ","")&amp;IF(AND(EDATE($D33,Milestones!$AA$92)&lt;=AsOfDate,IF($R33=0,$X33,IF(AND($T33&lt;&gt;"",EDATE($D33,Milestones!$AA$92)&gt;=$T33),$W33,IF(AND($S33&lt;&gt;"",EDATE($D33,Milestones!$AA$92)&gt;=$S33),$V33,$U33)))=Milestones!$AB$92),UPPER(TEXT(EDATE($D33,Milestones!$AA$92),"dd mmm yy"))&amp;" "&amp;Milestones!$AB$92&amp;" "&amp;Milestones!$AC$92&amp;";  ","")&amp;IF(AND(EDATE($D33,Milestones!$AA$93)&lt;=AsOfDate,IF($R33=0,$X33,IF(AND($T33&lt;&gt;"",EDATE($D33,Milestones!$AA$93)&gt;=$T33),$W33,IF(AND($S33&lt;&gt;"",EDATE($D33,Milestones!$AA$93)&gt;=$S33),$V33,$U33)))=Milestones!$AB$93),UPPER(TEXT(EDATE($D33,Milestones!$AA$93),"dd mmm yy"))&amp;" "&amp;Milestones!$AB$93&amp;" "&amp;Milestones!$AC$93&amp;";  ","")&amp;IF(AND(EDATE($D33,Milestones!$AA$94)&lt;=AsOfDate,IF($R33=0,$X33,IF(AND($T33&lt;&gt;"",EDATE($D33,Milestones!$AA$94)&gt;=$T33),$W33,IF(AND($S33&lt;&gt;"",EDATE($D33,Milestones!$AA$94)&gt;=$S33),$V33,$U33)))=Milestones!$AB$94),UPPER(TEXT(EDATE($D33,Milestones!$AA$94),"dd mmm yy"))&amp;" "&amp;Milestones!$AB$94&amp;" "&amp;Milestones!$AC$94&amp;";  ","")&amp;IF(AND(EDATE($D33,Milestones!$AA$95)&lt;=AsOfDate,IF($R33=0,$X33,IF(AND($T33&lt;&gt;"",EDATE($D33,Milestones!$AA$95)&gt;=$T33),$W33,IF(AND($S33&lt;&gt;"",EDATE($D33,Milestones!$AA$95)&gt;=$S33),$V33,$U33)))=Milestones!$AB$95),UPPER(TEXT(EDATE($D33,Milestones!$AA$95),"dd mmm yy"))&amp;" "&amp;Milestones!$AB$95&amp;" "&amp;Milestones!$AC$95&amp;";  ","")&amp;IF(AND(EDATE($D33,Milestones!$AA$96)&lt;=AsOfDate,IF($R33=0,$X33,IF(AND($T33&lt;&gt;"",EDATE($D33,Milestones!$AA$96)&gt;=$T33),$W33,IF(AND($S33&lt;&gt;"",EDATE($D33,Milestones!$AA$96)&gt;=$S33),$V33,$U33)))=Milestones!$AB$96),UPPER(TEXT(EDATE($D33,Milestones!$AA$96),"dd mmm yy"))&amp;" "&amp;Milestones!$AB$96&amp;" "&amp;Milestones!$AC$96&amp;";  ","")&amp;IF(AND(EDATE($D33,Milestones!$AA$97)&lt;=AsOfDate,IF($R33=0,$X33,IF(AND($T33&lt;&gt;"",EDATE($D33,Milestones!$AA$97)&gt;=$T33),$W33,IF(AND($S33&lt;&gt;"",EDATE($D33,Milestones!$AA$97)&gt;=$S33),$V33,$U33)))=Milestones!$AB$97),UPPER(TEXT(EDATE($D33,Milestones!$AA$97),"dd mmm yy"))&amp;" "&amp;Milestones!$AB$97&amp;" "&amp;Milestones!$AC$97&amp;";  ","")&amp;IF(AND(EDATE($D33,Milestones!$AA$98)&lt;=AsOfDate,IF($R33=0,$X33,IF(AND($T33&lt;&gt;"",EDATE($D33,Milestones!$AA$98)&gt;=$T33),$W33,IF(AND($S33&lt;&gt;"",EDATE($D33,Milestones!$AA$98)&gt;=$S33),$V33,$U33)))=Milestones!$AB$98),UPPER(TEXT(EDATE($D33,Milestones!$AA$98),"dd mmm yy"))&amp;" "&amp;Milestones!$AB$98&amp;" "&amp;Milestones!$AC$98&amp;";  ","")&amp;IF(AND(EDATE($D33,Milestones!$AA$99)&lt;=AsOfDate,IF($R33=0,$X33,IF(AND($T33&lt;&gt;"",EDATE($D33,Milestones!$AA$99)&gt;=$T33),$W33,IF(AND($S33&lt;&gt;"",EDATE($D33,Milestones!$AA$99)&gt;=$S33),$V33,$U33)))=Milestones!$AB$99),UPPER(TEXT(EDATE($D33,Milestones!$AA$99),"dd mmm yy"))&amp;" "&amp;Milestones!$AB$99&amp;" "&amp;Milestones!$AC$99&amp;";  ",""))</f>
        <v/>
      </c>
      <c r="M33" s="0" t="str">
        <f aca="false">IF(OR($A33="",$D33=""),"",IF(AND(EDATE($D33,Milestones!$AA$100)&lt;=AsOfDate,IF($R33=0,$X33,IF(AND($T33&lt;&gt;"",EDATE($D33,Milestones!$AA$100)&gt;=$T33),$W33,IF(AND($S33&lt;&gt;"",EDATE($D33,Milestones!$AA$100)&gt;=$S33),$V33,$U33)))=Milestones!$AB$100),UPPER(TEXT(EDATE($D33,Milestones!$AA$100),"dd mmm yy"))&amp;" "&amp;Milestones!$AB$100&amp;" "&amp;Milestones!$AC$100&amp;";  ","")&amp;IF(AND(EDATE($D33,Milestones!$AA$101)&lt;=AsOfDate,IF($R33=0,$X33,IF(AND($T33&lt;&gt;"",EDATE($D33,Milestones!$AA$101)&gt;=$T33),$W33,IF(AND($S33&lt;&gt;"",EDATE($D33,Milestones!$AA$101)&gt;=$S33),$V33,$U33)))=Milestones!$AB$101),UPPER(TEXT(EDATE($D33,Milestones!$AA$101),"dd mmm yy"))&amp;" "&amp;Milestones!$AB$101&amp;" "&amp;Milestones!$AC$101&amp;";  ","")&amp;IF(AND(EDATE($D33,Milestones!$AA$102)&lt;=AsOfDate,IF($R33=0,$X33,IF(AND($T33&lt;&gt;"",EDATE($D33,Milestones!$AA$102)&gt;=$T33),$W33,IF(AND($S33&lt;&gt;"",EDATE($D33,Milestones!$AA$102)&gt;=$S33),$V33,$U33)))=Milestones!$AB$102),UPPER(TEXT(EDATE($D33,Milestones!$AA$102),"dd mmm yy"))&amp;" "&amp;Milestones!$AB$102&amp;" "&amp;Milestones!$AC$102&amp;";  ","")&amp;IF(AND(EDATE($D33,Milestones!$AA$103)&lt;=AsOfDate,IF($R33=0,$X33,IF(AND($T33&lt;&gt;"",EDATE($D33,Milestones!$AA$103)&gt;=$T33),$W33,IF(AND($S33&lt;&gt;"",EDATE($D33,Milestones!$AA$103)&gt;=$S33),$V33,$U33)))=Milestones!$AB$103),UPPER(TEXT(EDATE($D33,Milestones!$AA$103),"dd mmm yy"))&amp;" "&amp;Milestones!$AB$103&amp;" "&amp;Milestones!$AC$103&amp;";  ","")&amp;IF(AND(EDATE($D33,Milestones!$AA$104)&lt;=AsOfDate,IF($R33=0,$X33,IF(AND($T33&lt;&gt;"",EDATE($D33,Milestones!$AA$104)&gt;=$T33),$W33,IF(AND($S33&lt;&gt;"",EDATE($D33,Milestones!$AA$104)&gt;=$S33),$V33,$U33)))=Milestones!$AB$104),UPPER(TEXT(EDATE($D33,Milestones!$AA$104),"dd mmm yy"))&amp;" "&amp;Milestones!$AB$104&amp;" "&amp;Milestones!$AC$104&amp;";  ","")&amp;IF(AND(EDATE($D33,Milestones!$AA$105)&lt;=AsOfDate,IF($R33=0,$X33,IF(AND($T33&lt;&gt;"",EDATE($D33,Milestones!$AA$105)&gt;=$T33),$W33,IF(AND($S33&lt;&gt;"",EDATE($D33,Milestones!$AA$105)&gt;=$S33),$V33,$U33)))=Milestones!$AB$105),UPPER(TEXT(EDATE($D33,Milestones!$AA$105),"dd mmm yy"))&amp;" "&amp;Milestones!$AB$105&amp;" "&amp;Milestones!$AC$105&amp;";  ","")&amp;IF(AND(EDATE($D33,Milestones!$AA$106)&lt;=AsOfDate,IF($R33=0,$X33,IF(AND($T33&lt;&gt;"",EDATE($D33,Milestones!$AA$106)&gt;=$T33),$W33,IF(AND($S33&lt;&gt;"",EDATE($D33,Milestones!$AA$106)&gt;=$S33),$V33,$U33)))=Milestones!$AB$106),UPPER(TEXT(EDATE($D33,Milestones!$AA$106),"dd mmm yy"))&amp;" "&amp;Milestones!$AB$106&amp;" "&amp;Milestones!$AC$106&amp;";  ","")&amp;IF(AND(EDATE($D33,Milestones!$AA$107)&lt;=AsOfDate,IF($R33=0,$X33,IF(AND($T33&lt;&gt;"",EDATE($D33,Milestones!$AA$107)&gt;=$T33),$W33,IF(AND($S33&lt;&gt;"",EDATE($D33,Milestones!$AA$107)&gt;=$S33),$V33,$U33)))=Milestones!$AB$107),UPPER(TEXT(EDATE($D33,Milestones!$AA$107),"dd mmm yy"))&amp;" "&amp;Milestones!$AB$107&amp;" "&amp;Milestones!$AC$107&amp;";  ","")&amp;IF(AND(EDATE($D33,Milestones!$AA$108)&lt;=AsOfDate,IF($R33=0,$X33,IF(AND($T33&lt;&gt;"",EDATE($D33,Milestones!$AA$108)&gt;=$T33),$W33,IF(AND($S33&lt;&gt;"",EDATE($D33,Milestones!$AA$108)&gt;=$S33),$V33,$U33)))=Milestones!$AB$108),UPPER(TEXT(EDATE($D33,Milestones!$AA$108),"dd mmm yy"))&amp;" "&amp;Milestones!$AB$108&amp;" "&amp;Milestones!$AC$108&amp;";  ","")&amp;IF(AND(EDATE($D33,Milestones!$AA$109)&lt;=AsOfDate,IF($R33=0,$X33,IF(AND($T33&lt;&gt;"",EDATE($D33,Milestones!$AA$109)&gt;=$T33),$W33,IF(AND($S33&lt;&gt;"",EDATE($D33,Milestones!$AA$109)&gt;=$S33),$V33,$U33)))=Milestones!$AB$109),UPPER(TEXT(EDATE($D33,Milestones!$AA$109),"dd mmm yy"))&amp;" "&amp;Milestones!$AB$109&amp;" "&amp;Milestones!$AC$109&amp;";  ","")&amp;IF(AND(EDATE($D33,Milestones!$AA$110)&lt;=AsOfDate,IF($R33=0,$X33,IF(AND($T33&lt;&gt;"",EDATE($D33,Milestones!$AA$110)&gt;=$T33),$W33,IF(AND($S33&lt;&gt;"",EDATE($D33,Milestones!$AA$110)&gt;=$S33),$V33,$U33)))=Milestones!$AB$110),UPPER(TEXT(EDATE($D33,Milestones!$AA$110),"dd mmm yy"))&amp;" "&amp;Milestones!$AB$110&amp;" "&amp;Milestones!$AC$110&amp;";  ","")&amp;IF(AND(EDATE($D33,Milestones!$AA$111)&lt;=AsOfDate,IF($R33=0,$X33,IF(AND($T33&lt;&gt;"",EDATE($D33,Milestones!$AA$111)&gt;=$T33),$W33,IF(AND($S33&lt;&gt;"",EDATE($D33,Milestones!$AA$111)&gt;=$S33),$V33,$U33)))=Milestones!$AB$111),UPPER(TEXT(EDATE($D33,Milestones!$AA$111),"dd mmm yy"))&amp;" "&amp;Milestones!$AB$111&amp;" "&amp;Milestones!$AC$111&amp;";  ","")&amp;IF(AND(EDATE($D33,Milestones!$AA$112)&lt;=AsOfDate,IF($R33=0,$X33,IF(AND($T33&lt;&gt;"",EDATE($D33,Milestones!$AA$112)&gt;=$T33),$W33,IF(AND($S33&lt;&gt;"",EDATE($D33,Milestones!$AA$112)&gt;=$S33),$V33,$U33)))=Milestones!$AB$112),UPPER(TEXT(EDATE($D33,Milestones!$AA$112),"dd mmm yy"))&amp;" "&amp;Milestones!$AB$112&amp;" "&amp;Milestones!$AC$112&amp;";  ","")&amp;IF(AND(EDATE($D33,Milestones!$AA$113)&lt;=AsOfDate,IF($R33=0,$X33,IF(AND($T33&lt;&gt;"",EDATE($D33,Milestones!$AA$113)&gt;=$T33),$W33,IF(AND($S33&lt;&gt;"",EDATE($D33,Milestones!$AA$113)&gt;=$S33),$V33,$U33)))=Milestones!$AB$113),UPPER(TEXT(EDATE($D33,Milestones!$AA$113),"dd mmm yy"))&amp;" "&amp;Milestones!$AB$113&amp;" "&amp;Milestones!$AC$113&amp;";  ","")&amp;IF(AND(EDATE($D33,Milestones!$AA$114)&lt;=AsOfDate,IF($R33=0,$X33,IF(AND($T33&lt;&gt;"",EDATE($D33,Milestones!$AA$114)&gt;=$T33),$W33,IF(AND($S33&lt;&gt;"",EDATE($D33,Milestones!$AA$114)&gt;=$S33),$V33,$U33)))=Milestones!$AB$114),UPPER(TEXT(EDATE($D33,Milestones!$AA$114),"dd mmm yy"))&amp;" "&amp;Milestones!$AB$114&amp;" "&amp;Milestones!$AC$114&amp;";  ","")&amp;IF(AND(EDATE($D33,Milestones!$AA$115)&lt;=AsOfDate,IF($R33=0,$X33,IF(AND($T33&lt;&gt;"",EDATE($D33,Milestones!$AA$115)&gt;=$T33),$W33,IF(AND($S33&lt;&gt;"",EDATE($D33,Milestones!$AA$115)&gt;=$S33),$V33,$U33)))=Milestones!$AB$115),UPPER(TEXT(EDATE($D33,Milestones!$AA$115),"dd mmm yy"))&amp;" "&amp;Milestones!$AB$115&amp;" "&amp;Milestones!$AC$115&amp;";  ","")&amp;IF(AND(EDATE($D33,Milestones!$AA$116)&lt;=AsOfDate,IF($R33=0,$X33,IF(AND($T33&lt;&gt;"",EDATE($D33,Milestones!$AA$116)&gt;=$T33),$W33,IF(AND($S33&lt;&gt;"",EDATE($D33,Milestones!$AA$116)&gt;=$S33),$V33,$U33)))=Milestones!$AB$116),UPPER(TEXT(EDATE($D33,Milestones!$AA$116),"dd mmm yy"))&amp;" "&amp;Milestones!$AB$116&amp;" "&amp;Milestones!$AC$116&amp;";  ","")&amp;IF(AND(EDATE($D33,Milestones!$AA$117)&lt;=AsOfDate,IF($R33=0,$X33,IF(AND($T33&lt;&gt;"",EDATE($D33,Milestones!$AA$117)&gt;=$T33),$W33,IF(AND($S33&lt;&gt;"",EDATE($D33,Milestones!$AA$117)&gt;=$S33),$V33,$U33)))=Milestones!$AB$117),UPPER(TEXT(EDATE($D33,Milestones!$AA$117),"dd mmm yy"))&amp;" "&amp;Milestones!$AB$117&amp;" "&amp;Milestones!$AC$117&amp;";  ","")&amp;IF(AND(EDATE($D33,Milestones!$AA$118)&lt;=AsOfDate,IF($R33=0,$X33,IF(AND($T33&lt;&gt;"",EDATE($D33,Milestones!$AA$118)&gt;=$T33),$W33,IF(AND($S33&lt;&gt;"",EDATE($D33,Milestones!$AA$118)&gt;=$S33),$V33,$U33)))=Milestones!$AB$118),UPPER(TEXT(EDATE($D33,Milestones!$AA$118),"dd mmm yy"))&amp;" "&amp;Milestones!$AB$118&amp;" "&amp;Milestones!$AC$118&amp;";  ","")&amp;IF(AND(EDATE($D33,Milestones!$AA$119)&lt;=AsOfDate,IF($R33=0,$X33,IF(AND($T33&lt;&gt;"",EDATE($D33,Milestones!$AA$119)&gt;=$T33),$W33,IF(AND($S33&lt;&gt;"",EDATE($D33,Milestones!$AA$119)&gt;=$S33),$V33,$U33)))=Milestones!$AB$119),UPPER(TEXT(EDATE($D33,Milestones!$AA$119),"dd mmm yy"))&amp;" "&amp;Milestones!$AB$119&amp;" "&amp;Milestones!$AC$119&amp;";  ",""))</f>
        <v/>
      </c>
      <c r="N33" s="0" t="str">
        <f aca="false">IF(OR($A33="",$D33=""),"",IF(AND(EDATE($D33,Milestones!$AA$120)&lt;=AsOfDate,IF($R33=0,$X33,IF(AND($T33&lt;&gt;"",EDATE($D33,Milestones!$AA$120)&gt;=$T33),$W33,IF(AND($S33&lt;&gt;"",EDATE($D33,Milestones!$AA$120)&gt;=$S33),$V33,$U33)))=Milestones!$AB$120),UPPER(TEXT(EDATE($D33,Milestones!$AA$120),"dd mmm yy"))&amp;" "&amp;Milestones!$AB$120&amp;" "&amp;Milestones!$AC$120&amp;";  ","")&amp;IF(AND(EDATE($D33,Milestones!$AA$121)&lt;=AsOfDate,IF($R33=0,$X33,IF(AND($T33&lt;&gt;"",EDATE($D33,Milestones!$AA$121)&gt;=$T33),$W33,IF(AND($S33&lt;&gt;"",EDATE($D33,Milestones!$AA$121)&gt;=$S33),$V33,$U33)))=Milestones!$AB$121),UPPER(TEXT(EDATE($D33,Milestones!$AA$121),"dd mmm yy"))&amp;" "&amp;Milestones!$AB$121&amp;" "&amp;Milestones!$AC$121&amp;";  ","")&amp;IF(AND(EDATE($D33,Milestones!$AA$122)&lt;=AsOfDate,IF($R33=0,$X33,IF(AND($T33&lt;&gt;"",EDATE($D33,Milestones!$AA$122)&gt;=$T33),$W33,IF(AND($S33&lt;&gt;"",EDATE($D33,Milestones!$AA$122)&gt;=$S33),$V33,$U33)))=Milestones!$AB$122),UPPER(TEXT(EDATE($D33,Milestones!$AA$122),"dd mmm yy"))&amp;" "&amp;Milestones!$AB$122&amp;" "&amp;Milestones!$AC$122&amp;";  ","")&amp;IF(AND(EDATE($D33,Milestones!$AA$123)&lt;=AsOfDate,IF($R33=0,$X33,IF(AND($T33&lt;&gt;"",EDATE($D33,Milestones!$AA$123)&gt;=$T33),$W33,IF(AND($S33&lt;&gt;"",EDATE($D33,Milestones!$AA$123)&gt;=$S33),$V33,$U33)))=Milestones!$AB$123),UPPER(TEXT(EDATE($D33,Milestones!$AA$123),"dd mmm yy"))&amp;" "&amp;Milestones!$AB$123&amp;" "&amp;Milestones!$AC$123&amp;";  ","")&amp;IF(AND(EDATE($D33,Milestones!$AA$124)&lt;=AsOfDate,IF($R33=0,$X33,IF(AND($T33&lt;&gt;"",EDATE($D33,Milestones!$AA$124)&gt;=$T33),$W33,IF(AND($S33&lt;&gt;"",EDATE($D33,Milestones!$AA$124)&gt;=$S33),$V33,$U33)))=Milestones!$AB$124),UPPER(TEXT(EDATE($D33,Milestones!$AA$124),"dd mmm yy"))&amp;" "&amp;Milestones!$AB$124&amp;" "&amp;Milestones!$AC$124&amp;";  ","")&amp;IF(AND(EDATE($D33,Milestones!$AA$125)&lt;=AsOfDate,IF($R33=0,$X33,IF(AND($T33&lt;&gt;"",EDATE($D33,Milestones!$AA$125)&gt;=$T33),$W33,IF(AND($S33&lt;&gt;"",EDATE($D33,Milestones!$AA$125)&gt;=$S33),$V33,$U33)))=Milestones!$AB$125),UPPER(TEXT(EDATE($D33,Milestones!$AA$125),"dd mmm yy"))&amp;" "&amp;Milestones!$AB$125&amp;" "&amp;Milestones!$AC$125&amp;";  ","")&amp;IF(AND(EDATE($D33,Milestones!$AA$126)&lt;=AsOfDate,IF($R33=0,$X33,IF(AND($T33&lt;&gt;"",EDATE($D33,Milestones!$AA$126)&gt;=$T33),$W33,IF(AND($S33&lt;&gt;"",EDATE($D33,Milestones!$AA$126)&gt;=$S33),$V33,$U33)))=Milestones!$AB$126),UPPER(TEXT(EDATE($D33,Milestones!$AA$126),"dd mmm yy"))&amp;" "&amp;Milestones!$AB$126&amp;" "&amp;Milestones!$AC$126&amp;";  ","")&amp;IF(AND(EDATE($D33,Milestones!$AA$127)&lt;=AsOfDate,IF($R33=0,$X33,IF(AND($T33&lt;&gt;"",EDATE($D33,Milestones!$AA$127)&gt;=$T33),$W33,IF(AND($S33&lt;&gt;"",EDATE($D33,Milestones!$AA$127)&gt;=$S33),$V33,$U33)))=Milestones!$AB$127),UPPER(TEXT(EDATE($D33,Milestones!$AA$127),"dd mmm yy"))&amp;" "&amp;Milestones!$AB$127&amp;" "&amp;Milestones!$AC$127&amp;";  ","")&amp;IF(AND(EDATE($D33,Milestones!$AA$128)&lt;=AsOfDate,IF($R33=0,$X33,IF(AND($T33&lt;&gt;"",EDATE($D33,Milestones!$AA$128)&gt;=$T33),$W33,IF(AND($S33&lt;&gt;"",EDATE($D33,Milestones!$AA$128)&gt;=$S33),$V33,$U33)))=Milestones!$AB$128),UPPER(TEXT(EDATE($D33,Milestones!$AA$128),"dd mmm yy"))&amp;" "&amp;Milestones!$AB$128&amp;" "&amp;Milestones!$AC$128&amp;";  ","")&amp;IF(AND(EDATE($D33,Milestones!$AA$129)&lt;=AsOfDate,IF($R33=0,$X33,IF(AND($T33&lt;&gt;"",EDATE($D33,Milestones!$AA$129)&gt;=$T33),$W33,IF(AND($S33&lt;&gt;"",EDATE($D33,Milestones!$AA$129)&gt;=$S33),$V33,$U33)))=Milestones!$AB$129),UPPER(TEXT(EDATE($D33,Milestones!$AA$129),"dd mmm yy"))&amp;" "&amp;Milestones!$AB$129&amp;" "&amp;Milestones!$AC$129&amp;";  ","")&amp;IF(AND(EDATE($D33,Milestones!$AA$130)&lt;=AsOfDate,IF($R33=0,$X33,IF(AND($T33&lt;&gt;"",EDATE($D33,Milestones!$AA$130)&gt;=$T33),$W33,IF(AND($S33&lt;&gt;"",EDATE($D33,Milestones!$AA$130)&gt;=$S33),$V33,$U33)))=Milestones!$AB$130),UPPER(TEXT(EDATE($D33,Milestones!$AA$130),"dd mmm yy"))&amp;" "&amp;Milestones!$AB$130&amp;" "&amp;Milestones!$AC$130&amp;";  ","")&amp;IF(AND(EDATE($D33,Milestones!$AA$131)&lt;=AsOfDate,IF($R33=0,$X33,IF(AND($T33&lt;&gt;"",EDATE($D33,Milestones!$AA$131)&gt;=$T33),$W33,IF(AND($S33&lt;&gt;"",EDATE($D33,Milestones!$AA$131)&gt;=$S33),$V33,$U33)))=Milestones!$AB$131),UPPER(TEXT(EDATE($D33,Milestones!$AA$131),"dd mmm yy"))&amp;" "&amp;Milestones!$AB$131&amp;" "&amp;Milestones!$AC$131&amp;";  ","")&amp;IF(AND(EDATE($D33,Milestones!$AA$132)&lt;=AsOfDate,IF($R33=0,$X33,IF(AND($T33&lt;&gt;"",EDATE($D33,Milestones!$AA$132)&gt;=$T33),$W33,IF(AND($S33&lt;&gt;"",EDATE($D33,Milestones!$AA$132)&gt;=$S33),$V33,$U33)))=Milestones!$AB$132),UPPER(TEXT(EDATE($D33,Milestones!$AA$132),"dd mmm yy"))&amp;" "&amp;Milestones!$AB$132&amp;" "&amp;Milestones!$AC$132&amp;";  ","")&amp;IF(AND(EDATE($D33,Milestones!$AA$133)&lt;=AsOfDate,IF($R33=0,$X33,IF(AND($T33&lt;&gt;"",EDATE($D33,Milestones!$AA$133)&gt;=$T33),$W33,IF(AND($S33&lt;&gt;"",EDATE($D33,Milestones!$AA$133)&gt;=$S33),$V33,$U33)))=Milestones!$AB$133),UPPER(TEXT(EDATE($D33,Milestones!$AA$133),"dd mmm yy"))&amp;" "&amp;Milestones!$AB$133&amp;" "&amp;Milestones!$AC$133&amp;";  ","")&amp;IF(AND(EDATE($D33,Milestones!$AA$134)&lt;=AsOfDate,IF($R33=0,$X33,IF(AND($T33&lt;&gt;"",EDATE($D33,Milestones!$AA$134)&gt;=$T33),$W33,IF(AND($S33&lt;&gt;"",EDATE($D33,Milestones!$AA$134)&gt;=$S33),$V33,$U33)))=Milestones!$AB$134),UPPER(TEXT(EDATE($D33,Milestones!$AA$134),"dd mmm yy"))&amp;" "&amp;Milestones!$AB$134&amp;" "&amp;Milestones!$AC$134&amp;";  ","")&amp;IF(AND(EDATE($D33,Milestones!$AA$135)&lt;=AsOfDate,IF($R33=0,$X33,IF(AND($T33&lt;&gt;"",EDATE($D33,Milestones!$AA$135)&gt;=$T33),$W33,IF(AND($S33&lt;&gt;"",EDATE($D33,Milestones!$AA$135)&gt;=$S33),$V33,$U33)))=Milestones!$AB$135),UPPER(TEXT(EDATE($D33,Milestones!$AA$135),"dd mmm yy"))&amp;" "&amp;Milestones!$AB$135&amp;" "&amp;Milestones!$AC$135&amp;";  ","")&amp;IF(AND(EDATE($D33,Milestones!$AA$136)&lt;=AsOfDate,IF($R33=0,$X33,IF(AND($T33&lt;&gt;"",EDATE($D33,Milestones!$AA$136)&gt;=$T33),$W33,IF(AND($S33&lt;&gt;"",EDATE($D33,Milestones!$AA$136)&gt;=$S33),$V33,$U33)))=Milestones!$AB$136),UPPER(TEXT(EDATE($D33,Milestones!$AA$136),"dd mmm yy"))&amp;" "&amp;Milestones!$AB$136&amp;" "&amp;Milestones!$AC$136&amp;";  ","")&amp;IF(AND(EDATE($D33,Milestones!$AA$137)&lt;=AsOfDate,IF($R33=0,$X33,IF(AND($T33&lt;&gt;"",EDATE($D33,Milestones!$AA$137)&gt;=$T33),$W33,IF(AND($S33&lt;&gt;"",EDATE($D33,Milestones!$AA$137)&gt;=$S33),$V33,$U33)))=Milestones!$AB$137),UPPER(TEXT(EDATE($D33,Milestones!$AA$137),"dd mmm yy"))&amp;" "&amp;Milestones!$AB$137&amp;" "&amp;Milestones!$AC$137&amp;";  ","")&amp;IF(AND(EDATE($D33,Milestones!$AA$138)&lt;=AsOfDate,IF($R33=0,$X33,IF(AND($T33&lt;&gt;"",EDATE($D33,Milestones!$AA$138)&gt;=$T33),$W33,IF(AND($S33&lt;&gt;"",EDATE($D33,Milestones!$AA$138)&gt;=$S33),$V33,$U33)))=Milestones!$AB$138),UPPER(TEXT(EDATE($D33,Milestones!$AA$138),"dd mmm yy"))&amp;" "&amp;Milestones!$AB$138&amp;" "&amp;Milestones!$AC$138&amp;";  ","")&amp;IF(AND(EDATE($D33,Milestones!$AA$139)&lt;=AsOfDate,IF($R33=0,$X33,IF(AND($T33&lt;&gt;"",EDATE($D33,Milestones!$AA$139)&gt;=$T33),$W33,IF(AND($S33&lt;&gt;"",EDATE($D33,Milestones!$AA$139)&gt;=$S33),$V33,$U33)))=Milestones!$AB$139),UPPER(TEXT(EDATE($D33,Milestones!$AA$139),"dd mmm yy"))&amp;" "&amp;Milestones!$AB$139&amp;" "&amp;Milestones!$AC$139&amp;";  ",""))</f>
        <v/>
      </c>
      <c r="O33" s="0" t="str">
        <f aca="false">IF(OR($A33="",$D33=""),"",IF(AND(EDATE($D33,Milestones!$AA$140)&lt;=AsOfDate,IF($R33=0,$X33,IF(AND($T33&lt;&gt;"",EDATE($D33,Milestones!$AA$140)&gt;=$T33),$W33,IF(AND($S33&lt;&gt;"",EDATE($D33,Milestones!$AA$140)&gt;=$S33),$V33,$U33)))=Milestones!$AB$140),UPPER(TEXT(EDATE($D33,Milestones!$AA$140),"dd mmm yy"))&amp;" "&amp;Milestones!$AB$140&amp;" "&amp;Milestones!$AC$140&amp;";  ","")&amp;IF(AND(EDATE($D33,Milestones!$AA$141)&lt;=AsOfDate,IF($R33=0,$X33,IF(AND($T33&lt;&gt;"",EDATE($D33,Milestones!$AA$141)&gt;=$T33),$W33,IF(AND($S33&lt;&gt;"",EDATE($D33,Milestones!$AA$141)&gt;=$S33),$V33,$U33)))=Milestones!$AB$141),UPPER(TEXT(EDATE($D33,Milestones!$AA$141),"dd mmm yy"))&amp;" "&amp;Milestones!$AB$141&amp;" "&amp;Milestones!$AC$141&amp;";  ","")&amp;IF(AND(EDATE($D33,Milestones!$AA$142)&lt;=AsOfDate,IF($R33=0,$X33,IF(AND($T33&lt;&gt;"",EDATE($D33,Milestones!$AA$142)&gt;=$T33),$W33,IF(AND($S33&lt;&gt;"",EDATE($D33,Milestones!$AA$142)&gt;=$S33),$V33,$U33)))=Milestones!$AB$142),UPPER(TEXT(EDATE($D33,Milestones!$AA$142),"dd mmm yy"))&amp;" "&amp;Milestones!$AB$142&amp;" "&amp;Milestones!$AC$142&amp;";  ","")&amp;IF(AND(EDATE($D33,Milestones!$AA$143)&lt;=AsOfDate,IF($R33=0,$X33,IF(AND($T33&lt;&gt;"",EDATE($D33,Milestones!$AA$143)&gt;=$T33),$W33,IF(AND($S33&lt;&gt;"",EDATE($D33,Milestones!$AA$143)&gt;=$S33),$V33,$U33)))=Milestones!$AB$143),UPPER(TEXT(EDATE($D33,Milestones!$AA$143),"dd mmm yy"))&amp;" "&amp;Milestones!$AB$143&amp;" "&amp;Milestones!$AC$143&amp;";  ","")&amp;IF(AND(EDATE($D33,Milestones!$AA$144)&lt;=AsOfDate,IF($R33=0,$X33,IF(AND($T33&lt;&gt;"",EDATE($D33,Milestones!$AA$144)&gt;=$T33),$W33,IF(AND($S33&lt;&gt;"",EDATE($D33,Milestones!$AA$144)&gt;=$S33),$V33,$U33)))=Milestones!$AB$144),UPPER(TEXT(EDATE($D33,Milestones!$AA$144),"dd mmm yy"))&amp;" "&amp;Milestones!$AB$144&amp;" "&amp;Milestones!$AC$144&amp;";  ","")&amp;IF(AND(EDATE($D33,Milestones!$AA$145)&lt;=AsOfDate,IF($R33=0,$X33,IF(AND($T33&lt;&gt;"",EDATE($D33,Milestones!$AA$145)&gt;=$T33),$W33,IF(AND($S33&lt;&gt;"",EDATE($D33,Milestones!$AA$145)&gt;=$S33),$V33,$U33)))=Milestones!$AB$145),UPPER(TEXT(EDATE($D33,Milestones!$AA$145),"dd mmm yy"))&amp;" "&amp;Milestones!$AB$145&amp;" "&amp;Milestones!$AC$145&amp;";  ","")&amp;IF(AND(EDATE($D33,Milestones!$AA$146)&lt;=AsOfDate,IF($R33=0,$X33,IF(AND($T33&lt;&gt;"",EDATE($D33,Milestones!$AA$146)&gt;=$T33),$W33,IF(AND($S33&lt;&gt;"",EDATE($D33,Milestones!$AA$146)&gt;=$S33),$V33,$U33)))=Milestones!$AB$146),UPPER(TEXT(EDATE($D33,Milestones!$AA$146),"dd mmm yy"))&amp;" "&amp;Milestones!$AB$146&amp;" "&amp;Milestones!$AC$146&amp;";  ","")&amp;IF(AND(EDATE($D33,Milestones!$AA$147)&lt;=AsOfDate,IF($R33=0,$X33,IF(AND($T33&lt;&gt;"",EDATE($D33,Milestones!$AA$147)&gt;=$T33),$W33,IF(AND($S33&lt;&gt;"",EDATE($D33,Milestones!$AA$147)&gt;=$S33),$V33,$U33)))=Milestones!$AB$147),UPPER(TEXT(EDATE($D33,Milestones!$AA$147),"dd mmm yy"))&amp;" "&amp;Milestones!$AB$147&amp;" "&amp;Milestones!$AC$147&amp;";  ","")&amp;IF(AND(EDATE($D33,Milestones!$AA$148)&lt;=AsOfDate,IF($R33=0,$X33,IF(AND($T33&lt;&gt;"",EDATE($D33,Milestones!$AA$148)&gt;=$T33),$W33,IF(AND($S33&lt;&gt;"",EDATE($D33,Milestones!$AA$148)&gt;=$S33),$V33,$U33)))=Milestones!$AB$148),UPPER(TEXT(EDATE($D33,Milestones!$AA$148),"dd mmm yy"))&amp;" "&amp;Milestones!$AB$148&amp;" "&amp;Milestones!$AC$148&amp;";  ","")&amp;IF(AND(EDATE($D33,Milestones!$AA$149)&lt;=AsOfDate,IF($R33=0,$X33,IF(AND($T33&lt;&gt;"",EDATE($D33,Milestones!$AA$149)&gt;=$T33),$W33,IF(AND($S33&lt;&gt;"",EDATE($D33,Milestones!$AA$149)&gt;=$S33),$V33,$U33)))=Milestones!$AB$149),UPPER(TEXT(EDATE($D33,Milestones!$AA$149),"dd mmm yy"))&amp;" "&amp;Milestones!$AB$149&amp;" "&amp;Milestones!$AC$149&amp;";  ","")&amp;IF(AND(EDATE($D33,Milestones!$AA$150)&lt;=AsOfDate,IF($R33=0,$X33,IF(AND($T33&lt;&gt;"",EDATE($D33,Milestones!$AA$150)&gt;=$T33),$W33,IF(AND($S33&lt;&gt;"",EDATE($D33,Milestones!$AA$150)&gt;=$S33),$V33,$U33)))=Milestones!$AB$150),UPPER(TEXT(EDATE($D33,Milestones!$AA$150),"dd mmm yy"))&amp;" "&amp;Milestones!$AB$150&amp;" "&amp;Milestones!$AC$150&amp;";  ","")&amp;IF(AND(EDATE($D33,Milestones!$AA$151)&lt;=AsOfDate,IF($R33=0,$X33,IF(AND($T33&lt;&gt;"",EDATE($D33,Milestones!$AA$151)&gt;=$T33),$W33,IF(AND($S33&lt;&gt;"",EDATE($D33,Milestones!$AA$151)&gt;=$S33),$V33,$U33)))=Milestones!$AB$151),UPPER(TEXT(EDATE($D33,Milestones!$AA$151),"dd mmm yy"))&amp;" "&amp;Milestones!$AB$151&amp;" "&amp;Milestones!$AC$151&amp;";  ","")&amp;IF(AND(EDATE($D33,Milestones!$AA$152)&lt;=AsOfDate,IF($R33=0,$X33,IF(AND($T33&lt;&gt;"",EDATE($D33,Milestones!$AA$152)&gt;=$T33),$W33,IF(AND($S33&lt;&gt;"",EDATE($D33,Milestones!$AA$152)&gt;=$S33),$V33,$U33)))=Milestones!$AB$152),UPPER(TEXT(EDATE($D33,Milestones!$AA$152),"dd mmm yy"))&amp;" "&amp;Milestones!$AB$152&amp;" "&amp;Milestones!$AC$152&amp;";  ","")&amp;IF(AND(EDATE($D33,Milestones!$AA$153)&lt;=AsOfDate,IF($R33=0,$X33,IF(AND($T33&lt;&gt;"",EDATE($D33,Milestones!$AA$153)&gt;=$T33),$W33,IF(AND($S33&lt;&gt;"",EDATE($D33,Milestones!$AA$153)&gt;=$S33),$V33,$U33)))=Milestones!$AB$153),UPPER(TEXT(EDATE($D33,Milestones!$AA$153),"dd mmm yy"))&amp;" "&amp;Milestones!$AB$153&amp;" "&amp;Milestones!$AC$153&amp;";  ","")&amp;IF(AND(EDATE($D33,Milestones!$AA$154)&lt;=AsOfDate,IF($R33=0,$X33,IF(AND($T33&lt;&gt;"",EDATE($D33,Milestones!$AA$154)&gt;=$T33),$W33,IF(AND($S33&lt;&gt;"",EDATE($D33,Milestones!$AA$154)&gt;=$S33),$V33,$U33)))=Milestones!$AB$154),UPPER(TEXT(EDATE($D33,Milestones!$AA$154),"dd mmm yy"))&amp;" "&amp;Milestones!$AB$154&amp;" "&amp;Milestones!$AC$154&amp;";  ","")&amp;IF(AND(EDATE($D33,Milestones!$AA$155)&lt;=AsOfDate,IF($R33=0,$X33,IF(AND($T33&lt;&gt;"",EDATE($D33,Milestones!$AA$155)&gt;=$T33),$W33,IF(AND($S33&lt;&gt;"",EDATE($D33,Milestones!$AA$155)&gt;=$S33),$V33,$U33)))=Milestones!$AB$155),UPPER(TEXT(EDATE($D33,Milestones!$AA$155),"dd mmm yy"))&amp;" "&amp;Milestones!$AB$155&amp;" "&amp;Milestones!$AC$155&amp;";  ","")&amp;IF(AND(EDATE($D33,Milestones!$AA$156)&lt;=AsOfDate,IF($R33=0,$X33,IF(AND($T33&lt;&gt;"",EDATE($D33,Milestones!$AA$156)&gt;=$T33),$W33,IF(AND($S33&lt;&gt;"",EDATE($D33,Milestones!$AA$156)&gt;=$S33),$V33,$U33)))=Milestones!$AB$156),UPPER(TEXT(EDATE($D33,Milestones!$AA$156),"dd mmm yy"))&amp;" "&amp;Milestones!$AB$156&amp;" "&amp;Milestones!$AC$156&amp;";  ","")&amp;IF(AND(EDATE($D33,Milestones!$AA$157)&lt;=AsOfDate,IF($R33=0,$X33,IF(AND($T33&lt;&gt;"",EDATE($D33,Milestones!$AA$157)&gt;=$T33),$W33,IF(AND($S33&lt;&gt;"",EDATE($D33,Milestones!$AA$157)&gt;=$S33),$V33,$U33)))=Milestones!$AB$157),UPPER(TEXT(EDATE($D33,Milestones!$AA$157),"dd mmm yy"))&amp;" "&amp;Milestones!$AB$157&amp;" "&amp;Milestones!$AC$157&amp;";  ","")&amp;IF(AND(EDATE($D33,Milestones!$AA$158)&lt;=AsOfDate,IF($R33=0,$X33,IF(AND($T33&lt;&gt;"",EDATE($D33,Milestones!$AA$158)&gt;=$T33),$W33,IF(AND($S33&lt;&gt;"",EDATE($D33,Milestones!$AA$158)&gt;=$S33),$V33,$U33)))=Milestones!$AB$158),UPPER(TEXT(EDATE($D33,Milestones!$AA$158),"dd mmm yy"))&amp;" "&amp;Milestones!$AB$158&amp;" "&amp;Milestones!$AC$158&amp;";  ","")&amp;IF(AND(EDATE($D33,Milestones!$AA$159)&lt;=AsOfDate,IF($R33=0,$X33,IF(AND($T33&lt;&gt;"",EDATE($D33,Milestones!$AA$159)&gt;=$T33),$W33,IF(AND($S33&lt;&gt;"",EDATE($D33,Milestones!$AA$159)&gt;=$S33),$V33,$U33)))=Milestones!$AB$159),UPPER(TEXT(EDATE($D33,Milestones!$AA$159),"dd mmm yy"))&amp;" "&amp;Milestones!$AB$159&amp;" "&amp;Milestones!$AC$159&amp;";  ",""))</f>
        <v/>
      </c>
      <c r="P33" s="0" t="str">
        <f aca="false">IF(OR($A33="",$D33=""),"",IF(AND(EDATE($D33,Milestones!$AA$160)&lt;=AsOfDate,IF($R33=0,$X33,IF(AND($T33&lt;&gt;"",EDATE($D33,Milestones!$AA$160)&gt;=$T33),$W33,IF(AND($S33&lt;&gt;"",EDATE($D33,Milestones!$AA$160)&gt;=$S33),$V33,$U33)))=Milestones!$AB$160),UPPER(TEXT(EDATE($D33,Milestones!$AA$160),"dd mmm yy"))&amp;" "&amp;Milestones!$AB$160&amp;" "&amp;Milestones!$AC$160&amp;";  ","")&amp;IF(AND(EDATE($D33,Milestones!$AA$161)&lt;=AsOfDate,IF($R33=0,$X33,IF(AND($T33&lt;&gt;"",EDATE($D33,Milestones!$AA$161)&gt;=$T33),$W33,IF(AND($S33&lt;&gt;"",EDATE($D33,Milestones!$AA$161)&gt;=$S33),$V33,$U33)))=Milestones!$AB$161),UPPER(TEXT(EDATE($D33,Milestones!$AA$161),"dd mmm yy"))&amp;" "&amp;Milestones!$AB$161&amp;" "&amp;Milestones!$AC$161&amp;";  ","")&amp;IF(AND(EDATE($D33,Milestones!$AA$162)&lt;=AsOfDate,IF($R33=0,$X33,IF(AND($T33&lt;&gt;"",EDATE($D33,Milestones!$AA$162)&gt;=$T33),$W33,IF(AND($S33&lt;&gt;"",EDATE($D33,Milestones!$AA$162)&gt;=$S33),$V33,$U33)))=Milestones!$AB$162),UPPER(TEXT(EDATE($D33,Milestones!$AA$162),"dd mmm yy"))&amp;" "&amp;Milestones!$AB$162&amp;" "&amp;Milestones!$AC$162&amp;";  ","")&amp;IF(AND(EDATE($D33,Milestones!$AA$163)&lt;=AsOfDate,IF($R33=0,$X33,IF(AND($T33&lt;&gt;"",EDATE($D33,Milestones!$AA$163)&gt;=$T33),$W33,IF(AND($S33&lt;&gt;"",EDATE($D33,Milestones!$AA$163)&gt;=$S33),$V33,$U33)))=Milestones!$AB$163),UPPER(TEXT(EDATE($D33,Milestones!$AA$163),"dd mmm yy"))&amp;" "&amp;Milestones!$AB$163&amp;" "&amp;Milestones!$AC$163&amp;";  ","")&amp;IF(AND(EDATE($D33,Milestones!$AA$164)&lt;=AsOfDate,IF($R33=0,$X33,IF(AND($T33&lt;&gt;"",EDATE($D33,Milestones!$AA$164)&gt;=$T33),$W33,IF(AND($S33&lt;&gt;"",EDATE($D33,Milestones!$AA$164)&gt;=$S33),$V33,$U33)))=Milestones!$AB$164),UPPER(TEXT(EDATE($D33,Milestones!$AA$164),"dd mmm yy"))&amp;" "&amp;Milestones!$AB$164&amp;" "&amp;Milestones!$AC$164&amp;";  ","")&amp;IF(AND(EDATE($D33,Milestones!$AA$165)&lt;=AsOfDate,IF($R33=0,$X33,IF(AND($T33&lt;&gt;"",EDATE($D33,Milestones!$AA$165)&gt;=$T33),$W33,IF(AND($S33&lt;&gt;"",EDATE($D33,Milestones!$AA$165)&gt;=$S33),$V33,$U33)))=Milestones!$AB$165),UPPER(TEXT(EDATE($D33,Milestones!$AA$165),"dd mmm yy"))&amp;" "&amp;Milestones!$AB$165&amp;" "&amp;Milestones!$AC$165&amp;";  ","")&amp;IF(AND(EDATE($D33,Milestones!$AA$166)&lt;=AsOfDate,IF($R33=0,$X33,IF(AND($T33&lt;&gt;"",EDATE($D33,Milestones!$AA$166)&gt;=$T33),$W33,IF(AND($S33&lt;&gt;"",EDATE($D33,Milestones!$AA$166)&gt;=$S33),$V33,$U33)))=Milestones!$AB$166),UPPER(TEXT(EDATE($D33,Milestones!$AA$166),"dd mmm yy"))&amp;" "&amp;Milestones!$AB$166&amp;" "&amp;Milestones!$AC$166&amp;";  ","")&amp;IF(AND(EDATE($D33,Milestones!$AA$167)&lt;=AsOfDate,IF($R33=0,$X33,IF(AND($T33&lt;&gt;"",EDATE($D33,Milestones!$AA$167)&gt;=$T33),$W33,IF(AND($S33&lt;&gt;"",EDATE($D33,Milestones!$AA$167)&gt;=$S33),$V33,$U33)))=Milestones!$AB$167),UPPER(TEXT(EDATE($D33,Milestones!$AA$167),"dd mmm yy"))&amp;" "&amp;Milestones!$AB$167&amp;" "&amp;Milestones!$AC$167&amp;";  ","")&amp;IF(AND(EDATE($D33,Milestones!$AA$168)&lt;=AsOfDate,IF($R33=0,$X33,IF(AND($T33&lt;&gt;"",EDATE($D33,Milestones!$AA$168)&gt;=$T33),$W33,IF(AND($S33&lt;&gt;"",EDATE($D33,Milestones!$AA$168)&gt;=$S33),$V33,$U33)))=Milestones!$AB$168),UPPER(TEXT(EDATE($D33,Milestones!$AA$168),"dd mmm yy"))&amp;" "&amp;Milestones!$AB$168&amp;" "&amp;Milestones!$AC$168&amp;";  ","")&amp;IF(AND(EDATE($D33,Milestones!$AA$169)&lt;=AsOfDate,IF($R33=0,$X33,IF(AND($T33&lt;&gt;"",EDATE($D33,Milestones!$AA$169)&gt;=$T33),$W33,IF(AND($S33&lt;&gt;"",EDATE($D33,Milestones!$AA$169)&gt;=$S33),$V33,$U33)))=Milestones!$AB$169),UPPER(TEXT(EDATE($D33,Milestones!$AA$169),"dd mmm yy"))&amp;" "&amp;Milestones!$AB$169&amp;" "&amp;Milestones!$AC$169&amp;";  ","")&amp;IF(AND(EDATE($D33,Milestones!$AA$170)&lt;=AsOfDate,IF($R33=0,$X33,IF(AND($T33&lt;&gt;"",EDATE($D33,Milestones!$AA$170)&gt;=$T33),$W33,IF(AND($S33&lt;&gt;"",EDATE($D33,Milestones!$AA$170)&gt;=$S33),$V33,$U33)))=Milestones!$AB$170),UPPER(TEXT(EDATE($D33,Milestones!$AA$170),"dd mmm yy"))&amp;" "&amp;Milestones!$AB$170&amp;" "&amp;Milestones!$AC$170&amp;";  ","")&amp;IF(AND(EDATE($D33,Milestones!$AA$171)&lt;=AsOfDate,IF($R33=0,$X33,IF(AND($T33&lt;&gt;"",EDATE($D33,Milestones!$AA$171)&gt;=$T33),$W33,IF(AND($S33&lt;&gt;"",EDATE($D33,Milestones!$AA$171)&gt;=$S33),$V33,$U33)))=Milestones!$AB$171),UPPER(TEXT(EDATE($D33,Milestones!$AA$171),"dd mmm yy"))&amp;" "&amp;Milestones!$AB$171&amp;" "&amp;Milestones!$AC$171&amp;";  ","")&amp;IF(AND(EDATE($D33,Milestones!$AA$172)&lt;=AsOfDate,IF($R33=0,$X33,IF(AND($T33&lt;&gt;"",EDATE($D33,Milestones!$AA$172)&gt;=$T33),$W33,IF(AND($S33&lt;&gt;"",EDATE($D33,Milestones!$AA$172)&gt;=$S33),$V33,$U33)))=Milestones!$AB$172),UPPER(TEXT(EDATE($D33,Milestones!$AA$172),"dd mmm yy"))&amp;" "&amp;Milestones!$AB$172&amp;" "&amp;Milestones!$AC$172&amp;";  ","")&amp;IF(AND(EDATE($D33,Milestones!$AA$173)&lt;=AsOfDate,IF($R33=0,$X33,IF(AND($T33&lt;&gt;"",EDATE($D33,Milestones!$AA$173)&gt;=$T33),$W33,IF(AND($S33&lt;&gt;"",EDATE($D33,Milestones!$AA$173)&gt;=$S33),$V33,$U33)))=Milestones!$AB$173),UPPER(TEXT(EDATE($D33,Milestones!$AA$173),"dd mmm yy"))&amp;" "&amp;Milestones!$AB$173&amp;" "&amp;Milestones!$AC$173&amp;";  ","")&amp;IF(AND(EDATE($D33,Milestones!$AA$174)&lt;=AsOfDate,IF($R33=0,$X33,IF(AND($T33&lt;&gt;"",EDATE($D33,Milestones!$AA$174)&gt;=$T33),$W33,IF(AND($S33&lt;&gt;"",EDATE($D33,Milestones!$AA$174)&gt;=$S33),$V33,$U33)))=Milestones!$AB$174),UPPER(TEXT(EDATE($D33,Milestones!$AA$174),"dd mmm yy"))&amp;" "&amp;Milestones!$AB$174&amp;" "&amp;Milestones!$AC$174&amp;";  ","")&amp;IF(AND(EDATE($D33,Milestones!$AA$175)&lt;=AsOfDate,IF($R33=0,$X33,IF(AND($T33&lt;&gt;"",EDATE($D33,Milestones!$AA$175)&gt;=$T33),$W33,IF(AND($S33&lt;&gt;"",EDATE($D33,Milestones!$AA$175)&gt;=$S33),$V33,$U33)))=Milestones!$AB$175),UPPER(TEXT(EDATE($D33,Milestones!$AA$175),"dd mmm yy"))&amp;" "&amp;Milestones!$AB$175&amp;" "&amp;Milestones!$AC$175&amp;";  ","")&amp;IF(AND(EDATE($D33,Milestones!$AA$176)&lt;=AsOfDate,IF($R33=0,$X33,IF(AND($T33&lt;&gt;"",EDATE($D33,Milestones!$AA$176)&gt;=$T33),$W33,IF(AND($S33&lt;&gt;"",EDATE($D33,Milestones!$AA$176)&gt;=$S33),$V33,$U33)))=Milestones!$AB$176),UPPER(TEXT(EDATE($D33,Milestones!$AA$176),"dd mmm yy"))&amp;" "&amp;Milestones!$AB$176&amp;" "&amp;Milestones!$AC$176&amp;";  ","")&amp;IF(AND(EDATE($D33,Milestones!$AA$177)&lt;=AsOfDate,IF($R33=0,$X33,IF(AND($T33&lt;&gt;"",EDATE($D33,Milestones!$AA$177)&gt;=$T33),$W33,IF(AND($S33&lt;&gt;"",EDATE($D33,Milestones!$AA$177)&gt;=$S33),$V33,$U33)))=Milestones!$AB$177),UPPER(TEXT(EDATE($D33,Milestones!$AA$177),"dd mmm yy"))&amp;" "&amp;Milestones!$AB$177&amp;" "&amp;Milestones!$AC$177&amp;";  ","")&amp;IF(AND(EDATE($D33,Milestones!$AA$178)&lt;=AsOfDate,IF($R33=0,$X33,IF(AND($T33&lt;&gt;"",EDATE($D33,Milestones!$AA$178)&gt;=$T33),$W33,IF(AND($S33&lt;&gt;"",EDATE($D33,Milestones!$AA$178)&gt;=$S33),$V33,$U33)))=Milestones!$AB$178),UPPER(TEXT(EDATE($D33,Milestones!$AA$178),"dd mmm yy"))&amp;" "&amp;Milestones!$AB$178&amp;" "&amp;Milestones!$AC$178&amp;";  ","")&amp;IF(AND(EDATE($D33,Milestones!$AA$179)&lt;=AsOfDate,IF($R33=0,$X33,IF(AND($T33&lt;&gt;"",EDATE($D33,Milestones!$AA$179)&gt;=$T33),$W33,IF(AND($S33&lt;&gt;"",EDATE($D33,Milestones!$AA$179)&gt;=$S33),$V33,$U33)))=Milestones!$AB$179),UPPER(TEXT(EDATE($D33,Milestones!$AA$179),"dd mmm yy"))&amp;" "&amp;Milestones!$AB$179&amp;" "&amp;Milestones!$AC$179&amp;";  ",""))</f>
        <v/>
      </c>
      <c r="Q33" s="0" t="str">
        <f aca="false">IF(OR($A33="",$D33=""),"",IF(AND(EDATE($D33,Milestones!$AA$180)&lt;=AsOfDate,IF($R33=0,$X33,IF(AND($T33&lt;&gt;"",EDATE($D33,Milestones!$AA$180)&gt;=$T33),$W33,IF(AND($S33&lt;&gt;"",EDATE($D33,Milestones!$AA$180)&gt;=$S33),$V33,$U33)))=Milestones!$AB$180),UPPER(TEXT(EDATE($D33,Milestones!$AA$180),"dd mmm yy"))&amp;" "&amp;Milestones!$AB$180&amp;" "&amp;Milestones!$AC$180&amp;";  ","")&amp;IF(AND(EDATE($D33,Milestones!$AA$181)&lt;=AsOfDate,IF($R33=0,$X33,IF(AND($T33&lt;&gt;"",EDATE($D33,Milestones!$AA$181)&gt;=$T33),$W33,IF(AND($S33&lt;&gt;"",EDATE($D33,Milestones!$AA$181)&gt;=$S33),$V33,$U33)))=Milestones!$AB$181),UPPER(TEXT(EDATE($D33,Milestones!$AA$181),"dd mmm yy"))&amp;" "&amp;Milestones!$AB$181&amp;" "&amp;Milestones!$AC$181&amp;";  ","")&amp;IF(AND(EDATE($D33,Milestones!$AA$182)&lt;=AsOfDate,IF($R33=0,$X33,IF(AND($T33&lt;&gt;"",EDATE($D33,Milestones!$AA$182)&gt;=$T33),$W33,IF(AND($S33&lt;&gt;"",EDATE($D33,Milestones!$AA$182)&gt;=$S33),$V33,$U33)))=Milestones!$AB$182),UPPER(TEXT(EDATE($D33,Milestones!$AA$182),"dd mmm yy"))&amp;" "&amp;Milestones!$AB$182&amp;" "&amp;Milestones!$AC$182&amp;";  ","")&amp;IF(AND(EDATE($D33,Milestones!$AA$183)&lt;=AsOfDate,IF($R33=0,$X33,IF(AND($T33&lt;&gt;"",EDATE($D33,Milestones!$AA$183)&gt;=$T33),$W33,IF(AND($S33&lt;&gt;"",EDATE($D33,Milestones!$AA$183)&gt;=$S33),$V33,$U33)))=Milestones!$AB$183),UPPER(TEXT(EDATE($D33,Milestones!$AA$183),"dd mmm yy"))&amp;" "&amp;Milestones!$AB$183&amp;" "&amp;Milestones!$AC$183&amp;";  ","")&amp;IF(AND(EDATE($D33,Milestones!$AA$184)&lt;=AsOfDate,IF($R33=0,$X33,IF(AND($T33&lt;&gt;"",EDATE($D33,Milestones!$AA$184)&gt;=$T33),$W33,IF(AND($S33&lt;&gt;"",EDATE($D33,Milestones!$AA$184)&gt;=$S33),$V33,$U33)))=Milestones!$AB$184),UPPER(TEXT(EDATE($D33,Milestones!$AA$184),"dd mmm yy"))&amp;" "&amp;Milestones!$AB$184&amp;" "&amp;Milestones!$AC$184&amp;";  ","")&amp;IF(AND(EDATE($D33,Milestones!$AA$185)&lt;=AsOfDate,IF($R33=0,$X33,IF(AND($T33&lt;&gt;"",EDATE($D33,Milestones!$AA$185)&gt;=$T33),$W33,IF(AND($S33&lt;&gt;"",EDATE($D33,Milestones!$AA$185)&gt;=$S33),$V33,$U33)))=Milestones!$AB$185),UPPER(TEXT(EDATE($D33,Milestones!$AA$185),"dd mmm yy"))&amp;" "&amp;Milestones!$AB$185&amp;" "&amp;Milestones!$AC$185&amp;";  ","")&amp;IF(AND(EDATE($D33,Milestones!$AA$186)&lt;=AsOfDate,IF($R33=0,$X33,IF(AND($T33&lt;&gt;"",EDATE($D33,Milestones!$AA$186)&gt;=$T33),$W33,IF(AND($S33&lt;&gt;"",EDATE($D33,Milestones!$AA$186)&gt;=$S33),$V33,$U33)))=Milestones!$AB$186),UPPER(TEXT(EDATE($D33,Milestones!$AA$186),"dd mmm yy"))&amp;" "&amp;Milestones!$AB$186&amp;" "&amp;Milestones!$AC$186&amp;";  ","")&amp;IF(AND(EDATE($D33,Milestones!$AA$187)&lt;=AsOfDate,IF($R33=0,$X33,IF(AND($T33&lt;&gt;"",EDATE($D33,Milestones!$AA$187)&gt;=$T33),$W33,IF(AND($S33&lt;&gt;"",EDATE($D33,Milestones!$AA$187)&gt;=$S33),$V33,$U33)))=Milestones!$AB$187),UPPER(TEXT(EDATE($D33,Milestones!$AA$187),"dd mmm yy"))&amp;" "&amp;Milestones!$AB$187&amp;" "&amp;Milestones!$AC$187&amp;";  ","")&amp;IF(AND(EDATE($D33,Milestones!$AA$188)&lt;=AsOfDate,IF($R33=0,$X33,IF(AND($T33&lt;&gt;"",EDATE($D33,Milestones!$AA$188)&gt;=$T33),$W33,IF(AND($S33&lt;&gt;"",EDATE($D33,Milestones!$AA$188)&gt;=$S33),$V33,$U33)))=Milestones!$AB$188),UPPER(TEXT(EDATE($D33,Milestones!$AA$188),"dd mmm yy"))&amp;" "&amp;Milestones!$AB$188&amp;" "&amp;Milestones!$AC$188&amp;";  ","")&amp;IF(AND(EDATE($D33,Milestones!$AA$189)&lt;=AsOfDate,IF($R33=0,$X33,IF(AND($T33&lt;&gt;"",EDATE($D33,Milestones!$AA$189)&gt;=$T33),$W33,IF(AND($S33&lt;&gt;"",EDATE($D33,Milestones!$AA$189)&gt;=$S33),$V33,$U33)))=Milestones!$AB$189),UPPER(TEXT(EDATE($D33,Milestones!$AA$189),"dd mmm yy"))&amp;" "&amp;Milestones!$AB$189&amp;" "&amp;Milestones!$AC$189&amp;";  ","")&amp;IF(AND(EDATE($D33,Milestones!$AA$190)&lt;=AsOfDate,IF($R33=0,$X33,IF(AND($T33&lt;&gt;"",EDATE($D33,Milestones!$AA$190)&gt;=$T33),$W33,IF(AND($S33&lt;&gt;"",EDATE($D33,Milestones!$AA$190)&gt;=$S33),$V33,$U33)))=Milestones!$AB$190),UPPER(TEXT(EDATE($D33,Milestones!$AA$190),"dd mmm yy"))&amp;" "&amp;Milestones!$AB$190&amp;" "&amp;Milestones!$AC$190&amp;";  ","")&amp;IF(AND(EDATE($D33,Milestones!$AA$191)&lt;=AsOfDate,IF($R33=0,$X33,IF(AND($T33&lt;&gt;"",EDATE($D33,Milestones!$AA$191)&gt;=$T33),$W33,IF(AND($S33&lt;&gt;"",EDATE($D33,Milestones!$AA$191)&gt;=$S33),$V33,$U33)))=Milestones!$AB$191),UPPER(TEXT(EDATE($D33,Milestones!$AA$191),"dd mmm yy"))&amp;" "&amp;Milestones!$AB$191&amp;" "&amp;Milestones!$AC$191&amp;";  ","")&amp;IF(AND(EDATE($D33,Milestones!$AA$192)&lt;=AsOfDate,IF($R33=0,$X33,IF(AND($T33&lt;&gt;"",EDATE($D33,Milestones!$AA$192)&gt;=$T33),$W33,IF(AND($S33&lt;&gt;"",EDATE($D33,Milestones!$AA$192)&gt;=$S33),$V33,$U33)))=Milestones!$AB$192),UPPER(TEXT(EDATE($D33,Milestones!$AA$192),"dd mmm yy"))&amp;" "&amp;Milestones!$AB$192&amp;" "&amp;Milestones!$AC$192&amp;";  ","")&amp;IF(AND(EDATE($D33,Milestones!$AA$193)&lt;=AsOfDate,IF($R33=0,$X33,IF(AND($T33&lt;&gt;"",EDATE($D33,Milestones!$AA$193)&gt;=$T33),$W33,IF(AND($S33&lt;&gt;"",EDATE($D33,Milestones!$AA$193)&gt;=$S33),$V33,$U33)))=Milestones!$AB$193),UPPER(TEXT(EDATE($D33,Milestones!$AA$193),"dd mmm yy"))&amp;" "&amp;Milestones!$AB$193&amp;" "&amp;Milestones!$AC$193&amp;";  ","")&amp;IF(AND(EDATE($D33,Milestones!$AA$194)&lt;=AsOfDate,IF($R33=0,$X33,IF(AND($T33&lt;&gt;"",EDATE($D33,Milestones!$AA$194)&gt;=$T33),$W33,IF(AND($S33&lt;&gt;"",EDATE($D33,Milestones!$AA$194)&gt;=$S33),$V33,$U33)))=Milestones!$AB$194),UPPER(TEXT(EDATE($D33,Milestones!$AA$194),"dd mmm yy"))&amp;" "&amp;Milestones!$AB$194&amp;" "&amp;Milestones!$AC$194&amp;";  ","")&amp;IF(AND(EDATE($D33,Milestones!$AA$195)&lt;=AsOfDate,IF($R33=0,$X33,IF(AND($T33&lt;&gt;"",EDATE($D33,Milestones!$AA$195)&gt;=$T33),$W33,IF(AND($S33&lt;&gt;"",EDATE($D33,Milestones!$AA$195)&gt;=$S33),$V33,$U33)))=Milestones!$AB$195),UPPER(TEXT(EDATE($D33,Milestones!$AA$195),"dd mmm yy"))&amp;" "&amp;Milestones!$AB$195&amp;" "&amp;Milestones!$AC$195&amp;";  ","")&amp;IF(AND(EDATE($D33,Milestones!$AA$196)&lt;=AsOfDate,IF($R33=0,$X33,IF(AND($T33&lt;&gt;"",EDATE($D33,Milestones!$AA$196)&gt;=$T33),$W33,IF(AND($S33&lt;&gt;"",EDATE($D33,Milestones!$AA$196)&gt;=$S33),$V33,$U33)))=Milestones!$AB$196),UPPER(TEXT(EDATE($D33,Milestones!$AA$196),"dd mmm yy"))&amp;" "&amp;Milestones!$AB$196&amp;" "&amp;Milestones!$AC$196&amp;";  ","")&amp;IF(AND(EDATE($D33,Milestones!$AA$197)&lt;=AsOfDate,IF($R33=0,$X33,IF(AND($T33&lt;&gt;"",EDATE($D33,Milestones!$AA$197)&gt;=$T33),$W33,IF(AND($S33&lt;&gt;"",EDATE($D33,Milestones!$AA$197)&gt;=$S33),$V33,$U33)))=Milestones!$AB$197),UPPER(TEXT(EDATE($D33,Milestones!$AA$197),"dd mmm yy"))&amp;" "&amp;Milestones!$AB$197&amp;" "&amp;Milestones!$AC$197&amp;";  ","")&amp;IF(AND(EDATE($D33,Milestones!$AA$198)&lt;=AsOfDate,IF($R33=0,$X33,IF(AND($T33&lt;&gt;"",EDATE($D33,Milestones!$AA$198)&gt;=$T33),$W33,IF(AND($S33&lt;&gt;"",EDATE($D33,Milestones!$AA$198)&gt;=$S33),$V33,$U33)))=Milestones!$AB$198),UPPER(TEXT(EDATE($D33,Milestones!$AA$198),"dd mmm yy"))&amp;" "&amp;Milestones!$AB$198&amp;" "&amp;Milestones!$AC$198&amp;";  ","")&amp;IF(AND(EDATE($D33,Milestones!$AA$199)&lt;=AsOfDate,IF($R33=0,$X33,IF(AND($T33&lt;&gt;"",EDATE($D33,Milestones!$AA$199)&gt;=$T33),$W33,IF(AND($S33&lt;&gt;"",EDATE($D33,Milestones!$AA$199)&gt;=$S33),$V33,$U33)))=Milestones!$AB$199),UPPER(TEXT(EDATE($D33,Milestones!$AA$199),"dd mmm yy"))&amp;" "&amp;Milestones!$AB$199&amp;" "&amp;Milestones!$AC$199&amp;";  ",""))</f>
        <v/>
      </c>
      <c r="R33" s="0" t="str">
        <f aca="false">IF(Staff!$A33="","",Staff!$AI33)</f>
        <v/>
      </c>
      <c r="S33" s="0" t="str">
        <f aca="false">IF(Staff!$A33="","",Staff!$AK33)</f>
        <v/>
      </c>
      <c r="T33" s="0" t="str">
        <f aca="false">IF(Staff!$A33="","",Staff!$AL33)</f>
        <v/>
      </c>
      <c r="U33" s="0" t="str">
        <f aca="false">IF(Staff!$A33="","",Staff!$AP33)</f>
        <v/>
      </c>
      <c r="V33" s="0" t="str">
        <f aca="false">IF(Staff!$A33="","",Staff!$AQ33)</f>
        <v/>
      </c>
      <c r="W33" s="0" t="str">
        <f aca="false">IF(Staff!$A33="","",Staff!$AR33)</f>
        <v/>
      </c>
      <c r="X33" s="0" t="str">
        <f aca="false">IF(Staff!$A33="","",Staff!$AS33)</f>
        <v/>
      </c>
    </row>
    <row r="34" customFormat="false" ht="15" hidden="false" customHeight="false" outlineLevel="0" collapsed="false">
      <c r="A34" s="14" t="str">
        <f aca="false">IF(Staff!$A34="","",Staff!$A34)</f>
        <v/>
      </c>
      <c r="B34" s="14" t="str">
        <f aca="false">IF(Staff!$A34="","",Staff!$B34)</f>
        <v/>
      </c>
      <c r="C34" s="14" t="str">
        <f aca="false">IF(Staff!$A34="","",Staff!$C34)</f>
        <v/>
      </c>
      <c r="D34" s="12" t="str">
        <f aca="false">IF(Staff!$A34="","",Staff!$AH34)</f>
        <v/>
      </c>
      <c r="E34" s="14" t="str">
        <f aca="false">IF(Staff!$A34="","",Staff!$O34)</f>
        <v/>
      </c>
      <c r="F34" s="14" t="str">
        <f aca="false">IF(E34="","",E34*HoursPerDay)</f>
        <v/>
      </c>
      <c r="G34" s="14" t="str">
        <f aca="false">IF(Staff!$A34="","",Staff!$AE34)</f>
        <v/>
      </c>
      <c r="H34" s="26" t="str">
        <f aca="false">IF($A34="","",I34&amp;J34&amp;K34&amp;L34&amp;M34&amp;N34&amp;O34&amp;P34&amp;Q34)</f>
        <v/>
      </c>
      <c r="I34" s="0" t="str">
        <f aca="false">IF(OR($A34="",$D34=""),"",IF(AND(EDATE($D34,Milestones!$AA$20)&lt;=AsOfDate,IF($R34=0,$X34,IF(AND($T34&lt;&gt;"",EDATE($D34,Milestones!$AA$20)&gt;=$T34),$W34,IF(AND($S34&lt;&gt;"",EDATE($D34,Milestones!$AA$20)&gt;=$S34),$V34,$U34)))=Milestones!$AB$20),UPPER(TEXT(EDATE($D34,Milestones!$AA$20),"dd mmm yy"))&amp;" "&amp;Milestones!$AB$20&amp;" "&amp;Milestones!$AC$20&amp;";  ","")&amp;IF(AND(EDATE($D34,Milestones!$AA$21)&lt;=AsOfDate,IF($R34=0,$X34,IF(AND($T34&lt;&gt;"",EDATE($D34,Milestones!$AA$21)&gt;=$T34),$W34,IF(AND($S34&lt;&gt;"",EDATE($D34,Milestones!$AA$21)&gt;=$S34),$V34,$U34)))=Milestones!$AB$21),UPPER(TEXT(EDATE($D34,Milestones!$AA$21),"dd mmm yy"))&amp;" "&amp;Milestones!$AB$21&amp;" "&amp;Milestones!$AC$21&amp;";  ","")&amp;IF(AND(EDATE($D34,Milestones!$AA$22)&lt;=AsOfDate,IF($R34=0,$X34,IF(AND($T34&lt;&gt;"",EDATE($D34,Milestones!$AA$22)&gt;=$T34),$W34,IF(AND($S34&lt;&gt;"",EDATE($D34,Milestones!$AA$22)&gt;=$S34),$V34,$U34)))=Milestones!$AB$22),UPPER(TEXT(EDATE($D34,Milestones!$AA$22),"dd mmm yy"))&amp;" "&amp;Milestones!$AB$22&amp;" "&amp;Milestones!$AC$22&amp;";  ","")&amp;IF(AND(EDATE($D34,Milestones!$AA$23)&lt;=AsOfDate,IF($R34=0,$X34,IF(AND($T34&lt;&gt;"",EDATE($D34,Milestones!$AA$23)&gt;=$T34),$W34,IF(AND($S34&lt;&gt;"",EDATE($D34,Milestones!$AA$23)&gt;=$S34),$V34,$U34)))=Milestones!$AB$23),UPPER(TEXT(EDATE($D34,Milestones!$AA$23),"dd mmm yy"))&amp;" "&amp;Milestones!$AB$23&amp;" "&amp;Milestones!$AC$23&amp;";  ","")&amp;IF(AND(EDATE($D34,Milestones!$AA$24)&lt;=AsOfDate,IF($R34=0,$X34,IF(AND($T34&lt;&gt;"",EDATE($D34,Milestones!$AA$24)&gt;=$T34),$W34,IF(AND($S34&lt;&gt;"",EDATE($D34,Milestones!$AA$24)&gt;=$S34),$V34,$U34)))=Milestones!$AB$24),UPPER(TEXT(EDATE($D34,Milestones!$AA$24),"dd mmm yy"))&amp;" "&amp;Milestones!$AB$24&amp;" "&amp;Milestones!$AC$24&amp;";  ","")&amp;IF(AND(EDATE($D34,Milestones!$AA$25)&lt;=AsOfDate,IF($R34=0,$X34,IF(AND($T34&lt;&gt;"",EDATE($D34,Milestones!$AA$25)&gt;=$T34),$W34,IF(AND($S34&lt;&gt;"",EDATE($D34,Milestones!$AA$25)&gt;=$S34),$V34,$U34)))=Milestones!$AB$25),UPPER(TEXT(EDATE($D34,Milestones!$AA$25),"dd mmm yy"))&amp;" "&amp;Milestones!$AB$25&amp;" "&amp;Milestones!$AC$25&amp;";  ","")&amp;IF(AND(EDATE($D34,Milestones!$AA$26)&lt;=AsOfDate,IF($R34=0,$X34,IF(AND($T34&lt;&gt;"",EDATE($D34,Milestones!$AA$26)&gt;=$T34),$W34,IF(AND($S34&lt;&gt;"",EDATE($D34,Milestones!$AA$26)&gt;=$S34),$V34,$U34)))=Milestones!$AB$26),UPPER(TEXT(EDATE($D34,Milestones!$AA$26),"dd mmm yy"))&amp;" "&amp;Milestones!$AB$26&amp;" "&amp;Milestones!$AC$26&amp;";  ","")&amp;IF(AND(EDATE($D34,Milestones!$AA$27)&lt;=AsOfDate,IF($R34=0,$X34,IF(AND($T34&lt;&gt;"",EDATE($D34,Milestones!$AA$27)&gt;=$T34),$W34,IF(AND($S34&lt;&gt;"",EDATE($D34,Milestones!$AA$27)&gt;=$S34),$V34,$U34)))=Milestones!$AB$27),UPPER(TEXT(EDATE($D34,Milestones!$AA$27),"dd mmm yy"))&amp;" "&amp;Milestones!$AB$27&amp;" "&amp;Milestones!$AC$27&amp;";  ","")&amp;IF(AND(EDATE($D34,Milestones!$AA$28)&lt;=AsOfDate,IF($R34=0,$X34,IF(AND($T34&lt;&gt;"",EDATE($D34,Milestones!$AA$28)&gt;=$T34),$W34,IF(AND($S34&lt;&gt;"",EDATE($D34,Milestones!$AA$28)&gt;=$S34),$V34,$U34)))=Milestones!$AB$28),UPPER(TEXT(EDATE($D34,Milestones!$AA$28),"dd mmm yy"))&amp;" "&amp;Milestones!$AB$28&amp;" "&amp;Milestones!$AC$28&amp;";  ","")&amp;IF(AND(EDATE($D34,Milestones!$AA$29)&lt;=AsOfDate,IF($R34=0,$X34,IF(AND($T34&lt;&gt;"",EDATE($D34,Milestones!$AA$29)&gt;=$T34),$W34,IF(AND($S34&lt;&gt;"",EDATE($D34,Milestones!$AA$29)&gt;=$S34),$V34,$U34)))=Milestones!$AB$29),UPPER(TEXT(EDATE($D34,Milestones!$AA$29),"dd mmm yy"))&amp;" "&amp;Milestones!$AB$29&amp;" "&amp;Milestones!$AC$29&amp;";  ","")&amp;IF(AND(EDATE($D34,Milestones!$AA$30)&lt;=AsOfDate,IF($R34=0,$X34,IF(AND($T34&lt;&gt;"",EDATE($D34,Milestones!$AA$30)&gt;=$T34),$W34,IF(AND($S34&lt;&gt;"",EDATE($D34,Milestones!$AA$30)&gt;=$S34),$V34,$U34)))=Milestones!$AB$30),UPPER(TEXT(EDATE($D34,Milestones!$AA$30),"dd mmm yy"))&amp;" "&amp;Milestones!$AB$30&amp;" "&amp;Milestones!$AC$30&amp;";  ","")&amp;IF(AND(EDATE($D34,Milestones!$AA$31)&lt;=AsOfDate,IF($R34=0,$X34,IF(AND($T34&lt;&gt;"",EDATE($D34,Milestones!$AA$31)&gt;=$T34),$W34,IF(AND($S34&lt;&gt;"",EDATE($D34,Milestones!$AA$31)&gt;=$S34),$V34,$U34)))=Milestones!$AB$31),UPPER(TEXT(EDATE($D34,Milestones!$AA$31),"dd mmm yy"))&amp;" "&amp;Milestones!$AB$31&amp;" "&amp;Milestones!$AC$31&amp;";  ","")&amp;IF(AND(EDATE($D34,Milestones!$AA$32)&lt;=AsOfDate,IF($R34=0,$X34,IF(AND($T34&lt;&gt;"",EDATE($D34,Milestones!$AA$32)&gt;=$T34),$W34,IF(AND($S34&lt;&gt;"",EDATE($D34,Milestones!$AA$32)&gt;=$S34),$V34,$U34)))=Milestones!$AB$32),UPPER(TEXT(EDATE($D34,Milestones!$AA$32),"dd mmm yy"))&amp;" "&amp;Milestones!$AB$32&amp;" "&amp;Milestones!$AC$32&amp;";  ","")&amp;IF(AND(EDATE($D34,Milestones!$AA$33)&lt;=AsOfDate,IF($R34=0,$X34,IF(AND($T34&lt;&gt;"",EDATE($D34,Milestones!$AA$33)&gt;=$T34),$W34,IF(AND($S34&lt;&gt;"",EDATE($D34,Milestones!$AA$33)&gt;=$S34),$V34,$U34)))=Milestones!$AB$33),UPPER(TEXT(EDATE($D34,Milestones!$AA$33),"dd mmm yy"))&amp;" "&amp;Milestones!$AB$33&amp;" "&amp;Milestones!$AC$33&amp;";  ","")&amp;IF(AND(EDATE($D34,Milestones!$AA$34)&lt;=AsOfDate,IF($R34=0,$X34,IF(AND($T34&lt;&gt;"",EDATE($D34,Milestones!$AA$34)&gt;=$T34),$W34,IF(AND($S34&lt;&gt;"",EDATE($D34,Milestones!$AA$34)&gt;=$S34),$V34,$U34)))=Milestones!$AB$34),UPPER(TEXT(EDATE($D34,Milestones!$AA$34),"dd mmm yy"))&amp;" "&amp;Milestones!$AB$34&amp;" "&amp;Milestones!$AC$34&amp;";  ","")&amp;IF(AND(EDATE($D34,Milestones!$AA$35)&lt;=AsOfDate,IF($R34=0,$X34,IF(AND($T34&lt;&gt;"",EDATE($D34,Milestones!$AA$35)&gt;=$T34),$W34,IF(AND($S34&lt;&gt;"",EDATE($D34,Milestones!$AA$35)&gt;=$S34),$V34,$U34)))=Milestones!$AB$35),UPPER(TEXT(EDATE($D34,Milestones!$AA$35),"dd mmm yy"))&amp;" "&amp;Milestones!$AB$35&amp;" "&amp;Milestones!$AC$35&amp;";  ","")&amp;IF(AND(EDATE($D34,Milestones!$AA$36)&lt;=AsOfDate,IF($R34=0,$X34,IF(AND($T34&lt;&gt;"",EDATE($D34,Milestones!$AA$36)&gt;=$T34),$W34,IF(AND($S34&lt;&gt;"",EDATE($D34,Milestones!$AA$36)&gt;=$S34),$V34,$U34)))=Milestones!$AB$36),UPPER(TEXT(EDATE($D34,Milestones!$AA$36),"dd mmm yy"))&amp;" "&amp;Milestones!$AB$36&amp;" "&amp;Milestones!$AC$36&amp;";  ","")&amp;IF(AND(EDATE($D34,Milestones!$AA$37)&lt;=AsOfDate,IF($R34=0,$X34,IF(AND($T34&lt;&gt;"",EDATE($D34,Milestones!$AA$37)&gt;=$T34),$W34,IF(AND($S34&lt;&gt;"",EDATE($D34,Milestones!$AA$37)&gt;=$S34),$V34,$U34)))=Milestones!$AB$37),UPPER(TEXT(EDATE($D34,Milestones!$AA$37),"dd mmm yy"))&amp;" "&amp;Milestones!$AB$37&amp;" "&amp;Milestones!$AC$37&amp;";  ","")&amp;IF(AND(EDATE($D34,Milestones!$AA$38)&lt;=AsOfDate,IF($R34=0,$X34,IF(AND($T34&lt;&gt;"",EDATE($D34,Milestones!$AA$38)&gt;=$T34),$W34,IF(AND($S34&lt;&gt;"",EDATE($D34,Milestones!$AA$38)&gt;=$S34),$V34,$U34)))=Milestones!$AB$38),UPPER(TEXT(EDATE($D34,Milestones!$AA$38),"dd mmm yy"))&amp;" "&amp;Milestones!$AB$38&amp;" "&amp;Milestones!$AC$38&amp;";  ","")&amp;IF(AND(EDATE($D34,Milestones!$AA$39)&lt;=AsOfDate,IF($R34=0,$X34,IF(AND($T34&lt;&gt;"",EDATE($D34,Milestones!$AA$39)&gt;=$T34),$W34,IF(AND($S34&lt;&gt;"",EDATE($D34,Milestones!$AA$39)&gt;=$S34),$V34,$U34)))=Milestones!$AB$39),UPPER(TEXT(EDATE($D34,Milestones!$AA$39),"dd mmm yy"))&amp;" "&amp;Milestones!$AB$39&amp;" "&amp;Milestones!$AC$39&amp;";  ",""))</f>
        <v/>
      </c>
      <c r="J34" s="0" t="str">
        <f aca="false">IF(OR($A34="",$D34=""),"",IF(AND(EDATE($D34,Milestones!$AA$40)&lt;=AsOfDate,IF($R34=0,$X34,IF(AND($T34&lt;&gt;"",EDATE($D34,Milestones!$AA$40)&gt;=$T34),$W34,IF(AND($S34&lt;&gt;"",EDATE($D34,Milestones!$AA$40)&gt;=$S34),$V34,$U34)))=Milestones!$AB$40),UPPER(TEXT(EDATE($D34,Milestones!$AA$40),"dd mmm yy"))&amp;" "&amp;Milestones!$AB$40&amp;" "&amp;Milestones!$AC$40&amp;";  ","")&amp;IF(AND(EDATE($D34,Milestones!$AA$41)&lt;=AsOfDate,IF($R34=0,$X34,IF(AND($T34&lt;&gt;"",EDATE($D34,Milestones!$AA$41)&gt;=$T34),$W34,IF(AND($S34&lt;&gt;"",EDATE($D34,Milestones!$AA$41)&gt;=$S34),$V34,$U34)))=Milestones!$AB$41),UPPER(TEXT(EDATE($D34,Milestones!$AA$41),"dd mmm yy"))&amp;" "&amp;Milestones!$AB$41&amp;" "&amp;Milestones!$AC$41&amp;";  ","")&amp;IF(AND(EDATE($D34,Milestones!$AA$42)&lt;=AsOfDate,IF($R34=0,$X34,IF(AND($T34&lt;&gt;"",EDATE($D34,Milestones!$AA$42)&gt;=$T34),$W34,IF(AND($S34&lt;&gt;"",EDATE($D34,Milestones!$AA$42)&gt;=$S34),$V34,$U34)))=Milestones!$AB$42),UPPER(TEXT(EDATE($D34,Milestones!$AA$42),"dd mmm yy"))&amp;" "&amp;Milestones!$AB$42&amp;" "&amp;Milestones!$AC$42&amp;";  ","")&amp;IF(AND(EDATE($D34,Milestones!$AA$43)&lt;=AsOfDate,IF($R34=0,$X34,IF(AND($T34&lt;&gt;"",EDATE($D34,Milestones!$AA$43)&gt;=$T34),$W34,IF(AND($S34&lt;&gt;"",EDATE($D34,Milestones!$AA$43)&gt;=$S34),$V34,$U34)))=Milestones!$AB$43),UPPER(TEXT(EDATE($D34,Milestones!$AA$43),"dd mmm yy"))&amp;" "&amp;Milestones!$AB$43&amp;" "&amp;Milestones!$AC$43&amp;";  ","")&amp;IF(AND(EDATE($D34,Milestones!$AA$44)&lt;=AsOfDate,IF($R34=0,$X34,IF(AND($T34&lt;&gt;"",EDATE($D34,Milestones!$AA$44)&gt;=$T34),$W34,IF(AND($S34&lt;&gt;"",EDATE($D34,Milestones!$AA$44)&gt;=$S34),$V34,$U34)))=Milestones!$AB$44),UPPER(TEXT(EDATE($D34,Milestones!$AA$44),"dd mmm yy"))&amp;" "&amp;Milestones!$AB$44&amp;" "&amp;Milestones!$AC$44&amp;";  ","")&amp;IF(AND(EDATE($D34,Milestones!$AA$45)&lt;=AsOfDate,IF($R34=0,$X34,IF(AND($T34&lt;&gt;"",EDATE($D34,Milestones!$AA$45)&gt;=$T34),$W34,IF(AND($S34&lt;&gt;"",EDATE($D34,Milestones!$AA$45)&gt;=$S34),$V34,$U34)))=Milestones!$AB$45),UPPER(TEXT(EDATE($D34,Milestones!$AA$45),"dd mmm yy"))&amp;" "&amp;Milestones!$AB$45&amp;" "&amp;Milestones!$AC$45&amp;";  ","")&amp;IF(AND(EDATE($D34,Milestones!$AA$46)&lt;=AsOfDate,IF($R34=0,$X34,IF(AND($T34&lt;&gt;"",EDATE($D34,Milestones!$AA$46)&gt;=$T34),$W34,IF(AND($S34&lt;&gt;"",EDATE($D34,Milestones!$AA$46)&gt;=$S34),$V34,$U34)))=Milestones!$AB$46),UPPER(TEXT(EDATE($D34,Milestones!$AA$46),"dd mmm yy"))&amp;" "&amp;Milestones!$AB$46&amp;" "&amp;Milestones!$AC$46&amp;";  ","")&amp;IF(AND(EDATE($D34,Milestones!$AA$47)&lt;=AsOfDate,IF($R34=0,$X34,IF(AND($T34&lt;&gt;"",EDATE($D34,Milestones!$AA$47)&gt;=$T34),$W34,IF(AND($S34&lt;&gt;"",EDATE($D34,Milestones!$AA$47)&gt;=$S34),$V34,$U34)))=Milestones!$AB$47),UPPER(TEXT(EDATE($D34,Milestones!$AA$47),"dd mmm yy"))&amp;" "&amp;Milestones!$AB$47&amp;" "&amp;Milestones!$AC$47&amp;";  ","")&amp;IF(AND(EDATE($D34,Milestones!$AA$48)&lt;=AsOfDate,IF($R34=0,$X34,IF(AND($T34&lt;&gt;"",EDATE($D34,Milestones!$AA$48)&gt;=$T34),$W34,IF(AND($S34&lt;&gt;"",EDATE($D34,Milestones!$AA$48)&gt;=$S34),$V34,$U34)))=Milestones!$AB$48),UPPER(TEXT(EDATE($D34,Milestones!$AA$48),"dd mmm yy"))&amp;" "&amp;Milestones!$AB$48&amp;" "&amp;Milestones!$AC$48&amp;";  ","")&amp;IF(AND(EDATE($D34,Milestones!$AA$49)&lt;=AsOfDate,IF($R34=0,$X34,IF(AND($T34&lt;&gt;"",EDATE($D34,Milestones!$AA$49)&gt;=$T34),$W34,IF(AND($S34&lt;&gt;"",EDATE($D34,Milestones!$AA$49)&gt;=$S34),$V34,$U34)))=Milestones!$AB$49),UPPER(TEXT(EDATE($D34,Milestones!$AA$49),"dd mmm yy"))&amp;" "&amp;Milestones!$AB$49&amp;" "&amp;Milestones!$AC$49&amp;";  ","")&amp;IF(AND(EDATE($D34,Milestones!$AA$50)&lt;=AsOfDate,IF($R34=0,$X34,IF(AND($T34&lt;&gt;"",EDATE($D34,Milestones!$AA$50)&gt;=$T34),$W34,IF(AND($S34&lt;&gt;"",EDATE($D34,Milestones!$AA$50)&gt;=$S34),$V34,$U34)))=Milestones!$AB$50),UPPER(TEXT(EDATE($D34,Milestones!$AA$50),"dd mmm yy"))&amp;" "&amp;Milestones!$AB$50&amp;" "&amp;Milestones!$AC$50&amp;";  ","")&amp;IF(AND(EDATE($D34,Milestones!$AA$51)&lt;=AsOfDate,IF($R34=0,$X34,IF(AND($T34&lt;&gt;"",EDATE($D34,Milestones!$AA$51)&gt;=$T34),$W34,IF(AND($S34&lt;&gt;"",EDATE($D34,Milestones!$AA$51)&gt;=$S34),$V34,$U34)))=Milestones!$AB$51),UPPER(TEXT(EDATE($D34,Milestones!$AA$51),"dd mmm yy"))&amp;" "&amp;Milestones!$AB$51&amp;" "&amp;Milestones!$AC$51&amp;";  ","")&amp;IF(AND(EDATE($D34,Milestones!$AA$52)&lt;=AsOfDate,IF($R34=0,$X34,IF(AND($T34&lt;&gt;"",EDATE($D34,Milestones!$AA$52)&gt;=$T34),$W34,IF(AND($S34&lt;&gt;"",EDATE($D34,Milestones!$AA$52)&gt;=$S34),$V34,$U34)))=Milestones!$AB$52),UPPER(TEXT(EDATE($D34,Milestones!$AA$52),"dd mmm yy"))&amp;" "&amp;Milestones!$AB$52&amp;" "&amp;Milestones!$AC$52&amp;";  ","")&amp;IF(AND(EDATE($D34,Milestones!$AA$53)&lt;=AsOfDate,IF($R34=0,$X34,IF(AND($T34&lt;&gt;"",EDATE($D34,Milestones!$AA$53)&gt;=$T34),$W34,IF(AND($S34&lt;&gt;"",EDATE($D34,Milestones!$AA$53)&gt;=$S34),$V34,$U34)))=Milestones!$AB$53),UPPER(TEXT(EDATE($D34,Milestones!$AA$53),"dd mmm yy"))&amp;" "&amp;Milestones!$AB$53&amp;" "&amp;Milestones!$AC$53&amp;";  ","")&amp;IF(AND(EDATE($D34,Milestones!$AA$54)&lt;=AsOfDate,IF($R34=0,$X34,IF(AND($T34&lt;&gt;"",EDATE($D34,Milestones!$AA$54)&gt;=$T34),$W34,IF(AND($S34&lt;&gt;"",EDATE($D34,Milestones!$AA$54)&gt;=$S34),$V34,$U34)))=Milestones!$AB$54),UPPER(TEXT(EDATE($D34,Milestones!$AA$54),"dd mmm yy"))&amp;" "&amp;Milestones!$AB$54&amp;" "&amp;Milestones!$AC$54&amp;";  ","")&amp;IF(AND(EDATE($D34,Milestones!$AA$55)&lt;=AsOfDate,IF($R34=0,$X34,IF(AND($T34&lt;&gt;"",EDATE($D34,Milestones!$AA$55)&gt;=$T34),$W34,IF(AND($S34&lt;&gt;"",EDATE($D34,Milestones!$AA$55)&gt;=$S34),$V34,$U34)))=Milestones!$AB$55),UPPER(TEXT(EDATE($D34,Milestones!$AA$55),"dd mmm yy"))&amp;" "&amp;Milestones!$AB$55&amp;" "&amp;Milestones!$AC$55&amp;";  ","")&amp;IF(AND(EDATE($D34,Milestones!$AA$56)&lt;=AsOfDate,IF($R34=0,$X34,IF(AND($T34&lt;&gt;"",EDATE($D34,Milestones!$AA$56)&gt;=$T34),$W34,IF(AND($S34&lt;&gt;"",EDATE($D34,Milestones!$AA$56)&gt;=$S34),$V34,$U34)))=Milestones!$AB$56),UPPER(TEXT(EDATE($D34,Milestones!$AA$56),"dd mmm yy"))&amp;" "&amp;Milestones!$AB$56&amp;" "&amp;Milestones!$AC$56&amp;";  ","")&amp;IF(AND(EDATE($D34,Milestones!$AA$57)&lt;=AsOfDate,IF($R34=0,$X34,IF(AND($T34&lt;&gt;"",EDATE($D34,Milestones!$AA$57)&gt;=$T34),$W34,IF(AND($S34&lt;&gt;"",EDATE($D34,Milestones!$AA$57)&gt;=$S34),$V34,$U34)))=Milestones!$AB$57),UPPER(TEXT(EDATE($D34,Milestones!$AA$57),"dd mmm yy"))&amp;" "&amp;Milestones!$AB$57&amp;" "&amp;Milestones!$AC$57&amp;";  ","")&amp;IF(AND(EDATE($D34,Milestones!$AA$58)&lt;=AsOfDate,IF($R34=0,$X34,IF(AND($T34&lt;&gt;"",EDATE($D34,Milestones!$AA$58)&gt;=$T34),$W34,IF(AND($S34&lt;&gt;"",EDATE($D34,Milestones!$AA$58)&gt;=$S34),$V34,$U34)))=Milestones!$AB$58),UPPER(TEXT(EDATE($D34,Milestones!$AA$58),"dd mmm yy"))&amp;" "&amp;Milestones!$AB$58&amp;" "&amp;Milestones!$AC$58&amp;";  ","")&amp;IF(AND(EDATE($D34,Milestones!$AA$59)&lt;=AsOfDate,IF($R34=0,$X34,IF(AND($T34&lt;&gt;"",EDATE($D34,Milestones!$AA$59)&gt;=$T34),$W34,IF(AND($S34&lt;&gt;"",EDATE($D34,Milestones!$AA$59)&gt;=$S34),$V34,$U34)))=Milestones!$AB$59),UPPER(TEXT(EDATE($D34,Milestones!$AA$59),"dd mmm yy"))&amp;" "&amp;Milestones!$AB$59&amp;" "&amp;Milestones!$AC$59&amp;";  ",""))</f>
        <v/>
      </c>
      <c r="K34" s="0" t="str">
        <f aca="false">IF(OR($A34="",$D34=""),"",IF(AND(EDATE($D34,Milestones!$AA$60)&lt;=AsOfDate,IF($R34=0,$X34,IF(AND($T34&lt;&gt;"",EDATE($D34,Milestones!$AA$60)&gt;=$T34),$W34,IF(AND($S34&lt;&gt;"",EDATE($D34,Milestones!$AA$60)&gt;=$S34),$V34,$U34)))=Milestones!$AB$60),UPPER(TEXT(EDATE($D34,Milestones!$AA$60),"dd mmm yy"))&amp;" "&amp;Milestones!$AB$60&amp;" "&amp;Milestones!$AC$60&amp;";  ","")&amp;IF(AND(EDATE($D34,Milestones!$AA$61)&lt;=AsOfDate,IF($R34=0,$X34,IF(AND($T34&lt;&gt;"",EDATE($D34,Milestones!$AA$61)&gt;=$T34),$W34,IF(AND($S34&lt;&gt;"",EDATE($D34,Milestones!$AA$61)&gt;=$S34),$V34,$U34)))=Milestones!$AB$61),UPPER(TEXT(EDATE($D34,Milestones!$AA$61),"dd mmm yy"))&amp;" "&amp;Milestones!$AB$61&amp;" "&amp;Milestones!$AC$61&amp;";  ","")&amp;IF(AND(EDATE($D34,Milestones!$AA$62)&lt;=AsOfDate,IF($R34=0,$X34,IF(AND($T34&lt;&gt;"",EDATE($D34,Milestones!$AA$62)&gt;=$T34),$W34,IF(AND($S34&lt;&gt;"",EDATE($D34,Milestones!$AA$62)&gt;=$S34),$V34,$U34)))=Milestones!$AB$62),UPPER(TEXT(EDATE($D34,Milestones!$AA$62),"dd mmm yy"))&amp;" "&amp;Milestones!$AB$62&amp;" "&amp;Milestones!$AC$62&amp;";  ","")&amp;IF(AND(EDATE($D34,Milestones!$AA$63)&lt;=AsOfDate,IF($R34=0,$X34,IF(AND($T34&lt;&gt;"",EDATE($D34,Milestones!$AA$63)&gt;=$T34),$W34,IF(AND($S34&lt;&gt;"",EDATE($D34,Milestones!$AA$63)&gt;=$S34),$V34,$U34)))=Milestones!$AB$63),UPPER(TEXT(EDATE($D34,Milestones!$AA$63),"dd mmm yy"))&amp;" "&amp;Milestones!$AB$63&amp;" "&amp;Milestones!$AC$63&amp;";  ","")&amp;IF(AND(EDATE($D34,Milestones!$AA$64)&lt;=AsOfDate,IF($R34=0,$X34,IF(AND($T34&lt;&gt;"",EDATE($D34,Milestones!$AA$64)&gt;=$T34),$W34,IF(AND($S34&lt;&gt;"",EDATE($D34,Milestones!$AA$64)&gt;=$S34),$V34,$U34)))=Milestones!$AB$64),UPPER(TEXT(EDATE($D34,Milestones!$AA$64),"dd mmm yy"))&amp;" "&amp;Milestones!$AB$64&amp;" "&amp;Milestones!$AC$64&amp;";  ","")&amp;IF(AND(EDATE($D34,Milestones!$AA$65)&lt;=AsOfDate,IF($R34=0,$X34,IF(AND($T34&lt;&gt;"",EDATE($D34,Milestones!$AA$65)&gt;=$T34),$W34,IF(AND($S34&lt;&gt;"",EDATE($D34,Milestones!$AA$65)&gt;=$S34),$V34,$U34)))=Milestones!$AB$65),UPPER(TEXT(EDATE($D34,Milestones!$AA$65),"dd mmm yy"))&amp;" "&amp;Milestones!$AB$65&amp;" "&amp;Milestones!$AC$65&amp;";  ","")&amp;IF(AND(EDATE($D34,Milestones!$AA$66)&lt;=AsOfDate,IF($R34=0,$X34,IF(AND($T34&lt;&gt;"",EDATE($D34,Milestones!$AA$66)&gt;=$T34),$W34,IF(AND($S34&lt;&gt;"",EDATE($D34,Milestones!$AA$66)&gt;=$S34),$V34,$U34)))=Milestones!$AB$66),UPPER(TEXT(EDATE($D34,Milestones!$AA$66),"dd mmm yy"))&amp;" "&amp;Milestones!$AB$66&amp;" "&amp;Milestones!$AC$66&amp;";  ","")&amp;IF(AND(EDATE($D34,Milestones!$AA$67)&lt;=AsOfDate,IF($R34=0,$X34,IF(AND($T34&lt;&gt;"",EDATE($D34,Milestones!$AA$67)&gt;=$T34),$W34,IF(AND($S34&lt;&gt;"",EDATE($D34,Milestones!$AA$67)&gt;=$S34),$V34,$U34)))=Milestones!$AB$67),UPPER(TEXT(EDATE($D34,Milestones!$AA$67),"dd mmm yy"))&amp;" "&amp;Milestones!$AB$67&amp;" "&amp;Milestones!$AC$67&amp;";  ","")&amp;IF(AND(EDATE($D34,Milestones!$AA$68)&lt;=AsOfDate,IF($R34=0,$X34,IF(AND($T34&lt;&gt;"",EDATE($D34,Milestones!$AA$68)&gt;=$T34),$W34,IF(AND($S34&lt;&gt;"",EDATE($D34,Milestones!$AA$68)&gt;=$S34),$V34,$U34)))=Milestones!$AB$68),UPPER(TEXT(EDATE($D34,Milestones!$AA$68),"dd mmm yy"))&amp;" "&amp;Milestones!$AB$68&amp;" "&amp;Milestones!$AC$68&amp;";  ","")&amp;IF(AND(EDATE($D34,Milestones!$AA$69)&lt;=AsOfDate,IF($R34=0,$X34,IF(AND($T34&lt;&gt;"",EDATE($D34,Milestones!$AA$69)&gt;=$T34),$W34,IF(AND($S34&lt;&gt;"",EDATE($D34,Milestones!$AA$69)&gt;=$S34),$V34,$U34)))=Milestones!$AB$69),UPPER(TEXT(EDATE($D34,Milestones!$AA$69),"dd mmm yy"))&amp;" "&amp;Milestones!$AB$69&amp;" "&amp;Milestones!$AC$69&amp;";  ","")&amp;IF(AND(EDATE($D34,Milestones!$AA$70)&lt;=AsOfDate,IF($R34=0,$X34,IF(AND($T34&lt;&gt;"",EDATE($D34,Milestones!$AA$70)&gt;=$T34),$W34,IF(AND($S34&lt;&gt;"",EDATE($D34,Milestones!$AA$70)&gt;=$S34),$V34,$U34)))=Milestones!$AB$70),UPPER(TEXT(EDATE($D34,Milestones!$AA$70),"dd mmm yy"))&amp;" "&amp;Milestones!$AB$70&amp;" "&amp;Milestones!$AC$70&amp;";  ","")&amp;IF(AND(EDATE($D34,Milestones!$AA$71)&lt;=AsOfDate,IF($R34=0,$X34,IF(AND($T34&lt;&gt;"",EDATE($D34,Milestones!$AA$71)&gt;=$T34),$W34,IF(AND($S34&lt;&gt;"",EDATE($D34,Milestones!$AA$71)&gt;=$S34),$V34,$U34)))=Milestones!$AB$71),UPPER(TEXT(EDATE($D34,Milestones!$AA$71),"dd mmm yy"))&amp;" "&amp;Milestones!$AB$71&amp;" "&amp;Milestones!$AC$71&amp;";  ","")&amp;IF(AND(EDATE($D34,Milestones!$AA$72)&lt;=AsOfDate,IF($R34=0,$X34,IF(AND($T34&lt;&gt;"",EDATE($D34,Milestones!$AA$72)&gt;=$T34),$W34,IF(AND($S34&lt;&gt;"",EDATE($D34,Milestones!$AA$72)&gt;=$S34),$V34,$U34)))=Milestones!$AB$72),UPPER(TEXT(EDATE($D34,Milestones!$AA$72),"dd mmm yy"))&amp;" "&amp;Milestones!$AB$72&amp;" "&amp;Milestones!$AC$72&amp;";  ","")&amp;IF(AND(EDATE($D34,Milestones!$AA$73)&lt;=AsOfDate,IF($R34=0,$X34,IF(AND($T34&lt;&gt;"",EDATE($D34,Milestones!$AA$73)&gt;=$T34),$W34,IF(AND($S34&lt;&gt;"",EDATE($D34,Milestones!$AA$73)&gt;=$S34),$V34,$U34)))=Milestones!$AB$73),UPPER(TEXT(EDATE($D34,Milestones!$AA$73),"dd mmm yy"))&amp;" "&amp;Milestones!$AB$73&amp;" "&amp;Milestones!$AC$73&amp;";  ","")&amp;IF(AND(EDATE($D34,Milestones!$AA$74)&lt;=AsOfDate,IF($R34=0,$X34,IF(AND($T34&lt;&gt;"",EDATE($D34,Milestones!$AA$74)&gt;=$T34),$W34,IF(AND($S34&lt;&gt;"",EDATE($D34,Milestones!$AA$74)&gt;=$S34),$V34,$U34)))=Milestones!$AB$74),UPPER(TEXT(EDATE($D34,Milestones!$AA$74),"dd mmm yy"))&amp;" "&amp;Milestones!$AB$74&amp;" "&amp;Milestones!$AC$74&amp;";  ","")&amp;IF(AND(EDATE($D34,Milestones!$AA$75)&lt;=AsOfDate,IF($R34=0,$X34,IF(AND($T34&lt;&gt;"",EDATE($D34,Milestones!$AA$75)&gt;=$T34),$W34,IF(AND($S34&lt;&gt;"",EDATE($D34,Milestones!$AA$75)&gt;=$S34),$V34,$U34)))=Milestones!$AB$75),UPPER(TEXT(EDATE($D34,Milestones!$AA$75),"dd mmm yy"))&amp;" "&amp;Milestones!$AB$75&amp;" "&amp;Milestones!$AC$75&amp;";  ","")&amp;IF(AND(EDATE($D34,Milestones!$AA$76)&lt;=AsOfDate,IF($R34=0,$X34,IF(AND($T34&lt;&gt;"",EDATE($D34,Milestones!$AA$76)&gt;=$T34),$W34,IF(AND($S34&lt;&gt;"",EDATE($D34,Milestones!$AA$76)&gt;=$S34),$V34,$U34)))=Milestones!$AB$76),UPPER(TEXT(EDATE($D34,Milestones!$AA$76),"dd mmm yy"))&amp;" "&amp;Milestones!$AB$76&amp;" "&amp;Milestones!$AC$76&amp;";  ","")&amp;IF(AND(EDATE($D34,Milestones!$AA$77)&lt;=AsOfDate,IF($R34=0,$X34,IF(AND($T34&lt;&gt;"",EDATE($D34,Milestones!$AA$77)&gt;=$T34),$W34,IF(AND($S34&lt;&gt;"",EDATE($D34,Milestones!$AA$77)&gt;=$S34),$V34,$U34)))=Milestones!$AB$77),UPPER(TEXT(EDATE($D34,Milestones!$AA$77),"dd mmm yy"))&amp;" "&amp;Milestones!$AB$77&amp;" "&amp;Milestones!$AC$77&amp;";  ","")&amp;IF(AND(EDATE($D34,Milestones!$AA$78)&lt;=AsOfDate,IF($R34=0,$X34,IF(AND($T34&lt;&gt;"",EDATE($D34,Milestones!$AA$78)&gt;=$T34),$W34,IF(AND($S34&lt;&gt;"",EDATE($D34,Milestones!$AA$78)&gt;=$S34),$V34,$U34)))=Milestones!$AB$78),UPPER(TEXT(EDATE($D34,Milestones!$AA$78),"dd mmm yy"))&amp;" "&amp;Milestones!$AB$78&amp;" "&amp;Milestones!$AC$78&amp;";  ","")&amp;IF(AND(EDATE($D34,Milestones!$AA$79)&lt;=AsOfDate,IF($R34=0,$X34,IF(AND($T34&lt;&gt;"",EDATE($D34,Milestones!$AA$79)&gt;=$T34),$W34,IF(AND($S34&lt;&gt;"",EDATE($D34,Milestones!$AA$79)&gt;=$S34),$V34,$U34)))=Milestones!$AB$79),UPPER(TEXT(EDATE($D34,Milestones!$AA$79),"dd mmm yy"))&amp;" "&amp;Milestones!$AB$79&amp;" "&amp;Milestones!$AC$79&amp;";  ",""))</f>
        <v/>
      </c>
      <c r="L34" s="0" t="str">
        <f aca="false">IF(OR($A34="",$D34=""),"",IF(AND(EDATE($D34,Milestones!$AA$80)&lt;=AsOfDate,IF($R34=0,$X34,IF(AND($T34&lt;&gt;"",EDATE($D34,Milestones!$AA$80)&gt;=$T34),$W34,IF(AND($S34&lt;&gt;"",EDATE($D34,Milestones!$AA$80)&gt;=$S34),$V34,$U34)))=Milestones!$AB$80),UPPER(TEXT(EDATE($D34,Milestones!$AA$80),"dd mmm yy"))&amp;" "&amp;Milestones!$AB$80&amp;" "&amp;Milestones!$AC$80&amp;";  ","")&amp;IF(AND(EDATE($D34,Milestones!$AA$81)&lt;=AsOfDate,IF($R34=0,$X34,IF(AND($T34&lt;&gt;"",EDATE($D34,Milestones!$AA$81)&gt;=$T34),$W34,IF(AND($S34&lt;&gt;"",EDATE($D34,Milestones!$AA$81)&gt;=$S34),$V34,$U34)))=Milestones!$AB$81),UPPER(TEXT(EDATE($D34,Milestones!$AA$81),"dd mmm yy"))&amp;" "&amp;Milestones!$AB$81&amp;" "&amp;Milestones!$AC$81&amp;";  ","")&amp;IF(AND(EDATE($D34,Milestones!$AA$82)&lt;=AsOfDate,IF($R34=0,$X34,IF(AND($T34&lt;&gt;"",EDATE($D34,Milestones!$AA$82)&gt;=$T34),$W34,IF(AND($S34&lt;&gt;"",EDATE($D34,Milestones!$AA$82)&gt;=$S34),$V34,$U34)))=Milestones!$AB$82),UPPER(TEXT(EDATE($D34,Milestones!$AA$82),"dd mmm yy"))&amp;" "&amp;Milestones!$AB$82&amp;" "&amp;Milestones!$AC$82&amp;";  ","")&amp;IF(AND(EDATE($D34,Milestones!$AA$83)&lt;=AsOfDate,IF($R34=0,$X34,IF(AND($T34&lt;&gt;"",EDATE($D34,Milestones!$AA$83)&gt;=$T34),$W34,IF(AND($S34&lt;&gt;"",EDATE($D34,Milestones!$AA$83)&gt;=$S34),$V34,$U34)))=Milestones!$AB$83),UPPER(TEXT(EDATE($D34,Milestones!$AA$83),"dd mmm yy"))&amp;" "&amp;Milestones!$AB$83&amp;" "&amp;Milestones!$AC$83&amp;";  ","")&amp;IF(AND(EDATE($D34,Milestones!$AA$84)&lt;=AsOfDate,IF($R34=0,$X34,IF(AND($T34&lt;&gt;"",EDATE($D34,Milestones!$AA$84)&gt;=$T34),$W34,IF(AND($S34&lt;&gt;"",EDATE($D34,Milestones!$AA$84)&gt;=$S34),$V34,$U34)))=Milestones!$AB$84),UPPER(TEXT(EDATE($D34,Milestones!$AA$84),"dd mmm yy"))&amp;" "&amp;Milestones!$AB$84&amp;" "&amp;Milestones!$AC$84&amp;";  ","")&amp;IF(AND(EDATE($D34,Milestones!$AA$85)&lt;=AsOfDate,IF($R34=0,$X34,IF(AND($T34&lt;&gt;"",EDATE($D34,Milestones!$AA$85)&gt;=$T34),$W34,IF(AND($S34&lt;&gt;"",EDATE($D34,Milestones!$AA$85)&gt;=$S34),$V34,$U34)))=Milestones!$AB$85),UPPER(TEXT(EDATE($D34,Milestones!$AA$85),"dd mmm yy"))&amp;" "&amp;Milestones!$AB$85&amp;" "&amp;Milestones!$AC$85&amp;";  ","")&amp;IF(AND(EDATE($D34,Milestones!$AA$86)&lt;=AsOfDate,IF($R34=0,$X34,IF(AND($T34&lt;&gt;"",EDATE($D34,Milestones!$AA$86)&gt;=$T34),$W34,IF(AND($S34&lt;&gt;"",EDATE($D34,Milestones!$AA$86)&gt;=$S34),$V34,$U34)))=Milestones!$AB$86),UPPER(TEXT(EDATE($D34,Milestones!$AA$86),"dd mmm yy"))&amp;" "&amp;Milestones!$AB$86&amp;" "&amp;Milestones!$AC$86&amp;";  ","")&amp;IF(AND(EDATE($D34,Milestones!$AA$87)&lt;=AsOfDate,IF($R34=0,$X34,IF(AND($T34&lt;&gt;"",EDATE($D34,Milestones!$AA$87)&gt;=$T34),$W34,IF(AND($S34&lt;&gt;"",EDATE($D34,Milestones!$AA$87)&gt;=$S34),$V34,$U34)))=Milestones!$AB$87),UPPER(TEXT(EDATE($D34,Milestones!$AA$87),"dd mmm yy"))&amp;" "&amp;Milestones!$AB$87&amp;" "&amp;Milestones!$AC$87&amp;";  ","")&amp;IF(AND(EDATE($D34,Milestones!$AA$88)&lt;=AsOfDate,IF($R34=0,$X34,IF(AND($T34&lt;&gt;"",EDATE($D34,Milestones!$AA$88)&gt;=$T34),$W34,IF(AND($S34&lt;&gt;"",EDATE($D34,Milestones!$AA$88)&gt;=$S34),$V34,$U34)))=Milestones!$AB$88),UPPER(TEXT(EDATE($D34,Milestones!$AA$88),"dd mmm yy"))&amp;" "&amp;Milestones!$AB$88&amp;" "&amp;Milestones!$AC$88&amp;";  ","")&amp;IF(AND(EDATE($D34,Milestones!$AA$89)&lt;=AsOfDate,IF($R34=0,$X34,IF(AND($T34&lt;&gt;"",EDATE($D34,Milestones!$AA$89)&gt;=$T34),$W34,IF(AND($S34&lt;&gt;"",EDATE($D34,Milestones!$AA$89)&gt;=$S34),$V34,$U34)))=Milestones!$AB$89),UPPER(TEXT(EDATE($D34,Milestones!$AA$89),"dd mmm yy"))&amp;" "&amp;Milestones!$AB$89&amp;" "&amp;Milestones!$AC$89&amp;";  ","")&amp;IF(AND(EDATE($D34,Milestones!$AA$90)&lt;=AsOfDate,IF($R34=0,$X34,IF(AND($T34&lt;&gt;"",EDATE($D34,Milestones!$AA$90)&gt;=$T34),$W34,IF(AND($S34&lt;&gt;"",EDATE($D34,Milestones!$AA$90)&gt;=$S34),$V34,$U34)))=Milestones!$AB$90),UPPER(TEXT(EDATE($D34,Milestones!$AA$90),"dd mmm yy"))&amp;" "&amp;Milestones!$AB$90&amp;" "&amp;Milestones!$AC$90&amp;";  ","")&amp;IF(AND(EDATE($D34,Milestones!$AA$91)&lt;=AsOfDate,IF($R34=0,$X34,IF(AND($T34&lt;&gt;"",EDATE($D34,Milestones!$AA$91)&gt;=$T34),$W34,IF(AND($S34&lt;&gt;"",EDATE($D34,Milestones!$AA$91)&gt;=$S34),$V34,$U34)))=Milestones!$AB$91),UPPER(TEXT(EDATE($D34,Milestones!$AA$91),"dd mmm yy"))&amp;" "&amp;Milestones!$AB$91&amp;" "&amp;Milestones!$AC$91&amp;";  ","")&amp;IF(AND(EDATE($D34,Milestones!$AA$92)&lt;=AsOfDate,IF($R34=0,$X34,IF(AND($T34&lt;&gt;"",EDATE($D34,Milestones!$AA$92)&gt;=$T34),$W34,IF(AND($S34&lt;&gt;"",EDATE($D34,Milestones!$AA$92)&gt;=$S34),$V34,$U34)))=Milestones!$AB$92),UPPER(TEXT(EDATE($D34,Milestones!$AA$92),"dd mmm yy"))&amp;" "&amp;Milestones!$AB$92&amp;" "&amp;Milestones!$AC$92&amp;";  ","")&amp;IF(AND(EDATE($D34,Milestones!$AA$93)&lt;=AsOfDate,IF($R34=0,$X34,IF(AND($T34&lt;&gt;"",EDATE($D34,Milestones!$AA$93)&gt;=$T34),$W34,IF(AND($S34&lt;&gt;"",EDATE($D34,Milestones!$AA$93)&gt;=$S34),$V34,$U34)))=Milestones!$AB$93),UPPER(TEXT(EDATE($D34,Milestones!$AA$93),"dd mmm yy"))&amp;" "&amp;Milestones!$AB$93&amp;" "&amp;Milestones!$AC$93&amp;";  ","")&amp;IF(AND(EDATE($D34,Milestones!$AA$94)&lt;=AsOfDate,IF($R34=0,$X34,IF(AND($T34&lt;&gt;"",EDATE($D34,Milestones!$AA$94)&gt;=$T34),$W34,IF(AND($S34&lt;&gt;"",EDATE($D34,Milestones!$AA$94)&gt;=$S34),$V34,$U34)))=Milestones!$AB$94),UPPER(TEXT(EDATE($D34,Milestones!$AA$94),"dd mmm yy"))&amp;" "&amp;Milestones!$AB$94&amp;" "&amp;Milestones!$AC$94&amp;";  ","")&amp;IF(AND(EDATE($D34,Milestones!$AA$95)&lt;=AsOfDate,IF($R34=0,$X34,IF(AND($T34&lt;&gt;"",EDATE($D34,Milestones!$AA$95)&gt;=$T34),$W34,IF(AND($S34&lt;&gt;"",EDATE($D34,Milestones!$AA$95)&gt;=$S34),$V34,$U34)))=Milestones!$AB$95),UPPER(TEXT(EDATE($D34,Milestones!$AA$95),"dd mmm yy"))&amp;" "&amp;Milestones!$AB$95&amp;" "&amp;Milestones!$AC$95&amp;";  ","")&amp;IF(AND(EDATE($D34,Milestones!$AA$96)&lt;=AsOfDate,IF($R34=0,$X34,IF(AND($T34&lt;&gt;"",EDATE($D34,Milestones!$AA$96)&gt;=$T34),$W34,IF(AND($S34&lt;&gt;"",EDATE($D34,Milestones!$AA$96)&gt;=$S34),$V34,$U34)))=Milestones!$AB$96),UPPER(TEXT(EDATE($D34,Milestones!$AA$96),"dd mmm yy"))&amp;" "&amp;Milestones!$AB$96&amp;" "&amp;Milestones!$AC$96&amp;";  ","")&amp;IF(AND(EDATE($D34,Milestones!$AA$97)&lt;=AsOfDate,IF($R34=0,$X34,IF(AND($T34&lt;&gt;"",EDATE($D34,Milestones!$AA$97)&gt;=$T34),$W34,IF(AND($S34&lt;&gt;"",EDATE($D34,Milestones!$AA$97)&gt;=$S34),$V34,$U34)))=Milestones!$AB$97),UPPER(TEXT(EDATE($D34,Milestones!$AA$97),"dd mmm yy"))&amp;" "&amp;Milestones!$AB$97&amp;" "&amp;Milestones!$AC$97&amp;";  ","")&amp;IF(AND(EDATE($D34,Milestones!$AA$98)&lt;=AsOfDate,IF($R34=0,$X34,IF(AND($T34&lt;&gt;"",EDATE($D34,Milestones!$AA$98)&gt;=$T34),$W34,IF(AND($S34&lt;&gt;"",EDATE($D34,Milestones!$AA$98)&gt;=$S34),$V34,$U34)))=Milestones!$AB$98),UPPER(TEXT(EDATE($D34,Milestones!$AA$98),"dd mmm yy"))&amp;" "&amp;Milestones!$AB$98&amp;" "&amp;Milestones!$AC$98&amp;";  ","")&amp;IF(AND(EDATE($D34,Milestones!$AA$99)&lt;=AsOfDate,IF($R34=0,$X34,IF(AND($T34&lt;&gt;"",EDATE($D34,Milestones!$AA$99)&gt;=$T34),$W34,IF(AND($S34&lt;&gt;"",EDATE($D34,Milestones!$AA$99)&gt;=$S34),$V34,$U34)))=Milestones!$AB$99),UPPER(TEXT(EDATE($D34,Milestones!$AA$99),"dd mmm yy"))&amp;" "&amp;Milestones!$AB$99&amp;" "&amp;Milestones!$AC$99&amp;";  ",""))</f>
        <v/>
      </c>
      <c r="M34" s="0" t="str">
        <f aca="false">IF(OR($A34="",$D34=""),"",IF(AND(EDATE($D34,Milestones!$AA$100)&lt;=AsOfDate,IF($R34=0,$X34,IF(AND($T34&lt;&gt;"",EDATE($D34,Milestones!$AA$100)&gt;=$T34),$W34,IF(AND($S34&lt;&gt;"",EDATE($D34,Milestones!$AA$100)&gt;=$S34),$V34,$U34)))=Milestones!$AB$100),UPPER(TEXT(EDATE($D34,Milestones!$AA$100),"dd mmm yy"))&amp;" "&amp;Milestones!$AB$100&amp;" "&amp;Milestones!$AC$100&amp;";  ","")&amp;IF(AND(EDATE($D34,Milestones!$AA$101)&lt;=AsOfDate,IF($R34=0,$X34,IF(AND($T34&lt;&gt;"",EDATE($D34,Milestones!$AA$101)&gt;=$T34),$W34,IF(AND($S34&lt;&gt;"",EDATE($D34,Milestones!$AA$101)&gt;=$S34),$V34,$U34)))=Milestones!$AB$101),UPPER(TEXT(EDATE($D34,Milestones!$AA$101),"dd mmm yy"))&amp;" "&amp;Milestones!$AB$101&amp;" "&amp;Milestones!$AC$101&amp;";  ","")&amp;IF(AND(EDATE($D34,Milestones!$AA$102)&lt;=AsOfDate,IF($R34=0,$X34,IF(AND($T34&lt;&gt;"",EDATE($D34,Milestones!$AA$102)&gt;=$T34),$W34,IF(AND($S34&lt;&gt;"",EDATE($D34,Milestones!$AA$102)&gt;=$S34),$V34,$U34)))=Milestones!$AB$102),UPPER(TEXT(EDATE($D34,Milestones!$AA$102),"dd mmm yy"))&amp;" "&amp;Milestones!$AB$102&amp;" "&amp;Milestones!$AC$102&amp;";  ","")&amp;IF(AND(EDATE($D34,Milestones!$AA$103)&lt;=AsOfDate,IF($R34=0,$X34,IF(AND($T34&lt;&gt;"",EDATE($D34,Milestones!$AA$103)&gt;=$T34),$W34,IF(AND($S34&lt;&gt;"",EDATE($D34,Milestones!$AA$103)&gt;=$S34),$V34,$U34)))=Milestones!$AB$103),UPPER(TEXT(EDATE($D34,Milestones!$AA$103),"dd mmm yy"))&amp;" "&amp;Milestones!$AB$103&amp;" "&amp;Milestones!$AC$103&amp;";  ","")&amp;IF(AND(EDATE($D34,Milestones!$AA$104)&lt;=AsOfDate,IF($R34=0,$X34,IF(AND($T34&lt;&gt;"",EDATE($D34,Milestones!$AA$104)&gt;=$T34),$W34,IF(AND($S34&lt;&gt;"",EDATE($D34,Milestones!$AA$104)&gt;=$S34),$V34,$U34)))=Milestones!$AB$104),UPPER(TEXT(EDATE($D34,Milestones!$AA$104),"dd mmm yy"))&amp;" "&amp;Milestones!$AB$104&amp;" "&amp;Milestones!$AC$104&amp;";  ","")&amp;IF(AND(EDATE($D34,Milestones!$AA$105)&lt;=AsOfDate,IF($R34=0,$X34,IF(AND($T34&lt;&gt;"",EDATE($D34,Milestones!$AA$105)&gt;=$T34),$W34,IF(AND($S34&lt;&gt;"",EDATE($D34,Milestones!$AA$105)&gt;=$S34),$V34,$U34)))=Milestones!$AB$105),UPPER(TEXT(EDATE($D34,Milestones!$AA$105),"dd mmm yy"))&amp;" "&amp;Milestones!$AB$105&amp;" "&amp;Milestones!$AC$105&amp;";  ","")&amp;IF(AND(EDATE($D34,Milestones!$AA$106)&lt;=AsOfDate,IF($R34=0,$X34,IF(AND($T34&lt;&gt;"",EDATE($D34,Milestones!$AA$106)&gt;=$T34),$W34,IF(AND($S34&lt;&gt;"",EDATE($D34,Milestones!$AA$106)&gt;=$S34),$V34,$U34)))=Milestones!$AB$106),UPPER(TEXT(EDATE($D34,Milestones!$AA$106),"dd mmm yy"))&amp;" "&amp;Milestones!$AB$106&amp;" "&amp;Milestones!$AC$106&amp;";  ","")&amp;IF(AND(EDATE($D34,Milestones!$AA$107)&lt;=AsOfDate,IF($R34=0,$X34,IF(AND($T34&lt;&gt;"",EDATE($D34,Milestones!$AA$107)&gt;=$T34),$W34,IF(AND($S34&lt;&gt;"",EDATE($D34,Milestones!$AA$107)&gt;=$S34),$V34,$U34)))=Milestones!$AB$107),UPPER(TEXT(EDATE($D34,Milestones!$AA$107),"dd mmm yy"))&amp;" "&amp;Milestones!$AB$107&amp;" "&amp;Milestones!$AC$107&amp;";  ","")&amp;IF(AND(EDATE($D34,Milestones!$AA$108)&lt;=AsOfDate,IF($R34=0,$X34,IF(AND($T34&lt;&gt;"",EDATE($D34,Milestones!$AA$108)&gt;=$T34),$W34,IF(AND($S34&lt;&gt;"",EDATE($D34,Milestones!$AA$108)&gt;=$S34),$V34,$U34)))=Milestones!$AB$108),UPPER(TEXT(EDATE($D34,Milestones!$AA$108),"dd mmm yy"))&amp;" "&amp;Milestones!$AB$108&amp;" "&amp;Milestones!$AC$108&amp;";  ","")&amp;IF(AND(EDATE($D34,Milestones!$AA$109)&lt;=AsOfDate,IF($R34=0,$X34,IF(AND($T34&lt;&gt;"",EDATE($D34,Milestones!$AA$109)&gt;=$T34),$W34,IF(AND($S34&lt;&gt;"",EDATE($D34,Milestones!$AA$109)&gt;=$S34),$V34,$U34)))=Milestones!$AB$109),UPPER(TEXT(EDATE($D34,Milestones!$AA$109),"dd mmm yy"))&amp;" "&amp;Milestones!$AB$109&amp;" "&amp;Milestones!$AC$109&amp;";  ","")&amp;IF(AND(EDATE($D34,Milestones!$AA$110)&lt;=AsOfDate,IF($R34=0,$X34,IF(AND($T34&lt;&gt;"",EDATE($D34,Milestones!$AA$110)&gt;=$T34),$W34,IF(AND($S34&lt;&gt;"",EDATE($D34,Milestones!$AA$110)&gt;=$S34),$V34,$U34)))=Milestones!$AB$110),UPPER(TEXT(EDATE($D34,Milestones!$AA$110),"dd mmm yy"))&amp;" "&amp;Milestones!$AB$110&amp;" "&amp;Milestones!$AC$110&amp;";  ","")&amp;IF(AND(EDATE($D34,Milestones!$AA$111)&lt;=AsOfDate,IF($R34=0,$X34,IF(AND($T34&lt;&gt;"",EDATE($D34,Milestones!$AA$111)&gt;=$T34),$W34,IF(AND($S34&lt;&gt;"",EDATE($D34,Milestones!$AA$111)&gt;=$S34),$V34,$U34)))=Milestones!$AB$111),UPPER(TEXT(EDATE($D34,Milestones!$AA$111),"dd mmm yy"))&amp;" "&amp;Milestones!$AB$111&amp;" "&amp;Milestones!$AC$111&amp;";  ","")&amp;IF(AND(EDATE($D34,Milestones!$AA$112)&lt;=AsOfDate,IF($R34=0,$X34,IF(AND($T34&lt;&gt;"",EDATE($D34,Milestones!$AA$112)&gt;=$T34),$W34,IF(AND($S34&lt;&gt;"",EDATE($D34,Milestones!$AA$112)&gt;=$S34),$V34,$U34)))=Milestones!$AB$112),UPPER(TEXT(EDATE($D34,Milestones!$AA$112),"dd mmm yy"))&amp;" "&amp;Milestones!$AB$112&amp;" "&amp;Milestones!$AC$112&amp;";  ","")&amp;IF(AND(EDATE($D34,Milestones!$AA$113)&lt;=AsOfDate,IF($R34=0,$X34,IF(AND($T34&lt;&gt;"",EDATE($D34,Milestones!$AA$113)&gt;=$T34),$W34,IF(AND($S34&lt;&gt;"",EDATE($D34,Milestones!$AA$113)&gt;=$S34),$V34,$U34)))=Milestones!$AB$113),UPPER(TEXT(EDATE($D34,Milestones!$AA$113),"dd mmm yy"))&amp;" "&amp;Milestones!$AB$113&amp;" "&amp;Milestones!$AC$113&amp;";  ","")&amp;IF(AND(EDATE($D34,Milestones!$AA$114)&lt;=AsOfDate,IF($R34=0,$X34,IF(AND($T34&lt;&gt;"",EDATE($D34,Milestones!$AA$114)&gt;=$T34),$W34,IF(AND($S34&lt;&gt;"",EDATE($D34,Milestones!$AA$114)&gt;=$S34),$V34,$U34)))=Milestones!$AB$114),UPPER(TEXT(EDATE($D34,Milestones!$AA$114),"dd mmm yy"))&amp;" "&amp;Milestones!$AB$114&amp;" "&amp;Milestones!$AC$114&amp;";  ","")&amp;IF(AND(EDATE($D34,Milestones!$AA$115)&lt;=AsOfDate,IF($R34=0,$X34,IF(AND($T34&lt;&gt;"",EDATE($D34,Milestones!$AA$115)&gt;=$T34),$W34,IF(AND($S34&lt;&gt;"",EDATE($D34,Milestones!$AA$115)&gt;=$S34),$V34,$U34)))=Milestones!$AB$115),UPPER(TEXT(EDATE($D34,Milestones!$AA$115),"dd mmm yy"))&amp;" "&amp;Milestones!$AB$115&amp;" "&amp;Milestones!$AC$115&amp;";  ","")&amp;IF(AND(EDATE($D34,Milestones!$AA$116)&lt;=AsOfDate,IF($R34=0,$X34,IF(AND($T34&lt;&gt;"",EDATE($D34,Milestones!$AA$116)&gt;=$T34),$W34,IF(AND($S34&lt;&gt;"",EDATE($D34,Milestones!$AA$116)&gt;=$S34),$V34,$U34)))=Milestones!$AB$116),UPPER(TEXT(EDATE($D34,Milestones!$AA$116),"dd mmm yy"))&amp;" "&amp;Milestones!$AB$116&amp;" "&amp;Milestones!$AC$116&amp;";  ","")&amp;IF(AND(EDATE($D34,Milestones!$AA$117)&lt;=AsOfDate,IF($R34=0,$X34,IF(AND($T34&lt;&gt;"",EDATE($D34,Milestones!$AA$117)&gt;=$T34),$W34,IF(AND($S34&lt;&gt;"",EDATE($D34,Milestones!$AA$117)&gt;=$S34),$V34,$U34)))=Milestones!$AB$117),UPPER(TEXT(EDATE($D34,Milestones!$AA$117),"dd mmm yy"))&amp;" "&amp;Milestones!$AB$117&amp;" "&amp;Milestones!$AC$117&amp;";  ","")&amp;IF(AND(EDATE($D34,Milestones!$AA$118)&lt;=AsOfDate,IF($R34=0,$X34,IF(AND($T34&lt;&gt;"",EDATE($D34,Milestones!$AA$118)&gt;=$T34),$W34,IF(AND($S34&lt;&gt;"",EDATE($D34,Milestones!$AA$118)&gt;=$S34),$V34,$U34)))=Milestones!$AB$118),UPPER(TEXT(EDATE($D34,Milestones!$AA$118),"dd mmm yy"))&amp;" "&amp;Milestones!$AB$118&amp;" "&amp;Milestones!$AC$118&amp;";  ","")&amp;IF(AND(EDATE($D34,Milestones!$AA$119)&lt;=AsOfDate,IF($R34=0,$X34,IF(AND($T34&lt;&gt;"",EDATE($D34,Milestones!$AA$119)&gt;=$T34),$W34,IF(AND($S34&lt;&gt;"",EDATE($D34,Milestones!$AA$119)&gt;=$S34),$V34,$U34)))=Milestones!$AB$119),UPPER(TEXT(EDATE($D34,Milestones!$AA$119),"dd mmm yy"))&amp;" "&amp;Milestones!$AB$119&amp;" "&amp;Milestones!$AC$119&amp;";  ",""))</f>
        <v/>
      </c>
      <c r="N34" s="0" t="str">
        <f aca="false">IF(OR($A34="",$D34=""),"",IF(AND(EDATE($D34,Milestones!$AA$120)&lt;=AsOfDate,IF($R34=0,$X34,IF(AND($T34&lt;&gt;"",EDATE($D34,Milestones!$AA$120)&gt;=$T34),$W34,IF(AND($S34&lt;&gt;"",EDATE($D34,Milestones!$AA$120)&gt;=$S34),$V34,$U34)))=Milestones!$AB$120),UPPER(TEXT(EDATE($D34,Milestones!$AA$120),"dd mmm yy"))&amp;" "&amp;Milestones!$AB$120&amp;" "&amp;Milestones!$AC$120&amp;";  ","")&amp;IF(AND(EDATE($D34,Milestones!$AA$121)&lt;=AsOfDate,IF($R34=0,$X34,IF(AND($T34&lt;&gt;"",EDATE($D34,Milestones!$AA$121)&gt;=$T34),$W34,IF(AND($S34&lt;&gt;"",EDATE($D34,Milestones!$AA$121)&gt;=$S34),$V34,$U34)))=Milestones!$AB$121),UPPER(TEXT(EDATE($D34,Milestones!$AA$121),"dd mmm yy"))&amp;" "&amp;Milestones!$AB$121&amp;" "&amp;Milestones!$AC$121&amp;";  ","")&amp;IF(AND(EDATE($D34,Milestones!$AA$122)&lt;=AsOfDate,IF($R34=0,$X34,IF(AND($T34&lt;&gt;"",EDATE($D34,Milestones!$AA$122)&gt;=$T34),$W34,IF(AND($S34&lt;&gt;"",EDATE($D34,Milestones!$AA$122)&gt;=$S34),$V34,$U34)))=Milestones!$AB$122),UPPER(TEXT(EDATE($D34,Milestones!$AA$122),"dd mmm yy"))&amp;" "&amp;Milestones!$AB$122&amp;" "&amp;Milestones!$AC$122&amp;";  ","")&amp;IF(AND(EDATE($D34,Milestones!$AA$123)&lt;=AsOfDate,IF($R34=0,$X34,IF(AND($T34&lt;&gt;"",EDATE($D34,Milestones!$AA$123)&gt;=$T34),$W34,IF(AND($S34&lt;&gt;"",EDATE($D34,Milestones!$AA$123)&gt;=$S34),$V34,$U34)))=Milestones!$AB$123),UPPER(TEXT(EDATE($D34,Milestones!$AA$123),"dd mmm yy"))&amp;" "&amp;Milestones!$AB$123&amp;" "&amp;Milestones!$AC$123&amp;";  ","")&amp;IF(AND(EDATE($D34,Milestones!$AA$124)&lt;=AsOfDate,IF($R34=0,$X34,IF(AND($T34&lt;&gt;"",EDATE($D34,Milestones!$AA$124)&gt;=$T34),$W34,IF(AND($S34&lt;&gt;"",EDATE($D34,Milestones!$AA$124)&gt;=$S34),$V34,$U34)))=Milestones!$AB$124),UPPER(TEXT(EDATE($D34,Milestones!$AA$124),"dd mmm yy"))&amp;" "&amp;Milestones!$AB$124&amp;" "&amp;Milestones!$AC$124&amp;";  ","")&amp;IF(AND(EDATE($D34,Milestones!$AA$125)&lt;=AsOfDate,IF($R34=0,$X34,IF(AND($T34&lt;&gt;"",EDATE($D34,Milestones!$AA$125)&gt;=$T34),$W34,IF(AND($S34&lt;&gt;"",EDATE($D34,Milestones!$AA$125)&gt;=$S34),$V34,$U34)))=Milestones!$AB$125),UPPER(TEXT(EDATE($D34,Milestones!$AA$125),"dd mmm yy"))&amp;" "&amp;Milestones!$AB$125&amp;" "&amp;Milestones!$AC$125&amp;";  ","")&amp;IF(AND(EDATE($D34,Milestones!$AA$126)&lt;=AsOfDate,IF($R34=0,$X34,IF(AND($T34&lt;&gt;"",EDATE($D34,Milestones!$AA$126)&gt;=$T34),$W34,IF(AND($S34&lt;&gt;"",EDATE($D34,Milestones!$AA$126)&gt;=$S34),$V34,$U34)))=Milestones!$AB$126),UPPER(TEXT(EDATE($D34,Milestones!$AA$126),"dd mmm yy"))&amp;" "&amp;Milestones!$AB$126&amp;" "&amp;Milestones!$AC$126&amp;";  ","")&amp;IF(AND(EDATE($D34,Milestones!$AA$127)&lt;=AsOfDate,IF($R34=0,$X34,IF(AND($T34&lt;&gt;"",EDATE($D34,Milestones!$AA$127)&gt;=$T34),$W34,IF(AND($S34&lt;&gt;"",EDATE($D34,Milestones!$AA$127)&gt;=$S34),$V34,$U34)))=Milestones!$AB$127),UPPER(TEXT(EDATE($D34,Milestones!$AA$127),"dd mmm yy"))&amp;" "&amp;Milestones!$AB$127&amp;" "&amp;Milestones!$AC$127&amp;";  ","")&amp;IF(AND(EDATE($D34,Milestones!$AA$128)&lt;=AsOfDate,IF($R34=0,$X34,IF(AND($T34&lt;&gt;"",EDATE($D34,Milestones!$AA$128)&gt;=$T34),$W34,IF(AND($S34&lt;&gt;"",EDATE($D34,Milestones!$AA$128)&gt;=$S34),$V34,$U34)))=Milestones!$AB$128),UPPER(TEXT(EDATE($D34,Milestones!$AA$128),"dd mmm yy"))&amp;" "&amp;Milestones!$AB$128&amp;" "&amp;Milestones!$AC$128&amp;";  ","")&amp;IF(AND(EDATE($D34,Milestones!$AA$129)&lt;=AsOfDate,IF($R34=0,$X34,IF(AND($T34&lt;&gt;"",EDATE($D34,Milestones!$AA$129)&gt;=$T34),$W34,IF(AND($S34&lt;&gt;"",EDATE($D34,Milestones!$AA$129)&gt;=$S34),$V34,$U34)))=Milestones!$AB$129),UPPER(TEXT(EDATE($D34,Milestones!$AA$129),"dd mmm yy"))&amp;" "&amp;Milestones!$AB$129&amp;" "&amp;Milestones!$AC$129&amp;";  ","")&amp;IF(AND(EDATE($D34,Milestones!$AA$130)&lt;=AsOfDate,IF($R34=0,$X34,IF(AND($T34&lt;&gt;"",EDATE($D34,Milestones!$AA$130)&gt;=$T34),$W34,IF(AND($S34&lt;&gt;"",EDATE($D34,Milestones!$AA$130)&gt;=$S34),$V34,$U34)))=Milestones!$AB$130),UPPER(TEXT(EDATE($D34,Milestones!$AA$130),"dd mmm yy"))&amp;" "&amp;Milestones!$AB$130&amp;" "&amp;Milestones!$AC$130&amp;";  ","")&amp;IF(AND(EDATE($D34,Milestones!$AA$131)&lt;=AsOfDate,IF($R34=0,$X34,IF(AND($T34&lt;&gt;"",EDATE($D34,Milestones!$AA$131)&gt;=$T34),$W34,IF(AND($S34&lt;&gt;"",EDATE($D34,Milestones!$AA$131)&gt;=$S34),$V34,$U34)))=Milestones!$AB$131),UPPER(TEXT(EDATE($D34,Milestones!$AA$131),"dd mmm yy"))&amp;" "&amp;Milestones!$AB$131&amp;" "&amp;Milestones!$AC$131&amp;";  ","")&amp;IF(AND(EDATE($D34,Milestones!$AA$132)&lt;=AsOfDate,IF($R34=0,$X34,IF(AND($T34&lt;&gt;"",EDATE($D34,Milestones!$AA$132)&gt;=$T34),$W34,IF(AND($S34&lt;&gt;"",EDATE($D34,Milestones!$AA$132)&gt;=$S34),$V34,$U34)))=Milestones!$AB$132),UPPER(TEXT(EDATE($D34,Milestones!$AA$132),"dd mmm yy"))&amp;" "&amp;Milestones!$AB$132&amp;" "&amp;Milestones!$AC$132&amp;";  ","")&amp;IF(AND(EDATE($D34,Milestones!$AA$133)&lt;=AsOfDate,IF($R34=0,$X34,IF(AND($T34&lt;&gt;"",EDATE($D34,Milestones!$AA$133)&gt;=$T34),$W34,IF(AND($S34&lt;&gt;"",EDATE($D34,Milestones!$AA$133)&gt;=$S34),$V34,$U34)))=Milestones!$AB$133),UPPER(TEXT(EDATE($D34,Milestones!$AA$133),"dd mmm yy"))&amp;" "&amp;Milestones!$AB$133&amp;" "&amp;Milestones!$AC$133&amp;";  ","")&amp;IF(AND(EDATE($D34,Milestones!$AA$134)&lt;=AsOfDate,IF($R34=0,$X34,IF(AND($T34&lt;&gt;"",EDATE($D34,Milestones!$AA$134)&gt;=$T34),$W34,IF(AND($S34&lt;&gt;"",EDATE($D34,Milestones!$AA$134)&gt;=$S34),$V34,$U34)))=Milestones!$AB$134),UPPER(TEXT(EDATE($D34,Milestones!$AA$134),"dd mmm yy"))&amp;" "&amp;Milestones!$AB$134&amp;" "&amp;Milestones!$AC$134&amp;";  ","")&amp;IF(AND(EDATE($D34,Milestones!$AA$135)&lt;=AsOfDate,IF($R34=0,$X34,IF(AND($T34&lt;&gt;"",EDATE($D34,Milestones!$AA$135)&gt;=$T34),$W34,IF(AND($S34&lt;&gt;"",EDATE($D34,Milestones!$AA$135)&gt;=$S34),$V34,$U34)))=Milestones!$AB$135),UPPER(TEXT(EDATE($D34,Milestones!$AA$135),"dd mmm yy"))&amp;" "&amp;Milestones!$AB$135&amp;" "&amp;Milestones!$AC$135&amp;";  ","")&amp;IF(AND(EDATE($D34,Milestones!$AA$136)&lt;=AsOfDate,IF($R34=0,$X34,IF(AND($T34&lt;&gt;"",EDATE($D34,Milestones!$AA$136)&gt;=$T34),$W34,IF(AND($S34&lt;&gt;"",EDATE($D34,Milestones!$AA$136)&gt;=$S34),$V34,$U34)))=Milestones!$AB$136),UPPER(TEXT(EDATE($D34,Milestones!$AA$136),"dd mmm yy"))&amp;" "&amp;Milestones!$AB$136&amp;" "&amp;Milestones!$AC$136&amp;";  ","")&amp;IF(AND(EDATE($D34,Milestones!$AA$137)&lt;=AsOfDate,IF($R34=0,$X34,IF(AND($T34&lt;&gt;"",EDATE($D34,Milestones!$AA$137)&gt;=$T34),$W34,IF(AND($S34&lt;&gt;"",EDATE($D34,Milestones!$AA$137)&gt;=$S34),$V34,$U34)))=Milestones!$AB$137),UPPER(TEXT(EDATE($D34,Milestones!$AA$137),"dd mmm yy"))&amp;" "&amp;Milestones!$AB$137&amp;" "&amp;Milestones!$AC$137&amp;";  ","")&amp;IF(AND(EDATE($D34,Milestones!$AA$138)&lt;=AsOfDate,IF($R34=0,$X34,IF(AND($T34&lt;&gt;"",EDATE($D34,Milestones!$AA$138)&gt;=$T34),$W34,IF(AND($S34&lt;&gt;"",EDATE($D34,Milestones!$AA$138)&gt;=$S34),$V34,$U34)))=Milestones!$AB$138),UPPER(TEXT(EDATE($D34,Milestones!$AA$138),"dd mmm yy"))&amp;" "&amp;Milestones!$AB$138&amp;" "&amp;Milestones!$AC$138&amp;";  ","")&amp;IF(AND(EDATE($D34,Milestones!$AA$139)&lt;=AsOfDate,IF($R34=0,$X34,IF(AND($T34&lt;&gt;"",EDATE($D34,Milestones!$AA$139)&gt;=$T34),$W34,IF(AND($S34&lt;&gt;"",EDATE($D34,Milestones!$AA$139)&gt;=$S34),$V34,$U34)))=Milestones!$AB$139),UPPER(TEXT(EDATE($D34,Milestones!$AA$139),"dd mmm yy"))&amp;" "&amp;Milestones!$AB$139&amp;" "&amp;Milestones!$AC$139&amp;";  ",""))</f>
        <v/>
      </c>
      <c r="O34" s="0" t="str">
        <f aca="false">IF(OR($A34="",$D34=""),"",IF(AND(EDATE($D34,Milestones!$AA$140)&lt;=AsOfDate,IF($R34=0,$X34,IF(AND($T34&lt;&gt;"",EDATE($D34,Milestones!$AA$140)&gt;=$T34),$W34,IF(AND($S34&lt;&gt;"",EDATE($D34,Milestones!$AA$140)&gt;=$S34),$V34,$U34)))=Milestones!$AB$140),UPPER(TEXT(EDATE($D34,Milestones!$AA$140),"dd mmm yy"))&amp;" "&amp;Milestones!$AB$140&amp;" "&amp;Milestones!$AC$140&amp;";  ","")&amp;IF(AND(EDATE($D34,Milestones!$AA$141)&lt;=AsOfDate,IF($R34=0,$X34,IF(AND($T34&lt;&gt;"",EDATE($D34,Milestones!$AA$141)&gt;=$T34),$W34,IF(AND($S34&lt;&gt;"",EDATE($D34,Milestones!$AA$141)&gt;=$S34),$V34,$U34)))=Milestones!$AB$141),UPPER(TEXT(EDATE($D34,Milestones!$AA$141),"dd mmm yy"))&amp;" "&amp;Milestones!$AB$141&amp;" "&amp;Milestones!$AC$141&amp;";  ","")&amp;IF(AND(EDATE($D34,Milestones!$AA$142)&lt;=AsOfDate,IF($R34=0,$X34,IF(AND($T34&lt;&gt;"",EDATE($D34,Milestones!$AA$142)&gt;=$T34),$W34,IF(AND($S34&lt;&gt;"",EDATE($D34,Milestones!$AA$142)&gt;=$S34),$V34,$U34)))=Milestones!$AB$142),UPPER(TEXT(EDATE($D34,Milestones!$AA$142),"dd mmm yy"))&amp;" "&amp;Milestones!$AB$142&amp;" "&amp;Milestones!$AC$142&amp;";  ","")&amp;IF(AND(EDATE($D34,Milestones!$AA$143)&lt;=AsOfDate,IF($R34=0,$X34,IF(AND($T34&lt;&gt;"",EDATE($D34,Milestones!$AA$143)&gt;=$T34),$W34,IF(AND($S34&lt;&gt;"",EDATE($D34,Milestones!$AA$143)&gt;=$S34),$V34,$U34)))=Milestones!$AB$143),UPPER(TEXT(EDATE($D34,Milestones!$AA$143),"dd mmm yy"))&amp;" "&amp;Milestones!$AB$143&amp;" "&amp;Milestones!$AC$143&amp;";  ","")&amp;IF(AND(EDATE($D34,Milestones!$AA$144)&lt;=AsOfDate,IF($R34=0,$X34,IF(AND($T34&lt;&gt;"",EDATE($D34,Milestones!$AA$144)&gt;=$T34),$W34,IF(AND($S34&lt;&gt;"",EDATE($D34,Milestones!$AA$144)&gt;=$S34),$V34,$U34)))=Milestones!$AB$144),UPPER(TEXT(EDATE($D34,Milestones!$AA$144),"dd mmm yy"))&amp;" "&amp;Milestones!$AB$144&amp;" "&amp;Milestones!$AC$144&amp;";  ","")&amp;IF(AND(EDATE($D34,Milestones!$AA$145)&lt;=AsOfDate,IF($R34=0,$X34,IF(AND($T34&lt;&gt;"",EDATE($D34,Milestones!$AA$145)&gt;=$T34),$W34,IF(AND($S34&lt;&gt;"",EDATE($D34,Milestones!$AA$145)&gt;=$S34),$V34,$U34)))=Milestones!$AB$145),UPPER(TEXT(EDATE($D34,Milestones!$AA$145),"dd mmm yy"))&amp;" "&amp;Milestones!$AB$145&amp;" "&amp;Milestones!$AC$145&amp;";  ","")&amp;IF(AND(EDATE($D34,Milestones!$AA$146)&lt;=AsOfDate,IF($R34=0,$X34,IF(AND($T34&lt;&gt;"",EDATE($D34,Milestones!$AA$146)&gt;=$T34),$W34,IF(AND($S34&lt;&gt;"",EDATE($D34,Milestones!$AA$146)&gt;=$S34),$V34,$U34)))=Milestones!$AB$146),UPPER(TEXT(EDATE($D34,Milestones!$AA$146),"dd mmm yy"))&amp;" "&amp;Milestones!$AB$146&amp;" "&amp;Milestones!$AC$146&amp;";  ","")&amp;IF(AND(EDATE($D34,Milestones!$AA$147)&lt;=AsOfDate,IF($R34=0,$X34,IF(AND($T34&lt;&gt;"",EDATE($D34,Milestones!$AA$147)&gt;=$T34),$W34,IF(AND($S34&lt;&gt;"",EDATE($D34,Milestones!$AA$147)&gt;=$S34),$V34,$U34)))=Milestones!$AB$147),UPPER(TEXT(EDATE($D34,Milestones!$AA$147),"dd mmm yy"))&amp;" "&amp;Milestones!$AB$147&amp;" "&amp;Milestones!$AC$147&amp;";  ","")&amp;IF(AND(EDATE($D34,Milestones!$AA$148)&lt;=AsOfDate,IF($R34=0,$X34,IF(AND($T34&lt;&gt;"",EDATE($D34,Milestones!$AA$148)&gt;=$T34),$W34,IF(AND($S34&lt;&gt;"",EDATE($D34,Milestones!$AA$148)&gt;=$S34),$V34,$U34)))=Milestones!$AB$148),UPPER(TEXT(EDATE($D34,Milestones!$AA$148),"dd mmm yy"))&amp;" "&amp;Milestones!$AB$148&amp;" "&amp;Milestones!$AC$148&amp;";  ","")&amp;IF(AND(EDATE($D34,Milestones!$AA$149)&lt;=AsOfDate,IF($R34=0,$X34,IF(AND($T34&lt;&gt;"",EDATE($D34,Milestones!$AA$149)&gt;=$T34),$W34,IF(AND($S34&lt;&gt;"",EDATE($D34,Milestones!$AA$149)&gt;=$S34),$V34,$U34)))=Milestones!$AB$149),UPPER(TEXT(EDATE($D34,Milestones!$AA$149),"dd mmm yy"))&amp;" "&amp;Milestones!$AB$149&amp;" "&amp;Milestones!$AC$149&amp;";  ","")&amp;IF(AND(EDATE($D34,Milestones!$AA$150)&lt;=AsOfDate,IF($R34=0,$X34,IF(AND($T34&lt;&gt;"",EDATE($D34,Milestones!$AA$150)&gt;=$T34),$W34,IF(AND($S34&lt;&gt;"",EDATE($D34,Milestones!$AA$150)&gt;=$S34),$V34,$U34)))=Milestones!$AB$150),UPPER(TEXT(EDATE($D34,Milestones!$AA$150),"dd mmm yy"))&amp;" "&amp;Milestones!$AB$150&amp;" "&amp;Milestones!$AC$150&amp;";  ","")&amp;IF(AND(EDATE($D34,Milestones!$AA$151)&lt;=AsOfDate,IF($R34=0,$X34,IF(AND($T34&lt;&gt;"",EDATE($D34,Milestones!$AA$151)&gt;=$T34),$W34,IF(AND($S34&lt;&gt;"",EDATE($D34,Milestones!$AA$151)&gt;=$S34),$V34,$U34)))=Milestones!$AB$151),UPPER(TEXT(EDATE($D34,Milestones!$AA$151),"dd mmm yy"))&amp;" "&amp;Milestones!$AB$151&amp;" "&amp;Milestones!$AC$151&amp;";  ","")&amp;IF(AND(EDATE($D34,Milestones!$AA$152)&lt;=AsOfDate,IF($R34=0,$X34,IF(AND($T34&lt;&gt;"",EDATE($D34,Milestones!$AA$152)&gt;=$T34),$W34,IF(AND($S34&lt;&gt;"",EDATE($D34,Milestones!$AA$152)&gt;=$S34),$V34,$U34)))=Milestones!$AB$152),UPPER(TEXT(EDATE($D34,Milestones!$AA$152),"dd mmm yy"))&amp;" "&amp;Milestones!$AB$152&amp;" "&amp;Milestones!$AC$152&amp;";  ","")&amp;IF(AND(EDATE($D34,Milestones!$AA$153)&lt;=AsOfDate,IF($R34=0,$X34,IF(AND($T34&lt;&gt;"",EDATE($D34,Milestones!$AA$153)&gt;=$T34),$W34,IF(AND($S34&lt;&gt;"",EDATE($D34,Milestones!$AA$153)&gt;=$S34),$V34,$U34)))=Milestones!$AB$153),UPPER(TEXT(EDATE($D34,Milestones!$AA$153),"dd mmm yy"))&amp;" "&amp;Milestones!$AB$153&amp;" "&amp;Milestones!$AC$153&amp;";  ","")&amp;IF(AND(EDATE($D34,Milestones!$AA$154)&lt;=AsOfDate,IF($R34=0,$X34,IF(AND($T34&lt;&gt;"",EDATE($D34,Milestones!$AA$154)&gt;=$T34),$W34,IF(AND($S34&lt;&gt;"",EDATE($D34,Milestones!$AA$154)&gt;=$S34),$V34,$U34)))=Milestones!$AB$154),UPPER(TEXT(EDATE($D34,Milestones!$AA$154),"dd mmm yy"))&amp;" "&amp;Milestones!$AB$154&amp;" "&amp;Milestones!$AC$154&amp;";  ","")&amp;IF(AND(EDATE($D34,Milestones!$AA$155)&lt;=AsOfDate,IF($R34=0,$X34,IF(AND($T34&lt;&gt;"",EDATE($D34,Milestones!$AA$155)&gt;=$T34),$W34,IF(AND($S34&lt;&gt;"",EDATE($D34,Milestones!$AA$155)&gt;=$S34),$V34,$U34)))=Milestones!$AB$155),UPPER(TEXT(EDATE($D34,Milestones!$AA$155),"dd mmm yy"))&amp;" "&amp;Milestones!$AB$155&amp;" "&amp;Milestones!$AC$155&amp;";  ","")&amp;IF(AND(EDATE($D34,Milestones!$AA$156)&lt;=AsOfDate,IF($R34=0,$X34,IF(AND($T34&lt;&gt;"",EDATE($D34,Milestones!$AA$156)&gt;=$T34),$W34,IF(AND($S34&lt;&gt;"",EDATE($D34,Milestones!$AA$156)&gt;=$S34),$V34,$U34)))=Milestones!$AB$156),UPPER(TEXT(EDATE($D34,Milestones!$AA$156),"dd mmm yy"))&amp;" "&amp;Milestones!$AB$156&amp;" "&amp;Milestones!$AC$156&amp;";  ","")&amp;IF(AND(EDATE($D34,Milestones!$AA$157)&lt;=AsOfDate,IF($R34=0,$X34,IF(AND($T34&lt;&gt;"",EDATE($D34,Milestones!$AA$157)&gt;=$T34),$W34,IF(AND($S34&lt;&gt;"",EDATE($D34,Milestones!$AA$157)&gt;=$S34),$V34,$U34)))=Milestones!$AB$157),UPPER(TEXT(EDATE($D34,Milestones!$AA$157),"dd mmm yy"))&amp;" "&amp;Milestones!$AB$157&amp;" "&amp;Milestones!$AC$157&amp;";  ","")&amp;IF(AND(EDATE($D34,Milestones!$AA$158)&lt;=AsOfDate,IF($R34=0,$X34,IF(AND($T34&lt;&gt;"",EDATE($D34,Milestones!$AA$158)&gt;=$T34),$W34,IF(AND($S34&lt;&gt;"",EDATE($D34,Milestones!$AA$158)&gt;=$S34),$V34,$U34)))=Milestones!$AB$158),UPPER(TEXT(EDATE($D34,Milestones!$AA$158),"dd mmm yy"))&amp;" "&amp;Milestones!$AB$158&amp;" "&amp;Milestones!$AC$158&amp;";  ","")&amp;IF(AND(EDATE($D34,Milestones!$AA$159)&lt;=AsOfDate,IF($R34=0,$X34,IF(AND($T34&lt;&gt;"",EDATE($D34,Milestones!$AA$159)&gt;=$T34),$W34,IF(AND($S34&lt;&gt;"",EDATE($D34,Milestones!$AA$159)&gt;=$S34),$V34,$U34)))=Milestones!$AB$159),UPPER(TEXT(EDATE($D34,Milestones!$AA$159),"dd mmm yy"))&amp;" "&amp;Milestones!$AB$159&amp;" "&amp;Milestones!$AC$159&amp;";  ",""))</f>
        <v/>
      </c>
      <c r="P34" s="0" t="str">
        <f aca="false">IF(OR($A34="",$D34=""),"",IF(AND(EDATE($D34,Milestones!$AA$160)&lt;=AsOfDate,IF($R34=0,$X34,IF(AND($T34&lt;&gt;"",EDATE($D34,Milestones!$AA$160)&gt;=$T34),$W34,IF(AND($S34&lt;&gt;"",EDATE($D34,Milestones!$AA$160)&gt;=$S34),$V34,$U34)))=Milestones!$AB$160),UPPER(TEXT(EDATE($D34,Milestones!$AA$160),"dd mmm yy"))&amp;" "&amp;Milestones!$AB$160&amp;" "&amp;Milestones!$AC$160&amp;";  ","")&amp;IF(AND(EDATE($D34,Milestones!$AA$161)&lt;=AsOfDate,IF($R34=0,$X34,IF(AND($T34&lt;&gt;"",EDATE($D34,Milestones!$AA$161)&gt;=$T34),$W34,IF(AND($S34&lt;&gt;"",EDATE($D34,Milestones!$AA$161)&gt;=$S34),$V34,$U34)))=Milestones!$AB$161),UPPER(TEXT(EDATE($D34,Milestones!$AA$161),"dd mmm yy"))&amp;" "&amp;Milestones!$AB$161&amp;" "&amp;Milestones!$AC$161&amp;";  ","")&amp;IF(AND(EDATE($D34,Milestones!$AA$162)&lt;=AsOfDate,IF($R34=0,$X34,IF(AND($T34&lt;&gt;"",EDATE($D34,Milestones!$AA$162)&gt;=$T34),$W34,IF(AND($S34&lt;&gt;"",EDATE($D34,Milestones!$AA$162)&gt;=$S34),$V34,$U34)))=Milestones!$AB$162),UPPER(TEXT(EDATE($D34,Milestones!$AA$162),"dd mmm yy"))&amp;" "&amp;Milestones!$AB$162&amp;" "&amp;Milestones!$AC$162&amp;";  ","")&amp;IF(AND(EDATE($D34,Milestones!$AA$163)&lt;=AsOfDate,IF($R34=0,$X34,IF(AND($T34&lt;&gt;"",EDATE($D34,Milestones!$AA$163)&gt;=$T34),$W34,IF(AND($S34&lt;&gt;"",EDATE($D34,Milestones!$AA$163)&gt;=$S34),$V34,$U34)))=Milestones!$AB$163),UPPER(TEXT(EDATE($D34,Milestones!$AA$163),"dd mmm yy"))&amp;" "&amp;Milestones!$AB$163&amp;" "&amp;Milestones!$AC$163&amp;";  ","")&amp;IF(AND(EDATE($D34,Milestones!$AA$164)&lt;=AsOfDate,IF($R34=0,$X34,IF(AND($T34&lt;&gt;"",EDATE($D34,Milestones!$AA$164)&gt;=$T34),$W34,IF(AND($S34&lt;&gt;"",EDATE($D34,Milestones!$AA$164)&gt;=$S34),$V34,$U34)))=Milestones!$AB$164),UPPER(TEXT(EDATE($D34,Milestones!$AA$164),"dd mmm yy"))&amp;" "&amp;Milestones!$AB$164&amp;" "&amp;Milestones!$AC$164&amp;";  ","")&amp;IF(AND(EDATE($D34,Milestones!$AA$165)&lt;=AsOfDate,IF($R34=0,$X34,IF(AND($T34&lt;&gt;"",EDATE($D34,Milestones!$AA$165)&gt;=$T34),$W34,IF(AND($S34&lt;&gt;"",EDATE($D34,Milestones!$AA$165)&gt;=$S34),$V34,$U34)))=Milestones!$AB$165),UPPER(TEXT(EDATE($D34,Milestones!$AA$165),"dd mmm yy"))&amp;" "&amp;Milestones!$AB$165&amp;" "&amp;Milestones!$AC$165&amp;";  ","")&amp;IF(AND(EDATE($D34,Milestones!$AA$166)&lt;=AsOfDate,IF($R34=0,$X34,IF(AND($T34&lt;&gt;"",EDATE($D34,Milestones!$AA$166)&gt;=$T34),$W34,IF(AND($S34&lt;&gt;"",EDATE($D34,Milestones!$AA$166)&gt;=$S34),$V34,$U34)))=Milestones!$AB$166),UPPER(TEXT(EDATE($D34,Milestones!$AA$166),"dd mmm yy"))&amp;" "&amp;Milestones!$AB$166&amp;" "&amp;Milestones!$AC$166&amp;";  ","")&amp;IF(AND(EDATE($D34,Milestones!$AA$167)&lt;=AsOfDate,IF($R34=0,$X34,IF(AND($T34&lt;&gt;"",EDATE($D34,Milestones!$AA$167)&gt;=$T34),$W34,IF(AND($S34&lt;&gt;"",EDATE($D34,Milestones!$AA$167)&gt;=$S34),$V34,$U34)))=Milestones!$AB$167),UPPER(TEXT(EDATE($D34,Milestones!$AA$167),"dd mmm yy"))&amp;" "&amp;Milestones!$AB$167&amp;" "&amp;Milestones!$AC$167&amp;";  ","")&amp;IF(AND(EDATE($D34,Milestones!$AA$168)&lt;=AsOfDate,IF($R34=0,$X34,IF(AND($T34&lt;&gt;"",EDATE($D34,Milestones!$AA$168)&gt;=$T34),$W34,IF(AND($S34&lt;&gt;"",EDATE($D34,Milestones!$AA$168)&gt;=$S34),$V34,$U34)))=Milestones!$AB$168),UPPER(TEXT(EDATE($D34,Milestones!$AA$168),"dd mmm yy"))&amp;" "&amp;Milestones!$AB$168&amp;" "&amp;Milestones!$AC$168&amp;";  ","")&amp;IF(AND(EDATE($D34,Milestones!$AA$169)&lt;=AsOfDate,IF($R34=0,$X34,IF(AND($T34&lt;&gt;"",EDATE($D34,Milestones!$AA$169)&gt;=$T34),$W34,IF(AND($S34&lt;&gt;"",EDATE($D34,Milestones!$AA$169)&gt;=$S34),$V34,$U34)))=Milestones!$AB$169),UPPER(TEXT(EDATE($D34,Milestones!$AA$169),"dd mmm yy"))&amp;" "&amp;Milestones!$AB$169&amp;" "&amp;Milestones!$AC$169&amp;";  ","")&amp;IF(AND(EDATE($D34,Milestones!$AA$170)&lt;=AsOfDate,IF($R34=0,$X34,IF(AND($T34&lt;&gt;"",EDATE($D34,Milestones!$AA$170)&gt;=$T34),$W34,IF(AND($S34&lt;&gt;"",EDATE($D34,Milestones!$AA$170)&gt;=$S34),$V34,$U34)))=Milestones!$AB$170),UPPER(TEXT(EDATE($D34,Milestones!$AA$170),"dd mmm yy"))&amp;" "&amp;Milestones!$AB$170&amp;" "&amp;Milestones!$AC$170&amp;";  ","")&amp;IF(AND(EDATE($D34,Milestones!$AA$171)&lt;=AsOfDate,IF($R34=0,$X34,IF(AND($T34&lt;&gt;"",EDATE($D34,Milestones!$AA$171)&gt;=$T34),$W34,IF(AND($S34&lt;&gt;"",EDATE($D34,Milestones!$AA$171)&gt;=$S34),$V34,$U34)))=Milestones!$AB$171),UPPER(TEXT(EDATE($D34,Milestones!$AA$171),"dd mmm yy"))&amp;" "&amp;Milestones!$AB$171&amp;" "&amp;Milestones!$AC$171&amp;";  ","")&amp;IF(AND(EDATE($D34,Milestones!$AA$172)&lt;=AsOfDate,IF($R34=0,$X34,IF(AND($T34&lt;&gt;"",EDATE($D34,Milestones!$AA$172)&gt;=$T34),$W34,IF(AND($S34&lt;&gt;"",EDATE($D34,Milestones!$AA$172)&gt;=$S34),$V34,$U34)))=Milestones!$AB$172),UPPER(TEXT(EDATE($D34,Milestones!$AA$172),"dd mmm yy"))&amp;" "&amp;Milestones!$AB$172&amp;" "&amp;Milestones!$AC$172&amp;";  ","")&amp;IF(AND(EDATE($D34,Milestones!$AA$173)&lt;=AsOfDate,IF($R34=0,$X34,IF(AND($T34&lt;&gt;"",EDATE($D34,Milestones!$AA$173)&gt;=$T34),$W34,IF(AND($S34&lt;&gt;"",EDATE($D34,Milestones!$AA$173)&gt;=$S34),$V34,$U34)))=Milestones!$AB$173),UPPER(TEXT(EDATE($D34,Milestones!$AA$173),"dd mmm yy"))&amp;" "&amp;Milestones!$AB$173&amp;" "&amp;Milestones!$AC$173&amp;";  ","")&amp;IF(AND(EDATE($D34,Milestones!$AA$174)&lt;=AsOfDate,IF($R34=0,$X34,IF(AND($T34&lt;&gt;"",EDATE($D34,Milestones!$AA$174)&gt;=$T34),$W34,IF(AND($S34&lt;&gt;"",EDATE($D34,Milestones!$AA$174)&gt;=$S34),$V34,$U34)))=Milestones!$AB$174),UPPER(TEXT(EDATE($D34,Milestones!$AA$174),"dd mmm yy"))&amp;" "&amp;Milestones!$AB$174&amp;" "&amp;Milestones!$AC$174&amp;";  ","")&amp;IF(AND(EDATE($D34,Milestones!$AA$175)&lt;=AsOfDate,IF($R34=0,$X34,IF(AND($T34&lt;&gt;"",EDATE($D34,Milestones!$AA$175)&gt;=$T34),$W34,IF(AND($S34&lt;&gt;"",EDATE($D34,Milestones!$AA$175)&gt;=$S34),$V34,$U34)))=Milestones!$AB$175),UPPER(TEXT(EDATE($D34,Milestones!$AA$175),"dd mmm yy"))&amp;" "&amp;Milestones!$AB$175&amp;" "&amp;Milestones!$AC$175&amp;";  ","")&amp;IF(AND(EDATE($D34,Milestones!$AA$176)&lt;=AsOfDate,IF($R34=0,$X34,IF(AND($T34&lt;&gt;"",EDATE($D34,Milestones!$AA$176)&gt;=$T34),$W34,IF(AND($S34&lt;&gt;"",EDATE($D34,Milestones!$AA$176)&gt;=$S34),$V34,$U34)))=Milestones!$AB$176),UPPER(TEXT(EDATE($D34,Milestones!$AA$176),"dd mmm yy"))&amp;" "&amp;Milestones!$AB$176&amp;" "&amp;Milestones!$AC$176&amp;";  ","")&amp;IF(AND(EDATE($D34,Milestones!$AA$177)&lt;=AsOfDate,IF($R34=0,$X34,IF(AND($T34&lt;&gt;"",EDATE($D34,Milestones!$AA$177)&gt;=$T34),$W34,IF(AND($S34&lt;&gt;"",EDATE($D34,Milestones!$AA$177)&gt;=$S34),$V34,$U34)))=Milestones!$AB$177),UPPER(TEXT(EDATE($D34,Milestones!$AA$177),"dd mmm yy"))&amp;" "&amp;Milestones!$AB$177&amp;" "&amp;Milestones!$AC$177&amp;";  ","")&amp;IF(AND(EDATE($D34,Milestones!$AA$178)&lt;=AsOfDate,IF($R34=0,$X34,IF(AND($T34&lt;&gt;"",EDATE($D34,Milestones!$AA$178)&gt;=$T34),$W34,IF(AND($S34&lt;&gt;"",EDATE($D34,Milestones!$AA$178)&gt;=$S34),$V34,$U34)))=Milestones!$AB$178),UPPER(TEXT(EDATE($D34,Milestones!$AA$178),"dd mmm yy"))&amp;" "&amp;Milestones!$AB$178&amp;" "&amp;Milestones!$AC$178&amp;";  ","")&amp;IF(AND(EDATE($D34,Milestones!$AA$179)&lt;=AsOfDate,IF($R34=0,$X34,IF(AND($T34&lt;&gt;"",EDATE($D34,Milestones!$AA$179)&gt;=$T34),$W34,IF(AND($S34&lt;&gt;"",EDATE($D34,Milestones!$AA$179)&gt;=$S34),$V34,$U34)))=Milestones!$AB$179),UPPER(TEXT(EDATE($D34,Milestones!$AA$179),"dd mmm yy"))&amp;" "&amp;Milestones!$AB$179&amp;" "&amp;Milestones!$AC$179&amp;";  ",""))</f>
        <v/>
      </c>
      <c r="Q34" s="0" t="str">
        <f aca="false">IF(OR($A34="",$D34=""),"",IF(AND(EDATE($D34,Milestones!$AA$180)&lt;=AsOfDate,IF($R34=0,$X34,IF(AND($T34&lt;&gt;"",EDATE($D34,Milestones!$AA$180)&gt;=$T34),$W34,IF(AND($S34&lt;&gt;"",EDATE($D34,Milestones!$AA$180)&gt;=$S34),$V34,$U34)))=Milestones!$AB$180),UPPER(TEXT(EDATE($D34,Milestones!$AA$180),"dd mmm yy"))&amp;" "&amp;Milestones!$AB$180&amp;" "&amp;Milestones!$AC$180&amp;";  ","")&amp;IF(AND(EDATE($D34,Milestones!$AA$181)&lt;=AsOfDate,IF($R34=0,$X34,IF(AND($T34&lt;&gt;"",EDATE($D34,Milestones!$AA$181)&gt;=$T34),$W34,IF(AND($S34&lt;&gt;"",EDATE($D34,Milestones!$AA$181)&gt;=$S34),$V34,$U34)))=Milestones!$AB$181),UPPER(TEXT(EDATE($D34,Milestones!$AA$181),"dd mmm yy"))&amp;" "&amp;Milestones!$AB$181&amp;" "&amp;Milestones!$AC$181&amp;";  ","")&amp;IF(AND(EDATE($D34,Milestones!$AA$182)&lt;=AsOfDate,IF($R34=0,$X34,IF(AND($T34&lt;&gt;"",EDATE($D34,Milestones!$AA$182)&gt;=$T34),$W34,IF(AND($S34&lt;&gt;"",EDATE($D34,Milestones!$AA$182)&gt;=$S34),$V34,$U34)))=Milestones!$AB$182),UPPER(TEXT(EDATE($D34,Milestones!$AA$182),"dd mmm yy"))&amp;" "&amp;Milestones!$AB$182&amp;" "&amp;Milestones!$AC$182&amp;";  ","")&amp;IF(AND(EDATE($D34,Milestones!$AA$183)&lt;=AsOfDate,IF($R34=0,$X34,IF(AND($T34&lt;&gt;"",EDATE($D34,Milestones!$AA$183)&gt;=$T34),$W34,IF(AND($S34&lt;&gt;"",EDATE($D34,Milestones!$AA$183)&gt;=$S34),$V34,$U34)))=Milestones!$AB$183),UPPER(TEXT(EDATE($D34,Milestones!$AA$183),"dd mmm yy"))&amp;" "&amp;Milestones!$AB$183&amp;" "&amp;Milestones!$AC$183&amp;";  ","")&amp;IF(AND(EDATE($D34,Milestones!$AA$184)&lt;=AsOfDate,IF($R34=0,$X34,IF(AND($T34&lt;&gt;"",EDATE($D34,Milestones!$AA$184)&gt;=$T34),$W34,IF(AND($S34&lt;&gt;"",EDATE($D34,Milestones!$AA$184)&gt;=$S34),$V34,$U34)))=Milestones!$AB$184),UPPER(TEXT(EDATE($D34,Milestones!$AA$184),"dd mmm yy"))&amp;" "&amp;Milestones!$AB$184&amp;" "&amp;Milestones!$AC$184&amp;";  ","")&amp;IF(AND(EDATE($D34,Milestones!$AA$185)&lt;=AsOfDate,IF($R34=0,$X34,IF(AND($T34&lt;&gt;"",EDATE($D34,Milestones!$AA$185)&gt;=$T34),$W34,IF(AND($S34&lt;&gt;"",EDATE($D34,Milestones!$AA$185)&gt;=$S34),$V34,$U34)))=Milestones!$AB$185),UPPER(TEXT(EDATE($D34,Milestones!$AA$185),"dd mmm yy"))&amp;" "&amp;Milestones!$AB$185&amp;" "&amp;Milestones!$AC$185&amp;";  ","")&amp;IF(AND(EDATE($D34,Milestones!$AA$186)&lt;=AsOfDate,IF($R34=0,$X34,IF(AND($T34&lt;&gt;"",EDATE($D34,Milestones!$AA$186)&gt;=$T34),$W34,IF(AND($S34&lt;&gt;"",EDATE($D34,Milestones!$AA$186)&gt;=$S34),$V34,$U34)))=Milestones!$AB$186),UPPER(TEXT(EDATE($D34,Milestones!$AA$186),"dd mmm yy"))&amp;" "&amp;Milestones!$AB$186&amp;" "&amp;Milestones!$AC$186&amp;";  ","")&amp;IF(AND(EDATE($D34,Milestones!$AA$187)&lt;=AsOfDate,IF($R34=0,$X34,IF(AND($T34&lt;&gt;"",EDATE($D34,Milestones!$AA$187)&gt;=$T34),$W34,IF(AND($S34&lt;&gt;"",EDATE($D34,Milestones!$AA$187)&gt;=$S34),$V34,$U34)))=Milestones!$AB$187),UPPER(TEXT(EDATE($D34,Milestones!$AA$187),"dd mmm yy"))&amp;" "&amp;Milestones!$AB$187&amp;" "&amp;Milestones!$AC$187&amp;";  ","")&amp;IF(AND(EDATE($D34,Milestones!$AA$188)&lt;=AsOfDate,IF($R34=0,$X34,IF(AND($T34&lt;&gt;"",EDATE($D34,Milestones!$AA$188)&gt;=$T34),$W34,IF(AND($S34&lt;&gt;"",EDATE($D34,Milestones!$AA$188)&gt;=$S34),$V34,$U34)))=Milestones!$AB$188),UPPER(TEXT(EDATE($D34,Milestones!$AA$188),"dd mmm yy"))&amp;" "&amp;Milestones!$AB$188&amp;" "&amp;Milestones!$AC$188&amp;";  ","")&amp;IF(AND(EDATE($D34,Milestones!$AA$189)&lt;=AsOfDate,IF($R34=0,$X34,IF(AND($T34&lt;&gt;"",EDATE($D34,Milestones!$AA$189)&gt;=$T34),$W34,IF(AND($S34&lt;&gt;"",EDATE($D34,Milestones!$AA$189)&gt;=$S34),$V34,$U34)))=Milestones!$AB$189),UPPER(TEXT(EDATE($D34,Milestones!$AA$189),"dd mmm yy"))&amp;" "&amp;Milestones!$AB$189&amp;" "&amp;Milestones!$AC$189&amp;";  ","")&amp;IF(AND(EDATE($D34,Milestones!$AA$190)&lt;=AsOfDate,IF($R34=0,$X34,IF(AND($T34&lt;&gt;"",EDATE($D34,Milestones!$AA$190)&gt;=$T34),$W34,IF(AND($S34&lt;&gt;"",EDATE($D34,Milestones!$AA$190)&gt;=$S34),$V34,$U34)))=Milestones!$AB$190),UPPER(TEXT(EDATE($D34,Milestones!$AA$190),"dd mmm yy"))&amp;" "&amp;Milestones!$AB$190&amp;" "&amp;Milestones!$AC$190&amp;";  ","")&amp;IF(AND(EDATE($D34,Milestones!$AA$191)&lt;=AsOfDate,IF($R34=0,$X34,IF(AND($T34&lt;&gt;"",EDATE($D34,Milestones!$AA$191)&gt;=$T34),$W34,IF(AND($S34&lt;&gt;"",EDATE($D34,Milestones!$AA$191)&gt;=$S34),$V34,$U34)))=Milestones!$AB$191),UPPER(TEXT(EDATE($D34,Milestones!$AA$191),"dd mmm yy"))&amp;" "&amp;Milestones!$AB$191&amp;" "&amp;Milestones!$AC$191&amp;";  ","")&amp;IF(AND(EDATE($D34,Milestones!$AA$192)&lt;=AsOfDate,IF($R34=0,$X34,IF(AND($T34&lt;&gt;"",EDATE($D34,Milestones!$AA$192)&gt;=$T34),$W34,IF(AND($S34&lt;&gt;"",EDATE($D34,Milestones!$AA$192)&gt;=$S34),$V34,$U34)))=Milestones!$AB$192),UPPER(TEXT(EDATE($D34,Milestones!$AA$192),"dd mmm yy"))&amp;" "&amp;Milestones!$AB$192&amp;" "&amp;Milestones!$AC$192&amp;";  ","")&amp;IF(AND(EDATE($D34,Milestones!$AA$193)&lt;=AsOfDate,IF($R34=0,$X34,IF(AND($T34&lt;&gt;"",EDATE($D34,Milestones!$AA$193)&gt;=$T34),$W34,IF(AND($S34&lt;&gt;"",EDATE($D34,Milestones!$AA$193)&gt;=$S34),$V34,$U34)))=Milestones!$AB$193),UPPER(TEXT(EDATE($D34,Milestones!$AA$193),"dd mmm yy"))&amp;" "&amp;Milestones!$AB$193&amp;" "&amp;Milestones!$AC$193&amp;";  ","")&amp;IF(AND(EDATE($D34,Milestones!$AA$194)&lt;=AsOfDate,IF($R34=0,$X34,IF(AND($T34&lt;&gt;"",EDATE($D34,Milestones!$AA$194)&gt;=$T34),$W34,IF(AND($S34&lt;&gt;"",EDATE($D34,Milestones!$AA$194)&gt;=$S34),$V34,$U34)))=Milestones!$AB$194),UPPER(TEXT(EDATE($D34,Milestones!$AA$194),"dd mmm yy"))&amp;" "&amp;Milestones!$AB$194&amp;" "&amp;Milestones!$AC$194&amp;";  ","")&amp;IF(AND(EDATE($D34,Milestones!$AA$195)&lt;=AsOfDate,IF($R34=0,$X34,IF(AND($T34&lt;&gt;"",EDATE($D34,Milestones!$AA$195)&gt;=$T34),$W34,IF(AND($S34&lt;&gt;"",EDATE($D34,Milestones!$AA$195)&gt;=$S34),$V34,$U34)))=Milestones!$AB$195),UPPER(TEXT(EDATE($D34,Milestones!$AA$195),"dd mmm yy"))&amp;" "&amp;Milestones!$AB$195&amp;" "&amp;Milestones!$AC$195&amp;";  ","")&amp;IF(AND(EDATE($D34,Milestones!$AA$196)&lt;=AsOfDate,IF($R34=0,$X34,IF(AND($T34&lt;&gt;"",EDATE($D34,Milestones!$AA$196)&gt;=$T34),$W34,IF(AND($S34&lt;&gt;"",EDATE($D34,Milestones!$AA$196)&gt;=$S34),$V34,$U34)))=Milestones!$AB$196),UPPER(TEXT(EDATE($D34,Milestones!$AA$196),"dd mmm yy"))&amp;" "&amp;Milestones!$AB$196&amp;" "&amp;Milestones!$AC$196&amp;";  ","")&amp;IF(AND(EDATE($D34,Milestones!$AA$197)&lt;=AsOfDate,IF($R34=0,$X34,IF(AND($T34&lt;&gt;"",EDATE($D34,Milestones!$AA$197)&gt;=$T34),$W34,IF(AND($S34&lt;&gt;"",EDATE($D34,Milestones!$AA$197)&gt;=$S34),$V34,$U34)))=Milestones!$AB$197),UPPER(TEXT(EDATE($D34,Milestones!$AA$197),"dd mmm yy"))&amp;" "&amp;Milestones!$AB$197&amp;" "&amp;Milestones!$AC$197&amp;";  ","")&amp;IF(AND(EDATE($D34,Milestones!$AA$198)&lt;=AsOfDate,IF($R34=0,$X34,IF(AND($T34&lt;&gt;"",EDATE($D34,Milestones!$AA$198)&gt;=$T34),$W34,IF(AND($S34&lt;&gt;"",EDATE($D34,Milestones!$AA$198)&gt;=$S34),$V34,$U34)))=Milestones!$AB$198),UPPER(TEXT(EDATE($D34,Milestones!$AA$198),"dd mmm yy"))&amp;" "&amp;Milestones!$AB$198&amp;" "&amp;Milestones!$AC$198&amp;";  ","")&amp;IF(AND(EDATE($D34,Milestones!$AA$199)&lt;=AsOfDate,IF($R34=0,$X34,IF(AND($T34&lt;&gt;"",EDATE($D34,Milestones!$AA$199)&gt;=$T34),$W34,IF(AND($S34&lt;&gt;"",EDATE($D34,Milestones!$AA$199)&gt;=$S34),$V34,$U34)))=Milestones!$AB$199),UPPER(TEXT(EDATE($D34,Milestones!$AA$199),"dd mmm yy"))&amp;" "&amp;Milestones!$AB$199&amp;" "&amp;Milestones!$AC$199&amp;";  ",""))</f>
        <v/>
      </c>
      <c r="R34" s="0" t="str">
        <f aca="false">IF(Staff!$A34="","",Staff!$AI34)</f>
        <v/>
      </c>
      <c r="S34" s="0" t="str">
        <f aca="false">IF(Staff!$A34="","",Staff!$AK34)</f>
        <v/>
      </c>
      <c r="T34" s="0" t="str">
        <f aca="false">IF(Staff!$A34="","",Staff!$AL34)</f>
        <v/>
      </c>
      <c r="U34" s="0" t="str">
        <f aca="false">IF(Staff!$A34="","",Staff!$AP34)</f>
        <v/>
      </c>
      <c r="V34" s="0" t="str">
        <f aca="false">IF(Staff!$A34="","",Staff!$AQ34)</f>
        <v/>
      </c>
      <c r="W34" s="0" t="str">
        <f aca="false">IF(Staff!$A34="","",Staff!$AR34)</f>
        <v/>
      </c>
      <c r="X34" s="0" t="str">
        <f aca="false">IF(Staff!$A34="","",Staff!$AS34)</f>
        <v/>
      </c>
    </row>
    <row r="35" customFormat="false" ht="15" hidden="false" customHeight="false" outlineLevel="0" collapsed="false">
      <c r="A35" s="14" t="str">
        <f aca="false">IF(Staff!$A35="","",Staff!$A35)</f>
        <v/>
      </c>
      <c r="B35" s="14" t="str">
        <f aca="false">IF(Staff!$A35="","",Staff!$B35)</f>
        <v/>
      </c>
      <c r="C35" s="14" t="str">
        <f aca="false">IF(Staff!$A35="","",Staff!$C35)</f>
        <v/>
      </c>
      <c r="D35" s="12" t="str">
        <f aca="false">IF(Staff!$A35="","",Staff!$AH35)</f>
        <v/>
      </c>
      <c r="E35" s="14" t="str">
        <f aca="false">IF(Staff!$A35="","",Staff!$O35)</f>
        <v/>
      </c>
      <c r="F35" s="14" t="str">
        <f aca="false">IF(E35="","",E35*HoursPerDay)</f>
        <v/>
      </c>
      <c r="G35" s="14" t="str">
        <f aca="false">IF(Staff!$A35="","",Staff!$AE35)</f>
        <v/>
      </c>
      <c r="H35" s="26" t="str">
        <f aca="false">IF($A35="","",I35&amp;J35&amp;K35&amp;L35&amp;M35&amp;N35&amp;O35&amp;P35&amp;Q35)</f>
        <v/>
      </c>
      <c r="I35" s="0" t="str">
        <f aca="false">IF(OR($A35="",$D35=""),"",IF(AND(EDATE($D35,Milestones!$AA$20)&lt;=AsOfDate,IF($R35=0,$X35,IF(AND($T35&lt;&gt;"",EDATE($D35,Milestones!$AA$20)&gt;=$T35),$W35,IF(AND($S35&lt;&gt;"",EDATE($D35,Milestones!$AA$20)&gt;=$S35),$V35,$U35)))=Milestones!$AB$20),UPPER(TEXT(EDATE($D35,Milestones!$AA$20),"dd mmm yy"))&amp;" "&amp;Milestones!$AB$20&amp;" "&amp;Milestones!$AC$20&amp;";  ","")&amp;IF(AND(EDATE($D35,Milestones!$AA$21)&lt;=AsOfDate,IF($R35=0,$X35,IF(AND($T35&lt;&gt;"",EDATE($D35,Milestones!$AA$21)&gt;=$T35),$W35,IF(AND($S35&lt;&gt;"",EDATE($D35,Milestones!$AA$21)&gt;=$S35),$V35,$U35)))=Milestones!$AB$21),UPPER(TEXT(EDATE($D35,Milestones!$AA$21),"dd mmm yy"))&amp;" "&amp;Milestones!$AB$21&amp;" "&amp;Milestones!$AC$21&amp;";  ","")&amp;IF(AND(EDATE($D35,Milestones!$AA$22)&lt;=AsOfDate,IF($R35=0,$X35,IF(AND($T35&lt;&gt;"",EDATE($D35,Milestones!$AA$22)&gt;=$T35),$W35,IF(AND($S35&lt;&gt;"",EDATE($D35,Milestones!$AA$22)&gt;=$S35),$V35,$U35)))=Milestones!$AB$22),UPPER(TEXT(EDATE($D35,Milestones!$AA$22),"dd mmm yy"))&amp;" "&amp;Milestones!$AB$22&amp;" "&amp;Milestones!$AC$22&amp;";  ","")&amp;IF(AND(EDATE($D35,Milestones!$AA$23)&lt;=AsOfDate,IF($R35=0,$X35,IF(AND($T35&lt;&gt;"",EDATE($D35,Milestones!$AA$23)&gt;=$T35),$W35,IF(AND($S35&lt;&gt;"",EDATE($D35,Milestones!$AA$23)&gt;=$S35),$V35,$U35)))=Milestones!$AB$23),UPPER(TEXT(EDATE($D35,Milestones!$AA$23),"dd mmm yy"))&amp;" "&amp;Milestones!$AB$23&amp;" "&amp;Milestones!$AC$23&amp;";  ","")&amp;IF(AND(EDATE($D35,Milestones!$AA$24)&lt;=AsOfDate,IF($R35=0,$X35,IF(AND($T35&lt;&gt;"",EDATE($D35,Milestones!$AA$24)&gt;=$T35),$W35,IF(AND($S35&lt;&gt;"",EDATE($D35,Milestones!$AA$24)&gt;=$S35),$V35,$U35)))=Milestones!$AB$24),UPPER(TEXT(EDATE($D35,Milestones!$AA$24),"dd mmm yy"))&amp;" "&amp;Milestones!$AB$24&amp;" "&amp;Milestones!$AC$24&amp;";  ","")&amp;IF(AND(EDATE($D35,Milestones!$AA$25)&lt;=AsOfDate,IF($R35=0,$X35,IF(AND($T35&lt;&gt;"",EDATE($D35,Milestones!$AA$25)&gt;=$T35),$W35,IF(AND($S35&lt;&gt;"",EDATE($D35,Milestones!$AA$25)&gt;=$S35),$V35,$U35)))=Milestones!$AB$25),UPPER(TEXT(EDATE($D35,Milestones!$AA$25),"dd mmm yy"))&amp;" "&amp;Milestones!$AB$25&amp;" "&amp;Milestones!$AC$25&amp;";  ","")&amp;IF(AND(EDATE($D35,Milestones!$AA$26)&lt;=AsOfDate,IF($R35=0,$X35,IF(AND($T35&lt;&gt;"",EDATE($D35,Milestones!$AA$26)&gt;=$T35),$W35,IF(AND($S35&lt;&gt;"",EDATE($D35,Milestones!$AA$26)&gt;=$S35),$V35,$U35)))=Milestones!$AB$26),UPPER(TEXT(EDATE($D35,Milestones!$AA$26),"dd mmm yy"))&amp;" "&amp;Milestones!$AB$26&amp;" "&amp;Milestones!$AC$26&amp;";  ","")&amp;IF(AND(EDATE($D35,Milestones!$AA$27)&lt;=AsOfDate,IF($R35=0,$X35,IF(AND($T35&lt;&gt;"",EDATE($D35,Milestones!$AA$27)&gt;=$T35),$W35,IF(AND($S35&lt;&gt;"",EDATE($D35,Milestones!$AA$27)&gt;=$S35),$V35,$U35)))=Milestones!$AB$27),UPPER(TEXT(EDATE($D35,Milestones!$AA$27),"dd mmm yy"))&amp;" "&amp;Milestones!$AB$27&amp;" "&amp;Milestones!$AC$27&amp;";  ","")&amp;IF(AND(EDATE($D35,Milestones!$AA$28)&lt;=AsOfDate,IF($R35=0,$X35,IF(AND($T35&lt;&gt;"",EDATE($D35,Milestones!$AA$28)&gt;=$T35),$W35,IF(AND($S35&lt;&gt;"",EDATE($D35,Milestones!$AA$28)&gt;=$S35),$V35,$U35)))=Milestones!$AB$28),UPPER(TEXT(EDATE($D35,Milestones!$AA$28),"dd mmm yy"))&amp;" "&amp;Milestones!$AB$28&amp;" "&amp;Milestones!$AC$28&amp;";  ","")&amp;IF(AND(EDATE($D35,Milestones!$AA$29)&lt;=AsOfDate,IF($R35=0,$X35,IF(AND($T35&lt;&gt;"",EDATE($D35,Milestones!$AA$29)&gt;=$T35),$W35,IF(AND($S35&lt;&gt;"",EDATE($D35,Milestones!$AA$29)&gt;=$S35),$V35,$U35)))=Milestones!$AB$29),UPPER(TEXT(EDATE($D35,Milestones!$AA$29),"dd mmm yy"))&amp;" "&amp;Milestones!$AB$29&amp;" "&amp;Milestones!$AC$29&amp;";  ","")&amp;IF(AND(EDATE($D35,Milestones!$AA$30)&lt;=AsOfDate,IF($R35=0,$X35,IF(AND($T35&lt;&gt;"",EDATE($D35,Milestones!$AA$30)&gt;=$T35),$W35,IF(AND($S35&lt;&gt;"",EDATE($D35,Milestones!$AA$30)&gt;=$S35),$V35,$U35)))=Milestones!$AB$30),UPPER(TEXT(EDATE($D35,Milestones!$AA$30),"dd mmm yy"))&amp;" "&amp;Milestones!$AB$30&amp;" "&amp;Milestones!$AC$30&amp;";  ","")&amp;IF(AND(EDATE($D35,Milestones!$AA$31)&lt;=AsOfDate,IF($R35=0,$X35,IF(AND($T35&lt;&gt;"",EDATE($D35,Milestones!$AA$31)&gt;=$T35),$W35,IF(AND($S35&lt;&gt;"",EDATE($D35,Milestones!$AA$31)&gt;=$S35),$V35,$U35)))=Milestones!$AB$31),UPPER(TEXT(EDATE($D35,Milestones!$AA$31),"dd mmm yy"))&amp;" "&amp;Milestones!$AB$31&amp;" "&amp;Milestones!$AC$31&amp;";  ","")&amp;IF(AND(EDATE($D35,Milestones!$AA$32)&lt;=AsOfDate,IF($R35=0,$X35,IF(AND($T35&lt;&gt;"",EDATE($D35,Milestones!$AA$32)&gt;=$T35),$W35,IF(AND($S35&lt;&gt;"",EDATE($D35,Milestones!$AA$32)&gt;=$S35),$V35,$U35)))=Milestones!$AB$32),UPPER(TEXT(EDATE($D35,Milestones!$AA$32),"dd mmm yy"))&amp;" "&amp;Milestones!$AB$32&amp;" "&amp;Milestones!$AC$32&amp;";  ","")&amp;IF(AND(EDATE($D35,Milestones!$AA$33)&lt;=AsOfDate,IF($R35=0,$X35,IF(AND($T35&lt;&gt;"",EDATE($D35,Milestones!$AA$33)&gt;=$T35),$W35,IF(AND($S35&lt;&gt;"",EDATE($D35,Milestones!$AA$33)&gt;=$S35),$V35,$U35)))=Milestones!$AB$33),UPPER(TEXT(EDATE($D35,Milestones!$AA$33),"dd mmm yy"))&amp;" "&amp;Milestones!$AB$33&amp;" "&amp;Milestones!$AC$33&amp;";  ","")&amp;IF(AND(EDATE($D35,Milestones!$AA$34)&lt;=AsOfDate,IF($R35=0,$X35,IF(AND($T35&lt;&gt;"",EDATE($D35,Milestones!$AA$34)&gt;=$T35),$W35,IF(AND($S35&lt;&gt;"",EDATE($D35,Milestones!$AA$34)&gt;=$S35),$V35,$U35)))=Milestones!$AB$34),UPPER(TEXT(EDATE($D35,Milestones!$AA$34),"dd mmm yy"))&amp;" "&amp;Milestones!$AB$34&amp;" "&amp;Milestones!$AC$34&amp;";  ","")&amp;IF(AND(EDATE($D35,Milestones!$AA$35)&lt;=AsOfDate,IF($R35=0,$X35,IF(AND($T35&lt;&gt;"",EDATE($D35,Milestones!$AA$35)&gt;=$T35),$W35,IF(AND($S35&lt;&gt;"",EDATE($D35,Milestones!$AA$35)&gt;=$S35),$V35,$U35)))=Milestones!$AB$35),UPPER(TEXT(EDATE($D35,Milestones!$AA$35),"dd mmm yy"))&amp;" "&amp;Milestones!$AB$35&amp;" "&amp;Milestones!$AC$35&amp;";  ","")&amp;IF(AND(EDATE($D35,Milestones!$AA$36)&lt;=AsOfDate,IF($R35=0,$X35,IF(AND($T35&lt;&gt;"",EDATE($D35,Milestones!$AA$36)&gt;=$T35),$W35,IF(AND($S35&lt;&gt;"",EDATE($D35,Milestones!$AA$36)&gt;=$S35),$V35,$U35)))=Milestones!$AB$36),UPPER(TEXT(EDATE($D35,Milestones!$AA$36),"dd mmm yy"))&amp;" "&amp;Milestones!$AB$36&amp;" "&amp;Milestones!$AC$36&amp;";  ","")&amp;IF(AND(EDATE($D35,Milestones!$AA$37)&lt;=AsOfDate,IF($R35=0,$X35,IF(AND($T35&lt;&gt;"",EDATE($D35,Milestones!$AA$37)&gt;=$T35),$W35,IF(AND($S35&lt;&gt;"",EDATE($D35,Milestones!$AA$37)&gt;=$S35),$V35,$U35)))=Milestones!$AB$37),UPPER(TEXT(EDATE($D35,Milestones!$AA$37),"dd mmm yy"))&amp;" "&amp;Milestones!$AB$37&amp;" "&amp;Milestones!$AC$37&amp;";  ","")&amp;IF(AND(EDATE($D35,Milestones!$AA$38)&lt;=AsOfDate,IF($R35=0,$X35,IF(AND($T35&lt;&gt;"",EDATE($D35,Milestones!$AA$38)&gt;=$T35),$W35,IF(AND($S35&lt;&gt;"",EDATE($D35,Milestones!$AA$38)&gt;=$S35),$V35,$U35)))=Milestones!$AB$38),UPPER(TEXT(EDATE($D35,Milestones!$AA$38),"dd mmm yy"))&amp;" "&amp;Milestones!$AB$38&amp;" "&amp;Milestones!$AC$38&amp;";  ","")&amp;IF(AND(EDATE($D35,Milestones!$AA$39)&lt;=AsOfDate,IF($R35=0,$X35,IF(AND($T35&lt;&gt;"",EDATE($D35,Milestones!$AA$39)&gt;=$T35),$W35,IF(AND($S35&lt;&gt;"",EDATE($D35,Milestones!$AA$39)&gt;=$S35),$V35,$U35)))=Milestones!$AB$39),UPPER(TEXT(EDATE($D35,Milestones!$AA$39),"dd mmm yy"))&amp;" "&amp;Milestones!$AB$39&amp;" "&amp;Milestones!$AC$39&amp;";  ",""))</f>
        <v/>
      </c>
      <c r="J35" s="0" t="str">
        <f aca="false">IF(OR($A35="",$D35=""),"",IF(AND(EDATE($D35,Milestones!$AA$40)&lt;=AsOfDate,IF($R35=0,$X35,IF(AND($T35&lt;&gt;"",EDATE($D35,Milestones!$AA$40)&gt;=$T35),$W35,IF(AND($S35&lt;&gt;"",EDATE($D35,Milestones!$AA$40)&gt;=$S35),$V35,$U35)))=Milestones!$AB$40),UPPER(TEXT(EDATE($D35,Milestones!$AA$40),"dd mmm yy"))&amp;" "&amp;Milestones!$AB$40&amp;" "&amp;Milestones!$AC$40&amp;";  ","")&amp;IF(AND(EDATE($D35,Milestones!$AA$41)&lt;=AsOfDate,IF($R35=0,$X35,IF(AND($T35&lt;&gt;"",EDATE($D35,Milestones!$AA$41)&gt;=$T35),$W35,IF(AND($S35&lt;&gt;"",EDATE($D35,Milestones!$AA$41)&gt;=$S35),$V35,$U35)))=Milestones!$AB$41),UPPER(TEXT(EDATE($D35,Milestones!$AA$41),"dd mmm yy"))&amp;" "&amp;Milestones!$AB$41&amp;" "&amp;Milestones!$AC$41&amp;";  ","")&amp;IF(AND(EDATE($D35,Milestones!$AA$42)&lt;=AsOfDate,IF($R35=0,$X35,IF(AND($T35&lt;&gt;"",EDATE($D35,Milestones!$AA$42)&gt;=$T35),$W35,IF(AND($S35&lt;&gt;"",EDATE($D35,Milestones!$AA$42)&gt;=$S35),$V35,$U35)))=Milestones!$AB$42),UPPER(TEXT(EDATE($D35,Milestones!$AA$42),"dd mmm yy"))&amp;" "&amp;Milestones!$AB$42&amp;" "&amp;Milestones!$AC$42&amp;";  ","")&amp;IF(AND(EDATE($D35,Milestones!$AA$43)&lt;=AsOfDate,IF($R35=0,$X35,IF(AND($T35&lt;&gt;"",EDATE($D35,Milestones!$AA$43)&gt;=$T35),$W35,IF(AND($S35&lt;&gt;"",EDATE($D35,Milestones!$AA$43)&gt;=$S35),$V35,$U35)))=Milestones!$AB$43),UPPER(TEXT(EDATE($D35,Milestones!$AA$43),"dd mmm yy"))&amp;" "&amp;Milestones!$AB$43&amp;" "&amp;Milestones!$AC$43&amp;";  ","")&amp;IF(AND(EDATE($D35,Milestones!$AA$44)&lt;=AsOfDate,IF($R35=0,$X35,IF(AND($T35&lt;&gt;"",EDATE($D35,Milestones!$AA$44)&gt;=$T35),$W35,IF(AND($S35&lt;&gt;"",EDATE($D35,Milestones!$AA$44)&gt;=$S35),$V35,$U35)))=Milestones!$AB$44),UPPER(TEXT(EDATE($D35,Milestones!$AA$44),"dd mmm yy"))&amp;" "&amp;Milestones!$AB$44&amp;" "&amp;Milestones!$AC$44&amp;";  ","")&amp;IF(AND(EDATE($D35,Milestones!$AA$45)&lt;=AsOfDate,IF($R35=0,$X35,IF(AND($T35&lt;&gt;"",EDATE($D35,Milestones!$AA$45)&gt;=$T35),$W35,IF(AND($S35&lt;&gt;"",EDATE($D35,Milestones!$AA$45)&gt;=$S35),$V35,$U35)))=Milestones!$AB$45),UPPER(TEXT(EDATE($D35,Milestones!$AA$45),"dd mmm yy"))&amp;" "&amp;Milestones!$AB$45&amp;" "&amp;Milestones!$AC$45&amp;";  ","")&amp;IF(AND(EDATE($D35,Milestones!$AA$46)&lt;=AsOfDate,IF($R35=0,$X35,IF(AND($T35&lt;&gt;"",EDATE($D35,Milestones!$AA$46)&gt;=$T35),$W35,IF(AND($S35&lt;&gt;"",EDATE($D35,Milestones!$AA$46)&gt;=$S35),$V35,$U35)))=Milestones!$AB$46),UPPER(TEXT(EDATE($D35,Milestones!$AA$46),"dd mmm yy"))&amp;" "&amp;Milestones!$AB$46&amp;" "&amp;Milestones!$AC$46&amp;";  ","")&amp;IF(AND(EDATE($D35,Milestones!$AA$47)&lt;=AsOfDate,IF($R35=0,$X35,IF(AND($T35&lt;&gt;"",EDATE($D35,Milestones!$AA$47)&gt;=$T35),$W35,IF(AND($S35&lt;&gt;"",EDATE($D35,Milestones!$AA$47)&gt;=$S35),$V35,$U35)))=Milestones!$AB$47),UPPER(TEXT(EDATE($D35,Milestones!$AA$47),"dd mmm yy"))&amp;" "&amp;Milestones!$AB$47&amp;" "&amp;Milestones!$AC$47&amp;";  ","")&amp;IF(AND(EDATE($D35,Milestones!$AA$48)&lt;=AsOfDate,IF($R35=0,$X35,IF(AND($T35&lt;&gt;"",EDATE($D35,Milestones!$AA$48)&gt;=$T35),$W35,IF(AND($S35&lt;&gt;"",EDATE($D35,Milestones!$AA$48)&gt;=$S35),$V35,$U35)))=Milestones!$AB$48),UPPER(TEXT(EDATE($D35,Milestones!$AA$48),"dd mmm yy"))&amp;" "&amp;Milestones!$AB$48&amp;" "&amp;Milestones!$AC$48&amp;";  ","")&amp;IF(AND(EDATE($D35,Milestones!$AA$49)&lt;=AsOfDate,IF($R35=0,$X35,IF(AND($T35&lt;&gt;"",EDATE($D35,Milestones!$AA$49)&gt;=$T35),$W35,IF(AND($S35&lt;&gt;"",EDATE($D35,Milestones!$AA$49)&gt;=$S35),$V35,$U35)))=Milestones!$AB$49),UPPER(TEXT(EDATE($D35,Milestones!$AA$49),"dd mmm yy"))&amp;" "&amp;Milestones!$AB$49&amp;" "&amp;Milestones!$AC$49&amp;";  ","")&amp;IF(AND(EDATE($D35,Milestones!$AA$50)&lt;=AsOfDate,IF($R35=0,$X35,IF(AND($T35&lt;&gt;"",EDATE($D35,Milestones!$AA$50)&gt;=$T35),$W35,IF(AND($S35&lt;&gt;"",EDATE($D35,Milestones!$AA$50)&gt;=$S35),$V35,$U35)))=Milestones!$AB$50),UPPER(TEXT(EDATE($D35,Milestones!$AA$50),"dd mmm yy"))&amp;" "&amp;Milestones!$AB$50&amp;" "&amp;Milestones!$AC$50&amp;";  ","")&amp;IF(AND(EDATE($D35,Milestones!$AA$51)&lt;=AsOfDate,IF($R35=0,$X35,IF(AND($T35&lt;&gt;"",EDATE($D35,Milestones!$AA$51)&gt;=$T35),$W35,IF(AND($S35&lt;&gt;"",EDATE($D35,Milestones!$AA$51)&gt;=$S35),$V35,$U35)))=Milestones!$AB$51),UPPER(TEXT(EDATE($D35,Milestones!$AA$51),"dd mmm yy"))&amp;" "&amp;Milestones!$AB$51&amp;" "&amp;Milestones!$AC$51&amp;";  ","")&amp;IF(AND(EDATE($D35,Milestones!$AA$52)&lt;=AsOfDate,IF($R35=0,$X35,IF(AND($T35&lt;&gt;"",EDATE($D35,Milestones!$AA$52)&gt;=$T35),$W35,IF(AND($S35&lt;&gt;"",EDATE($D35,Milestones!$AA$52)&gt;=$S35),$V35,$U35)))=Milestones!$AB$52),UPPER(TEXT(EDATE($D35,Milestones!$AA$52),"dd mmm yy"))&amp;" "&amp;Milestones!$AB$52&amp;" "&amp;Milestones!$AC$52&amp;";  ","")&amp;IF(AND(EDATE($D35,Milestones!$AA$53)&lt;=AsOfDate,IF($R35=0,$X35,IF(AND($T35&lt;&gt;"",EDATE($D35,Milestones!$AA$53)&gt;=$T35),$W35,IF(AND($S35&lt;&gt;"",EDATE($D35,Milestones!$AA$53)&gt;=$S35),$V35,$U35)))=Milestones!$AB$53),UPPER(TEXT(EDATE($D35,Milestones!$AA$53),"dd mmm yy"))&amp;" "&amp;Milestones!$AB$53&amp;" "&amp;Milestones!$AC$53&amp;";  ","")&amp;IF(AND(EDATE($D35,Milestones!$AA$54)&lt;=AsOfDate,IF($R35=0,$X35,IF(AND($T35&lt;&gt;"",EDATE($D35,Milestones!$AA$54)&gt;=$T35),$W35,IF(AND($S35&lt;&gt;"",EDATE($D35,Milestones!$AA$54)&gt;=$S35),$V35,$U35)))=Milestones!$AB$54),UPPER(TEXT(EDATE($D35,Milestones!$AA$54),"dd mmm yy"))&amp;" "&amp;Milestones!$AB$54&amp;" "&amp;Milestones!$AC$54&amp;";  ","")&amp;IF(AND(EDATE($D35,Milestones!$AA$55)&lt;=AsOfDate,IF($R35=0,$X35,IF(AND($T35&lt;&gt;"",EDATE($D35,Milestones!$AA$55)&gt;=$T35),$W35,IF(AND($S35&lt;&gt;"",EDATE($D35,Milestones!$AA$55)&gt;=$S35),$V35,$U35)))=Milestones!$AB$55),UPPER(TEXT(EDATE($D35,Milestones!$AA$55),"dd mmm yy"))&amp;" "&amp;Milestones!$AB$55&amp;" "&amp;Milestones!$AC$55&amp;";  ","")&amp;IF(AND(EDATE($D35,Milestones!$AA$56)&lt;=AsOfDate,IF($R35=0,$X35,IF(AND($T35&lt;&gt;"",EDATE($D35,Milestones!$AA$56)&gt;=$T35),$W35,IF(AND($S35&lt;&gt;"",EDATE($D35,Milestones!$AA$56)&gt;=$S35),$V35,$U35)))=Milestones!$AB$56),UPPER(TEXT(EDATE($D35,Milestones!$AA$56),"dd mmm yy"))&amp;" "&amp;Milestones!$AB$56&amp;" "&amp;Milestones!$AC$56&amp;";  ","")&amp;IF(AND(EDATE($D35,Milestones!$AA$57)&lt;=AsOfDate,IF($R35=0,$X35,IF(AND($T35&lt;&gt;"",EDATE($D35,Milestones!$AA$57)&gt;=$T35),$W35,IF(AND($S35&lt;&gt;"",EDATE($D35,Milestones!$AA$57)&gt;=$S35),$V35,$U35)))=Milestones!$AB$57),UPPER(TEXT(EDATE($D35,Milestones!$AA$57),"dd mmm yy"))&amp;" "&amp;Milestones!$AB$57&amp;" "&amp;Milestones!$AC$57&amp;";  ","")&amp;IF(AND(EDATE($D35,Milestones!$AA$58)&lt;=AsOfDate,IF($R35=0,$X35,IF(AND($T35&lt;&gt;"",EDATE($D35,Milestones!$AA$58)&gt;=$T35),$W35,IF(AND($S35&lt;&gt;"",EDATE($D35,Milestones!$AA$58)&gt;=$S35),$V35,$U35)))=Milestones!$AB$58),UPPER(TEXT(EDATE($D35,Milestones!$AA$58),"dd mmm yy"))&amp;" "&amp;Milestones!$AB$58&amp;" "&amp;Milestones!$AC$58&amp;";  ","")&amp;IF(AND(EDATE($D35,Milestones!$AA$59)&lt;=AsOfDate,IF($R35=0,$X35,IF(AND($T35&lt;&gt;"",EDATE($D35,Milestones!$AA$59)&gt;=$T35),$W35,IF(AND($S35&lt;&gt;"",EDATE($D35,Milestones!$AA$59)&gt;=$S35),$V35,$U35)))=Milestones!$AB$59),UPPER(TEXT(EDATE($D35,Milestones!$AA$59),"dd mmm yy"))&amp;" "&amp;Milestones!$AB$59&amp;" "&amp;Milestones!$AC$59&amp;";  ",""))</f>
        <v/>
      </c>
      <c r="K35" s="0" t="str">
        <f aca="false">IF(OR($A35="",$D35=""),"",IF(AND(EDATE($D35,Milestones!$AA$60)&lt;=AsOfDate,IF($R35=0,$X35,IF(AND($T35&lt;&gt;"",EDATE($D35,Milestones!$AA$60)&gt;=$T35),$W35,IF(AND($S35&lt;&gt;"",EDATE($D35,Milestones!$AA$60)&gt;=$S35),$V35,$U35)))=Milestones!$AB$60),UPPER(TEXT(EDATE($D35,Milestones!$AA$60),"dd mmm yy"))&amp;" "&amp;Milestones!$AB$60&amp;" "&amp;Milestones!$AC$60&amp;";  ","")&amp;IF(AND(EDATE($D35,Milestones!$AA$61)&lt;=AsOfDate,IF($R35=0,$X35,IF(AND($T35&lt;&gt;"",EDATE($D35,Milestones!$AA$61)&gt;=$T35),$W35,IF(AND($S35&lt;&gt;"",EDATE($D35,Milestones!$AA$61)&gt;=$S35),$V35,$U35)))=Milestones!$AB$61),UPPER(TEXT(EDATE($D35,Milestones!$AA$61),"dd mmm yy"))&amp;" "&amp;Milestones!$AB$61&amp;" "&amp;Milestones!$AC$61&amp;";  ","")&amp;IF(AND(EDATE($D35,Milestones!$AA$62)&lt;=AsOfDate,IF($R35=0,$X35,IF(AND($T35&lt;&gt;"",EDATE($D35,Milestones!$AA$62)&gt;=$T35),$W35,IF(AND($S35&lt;&gt;"",EDATE($D35,Milestones!$AA$62)&gt;=$S35),$V35,$U35)))=Milestones!$AB$62),UPPER(TEXT(EDATE($D35,Milestones!$AA$62),"dd mmm yy"))&amp;" "&amp;Milestones!$AB$62&amp;" "&amp;Milestones!$AC$62&amp;";  ","")&amp;IF(AND(EDATE($D35,Milestones!$AA$63)&lt;=AsOfDate,IF($R35=0,$X35,IF(AND($T35&lt;&gt;"",EDATE($D35,Milestones!$AA$63)&gt;=$T35),$W35,IF(AND($S35&lt;&gt;"",EDATE($D35,Milestones!$AA$63)&gt;=$S35),$V35,$U35)))=Milestones!$AB$63),UPPER(TEXT(EDATE($D35,Milestones!$AA$63),"dd mmm yy"))&amp;" "&amp;Milestones!$AB$63&amp;" "&amp;Milestones!$AC$63&amp;";  ","")&amp;IF(AND(EDATE($D35,Milestones!$AA$64)&lt;=AsOfDate,IF($R35=0,$X35,IF(AND($T35&lt;&gt;"",EDATE($D35,Milestones!$AA$64)&gt;=$T35),$W35,IF(AND($S35&lt;&gt;"",EDATE($D35,Milestones!$AA$64)&gt;=$S35),$V35,$U35)))=Milestones!$AB$64),UPPER(TEXT(EDATE($D35,Milestones!$AA$64),"dd mmm yy"))&amp;" "&amp;Milestones!$AB$64&amp;" "&amp;Milestones!$AC$64&amp;";  ","")&amp;IF(AND(EDATE($D35,Milestones!$AA$65)&lt;=AsOfDate,IF($R35=0,$X35,IF(AND($T35&lt;&gt;"",EDATE($D35,Milestones!$AA$65)&gt;=$T35),$W35,IF(AND($S35&lt;&gt;"",EDATE($D35,Milestones!$AA$65)&gt;=$S35),$V35,$U35)))=Milestones!$AB$65),UPPER(TEXT(EDATE($D35,Milestones!$AA$65),"dd mmm yy"))&amp;" "&amp;Milestones!$AB$65&amp;" "&amp;Milestones!$AC$65&amp;";  ","")&amp;IF(AND(EDATE($D35,Milestones!$AA$66)&lt;=AsOfDate,IF($R35=0,$X35,IF(AND($T35&lt;&gt;"",EDATE($D35,Milestones!$AA$66)&gt;=$T35),$W35,IF(AND($S35&lt;&gt;"",EDATE($D35,Milestones!$AA$66)&gt;=$S35),$V35,$U35)))=Milestones!$AB$66),UPPER(TEXT(EDATE($D35,Milestones!$AA$66),"dd mmm yy"))&amp;" "&amp;Milestones!$AB$66&amp;" "&amp;Milestones!$AC$66&amp;";  ","")&amp;IF(AND(EDATE($D35,Milestones!$AA$67)&lt;=AsOfDate,IF($R35=0,$X35,IF(AND($T35&lt;&gt;"",EDATE($D35,Milestones!$AA$67)&gt;=$T35),$W35,IF(AND($S35&lt;&gt;"",EDATE($D35,Milestones!$AA$67)&gt;=$S35),$V35,$U35)))=Milestones!$AB$67),UPPER(TEXT(EDATE($D35,Milestones!$AA$67),"dd mmm yy"))&amp;" "&amp;Milestones!$AB$67&amp;" "&amp;Milestones!$AC$67&amp;";  ","")&amp;IF(AND(EDATE($D35,Milestones!$AA$68)&lt;=AsOfDate,IF($R35=0,$X35,IF(AND($T35&lt;&gt;"",EDATE($D35,Milestones!$AA$68)&gt;=$T35),$W35,IF(AND($S35&lt;&gt;"",EDATE($D35,Milestones!$AA$68)&gt;=$S35),$V35,$U35)))=Milestones!$AB$68),UPPER(TEXT(EDATE($D35,Milestones!$AA$68),"dd mmm yy"))&amp;" "&amp;Milestones!$AB$68&amp;" "&amp;Milestones!$AC$68&amp;";  ","")&amp;IF(AND(EDATE($D35,Milestones!$AA$69)&lt;=AsOfDate,IF($R35=0,$X35,IF(AND($T35&lt;&gt;"",EDATE($D35,Milestones!$AA$69)&gt;=$T35),$W35,IF(AND($S35&lt;&gt;"",EDATE($D35,Milestones!$AA$69)&gt;=$S35),$V35,$U35)))=Milestones!$AB$69),UPPER(TEXT(EDATE($D35,Milestones!$AA$69),"dd mmm yy"))&amp;" "&amp;Milestones!$AB$69&amp;" "&amp;Milestones!$AC$69&amp;";  ","")&amp;IF(AND(EDATE($D35,Milestones!$AA$70)&lt;=AsOfDate,IF($R35=0,$X35,IF(AND($T35&lt;&gt;"",EDATE($D35,Milestones!$AA$70)&gt;=$T35),$W35,IF(AND($S35&lt;&gt;"",EDATE($D35,Milestones!$AA$70)&gt;=$S35),$V35,$U35)))=Milestones!$AB$70),UPPER(TEXT(EDATE($D35,Milestones!$AA$70),"dd mmm yy"))&amp;" "&amp;Milestones!$AB$70&amp;" "&amp;Milestones!$AC$70&amp;";  ","")&amp;IF(AND(EDATE($D35,Milestones!$AA$71)&lt;=AsOfDate,IF($R35=0,$X35,IF(AND($T35&lt;&gt;"",EDATE($D35,Milestones!$AA$71)&gt;=$T35),$W35,IF(AND($S35&lt;&gt;"",EDATE($D35,Milestones!$AA$71)&gt;=$S35),$V35,$U35)))=Milestones!$AB$71),UPPER(TEXT(EDATE($D35,Milestones!$AA$71),"dd mmm yy"))&amp;" "&amp;Milestones!$AB$71&amp;" "&amp;Milestones!$AC$71&amp;";  ","")&amp;IF(AND(EDATE($D35,Milestones!$AA$72)&lt;=AsOfDate,IF($R35=0,$X35,IF(AND($T35&lt;&gt;"",EDATE($D35,Milestones!$AA$72)&gt;=$T35),$W35,IF(AND($S35&lt;&gt;"",EDATE($D35,Milestones!$AA$72)&gt;=$S35),$V35,$U35)))=Milestones!$AB$72),UPPER(TEXT(EDATE($D35,Milestones!$AA$72),"dd mmm yy"))&amp;" "&amp;Milestones!$AB$72&amp;" "&amp;Milestones!$AC$72&amp;";  ","")&amp;IF(AND(EDATE($D35,Milestones!$AA$73)&lt;=AsOfDate,IF($R35=0,$X35,IF(AND($T35&lt;&gt;"",EDATE($D35,Milestones!$AA$73)&gt;=$T35),$W35,IF(AND($S35&lt;&gt;"",EDATE($D35,Milestones!$AA$73)&gt;=$S35),$V35,$U35)))=Milestones!$AB$73),UPPER(TEXT(EDATE($D35,Milestones!$AA$73),"dd mmm yy"))&amp;" "&amp;Milestones!$AB$73&amp;" "&amp;Milestones!$AC$73&amp;";  ","")&amp;IF(AND(EDATE($D35,Milestones!$AA$74)&lt;=AsOfDate,IF($R35=0,$X35,IF(AND($T35&lt;&gt;"",EDATE($D35,Milestones!$AA$74)&gt;=$T35),$W35,IF(AND($S35&lt;&gt;"",EDATE($D35,Milestones!$AA$74)&gt;=$S35),$V35,$U35)))=Milestones!$AB$74),UPPER(TEXT(EDATE($D35,Milestones!$AA$74),"dd mmm yy"))&amp;" "&amp;Milestones!$AB$74&amp;" "&amp;Milestones!$AC$74&amp;";  ","")&amp;IF(AND(EDATE($D35,Milestones!$AA$75)&lt;=AsOfDate,IF($R35=0,$X35,IF(AND($T35&lt;&gt;"",EDATE($D35,Milestones!$AA$75)&gt;=$T35),$W35,IF(AND($S35&lt;&gt;"",EDATE($D35,Milestones!$AA$75)&gt;=$S35),$V35,$U35)))=Milestones!$AB$75),UPPER(TEXT(EDATE($D35,Milestones!$AA$75),"dd mmm yy"))&amp;" "&amp;Milestones!$AB$75&amp;" "&amp;Milestones!$AC$75&amp;";  ","")&amp;IF(AND(EDATE($D35,Milestones!$AA$76)&lt;=AsOfDate,IF($R35=0,$X35,IF(AND($T35&lt;&gt;"",EDATE($D35,Milestones!$AA$76)&gt;=$T35),$W35,IF(AND($S35&lt;&gt;"",EDATE($D35,Milestones!$AA$76)&gt;=$S35),$V35,$U35)))=Milestones!$AB$76),UPPER(TEXT(EDATE($D35,Milestones!$AA$76),"dd mmm yy"))&amp;" "&amp;Milestones!$AB$76&amp;" "&amp;Milestones!$AC$76&amp;";  ","")&amp;IF(AND(EDATE($D35,Milestones!$AA$77)&lt;=AsOfDate,IF($R35=0,$X35,IF(AND($T35&lt;&gt;"",EDATE($D35,Milestones!$AA$77)&gt;=$T35),$W35,IF(AND($S35&lt;&gt;"",EDATE($D35,Milestones!$AA$77)&gt;=$S35),$V35,$U35)))=Milestones!$AB$77),UPPER(TEXT(EDATE($D35,Milestones!$AA$77),"dd mmm yy"))&amp;" "&amp;Milestones!$AB$77&amp;" "&amp;Milestones!$AC$77&amp;";  ","")&amp;IF(AND(EDATE($D35,Milestones!$AA$78)&lt;=AsOfDate,IF($R35=0,$X35,IF(AND($T35&lt;&gt;"",EDATE($D35,Milestones!$AA$78)&gt;=$T35),$W35,IF(AND($S35&lt;&gt;"",EDATE($D35,Milestones!$AA$78)&gt;=$S35),$V35,$U35)))=Milestones!$AB$78),UPPER(TEXT(EDATE($D35,Milestones!$AA$78),"dd mmm yy"))&amp;" "&amp;Milestones!$AB$78&amp;" "&amp;Milestones!$AC$78&amp;";  ","")&amp;IF(AND(EDATE($D35,Milestones!$AA$79)&lt;=AsOfDate,IF($R35=0,$X35,IF(AND($T35&lt;&gt;"",EDATE($D35,Milestones!$AA$79)&gt;=$T35),$W35,IF(AND($S35&lt;&gt;"",EDATE($D35,Milestones!$AA$79)&gt;=$S35),$V35,$U35)))=Milestones!$AB$79),UPPER(TEXT(EDATE($D35,Milestones!$AA$79),"dd mmm yy"))&amp;" "&amp;Milestones!$AB$79&amp;" "&amp;Milestones!$AC$79&amp;";  ",""))</f>
        <v/>
      </c>
      <c r="L35" s="0" t="str">
        <f aca="false">IF(OR($A35="",$D35=""),"",IF(AND(EDATE($D35,Milestones!$AA$80)&lt;=AsOfDate,IF($R35=0,$X35,IF(AND($T35&lt;&gt;"",EDATE($D35,Milestones!$AA$80)&gt;=$T35),$W35,IF(AND($S35&lt;&gt;"",EDATE($D35,Milestones!$AA$80)&gt;=$S35),$V35,$U35)))=Milestones!$AB$80),UPPER(TEXT(EDATE($D35,Milestones!$AA$80),"dd mmm yy"))&amp;" "&amp;Milestones!$AB$80&amp;" "&amp;Milestones!$AC$80&amp;";  ","")&amp;IF(AND(EDATE($D35,Milestones!$AA$81)&lt;=AsOfDate,IF($R35=0,$X35,IF(AND($T35&lt;&gt;"",EDATE($D35,Milestones!$AA$81)&gt;=$T35),$W35,IF(AND($S35&lt;&gt;"",EDATE($D35,Milestones!$AA$81)&gt;=$S35),$V35,$U35)))=Milestones!$AB$81),UPPER(TEXT(EDATE($D35,Milestones!$AA$81),"dd mmm yy"))&amp;" "&amp;Milestones!$AB$81&amp;" "&amp;Milestones!$AC$81&amp;";  ","")&amp;IF(AND(EDATE($D35,Milestones!$AA$82)&lt;=AsOfDate,IF($R35=0,$X35,IF(AND($T35&lt;&gt;"",EDATE($D35,Milestones!$AA$82)&gt;=$T35),$W35,IF(AND($S35&lt;&gt;"",EDATE($D35,Milestones!$AA$82)&gt;=$S35),$V35,$U35)))=Milestones!$AB$82),UPPER(TEXT(EDATE($D35,Milestones!$AA$82),"dd mmm yy"))&amp;" "&amp;Milestones!$AB$82&amp;" "&amp;Milestones!$AC$82&amp;";  ","")&amp;IF(AND(EDATE($D35,Milestones!$AA$83)&lt;=AsOfDate,IF($R35=0,$X35,IF(AND($T35&lt;&gt;"",EDATE($D35,Milestones!$AA$83)&gt;=$T35),$W35,IF(AND($S35&lt;&gt;"",EDATE($D35,Milestones!$AA$83)&gt;=$S35),$V35,$U35)))=Milestones!$AB$83),UPPER(TEXT(EDATE($D35,Milestones!$AA$83),"dd mmm yy"))&amp;" "&amp;Milestones!$AB$83&amp;" "&amp;Milestones!$AC$83&amp;";  ","")&amp;IF(AND(EDATE($D35,Milestones!$AA$84)&lt;=AsOfDate,IF($R35=0,$X35,IF(AND($T35&lt;&gt;"",EDATE($D35,Milestones!$AA$84)&gt;=$T35),$W35,IF(AND($S35&lt;&gt;"",EDATE($D35,Milestones!$AA$84)&gt;=$S35),$V35,$U35)))=Milestones!$AB$84),UPPER(TEXT(EDATE($D35,Milestones!$AA$84),"dd mmm yy"))&amp;" "&amp;Milestones!$AB$84&amp;" "&amp;Milestones!$AC$84&amp;";  ","")&amp;IF(AND(EDATE($D35,Milestones!$AA$85)&lt;=AsOfDate,IF($R35=0,$X35,IF(AND($T35&lt;&gt;"",EDATE($D35,Milestones!$AA$85)&gt;=$T35),$W35,IF(AND($S35&lt;&gt;"",EDATE($D35,Milestones!$AA$85)&gt;=$S35),$V35,$U35)))=Milestones!$AB$85),UPPER(TEXT(EDATE($D35,Milestones!$AA$85),"dd mmm yy"))&amp;" "&amp;Milestones!$AB$85&amp;" "&amp;Milestones!$AC$85&amp;";  ","")&amp;IF(AND(EDATE($D35,Milestones!$AA$86)&lt;=AsOfDate,IF($R35=0,$X35,IF(AND($T35&lt;&gt;"",EDATE($D35,Milestones!$AA$86)&gt;=$T35),$W35,IF(AND($S35&lt;&gt;"",EDATE($D35,Milestones!$AA$86)&gt;=$S35),$V35,$U35)))=Milestones!$AB$86),UPPER(TEXT(EDATE($D35,Milestones!$AA$86),"dd mmm yy"))&amp;" "&amp;Milestones!$AB$86&amp;" "&amp;Milestones!$AC$86&amp;";  ","")&amp;IF(AND(EDATE($D35,Milestones!$AA$87)&lt;=AsOfDate,IF($R35=0,$X35,IF(AND($T35&lt;&gt;"",EDATE($D35,Milestones!$AA$87)&gt;=$T35),$W35,IF(AND($S35&lt;&gt;"",EDATE($D35,Milestones!$AA$87)&gt;=$S35),$V35,$U35)))=Milestones!$AB$87),UPPER(TEXT(EDATE($D35,Milestones!$AA$87),"dd mmm yy"))&amp;" "&amp;Milestones!$AB$87&amp;" "&amp;Milestones!$AC$87&amp;";  ","")&amp;IF(AND(EDATE($D35,Milestones!$AA$88)&lt;=AsOfDate,IF($R35=0,$X35,IF(AND($T35&lt;&gt;"",EDATE($D35,Milestones!$AA$88)&gt;=$T35),$W35,IF(AND($S35&lt;&gt;"",EDATE($D35,Milestones!$AA$88)&gt;=$S35),$V35,$U35)))=Milestones!$AB$88),UPPER(TEXT(EDATE($D35,Milestones!$AA$88),"dd mmm yy"))&amp;" "&amp;Milestones!$AB$88&amp;" "&amp;Milestones!$AC$88&amp;";  ","")&amp;IF(AND(EDATE($D35,Milestones!$AA$89)&lt;=AsOfDate,IF($R35=0,$X35,IF(AND($T35&lt;&gt;"",EDATE($D35,Milestones!$AA$89)&gt;=$T35),$W35,IF(AND($S35&lt;&gt;"",EDATE($D35,Milestones!$AA$89)&gt;=$S35),$V35,$U35)))=Milestones!$AB$89),UPPER(TEXT(EDATE($D35,Milestones!$AA$89),"dd mmm yy"))&amp;" "&amp;Milestones!$AB$89&amp;" "&amp;Milestones!$AC$89&amp;";  ","")&amp;IF(AND(EDATE($D35,Milestones!$AA$90)&lt;=AsOfDate,IF($R35=0,$X35,IF(AND($T35&lt;&gt;"",EDATE($D35,Milestones!$AA$90)&gt;=$T35),$W35,IF(AND($S35&lt;&gt;"",EDATE($D35,Milestones!$AA$90)&gt;=$S35),$V35,$U35)))=Milestones!$AB$90),UPPER(TEXT(EDATE($D35,Milestones!$AA$90),"dd mmm yy"))&amp;" "&amp;Milestones!$AB$90&amp;" "&amp;Milestones!$AC$90&amp;";  ","")&amp;IF(AND(EDATE($D35,Milestones!$AA$91)&lt;=AsOfDate,IF($R35=0,$X35,IF(AND($T35&lt;&gt;"",EDATE($D35,Milestones!$AA$91)&gt;=$T35),$W35,IF(AND($S35&lt;&gt;"",EDATE($D35,Milestones!$AA$91)&gt;=$S35),$V35,$U35)))=Milestones!$AB$91),UPPER(TEXT(EDATE($D35,Milestones!$AA$91),"dd mmm yy"))&amp;" "&amp;Milestones!$AB$91&amp;" "&amp;Milestones!$AC$91&amp;";  ","")&amp;IF(AND(EDATE($D35,Milestones!$AA$92)&lt;=AsOfDate,IF($R35=0,$X35,IF(AND($T35&lt;&gt;"",EDATE($D35,Milestones!$AA$92)&gt;=$T35),$W35,IF(AND($S35&lt;&gt;"",EDATE($D35,Milestones!$AA$92)&gt;=$S35),$V35,$U35)))=Milestones!$AB$92),UPPER(TEXT(EDATE($D35,Milestones!$AA$92),"dd mmm yy"))&amp;" "&amp;Milestones!$AB$92&amp;" "&amp;Milestones!$AC$92&amp;";  ","")&amp;IF(AND(EDATE($D35,Milestones!$AA$93)&lt;=AsOfDate,IF($R35=0,$X35,IF(AND($T35&lt;&gt;"",EDATE($D35,Milestones!$AA$93)&gt;=$T35),$W35,IF(AND($S35&lt;&gt;"",EDATE($D35,Milestones!$AA$93)&gt;=$S35),$V35,$U35)))=Milestones!$AB$93),UPPER(TEXT(EDATE($D35,Milestones!$AA$93),"dd mmm yy"))&amp;" "&amp;Milestones!$AB$93&amp;" "&amp;Milestones!$AC$93&amp;";  ","")&amp;IF(AND(EDATE($D35,Milestones!$AA$94)&lt;=AsOfDate,IF($R35=0,$X35,IF(AND($T35&lt;&gt;"",EDATE($D35,Milestones!$AA$94)&gt;=$T35),$W35,IF(AND($S35&lt;&gt;"",EDATE($D35,Milestones!$AA$94)&gt;=$S35),$V35,$U35)))=Milestones!$AB$94),UPPER(TEXT(EDATE($D35,Milestones!$AA$94),"dd mmm yy"))&amp;" "&amp;Milestones!$AB$94&amp;" "&amp;Milestones!$AC$94&amp;";  ","")&amp;IF(AND(EDATE($D35,Milestones!$AA$95)&lt;=AsOfDate,IF($R35=0,$X35,IF(AND($T35&lt;&gt;"",EDATE($D35,Milestones!$AA$95)&gt;=$T35),$W35,IF(AND($S35&lt;&gt;"",EDATE($D35,Milestones!$AA$95)&gt;=$S35),$V35,$U35)))=Milestones!$AB$95),UPPER(TEXT(EDATE($D35,Milestones!$AA$95),"dd mmm yy"))&amp;" "&amp;Milestones!$AB$95&amp;" "&amp;Milestones!$AC$95&amp;";  ","")&amp;IF(AND(EDATE($D35,Milestones!$AA$96)&lt;=AsOfDate,IF($R35=0,$X35,IF(AND($T35&lt;&gt;"",EDATE($D35,Milestones!$AA$96)&gt;=$T35),$W35,IF(AND($S35&lt;&gt;"",EDATE($D35,Milestones!$AA$96)&gt;=$S35),$V35,$U35)))=Milestones!$AB$96),UPPER(TEXT(EDATE($D35,Milestones!$AA$96),"dd mmm yy"))&amp;" "&amp;Milestones!$AB$96&amp;" "&amp;Milestones!$AC$96&amp;";  ","")&amp;IF(AND(EDATE($D35,Milestones!$AA$97)&lt;=AsOfDate,IF($R35=0,$X35,IF(AND($T35&lt;&gt;"",EDATE($D35,Milestones!$AA$97)&gt;=$T35),$W35,IF(AND($S35&lt;&gt;"",EDATE($D35,Milestones!$AA$97)&gt;=$S35),$V35,$U35)))=Milestones!$AB$97),UPPER(TEXT(EDATE($D35,Milestones!$AA$97),"dd mmm yy"))&amp;" "&amp;Milestones!$AB$97&amp;" "&amp;Milestones!$AC$97&amp;";  ","")&amp;IF(AND(EDATE($D35,Milestones!$AA$98)&lt;=AsOfDate,IF($R35=0,$X35,IF(AND($T35&lt;&gt;"",EDATE($D35,Milestones!$AA$98)&gt;=$T35),$W35,IF(AND($S35&lt;&gt;"",EDATE($D35,Milestones!$AA$98)&gt;=$S35),$V35,$U35)))=Milestones!$AB$98),UPPER(TEXT(EDATE($D35,Milestones!$AA$98),"dd mmm yy"))&amp;" "&amp;Milestones!$AB$98&amp;" "&amp;Milestones!$AC$98&amp;";  ","")&amp;IF(AND(EDATE($D35,Milestones!$AA$99)&lt;=AsOfDate,IF($R35=0,$X35,IF(AND($T35&lt;&gt;"",EDATE($D35,Milestones!$AA$99)&gt;=$T35),$W35,IF(AND($S35&lt;&gt;"",EDATE($D35,Milestones!$AA$99)&gt;=$S35),$V35,$U35)))=Milestones!$AB$99),UPPER(TEXT(EDATE($D35,Milestones!$AA$99),"dd mmm yy"))&amp;" "&amp;Milestones!$AB$99&amp;" "&amp;Milestones!$AC$99&amp;";  ",""))</f>
        <v/>
      </c>
      <c r="M35" s="0" t="str">
        <f aca="false">IF(OR($A35="",$D35=""),"",IF(AND(EDATE($D35,Milestones!$AA$100)&lt;=AsOfDate,IF($R35=0,$X35,IF(AND($T35&lt;&gt;"",EDATE($D35,Milestones!$AA$100)&gt;=$T35),$W35,IF(AND($S35&lt;&gt;"",EDATE($D35,Milestones!$AA$100)&gt;=$S35),$V35,$U35)))=Milestones!$AB$100),UPPER(TEXT(EDATE($D35,Milestones!$AA$100),"dd mmm yy"))&amp;" "&amp;Milestones!$AB$100&amp;" "&amp;Milestones!$AC$100&amp;";  ","")&amp;IF(AND(EDATE($D35,Milestones!$AA$101)&lt;=AsOfDate,IF($R35=0,$X35,IF(AND($T35&lt;&gt;"",EDATE($D35,Milestones!$AA$101)&gt;=$T35),$W35,IF(AND($S35&lt;&gt;"",EDATE($D35,Milestones!$AA$101)&gt;=$S35),$V35,$U35)))=Milestones!$AB$101),UPPER(TEXT(EDATE($D35,Milestones!$AA$101),"dd mmm yy"))&amp;" "&amp;Milestones!$AB$101&amp;" "&amp;Milestones!$AC$101&amp;";  ","")&amp;IF(AND(EDATE($D35,Milestones!$AA$102)&lt;=AsOfDate,IF($R35=0,$X35,IF(AND($T35&lt;&gt;"",EDATE($D35,Milestones!$AA$102)&gt;=$T35),$W35,IF(AND($S35&lt;&gt;"",EDATE($D35,Milestones!$AA$102)&gt;=$S35),$V35,$U35)))=Milestones!$AB$102),UPPER(TEXT(EDATE($D35,Milestones!$AA$102),"dd mmm yy"))&amp;" "&amp;Milestones!$AB$102&amp;" "&amp;Milestones!$AC$102&amp;";  ","")&amp;IF(AND(EDATE($D35,Milestones!$AA$103)&lt;=AsOfDate,IF($R35=0,$X35,IF(AND($T35&lt;&gt;"",EDATE($D35,Milestones!$AA$103)&gt;=$T35),$W35,IF(AND($S35&lt;&gt;"",EDATE($D35,Milestones!$AA$103)&gt;=$S35),$V35,$U35)))=Milestones!$AB$103),UPPER(TEXT(EDATE($D35,Milestones!$AA$103),"dd mmm yy"))&amp;" "&amp;Milestones!$AB$103&amp;" "&amp;Milestones!$AC$103&amp;";  ","")&amp;IF(AND(EDATE($D35,Milestones!$AA$104)&lt;=AsOfDate,IF($R35=0,$X35,IF(AND($T35&lt;&gt;"",EDATE($D35,Milestones!$AA$104)&gt;=$T35),$W35,IF(AND($S35&lt;&gt;"",EDATE($D35,Milestones!$AA$104)&gt;=$S35),$V35,$U35)))=Milestones!$AB$104),UPPER(TEXT(EDATE($D35,Milestones!$AA$104),"dd mmm yy"))&amp;" "&amp;Milestones!$AB$104&amp;" "&amp;Milestones!$AC$104&amp;";  ","")&amp;IF(AND(EDATE($D35,Milestones!$AA$105)&lt;=AsOfDate,IF($R35=0,$X35,IF(AND($T35&lt;&gt;"",EDATE($D35,Milestones!$AA$105)&gt;=$T35),$W35,IF(AND($S35&lt;&gt;"",EDATE($D35,Milestones!$AA$105)&gt;=$S35),$V35,$U35)))=Milestones!$AB$105),UPPER(TEXT(EDATE($D35,Milestones!$AA$105),"dd mmm yy"))&amp;" "&amp;Milestones!$AB$105&amp;" "&amp;Milestones!$AC$105&amp;";  ","")&amp;IF(AND(EDATE($D35,Milestones!$AA$106)&lt;=AsOfDate,IF($R35=0,$X35,IF(AND($T35&lt;&gt;"",EDATE($D35,Milestones!$AA$106)&gt;=$T35),$W35,IF(AND($S35&lt;&gt;"",EDATE($D35,Milestones!$AA$106)&gt;=$S35),$V35,$U35)))=Milestones!$AB$106),UPPER(TEXT(EDATE($D35,Milestones!$AA$106),"dd mmm yy"))&amp;" "&amp;Milestones!$AB$106&amp;" "&amp;Milestones!$AC$106&amp;";  ","")&amp;IF(AND(EDATE($D35,Milestones!$AA$107)&lt;=AsOfDate,IF($R35=0,$X35,IF(AND($T35&lt;&gt;"",EDATE($D35,Milestones!$AA$107)&gt;=$T35),$W35,IF(AND($S35&lt;&gt;"",EDATE($D35,Milestones!$AA$107)&gt;=$S35),$V35,$U35)))=Milestones!$AB$107),UPPER(TEXT(EDATE($D35,Milestones!$AA$107),"dd mmm yy"))&amp;" "&amp;Milestones!$AB$107&amp;" "&amp;Milestones!$AC$107&amp;";  ","")&amp;IF(AND(EDATE($D35,Milestones!$AA$108)&lt;=AsOfDate,IF($R35=0,$X35,IF(AND($T35&lt;&gt;"",EDATE($D35,Milestones!$AA$108)&gt;=$T35),$W35,IF(AND($S35&lt;&gt;"",EDATE($D35,Milestones!$AA$108)&gt;=$S35),$V35,$U35)))=Milestones!$AB$108),UPPER(TEXT(EDATE($D35,Milestones!$AA$108),"dd mmm yy"))&amp;" "&amp;Milestones!$AB$108&amp;" "&amp;Milestones!$AC$108&amp;";  ","")&amp;IF(AND(EDATE($D35,Milestones!$AA$109)&lt;=AsOfDate,IF($R35=0,$X35,IF(AND($T35&lt;&gt;"",EDATE($D35,Milestones!$AA$109)&gt;=$T35),$W35,IF(AND($S35&lt;&gt;"",EDATE($D35,Milestones!$AA$109)&gt;=$S35),$V35,$U35)))=Milestones!$AB$109),UPPER(TEXT(EDATE($D35,Milestones!$AA$109),"dd mmm yy"))&amp;" "&amp;Milestones!$AB$109&amp;" "&amp;Milestones!$AC$109&amp;";  ","")&amp;IF(AND(EDATE($D35,Milestones!$AA$110)&lt;=AsOfDate,IF($R35=0,$X35,IF(AND($T35&lt;&gt;"",EDATE($D35,Milestones!$AA$110)&gt;=$T35),$W35,IF(AND($S35&lt;&gt;"",EDATE($D35,Milestones!$AA$110)&gt;=$S35),$V35,$U35)))=Milestones!$AB$110),UPPER(TEXT(EDATE($D35,Milestones!$AA$110),"dd mmm yy"))&amp;" "&amp;Milestones!$AB$110&amp;" "&amp;Milestones!$AC$110&amp;";  ","")&amp;IF(AND(EDATE($D35,Milestones!$AA$111)&lt;=AsOfDate,IF($R35=0,$X35,IF(AND($T35&lt;&gt;"",EDATE($D35,Milestones!$AA$111)&gt;=$T35),$W35,IF(AND($S35&lt;&gt;"",EDATE($D35,Milestones!$AA$111)&gt;=$S35),$V35,$U35)))=Milestones!$AB$111),UPPER(TEXT(EDATE($D35,Milestones!$AA$111),"dd mmm yy"))&amp;" "&amp;Milestones!$AB$111&amp;" "&amp;Milestones!$AC$111&amp;";  ","")&amp;IF(AND(EDATE($D35,Milestones!$AA$112)&lt;=AsOfDate,IF($R35=0,$X35,IF(AND($T35&lt;&gt;"",EDATE($D35,Milestones!$AA$112)&gt;=$T35),$W35,IF(AND($S35&lt;&gt;"",EDATE($D35,Milestones!$AA$112)&gt;=$S35),$V35,$U35)))=Milestones!$AB$112),UPPER(TEXT(EDATE($D35,Milestones!$AA$112),"dd mmm yy"))&amp;" "&amp;Milestones!$AB$112&amp;" "&amp;Milestones!$AC$112&amp;";  ","")&amp;IF(AND(EDATE($D35,Milestones!$AA$113)&lt;=AsOfDate,IF($R35=0,$X35,IF(AND($T35&lt;&gt;"",EDATE($D35,Milestones!$AA$113)&gt;=$T35),$W35,IF(AND($S35&lt;&gt;"",EDATE($D35,Milestones!$AA$113)&gt;=$S35),$V35,$U35)))=Milestones!$AB$113),UPPER(TEXT(EDATE($D35,Milestones!$AA$113),"dd mmm yy"))&amp;" "&amp;Milestones!$AB$113&amp;" "&amp;Milestones!$AC$113&amp;";  ","")&amp;IF(AND(EDATE($D35,Milestones!$AA$114)&lt;=AsOfDate,IF($R35=0,$X35,IF(AND($T35&lt;&gt;"",EDATE($D35,Milestones!$AA$114)&gt;=$T35),$W35,IF(AND($S35&lt;&gt;"",EDATE($D35,Milestones!$AA$114)&gt;=$S35),$V35,$U35)))=Milestones!$AB$114),UPPER(TEXT(EDATE($D35,Milestones!$AA$114),"dd mmm yy"))&amp;" "&amp;Milestones!$AB$114&amp;" "&amp;Milestones!$AC$114&amp;";  ","")&amp;IF(AND(EDATE($D35,Milestones!$AA$115)&lt;=AsOfDate,IF($R35=0,$X35,IF(AND($T35&lt;&gt;"",EDATE($D35,Milestones!$AA$115)&gt;=$T35),$W35,IF(AND($S35&lt;&gt;"",EDATE($D35,Milestones!$AA$115)&gt;=$S35),$V35,$U35)))=Milestones!$AB$115),UPPER(TEXT(EDATE($D35,Milestones!$AA$115),"dd mmm yy"))&amp;" "&amp;Milestones!$AB$115&amp;" "&amp;Milestones!$AC$115&amp;";  ","")&amp;IF(AND(EDATE($D35,Milestones!$AA$116)&lt;=AsOfDate,IF($R35=0,$X35,IF(AND($T35&lt;&gt;"",EDATE($D35,Milestones!$AA$116)&gt;=$T35),$W35,IF(AND($S35&lt;&gt;"",EDATE($D35,Milestones!$AA$116)&gt;=$S35),$V35,$U35)))=Milestones!$AB$116),UPPER(TEXT(EDATE($D35,Milestones!$AA$116),"dd mmm yy"))&amp;" "&amp;Milestones!$AB$116&amp;" "&amp;Milestones!$AC$116&amp;";  ","")&amp;IF(AND(EDATE($D35,Milestones!$AA$117)&lt;=AsOfDate,IF($R35=0,$X35,IF(AND($T35&lt;&gt;"",EDATE($D35,Milestones!$AA$117)&gt;=$T35),$W35,IF(AND($S35&lt;&gt;"",EDATE($D35,Milestones!$AA$117)&gt;=$S35),$V35,$U35)))=Milestones!$AB$117),UPPER(TEXT(EDATE($D35,Milestones!$AA$117),"dd mmm yy"))&amp;" "&amp;Milestones!$AB$117&amp;" "&amp;Milestones!$AC$117&amp;";  ","")&amp;IF(AND(EDATE($D35,Milestones!$AA$118)&lt;=AsOfDate,IF($R35=0,$X35,IF(AND($T35&lt;&gt;"",EDATE($D35,Milestones!$AA$118)&gt;=$T35),$W35,IF(AND($S35&lt;&gt;"",EDATE($D35,Milestones!$AA$118)&gt;=$S35),$V35,$U35)))=Milestones!$AB$118),UPPER(TEXT(EDATE($D35,Milestones!$AA$118),"dd mmm yy"))&amp;" "&amp;Milestones!$AB$118&amp;" "&amp;Milestones!$AC$118&amp;";  ","")&amp;IF(AND(EDATE($D35,Milestones!$AA$119)&lt;=AsOfDate,IF($R35=0,$X35,IF(AND($T35&lt;&gt;"",EDATE($D35,Milestones!$AA$119)&gt;=$T35),$W35,IF(AND($S35&lt;&gt;"",EDATE($D35,Milestones!$AA$119)&gt;=$S35),$V35,$U35)))=Milestones!$AB$119),UPPER(TEXT(EDATE($D35,Milestones!$AA$119),"dd mmm yy"))&amp;" "&amp;Milestones!$AB$119&amp;" "&amp;Milestones!$AC$119&amp;";  ",""))</f>
        <v/>
      </c>
      <c r="N35" s="0" t="str">
        <f aca="false">IF(OR($A35="",$D35=""),"",IF(AND(EDATE($D35,Milestones!$AA$120)&lt;=AsOfDate,IF($R35=0,$X35,IF(AND($T35&lt;&gt;"",EDATE($D35,Milestones!$AA$120)&gt;=$T35),$W35,IF(AND($S35&lt;&gt;"",EDATE($D35,Milestones!$AA$120)&gt;=$S35),$V35,$U35)))=Milestones!$AB$120),UPPER(TEXT(EDATE($D35,Milestones!$AA$120),"dd mmm yy"))&amp;" "&amp;Milestones!$AB$120&amp;" "&amp;Milestones!$AC$120&amp;";  ","")&amp;IF(AND(EDATE($D35,Milestones!$AA$121)&lt;=AsOfDate,IF($R35=0,$X35,IF(AND($T35&lt;&gt;"",EDATE($D35,Milestones!$AA$121)&gt;=$T35),$W35,IF(AND($S35&lt;&gt;"",EDATE($D35,Milestones!$AA$121)&gt;=$S35),$V35,$U35)))=Milestones!$AB$121),UPPER(TEXT(EDATE($D35,Milestones!$AA$121),"dd mmm yy"))&amp;" "&amp;Milestones!$AB$121&amp;" "&amp;Milestones!$AC$121&amp;";  ","")&amp;IF(AND(EDATE($D35,Milestones!$AA$122)&lt;=AsOfDate,IF($R35=0,$X35,IF(AND($T35&lt;&gt;"",EDATE($D35,Milestones!$AA$122)&gt;=$T35),$W35,IF(AND($S35&lt;&gt;"",EDATE($D35,Milestones!$AA$122)&gt;=$S35),$V35,$U35)))=Milestones!$AB$122),UPPER(TEXT(EDATE($D35,Milestones!$AA$122),"dd mmm yy"))&amp;" "&amp;Milestones!$AB$122&amp;" "&amp;Milestones!$AC$122&amp;";  ","")&amp;IF(AND(EDATE($D35,Milestones!$AA$123)&lt;=AsOfDate,IF($R35=0,$X35,IF(AND($T35&lt;&gt;"",EDATE($D35,Milestones!$AA$123)&gt;=$T35),$W35,IF(AND($S35&lt;&gt;"",EDATE($D35,Milestones!$AA$123)&gt;=$S35),$V35,$U35)))=Milestones!$AB$123),UPPER(TEXT(EDATE($D35,Milestones!$AA$123),"dd mmm yy"))&amp;" "&amp;Milestones!$AB$123&amp;" "&amp;Milestones!$AC$123&amp;";  ","")&amp;IF(AND(EDATE($D35,Milestones!$AA$124)&lt;=AsOfDate,IF($R35=0,$X35,IF(AND($T35&lt;&gt;"",EDATE($D35,Milestones!$AA$124)&gt;=$T35),$W35,IF(AND($S35&lt;&gt;"",EDATE($D35,Milestones!$AA$124)&gt;=$S35),$V35,$U35)))=Milestones!$AB$124),UPPER(TEXT(EDATE($D35,Milestones!$AA$124),"dd mmm yy"))&amp;" "&amp;Milestones!$AB$124&amp;" "&amp;Milestones!$AC$124&amp;";  ","")&amp;IF(AND(EDATE($D35,Milestones!$AA$125)&lt;=AsOfDate,IF($R35=0,$X35,IF(AND($T35&lt;&gt;"",EDATE($D35,Milestones!$AA$125)&gt;=$T35),$W35,IF(AND($S35&lt;&gt;"",EDATE($D35,Milestones!$AA$125)&gt;=$S35),$V35,$U35)))=Milestones!$AB$125),UPPER(TEXT(EDATE($D35,Milestones!$AA$125),"dd mmm yy"))&amp;" "&amp;Milestones!$AB$125&amp;" "&amp;Milestones!$AC$125&amp;";  ","")&amp;IF(AND(EDATE($D35,Milestones!$AA$126)&lt;=AsOfDate,IF($R35=0,$X35,IF(AND($T35&lt;&gt;"",EDATE($D35,Milestones!$AA$126)&gt;=$T35),$W35,IF(AND($S35&lt;&gt;"",EDATE($D35,Milestones!$AA$126)&gt;=$S35),$V35,$U35)))=Milestones!$AB$126),UPPER(TEXT(EDATE($D35,Milestones!$AA$126),"dd mmm yy"))&amp;" "&amp;Milestones!$AB$126&amp;" "&amp;Milestones!$AC$126&amp;";  ","")&amp;IF(AND(EDATE($D35,Milestones!$AA$127)&lt;=AsOfDate,IF($R35=0,$X35,IF(AND($T35&lt;&gt;"",EDATE($D35,Milestones!$AA$127)&gt;=$T35),$W35,IF(AND($S35&lt;&gt;"",EDATE($D35,Milestones!$AA$127)&gt;=$S35),$V35,$U35)))=Milestones!$AB$127),UPPER(TEXT(EDATE($D35,Milestones!$AA$127),"dd mmm yy"))&amp;" "&amp;Milestones!$AB$127&amp;" "&amp;Milestones!$AC$127&amp;";  ","")&amp;IF(AND(EDATE($D35,Milestones!$AA$128)&lt;=AsOfDate,IF($R35=0,$X35,IF(AND($T35&lt;&gt;"",EDATE($D35,Milestones!$AA$128)&gt;=$T35),$W35,IF(AND($S35&lt;&gt;"",EDATE($D35,Milestones!$AA$128)&gt;=$S35),$V35,$U35)))=Milestones!$AB$128),UPPER(TEXT(EDATE($D35,Milestones!$AA$128),"dd mmm yy"))&amp;" "&amp;Milestones!$AB$128&amp;" "&amp;Milestones!$AC$128&amp;";  ","")&amp;IF(AND(EDATE($D35,Milestones!$AA$129)&lt;=AsOfDate,IF($R35=0,$X35,IF(AND($T35&lt;&gt;"",EDATE($D35,Milestones!$AA$129)&gt;=$T35),$W35,IF(AND($S35&lt;&gt;"",EDATE($D35,Milestones!$AA$129)&gt;=$S35),$V35,$U35)))=Milestones!$AB$129),UPPER(TEXT(EDATE($D35,Milestones!$AA$129),"dd mmm yy"))&amp;" "&amp;Milestones!$AB$129&amp;" "&amp;Milestones!$AC$129&amp;";  ","")&amp;IF(AND(EDATE($D35,Milestones!$AA$130)&lt;=AsOfDate,IF($R35=0,$X35,IF(AND($T35&lt;&gt;"",EDATE($D35,Milestones!$AA$130)&gt;=$T35),$W35,IF(AND($S35&lt;&gt;"",EDATE($D35,Milestones!$AA$130)&gt;=$S35),$V35,$U35)))=Milestones!$AB$130),UPPER(TEXT(EDATE($D35,Milestones!$AA$130),"dd mmm yy"))&amp;" "&amp;Milestones!$AB$130&amp;" "&amp;Milestones!$AC$130&amp;";  ","")&amp;IF(AND(EDATE($D35,Milestones!$AA$131)&lt;=AsOfDate,IF($R35=0,$X35,IF(AND($T35&lt;&gt;"",EDATE($D35,Milestones!$AA$131)&gt;=$T35),$W35,IF(AND($S35&lt;&gt;"",EDATE($D35,Milestones!$AA$131)&gt;=$S35),$V35,$U35)))=Milestones!$AB$131),UPPER(TEXT(EDATE($D35,Milestones!$AA$131),"dd mmm yy"))&amp;" "&amp;Milestones!$AB$131&amp;" "&amp;Milestones!$AC$131&amp;";  ","")&amp;IF(AND(EDATE($D35,Milestones!$AA$132)&lt;=AsOfDate,IF($R35=0,$X35,IF(AND($T35&lt;&gt;"",EDATE($D35,Milestones!$AA$132)&gt;=$T35),$W35,IF(AND($S35&lt;&gt;"",EDATE($D35,Milestones!$AA$132)&gt;=$S35),$V35,$U35)))=Milestones!$AB$132),UPPER(TEXT(EDATE($D35,Milestones!$AA$132),"dd mmm yy"))&amp;" "&amp;Milestones!$AB$132&amp;" "&amp;Milestones!$AC$132&amp;";  ","")&amp;IF(AND(EDATE($D35,Milestones!$AA$133)&lt;=AsOfDate,IF($R35=0,$X35,IF(AND($T35&lt;&gt;"",EDATE($D35,Milestones!$AA$133)&gt;=$T35),$W35,IF(AND($S35&lt;&gt;"",EDATE($D35,Milestones!$AA$133)&gt;=$S35),$V35,$U35)))=Milestones!$AB$133),UPPER(TEXT(EDATE($D35,Milestones!$AA$133),"dd mmm yy"))&amp;" "&amp;Milestones!$AB$133&amp;" "&amp;Milestones!$AC$133&amp;";  ","")&amp;IF(AND(EDATE($D35,Milestones!$AA$134)&lt;=AsOfDate,IF($R35=0,$X35,IF(AND($T35&lt;&gt;"",EDATE($D35,Milestones!$AA$134)&gt;=$T35),$W35,IF(AND($S35&lt;&gt;"",EDATE($D35,Milestones!$AA$134)&gt;=$S35),$V35,$U35)))=Milestones!$AB$134),UPPER(TEXT(EDATE($D35,Milestones!$AA$134),"dd mmm yy"))&amp;" "&amp;Milestones!$AB$134&amp;" "&amp;Milestones!$AC$134&amp;";  ","")&amp;IF(AND(EDATE($D35,Milestones!$AA$135)&lt;=AsOfDate,IF($R35=0,$X35,IF(AND($T35&lt;&gt;"",EDATE($D35,Milestones!$AA$135)&gt;=$T35),$W35,IF(AND($S35&lt;&gt;"",EDATE($D35,Milestones!$AA$135)&gt;=$S35),$V35,$U35)))=Milestones!$AB$135),UPPER(TEXT(EDATE($D35,Milestones!$AA$135),"dd mmm yy"))&amp;" "&amp;Milestones!$AB$135&amp;" "&amp;Milestones!$AC$135&amp;";  ","")&amp;IF(AND(EDATE($D35,Milestones!$AA$136)&lt;=AsOfDate,IF($R35=0,$X35,IF(AND($T35&lt;&gt;"",EDATE($D35,Milestones!$AA$136)&gt;=$T35),$W35,IF(AND($S35&lt;&gt;"",EDATE($D35,Milestones!$AA$136)&gt;=$S35),$V35,$U35)))=Milestones!$AB$136),UPPER(TEXT(EDATE($D35,Milestones!$AA$136),"dd mmm yy"))&amp;" "&amp;Milestones!$AB$136&amp;" "&amp;Milestones!$AC$136&amp;";  ","")&amp;IF(AND(EDATE($D35,Milestones!$AA$137)&lt;=AsOfDate,IF($R35=0,$X35,IF(AND($T35&lt;&gt;"",EDATE($D35,Milestones!$AA$137)&gt;=$T35),$W35,IF(AND($S35&lt;&gt;"",EDATE($D35,Milestones!$AA$137)&gt;=$S35),$V35,$U35)))=Milestones!$AB$137),UPPER(TEXT(EDATE($D35,Milestones!$AA$137),"dd mmm yy"))&amp;" "&amp;Milestones!$AB$137&amp;" "&amp;Milestones!$AC$137&amp;";  ","")&amp;IF(AND(EDATE($D35,Milestones!$AA$138)&lt;=AsOfDate,IF($R35=0,$X35,IF(AND($T35&lt;&gt;"",EDATE($D35,Milestones!$AA$138)&gt;=$T35),$W35,IF(AND($S35&lt;&gt;"",EDATE($D35,Milestones!$AA$138)&gt;=$S35),$V35,$U35)))=Milestones!$AB$138),UPPER(TEXT(EDATE($D35,Milestones!$AA$138),"dd mmm yy"))&amp;" "&amp;Milestones!$AB$138&amp;" "&amp;Milestones!$AC$138&amp;";  ","")&amp;IF(AND(EDATE($D35,Milestones!$AA$139)&lt;=AsOfDate,IF($R35=0,$X35,IF(AND($T35&lt;&gt;"",EDATE($D35,Milestones!$AA$139)&gt;=$T35),$W35,IF(AND($S35&lt;&gt;"",EDATE($D35,Milestones!$AA$139)&gt;=$S35),$V35,$U35)))=Milestones!$AB$139),UPPER(TEXT(EDATE($D35,Milestones!$AA$139),"dd mmm yy"))&amp;" "&amp;Milestones!$AB$139&amp;" "&amp;Milestones!$AC$139&amp;";  ",""))</f>
        <v/>
      </c>
      <c r="O35" s="0" t="str">
        <f aca="false">IF(OR($A35="",$D35=""),"",IF(AND(EDATE($D35,Milestones!$AA$140)&lt;=AsOfDate,IF($R35=0,$X35,IF(AND($T35&lt;&gt;"",EDATE($D35,Milestones!$AA$140)&gt;=$T35),$W35,IF(AND($S35&lt;&gt;"",EDATE($D35,Milestones!$AA$140)&gt;=$S35),$V35,$U35)))=Milestones!$AB$140),UPPER(TEXT(EDATE($D35,Milestones!$AA$140),"dd mmm yy"))&amp;" "&amp;Milestones!$AB$140&amp;" "&amp;Milestones!$AC$140&amp;";  ","")&amp;IF(AND(EDATE($D35,Milestones!$AA$141)&lt;=AsOfDate,IF($R35=0,$X35,IF(AND($T35&lt;&gt;"",EDATE($D35,Milestones!$AA$141)&gt;=$T35),$W35,IF(AND($S35&lt;&gt;"",EDATE($D35,Milestones!$AA$141)&gt;=$S35),$V35,$U35)))=Milestones!$AB$141),UPPER(TEXT(EDATE($D35,Milestones!$AA$141),"dd mmm yy"))&amp;" "&amp;Milestones!$AB$141&amp;" "&amp;Milestones!$AC$141&amp;";  ","")&amp;IF(AND(EDATE($D35,Milestones!$AA$142)&lt;=AsOfDate,IF($R35=0,$X35,IF(AND($T35&lt;&gt;"",EDATE($D35,Milestones!$AA$142)&gt;=$T35),$W35,IF(AND($S35&lt;&gt;"",EDATE($D35,Milestones!$AA$142)&gt;=$S35),$V35,$U35)))=Milestones!$AB$142),UPPER(TEXT(EDATE($D35,Milestones!$AA$142),"dd mmm yy"))&amp;" "&amp;Milestones!$AB$142&amp;" "&amp;Milestones!$AC$142&amp;";  ","")&amp;IF(AND(EDATE($D35,Milestones!$AA$143)&lt;=AsOfDate,IF($R35=0,$X35,IF(AND($T35&lt;&gt;"",EDATE($D35,Milestones!$AA$143)&gt;=$T35),$W35,IF(AND($S35&lt;&gt;"",EDATE($D35,Milestones!$AA$143)&gt;=$S35),$V35,$U35)))=Milestones!$AB$143),UPPER(TEXT(EDATE($D35,Milestones!$AA$143),"dd mmm yy"))&amp;" "&amp;Milestones!$AB$143&amp;" "&amp;Milestones!$AC$143&amp;";  ","")&amp;IF(AND(EDATE($D35,Milestones!$AA$144)&lt;=AsOfDate,IF($R35=0,$X35,IF(AND($T35&lt;&gt;"",EDATE($D35,Milestones!$AA$144)&gt;=$T35),$W35,IF(AND($S35&lt;&gt;"",EDATE($D35,Milestones!$AA$144)&gt;=$S35),$V35,$U35)))=Milestones!$AB$144),UPPER(TEXT(EDATE($D35,Milestones!$AA$144),"dd mmm yy"))&amp;" "&amp;Milestones!$AB$144&amp;" "&amp;Milestones!$AC$144&amp;";  ","")&amp;IF(AND(EDATE($D35,Milestones!$AA$145)&lt;=AsOfDate,IF($R35=0,$X35,IF(AND($T35&lt;&gt;"",EDATE($D35,Milestones!$AA$145)&gt;=$T35),$W35,IF(AND($S35&lt;&gt;"",EDATE($D35,Milestones!$AA$145)&gt;=$S35),$V35,$U35)))=Milestones!$AB$145),UPPER(TEXT(EDATE($D35,Milestones!$AA$145),"dd mmm yy"))&amp;" "&amp;Milestones!$AB$145&amp;" "&amp;Milestones!$AC$145&amp;";  ","")&amp;IF(AND(EDATE($D35,Milestones!$AA$146)&lt;=AsOfDate,IF($R35=0,$X35,IF(AND($T35&lt;&gt;"",EDATE($D35,Milestones!$AA$146)&gt;=$T35),$W35,IF(AND($S35&lt;&gt;"",EDATE($D35,Milestones!$AA$146)&gt;=$S35),$V35,$U35)))=Milestones!$AB$146),UPPER(TEXT(EDATE($D35,Milestones!$AA$146),"dd mmm yy"))&amp;" "&amp;Milestones!$AB$146&amp;" "&amp;Milestones!$AC$146&amp;";  ","")&amp;IF(AND(EDATE($D35,Milestones!$AA$147)&lt;=AsOfDate,IF($R35=0,$X35,IF(AND($T35&lt;&gt;"",EDATE($D35,Milestones!$AA$147)&gt;=$T35),$W35,IF(AND($S35&lt;&gt;"",EDATE($D35,Milestones!$AA$147)&gt;=$S35),$V35,$U35)))=Milestones!$AB$147),UPPER(TEXT(EDATE($D35,Milestones!$AA$147),"dd mmm yy"))&amp;" "&amp;Milestones!$AB$147&amp;" "&amp;Milestones!$AC$147&amp;";  ","")&amp;IF(AND(EDATE($D35,Milestones!$AA$148)&lt;=AsOfDate,IF($R35=0,$X35,IF(AND($T35&lt;&gt;"",EDATE($D35,Milestones!$AA$148)&gt;=$T35),$W35,IF(AND($S35&lt;&gt;"",EDATE($D35,Milestones!$AA$148)&gt;=$S35),$V35,$U35)))=Milestones!$AB$148),UPPER(TEXT(EDATE($D35,Milestones!$AA$148),"dd mmm yy"))&amp;" "&amp;Milestones!$AB$148&amp;" "&amp;Milestones!$AC$148&amp;";  ","")&amp;IF(AND(EDATE($D35,Milestones!$AA$149)&lt;=AsOfDate,IF($R35=0,$X35,IF(AND($T35&lt;&gt;"",EDATE($D35,Milestones!$AA$149)&gt;=$T35),$W35,IF(AND($S35&lt;&gt;"",EDATE($D35,Milestones!$AA$149)&gt;=$S35),$V35,$U35)))=Milestones!$AB$149),UPPER(TEXT(EDATE($D35,Milestones!$AA$149),"dd mmm yy"))&amp;" "&amp;Milestones!$AB$149&amp;" "&amp;Milestones!$AC$149&amp;";  ","")&amp;IF(AND(EDATE($D35,Milestones!$AA$150)&lt;=AsOfDate,IF($R35=0,$X35,IF(AND($T35&lt;&gt;"",EDATE($D35,Milestones!$AA$150)&gt;=$T35),$W35,IF(AND($S35&lt;&gt;"",EDATE($D35,Milestones!$AA$150)&gt;=$S35),$V35,$U35)))=Milestones!$AB$150),UPPER(TEXT(EDATE($D35,Milestones!$AA$150),"dd mmm yy"))&amp;" "&amp;Milestones!$AB$150&amp;" "&amp;Milestones!$AC$150&amp;";  ","")&amp;IF(AND(EDATE($D35,Milestones!$AA$151)&lt;=AsOfDate,IF($R35=0,$X35,IF(AND($T35&lt;&gt;"",EDATE($D35,Milestones!$AA$151)&gt;=$T35),$W35,IF(AND($S35&lt;&gt;"",EDATE($D35,Milestones!$AA$151)&gt;=$S35),$V35,$U35)))=Milestones!$AB$151),UPPER(TEXT(EDATE($D35,Milestones!$AA$151),"dd mmm yy"))&amp;" "&amp;Milestones!$AB$151&amp;" "&amp;Milestones!$AC$151&amp;";  ","")&amp;IF(AND(EDATE($D35,Milestones!$AA$152)&lt;=AsOfDate,IF($R35=0,$X35,IF(AND($T35&lt;&gt;"",EDATE($D35,Milestones!$AA$152)&gt;=$T35),$W35,IF(AND($S35&lt;&gt;"",EDATE($D35,Milestones!$AA$152)&gt;=$S35),$V35,$U35)))=Milestones!$AB$152),UPPER(TEXT(EDATE($D35,Milestones!$AA$152),"dd mmm yy"))&amp;" "&amp;Milestones!$AB$152&amp;" "&amp;Milestones!$AC$152&amp;";  ","")&amp;IF(AND(EDATE($D35,Milestones!$AA$153)&lt;=AsOfDate,IF($R35=0,$X35,IF(AND($T35&lt;&gt;"",EDATE($D35,Milestones!$AA$153)&gt;=$T35),$W35,IF(AND($S35&lt;&gt;"",EDATE($D35,Milestones!$AA$153)&gt;=$S35),$V35,$U35)))=Milestones!$AB$153),UPPER(TEXT(EDATE($D35,Milestones!$AA$153),"dd mmm yy"))&amp;" "&amp;Milestones!$AB$153&amp;" "&amp;Milestones!$AC$153&amp;";  ","")&amp;IF(AND(EDATE($D35,Milestones!$AA$154)&lt;=AsOfDate,IF($R35=0,$X35,IF(AND($T35&lt;&gt;"",EDATE($D35,Milestones!$AA$154)&gt;=$T35),$W35,IF(AND($S35&lt;&gt;"",EDATE($D35,Milestones!$AA$154)&gt;=$S35),$V35,$U35)))=Milestones!$AB$154),UPPER(TEXT(EDATE($D35,Milestones!$AA$154),"dd mmm yy"))&amp;" "&amp;Milestones!$AB$154&amp;" "&amp;Milestones!$AC$154&amp;";  ","")&amp;IF(AND(EDATE($D35,Milestones!$AA$155)&lt;=AsOfDate,IF($R35=0,$X35,IF(AND($T35&lt;&gt;"",EDATE($D35,Milestones!$AA$155)&gt;=$T35),$W35,IF(AND($S35&lt;&gt;"",EDATE($D35,Milestones!$AA$155)&gt;=$S35),$V35,$U35)))=Milestones!$AB$155),UPPER(TEXT(EDATE($D35,Milestones!$AA$155),"dd mmm yy"))&amp;" "&amp;Milestones!$AB$155&amp;" "&amp;Milestones!$AC$155&amp;";  ","")&amp;IF(AND(EDATE($D35,Milestones!$AA$156)&lt;=AsOfDate,IF($R35=0,$X35,IF(AND($T35&lt;&gt;"",EDATE($D35,Milestones!$AA$156)&gt;=$T35),$W35,IF(AND($S35&lt;&gt;"",EDATE($D35,Milestones!$AA$156)&gt;=$S35),$V35,$U35)))=Milestones!$AB$156),UPPER(TEXT(EDATE($D35,Milestones!$AA$156),"dd mmm yy"))&amp;" "&amp;Milestones!$AB$156&amp;" "&amp;Milestones!$AC$156&amp;";  ","")&amp;IF(AND(EDATE($D35,Milestones!$AA$157)&lt;=AsOfDate,IF($R35=0,$X35,IF(AND($T35&lt;&gt;"",EDATE($D35,Milestones!$AA$157)&gt;=$T35),$W35,IF(AND($S35&lt;&gt;"",EDATE($D35,Milestones!$AA$157)&gt;=$S35),$V35,$U35)))=Milestones!$AB$157),UPPER(TEXT(EDATE($D35,Milestones!$AA$157),"dd mmm yy"))&amp;" "&amp;Milestones!$AB$157&amp;" "&amp;Milestones!$AC$157&amp;";  ","")&amp;IF(AND(EDATE($D35,Milestones!$AA$158)&lt;=AsOfDate,IF($R35=0,$X35,IF(AND($T35&lt;&gt;"",EDATE($D35,Milestones!$AA$158)&gt;=$T35),$W35,IF(AND($S35&lt;&gt;"",EDATE($D35,Milestones!$AA$158)&gt;=$S35),$V35,$U35)))=Milestones!$AB$158),UPPER(TEXT(EDATE($D35,Milestones!$AA$158),"dd mmm yy"))&amp;" "&amp;Milestones!$AB$158&amp;" "&amp;Milestones!$AC$158&amp;";  ","")&amp;IF(AND(EDATE($D35,Milestones!$AA$159)&lt;=AsOfDate,IF($R35=0,$X35,IF(AND($T35&lt;&gt;"",EDATE($D35,Milestones!$AA$159)&gt;=$T35),$W35,IF(AND($S35&lt;&gt;"",EDATE($D35,Milestones!$AA$159)&gt;=$S35),$V35,$U35)))=Milestones!$AB$159),UPPER(TEXT(EDATE($D35,Milestones!$AA$159),"dd mmm yy"))&amp;" "&amp;Milestones!$AB$159&amp;" "&amp;Milestones!$AC$159&amp;";  ",""))</f>
        <v/>
      </c>
      <c r="P35" s="0" t="str">
        <f aca="false">IF(OR($A35="",$D35=""),"",IF(AND(EDATE($D35,Milestones!$AA$160)&lt;=AsOfDate,IF($R35=0,$X35,IF(AND($T35&lt;&gt;"",EDATE($D35,Milestones!$AA$160)&gt;=$T35),$W35,IF(AND($S35&lt;&gt;"",EDATE($D35,Milestones!$AA$160)&gt;=$S35),$V35,$U35)))=Milestones!$AB$160),UPPER(TEXT(EDATE($D35,Milestones!$AA$160),"dd mmm yy"))&amp;" "&amp;Milestones!$AB$160&amp;" "&amp;Milestones!$AC$160&amp;";  ","")&amp;IF(AND(EDATE($D35,Milestones!$AA$161)&lt;=AsOfDate,IF($R35=0,$X35,IF(AND($T35&lt;&gt;"",EDATE($D35,Milestones!$AA$161)&gt;=$T35),$W35,IF(AND($S35&lt;&gt;"",EDATE($D35,Milestones!$AA$161)&gt;=$S35),$V35,$U35)))=Milestones!$AB$161),UPPER(TEXT(EDATE($D35,Milestones!$AA$161),"dd mmm yy"))&amp;" "&amp;Milestones!$AB$161&amp;" "&amp;Milestones!$AC$161&amp;";  ","")&amp;IF(AND(EDATE($D35,Milestones!$AA$162)&lt;=AsOfDate,IF($R35=0,$X35,IF(AND($T35&lt;&gt;"",EDATE($D35,Milestones!$AA$162)&gt;=$T35),$W35,IF(AND($S35&lt;&gt;"",EDATE($D35,Milestones!$AA$162)&gt;=$S35),$V35,$U35)))=Milestones!$AB$162),UPPER(TEXT(EDATE($D35,Milestones!$AA$162),"dd mmm yy"))&amp;" "&amp;Milestones!$AB$162&amp;" "&amp;Milestones!$AC$162&amp;";  ","")&amp;IF(AND(EDATE($D35,Milestones!$AA$163)&lt;=AsOfDate,IF($R35=0,$X35,IF(AND($T35&lt;&gt;"",EDATE($D35,Milestones!$AA$163)&gt;=$T35),$W35,IF(AND($S35&lt;&gt;"",EDATE($D35,Milestones!$AA$163)&gt;=$S35),$V35,$U35)))=Milestones!$AB$163),UPPER(TEXT(EDATE($D35,Milestones!$AA$163),"dd mmm yy"))&amp;" "&amp;Milestones!$AB$163&amp;" "&amp;Milestones!$AC$163&amp;";  ","")&amp;IF(AND(EDATE($D35,Milestones!$AA$164)&lt;=AsOfDate,IF($R35=0,$X35,IF(AND($T35&lt;&gt;"",EDATE($D35,Milestones!$AA$164)&gt;=$T35),$W35,IF(AND($S35&lt;&gt;"",EDATE($D35,Milestones!$AA$164)&gt;=$S35),$V35,$U35)))=Milestones!$AB$164),UPPER(TEXT(EDATE($D35,Milestones!$AA$164),"dd mmm yy"))&amp;" "&amp;Milestones!$AB$164&amp;" "&amp;Milestones!$AC$164&amp;";  ","")&amp;IF(AND(EDATE($D35,Milestones!$AA$165)&lt;=AsOfDate,IF($R35=0,$X35,IF(AND($T35&lt;&gt;"",EDATE($D35,Milestones!$AA$165)&gt;=$T35),$W35,IF(AND($S35&lt;&gt;"",EDATE($D35,Milestones!$AA$165)&gt;=$S35),$V35,$U35)))=Milestones!$AB$165),UPPER(TEXT(EDATE($D35,Milestones!$AA$165),"dd mmm yy"))&amp;" "&amp;Milestones!$AB$165&amp;" "&amp;Milestones!$AC$165&amp;";  ","")&amp;IF(AND(EDATE($D35,Milestones!$AA$166)&lt;=AsOfDate,IF($R35=0,$X35,IF(AND($T35&lt;&gt;"",EDATE($D35,Milestones!$AA$166)&gt;=$T35),$W35,IF(AND($S35&lt;&gt;"",EDATE($D35,Milestones!$AA$166)&gt;=$S35),$V35,$U35)))=Milestones!$AB$166),UPPER(TEXT(EDATE($D35,Milestones!$AA$166),"dd mmm yy"))&amp;" "&amp;Milestones!$AB$166&amp;" "&amp;Milestones!$AC$166&amp;";  ","")&amp;IF(AND(EDATE($D35,Milestones!$AA$167)&lt;=AsOfDate,IF($R35=0,$X35,IF(AND($T35&lt;&gt;"",EDATE($D35,Milestones!$AA$167)&gt;=$T35),$W35,IF(AND($S35&lt;&gt;"",EDATE($D35,Milestones!$AA$167)&gt;=$S35),$V35,$U35)))=Milestones!$AB$167),UPPER(TEXT(EDATE($D35,Milestones!$AA$167),"dd mmm yy"))&amp;" "&amp;Milestones!$AB$167&amp;" "&amp;Milestones!$AC$167&amp;";  ","")&amp;IF(AND(EDATE($D35,Milestones!$AA$168)&lt;=AsOfDate,IF($R35=0,$X35,IF(AND($T35&lt;&gt;"",EDATE($D35,Milestones!$AA$168)&gt;=$T35),$W35,IF(AND($S35&lt;&gt;"",EDATE($D35,Milestones!$AA$168)&gt;=$S35),$V35,$U35)))=Milestones!$AB$168),UPPER(TEXT(EDATE($D35,Milestones!$AA$168),"dd mmm yy"))&amp;" "&amp;Milestones!$AB$168&amp;" "&amp;Milestones!$AC$168&amp;";  ","")&amp;IF(AND(EDATE($D35,Milestones!$AA$169)&lt;=AsOfDate,IF($R35=0,$X35,IF(AND($T35&lt;&gt;"",EDATE($D35,Milestones!$AA$169)&gt;=$T35),$W35,IF(AND($S35&lt;&gt;"",EDATE($D35,Milestones!$AA$169)&gt;=$S35),$V35,$U35)))=Milestones!$AB$169),UPPER(TEXT(EDATE($D35,Milestones!$AA$169),"dd mmm yy"))&amp;" "&amp;Milestones!$AB$169&amp;" "&amp;Milestones!$AC$169&amp;";  ","")&amp;IF(AND(EDATE($D35,Milestones!$AA$170)&lt;=AsOfDate,IF($R35=0,$X35,IF(AND($T35&lt;&gt;"",EDATE($D35,Milestones!$AA$170)&gt;=$T35),$W35,IF(AND($S35&lt;&gt;"",EDATE($D35,Milestones!$AA$170)&gt;=$S35),$V35,$U35)))=Milestones!$AB$170),UPPER(TEXT(EDATE($D35,Milestones!$AA$170),"dd mmm yy"))&amp;" "&amp;Milestones!$AB$170&amp;" "&amp;Milestones!$AC$170&amp;";  ","")&amp;IF(AND(EDATE($D35,Milestones!$AA$171)&lt;=AsOfDate,IF($R35=0,$X35,IF(AND($T35&lt;&gt;"",EDATE($D35,Milestones!$AA$171)&gt;=$T35),$W35,IF(AND($S35&lt;&gt;"",EDATE($D35,Milestones!$AA$171)&gt;=$S35),$V35,$U35)))=Milestones!$AB$171),UPPER(TEXT(EDATE($D35,Milestones!$AA$171),"dd mmm yy"))&amp;" "&amp;Milestones!$AB$171&amp;" "&amp;Milestones!$AC$171&amp;";  ","")&amp;IF(AND(EDATE($D35,Milestones!$AA$172)&lt;=AsOfDate,IF($R35=0,$X35,IF(AND($T35&lt;&gt;"",EDATE($D35,Milestones!$AA$172)&gt;=$T35),$W35,IF(AND($S35&lt;&gt;"",EDATE($D35,Milestones!$AA$172)&gt;=$S35),$V35,$U35)))=Milestones!$AB$172),UPPER(TEXT(EDATE($D35,Milestones!$AA$172),"dd mmm yy"))&amp;" "&amp;Milestones!$AB$172&amp;" "&amp;Milestones!$AC$172&amp;";  ","")&amp;IF(AND(EDATE($D35,Milestones!$AA$173)&lt;=AsOfDate,IF($R35=0,$X35,IF(AND($T35&lt;&gt;"",EDATE($D35,Milestones!$AA$173)&gt;=$T35),$W35,IF(AND($S35&lt;&gt;"",EDATE($D35,Milestones!$AA$173)&gt;=$S35),$V35,$U35)))=Milestones!$AB$173),UPPER(TEXT(EDATE($D35,Milestones!$AA$173),"dd mmm yy"))&amp;" "&amp;Milestones!$AB$173&amp;" "&amp;Milestones!$AC$173&amp;";  ","")&amp;IF(AND(EDATE($D35,Milestones!$AA$174)&lt;=AsOfDate,IF($R35=0,$X35,IF(AND($T35&lt;&gt;"",EDATE($D35,Milestones!$AA$174)&gt;=$T35),$W35,IF(AND($S35&lt;&gt;"",EDATE($D35,Milestones!$AA$174)&gt;=$S35),$V35,$U35)))=Milestones!$AB$174),UPPER(TEXT(EDATE($D35,Milestones!$AA$174),"dd mmm yy"))&amp;" "&amp;Milestones!$AB$174&amp;" "&amp;Milestones!$AC$174&amp;";  ","")&amp;IF(AND(EDATE($D35,Milestones!$AA$175)&lt;=AsOfDate,IF($R35=0,$X35,IF(AND($T35&lt;&gt;"",EDATE($D35,Milestones!$AA$175)&gt;=$T35),$W35,IF(AND($S35&lt;&gt;"",EDATE($D35,Milestones!$AA$175)&gt;=$S35),$V35,$U35)))=Milestones!$AB$175),UPPER(TEXT(EDATE($D35,Milestones!$AA$175),"dd mmm yy"))&amp;" "&amp;Milestones!$AB$175&amp;" "&amp;Milestones!$AC$175&amp;";  ","")&amp;IF(AND(EDATE($D35,Milestones!$AA$176)&lt;=AsOfDate,IF($R35=0,$X35,IF(AND($T35&lt;&gt;"",EDATE($D35,Milestones!$AA$176)&gt;=$T35),$W35,IF(AND($S35&lt;&gt;"",EDATE($D35,Milestones!$AA$176)&gt;=$S35),$V35,$U35)))=Milestones!$AB$176),UPPER(TEXT(EDATE($D35,Milestones!$AA$176),"dd mmm yy"))&amp;" "&amp;Milestones!$AB$176&amp;" "&amp;Milestones!$AC$176&amp;";  ","")&amp;IF(AND(EDATE($D35,Milestones!$AA$177)&lt;=AsOfDate,IF($R35=0,$X35,IF(AND($T35&lt;&gt;"",EDATE($D35,Milestones!$AA$177)&gt;=$T35),$W35,IF(AND($S35&lt;&gt;"",EDATE($D35,Milestones!$AA$177)&gt;=$S35),$V35,$U35)))=Milestones!$AB$177),UPPER(TEXT(EDATE($D35,Milestones!$AA$177),"dd mmm yy"))&amp;" "&amp;Milestones!$AB$177&amp;" "&amp;Milestones!$AC$177&amp;";  ","")&amp;IF(AND(EDATE($D35,Milestones!$AA$178)&lt;=AsOfDate,IF($R35=0,$X35,IF(AND($T35&lt;&gt;"",EDATE($D35,Milestones!$AA$178)&gt;=$T35),$W35,IF(AND($S35&lt;&gt;"",EDATE($D35,Milestones!$AA$178)&gt;=$S35),$V35,$U35)))=Milestones!$AB$178),UPPER(TEXT(EDATE($D35,Milestones!$AA$178),"dd mmm yy"))&amp;" "&amp;Milestones!$AB$178&amp;" "&amp;Milestones!$AC$178&amp;";  ","")&amp;IF(AND(EDATE($D35,Milestones!$AA$179)&lt;=AsOfDate,IF($R35=0,$X35,IF(AND($T35&lt;&gt;"",EDATE($D35,Milestones!$AA$179)&gt;=$T35),$W35,IF(AND($S35&lt;&gt;"",EDATE($D35,Milestones!$AA$179)&gt;=$S35),$V35,$U35)))=Milestones!$AB$179),UPPER(TEXT(EDATE($D35,Milestones!$AA$179),"dd mmm yy"))&amp;" "&amp;Milestones!$AB$179&amp;" "&amp;Milestones!$AC$179&amp;";  ",""))</f>
        <v/>
      </c>
      <c r="Q35" s="0" t="str">
        <f aca="false">IF(OR($A35="",$D35=""),"",IF(AND(EDATE($D35,Milestones!$AA$180)&lt;=AsOfDate,IF($R35=0,$X35,IF(AND($T35&lt;&gt;"",EDATE($D35,Milestones!$AA$180)&gt;=$T35),$W35,IF(AND($S35&lt;&gt;"",EDATE($D35,Milestones!$AA$180)&gt;=$S35),$V35,$U35)))=Milestones!$AB$180),UPPER(TEXT(EDATE($D35,Milestones!$AA$180),"dd mmm yy"))&amp;" "&amp;Milestones!$AB$180&amp;" "&amp;Milestones!$AC$180&amp;";  ","")&amp;IF(AND(EDATE($D35,Milestones!$AA$181)&lt;=AsOfDate,IF($R35=0,$X35,IF(AND($T35&lt;&gt;"",EDATE($D35,Milestones!$AA$181)&gt;=$T35),$W35,IF(AND($S35&lt;&gt;"",EDATE($D35,Milestones!$AA$181)&gt;=$S35),$V35,$U35)))=Milestones!$AB$181),UPPER(TEXT(EDATE($D35,Milestones!$AA$181),"dd mmm yy"))&amp;" "&amp;Milestones!$AB$181&amp;" "&amp;Milestones!$AC$181&amp;";  ","")&amp;IF(AND(EDATE($D35,Milestones!$AA$182)&lt;=AsOfDate,IF($R35=0,$X35,IF(AND($T35&lt;&gt;"",EDATE($D35,Milestones!$AA$182)&gt;=$T35),$W35,IF(AND($S35&lt;&gt;"",EDATE($D35,Milestones!$AA$182)&gt;=$S35),$V35,$U35)))=Milestones!$AB$182),UPPER(TEXT(EDATE($D35,Milestones!$AA$182),"dd mmm yy"))&amp;" "&amp;Milestones!$AB$182&amp;" "&amp;Milestones!$AC$182&amp;";  ","")&amp;IF(AND(EDATE($D35,Milestones!$AA$183)&lt;=AsOfDate,IF($R35=0,$X35,IF(AND($T35&lt;&gt;"",EDATE($D35,Milestones!$AA$183)&gt;=$T35),$W35,IF(AND($S35&lt;&gt;"",EDATE($D35,Milestones!$AA$183)&gt;=$S35),$V35,$U35)))=Milestones!$AB$183),UPPER(TEXT(EDATE($D35,Milestones!$AA$183),"dd mmm yy"))&amp;" "&amp;Milestones!$AB$183&amp;" "&amp;Milestones!$AC$183&amp;";  ","")&amp;IF(AND(EDATE($D35,Milestones!$AA$184)&lt;=AsOfDate,IF($R35=0,$X35,IF(AND($T35&lt;&gt;"",EDATE($D35,Milestones!$AA$184)&gt;=$T35),$W35,IF(AND($S35&lt;&gt;"",EDATE($D35,Milestones!$AA$184)&gt;=$S35),$V35,$U35)))=Milestones!$AB$184),UPPER(TEXT(EDATE($D35,Milestones!$AA$184),"dd mmm yy"))&amp;" "&amp;Milestones!$AB$184&amp;" "&amp;Milestones!$AC$184&amp;";  ","")&amp;IF(AND(EDATE($D35,Milestones!$AA$185)&lt;=AsOfDate,IF($R35=0,$X35,IF(AND($T35&lt;&gt;"",EDATE($D35,Milestones!$AA$185)&gt;=$T35),$W35,IF(AND($S35&lt;&gt;"",EDATE($D35,Milestones!$AA$185)&gt;=$S35),$V35,$U35)))=Milestones!$AB$185),UPPER(TEXT(EDATE($D35,Milestones!$AA$185),"dd mmm yy"))&amp;" "&amp;Milestones!$AB$185&amp;" "&amp;Milestones!$AC$185&amp;";  ","")&amp;IF(AND(EDATE($D35,Milestones!$AA$186)&lt;=AsOfDate,IF($R35=0,$X35,IF(AND($T35&lt;&gt;"",EDATE($D35,Milestones!$AA$186)&gt;=$T35),$W35,IF(AND($S35&lt;&gt;"",EDATE($D35,Milestones!$AA$186)&gt;=$S35),$V35,$U35)))=Milestones!$AB$186),UPPER(TEXT(EDATE($D35,Milestones!$AA$186),"dd mmm yy"))&amp;" "&amp;Milestones!$AB$186&amp;" "&amp;Milestones!$AC$186&amp;";  ","")&amp;IF(AND(EDATE($D35,Milestones!$AA$187)&lt;=AsOfDate,IF($R35=0,$X35,IF(AND($T35&lt;&gt;"",EDATE($D35,Milestones!$AA$187)&gt;=$T35),$W35,IF(AND($S35&lt;&gt;"",EDATE($D35,Milestones!$AA$187)&gt;=$S35),$V35,$U35)))=Milestones!$AB$187),UPPER(TEXT(EDATE($D35,Milestones!$AA$187),"dd mmm yy"))&amp;" "&amp;Milestones!$AB$187&amp;" "&amp;Milestones!$AC$187&amp;";  ","")&amp;IF(AND(EDATE($D35,Milestones!$AA$188)&lt;=AsOfDate,IF($R35=0,$X35,IF(AND($T35&lt;&gt;"",EDATE($D35,Milestones!$AA$188)&gt;=$T35),$W35,IF(AND($S35&lt;&gt;"",EDATE($D35,Milestones!$AA$188)&gt;=$S35),$V35,$U35)))=Milestones!$AB$188),UPPER(TEXT(EDATE($D35,Milestones!$AA$188),"dd mmm yy"))&amp;" "&amp;Milestones!$AB$188&amp;" "&amp;Milestones!$AC$188&amp;";  ","")&amp;IF(AND(EDATE($D35,Milestones!$AA$189)&lt;=AsOfDate,IF($R35=0,$X35,IF(AND($T35&lt;&gt;"",EDATE($D35,Milestones!$AA$189)&gt;=$T35),$W35,IF(AND($S35&lt;&gt;"",EDATE($D35,Milestones!$AA$189)&gt;=$S35),$V35,$U35)))=Milestones!$AB$189),UPPER(TEXT(EDATE($D35,Milestones!$AA$189),"dd mmm yy"))&amp;" "&amp;Milestones!$AB$189&amp;" "&amp;Milestones!$AC$189&amp;";  ","")&amp;IF(AND(EDATE($D35,Milestones!$AA$190)&lt;=AsOfDate,IF($R35=0,$X35,IF(AND($T35&lt;&gt;"",EDATE($D35,Milestones!$AA$190)&gt;=$T35),$W35,IF(AND($S35&lt;&gt;"",EDATE($D35,Milestones!$AA$190)&gt;=$S35),$V35,$U35)))=Milestones!$AB$190),UPPER(TEXT(EDATE($D35,Milestones!$AA$190),"dd mmm yy"))&amp;" "&amp;Milestones!$AB$190&amp;" "&amp;Milestones!$AC$190&amp;";  ","")&amp;IF(AND(EDATE($D35,Milestones!$AA$191)&lt;=AsOfDate,IF($R35=0,$X35,IF(AND($T35&lt;&gt;"",EDATE($D35,Milestones!$AA$191)&gt;=$T35),$W35,IF(AND($S35&lt;&gt;"",EDATE($D35,Milestones!$AA$191)&gt;=$S35),$V35,$U35)))=Milestones!$AB$191),UPPER(TEXT(EDATE($D35,Milestones!$AA$191),"dd mmm yy"))&amp;" "&amp;Milestones!$AB$191&amp;" "&amp;Milestones!$AC$191&amp;";  ","")&amp;IF(AND(EDATE($D35,Milestones!$AA$192)&lt;=AsOfDate,IF($R35=0,$X35,IF(AND($T35&lt;&gt;"",EDATE($D35,Milestones!$AA$192)&gt;=$T35),$W35,IF(AND($S35&lt;&gt;"",EDATE($D35,Milestones!$AA$192)&gt;=$S35),$V35,$U35)))=Milestones!$AB$192),UPPER(TEXT(EDATE($D35,Milestones!$AA$192),"dd mmm yy"))&amp;" "&amp;Milestones!$AB$192&amp;" "&amp;Milestones!$AC$192&amp;";  ","")&amp;IF(AND(EDATE($D35,Milestones!$AA$193)&lt;=AsOfDate,IF($R35=0,$X35,IF(AND($T35&lt;&gt;"",EDATE($D35,Milestones!$AA$193)&gt;=$T35),$W35,IF(AND($S35&lt;&gt;"",EDATE($D35,Milestones!$AA$193)&gt;=$S35),$V35,$U35)))=Milestones!$AB$193),UPPER(TEXT(EDATE($D35,Milestones!$AA$193),"dd mmm yy"))&amp;" "&amp;Milestones!$AB$193&amp;" "&amp;Milestones!$AC$193&amp;";  ","")&amp;IF(AND(EDATE($D35,Milestones!$AA$194)&lt;=AsOfDate,IF($R35=0,$X35,IF(AND($T35&lt;&gt;"",EDATE($D35,Milestones!$AA$194)&gt;=$T35),$W35,IF(AND($S35&lt;&gt;"",EDATE($D35,Milestones!$AA$194)&gt;=$S35),$V35,$U35)))=Milestones!$AB$194),UPPER(TEXT(EDATE($D35,Milestones!$AA$194),"dd mmm yy"))&amp;" "&amp;Milestones!$AB$194&amp;" "&amp;Milestones!$AC$194&amp;";  ","")&amp;IF(AND(EDATE($D35,Milestones!$AA$195)&lt;=AsOfDate,IF($R35=0,$X35,IF(AND($T35&lt;&gt;"",EDATE($D35,Milestones!$AA$195)&gt;=$T35),$W35,IF(AND($S35&lt;&gt;"",EDATE($D35,Milestones!$AA$195)&gt;=$S35),$V35,$U35)))=Milestones!$AB$195),UPPER(TEXT(EDATE($D35,Milestones!$AA$195),"dd mmm yy"))&amp;" "&amp;Milestones!$AB$195&amp;" "&amp;Milestones!$AC$195&amp;";  ","")&amp;IF(AND(EDATE($D35,Milestones!$AA$196)&lt;=AsOfDate,IF($R35=0,$X35,IF(AND($T35&lt;&gt;"",EDATE($D35,Milestones!$AA$196)&gt;=$T35),$W35,IF(AND($S35&lt;&gt;"",EDATE($D35,Milestones!$AA$196)&gt;=$S35),$V35,$U35)))=Milestones!$AB$196),UPPER(TEXT(EDATE($D35,Milestones!$AA$196),"dd mmm yy"))&amp;" "&amp;Milestones!$AB$196&amp;" "&amp;Milestones!$AC$196&amp;";  ","")&amp;IF(AND(EDATE($D35,Milestones!$AA$197)&lt;=AsOfDate,IF($R35=0,$X35,IF(AND($T35&lt;&gt;"",EDATE($D35,Milestones!$AA$197)&gt;=$T35),$W35,IF(AND($S35&lt;&gt;"",EDATE($D35,Milestones!$AA$197)&gt;=$S35),$V35,$U35)))=Milestones!$AB$197),UPPER(TEXT(EDATE($D35,Milestones!$AA$197),"dd mmm yy"))&amp;" "&amp;Milestones!$AB$197&amp;" "&amp;Milestones!$AC$197&amp;";  ","")&amp;IF(AND(EDATE($D35,Milestones!$AA$198)&lt;=AsOfDate,IF($R35=0,$X35,IF(AND($T35&lt;&gt;"",EDATE($D35,Milestones!$AA$198)&gt;=$T35),$W35,IF(AND($S35&lt;&gt;"",EDATE($D35,Milestones!$AA$198)&gt;=$S35),$V35,$U35)))=Milestones!$AB$198),UPPER(TEXT(EDATE($D35,Milestones!$AA$198),"dd mmm yy"))&amp;" "&amp;Milestones!$AB$198&amp;" "&amp;Milestones!$AC$198&amp;";  ","")&amp;IF(AND(EDATE($D35,Milestones!$AA$199)&lt;=AsOfDate,IF($R35=0,$X35,IF(AND($T35&lt;&gt;"",EDATE($D35,Milestones!$AA$199)&gt;=$T35),$W35,IF(AND($S35&lt;&gt;"",EDATE($D35,Milestones!$AA$199)&gt;=$S35),$V35,$U35)))=Milestones!$AB$199),UPPER(TEXT(EDATE($D35,Milestones!$AA$199),"dd mmm yy"))&amp;" "&amp;Milestones!$AB$199&amp;" "&amp;Milestones!$AC$199&amp;";  ",""))</f>
        <v/>
      </c>
      <c r="R35" s="0" t="str">
        <f aca="false">IF(Staff!$A35="","",Staff!$AI35)</f>
        <v/>
      </c>
      <c r="S35" s="0" t="str">
        <f aca="false">IF(Staff!$A35="","",Staff!$AK35)</f>
        <v/>
      </c>
      <c r="T35" s="0" t="str">
        <f aca="false">IF(Staff!$A35="","",Staff!$AL35)</f>
        <v/>
      </c>
      <c r="U35" s="0" t="str">
        <f aca="false">IF(Staff!$A35="","",Staff!$AP35)</f>
        <v/>
      </c>
      <c r="V35" s="0" t="str">
        <f aca="false">IF(Staff!$A35="","",Staff!$AQ35)</f>
        <v/>
      </c>
      <c r="W35" s="0" t="str">
        <f aca="false">IF(Staff!$A35="","",Staff!$AR35)</f>
        <v/>
      </c>
      <c r="X35" s="0" t="str">
        <f aca="false">IF(Staff!$A35="","",Staff!$AS35)</f>
        <v/>
      </c>
    </row>
    <row r="36" customFormat="false" ht="15" hidden="false" customHeight="false" outlineLevel="0" collapsed="false">
      <c r="A36" s="14" t="str">
        <f aca="false">IF(Staff!$A36="","",Staff!$A36)</f>
        <v/>
      </c>
      <c r="B36" s="14" t="str">
        <f aca="false">IF(Staff!$A36="","",Staff!$B36)</f>
        <v/>
      </c>
      <c r="C36" s="14" t="str">
        <f aca="false">IF(Staff!$A36="","",Staff!$C36)</f>
        <v/>
      </c>
      <c r="D36" s="12" t="str">
        <f aca="false">IF(Staff!$A36="","",Staff!$AH36)</f>
        <v/>
      </c>
      <c r="E36" s="14" t="str">
        <f aca="false">IF(Staff!$A36="","",Staff!$O36)</f>
        <v/>
      </c>
      <c r="F36" s="14" t="str">
        <f aca="false">IF(E36="","",E36*HoursPerDay)</f>
        <v/>
      </c>
      <c r="G36" s="14" t="str">
        <f aca="false">IF(Staff!$A36="","",Staff!$AE36)</f>
        <v/>
      </c>
      <c r="H36" s="26" t="str">
        <f aca="false">IF($A36="","",I36&amp;J36&amp;K36&amp;L36&amp;M36&amp;N36&amp;O36&amp;P36&amp;Q36)</f>
        <v/>
      </c>
      <c r="I36" s="0" t="str">
        <f aca="false">IF(OR($A36="",$D36=""),"",IF(AND(EDATE($D36,Milestones!$AA$20)&lt;=AsOfDate,IF($R36=0,$X36,IF(AND($T36&lt;&gt;"",EDATE($D36,Milestones!$AA$20)&gt;=$T36),$W36,IF(AND($S36&lt;&gt;"",EDATE($D36,Milestones!$AA$20)&gt;=$S36),$V36,$U36)))=Milestones!$AB$20),UPPER(TEXT(EDATE($D36,Milestones!$AA$20),"dd mmm yy"))&amp;" "&amp;Milestones!$AB$20&amp;" "&amp;Milestones!$AC$20&amp;";  ","")&amp;IF(AND(EDATE($D36,Milestones!$AA$21)&lt;=AsOfDate,IF($R36=0,$X36,IF(AND($T36&lt;&gt;"",EDATE($D36,Milestones!$AA$21)&gt;=$T36),$W36,IF(AND($S36&lt;&gt;"",EDATE($D36,Milestones!$AA$21)&gt;=$S36),$V36,$U36)))=Milestones!$AB$21),UPPER(TEXT(EDATE($D36,Milestones!$AA$21),"dd mmm yy"))&amp;" "&amp;Milestones!$AB$21&amp;" "&amp;Milestones!$AC$21&amp;";  ","")&amp;IF(AND(EDATE($D36,Milestones!$AA$22)&lt;=AsOfDate,IF($R36=0,$X36,IF(AND($T36&lt;&gt;"",EDATE($D36,Milestones!$AA$22)&gt;=$T36),$W36,IF(AND($S36&lt;&gt;"",EDATE($D36,Milestones!$AA$22)&gt;=$S36),$V36,$U36)))=Milestones!$AB$22),UPPER(TEXT(EDATE($D36,Milestones!$AA$22),"dd mmm yy"))&amp;" "&amp;Milestones!$AB$22&amp;" "&amp;Milestones!$AC$22&amp;";  ","")&amp;IF(AND(EDATE($D36,Milestones!$AA$23)&lt;=AsOfDate,IF($R36=0,$X36,IF(AND($T36&lt;&gt;"",EDATE($D36,Milestones!$AA$23)&gt;=$T36),$W36,IF(AND($S36&lt;&gt;"",EDATE($D36,Milestones!$AA$23)&gt;=$S36),$V36,$U36)))=Milestones!$AB$23),UPPER(TEXT(EDATE($D36,Milestones!$AA$23),"dd mmm yy"))&amp;" "&amp;Milestones!$AB$23&amp;" "&amp;Milestones!$AC$23&amp;";  ","")&amp;IF(AND(EDATE($D36,Milestones!$AA$24)&lt;=AsOfDate,IF($R36=0,$X36,IF(AND($T36&lt;&gt;"",EDATE($D36,Milestones!$AA$24)&gt;=$T36),$W36,IF(AND($S36&lt;&gt;"",EDATE($D36,Milestones!$AA$24)&gt;=$S36),$V36,$U36)))=Milestones!$AB$24),UPPER(TEXT(EDATE($D36,Milestones!$AA$24),"dd mmm yy"))&amp;" "&amp;Milestones!$AB$24&amp;" "&amp;Milestones!$AC$24&amp;";  ","")&amp;IF(AND(EDATE($D36,Milestones!$AA$25)&lt;=AsOfDate,IF($R36=0,$X36,IF(AND($T36&lt;&gt;"",EDATE($D36,Milestones!$AA$25)&gt;=$T36),$W36,IF(AND($S36&lt;&gt;"",EDATE($D36,Milestones!$AA$25)&gt;=$S36),$V36,$U36)))=Milestones!$AB$25),UPPER(TEXT(EDATE($D36,Milestones!$AA$25),"dd mmm yy"))&amp;" "&amp;Milestones!$AB$25&amp;" "&amp;Milestones!$AC$25&amp;";  ","")&amp;IF(AND(EDATE($D36,Milestones!$AA$26)&lt;=AsOfDate,IF($R36=0,$X36,IF(AND($T36&lt;&gt;"",EDATE($D36,Milestones!$AA$26)&gt;=$T36),$W36,IF(AND($S36&lt;&gt;"",EDATE($D36,Milestones!$AA$26)&gt;=$S36),$V36,$U36)))=Milestones!$AB$26),UPPER(TEXT(EDATE($D36,Milestones!$AA$26),"dd mmm yy"))&amp;" "&amp;Milestones!$AB$26&amp;" "&amp;Milestones!$AC$26&amp;";  ","")&amp;IF(AND(EDATE($D36,Milestones!$AA$27)&lt;=AsOfDate,IF($R36=0,$X36,IF(AND($T36&lt;&gt;"",EDATE($D36,Milestones!$AA$27)&gt;=$T36),$W36,IF(AND($S36&lt;&gt;"",EDATE($D36,Milestones!$AA$27)&gt;=$S36),$V36,$U36)))=Milestones!$AB$27),UPPER(TEXT(EDATE($D36,Milestones!$AA$27),"dd mmm yy"))&amp;" "&amp;Milestones!$AB$27&amp;" "&amp;Milestones!$AC$27&amp;";  ","")&amp;IF(AND(EDATE($D36,Milestones!$AA$28)&lt;=AsOfDate,IF($R36=0,$X36,IF(AND($T36&lt;&gt;"",EDATE($D36,Milestones!$AA$28)&gt;=$T36),$W36,IF(AND($S36&lt;&gt;"",EDATE($D36,Milestones!$AA$28)&gt;=$S36),$V36,$U36)))=Milestones!$AB$28),UPPER(TEXT(EDATE($D36,Milestones!$AA$28),"dd mmm yy"))&amp;" "&amp;Milestones!$AB$28&amp;" "&amp;Milestones!$AC$28&amp;";  ","")&amp;IF(AND(EDATE($D36,Milestones!$AA$29)&lt;=AsOfDate,IF($R36=0,$X36,IF(AND($T36&lt;&gt;"",EDATE($D36,Milestones!$AA$29)&gt;=$T36),$W36,IF(AND($S36&lt;&gt;"",EDATE($D36,Milestones!$AA$29)&gt;=$S36),$V36,$U36)))=Milestones!$AB$29),UPPER(TEXT(EDATE($D36,Milestones!$AA$29),"dd mmm yy"))&amp;" "&amp;Milestones!$AB$29&amp;" "&amp;Milestones!$AC$29&amp;";  ","")&amp;IF(AND(EDATE($D36,Milestones!$AA$30)&lt;=AsOfDate,IF($R36=0,$X36,IF(AND($T36&lt;&gt;"",EDATE($D36,Milestones!$AA$30)&gt;=$T36),$W36,IF(AND($S36&lt;&gt;"",EDATE($D36,Milestones!$AA$30)&gt;=$S36),$V36,$U36)))=Milestones!$AB$30),UPPER(TEXT(EDATE($D36,Milestones!$AA$30),"dd mmm yy"))&amp;" "&amp;Milestones!$AB$30&amp;" "&amp;Milestones!$AC$30&amp;";  ","")&amp;IF(AND(EDATE($D36,Milestones!$AA$31)&lt;=AsOfDate,IF($R36=0,$X36,IF(AND($T36&lt;&gt;"",EDATE($D36,Milestones!$AA$31)&gt;=$T36),$W36,IF(AND($S36&lt;&gt;"",EDATE($D36,Milestones!$AA$31)&gt;=$S36),$V36,$U36)))=Milestones!$AB$31),UPPER(TEXT(EDATE($D36,Milestones!$AA$31),"dd mmm yy"))&amp;" "&amp;Milestones!$AB$31&amp;" "&amp;Milestones!$AC$31&amp;";  ","")&amp;IF(AND(EDATE($D36,Milestones!$AA$32)&lt;=AsOfDate,IF($R36=0,$X36,IF(AND($T36&lt;&gt;"",EDATE($D36,Milestones!$AA$32)&gt;=$T36),$W36,IF(AND($S36&lt;&gt;"",EDATE($D36,Milestones!$AA$32)&gt;=$S36),$V36,$U36)))=Milestones!$AB$32),UPPER(TEXT(EDATE($D36,Milestones!$AA$32),"dd mmm yy"))&amp;" "&amp;Milestones!$AB$32&amp;" "&amp;Milestones!$AC$32&amp;";  ","")&amp;IF(AND(EDATE($D36,Milestones!$AA$33)&lt;=AsOfDate,IF($R36=0,$X36,IF(AND($T36&lt;&gt;"",EDATE($D36,Milestones!$AA$33)&gt;=$T36),$W36,IF(AND($S36&lt;&gt;"",EDATE($D36,Milestones!$AA$33)&gt;=$S36),$V36,$U36)))=Milestones!$AB$33),UPPER(TEXT(EDATE($D36,Milestones!$AA$33),"dd mmm yy"))&amp;" "&amp;Milestones!$AB$33&amp;" "&amp;Milestones!$AC$33&amp;";  ","")&amp;IF(AND(EDATE($D36,Milestones!$AA$34)&lt;=AsOfDate,IF($R36=0,$X36,IF(AND($T36&lt;&gt;"",EDATE($D36,Milestones!$AA$34)&gt;=$T36),$W36,IF(AND($S36&lt;&gt;"",EDATE($D36,Milestones!$AA$34)&gt;=$S36),$V36,$U36)))=Milestones!$AB$34),UPPER(TEXT(EDATE($D36,Milestones!$AA$34),"dd mmm yy"))&amp;" "&amp;Milestones!$AB$34&amp;" "&amp;Milestones!$AC$34&amp;";  ","")&amp;IF(AND(EDATE($D36,Milestones!$AA$35)&lt;=AsOfDate,IF($R36=0,$X36,IF(AND($T36&lt;&gt;"",EDATE($D36,Milestones!$AA$35)&gt;=$T36),$W36,IF(AND($S36&lt;&gt;"",EDATE($D36,Milestones!$AA$35)&gt;=$S36),$V36,$U36)))=Milestones!$AB$35),UPPER(TEXT(EDATE($D36,Milestones!$AA$35),"dd mmm yy"))&amp;" "&amp;Milestones!$AB$35&amp;" "&amp;Milestones!$AC$35&amp;";  ","")&amp;IF(AND(EDATE($D36,Milestones!$AA$36)&lt;=AsOfDate,IF($R36=0,$X36,IF(AND($T36&lt;&gt;"",EDATE($D36,Milestones!$AA$36)&gt;=$T36),$W36,IF(AND($S36&lt;&gt;"",EDATE($D36,Milestones!$AA$36)&gt;=$S36),$V36,$U36)))=Milestones!$AB$36),UPPER(TEXT(EDATE($D36,Milestones!$AA$36),"dd mmm yy"))&amp;" "&amp;Milestones!$AB$36&amp;" "&amp;Milestones!$AC$36&amp;";  ","")&amp;IF(AND(EDATE($D36,Milestones!$AA$37)&lt;=AsOfDate,IF($R36=0,$X36,IF(AND($T36&lt;&gt;"",EDATE($D36,Milestones!$AA$37)&gt;=$T36),$W36,IF(AND($S36&lt;&gt;"",EDATE($D36,Milestones!$AA$37)&gt;=$S36),$V36,$U36)))=Milestones!$AB$37),UPPER(TEXT(EDATE($D36,Milestones!$AA$37),"dd mmm yy"))&amp;" "&amp;Milestones!$AB$37&amp;" "&amp;Milestones!$AC$37&amp;";  ","")&amp;IF(AND(EDATE($D36,Milestones!$AA$38)&lt;=AsOfDate,IF($R36=0,$X36,IF(AND($T36&lt;&gt;"",EDATE($D36,Milestones!$AA$38)&gt;=$T36),$W36,IF(AND($S36&lt;&gt;"",EDATE($D36,Milestones!$AA$38)&gt;=$S36),$V36,$U36)))=Milestones!$AB$38),UPPER(TEXT(EDATE($D36,Milestones!$AA$38),"dd mmm yy"))&amp;" "&amp;Milestones!$AB$38&amp;" "&amp;Milestones!$AC$38&amp;";  ","")&amp;IF(AND(EDATE($D36,Milestones!$AA$39)&lt;=AsOfDate,IF($R36=0,$X36,IF(AND($T36&lt;&gt;"",EDATE($D36,Milestones!$AA$39)&gt;=$T36),$W36,IF(AND($S36&lt;&gt;"",EDATE($D36,Milestones!$AA$39)&gt;=$S36),$V36,$U36)))=Milestones!$AB$39),UPPER(TEXT(EDATE($D36,Milestones!$AA$39),"dd mmm yy"))&amp;" "&amp;Milestones!$AB$39&amp;" "&amp;Milestones!$AC$39&amp;";  ",""))</f>
        <v/>
      </c>
      <c r="J36" s="0" t="str">
        <f aca="false">IF(OR($A36="",$D36=""),"",IF(AND(EDATE($D36,Milestones!$AA$40)&lt;=AsOfDate,IF($R36=0,$X36,IF(AND($T36&lt;&gt;"",EDATE($D36,Milestones!$AA$40)&gt;=$T36),$W36,IF(AND($S36&lt;&gt;"",EDATE($D36,Milestones!$AA$40)&gt;=$S36),$V36,$U36)))=Milestones!$AB$40),UPPER(TEXT(EDATE($D36,Milestones!$AA$40),"dd mmm yy"))&amp;" "&amp;Milestones!$AB$40&amp;" "&amp;Milestones!$AC$40&amp;";  ","")&amp;IF(AND(EDATE($D36,Milestones!$AA$41)&lt;=AsOfDate,IF($R36=0,$X36,IF(AND($T36&lt;&gt;"",EDATE($D36,Milestones!$AA$41)&gt;=$T36),$W36,IF(AND($S36&lt;&gt;"",EDATE($D36,Milestones!$AA$41)&gt;=$S36),$V36,$U36)))=Milestones!$AB$41),UPPER(TEXT(EDATE($D36,Milestones!$AA$41),"dd mmm yy"))&amp;" "&amp;Milestones!$AB$41&amp;" "&amp;Milestones!$AC$41&amp;";  ","")&amp;IF(AND(EDATE($D36,Milestones!$AA$42)&lt;=AsOfDate,IF($R36=0,$X36,IF(AND($T36&lt;&gt;"",EDATE($D36,Milestones!$AA$42)&gt;=$T36),$W36,IF(AND($S36&lt;&gt;"",EDATE($D36,Milestones!$AA$42)&gt;=$S36),$V36,$U36)))=Milestones!$AB$42),UPPER(TEXT(EDATE($D36,Milestones!$AA$42),"dd mmm yy"))&amp;" "&amp;Milestones!$AB$42&amp;" "&amp;Milestones!$AC$42&amp;";  ","")&amp;IF(AND(EDATE($D36,Milestones!$AA$43)&lt;=AsOfDate,IF($R36=0,$X36,IF(AND($T36&lt;&gt;"",EDATE($D36,Milestones!$AA$43)&gt;=$T36),$W36,IF(AND($S36&lt;&gt;"",EDATE($D36,Milestones!$AA$43)&gt;=$S36),$V36,$U36)))=Milestones!$AB$43),UPPER(TEXT(EDATE($D36,Milestones!$AA$43),"dd mmm yy"))&amp;" "&amp;Milestones!$AB$43&amp;" "&amp;Milestones!$AC$43&amp;";  ","")&amp;IF(AND(EDATE($D36,Milestones!$AA$44)&lt;=AsOfDate,IF($R36=0,$X36,IF(AND($T36&lt;&gt;"",EDATE($D36,Milestones!$AA$44)&gt;=$T36),$W36,IF(AND($S36&lt;&gt;"",EDATE($D36,Milestones!$AA$44)&gt;=$S36),$V36,$U36)))=Milestones!$AB$44),UPPER(TEXT(EDATE($D36,Milestones!$AA$44),"dd mmm yy"))&amp;" "&amp;Milestones!$AB$44&amp;" "&amp;Milestones!$AC$44&amp;";  ","")&amp;IF(AND(EDATE($D36,Milestones!$AA$45)&lt;=AsOfDate,IF($R36=0,$X36,IF(AND($T36&lt;&gt;"",EDATE($D36,Milestones!$AA$45)&gt;=$T36),$W36,IF(AND($S36&lt;&gt;"",EDATE($D36,Milestones!$AA$45)&gt;=$S36),$V36,$U36)))=Milestones!$AB$45),UPPER(TEXT(EDATE($D36,Milestones!$AA$45),"dd mmm yy"))&amp;" "&amp;Milestones!$AB$45&amp;" "&amp;Milestones!$AC$45&amp;";  ","")&amp;IF(AND(EDATE($D36,Milestones!$AA$46)&lt;=AsOfDate,IF($R36=0,$X36,IF(AND($T36&lt;&gt;"",EDATE($D36,Milestones!$AA$46)&gt;=$T36),$W36,IF(AND($S36&lt;&gt;"",EDATE($D36,Milestones!$AA$46)&gt;=$S36),$V36,$U36)))=Milestones!$AB$46),UPPER(TEXT(EDATE($D36,Milestones!$AA$46),"dd mmm yy"))&amp;" "&amp;Milestones!$AB$46&amp;" "&amp;Milestones!$AC$46&amp;";  ","")&amp;IF(AND(EDATE($D36,Milestones!$AA$47)&lt;=AsOfDate,IF($R36=0,$X36,IF(AND($T36&lt;&gt;"",EDATE($D36,Milestones!$AA$47)&gt;=$T36),$W36,IF(AND($S36&lt;&gt;"",EDATE($D36,Milestones!$AA$47)&gt;=$S36),$V36,$U36)))=Milestones!$AB$47),UPPER(TEXT(EDATE($D36,Milestones!$AA$47),"dd mmm yy"))&amp;" "&amp;Milestones!$AB$47&amp;" "&amp;Milestones!$AC$47&amp;";  ","")&amp;IF(AND(EDATE($D36,Milestones!$AA$48)&lt;=AsOfDate,IF($R36=0,$X36,IF(AND($T36&lt;&gt;"",EDATE($D36,Milestones!$AA$48)&gt;=$T36),$W36,IF(AND($S36&lt;&gt;"",EDATE($D36,Milestones!$AA$48)&gt;=$S36),$V36,$U36)))=Milestones!$AB$48),UPPER(TEXT(EDATE($D36,Milestones!$AA$48),"dd mmm yy"))&amp;" "&amp;Milestones!$AB$48&amp;" "&amp;Milestones!$AC$48&amp;";  ","")&amp;IF(AND(EDATE($D36,Milestones!$AA$49)&lt;=AsOfDate,IF($R36=0,$X36,IF(AND($T36&lt;&gt;"",EDATE($D36,Milestones!$AA$49)&gt;=$T36),$W36,IF(AND($S36&lt;&gt;"",EDATE($D36,Milestones!$AA$49)&gt;=$S36),$V36,$U36)))=Milestones!$AB$49),UPPER(TEXT(EDATE($D36,Milestones!$AA$49),"dd mmm yy"))&amp;" "&amp;Milestones!$AB$49&amp;" "&amp;Milestones!$AC$49&amp;";  ","")&amp;IF(AND(EDATE($D36,Milestones!$AA$50)&lt;=AsOfDate,IF($R36=0,$X36,IF(AND($T36&lt;&gt;"",EDATE($D36,Milestones!$AA$50)&gt;=$T36),$W36,IF(AND($S36&lt;&gt;"",EDATE($D36,Milestones!$AA$50)&gt;=$S36),$V36,$U36)))=Milestones!$AB$50),UPPER(TEXT(EDATE($D36,Milestones!$AA$50),"dd mmm yy"))&amp;" "&amp;Milestones!$AB$50&amp;" "&amp;Milestones!$AC$50&amp;";  ","")&amp;IF(AND(EDATE($D36,Milestones!$AA$51)&lt;=AsOfDate,IF($R36=0,$X36,IF(AND($T36&lt;&gt;"",EDATE($D36,Milestones!$AA$51)&gt;=$T36),$W36,IF(AND($S36&lt;&gt;"",EDATE($D36,Milestones!$AA$51)&gt;=$S36),$V36,$U36)))=Milestones!$AB$51),UPPER(TEXT(EDATE($D36,Milestones!$AA$51),"dd mmm yy"))&amp;" "&amp;Milestones!$AB$51&amp;" "&amp;Milestones!$AC$51&amp;";  ","")&amp;IF(AND(EDATE($D36,Milestones!$AA$52)&lt;=AsOfDate,IF($R36=0,$X36,IF(AND($T36&lt;&gt;"",EDATE($D36,Milestones!$AA$52)&gt;=$T36),$W36,IF(AND($S36&lt;&gt;"",EDATE($D36,Milestones!$AA$52)&gt;=$S36),$V36,$U36)))=Milestones!$AB$52),UPPER(TEXT(EDATE($D36,Milestones!$AA$52),"dd mmm yy"))&amp;" "&amp;Milestones!$AB$52&amp;" "&amp;Milestones!$AC$52&amp;";  ","")&amp;IF(AND(EDATE($D36,Milestones!$AA$53)&lt;=AsOfDate,IF($R36=0,$X36,IF(AND($T36&lt;&gt;"",EDATE($D36,Milestones!$AA$53)&gt;=$T36),$W36,IF(AND($S36&lt;&gt;"",EDATE($D36,Milestones!$AA$53)&gt;=$S36),$V36,$U36)))=Milestones!$AB$53),UPPER(TEXT(EDATE($D36,Milestones!$AA$53),"dd mmm yy"))&amp;" "&amp;Milestones!$AB$53&amp;" "&amp;Milestones!$AC$53&amp;";  ","")&amp;IF(AND(EDATE($D36,Milestones!$AA$54)&lt;=AsOfDate,IF($R36=0,$X36,IF(AND($T36&lt;&gt;"",EDATE($D36,Milestones!$AA$54)&gt;=$T36),$W36,IF(AND($S36&lt;&gt;"",EDATE($D36,Milestones!$AA$54)&gt;=$S36),$V36,$U36)))=Milestones!$AB$54),UPPER(TEXT(EDATE($D36,Milestones!$AA$54),"dd mmm yy"))&amp;" "&amp;Milestones!$AB$54&amp;" "&amp;Milestones!$AC$54&amp;";  ","")&amp;IF(AND(EDATE($D36,Milestones!$AA$55)&lt;=AsOfDate,IF($R36=0,$X36,IF(AND($T36&lt;&gt;"",EDATE($D36,Milestones!$AA$55)&gt;=$T36),$W36,IF(AND($S36&lt;&gt;"",EDATE($D36,Milestones!$AA$55)&gt;=$S36),$V36,$U36)))=Milestones!$AB$55),UPPER(TEXT(EDATE($D36,Milestones!$AA$55),"dd mmm yy"))&amp;" "&amp;Milestones!$AB$55&amp;" "&amp;Milestones!$AC$55&amp;";  ","")&amp;IF(AND(EDATE($D36,Milestones!$AA$56)&lt;=AsOfDate,IF($R36=0,$X36,IF(AND($T36&lt;&gt;"",EDATE($D36,Milestones!$AA$56)&gt;=$T36),$W36,IF(AND($S36&lt;&gt;"",EDATE($D36,Milestones!$AA$56)&gt;=$S36),$V36,$U36)))=Milestones!$AB$56),UPPER(TEXT(EDATE($D36,Milestones!$AA$56),"dd mmm yy"))&amp;" "&amp;Milestones!$AB$56&amp;" "&amp;Milestones!$AC$56&amp;";  ","")&amp;IF(AND(EDATE($D36,Milestones!$AA$57)&lt;=AsOfDate,IF($R36=0,$X36,IF(AND($T36&lt;&gt;"",EDATE($D36,Milestones!$AA$57)&gt;=$T36),$W36,IF(AND($S36&lt;&gt;"",EDATE($D36,Milestones!$AA$57)&gt;=$S36),$V36,$U36)))=Milestones!$AB$57),UPPER(TEXT(EDATE($D36,Milestones!$AA$57),"dd mmm yy"))&amp;" "&amp;Milestones!$AB$57&amp;" "&amp;Milestones!$AC$57&amp;";  ","")&amp;IF(AND(EDATE($D36,Milestones!$AA$58)&lt;=AsOfDate,IF($R36=0,$X36,IF(AND($T36&lt;&gt;"",EDATE($D36,Milestones!$AA$58)&gt;=$T36),$W36,IF(AND($S36&lt;&gt;"",EDATE($D36,Milestones!$AA$58)&gt;=$S36),$V36,$U36)))=Milestones!$AB$58),UPPER(TEXT(EDATE($D36,Milestones!$AA$58),"dd mmm yy"))&amp;" "&amp;Milestones!$AB$58&amp;" "&amp;Milestones!$AC$58&amp;";  ","")&amp;IF(AND(EDATE($D36,Milestones!$AA$59)&lt;=AsOfDate,IF($R36=0,$X36,IF(AND($T36&lt;&gt;"",EDATE($D36,Milestones!$AA$59)&gt;=$T36),$W36,IF(AND($S36&lt;&gt;"",EDATE($D36,Milestones!$AA$59)&gt;=$S36),$V36,$U36)))=Milestones!$AB$59),UPPER(TEXT(EDATE($D36,Milestones!$AA$59),"dd mmm yy"))&amp;" "&amp;Milestones!$AB$59&amp;" "&amp;Milestones!$AC$59&amp;";  ",""))</f>
        <v/>
      </c>
      <c r="K36" s="0" t="str">
        <f aca="false">IF(OR($A36="",$D36=""),"",IF(AND(EDATE($D36,Milestones!$AA$60)&lt;=AsOfDate,IF($R36=0,$X36,IF(AND($T36&lt;&gt;"",EDATE($D36,Milestones!$AA$60)&gt;=$T36),$W36,IF(AND($S36&lt;&gt;"",EDATE($D36,Milestones!$AA$60)&gt;=$S36),$V36,$U36)))=Milestones!$AB$60),UPPER(TEXT(EDATE($D36,Milestones!$AA$60),"dd mmm yy"))&amp;" "&amp;Milestones!$AB$60&amp;" "&amp;Milestones!$AC$60&amp;";  ","")&amp;IF(AND(EDATE($D36,Milestones!$AA$61)&lt;=AsOfDate,IF($R36=0,$X36,IF(AND($T36&lt;&gt;"",EDATE($D36,Milestones!$AA$61)&gt;=$T36),$W36,IF(AND($S36&lt;&gt;"",EDATE($D36,Milestones!$AA$61)&gt;=$S36),$V36,$U36)))=Milestones!$AB$61),UPPER(TEXT(EDATE($D36,Milestones!$AA$61),"dd mmm yy"))&amp;" "&amp;Milestones!$AB$61&amp;" "&amp;Milestones!$AC$61&amp;";  ","")&amp;IF(AND(EDATE($D36,Milestones!$AA$62)&lt;=AsOfDate,IF($R36=0,$X36,IF(AND($T36&lt;&gt;"",EDATE($D36,Milestones!$AA$62)&gt;=$T36),$W36,IF(AND($S36&lt;&gt;"",EDATE($D36,Milestones!$AA$62)&gt;=$S36),$V36,$U36)))=Milestones!$AB$62),UPPER(TEXT(EDATE($D36,Milestones!$AA$62),"dd mmm yy"))&amp;" "&amp;Milestones!$AB$62&amp;" "&amp;Milestones!$AC$62&amp;";  ","")&amp;IF(AND(EDATE($D36,Milestones!$AA$63)&lt;=AsOfDate,IF($R36=0,$X36,IF(AND($T36&lt;&gt;"",EDATE($D36,Milestones!$AA$63)&gt;=$T36),$W36,IF(AND($S36&lt;&gt;"",EDATE($D36,Milestones!$AA$63)&gt;=$S36),$V36,$U36)))=Milestones!$AB$63),UPPER(TEXT(EDATE($D36,Milestones!$AA$63),"dd mmm yy"))&amp;" "&amp;Milestones!$AB$63&amp;" "&amp;Milestones!$AC$63&amp;";  ","")&amp;IF(AND(EDATE($D36,Milestones!$AA$64)&lt;=AsOfDate,IF($R36=0,$X36,IF(AND($T36&lt;&gt;"",EDATE($D36,Milestones!$AA$64)&gt;=$T36),$W36,IF(AND($S36&lt;&gt;"",EDATE($D36,Milestones!$AA$64)&gt;=$S36),$V36,$U36)))=Milestones!$AB$64),UPPER(TEXT(EDATE($D36,Milestones!$AA$64),"dd mmm yy"))&amp;" "&amp;Milestones!$AB$64&amp;" "&amp;Milestones!$AC$64&amp;";  ","")&amp;IF(AND(EDATE($D36,Milestones!$AA$65)&lt;=AsOfDate,IF($R36=0,$X36,IF(AND($T36&lt;&gt;"",EDATE($D36,Milestones!$AA$65)&gt;=$T36),$W36,IF(AND($S36&lt;&gt;"",EDATE($D36,Milestones!$AA$65)&gt;=$S36),$V36,$U36)))=Milestones!$AB$65),UPPER(TEXT(EDATE($D36,Milestones!$AA$65),"dd mmm yy"))&amp;" "&amp;Milestones!$AB$65&amp;" "&amp;Milestones!$AC$65&amp;";  ","")&amp;IF(AND(EDATE($D36,Milestones!$AA$66)&lt;=AsOfDate,IF($R36=0,$X36,IF(AND($T36&lt;&gt;"",EDATE($D36,Milestones!$AA$66)&gt;=$T36),$W36,IF(AND($S36&lt;&gt;"",EDATE($D36,Milestones!$AA$66)&gt;=$S36),$V36,$U36)))=Milestones!$AB$66),UPPER(TEXT(EDATE($D36,Milestones!$AA$66),"dd mmm yy"))&amp;" "&amp;Milestones!$AB$66&amp;" "&amp;Milestones!$AC$66&amp;";  ","")&amp;IF(AND(EDATE($D36,Milestones!$AA$67)&lt;=AsOfDate,IF($R36=0,$X36,IF(AND($T36&lt;&gt;"",EDATE($D36,Milestones!$AA$67)&gt;=$T36),$W36,IF(AND($S36&lt;&gt;"",EDATE($D36,Milestones!$AA$67)&gt;=$S36),$V36,$U36)))=Milestones!$AB$67),UPPER(TEXT(EDATE($D36,Milestones!$AA$67),"dd mmm yy"))&amp;" "&amp;Milestones!$AB$67&amp;" "&amp;Milestones!$AC$67&amp;";  ","")&amp;IF(AND(EDATE($D36,Milestones!$AA$68)&lt;=AsOfDate,IF($R36=0,$X36,IF(AND($T36&lt;&gt;"",EDATE($D36,Milestones!$AA$68)&gt;=$T36),$W36,IF(AND($S36&lt;&gt;"",EDATE($D36,Milestones!$AA$68)&gt;=$S36),$V36,$U36)))=Milestones!$AB$68),UPPER(TEXT(EDATE($D36,Milestones!$AA$68),"dd mmm yy"))&amp;" "&amp;Milestones!$AB$68&amp;" "&amp;Milestones!$AC$68&amp;";  ","")&amp;IF(AND(EDATE($D36,Milestones!$AA$69)&lt;=AsOfDate,IF($R36=0,$X36,IF(AND($T36&lt;&gt;"",EDATE($D36,Milestones!$AA$69)&gt;=$T36),$W36,IF(AND($S36&lt;&gt;"",EDATE($D36,Milestones!$AA$69)&gt;=$S36),$V36,$U36)))=Milestones!$AB$69),UPPER(TEXT(EDATE($D36,Milestones!$AA$69),"dd mmm yy"))&amp;" "&amp;Milestones!$AB$69&amp;" "&amp;Milestones!$AC$69&amp;";  ","")&amp;IF(AND(EDATE($D36,Milestones!$AA$70)&lt;=AsOfDate,IF($R36=0,$X36,IF(AND($T36&lt;&gt;"",EDATE($D36,Milestones!$AA$70)&gt;=$T36),$W36,IF(AND($S36&lt;&gt;"",EDATE($D36,Milestones!$AA$70)&gt;=$S36),$V36,$U36)))=Milestones!$AB$70),UPPER(TEXT(EDATE($D36,Milestones!$AA$70),"dd mmm yy"))&amp;" "&amp;Milestones!$AB$70&amp;" "&amp;Milestones!$AC$70&amp;";  ","")&amp;IF(AND(EDATE($D36,Milestones!$AA$71)&lt;=AsOfDate,IF($R36=0,$X36,IF(AND($T36&lt;&gt;"",EDATE($D36,Milestones!$AA$71)&gt;=$T36),$W36,IF(AND($S36&lt;&gt;"",EDATE($D36,Milestones!$AA$71)&gt;=$S36),$V36,$U36)))=Milestones!$AB$71),UPPER(TEXT(EDATE($D36,Milestones!$AA$71),"dd mmm yy"))&amp;" "&amp;Milestones!$AB$71&amp;" "&amp;Milestones!$AC$71&amp;";  ","")&amp;IF(AND(EDATE($D36,Milestones!$AA$72)&lt;=AsOfDate,IF($R36=0,$X36,IF(AND($T36&lt;&gt;"",EDATE($D36,Milestones!$AA$72)&gt;=$T36),$W36,IF(AND($S36&lt;&gt;"",EDATE($D36,Milestones!$AA$72)&gt;=$S36),$V36,$U36)))=Milestones!$AB$72),UPPER(TEXT(EDATE($D36,Milestones!$AA$72),"dd mmm yy"))&amp;" "&amp;Milestones!$AB$72&amp;" "&amp;Milestones!$AC$72&amp;";  ","")&amp;IF(AND(EDATE($D36,Milestones!$AA$73)&lt;=AsOfDate,IF($R36=0,$X36,IF(AND($T36&lt;&gt;"",EDATE($D36,Milestones!$AA$73)&gt;=$T36),$W36,IF(AND($S36&lt;&gt;"",EDATE($D36,Milestones!$AA$73)&gt;=$S36),$V36,$U36)))=Milestones!$AB$73),UPPER(TEXT(EDATE($D36,Milestones!$AA$73),"dd mmm yy"))&amp;" "&amp;Milestones!$AB$73&amp;" "&amp;Milestones!$AC$73&amp;";  ","")&amp;IF(AND(EDATE($D36,Milestones!$AA$74)&lt;=AsOfDate,IF($R36=0,$X36,IF(AND($T36&lt;&gt;"",EDATE($D36,Milestones!$AA$74)&gt;=$T36),$W36,IF(AND($S36&lt;&gt;"",EDATE($D36,Milestones!$AA$74)&gt;=$S36),$V36,$U36)))=Milestones!$AB$74),UPPER(TEXT(EDATE($D36,Milestones!$AA$74),"dd mmm yy"))&amp;" "&amp;Milestones!$AB$74&amp;" "&amp;Milestones!$AC$74&amp;";  ","")&amp;IF(AND(EDATE($D36,Milestones!$AA$75)&lt;=AsOfDate,IF($R36=0,$X36,IF(AND($T36&lt;&gt;"",EDATE($D36,Milestones!$AA$75)&gt;=$T36),$W36,IF(AND($S36&lt;&gt;"",EDATE($D36,Milestones!$AA$75)&gt;=$S36),$V36,$U36)))=Milestones!$AB$75),UPPER(TEXT(EDATE($D36,Milestones!$AA$75),"dd mmm yy"))&amp;" "&amp;Milestones!$AB$75&amp;" "&amp;Milestones!$AC$75&amp;";  ","")&amp;IF(AND(EDATE($D36,Milestones!$AA$76)&lt;=AsOfDate,IF($R36=0,$X36,IF(AND($T36&lt;&gt;"",EDATE($D36,Milestones!$AA$76)&gt;=$T36),$W36,IF(AND($S36&lt;&gt;"",EDATE($D36,Milestones!$AA$76)&gt;=$S36),$V36,$U36)))=Milestones!$AB$76),UPPER(TEXT(EDATE($D36,Milestones!$AA$76),"dd mmm yy"))&amp;" "&amp;Milestones!$AB$76&amp;" "&amp;Milestones!$AC$76&amp;";  ","")&amp;IF(AND(EDATE($D36,Milestones!$AA$77)&lt;=AsOfDate,IF($R36=0,$X36,IF(AND($T36&lt;&gt;"",EDATE($D36,Milestones!$AA$77)&gt;=$T36),$W36,IF(AND($S36&lt;&gt;"",EDATE($D36,Milestones!$AA$77)&gt;=$S36),$V36,$U36)))=Milestones!$AB$77),UPPER(TEXT(EDATE($D36,Milestones!$AA$77),"dd mmm yy"))&amp;" "&amp;Milestones!$AB$77&amp;" "&amp;Milestones!$AC$77&amp;";  ","")&amp;IF(AND(EDATE($D36,Milestones!$AA$78)&lt;=AsOfDate,IF($R36=0,$X36,IF(AND($T36&lt;&gt;"",EDATE($D36,Milestones!$AA$78)&gt;=$T36),$W36,IF(AND($S36&lt;&gt;"",EDATE($D36,Milestones!$AA$78)&gt;=$S36),$V36,$U36)))=Milestones!$AB$78),UPPER(TEXT(EDATE($D36,Milestones!$AA$78),"dd mmm yy"))&amp;" "&amp;Milestones!$AB$78&amp;" "&amp;Milestones!$AC$78&amp;";  ","")&amp;IF(AND(EDATE($D36,Milestones!$AA$79)&lt;=AsOfDate,IF($R36=0,$X36,IF(AND($T36&lt;&gt;"",EDATE($D36,Milestones!$AA$79)&gt;=$T36),$W36,IF(AND($S36&lt;&gt;"",EDATE($D36,Milestones!$AA$79)&gt;=$S36),$V36,$U36)))=Milestones!$AB$79),UPPER(TEXT(EDATE($D36,Milestones!$AA$79),"dd mmm yy"))&amp;" "&amp;Milestones!$AB$79&amp;" "&amp;Milestones!$AC$79&amp;";  ",""))</f>
        <v/>
      </c>
      <c r="L36" s="0" t="str">
        <f aca="false">IF(OR($A36="",$D36=""),"",IF(AND(EDATE($D36,Milestones!$AA$80)&lt;=AsOfDate,IF($R36=0,$X36,IF(AND($T36&lt;&gt;"",EDATE($D36,Milestones!$AA$80)&gt;=$T36),$W36,IF(AND($S36&lt;&gt;"",EDATE($D36,Milestones!$AA$80)&gt;=$S36),$V36,$U36)))=Milestones!$AB$80),UPPER(TEXT(EDATE($D36,Milestones!$AA$80),"dd mmm yy"))&amp;" "&amp;Milestones!$AB$80&amp;" "&amp;Milestones!$AC$80&amp;";  ","")&amp;IF(AND(EDATE($D36,Milestones!$AA$81)&lt;=AsOfDate,IF($R36=0,$X36,IF(AND($T36&lt;&gt;"",EDATE($D36,Milestones!$AA$81)&gt;=$T36),$W36,IF(AND($S36&lt;&gt;"",EDATE($D36,Milestones!$AA$81)&gt;=$S36),$V36,$U36)))=Milestones!$AB$81),UPPER(TEXT(EDATE($D36,Milestones!$AA$81),"dd mmm yy"))&amp;" "&amp;Milestones!$AB$81&amp;" "&amp;Milestones!$AC$81&amp;";  ","")&amp;IF(AND(EDATE($D36,Milestones!$AA$82)&lt;=AsOfDate,IF($R36=0,$X36,IF(AND($T36&lt;&gt;"",EDATE($D36,Milestones!$AA$82)&gt;=$T36),$W36,IF(AND($S36&lt;&gt;"",EDATE($D36,Milestones!$AA$82)&gt;=$S36),$V36,$U36)))=Milestones!$AB$82),UPPER(TEXT(EDATE($D36,Milestones!$AA$82),"dd mmm yy"))&amp;" "&amp;Milestones!$AB$82&amp;" "&amp;Milestones!$AC$82&amp;";  ","")&amp;IF(AND(EDATE($D36,Milestones!$AA$83)&lt;=AsOfDate,IF($R36=0,$X36,IF(AND($T36&lt;&gt;"",EDATE($D36,Milestones!$AA$83)&gt;=$T36),$W36,IF(AND($S36&lt;&gt;"",EDATE($D36,Milestones!$AA$83)&gt;=$S36),$V36,$U36)))=Milestones!$AB$83),UPPER(TEXT(EDATE($D36,Milestones!$AA$83),"dd mmm yy"))&amp;" "&amp;Milestones!$AB$83&amp;" "&amp;Milestones!$AC$83&amp;";  ","")&amp;IF(AND(EDATE($D36,Milestones!$AA$84)&lt;=AsOfDate,IF($R36=0,$X36,IF(AND($T36&lt;&gt;"",EDATE($D36,Milestones!$AA$84)&gt;=$T36),$W36,IF(AND($S36&lt;&gt;"",EDATE($D36,Milestones!$AA$84)&gt;=$S36),$V36,$U36)))=Milestones!$AB$84),UPPER(TEXT(EDATE($D36,Milestones!$AA$84),"dd mmm yy"))&amp;" "&amp;Milestones!$AB$84&amp;" "&amp;Milestones!$AC$84&amp;";  ","")&amp;IF(AND(EDATE($D36,Milestones!$AA$85)&lt;=AsOfDate,IF($R36=0,$X36,IF(AND($T36&lt;&gt;"",EDATE($D36,Milestones!$AA$85)&gt;=$T36),$W36,IF(AND($S36&lt;&gt;"",EDATE($D36,Milestones!$AA$85)&gt;=$S36),$V36,$U36)))=Milestones!$AB$85),UPPER(TEXT(EDATE($D36,Milestones!$AA$85),"dd mmm yy"))&amp;" "&amp;Milestones!$AB$85&amp;" "&amp;Milestones!$AC$85&amp;";  ","")&amp;IF(AND(EDATE($D36,Milestones!$AA$86)&lt;=AsOfDate,IF($R36=0,$X36,IF(AND($T36&lt;&gt;"",EDATE($D36,Milestones!$AA$86)&gt;=$T36),$W36,IF(AND($S36&lt;&gt;"",EDATE($D36,Milestones!$AA$86)&gt;=$S36),$V36,$U36)))=Milestones!$AB$86),UPPER(TEXT(EDATE($D36,Milestones!$AA$86),"dd mmm yy"))&amp;" "&amp;Milestones!$AB$86&amp;" "&amp;Milestones!$AC$86&amp;";  ","")&amp;IF(AND(EDATE($D36,Milestones!$AA$87)&lt;=AsOfDate,IF($R36=0,$X36,IF(AND($T36&lt;&gt;"",EDATE($D36,Milestones!$AA$87)&gt;=$T36),$W36,IF(AND($S36&lt;&gt;"",EDATE($D36,Milestones!$AA$87)&gt;=$S36),$V36,$U36)))=Milestones!$AB$87),UPPER(TEXT(EDATE($D36,Milestones!$AA$87),"dd mmm yy"))&amp;" "&amp;Milestones!$AB$87&amp;" "&amp;Milestones!$AC$87&amp;";  ","")&amp;IF(AND(EDATE($D36,Milestones!$AA$88)&lt;=AsOfDate,IF($R36=0,$X36,IF(AND($T36&lt;&gt;"",EDATE($D36,Milestones!$AA$88)&gt;=$T36),$W36,IF(AND($S36&lt;&gt;"",EDATE($D36,Milestones!$AA$88)&gt;=$S36),$V36,$U36)))=Milestones!$AB$88),UPPER(TEXT(EDATE($D36,Milestones!$AA$88),"dd mmm yy"))&amp;" "&amp;Milestones!$AB$88&amp;" "&amp;Milestones!$AC$88&amp;";  ","")&amp;IF(AND(EDATE($D36,Milestones!$AA$89)&lt;=AsOfDate,IF($R36=0,$X36,IF(AND($T36&lt;&gt;"",EDATE($D36,Milestones!$AA$89)&gt;=$T36),$W36,IF(AND($S36&lt;&gt;"",EDATE($D36,Milestones!$AA$89)&gt;=$S36),$V36,$U36)))=Milestones!$AB$89),UPPER(TEXT(EDATE($D36,Milestones!$AA$89),"dd mmm yy"))&amp;" "&amp;Milestones!$AB$89&amp;" "&amp;Milestones!$AC$89&amp;";  ","")&amp;IF(AND(EDATE($D36,Milestones!$AA$90)&lt;=AsOfDate,IF($R36=0,$X36,IF(AND($T36&lt;&gt;"",EDATE($D36,Milestones!$AA$90)&gt;=$T36),$W36,IF(AND($S36&lt;&gt;"",EDATE($D36,Milestones!$AA$90)&gt;=$S36),$V36,$U36)))=Milestones!$AB$90),UPPER(TEXT(EDATE($D36,Milestones!$AA$90),"dd mmm yy"))&amp;" "&amp;Milestones!$AB$90&amp;" "&amp;Milestones!$AC$90&amp;";  ","")&amp;IF(AND(EDATE($D36,Milestones!$AA$91)&lt;=AsOfDate,IF($R36=0,$X36,IF(AND($T36&lt;&gt;"",EDATE($D36,Milestones!$AA$91)&gt;=$T36),$W36,IF(AND($S36&lt;&gt;"",EDATE($D36,Milestones!$AA$91)&gt;=$S36),$V36,$U36)))=Milestones!$AB$91),UPPER(TEXT(EDATE($D36,Milestones!$AA$91),"dd mmm yy"))&amp;" "&amp;Milestones!$AB$91&amp;" "&amp;Milestones!$AC$91&amp;";  ","")&amp;IF(AND(EDATE($D36,Milestones!$AA$92)&lt;=AsOfDate,IF($R36=0,$X36,IF(AND($T36&lt;&gt;"",EDATE($D36,Milestones!$AA$92)&gt;=$T36),$W36,IF(AND($S36&lt;&gt;"",EDATE($D36,Milestones!$AA$92)&gt;=$S36),$V36,$U36)))=Milestones!$AB$92),UPPER(TEXT(EDATE($D36,Milestones!$AA$92),"dd mmm yy"))&amp;" "&amp;Milestones!$AB$92&amp;" "&amp;Milestones!$AC$92&amp;";  ","")&amp;IF(AND(EDATE($D36,Milestones!$AA$93)&lt;=AsOfDate,IF($R36=0,$X36,IF(AND($T36&lt;&gt;"",EDATE($D36,Milestones!$AA$93)&gt;=$T36),$W36,IF(AND($S36&lt;&gt;"",EDATE($D36,Milestones!$AA$93)&gt;=$S36),$V36,$U36)))=Milestones!$AB$93),UPPER(TEXT(EDATE($D36,Milestones!$AA$93),"dd mmm yy"))&amp;" "&amp;Milestones!$AB$93&amp;" "&amp;Milestones!$AC$93&amp;";  ","")&amp;IF(AND(EDATE($D36,Milestones!$AA$94)&lt;=AsOfDate,IF($R36=0,$X36,IF(AND($T36&lt;&gt;"",EDATE($D36,Milestones!$AA$94)&gt;=$T36),$W36,IF(AND($S36&lt;&gt;"",EDATE($D36,Milestones!$AA$94)&gt;=$S36),$V36,$U36)))=Milestones!$AB$94),UPPER(TEXT(EDATE($D36,Milestones!$AA$94),"dd mmm yy"))&amp;" "&amp;Milestones!$AB$94&amp;" "&amp;Milestones!$AC$94&amp;";  ","")&amp;IF(AND(EDATE($D36,Milestones!$AA$95)&lt;=AsOfDate,IF($R36=0,$X36,IF(AND($T36&lt;&gt;"",EDATE($D36,Milestones!$AA$95)&gt;=$T36),$W36,IF(AND($S36&lt;&gt;"",EDATE($D36,Milestones!$AA$95)&gt;=$S36),$V36,$U36)))=Milestones!$AB$95),UPPER(TEXT(EDATE($D36,Milestones!$AA$95),"dd mmm yy"))&amp;" "&amp;Milestones!$AB$95&amp;" "&amp;Milestones!$AC$95&amp;";  ","")&amp;IF(AND(EDATE($D36,Milestones!$AA$96)&lt;=AsOfDate,IF($R36=0,$X36,IF(AND($T36&lt;&gt;"",EDATE($D36,Milestones!$AA$96)&gt;=$T36),$W36,IF(AND($S36&lt;&gt;"",EDATE($D36,Milestones!$AA$96)&gt;=$S36),$V36,$U36)))=Milestones!$AB$96),UPPER(TEXT(EDATE($D36,Milestones!$AA$96),"dd mmm yy"))&amp;" "&amp;Milestones!$AB$96&amp;" "&amp;Milestones!$AC$96&amp;";  ","")&amp;IF(AND(EDATE($D36,Milestones!$AA$97)&lt;=AsOfDate,IF($R36=0,$X36,IF(AND($T36&lt;&gt;"",EDATE($D36,Milestones!$AA$97)&gt;=$T36),$W36,IF(AND($S36&lt;&gt;"",EDATE($D36,Milestones!$AA$97)&gt;=$S36),$V36,$U36)))=Milestones!$AB$97),UPPER(TEXT(EDATE($D36,Milestones!$AA$97),"dd mmm yy"))&amp;" "&amp;Milestones!$AB$97&amp;" "&amp;Milestones!$AC$97&amp;";  ","")&amp;IF(AND(EDATE($D36,Milestones!$AA$98)&lt;=AsOfDate,IF($R36=0,$X36,IF(AND($T36&lt;&gt;"",EDATE($D36,Milestones!$AA$98)&gt;=$T36),$W36,IF(AND($S36&lt;&gt;"",EDATE($D36,Milestones!$AA$98)&gt;=$S36),$V36,$U36)))=Milestones!$AB$98),UPPER(TEXT(EDATE($D36,Milestones!$AA$98),"dd mmm yy"))&amp;" "&amp;Milestones!$AB$98&amp;" "&amp;Milestones!$AC$98&amp;";  ","")&amp;IF(AND(EDATE($D36,Milestones!$AA$99)&lt;=AsOfDate,IF($R36=0,$X36,IF(AND($T36&lt;&gt;"",EDATE($D36,Milestones!$AA$99)&gt;=$T36),$W36,IF(AND($S36&lt;&gt;"",EDATE($D36,Milestones!$AA$99)&gt;=$S36),$V36,$U36)))=Milestones!$AB$99),UPPER(TEXT(EDATE($D36,Milestones!$AA$99),"dd mmm yy"))&amp;" "&amp;Milestones!$AB$99&amp;" "&amp;Milestones!$AC$99&amp;";  ",""))</f>
        <v/>
      </c>
      <c r="M36" s="0" t="str">
        <f aca="false">IF(OR($A36="",$D36=""),"",IF(AND(EDATE($D36,Milestones!$AA$100)&lt;=AsOfDate,IF($R36=0,$X36,IF(AND($T36&lt;&gt;"",EDATE($D36,Milestones!$AA$100)&gt;=$T36),$W36,IF(AND($S36&lt;&gt;"",EDATE($D36,Milestones!$AA$100)&gt;=$S36),$V36,$U36)))=Milestones!$AB$100),UPPER(TEXT(EDATE($D36,Milestones!$AA$100),"dd mmm yy"))&amp;" "&amp;Milestones!$AB$100&amp;" "&amp;Milestones!$AC$100&amp;";  ","")&amp;IF(AND(EDATE($D36,Milestones!$AA$101)&lt;=AsOfDate,IF($R36=0,$X36,IF(AND($T36&lt;&gt;"",EDATE($D36,Milestones!$AA$101)&gt;=$T36),$W36,IF(AND($S36&lt;&gt;"",EDATE($D36,Milestones!$AA$101)&gt;=$S36),$V36,$U36)))=Milestones!$AB$101),UPPER(TEXT(EDATE($D36,Milestones!$AA$101),"dd mmm yy"))&amp;" "&amp;Milestones!$AB$101&amp;" "&amp;Milestones!$AC$101&amp;";  ","")&amp;IF(AND(EDATE($D36,Milestones!$AA$102)&lt;=AsOfDate,IF($R36=0,$X36,IF(AND($T36&lt;&gt;"",EDATE($D36,Milestones!$AA$102)&gt;=$T36),$W36,IF(AND($S36&lt;&gt;"",EDATE($D36,Milestones!$AA$102)&gt;=$S36),$V36,$U36)))=Milestones!$AB$102),UPPER(TEXT(EDATE($D36,Milestones!$AA$102),"dd mmm yy"))&amp;" "&amp;Milestones!$AB$102&amp;" "&amp;Milestones!$AC$102&amp;";  ","")&amp;IF(AND(EDATE($D36,Milestones!$AA$103)&lt;=AsOfDate,IF($R36=0,$X36,IF(AND($T36&lt;&gt;"",EDATE($D36,Milestones!$AA$103)&gt;=$T36),$W36,IF(AND($S36&lt;&gt;"",EDATE($D36,Milestones!$AA$103)&gt;=$S36),$V36,$U36)))=Milestones!$AB$103),UPPER(TEXT(EDATE($D36,Milestones!$AA$103),"dd mmm yy"))&amp;" "&amp;Milestones!$AB$103&amp;" "&amp;Milestones!$AC$103&amp;";  ","")&amp;IF(AND(EDATE($D36,Milestones!$AA$104)&lt;=AsOfDate,IF($R36=0,$X36,IF(AND($T36&lt;&gt;"",EDATE($D36,Milestones!$AA$104)&gt;=$T36),$W36,IF(AND($S36&lt;&gt;"",EDATE($D36,Milestones!$AA$104)&gt;=$S36),$V36,$U36)))=Milestones!$AB$104),UPPER(TEXT(EDATE($D36,Milestones!$AA$104),"dd mmm yy"))&amp;" "&amp;Milestones!$AB$104&amp;" "&amp;Milestones!$AC$104&amp;";  ","")&amp;IF(AND(EDATE($D36,Milestones!$AA$105)&lt;=AsOfDate,IF($R36=0,$X36,IF(AND($T36&lt;&gt;"",EDATE($D36,Milestones!$AA$105)&gt;=$T36),$W36,IF(AND($S36&lt;&gt;"",EDATE($D36,Milestones!$AA$105)&gt;=$S36),$V36,$U36)))=Milestones!$AB$105),UPPER(TEXT(EDATE($D36,Milestones!$AA$105),"dd mmm yy"))&amp;" "&amp;Milestones!$AB$105&amp;" "&amp;Milestones!$AC$105&amp;";  ","")&amp;IF(AND(EDATE($D36,Milestones!$AA$106)&lt;=AsOfDate,IF($R36=0,$X36,IF(AND($T36&lt;&gt;"",EDATE($D36,Milestones!$AA$106)&gt;=$T36),$W36,IF(AND($S36&lt;&gt;"",EDATE($D36,Milestones!$AA$106)&gt;=$S36),$V36,$U36)))=Milestones!$AB$106),UPPER(TEXT(EDATE($D36,Milestones!$AA$106),"dd mmm yy"))&amp;" "&amp;Milestones!$AB$106&amp;" "&amp;Milestones!$AC$106&amp;";  ","")&amp;IF(AND(EDATE($D36,Milestones!$AA$107)&lt;=AsOfDate,IF($R36=0,$X36,IF(AND($T36&lt;&gt;"",EDATE($D36,Milestones!$AA$107)&gt;=$T36),$W36,IF(AND($S36&lt;&gt;"",EDATE($D36,Milestones!$AA$107)&gt;=$S36),$V36,$U36)))=Milestones!$AB$107),UPPER(TEXT(EDATE($D36,Milestones!$AA$107),"dd mmm yy"))&amp;" "&amp;Milestones!$AB$107&amp;" "&amp;Milestones!$AC$107&amp;";  ","")&amp;IF(AND(EDATE($D36,Milestones!$AA$108)&lt;=AsOfDate,IF($R36=0,$X36,IF(AND($T36&lt;&gt;"",EDATE($D36,Milestones!$AA$108)&gt;=$T36),$W36,IF(AND($S36&lt;&gt;"",EDATE($D36,Milestones!$AA$108)&gt;=$S36),$V36,$U36)))=Milestones!$AB$108),UPPER(TEXT(EDATE($D36,Milestones!$AA$108),"dd mmm yy"))&amp;" "&amp;Milestones!$AB$108&amp;" "&amp;Milestones!$AC$108&amp;";  ","")&amp;IF(AND(EDATE($D36,Milestones!$AA$109)&lt;=AsOfDate,IF($R36=0,$X36,IF(AND($T36&lt;&gt;"",EDATE($D36,Milestones!$AA$109)&gt;=$T36),$W36,IF(AND($S36&lt;&gt;"",EDATE($D36,Milestones!$AA$109)&gt;=$S36),$V36,$U36)))=Milestones!$AB$109),UPPER(TEXT(EDATE($D36,Milestones!$AA$109),"dd mmm yy"))&amp;" "&amp;Milestones!$AB$109&amp;" "&amp;Milestones!$AC$109&amp;";  ","")&amp;IF(AND(EDATE($D36,Milestones!$AA$110)&lt;=AsOfDate,IF($R36=0,$X36,IF(AND($T36&lt;&gt;"",EDATE($D36,Milestones!$AA$110)&gt;=$T36),$W36,IF(AND($S36&lt;&gt;"",EDATE($D36,Milestones!$AA$110)&gt;=$S36),$V36,$U36)))=Milestones!$AB$110),UPPER(TEXT(EDATE($D36,Milestones!$AA$110),"dd mmm yy"))&amp;" "&amp;Milestones!$AB$110&amp;" "&amp;Milestones!$AC$110&amp;";  ","")&amp;IF(AND(EDATE($D36,Milestones!$AA$111)&lt;=AsOfDate,IF($R36=0,$X36,IF(AND($T36&lt;&gt;"",EDATE($D36,Milestones!$AA$111)&gt;=$T36),$W36,IF(AND($S36&lt;&gt;"",EDATE($D36,Milestones!$AA$111)&gt;=$S36),$V36,$U36)))=Milestones!$AB$111),UPPER(TEXT(EDATE($D36,Milestones!$AA$111),"dd mmm yy"))&amp;" "&amp;Milestones!$AB$111&amp;" "&amp;Milestones!$AC$111&amp;";  ","")&amp;IF(AND(EDATE($D36,Milestones!$AA$112)&lt;=AsOfDate,IF($R36=0,$X36,IF(AND($T36&lt;&gt;"",EDATE($D36,Milestones!$AA$112)&gt;=$T36),$W36,IF(AND($S36&lt;&gt;"",EDATE($D36,Milestones!$AA$112)&gt;=$S36),$V36,$U36)))=Milestones!$AB$112),UPPER(TEXT(EDATE($D36,Milestones!$AA$112),"dd mmm yy"))&amp;" "&amp;Milestones!$AB$112&amp;" "&amp;Milestones!$AC$112&amp;";  ","")&amp;IF(AND(EDATE($D36,Milestones!$AA$113)&lt;=AsOfDate,IF($R36=0,$X36,IF(AND($T36&lt;&gt;"",EDATE($D36,Milestones!$AA$113)&gt;=$T36),$W36,IF(AND($S36&lt;&gt;"",EDATE($D36,Milestones!$AA$113)&gt;=$S36),$V36,$U36)))=Milestones!$AB$113),UPPER(TEXT(EDATE($D36,Milestones!$AA$113),"dd mmm yy"))&amp;" "&amp;Milestones!$AB$113&amp;" "&amp;Milestones!$AC$113&amp;";  ","")&amp;IF(AND(EDATE($D36,Milestones!$AA$114)&lt;=AsOfDate,IF($R36=0,$X36,IF(AND($T36&lt;&gt;"",EDATE($D36,Milestones!$AA$114)&gt;=$T36),$W36,IF(AND($S36&lt;&gt;"",EDATE($D36,Milestones!$AA$114)&gt;=$S36),$V36,$U36)))=Milestones!$AB$114),UPPER(TEXT(EDATE($D36,Milestones!$AA$114),"dd mmm yy"))&amp;" "&amp;Milestones!$AB$114&amp;" "&amp;Milestones!$AC$114&amp;";  ","")&amp;IF(AND(EDATE($D36,Milestones!$AA$115)&lt;=AsOfDate,IF($R36=0,$X36,IF(AND($T36&lt;&gt;"",EDATE($D36,Milestones!$AA$115)&gt;=$T36),$W36,IF(AND($S36&lt;&gt;"",EDATE($D36,Milestones!$AA$115)&gt;=$S36),$V36,$U36)))=Milestones!$AB$115),UPPER(TEXT(EDATE($D36,Milestones!$AA$115),"dd mmm yy"))&amp;" "&amp;Milestones!$AB$115&amp;" "&amp;Milestones!$AC$115&amp;";  ","")&amp;IF(AND(EDATE($D36,Milestones!$AA$116)&lt;=AsOfDate,IF($R36=0,$X36,IF(AND($T36&lt;&gt;"",EDATE($D36,Milestones!$AA$116)&gt;=$T36),$W36,IF(AND($S36&lt;&gt;"",EDATE($D36,Milestones!$AA$116)&gt;=$S36),$V36,$U36)))=Milestones!$AB$116),UPPER(TEXT(EDATE($D36,Milestones!$AA$116),"dd mmm yy"))&amp;" "&amp;Milestones!$AB$116&amp;" "&amp;Milestones!$AC$116&amp;";  ","")&amp;IF(AND(EDATE($D36,Milestones!$AA$117)&lt;=AsOfDate,IF($R36=0,$X36,IF(AND($T36&lt;&gt;"",EDATE($D36,Milestones!$AA$117)&gt;=$T36),$W36,IF(AND($S36&lt;&gt;"",EDATE($D36,Milestones!$AA$117)&gt;=$S36),$V36,$U36)))=Milestones!$AB$117),UPPER(TEXT(EDATE($D36,Milestones!$AA$117),"dd mmm yy"))&amp;" "&amp;Milestones!$AB$117&amp;" "&amp;Milestones!$AC$117&amp;";  ","")&amp;IF(AND(EDATE($D36,Milestones!$AA$118)&lt;=AsOfDate,IF($R36=0,$X36,IF(AND($T36&lt;&gt;"",EDATE($D36,Milestones!$AA$118)&gt;=$T36),$W36,IF(AND($S36&lt;&gt;"",EDATE($D36,Milestones!$AA$118)&gt;=$S36),$V36,$U36)))=Milestones!$AB$118),UPPER(TEXT(EDATE($D36,Milestones!$AA$118),"dd mmm yy"))&amp;" "&amp;Milestones!$AB$118&amp;" "&amp;Milestones!$AC$118&amp;";  ","")&amp;IF(AND(EDATE($D36,Milestones!$AA$119)&lt;=AsOfDate,IF($R36=0,$X36,IF(AND($T36&lt;&gt;"",EDATE($D36,Milestones!$AA$119)&gt;=$T36),$W36,IF(AND($S36&lt;&gt;"",EDATE($D36,Milestones!$AA$119)&gt;=$S36),$V36,$U36)))=Milestones!$AB$119),UPPER(TEXT(EDATE($D36,Milestones!$AA$119),"dd mmm yy"))&amp;" "&amp;Milestones!$AB$119&amp;" "&amp;Milestones!$AC$119&amp;";  ",""))</f>
        <v/>
      </c>
      <c r="N36" s="0" t="str">
        <f aca="false">IF(OR($A36="",$D36=""),"",IF(AND(EDATE($D36,Milestones!$AA$120)&lt;=AsOfDate,IF($R36=0,$X36,IF(AND($T36&lt;&gt;"",EDATE($D36,Milestones!$AA$120)&gt;=$T36),$W36,IF(AND($S36&lt;&gt;"",EDATE($D36,Milestones!$AA$120)&gt;=$S36),$V36,$U36)))=Milestones!$AB$120),UPPER(TEXT(EDATE($D36,Milestones!$AA$120),"dd mmm yy"))&amp;" "&amp;Milestones!$AB$120&amp;" "&amp;Milestones!$AC$120&amp;";  ","")&amp;IF(AND(EDATE($D36,Milestones!$AA$121)&lt;=AsOfDate,IF($R36=0,$X36,IF(AND($T36&lt;&gt;"",EDATE($D36,Milestones!$AA$121)&gt;=$T36),$W36,IF(AND($S36&lt;&gt;"",EDATE($D36,Milestones!$AA$121)&gt;=$S36),$V36,$U36)))=Milestones!$AB$121),UPPER(TEXT(EDATE($D36,Milestones!$AA$121),"dd mmm yy"))&amp;" "&amp;Milestones!$AB$121&amp;" "&amp;Milestones!$AC$121&amp;";  ","")&amp;IF(AND(EDATE($D36,Milestones!$AA$122)&lt;=AsOfDate,IF($R36=0,$X36,IF(AND($T36&lt;&gt;"",EDATE($D36,Milestones!$AA$122)&gt;=$T36),$W36,IF(AND($S36&lt;&gt;"",EDATE($D36,Milestones!$AA$122)&gt;=$S36),$V36,$U36)))=Milestones!$AB$122),UPPER(TEXT(EDATE($D36,Milestones!$AA$122),"dd mmm yy"))&amp;" "&amp;Milestones!$AB$122&amp;" "&amp;Milestones!$AC$122&amp;";  ","")&amp;IF(AND(EDATE($D36,Milestones!$AA$123)&lt;=AsOfDate,IF($R36=0,$X36,IF(AND($T36&lt;&gt;"",EDATE($D36,Milestones!$AA$123)&gt;=$T36),$W36,IF(AND($S36&lt;&gt;"",EDATE($D36,Milestones!$AA$123)&gt;=$S36),$V36,$U36)))=Milestones!$AB$123),UPPER(TEXT(EDATE($D36,Milestones!$AA$123),"dd mmm yy"))&amp;" "&amp;Milestones!$AB$123&amp;" "&amp;Milestones!$AC$123&amp;";  ","")&amp;IF(AND(EDATE($D36,Milestones!$AA$124)&lt;=AsOfDate,IF($R36=0,$X36,IF(AND($T36&lt;&gt;"",EDATE($D36,Milestones!$AA$124)&gt;=$T36),$W36,IF(AND($S36&lt;&gt;"",EDATE($D36,Milestones!$AA$124)&gt;=$S36),$V36,$U36)))=Milestones!$AB$124),UPPER(TEXT(EDATE($D36,Milestones!$AA$124),"dd mmm yy"))&amp;" "&amp;Milestones!$AB$124&amp;" "&amp;Milestones!$AC$124&amp;";  ","")&amp;IF(AND(EDATE($D36,Milestones!$AA$125)&lt;=AsOfDate,IF($R36=0,$X36,IF(AND($T36&lt;&gt;"",EDATE($D36,Milestones!$AA$125)&gt;=$T36),$W36,IF(AND($S36&lt;&gt;"",EDATE($D36,Milestones!$AA$125)&gt;=$S36),$V36,$U36)))=Milestones!$AB$125),UPPER(TEXT(EDATE($D36,Milestones!$AA$125),"dd mmm yy"))&amp;" "&amp;Milestones!$AB$125&amp;" "&amp;Milestones!$AC$125&amp;";  ","")&amp;IF(AND(EDATE($D36,Milestones!$AA$126)&lt;=AsOfDate,IF($R36=0,$X36,IF(AND($T36&lt;&gt;"",EDATE($D36,Milestones!$AA$126)&gt;=$T36),$W36,IF(AND($S36&lt;&gt;"",EDATE($D36,Milestones!$AA$126)&gt;=$S36),$V36,$U36)))=Milestones!$AB$126),UPPER(TEXT(EDATE($D36,Milestones!$AA$126),"dd mmm yy"))&amp;" "&amp;Milestones!$AB$126&amp;" "&amp;Milestones!$AC$126&amp;";  ","")&amp;IF(AND(EDATE($D36,Milestones!$AA$127)&lt;=AsOfDate,IF($R36=0,$X36,IF(AND($T36&lt;&gt;"",EDATE($D36,Milestones!$AA$127)&gt;=$T36),$W36,IF(AND($S36&lt;&gt;"",EDATE($D36,Milestones!$AA$127)&gt;=$S36),$V36,$U36)))=Milestones!$AB$127),UPPER(TEXT(EDATE($D36,Milestones!$AA$127),"dd mmm yy"))&amp;" "&amp;Milestones!$AB$127&amp;" "&amp;Milestones!$AC$127&amp;";  ","")&amp;IF(AND(EDATE($D36,Milestones!$AA$128)&lt;=AsOfDate,IF($R36=0,$X36,IF(AND($T36&lt;&gt;"",EDATE($D36,Milestones!$AA$128)&gt;=$T36),$W36,IF(AND($S36&lt;&gt;"",EDATE($D36,Milestones!$AA$128)&gt;=$S36),$V36,$U36)))=Milestones!$AB$128),UPPER(TEXT(EDATE($D36,Milestones!$AA$128),"dd mmm yy"))&amp;" "&amp;Milestones!$AB$128&amp;" "&amp;Milestones!$AC$128&amp;";  ","")&amp;IF(AND(EDATE($D36,Milestones!$AA$129)&lt;=AsOfDate,IF($R36=0,$X36,IF(AND($T36&lt;&gt;"",EDATE($D36,Milestones!$AA$129)&gt;=$T36),$W36,IF(AND($S36&lt;&gt;"",EDATE($D36,Milestones!$AA$129)&gt;=$S36),$V36,$U36)))=Milestones!$AB$129),UPPER(TEXT(EDATE($D36,Milestones!$AA$129),"dd mmm yy"))&amp;" "&amp;Milestones!$AB$129&amp;" "&amp;Milestones!$AC$129&amp;";  ","")&amp;IF(AND(EDATE($D36,Milestones!$AA$130)&lt;=AsOfDate,IF($R36=0,$X36,IF(AND($T36&lt;&gt;"",EDATE($D36,Milestones!$AA$130)&gt;=$T36),$W36,IF(AND($S36&lt;&gt;"",EDATE($D36,Milestones!$AA$130)&gt;=$S36),$V36,$U36)))=Milestones!$AB$130),UPPER(TEXT(EDATE($D36,Milestones!$AA$130),"dd mmm yy"))&amp;" "&amp;Milestones!$AB$130&amp;" "&amp;Milestones!$AC$130&amp;";  ","")&amp;IF(AND(EDATE($D36,Milestones!$AA$131)&lt;=AsOfDate,IF($R36=0,$X36,IF(AND($T36&lt;&gt;"",EDATE($D36,Milestones!$AA$131)&gt;=$T36),$W36,IF(AND($S36&lt;&gt;"",EDATE($D36,Milestones!$AA$131)&gt;=$S36),$V36,$U36)))=Milestones!$AB$131),UPPER(TEXT(EDATE($D36,Milestones!$AA$131),"dd mmm yy"))&amp;" "&amp;Milestones!$AB$131&amp;" "&amp;Milestones!$AC$131&amp;";  ","")&amp;IF(AND(EDATE($D36,Milestones!$AA$132)&lt;=AsOfDate,IF($R36=0,$X36,IF(AND($T36&lt;&gt;"",EDATE($D36,Milestones!$AA$132)&gt;=$T36),$W36,IF(AND($S36&lt;&gt;"",EDATE($D36,Milestones!$AA$132)&gt;=$S36),$V36,$U36)))=Milestones!$AB$132),UPPER(TEXT(EDATE($D36,Milestones!$AA$132),"dd mmm yy"))&amp;" "&amp;Milestones!$AB$132&amp;" "&amp;Milestones!$AC$132&amp;";  ","")&amp;IF(AND(EDATE($D36,Milestones!$AA$133)&lt;=AsOfDate,IF($R36=0,$X36,IF(AND($T36&lt;&gt;"",EDATE($D36,Milestones!$AA$133)&gt;=$T36),$W36,IF(AND($S36&lt;&gt;"",EDATE($D36,Milestones!$AA$133)&gt;=$S36),$V36,$U36)))=Milestones!$AB$133),UPPER(TEXT(EDATE($D36,Milestones!$AA$133),"dd mmm yy"))&amp;" "&amp;Milestones!$AB$133&amp;" "&amp;Milestones!$AC$133&amp;";  ","")&amp;IF(AND(EDATE($D36,Milestones!$AA$134)&lt;=AsOfDate,IF($R36=0,$X36,IF(AND($T36&lt;&gt;"",EDATE($D36,Milestones!$AA$134)&gt;=$T36),$W36,IF(AND($S36&lt;&gt;"",EDATE($D36,Milestones!$AA$134)&gt;=$S36),$V36,$U36)))=Milestones!$AB$134),UPPER(TEXT(EDATE($D36,Milestones!$AA$134),"dd mmm yy"))&amp;" "&amp;Milestones!$AB$134&amp;" "&amp;Milestones!$AC$134&amp;";  ","")&amp;IF(AND(EDATE($D36,Milestones!$AA$135)&lt;=AsOfDate,IF($R36=0,$X36,IF(AND($T36&lt;&gt;"",EDATE($D36,Milestones!$AA$135)&gt;=$T36),$W36,IF(AND($S36&lt;&gt;"",EDATE($D36,Milestones!$AA$135)&gt;=$S36),$V36,$U36)))=Milestones!$AB$135),UPPER(TEXT(EDATE($D36,Milestones!$AA$135),"dd mmm yy"))&amp;" "&amp;Milestones!$AB$135&amp;" "&amp;Milestones!$AC$135&amp;";  ","")&amp;IF(AND(EDATE($D36,Milestones!$AA$136)&lt;=AsOfDate,IF($R36=0,$X36,IF(AND($T36&lt;&gt;"",EDATE($D36,Milestones!$AA$136)&gt;=$T36),$W36,IF(AND($S36&lt;&gt;"",EDATE($D36,Milestones!$AA$136)&gt;=$S36),$V36,$U36)))=Milestones!$AB$136),UPPER(TEXT(EDATE($D36,Milestones!$AA$136),"dd mmm yy"))&amp;" "&amp;Milestones!$AB$136&amp;" "&amp;Milestones!$AC$136&amp;";  ","")&amp;IF(AND(EDATE($D36,Milestones!$AA$137)&lt;=AsOfDate,IF($R36=0,$X36,IF(AND($T36&lt;&gt;"",EDATE($D36,Milestones!$AA$137)&gt;=$T36),$W36,IF(AND($S36&lt;&gt;"",EDATE($D36,Milestones!$AA$137)&gt;=$S36),$V36,$U36)))=Milestones!$AB$137),UPPER(TEXT(EDATE($D36,Milestones!$AA$137),"dd mmm yy"))&amp;" "&amp;Milestones!$AB$137&amp;" "&amp;Milestones!$AC$137&amp;";  ","")&amp;IF(AND(EDATE($D36,Milestones!$AA$138)&lt;=AsOfDate,IF($R36=0,$X36,IF(AND($T36&lt;&gt;"",EDATE($D36,Milestones!$AA$138)&gt;=$T36),$W36,IF(AND($S36&lt;&gt;"",EDATE($D36,Milestones!$AA$138)&gt;=$S36),$V36,$U36)))=Milestones!$AB$138),UPPER(TEXT(EDATE($D36,Milestones!$AA$138),"dd mmm yy"))&amp;" "&amp;Milestones!$AB$138&amp;" "&amp;Milestones!$AC$138&amp;";  ","")&amp;IF(AND(EDATE($D36,Milestones!$AA$139)&lt;=AsOfDate,IF($R36=0,$X36,IF(AND($T36&lt;&gt;"",EDATE($D36,Milestones!$AA$139)&gt;=$T36),$W36,IF(AND($S36&lt;&gt;"",EDATE($D36,Milestones!$AA$139)&gt;=$S36),$V36,$U36)))=Milestones!$AB$139),UPPER(TEXT(EDATE($D36,Milestones!$AA$139),"dd mmm yy"))&amp;" "&amp;Milestones!$AB$139&amp;" "&amp;Milestones!$AC$139&amp;";  ",""))</f>
        <v/>
      </c>
      <c r="O36" s="0" t="str">
        <f aca="false">IF(OR($A36="",$D36=""),"",IF(AND(EDATE($D36,Milestones!$AA$140)&lt;=AsOfDate,IF($R36=0,$X36,IF(AND($T36&lt;&gt;"",EDATE($D36,Milestones!$AA$140)&gt;=$T36),$W36,IF(AND($S36&lt;&gt;"",EDATE($D36,Milestones!$AA$140)&gt;=$S36),$V36,$U36)))=Milestones!$AB$140),UPPER(TEXT(EDATE($D36,Milestones!$AA$140),"dd mmm yy"))&amp;" "&amp;Milestones!$AB$140&amp;" "&amp;Milestones!$AC$140&amp;";  ","")&amp;IF(AND(EDATE($D36,Milestones!$AA$141)&lt;=AsOfDate,IF($R36=0,$X36,IF(AND($T36&lt;&gt;"",EDATE($D36,Milestones!$AA$141)&gt;=$T36),$W36,IF(AND($S36&lt;&gt;"",EDATE($D36,Milestones!$AA$141)&gt;=$S36),$V36,$U36)))=Milestones!$AB$141),UPPER(TEXT(EDATE($D36,Milestones!$AA$141),"dd mmm yy"))&amp;" "&amp;Milestones!$AB$141&amp;" "&amp;Milestones!$AC$141&amp;";  ","")&amp;IF(AND(EDATE($D36,Milestones!$AA$142)&lt;=AsOfDate,IF($R36=0,$X36,IF(AND($T36&lt;&gt;"",EDATE($D36,Milestones!$AA$142)&gt;=$T36),$W36,IF(AND($S36&lt;&gt;"",EDATE($D36,Milestones!$AA$142)&gt;=$S36),$V36,$U36)))=Milestones!$AB$142),UPPER(TEXT(EDATE($D36,Milestones!$AA$142),"dd mmm yy"))&amp;" "&amp;Milestones!$AB$142&amp;" "&amp;Milestones!$AC$142&amp;";  ","")&amp;IF(AND(EDATE($D36,Milestones!$AA$143)&lt;=AsOfDate,IF($R36=0,$X36,IF(AND($T36&lt;&gt;"",EDATE($D36,Milestones!$AA$143)&gt;=$T36),$W36,IF(AND($S36&lt;&gt;"",EDATE($D36,Milestones!$AA$143)&gt;=$S36),$V36,$U36)))=Milestones!$AB$143),UPPER(TEXT(EDATE($D36,Milestones!$AA$143),"dd mmm yy"))&amp;" "&amp;Milestones!$AB$143&amp;" "&amp;Milestones!$AC$143&amp;";  ","")&amp;IF(AND(EDATE($D36,Milestones!$AA$144)&lt;=AsOfDate,IF($R36=0,$X36,IF(AND($T36&lt;&gt;"",EDATE($D36,Milestones!$AA$144)&gt;=$T36),$W36,IF(AND($S36&lt;&gt;"",EDATE($D36,Milestones!$AA$144)&gt;=$S36),$V36,$U36)))=Milestones!$AB$144),UPPER(TEXT(EDATE($D36,Milestones!$AA$144),"dd mmm yy"))&amp;" "&amp;Milestones!$AB$144&amp;" "&amp;Milestones!$AC$144&amp;";  ","")&amp;IF(AND(EDATE($D36,Milestones!$AA$145)&lt;=AsOfDate,IF($R36=0,$X36,IF(AND($T36&lt;&gt;"",EDATE($D36,Milestones!$AA$145)&gt;=$T36),$W36,IF(AND($S36&lt;&gt;"",EDATE($D36,Milestones!$AA$145)&gt;=$S36),$V36,$U36)))=Milestones!$AB$145),UPPER(TEXT(EDATE($D36,Milestones!$AA$145),"dd mmm yy"))&amp;" "&amp;Milestones!$AB$145&amp;" "&amp;Milestones!$AC$145&amp;";  ","")&amp;IF(AND(EDATE($D36,Milestones!$AA$146)&lt;=AsOfDate,IF($R36=0,$X36,IF(AND($T36&lt;&gt;"",EDATE($D36,Milestones!$AA$146)&gt;=$T36),$W36,IF(AND($S36&lt;&gt;"",EDATE($D36,Milestones!$AA$146)&gt;=$S36),$V36,$U36)))=Milestones!$AB$146),UPPER(TEXT(EDATE($D36,Milestones!$AA$146),"dd mmm yy"))&amp;" "&amp;Milestones!$AB$146&amp;" "&amp;Milestones!$AC$146&amp;";  ","")&amp;IF(AND(EDATE($D36,Milestones!$AA$147)&lt;=AsOfDate,IF($R36=0,$X36,IF(AND($T36&lt;&gt;"",EDATE($D36,Milestones!$AA$147)&gt;=$T36),$W36,IF(AND($S36&lt;&gt;"",EDATE($D36,Milestones!$AA$147)&gt;=$S36),$V36,$U36)))=Milestones!$AB$147),UPPER(TEXT(EDATE($D36,Milestones!$AA$147),"dd mmm yy"))&amp;" "&amp;Milestones!$AB$147&amp;" "&amp;Milestones!$AC$147&amp;";  ","")&amp;IF(AND(EDATE($D36,Milestones!$AA$148)&lt;=AsOfDate,IF($R36=0,$X36,IF(AND($T36&lt;&gt;"",EDATE($D36,Milestones!$AA$148)&gt;=$T36),$W36,IF(AND($S36&lt;&gt;"",EDATE($D36,Milestones!$AA$148)&gt;=$S36),$V36,$U36)))=Milestones!$AB$148),UPPER(TEXT(EDATE($D36,Milestones!$AA$148),"dd mmm yy"))&amp;" "&amp;Milestones!$AB$148&amp;" "&amp;Milestones!$AC$148&amp;";  ","")&amp;IF(AND(EDATE($D36,Milestones!$AA$149)&lt;=AsOfDate,IF($R36=0,$X36,IF(AND($T36&lt;&gt;"",EDATE($D36,Milestones!$AA$149)&gt;=$T36),$W36,IF(AND($S36&lt;&gt;"",EDATE($D36,Milestones!$AA$149)&gt;=$S36),$V36,$U36)))=Milestones!$AB$149),UPPER(TEXT(EDATE($D36,Milestones!$AA$149),"dd mmm yy"))&amp;" "&amp;Milestones!$AB$149&amp;" "&amp;Milestones!$AC$149&amp;";  ","")&amp;IF(AND(EDATE($D36,Milestones!$AA$150)&lt;=AsOfDate,IF($R36=0,$X36,IF(AND($T36&lt;&gt;"",EDATE($D36,Milestones!$AA$150)&gt;=$T36),$W36,IF(AND($S36&lt;&gt;"",EDATE($D36,Milestones!$AA$150)&gt;=$S36),$V36,$U36)))=Milestones!$AB$150),UPPER(TEXT(EDATE($D36,Milestones!$AA$150),"dd mmm yy"))&amp;" "&amp;Milestones!$AB$150&amp;" "&amp;Milestones!$AC$150&amp;";  ","")&amp;IF(AND(EDATE($D36,Milestones!$AA$151)&lt;=AsOfDate,IF($R36=0,$X36,IF(AND($T36&lt;&gt;"",EDATE($D36,Milestones!$AA$151)&gt;=$T36),$W36,IF(AND($S36&lt;&gt;"",EDATE($D36,Milestones!$AA$151)&gt;=$S36),$V36,$U36)))=Milestones!$AB$151),UPPER(TEXT(EDATE($D36,Milestones!$AA$151),"dd mmm yy"))&amp;" "&amp;Milestones!$AB$151&amp;" "&amp;Milestones!$AC$151&amp;";  ","")&amp;IF(AND(EDATE($D36,Milestones!$AA$152)&lt;=AsOfDate,IF($R36=0,$X36,IF(AND($T36&lt;&gt;"",EDATE($D36,Milestones!$AA$152)&gt;=$T36),$W36,IF(AND($S36&lt;&gt;"",EDATE($D36,Milestones!$AA$152)&gt;=$S36),$V36,$U36)))=Milestones!$AB$152),UPPER(TEXT(EDATE($D36,Milestones!$AA$152),"dd mmm yy"))&amp;" "&amp;Milestones!$AB$152&amp;" "&amp;Milestones!$AC$152&amp;";  ","")&amp;IF(AND(EDATE($D36,Milestones!$AA$153)&lt;=AsOfDate,IF($R36=0,$X36,IF(AND($T36&lt;&gt;"",EDATE($D36,Milestones!$AA$153)&gt;=$T36),$W36,IF(AND($S36&lt;&gt;"",EDATE($D36,Milestones!$AA$153)&gt;=$S36),$V36,$U36)))=Milestones!$AB$153),UPPER(TEXT(EDATE($D36,Milestones!$AA$153),"dd mmm yy"))&amp;" "&amp;Milestones!$AB$153&amp;" "&amp;Milestones!$AC$153&amp;";  ","")&amp;IF(AND(EDATE($D36,Milestones!$AA$154)&lt;=AsOfDate,IF($R36=0,$X36,IF(AND($T36&lt;&gt;"",EDATE($D36,Milestones!$AA$154)&gt;=$T36),$W36,IF(AND($S36&lt;&gt;"",EDATE($D36,Milestones!$AA$154)&gt;=$S36),$V36,$U36)))=Milestones!$AB$154),UPPER(TEXT(EDATE($D36,Milestones!$AA$154),"dd mmm yy"))&amp;" "&amp;Milestones!$AB$154&amp;" "&amp;Milestones!$AC$154&amp;";  ","")&amp;IF(AND(EDATE($D36,Milestones!$AA$155)&lt;=AsOfDate,IF($R36=0,$X36,IF(AND($T36&lt;&gt;"",EDATE($D36,Milestones!$AA$155)&gt;=$T36),$W36,IF(AND($S36&lt;&gt;"",EDATE($D36,Milestones!$AA$155)&gt;=$S36),$V36,$U36)))=Milestones!$AB$155),UPPER(TEXT(EDATE($D36,Milestones!$AA$155),"dd mmm yy"))&amp;" "&amp;Milestones!$AB$155&amp;" "&amp;Milestones!$AC$155&amp;";  ","")&amp;IF(AND(EDATE($D36,Milestones!$AA$156)&lt;=AsOfDate,IF($R36=0,$X36,IF(AND($T36&lt;&gt;"",EDATE($D36,Milestones!$AA$156)&gt;=$T36),$W36,IF(AND($S36&lt;&gt;"",EDATE($D36,Milestones!$AA$156)&gt;=$S36),$V36,$U36)))=Milestones!$AB$156),UPPER(TEXT(EDATE($D36,Milestones!$AA$156),"dd mmm yy"))&amp;" "&amp;Milestones!$AB$156&amp;" "&amp;Milestones!$AC$156&amp;";  ","")&amp;IF(AND(EDATE($D36,Milestones!$AA$157)&lt;=AsOfDate,IF($R36=0,$X36,IF(AND($T36&lt;&gt;"",EDATE($D36,Milestones!$AA$157)&gt;=$T36),$W36,IF(AND($S36&lt;&gt;"",EDATE($D36,Milestones!$AA$157)&gt;=$S36),$V36,$U36)))=Milestones!$AB$157),UPPER(TEXT(EDATE($D36,Milestones!$AA$157),"dd mmm yy"))&amp;" "&amp;Milestones!$AB$157&amp;" "&amp;Milestones!$AC$157&amp;";  ","")&amp;IF(AND(EDATE($D36,Milestones!$AA$158)&lt;=AsOfDate,IF($R36=0,$X36,IF(AND($T36&lt;&gt;"",EDATE($D36,Milestones!$AA$158)&gt;=$T36),$W36,IF(AND($S36&lt;&gt;"",EDATE($D36,Milestones!$AA$158)&gt;=$S36),$V36,$U36)))=Milestones!$AB$158),UPPER(TEXT(EDATE($D36,Milestones!$AA$158),"dd mmm yy"))&amp;" "&amp;Milestones!$AB$158&amp;" "&amp;Milestones!$AC$158&amp;";  ","")&amp;IF(AND(EDATE($D36,Milestones!$AA$159)&lt;=AsOfDate,IF($R36=0,$X36,IF(AND($T36&lt;&gt;"",EDATE($D36,Milestones!$AA$159)&gt;=$T36),$W36,IF(AND($S36&lt;&gt;"",EDATE($D36,Milestones!$AA$159)&gt;=$S36),$V36,$U36)))=Milestones!$AB$159),UPPER(TEXT(EDATE($D36,Milestones!$AA$159),"dd mmm yy"))&amp;" "&amp;Milestones!$AB$159&amp;" "&amp;Milestones!$AC$159&amp;";  ",""))</f>
        <v/>
      </c>
      <c r="P36" s="0" t="str">
        <f aca="false">IF(OR($A36="",$D36=""),"",IF(AND(EDATE($D36,Milestones!$AA$160)&lt;=AsOfDate,IF($R36=0,$X36,IF(AND($T36&lt;&gt;"",EDATE($D36,Milestones!$AA$160)&gt;=$T36),$W36,IF(AND($S36&lt;&gt;"",EDATE($D36,Milestones!$AA$160)&gt;=$S36),$V36,$U36)))=Milestones!$AB$160),UPPER(TEXT(EDATE($D36,Milestones!$AA$160),"dd mmm yy"))&amp;" "&amp;Milestones!$AB$160&amp;" "&amp;Milestones!$AC$160&amp;";  ","")&amp;IF(AND(EDATE($D36,Milestones!$AA$161)&lt;=AsOfDate,IF($R36=0,$X36,IF(AND($T36&lt;&gt;"",EDATE($D36,Milestones!$AA$161)&gt;=$T36),$W36,IF(AND($S36&lt;&gt;"",EDATE($D36,Milestones!$AA$161)&gt;=$S36),$V36,$U36)))=Milestones!$AB$161),UPPER(TEXT(EDATE($D36,Milestones!$AA$161),"dd mmm yy"))&amp;" "&amp;Milestones!$AB$161&amp;" "&amp;Milestones!$AC$161&amp;";  ","")&amp;IF(AND(EDATE($D36,Milestones!$AA$162)&lt;=AsOfDate,IF($R36=0,$X36,IF(AND($T36&lt;&gt;"",EDATE($D36,Milestones!$AA$162)&gt;=$T36),$W36,IF(AND($S36&lt;&gt;"",EDATE($D36,Milestones!$AA$162)&gt;=$S36),$V36,$U36)))=Milestones!$AB$162),UPPER(TEXT(EDATE($D36,Milestones!$AA$162),"dd mmm yy"))&amp;" "&amp;Milestones!$AB$162&amp;" "&amp;Milestones!$AC$162&amp;";  ","")&amp;IF(AND(EDATE($D36,Milestones!$AA$163)&lt;=AsOfDate,IF($R36=0,$X36,IF(AND($T36&lt;&gt;"",EDATE($D36,Milestones!$AA$163)&gt;=$T36),$W36,IF(AND($S36&lt;&gt;"",EDATE($D36,Milestones!$AA$163)&gt;=$S36),$V36,$U36)))=Milestones!$AB$163),UPPER(TEXT(EDATE($D36,Milestones!$AA$163),"dd mmm yy"))&amp;" "&amp;Milestones!$AB$163&amp;" "&amp;Milestones!$AC$163&amp;";  ","")&amp;IF(AND(EDATE($D36,Milestones!$AA$164)&lt;=AsOfDate,IF($R36=0,$X36,IF(AND($T36&lt;&gt;"",EDATE($D36,Milestones!$AA$164)&gt;=$T36),$W36,IF(AND($S36&lt;&gt;"",EDATE($D36,Milestones!$AA$164)&gt;=$S36),$V36,$U36)))=Milestones!$AB$164),UPPER(TEXT(EDATE($D36,Milestones!$AA$164),"dd mmm yy"))&amp;" "&amp;Milestones!$AB$164&amp;" "&amp;Milestones!$AC$164&amp;";  ","")&amp;IF(AND(EDATE($D36,Milestones!$AA$165)&lt;=AsOfDate,IF($R36=0,$X36,IF(AND($T36&lt;&gt;"",EDATE($D36,Milestones!$AA$165)&gt;=$T36),$W36,IF(AND($S36&lt;&gt;"",EDATE($D36,Milestones!$AA$165)&gt;=$S36),$V36,$U36)))=Milestones!$AB$165),UPPER(TEXT(EDATE($D36,Milestones!$AA$165),"dd mmm yy"))&amp;" "&amp;Milestones!$AB$165&amp;" "&amp;Milestones!$AC$165&amp;";  ","")&amp;IF(AND(EDATE($D36,Milestones!$AA$166)&lt;=AsOfDate,IF($R36=0,$X36,IF(AND($T36&lt;&gt;"",EDATE($D36,Milestones!$AA$166)&gt;=$T36),$W36,IF(AND($S36&lt;&gt;"",EDATE($D36,Milestones!$AA$166)&gt;=$S36),$V36,$U36)))=Milestones!$AB$166),UPPER(TEXT(EDATE($D36,Milestones!$AA$166),"dd mmm yy"))&amp;" "&amp;Milestones!$AB$166&amp;" "&amp;Milestones!$AC$166&amp;";  ","")&amp;IF(AND(EDATE($D36,Milestones!$AA$167)&lt;=AsOfDate,IF($R36=0,$X36,IF(AND($T36&lt;&gt;"",EDATE($D36,Milestones!$AA$167)&gt;=$T36),$W36,IF(AND($S36&lt;&gt;"",EDATE($D36,Milestones!$AA$167)&gt;=$S36),$V36,$U36)))=Milestones!$AB$167),UPPER(TEXT(EDATE($D36,Milestones!$AA$167),"dd mmm yy"))&amp;" "&amp;Milestones!$AB$167&amp;" "&amp;Milestones!$AC$167&amp;";  ","")&amp;IF(AND(EDATE($D36,Milestones!$AA$168)&lt;=AsOfDate,IF($R36=0,$X36,IF(AND($T36&lt;&gt;"",EDATE($D36,Milestones!$AA$168)&gt;=$T36),$W36,IF(AND($S36&lt;&gt;"",EDATE($D36,Milestones!$AA$168)&gt;=$S36),$V36,$U36)))=Milestones!$AB$168),UPPER(TEXT(EDATE($D36,Milestones!$AA$168),"dd mmm yy"))&amp;" "&amp;Milestones!$AB$168&amp;" "&amp;Milestones!$AC$168&amp;";  ","")&amp;IF(AND(EDATE($D36,Milestones!$AA$169)&lt;=AsOfDate,IF($R36=0,$X36,IF(AND($T36&lt;&gt;"",EDATE($D36,Milestones!$AA$169)&gt;=$T36),$W36,IF(AND($S36&lt;&gt;"",EDATE($D36,Milestones!$AA$169)&gt;=$S36),$V36,$U36)))=Milestones!$AB$169),UPPER(TEXT(EDATE($D36,Milestones!$AA$169),"dd mmm yy"))&amp;" "&amp;Milestones!$AB$169&amp;" "&amp;Milestones!$AC$169&amp;";  ","")&amp;IF(AND(EDATE($D36,Milestones!$AA$170)&lt;=AsOfDate,IF($R36=0,$X36,IF(AND($T36&lt;&gt;"",EDATE($D36,Milestones!$AA$170)&gt;=$T36),$W36,IF(AND($S36&lt;&gt;"",EDATE($D36,Milestones!$AA$170)&gt;=$S36),$V36,$U36)))=Milestones!$AB$170),UPPER(TEXT(EDATE($D36,Milestones!$AA$170),"dd mmm yy"))&amp;" "&amp;Milestones!$AB$170&amp;" "&amp;Milestones!$AC$170&amp;";  ","")&amp;IF(AND(EDATE($D36,Milestones!$AA$171)&lt;=AsOfDate,IF($R36=0,$X36,IF(AND($T36&lt;&gt;"",EDATE($D36,Milestones!$AA$171)&gt;=$T36),$W36,IF(AND($S36&lt;&gt;"",EDATE($D36,Milestones!$AA$171)&gt;=$S36),$V36,$U36)))=Milestones!$AB$171),UPPER(TEXT(EDATE($D36,Milestones!$AA$171),"dd mmm yy"))&amp;" "&amp;Milestones!$AB$171&amp;" "&amp;Milestones!$AC$171&amp;";  ","")&amp;IF(AND(EDATE($D36,Milestones!$AA$172)&lt;=AsOfDate,IF($R36=0,$X36,IF(AND($T36&lt;&gt;"",EDATE($D36,Milestones!$AA$172)&gt;=$T36),$W36,IF(AND($S36&lt;&gt;"",EDATE($D36,Milestones!$AA$172)&gt;=$S36),$V36,$U36)))=Milestones!$AB$172),UPPER(TEXT(EDATE($D36,Milestones!$AA$172),"dd mmm yy"))&amp;" "&amp;Milestones!$AB$172&amp;" "&amp;Milestones!$AC$172&amp;";  ","")&amp;IF(AND(EDATE($D36,Milestones!$AA$173)&lt;=AsOfDate,IF($R36=0,$X36,IF(AND($T36&lt;&gt;"",EDATE($D36,Milestones!$AA$173)&gt;=$T36),$W36,IF(AND($S36&lt;&gt;"",EDATE($D36,Milestones!$AA$173)&gt;=$S36),$V36,$U36)))=Milestones!$AB$173),UPPER(TEXT(EDATE($D36,Milestones!$AA$173),"dd mmm yy"))&amp;" "&amp;Milestones!$AB$173&amp;" "&amp;Milestones!$AC$173&amp;";  ","")&amp;IF(AND(EDATE($D36,Milestones!$AA$174)&lt;=AsOfDate,IF($R36=0,$X36,IF(AND($T36&lt;&gt;"",EDATE($D36,Milestones!$AA$174)&gt;=$T36),$W36,IF(AND($S36&lt;&gt;"",EDATE($D36,Milestones!$AA$174)&gt;=$S36),$V36,$U36)))=Milestones!$AB$174),UPPER(TEXT(EDATE($D36,Milestones!$AA$174),"dd mmm yy"))&amp;" "&amp;Milestones!$AB$174&amp;" "&amp;Milestones!$AC$174&amp;";  ","")&amp;IF(AND(EDATE($D36,Milestones!$AA$175)&lt;=AsOfDate,IF($R36=0,$X36,IF(AND($T36&lt;&gt;"",EDATE($D36,Milestones!$AA$175)&gt;=$T36),$W36,IF(AND($S36&lt;&gt;"",EDATE($D36,Milestones!$AA$175)&gt;=$S36),$V36,$U36)))=Milestones!$AB$175),UPPER(TEXT(EDATE($D36,Milestones!$AA$175),"dd mmm yy"))&amp;" "&amp;Milestones!$AB$175&amp;" "&amp;Milestones!$AC$175&amp;";  ","")&amp;IF(AND(EDATE($D36,Milestones!$AA$176)&lt;=AsOfDate,IF($R36=0,$X36,IF(AND($T36&lt;&gt;"",EDATE($D36,Milestones!$AA$176)&gt;=$T36),$W36,IF(AND($S36&lt;&gt;"",EDATE($D36,Milestones!$AA$176)&gt;=$S36),$V36,$U36)))=Milestones!$AB$176),UPPER(TEXT(EDATE($D36,Milestones!$AA$176),"dd mmm yy"))&amp;" "&amp;Milestones!$AB$176&amp;" "&amp;Milestones!$AC$176&amp;";  ","")&amp;IF(AND(EDATE($D36,Milestones!$AA$177)&lt;=AsOfDate,IF($R36=0,$X36,IF(AND($T36&lt;&gt;"",EDATE($D36,Milestones!$AA$177)&gt;=$T36),$W36,IF(AND($S36&lt;&gt;"",EDATE($D36,Milestones!$AA$177)&gt;=$S36),$V36,$U36)))=Milestones!$AB$177),UPPER(TEXT(EDATE($D36,Milestones!$AA$177),"dd mmm yy"))&amp;" "&amp;Milestones!$AB$177&amp;" "&amp;Milestones!$AC$177&amp;";  ","")&amp;IF(AND(EDATE($D36,Milestones!$AA$178)&lt;=AsOfDate,IF($R36=0,$X36,IF(AND($T36&lt;&gt;"",EDATE($D36,Milestones!$AA$178)&gt;=$T36),$W36,IF(AND($S36&lt;&gt;"",EDATE($D36,Milestones!$AA$178)&gt;=$S36),$V36,$U36)))=Milestones!$AB$178),UPPER(TEXT(EDATE($D36,Milestones!$AA$178),"dd mmm yy"))&amp;" "&amp;Milestones!$AB$178&amp;" "&amp;Milestones!$AC$178&amp;";  ","")&amp;IF(AND(EDATE($D36,Milestones!$AA$179)&lt;=AsOfDate,IF($R36=0,$X36,IF(AND($T36&lt;&gt;"",EDATE($D36,Milestones!$AA$179)&gt;=$T36),$W36,IF(AND($S36&lt;&gt;"",EDATE($D36,Milestones!$AA$179)&gt;=$S36),$V36,$U36)))=Milestones!$AB$179),UPPER(TEXT(EDATE($D36,Milestones!$AA$179),"dd mmm yy"))&amp;" "&amp;Milestones!$AB$179&amp;" "&amp;Milestones!$AC$179&amp;";  ",""))</f>
        <v/>
      </c>
      <c r="Q36" s="0" t="str">
        <f aca="false">IF(OR($A36="",$D36=""),"",IF(AND(EDATE($D36,Milestones!$AA$180)&lt;=AsOfDate,IF($R36=0,$X36,IF(AND($T36&lt;&gt;"",EDATE($D36,Milestones!$AA$180)&gt;=$T36),$W36,IF(AND($S36&lt;&gt;"",EDATE($D36,Milestones!$AA$180)&gt;=$S36),$V36,$U36)))=Milestones!$AB$180),UPPER(TEXT(EDATE($D36,Milestones!$AA$180),"dd mmm yy"))&amp;" "&amp;Milestones!$AB$180&amp;" "&amp;Milestones!$AC$180&amp;";  ","")&amp;IF(AND(EDATE($D36,Milestones!$AA$181)&lt;=AsOfDate,IF($R36=0,$X36,IF(AND($T36&lt;&gt;"",EDATE($D36,Milestones!$AA$181)&gt;=$T36),$W36,IF(AND($S36&lt;&gt;"",EDATE($D36,Milestones!$AA$181)&gt;=$S36),$V36,$U36)))=Milestones!$AB$181),UPPER(TEXT(EDATE($D36,Milestones!$AA$181),"dd mmm yy"))&amp;" "&amp;Milestones!$AB$181&amp;" "&amp;Milestones!$AC$181&amp;";  ","")&amp;IF(AND(EDATE($D36,Milestones!$AA$182)&lt;=AsOfDate,IF($R36=0,$X36,IF(AND($T36&lt;&gt;"",EDATE($D36,Milestones!$AA$182)&gt;=$T36),$W36,IF(AND($S36&lt;&gt;"",EDATE($D36,Milestones!$AA$182)&gt;=$S36),$V36,$U36)))=Milestones!$AB$182),UPPER(TEXT(EDATE($D36,Milestones!$AA$182),"dd mmm yy"))&amp;" "&amp;Milestones!$AB$182&amp;" "&amp;Milestones!$AC$182&amp;";  ","")&amp;IF(AND(EDATE($D36,Milestones!$AA$183)&lt;=AsOfDate,IF($R36=0,$X36,IF(AND($T36&lt;&gt;"",EDATE($D36,Milestones!$AA$183)&gt;=$T36),$W36,IF(AND($S36&lt;&gt;"",EDATE($D36,Milestones!$AA$183)&gt;=$S36),$V36,$U36)))=Milestones!$AB$183),UPPER(TEXT(EDATE($D36,Milestones!$AA$183),"dd mmm yy"))&amp;" "&amp;Milestones!$AB$183&amp;" "&amp;Milestones!$AC$183&amp;";  ","")&amp;IF(AND(EDATE($D36,Milestones!$AA$184)&lt;=AsOfDate,IF($R36=0,$X36,IF(AND($T36&lt;&gt;"",EDATE($D36,Milestones!$AA$184)&gt;=$T36),$W36,IF(AND($S36&lt;&gt;"",EDATE($D36,Milestones!$AA$184)&gt;=$S36),$V36,$U36)))=Milestones!$AB$184),UPPER(TEXT(EDATE($D36,Milestones!$AA$184),"dd mmm yy"))&amp;" "&amp;Milestones!$AB$184&amp;" "&amp;Milestones!$AC$184&amp;";  ","")&amp;IF(AND(EDATE($D36,Milestones!$AA$185)&lt;=AsOfDate,IF($R36=0,$X36,IF(AND($T36&lt;&gt;"",EDATE($D36,Milestones!$AA$185)&gt;=$T36),$W36,IF(AND($S36&lt;&gt;"",EDATE($D36,Milestones!$AA$185)&gt;=$S36),$V36,$U36)))=Milestones!$AB$185),UPPER(TEXT(EDATE($D36,Milestones!$AA$185),"dd mmm yy"))&amp;" "&amp;Milestones!$AB$185&amp;" "&amp;Milestones!$AC$185&amp;";  ","")&amp;IF(AND(EDATE($D36,Milestones!$AA$186)&lt;=AsOfDate,IF($R36=0,$X36,IF(AND($T36&lt;&gt;"",EDATE($D36,Milestones!$AA$186)&gt;=$T36),$W36,IF(AND($S36&lt;&gt;"",EDATE($D36,Milestones!$AA$186)&gt;=$S36),$V36,$U36)))=Milestones!$AB$186),UPPER(TEXT(EDATE($D36,Milestones!$AA$186),"dd mmm yy"))&amp;" "&amp;Milestones!$AB$186&amp;" "&amp;Milestones!$AC$186&amp;";  ","")&amp;IF(AND(EDATE($D36,Milestones!$AA$187)&lt;=AsOfDate,IF($R36=0,$X36,IF(AND($T36&lt;&gt;"",EDATE($D36,Milestones!$AA$187)&gt;=$T36),$W36,IF(AND($S36&lt;&gt;"",EDATE($D36,Milestones!$AA$187)&gt;=$S36),$V36,$U36)))=Milestones!$AB$187),UPPER(TEXT(EDATE($D36,Milestones!$AA$187),"dd mmm yy"))&amp;" "&amp;Milestones!$AB$187&amp;" "&amp;Milestones!$AC$187&amp;";  ","")&amp;IF(AND(EDATE($D36,Milestones!$AA$188)&lt;=AsOfDate,IF($R36=0,$X36,IF(AND($T36&lt;&gt;"",EDATE($D36,Milestones!$AA$188)&gt;=$T36),$W36,IF(AND($S36&lt;&gt;"",EDATE($D36,Milestones!$AA$188)&gt;=$S36),$V36,$U36)))=Milestones!$AB$188),UPPER(TEXT(EDATE($D36,Milestones!$AA$188),"dd mmm yy"))&amp;" "&amp;Milestones!$AB$188&amp;" "&amp;Milestones!$AC$188&amp;";  ","")&amp;IF(AND(EDATE($D36,Milestones!$AA$189)&lt;=AsOfDate,IF($R36=0,$X36,IF(AND($T36&lt;&gt;"",EDATE($D36,Milestones!$AA$189)&gt;=$T36),$W36,IF(AND($S36&lt;&gt;"",EDATE($D36,Milestones!$AA$189)&gt;=$S36),$V36,$U36)))=Milestones!$AB$189),UPPER(TEXT(EDATE($D36,Milestones!$AA$189),"dd mmm yy"))&amp;" "&amp;Milestones!$AB$189&amp;" "&amp;Milestones!$AC$189&amp;";  ","")&amp;IF(AND(EDATE($D36,Milestones!$AA$190)&lt;=AsOfDate,IF($R36=0,$X36,IF(AND($T36&lt;&gt;"",EDATE($D36,Milestones!$AA$190)&gt;=$T36),$W36,IF(AND($S36&lt;&gt;"",EDATE($D36,Milestones!$AA$190)&gt;=$S36),$V36,$U36)))=Milestones!$AB$190),UPPER(TEXT(EDATE($D36,Milestones!$AA$190),"dd mmm yy"))&amp;" "&amp;Milestones!$AB$190&amp;" "&amp;Milestones!$AC$190&amp;";  ","")&amp;IF(AND(EDATE($D36,Milestones!$AA$191)&lt;=AsOfDate,IF($R36=0,$X36,IF(AND($T36&lt;&gt;"",EDATE($D36,Milestones!$AA$191)&gt;=$T36),$W36,IF(AND($S36&lt;&gt;"",EDATE($D36,Milestones!$AA$191)&gt;=$S36),$V36,$U36)))=Milestones!$AB$191),UPPER(TEXT(EDATE($D36,Milestones!$AA$191),"dd mmm yy"))&amp;" "&amp;Milestones!$AB$191&amp;" "&amp;Milestones!$AC$191&amp;";  ","")&amp;IF(AND(EDATE($D36,Milestones!$AA$192)&lt;=AsOfDate,IF($R36=0,$X36,IF(AND($T36&lt;&gt;"",EDATE($D36,Milestones!$AA$192)&gt;=$T36),$W36,IF(AND($S36&lt;&gt;"",EDATE($D36,Milestones!$AA$192)&gt;=$S36),$V36,$U36)))=Milestones!$AB$192),UPPER(TEXT(EDATE($D36,Milestones!$AA$192),"dd mmm yy"))&amp;" "&amp;Milestones!$AB$192&amp;" "&amp;Milestones!$AC$192&amp;";  ","")&amp;IF(AND(EDATE($D36,Milestones!$AA$193)&lt;=AsOfDate,IF($R36=0,$X36,IF(AND($T36&lt;&gt;"",EDATE($D36,Milestones!$AA$193)&gt;=$T36),$W36,IF(AND($S36&lt;&gt;"",EDATE($D36,Milestones!$AA$193)&gt;=$S36),$V36,$U36)))=Milestones!$AB$193),UPPER(TEXT(EDATE($D36,Milestones!$AA$193),"dd mmm yy"))&amp;" "&amp;Milestones!$AB$193&amp;" "&amp;Milestones!$AC$193&amp;";  ","")&amp;IF(AND(EDATE($D36,Milestones!$AA$194)&lt;=AsOfDate,IF($R36=0,$X36,IF(AND($T36&lt;&gt;"",EDATE($D36,Milestones!$AA$194)&gt;=$T36),$W36,IF(AND($S36&lt;&gt;"",EDATE($D36,Milestones!$AA$194)&gt;=$S36),$V36,$U36)))=Milestones!$AB$194),UPPER(TEXT(EDATE($D36,Milestones!$AA$194),"dd mmm yy"))&amp;" "&amp;Milestones!$AB$194&amp;" "&amp;Milestones!$AC$194&amp;";  ","")&amp;IF(AND(EDATE($D36,Milestones!$AA$195)&lt;=AsOfDate,IF($R36=0,$X36,IF(AND($T36&lt;&gt;"",EDATE($D36,Milestones!$AA$195)&gt;=$T36),$W36,IF(AND($S36&lt;&gt;"",EDATE($D36,Milestones!$AA$195)&gt;=$S36),$V36,$U36)))=Milestones!$AB$195),UPPER(TEXT(EDATE($D36,Milestones!$AA$195),"dd mmm yy"))&amp;" "&amp;Milestones!$AB$195&amp;" "&amp;Milestones!$AC$195&amp;";  ","")&amp;IF(AND(EDATE($D36,Milestones!$AA$196)&lt;=AsOfDate,IF($R36=0,$X36,IF(AND($T36&lt;&gt;"",EDATE($D36,Milestones!$AA$196)&gt;=$T36),$W36,IF(AND($S36&lt;&gt;"",EDATE($D36,Milestones!$AA$196)&gt;=$S36),$V36,$U36)))=Milestones!$AB$196),UPPER(TEXT(EDATE($D36,Milestones!$AA$196),"dd mmm yy"))&amp;" "&amp;Milestones!$AB$196&amp;" "&amp;Milestones!$AC$196&amp;";  ","")&amp;IF(AND(EDATE($D36,Milestones!$AA$197)&lt;=AsOfDate,IF($R36=0,$X36,IF(AND($T36&lt;&gt;"",EDATE($D36,Milestones!$AA$197)&gt;=$T36),$W36,IF(AND($S36&lt;&gt;"",EDATE($D36,Milestones!$AA$197)&gt;=$S36),$V36,$U36)))=Milestones!$AB$197),UPPER(TEXT(EDATE($D36,Milestones!$AA$197),"dd mmm yy"))&amp;" "&amp;Milestones!$AB$197&amp;" "&amp;Milestones!$AC$197&amp;";  ","")&amp;IF(AND(EDATE($D36,Milestones!$AA$198)&lt;=AsOfDate,IF($R36=0,$X36,IF(AND($T36&lt;&gt;"",EDATE($D36,Milestones!$AA$198)&gt;=$T36),$W36,IF(AND($S36&lt;&gt;"",EDATE($D36,Milestones!$AA$198)&gt;=$S36),$V36,$U36)))=Milestones!$AB$198),UPPER(TEXT(EDATE($D36,Milestones!$AA$198),"dd mmm yy"))&amp;" "&amp;Milestones!$AB$198&amp;" "&amp;Milestones!$AC$198&amp;";  ","")&amp;IF(AND(EDATE($D36,Milestones!$AA$199)&lt;=AsOfDate,IF($R36=0,$X36,IF(AND($T36&lt;&gt;"",EDATE($D36,Milestones!$AA$199)&gt;=$T36),$W36,IF(AND($S36&lt;&gt;"",EDATE($D36,Milestones!$AA$199)&gt;=$S36),$V36,$U36)))=Milestones!$AB$199),UPPER(TEXT(EDATE($D36,Milestones!$AA$199),"dd mmm yy"))&amp;" "&amp;Milestones!$AB$199&amp;" "&amp;Milestones!$AC$199&amp;";  ",""))</f>
        <v/>
      </c>
      <c r="R36" s="0" t="str">
        <f aca="false">IF(Staff!$A36="","",Staff!$AI36)</f>
        <v/>
      </c>
      <c r="S36" s="0" t="str">
        <f aca="false">IF(Staff!$A36="","",Staff!$AK36)</f>
        <v/>
      </c>
      <c r="T36" s="0" t="str">
        <f aca="false">IF(Staff!$A36="","",Staff!$AL36)</f>
        <v/>
      </c>
      <c r="U36" s="0" t="str">
        <f aca="false">IF(Staff!$A36="","",Staff!$AP36)</f>
        <v/>
      </c>
      <c r="V36" s="0" t="str">
        <f aca="false">IF(Staff!$A36="","",Staff!$AQ36)</f>
        <v/>
      </c>
      <c r="W36" s="0" t="str">
        <f aca="false">IF(Staff!$A36="","",Staff!$AR36)</f>
        <v/>
      </c>
      <c r="X36" s="0" t="str">
        <f aca="false">IF(Staff!$A36="","",Staff!$AS36)</f>
        <v/>
      </c>
    </row>
    <row r="37" customFormat="false" ht="15" hidden="false" customHeight="false" outlineLevel="0" collapsed="false">
      <c r="A37" s="14" t="str">
        <f aca="false">IF(Staff!$A37="","",Staff!$A37)</f>
        <v/>
      </c>
      <c r="B37" s="14" t="str">
        <f aca="false">IF(Staff!$A37="","",Staff!$B37)</f>
        <v/>
      </c>
      <c r="C37" s="14" t="str">
        <f aca="false">IF(Staff!$A37="","",Staff!$C37)</f>
        <v/>
      </c>
      <c r="D37" s="12" t="str">
        <f aca="false">IF(Staff!$A37="","",Staff!$AH37)</f>
        <v/>
      </c>
      <c r="E37" s="14" t="str">
        <f aca="false">IF(Staff!$A37="","",Staff!$O37)</f>
        <v/>
      </c>
      <c r="F37" s="14" t="str">
        <f aca="false">IF(E37="","",E37*HoursPerDay)</f>
        <v/>
      </c>
      <c r="G37" s="14" t="str">
        <f aca="false">IF(Staff!$A37="","",Staff!$AE37)</f>
        <v/>
      </c>
      <c r="H37" s="26" t="str">
        <f aca="false">IF($A37="","",I37&amp;J37&amp;K37&amp;L37&amp;M37&amp;N37&amp;O37&amp;P37&amp;Q37)</f>
        <v/>
      </c>
      <c r="I37" s="0" t="str">
        <f aca="false">IF(OR($A37="",$D37=""),"",IF(AND(EDATE($D37,Milestones!$AA$20)&lt;=AsOfDate,IF($R37=0,$X37,IF(AND($T37&lt;&gt;"",EDATE($D37,Milestones!$AA$20)&gt;=$T37),$W37,IF(AND($S37&lt;&gt;"",EDATE($D37,Milestones!$AA$20)&gt;=$S37),$V37,$U37)))=Milestones!$AB$20),UPPER(TEXT(EDATE($D37,Milestones!$AA$20),"dd mmm yy"))&amp;" "&amp;Milestones!$AB$20&amp;" "&amp;Milestones!$AC$20&amp;";  ","")&amp;IF(AND(EDATE($D37,Milestones!$AA$21)&lt;=AsOfDate,IF($R37=0,$X37,IF(AND($T37&lt;&gt;"",EDATE($D37,Milestones!$AA$21)&gt;=$T37),$W37,IF(AND($S37&lt;&gt;"",EDATE($D37,Milestones!$AA$21)&gt;=$S37),$V37,$U37)))=Milestones!$AB$21),UPPER(TEXT(EDATE($D37,Milestones!$AA$21),"dd mmm yy"))&amp;" "&amp;Milestones!$AB$21&amp;" "&amp;Milestones!$AC$21&amp;";  ","")&amp;IF(AND(EDATE($D37,Milestones!$AA$22)&lt;=AsOfDate,IF($R37=0,$X37,IF(AND($T37&lt;&gt;"",EDATE($D37,Milestones!$AA$22)&gt;=$T37),$W37,IF(AND($S37&lt;&gt;"",EDATE($D37,Milestones!$AA$22)&gt;=$S37),$V37,$U37)))=Milestones!$AB$22),UPPER(TEXT(EDATE($D37,Milestones!$AA$22),"dd mmm yy"))&amp;" "&amp;Milestones!$AB$22&amp;" "&amp;Milestones!$AC$22&amp;";  ","")&amp;IF(AND(EDATE($D37,Milestones!$AA$23)&lt;=AsOfDate,IF($R37=0,$X37,IF(AND($T37&lt;&gt;"",EDATE($D37,Milestones!$AA$23)&gt;=$T37),$W37,IF(AND($S37&lt;&gt;"",EDATE($D37,Milestones!$AA$23)&gt;=$S37),$V37,$U37)))=Milestones!$AB$23),UPPER(TEXT(EDATE($D37,Milestones!$AA$23),"dd mmm yy"))&amp;" "&amp;Milestones!$AB$23&amp;" "&amp;Milestones!$AC$23&amp;";  ","")&amp;IF(AND(EDATE($D37,Milestones!$AA$24)&lt;=AsOfDate,IF($R37=0,$X37,IF(AND($T37&lt;&gt;"",EDATE($D37,Milestones!$AA$24)&gt;=$T37),$W37,IF(AND($S37&lt;&gt;"",EDATE($D37,Milestones!$AA$24)&gt;=$S37),$V37,$U37)))=Milestones!$AB$24),UPPER(TEXT(EDATE($D37,Milestones!$AA$24),"dd mmm yy"))&amp;" "&amp;Milestones!$AB$24&amp;" "&amp;Milestones!$AC$24&amp;";  ","")&amp;IF(AND(EDATE($D37,Milestones!$AA$25)&lt;=AsOfDate,IF($R37=0,$X37,IF(AND($T37&lt;&gt;"",EDATE($D37,Milestones!$AA$25)&gt;=$T37),$W37,IF(AND($S37&lt;&gt;"",EDATE($D37,Milestones!$AA$25)&gt;=$S37),$V37,$U37)))=Milestones!$AB$25),UPPER(TEXT(EDATE($D37,Milestones!$AA$25),"dd mmm yy"))&amp;" "&amp;Milestones!$AB$25&amp;" "&amp;Milestones!$AC$25&amp;";  ","")&amp;IF(AND(EDATE($D37,Milestones!$AA$26)&lt;=AsOfDate,IF($R37=0,$X37,IF(AND($T37&lt;&gt;"",EDATE($D37,Milestones!$AA$26)&gt;=$T37),$W37,IF(AND($S37&lt;&gt;"",EDATE($D37,Milestones!$AA$26)&gt;=$S37),$V37,$U37)))=Milestones!$AB$26),UPPER(TEXT(EDATE($D37,Milestones!$AA$26),"dd mmm yy"))&amp;" "&amp;Milestones!$AB$26&amp;" "&amp;Milestones!$AC$26&amp;";  ","")&amp;IF(AND(EDATE($D37,Milestones!$AA$27)&lt;=AsOfDate,IF($R37=0,$X37,IF(AND($T37&lt;&gt;"",EDATE($D37,Milestones!$AA$27)&gt;=$T37),$W37,IF(AND($S37&lt;&gt;"",EDATE($D37,Milestones!$AA$27)&gt;=$S37),$V37,$U37)))=Milestones!$AB$27),UPPER(TEXT(EDATE($D37,Milestones!$AA$27),"dd mmm yy"))&amp;" "&amp;Milestones!$AB$27&amp;" "&amp;Milestones!$AC$27&amp;";  ","")&amp;IF(AND(EDATE($D37,Milestones!$AA$28)&lt;=AsOfDate,IF($R37=0,$X37,IF(AND($T37&lt;&gt;"",EDATE($D37,Milestones!$AA$28)&gt;=$T37),$W37,IF(AND($S37&lt;&gt;"",EDATE($D37,Milestones!$AA$28)&gt;=$S37),$V37,$U37)))=Milestones!$AB$28),UPPER(TEXT(EDATE($D37,Milestones!$AA$28),"dd mmm yy"))&amp;" "&amp;Milestones!$AB$28&amp;" "&amp;Milestones!$AC$28&amp;";  ","")&amp;IF(AND(EDATE($D37,Milestones!$AA$29)&lt;=AsOfDate,IF($R37=0,$X37,IF(AND($T37&lt;&gt;"",EDATE($D37,Milestones!$AA$29)&gt;=$T37),$W37,IF(AND($S37&lt;&gt;"",EDATE($D37,Milestones!$AA$29)&gt;=$S37),$V37,$U37)))=Milestones!$AB$29),UPPER(TEXT(EDATE($D37,Milestones!$AA$29),"dd mmm yy"))&amp;" "&amp;Milestones!$AB$29&amp;" "&amp;Milestones!$AC$29&amp;";  ","")&amp;IF(AND(EDATE($D37,Milestones!$AA$30)&lt;=AsOfDate,IF($R37=0,$X37,IF(AND($T37&lt;&gt;"",EDATE($D37,Milestones!$AA$30)&gt;=$T37),$W37,IF(AND($S37&lt;&gt;"",EDATE($D37,Milestones!$AA$30)&gt;=$S37),$V37,$U37)))=Milestones!$AB$30),UPPER(TEXT(EDATE($D37,Milestones!$AA$30),"dd mmm yy"))&amp;" "&amp;Milestones!$AB$30&amp;" "&amp;Milestones!$AC$30&amp;";  ","")&amp;IF(AND(EDATE($D37,Milestones!$AA$31)&lt;=AsOfDate,IF($R37=0,$X37,IF(AND($T37&lt;&gt;"",EDATE($D37,Milestones!$AA$31)&gt;=$T37),$W37,IF(AND($S37&lt;&gt;"",EDATE($D37,Milestones!$AA$31)&gt;=$S37),$V37,$U37)))=Milestones!$AB$31),UPPER(TEXT(EDATE($D37,Milestones!$AA$31),"dd mmm yy"))&amp;" "&amp;Milestones!$AB$31&amp;" "&amp;Milestones!$AC$31&amp;";  ","")&amp;IF(AND(EDATE($D37,Milestones!$AA$32)&lt;=AsOfDate,IF($R37=0,$X37,IF(AND($T37&lt;&gt;"",EDATE($D37,Milestones!$AA$32)&gt;=$T37),$W37,IF(AND($S37&lt;&gt;"",EDATE($D37,Milestones!$AA$32)&gt;=$S37),$V37,$U37)))=Milestones!$AB$32),UPPER(TEXT(EDATE($D37,Milestones!$AA$32),"dd mmm yy"))&amp;" "&amp;Milestones!$AB$32&amp;" "&amp;Milestones!$AC$32&amp;";  ","")&amp;IF(AND(EDATE($D37,Milestones!$AA$33)&lt;=AsOfDate,IF($R37=0,$X37,IF(AND($T37&lt;&gt;"",EDATE($D37,Milestones!$AA$33)&gt;=$T37),$W37,IF(AND($S37&lt;&gt;"",EDATE($D37,Milestones!$AA$33)&gt;=$S37),$V37,$U37)))=Milestones!$AB$33),UPPER(TEXT(EDATE($D37,Milestones!$AA$33),"dd mmm yy"))&amp;" "&amp;Milestones!$AB$33&amp;" "&amp;Milestones!$AC$33&amp;";  ","")&amp;IF(AND(EDATE($D37,Milestones!$AA$34)&lt;=AsOfDate,IF($R37=0,$X37,IF(AND($T37&lt;&gt;"",EDATE($D37,Milestones!$AA$34)&gt;=$T37),$W37,IF(AND($S37&lt;&gt;"",EDATE($D37,Milestones!$AA$34)&gt;=$S37),$V37,$U37)))=Milestones!$AB$34),UPPER(TEXT(EDATE($D37,Milestones!$AA$34),"dd mmm yy"))&amp;" "&amp;Milestones!$AB$34&amp;" "&amp;Milestones!$AC$34&amp;";  ","")&amp;IF(AND(EDATE($D37,Milestones!$AA$35)&lt;=AsOfDate,IF($R37=0,$X37,IF(AND($T37&lt;&gt;"",EDATE($D37,Milestones!$AA$35)&gt;=$T37),$W37,IF(AND($S37&lt;&gt;"",EDATE($D37,Milestones!$AA$35)&gt;=$S37),$V37,$U37)))=Milestones!$AB$35),UPPER(TEXT(EDATE($D37,Milestones!$AA$35),"dd mmm yy"))&amp;" "&amp;Milestones!$AB$35&amp;" "&amp;Milestones!$AC$35&amp;";  ","")&amp;IF(AND(EDATE($D37,Milestones!$AA$36)&lt;=AsOfDate,IF($R37=0,$X37,IF(AND($T37&lt;&gt;"",EDATE($D37,Milestones!$AA$36)&gt;=$T37),$W37,IF(AND($S37&lt;&gt;"",EDATE($D37,Milestones!$AA$36)&gt;=$S37),$V37,$U37)))=Milestones!$AB$36),UPPER(TEXT(EDATE($D37,Milestones!$AA$36),"dd mmm yy"))&amp;" "&amp;Milestones!$AB$36&amp;" "&amp;Milestones!$AC$36&amp;";  ","")&amp;IF(AND(EDATE($D37,Milestones!$AA$37)&lt;=AsOfDate,IF($R37=0,$X37,IF(AND($T37&lt;&gt;"",EDATE($D37,Milestones!$AA$37)&gt;=$T37),$W37,IF(AND($S37&lt;&gt;"",EDATE($D37,Milestones!$AA$37)&gt;=$S37),$V37,$U37)))=Milestones!$AB$37),UPPER(TEXT(EDATE($D37,Milestones!$AA$37),"dd mmm yy"))&amp;" "&amp;Milestones!$AB$37&amp;" "&amp;Milestones!$AC$37&amp;";  ","")&amp;IF(AND(EDATE($D37,Milestones!$AA$38)&lt;=AsOfDate,IF($R37=0,$X37,IF(AND($T37&lt;&gt;"",EDATE($D37,Milestones!$AA$38)&gt;=$T37),$W37,IF(AND($S37&lt;&gt;"",EDATE($D37,Milestones!$AA$38)&gt;=$S37),$V37,$U37)))=Milestones!$AB$38),UPPER(TEXT(EDATE($D37,Milestones!$AA$38),"dd mmm yy"))&amp;" "&amp;Milestones!$AB$38&amp;" "&amp;Milestones!$AC$38&amp;";  ","")&amp;IF(AND(EDATE($D37,Milestones!$AA$39)&lt;=AsOfDate,IF($R37=0,$X37,IF(AND($T37&lt;&gt;"",EDATE($D37,Milestones!$AA$39)&gt;=$T37),$W37,IF(AND($S37&lt;&gt;"",EDATE($D37,Milestones!$AA$39)&gt;=$S37),$V37,$U37)))=Milestones!$AB$39),UPPER(TEXT(EDATE($D37,Milestones!$AA$39),"dd mmm yy"))&amp;" "&amp;Milestones!$AB$39&amp;" "&amp;Milestones!$AC$39&amp;";  ",""))</f>
        <v/>
      </c>
      <c r="J37" s="0" t="str">
        <f aca="false">IF(OR($A37="",$D37=""),"",IF(AND(EDATE($D37,Milestones!$AA$40)&lt;=AsOfDate,IF($R37=0,$X37,IF(AND($T37&lt;&gt;"",EDATE($D37,Milestones!$AA$40)&gt;=$T37),$W37,IF(AND($S37&lt;&gt;"",EDATE($D37,Milestones!$AA$40)&gt;=$S37),$V37,$U37)))=Milestones!$AB$40),UPPER(TEXT(EDATE($D37,Milestones!$AA$40),"dd mmm yy"))&amp;" "&amp;Milestones!$AB$40&amp;" "&amp;Milestones!$AC$40&amp;";  ","")&amp;IF(AND(EDATE($D37,Milestones!$AA$41)&lt;=AsOfDate,IF($R37=0,$X37,IF(AND($T37&lt;&gt;"",EDATE($D37,Milestones!$AA$41)&gt;=$T37),$W37,IF(AND($S37&lt;&gt;"",EDATE($D37,Milestones!$AA$41)&gt;=$S37),$V37,$U37)))=Milestones!$AB$41),UPPER(TEXT(EDATE($D37,Milestones!$AA$41),"dd mmm yy"))&amp;" "&amp;Milestones!$AB$41&amp;" "&amp;Milestones!$AC$41&amp;";  ","")&amp;IF(AND(EDATE($D37,Milestones!$AA$42)&lt;=AsOfDate,IF($R37=0,$X37,IF(AND($T37&lt;&gt;"",EDATE($D37,Milestones!$AA$42)&gt;=$T37),$W37,IF(AND($S37&lt;&gt;"",EDATE($D37,Milestones!$AA$42)&gt;=$S37),$V37,$U37)))=Milestones!$AB$42),UPPER(TEXT(EDATE($D37,Milestones!$AA$42),"dd mmm yy"))&amp;" "&amp;Milestones!$AB$42&amp;" "&amp;Milestones!$AC$42&amp;";  ","")&amp;IF(AND(EDATE($D37,Milestones!$AA$43)&lt;=AsOfDate,IF($R37=0,$X37,IF(AND($T37&lt;&gt;"",EDATE($D37,Milestones!$AA$43)&gt;=$T37),$W37,IF(AND($S37&lt;&gt;"",EDATE($D37,Milestones!$AA$43)&gt;=$S37),$V37,$U37)))=Milestones!$AB$43),UPPER(TEXT(EDATE($D37,Milestones!$AA$43),"dd mmm yy"))&amp;" "&amp;Milestones!$AB$43&amp;" "&amp;Milestones!$AC$43&amp;";  ","")&amp;IF(AND(EDATE($D37,Milestones!$AA$44)&lt;=AsOfDate,IF($R37=0,$X37,IF(AND($T37&lt;&gt;"",EDATE($D37,Milestones!$AA$44)&gt;=$T37),$W37,IF(AND($S37&lt;&gt;"",EDATE($D37,Milestones!$AA$44)&gt;=$S37),$V37,$U37)))=Milestones!$AB$44),UPPER(TEXT(EDATE($D37,Milestones!$AA$44),"dd mmm yy"))&amp;" "&amp;Milestones!$AB$44&amp;" "&amp;Milestones!$AC$44&amp;";  ","")&amp;IF(AND(EDATE($D37,Milestones!$AA$45)&lt;=AsOfDate,IF($R37=0,$X37,IF(AND($T37&lt;&gt;"",EDATE($D37,Milestones!$AA$45)&gt;=$T37),$W37,IF(AND($S37&lt;&gt;"",EDATE($D37,Milestones!$AA$45)&gt;=$S37),$V37,$U37)))=Milestones!$AB$45),UPPER(TEXT(EDATE($D37,Milestones!$AA$45),"dd mmm yy"))&amp;" "&amp;Milestones!$AB$45&amp;" "&amp;Milestones!$AC$45&amp;";  ","")&amp;IF(AND(EDATE($D37,Milestones!$AA$46)&lt;=AsOfDate,IF($R37=0,$X37,IF(AND($T37&lt;&gt;"",EDATE($D37,Milestones!$AA$46)&gt;=$T37),$W37,IF(AND($S37&lt;&gt;"",EDATE($D37,Milestones!$AA$46)&gt;=$S37),$V37,$U37)))=Milestones!$AB$46),UPPER(TEXT(EDATE($D37,Milestones!$AA$46),"dd mmm yy"))&amp;" "&amp;Milestones!$AB$46&amp;" "&amp;Milestones!$AC$46&amp;";  ","")&amp;IF(AND(EDATE($D37,Milestones!$AA$47)&lt;=AsOfDate,IF($R37=0,$X37,IF(AND($T37&lt;&gt;"",EDATE($D37,Milestones!$AA$47)&gt;=$T37),$W37,IF(AND($S37&lt;&gt;"",EDATE($D37,Milestones!$AA$47)&gt;=$S37),$V37,$U37)))=Milestones!$AB$47),UPPER(TEXT(EDATE($D37,Milestones!$AA$47),"dd mmm yy"))&amp;" "&amp;Milestones!$AB$47&amp;" "&amp;Milestones!$AC$47&amp;";  ","")&amp;IF(AND(EDATE($D37,Milestones!$AA$48)&lt;=AsOfDate,IF($R37=0,$X37,IF(AND($T37&lt;&gt;"",EDATE($D37,Milestones!$AA$48)&gt;=$T37),$W37,IF(AND($S37&lt;&gt;"",EDATE($D37,Milestones!$AA$48)&gt;=$S37),$V37,$U37)))=Milestones!$AB$48),UPPER(TEXT(EDATE($D37,Milestones!$AA$48),"dd mmm yy"))&amp;" "&amp;Milestones!$AB$48&amp;" "&amp;Milestones!$AC$48&amp;";  ","")&amp;IF(AND(EDATE($D37,Milestones!$AA$49)&lt;=AsOfDate,IF($R37=0,$X37,IF(AND($T37&lt;&gt;"",EDATE($D37,Milestones!$AA$49)&gt;=$T37),$W37,IF(AND($S37&lt;&gt;"",EDATE($D37,Milestones!$AA$49)&gt;=$S37),$V37,$U37)))=Milestones!$AB$49),UPPER(TEXT(EDATE($D37,Milestones!$AA$49),"dd mmm yy"))&amp;" "&amp;Milestones!$AB$49&amp;" "&amp;Milestones!$AC$49&amp;";  ","")&amp;IF(AND(EDATE($D37,Milestones!$AA$50)&lt;=AsOfDate,IF($R37=0,$X37,IF(AND($T37&lt;&gt;"",EDATE($D37,Milestones!$AA$50)&gt;=$T37),$W37,IF(AND($S37&lt;&gt;"",EDATE($D37,Milestones!$AA$50)&gt;=$S37),$V37,$U37)))=Milestones!$AB$50),UPPER(TEXT(EDATE($D37,Milestones!$AA$50),"dd mmm yy"))&amp;" "&amp;Milestones!$AB$50&amp;" "&amp;Milestones!$AC$50&amp;";  ","")&amp;IF(AND(EDATE($D37,Milestones!$AA$51)&lt;=AsOfDate,IF($R37=0,$X37,IF(AND($T37&lt;&gt;"",EDATE($D37,Milestones!$AA$51)&gt;=$T37),$W37,IF(AND($S37&lt;&gt;"",EDATE($D37,Milestones!$AA$51)&gt;=$S37),$V37,$U37)))=Milestones!$AB$51),UPPER(TEXT(EDATE($D37,Milestones!$AA$51),"dd mmm yy"))&amp;" "&amp;Milestones!$AB$51&amp;" "&amp;Milestones!$AC$51&amp;";  ","")&amp;IF(AND(EDATE($D37,Milestones!$AA$52)&lt;=AsOfDate,IF($R37=0,$X37,IF(AND($T37&lt;&gt;"",EDATE($D37,Milestones!$AA$52)&gt;=$T37),$W37,IF(AND($S37&lt;&gt;"",EDATE($D37,Milestones!$AA$52)&gt;=$S37),$V37,$U37)))=Milestones!$AB$52),UPPER(TEXT(EDATE($D37,Milestones!$AA$52),"dd mmm yy"))&amp;" "&amp;Milestones!$AB$52&amp;" "&amp;Milestones!$AC$52&amp;";  ","")&amp;IF(AND(EDATE($D37,Milestones!$AA$53)&lt;=AsOfDate,IF($R37=0,$X37,IF(AND($T37&lt;&gt;"",EDATE($D37,Milestones!$AA$53)&gt;=$T37),$W37,IF(AND($S37&lt;&gt;"",EDATE($D37,Milestones!$AA$53)&gt;=$S37),$V37,$U37)))=Milestones!$AB$53),UPPER(TEXT(EDATE($D37,Milestones!$AA$53),"dd mmm yy"))&amp;" "&amp;Milestones!$AB$53&amp;" "&amp;Milestones!$AC$53&amp;";  ","")&amp;IF(AND(EDATE($D37,Milestones!$AA$54)&lt;=AsOfDate,IF($R37=0,$X37,IF(AND($T37&lt;&gt;"",EDATE($D37,Milestones!$AA$54)&gt;=$T37),$W37,IF(AND($S37&lt;&gt;"",EDATE($D37,Milestones!$AA$54)&gt;=$S37),$V37,$U37)))=Milestones!$AB$54),UPPER(TEXT(EDATE($D37,Milestones!$AA$54),"dd mmm yy"))&amp;" "&amp;Milestones!$AB$54&amp;" "&amp;Milestones!$AC$54&amp;";  ","")&amp;IF(AND(EDATE($D37,Milestones!$AA$55)&lt;=AsOfDate,IF($R37=0,$X37,IF(AND($T37&lt;&gt;"",EDATE($D37,Milestones!$AA$55)&gt;=$T37),$W37,IF(AND($S37&lt;&gt;"",EDATE($D37,Milestones!$AA$55)&gt;=$S37),$V37,$U37)))=Milestones!$AB$55),UPPER(TEXT(EDATE($D37,Milestones!$AA$55),"dd mmm yy"))&amp;" "&amp;Milestones!$AB$55&amp;" "&amp;Milestones!$AC$55&amp;";  ","")&amp;IF(AND(EDATE($D37,Milestones!$AA$56)&lt;=AsOfDate,IF($R37=0,$X37,IF(AND($T37&lt;&gt;"",EDATE($D37,Milestones!$AA$56)&gt;=$T37),$W37,IF(AND($S37&lt;&gt;"",EDATE($D37,Milestones!$AA$56)&gt;=$S37),$V37,$U37)))=Milestones!$AB$56),UPPER(TEXT(EDATE($D37,Milestones!$AA$56),"dd mmm yy"))&amp;" "&amp;Milestones!$AB$56&amp;" "&amp;Milestones!$AC$56&amp;";  ","")&amp;IF(AND(EDATE($D37,Milestones!$AA$57)&lt;=AsOfDate,IF($R37=0,$X37,IF(AND($T37&lt;&gt;"",EDATE($D37,Milestones!$AA$57)&gt;=$T37),$W37,IF(AND($S37&lt;&gt;"",EDATE($D37,Milestones!$AA$57)&gt;=$S37),$V37,$U37)))=Milestones!$AB$57),UPPER(TEXT(EDATE($D37,Milestones!$AA$57),"dd mmm yy"))&amp;" "&amp;Milestones!$AB$57&amp;" "&amp;Milestones!$AC$57&amp;";  ","")&amp;IF(AND(EDATE($D37,Milestones!$AA$58)&lt;=AsOfDate,IF($R37=0,$X37,IF(AND($T37&lt;&gt;"",EDATE($D37,Milestones!$AA$58)&gt;=$T37),$W37,IF(AND($S37&lt;&gt;"",EDATE($D37,Milestones!$AA$58)&gt;=$S37),$V37,$U37)))=Milestones!$AB$58),UPPER(TEXT(EDATE($D37,Milestones!$AA$58),"dd mmm yy"))&amp;" "&amp;Milestones!$AB$58&amp;" "&amp;Milestones!$AC$58&amp;";  ","")&amp;IF(AND(EDATE($D37,Milestones!$AA$59)&lt;=AsOfDate,IF($R37=0,$X37,IF(AND($T37&lt;&gt;"",EDATE($D37,Milestones!$AA$59)&gt;=$T37),$W37,IF(AND($S37&lt;&gt;"",EDATE($D37,Milestones!$AA$59)&gt;=$S37),$V37,$U37)))=Milestones!$AB$59),UPPER(TEXT(EDATE($D37,Milestones!$AA$59),"dd mmm yy"))&amp;" "&amp;Milestones!$AB$59&amp;" "&amp;Milestones!$AC$59&amp;";  ",""))</f>
        <v/>
      </c>
      <c r="K37" s="0" t="str">
        <f aca="false">IF(OR($A37="",$D37=""),"",IF(AND(EDATE($D37,Milestones!$AA$60)&lt;=AsOfDate,IF($R37=0,$X37,IF(AND($T37&lt;&gt;"",EDATE($D37,Milestones!$AA$60)&gt;=$T37),$W37,IF(AND($S37&lt;&gt;"",EDATE($D37,Milestones!$AA$60)&gt;=$S37),$V37,$U37)))=Milestones!$AB$60),UPPER(TEXT(EDATE($D37,Milestones!$AA$60),"dd mmm yy"))&amp;" "&amp;Milestones!$AB$60&amp;" "&amp;Milestones!$AC$60&amp;";  ","")&amp;IF(AND(EDATE($D37,Milestones!$AA$61)&lt;=AsOfDate,IF($R37=0,$X37,IF(AND($T37&lt;&gt;"",EDATE($D37,Milestones!$AA$61)&gt;=$T37),$W37,IF(AND($S37&lt;&gt;"",EDATE($D37,Milestones!$AA$61)&gt;=$S37),$V37,$U37)))=Milestones!$AB$61),UPPER(TEXT(EDATE($D37,Milestones!$AA$61),"dd mmm yy"))&amp;" "&amp;Milestones!$AB$61&amp;" "&amp;Milestones!$AC$61&amp;";  ","")&amp;IF(AND(EDATE($D37,Milestones!$AA$62)&lt;=AsOfDate,IF($R37=0,$X37,IF(AND($T37&lt;&gt;"",EDATE($D37,Milestones!$AA$62)&gt;=$T37),$W37,IF(AND($S37&lt;&gt;"",EDATE($D37,Milestones!$AA$62)&gt;=$S37),$V37,$U37)))=Milestones!$AB$62),UPPER(TEXT(EDATE($D37,Milestones!$AA$62),"dd mmm yy"))&amp;" "&amp;Milestones!$AB$62&amp;" "&amp;Milestones!$AC$62&amp;";  ","")&amp;IF(AND(EDATE($D37,Milestones!$AA$63)&lt;=AsOfDate,IF($R37=0,$X37,IF(AND($T37&lt;&gt;"",EDATE($D37,Milestones!$AA$63)&gt;=$T37),$W37,IF(AND($S37&lt;&gt;"",EDATE($D37,Milestones!$AA$63)&gt;=$S37),$V37,$U37)))=Milestones!$AB$63),UPPER(TEXT(EDATE($D37,Milestones!$AA$63),"dd mmm yy"))&amp;" "&amp;Milestones!$AB$63&amp;" "&amp;Milestones!$AC$63&amp;";  ","")&amp;IF(AND(EDATE($D37,Milestones!$AA$64)&lt;=AsOfDate,IF($R37=0,$X37,IF(AND($T37&lt;&gt;"",EDATE($D37,Milestones!$AA$64)&gt;=$T37),$W37,IF(AND($S37&lt;&gt;"",EDATE($D37,Milestones!$AA$64)&gt;=$S37),$V37,$U37)))=Milestones!$AB$64),UPPER(TEXT(EDATE($D37,Milestones!$AA$64),"dd mmm yy"))&amp;" "&amp;Milestones!$AB$64&amp;" "&amp;Milestones!$AC$64&amp;";  ","")&amp;IF(AND(EDATE($D37,Milestones!$AA$65)&lt;=AsOfDate,IF($R37=0,$X37,IF(AND($T37&lt;&gt;"",EDATE($D37,Milestones!$AA$65)&gt;=$T37),$W37,IF(AND($S37&lt;&gt;"",EDATE($D37,Milestones!$AA$65)&gt;=$S37),$V37,$U37)))=Milestones!$AB$65),UPPER(TEXT(EDATE($D37,Milestones!$AA$65),"dd mmm yy"))&amp;" "&amp;Milestones!$AB$65&amp;" "&amp;Milestones!$AC$65&amp;";  ","")&amp;IF(AND(EDATE($D37,Milestones!$AA$66)&lt;=AsOfDate,IF($R37=0,$X37,IF(AND($T37&lt;&gt;"",EDATE($D37,Milestones!$AA$66)&gt;=$T37),$W37,IF(AND($S37&lt;&gt;"",EDATE($D37,Milestones!$AA$66)&gt;=$S37),$V37,$U37)))=Milestones!$AB$66),UPPER(TEXT(EDATE($D37,Milestones!$AA$66),"dd mmm yy"))&amp;" "&amp;Milestones!$AB$66&amp;" "&amp;Milestones!$AC$66&amp;";  ","")&amp;IF(AND(EDATE($D37,Milestones!$AA$67)&lt;=AsOfDate,IF($R37=0,$X37,IF(AND($T37&lt;&gt;"",EDATE($D37,Milestones!$AA$67)&gt;=$T37),$W37,IF(AND($S37&lt;&gt;"",EDATE($D37,Milestones!$AA$67)&gt;=$S37),$V37,$U37)))=Milestones!$AB$67),UPPER(TEXT(EDATE($D37,Milestones!$AA$67),"dd mmm yy"))&amp;" "&amp;Milestones!$AB$67&amp;" "&amp;Milestones!$AC$67&amp;";  ","")&amp;IF(AND(EDATE($D37,Milestones!$AA$68)&lt;=AsOfDate,IF($R37=0,$X37,IF(AND($T37&lt;&gt;"",EDATE($D37,Milestones!$AA$68)&gt;=$T37),$W37,IF(AND($S37&lt;&gt;"",EDATE($D37,Milestones!$AA$68)&gt;=$S37),$V37,$U37)))=Milestones!$AB$68),UPPER(TEXT(EDATE($D37,Milestones!$AA$68),"dd mmm yy"))&amp;" "&amp;Milestones!$AB$68&amp;" "&amp;Milestones!$AC$68&amp;";  ","")&amp;IF(AND(EDATE($D37,Milestones!$AA$69)&lt;=AsOfDate,IF($R37=0,$X37,IF(AND($T37&lt;&gt;"",EDATE($D37,Milestones!$AA$69)&gt;=$T37),$W37,IF(AND($S37&lt;&gt;"",EDATE($D37,Milestones!$AA$69)&gt;=$S37),$V37,$U37)))=Milestones!$AB$69),UPPER(TEXT(EDATE($D37,Milestones!$AA$69),"dd mmm yy"))&amp;" "&amp;Milestones!$AB$69&amp;" "&amp;Milestones!$AC$69&amp;";  ","")&amp;IF(AND(EDATE($D37,Milestones!$AA$70)&lt;=AsOfDate,IF($R37=0,$X37,IF(AND($T37&lt;&gt;"",EDATE($D37,Milestones!$AA$70)&gt;=$T37),$W37,IF(AND($S37&lt;&gt;"",EDATE($D37,Milestones!$AA$70)&gt;=$S37),$V37,$U37)))=Milestones!$AB$70),UPPER(TEXT(EDATE($D37,Milestones!$AA$70),"dd mmm yy"))&amp;" "&amp;Milestones!$AB$70&amp;" "&amp;Milestones!$AC$70&amp;";  ","")&amp;IF(AND(EDATE($D37,Milestones!$AA$71)&lt;=AsOfDate,IF($R37=0,$X37,IF(AND($T37&lt;&gt;"",EDATE($D37,Milestones!$AA$71)&gt;=$T37),$W37,IF(AND($S37&lt;&gt;"",EDATE($D37,Milestones!$AA$71)&gt;=$S37),$V37,$U37)))=Milestones!$AB$71),UPPER(TEXT(EDATE($D37,Milestones!$AA$71),"dd mmm yy"))&amp;" "&amp;Milestones!$AB$71&amp;" "&amp;Milestones!$AC$71&amp;";  ","")&amp;IF(AND(EDATE($D37,Milestones!$AA$72)&lt;=AsOfDate,IF($R37=0,$X37,IF(AND($T37&lt;&gt;"",EDATE($D37,Milestones!$AA$72)&gt;=$T37),$W37,IF(AND($S37&lt;&gt;"",EDATE($D37,Milestones!$AA$72)&gt;=$S37),$V37,$U37)))=Milestones!$AB$72),UPPER(TEXT(EDATE($D37,Milestones!$AA$72),"dd mmm yy"))&amp;" "&amp;Milestones!$AB$72&amp;" "&amp;Milestones!$AC$72&amp;";  ","")&amp;IF(AND(EDATE($D37,Milestones!$AA$73)&lt;=AsOfDate,IF($R37=0,$X37,IF(AND($T37&lt;&gt;"",EDATE($D37,Milestones!$AA$73)&gt;=$T37),$W37,IF(AND($S37&lt;&gt;"",EDATE($D37,Milestones!$AA$73)&gt;=$S37),$V37,$U37)))=Milestones!$AB$73),UPPER(TEXT(EDATE($D37,Milestones!$AA$73),"dd mmm yy"))&amp;" "&amp;Milestones!$AB$73&amp;" "&amp;Milestones!$AC$73&amp;";  ","")&amp;IF(AND(EDATE($D37,Milestones!$AA$74)&lt;=AsOfDate,IF($R37=0,$X37,IF(AND($T37&lt;&gt;"",EDATE($D37,Milestones!$AA$74)&gt;=$T37),$W37,IF(AND($S37&lt;&gt;"",EDATE($D37,Milestones!$AA$74)&gt;=$S37),$V37,$U37)))=Milestones!$AB$74),UPPER(TEXT(EDATE($D37,Milestones!$AA$74),"dd mmm yy"))&amp;" "&amp;Milestones!$AB$74&amp;" "&amp;Milestones!$AC$74&amp;";  ","")&amp;IF(AND(EDATE($D37,Milestones!$AA$75)&lt;=AsOfDate,IF($R37=0,$X37,IF(AND($T37&lt;&gt;"",EDATE($D37,Milestones!$AA$75)&gt;=$T37),$W37,IF(AND($S37&lt;&gt;"",EDATE($D37,Milestones!$AA$75)&gt;=$S37),$V37,$U37)))=Milestones!$AB$75),UPPER(TEXT(EDATE($D37,Milestones!$AA$75),"dd mmm yy"))&amp;" "&amp;Milestones!$AB$75&amp;" "&amp;Milestones!$AC$75&amp;";  ","")&amp;IF(AND(EDATE($D37,Milestones!$AA$76)&lt;=AsOfDate,IF($R37=0,$X37,IF(AND($T37&lt;&gt;"",EDATE($D37,Milestones!$AA$76)&gt;=$T37),$W37,IF(AND($S37&lt;&gt;"",EDATE($D37,Milestones!$AA$76)&gt;=$S37),$V37,$U37)))=Milestones!$AB$76),UPPER(TEXT(EDATE($D37,Milestones!$AA$76),"dd mmm yy"))&amp;" "&amp;Milestones!$AB$76&amp;" "&amp;Milestones!$AC$76&amp;";  ","")&amp;IF(AND(EDATE($D37,Milestones!$AA$77)&lt;=AsOfDate,IF($R37=0,$X37,IF(AND($T37&lt;&gt;"",EDATE($D37,Milestones!$AA$77)&gt;=$T37),$W37,IF(AND($S37&lt;&gt;"",EDATE($D37,Milestones!$AA$77)&gt;=$S37),$V37,$U37)))=Milestones!$AB$77),UPPER(TEXT(EDATE($D37,Milestones!$AA$77),"dd mmm yy"))&amp;" "&amp;Milestones!$AB$77&amp;" "&amp;Milestones!$AC$77&amp;";  ","")&amp;IF(AND(EDATE($D37,Milestones!$AA$78)&lt;=AsOfDate,IF($R37=0,$X37,IF(AND($T37&lt;&gt;"",EDATE($D37,Milestones!$AA$78)&gt;=$T37),$W37,IF(AND($S37&lt;&gt;"",EDATE($D37,Milestones!$AA$78)&gt;=$S37),$V37,$U37)))=Milestones!$AB$78),UPPER(TEXT(EDATE($D37,Milestones!$AA$78),"dd mmm yy"))&amp;" "&amp;Milestones!$AB$78&amp;" "&amp;Milestones!$AC$78&amp;";  ","")&amp;IF(AND(EDATE($D37,Milestones!$AA$79)&lt;=AsOfDate,IF($R37=0,$X37,IF(AND($T37&lt;&gt;"",EDATE($D37,Milestones!$AA$79)&gt;=$T37),$W37,IF(AND($S37&lt;&gt;"",EDATE($D37,Milestones!$AA$79)&gt;=$S37),$V37,$U37)))=Milestones!$AB$79),UPPER(TEXT(EDATE($D37,Milestones!$AA$79),"dd mmm yy"))&amp;" "&amp;Milestones!$AB$79&amp;" "&amp;Milestones!$AC$79&amp;";  ",""))</f>
        <v/>
      </c>
      <c r="L37" s="0" t="str">
        <f aca="false">IF(OR($A37="",$D37=""),"",IF(AND(EDATE($D37,Milestones!$AA$80)&lt;=AsOfDate,IF($R37=0,$X37,IF(AND($T37&lt;&gt;"",EDATE($D37,Milestones!$AA$80)&gt;=$T37),$W37,IF(AND($S37&lt;&gt;"",EDATE($D37,Milestones!$AA$80)&gt;=$S37),$V37,$U37)))=Milestones!$AB$80),UPPER(TEXT(EDATE($D37,Milestones!$AA$80),"dd mmm yy"))&amp;" "&amp;Milestones!$AB$80&amp;" "&amp;Milestones!$AC$80&amp;";  ","")&amp;IF(AND(EDATE($D37,Milestones!$AA$81)&lt;=AsOfDate,IF($R37=0,$X37,IF(AND($T37&lt;&gt;"",EDATE($D37,Milestones!$AA$81)&gt;=$T37),$W37,IF(AND($S37&lt;&gt;"",EDATE($D37,Milestones!$AA$81)&gt;=$S37),$V37,$U37)))=Milestones!$AB$81),UPPER(TEXT(EDATE($D37,Milestones!$AA$81),"dd mmm yy"))&amp;" "&amp;Milestones!$AB$81&amp;" "&amp;Milestones!$AC$81&amp;";  ","")&amp;IF(AND(EDATE($D37,Milestones!$AA$82)&lt;=AsOfDate,IF($R37=0,$X37,IF(AND($T37&lt;&gt;"",EDATE($D37,Milestones!$AA$82)&gt;=$T37),$W37,IF(AND($S37&lt;&gt;"",EDATE($D37,Milestones!$AA$82)&gt;=$S37),$V37,$U37)))=Milestones!$AB$82),UPPER(TEXT(EDATE($D37,Milestones!$AA$82),"dd mmm yy"))&amp;" "&amp;Milestones!$AB$82&amp;" "&amp;Milestones!$AC$82&amp;";  ","")&amp;IF(AND(EDATE($D37,Milestones!$AA$83)&lt;=AsOfDate,IF($R37=0,$X37,IF(AND($T37&lt;&gt;"",EDATE($D37,Milestones!$AA$83)&gt;=$T37),$W37,IF(AND($S37&lt;&gt;"",EDATE($D37,Milestones!$AA$83)&gt;=$S37),$V37,$U37)))=Milestones!$AB$83),UPPER(TEXT(EDATE($D37,Milestones!$AA$83),"dd mmm yy"))&amp;" "&amp;Milestones!$AB$83&amp;" "&amp;Milestones!$AC$83&amp;";  ","")&amp;IF(AND(EDATE($D37,Milestones!$AA$84)&lt;=AsOfDate,IF($R37=0,$X37,IF(AND($T37&lt;&gt;"",EDATE($D37,Milestones!$AA$84)&gt;=$T37),$W37,IF(AND($S37&lt;&gt;"",EDATE($D37,Milestones!$AA$84)&gt;=$S37),$V37,$U37)))=Milestones!$AB$84),UPPER(TEXT(EDATE($D37,Milestones!$AA$84),"dd mmm yy"))&amp;" "&amp;Milestones!$AB$84&amp;" "&amp;Milestones!$AC$84&amp;";  ","")&amp;IF(AND(EDATE($D37,Milestones!$AA$85)&lt;=AsOfDate,IF($R37=0,$X37,IF(AND($T37&lt;&gt;"",EDATE($D37,Milestones!$AA$85)&gt;=$T37),$W37,IF(AND($S37&lt;&gt;"",EDATE($D37,Milestones!$AA$85)&gt;=$S37),$V37,$U37)))=Milestones!$AB$85),UPPER(TEXT(EDATE($D37,Milestones!$AA$85),"dd mmm yy"))&amp;" "&amp;Milestones!$AB$85&amp;" "&amp;Milestones!$AC$85&amp;";  ","")&amp;IF(AND(EDATE($D37,Milestones!$AA$86)&lt;=AsOfDate,IF($R37=0,$X37,IF(AND($T37&lt;&gt;"",EDATE($D37,Milestones!$AA$86)&gt;=$T37),$W37,IF(AND($S37&lt;&gt;"",EDATE($D37,Milestones!$AA$86)&gt;=$S37),$V37,$U37)))=Milestones!$AB$86),UPPER(TEXT(EDATE($D37,Milestones!$AA$86),"dd mmm yy"))&amp;" "&amp;Milestones!$AB$86&amp;" "&amp;Milestones!$AC$86&amp;";  ","")&amp;IF(AND(EDATE($D37,Milestones!$AA$87)&lt;=AsOfDate,IF($R37=0,$X37,IF(AND($T37&lt;&gt;"",EDATE($D37,Milestones!$AA$87)&gt;=$T37),$W37,IF(AND($S37&lt;&gt;"",EDATE($D37,Milestones!$AA$87)&gt;=$S37),$V37,$U37)))=Milestones!$AB$87),UPPER(TEXT(EDATE($D37,Milestones!$AA$87),"dd mmm yy"))&amp;" "&amp;Milestones!$AB$87&amp;" "&amp;Milestones!$AC$87&amp;";  ","")&amp;IF(AND(EDATE($D37,Milestones!$AA$88)&lt;=AsOfDate,IF($R37=0,$X37,IF(AND($T37&lt;&gt;"",EDATE($D37,Milestones!$AA$88)&gt;=$T37),$W37,IF(AND($S37&lt;&gt;"",EDATE($D37,Milestones!$AA$88)&gt;=$S37),$V37,$U37)))=Milestones!$AB$88),UPPER(TEXT(EDATE($D37,Milestones!$AA$88),"dd mmm yy"))&amp;" "&amp;Milestones!$AB$88&amp;" "&amp;Milestones!$AC$88&amp;";  ","")&amp;IF(AND(EDATE($D37,Milestones!$AA$89)&lt;=AsOfDate,IF($R37=0,$X37,IF(AND($T37&lt;&gt;"",EDATE($D37,Milestones!$AA$89)&gt;=$T37),$W37,IF(AND($S37&lt;&gt;"",EDATE($D37,Milestones!$AA$89)&gt;=$S37),$V37,$U37)))=Milestones!$AB$89),UPPER(TEXT(EDATE($D37,Milestones!$AA$89),"dd mmm yy"))&amp;" "&amp;Milestones!$AB$89&amp;" "&amp;Milestones!$AC$89&amp;";  ","")&amp;IF(AND(EDATE($D37,Milestones!$AA$90)&lt;=AsOfDate,IF($R37=0,$X37,IF(AND($T37&lt;&gt;"",EDATE($D37,Milestones!$AA$90)&gt;=$T37),$W37,IF(AND($S37&lt;&gt;"",EDATE($D37,Milestones!$AA$90)&gt;=$S37),$V37,$U37)))=Milestones!$AB$90),UPPER(TEXT(EDATE($D37,Milestones!$AA$90),"dd mmm yy"))&amp;" "&amp;Milestones!$AB$90&amp;" "&amp;Milestones!$AC$90&amp;";  ","")&amp;IF(AND(EDATE($D37,Milestones!$AA$91)&lt;=AsOfDate,IF($R37=0,$X37,IF(AND($T37&lt;&gt;"",EDATE($D37,Milestones!$AA$91)&gt;=$T37),$W37,IF(AND($S37&lt;&gt;"",EDATE($D37,Milestones!$AA$91)&gt;=$S37),$V37,$U37)))=Milestones!$AB$91),UPPER(TEXT(EDATE($D37,Milestones!$AA$91),"dd mmm yy"))&amp;" "&amp;Milestones!$AB$91&amp;" "&amp;Milestones!$AC$91&amp;";  ","")&amp;IF(AND(EDATE($D37,Milestones!$AA$92)&lt;=AsOfDate,IF($R37=0,$X37,IF(AND($T37&lt;&gt;"",EDATE($D37,Milestones!$AA$92)&gt;=$T37),$W37,IF(AND($S37&lt;&gt;"",EDATE($D37,Milestones!$AA$92)&gt;=$S37),$V37,$U37)))=Milestones!$AB$92),UPPER(TEXT(EDATE($D37,Milestones!$AA$92),"dd mmm yy"))&amp;" "&amp;Milestones!$AB$92&amp;" "&amp;Milestones!$AC$92&amp;";  ","")&amp;IF(AND(EDATE($D37,Milestones!$AA$93)&lt;=AsOfDate,IF($R37=0,$X37,IF(AND($T37&lt;&gt;"",EDATE($D37,Milestones!$AA$93)&gt;=$T37),$W37,IF(AND($S37&lt;&gt;"",EDATE($D37,Milestones!$AA$93)&gt;=$S37),$V37,$U37)))=Milestones!$AB$93),UPPER(TEXT(EDATE($D37,Milestones!$AA$93),"dd mmm yy"))&amp;" "&amp;Milestones!$AB$93&amp;" "&amp;Milestones!$AC$93&amp;";  ","")&amp;IF(AND(EDATE($D37,Milestones!$AA$94)&lt;=AsOfDate,IF($R37=0,$X37,IF(AND($T37&lt;&gt;"",EDATE($D37,Milestones!$AA$94)&gt;=$T37),$W37,IF(AND($S37&lt;&gt;"",EDATE($D37,Milestones!$AA$94)&gt;=$S37),$V37,$U37)))=Milestones!$AB$94),UPPER(TEXT(EDATE($D37,Milestones!$AA$94),"dd mmm yy"))&amp;" "&amp;Milestones!$AB$94&amp;" "&amp;Milestones!$AC$94&amp;";  ","")&amp;IF(AND(EDATE($D37,Milestones!$AA$95)&lt;=AsOfDate,IF($R37=0,$X37,IF(AND($T37&lt;&gt;"",EDATE($D37,Milestones!$AA$95)&gt;=$T37),$W37,IF(AND($S37&lt;&gt;"",EDATE($D37,Milestones!$AA$95)&gt;=$S37),$V37,$U37)))=Milestones!$AB$95),UPPER(TEXT(EDATE($D37,Milestones!$AA$95),"dd mmm yy"))&amp;" "&amp;Milestones!$AB$95&amp;" "&amp;Milestones!$AC$95&amp;";  ","")&amp;IF(AND(EDATE($D37,Milestones!$AA$96)&lt;=AsOfDate,IF($R37=0,$X37,IF(AND($T37&lt;&gt;"",EDATE($D37,Milestones!$AA$96)&gt;=$T37),$W37,IF(AND($S37&lt;&gt;"",EDATE($D37,Milestones!$AA$96)&gt;=$S37),$V37,$U37)))=Milestones!$AB$96),UPPER(TEXT(EDATE($D37,Milestones!$AA$96),"dd mmm yy"))&amp;" "&amp;Milestones!$AB$96&amp;" "&amp;Milestones!$AC$96&amp;";  ","")&amp;IF(AND(EDATE($D37,Milestones!$AA$97)&lt;=AsOfDate,IF($R37=0,$X37,IF(AND($T37&lt;&gt;"",EDATE($D37,Milestones!$AA$97)&gt;=$T37),$W37,IF(AND($S37&lt;&gt;"",EDATE($D37,Milestones!$AA$97)&gt;=$S37),$V37,$U37)))=Milestones!$AB$97),UPPER(TEXT(EDATE($D37,Milestones!$AA$97),"dd mmm yy"))&amp;" "&amp;Milestones!$AB$97&amp;" "&amp;Milestones!$AC$97&amp;";  ","")&amp;IF(AND(EDATE($D37,Milestones!$AA$98)&lt;=AsOfDate,IF($R37=0,$X37,IF(AND($T37&lt;&gt;"",EDATE($D37,Milestones!$AA$98)&gt;=$T37),$W37,IF(AND($S37&lt;&gt;"",EDATE($D37,Milestones!$AA$98)&gt;=$S37),$V37,$U37)))=Milestones!$AB$98),UPPER(TEXT(EDATE($D37,Milestones!$AA$98),"dd mmm yy"))&amp;" "&amp;Milestones!$AB$98&amp;" "&amp;Milestones!$AC$98&amp;";  ","")&amp;IF(AND(EDATE($D37,Milestones!$AA$99)&lt;=AsOfDate,IF($R37=0,$X37,IF(AND($T37&lt;&gt;"",EDATE($D37,Milestones!$AA$99)&gt;=$T37),$W37,IF(AND($S37&lt;&gt;"",EDATE($D37,Milestones!$AA$99)&gt;=$S37),$V37,$U37)))=Milestones!$AB$99),UPPER(TEXT(EDATE($D37,Milestones!$AA$99),"dd mmm yy"))&amp;" "&amp;Milestones!$AB$99&amp;" "&amp;Milestones!$AC$99&amp;";  ",""))</f>
        <v/>
      </c>
      <c r="M37" s="0" t="str">
        <f aca="false">IF(OR($A37="",$D37=""),"",IF(AND(EDATE($D37,Milestones!$AA$100)&lt;=AsOfDate,IF($R37=0,$X37,IF(AND($T37&lt;&gt;"",EDATE($D37,Milestones!$AA$100)&gt;=$T37),$W37,IF(AND($S37&lt;&gt;"",EDATE($D37,Milestones!$AA$100)&gt;=$S37),$V37,$U37)))=Milestones!$AB$100),UPPER(TEXT(EDATE($D37,Milestones!$AA$100),"dd mmm yy"))&amp;" "&amp;Milestones!$AB$100&amp;" "&amp;Milestones!$AC$100&amp;";  ","")&amp;IF(AND(EDATE($D37,Milestones!$AA$101)&lt;=AsOfDate,IF($R37=0,$X37,IF(AND($T37&lt;&gt;"",EDATE($D37,Milestones!$AA$101)&gt;=$T37),$W37,IF(AND($S37&lt;&gt;"",EDATE($D37,Milestones!$AA$101)&gt;=$S37),$V37,$U37)))=Milestones!$AB$101),UPPER(TEXT(EDATE($D37,Milestones!$AA$101),"dd mmm yy"))&amp;" "&amp;Milestones!$AB$101&amp;" "&amp;Milestones!$AC$101&amp;";  ","")&amp;IF(AND(EDATE($D37,Milestones!$AA$102)&lt;=AsOfDate,IF($R37=0,$X37,IF(AND($T37&lt;&gt;"",EDATE($D37,Milestones!$AA$102)&gt;=$T37),$W37,IF(AND($S37&lt;&gt;"",EDATE($D37,Milestones!$AA$102)&gt;=$S37),$V37,$U37)))=Milestones!$AB$102),UPPER(TEXT(EDATE($D37,Milestones!$AA$102),"dd mmm yy"))&amp;" "&amp;Milestones!$AB$102&amp;" "&amp;Milestones!$AC$102&amp;";  ","")&amp;IF(AND(EDATE($D37,Milestones!$AA$103)&lt;=AsOfDate,IF($R37=0,$X37,IF(AND($T37&lt;&gt;"",EDATE($D37,Milestones!$AA$103)&gt;=$T37),$W37,IF(AND($S37&lt;&gt;"",EDATE($D37,Milestones!$AA$103)&gt;=$S37),$V37,$U37)))=Milestones!$AB$103),UPPER(TEXT(EDATE($D37,Milestones!$AA$103),"dd mmm yy"))&amp;" "&amp;Milestones!$AB$103&amp;" "&amp;Milestones!$AC$103&amp;";  ","")&amp;IF(AND(EDATE($D37,Milestones!$AA$104)&lt;=AsOfDate,IF($R37=0,$X37,IF(AND($T37&lt;&gt;"",EDATE($D37,Milestones!$AA$104)&gt;=$T37),$W37,IF(AND($S37&lt;&gt;"",EDATE($D37,Milestones!$AA$104)&gt;=$S37),$V37,$U37)))=Milestones!$AB$104),UPPER(TEXT(EDATE($D37,Milestones!$AA$104),"dd mmm yy"))&amp;" "&amp;Milestones!$AB$104&amp;" "&amp;Milestones!$AC$104&amp;";  ","")&amp;IF(AND(EDATE($D37,Milestones!$AA$105)&lt;=AsOfDate,IF($R37=0,$X37,IF(AND($T37&lt;&gt;"",EDATE($D37,Milestones!$AA$105)&gt;=$T37),$W37,IF(AND($S37&lt;&gt;"",EDATE($D37,Milestones!$AA$105)&gt;=$S37),$V37,$U37)))=Milestones!$AB$105),UPPER(TEXT(EDATE($D37,Milestones!$AA$105),"dd mmm yy"))&amp;" "&amp;Milestones!$AB$105&amp;" "&amp;Milestones!$AC$105&amp;";  ","")&amp;IF(AND(EDATE($D37,Milestones!$AA$106)&lt;=AsOfDate,IF($R37=0,$X37,IF(AND($T37&lt;&gt;"",EDATE($D37,Milestones!$AA$106)&gt;=$T37),$W37,IF(AND($S37&lt;&gt;"",EDATE($D37,Milestones!$AA$106)&gt;=$S37),$V37,$U37)))=Milestones!$AB$106),UPPER(TEXT(EDATE($D37,Milestones!$AA$106),"dd mmm yy"))&amp;" "&amp;Milestones!$AB$106&amp;" "&amp;Milestones!$AC$106&amp;";  ","")&amp;IF(AND(EDATE($D37,Milestones!$AA$107)&lt;=AsOfDate,IF($R37=0,$X37,IF(AND($T37&lt;&gt;"",EDATE($D37,Milestones!$AA$107)&gt;=$T37),$W37,IF(AND($S37&lt;&gt;"",EDATE($D37,Milestones!$AA$107)&gt;=$S37),$V37,$U37)))=Milestones!$AB$107),UPPER(TEXT(EDATE($D37,Milestones!$AA$107),"dd mmm yy"))&amp;" "&amp;Milestones!$AB$107&amp;" "&amp;Milestones!$AC$107&amp;";  ","")&amp;IF(AND(EDATE($D37,Milestones!$AA$108)&lt;=AsOfDate,IF($R37=0,$X37,IF(AND($T37&lt;&gt;"",EDATE($D37,Milestones!$AA$108)&gt;=$T37),$W37,IF(AND($S37&lt;&gt;"",EDATE($D37,Milestones!$AA$108)&gt;=$S37),$V37,$U37)))=Milestones!$AB$108),UPPER(TEXT(EDATE($D37,Milestones!$AA$108),"dd mmm yy"))&amp;" "&amp;Milestones!$AB$108&amp;" "&amp;Milestones!$AC$108&amp;";  ","")&amp;IF(AND(EDATE($D37,Milestones!$AA$109)&lt;=AsOfDate,IF($R37=0,$X37,IF(AND($T37&lt;&gt;"",EDATE($D37,Milestones!$AA$109)&gt;=$T37),$W37,IF(AND($S37&lt;&gt;"",EDATE($D37,Milestones!$AA$109)&gt;=$S37),$V37,$U37)))=Milestones!$AB$109),UPPER(TEXT(EDATE($D37,Milestones!$AA$109),"dd mmm yy"))&amp;" "&amp;Milestones!$AB$109&amp;" "&amp;Milestones!$AC$109&amp;";  ","")&amp;IF(AND(EDATE($D37,Milestones!$AA$110)&lt;=AsOfDate,IF($R37=0,$X37,IF(AND($T37&lt;&gt;"",EDATE($D37,Milestones!$AA$110)&gt;=$T37),$W37,IF(AND($S37&lt;&gt;"",EDATE($D37,Milestones!$AA$110)&gt;=$S37),$V37,$U37)))=Milestones!$AB$110),UPPER(TEXT(EDATE($D37,Milestones!$AA$110),"dd mmm yy"))&amp;" "&amp;Milestones!$AB$110&amp;" "&amp;Milestones!$AC$110&amp;";  ","")&amp;IF(AND(EDATE($D37,Milestones!$AA$111)&lt;=AsOfDate,IF($R37=0,$X37,IF(AND($T37&lt;&gt;"",EDATE($D37,Milestones!$AA$111)&gt;=$T37),$W37,IF(AND($S37&lt;&gt;"",EDATE($D37,Milestones!$AA$111)&gt;=$S37),$V37,$U37)))=Milestones!$AB$111),UPPER(TEXT(EDATE($D37,Milestones!$AA$111),"dd mmm yy"))&amp;" "&amp;Milestones!$AB$111&amp;" "&amp;Milestones!$AC$111&amp;";  ","")&amp;IF(AND(EDATE($D37,Milestones!$AA$112)&lt;=AsOfDate,IF($R37=0,$X37,IF(AND($T37&lt;&gt;"",EDATE($D37,Milestones!$AA$112)&gt;=$T37),$W37,IF(AND($S37&lt;&gt;"",EDATE($D37,Milestones!$AA$112)&gt;=$S37),$V37,$U37)))=Milestones!$AB$112),UPPER(TEXT(EDATE($D37,Milestones!$AA$112),"dd mmm yy"))&amp;" "&amp;Milestones!$AB$112&amp;" "&amp;Milestones!$AC$112&amp;";  ","")&amp;IF(AND(EDATE($D37,Milestones!$AA$113)&lt;=AsOfDate,IF($R37=0,$X37,IF(AND($T37&lt;&gt;"",EDATE($D37,Milestones!$AA$113)&gt;=$T37),$W37,IF(AND($S37&lt;&gt;"",EDATE($D37,Milestones!$AA$113)&gt;=$S37),$V37,$U37)))=Milestones!$AB$113),UPPER(TEXT(EDATE($D37,Milestones!$AA$113),"dd mmm yy"))&amp;" "&amp;Milestones!$AB$113&amp;" "&amp;Milestones!$AC$113&amp;";  ","")&amp;IF(AND(EDATE($D37,Milestones!$AA$114)&lt;=AsOfDate,IF($R37=0,$X37,IF(AND($T37&lt;&gt;"",EDATE($D37,Milestones!$AA$114)&gt;=$T37),$W37,IF(AND($S37&lt;&gt;"",EDATE($D37,Milestones!$AA$114)&gt;=$S37),$V37,$U37)))=Milestones!$AB$114),UPPER(TEXT(EDATE($D37,Milestones!$AA$114),"dd mmm yy"))&amp;" "&amp;Milestones!$AB$114&amp;" "&amp;Milestones!$AC$114&amp;";  ","")&amp;IF(AND(EDATE($D37,Milestones!$AA$115)&lt;=AsOfDate,IF($R37=0,$X37,IF(AND($T37&lt;&gt;"",EDATE($D37,Milestones!$AA$115)&gt;=$T37),$W37,IF(AND($S37&lt;&gt;"",EDATE($D37,Milestones!$AA$115)&gt;=$S37),$V37,$U37)))=Milestones!$AB$115),UPPER(TEXT(EDATE($D37,Milestones!$AA$115),"dd mmm yy"))&amp;" "&amp;Milestones!$AB$115&amp;" "&amp;Milestones!$AC$115&amp;";  ","")&amp;IF(AND(EDATE($D37,Milestones!$AA$116)&lt;=AsOfDate,IF($R37=0,$X37,IF(AND($T37&lt;&gt;"",EDATE($D37,Milestones!$AA$116)&gt;=$T37),$W37,IF(AND($S37&lt;&gt;"",EDATE($D37,Milestones!$AA$116)&gt;=$S37),$V37,$U37)))=Milestones!$AB$116),UPPER(TEXT(EDATE($D37,Milestones!$AA$116),"dd mmm yy"))&amp;" "&amp;Milestones!$AB$116&amp;" "&amp;Milestones!$AC$116&amp;";  ","")&amp;IF(AND(EDATE($D37,Milestones!$AA$117)&lt;=AsOfDate,IF($R37=0,$X37,IF(AND($T37&lt;&gt;"",EDATE($D37,Milestones!$AA$117)&gt;=$T37),$W37,IF(AND($S37&lt;&gt;"",EDATE($D37,Milestones!$AA$117)&gt;=$S37),$V37,$U37)))=Milestones!$AB$117),UPPER(TEXT(EDATE($D37,Milestones!$AA$117),"dd mmm yy"))&amp;" "&amp;Milestones!$AB$117&amp;" "&amp;Milestones!$AC$117&amp;";  ","")&amp;IF(AND(EDATE($D37,Milestones!$AA$118)&lt;=AsOfDate,IF($R37=0,$X37,IF(AND($T37&lt;&gt;"",EDATE($D37,Milestones!$AA$118)&gt;=$T37),$W37,IF(AND($S37&lt;&gt;"",EDATE($D37,Milestones!$AA$118)&gt;=$S37),$V37,$U37)))=Milestones!$AB$118),UPPER(TEXT(EDATE($D37,Milestones!$AA$118),"dd mmm yy"))&amp;" "&amp;Milestones!$AB$118&amp;" "&amp;Milestones!$AC$118&amp;";  ","")&amp;IF(AND(EDATE($D37,Milestones!$AA$119)&lt;=AsOfDate,IF($R37=0,$X37,IF(AND($T37&lt;&gt;"",EDATE($D37,Milestones!$AA$119)&gt;=$T37),$W37,IF(AND($S37&lt;&gt;"",EDATE($D37,Milestones!$AA$119)&gt;=$S37),$V37,$U37)))=Milestones!$AB$119),UPPER(TEXT(EDATE($D37,Milestones!$AA$119),"dd mmm yy"))&amp;" "&amp;Milestones!$AB$119&amp;" "&amp;Milestones!$AC$119&amp;";  ",""))</f>
        <v/>
      </c>
      <c r="N37" s="0" t="str">
        <f aca="false">IF(OR($A37="",$D37=""),"",IF(AND(EDATE($D37,Milestones!$AA$120)&lt;=AsOfDate,IF($R37=0,$X37,IF(AND($T37&lt;&gt;"",EDATE($D37,Milestones!$AA$120)&gt;=$T37),$W37,IF(AND($S37&lt;&gt;"",EDATE($D37,Milestones!$AA$120)&gt;=$S37),$V37,$U37)))=Milestones!$AB$120),UPPER(TEXT(EDATE($D37,Milestones!$AA$120),"dd mmm yy"))&amp;" "&amp;Milestones!$AB$120&amp;" "&amp;Milestones!$AC$120&amp;";  ","")&amp;IF(AND(EDATE($D37,Milestones!$AA$121)&lt;=AsOfDate,IF($R37=0,$X37,IF(AND($T37&lt;&gt;"",EDATE($D37,Milestones!$AA$121)&gt;=$T37),$W37,IF(AND($S37&lt;&gt;"",EDATE($D37,Milestones!$AA$121)&gt;=$S37),$V37,$U37)))=Milestones!$AB$121),UPPER(TEXT(EDATE($D37,Milestones!$AA$121),"dd mmm yy"))&amp;" "&amp;Milestones!$AB$121&amp;" "&amp;Milestones!$AC$121&amp;";  ","")&amp;IF(AND(EDATE($D37,Milestones!$AA$122)&lt;=AsOfDate,IF($R37=0,$X37,IF(AND($T37&lt;&gt;"",EDATE($D37,Milestones!$AA$122)&gt;=$T37),$W37,IF(AND($S37&lt;&gt;"",EDATE($D37,Milestones!$AA$122)&gt;=$S37),$V37,$U37)))=Milestones!$AB$122),UPPER(TEXT(EDATE($D37,Milestones!$AA$122),"dd mmm yy"))&amp;" "&amp;Milestones!$AB$122&amp;" "&amp;Milestones!$AC$122&amp;";  ","")&amp;IF(AND(EDATE($D37,Milestones!$AA$123)&lt;=AsOfDate,IF($R37=0,$X37,IF(AND($T37&lt;&gt;"",EDATE($D37,Milestones!$AA$123)&gt;=$T37),$W37,IF(AND($S37&lt;&gt;"",EDATE($D37,Milestones!$AA$123)&gt;=$S37),$V37,$U37)))=Milestones!$AB$123),UPPER(TEXT(EDATE($D37,Milestones!$AA$123),"dd mmm yy"))&amp;" "&amp;Milestones!$AB$123&amp;" "&amp;Milestones!$AC$123&amp;";  ","")&amp;IF(AND(EDATE($D37,Milestones!$AA$124)&lt;=AsOfDate,IF($R37=0,$X37,IF(AND($T37&lt;&gt;"",EDATE($D37,Milestones!$AA$124)&gt;=$T37),$W37,IF(AND($S37&lt;&gt;"",EDATE($D37,Milestones!$AA$124)&gt;=$S37),$V37,$U37)))=Milestones!$AB$124),UPPER(TEXT(EDATE($D37,Milestones!$AA$124),"dd mmm yy"))&amp;" "&amp;Milestones!$AB$124&amp;" "&amp;Milestones!$AC$124&amp;";  ","")&amp;IF(AND(EDATE($D37,Milestones!$AA$125)&lt;=AsOfDate,IF($R37=0,$X37,IF(AND($T37&lt;&gt;"",EDATE($D37,Milestones!$AA$125)&gt;=$T37),$W37,IF(AND($S37&lt;&gt;"",EDATE($D37,Milestones!$AA$125)&gt;=$S37),$V37,$U37)))=Milestones!$AB$125),UPPER(TEXT(EDATE($D37,Milestones!$AA$125),"dd mmm yy"))&amp;" "&amp;Milestones!$AB$125&amp;" "&amp;Milestones!$AC$125&amp;";  ","")&amp;IF(AND(EDATE($D37,Milestones!$AA$126)&lt;=AsOfDate,IF($R37=0,$X37,IF(AND($T37&lt;&gt;"",EDATE($D37,Milestones!$AA$126)&gt;=$T37),$W37,IF(AND($S37&lt;&gt;"",EDATE($D37,Milestones!$AA$126)&gt;=$S37),$V37,$U37)))=Milestones!$AB$126),UPPER(TEXT(EDATE($D37,Milestones!$AA$126),"dd mmm yy"))&amp;" "&amp;Milestones!$AB$126&amp;" "&amp;Milestones!$AC$126&amp;";  ","")&amp;IF(AND(EDATE($D37,Milestones!$AA$127)&lt;=AsOfDate,IF($R37=0,$X37,IF(AND($T37&lt;&gt;"",EDATE($D37,Milestones!$AA$127)&gt;=$T37),$W37,IF(AND($S37&lt;&gt;"",EDATE($D37,Milestones!$AA$127)&gt;=$S37),$V37,$U37)))=Milestones!$AB$127),UPPER(TEXT(EDATE($D37,Milestones!$AA$127),"dd mmm yy"))&amp;" "&amp;Milestones!$AB$127&amp;" "&amp;Milestones!$AC$127&amp;";  ","")&amp;IF(AND(EDATE($D37,Milestones!$AA$128)&lt;=AsOfDate,IF($R37=0,$X37,IF(AND($T37&lt;&gt;"",EDATE($D37,Milestones!$AA$128)&gt;=$T37),$W37,IF(AND($S37&lt;&gt;"",EDATE($D37,Milestones!$AA$128)&gt;=$S37),$V37,$U37)))=Milestones!$AB$128),UPPER(TEXT(EDATE($D37,Milestones!$AA$128),"dd mmm yy"))&amp;" "&amp;Milestones!$AB$128&amp;" "&amp;Milestones!$AC$128&amp;";  ","")&amp;IF(AND(EDATE($D37,Milestones!$AA$129)&lt;=AsOfDate,IF($R37=0,$X37,IF(AND($T37&lt;&gt;"",EDATE($D37,Milestones!$AA$129)&gt;=$T37),$W37,IF(AND($S37&lt;&gt;"",EDATE($D37,Milestones!$AA$129)&gt;=$S37),$V37,$U37)))=Milestones!$AB$129),UPPER(TEXT(EDATE($D37,Milestones!$AA$129),"dd mmm yy"))&amp;" "&amp;Milestones!$AB$129&amp;" "&amp;Milestones!$AC$129&amp;";  ","")&amp;IF(AND(EDATE($D37,Milestones!$AA$130)&lt;=AsOfDate,IF($R37=0,$X37,IF(AND($T37&lt;&gt;"",EDATE($D37,Milestones!$AA$130)&gt;=$T37),$W37,IF(AND($S37&lt;&gt;"",EDATE($D37,Milestones!$AA$130)&gt;=$S37),$V37,$U37)))=Milestones!$AB$130),UPPER(TEXT(EDATE($D37,Milestones!$AA$130),"dd mmm yy"))&amp;" "&amp;Milestones!$AB$130&amp;" "&amp;Milestones!$AC$130&amp;";  ","")&amp;IF(AND(EDATE($D37,Milestones!$AA$131)&lt;=AsOfDate,IF($R37=0,$X37,IF(AND($T37&lt;&gt;"",EDATE($D37,Milestones!$AA$131)&gt;=$T37),$W37,IF(AND($S37&lt;&gt;"",EDATE($D37,Milestones!$AA$131)&gt;=$S37),$V37,$U37)))=Milestones!$AB$131),UPPER(TEXT(EDATE($D37,Milestones!$AA$131),"dd mmm yy"))&amp;" "&amp;Milestones!$AB$131&amp;" "&amp;Milestones!$AC$131&amp;";  ","")&amp;IF(AND(EDATE($D37,Milestones!$AA$132)&lt;=AsOfDate,IF($R37=0,$X37,IF(AND($T37&lt;&gt;"",EDATE($D37,Milestones!$AA$132)&gt;=$T37),$W37,IF(AND($S37&lt;&gt;"",EDATE($D37,Milestones!$AA$132)&gt;=$S37),$V37,$U37)))=Milestones!$AB$132),UPPER(TEXT(EDATE($D37,Milestones!$AA$132),"dd mmm yy"))&amp;" "&amp;Milestones!$AB$132&amp;" "&amp;Milestones!$AC$132&amp;";  ","")&amp;IF(AND(EDATE($D37,Milestones!$AA$133)&lt;=AsOfDate,IF($R37=0,$X37,IF(AND($T37&lt;&gt;"",EDATE($D37,Milestones!$AA$133)&gt;=$T37),$W37,IF(AND($S37&lt;&gt;"",EDATE($D37,Milestones!$AA$133)&gt;=$S37),$V37,$U37)))=Milestones!$AB$133),UPPER(TEXT(EDATE($D37,Milestones!$AA$133),"dd mmm yy"))&amp;" "&amp;Milestones!$AB$133&amp;" "&amp;Milestones!$AC$133&amp;";  ","")&amp;IF(AND(EDATE($D37,Milestones!$AA$134)&lt;=AsOfDate,IF($R37=0,$X37,IF(AND($T37&lt;&gt;"",EDATE($D37,Milestones!$AA$134)&gt;=$T37),$W37,IF(AND($S37&lt;&gt;"",EDATE($D37,Milestones!$AA$134)&gt;=$S37),$V37,$U37)))=Milestones!$AB$134),UPPER(TEXT(EDATE($D37,Milestones!$AA$134),"dd mmm yy"))&amp;" "&amp;Milestones!$AB$134&amp;" "&amp;Milestones!$AC$134&amp;";  ","")&amp;IF(AND(EDATE($D37,Milestones!$AA$135)&lt;=AsOfDate,IF($R37=0,$X37,IF(AND($T37&lt;&gt;"",EDATE($D37,Milestones!$AA$135)&gt;=$T37),$W37,IF(AND($S37&lt;&gt;"",EDATE($D37,Milestones!$AA$135)&gt;=$S37),$V37,$U37)))=Milestones!$AB$135),UPPER(TEXT(EDATE($D37,Milestones!$AA$135),"dd mmm yy"))&amp;" "&amp;Milestones!$AB$135&amp;" "&amp;Milestones!$AC$135&amp;";  ","")&amp;IF(AND(EDATE($D37,Milestones!$AA$136)&lt;=AsOfDate,IF($R37=0,$X37,IF(AND($T37&lt;&gt;"",EDATE($D37,Milestones!$AA$136)&gt;=$T37),$W37,IF(AND($S37&lt;&gt;"",EDATE($D37,Milestones!$AA$136)&gt;=$S37),$V37,$U37)))=Milestones!$AB$136),UPPER(TEXT(EDATE($D37,Milestones!$AA$136),"dd mmm yy"))&amp;" "&amp;Milestones!$AB$136&amp;" "&amp;Milestones!$AC$136&amp;";  ","")&amp;IF(AND(EDATE($D37,Milestones!$AA$137)&lt;=AsOfDate,IF($R37=0,$X37,IF(AND($T37&lt;&gt;"",EDATE($D37,Milestones!$AA$137)&gt;=$T37),$W37,IF(AND($S37&lt;&gt;"",EDATE($D37,Milestones!$AA$137)&gt;=$S37),$V37,$U37)))=Milestones!$AB$137),UPPER(TEXT(EDATE($D37,Milestones!$AA$137),"dd mmm yy"))&amp;" "&amp;Milestones!$AB$137&amp;" "&amp;Milestones!$AC$137&amp;";  ","")&amp;IF(AND(EDATE($D37,Milestones!$AA$138)&lt;=AsOfDate,IF($R37=0,$X37,IF(AND($T37&lt;&gt;"",EDATE($D37,Milestones!$AA$138)&gt;=$T37),$W37,IF(AND($S37&lt;&gt;"",EDATE($D37,Milestones!$AA$138)&gt;=$S37),$V37,$U37)))=Milestones!$AB$138),UPPER(TEXT(EDATE($D37,Milestones!$AA$138),"dd mmm yy"))&amp;" "&amp;Milestones!$AB$138&amp;" "&amp;Milestones!$AC$138&amp;";  ","")&amp;IF(AND(EDATE($D37,Milestones!$AA$139)&lt;=AsOfDate,IF($R37=0,$X37,IF(AND($T37&lt;&gt;"",EDATE($D37,Milestones!$AA$139)&gt;=$T37),$W37,IF(AND($S37&lt;&gt;"",EDATE($D37,Milestones!$AA$139)&gt;=$S37),$V37,$U37)))=Milestones!$AB$139),UPPER(TEXT(EDATE($D37,Milestones!$AA$139),"dd mmm yy"))&amp;" "&amp;Milestones!$AB$139&amp;" "&amp;Milestones!$AC$139&amp;";  ",""))</f>
        <v/>
      </c>
      <c r="O37" s="0" t="str">
        <f aca="false">IF(OR($A37="",$D37=""),"",IF(AND(EDATE($D37,Milestones!$AA$140)&lt;=AsOfDate,IF($R37=0,$X37,IF(AND($T37&lt;&gt;"",EDATE($D37,Milestones!$AA$140)&gt;=$T37),$W37,IF(AND($S37&lt;&gt;"",EDATE($D37,Milestones!$AA$140)&gt;=$S37),$V37,$U37)))=Milestones!$AB$140),UPPER(TEXT(EDATE($D37,Milestones!$AA$140),"dd mmm yy"))&amp;" "&amp;Milestones!$AB$140&amp;" "&amp;Milestones!$AC$140&amp;";  ","")&amp;IF(AND(EDATE($D37,Milestones!$AA$141)&lt;=AsOfDate,IF($R37=0,$X37,IF(AND($T37&lt;&gt;"",EDATE($D37,Milestones!$AA$141)&gt;=$T37),$W37,IF(AND($S37&lt;&gt;"",EDATE($D37,Milestones!$AA$141)&gt;=$S37),$V37,$U37)))=Milestones!$AB$141),UPPER(TEXT(EDATE($D37,Milestones!$AA$141),"dd mmm yy"))&amp;" "&amp;Milestones!$AB$141&amp;" "&amp;Milestones!$AC$141&amp;";  ","")&amp;IF(AND(EDATE($D37,Milestones!$AA$142)&lt;=AsOfDate,IF($R37=0,$X37,IF(AND($T37&lt;&gt;"",EDATE($D37,Milestones!$AA$142)&gt;=$T37),$W37,IF(AND($S37&lt;&gt;"",EDATE($D37,Milestones!$AA$142)&gt;=$S37),$V37,$U37)))=Milestones!$AB$142),UPPER(TEXT(EDATE($D37,Milestones!$AA$142),"dd mmm yy"))&amp;" "&amp;Milestones!$AB$142&amp;" "&amp;Milestones!$AC$142&amp;";  ","")&amp;IF(AND(EDATE($D37,Milestones!$AA$143)&lt;=AsOfDate,IF($R37=0,$X37,IF(AND($T37&lt;&gt;"",EDATE($D37,Milestones!$AA$143)&gt;=$T37),$W37,IF(AND($S37&lt;&gt;"",EDATE($D37,Milestones!$AA$143)&gt;=$S37),$V37,$U37)))=Milestones!$AB$143),UPPER(TEXT(EDATE($D37,Milestones!$AA$143),"dd mmm yy"))&amp;" "&amp;Milestones!$AB$143&amp;" "&amp;Milestones!$AC$143&amp;";  ","")&amp;IF(AND(EDATE($D37,Milestones!$AA$144)&lt;=AsOfDate,IF($R37=0,$X37,IF(AND($T37&lt;&gt;"",EDATE($D37,Milestones!$AA$144)&gt;=$T37),$W37,IF(AND($S37&lt;&gt;"",EDATE($D37,Milestones!$AA$144)&gt;=$S37),$V37,$U37)))=Milestones!$AB$144),UPPER(TEXT(EDATE($D37,Milestones!$AA$144),"dd mmm yy"))&amp;" "&amp;Milestones!$AB$144&amp;" "&amp;Milestones!$AC$144&amp;";  ","")&amp;IF(AND(EDATE($D37,Milestones!$AA$145)&lt;=AsOfDate,IF($R37=0,$X37,IF(AND($T37&lt;&gt;"",EDATE($D37,Milestones!$AA$145)&gt;=$T37),$W37,IF(AND($S37&lt;&gt;"",EDATE($D37,Milestones!$AA$145)&gt;=$S37),$V37,$U37)))=Milestones!$AB$145),UPPER(TEXT(EDATE($D37,Milestones!$AA$145),"dd mmm yy"))&amp;" "&amp;Milestones!$AB$145&amp;" "&amp;Milestones!$AC$145&amp;";  ","")&amp;IF(AND(EDATE($D37,Milestones!$AA$146)&lt;=AsOfDate,IF($R37=0,$X37,IF(AND($T37&lt;&gt;"",EDATE($D37,Milestones!$AA$146)&gt;=$T37),$W37,IF(AND($S37&lt;&gt;"",EDATE($D37,Milestones!$AA$146)&gt;=$S37),$V37,$U37)))=Milestones!$AB$146),UPPER(TEXT(EDATE($D37,Milestones!$AA$146),"dd mmm yy"))&amp;" "&amp;Milestones!$AB$146&amp;" "&amp;Milestones!$AC$146&amp;";  ","")&amp;IF(AND(EDATE($D37,Milestones!$AA$147)&lt;=AsOfDate,IF($R37=0,$X37,IF(AND($T37&lt;&gt;"",EDATE($D37,Milestones!$AA$147)&gt;=$T37),$W37,IF(AND($S37&lt;&gt;"",EDATE($D37,Milestones!$AA$147)&gt;=$S37),$V37,$U37)))=Milestones!$AB$147),UPPER(TEXT(EDATE($D37,Milestones!$AA$147),"dd mmm yy"))&amp;" "&amp;Milestones!$AB$147&amp;" "&amp;Milestones!$AC$147&amp;";  ","")&amp;IF(AND(EDATE($D37,Milestones!$AA$148)&lt;=AsOfDate,IF($R37=0,$X37,IF(AND($T37&lt;&gt;"",EDATE($D37,Milestones!$AA$148)&gt;=$T37),$W37,IF(AND($S37&lt;&gt;"",EDATE($D37,Milestones!$AA$148)&gt;=$S37),$V37,$U37)))=Milestones!$AB$148),UPPER(TEXT(EDATE($D37,Milestones!$AA$148),"dd mmm yy"))&amp;" "&amp;Milestones!$AB$148&amp;" "&amp;Milestones!$AC$148&amp;";  ","")&amp;IF(AND(EDATE($D37,Milestones!$AA$149)&lt;=AsOfDate,IF($R37=0,$X37,IF(AND($T37&lt;&gt;"",EDATE($D37,Milestones!$AA$149)&gt;=$T37),$W37,IF(AND($S37&lt;&gt;"",EDATE($D37,Milestones!$AA$149)&gt;=$S37),$V37,$U37)))=Milestones!$AB$149),UPPER(TEXT(EDATE($D37,Milestones!$AA$149),"dd mmm yy"))&amp;" "&amp;Milestones!$AB$149&amp;" "&amp;Milestones!$AC$149&amp;";  ","")&amp;IF(AND(EDATE($D37,Milestones!$AA$150)&lt;=AsOfDate,IF($R37=0,$X37,IF(AND($T37&lt;&gt;"",EDATE($D37,Milestones!$AA$150)&gt;=$T37),$W37,IF(AND($S37&lt;&gt;"",EDATE($D37,Milestones!$AA$150)&gt;=$S37),$V37,$U37)))=Milestones!$AB$150),UPPER(TEXT(EDATE($D37,Milestones!$AA$150),"dd mmm yy"))&amp;" "&amp;Milestones!$AB$150&amp;" "&amp;Milestones!$AC$150&amp;";  ","")&amp;IF(AND(EDATE($D37,Milestones!$AA$151)&lt;=AsOfDate,IF($R37=0,$X37,IF(AND($T37&lt;&gt;"",EDATE($D37,Milestones!$AA$151)&gt;=$T37),$W37,IF(AND($S37&lt;&gt;"",EDATE($D37,Milestones!$AA$151)&gt;=$S37),$V37,$U37)))=Milestones!$AB$151),UPPER(TEXT(EDATE($D37,Milestones!$AA$151),"dd mmm yy"))&amp;" "&amp;Milestones!$AB$151&amp;" "&amp;Milestones!$AC$151&amp;";  ","")&amp;IF(AND(EDATE($D37,Milestones!$AA$152)&lt;=AsOfDate,IF($R37=0,$X37,IF(AND($T37&lt;&gt;"",EDATE($D37,Milestones!$AA$152)&gt;=$T37),$W37,IF(AND($S37&lt;&gt;"",EDATE($D37,Milestones!$AA$152)&gt;=$S37),$V37,$U37)))=Milestones!$AB$152),UPPER(TEXT(EDATE($D37,Milestones!$AA$152),"dd mmm yy"))&amp;" "&amp;Milestones!$AB$152&amp;" "&amp;Milestones!$AC$152&amp;";  ","")&amp;IF(AND(EDATE($D37,Milestones!$AA$153)&lt;=AsOfDate,IF($R37=0,$X37,IF(AND($T37&lt;&gt;"",EDATE($D37,Milestones!$AA$153)&gt;=$T37),$W37,IF(AND($S37&lt;&gt;"",EDATE($D37,Milestones!$AA$153)&gt;=$S37),$V37,$U37)))=Milestones!$AB$153),UPPER(TEXT(EDATE($D37,Milestones!$AA$153),"dd mmm yy"))&amp;" "&amp;Milestones!$AB$153&amp;" "&amp;Milestones!$AC$153&amp;";  ","")&amp;IF(AND(EDATE($D37,Milestones!$AA$154)&lt;=AsOfDate,IF($R37=0,$X37,IF(AND($T37&lt;&gt;"",EDATE($D37,Milestones!$AA$154)&gt;=$T37),$W37,IF(AND($S37&lt;&gt;"",EDATE($D37,Milestones!$AA$154)&gt;=$S37),$V37,$U37)))=Milestones!$AB$154),UPPER(TEXT(EDATE($D37,Milestones!$AA$154),"dd mmm yy"))&amp;" "&amp;Milestones!$AB$154&amp;" "&amp;Milestones!$AC$154&amp;";  ","")&amp;IF(AND(EDATE($D37,Milestones!$AA$155)&lt;=AsOfDate,IF($R37=0,$X37,IF(AND($T37&lt;&gt;"",EDATE($D37,Milestones!$AA$155)&gt;=$T37),$W37,IF(AND($S37&lt;&gt;"",EDATE($D37,Milestones!$AA$155)&gt;=$S37),$V37,$U37)))=Milestones!$AB$155),UPPER(TEXT(EDATE($D37,Milestones!$AA$155),"dd mmm yy"))&amp;" "&amp;Milestones!$AB$155&amp;" "&amp;Milestones!$AC$155&amp;";  ","")&amp;IF(AND(EDATE($D37,Milestones!$AA$156)&lt;=AsOfDate,IF($R37=0,$X37,IF(AND($T37&lt;&gt;"",EDATE($D37,Milestones!$AA$156)&gt;=$T37),$W37,IF(AND($S37&lt;&gt;"",EDATE($D37,Milestones!$AA$156)&gt;=$S37),$V37,$U37)))=Milestones!$AB$156),UPPER(TEXT(EDATE($D37,Milestones!$AA$156),"dd mmm yy"))&amp;" "&amp;Milestones!$AB$156&amp;" "&amp;Milestones!$AC$156&amp;";  ","")&amp;IF(AND(EDATE($D37,Milestones!$AA$157)&lt;=AsOfDate,IF($R37=0,$X37,IF(AND($T37&lt;&gt;"",EDATE($D37,Milestones!$AA$157)&gt;=$T37),$W37,IF(AND($S37&lt;&gt;"",EDATE($D37,Milestones!$AA$157)&gt;=$S37),$V37,$U37)))=Milestones!$AB$157),UPPER(TEXT(EDATE($D37,Milestones!$AA$157),"dd mmm yy"))&amp;" "&amp;Milestones!$AB$157&amp;" "&amp;Milestones!$AC$157&amp;";  ","")&amp;IF(AND(EDATE($D37,Milestones!$AA$158)&lt;=AsOfDate,IF($R37=0,$X37,IF(AND($T37&lt;&gt;"",EDATE($D37,Milestones!$AA$158)&gt;=$T37),$W37,IF(AND($S37&lt;&gt;"",EDATE($D37,Milestones!$AA$158)&gt;=$S37),$V37,$U37)))=Milestones!$AB$158),UPPER(TEXT(EDATE($D37,Milestones!$AA$158),"dd mmm yy"))&amp;" "&amp;Milestones!$AB$158&amp;" "&amp;Milestones!$AC$158&amp;";  ","")&amp;IF(AND(EDATE($D37,Milestones!$AA$159)&lt;=AsOfDate,IF($R37=0,$X37,IF(AND($T37&lt;&gt;"",EDATE($D37,Milestones!$AA$159)&gt;=$T37),$W37,IF(AND($S37&lt;&gt;"",EDATE($D37,Milestones!$AA$159)&gt;=$S37),$V37,$U37)))=Milestones!$AB$159),UPPER(TEXT(EDATE($D37,Milestones!$AA$159),"dd mmm yy"))&amp;" "&amp;Milestones!$AB$159&amp;" "&amp;Milestones!$AC$159&amp;";  ",""))</f>
        <v/>
      </c>
      <c r="P37" s="0" t="str">
        <f aca="false">IF(OR($A37="",$D37=""),"",IF(AND(EDATE($D37,Milestones!$AA$160)&lt;=AsOfDate,IF($R37=0,$X37,IF(AND($T37&lt;&gt;"",EDATE($D37,Milestones!$AA$160)&gt;=$T37),$W37,IF(AND($S37&lt;&gt;"",EDATE($D37,Milestones!$AA$160)&gt;=$S37),$V37,$U37)))=Milestones!$AB$160),UPPER(TEXT(EDATE($D37,Milestones!$AA$160),"dd mmm yy"))&amp;" "&amp;Milestones!$AB$160&amp;" "&amp;Milestones!$AC$160&amp;";  ","")&amp;IF(AND(EDATE($D37,Milestones!$AA$161)&lt;=AsOfDate,IF($R37=0,$X37,IF(AND($T37&lt;&gt;"",EDATE($D37,Milestones!$AA$161)&gt;=$T37),$W37,IF(AND($S37&lt;&gt;"",EDATE($D37,Milestones!$AA$161)&gt;=$S37),$V37,$U37)))=Milestones!$AB$161),UPPER(TEXT(EDATE($D37,Milestones!$AA$161),"dd mmm yy"))&amp;" "&amp;Milestones!$AB$161&amp;" "&amp;Milestones!$AC$161&amp;";  ","")&amp;IF(AND(EDATE($D37,Milestones!$AA$162)&lt;=AsOfDate,IF($R37=0,$X37,IF(AND($T37&lt;&gt;"",EDATE($D37,Milestones!$AA$162)&gt;=$T37),$W37,IF(AND($S37&lt;&gt;"",EDATE($D37,Milestones!$AA$162)&gt;=$S37),$V37,$U37)))=Milestones!$AB$162),UPPER(TEXT(EDATE($D37,Milestones!$AA$162),"dd mmm yy"))&amp;" "&amp;Milestones!$AB$162&amp;" "&amp;Milestones!$AC$162&amp;";  ","")&amp;IF(AND(EDATE($D37,Milestones!$AA$163)&lt;=AsOfDate,IF($R37=0,$X37,IF(AND($T37&lt;&gt;"",EDATE($D37,Milestones!$AA$163)&gt;=$T37),$W37,IF(AND($S37&lt;&gt;"",EDATE($D37,Milestones!$AA$163)&gt;=$S37),$V37,$U37)))=Milestones!$AB$163),UPPER(TEXT(EDATE($D37,Milestones!$AA$163),"dd mmm yy"))&amp;" "&amp;Milestones!$AB$163&amp;" "&amp;Milestones!$AC$163&amp;";  ","")&amp;IF(AND(EDATE($D37,Milestones!$AA$164)&lt;=AsOfDate,IF($R37=0,$X37,IF(AND($T37&lt;&gt;"",EDATE($D37,Milestones!$AA$164)&gt;=$T37),$W37,IF(AND($S37&lt;&gt;"",EDATE($D37,Milestones!$AA$164)&gt;=$S37),$V37,$U37)))=Milestones!$AB$164),UPPER(TEXT(EDATE($D37,Milestones!$AA$164),"dd mmm yy"))&amp;" "&amp;Milestones!$AB$164&amp;" "&amp;Milestones!$AC$164&amp;";  ","")&amp;IF(AND(EDATE($D37,Milestones!$AA$165)&lt;=AsOfDate,IF($R37=0,$X37,IF(AND($T37&lt;&gt;"",EDATE($D37,Milestones!$AA$165)&gt;=$T37),$W37,IF(AND($S37&lt;&gt;"",EDATE($D37,Milestones!$AA$165)&gt;=$S37),$V37,$U37)))=Milestones!$AB$165),UPPER(TEXT(EDATE($D37,Milestones!$AA$165),"dd mmm yy"))&amp;" "&amp;Milestones!$AB$165&amp;" "&amp;Milestones!$AC$165&amp;";  ","")&amp;IF(AND(EDATE($D37,Milestones!$AA$166)&lt;=AsOfDate,IF($R37=0,$X37,IF(AND($T37&lt;&gt;"",EDATE($D37,Milestones!$AA$166)&gt;=$T37),$W37,IF(AND($S37&lt;&gt;"",EDATE($D37,Milestones!$AA$166)&gt;=$S37),$V37,$U37)))=Milestones!$AB$166),UPPER(TEXT(EDATE($D37,Milestones!$AA$166),"dd mmm yy"))&amp;" "&amp;Milestones!$AB$166&amp;" "&amp;Milestones!$AC$166&amp;";  ","")&amp;IF(AND(EDATE($D37,Milestones!$AA$167)&lt;=AsOfDate,IF($R37=0,$X37,IF(AND($T37&lt;&gt;"",EDATE($D37,Milestones!$AA$167)&gt;=$T37),$W37,IF(AND($S37&lt;&gt;"",EDATE($D37,Milestones!$AA$167)&gt;=$S37),$V37,$U37)))=Milestones!$AB$167),UPPER(TEXT(EDATE($D37,Milestones!$AA$167),"dd mmm yy"))&amp;" "&amp;Milestones!$AB$167&amp;" "&amp;Milestones!$AC$167&amp;";  ","")&amp;IF(AND(EDATE($D37,Milestones!$AA$168)&lt;=AsOfDate,IF($R37=0,$X37,IF(AND($T37&lt;&gt;"",EDATE($D37,Milestones!$AA$168)&gt;=$T37),$W37,IF(AND($S37&lt;&gt;"",EDATE($D37,Milestones!$AA$168)&gt;=$S37),$V37,$U37)))=Milestones!$AB$168),UPPER(TEXT(EDATE($D37,Milestones!$AA$168),"dd mmm yy"))&amp;" "&amp;Milestones!$AB$168&amp;" "&amp;Milestones!$AC$168&amp;";  ","")&amp;IF(AND(EDATE($D37,Milestones!$AA$169)&lt;=AsOfDate,IF($R37=0,$X37,IF(AND($T37&lt;&gt;"",EDATE($D37,Milestones!$AA$169)&gt;=$T37),$W37,IF(AND($S37&lt;&gt;"",EDATE($D37,Milestones!$AA$169)&gt;=$S37),$V37,$U37)))=Milestones!$AB$169),UPPER(TEXT(EDATE($D37,Milestones!$AA$169),"dd mmm yy"))&amp;" "&amp;Milestones!$AB$169&amp;" "&amp;Milestones!$AC$169&amp;";  ","")&amp;IF(AND(EDATE($D37,Milestones!$AA$170)&lt;=AsOfDate,IF($R37=0,$X37,IF(AND($T37&lt;&gt;"",EDATE($D37,Milestones!$AA$170)&gt;=$T37),$W37,IF(AND($S37&lt;&gt;"",EDATE($D37,Milestones!$AA$170)&gt;=$S37),$V37,$U37)))=Milestones!$AB$170),UPPER(TEXT(EDATE($D37,Milestones!$AA$170),"dd mmm yy"))&amp;" "&amp;Milestones!$AB$170&amp;" "&amp;Milestones!$AC$170&amp;";  ","")&amp;IF(AND(EDATE($D37,Milestones!$AA$171)&lt;=AsOfDate,IF($R37=0,$X37,IF(AND($T37&lt;&gt;"",EDATE($D37,Milestones!$AA$171)&gt;=$T37),$W37,IF(AND($S37&lt;&gt;"",EDATE($D37,Milestones!$AA$171)&gt;=$S37),$V37,$U37)))=Milestones!$AB$171),UPPER(TEXT(EDATE($D37,Milestones!$AA$171),"dd mmm yy"))&amp;" "&amp;Milestones!$AB$171&amp;" "&amp;Milestones!$AC$171&amp;";  ","")&amp;IF(AND(EDATE($D37,Milestones!$AA$172)&lt;=AsOfDate,IF($R37=0,$X37,IF(AND($T37&lt;&gt;"",EDATE($D37,Milestones!$AA$172)&gt;=$T37),$W37,IF(AND($S37&lt;&gt;"",EDATE($D37,Milestones!$AA$172)&gt;=$S37),$V37,$U37)))=Milestones!$AB$172),UPPER(TEXT(EDATE($D37,Milestones!$AA$172),"dd mmm yy"))&amp;" "&amp;Milestones!$AB$172&amp;" "&amp;Milestones!$AC$172&amp;";  ","")&amp;IF(AND(EDATE($D37,Milestones!$AA$173)&lt;=AsOfDate,IF($R37=0,$X37,IF(AND($T37&lt;&gt;"",EDATE($D37,Milestones!$AA$173)&gt;=$T37),$W37,IF(AND($S37&lt;&gt;"",EDATE($D37,Milestones!$AA$173)&gt;=$S37),$V37,$U37)))=Milestones!$AB$173),UPPER(TEXT(EDATE($D37,Milestones!$AA$173),"dd mmm yy"))&amp;" "&amp;Milestones!$AB$173&amp;" "&amp;Milestones!$AC$173&amp;";  ","")&amp;IF(AND(EDATE($D37,Milestones!$AA$174)&lt;=AsOfDate,IF($R37=0,$X37,IF(AND($T37&lt;&gt;"",EDATE($D37,Milestones!$AA$174)&gt;=$T37),$W37,IF(AND($S37&lt;&gt;"",EDATE($D37,Milestones!$AA$174)&gt;=$S37),$V37,$U37)))=Milestones!$AB$174),UPPER(TEXT(EDATE($D37,Milestones!$AA$174),"dd mmm yy"))&amp;" "&amp;Milestones!$AB$174&amp;" "&amp;Milestones!$AC$174&amp;";  ","")&amp;IF(AND(EDATE($D37,Milestones!$AA$175)&lt;=AsOfDate,IF($R37=0,$X37,IF(AND($T37&lt;&gt;"",EDATE($D37,Milestones!$AA$175)&gt;=$T37),$W37,IF(AND($S37&lt;&gt;"",EDATE($D37,Milestones!$AA$175)&gt;=$S37),$V37,$U37)))=Milestones!$AB$175),UPPER(TEXT(EDATE($D37,Milestones!$AA$175),"dd mmm yy"))&amp;" "&amp;Milestones!$AB$175&amp;" "&amp;Milestones!$AC$175&amp;";  ","")&amp;IF(AND(EDATE($D37,Milestones!$AA$176)&lt;=AsOfDate,IF($R37=0,$X37,IF(AND($T37&lt;&gt;"",EDATE($D37,Milestones!$AA$176)&gt;=$T37),$W37,IF(AND($S37&lt;&gt;"",EDATE($D37,Milestones!$AA$176)&gt;=$S37),$V37,$U37)))=Milestones!$AB$176),UPPER(TEXT(EDATE($D37,Milestones!$AA$176),"dd mmm yy"))&amp;" "&amp;Milestones!$AB$176&amp;" "&amp;Milestones!$AC$176&amp;";  ","")&amp;IF(AND(EDATE($D37,Milestones!$AA$177)&lt;=AsOfDate,IF($R37=0,$X37,IF(AND($T37&lt;&gt;"",EDATE($D37,Milestones!$AA$177)&gt;=$T37),$W37,IF(AND($S37&lt;&gt;"",EDATE($D37,Milestones!$AA$177)&gt;=$S37),$V37,$U37)))=Milestones!$AB$177),UPPER(TEXT(EDATE($D37,Milestones!$AA$177),"dd mmm yy"))&amp;" "&amp;Milestones!$AB$177&amp;" "&amp;Milestones!$AC$177&amp;";  ","")&amp;IF(AND(EDATE($D37,Milestones!$AA$178)&lt;=AsOfDate,IF($R37=0,$X37,IF(AND($T37&lt;&gt;"",EDATE($D37,Milestones!$AA$178)&gt;=$T37),$W37,IF(AND($S37&lt;&gt;"",EDATE($D37,Milestones!$AA$178)&gt;=$S37),$V37,$U37)))=Milestones!$AB$178),UPPER(TEXT(EDATE($D37,Milestones!$AA$178),"dd mmm yy"))&amp;" "&amp;Milestones!$AB$178&amp;" "&amp;Milestones!$AC$178&amp;";  ","")&amp;IF(AND(EDATE($D37,Milestones!$AA$179)&lt;=AsOfDate,IF($R37=0,$X37,IF(AND($T37&lt;&gt;"",EDATE($D37,Milestones!$AA$179)&gt;=$T37),$W37,IF(AND($S37&lt;&gt;"",EDATE($D37,Milestones!$AA$179)&gt;=$S37),$V37,$U37)))=Milestones!$AB$179),UPPER(TEXT(EDATE($D37,Milestones!$AA$179),"dd mmm yy"))&amp;" "&amp;Milestones!$AB$179&amp;" "&amp;Milestones!$AC$179&amp;";  ",""))</f>
        <v/>
      </c>
      <c r="Q37" s="0" t="str">
        <f aca="false">IF(OR($A37="",$D37=""),"",IF(AND(EDATE($D37,Milestones!$AA$180)&lt;=AsOfDate,IF($R37=0,$X37,IF(AND($T37&lt;&gt;"",EDATE($D37,Milestones!$AA$180)&gt;=$T37),$W37,IF(AND($S37&lt;&gt;"",EDATE($D37,Milestones!$AA$180)&gt;=$S37),$V37,$U37)))=Milestones!$AB$180),UPPER(TEXT(EDATE($D37,Milestones!$AA$180),"dd mmm yy"))&amp;" "&amp;Milestones!$AB$180&amp;" "&amp;Milestones!$AC$180&amp;";  ","")&amp;IF(AND(EDATE($D37,Milestones!$AA$181)&lt;=AsOfDate,IF($R37=0,$X37,IF(AND($T37&lt;&gt;"",EDATE($D37,Milestones!$AA$181)&gt;=$T37),$W37,IF(AND($S37&lt;&gt;"",EDATE($D37,Milestones!$AA$181)&gt;=$S37),$V37,$U37)))=Milestones!$AB$181),UPPER(TEXT(EDATE($D37,Milestones!$AA$181),"dd mmm yy"))&amp;" "&amp;Milestones!$AB$181&amp;" "&amp;Milestones!$AC$181&amp;";  ","")&amp;IF(AND(EDATE($D37,Milestones!$AA$182)&lt;=AsOfDate,IF($R37=0,$X37,IF(AND($T37&lt;&gt;"",EDATE($D37,Milestones!$AA$182)&gt;=$T37),$W37,IF(AND($S37&lt;&gt;"",EDATE($D37,Milestones!$AA$182)&gt;=$S37),$V37,$U37)))=Milestones!$AB$182),UPPER(TEXT(EDATE($D37,Milestones!$AA$182),"dd mmm yy"))&amp;" "&amp;Milestones!$AB$182&amp;" "&amp;Milestones!$AC$182&amp;";  ","")&amp;IF(AND(EDATE($D37,Milestones!$AA$183)&lt;=AsOfDate,IF($R37=0,$X37,IF(AND($T37&lt;&gt;"",EDATE($D37,Milestones!$AA$183)&gt;=$T37),$W37,IF(AND($S37&lt;&gt;"",EDATE($D37,Milestones!$AA$183)&gt;=$S37),$V37,$U37)))=Milestones!$AB$183),UPPER(TEXT(EDATE($D37,Milestones!$AA$183),"dd mmm yy"))&amp;" "&amp;Milestones!$AB$183&amp;" "&amp;Milestones!$AC$183&amp;";  ","")&amp;IF(AND(EDATE($D37,Milestones!$AA$184)&lt;=AsOfDate,IF($R37=0,$X37,IF(AND($T37&lt;&gt;"",EDATE($D37,Milestones!$AA$184)&gt;=$T37),$W37,IF(AND($S37&lt;&gt;"",EDATE($D37,Milestones!$AA$184)&gt;=$S37),$V37,$U37)))=Milestones!$AB$184),UPPER(TEXT(EDATE($D37,Milestones!$AA$184),"dd mmm yy"))&amp;" "&amp;Milestones!$AB$184&amp;" "&amp;Milestones!$AC$184&amp;";  ","")&amp;IF(AND(EDATE($D37,Milestones!$AA$185)&lt;=AsOfDate,IF($R37=0,$X37,IF(AND($T37&lt;&gt;"",EDATE($D37,Milestones!$AA$185)&gt;=$T37),$W37,IF(AND($S37&lt;&gt;"",EDATE($D37,Milestones!$AA$185)&gt;=$S37),$V37,$U37)))=Milestones!$AB$185),UPPER(TEXT(EDATE($D37,Milestones!$AA$185),"dd mmm yy"))&amp;" "&amp;Milestones!$AB$185&amp;" "&amp;Milestones!$AC$185&amp;";  ","")&amp;IF(AND(EDATE($D37,Milestones!$AA$186)&lt;=AsOfDate,IF($R37=0,$X37,IF(AND($T37&lt;&gt;"",EDATE($D37,Milestones!$AA$186)&gt;=$T37),$W37,IF(AND($S37&lt;&gt;"",EDATE($D37,Milestones!$AA$186)&gt;=$S37),$V37,$U37)))=Milestones!$AB$186),UPPER(TEXT(EDATE($D37,Milestones!$AA$186),"dd mmm yy"))&amp;" "&amp;Milestones!$AB$186&amp;" "&amp;Milestones!$AC$186&amp;";  ","")&amp;IF(AND(EDATE($D37,Milestones!$AA$187)&lt;=AsOfDate,IF($R37=0,$X37,IF(AND($T37&lt;&gt;"",EDATE($D37,Milestones!$AA$187)&gt;=$T37),$W37,IF(AND($S37&lt;&gt;"",EDATE($D37,Milestones!$AA$187)&gt;=$S37),$V37,$U37)))=Milestones!$AB$187),UPPER(TEXT(EDATE($D37,Milestones!$AA$187),"dd mmm yy"))&amp;" "&amp;Milestones!$AB$187&amp;" "&amp;Milestones!$AC$187&amp;";  ","")&amp;IF(AND(EDATE($D37,Milestones!$AA$188)&lt;=AsOfDate,IF($R37=0,$X37,IF(AND($T37&lt;&gt;"",EDATE($D37,Milestones!$AA$188)&gt;=$T37),$W37,IF(AND($S37&lt;&gt;"",EDATE($D37,Milestones!$AA$188)&gt;=$S37),$V37,$U37)))=Milestones!$AB$188),UPPER(TEXT(EDATE($D37,Milestones!$AA$188),"dd mmm yy"))&amp;" "&amp;Milestones!$AB$188&amp;" "&amp;Milestones!$AC$188&amp;";  ","")&amp;IF(AND(EDATE($D37,Milestones!$AA$189)&lt;=AsOfDate,IF($R37=0,$X37,IF(AND($T37&lt;&gt;"",EDATE($D37,Milestones!$AA$189)&gt;=$T37),$W37,IF(AND($S37&lt;&gt;"",EDATE($D37,Milestones!$AA$189)&gt;=$S37),$V37,$U37)))=Milestones!$AB$189),UPPER(TEXT(EDATE($D37,Milestones!$AA$189),"dd mmm yy"))&amp;" "&amp;Milestones!$AB$189&amp;" "&amp;Milestones!$AC$189&amp;";  ","")&amp;IF(AND(EDATE($D37,Milestones!$AA$190)&lt;=AsOfDate,IF($R37=0,$X37,IF(AND($T37&lt;&gt;"",EDATE($D37,Milestones!$AA$190)&gt;=$T37),$W37,IF(AND($S37&lt;&gt;"",EDATE($D37,Milestones!$AA$190)&gt;=$S37),$V37,$U37)))=Milestones!$AB$190),UPPER(TEXT(EDATE($D37,Milestones!$AA$190),"dd mmm yy"))&amp;" "&amp;Milestones!$AB$190&amp;" "&amp;Milestones!$AC$190&amp;";  ","")&amp;IF(AND(EDATE($D37,Milestones!$AA$191)&lt;=AsOfDate,IF($R37=0,$X37,IF(AND($T37&lt;&gt;"",EDATE($D37,Milestones!$AA$191)&gt;=$T37),$W37,IF(AND($S37&lt;&gt;"",EDATE($D37,Milestones!$AA$191)&gt;=$S37),$V37,$U37)))=Milestones!$AB$191),UPPER(TEXT(EDATE($D37,Milestones!$AA$191),"dd mmm yy"))&amp;" "&amp;Milestones!$AB$191&amp;" "&amp;Milestones!$AC$191&amp;";  ","")&amp;IF(AND(EDATE($D37,Milestones!$AA$192)&lt;=AsOfDate,IF($R37=0,$X37,IF(AND($T37&lt;&gt;"",EDATE($D37,Milestones!$AA$192)&gt;=$T37),$W37,IF(AND($S37&lt;&gt;"",EDATE($D37,Milestones!$AA$192)&gt;=$S37),$V37,$U37)))=Milestones!$AB$192),UPPER(TEXT(EDATE($D37,Milestones!$AA$192),"dd mmm yy"))&amp;" "&amp;Milestones!$AB$192&amp;" "&amp;Milestones!$AC$192&amp;";  ","")&amp;IF(AND(EDATE($D37,Milestones!$AA$193)&lt;=AsOfDate,IF($R37=0,$X37,IF(AND($T37&lt;&gt;"",EDATE($D37,Milestones!$AA$193)&gt;=$T37),$W37,IF(AND($S37&lt;&gt;"",EDATE($D37,Milestones!$AA$193)&gt;=$S37),$V37,$U37)))=Milestones!$AB$193),UPPER(TEXT(EDATE($D37,Milestones!$AA$193),"dd mmm yy"))&amp;" "&amp;Milestones!$AB$193&amp;" "&amp;Milestones!$AC$193&amp;";  ","")&amp;IF(AND(EDATE($D37,Milestones!$AA$194)&lt;=AsOfDate,IF($R37=0,$X37,IF(AND($T37&lt;&gt;"",EDATE($D37,Milestones!$AA$194)&gt;=$T37),$W37,IF(AND($S37&lt;&gt;"",EDATE($D37,Milestones!$AA$194)&gt;=$S37),$V37,$U37)))=Milestones!$AB$194),UPPER(TEXT(EDATE($D37,Milestones!$AA$194),"dd mmm yy"))&amp;" "&amp;Milestones!$AB$194&amp;" "&amp;Milestones!$AC$194&amp;";  ","")&amp;IF(AND(EDATE($D37,Milestones!$AA$195)&lt;=AsOfDate,IF($R37=0,$X37,IF(AND($T37&lt;&gt;"",EDATE($D37,Milestones!$AA$195)&gt;=$T37),$W37,IF(AND($S37&lt;&gt;"",EDATE($D37,Milestones!$AA$195)&gt;=$S37),$V37,$U37)))=Milestones!$AB$195),UPPER(TEXT(EDATE($D37,Milestones!$AA$195),"dd mmm yy"))&amp;" "&amp;Milestones!$AB$195&amp;" "&amp;Milestones!$AC$195&amp;";  ","")&amp;IF(AND(EDATE($D37,Milestones!$AA$196)&lt;=AsOfDate,IF($R37=0,$X37,IF(AND($T37&lt;&gt;"",EDATE($D37,Milestones!$AA$196)&gt;=$T37),$W37,IF(AND($S37&lt;&gt;"",EDATE($D37,Milestones!$AA$196)&gt;=$S37),$V37,$U37)))=Milestones!$AB$196),UPPER(TEXT(EDATE($D37,Milestones!$AA$196),"dd mmm yy"))&amp;" "&amp;Milestones!$AB$196&amp;" "&amp;Milestones!$AC$196&amp;";  ","")&amp;IF(AND(EDATE($D37,Milestones!$AA$197)&lt;=AsOfDate,IF($R37=0,$X37,IF(AND($T37&lt;&gt;"",EDATE($D37,Milestones!$AA$197)&gt;=$T37),$W37,IF(AND($S37&lt;&gt;"",EDATE($D37,Milestones!$AA$197)&gt;=$S37),$V37,$U37)))=Milestones!$AB$197),UPPER(TEXT(EDATE($D37,Milestones!$AA$197),"dd mmm yy"))&amp;" "&amp;Milestones!$AB$197&amp;" "&amp;Milestones!$AC$197&amp;";  ","")&amp;IF(AND(EDATE($D37,Milestones!$AA$198)&lt;=AsOfDate,IF($R37=0,$X37,IF(AND($T37&lt;&gt;"",EDATE($D37,Milestones!$AA$198)&gt;=$T37),$W37,IF(AND($S37&lt;&gt;"",EDATE($D37,Milestones!$AA$198)&gt;=$S37),$V37,$U37)))=Milestones!$AB$198),UPPER(TEXT(EDATE($D37,Milestones!$AA$198),"dd mmm yy"))&amp;" "&amp;Milestones!$AB$198&amp;" "&amp;Milestones!$AC$198&amp;";  ","")&amp;IF(AND(EDATE($D37,Milestones!$AA$199)&lt;=AsOfDate,IF($R37=0,$X37,IF(AND($T37&lt;&gt;"",EDATE($D37,Milestones!$AA$199)&gt;=$T37),$W37,IF(AND($S37&lt;&gt;"",EDATE($D37,Milestones!$AA$199)&gt;=$S37),$V37,$U37)))=Milestones!$AB$199),UPPER(TEXT(EDATE($D37,Milestones!$AA$199),"dd mmm yy"))&amp;" "&amp;Milestones!$AB$199&amp;" "&amp;Milestones!$AC$199&amp;";  ",""))</f>
        <v/>
      </c>
      <c r="R37" s="0" t="str">
        <f aca="false">IF(Staff!$A37="","",Staff!$AI37)</f>
        <v/>
      </c>
      <c r="S37" s="0" t="str">
        <f aca="false">IF(Staff!$A37="","",Staff!$AK37)</f>
        <v/>
      </c>
      <c r="T37" s="0" t="str">
        <f aca="false">IF(Staff!$A37="","",Staff!$AL37)</f>
        <v/>
      </c>
      <c r="U37" s="0" t="str">
        <f aca="false">IF(Staff!$A37="","",Staff!$AP37)</f>
        <v/>
      </c>
      <c r="V37" s="0" t="str">
        <f aca="false">IF(Staff!$A37="","",Staff!$AQ37)</f>
        <v/>
      </c>
      <c r="W37" s="0" t="str">
        <f aca="false">IF(Staff!$A37="","",Staff!$AR37)</f>
        <v/>
      </c>
      <c r="X37" s="0" t="str">
        <f aca="false">IF(Staff!$A37="","",Staff!$AS37)</f>
        <v/>
      </c>
    </row>
    <row r="38" customFormat="false" ht="15" hidden="false" customHeight="false" outlineLevel="0" collapsed="false">
      <c r="A38" s="14" t="str">
        <f aca="false">IF(Staff!$A38="","",Staff!$A38)</f>
        <v/>
      </c>
      <c r="B38" s="14" t="str">
        <f aca="false">IF(Staff!$A38="","",Staff!$B38)</f>
        <v/>
      </c>
      <c r="C38" s="14" t="str">
        <f aca="false">IF(Staff!$A38="","",Staff!$C38)</f>
        <v/>
      </c>
      <c r="D38" s="12" t="str">
        <f aca="false">IF(Staff!$A38="","",Staff!$AH38)</f>
        <v/>
      </c>
      <c r="E38" s="14" t="str">
        <f aca="false">IF(Staff!$A38="","",Staff!$O38)</f>
        <v/>
      </c>
      <c r="F38" s="14" t="str">
        <f aca="false">IF(E38="","",E38*HoursPerDay)</f>
        <v/>
      </c>
      <c r="G38" s="14" t="str">
        <f aca="false">IF(Staff!$A38="","",Staff!$AE38)</f>
        <v/>
      </c>
      <c r="H38" s="26" t="str">
        <f aca="false">IF($A38="","",I38&amp;J38&amp;K38&amp;L38&amp;M38&amp;N38&amp;O38&amp;P38&amp;Q38)</f>
        <v/>
      </c>
      <c r="I38" s="0" t="str">
        <f aca="false">IF(OR($A38="",$D38=""),"",IF(AND(EDATE($D38,Milestones!$AA$20)&lt;=AsOfDate,IF($R38=0,$X38,IF(AND($T38&lt;&gt;"",EDATE($D38,Milestones!$AA$20)&gt;=$T38),$W38,IF(AND($S38&lt;&gt;"",EDATE($D38,Milestones!$AA$20)&gt;=$S38),$V38,$U38)))=Milestones!$AB$20),UPPER(TEXT(EDATE($D38,Milestones!$AA$20),"dd mmm yy"))&amp;" "&amp;Milestones!$AB$20&amp;" "&amp;Milestones!$AC$20&amp;";  ","")&amp;IF(AND(EDATE($D38,Milestones!$AA$21)&lt;=AsOfDate,IF($R38=0,$X38,IF(AND($T38&lt;&gt;"",EDATE($D38,Milestones!$AA$21)&gt;=$T38),$W38,IF(AND($S38&lt;&gt;"",EDATE($D38,Milestones!$AA$21)&gt;=$S38),$V38,$U38)))=Milestones!$AB$21),UPPER(TEXT(EDATE($D38,Milestones!$AA$21),"dd mmm yy"))&amp;" "&amp;Milestones!$AB$21&amp;" "&amp;Milestones!$AC$21&amp;";  ","")&amp;IF(AND(EDATE($D38,Milestones!$AA$22)&lt;=AsOfDate,IF($R38=0,$X38,IF(AND($T38&lt;&gt;"",EDATE($D38,Milestones!$AA$22)&gt;=$T38),$W38,IF(AND($S38&lt;&gt;"",EDATE($D38,Milestones!$AA$22)&gt;=$S38),$V38,$U38)))=Milestones!$AB$22),UPPER(TEXT(EDATE($D38,Milestones!$AA$22),"dd mmm yy"))&amp;" "&amp;Milestones!$AB$22&amp;" "&amp;Milestones!$AC$22&amp;";  ","")&amp;IF(AND(EDATE($D38,Milestones!$AA$23)&lt;=AsOfDate,IF($R38=0,$X38,IF(AND($T38&lt;&gt;"",EDATE($D38,Milestones!$AA$23)&gt;=$T38),$W38,IF(AND($S38&lt;&gt;"",EDATE($D38,Milestones!$AA$23)&gt;=$S38),$V38,$U38)))=Milestones!$AB$23),UPPER(TEXT(EDATE($D38,Milestones!$AA$23),"dd mmm yy"))&amp;" "&amp;Milestones!$AB$23&amp;" "&amp;Milestones!$AC$23&amp;";  ","")&amp;IF(AND(EDATE($D38,Milestones!$AA$24)&lt;=AsOfDate,IF($R38=0,$X38,IF(AND($T38&lt;&gt;"",EDATE($D38,Milestones!$AA$24)&gt;=$T38),$W38,IF(AND($S38&lt;&gt;"",EDATE($D38,Milestones!$AA$24)&gt;=$S38),$V38,$U38)))=Milestones!$AB$24),UPPER(TEXT(EDATE($D38,Milestones!$AA$24),"dd mmm yy"))&amp;" "&amp;Milestones!$AB$24&amp;" "&amp;Milestones!$AC$24&amp;";  ","")&amp;IF(AND(EDATE($D38,Milestones!$AA$25)&lt;=AsOfDate,IF($R38=0,$X38,IF(AND($T38&lt;&gt;"",EDATE($D38,Milestones!$AA$25)&gt;=$T38),$W38,IF(AND($S38&lt;&gt;"",EDATE($D38,Milestones!$AA$25)&gt;=$S38),$V38,$U38)))=Milestones!$AB$25),UPPER(TEXT(EDATE($D38,Milestones!$AA$25),"dd mmm yy"))&amp;" "&amp;Milestones!$AB$25&amp;" "&amp;Milestones!$AC$25&amp;";  ","")&amp;IF(AND(EDATE($D38,Milestones!$AA$26)&lt;=AsOfDate,IF($R38=0,$X38,IF(AND($T38&lt;&gt;"",EDATE($D38,Milestones!$AA$26)&gt;=$T38),$W38,IF(AND($S38&lt;&gt;"",EDATE($D38,Milestones!$AA$26)&gt;=$S38),$V38,$U38)))=Milestones!$AB$26),UPPER(TEXT(EDATE($D38,Milestones!$AA$26),"dd mmm yy"))&amp;" "&amp;Milestones!$AB$26&amp;" "&amp;Milestones!$AC$26&amp;";  ","")&amp;IF(AND(EDATE($D38,Milestones!$AA$27)&lt;=AsOfDate,IF($R38=0,$X38,IF(AND($T38&lt;&gt;"",EDATE($D38,Milestones!$AA$27)&gt;=$T38),$W38,IF(AND($S38&lt;&gt;"",EDATE($D38,Milestones!$AA$27)&gt;=$S38),$V38,$U38)))=Milestones!$AB$27),UPPER(TEXT(EDATE($D38,Milestones!$AA$27),"dd mmm yy"))&amp;" "&amp;Milestones!$AB$27&amp;" "&amp;Milestones!$AC$27&amp;";  ","")&amp;IF(AND(EDATE($D38,Milestones!$AA$28)&lt;=AsOfDate,IF($R38=0,$X38,IF(AND($T38&lt;&gt;"",EDATE($D38,Milestones!$AA$28)&gt;=$T38),$W38,IF(AND($S38&lt;&gt;"",EDATE($D38,Milestones!$AA$28)&gt;=$S38),$V38,$U38)))=Milestones!$AB$28),UPPER(TEXT(EDATE($D38,Milestones!$AA$28),"dd mmm yy"))&amp;" "&amp;Milestones!$AB$28&amp;" "&amp;Milestones!$AC$28&amp;";  ","")&amp;IF(AND(EDATE($D38,Milestones!$AA$29)&lt;=AsOfDate,IF($R38=0,$X38,IF(AND($T38&lt;&gt;"",EDATE($D38,Milestones!$AA$29)&gt;=$T38),$W38,IF(AND($S38&lt;&gt;"",EDATE($D38,Milestones!$AA$29)&gt;=$S38),$V38,$U38)))=Milestones!$AB$29),UPPER(TEXT(EDATE($D38,Milestones!$AA$29),"dd mmm yy"))&amp;" "&amp;Milestones!$AB$29&amp;" "&amp;Milestones!$AC$29&amp;";  ","")&amp;IF(AND(EDATE($D38,Milestones!$AA$30)&lt;=AsOfDate,IF($R38=0,$X38,IF(AND($T38&lt;&gt;"",EDATE($D38,Milestones!$AA$30)&gt;=$T38),$W38,IF(AND($S38&lt;&gt;"",EDATE($D38,Milestones!$AA$30)&gt;=$S38),$V38,$U38)))=Milestones!$AB$30),UPPER(TEXT(EDATE($D38,Milestones!$AA$30),"dd mmm yy"))&amp;" "&amp;Milestones!$AB$30&amp;" "&amp;Milestones!$AC$30&amp;";  ","")&amp;IF(AND(EDATE($D38,Milestones!$AA$31)&lt;=AsOfDate,IF($R38=0,$X38,IF(AND($T38&lt;&gt;"",EDATE($D38,Milestones!$AA$31)&gt;=$T38),$W38,IF(AND($S38&lt;&gt;"",EDATE($D38,Milestones!$AA$31)&gt;=$S38),$V38,$U38)))=Milestones!$AB$31),UPPER(TEXT(EDATE($D38,Milestones!$AA$31),"dd mmm yy"))&amp;" "&amp;Milestones!$AB$31&amp;" "&amp;Milestones!$AC$31&amp;";  ","")&amp;IF(AND(EDATE($D38,Milestones!$AA$32)&lt;=AsOfDate,IF($R38=0,$X38,IF(AND($T38&lt;&gt;"",EDATE($D38,Milestones!$AA$32)&gt;=$T38),$W38,IF(AND($S38&lt;&gt;"",EDATE($D38,Milestones!$AA$32)&gt;=$S38),$V38,$U38)))=Milestones!$AB$32),UPPER(TEXT(EDATE($D38,Milestones!$AA$32),"dd mmm yy"))&amp;" "&amp;Milestones!$AB$32&amp;" "&amp;Milestones!$AC$32&amp;";  ","")&amp;IF(AND(EDATE($D38,Milestones!$AA$33)&lt;=AsOfDate,IF($R38=0,$X38,IF(AND($T38&lt;&gt;"",EDATE($D38,Milestones!$AA$33)&gt;=$T38),$W38,IF(AND($S38&lt;&gt;"",EDATE($D38,Milestones!$AA$33)&gt;=$S38),$V38,$U38)))=Milestones!$AB$33),UPPER(TEXT(EDATE($D38,Milestones!$AA$33),"dd mmm yy"))&amp;" "&amp;Milestones!$AB$33&amp;" "&amp;Milestones!$AC$33&amp;";  ","")&amp;IF(AND(EDATE($D38,Milestones!$AA$34)&lt;=AsOfDate,IF($R38=0,$X38,IF(AND($T38&lt;&gt;"",EDATE($D38,Milestones!$AA$34)&gt;=$T38),$W38,IF(AND($S38&lt;&gt;"",EDATE($D38,Milestones!$AA$34)&gt;=$S38),$V38,$U38)))=Milestones!$AB$34),UPPER(TEXT(EDATE($D38,Milestones!$AA$34),"dd mmm yy"))&amp;" "&amp;Milestones!$AB$34&amp;" "&amp;Milestones!$AC$34&amp;";  ","")&amp;IF(AND(EDATE($D38,Milestones!$AA$35)&lt;=AsOfDate,IF($R38=0,$X38,IF(AND($T38&lt;&gt;"",EDATE($D38,Milestones!$AA$35)&gt;=$T38),$W38,IF(AND($S38&lt;&gt;"",EDATE($D38,Milestones!$AA$35)&gt;=$S38),$V38,$U38)))=Milestones!$AB$35),UPPER(TEXT(EDATE($D38,Milestones!$AA$35),"dd mmm yy"))&amp;" "&amp;Milestones!$AB$35&amp;" "&amp;Milestones!$AC$35&amp;";  ","")&amp;IF(AND(EDATE($D38,Milestones!$AA$36)&lt;=AsOfDate,IF($R38=0,$X38,IF(AND($T38&lt;&gt;"",EDATE($D38,Milestones!$AA$36)&gt;=$T38),$W38,IF(AND($S38&lt;&gt;"",EDATE($D38,Milestones!$AA$36)&gt;=$S38),$V38,$U38)))=Milestones!$AB$36),UPPER(TEXT(EDATE($D38,Milestones!$AA$36),"dd mmm yy"))&amp;" "&amp;Milestones!$AB$36&amp;" "&amp;Milestones!$AC$36&amp;";  ","")&amp;IF(AND(EDATE($D38,Milestones!$AA$37)&lt;=AsOfDate,IF($R38=0,$X38,IF(AND($T38&lt;&gt;"",EDATE($D38,Milestones!$AA$37)&gt;=$T38),$W38,IF(AND($S38&lt;&gt;"",EDATE($D38,Milestones!$AA$37)&gt;=$S38),$V38,$U38)))=Milestones!$AB$37),UPPER(TEXT(EDATE($D38,Milestones!$AA$37),"dd mmm yy"))&amp;" "&amp;Milestones!$AB$37&amp;" "&amp;Milestones!$AC$37&amp;";  ","")&amp;IF(AND(EDATE($D38,Milestones!$AA$38)&lt;=AsOfDate,IF($R38=0,$X38,IF(AND($T38&lt;&gt;"",EDATE($D38,Milestones!$AA$38)&gt;=$T38),$W38,IF(AND($S38&lt;&gt;"",EDATE($D38,Milestones!$AA$38)&gt;=$S38),$V38,$U38)))=Milestones!$AB$38),UPPER(TEXT(EDATE($D38,Milestones!$AA$38),"dd mmm yy"))&amp;" "&amp;Milestones!$AB$38&amp;" "&amp;Milestones!$AC$38&amp;";  ","")&amp;IF(AND(EDATE($D38,Milestones!$AA$39)&lt;=AsOfDate,IF($R38=0,$X38,IF(AND($T38&lt;&gt;"",EDATE($D38,Milestones!$AA$39)&gt;=$T38),$W38,IF(AND($S38&lt;&gt;"",EDATE($D38,Milestones!$AA$39)&gt;=$S38),$V38,$U38)))=Milestones!$AB$39),UPPER(TEXT(EDATE($D38,Milestones!$AA$39),"dd mmm yy"))&amp;" "&amp;Milestones!$AB$39&amp;" "&amp;Milestones!$AC$39&amp;";  ",""))</f>
        <v/>
      </c>
      <c r="J38" s="0" t="str">
        <f aca="false">IF(OR($A38="",$D38=""),"",IF(AND(EDATE($D38,Milestones!$AA$40)&lt;=AsOfDate,IF($R38=0,$X38,IF(AND($T38&lt;&gt;"",EDATE($D38,Milestones!$AA$40)&gt;=$T38),$W38,IF(AND($S38&lt;&gt;"",EDATE($D38,Milestones!$AA$40)&gt;=$S38),$V38,$U38)))=Milestones!$AB$40),UPPER(TEXT(EDATE($D38,Milestones!$AA$40),"dd mmm yy"))&amp;" "&amp;Milestones!$AB$40&amp;" "&amp;Milestones!$AC$40&amp;";  ","")&amp;IF(AND(EDATE($D38,Milestones!$AA$41)&lt;=AsOfDate,IF($R38=0,$X38,IF(AND($T38&lt;&gt;"",EDATE($D38,Milestones!$AA$41)&gt;=$T38),$W38,IF(AND($S38&lt;&gt;"",EDATE($D38,Milestones!$AA$41)&gt;=$S38),$V38,$U38)))=Milestones!$AB$41),UPPER(TEXT(EDATE($D38,Milestones!$AA$41),"dd mmm yy"))&amp;" "&amp;Milestones!$AB$41&amp;" "&amp;Milestones!$AC$41&amp;";  ","")&amp;IF(AND(EDATE($D38,Milestones!$AA$42)&lt;=AsOfDate,IF($R38=0,$X38,IF(AND($T38&lt;&gt;"",EDATE($D38,Milestones!$AA$42)&gt;=$T38),$W38,IF(AND($S38&lt;&gt;"",EDATE($D38,Milestones!$AA$42)&gt;=$S38),$V38,$U38)))=Milestones!$AB$42),UPPER(TEXT(EDATE($D38,Milestones!$AA$42),"dd mmm yy"))&amp;" "&amp;Milestones!$AB$42&amp;" "&amp;Milestones!$AC$42&amp;";  ","")&amp;IF(AND(EDATE($D38,Milestones!$AA$43)&lt;=AsOfDate,IF($R38=0,$X38,IF(AND($T38&lt;&gt;"",EDATE($D38,Milestones!$AA$43)&gt;=$T38),$W38,IF(AND($S38&lt;&gt;"",EDATE($D38,Milestones!$AA$43)&gt;=$S38),$V38,$U38)))=Milestones!$AB$43),UPPER(TEXT(EDATE($D38,Milestones!$AA$43),"dd mmm yy"))&amp;" "&amp;Milestones!$AB$43&amp;" "&amp;Milestones!$AC$43&amp;";  ","")&amp;IF(AND(EDATE($D38,Milestones!$AA$44)&lt;=AsOfDate,IF($R38=0,$X38,IF(AND($T38&lt;&gt;"",EDATE($D38,Milestones!$AA$44)&gt;=$T38),$W38,IF(AND($S38&lt;&gt;"",EDATE($D38,Milestones!$AA$44)&gt;=$S38),$V38,$U38)))=Milestones!$AB$44),UPPER(TEXT(EDATE($D38,Milestones!$AA$44),"dd mmm yy"))&amp;" "&amp;Milestones!$AB$44&amp;" "&amp;Milestones!$AC$44&amp;";  ","")&amp;IF(AND(EDATE($D38,Milestones!$AA$45)&lt;=AsOfDate,IF($R38=0,$X38,IF(AND($T38&lt;&gt;"",EDATE($D38,Milestones!$AA$45)&gt;=$T38),$W38,IF(AND($S38&lt;&gt;"",EDATE($D38,Milestones!$AA$45)&gt;=$S38),$V38,$U38)))=Milestones!$AB$45),UPPER(TEXT(EDATE($D38,Milestones!$AA$45),"dd mmm yy"))&amp;" "&amp;Milestones!$AB$45&amp;" "&amp;Milestones!$AC$45&amp;";  ","")&amp;IF(AND(EDATE($D38,Milestones!$AA$46)&lt;=AsOfDate,IF($R38=0,$X38,IF(AND($T38&lt;&gt;"",EDATE($D38,Milestones!$AA$46)&gt;=$T38),$W38,IF(AND($S38&lt;&gt;"",EDATE($D38,Milestones!$AA$46)&gt;=$S38),$V38,$U38)))=Milestones!$AB$46),UPPER(TEXT(EDATE($D38,Milestones!$AA$46),"dd mmm yy"))&amp;" "&amp;Milestones!$AB$46&amp;" "&amp;Milestones!$AC$46&amp;";  ","")&amp;IF(AND(EDATE($D38,Milestones!$AA$47)&lt;=AsOfDate,IF($R38=0,$X38,IF(AND($T38&lt;&gt;"",EDATE($D38,Milestones!$AA$47)&gt;=$T38),$W38,IF(AND($S38&lt;&gt;"",EDATE($D38,Milestones!$AA$47)&gt;=$S38),$V38,$U38)))=Milestones!$AB$47),UPPER(TEXT(EDATE($D38,Milestones!$AA$47),"dd mmm yy"))&amp;" "&amp;Milestones!$AB$47&amp;" "&amp;Milestones!$AC$47&amp;";  ","")&amp;IF(AND(EDATE($D38,Milestones!$AA$48)&lt;=AsOfDate,IF($R38=0,$X38,IF(AND($T38&lt;&gt;"",EDATE($D38,Milestones!$AA$48)&gt;=$T38),$W38,IF(AND($S38&lt;&gt;"",EDATE($D38,Milestones!$AA$48)&gt;=$S38),$V38,$U38)))=Milestones!$AB$48),UPPER(TEXT(EDATE($D38,Milestones!$AA$48),"dd mmm yy"))&amp;" "&amp;Milestones!$AB$48&amp;" "&amp;Milestones!$AC$48&amp;";  ","")&amp;IF(AND(EDATE($D38,Milestones!$AA$49)&lt;=AsOfDate,IF($R38=0,$X38,IF(AND($T38&lt;&gt;"",EDATE($D38,Milestones!$AA$49)&gt;=$T38),$W38,IF(AND($S38&lt;&gt;"",EDATE($D38,Milestones!$AA$49)&gt;=$S38),$V38,$U38)))=Milestones!$AB$49),UPPER(TEXT(EDATE($D38,Milestones!$AA$49),"dd mmm yy"))&amp;" "&amp;Milestones!$AB$49&amp;" "&amp;Milestones!$AC$49&amp;";  ","")&amp;IF(AND(EDATE($D38,Milestones!$AA$50)&lt;=AsOfDate,IF($R38=0,$X38,IF(AND($T38&lt;&gt;"",EDATE($D38,Milestones!$AA$50)&gt;=$T38),$W38,IF(AND($S38&lt;&gt;"",EDATE($D38,Milestones!$AA$50)&gt;=$S38),$V38,$U38)))=Milestones!$AB$50),UPPER(TEXT(EDATE($D38,Milestones!$AA$50),"dd mmm yy"))&amp;" "&amp;Milestones!$AB$50&amp;" "&amp;Milestones!$AC$50&amp;";  ","")&amp;IF(AND(EDATE($D38,Milestones!$AA$51)&lt;=AsOfDate,IF($R38=0,$X38,IF(AND($T38&lt;&gt;"",EDATE($D38,Milestones!$AA$51)&gt;=$T38),$W38,IF(AND($S38&lt;&gt;"",EDATE($D38,Milestones!$AA$51)&gt;=$S38),$V38,$U38)))=Milestones!$AB$51),UPPER(TEXT(EDATE($D38,Milestones!$AA$51),"dd mmm yy"))&amp;" "&amp;Milestones!$AB$51&amp;" "&amp;Milestones!$AC$51&amp;";  ","")&amp;IF(AND(EDATE($D38,Milestones!$AA$52)&lt;=AsOfDate,IF($R38=0,$X38,IF(AND($T38&lt;&gt;"",EDATE($D38,Milestones!$AA$52)&gt;=$T38),$W38,IF(AND($S38&lt;&gt;"",EDATE($D38,Milestones!$AA$52)&gt;=$S38),$V38,$U38)))=Milestones!$AB$52),UPPER(TEXT(EDATE($D38,Milestones!$AA$52),"dd mmm yy"))&amp;" "&amp;Milestones!$AB$52&amp;" "&amp;Milestones!$AC$52&amp;";  ","")&amp;IF(AND(EDATE($D38,Milestones!$AA$53)&lt;=AsOfDate,IF($R38=0,$X38,IF(AND($T38&lt;&gt;"",EDATE($D38,Milestones!$AA$53)&gt;=$T38),$W38,IF(AND($S38&lt;&gt;"",EDATE($D38,Milestones!$AA$53)&gt;=$S38),$V38,$U38)))=Milestones!$AB$53),UPPER(TEXT(EDATE($D38,Milestones!$AA$53),"dd mmm yy"))&amp;" "&amp;Milestones!$AB$53&amp;" "&amp;Milestones!$AC$53&amp;";  ","")&amp;IF(AND(EDATE($D38,Milestones!$AA$54)&lt;=AsOfDate,IF($R38=0,$X38,IF(AND($T38&lt;&gt;"",EDATE($D38,Milestones!$AA$54)&gt;=$T38),$W38,IF(AND($S38&lt;&gt;"",EDATE($D38,Milestones!$AA$54)&gt;=$S38),$V38,$U38)))=Milestones!$AB$54),UPPER(TEXT(EDATE($D38,Milestones!$AA$54),"dd mmm yy"))&amp;" "&amp;Milestones!$AB$54&amp;" "&amp;Milestones!$AC$54&amp;";  ","")&amp;IF(AND(EDATE($D38,Milestones!$AA$55)&lt;=AsOfDate,IF($R38=0,$X38,IF(AND($T38&lt;&gt;"",EDATE($D38,Milestones!$AA$55)&gt;=$T38),$W38,IF(AND($S38&lt;&gt;"",EDATE($D38,Milestones!$AA$55)&gt;=$S38),$V38,$U38)))=Milestones!$AB$55),UPPER(TEXT(EDATE($D38,Milestones!$AA$55),"dd mmm yy"))&amp;" "&amp;Milestones!$AB$55&amp;" "&amp;Milestones!$AC$55&amp;";  ","")&amp;IF(AND(EDATE($D38,Milestones!$AA$56)&lt;=AsOfDate,IF($R38=0,$X38,IF(AND($T38&lt;&gt;"",EDATE($D38,Milestones!$AA$56)&gt;=$T38),$W38,IF(AND($S38&lt;&gt;"",EDATE($D38,Milestones!$AA$56)&gt;=$S38),$V38,$U38)))=Milestones!$AB$56),UPPER(TEXT(EDATE($D38,Milestones!$AA$56),"dd mmm yy"))&amp;" "&amp;Milestones!$AB$56&amp;" "&amp;Milestones!$AC$56&amp;";  ","")&amp;IF(AND(EDATE($D38,Milestones!$AA$57)&lt;=AsOfDate,IF($R38=0,$X38,IF(AND($T38&lt;&gt;"",EDATE($D38,Milestones!$AA$57)&gt;=$T38),$W38,IF(AND($S38&lt;&gt;"",EDATE($D38,Milestones!$AA$57)&gt;=$S38),$V38,$U38)))=Milestones!$AB$57),UPPER(TEXT(EDATE($D38,Milestones!$AA$57),"dd mmm yy"))&amp;" "&amp;Milestones!$AB$57&amp;" "&amp;Milestones!$AC$57&amp;";  ","")&amp;IF(AND(EDATE($D38,Milestones!$AA$58)&lt;=AsOfDate,IF($R38=0,$X38,IF(AND($T38&lt;&gt;"",EDATE($D38,Milestones!$AA$58)&gt;=$T38),$W38,IF(AND($S38&lt;&gt;"",EDATE($D38,Milestones!$AA$58)&gt;=$S38),$V38,$U38)))=Milestones!$AB$58),UPPER(TEXT(EDATE($D38,Milestones!$AA$58),"dd mmm yy"))&amp;" "&amp;Milestones!$AB$58&amp;" "&amp;Milestones!$AC$58&amp;";  ","")&amp;IF(AND(EDATE($D38,Milestones!$AA$59)&lt;=AsOfDate,IF($R38=0,$X38,IF(AND($T38&lt;&gt;"",EDATE($D38,Milestones!$AA$59)&gt;=$T38),$W38,IF(AND($S38&lt;&gt;"",EDATE($D38,Milestones!$AA$59)&gt;=$S38),$V38,$U38)))=Milestones!$AB$59),UPPER(TEXT(EDATE($D38,Milestones!$AA$59),"dd mmm yy"))&amp;" "&amp;Milestones!$AB$59&amp;" "&amp;Milestones!$AC$59&amp;";  ",""))</f>
        <v/>
      </c>
      <c r="K38" s="0" t="str">
        <f aca="false">IF(OR($A38="",$D38=""),"",IF(AND(EDATE($D38,Milestones!$AA$60)&lt;=AsOfDate,IF($R38=0,$X38,IF(AND($T38&lt;&gt;"",EDATE($D38,Milestones!$AA$60)&gt;=$T38),$W38,IF(AND($S38&lt;&gt;"",EDATE($D38,Milestones!$AA$60)&gt;=$S38),$V38,$U38)))=Milestones!$AB$60),UPPER(TEXT(EDATE($D38,Milestones!$AA$60),"dd mmm yy"))&amp;" "&amp;Milestones!$AB$60&amp;" "&amp;Milestones!$AC$60&amp;";  ","")&amp;IF(AND(EDATE($D38,Milestones!$AA$61)&lt;=AsOfDate,IF($R38=0,$X38,IF(AND($T38&lt;&gt;"",EDATE($D38,Milestones!$AA$61)&gt;=$T38),$W38,IF(AND($S38&lt;&gt;"",EDATE($D38,Milestones!$AA$61)&gt;=$S38),$V38,$U38)))=Milestones!$AB$61),UPPER(TEXT(EDATE($D38,Milestones!$AA$61),"dd mmm yy"))&amp;" "&amp;Milestones!$AB$61&amp;" "&amp;Milestones!$AC$61&amp;";  ","")&amp;IF(AND(EDATE($D38,Milestones!$AA$62)&lt;=AsOfDate,IF($R38=0,$X38,IF(AND($T38&lt;&gt;"",EDATE($D38,Milestones!$AA$62)&gt;=$T38),$W38,IF(AND($S38&lt;&gt;"",EDATE($D38,Milestones!$AA$62)&gt;=$S38),$V38,$U38)))=Milestones!$AB$62),UPPER(TEXT(EDATE($D38,Milestones!$AA$62),"dd mmm yy"))&amp;" "&amp;Milestones!$AB$62&amp;" "&amp;Milestones!$AC$62&amp;";  ","")&amp;IF(AND(EDATE($D38,Milestones!$AA$63)&lt;=AsOfDate,IF($R38=0,$X38,IF(AND($T38&lt;&gt;"",EDATE($D38,Milestones!$AA$63)&gt;=$T38),$W38,IF(AND($S38&lt;&gt;"",EDATE($D38,Milestones!$AA$63)&gt;=$S38),$V38,$U38)))=Milestones!$AB$63),UPPER(TEXT(EDATE($D38,Milestones!$AA$63),"dd mmm yy"))&amp;" "&amp;Milestones!$AB$63&amp;" "&amp;Milestones!$AC$63&amp;";  ","")&amp;IF(AND(EDATE($D38,Milestones!$AA$64)&lt;=AsOfDate,IF($R38=0,$X38,IF(AND($T38&lt;&gt;"",EDATE($D38,Milestones!$AA$64)&gt;=$T38),$W38,IF(AND($S38&lt;&gt;"",EDATE($D38,Milestones!$AA$64)&gt;=$S38),$V38,$U38)))=Milestones!$AB$64),UPPER(TEXT(EDATE($D38,Milestones!$AA$64),"dd mmm yy"))&amp;" "&amp;Milestones!$AB$64&amp;" "&amp;Milestones!$AC$64&amp;";  ","")&amp;IF(AND(EDATE($D38,Milestones!$AA$65)&lt;=AsOfDate,IF($R38=0,$X38,IF(AND($T38&lt;&gt;"",EDATE($D38,Milestones!$AA$65)&gt;=$T38),$W38,IF(AND($S38&lt;&gt;"",EDATE($D38,Milestones!$AA$65)&gt;=$S38),$V38,$U38)))=Milestones!$AB$65),UPPER(TEXT(EDATE($D38,Milestones!$AA$65),"dd mmm yy"))&amp;" "&amp;Milestones!$AB$65&amp;" "&amp;Milestones!$AC$65&amp;";  ","")&amp;IF(AND(EDATE($D38,Milestones!$AA$66)&lt;=AsOfDate,IF($R38=0,$X38,IF(AND($T38&lt;&gt;"",EDATE($D38,Milestones!$AA$66)&gt;=$T38),$W38,IF(AND($S38&lt;&gt;"",EDATE($D38,Milestones!$AA$66)&gt;=$S38),$V38,$U38)))=Milestones!$AB$66),UPPER(TEXT(EDATE($D38,Milestones!$AA$66),"dd mmm yy"))&amp;" "&amp;Milestones!$AB$66&amp;" "&amp;Milestones!$AC$66&amp;";  ","")&amp;IF(AND(EDATE($D38,Milestones!$AA$67)&lt;=AsOfDate,IF($R38=0,$X38,IF(AND($T38&lt;&gt;"",EDATE($D38,Milestones!$AA$67)&gt;=$T38),$W38,IF(AND($S38&lt;&gt;"",EDATE($D38,Milestones!$AA$67)&gt;=$S38),$V38,$U38)))=Milestones!$AB$67),UPPER(TEXT(EDATE($D38,Milestones!$AA$67),"dd mmm yy"))&amp;" "&amp;Milestones!$AB$67&amp;" "&amp;Milestones!$AC$67&amp;";  ","")&amp;IF(AND(EDATE($D38,Milestones!$AA$68)&lt;=AsOfDate,IF($R38=0,$X38,IF(AND($T38&lt;&gt;"",EDATE($D38,Milestones!$AA$68)&gt;=$T38),$W38,IF(AND($S38&lt;&gt;"",EDATE($D38,Milestones!$AA$68)&gt;=$S38),$V38,$U38)))=Milestones!$AB$68),UPPER(TEXT(EDATE($D38,Milestones!$AA$68),"dd mmm yy"))&amp;" "&amp;Milestones!$AB$68&amp;" "&amp;Milestones!$AC$68&amp;";  ","")&amp;IF(AND(EDATE($D38,Milestones!$AA$69)&lt;=AsOfDate,IF($R38=0,$X38,IF(AND($T38&lt;&gt;"",EDATE($D38,Milestones!$AA$69)&gt;=$T38),$W38,IF(AND($S38&lt;&gt;"",EDATE($D38,Milestones!$AA$69)&gt;=$S38),$V38,$U38)))=Milestones!$AB$69),UPPER(TEXT(EDATE($D38,Milestones!$AA$69),"dd mmm yy"))&amp;" "&amp;Milestones!$AB$69&amp;" "&amp;Milestones!$AC$69&amp;";  ","")&amp;IF(AND(EDATE($D38,Milestones!$AA$70)&lt;=AsOfDate,IF($R38=0,$X38,IF(AND($T38&lt;&gt;"",EDATE($D38,Milestones!$AA$70)&gt;=$T38),$W38,IF(AND($S38&lt;&gt;"",EDATE($D38,Milestones!$AA$70)&gt;=$S38),$V38,$U38)))=Milestones!$AB$70),UPPER(TEXT(EDATE($D38,Milestones!$AA$70),"dd mmm yy"))&amp;" "&amp;Milestones!$AB$70&amp;" "&amp;Milestones!$AC$70&amp;";  ","")&amp;IF(AND(EDATE($D38,Milestones!$AA$71)&lt;=AsOfDate,IF($R38=0,$X38,IF(AND($T38&lt;&gt;"",EDATE($D38,Milestones!$AA$71)&gt;=$T38),$W38,IF(AND($S38&lt;&gt;"",EDATE($D38,Milestones!$AA$71)&gt;=$S38),$V38,$U38)))=Milestones!$AB$71),UPPER(TEXT(EDATE($D38,Milestones!$AA$71),"dd mmm yy"))&amp;" "&amp;Milestones!$AB$71&amp;" "&amp;Milestones!$AC$71&amp;";  ","")&amp;IF(AND(EDATE($D38,Milestones!$AA$72)&lt;=AsOfDate,IF($R38=0,$X38,IF(AND($T38&lt;&gt;"",EDATE($D38,Milestones!$AA$72)&gt;=$T38),$W38,IF(AND($S38&lt;&gt;"",EDATE($D38,Milestones!$AA$72)&gt;=$S38),$V38,$U38)))=Milestones!$AB$72),UPPER(TEXT(EDATE($D38,Milestones!$AA$72),"dd mmm yy"))&amp;" "&amp;Milestones!$AB$72&amp;" "&amp;Milestones!$AC$72&amp;";  ","")&amp;IF(AND(EDATE($D38,Milestones!$AA$73)&lt;=AsOfDate,IF($R38=0,$X38,IF(AND($T38&lt;&gt;"",EDATE($D38,Milestones!$AA$73)&gt;=$T38),$W38,IF(AND($S38&lt;&gt;"",EDATE($D38,Milestones!$AA$73)&gt;=$S38),$V38,$U38)))=Milestones!$AB$73),UPPER(TEXT(EDATE($D38,Milestones!$AA$73),"dd mmm yy"))&amp;" "&amp;Milestones!$AB$73&amp;" "&amp;Milestones!$AC$73&amp;";  ","")&amp;IF(AND(EDATE($D38,Milestones!$AA$74)&lt;=AsOfDate,IF($R38=0,$X38,IF(AND($T38&lt;&gt;"",EDATE($D38,Milestones!$AA$74)&gt;=$T38),$W38,IF(AND($S38&lt;&gt;"",EDATE($D38,Milestones!$AA$74)&gt;=$S38),$V38,$U38)))=Milestones!$AB$74),UPPER(TEXT(EDATE($D38,Milestones!$AA$74),"dd mmm yy"))&amp;" "&amp;Milestones!$AB$74&amp;" "&amp;Milestones!$AC$74&amp;";  ","")&amp;IF(AND(EDATE($D38,Milestones!$AA$75)&lt;=AsOfDate,IF($R38=0,$X38,IF(AND($T38&lt;&gt;"",EDATE($D38,Milestones!$AA$75)&gt;=$T38),$W38,IF(AND($S38&lt;&gt;"",EDATE($D38,Milestones!$AA$75)&gt;=$S38),$V38,$U38)))=Milestones!$AB$75),UPPER(TEXT(EDATE($D38,Milestones!$AA$75),"dd mmm yy"))&amp;" "&amp;Milestones!$AB$75&amp;" "&amp;Milestones!$AC$75&amp;";  ","")&amp;IF(AND(EDATE($D38,Milestones!$AA$76)&lt;=AsOfDate,IF($R38=0,$X38,IF(AND($T38&lt;&gt;"",EDATE($D38,Milestones!$AA$76)&gt;=$T38),$W38,IF(AND($S38&lt;&gt;"",EDATE($D38,Milestones!$AA$76)&gt;=$S38),$V38,$U38)))=Milestones!$AB$76),UPPER(TEXT(EDATE($D38,Milestones!$AA$76),"dd mmm yy"))&amp;" "&amp;Milestones!$AB$76&amp;" "&amp;Milestones!$AC$76&amp;";  ","")&amp;IF(AND(EDATE($D38,Milestones!$AA$77)&lt;=AsOfDate,IF($R38=0,$X38,IF(AND($T38&lt;&gt;"",EDATE($D38,Milestones!$AA$77)&gt;=$T38),$W38,IF(AND($S38&lt;&gt;"",EDATE($D38,Milestones!$AA$77)&gt;=$S38),$V38,$U38)))=Milestones!$AB$77),UPPER(TEXT(EDATE($D38,Milestones!$AA$77),"dd mmm yy"))&amp;" "&amp;Milestones!$AB$77&amp;" "&amp;Milestones!$AC$77&amp;";  ","")&amp;IF(AND(EDATE($D38,Milestones!$AA$78)&lt;=AsOfDate,IF($R38=0,$X38,IF(AND($T38&lt;&gt;"",EDATE($D38,Milestones!$AA$78)&gt;=$T38),$W38,IF(AND($S38&lt;&gt;"",EDATE($D38,Milestones!$AA$78)&gt;=$S38),$V38,$U38)))=Milestones!$AB$78),UPPER(TEXT(EDATE($D38,Milestones!$AA$78),"dd mmm yy"))&amp;" "&amp;Milestones!$AB$78&amp;" "&amp;Milestones!$AC$78&amp;";  ","")&amp;IF(AND(EDATE($D38,Milestones!$AA$79)&lt;=AsOfDate,IF($R38=0,$X38,IF(AND($T38&lt;&gt;"",EDATE($D38,Milestones!$AA$79)&gt;=$T38),$W38,IF(AND($S38&lt;&gt;"",EDATE($D38,Milestones!$AA$79)&gt;=$S38),$V38,$U38)))=Milestones!$AB$79),UPPER(TEXT(EDATE($D38,Milestones!$AA$79),"dd mmm yy"))&amp;" "&amp;Milestones!$AB$79&amp;" "&amp;Milestones!$AC$79&amp;";  ",""))</f>
        <v/>
      </c>
      <c r="L38" s="0" t="str">
        <f aca="false">IF(OR($A38="",$D38=""),"",IF(AND(EDATE($D38,Milestones!$AA$80)&lt;=AsOfDate,IF($R38=0,$X38,IF(AND($T38&lt;&gt;"",EDATE($D38,Milestones!$AA$80)&gt;=$T38),$W38,IF(AND($S38&lt;&gt;"",EDATE($D38,Milestones!$AA$80)&gt;=$S38),$V38,$U38)))=Milestones!$AB$80),UPPER(TEXT(EDATE($D38,Milestones!$AA$80),"dd mmm yy"))&amp;" "&amp;Milestones!$AB$80&amp;" "&amp;Milestones!$AC$80&amp;";  ","")&amp;IF(AND(EDATE($D38,Milestones!$AA$81)&lt;=AsOfDate,IF($R38=0,$X38,IF(AND($T38&lt;&gt;"",EDATE($D38,Milestones!$AA$81)&gt;=$T38),$W38,IF(AND($S38&lt;&gt;"",EDATE($D38,Milestones!$AA$81)&gt;=$S38),$V38,$U38)))=Milestones!$AB$81),UPPER(TEXT(EDATE($D38,Milestones!$AA$81),"dd mmm yy"))&amp;" "&amp;Milestones!$AB$81&amp;" "&amp;Milestones!$AC$81&amp;";  ","")&amp;IF(AND(EDATE($D38,Milestones!$AA$82)&lt;=AsOfDate,IF($R38=0,$X38,IF(AND($T38&lt;&gt;"",EDATE($D38,Milestones!$AA$82)&gt;=$T38),$W38,IF(AND($S38&lt;&gt;"",EDATE($D38,Milestones!$AA$82)&gt;=$S38),$V38,$U38)))=Milestones!$AB$82),UPPER(TEXT(EDATE($D38,Milestones!$AA$82),"dd mmm yy"))&amp;" "&amp;Milestones!$AB$82&amp;" "&amp;Milestones!$AC$82&amp;";  ","")&amp;IF(AND(EDATE($D38,Milestones!$AA$83)&lt;=AsOfDate,IF($R38=0,$X38,IF(AND($T38&lt;&gt;"",EDATE($D38,Milestones!$AA$83)&gt;=$T38),$W38,IF(AND($S38&lt;&gt;"",EDATE($D38,Milestones!$AA$83)&gt;=$S38),$V38,$U38)))=Milestones!$AB$83),UPPER(TEXT(EDATE($D38,Milestones!$AA$83),"dd mmm yy"))&amp;" "&amp;Milestones!$AB$83&amp;" "&amp;Milestones!$AC$83&amp;";  ","")&amp;IF(AND(EDATE($D38,Milestones!$AA$84)&lt;=AsOfDate,IF($R38=0,$X38,IF(AND($T38&lt;&gt;"",EDATE($D38,Milestones!$AA$84)&gt;=$T38),$W38,IF(AND($S38&lt;&gt;"",EDATE($D38,Milestones!$AA$84)&gt;=$S38),$V38,$U38)))=Milestones!$AB$84),UPPER(TEXT(EDATE($D38,Milestones!$AA$84),"dd mmm yy"))&amp;" "&amp;Milestones!$AB$84&amp;" "&amp;Milestones!$AC$84&amp;";  ","")&amp;IF(AND(EDATE($D38,Milestones!$AA$85)&lt;=AsOfDate,IF($R38=0,$X38,IF(AND($T38&lt;&gt;"",EDATE($D38,Milestones!$AA$85)&gt;=$T38),$W38,IF(AND($S38&lt;&gt;"",EDATE($D38,Milestones!$AA$85)&gt;=$S38),$V38,$U38)))=Milestones!$AB$85),UPPER(TEXT(EDATE($D38,Milestones!$AA$85),"dd mmm yy"))&amp;" "&amp;Milestones!$AB$85&amp;" "&amp;Milestones!$AC$85&amp;";  ","")&amp;IF(AND(EDATE($D38,Milestones!$AA$86)&lt;=AsOfDate,IF($R38=0,$X38,IF(AND($T38&lt;&gt;"",EDATE($D38,Milestones!$AA$86)&gt;=$T38),$W38,IF(AND($S38&lt;&gt;"",EDATE($D38,Milestones!$AA$86)&gt;=$S38),$V38,$U38)))=Milestones!$AB$86),UPPER(TEXT(EDATE($D38,Milestones!$AA$86),"dd mmm yy"))&amp;" "&amp;Milestones!$AB$86&amp;" "&amp;Milestones!$AC$86&amp;";  ","")&amp;IF(AND(EDATE($D38,Milestones!$AA$87)&lt;=AsOfDate,IF($R38=0,$X38,IF(AND($T38&lt;&gt;"",EDATE($D38,Milestones!$AA$87)&gt;=$T38),$W38,IF(AND($S38&lt;&gt;"",EDATE($D38,Milestones!$AA$87)&gt;=$S38),$V38,$U38)))=Milestones!$AB$87),UPPER(TEXT(EDATE($D38,Milestones!$AA$87),"dd mmm yy"))&amp;" "&amp;Milestones!$AB$87&amp;" "&amp;Milestones!$AC$87&amp;";  ","")&amp;IF(AND(EDATE($D38,Milestones!$AA$88)&lt;=AsOfDate,IF($R38=0,$X38,IF(AND($T38&lt;&gt;"",EDATE($D38,Milestones!$AA$88)&gt;=$T38),$W38,IF(AND($S38&lt;&gt;"",EDATE($D38,Milestones!$AA$88)&gt;=$S38),$V38,$U38)))=Milestones!$AB$88),UPPER(TEXT(EDATE($D38,Milestones!$AA$88),"dd mmm yy"))&amp;" "&amp;Milestones!$AB$88&amp;" "&amp;Milestones!$AC$88&amp;";  ","")&amp;IF(AND(EDATE($D38,Milestones!$AA$89)&lt;=AsOfDate,IF($R38=0,$X38,IF(AND($T38&lt;&gt;"",EDATE($D38,Milestones!$AA$89)&gt;=$T38),$W38,IF(AND($S38&lt;&gt;"",EDATE($D38,Milestones!$AA$89)&gt;=$S38),$V38,$U38)))=Milestones!$AB$89),UPPER(TEXT(EDATE($D38,Milestones!$AA$89),"dd mmm yy"))&amp;" "&amp;Milestones!$AB$89&amp;" "&amp;Milestones!$AC$89&amp;";  ","")&amp;IF(AND(EDATE($D38,Milestones!$AA$90)&lt;=AsOfDate,IF($R38=0,$X38,IF(AND($T38&lt;&gt;"",EDATE($D38,Milestones!$AA$90)&gt;=$T38),$W38,IF(AND($S38&lt;&gt;"",EDATE($D38,Milestones!$AA$90)&gt;=$S38),$V38,$U38)))=Milestones!$AB$90),UPPER(TEXT(EDATE($D38,Milestones!$AA$90),"dd mmm yy"))&amp;" "&amp;Milestones!$AB$90&amp;" "&amp;Milestones!$AC$90&amp;";  ","")&amp;IF(AND(EDATE($D38,Milestones!$AA$91)&lt;=AsOfDate,IF($R38=0,$X38,IF(AND($T38&lt;&gt;"",EDATE($D38,Milestones!$AA$91)&gt;=$T38),$W38,IF(AND($S38&lt;&gt;"",EDATE($D38,Milestones!$AA$91)&gt;=$S38),$V38,$U38)))=Milestones!$AB$91),UPPER(TEXT(EDATE($D38,Milestones!$AA$91),"dd mmm yy"))&amp;" "&amp;Milestones!$AB$91&amp;" "&amp;Milestones!$AC$91&amp;";  ","")&amp;IF(AND(EDATE($D38,Milestones!$AA$92)&lt;=AsOfDate,IF($R38=0,$X38,IF(AND($T38&lt;&gt;"",EDATE($D38,Milestones!$AA$92)&gt;=$T38),$W38,IF(AND($S38&lt;&gt;"",EDATE($D38,Milestones!$AA$92)&gt;=$S38),$V38,$U38)))=Milestones!$AB$92),UPPER(TEXT(EDATE($D38,Milestones!$AA$92),"dd mmm yy"))&amp;" "&amp;Milestones!$AB$92&amp;" "&amp;Milestones!$AC$92&amp;";  ","")&amp;IF(AND(EDATE($D38,Milestones!$AA$93)&lt;=AsOfDate,IF($R38=0,$X38,IF(AND($T38&lt;&gt;"",EDATE($D38,Milestones!$AA$93)&gt;=$T38),$W38,IF(AND($S38&lt;&gt;"",EDATE($D38,Milestones!$AA$93)&gt;=$S38),$V38,$U38)))=Milestones!$AB$93),UPPER(TEXT(EDATE($D38,Milestones!$AA$93),"dd mmm yy"))&amp;" "&amp;Milestones!$AB$93&amp;" "&amp;Milestones!$AC$93&amp;";  ","")&amp;IF(AND(EDATE($D38,Milestones!$AA$94)&lt;=AsOfDate,IF($R38=0,$X38,IF(AND($T38&lt;&gt;"",EDATE($D38,Milestones!$AA$94)&gt;=$T38),$W38,IF(AND($S38&lt;&gt;"",EDATE($D38,Milestones!$AA$94)&gt;=$S38),$V38,$U38)))=Milestones!$AB$94),UPPER(TEXT(EDATE($D38,Milestones!$AA$94),"dd mmm yy"))&amp;" "&amp;Milestones!$AB$94&amp;" "&amp;Milestones!$AC$94&amp;";  ","")&amp;IF(AND(EDATE($D38,Milestones!$AA$95)&lt;=AsOfDate,IF($R38=0,$X38,IF(AND($T38&lt;&gt;"",EDATE($D38,Milestones!$AA$95)&gt;=$T38),$W38,IF(AND($S38&lt;&gt;"",EDATE($D38,Milestones!$AA$95)&gt;=$S38),$V38,$U38)))=Milestones!$AB$95),UPPER(TEXT(EDATE($D38,Milestones!$AA$95),"dd mmm yy"))&amp;" "&amp;Milestones!$AB$95&amp;" "&amp;Milestones!$AC$95&amp;";  ","")&amp;IF(AND(EDATE($D38,Milestones!$AA$96)&lt;=AsOfDate,IF($R38=0,$X38,IF(AND($T38&lt;&gt;"",EDATE($D38,Milestones!$AA$96)&gt;=$T38),$W38,IF(AND($S38&lt;&gt;"",EDATE($D38,Milestones!$AA$96)&gt;=$S38),$V38,$U38)))=Milestones!$AB$96),UPPER(TEXT(EDATE($D38,Milestones!$AA$96),"dd mmm yy"))&amp;" "&amp;Milestones!$AB$96&amp;" "&amp;Milestones!$AC$96&amp;";  ","")&amp;IF(AND(EDATE($D38,Milestones!$AA$97)&lt;=AsOfDate,IF($R38=0,$X38,IF(AND($T38&lt;&gt;"",EDATE($D38,Milestones!$AA$97)&gt;=$T38),$W38,IF(AND($S38&lt;&gt;"",EDATE($D38,Milestones!$AA$97)&gt;=$S38),$V38,$U38)))=Milestones!$AB$97),UPPER(TEXT(EDATE($D38,Milestones!$AA$97),"dd mmm yy"))&amp;" "&amp;Milestones!$AB$97&amp;" "&amp;Milestones!$AC$97&amp;";  ","")&amp;IF(AND(EDATE($D38,Milestones!$AA$98)&lt;=AsOfDate,IF($R38=0,$X38,IF(AND($T38&lt;&gt;"",EDATE($D38,Milestones!$AA$98)&gt;=$T38),$W38,IF(AND($S38&lt;&gt;"",EDATE($D38,Milestones!$AA$98)&gt;=$S38),$V38,$U38)))=Milestones!$AB$98),UPPER(TEXT(EDATE($D38,Milestones!$AA$98),"dd mmm yy"))&amp;" "&amp;Milestones!$AB$98&amp;" "&amp;Milestones!$AC$98&amp;";  ","")&amp;IF(AND(EDATE($D38,Milestones!$AA$99)&lt;=AsOfDate,IF($R38=0,$X38,IF(AND($T38&lt;&gt;"",EDATE($D38,Milestones!$AA$99)&gt;=$T38),$W38,IF(AND($S38&lt;&gt;"",EDATE($D38,Milestones!$AA$99)&gt;=$S38),$V38,$U38)))=Milestones!$AB$99),UPPER(TEXT(EDATE($D38,Milestones!$AA$99),"dd mmm yy"))&amp;" "&amp;Milestones!$AB$99&amp;" "&amp;Milestones!$AC$99&amp;";  ",""))</f>
        <v/>
      </c>
      <c r="M38" s="0" t="str">
        <f aca="false">IF(OR($A38="",$D38=""),"",IF(AND(EDATE($D38,Milestones!$AA$100)&lt;=AsOfDate,IF($R38=0,$X38,IF(AND($T38&lt;&gt;"",EDATE($D38,Milestones!$AA$100)&gt;=$T38),$W38,IF(AND($S38&lt;&gt;"",EDATE($D38,Milestones!$AA$100)&gt;=$S38),$V38,$U38)))=Milestones!$AB$100),UPPER(TEXT(EDATE($D38,Milestones!$AA$100),"dd mmm yy"))&amp;" "&amp;Milestones!$AB$100&amp;" "&amp;Milestones!$AC$100&amp;";  ","")&amp;IF(AND(EDATE($D38,Milestones!$AA$101)&lt;=AsOfDate,IF($R38=0,$X38,IF(AND($T38&lt;&gt;"",EDATE($D38,Milestones!$AA$101)&gt;=$T38),$W38,IF(AND($S38&lt;&gt;"",EDATE($D38,Milestones!$AA$101)&gt;=$S38),$V38,$U38)))=Milestones!$AB$101),UPPER(TEXT(EDATE($D38,Milestones!$AA$101),"dd mmm yy"))&amp;" "&amp;Milestones!$AB$101&amp;" "&amp;Milestones!$AC$101&amp;";  ","")&amp;IF(AND(EDATE($D38,Milestones!$AA$102)&lt;=AsOfDate,IF($R38=0,$X38,IF(AND($T38&lt;&gt;"",EDATE($D38,Milestones!$AA$102)&gt;=$T38),$W38,IF(AND($S38&lt;&gt;"",EDATE($D38,Milestones!$AA$102)&gt;=$S38),$V38,$U38)))=Milestones!$AB$102),UPPER(TEXT(EDATE($D38,Milestones!$AA$102),"dd mmm yy"))&amp;" "&amp;Milestones!$AB$102&amp;" "&amp;Milestones!$AC$102&amp;";  ","")&amp;IF(AND(EDATE($D38,Milestones!$AA$103)&lt;=AsOfDate,IF($R38=0,$X38,IF(AND($T38&lt;&gt;"",EDATE($D38,Milestones!$AA$103)&gt;=$T38),$W38,IF(AND($S38&lt;&gt;"",EDATE($D38,Milestones!$AA$103)&gt;=$S38),$V38,$U38)))=Milestones!$AB$103),UPPER(TEXT(EDATE($D38,Milestones!$AA$103),"dd mmm yy"))&amp;" "&amp;Milestones!$AB$103&amp;" "&amp;Milestones!$AC$103&amp;";  ","")&amp;IF(AND(EDATE($D38,Milestones!$AA$104)&lt;=AsOfDate,IF($R38=0,$X38,IF(AND($T38&lt;&gt;"",EDATE($D38,Milestones!$AA$104)&gt;=$T38),$W38,IF(AND($S38&lt;&gt;"",EDATE($D38,Milestones!$AA$104)&gt;=$S38),$V38,$U38)))=Milestones!$AB$104),UPPER(TEXT(EDATE($D38,Milestones!$AA$104),"dd mmm yy"))&amp;" "&amp;Milestones!$AB$104&amp;" "&amp;Milestones!$AC$104&amp;";  ","")&amp;IF(AND(EDATE($D38,Milestones!$AA$105)&lt;=AsOfDate,IF($R38=0,$X38,IF(AND($T38&lt;&gt;"",EDATE($D38,Milestones!$AA$105)&gt;=$T38),$W38,IF(AND($S38&lt;&gt;"",EDATE($D38,Milestones!$AA$105)&gt;=$S38),$V38,$U38)))=Milestones!$AB$105),UPPER(TEXT(EDATE($D38,Milestones!$AA$105),"dd mmm yy"))&amp;" "&amp;Milestones!$AB$105&amp;" "&amp;Milestones!$AC$105&amp;";  ","")&amp;IF(AND(EDATE($D38,Milestones!$AA$106)&lt;=AsOfDate,IF($R38=0,$X38,IF(AND($T38&lt;&gt;"",EDATE($D38,Milestones!$AA$106)&gt;=$T38),$W38,IF(AND($S38&lt;&gt;"",EDATE($D38,Milestones!$AA$106)&gt;=$S38),$V38,$U38)))=Milestones!$AB$106),UPPER(TEXT(EDATE($D38,Milestones!$AA$106),"dd mmm yy"))&amp;" "&amp;Milestones!$AB$106&amp;" "&amp;Milestones!$AC$106&amp;";  ","")&amp;IF(AND(EDATE($D38,Milestones!$AA$107)&lt;=AsOfDate,IF($R38=0,$X38,IF(AND($T38&lt;&gt;"",EDATE($D38,Milestones!$AA$107)&gt;=$T38),$W38,IF(AND($S38&lt;&gt;"",EDATE($D38,Milestones!$AA$107)&gt;=$S38),$V38,$U38)))=Milestones!$AB$107),UPPER(TEXT(EDATE($D38,Milestones!$AA$107),"dd mmm yy"))&amp;" "&amp;Milestones!$AB$107&amp;" "&amp;Milestones!$AC$107&amp;";  ","")&amp;IF(AND(EDATE($D38,Milestones!$AA$108)&lt;=AsOfDate,IF($R38=0,$X38,IF(AND($T38&lt;&gt;"",EDATE($D38,Milestones!$AA$108)&gt;=$T38),$W38,IF(AND($S38&lt;&gt;"",EDATE($D38,Milestones!$AA$108)&gt;=$S38),$V38,$U38)))=Milestones!$AB$108),UPPER(TEXT(EDATE($D38,Milestones!$AA$108),"dd mmm yy"))&amp;" "&amp;Milestones!$AB$108&amp;" "&amp;Milestones!$AC$108&amp;";  ","")&amp;IF(AND(EDATE($D38,Milestones!$AA$109)&lt;=AsOfDate,IF($R38=0,$X38,IF(AND($T38&lt;&gt;"",EDATE($D38,Milestones!$AA$109)&gt;=$T38),$W38,IF(AND($S38&lt;&gt;"",EDATE($D38,Milestones!$AA$109)&gt;=$S38),$V38,$U38)))=Milestones!$AB$109),UPPER(TEXT(EDATE($D38,Milestones!$AA$109),"dd mmm yy"))&amp;" "&amp;Milestones!$AB$109&amp;" "&amp;Milestones!$AC$109&amp;";  ","")&amp;IF(AND(EDATE($D38,Milestones!$AA$110)&lt;=AsOfDate,IF($R38=0,$X38,IF(AND($T38&lt;&gt;"",EDATE($D38,Milestones!$AA$110)&gt;=$T38),$W38,IF(AND($S38&lt;&gt;"",EDATE($D38,Milestones!$AA$110)&gt;=$S38),$V38,$U38)))=Milestones!$AB$110),UPPER(TEXT(EDATE($D38,Milestones!$AA$110),"dd mmm yy"))&amp;" "&amp;Milestones!$AB$110&amp;" "&amp;Milestones!$AC$110&amp;";  ","")&amp;IF(AND(EDATE($D38,Milestones!$AA$111)&lt;=AsOfDate,IF($R38=0,$X38,IF(AND($T38&lt;&gt;"",EDATE($D38,Milestones!$AA$111)&gt;=$T38),$W38,IF(AND($S38&lt;&gt;"",EDATE($D38,Milestones!$AA$111)&gt;=$S38),$V38,$U38)))=Milestones!$AB$111),UPPER(TEXT(EDATE($D38,Milestones!$AA$111),"dd mmm yy"))&amp;" "&amp;Milestones!$AB$111&amp;" "&amp;Milestones!$AC$111&amp;";  ","")&amp;IF(AND(EDATE($D38,Milestones!$AA$112)&lt;=AsOfDate,IF($R38=0,$X38,IF(AND($T38&lt;&gt;"",EDATE($D38,Milestones!$AA$112)&gt;=$T38),$W38,IF(AND($S38&lt;&gt;"",EDATE($D38,Milestones!$AA$112)&gt;=$S38),$V38,$U38)))=Milestones!$AB$112),UPPER(TEXT(EDATE($D38,Milestones!$AA$112),"dd mmm yy"))&amp;" "&amp;Milestones!$AB$112&amp;" "&amp;Milestones!$AC$112&amp;";  ","")&amp;IF(AND(EDATE($D38,Milestones!$AA$113)&lt;=AsOfDate,IF($R38=0,$X38,IF(AND($T38&lt;&gt;"",EDATE($D38,Milestones!$AA$113)&gt;=$T38),$W38,IF(AND($S38&lt;&gt;"",EDATE($D38,Milestones!$AA$113)&gt;=$S38),$V38,$U38)))=Milestones!$AB$113),UPPER(TEXT(EDATE($D38,Milestones!$AA$113),"dd mmm yy"))&amp;" "&amp;Milestones!$AB$113&amp;" "&amp;Milestones!$AC$113&amp;";  ","")&amp;IF(AND(EDATE($D38,Milestones!$AA$114)&lt;=AsOfDate,IF($R38=0,$X38,IF(AND($T38&lt;&gt;"",EDATE($D38,Milestones!$AA$114)&gt;=$T38),$W38,IF(AND($S38&lt;&gt;"",EDATE($D38,Milestones!$AA$114)&gt;=$S38),$V38,$U38)))=Milestones!$AB$114),UPPER(TEXT(EDATE($D38,Milestones!$AA$114),"dd mmm yy"))&amp;" "&amp;Milestones!$AB$114&amp;" "&amp;Milestones!$AC$114&amp;";  ","")&amp;IF(AND(EDATE($D38,Milestones!$AA$115)&lt;=AsOfDate,IF($R38=0,$X38,IF(AND($T38&lt;&gt;"",EDATE($D38,Milestones!$AA$115)&gt;=$T38),$W38,IF(AND($S38&lt;&gt;"",EDATE($D38,Milestones!$AA$115)&gt;=$S38),$V38,$U38)))=Milestones!$AB$115),UPPER(TEXT(EDATE($D38,Milestones!$AA$115),"dd mmm yy"))&amp;" "&amp;Milestones!$AB$115&amp;" "&amp;Milestones!$AC$115&amp;";  ","")&amp;IF(AND(EDATE($D38,Milestones!$AA$116)&lt;=AsOfDate,IF($R38=0,$X38,IF(AND($T38&lt;&gt;"",EDATE($D38,Milestones!$AA$116)&gt;=$T38),$W38,IF(AND($S38&lt;&gt;"",EDATE($D38,Milestones!$AA$116)&gt;=$S38),$V38,$U38)))=Milestones!$AB$116),UPPER(TEXT(EDATE($D38,Milestones!$AA$116),"dd mmm yy"))&amp;" "&amp;Milestones!$AB$116&amp;" "&amp;Milestones!$AC$116&amp;";  ","")&amp;IF(AND(EDATE($D38,Milestones!$AA$117)&lt;=AsOfDate,IF($R38=0,$X38,IF(AND($T38&lt;&gt;"",EDATE($D38,Milestones!$AA$117)&gt;=$T38),$W38,IF(AND($S38&lt;&gt;"",EDATE($D38,Milestones!$AA$117)&gt;=$S38),$V38,$U38)))=Milestones!$AB$117),UPPER(TEXT(EDATE($D38,Milestones!$AA$117),"dd mmm yy"))&amp;" "&amp;Milestones!$AB$117&amp;" "&amp;Milestones!$AC$117&amp;";  ","")&amp;IF(AND(EDATE($D38,Milestones!$AA$118)&lt;=AsOfDate,IF($R38=0,$X38,IF(AND($T38&lt;&gt;"",EDATE($D38,Milestones!$AA$118)&gt;=$T38),$W38,IF(AND($S38&lt;&gt;"",EDATE($D38,Milestones!$AA$118)&gt;=$S38),$V38,$U38)))=Milestones!$AB$118),UPPER(TEXT(EDATE($D38,Milestones!$AA$118),"dd mmm yy"))&amp;" "&amp;Milestones!$AB$118&amp;" "&amp;Milestones!$AC$118&amp;";  ","")&amp;IF(AND(EDATE($D38,Milestones!$AA$119)&lt;=AsOfDate,IF($R38=0,$X38,IF(AND($T38&lt;&gt;"",EDATE($D38,Milestones!$AA$119)&gt;=$T38),$W38,IF(AND($S38&lt;&gt;"",EDATE($D38,Milestones!$AA$119)&gt;=$S38),$V38,$U38)))=Milestones!$AB$119),UPPER(TEXT(EDATE($D38,Milestones!$AA$119),"dd mmm yy"))&amp;" "&amp;Milestones!$AB$119&amp;" "&amp;Milestones!$AC$119&amp;";  ",""))</f>
        <v/>
      </c>
      <c r="N38" s="0" t="str">
        <f aca="false">IF(OR($A38="",$D38=""),"",IF(AND(EDATE($D38,Milestones!$AA$120)&lt;=AsOfDate,IF($R38=0,$X38,IF(AND($T38&lt;&gt;"",EDATE($D38,Milestones!$AA$120)&gt;=$T38),$W38,IF(AND($S38&lt;&gt;"",EDATE($D38,Milestones!$AA$120)&gt;=$S38),$V38,$U38)))=Milestones!$AB$120),UPPER(TEXT(EDATE($D38,Milestones!$AA$120),"dd mmm yy"))&amp;" "&amp;Milestones!$AB$120&amp;" "&amp;Milestones!$AC$120&amp;";  ","")&amp;IF(AND(EDATE($D38,Milestones!$AA$121)&lt;=AsOfDate,IF($R38=0,$X38,IF(AND($T38&lt;&gt;"",EDATE($D38,Milestones!$AA$121)&gt;=$T38),$W38,IF(AND($S38&lt;&gt;"",EDATE($D38,Milestones!$AA$121)&gt;=$S38),$V38,$U38)))=Milestones!$AB$121),UPPER(TEXT(EDATE($D38,Milestones!$AA$121),"dd mmm yy"))&amp;" "&amp;Milestones!$AB$121&amp;" "&amp;Milestones!$AC$121&amp;";  ","")&amp;IF(AND(EDATE($D38,Milestones!$AA$122)&lt;=AsOfDate,IF($R38=0,$X38,IF(AND($T38&lt;&gt;"",EDATE($D38,Milestones!$AA$122)&gt;=$T38),$W38,IF(AND($S38&lt;&gt;"",EDATE($D38,Milestones!$AA$122)&gt;=$S38),$V38,$U38)))=Milestones!$AB$122),UPPER(TEXT(EDATE($D38,Milestones!$AA$122),"dd mmm yy"))&amp;" "&amp;Milestones!$AB$122&amp;" "&amp;Milestones!$AC$122&amp;";  ","")&amp;IF(AND(EDATE($D38,Milestones!$AA$123)&lt;=AsOfDate,IF($R38=0,$X38,IF(AND($T38&lt;&gt;"",EDATE($D38,Milestones!$AA$123)&gt;=$T38),$W38,IF(AND($S38&lt;&gt;"",EDATE($D38,Milestones!$AA$123)&gt;=$S38),$V38,$U38)))=Milestones!$AB$123),UPPER(TEXT(EDATE($D38,Milestones!$AA$123),"dd mmm yy"))&amp;" "&amp;Milestones!$AB$123&amp;" "&amp;Milestones!$AC$123&amp;";  ","")&amp;IF(AND(EDATE($D38,Milestones!$AA$124)&lt;=AsOfDate,IF($R38=0,$X38,IF(AND($T38&lt;&gt;"",EDATE($D38,Milestones!$AA$124)&gt;=$T38),$W38,IF(AND($S38&lt;&gt;"",EDATE($D38,Milestones!$AA$124)&gt;=$S38),$V38,$U38)))=Milestones!$AB$124),UPPER(TEXT(EDATE($D38,Milestones!$AA$124),"dd mmm yy"))&amp;" "&amp;Milestones!$AB$124&amp;" "&amp;Milestones!$AC$124&amp;";  ","")&amp;IF(AND(EDATE($D38,Milestones!$AA$125)&lt;=AsOfDate,IF($R38=0,$X38,IF(AND($T38&lt;&gt;"",EDATE($D38,Milestones!$AA$125)&gt;=$T38),$W38,IF(AND($S38&lt;&gt;"",EDATE($D38,Milestones!$AA$125)&gt;=$S38),$V38,$U38)))=Milestones!$AB$125),UPPER(TEXT(EDATE($D38,Milestones!$AA$125),"dd mmm yy"))&amp;" "&amp;Milestones!$AB$125&amp;" "&amp;Milestones!$AC$125&amp;";  ","")&amp;IF(AND(EDATE($D38,Milestones!$AA$126)&lt;=AsOfDate,IF($R38=0,$X38,IF(AND($T38&lt;&gt;"",EDATE($D38,Milestones!$AA$126)&gt;=$T38),$W38,IF(AND($S38&lt;&gt;"",EDATE($D38,Milestones!$AA$126)&gt;=$S38),$V38,$U38)))=Milestones!$AB$126),UPPER(TEXT(EDATE($D38,Milestones!$AA$126),"dd mmm yy"))&amp;" "&amp;Milestones!$AB$126&amp;" "&amp;Milestones!$AC$126&amp;";  ","")&amp;IF(AND(EDATE($D38,Milestones!$AA$127)&lt;=AsOfDate,IF($R38=0,$X38,IF(AND($T38&lt;&gt;"",EDATE($D38,Milestones!$AA$127)&gt;=$T38),$W38,IF(AND($S38&lt;&gt;"",EDATE($D38,Milestones!$AA$127)&gt;=$S38),$V38,$U38)))=Milestones!$AB$127),UPPER(TEXT(EDATE($D38,Milestones!$AA$127),"dd mmm yy"))&amp;" "&amp;Milestones!$AB$127&amp;" "&amp;Milestones!$AC$127&amp;";  ","")&amp;IF(AND(EDATE($D38,Milestones!$AA$128)&lt;=AsOfDate,IF($R38=0,$X38,IF(AND($T38&lt;&gt;"",EDATE($D38,Milestones!$AA$128)&gt;=$T38),$W38,IF(AND($S38&lt;&gt;"",EDATE($D38,Milestones!$AA$128)&gt;=$S38),$V38,$U38)))=Milestones!$AB$128),UPPER(TEXT(EDATE($D38,Milestones!$AA$128),"dd mmm yy"))&amp;" "&amp;Milestones!$AB$128&amp;" "&amp;Milestones!$AC$128&amp;";  ","")&amp;IF(AND(EDATE($D38,Milestones!$AA$129)&lt;=AsOfDate,IF($R38=0,$X38,IF(AND($T38&lt;&gt;"",EDATE($D38,Milestones!$AA$129)&gt;=$T38),$W38,IF(AND($S38&lt;&gt;"",EDATE($D38,Milestones!$AA$129)&gt;=$S38),$V38,$U38)))=Milestones!$AB$129),UPPER(TEXT(EDATE($D38,Milestones!$AA$129),"dd mmm yy"))&amp;" "&amp;Milestones!$AB$129&amp;" "&amp;Milestones!$AC$129&amp;";  ","")&amp;IF(AND(EDATE($D38,Milestones!$AA$130)&lt;=AsOfDate,IF($R38=0,$X38,IF(AND($T38&lt;&gt;"",EDATE($D38,Milestones!$AA$130)&gt;=$T38),$W38,IF(AND($S38&lt;&gt;"",EDATE($D38,Milestones!$AA$130)&gt;=$S38),$V38,$U38)))=Milestones!$AB$130),UPPER(TEXT(EDATE($D38,Milestones!$AA$130),"dd mmm yy"))&amp;" "&amp;Milestones!$AB$130&amp;" "&amp;Milestones!$AC$130&amp;";  ","")&amp;IF(AND(EDATE($D38,Milestones!$AA$131)&lt;=AsOfDate,IF($R38=0,$X38,IF(AND($T38&lt;&gt;"",EDATE($D38,Milestones!$AA$131)&gt;=$T38),$W38,IF(AND($S38&lt;&gt;"",EDATE($D38,Milestones!$AA$131)&gt;=$S38),$V38,$U38)))=Milestones!$AB$131),UPPER(TEXT(EDATE($D38,Milestones!$AA$131),"dd mmm yy"))&amp;" "&amp;Milestones!$AB$131&amp;" "&amp;Milestones!$AC$131&amp;";  ","")&amp;IF(AND(EDATE($D38,Milestones!$AA$132)&lt;=AsOfDate,IF($R38=0,$X38,IF(AND($T38&lt;&gt;"",EDATE($D38,Milestones!$AA$132)&gt;=$T38),$W38,IF(AND($S38&lt;&gt;"",EDATE($D38,Milestones!$AA$132)&gt;=$S38),$V38,$U38)))=Milestones!$AB$132),UPPER(TEXT(EDATE($D38,Milestones!$AA$132),"dd mmm yy"))&amp;" "&amp;Milestones!$AB$132&amp;" "&amp;Milestones!$AC$132&amp;";  ","")&amp;IF(AND(EDATE($D38,Milestones!$AA$133)&lt;=AsOfDate,IF($R38=0,$X38,IF(AND($T38&lt;&gt;"",EDATE($D38,Milestones!$AA$133)&gt;=$T38),$W38,IF(AND($S38&lt;&gt;"",EDATE($D38,Milestones!$AA$133)&gt;=$S38),$V38,$U38)))=Milestones!$AB$133),UPPER(TEXT(EDATE($D38,Milestones!$AA$133),"dd mmm yy"))&amp;" "&amp;Milestones!$AB$133&amp;" "&amp;Milestones!$AC$133&amp;";  ","")&amp;IF(AND(EDATE($D38,Milestones!$AA$134)&lt;=AsOfDate,IF($R38=0,$X38,IF(AND($T38&lt;&gt;"",EDATE($D38,Milestones!$AA$134)&gt;=$T38),$W38,IF(AND($S38&lt;&gt;"",EDATE($D38,Milestones!$AA$134)&gt;=$S38),$V38,$U38)))=Milestones!$AB$134),UPPER(TEXT(EDATE($D38,Milestones!$AA$134),"dd mmm yy"))&amp;" "&amp;Milestones!$AB$134&amp;" "&amp;Milestones!$AC$134&amp;";  ","")&amp;IF(AND(EDATE($D38,Milestones!$AA$135)&lt;=AsOfDate,IF($R38=0,$X38,IF(AND($T38&lt;&gt;"",EDATE($D38,Milestones!$AA$135)&gt;=$T38),$W38,IF(AND($S38&lt;&gt;"",EDATE($D38,Milestones!$AA$135)&gt;=$S38),$V38,$U38)))=Milestones!$AB$135),UPPER(TEXT(EDATE($D38,Milestones!$AA$135),"dd mmm yy"))&amp;" "&amp;Milestones!$AB$135&amp;" "&amp;Milestones!$AC$135&amp;";  ","")&amp;IF(AND(EDATE($D38,Milestones!$AA$136)&lt;=AsOfDate,IF($R38=0,$X38,IF(AND($T38&lt;&gt;"",EDATE($D38,Milestones!$AA$136)&gt;=$T38),$W38,IF(AND($S38&lt;&gt;"",EDATE($D38,Milestones!$AA$136)&gt;=$S38),$V38,$U38)))=Milestones!$AB$136),UPPER(TEXT(EDATE($D38,Milestones!$AA$136),"dd mmm yy"))&amp;" "&amp;Milestones!$AB$136&amp;" "&amp;Milestones!$AC$136&amp;";  ","")&amp;IF(AND(EDATE($D38,Milestones!$AA$137)&lt;=AsOfDate,IF($R38=0,$X38,IF(AND($T38&lt;&gt;"",EDATE($D38,Milestones!$AA$137)&gt;=$T38),$W38,IF(AND($S38&lt;&gt;"",EDATE($D38,Milestones!$AA$137)&gt;=$S38),$V38,$U38)))=Milestones!$AB$137),UPPER(TEXT(EDATE($D38,Milestones!$AA$137),"dd mmm yy"))&amp;" "&amp;Milestones!$AB$137&amp;" "&amp;Milestones!$AC$137&amp;";  ","")&amp;IF(AND(EDATE($D38,Milestones!$AA$138)&lt;=AsOfDate,IF($R38=0,$X38,IF(AND($T38&lt;&gt;"",EDATE($D38,Milestones!$AA$138)&gt;=$T38),$W38,IF(AND($S38&lt;&gt;"",EDATE($D38,Milestones!$AA$138)&gt;=$S38),$V38,$U38)))=Milestones!$AB$138),UPPER(TEXT(EDATE($D38,Milestones!$AA$138),"dd mmm yy"))&amp;" "&amp;Milestones!$AB$138&amp;" "&amp;Milestones!$AC$138&amp;";  ","")&amp;IF(AND(EDATE($D38,Milestones!$AA$139)&lt;=AsOfDate,IF($R38=0,$X38,IF(AND($T38&lt;&gt;"",EDATE($D38,Milestones!$AA$139)&gt;=$T38),$W38,IF(AND($S38&lt;&gt;"",EDATE($D38,Milestones!$AA$139)&gt;=$S38),$V38,$U38)))=Milestones!$AB$139),UPPER(TEXT(EDATE($D38,Milestones!$AA$139),"dd mmm yy"))&amp;" "&amp;Milestones!$AB$139&amp;" "&amp;Milestones!$AC$139&amp;";  ",""))</f>
        <v/>
      </c>
      <c r="O38" s="0" t="str">
        <f aca="false">IF(OR($A38="",$D38=""),"",IF(AND(EDATE($D38,Milestones!$AA$140)&lt;=AsOfDate,IF($R38=0,$X38,IF(AND($T38&lt;&gt;"",EDATE($D38,Milestones!$AA$140)&gt;=$T38),$W38,IF(AND($S38&lt;&gt;"",EDATE($D38,Milestones!$AA$140)&gt;=$S38),$V38,$U38)))=Milestones!$AB$140),UPPER(TEXT(EDATE($D38,Milestones!$AA$140),"dd mmm yy"))&amp;" "&amp;Milestones!$AB$140&amp;" "&amp;Milestones!$AC$140&amp;";  ","")&amp;IF(AND(EDATE($D38,Milestones!$AA$141)&lt;=AsOfDate,IF($R38=0,$X38,IF(AND($T38&lt;&gt;"",EDATE($D38,Milestones!$AA$141)&gt;=$T38),$W38,IF(AND($S38&lt;&gt;"",EDATE($D38,Milestones!$AA$141)&gt;=$S38),$V38,$U38)))=Milestones!$AB$141),UPPER(TEXT(EDATE($D38,Milestones!$AA$141),"dd mmm yy"))&amp;" "&amp;Milestones!$AB$141&amp;" "&amp;Milestones!$AC$141&amp;";  ","")&amp;IF(AND(EDATE($D38,Milestones!$AA$142)&lt;=AsOfDate,IF($R38=0,$X38,IF(AND($T38&lt;&gt;"",EDATE($D38,Milestones!$AA$142)&gt;=$T38),$W38,IF(AND($S38&lt;&gt;"",EDATE($D38,Milestones!$AA$142)&gt;=$S38),$V38,$U38)))=Milestones!$AB$142),UPPER(TEXT(EDATE($D38,Milestones!$AA$142),"dd mmm yy"))&amp;" "&amp;Milestones!$AB$142&amp;" "&amp;Milestones!$AC$142&amp;";  ","")&amp;IF(AND(EDATE($D38,Milestones!$AA$143)&lt;=AsOfDate,IF($R38=0,$X38,IF(AND($T38&lt;&gt;"",EDATE($D38,Milestones!$AA$143)&gt;=$T38),$W38,IF(AND($S38&lt;&gt;"",EDATE($D38,Milestones!$AA$143)&gt;=$S38),$V38,$U38)))=Milestones!$AB$143),UPPER(TEXT(EDATE($D38,Milestones!$AA$143),"dd mmm yy"))&amp;" "&amp;Milestones!$AB$143&amp;" "&amp;Milestones!$AC$143&amp;";  ","")&amp;IF(AND(EDATE($D38,Milestones!$AA$144)&lt;=AsOfDate,IF($R38=0,$X38,IF(AND($T38&lt;&gt;"",EDATE($D38,Milestones!$AA$144)&gt;=$T38),$W38,IF(AND($S38&lt;&gt;"",EDATE($D38,Milestones!$AA$144)&gt;=$S38),$V38,$U38)))=Milestones!$AB$144),UPPER(TEXT(EDATE($D38,Milestones!$AA$144),"dd mmm yy"))&amp;" "&amp;Milestones!$AB$144&amp;" "&amp;Milestones!$AC$144&amp;";  ","")&amp;IF(AND(EDATE($D38,Milestones!$AA$145)&lt;=AsOfDate,IF($R38=0,$X38,IF(AND($T38&lt;&gt;"",EDATE($D38,Milestones!$AA$145)&gt;=$T38),$W38,IF(AND($S38&lt;&gt;"",EDATE($D38,Milestones!$AA$145)&gt;=$S38),$V38,$U38)))=Milestones!$AB$145),UPPER(TEXT(EDATE($D38,Milestones!$AA$145),"dd mmm yy"))&amp;" "&amp;Milestones!$AB$145&amp;" "&amp;Milestones!$AC$145&amp;";  ","")&amp;IF(AND(EDATE($D38,Milestones!$AA$146)&lt;=AsOfDate,IF($R38=0,$X38,IF(AND($T38&lt;&gt;"",EDATE($D38,Milestones!$AA$146)&gt;=$T38),$W38,IF(AND($S38&lt;&gt;"",EDATE($D38,Milestones!$AA$146)&gt;=$S38),$V38,$U38)))=Milestones!$AB$146),UPPER(TEXT(EDATE($D38,Milestones!$AA$146),"dd mmm yy"))&amp;" "&amp;Milestones!$AB$146&amp;" "&amp;Milestones!$AC$146&amp;";  ","")&amp;IF(AND(EDATE($D38,Milestones!$AA$147)&lt;=AsOfDate,IF($R38=0,$X38,IF(AND($T38&lt;&gt;"",EDATE($D38,Milestones!$AA$147)&gt;=$T38),$W38,IF(AND($S38&lt;&gt;"",EDATE($D38,Milestones!$AA$147)&gt;=$S38),$V38,$U38)))=Milestones!$AB$147),UPPER(TEXT(EDATE($D38,Milestones!$AA$147),"dd mmm yy"))&amp;" "&amp;Milestones!$AB$147&amp;" "&amp;Milestones!$AC$147&amp;";  ","")&amp;IF(AND(EDATE($D38,Milestones!$AA$148)&lt;=AsOfDate,IF($R38=0,$X38,IF(AND($T38&lt;&gt;"",EDATE($D38,Milestones!$AA$148)&gt;=$T38),$W38,IF(AND($S38&lt;&gt;"",EDATE($D38,Milestones!$AA$148)&gt;=$S38),$V38,$U38)))=Milestones!$AB$148),UPPER(TEXT(EDATE($D38,Milestones!$AA$148),"dd mmm yy"))&amp;" "&amp;Milestones!$AB$148&amp;" "&amp;Milestones!$AC$148&amp;";  ","")&amp;IF(AND(EDATE($D38,Milestones!$AA$149)&lt;=AsOfDate,IF($R38=0,$X38,IF(AND($T38&lt;&gt;"",EDATE($D38,Milestones!$AA$149)&gt;=$T38),$W38,IF(AND($S38&lt;&gt;"",EDATE($D38,Milestones!$AA$149)&gt;=$S38),$V38,$U38)))=Milestones!$AB$149),UPPER(TEXT(EDATE($D38,Milestones!$AA$149),"dd mmm yy"))&amp;" "&amp;Milestones!$AB$149&amp;" "&amp;Milestones!$AC$149&amp;";  ","")&amp;IF(AND(EDATE($D38,Milestones!$AA$150)&lt;=AsOfDate,IF($R38=0,$X38,IF(AND($T38&lt;&gt;"",EDATE($D38,Milestones!$AA$150)&gt;=$T38),$W38,IF(AND($S38&lt;&gt;"",EDATE($D38,Milestones!$AA$150)&gt;=$S38),$V38,$U38)))=Milestones!$AB$150),UPPER(TEXT(EDATE($D38,Milestones!$AA$150),"dd mmm yy"))&amp;" "&amp;Milestones!$AB$150&amp;" "&amp;Milestones!$AC$150&amp;";  ","")&amp;IF(AND(EDATE($D38,Milestones!$AA$151)&lt;=AsOfDate,IF($R38=0,$X38,IF(AND($T38&lt;&gt;"",EDATE($D38,Milestones!$AA$151)&gt;=$T38),$W38,IF(AND($S38&lt;&gt;"",EDATE($D38,Milestones!$AA$151)&gt;=$S38),$V38,$U38)))=Milestones!$AB$151),UPPER(TEXT(EDATE($D38,Milestones!$AA$151),"dd mmm yy"))&amp;" "&amp;Milestones!$AB$151&amp;" "&amp;Milestones!$AC$151&amp;";  ","")&amp;IF(AND(EDATE($D38,Milestones!$AA$152)&lt;=AsOfDate,IF($R38=0,$X38,IF(AND($T38&lt;&gt;"",EDATE($D38,Milestones!$AA$152)&gt;=$T38),$W38,IF(AND($S38&lt;&gt;"",EDATE($D38,Milestones!$AA$152)&gt;=$S38),$V38,$U38)))=Milestones!$AB$152),UPPER(TEXT(EDATE($D38,Milestones!$AA$152),"dd mmm yy"))&amp;" "&amp;Milestones!$AB$152&amp;" "&amp;Milestones!$AC$152&amp;";  ","")&amp;IF(AND(EDATE($D38,Milestones!$AA$153)&lt;=AsOfDate,IF($R38=0,$X38,IF(AND($T38&lt;&gt;"",EDATE($D38,Milestones!$AA$153)&gt;=$T38),$W38,IF(AND($S38&lt;&gt;"",EDATE($D38,Milestones!$AA$153)&gt;=$S38),$V38,$U38)))=Milestones!$AB$153),UPPER(TEXT(EDATE($D38,Milestones!$AA$153),"dd mmm yy"))&amp;" "&amp;Milestones!$AB$153&amp;" "&amp;Milestones!$AC$153&amp;";  ","")&amp;IF(AND(EDATE($D38,Milestones!$AA$154)&lt;=AsOfDate,IF($R38=0,$X38,IF(AND($T38&lt;&gt;"",EDATE($D38,Milestones!$AA$154)&gt;=$T38),$W38,IF(AND($S38&lt;&gt;"",EDATE($D38,Milestones!$AA$154)&gt;=$S38),$V38,$U38)))=Milestones!$AB$154),UPPER(TEXT(EDATE($D38,Milestones!$AA$154),"dd mmm yy"))&amp;" "&amp;Milestones!$AB$154&amp;" "&amp;Milestones!$AC$154&amp;";  ","")&amp;IF(AND(EDATE($D38,Milestones!$AA$155)&lt;=AsOfDate,IF($R38=0,$X38,IF(AND($T38&lt;&gt;"",EDATE($D38,Milestones!$AA$155)&gt;=$T38),$W38,IF(AND($S38&lt;&gt;"",EDATE($D38,Milestones!$AA$155)&gt;=$S38),$V38,$U38)))=Milestones!$AB$155),UPPER(TEXT(EDATE($D38,Milestones!$AA$155),"dd mmm yy"))&amp;" "&amp;Milestones!$AB$155&amp;" "&amp;Milestones!$AC$155&amp;";  ","")&amp;IF(AND(EDATE($D38,Milestones!$AA$156)&lt;=AsOfDate,IF($R38=0,$X38,IF(AND($T38&lt;&gt;"",EDATE($D38,Milestones!$AA$156)&gt;=$T38),$W38,IF(AND($S38&lt;&gt;"",EDATE($D38,Milestones!$AA$156)&gt;=$S38),$V38,$U38)))=Milestones!$AB$156),UPPER(TEXT(EDATE($D38,Milestones!$AA$156),"dd mmm yy"))&amp;" "&amp;Milestones!$AB$156&amp;" "&amp;Milestones!$AC$156&amp;";  ","")&amp;IF(AND(EDATE($D38,Milestones!$AA$157)&lt;=AsOfDate,IF($R38=0,$X38,IF(AND($T38&lt;&gt;"",EDATE($D38,Milestones!$AA$157)&gt;=$T38),$W38,IF(AND($S38&lt;&gt;"",EDATE($D38,Milestones!$AA$157)&gt;=$S38),$V38,$U38)))=Milestones!$AB$157),UPPER(TEXT(EDATE($D38,Milestones!$AA$157),"dd mmm yy"))&amp;" "&amp;Milestones!$AB$157&amp;" "&amp;Milestones!$AC$157&amp;";  ","")&amp;IF(AND(EDATE($D38,Milestones!$AA$158)&lt;=AsOfDate,IF($R38=0,$X38,IF(AND($T38&lt;&gt;"",EDATE($D38,Milestones!$AA$158)&gt;=$T38),$W38,IF(AND($S38&lt;&gt;"",EDATE($D38,Milestones!$AA$158)&gt;=$S38),$V38,$U38)))=Milestones!$AB$158),UPPER(TEXT(EDATE($D38,Milestones!$AA$158),"dd mmm yy"))&amp;" "&amp;Milestones!$AB$158&amp;" "&amp;Milestones!$AC$158&amp;";  ","")&amp;IF(AND(EDATE($D38,Milestones!$AA$159)&lt;=AsOfDate,IF($R38=0,$X38,IF(AND($T38&lt;&gt;"",EDATE($D38,Milestones!$AA$159)&gt;=$T38),$W38,IF(AND($S38&lt;&gt;"",EDATE($D38,Milestones!$AA$159)&gt;=$S38),$V38,$U38)))=Milestones!$AB$159),UPPER(TEXT(EDATE($D38,Milestones!$AA$159),"dd mmm yy"))&amp;" "&amp;Milestones!$AB$159&amp;" "&amp;Milestones!$AC$159&amp;";  ",""))</f>
        <v/>
      </c>
      <c r="P38" s="0" t="str">
        <f aca="false">IF(OR($A38="",$D38=""),"",IF(AND(EDATE($D38,Milestones!$AA$160)&lt;=AsOfDate,IF($R38=0,$X38,IF(AND($T38&lt;&gt;"",EDATE($D38,Milestones!$AA$160)&gt;=$T38),$W38,IF(AND($S38&lt;&gt;"",EDATE($D38,Milestones!$AA$160)&gt;=$S38),$V38,$U38)))=Milestones!$AB$160),UPPER(TEXT(EDATE($D38,Milestones!$AA$160),"dd mmm yy"))&amp;" "&amp;Milestones!$AB$160&amp;" "&amp;Milestones!$AC$160&amp;";  ","")&amp;IF(AND(EDATE($D38,Milestones!$AA$161)&lt;=AsOfDate,IF($R38=0,$X38,IF(AND($T38&lt;&gt;"",EDATE($D38,Milestones!$AA$161)&gt;=$T38),$W38,IF(AND($S38&lt;&gt;"",EDATE($D38,Milestones!$AA$161)&gt;=$S38),$V38,$U38)))=Milestones!$AB$161),UPPER(TEXT(EDATE($D38,Milestones!$AA$161),"dd mmm yy"))&amp;" "&amp;Milestones!$AB$161&amp;" "&amp;Milestones!$AC$161&amp;";  ","")&amp;IF(AND(EDATE($D38,Milestones!$AA$162)&lt;=AsOfDate,IF($R38=0,$X38,IF(AND($T38&lt;&gt;"",EDATE($D38,Milestones!$AA$162)&gt;=$T38),$W38,IF(AND($S38&lt;&gt;"",EDATE($D38,Milestones!$AA$162)&gt;=$S38),$V38,$U38)))=Milestones!$AB$162),UPPER(TEXT(EDATE($D38,Milestones!$AA$162),"dd mmm yy"))&amp;" "&amp;Milestones!$AB$162&amp;" "&amp;Milestones!$AC$162&amp;";  ","")&amp;IF(AND(EDATE($D38,Milestones!$AA$163)&lt;=AsOfDate,IF($R38=0,$X38,IF(AND($T38&lt;&gt;"",EDATE($D38,Milestones!$AA$163)&gt;=$T38),$W38,IF(AND($S38&lt;&gt;"",EDATE($D38,Milestones!$AA$163)&gt;=$S38),$V38,$U38)))=Milestones!$AB$163),UPPER(TEXT(EDATE($D38,Milestones!$AA$163),"dd mmm yy"))&amp;" "&amp;Milestones!$AB$163&amp;" "&amp;Milestones!$AC$163&amp;";  ","")&amp;IF(AND(EDATE($D38,Milestones!$AA$164)&lt;=AsOfDate,IF($R38=0,$X38,IF(AND($T38&lt;&gt;"",EDATE($D38,Milestones!$AA$164)&gt;=$T38),$W38,IF(AND($S38&lt;&gt;"",EDATE($D38,Milestones!$AA$164)&gt;=$S38),$V38,$U38)))=Milestones!$AB$164),UPPER(TEXT(EDATE($D38,Milestones!$AA$164),"dd mmm yy"))&amp;" "&amp;Milestones!$AB$164&amp;" "&amp;Milestones!$AC$164&amp;";  ","")&amp;IF(AND(EDATE($D38,Milestones!$AA$165)&lt;=AsOfDate,IF($R38=0,$X38,IF(AND($T38&lt;&gt;"",EDATE($D38,Milestones!$AA$165)&gt;=$T38),$W38,IF(AND($S38&lt;&gt;"",EDATE($D38,Milestones!$AA$165)&gt;=$S38),$V38,$U38)))=Milestones!$AB$165),UPPER(TEXT(EDATE($D38,Milestones!$AA$165),"dd mmm yy"))&amp;" "&amp;Milestones!$AB$165&amp;" "&amp;Milestones!$AC$165&amp;";  ","")&amp;IF(AND(EDATE($D38,Milestones!$AA$166)&lt;=AsOfDate,IF($R38=0,$X38,IF(AND($T38&lt;&gt;"",EDATE($D38,Milestones!$AA$166)&gt;=$T38),$W38,IF(AND($S38&lt;&gt;"",EDATE($D38,Milestones!$AA$166)&gt;=$S38),$V38,$U38)))=Milestones!$AB$166),UPPER(TEXT(EDATE($D38,Milestones!$AA$166),"dd mmm yy"))&amp;" "&amp;Milestones!$AB$166&amp;" "&amp;Milestones!$AC$166&amp;";  ","")&amp;IF(AND(EDATE($D38,Milestones!$AA$167)&lt;=AsOfDate,IF($R38=0,$X38,IF(AND($T38&lt;&gt;"",EDATE($D38,Milestones!$AA$167)&gt;=$T38),$W38,IF(AND($S38&lt;&gt;"",EDATE($D38,Milestones!$AA$167)&gt;=$S38),$V38,$U38)))=Milestones!$AB$167),UPPER(TEXT(EDATE($D38,Milestones!$AA$167),"dd mmm yy"))&amp;" "&amp;Milestones!$AB$167&amp;" "&amp;Milestones!$AC$167&amp;";  ","")&amp;IF(AND(EDATE($D38,Milestones!$AA$168)&lt;=AsOfDate,IF($R38=0,$X38,IF(AND($T38&lt;&gt;"",EDATE($D38,Milestones!$AA$168)&gt;=$T38),$W38,IF(AND($S38&lt;&gt;"",EDATE($D38,Milestones!$AA$168)&gt;=$S38),$V38,$U38)))=Milestones!$AB$168),UPPER(TEXT(EDATE($D38,Milestones!$AA$168),"dd mmm yy"))&amp;" "&amp;Milestones!$AB$168&amp;" "&amp;Milestones!$AC$168&amp;";  ","")&amp;IF(AND(EDATE($D38,Milestones!$AA$169)&lt;=AsOfDate,IF($R38=0,$X38,IF(AND($T38&lt;&gt;"",EDATE($D38,Milestones!$AA$169)&gt;=$T38),$W38,IF(AND($S38&lt;&gt;"",EDATE($D38,Milestones!$AA$169)&gt;=$S38),$V38,$U38)))=Milestones!$AB$169),UPPER(TEXT(EDATE($D38,Milestones!$AA$169),"dd mmm yy"))&amp;" "&amp;Milestones!$AB$169&amp;" "&amp;Milestones!$AC$169&amp;";  ","")&amp;IF(AND(EDATE($D38,Milestones!$AA$170)&lt;=AsOfDate,IF($R38=0,$X38,IF(AND($T38&lt;&gt;"",EDATE($D38,Milestones!$AA$170)&gt;=$T38),$W38,IF(AND($S38&lt;&gt;"",EDATE($D38,Milestones!$AA$170)&gt;=$S38),$V38,$U38)))=Milestones!$AB$170),UPPER(TEXT(EDATE($D38,Milestones!$AA$170),"dd mmm yy"))&amp;" "&amp;Milestones!$AB$170&amp;" "&amp;Milestones!$AC$170&amp;";  ","")&amp;IF(AND(EDATE($D38,Milestones!$AA$171)&lt;=AsOfDate,IF($R38=0,$X38,IF(AND($T38&lt;&gt;"",EDATE($D38,Milestones!$AA$171)&gt;=$T38),$W38,IF(AND($S38&lt;&gt;"",EDATE($D38,Milestones!$AA$171)&gt;=$S38),$V38,$U38)))=Milestones!$AB$171),UPPER(TEXT(EDATE($D38,Milestones!$AA$171),"dd mmm yy"))&amp;" "&amp;Milestones!$AB$171&amp;" "&amp;Milestones!$AC$171&amp;";  ","")&amp;IF(AND(EDATE($D38,Milestones!$AA$172)&lt;=AsOfDate,IF($R38=0,$X38,IF(AND($T38&lt;&gt;"",EDATE($D38,Milestones!$AA$172)&gt;=$T38),$W38,IF(AND($S38&lt;&gt;"",EDATE($D38,Milestones!$AA$172)&gt;=$S38),$V38,$U38)))=Milestones!$AB$172),UPPER(TEXT(EDATE($D38,Milestones!$AA$172),"dd mmm yy"))&amp;" "&amp;Milestones!$AB$172&amp;" "&amp;Milestones!$AC$172&amp;";  ","")&amp;IF(AND(EDATE($D38,Milestones!$AA$173)&lt;=AsOfDate,IF($R38=0,$X38,IF(AND($T38&lt;&gt;"",EDATE($D38,Milestones!$AA$173)&gt;=$T38),$W38,IF(AND($S38&lt;&gt;"",EDATE($D38,Milestones!$AA$173)&gt;=$S38),$V38,$U38)))=Milestones!$AB$173),UPPER(TEXT(EDATE($D38,Milestones!$AA$173),"dd mmm yy"))&amp;" "&amp;Milestones!$AB$173&amp;" "&amp;Milestones!$AC$173&amp;";  ","")&amp;IF(AND(EDATE($D38,Milestones!$AA$174)&lt;=AsOfDate,IF($R38=0,$X38,IF(AND($T38&lt;&gt;"",EDATE($D38,Milestones!$AA$174)&gt;=$T38),$W38,IF(AND($S38&lt;&gt;"",EDATE($D38,Milestones!$AA$174)&gt;=$S38),$V38,$U38)))=Milestones!$AB$174),UPPER(TEXT(EDATE($D38,Milestones!$AA$174),"dd mmm yy"))&amp;" "&amp;Milestones!$AB$174&amp;" "&amp;Milestones!$AC$174&amp;";  ","")&amp;IF(AND(EDATE($D38,Milestones!$AA$175)&lt;=AsOfDate,IF($R38=0,$X38,IF(AND($T38&lt;&gt;"",EDATE($D38,Milestones!$AA$175)&gt;=$T38),$W38,IF(AND($S38&lt;&gt;"",EDATE($D38,Milestones!$AA$175)&gt;=$S38),$V38,$U38)))=Milestones!$AB$175),UPPER(TEXT(EDATE($D38,Milestones!$AA$175),"dd mmm yy"))&amp;" "&amp;Milestones!$AB$175&amp;" "&amp;Milestones!$AC$175&amp;";  ","")&amp;IF(AND(EDATE($D38,Milestones!$AA$176)&lt;=AsOfDate,IF($R38=0,$X38,IF(AND($T38&lt;&gt;"",EDATE($D38,Milestones!$AA$176)&gt;=$T38),$W38,IF(AND($S38&lt;&gt;"",EDATE($D38,Milestones!$AA$176)&gt;=$S38),$V38,$U38)))=Milestones!$AB$176),UPPER(TEXT(EDATE($D38,Milestones!$AA$176),"dd mmm yy"))&amp;" "&amp;Milestones!$AB$176&amp;" "&amp;Milestones!$AC$176&amp;";  ","")&amp;IF(AND(EDATE($D38,Milestones!$AA$177)&lt;=AsOfDate,IF($R38=0,$X38,IF(AND($T38&lt;&gt;"",EDATE($D38,Milestones!$AA$177)&gt;=$T38),$W38,IF(AND($S38&lt;&gt;"",EDATE($D38,Milestones!$AA$177)&gt;=$S38),$V38,$U38)))=Milestones!$AB$177),UPPER(TEXT(EDATE($D38,Milestones!$AA$177),"dd mmm yy"))&amp;" "&amp;Milestones!$AB$177&amp;" "&amp;Milestones!$AC$177&amp;";  ","")&amp;IF(AND(EDATE($D38,Milestones!$AA$178)&lt;=AsOfDate,IF($R38=0,$X38,IF(AND($T38&lt;&gt;"",EDATE($D38,Milestones!$AA$178)&gt;=$T38),$W38,IF(AND($S38&lt;&gt;"",EDATE($D38,Milestones!$AA$178)&gt;=$S38),$V38,$U38)))=Milestones!$AB$178),UPPER(TEXT(EDATE($D38,Milestones!$AA$178),"dd mmm yy"))&amp;" "&amp;Milestones!$AB$178&amp;" "&amp;Milestones!$AC$178&amp;";  ","")&amp;IF(AND(EDATE($D38,Milestones!$AA$179)&lt;=AsOfDate,IF($R38=0,$X38,IF(AND($T38&lt;&gt;"",EDATE($D38,Milestones!$AA$179)&gt;=$T38),$W38,IF(AND($S38&lt;&gt;"",EDATE($D38,Milestones!$AA$179)&gt;=$S38),$V38,$U38)))=Milestones!$AB$179),UPPER(TEXT(EDATE($D38,Milestones!$AA$179),"dd mmm yy"))&amp;" "&amp;Milestones!$AB$179&amp;" "&amp;Milestones!$AC$179&amp;";  ",""))</f>
        <v/>
      </c>
      <c r="Q38" s="0" t="str">
        <f aca="false">IF(OR($A38="",$D38=""),"",IF(AND(EDATE($D38,Milestones!$AA$180)&lt;=AsOfDate,IF($R38=0,$X38,IF(AND($T38&lt;&gt;"",EDATE($D38,Milestones!$AA$180)&gt;=$T38),$W38,IF(AND($S38&lt;&gt;"",EDATE($D38,Milestones!$AA$180)&gt;=$S38),$V38,$U38)))=Milestones!$AB$180),UPPER(TEXT(EDATE($D38,Milestones!$AA$180),"dd mmm yy"))&amp;" "&amp;Milestones!$AB$180&amp;" "&amp;Milestones!$AC$180&amp;";  ","")&amp;IF(AND(EDATE($D38,Milestones!$AA$181)&lt;=AsOfDate,IF($R38=0,$X38,IF(AND($T38&lt;&gt;"",EDATE($D38,Milestones!$AA$181)&gt;=$T38),$W38,IF(AND($S38&lt;&gt;"",EDATE($D38,Milestones!$AA$181)&gt;=$S38),$V38,$U38)))=Milestones!$AB$181),UPPER(TEXT(EDATE($D38,Milestones!$AA$181),"dd mmm yy"))&amp;" "&amp;Milestones!$AB$181&amp;" "&amp;Milestones!$AC$181&amp;";  ","")&amp;IF(AND(EDATE($D38,Milestones!$AA$182)&lt;=AsOfDate,IF($R38=0,$X38,IF(AND($T38&lt;&gt;"",EDATE($D38,Milestones!$AA$182)&gt;=$T38),$W38,IF(AND($S38&lt;&gt;"",EDATE($D38,Milestones!$AA$182)&gt;=$S38),$V38,$U38)))=Milestones!$AB$182),UPPER(TEXT(EDATE($D38,Milestones!$AA$182),"dd mmm yy"))&amp;" "&amp;Milestones!$AB$182&amp;" "&amp;Milestones!$AC$182&amp;";  ","")&amp;IF(AND(EDATE($D38,Milestones!$AA$183)&lt;=AsOfDate,IF($R38=0,$X38,IF(AND($T38&lt;&gt;"",EDATE($D38,Milestones!$AA$183)&gt;=$T38),$W38,IF(AND($S38&lt;&gt;"",EDATE($D38,Milestones!$AA$183)&gt;=$S38),$V38,$U38)))=Milestones!$AB$183),UPPER(TEXT(EDATE($D38,Milestones!$AA$183),"dd mmm yy"))&amp;" "&amp;Milestones!$AB$183&amp;" "&amp;Milestones!$AC$183&amp;";  ","")&amp;IF(AND(EDATE($D38,Milestones!$AA$184)&lt;=AsOfDate,IF($R38=0,$X38,IF(AND($T38&lt;&gt;"",EDATE($D38,Milestones!$AA$184)&gt;=$T38),$W38,IF(AND($S38&lt;&gt;"",EDATE($D38,Milestones!$AA$184)&gt;=$S38),$V38,$U38)))=Milestones!$AB$184),UPPER(TEXT(EDATE($D38,Milestones!$AA$184),"dd mmm yy"))&amp;" "&amp;Milestones!$AB$184&amp;" "&amp;Milestones!$AC$184&amp;";  ","")&amp;IF(AND(EDATE($D38,Milestones!$AA$185)&lt;=AsOfDate,IF($R38=0,$X38,IF(AND($T38&lt;&gt;"",EDATE($D38,Milestones!$AA$185)&gt;=$T38),$W38,IF(AND($S38&lt;&gt;"",EDATE($D38,Milestones!$AA$185)&gt;=$S38),$V38,$U38)))=Milestones!$AB$185),UPPER(TEXT(EDATE($D38,Milestones!$AA$185),"dd mmm yy"))&amp;" "&amp;Milestones!$AB$185&amp;" "&amp;Milestones!$AC$185&amp;";  ","")&amp;IF(AND(EDATE($D38,Milestones!$AA$186)&lt;=AsOfDate,IF($R38=0,$X38,IF(AND($T38&lt;&gt;"",EDATE($D38,Milestones!$AA$186)&gt;=$T38),$W38,IF(AND($S38&lt;&gt;"",EDATE($D38,Milestones!$AA$186)&gt;=$S38),$V38,$U38)))=Milestones!$AB$186),UPPER(TEXT(EDATE($D38,Milestones!$AA$186),"dd mmm yy"))&amp;" "&amp;Milestones!$AB$186&amp;" "&amp;Milestones!$AC$186&amp;";  ","")&amp;IF(AND(EDATE($D38,Milestones!$AA$187)&lt;=AsOfDate,IF($R38=0,$X38,IF(AND($T38&lt;&gt;"",EDATE($D38,Milestones!$AA$187)&gt;=$T38),$W38,IF(AND($S38&lt;&gt;"",EDATE($D38,Milestones!$AA$187)&gt;=$S38),$V38,$U38)))=Milestones!$AB$187),UPPER(TEXT(EDATE($D38,Milestones!$AA$187),"dd mmm yy"))&amp;" "&amp;Milestones!$AB$187&amp;" "&amp;Milestones!$AC$187&amp;";  ","")&amp;IF(AND(EDATE($D38,Milestones!$AA$188)&lt;=AsOfDate,IF($R38=0,$X38,IF(AND($T38&lt;&gt;"",EDATE($D38,Milestones!$AA$188)&gt;=$T38),$W38,IF(AND($S38&lt;&gt;"",EDATE($D38,Milestones!$AA$188)&gt;=$S38),$V38,$U38)))=Milestones!$AB$188),UPPER(TEXT(EDATE($D38,Milestones!$AA$188),"dd mmm yy"))&amp;" "&amp;Milestones!$AB$188&amp;" "&amp;Milestones!$AC$188&amp;";  ","")&amp;IF(AND(EDATE($D38,Milestones!$AA$189)&lt;=AsOfDate,IF($R38=0,$X38,IF(AND($T38&lt;&gt;"",EDATE($D38,Milestones!$AA$189)&gt;=$T38),$W38,IF(AND($S38&lt;&gt;"",EDATE($D38,Milestones!$AA$189)&gt;=$S38),$V38,$U38)))=Milestones!$AB$189),UPPER(TEXT(EDATE($D38,Milestones!$AA$189),"dd mmm yy"))&amp;" "&amp;Milestones!$AB$189&amp;" "&amp;Milestones!$AC$189&amp;";  ","")&amp;IF(AND(EDATE($D38,Milestones!$AA$190)&lt;=AsOfDate,IF($R38=0,$X38,IF(AND($T38&lt;&gt;"",EDATE($D38,Milestones!$AA$190)&gt;=$T38),$W38,IF(AND($S38&lt;&gt;"",EDATE($D38,Milestones!$AA$190)&gt;=$S38),$V38,$U38)))=Milestones!$AB$190),UPPER(TEXT(EDATE($D38,Milestones!$AA$190),"dd mmm yy"))&amp;" "&amp;Milestones!$AB$190&amp;" "&amp;Milestones!$AC$190&amp;";  ","")&amp;IF(AND(EDATE($D38,Milestones!$AA$191)&lt;=AsOfDate,IF($R38=0,$X38,IF(AND($T38&lt;&gt;"",EDATE($D38,Milestones!$AA$191)&gt;=$T38),$W38,IF(AND($S38&lt;&gt;"",EDATE($D38,Milestones!$AA$191)&gt;=$S38),$V38,$U38)))=Milestones!$AB$191),UPPER(TEXT(EDATE($D38,Milestones!$AA$191),"dd mmm yy"))&amp;" "&amp;Milestones!$AB$191&amp;" "&amp;Milestones!$AC$191&amp;";  ","")&amp;IF(AND(EDATE($D38,Milestones!$AA$192)&lt;=AsOfDate,IF($R38=0,$X38,IF(AND($T38&lt;&gt;"",EDATE($D38,Milestones!$AA$192)&gt;=$T38),$W38,IF(AND($S38&lt;&gt;"",EDATE($D38,Milestones!$AA$192)&gt;=$S38),$V38,$U38)))=Milestones!$AB$192),UPPER(TEXT(EDATE($D38,Milestones!$AA$192),"dd mmm yy"))&amp;" "&amp;Milestones!$AB$192&amp;" "&amp;Milestones!$AC$192&amp;";  ","")&amp;IF(AND(EDATE($D38,Milestones!$AA$193)&lt;=AsOfDate,IF($R38=0,$X38,IF(AND($T38&lt;&gt;"",EDATE($D38,Milestones!$AA$193)&gt;=$T38),$W38,IF(AND($S38&lt;&gt;"",EDATE($D38,Milestones!$AA$193)&gt;=$S38),$V38,$U38)))=Milestones!$AB$193),UPPER(TEXT(EDATE($D38,Milestones!$AA$193),"dd mmm yy"))&amp;" "&amp;Milestones!$AB$193&amp;" "&amp;Milestones!$AC$193&amp;";  ","")&amp;IF(AND(EDATE($D38,Milestones!$AA$194)&lt;=AsOfDate,IF($R38=0,$X38,IF(AND($T38&lt;&gt;"",EDATE($D38,Milestones!$AA$194)&gt;=$T38),$W38,IF(AND($S38&lt;&gt;"",EDATE($D38,Milestones!$AA$194)&gt;=$S38),$V38,$U38)))=Milestones!$AB$194),UPPER(TEXT(EDATE($D38,Milestones!$AA$194),"dd mmm yy"))&amp;" "&amp;Milestones!$AB$194&amp;" "&amp;Milestones!$AC$194&amp;";  ","")&amp;IF(AND(EDATE($D38,Milestones!$AA$195)&lt;=AsOfDate,IF($R38=0,$X38,IF(AND($T38&lt;&gt;"",EDATE($D38,Milestones!$AA$195)&gt;=$T38),$W38,IF(AND($S38&lt;&gt;"",EDATE($D38,Milestones!$AA$195)&gt;=$S38),$V38,$U38)))=Milestones!$AB$195),UPPER(TEXT(EDATE($D38,Milestones!$AA$195),"dd mmm yy"))&amp;" "&amp;Milestones!$AB$195&amp;" "&amp;Milestones!$AC$195&amp;";  ","")&amp;IF(AND(EDATE($D38,Milestones!$AA$196)&lt;=AsOfDate,IF($R38=0,$X38,IF(AND($T38&lt;&gt;"",EDATE($D38,Milestones!$AA$196)&gt;=$T38),$W38,IF(AND($S38&lt;&gt;"",EDATE($D38,Milestones!$AA$196)&gt;=$S38),$V38,$U38)))=Milestones!$AB$196),UPPER(TEXT(EDATE($D38,Milestones!$AA$196),"dd mmm yy"))&amp;" "&amp;Milestones!$AB$196&amp;" "&amp;Milestones!$AC$196&amp;";  ","")&amp;IF(AND(EDATE($D38,Milestones!$AA$197)&lt;=AsOfDate,IF($R38=0,$X38,IF(AND($T38&lt;&gt;"",EDATE($D38,Milestones!$AA$197)&gt;=$T38),$W38,IF(AND($S38&lt;&gt;"",EDATE($D38,Milestones!$AA$197)&gt;=$S38),$V38,$U38)))=Milestones!$AB$197),UPPER(TEXT(EDATE($D38,Milestones!$AA$197),"dd mmm yy"))&amp;" "&amp;Milestones!$AB$197&amp;" "&amp;Milestones!$AC$197&amp;";  ","")&amp;IF(AND(EDATE($D38,Milestones!$AA$198)&lt;=AsOfDate,IF($R38=0,$X38,IF(AND($T38&lt;&gt;"",EDATE($D38,Milestones!$AA$198)&gt;=$T38),$W38,IF(AND($S38&lt;&gt;"",EDATE($D38,Milestones!$AA$198)&gt;=$S38),$V38,$U38)))=Milestones!$AB$198),UPPER(TEXT(EDATE($D38,Milestones!$AA$198),"dd mmm yy"))&amp;" "&amp;Milestones!$AB$198&amp;" "&amp;Milestones!$AC$198&amp;";  ","")&amp;IF(AND(EDATE($D38,Milestones!$AA$199)&lt;=AsOfDate,IF($R38=0,$X38,IF(AND($T38&lt;&gt;"",EDATE($D38,Milestones!$AA$199)&gt;=$T38),$W38,IF(AND($S38&lt;&gt;"",EDATE($D38,Milestones!$AA$199)&gt;=$S38),$V38,$U38)))=Milestones!$AB$199),UPPER(TEXT(EDATE($D38,Milestones!$AA$199),"dd mmm yy"))&amp;" "&amp;Milestones!$AB$199&amp;" "&amp;Milestones!$AC$199&amp;";  ",""))</f>
        <v/>
      </c>
      <c r="R38" s="0" t="str">
        <f aca="false">IF(Staff!$A38="","",Staff!$AI38)</f>
        <v/>
      </c>
      <c r="S38" s="0" t="str">
        <f aca="false">IF(Staff!$A38="","",Staff!$AK38)</f>
        <v/>
      </c>
      <c r="T38" s="0" t="str">
        <f aca="false">IF(Staff!$A38="","",Staff!$AL38)</f>
        <v/>
      </c>
      <c r="U38" s="0" t="str">
        <f aca="false">IF(Staff!$A38="","",Staff!$AP38)</f>
        <v/>
      </c>
      <c r="V38" s="0" t="str">
        <f aca="false">IF(Staff!$A38="","",Staff!$AQ38)</f>
        <v/>
      </c>
      <c r="W38" s="0" t="str">
        <f aca="false">IF(Staff!$A38="","",Staff!$AR38)</f>
        <v/>
      </c>
      <c r="X38" s="0" t="str">
        <f aca="false">IF(Staff!$A38="","",Staff!$AS38)</f>
        <v/>
      </c>
    </row>
    <row r="39" customFormat="false" ht="15" hidden="false" customHeight="false" outlineLevel="0" collapsed="false">
      <c r="A39" s="14" t="str">
        <f aca="false">IF(Staff!$A39="","",Staff!$A39)</f>
        <v/>
      </c>
      <c r="B39" s="14" t="str">
        <f aca="false">IF(Staff!$A39="","",Staff!$B39)</f>
        <v/>
      </c>
      <c r="C39" s="14" t="str">
        <f aca="false">IF(Staff!$A39="","",Staff!$C39)</f>
        <v/>
      </c>
      <c r="D39" s="12" t="str">
        <f aca="false">IF(Staff!$A39="","",Staff!$AH39)</f>
        <v/>
      </c>
      <c r="E39" s="14" t="str">
        <f aca="false">IF(Staff!$A39="","",Staff!$O39)</f>
        <v/>
      </c>
      <c r="F39" s="14" t="str">
        <f aca="false">IF(E39="","",E39*HoursPerDay)</f>
        <v/>
      </c>
      <c r="G39" s="14" t="str">
        <f aca="false">IF(Staff!$A39="","",Staff!$AE39)</f>
        <v/>
      </c>
      <c r="H39" s="26" t="str">
        <f aca="false">IF($A39="","",I39&amp;J39&amp;K39&amp;L39&amp;M39&amp;N39&amp;O39&amp;P39&amp;Q39)</f>
        <v/>
      </c>
      <c r="I39" s="0" t="str">
        <f aca="false">IF(OR($A39="",$D39=""),"",IF(AND(EDATE($D39,Milestones!$AA$20)&lt;=AsOfDate,IF($R39=0,$X39,IF(AND($T39&lt;&gt;"",EDATE($D39,Milestones!$AA$20)&gt;=$T39),$W39,IF(AND($S39&lt;&gt;"",EDATE($D39,Milestones!$AA$20)&gt;=$S39),$V39,$U39)))=Milestones!$AB$20),UPPER(TEXT(EDATE($D39,Milestones!$AA$20),"dd mmm yy"))&amp;" "&amp;Milestones!$AB$20&amp;" "&amp;Milestones!$AC$20&amp;";  ","")&amp;IF(AND(EDATE($D39,Milestones!$AA$21)&lt;=AsOfDate,IF($R39=0,$X39,IF(AND($T39&lt;&gt;"",EDATE($D39,Milestones!$AA$21)&gt;=$T39),$W39,IF(AND($S39&lt;&gt;"",EDATE($D39,Milestones!$AA$21)&gt;=$S39),$V39,$U39)))=Milestones!$AB$21),UPPER(TEXT(EDATE($D39,Milestones!$AA$21),"dd mmm yy"))&amp;" "&amp;Milestones!$AB$21&amp;" "&amp;Milestones!$AC$21&amp;";  ","")&amp;IF(AND(EDATE($D39,Milestones!$AA$22)&lt;=AsOfDate,IF($R39=0,$X39,IF(AND($T39&lt;&gt;"",EDATE($D39,Milestones!$AA$22)&gt;=$T39),$W39,IF(AND($S39&lt;&gt;"",EDATE($D39,Milestones!$AA$22)&gt;=$S39),$V39,$U39)))=Milestones!$AB$22),UPPER(TEXT(EDATE($D39,Milestones!$AA$22),"dd mmm yy"))&amp;" "&amp;Milestones!$AB$22&amp;" "&amp;Milestones!$AC$22&amp;";  ","")&amp;IF(AND(EDATE($D39,Milestones!$AA$23)&lt;=AsOfDate,IF($R39=0,$X39,IF(AND($T39&lt;&gt;"",EDATE($D39,Milestones!$AA$23)&gt;=$T39),$W39,IF(AND($S39&lt;&gt;"",EDATE($D39,Milestones!$AA$23)&gt;=$S39),$V39,$U39)))=Milestones!$AB$23),UPPER(TEXT(EDATE($D39,Milestones!$AA$23),"dd mmm yy"))&amp;" "&amp;Milestones!$AB$23&amp;" "&amp;Milestones!$AC$23&amp;";  ","")&amp;IF(AND(EDATE($D39,Milestones!$AA$24)&lt;=AsOfDate,IF($R39=0,$X39,IF(AND($T39&lt;&gt;"",EDATE($D39,Milestones!$AA$24)&gt;=$T39),$W39,IF(AND($S39&lt;&gt;"",EDATE($D39,Milestones!$AA$24)&gt;=$S39),$V39,$U39)))=Milestones!$AB$24),UPPER(TEXT(EDATE($D39,Milestones!$AA$24),"dd mmm yy"))&amp;" "&amp;Milestones!$AB$24&amp;" "&amp;Milestones!$AC$24&amp;";  ","")&amp;IF(AND(EDATE($D39,Milestones!$AA$25)&lt;=AsOfDate,IF($R39=0,$X39,IF(AND($T39&lt;&gt;"",EDATE($D39,Milestones!$AA$25)&gt;=$T39),$W39,IF(AND($S39&lt;&gt;"",EDATE($D39,Milestones!$AA$25)&gt;=$S39),$V39,$U39)))=Milestones!$AB$25),UPPER(TEXT(EDATE($D39,Milestones!$AA$25),"dd mmm yy"))&amp;" "&amp;Milestones!$AB$25&amp;" "&amp;Milestones!$AC$25&amp;";  ","")&amp;IF(AND(EDATE($D39,Milestones!$AA$26)&lt;=AsOfDate,IF($R39=0,$X39,IF(AND($T39&lt;&gt;"",EDATE($D39,Milestones!$AA$26)&gt;=$T39),$W39,IF(AND($S39&lt;&gt;"",EDATE($D39,Milestones!$AA$26)&gt;=$S39),$V39,$U39)))=Milestones!$AB$26),UPPER(TEXT(EDATE($D39,Milestones!$AA$26),"dd mmm yy"))&amp;" "&amp;Milestones!$AB$26&amp;" "&amp;Milestones!$AC$26&amp;";  ","")&amp;IF(AND(EDATE($D39,Milestones!$AA$27)&lt;=AsOfDate,IF($R39=0,$X39,IF(AND($T39&lt;&gt;"",EDATE($D39,Milestones!$AA$27)&gt;=$T39),$W39,IF(AND($S39&lt;&gt;"",EDATE($D39,Milestones!$AA$27)&gt;=$S39),$V39,$U39)))=Milestones!$AB$27),UPPER(TEXT(EDATE($D39,Milestones!$AA$27),"dd mmm yy"))&amp;" "&amp;Milestones!$AB$27&amp;" "&amp;Milestones!$AC$27&amp;";  ","")&amp;IF(AND(EDATE($D39,Milestones!$AA$28)&lt;=AsOfDate,IF($R39=0,$X39,IF(AND($T39&lt;&gt;"",EDATE($D39,Milestones!$AA$28)&gt;=$T39),$W39,IF(AND($S39&lt;&gt;"",EDATE($D39,Milestones!$AA$28)&gt;=$S39),$V39,$U39)))=Milestones!$AB$28),UPPER(TEXT(EDATE($D39,Milestones!$AA$28),"dd mmm yy"))&amp;" "&amp;Milestones!$AB$28&amp;" "&amp;Milestones!$AC$28&amp;";  ","")&amp;IF(AND(EDATE($D39,Milestones!$AA$29)&lt;=AsOfDate,IF($R39=0,$X39,IF(AND($T39&lt;&gt;"",EDATE($D39,Milestones!$AA$29)&gt;=$T39),$W39,IF(AND($S39&lt;&gt;"",EDATE($D39,Milestones!$AA$29)&gt;=$S39),$V39,$U39)))=Milestones!$AB$29),UPPER(TEXT(EDATE($D39,Milestones!$AA$29),"dd mmm yy"))&amp;" "&amp;Milestones!$AB$29&amp;" "&amp;Milestones!$AC$29&amp;";  ","")&amp;IF(AND(EDATE($D39,Milestones!$AA$30)&lt;=AsOfDate,IF($R39=0,$X39,IF(AND($T39&lt;&gt;"",EDATE($D39,Milestones!$AA$30)&gt;=$T39),$W39,IF(AND($S39&lt;&gt;"",EDATE($D39,Milestones!$AA$30)&gt;=$S39),$V39,$U39)))=Milestones!$AB$30),UPPER(TEXT(EDATE($D39,Milestones!$AA$30),"dd mmm yy"))&amp;" "&amp;Milestones!$AB$30&amp;" "&amp;Milestones!$AC$30&amp;";  ","")&amp;IF(AND(EDATE($D39,Milestones!$AA$31)&lt;=AsOfDate,IF($R39=0,$X39,IF(AND($T39&lt;&gt;"",EDATE($D39,Milestones!$AA$31)&gt;=$T39),$W39,IF(AND($S39&lt;&gt;"",EDATE($D39,Milestones!$AA$31)&gt;=$S39),$V39,$U39)))=Milestones!$AB$31),UPPER(TEXT(EDATE($D39,Milestones!$AA$31),"dd mmm yy"))&amp;" "&amp;Milestones!$AB$31&amp;" "&amp;Milestones!$AC$31&amp;";  ","")&amp;IF(AND(EDATE($D39,Milestones!$AA$32)&lt;=AsOfDate,IF($R39=0,$X39,IF(AND($T39&lt;&gt;"",EDATE($D39,Milestones!$AA$32)&gt;=$T39),$W39,IF(AND($S39&lt;&gt;"",EDATE($D39,Milestones!$AA$32)&gt;=$S39),$V39,$U39)))=Milestones!$AB$32),UPPER(TEXT(EDATE($D39,Milestones!$AA$32),"dd mmm yy"))&amp;" "&amp;Milestones!$AB$32&amp;" "&amp;Milestones!$AC$32&amp;";  ","")&amp;IF(AND(EDATE($D39,Milestones!$AA$33)&lt;=AsOfDate,IF($R39=0,$X39,IF(AND($T39&lt;&gt;"",EDATE($D39,Milestones!$AA$33)&gt;=$T39),$W39,IF(AND($S39&lt;&gt;"",EDATE($D39,Milestones!$AA$33)&gt;=$S39),$V39,$U39)))=Milestones!$AB$33),UPPER(TEXT(EDATE($D39,Milestones!$AA$33),"dd mmm yy"))&amp;" "&amp;Milestones!$AB$33&amp;" "&amp;Milestones!$AC$33&amp;";  ","")&amp;IF(AND(EDATE($D39,Milestones!$AA$34)&lt;=AsOfDate,IF($R39=0,$X39,IF(AND($T39&lt;&gt;"",EDATE($D39,Milestones!$AA$34)&gt;=$T39),$W39,IF(AND($S39&lt;&gt;"",EDATE($D39,Milestones!$AA$34)&gt;=$S39),$V39,$U39)))=Milestones!$AB$34),UPPER(TEXT(EDATE($D39,Milestones!$AA$34),"dd mmm yy"))&amp;" "&amp;Milestones!$AB$34&amp;" "&amp;Milestones!$AC$34&amp;";  ","")&amp;IF(AND(EDATE($D39,Milestones!$AA$35)&lt;=AsOfDate,IF($R39=0,$X39,IF(AND($T39&lt;&gt;"",EDATE($D39,Milestones!$AA$35)&gt;=$T39),$W39,IF(AND($S39&lt;&gt;"",EDATE($D39,Milestones!$AA$35)&gt;=$S39),$V39,$U39)))=Milestones!$AB$35),UPPER(TEXT(EDATE($D39,Milestones!$AA$35),"dd mmm yy"))&amp;" "&amp;Milestones!$AB$35&amp;" "&amp;Milestones!$AC$35&amp;";  ","")&amp;IF(AND(EDATE($D39,Milestones!$AA$36)&lt;=AsOfDate,IF($R39=0,$X39,IF(AND($T39&lt;&gt;"",EDATE($D39,Milestones!$AA$36)&gt;=$T39),$W39,IF(AND($S39&lt;&gt;"",EDATE($D39,Milestones!$AA$36)&gt;=$S39),$V39,$U39)))=Milestones!$AB$36),UPPER(TEXT(EDATE($D39,Milestones!$AA$36),"dd mmm yy"))&amp;" "&amp;Milestones!$AB$36&amp;" "&amp;Milestones!$AC$36&amp;";  ","")&amp;IF(AND(EDATE($D39,Milestones!$AA$37)&lt;=AsOfDate,IF($R39=0,$X39,IF(AND($T39&lt;&gt;"",EDATE($D39,Milestones!$AA$37)&gt;=$T39),$W39,IF(AND($S39&lt;&gt;"",EDATE($D39,Milestones!$AA$37)&gt;=$S39),$V39,$U39)))=Milestones!$AB$37),UPPER(TEXT(EDATE($D39,Milestones!$AA$37),"dd mmm yy"))&amp;" "&amp;Milestones!$AB$37&amp;" "&amp;Milestones!$AC$37&amp;";  ","")&amp;IF(AND(EDATE($D39,Milestones!$AA$38)&lt;=AsOfDate,IF($R39=0,$X39,IF(AND($T39&lt;&gt;"",EDATE($D39,Milestones!$AA$38)&gt;=$T39),$W39,IF(AND($S39&lt;&gt;"",EDATE($D39,Milestones!$AA$38)&gt;=$S39),$V39,$U39)))=Milestones!$AB$38),UPPER(TEXT(EDATE($D39,Milestones!$AA$38),"dd mmm yy"))&amp;" "&amp;Milestones!$AB$38&amp;" "&amp;Milestones!$AC$38&amp;";  ","")&amp;IF(AND(EDATE($D39,Milestones!$AA$39)&lt;=AsOfDate,IF($R39=0,$X39,IF(AND($T39&lt;&gt;"",EDATE($D39,Milestones!$AA$39)&gt;=$T39),$W39,IF(AND($S39&lt;&gt;"",EDATE($D39,Milestones!$AA$39)&gt;=$S39),$V39,$U39)))=Milestones!$AB$39),UPPER(TEXT(EDATE($D39,Milestones!$AA$39),"dd mmm yy"))&amp;" "&amp;Milestones!$AB$39&amp;" "&amp;Milestones!$AC$39&amp;";  ",""))</f>
        <v/>
      </c>
      <c r="J39" s="0" t="str">
        <f aca="false">IF(OR($A39="",$D39=""),"",IF(AND(EDATE($D39,Milestones!$AA$40)&lt;=AsOfDate,IF($R39=0,$X39,IF(AND($T39&lt;&gt;"",EDATE($D39,Milestones!$AA$40)&gt;=$T39),$W39,IF(AND($S39&lt;&gt;"",EDATE($D39,Milestones!$AA$40)&gt;=$S39),$V39,$U39)))=Milestones!$AB$40),UPPER(TEXT(EDATE($D39,Milestones!$AA$40),"dd mmm yy"))&amp;" "&amp;Milestones!$AB$40&amp;" "&amp;Milestones!$AC$40&amp;";  ","")&amp;IF(AND(EDATE($D39,Milestones!$AA$41)&lt;=AsOfDate,IF($R39=0,$X39,IF(AND($T39&lt;&gt;"",EDATE($D39,Milestones!$AA$41)&gt;=$T39),$W39,IF(AND($S39&lt;&gt;"",EDATE($D39,Milestones!$AA$41)&gt;=$S39),$V39,$U39)))=Milestones!$AB$41),UPPER(TEXT(EDATE($D39,Milestones!$AA$41),"dd mmm yy"))&amp;" "&amp;Milestones!$AB$41&amp;" "&amp;Milestones!$AC$41&amp;";  ","")&amp;IF(AND(EDATE($D39,Milestones!$AA$42)&lt;=AsOfDate,IF($R39=0,$X39,IF(AND($T39&lt;&gt;"",EDATE($D39,Milestones!$AA$42)&gt;=$T39),$W39,IF(AND($S39&lt;&gt;"",EDATE($D39,Milestones!$AA$42)&gt;=$S39),$V39,$U39)))=Milestones!$AB$42),UPPER(TEXT(EDATE($D39,Milestones!$AA$42),"dd mmm yy"))&amp;" "&amp;Milestones!$AB$42&amp;" "&amp;Milestones!$AC$42&amp;";  ","")&amp;IF(AND(EDATE($D39,Milestones!$AA$43)&lt;=AsOfDate,IF($R39=0,$X39,IF(AND($T39&lt;&gt;"",EDATE($D39,Milestones!$AA$43)&gt;=$T39),$W39,IF(AND($S39&lt;&gt;"",EDATE($D39,Milestones!$AA$43)&gt;=$S39),$V39,$U39)))=Milestones!$AB$43),UPPER(TEXT(EDATE($D39,Milestones!$AA$43),"dd mmm yy"))&amp;" "&amp;Milestones!$AB$43&amp;" "&amp;Milestones!$AC$43&amp;";  ","")&amp;IF(AND(EDATE($D39,Milestones!$AA$44)&lt;=AsOfDate,IF($R39=0,$X39,IF(AND($T39&lt;&gt;"",EDATE($D39,Milestones!$AA$44)&gt;=$T39),$W39,IF(AND($S39&lt;&gt;"",EDATE($D39,Milestones!$AA$44)&gt;=$S39),$V39,$U39)))=Milestones!$AB$44),UPPER(TEXT(EDATE($D39,Milestones!$AA$44),"dd mmm yy"))&amp;" "&amp;Milestones!$AB$44&amp;" "&amp;Milestones!$AC$44&amp;";  ","")&amp;IF(AND(EDATE($D39,Milestones!$AA$45)&lt;=AsOfDate,IF($R39=0,$X39,IF(AND($T39&lt;&gt;"",EDATE($D39,Milestones!$AA$45)&gt;=$T39),$W39,IF(AND($S39&lt;&gt;"",EDATE($D39,Milestones!$AA$45)&gt;=$S39),$V39,$U39)))=Milestones!$AB$45),UPPER(TEXT(EDATE($D39,Milestones!$AA$45),"dd mmm yy"))&amp;" "&amp;Milestones!$AB$45&amp;" "&amp;Milestones!$AC$45&amp;";  ","")&amp;IF(AND(EDATE($D39,Milestones!$AA$46)&lt;=AsOfDate,IF($R39=0,$X39,IF(AND($T39&lt;&gt;"",EDATE($D39,Milestones!$AA$46)&gt;=$T39),$W39,IF(AND($S39&lt;&gt;"",EDATE($D39,Milestones!$AA$46)&gt;=$S39),$V39,$U39)))=Milestones!$AB$46),UPPER(TEXT(EDATE($D39,Milestones!$AA$46),"dd mmm yy"))&amp;" "&amp;Milestones!$AB$46&amp;" "&amp;Milestones!$AC$46&amp;";  ","")&amp;IF(AND(EDATE($D39,Milestones!$AA$47)&lt;=AsOfDate,IF($R39=0,$X39,IF(AND($T39&lt;&gt;"",EDATE($D39,Milestones!$AA$47)&gt;=$T39),$W39,IF(AND($S39&lt;&gt;"",EDATE($D39,Milestones!$AA$47)&gt;=$S39),$V39,$U39)))=Milestones!$AB$47),UPPER(TEXT(EDATE($D39,Milestones!$AA$47),"dd mmm yy"))&amp;" "&amp;Milestones!$AB$47&amp;" "&amp;Milestones!$AC$47&amp;";  ","")&amp;IF(AND(EDATE($D39,Milestones!$AA$48)&lt;=AsOfDate,IF($R39=0,$X39,IF(AND($T39&lt;&gt;"",EDATE($D39,Milestones!$AA$48)&gt;=$T39),$W39,IF(AND($S39&lt;&gt;"",EDATE($D39,Milestones!$AA$48)&gt;=$S39),$V39,$U39)))=Milestones!$AB$48),UPPER(TEXT(EDATE($D39,Milestones!$AA$48),"dd mmm yy"))&amp;" "&amp;Milestones!$AB$48&amp;" "&amp;Milestones!$AC$48&amp;";  ","")&amp;IF(AND(EDATE($D39,Milestones!$AA$49)&lt;=AsOfDate,IF($R39=0,$X39,IF(AND($T39&lt;&gt;"",EDATE($D39,Milestones!$AA$49)&gt;=$T39),$W39,IF(AND($S39&lt;&gt;"",EDATE($D39,Milestones!$AA$49)&gt;=$S39),$V39,$U39)))=Milestones!$AB$49),UPPER(TEXT(EDATE($D39,Milestones!$AA$49),"dd mmm yy"))&amp;" "&amp;Milestones!$AB$49&amp;" "&amp;Milestones!$AC$49&amp;";  ","")&amp;IF(AND(EDATE($D39,Milestones!$AA$50)&lt;=AsOfDate,IF($R39=0,$X39,IF(AND($T39&lt;&gt;"",EDATE($D39,Milestones!$AA$50)&gt;=$T39),$W39,IF(AND($S39&lt;&gt;"",EDATE($D39,Milestones!$AA$50)&gt;=$S39),$V39,$U39)))=Milestones!$AB$50),UPPER(TEXT(EDATE($D39,Milestones!$AA$50),"dd mmm yy"))&amp;" "&amp;Milestones!$AB$50&amp;" "&amp;Milestones!$AC$50&amp;";  ","")&amp;IF(AND(EDATE($D39,Milestones!$AA$51)&lt;=AsOfDate,IF($R39=0,$X39,IF(AND($T39&lt;&gt;"",EDATE($D39,Milestones!$AA$51)&gt;=$T39),$W39,IF(AND($S39&lt;&gt;"",EDATE($D39,Milestones!$AA$51)&gt;=$S39),$V39,$U39)))=Milestones!$AB$51),UPPER(TEXT(EDATE($D39,Milestones!$AA$51),"dd mmm yy"))&amp;" "&amp;Milestones!$AB$51&amp;" "&amp;Milestones!$AC$51&amp;";  ","")&amp;IF(AND(EDATE($D39,Milestones!$AA$52)&lt;=AsOfDate,IF($R39=0,$X39,IF(AND($T39&lt;&gt;"",EDATE($D39,Milestones!$AA$52)&gt;=$T39),$W39,IF(AND($S39&lt;&gt;"",EDATE($D39,Milestones!$AA$52)&gt;=$S39),$V39,$U39)))=Milestones!$AB$52),UPPER(TEXT(EDATE($D39,Milestones!$AA$52),"dd mmm yy"))&amp;" "&amp;Milestones!$AB$52&amp;" "&amp;Milestones!$AC$52&amp;";  ","")&amp;IF(AND(EDATE($D39,Milestones!$AA$53)&lt;=AsOfDate,IF($R39=0,$X39,IF(AND($T39&lt;&gt;"",EDATE($D39,Milestones!$AA$53)&gt;=$T39),$W39,IF(AND($S39&lt;&gt;"",EDATE($D39,Milestones!$AA$53)&gt;=$S39),$V39,$U39)))=Milestones!$AB$53),UPPER(TEXT(EDATE($D39,Milestones!$AA$53),"dd mmm yy"))&amp;" "&amp;Milestones!$AB$53&amp;" "&amp;Milestones!$AC$53&amp;";  ","")&amp;IF(AND(EDATE($D39,Milestones!$AA$54)&lt;=AsOfDate,IF($R39=0,$X39,IF(AND($T39&lt;&gt;"",EDATE($D39,Milestones!$AA$54)&gt;=$T39),$W39,IF(AND($S39&lt;&gt;"",EDATE($D39,Milestones!$AA$54)&gt;=$S39),$V39,$U39)))=Milestones!$AB$54),UPPER(TEXT(EDATE($D39,Milestones!$AA$54),"dd mmm yy"))&amp;" "&amp;Milestones!$AB$54&amp;" "&amp;Milestones!$AC$54&amp;";  ","")&amp;IF(AND(EDATE($D39,Milestones!$AA$55)&lt;=AsOfDate,IF($R39=0,$X39,IF(AND($T39&lt;&gt;"",EDATE($D39,Milestones!$AA$55)&gt;=$T39),$W39,IF(AND($S39&lt;&gt;"",EDATE($D39,Milestones!$AA$55)&gt;=$S39),$V39,$U39)))=Milestones!$AB$55),UPPER(TEXT(EDATE($D39,Milestones!$AA$55),"dd mmm yy"))&amp;" "&amp;Milestones!$AB$55&amp;" "&amp;Milestones!$AC$55&amp;";  ","")&amp;IF(AND(EDATE($D39,Milestones!$AA$56)&lt;=AsOfDate,IF($R39=0,$X39,IF(AND($T39&lt;&gt;"",EDATE($D39,Milestones!$AA$56)&gt;=$T39),$W39,IF(AND($S39&lt;&gt;"",EDATE($D39,Milestones!$AA$56)&gt;=$S39),$V39,$U39)))=Milestones!$AB$56),UPPER(TEXT(EDATE($D39,Milestones!$AA$56),"dd mmm yy"))&amp;" "&amp;Milestones!$AB$56&amp;" "&amp;Milestones!$AC$56&amp;";  ","")&amp;IF(AND(EDATE($D39,Milestones!$AA$57)&lt;=AsOfDate,IF($R39=0,$X39,IF(AND($T39&lt;&gt;"",EDATE($D39,Milestones!$AA$57)&gt;=$T39),$W39,IF(AND($S39&lt;&gt;"",EDATE($D39,Milestones!$AA$57)&gt;=$S39),$V39,$U39)))=Milestones!$AB$57),UPPER(TEXT(EDATE($D39,Milestones!$AA$57),"dd mmm yy"))&amp;" "&amp;Milestones!$AB$57&amp;" "&amp;Milestones!$AC$57&amp;";  ","")&amp;IF(AND(EDATE($D39,Milestones!$AA$58)&lt;=AsOfDate,IF($R39=0,$X39,IF(AND($T39&lt;&gt;"",EDATE($D39,Milestones!$AA$58)&gt;=$T39),$W39,IF(AND($S39&lt;&gt;"",EDATE($D39,Milestones!$AA$58)&gt;=$S39),$V39,$U39)))=Milestones!$AB$58),UPPER(TEXT(EDATE($D39,Milestones!$AA$58),"dd mmm yy"))&amp;" "&amp;Milestones!$AB$58&amp;" "&amp;Milestones!$AC$58&amp;";  ","")&amp;IF(AND(EDATE($D39,Milestones!$AA$59)&lt;=AsOfDate,IF($R39=0,$X39,IF(AND($T39&lt;&gt;"",EDATE($D39,Milestones!$AA$59)&gt;=$T39),$W39,IF(AND($S39&lt;&gt;"",EDATE($D39,Milestones!$AA$59)&gt;=$S39),$V39,$U39)))=Milestones!$AB$59),UPPER(TEXT(EDATE($D39,Milestones!$AA$59),"dd mmm yy"))&amp;" "&amp;Milestones!$AB$59&amp;" "&amp;Milestones!$AC$59&amp;";  ",""))</f>
        <v/>
      </c>
      <c r="K39" s="0" t="str">
        <f aca="false">IF(OR($A39="",$D39=""),"",IF(AND(EDATE($D39,Milestones!$AA$60)&lt;=AsOfDate,IF($R39=0,$X39,IF(AND($T39&lt;&gt;"",EDATE($D39,Milestones!$AA$60)&gt;=$T39),$W39,IF(AND($S39&lt;&gt;"",EDATE($D39,Milestones!$AA$60)&gt;=$S39),$V39,$U39)))=Milestones!$AB$60),UPPER(TEXT(EDATE($D39,Milestones!$AA$60),"dd mmm yy"))&amp;" "&amp;Milestones!$AB$60&amp;" "&amp;Milestones!$AC$60&amp;";  ","")&amp;IF(AND(EDATE($D39,Milestones!$AA$61)&lt;=AsOfDate,IF($R39=0,$X39,IF(AND($T39&lt;&gt;"",EDATE($D39,Milestones!$AA$61)&gt;=$T39),$W39,IF(AND($S39&lt;&gt;"",EDATE($D39,Milestones!$AA$61)&gt;=$S39),$V39,$U39)))=Milestones!$AB$61),UPPER(TEXT(EDATE($D39,Milestones!$AA$61),"dd mmm yy"))&amp;" "&amp;Milestones!$AB$61&amp;" "&amp;Milestones!$AC$61&amp;";  ","")&amp;IF(AND(EDATE($D39,Milestones!$AA$62)&lt;=AsOfDate,IF($R39=0,$X39,IF(AND($T39&lt;&gt;"",EDATE($D39,Milestones!$AA$62)&gt;=$T39),$W39,IF(AND($S39&lt;&gt;"",EDATE($D39,Milestones!$AA$62)&gt;=$S39),$V39,$U39)))=Milestones!$AB$62),UPPER(TEXT(EDATE($D39,Milestones!$AA$62),"dd mmm yy"))&amp;" "&amp;Milestones!$AB$62&amp;" "&amp;Milestones!$AC$62&amp;";  ","")&amp;IF(AND(EDATE($D39,Milestones!$AA$63)&lt;=AsOfDate,IF($R39=0,$X39,IF(AND($T39&lt;&gt;"",EDATE($D39,Milestones!$AA$63)&gt;=$T39),$W39,IF(AND($S39&lt;&gt;"",EDATE($D39,Milestones!$AA$63)&gt;=$S39),$V39,$U39)))=Milestones!$AB$63),UPPER(TEXT(EDATE($D39,Milestones!$AA$63),"dd mmm yy"))&amp;" "&amp;Milestones!$AB$63&amp;" "&amp;Milestones!$AC$63&amp;";  ","")&amp;IF(AND(EDATE($D39,Milestones!$AA$64)&lt;=AsOfDate,IF($R39=0,$X39,IF(AND($T39&lt;&gt;"",EDATE($D39,Milestones!$AA$64)&gt;=$T39),$W39,IF(AND($S39&lt;&gt;"",EDATE($D39,Milestones!$AA$64)&gt;=$S39),$V39,$U39)))=Milestones!$AB$64),UPPER(TEXT(EDATE($D39,Milestones!$AA$64),"dd mmm yy"))&amp;" "&amp;Milestones!$AB$64&amp;" "&amp;Milestones!$AC$64&amp;";  ","")&amp;IF(AND(EDATE($D39,Milestones!$AA$65)&lt;=AsOfDate,IF($R39=0,$X39,IF(AND($T39&lt;&gt;"",EDATE($D39,Milestones!$AA$65)&gt;=$T39),$W39,IF(AND($S39&lt;&gt;"",EDATE($D39,Milestones!$AA$65)&gt;=$S39),$V39,$U39)))=Milestones!$AB$65),UPPER(TEXT(EDATE($D39,Milestones!$AA$65),"dd mmm yy"))&amp;" "&amp;Milestones!$AB$65&amp;" "&amp;Milestones!$AC$65&amp;";  ","")&amp;IF(AND(EDATE($D39,Milestones!$AA$66)&lt;=AsOfDate,IF($R39=0,$X39,IF(AND($T39&lt;&gt;"",EDATE($D39,Milestones!$AA$66)&gt;=$T39),$W39,IF(AND($S39&lt;&gt;"",EDATE($D39,Milestones!$AA$66)&gt;=$S39),$V39,$U39)))=Milestones!$AB$66),UPPER(TEXT(EDATE($D39,Milestones!$AA$66),"dd mmm yy"))&amp;" "&amp;Milestones!$AB$66&amp;" "&amp;Milestones!$AC$66&amp;";  ","")&amp;IF(AND(EDATE($D39,Milestones!$AA$67)&lt;=AsOfDate,IF($R39=0,$X39,IF(AND($T39&lt;&gt;"",EDATE($D39,Milestones!$AA$67)&gt;=$T39),$W39,IF(AND($S39&lt;&gt;"",EDATE($D39,Milestones!$AA$67)&gt;=$S39),$V39,$U39)))=Milestones!$AB$67),UPPER(TEXT(EDATE($D39,Milestones!$AA$67),"dd mmm yy"))&amp;" "&amp;Milestones!$AB$67&amp;" "&amp;Milestones!$AC$67&amp;";  ","")&amp;IF(AND(EDATE($D39,Milestones!$AA$68)&lt;=AsOfDate,IF($R39=0,$X39,IF(AND($T39&lt;&gt;"",EDATE($D39,Milestones!$AA$68)&gt;=$T39),$W39,IF(AND($S39&lt;&gt;"",EDATE($D39,Milestones!$AA$68)&gt;=$S39),$V39,$U39)))=Milestones!$AB$68),UPPER(TEXT(EDATE($D39,Milestones!$AA$68),"dd mmm yy"))&amp;" "&amp;Milestones!$AB$68&amp;" "&amp;Milestones!$AC$68&amp;";  ","")&amp;IF(AND(EDATE($D39,Milestones!$AA$69)&lt;=AsOfDate,IF($R39=0,$X39,IF(AND($T39&lt;&gt;"",EDATE($D39,Milestones!$AA$69)&gt;=$T39),$W39,IF(AND($S39&lt;&gt;"",EDATE($D39,Milestones!$AA$69)&gt;=$S39),$V39,$U39)))=Milestones!$AB$69),UPPER(TEXT(EDATE($D39,Milestones!$AA$69),"dd mmm yy"))&amp;" "&amp;Milestones!$AB$69&amp;" "&amp;Milestones!$AC$69&amp;";  ","")&amp;IF(AND(EDATE($D39,Milestones!$AA$70)&lt;=AsOfDate,IF($R39=0,$X39,IF(AND($T39&lt;&gt;"",EDATE($D39,Milestones!$AA$70)&gt;=$T39),$W39,IF(AND($S39&lt;&gt;"",EDATE($D39,Milestones!$AA$70)&gt;=$S39),$V39,$U39)))=Milestones!$AB$70),UPPER(TEXT(EDATE($D39,Milestones!$AA$70),"dd mmm yy"))&amp;" "&amp;Milestones!$AB$70&amp;" "&amp;Milestones!$AC$70&amp;";  ","")&amp;IF(AND(EDATE($D39,Milestones!$AA$71)&lt;=AsOfDate,IF($R39=0,$X39,IF(AND($T39&lt;&gt;"",EDATE($D39,Milestones!$AA$71)&gt;=$T39),$W39,IF(AND($S39&lt;&gt;"",EDATE($D39,Milestones!$AA$71)&gt;=$S39),$V39,$U39)))=Milestones!$AB$71),UPPER(TEXT(EDATE($D39,Milestones!$AA$71),"dd mmm yy"))&amp;" "&amp;Milestones!$AB$71&amp;" "&amp;Milestones!$AC$71&amp;";  ","")&amp;IF(AND(EDATE($D39,Milestones!$AA$72)&lt;=AsOfDate,IF($R39=0,$X39,IF(AND($T39&lt;&gt;"",EDATE($D39,Milestones!$AA$72)&gt;=$T39),$W39,IF(AND($S39&lt;&gt;"",EDATE($D39,Milestones!$AA$72)&gt;=$S39),$V39,$U39)))=Milestones!$AB$72),UPPER(TEXT(EDATE($D39,Milestones!$AA$72),"dd mmm yy"))&amp;" "&amp;Milestones!$AB$72&amp;" "&amp;Milestones!$AC$72&amp;";  ","")&amp;IF(AND(EDATE($D39,Milestones!$AA$73)&lt;=AsOfDate,IF($R39=0,$X39,IF(AND($T39&lt;&gt;"",EDATE($D39,Milestones!$AA$73)&gt;=$T39),$W39,IF(AND($S39&lt;&gt;"",EDATE($D39,Milestones!$AA$73)&gt;=$S39),$V39,$U39)))=Milestones!$AB$73),UPPER(TEXT(EDATE($D39,Milestones!$AA$73),"dd mmm yy"))&amp;" "&amp;Milestones!$AB$73&amp;" "&amp;Milestones!$AC$73&amp;";  ","")&amp;IF(AND(EDATE($D39,Milestones!$AA$74)&lt;=AsOfDate,IF($R39=0,$X39,IF(AND($T39&lt;&gt;"",EDATE($D39,Milestones!$AA$74)&gt;=$T39),$W39,IF(AND($S39&lt;&gt;"",EDATE($D39,Milestones!$AA$74)&gt;=$S39),$V39,$U39)))=Milestones!$AB$74),UPPER(TEXT(EDATE($D39,Milestones!$AA$74),"dd mmm yy"))&amp;" "&amp;Milestones!$AB$74&amp;" "&amp;Milestones!$AC$74&amp;";  ","")&amp;IF(AND(EDATE($D39,Milestones!$AA$75)&lt;=AsOfDate,IF($R39=0,$X39,IF(AND($T39&lt;&gt;"",EDATE($D39,Milestones!$AA$75)&gt;=$T39),$W39,IF(AND($S39&lt;&gt;"",EDATE($D39,Milestones!$AA$75)&gt;=$S39),$V39,$U39)))=Milestones!$AB$75),UPPER(TEXT(EDATE($D39,Milestones!$AA$75),"dd mmm yy"))&amp;" "&amp;Milestones!$AB$75&amp;" "&amp;Milestones!$AC$75&amp;";  ","")&amp;IF(AND(EDATE($D39,Milestones!$AA$76)&lt;=AsOfDate,IF($R39=0,$X39,IF(AND($T39&lt;&gt;"",EDATE($D39,Milestones!$AA$76)&gt;=$T39),$W39,IF(AND($S39&lt;&gt;"",EDATE($D39,Milestones!$AA$76)&gt;=$S39),$V39,$U39)))=Milestones!$AB$76),UPPER(TEXT(EDATE($D39,Milestones!$AA$76),"dd mmm yy"))&amp;" "&amp;Milestones!$AB$76&amp;" "&amp;Milestones!$AC$76&amp;";  ","")&amp;IF(AND(EDATE($D39,Milestones!$AA$77)&lt;=AsOfDate,IF($R39=0,$X39,IF(AND($T39&lt;&gt;"",EDATE($D39,Milestones!$AA$77)&gt;=$T39),$W39,IF(AND($S39&lt;&gt;"",EDATE($D39,Milestones!$AA$77)&gt;=$S39),$V39,$U39)))=Milestones!$AB$77),UPPER(TEXT(EDATE($D39,Milestones!$AA$77),"dd mmm yy"))&amp;" "&amp;Milestones!$AB$77&amp;" "&amp;Milestones!$AC$77&amp;";  ","")&amp;IF(AND(EDATE($D39,Milestones!$AA$78)&lt;=AsOfDate,IF($R39=0,$X39,IF(AND($T39&lt;&gt;"",EDATE($D39,Milestones!$AA$78)&gt;=$T39),$W39,IF(AND($S39&lt;&gt;"",EDATE($D39,Milestones!$AA$78)&gt;=$S39),$V39,$U39)))=Milestones!$AB$78),UPPER(TEXT(EDATE($D39,Milestones!$AA$78),"dd mmm yy"))&amp;" "&amp;Milestones!$AB$78&amp;" "&amp;Milestones!$AC$78&amp;";  ","")&amp;IF(AND(EDATE($D39,Milestones!$AA$79)&lt;=AsOfDate,IF($R39=0,$X39,IF(AND($T39&lt;&gt;"",EDATE($D39,Milestones!$AA$79)&gt;=$T39),$W39,IF(AND($S39&lt;&gt;"",EDATE($D39,Milestones!$AA$79)&gt;=$S39),$V39,$U39)))=Milestones!$AB$79),UPPER(TEXT(EDATE($D39,Milestones!$AA$79),"dd mmm yy"))&amp;" "&amp;Milestones!$AB$79&amp;" "&amp;Milestones!$AC$79&amp;";  ",""))</f>
        <v/>
      </c>
      <c r="L39" s="0" t="str">
        <f aca="false">IF(OR($A39="",$D39=""),"",IF(AND(EDATE($D39,Milestones!$AA$80)&lt;=AsOfDate,IF($R39=0,$X39,IF(AND($T39&lt;&gt;"",EDATE($D39,Milestones!$AA$80)&gt;=$T39),$W39,IF(AND($S39&lt;&gt;"",EDATE($D39,Milestones!$AA$80)&gt;=$S39),$V39,$U39)))=Milestones!$AB$80),UPPER(TEXT(EDATE($D39,Milestones!$AA$80),"dd mmm yy"))&amp;" "&amp;Milestones!$AB$80&amp;" "&amp;Milestones!$AC$80&amp;";  ","")&amp;IF(AND(EDATE($D39,Milestones!$AA$81)&lt;=AsOfDate,IF($R39=0,$X39,IF(AND($T39&lt;&gt;"",EDATE($D39,Milestones!$AA$81)&gt;=$T39),$W39,IF(AND($S39&lt;&gt;"",EDATE($D39,Milestones!$AA$81)&gt;=$S39),$V39,$U39)))=Milestones!$AB$81),UPPER(TEXT(EDATE($D39,Milestones!$AA$81),"dd mmm yy"))&amp;" "&amp;Milestones!$AB$81&amp;" "&amp;Milestones!$AC$81&amp;";  ","")&amp;IF(AND(EDATE($D39,Milestones!$AA$82)&lt;=AsOfDate,IF($R39=0,$X39,IF(AND($T39&lt;&gt;"",EDATE($D39,Milestones!$AA$82)&gt;=$T39),$W39,IF(AND($S39&lt;&gt;"",EDATE($D39,Milestones!$AA$82)&gt;=$S39),$V39,$U39)))=Milestones!$AB$82),UPPER(TEXT(EDATE($D39,Milestones!$AA$82),"dd mmm yy"))&amp;" "&amp;Milestones!$AB$82&amp;" "&amp;Milestones!$AC$82&amp;";  ","")&amp;IF(AND(EDATE($D39,Milestones!$AA$83)&lt;=AsOfDate,IF($R39=0,$X39,IF(AND($T39&lt;&gt;"",EDATE($D39,Milestones!$AA$83)&gt;=$T39),$W39,IF(AND($S39&lt;&gt;"",EDATE($D39,Milestones!$AA$83)&gt;=$S39),$V39,$U39)))=Milestones!$AB$83),UPPER(TEXT(EDATE($D39,Milestones!$AA$83),"dd mmm yy"))&amp;" "&amp;Milestones!$AB$83&amp;" "&amp;Milestones!$AC$83&amp;";  ","")&amp;IF(AND(EDATE($D39,Milestones!$AA$84)&lt;=AsOfDate,IF($R39=0,$X39,IF(AND($T39&lt;&gt;"",EDATE($D39,Milestones!$AA$84)&gt;=$T39),$W39,IF(AND($S39&lt;&gt;"",EDATE($D39,Milestones!$AA$84)&gt;=$S39),$V39,$U39)))=Milestones!$AB$84),UPPER(TEXT(EDATE($D39,Milestones!$AA$84),"dd mmm yy"))&amp;" "&amp;Milestones!$AB$84&amp;" "&amp;Milestones!$AC$84&amp;";  ","")&amp;IF(AND(EDATE($D39,Milestones!$AA$85)&lt;=AsOfDate,IF($R39=0,$X39,IF(AND($T39&lt;&gt;"",EDATE($D39,Milestones!$AA$85)&gt;=$T39),$W39,IF(AND($S39&lt;&gt;"",EDATE($D39,Milestones!$AA$85)&gt;=$S39),$V39,$U39)))=Milestones!$AB$85),UPPER(TEXT(EDATE($D39,Milestones!$AA$85),"dd mmm yy"))&amp;" "&amp;Milestones!$AB$85&amp;" "&amp;Milestones!$AC$85&amp;";  ","")&amp;IF(AND(EDATE($D39,Milestones!$AA$86)&lt;=AsOfDate,IF($R39=0,$X39,IF(AND($T39&lt;&gt;"",EDATE($D39,Milestones!$AA$86)&gt;=$T39),$W39,IF(AND($S39&lt;&gt;"",EDATE($D39,Milestones!$AA$86)&gt;=$S39),$V39,$U39)))=Milestones!$AB$86),UPPER(TEXT(EDATE($D39,Milestones!$AA$86),"dd mmm yy"))&amp;" "&amp;Milestones!$AB$86&amp;" "&amp;Milestones!$AC$86&amp;";  ","")&amp;IF(AND(EDATE($D39,Milestones!$AA$87)&lt;=AsOfDate,IF($R39=0,$X39,IF(AND($T39&lt;&gt;"",EDATE($D39,Milestones!$AA$87)&gt;=$T39),$W39,IF(AND($S39&lt;&gt;"",EDATE($D39,Milestones!$AA$87)&gt;=$S39),$V39,$U39)))=Milestones!$AB$87),UPPER(TEXT(EDATE($D39,Milestones!$AA$87),"dd mmm yy"))&amp;" "&amp;Milestones!$AB$87&amp;" "&amp;Milestones!$AC$87&amp;";  ","")&amp;IF(AND(EDATE($D39,Milestones!$AA$88)&lt;=AsOfDate,IF($R39=0,$X39,IF(AND($T39&lt;&gt;"",EDATE($D39,Milestones!$AA$88)&gt;=$T39),$W39,IF(AND($S39&lt;&gt;"",EDATE($D39,Milestones!$AA$88)&gt;=$S39),$V39,$U39)))=Milestones!$AB$88),UPPER(TEXT(EDATE($D39,Milestones!$AA$88),"dd mmm yy"))&amp;" "&amp;Milestones!$AB$88&amp;" "&amp;Milestones!$AC$88&amp;";  ","")&amp;IF(AND(EDATE($D39,Milestones!$AA$89)&lt;=AsOfDate,IF($R39=0,$X39,IF(AND($T39&lt;&gt;"",EDATE($D39,Milestones!$AA$89)&gt;=$T39),$W39,IF(AND($S39&lt;&gt;"",EDATE($D39,Milestones!$AA$89)&gt;=$S39),$V39,$U39)))=Milestones!$AB$89),UPPER(TEXT(EDATE($D39,Milestones!$AA$89),"dd mmm yy"))&amp;" "&amp;Milestones!$AB$89&amp;" "&amp;Milestones!$AC$89&amp;";  ","")&amp;IF(AND(EDATE($D39,Milestones!$AA$90)&lt;=AsOfDate,IF($R39=0,$X39,IF(AND($T39&lt;&gt;"",EDATE($D39,Milestones!$AA$90)&gt;=$T39),$W39,IF(AND($S39&lt;&gt;"",EDATE($D39,Milestones!$AA$90)&gt;=$S39),$V39,$U39)))=Milestones!$AB$90),UPPER(TEXT(EDATE($D39,Milestones!$AA$90),"dd mmm yy"))&amp;" "&amp;Milestones!$AB$90&amp;" "&amp;Milestones!$AC$90&amp;";  ","")&amp;IF(AND(EDATE($D39,Milestones!$AA$91)&lt;=AsOfDate,IF($R39=0,$X39,IF(AND($T39&lt;&gt;"",EDATE($D39,Milestones!$AA$91)&gt;=$T39),$W39,IF(AND($S39&lt;&gt;"",EDATE($D39,Milestones!$AA$91)&gt;=$S39),$V39,$U39)))=Milestones!$AB$91),UPPER(TEXT(EDATE($D39,Milestones!$AA$91),"dd mmm yy"))&amp;" "&amp;Milestones!$AB$91&amp;" "&amp;Milestones!$AC$91&amp;";  ","")&amp;IF(AND(EDATE($D39,Milestones!$AA$92)&lt;=AsOfDate,IF($R39=0,$X39,IF(AND($T39&lt;&gt;"",EDATE($D39,Milestones!$AA$92)&gt;=$T39),$W39,IF(AND($S39&lt;&gt;"",EDATE($D39,Milestones!$AA$92)&gt;=$S39),$V39,$U39)))=Milestones!$AB$92),UPPER(TEXT(EDATE($D39,Milestones!$AA$92),"dd mmm yy"))&amp;" "&amp;Milestones!$AB$92&amp;" "&amp;Milestones!$AC$92&amp;";  ","")&amp;IF(AND(EDATE($D39,Milestones!$AA$93)&lt;=AsOfDate,IF($R39=0,$X39,IF(AND($T39&lt;&gt;"",EDATE($D39,Milestones!$AA$93)&gt;=$T39),$W39,IF(AND($S39&lt;&gt;"",EDATE($D39,Milestones!$AA$93)&gt;=$S39),$V39,$U39)))=Milestones!$AB$93),UPPER(TEXT(EDATE($D39,Milestones!$AA$93),"dd mmm yy"))&amp;" "&amp;Milestones!$AB$93&amp;" "&amp;Milestones!$AC$93&amp;";  ","")&amp;IF(AND(EDATE($D39,Milestones!$AA$94)&lt;=AsOfDate,IF($R39=0,$X39,IF(AND($T39&lt;&gt;"",EDATE($D39,Milestones!$AA$94)&gt;=$T39),$W39,IF(AND($S39&lt;&gt;"",EDATE($D39,Milestones!$AA$94)&gt;=$S39),$V39,$U39)))=Milestones!$AB$94),UPPER(TEXT(EDATE($D39,Milestones!$AA$94),"dd mmm yy"))&amp;" "&amp;Milestones!$AB$94&amp;" "&amp;Milestones!$AC$94&amp;";  ","")&amp;IF(AND(EDATE($D39,Milestones!$AA$95)&lt;=AsOfDate,IF($R39=0,$X39,IF(AND($T39&lt;&gt;"",EDATE($D39,Milestones!$AA$95)&gt;=$T39),$W39,IF(AND($S39&lt;&gt;"",EDATE($D39,Milestones!$AA$95)&gt;=$S39),$V39,$U39)))=Milestones!$AB$95),UPPER(TEXT(EDATE($D39,Milestones!$AA$95),"dd mmm yy"))&amp;" "&amp;Milestones!$AB$95&amp;" "&amp;Milestones!$AC$95&amp;";  ","")&amp;IF(AND(EDATE($D39,Milestones!$AA$96)&lt;=AsOfDate,IF($R39=0,$X39,IF(AND($T39&lt;&gt;"",EDATE($D39,Milestones!$AA$96)&gt;=$T39),$W39,IF(AND($S39&lt;&gt;"",EDATE($D39,Milestones!$AA$96)&gt;=$S39),$V39,$U39)))=Milestones!$AB$96),UPPER(TEXT(EDATE($D39,Milestones!$AA$96),"dd mmm yy"))&amp;" "&amp;Milestones!$AB$96&amp;" "&amp;Milestones!$AC$96&amp;";  ","")&amp;IF(AND(EDATE($D39,Milestones!$AA$97)&lt;=AsOfDate,IF($R39=0,$X39,IF(AND($T39&lt;&gt;"",EDATE($D39,Milestones!$AA$97)&gt;=$T39),$W39,IF(AND($S39&lt;&gt;"",EDATE($D39,Milestones!$AA$97)&gt;=$S39),$V39,$U39)))=Milestones!$AB$97),UPPER(TEXT(EDATE($D39,Milestones!$AA$97),"dd mmm yy"))&amp;" "&amp;Milestones!$AB$97&amp;" "&amp;Milestones!$AC$97&amp;";  ","")&amp;IF(AND(EDATE($D39,Milestones!$AA$98)&lt;=AsOfDate,IF($R39=0,$X39,IF(AND($T39&lt;&gt;"",EDATE($D39,Milestones!$AA$98)&gt;=$T39),$W39,IF(AND($S39&lt;&gt;"",EDATE($D39,Milestones!$AA$98)&gt;=$S39),$V39,$U39)))=Milestones!$AB$98),UPPER(TEXT(EDATE($D39,Milestones!$AA$98),"dd mmm yy"))&amp;" "&amp;Milestones!$AB$98&amp;" "&amp;Milestones!$AC$98&amp;";  ","")&amp;IF(AND(EDATE($D39,Milestones!$AA$99)&lt;=AsOfDate,IF($R39=0,$X39,IF(AND($T39&lt;&gt;"",EDATE($D39,Milestones!$AA$99)&gt;=$T39),$W39,IF(AND($S39&lt;&gt;"",EDATE($D39,Milestones!$AA$99)&gt;=$S39),$V39,$U39)))=Milestones!$AB$99),UPPER(TEXT(EDATE($D39,Milestones!$AA$99),"dd mmm yy"))&amp;" "&amp;Milestones!$AB$99&amp;" "&amp;Milestones!$AC$99&amp;";  ",""))</f>
        <v/>
      </c>
      <c r="M39" s="0" t="str">
        <f aca="false">IF(OR($A39="",$D39=""),"",IF(AND(EDATE($D39,Milestones!$AA$100)&lt;=AsOfDate,IF($R39=0,$X39,IF(AND($T39&lt;&gt;"",EDATE($D39,Milestones!$AA$100)&gt;=$T39),$W39,IF(AND($S39&lt;&gt;"",EDATE($D39,Milestones!$AA$100)&gt;=$S39),$V39,$U39)))=Milestones!$AB$100),UPPER(TEXT(EDATE($D39,Milestones!$AA$100),"dd mmm yy"))&amp;" "&amp;Milestones!$AB$100&amp;" "&amp;Milestones!$AC$100&amp;";  ","")&amp;IF(AND(EDATE($D39,Milestones!$AA$101)&lt;=AsOfDate,IF($R39=0,$X39,IF(AND($T39&lt;&gt;"",EDATE($D39,Milestones!$AA$101)&gt;=$T39),$W39,IF(AND($S39&lt;&gt;"",EDATE($D39,Milestones!$AA$101)&gt;=$S39),$V39,$U39)))=Milestones!$AB$101),UPPER(TEXT(EDATE($D39,Milestones!$AA$101),"dd mmm yy"))&amp;" "&amp;Milestones!$AB$101&amp;" "&amp;Milestones!$AC$101&amp;";  ","")&amp;IF(AND(EDATE($D39,Milestones!$AA$102)&lt;=AsOfDate,IF($R39=0,$X39,IF(AND($T39&lt;&gt;"",EDATE($D39,Milestones!$AA$102)&gt;=$T39),$W39,IF(AND($S39&lt;&gt;"",EDATE($D39,Milestones!$AA$102)&gt;=$S39),$V39,$U39)))=Milestones!$AB$102),UPPER(TEXT(EDATE($D39,Milestones!$AA$102),"dd mmm yy"))&amp;" "&amp;Milestones!$AB$102&amp;" "&amp;Milestones!$AC$102&amp;";  ","")&amp;IF(AND(EDATE($D39,Milestones!$AA$103)&lt;=AsOfDate,IF($R39=0,$X39,IF(AND($T39&lt;&gt;"",EDATE($D39,Milestones!$AA$103)&gt;=$T39),$W39,IF(AND($S39&lt;&gt;"",EDATE($D39,Milestones!$AA$103)&gt;=$S39),$V39,$U39)))=Milestones!$AB$103),UPPER(TEXT(EDATE($D39,Milestones!$AA$103),"dd mmm yy"))&amp;" "&amp;Milestones!$AB$103&amp;" "&amp;Milestones!$AC$103&amp;";  ","")&amp;IF(AND(EDATE($D39,Milestones!$AA$104)&lt;=AsOfDate,IF($R39=0,$X39,IF(AND($T39&lt;&gt;"",EDATE($D39,Milestones!$AA$104)&gt;=$T39),$W39,IF(AND($S39&lt;&gt;"",EDATE($D39,Milestones!$AA$104)&gt;=$S39),$V39,$U39)))=Milestones!$AB$104),UPPER(TEXT(EDATE($D39,Milestones!$AA$104),"dd mmm yy"))&amp;" "&amp;Milestones!$AB$104&amp;" "&amp;Milestones!$AC$104&amp;";  ","")&amp;IF(AND(EDATE($D39,Milestones!$AA$105)&lt;=AsOfDate,IF($R39=0,$X39,IF(AND($T39&lt;&gt;"",EDATE($D39,Milestones!$AA$105)&gt;=$T39),$W39,IF(AND($S39&lt;&gt;"",EDATE($D39,Milestones!$AA$105)&gt;=$S39),$V39,$U39)))=Milestones!$AB$105),UPPER(TEXT(EDATE($D39,Milestones!$AA$105),"dd mmm yy"))&amp;" "&amp;Milestones!$AB$105&amp;" "&amp;Milestones!$AC$105&amp;";  ","")&amp;IF(AND(EDATE($D39,Milestones!$AA$106)&lt;=AsOfDate,IF($R39=0,$X39,IF(AND($T39&lt;&gt;"",EDATE($D39,Milestones!$AA$106)&gt;=$T39),$W39,IF(AND($S39&lt;&gt;"",EDATE($D39,Milestones!$AA$106)&gt;=$S39),$V39,$U39)))=Milestones!$AB$106),UPPER(TEXT(EDATE($D39,Milestones!$AA$106),"dd mmm yy"))&amp;" "&amp;Milestones!$AB$106&amp;" "&amp;Milestones!$AC$106&amp;";  ","")&amp;IF(AND(EDATE($D39,Milestones!$AA$107)&lt;=AsOfDate,IF($R39=0,$X39,IF(AND($T39&lt;&gt;"",EDATE($D39,Milestones!$AA$107)&gt;=$T39),$W39,IF(AND($S39&lt;&gt;"",EDATE($D39,Milestones!$AA$107)&gt;=$S39),$V39,$U39)))=Milestones!$AB$107),UPPER(TEXT(EDATE($D39,Milestones!$AA$107),"dd mmm yy"))&amp;" "&amp;Milestones!$AB$107&amp;" "&amp;Milestones!$AC$107&amp;";  ","")&amp;IF(AND(EDATE($D39,Milestones!$AA$108)&lt;=AsOfDate,IF($R39=0,$X39,IF(AND($T39&lt;&gt;"",EDATE($D39,Milestones!$AA$108)&gt;=$T39),$W39,IF(AND($S39&lt;&gt;"",EDATE($D39,Milestones!$AA$108)&gt;=$S39),$V39,$U39)))=Milestones!$AB$108),UPPER(TEXT(EDATE($D39,Milestones!$AA$108),"dd mmm yy"))&amp;" "&amp;Milestones!$AB$108&amp;" "&amp;Milestones!$AC$108&amp;";  ","")&amp;IF(AND(EDATE($D39,Milestones!$AA$109)&lt;=AsOfDate,IF($R39=0,$X39,IF(AND($T39&lt;&gt;"",EDATE($D39,Milestones!$AA$109)&gt;=$T39),$W39,IF(AND($S39&lt;&gt;"",EDATE($D39,Milestones!$AA$109)&gt;=$S39),$V39,$U39)))=Milestones!$AB$109),UPPER(TEXT(EDATE($D39,Milestones!$AA$109),"dd mmm yy"))&amp;" "&amp;Milestones!$AB$109&amp;" "&amp;Milestones!$AC$109&amp;";  ","")&amp;IF(AND(EDATE($D39,Milestones!$AA$110)&lt;=AsOfDate,IF($R39=0,$X39,IF(AND($T39&lt;&gt;"",EDATE($D39,Milestones!$AA$110)&gt;=$T39),$W39,IF(AND($S39&lt;&gt;"",EDATE($D39,Milestones!$AA$110)&gt;=$S39),$V39,$U39)))=Milestones!$AB$110),UPPER(TEXT(EDATE($D39,Milestones!$AA$110),"dd mmm yy"))&amp;" "&amp;Milestones!$AB$110&amp;" "&amp;Milestones!$AC$110&amp;";  ","")&amp;IF(AND(EDATE($D39,Milestones!$AA$111)&lt;=AsOfDate,IF($R39=0,$X39,IF(AND($T39&lt;&gt;"",EDATE($D39,Milestones!$AA$111)&gt;=$T39),$W39,IF(AND($S39&lt;&gt;"",EDATE($D39,Milestones!$AA$111)&gt;=$S39),$V39,$U39)))=Milestones!$AB$111),UPPER(TEXT(EDATE($D39,Milestones!$AA$111),"dd mmm yy"))&amp;" "&amp;Milestones!$AB$111&amp;" "&amp;Milestones!$AC$111&amp;";  ","")&amp;IF(AND(EDATE($D39,Milestones!$AA$112)&lt;=AsOfDate,IF($R39=0,$X39,IF(AND($T39&lt;&gt;"",EDATE($D39,Milestones!$AA$112)&gt;=$T39),$W39,IF(AND($S39&lt;&gt;"",EDATE($D39,Milestones!$AA$112)&gt;=$S39),$V39,$U39)))=Milestones!$AB$112),UPPER(TEXT(EDATE($D39,Milestones!$AA$112),"dd mmm yy"))&amp;" "&amp;Milestones!$AB$112&amp;" "&amp;Milestones!$AC$112&amp;";  ","")&amp;IF(AND(EDATE($D39,Milestones!$AA$113)&lt;=AsOfDate,IF($R39=0,$X39,IF(AND($T39&lt;&gt;"",EDATE($D39,Milestones!$AA$113)&gt;=$T39),$W39,IF(AND($S39&lt;&gt;"",EDATE($D39,Milestones!$AA$113)&gt;=$S39),$V39,$U39)))=Milestones!$AB$113),UPPER(TEXT(EDATE($D39,Milestones!$AA$113),"dd mmm yy"))&amp;" "&amp;Milestones!$AB$113&amp;" "&amp;Milestones!$AC$113&amp;";  ","")&amp;IF(AND(EDATE($D39,Milestones!$AA$114)&lt;=AsOfDate,IF($R39=0,$X39,IF(AND($T39&lt;&gt;"",EDATE($D39,Milestones!$AA$114)&gt;=$T39),$W39,IF(AND($S39&lt;&gt;"",EDATE($D39,Milestones!$AA$114)&gt;=$S39),$V39,$U39)))=Milestones!$AB$114),UPPER(TEXT(EDATE($D39,Milestones!$AA$114),"dd mmm yy"))&amp;" "&amp;Milestones!$AB$114&amp;" "&amp;Milestones!$AC$114&amp;";  ","")&amp;IF(AND(EDATE($D39,Milestones!$AA$115)&lt;=AsOfDate,IF($R39=0,$X39,IF(AND($T39&lt;&gt;"",EDATE($D39,Milestones!$AA$115)&gt;=$T39),$W39,IF(AND($S39&lt;&gt;"",EDATE($D39,Milestones!$AA$115)&gt;=$S39),$V39,$U39)))=Milestones!$AB$115),UPPER(TEXT(EDATE($D39,Milestones!$AA$115),"dd mmm yy"))&amp;" "&amp;Milestones!$AB$115&amp;" "&amp;Milestones!$AC$115&amp;";  ","")&amp;IF(AND(EDATE($D39,Milestones!$AA$116)&lt;=AsOfDate,IF($R39=0,$X39,IF(AND($T39&lt;&gt;"",EDATE($D39,Milestones!$AA$116)&gt;=$T39),$W39,IF(AND($S39&lt;&gt;"",EDATE($D39,Milestones!$AA$116)&gt;=$S39),$V39,$U39)))=Milestones!$AB$116),UPPER(TEXT(EDATE($D39,Milestones!$AA$116),"dd mmm yy"))&amp;" "&amp;Milestones!$AB$116&amp;" "&amp;Milestones!$AC$116&amp;";  ","")&amp;IF(AND(EDATE($D39,Milestones!$AA$117)&lt;=AsOfDate,IF($R39=0,$X39,IF(AND($T39&lt;&gt;"",EDATE($D39,Milestones!$AA$117)&gt;=$T39),$W39,IF(AND($S39&lt;&gt;"",EDATE($D39,Milestones!$AA$117)&gt;=$S39),$V39,$U39)))=Milestones!$AB$117),UPPER(TEXT(EDATE($D39,Milestones!$AA$117),"dd mmm yy"))&amp;" "&amp;Milestones!$AB$117&amp;" "&amp;Milestones!$AC$117&amp;";  ","")&amp;IF(AND(EDATE($D39,Milestones!$AA$118)&lt;=AsOfDate,IF($R39=0,$X39,IF(AND($T39&lt;&gt;"",EDATE($D39,Milestones!$AA$118)&gt;=$T39),$W39,IF(AND($S39&lt;&gt;"",EDATE($D39,Milestones!$AA$118)&gt;=$S39),$V39,$U39)))=Milestones!$AB$118),UPPER(TEXT(EDATE($D39,Milestones!$AA$118),"dd mmm yy"))&amp;" "&amp;Milestones!$AB$118&amp;" "&amp;Milestones!$AC$118&amp;";  ","")&amp;IF(AND(EDATE($D39,Milestones!$AA$119)&lt;=AsOfDate,IF($R39=0,$X39,IF(AND($T39&lt;&gt;"",EDATE($D39,Milestones!$AA$119)&gt;=$T39),$W39,IF(AND($S39&lt;&gt;"",EDATE($D39,Milestones!$AA$119)&gt;=$S39),$V39,$U39)))=Milestones!$AB$119),UPPER(TEXT(EDATE($D39,Milestones!$AA$119),"dd mmm yy"))&amp;" "&amp;Milestones!$AB$119&amp;" "&amp;Milestones!$AC$119&amp;";  ",""))</f>
        <v/>
      </c>
      <c r="N39" s="0" t="str">
        <f aca="false">IF(OR($A39="",$D39=""),"",IF(AND(EDATE($D39,Milestones!$AA$120)&lt;=AsOfDate,IF($R39=0,$X39,IF(AND($T39&lt;&gt;"",EDATE($D39,Milestones!$AA$120)&gt;=$T39),$W39,IF(AND($S39&lt;&gt;"",EDATE($D39,Milestones!$AA$120)&gt;=$S39),$V39,$U39)))=Milestones!$AB$120),UPPER(TEXT(EDATE($D39,Milestones!$AA$120),"dd mmm yy"))&amp;" "&amp;Milestones!$AB$120&amp;" "&amp;Milestones!$AC$120&amp;";  ","")&amp;IF(AND(EDATE($D39,Milestones!$AA$121)&lt;=AsOfDate,IF($R39=0,$X39,IF(AND($T39&lt;&gt;"",EDATE($D39,Milestones!$AA$121)&gt;=$T39),$W39,IF(AND($S39&lt;&gt;"",EDATE($D39,Milestones!$AA$121)&gt;=$S39),$V39,$U39)))=Milestones!$AB$121),UPPER(TEXT(EDATE($D39,Milestones!$AA$121),"dd mmm yy"))&amp;" "&amp;Milestones!$AB$121&amp;" "&amp;Milestones!$AC$121&amp;";  ","")&amp;IF(AND(EDATE($D39,Milestones!$AA$122)&lt;=AsOfDate,IF($R39=0,$X39,IF(AND($T39&lt;&gt;"",EDATE($D39,Milestones!$AA$122)&gt;=$T39),$W39,IF(AND($S39&lt;&gt;"",EDATE($D39,Milestones!$AA$122)&gt;=$S39),$V39,$U39)))=Milestones!$AB$122),UPPER(TEXT(EDATE($D39,Milestones!$AA$122),"dd mmm yy"))&amp;" "&amp;Milestones!$AB$122&amp;" "&amp;Milestones!$AC$122&amp;";  ","")&amp;IF(AND(EDATE($D39,Milestones!$AA$123)&lt;=AsOfDate,IF($R39=0,$X39,IF(AND($T39&lt;&gt;"",EDATE($D39,Milestones!$AA$123)&gt;=$T39),$W39,IF(AND($S39&lt;&gt;"",EDATE($D39,Milestones!$AA$123)&gt;=$S39),$V39,$U39)))=Milestones!$AB$123),UPPER(TEXT(EDATE($D39,Milestones!$AA$123),"dd mmm yy"))&amp;" "&amp;Milestones!$AB$123&amp;" "&amp;Milestones!$AC$123&amp;";  ","")&amp;IF(AND(EDATE($D39,Milestones!$AA$124)&lt;=AsOfDate,IF($R39=0,$X39,IF(AND($T39&lt;&gt;"",EDATE($D39,Milestones!$AA$124)&gt;=$T39),$W39,IF(AND($S39&lt;&gt;"",EDATE($D39,Milestones!$AA$124)&gt;=$S39),$V39,$U39)))=Milestones!$AB$124),UPPER(TEXT(EDATE($D39,Milestones!$AA$124),"dd mmm yy"))&amp;" "&amp;Milestones!$AB$124&amp;" "&amp;Milestones!$AC$124&amp;";  ","")&amp;IF(AND(EDATE($D39,Milestones!$AA$125)&lt;=AsOfDate,IF($R39=0,$X39,IF(AND($T39&lt;&gt;"",EDATE($D39,Milestones!$AA$125)&gt;=$T39),$W39,IF(AND($S39&lt;&gt;"",EDATE($D39,Milestones!$AA$125)&gt;=$S39),$V39,$U39)))=Milestones!$AB$125),UPPER(TEXT(EDATE($D39,Milestones!$AA$125),"dd mmm yy"))&amp;" "&amp;Milestones!$AB$125&amp;" "&amp;Milestones!$AC$125&amp;";  ","")&amp;IF(AND(EDATE($D39,Milestones!$AA$126)&lt;=AsOfDate,IF($R39=0,$X39,IF(AND($T39&lt;&gt;"",EDATE($D39,Milestones!$AA$126)&gt;=$T39),$W39,IF(AND($S39&lt;&gt;"",EDATE($D39,Milestones!$AA$126)&gt;=$S39),$V39,$U39)))=Milestones!$AB$126),UPPER(TEXT(EDATE($D39,Milestones!$AA$126),"dd mmm yy"))&amp;" "&amp;Milestones!$AB$126&amp;" "&amp;Milestones!$AC$126&amp;";  ","")&amp;IF(AND(EDATE($D39,Milestones!$AA$127)&lt;=AsOfDate,IF($R39=0,$X39,IF(AND($T39&lt;&gt;"",EDATE($D39,Milestones!$AA$127)&gt;=$T39),$W39,IF(AND($S39&lt;&gt;"",EDATE($D39,Milestones!$AA$127)&gt;=$S39),$V39,$U39)))=Milestones!$AB$127),UPPER(TEXT(EDATE($D39,Milestones!$AA$127),"dd mmm yy"))&amp;" "&amp;Milestones!$AB$127&amp;" "&amp;Milestones!$AC$127&amp;";  ","")&amp;IF(AND(EDATE($D39,Milestones!$AA$128)&lt;=AsOfDate,IF($R39=0,$X39,IF(AND($T39&lt;&gt;"",EDATE($D39,Milestones!$AA$128)&gt;=$T39),$W39,IF(AND($S39&lt;&gt;"",EDATE($D39,Milestones!$AA$128)&gt;=$S39),$V39,$U39)))=Milestones!$AB$128),UPPER(TEXT(EDATE($D39,Milestones!$AA$128),"dd mmm yy"))&amp;" "&amp;Milestones!$AB$128&amp;" "&amp;Milestones!$AC$128&amp;";  ","")&amp;IF(AND(EDATE($D39,Milestones!$AA$129)&lt;=AsOfDate,IF($R39=0,$X39,IF(AND($T39&lt;&gt;"",EDATE($D39,Milestones!$AA$129)&gt;=$T39),$W39,IF(AND($S39&lt;&gt;"",EDATE($D39,Milestones!$AA$129)&gt;=$S39),$V39,$U39)))=Milestones!$AB$129),UPPER(TEXT(EDATE($D39,Milestones!$AA$129),"dd mmm yy"))&amp;" "&amp;Milestones!$AB$129&amp;" "&amp;Milestones!$AC$129&amp;";  ","")&amp;IF(AND(EDATE($D39,Milestones!$AA$130)&lt;=AsOfDate,IF($R39=0,$X39,IF(AND($T39&lt;&gt;"",EDATE($D39,Milestones!$AA$130)&gt;=$T39),$W39,IF(AND($S39&lt;&gt;"",EDATE($D39,Milestones!$AA$130)&gt;=$S39),$V39,$U39)))=Milestones!$AB$130),UPPER(TEXT(EDATE($D39,Milestones!$AA$130),"dd mmm yy"))&amp;" "&amp;Milestones!$AB$130&amp;" "&amp;Milestones!$AC$130&amp;";  ","")&amp;IF(AND(EDATE($D39,Milestones!$AA$131)&lt;=AsOfDate,IF($R39=0,$X39,IF(AND($T39&lt;&gt;"",EDATE($D39,Milestones!$AA$131)&gt;=$T39),$W39,IF(AND($S39&lt;&gt;"",EDATE($D39,Milestones!$AA$131)&gt;=$S39),$V39,$U39)))=Milestones!$AB$131),UPPER(TEXT(EDATE($D39,Milestones!$AA$131),"dd mmm yy"))&amp;" "&amp;Milestones!$AB$131&amp;" "&amp;Milestones!$AC$131&amp;";  ","")&amp;IF(AND(EDATE($D39,Milestones!$AA$132)&lt;=AsOfDate,IF($R39=0,$X39,IF(AND($T39&lt;&gt;"",EDATE($D39,Milestones!$AA$132)&gt;=$T39),$W39,IF(AND($S39&lt;&gt;"",EDATE($D39,Milestones!$AA$132)&gt;=$S39),$V39,$U39)))=Milestones!$AB$132),UPPER(TEXT(EDATE($D39,Milestones!$AA$132),"dd mmm yy"))&amp;" "&amp;Milestones!$AB$132&amp;" "&amp;Milestones!$AC$132&amp;";  ","")&amp;IF(AND(EDATE($D39,Milestones!$AA$133)&lt;=AsOfDate,IF($R39=0,$X39,IF(AND($T39&lt;&gt;"",EDATE($D39,Milestones!$AA$133)&gt;=$T39),$W39,IF(AND($S39&lt;&gt;"",EDATE($D39,Milestones!$AA$133)&gt;=$S39),$V39,$U39)))=Milestones!$AB$133),UPPER(TEXT(EDATE($D39,Milestones!$AA$133),"dd mmm yy"))&amp;" "&amp;Milestones!$AB$133&amp;" "&amp;Milestones!$AC$133&amp;";  ","")&amp;IF(AND(EDATE($D39,Milestones!$AA$134)&lt;=AsOfDate,IF($R39=0,$X39,IF(AND($T39&lt;&gt;"",EDATE($D39,Milestones!$AA$134)&gt;=$T39),$W39,IF(AND($S39&lt;&gt;"",EDATE($D39,Milestones!$AA$134)&gt;=$S39),$V39,$U39)))=Milestones!$AB$134),UPPER(TEXT(EDATE($D39,Milestones!$AA$134),"dd mmm yy"))&amp;" "&amp;Milestones!$AB$134&amp;" "&amp;Milestones!$AC$134&amp;";  ","")&amp;IF(AND(EDATE($D39,Milestones!$AA$135)&lt;=AsOfDate,IF($R39=0,$X39,IF(AND($T39&lt;&gt;"",EDATE($D39,Milestones!$AA$135)&gt;=$T39),$W39,IF(AND($S39&lt;&gt;"",EDATE($D39,Milestones!$AA$135)&gt;=$S39),$V39,$U39)))=Milestones!$AB$135),UPPER(TEXT(EDATE($D39,Milestones!$AA$135),"dd mmm yy"))&amp;" "&amp;Milestones!$AB$135&amp;" "&amp;Milestones!$AC$135&amp;";  ","")&amp;IF(AND(EDATE($D39,Milestones!$AA$136)&lt;=AsOfDate,IF($R39=0,$X39,IF(AND($T39&lt;&gt;"",EDATE($D39,Milestones!$AA$136)&gt;=$T39),$W39,IF(AND($S39&lt;&gt;"",EDATE($D39,Milestones!$AA$136)&gt;=$S39),$V39,$U39)))=Milestones!$AB$136),UPPER(TEXT(EDATE($D39,Milestones!$AA$136),"dd mmm yy"))&amp;" "&amp;Milestones!$AB$136&amp;" "&amp;Milestones!$AC$136&amp;";  ","")&amp;IF(AND(EDATE($D39,Milestones!$AA$137)&lt;=AsOfDate,IF($R39=0,$X39,IF(AND($T39&lt;&gt;"",EDATE($D39,Milestones!$AA$137)&gt;=$T39),$W39,IF(AND($S39&lt;&gt;"",EDATE($D39,Milestones!$AA$137)&gt;=$S39),$V39,$U39)))=Milestones!$AB$137),UPPER(TEXT(EDATE($D39,Milestones!$AA$137),"dd mmm yy"))&amp;" "&amp;Milestones!$AB$137&amp;" "&amp;Milestones!$AC$137&amp;";  ","")&amp;IF(AND(EDATE($D39,Milestones!$AA$138)&lt;=AsOfDate,IF($R39=0,$X39,IF(AND($T39&lt;&gt;"",EDATE($D39,Milestones!$AA$138)&gt;=$T39),$W39,IF(AND($S39&lt;&gt;"",EDATE($D39,Milestones!$AA$138)&gt;=$S39),$V39,$U39)))=Milestones!$AB$138),UPPER(TEXT(EDATE($D39,Milestones!$AA$138),"dd mmm yy"))&amp;" "&amp;Milestones!$AB$138&amp;" "&amp;Milestones!$AC$138&amp;";  ","")&amp;IF(AND(EDATE($D39,Milestones!$AA$139)&lt;=AsOfDate,IF($R39=0,$X39,IF(AND($T39&lt;&gt;"",EDATE($D39,Milestones!$AA$139)&gt;=$T39),$W39,IF(AND($S39&lt;&gt;"",EDATE($D39,Milestones!$AA$139)&gt;=$S39),$V39,$U39)))=Milestones!$AB$139),UPPER(TEXT(EDATE($D39,Milestones!$AA$139),"dd mmm yy"))&amp;" "&amp;Milestones!$AB$139&amp;" "&amp;Milestones!$AC$139&amp;";  ",""))</f>
        <v/>
      </c>
      <c r="O39" s="0" t="str">
        <f aca="false">IF(OR($A39="",$D39=""),"",IF(AND(EDATE($D39,Milestones!$AA$140)&lt;=AsOfDate,IF($R39=0,$X39,IF(AND($T39&lt;&gt;"",EDATE($D39,Milestones!$AA$140)&gt;=$T39),$W39,IF(AND($S39&lt;&gt;"",EDATE($D39,Milestones!$AA$140)&gt;=$S39),$V39,$U39)))=Milestones!$AB$140),UPPER(TEXT(EDATE($D39,Milestones!$AA$140),"dd mmm yy"))&amp;" "&amp;Milestones!$AB$140&amp;" "&amp;Milestones!$AC$140&amp;";  ","")&amp;IF(AND(EDATE($D39,Milestones!$AA$141)&lt;=AsOfDate,IF($R39=0,$X39,IF(AND($T39&lt;&gt;"",EDATE($D39,Milestones!$AA$141)&gt;=$T39),$W39,IF(AND($S39&lt;&gt;"",EDATE($D39,Milestones!$AA$141)&gt;=$S39),$V39,$U39)))=Milestones!$AB$141),UPPER(TEXT(EDATE($D39,Milestones!$AA$141),"dd mmm yy"))&amp;" "&amp;Milestones!$AB$141&amp;" "&amp;Milestones!$AC$141&amp;";  ","")&amp;IF(AND(EDATE($D39,Milestones!$AA$142)&lt;=AsOfDate,IF($R39=0,$X39,IF(AND($T39&lt;&gt;"",EDATE($D39,Milestones!$AA$142)&gt;=$T39),$W39,IF(AND($S39&lt;&gt;"",EDATE($D39,Milestones!$AA$142)&gt;=$S39),$V39,$U39)))=Milestones!$AB$142),UPPER(TEXT(EDATE($D39,Milestones!$AA$142),"dd mmm yy"))&amp;" "&amp;Milestones!$AB$142&amp;" "&amp;Milestones!$AC$142&amp;";  ","")&amp;IF(AND(EDATE($D39,Milestones!$AA$143)&lt;=AsOfDate,IF($R39=0,$X39,IF(AND($T39&lt;&gt;"",EDATE($D39,Milestones!$AA$143)&gt;=$T39),$W39,IF(AND($S39&lt;&gt;"",EDATE($D39,Milestones!$AA$143)&gt;=$S39),$V39,$U39)))=Milestones!$AB$143),UPPER(TEXT(EDATE($D39,Milestones!$AA$143),"dd mmm yy"))&amp;" "&amp;Milestones!$AB$143&amp;" "&amp;Milestones!$AC$143&amp;";  ","")&amp;IF(AND(EDATE($D39,Milestones!$AA$144)&lt;=AsOfDate,IF($R39=0,$X39,IF(AND($T39&lt;&gt;"",EDATE($D39,Milestones!$AA$144)&gt;=$T39),$W39,IF(AND($S39&lt;&gt;"",EDATE($D39,Milestones!$AA$144)&gt;=$S39),$V39,$U39)))=Milestones!$AB$144),UPPER(TEXT(EDATE($D39,Milestones!$AA$144),"dd mmm yy"))&amp;" "&amp;Milestones!$AB$144&amp;" "&amp;Milestones!$AC$144&amp;";  ","")&amp;IF(AND(EDATE($D39,Milestones!$AA$145)&lt;=AsOfDate,IF($R39=0,$X39,IF(AND($T39&lt;&gt;"",EDATE($D39,Milestones!$AA$145)&gt;=$T39),$W39,IF(AND($S39&lt;&gt;"",EDATE($D39,Milestones!$AA$145)&gt;=$S39),$V39,$U39)))=Milestones!$AB$145),UPPER(TEXT(EDATE($D39,Milestones!$AA$145),"dd mmm yy"))&amp;" "&amp;Milestones!$AB$145&amp;" "&amp;Milestones!$AC$145&amp;";  ","")&amp;IF(AND(EDATE($D39,Milestones!$AA$146)&lt;=AsOfDate,IF($R39=0,$X39,IF(AND($T39&lt;&gt;"",EDATE($D39,Milestones!$AA$146)&gt;=$T39),$W39,IF(AND($S39&lt;&gt;"",EDATE($D39,Milestones!$AA$146)&gt;=$S39),$V39,$U39)))=Milestones!$AB$146),UPPER(TEXT(EDATE($D39,Milestones!$AA$146),"dd mmm yy"))&amp;" "&amp;Milestones!$AB$146&amp;" "&amp;Milestones!$AC$146&amp;";  ","")&amp;IF(AND(EDATE($D39,Milestones!$AA$147)&lt;=AsOfDate,IF($R39=0,$X39,IF(AND($T39&lt;&gt;"",EDATE($D39,Milestones!$AA$147)&gt;=$T39),$W39,IF(AND($S39&lt;&gt;"",EDATE($D39,Milestones!$AA$147)&gt;=$S39),$V39,$U39)))=Milestones!$AB$147),UPPER(TEXT(EDATE($D39,Milestones!$AA$147),"dd mmm yy"))&amp;" "&amp;Milestones!$AB$147&amp;" "&amp;Milestones!$AC$147&amp;";  ","")&amp;IF(AND(EDATE($D39,Milestones!$AA$148)&lt;=AsOfDate,IF($R39=0,$X39,IF(AND($T39&lt;&gt;"",EDATE($D39,Milestones!$AA$148)&gt;=$T39),$W39,IF(AND($S39&lt;&gt;"",EDATE($D39,Milestones!$AA$148)&gt;=$S39),$V39,$U39)))=Milestones!$AB$148),UPPER(TEXT(EDATE($D39,Milestones!$AA$148),"dd mmm yy"))&amp;" "&amp;Milestones!$AB$148&amp;" "&amp;Milestones!$AC$148&amp;";  ","")&amp;IF(AND(EDATE($D39,Milestones!$AA$149)&lt;=AsOfDate,IF($R39=0,$X39,IF(AND($T39&lt;&gt;"",EDATE($D39,Milestones!$AA$149)&gt;=$T39),$W39,IF(AND($S39&lt;&gt;"",EDATE($D39,Milestones!$AA$149)&gt;=$S39),$V39,$U39)))=Milestones!$AB$149),UPPER(TEXT(EDATE($D39,Milestones!$AA$149),"dd mmm yy"))&amp;" "&amp;Milestones!$AB$149&amp;" "&amp;Milestones!$AC$149&amp;";  ","")&amp;IF(AND(EDATE($D39,Milestones!$AA$150)&lt;=AsOfDate,IF($R39=0,$X39,IF(AND($T39&lt;&gt;"",EDATE($D39,Milestones!$AA$150)&gt;=$T39),$W39,IF(AND($S39&lt;&gt;"",EDATE($D39,Milestones!$AA$150)&gt;=$S39),$V39,$U39)))=Milestones!$AB$150),UPPER(TEXT(EDATE($D39,Milestones!$AA$150),"dd mmm yy"))&amp;" "&amp;Milestones!$AB$150&amp;" "&amp;Milestones!$AC$150&amp;";  ","")&amp;IF(AND(EDATE($D39,Milestones!$AA$151)&lt;=AsOfDate,IF($R39=0,$X39,IF(AND($T39&lt;&gt;"",EDATE($D39,Milestones!$AA$151)&gt;=$T39),$W39,IF(AND($S39&lt;&gt;"",EDATE($D39,Milestones!$AA$151)&gt;=$S39),$V39,$U39)))=Milestones!$AB$151),UPPER(TEXT(EDATE($D39,Milestones!$AA$151),"dd mmm yy"))&amp;" "&amp;Milestones!$AB$151&amp;" "&amp;Milestones!$AC$151&amp;";  ","")&amp;IF(AND(EDATE($D39,Milestones!$AA$152)&lt;=AsOfDate,IF($R39=0,$X39,IF(AND($T39&lt;&gt;"",EDATE($D39,Milestones!$AA$152)&gt;=$T39),$W39,IF(AND($S39&lt;&gt;"",EDATE($D39,Milestones!$AA$152)&gt;=$S39),$V39,$U39)))=Milestones!$AB$152),UPPER(TEXT(EDATE($D39,Milestones!$AA$152),"dd mmm yy"))&amp;" "&amp;Milestones!$AB$152&amp;" "&amp;Milestones!$AC$152&amp;";  ","")&amp;IF(AND(EDATE($D39,Milestones!$AA$153)&lt;=AsOfDate,IF($R39=0,$X39,IF(AND($T39&lt;&gt;"",EDATE($D39,Milestones!$AA$153)&gt;=$T39),$W39,IF(AND($S39&lt;&gt;"",EDATE($D39,Milestones!$AA$153)&gt;=$S39),$V39,$U39)))=Milestones!$AB$153),UPPER(TEXT(EDATE($D39,Milestones!$AA$153),"dd mmm yy"))&amp;" "&amp;Milestones!$AB$153&amp;" "&amp;Milestones!$AC$153&amp;";  ","")&amp;IF(AND(EDATE($D39,Milestones!$AA$154)&lt;=AsOfDate,IF($R39=0,$X39,IF(AND($T39&lt;&gt;"",EDATE($D39,Milestones!$AA$154)&gt;=$T39),$W39,IF(AND($S39&lt;&gt;"",EDATE($D39,Milestones!$AA$154)&gt;=$S39),$V39,$U39)))=Milestones!$AB$154),UPPER(TEXT(EDATE($D39,Milestones!$AA$154),"dd mmm yy"))&amp;" "&amp;Milestones!$AB$154&amp;" "&amp;Milestones!$AC$154&amp;";  ","")&amp;IF(AND(EDATE($D39,Milestones!$AA$155)&lt;=AsOfDate,IF($R39=0,$X39,IF(AND($T39&lt;&gt;"",EDATE($D39,Milestones!$AA$155)&gt;=$T39),$W39,IF(AND($S39&lt;&gt;"",EDATE($D39,Milestones!$AA$155)&gt;=$S39),$V39,$U39)))=Milestones!$AB$155),UPPER(TEXT(EDATE($D39,Milestones!$AA$155),"dd mmm yy"))&amp;" "&amp;Milestones!$AB$155&amp;" "&amp;Milestones!$AC$155&amp;";  ","")&amp;IF(AND(EDATE($D39,Milestones!$AA$156)&lt;=AsOfDate,IF($R39=0,$X39,IF(AND($T39&lt;&gt;"",EDATE($D39,Milestones!$AA$156)&gt;=$T39),$W39,IF(AND($S39&lt;&gt;"",EDATE($D39,Milestones!$AA$156)&gt;=$S39),$V39,$U39)))=Milestones!$AB$156),UPPER(TEXT(EDATE($D39,Milestones!$AA$156),"dd mmm yy"))&amp;" "&amp;Milestones!$AB$156&amp;" "&amp;Milestones!$AC$156&amp;";  ","")&amp;IF(AND(EDATE($D39,Milestones!$AA$157)&lt;=AsOfDate,IF($R39=0,$X39,IF(AND($T39&lt;&gt;"",EDATE($D39,Milestones!$AA$157)&gt;=$T39),$W39,IF(AND($S39&lt;&gt;"",EDATE($D39,Milestones!$AA$157)&gt;=$S39),$V39,$U39)))=Milestones!$AB$157),UPPER(TEXT(EDATE($D39,Milestones!$AA$157),"dd mmm yy"))&amp;" "&amp;Milestones!$AB$157&amp;" "&amp;Milestones!$AC$157&amp;";  ","")&amp;IF(AND(EDATE($D39,Milestones!$AA$158)&lt;=AsOfDate,IF($R39=0,$X39,IF(AND($T39&lt;&gt;"",EDATE($D39,Milestones!$AA$158)&gt;=$T39),$W39,IF(AND($S39&lt;&gt;"",EDATE($D39,Milestones!$AA$158)&gt;=$S39),$V39,$U39)))=Milestones!$AB$158),UPPER(TEXT(EDATE($D39,Milestones!$AA$158),"dd mmm yy"))&amp;" "&amp;Milestones!$AB$158&amp;" "&amp;Milestones!$AC$158&amp;";  ","")&amp;IF(AND(EDATE($D39,Milestones!$AA$159)&lt;=AsOfDate,IF($R39=0,$X39,IF(AND($T39&lt;&gt;"",EDATE($D39,Milestones!$AA$159)&gt;=$T39),$W39,IF(AND($S39&lt;&gt;"",EDATE($D39,Milestones!$AA$159)&gt;=$S39),$V39,$U39)))=Milestones!$AB$159),UPPER(TEXT(EDATE($D39,Milestones!$AA$159),"dd mmm yy"))&amp;" "&amp;Milestones!$AB$159&amp;" "&amp;Milestones!$AC$159&amp;";  ",""))</f>
        <v/>
      </c>
      <c r="P39" s="0" t="str">
        <f aca="false">IF(OR($A39="",$D39=""),"",IF(AND(EDATE($D39,Milestones!$AA$160)&lt;=AsOfDate,IF($R39=0,$X39,IF(AND($T39&lt;&gt;"",EDATE($D39,Milestones!$AA$160)&gt;=$T39),$W39,IF(AND($S39&lt;&gt;"",EDATE($D39,Milestones!$AA$160)&gt;=$S39),$V39,$U39)))=Milestones!$AB$160),UPPER(TEXT(EDATE($D39,Milestones!$AA$160),"dd mmm yy"))&amp;" "&amp;Milestones!$AB$160&amp;" "&amp;Milestones!$AC$160&amp;";  ","")&amp;IF(AND(EDATE($D39,Milestones!$AA$161)&lt;=AsOfDate,IF($R39=0,$X39,IF(AND($T39&lt;&gt;"",EDATE($D39,Milestones!$AA$161)&gt;=$T39),$W39,IF(AND($S39&lt;&gt;"",EDATE($D39,Milestones!$AA$161)&gt;=$S39),$V39,$U39)))=Milestones!$AB$161),UPPER(TEXT(EDATE($D39,Milestones!$AA$161),"dd mmm yy"))&amp;" "&amp;Milestones!$AB$161&amp;" "&amp;Milestones!$AC$161&amp;";  ","")&amp;IF(AND(EDATE($D39,Milestones!$AA$162)&lt;=AsOfDate,IF($R39=0,$X39,IF(AND($T39&lt;&gt;"",EDATE($D39,Milestones!$AA$162)&gt;=$T39),$W39,IF(AND($S39&lt;&gt;"",EDATE($D39,Milestones!$AA$162)&gt;=$S39),$V39,$U39)))=Milestones!$AB$162),UPPER(TEXT(EDATE($D39,Milestones!$AA$162),"dd mmm yy"))&amp;" "&amp;Milestones!$AB$162&amp;" "&amp;Milestones!$AC$162&amp;";  ","")&amp;IF(AND(EDATE($D39,Milestones!$AA$163)&lt;=AsOfDate,IF($R39=0,$X39,IF(AND($T39&lt;&gt;"",EDATE($D39,Milestones!$AA$163)&gt;=$T39),$W39,IF(AND($S39&lt;&gt;"",EDATE($D39,Milestones!$AA$163)&gt;=$S39),$V39,$U39)))=Milestones!$AB$163),UPPER(TEXT(EDATE($D39,Milestones!$AA$163),"dd mmm yy"))&amp;" "&amp;Milestones!$AB$163&amp;" "&amp;Milestones!$AC$163&amp;";  ","")&amp;IF(AND(EDATE($D39,Milestones!$AA$164)&lt;=AsOfDate,IF($R39=0,$X39,IF(AND($T39&lt;&gt;"",EDATE($D39,Milestones!$AA$164)&gt;=$T39),$W39,IF(AND($S39&lt;&gt;"",EDATE($D39,Milestones!$AA$164)&gt;=$S39),$V39,$U39)))=Milestones!$AB$164),UPPER(TEXT(EDATE($D39,Milestones!$AA$164),"dd mmm yy"))&amp;" "&amp;Milestones!$AB$164&amp;" "&amp;Milestones!$AC$164&amp;";  ","")&amp;IF(AND(EDATE($D39,Milestones!$AA$165)&lt;=AsOfDate,IF($R39=0,$X39,IF(AND($T39&lt;&gt;"",EDATE($D39,Milestones!$AA$165)&gt;=$T39),$W39,IF(AND($S39&lt;&gt;"",EDATE($D39,Milestones!$AA$165)&gt;=$S39),$V39,$U39)))=Milestones!$AB$165),UPPER(TEXT(EDATE($D39,Milestones!$AA$165),"dd mmm yy"))&amp;" "&amp;Milestones!$AB$165&amp;" "&amp;Milestones!$AC$165&amp;";  ","")&amp;IF(AND(EDATE($D39,Milestones!$AA$166)&lt;=AsOfDate,IF($R39=0,$X39,IF(AND($T39&lt;&gt;"",EDATE($D39,Milestones!$AA$166)&gt;=$T39),$W39,IF(AND($S39&lt;&gt;"",EDATE($D39,Milestones!$AA$166)&gt;=$S39),$V39,$U39)))=Milestones!$AB$166),UPPER(TEXT(EDATE($D39,Milestones!$AA$166),"dd mmm yy"))&amp;" "&amp;Milestones!$AB$166&amp;" "&amp;Milestones!$AC$166&amp;";  ","")&amp;IF(AND(EDATE($D39,Milestones!$AA$167)&lt;=AsOfDate,IF($R39=0,$X39,IF(AND($T39&lt;&gt;"",EDATE($D39,Milestones!$AA$167)&gt;=$T39),$W39,IF(AND($S39&lt;&gt;"",EDATE($D39,Milestones!$AA$167)&gt;=$S39),$V39,$U39)))=Milestones!$AB$167),UPPER(TEXT(EDATE($D39,Milestones!$AA$167),"dd mmm yy"))&amp;" "&amp;Milestones!$AB$167&amp;" "&amp;Milestones!$AC$167&amp;";  ","")&amp;IF(AND(EDATE($D39,Milestones!$AA$168)&lt;=AsOfDate,IF($R39=0,$X39,IF(AND($T39&lt;&gt;"",EDATE($D39,Milestones!$AA$168)&gt;=$T39),$W39,IF(AND($S39&lt;&gt;"",EDATE($D39,Milestones!$AA$168)&gt;=$S39),$V39,$U39)))=Milestones!$AB$168),UPPER(TEXT(EDATE($D39,Milestones!$AA$168),"dd mmm yy"))&amp;" "&amp;Milestones!$AB$168&amp;" "&amp;Milestones!$AC$168&amp;";  ","")&amp;IF(AND(EDATE($D39,Milestones!$AA$169)&lt;=AsOfDate,IF($R39=0,$X39,IF(AND($T39&lt;&gt;"",EDATE($D39,Milestones!$AA$169)&gt;=$T39),$W39,IF(AND($S39&lt;&gt;"",EDATE($D39,Milestones!$AA$169)&gt;=$S39),$V39,$U39)))=Milestones!$AB$169),UPPER(TEXT(EDATE($D39,Milestones!$AA$169),"dd mmm yy"))&amp;" "&amp;Milestones!$AB$169&amp;" "&amp;Milestones!$AC$169&amp;";  ","")&amp;IF(AND(EDATE($D39,Milestones!$AA$170)&lt;=AsOfDate,IF($R39=0,$X39,IF(AND($T39&lt;&gt;"",EDATE($D39,Milestones!$AA$170)&gt;=$T39),$W39,IF(AND($S39&lt;&gt;"",EDATE($D39,Milestones!$AA$170)&gt;=$S39),$V39,$U39)))=Milestones!$AB$170),UPPER(TEXT(EDATE($D39,Milestones!$AA$170),"dd mmm yy"))&amp;" "&amp;Milestones!$AB$170&amp;" "&amp;Milestones!$AC$170&amp;";  ","")&amp;IF(AND(EDATE($D39,Milestones!$AA$171)&lt;=AsOfDate,IF($R39=0,$X39,IF(AND($T39&lt;&gt;"",EDATE($D39,Milestones!$AA$171)&gt;=$T39),$W39,IF(AND($S39&lt;&gt;"",EDATE($D39,Milestones!$AA$171)&gt;=$S39),$V39,$U39)))=Milestones!$AB$171),UPPER(TEXT(EDATE($D39,Milestones!$AA$171),"dd mmm yy"))&amp;" "&amp;Milestones!$AB$171&amp;" "&amp;Milestones!$AC$171&amp;";  ","")&amp;IF(AND(EDATE($D39,Milestones!$AA$172)&lt;=AsOfDate,IF($R39=0,$X39,IF(AND($T39&lt;&gt;"",EDATE($D39,Milestones!$AA$172)&gt;=$T39),$W39,IF(AND($S39&lt;&gt;"",EDATE($D39,Milestones!$AA$172)&gt;=$S39),$V39,$U39)))=Milestones!$AB$172),UPPER(TEXT(EDATE($D39,Milestones!$AA$172),"dd mmm yy"))&amp;" "&amp;Milestones!$AB$172&amp;" "&amp;Milestones!$AC$172&amp;";  ","")&amp;IF(AND(EDATE($D39,Milestones!$AA$173)&lt;=AsOfDate,IF($R39=0,$X39,IF(AND($T39&lt;&gt;"",EDATE($D39,Milestones!$AA$173)&gt;=$T39),$W39,IF(AND($S39&lt;&gt;"",EDATE($D39,Milestones!$AA$173)&gt;=$S39),$V39,$U39)))=Milestones!$AB$173),UPPER(TEXT(EDATE($D39,Milestones!$AA$173),"dd mmm yy"))&amp;" "&amp;Milestones!$AB$173&amp;" "&amp;Milestones!$AC$173&amp;";  ","")&amp;IF(AND(EDATE($D39,Milestones!$AA$174)&lt;=AsOfDate,IF($R39=0,$X39,IF(AND($T39&lt;&gt;"",EDATE($D39,Milestones!$AA$174)&gt;=$T39),$W39,IF(AND($S39&lt;&gt;"",EDATE($D39,Milestones!$AA$174)&gt;=$S39),$V39,$U39)))=Milestones!$AB$174),UPPER(TEXT(EDATE($D39,Milestones!$AA$174),"dd mmm yy"))&amp;" "&amp;Milestones!$AB$174&amp;" "&amp;Milestones!$AC$174&amp;";  ","")&amp;IF(AND(EDATE($D39,Milestones!$AA$175)&lt;=AsOfDate,IF($R39=0,$X39,IF(AND($T39&lt;&gt;"",EDATE($D39,Milestones!$AA$175)&gt;=$T39),$W39,IF(AND($S39&lt;&gt;"",EDATE($D39,Milestones!$AA$175)&gt;=$S39),$V39,$U39)))=Milestones!$AB$175),UPPER(TEXT(EDATE($D39,Milestones!$AA$175),"dd mmm yy"))&amp;" "&amp;Milestones!$AB$175&amp;" "&amp;Milestones!$AC$175&amp;";  ","")&amp;IF(AND(EDATE($D39,Milestones!$AA$176)&lt;=AsOfDate,IF($R39=0,$X39,IF(AND($T39&lt;&gt;"",EDATE($D39,Milestones!$AA$176)&gt;=$T39),$W39,IF(AND($S39&lt;&gt;"",EDATE($D39,Milestones!$AA$176)&gt;=$S39),$V39,$U39)))=Milestones!$AB$176),UPPER(TEXT(EDATE($D39,Milestones!$AA$176),"dd mmm yy"))&amp;" "&amp;Milestones!$AB$176&amp;" "&amp;Milestones!$AC$176&amp;";  ","")&amp;IF(AND(EDATE($D39,Milestones!$AA$177)&lt;=AsOfDate,IF($R39=0,$X39,IF(AND($T39&lt;&gt;"",EDATE($D39,Milestones!$AA$177)&gt;=$T39),$W39,IF(AND($S39&lt;&gt;"",EDATE($D39,Milestones!$AA$177)&gt;=$S39),$V39,$U39)))=Milestones!$AB$177),UPPER(TEXT(EDATE($D39,Milestones!$AA$177),"dd mmm yy"))&amp;" "&amp;Milestones!$AB$177&amp;" "&amp;Milestones!$AC$177&amp;";  ","")&amp;IF(AND(EDATE($D39,Milestones!$AA$178)&lt;=AsOfDate,IF($R39=0,$X39,IF(AND($T39&lt;&gt;"",EDATE($D39,Milestones!$AA$178)&gt;=$T39),$W39,IF(AND($S39&lt;&gt;"",EDATE($D39,Milestones!$AA$178)&gt;=$S39),$V39,$U39)))=Milestones!$AB$178),UPPER(TEXT(EDATE($D39,Milestones!$AA$178),"dd mmm yy"))&amp;" "&amp;Milestones!$AB$178&amp;" "&amp;Milestones!$AC$178&amp;";  ","")&amp;IF(AND(EDATE($D39,Milestones!$AA$179)&lt;=AsOfDate,IF($R39=0,$X39,IF(AND($T39&lt;&gt;"",EDATE($D39,Milestones!$AA$179)&gt;=$T39),$W39,IF(AND($S39&lt;&gt;"",EDATE($D39,Milestones!$AA$179)&gt;=$S39),$V39,$U39)))=Milestones!$AB$179),UPPER(TEXT(EDATE($D39,Milestones!$AA$179),"dd mmm yy"))&amp;" "&amp;Milestones!$AB$179&amp;" "&amp;Milestones!$AC$179&amp;";  ",""))</f>
        <v/>
      </c>
      <c r="Q39" s="0" t="str">
        <f aca="false">IF(OR($A39="",$D39=""),"",IF(AND(EDATE($D39,Milestones!$AA$180)&lt;=AsOfDate,IF($R39=0,$X39,IF(AND($T39&lt;&gt;"",EDATE($D39,Milestones!$AA$180)&gt;=$T39),$W39,IF(AND($S39&lt;&gt;"",EDATE($D39,Milestones!$AA$180)&gt;=$S39),$V39,$U39)))=Milestones!$AB$180),UPPER(TEXT(EDATE($D39,Milestones!$AA$180),"dd mmm yy"))&amp;" "&amp;Milestones!$AB$180&amp;" "&amp;Milestones!$AC$180&amp;";  ","")&amp;IF(AND(EDATE($D39,Milestones!$AA$181)&lt;=AsOfDate,IF($R39=0,$X39,IF(AND($T39&lt;&gt;"",EDATE($D39,Milestones!$AA$181)&gt;=$T39),$W39,IF(AND($S39&lt;&gt;"",EDATE($D39,Milestones!$AA$181)&gt;=$S39),$V39,$U39)))=Milestones!$AB$181),UPPER(TEXT(EDATE($D39,Milestones!$AA$181),"dd mmm yy"))&amp;" "&amp;Milestones!$AB$181&amp;" "&amp;Milestones!$AC$181&amp;";  ","")&amp;IF(AND(EDATE($D39,Milestones!$AA$182)&lt;=AsOfDate,IF($R39=0,$X39,IF(AND($T39&lt;&gt;"",EDATE($D39,Milestones!$AA$182)&gt;=$T39),$W39,IF(AND($S39&lt;&gt;"",EDATE($D39,Milestones!$AA$182)&gt;=$S39),$V39,$U39)))=Milestones!$AB$182),UPPER(TEXT(EDATE($D39,Milestones!$AA$182),"dd mmm yy"))&amp;" "&amp;Milestones!$AB$182&amp;" "&amp;Milestones!$AC$182&amp;";  ","")&amp;IF(AND(EDATE($D39,Milestones!$AA$183)&lt;=AsOfDate,IF($R39=0,$X39,IF(AND($T39&lt;&gt;"",EDATE($D39,Milestones!$AA$183)&gt;=$T39),$W39,IF(AND($S39&lt;&gt;"",EDATE($D39,Milestones!$AA$183)&gt;=$S39),$V39,$U39)))=Milestones!$AB$183),UPPER(TEXT(EDATE($D39,Milestones!$AA$183),"dd mmm yy"))&amp;" "&amp;Milestones!$AB$183&amp;" "&amp;Milestones!$AC$183&amp;";  ","")&amp;IF(AND(EDATE($D39,Milestones!$AA$184)&lt;=AsOfDate,IF($R39=0,$X39,IF(AND($T39&lt;&gt;"",EDATE($D39,Milestones!$AA$184)&gt;=$T39),$W39,IF(AND($S39&lt;&gt;"",EDATE($D39,Milestones!$AA$184)&gt;=$S39),$V39,$U39)))=Milestones!$AB$184),UPPER(TEXT(EDATE($D39,Milestones!$AA$184),"dd mmm yy"))&amp;" "&amp;Milestones!$AB$184&amp;" "&amp;Milestones!$AC$184&amp;";  ","")&amp;IF(AND(EDATE($D39,Milestones!$AA$185)&lt;=AsOfDate,IF($R39=0,$X39,IF(AND($T39&lt;&gt;"",EDATE($D39,Milestones!$AA$185)&gt;=$T39),$W39,IF(AND($S39&lt;&gt;"",EDATE($D39,Milestones!$AA$185)&gt;=$S39),$V39,$U39)))=Milestones!$AB$185),UPPER(TEXT(EDATE($D39,Milestones!$AA$185),"dd mmm yy"))&amp;" "&amp;Milestones!$AB$185&amp;" "&amp;Milestones!$AC$185&amp;";  ","")&amp;IF(AND(EDATE($D39,Milestones!$AA$186)&lt;=AsOfDate,IF($R39=0,$X39,IF(AND($T39&lt;&gt;"",EDATE($D39,Milestones!$AA$186)&gt;=$T39),$W39,IF(AND($S39&lt;&gt;"",EDATE($D39,Milestones!$AA$186)&gt;=$S39),$V39,$U39)))=Milestones!$AB$186),UPPER(TEXT(EDATE($D39,Milestones!$AA$186),"dd mmm yy"))&amp;" "&amp;Milestones!$AB$186&amp;" "&amp;Milestones!$AC$186&amp;";  ","")&amp;IF(AND(EDATE($D39,Milestones!$AA$187)&lt;=AsOfDate,IF($R39=0,$X39,IF(AND($T39&lt;&gt;"",EDATE($D39,Milestones!$AA$187)&gt;=$T39),$W39,IF(AND($S39&lt;&gt;"",EDATE($D39,Milestones!$AA$187)&gt;=$S39),$V39,$U39)))=Milestones!$AB$187),UPPER(TEXT(EDATE($D39,Milestones!$AA$187),"dd mmm yy"))&amp;" "&amp;Milestones!$AB$187&amp;" "&amp;Milestones!$AC$187&amp;";  ","")&amp;IF(AND(EDATE($D39,Milestones!$AA$188)&lt;=AsOfDate,IF($R39=0,$X39,IF(AND($T39&lt;&gt;"",EDATE($D39,Milestones!$AA$188)&gt;=$T39),$W39,IF(AND($S39&lt;&gt;"",EDATE($D39,Milestones!$AA$188)&gt;=$S39),$V39,$U39)))=Milestones!$AB$188),UPPER(TEXT(EDATE($D39,Milestones!$AA$188),"dd mmm yy"))&amp;" "&amp;Milestones!$AB$188&amp;" "&amp;Milestones!$AC$188&amp;";  ","")&amp;IF(AND(EDATE($D39,Milestones!$AA$189)&lt;=AsOfDate,IF($R39=0,$X39,IF(AND($T39&lt;&gt;"",EDATE($D39,Milestones!$AA$189)&gt;=$T39),$W39,IF(AND($S39&lt;&gt;"",EDATE($D39,Milestones!$AA$189)&gt;=$S39),$V39,$U39)))=Milestones!$AB$189),UPPER(TEXT(EDATE($D39,Milestones!$AA$189),"dd mmm yy"))&amp;" "&amp;Milestones!$AB$189&amp;" "&amp;Milestones!$AC$189&amp;";  ","")&amp;IF(AND(EDATE($D39,Milestones!$AA$190)&lt;=AsOfDate,IF($R39=0,$X39,IF(AND($T39&lt;&gt;"",EDATE($D39,Milestones!$AA$190)&gt;=$T39),$W39,IF(AND($S39&lt;&gt;"",EDATE($D39,Milestones!$AA$190)&gt;=$S39),$V39,$U39)))=Milestones!$AB$190),UPPER(TEXT(EDATE($D39,Milestones!$AA$190),"dd mmm yy"))&amp;" "&amp;Milestones!$AB$190&amp;" "&amp;Milestones!$AC$190&amp;";  ","")&amp;IF(AND(EDATE($D39,Milestones!$AA$191)&lt;=AsOfDate,IF($R39=0,$X39,IF(AND($T39&lt;&gt;"",EDATE($D39,Milestones!$AA$191)&gt;=$T39),$W39,IF(AND($S39&lt;&gt;"",EDATE($D39,Milestones!$AA$191)&gt;=$S39),$V39,$U39)))=Milestones!$AB$191),UPPER(TEXT(EDATE($D39,Milestones!$AA$191),"dd mmm yy"))&amp;" "&amp;Milestones!$AB$191&amp;" "&amp;Milestones!$AC$191&amp;";  ","")&amp;IF(AND(EDATE($D39,Milestones!$AA$192)&lt;=AsOfDate,IF($R39=0,$X39,IF(AND($T39&lt;&gt;"",EDATE($D39,Milestones!$AA$192)&gt;=$T39),$W39,IF(AND($S39&lt;&gt;"",EDATE($D39,Milestones!$AA$192)&gt;=$S39),$V39,$U39)))=Milestones!$AB$192),UPPER(TEXT(EDATE($D39,Milestones!$AA$192),"dd mmm yy"))&amp;" "&amp;Milestones!$AB$192&amp;" "&amp;Milestones!$AC$192&amp;";  ","")&amp;IF(AND(EDATE($D39,Milestones!$AA$193)&lt;=AsOfDate,IF($R39=0,$X39,IF(AND($T39&lt;&gt;"",EDATE($D39,Milestones!$AA$193)&gt;=$T39),$W39,IF(AND($S39&lt;&gt;"",EDATE($D39,Milestones!$AA$193)&gt;=$S39),$V39,$U39)))=Milestones!$AB$193),UPPER(TEXT(EDATE($D39,Milestones!$AA$193),"dd mmm yy"))&amp;" "&amp;Milestones!$AB$193&amp;" "&amp;Milestones!$AC$193&amp;";  ","")&amp;IF(AND(EDATE($D39,Milestones!$AA$194)&lt;=AsOfDate,IF($R39=0,$X39,IF(AND($T39&lt;&gt;"",EDATE($D39,Milestones!$AA$194)&gt;=$T39),$W39,IF(AND($S39&lt;&gt;"",EDATE($D39,Milestones!$AA$194)&gt;=$S39),$V39,$U39)))=Milestones!$AB$194),UPPER(TEXT(EDATE($D39,Milestones!$AA$194),"dd mmm yy"))&amp;" "&amp;Milestones!$AB$194&amp;" "&amp;Milestones!$AC$194&amp;";  ","")&amp;IF(AND(EDATE($D39,Milestones!$AA$195)&lt;=AsOfDate,IF($R39=0,$X39,IF(AND($T39&lt;&gt;"",EDATE($D39,Milestones!$AA$195)&gt;=$T39),$W39,IF(AND($S39&lt;&gt;"",EDATE($D39,Milestones!$AA$195)&gt;=$S39),$V39,$U39)))=Milestones!$AB$195),UPPER(TEXT(EDATE($D39,Milestones!$AA$195),"dd mmm yy"))&amp;" "&amp;Milestones!$AB$195&amp;" "&amp;Milestones!$AC$195&amp;";  ","")&amp;IF(AND(EDATE($D39,Milestones!$AA$196)&lt;=AsOfDate,IF($R39=0,$X39,IF(AND($T39&lt;&gt;"",EDATE($D39,Milestones!$AA$196)&gt;=$T39),$W39,IF(AND($S39&lt;&gt;"",EDATE($D39,Milestones!$AA$196)&gt;=$S39),$V39,$U39)))=Milestones!$AB$196),UPPER(TEXT(EDATE($D39,Milestones!$AA$196),"dd mmm yy"))&amp;" "&amp;Milestones!$AB$196&amp;" "&amp;Milestones!$AC$196&amp;";  ","")&amp;IF(AND(EDATE($D39,Milestones!$AA$197)&lt;=AsOfDate,IF($R39=0,$X39,IF(AND($T39&lt;&gt;"",EDATE($D39,Milestones!$AA$197)&gt;=$T39),$W39,IF(AND($S39&lt;&gt;"",EDATE($D39,Milestones!$AA$197)&gt;=$S39),$V39,$U39)))=Milestones!$AB$197),UPPER(TEXT(EDATE($D39,Milestones!$AA$197),"dd mmm yy"))&amp;" "&amp;Milestones!$AB$197&amp;" "&amp;Milestones!$AC$197&amp;";  ","")&amp;IF(AND(EDATE($D39,Milestones!$AA$198)&lt;=AsOfDate,IF($R39=0,$X39,IF(AND($T39&lt;&gt;"",EDATE($D39,Milestones!$AA$198)&gt;=$T39),$W39,IF(AND($S39&lt;&gt;"",EDATE($D39,Milestones!$AA$198)&gt;=$S39),$V39,$U39)))=Milestones!$AB$198),UPPER(TEXT(EDATE($D39,Milestones!$AA$198),"dd mmm yy"))&amp;" "&amp;Milestones!$AB$198&amp;" "&amp;Milestones!$AC$198&amp;";  ","")&amp;IF(AND(EDATE($D39,Milestones!$AA$199)&lt;=AsOfDate,IF($R39=0,$X39,IF(AND($T39&lt;&gt;"",EDATE($D39,Milestones!$AA$199)&gt;=$T39),$W39,IF(AND($S39&lt;&gt;"",EDATE($D39,Milestones!$AA$199)&gt;=$S39),$V39,$U39)))=Milestones!$AB$199),UPPER(TEXT(EDATE($D39,Milestones!$AA$199),"dd mmm yy"))&amp;" "&amp;Milestones!$AB$199&amp;" "&amp;Milestones!$AC$199&amp;";  ",""))</f>
        <v/>
      </c>
      <c r="R39" s="0" t="str">
        <f aca="false">IF(Staff!$A39="","",Staff!$AI39)</f>
        <v/>
      </c>
      <c r="S39" s="0" t="str">
        <f aca="false">IF(Staff!$A39="","",Staff!$AK39)</f>
        <v/>
      </c>
      <c r="T39" s="0" t="str">
        <f aca="false">IF(Staff!$A39="","",Staff!$AL39)</f>
        <v/>
      </c>
      <c r="U39" s="0" t="str">
        <f aca="false">IF(Staff!$A39="","",Staff!$AP39)</f>
        <v/>
      </c>
      <c r="V39" s="0" t="str">
        <f aca="false">IF(Staff!$A39="","",Staff!$AQ39)</f>
        <v/>
      </c>
      <c r="W39" s="0" t="str">
        <f aca="false">IF(Staff!$A39="","",Staff!$AR39)</f>
        <v/>
      </c>
      <c r="X39" s="0" t="str">
        <f aca="false">IF(Staff!$A39="","",Staff!$AS39)</f>
        <v/>
      </c>
    </row>
    <row r="40" customFormat="false" ht="15" hidden="false" customHeight="false" outlineLevel="0" collapsed="false">
      <c r="A40" s="14" t="str">
        <f aca="false">IF(Staff!$A40="","",Staff!$A40)</f>
        <v/>
      </c>
      <c r="B40" s="14" t="str">
        <f aca="false">IF(Staff!$A40="","",Staff!$B40)</f>
        <v/>
      </c>
      <c r="C40" s="14" t="str">
        <f aca="false">IF(Staff!$A40="","",Staff!$C40)</f>
        <v/>
      </c>
      <c r="D40" s="12" t="str">
        <f aca="false">IF(Staff!$A40="","",Staff!$AH40)</f>
        <v/>
      </c>
      <c r="E40" s="14" t="str">
        <f aca="false">IF(Staff!$A40="","",Staff!$O40)</f>
        <v/>
      </c>
      <c r="F40" s="14" t="str">
        <f aca="false">IF(E40="","",E40*HoursPerDay)</f>
        <v/>
      </c>
      <c r="G40" s="14" t="str">
        <f aca="false">IF(Staff!$A40="","",Staff!$AE40)</f>
        <v/>
      </c>
      <c r="H40" s="26" t="str">
        <f aca="false">IF($A40="","",I40&amp;J40&amp;K40&amp;L40&amp;M40&amp;N40&amp;O40&amp;P40&amp;Q40)</f>
        <v/>
      </c>
      <c r="I40" s="0" t="str">
        <f aca="false">IF(OR($A40="",$D40=""),"",IF(AND(EDATE($D40,Milestones!$AA$20)&lt;=AsOfDate,IF($R40=0,$X40,IF(AND($T40&lt;&gt;"",EDATE($D40,Milestones!$AA$20)&gt;=$T40),$W40,IF(AND($S40&lt;&gt;"",EDATE($D40,Milestones!$AA$20)&gt;=$S40),$V40,$U40)))=Milestones!$AB$20),UPPER(TEXT(EDATE($D40,Milestones!$AA$20),"dd mmm yy"))&amp;" "&amp;Milestones!$AB$20&amp;" "&amp;Milestones!$AC$20&amp;";  ","")&amp;IF(AND(EDATE($D40,Milestones!$AA$21)&lt;=AsOfDate,IF($R40=0,$X40,IF(AND($T40&lt;&gt;"",EDATE($D40,Milestones!$AA$21)&gt;=$T40),$W40,IF(AND($S40&lt;&gt;"",EDATE($D40,Milestones!$AA$21)&gt;=$S40),$V40,$U40)))=Milestones!$AB$21),UPPER(TEXT(EDATE($D40,Milestones!$AA$21),"dd mmm yy"))&amp;" "&amp;Milestones!$AB$21&amp;" "&amp;Milestones!$AC$21&amp;";  ","")&amp;IF(AND(EDATE($D40,Milestones!$AA$22)&lt;=AsOfDate,IF($R40=0,$X40,IF(AND($T40&lt;&gt;"",EDATE($D40,Milestones!$AA$22)&gt;=$T40),$W40,IF(AND($S40&lt;&gt;"",EDATE($D40,Milestones!$AA$22)&gt;=$S40),$V40,$U40)))=Milestones!$AB$22),UPPER(TEXT(EDATE($D40,Milestones!$AA$22),"dd mmm yy"))&amp;" "&amp;Milestones!$AB$22&amp;" "&amp;Milestones!$AC$22&amp;";  ","")&amp;IF(AND(EDATE($D40,Milestones!$AA$23)&lt;=AsOfDate,IF($R40=0,$X40,IF(AND($T40&lt;&gt;"",EDATE($D40,Milestones!$AA$23)&gt;=$T40),$W40,IF(AND($S40&lt;&gt;"",EDATE($D40,Milestones!$AA$23)&gt;=$S40),$V40,$U40)))=Milestones!$AB$23),UPPER(TEXT(EDATE($D40,Milestones!$AA$23),"dd mmm yy"))&amp;" "&amp;Milestones!$AB$23&amp;" "&amp;Milestones!$AC$23&amp;";  ","")&amp;IF(AND(EDATE($D40,Milestones!$AA$24)&lt;=AsOfDate,IF($R40=0,$X40,IF(AND($T40&lt;&gt;"",EDATE($D40,Milestones!$AA$24)&gt;=$T40),$W40,IF(AND($S40&lt;&gt;"",EDATE($D40,Milestones!$AA$24)&gt;=$S40),$V40,$U40)))=Milestones!$AB$24),UPPER(TEXT(EDATE($D40,Milestones!$AA$24),"dd mmm yy"))&amp;" "&amp;Milestones!$AB$24&amp;" "&amp;Milestones!$AC$24&amp;";  ","")&amp;IF(AND(EDATE($D40,Milestones!$AA$25)&lt;=AsOfDate,IF($R40=0,$X40,IF(AND($T40&lt;&gt;"",EDATE($D40,Milestones!$AA$25)&gt;=$T40),$W40,IF(AND($S40&lt;&gt;"",EDATE($D40,Milestones!$AA$25)&gt;=$S40),$V40,$U40)))=Milestones!$AB$25),UPPER(TEXT(EDATE($D40,Milestones!$AA$25),"dd mmm yy"))&amp;" "&amp;Milestones!$AB$25&amp;" "&amp;Milestones!$AC$25&amp;";  ","")&amp;IF(AND(EDATE($D40,Milestones!$AA$26)&lt;=AsOfDate,IF($R40=0,$X40,IF(AND($T40&lt;&gt;"",EDATE($D40,Milestones!$AA$26)&gt;=$T40),$W40,IF(AND($S40&lt;&gt;"",EDATE($D40,Milestones!$AA$26)&gt;=$S40),$V40,$U40)))=Milestones!$AB$26),UPPER(TEXT(EDATE($D40,Milestones!$AA$26),"dd mmm yy"))&amp;" "&amp;Milestones!$AB$26&amp;" "&amp;Milestones!$AC$26&amp;";  ","")&amp;IF(AND(EDATE($D40,Milestones!$AA$27)&lt;=AsOfDate,IF($R40=0,$X40,IF(AND($T40&lt;&gt;"",EDATE($D40,Milestones!$AA$27)&gt;=$T40),$W40,IF(AND($S40&lt;&gt;"",EDATE($D40,Milestones!$AA$27)&gt;=$S40),$V40,$U40)))=Milestones!$AB$27),UPPER(TEXT(EDATE($D40,Milestones!$AA$27),"dd mmm yy"))&amp;" "&amp;Milestones!$AB$27&amp;" "&amp;Milestones!$AC$27&amp;";  ","")&amp;IF(AND(EDATE($D40,Milestones!$AA$28)&lt;=AsOfDate,IF($R40=0,$X40,IF(AND($T40&lt;&gt;"",EDATE($D40,Milestones!$AA$28)&gt;=$T40),$W40,IF(AND($S40&lt;&gt;"",EDATE($D40,Milestones!$AA$28)&gt;=$S40),$V40,$U40)))=Milestones!$AB$28),UPPER(TEXT(EDATE($D40,Milestones!$AA$28),"dd mmm yy"))&amp;" "&amp;Milestones!$AB$28&amp;" "&amp;Milestones!$AC$28&amp;";  ","")&amp;IF(AND(EDATE($D40,Milestones!$AA$29)&lt;=AsOfDate,IF($R40=0,$X40,IF(AND($T40&lt;&gt;"",EDATE($D40,Milestones!$AA$29)&gt;=$T40),$W40,IF(AND($S40&lt;&gt;"",EDATE($D40,Milestones!$AA$29)&gt;=$S40),$V40,$U40)))=Milestones!$AB$29),UPPER(TEXT(EDATE($D40,Milestones!$AA$29),"dd mmm yy"))&amp;" "&amp;Milestones!$AB$29&amp;" "&amp;Milestones!$AC$29&amp;";  ","")&amp;IF(AND(EDATE($D40,Milestones!$AA$30)&lt;=AsOfDate,IF($R40=0,$X40,IF(AND($T40&lt;&gt;"",EDATE($D40,Milestones!$AA$30)&gt;=$T40),$W40,IF(AND($S40&lt;&gt;"",EDATE($D40,Milestones!$AA$30)&gt;=$S40),$V40,$U40)))=Milestones!$AB$30),UPPER(TEXT(EDATE($D40,Milestones!$AA$30),"dd mmm yy"))&amp;" "&amp;Milestones!$AB$30&amp;" "&amp;Milestones!$AC$30&amp;";  ","")&amp;IF(AND(EDATE($D40,Milestones!$AA$31)&lt;=AsOfDate,IF($R40=0,$X40,IF(AND($T40&lt;&gt;"",EDATE($D40,Milestones!$AA$31)&gt;=$T40),$W40,IF(AND($S40&lt;&gt;"",EDATE($D40,Milestones!$AA$31)&gt;=$S40),$V40,$U40)))=Milestones!$AB$31),UPPER(TEXT(EDATE($D40,Milestones!$AA$31),"dd mmm yy"))&amp;" "&amp;Milestones!$AB$31&amp;" "&amp;Milestones!$AC$31&amp;";  ","")&amp;IF(AND(EDATE($D40,Milestones!$AA$32)&lt;=AsOfDate,IF($R40=0,$X40,IF(AND($T40&lt;&gt;"",EDATE($D40,Milestones!$AA$32)&gt;=$T40),$W40,IF(AND($S40&lt;&gt;"",EDATE($D40,Milestones!$AA$32)&gt;=$S40),$V40,$U40)))=Milestones!$AB$32),UPPER(TEXT(EDATE($D40,Milestones!$AA$32),"dd mmm yy"))&amp;" "&amp;Milestones!$AB$32&amp;" "&amp;Milestones!$AC$32&amp;";  ","")&amp;IF(AND(EDATE($D40,Milestones!$AA$33)&lt;=AsOfDate,IF($R40=0,$X40,IF(AND($T40&lt;&gt;"",EDATE($D40,Milestones!$AA$33)&gt;=$T40),$W40,IF(AND($S40&lt;&gt;"",EDATE($D40,Milestones!$AA$33)&gt;=$S40),$V40,$U40)))=Milestones!$AB$33),UPPER(TEXT(EDATE($D40,Milestones!$AA$33),"dd mmm yy"))&amp;" "&amp;Milestones!$AB$33&amp;" "&amp;Milestones!$AC$33&amp;";  ","")&amp;IF(AND(EDATE($D40,Milestones!$AA$34)&lt;=AsOfDate,IF($R40=0,$X40,IF(AND($T40&lt;&gt;"",EDATE($D40,Milestones!$AA$34)&gt;=$T40),$W40,IF(AND($S40&lt;&gt;"",EDATE($D40,Milestones!$AA$34)&gt;=$S40),$V40,$U40)))=Milestones!$AB$34),UPPER(TEXT(EDATE($D40,Milestones!$AA$34),"dd mmm yy"))&amp;" "&amp;Milestones!$AB$34&amp;" "&amp;Milestones!$AC$34&amp;";  ","")&amp;IF(AND(EDATE($D40,Milestones!$AA$35)&lt;=AsOfDate,IF($R40=0,$X40,IF(AND($T40&lt;&gt;"",EDATE($D40,Milestones!$AA$35)&gt;=$T40),$W40,IF(AND($S40&lt;&gt;"",EDATE($D40,Milestones!$AA$35)&gt;=$S40),$V40,$U40)))=Milestones!$AB$35),UPPER(TEXT(EDATE($D40,Milestones!$AA$35),"dd mmm yy"))&amp;" "&amp;Milestones!$AB$35&amp;" "&amp;Milestones!$AC$35&amp;";  ","")&amp;IF(AND(EDATE($D40,Milestones!$AA$36)&lt;=AsOfDate,IF($R40=0,$X40,IF(AND($T40&lt;&gt;"",EDATE($D40,Milestones!$AA$36)&gt;=$T40),$W40,IF(AND($S40&lt;&gt;"",EDATE($D40,Milestones!$AA$36)&gt;=$S40),$V40,$U40)))=Milestones!$AB$36),UPPER(TEXT(EDATE($D40,Milestones!$AA$36),"dd mmm yy"))&amp;" "&amp;Milestones!$AB$36&amp;" "&amp;Milestones!$AC$36&amp;";  ","")&amp;IF(AND(EDATE($D40,Milestones!$AA$37)&lt;=AsOfDate,IF($R40=0,$X40,IF(AND($T40&lt;&gt;"",EDATE($D40,Milestones!$AA$37)&gt;=$T40),$W40,IF(AND($S40&lt;&gt;"",EDATE($D40,Milestones!$AA$37)&gt;=$S40),$V40,$U40)))=Milestones!$AB$37),UPPER(TEXT(EDATE($D40,Milestones!$AA$37),"dd mmm yy"))&amp;" "&amp;Milestones!$AB$37&amp;" "&amp;Milestones!$AC$37&amp;";  ","")&amp;IF(AND(EDATE($D40,Milestones!$AA$38)&lt;=AsOfDate,IF($R40=0,$X40,IF(AND($T40&lt;&gt;"",EDATE($D40,Milestones!$AA$38)&gt;=$T40),$W40,IF(AND($S40&lt;&gt;"",EDATE($D40,Milestones!$AA$38)&gt;=$S40),$V40,$U40)))=Milestones!$AB$38),UPPER(TEXT(EDATE($D40,Milestones!$AA$38),"dd mmm yy"))&amp;" "&amp;Milestones!$AB$38&amp;" "&amp;Milestones!$AC$38&amp;";  ","")&amp;IF(AND(EDATE($D40,Milestones!$AA$39)&lt;=AsOfDate,IF($R40=0,$X40,IF(AND($T40&lt;&gt;"",EDATE($D40,Milestones!$AA$39)&gt;=$T40),$W40,IF(AND($S40&lt;&gt;"",EDATE($D40,Milestones!$AA$39)&gt;=$S40),$V40,$U40)))=Milestones!$AB$39),UPPER(TEXT(EDATE($D40,Milestones!$AA$39),"dd mmm yy"))&amp;" "&amp;Milestones!$AB$39&amp;" "&amp;Milestones!$AC$39&amp;";  ",""))</f>
        <v/>
      </c>
      <c r="J40" s="0" t="str">
        <f aca="false">IF(OR($A40="",$D40=""),"",IF(AND(EDATE($D40,Milestones!$AA$40)&lt;=AsOfDate,IF($R40=0,$X40,IF(AND($T40&lt;&gt;"",EDATE($D40,Milestones!$AA$40)&gt;=$T40),$W40,IF(AND($S40&lt;&gt;"",EDATE($D40,Milestones!$AA$40)&gt;=$S40),$V40,$U40)))=Milestones!$AB$40),UPPER(TEXT(EDATE($D40,Milestones!$AA$40),"dd mmm yy"))&amp;" "&amp;Milestones!$AB$40&amp;" "&amp;Milestones!$AC$40&amp;";  ","")&amp;IF(AND(EDATE($D40,Milestones!$AA$41)&lt;=AsOfDate,IF($R40=0,$X40,IF(AND($T40&lt;&gt;"",EDATE($D40,Milestones!$AA$41)&gt;=$T40),$W40,IF(AND($S40&lt;&gt;"",EDATE($D40,Milestones!$AA$41)&gt;=$S40),$V40,$U40)))=Milestones!$AB$41),UPPER(TEXT(EDATE($D40,Milestones!$AA$41),"dd mmm yy"))&amp;" "&amp;Milestones!$AB$41&amp;" "&amp;Milestones!$AC$41&amp;";  ","")&amp;IF(AND(EDATE($D40,Milestones!$AA$42)&lt;=AsOfDate,IF($R40=0,$X40,IF(AND($T40&lt;&gt;"",EDATE($D40,Milestones!$AA$42)&gt;=$T40),$W40,IF(AND($S40&lt;&gt;"",EDATE($D40,Milestones!$AA$42)&gt;=$S40),$V40,$U40)))=Milestones!$AB$42),UPPER(TEXT(EDATE($D40,Milestones!$AA$42),"dd mmm yy"))&amp;" "&amp;Milestones!$AB$42&amp;" "&amp;Milestones!$AC$42&amp;";  ","")&amp;IF(AND(EDATE($D40,Milestones!$AA$43)&lt;=AsOfDate,IF($R40=0,$X40,IF(AND($T40&lt;&gt;"",EDATE($D40,Milestones!$AA$43)&gt;=$T40),$W40,IF(AND($S40&lt;&gt;"",EDATE($D40,Milestones!$AA$43)&gt;=$S40),$V40,$U40)))=Milestones!$AB$43),UPPER(TEXT(EDATE($D40,Milestones!$AA$43),"dd mmm yy"))&amp;" "&amp;Milestones!$AB$43&amp;" "&amp;Milestones!$AC$43&amp;";  ","")&amp;IF(AND(EDATE($D40,Milestones!$AA$44)&lt;=AsOfDate,IF($R40=0,$X40,IF(AND($T40&lt;&gt;"",EDATE($D40,Milestones!$AA$44)&gt;=$T40),$W40,IF(AND($S40&lt;&gt;"",EDATE($D40,Milestones!$AA$44)&gt;=$S40),$V40,$U40)))=Milestones!$AB$44),UPPER(TEXT(EDATE($D40,Milestones!$AA$44),"dd mmm yy"))&amp;" "&amp;Milestones!$AB$44&amp;" "&amp;Milestones!$AC$44&amp;";  ","")&amp;IF(AND(EDATE($D40,Milestones!$AA$45)&lt;=AsOfDate,IF($R40=0,$X40,IF(AND($T40&lt;&gt;"",EDATE($D40,Milestones!$AA$45)&gt;=$T40),$W40,IF(AND($S40&lt;&gt;"",EDATE($D40,Milestones!$AA$45)&gt;=$S40),$V40,$U40)))=Milestones!$AB$45),UPPER(TEXT(EDATE($D40,Milestones!$AA$45),"dd mmm yy"))&amp;" "&amp;Milestones!$AB$45&amp;" "&amp;Milestones!$AC$45&amp;";  ","")&amp;IF(AND(EDATE($D40,Milestones!$AA$46)&lt;=AsOfDate,IF($R40=0,$X40,IF(AND($T40&lt;&gt;"",EDATE($D40,Milestones!$AA$46)&gt;=$T40),$W40,IF(AND($S40&lt;&gt;"",EDATE($D40,Milestones!$AA$46)&gt;=$S40),$V40,$U40)))=Milestones!$AB$46),UPPER(TEXT(EDATE($D40,Milestones!$AA$46),"dd mmm yy"))&amp;" "&amp;Milestones!$AB$46&amp;" "&amp;Milestones!$AC$46&amp;";  ","")&amp;IF(AND(EDATE($D40,Milestones!$AA$47)&lt;=AsOfDate,IF($R40=0,$X40,IF(AND($T40&lt;&gt;"",EDATE($D40,Milestones!$AA$47)&gt;=$T40),$W40,IF(AND($S40&lt;&gt;"",EDATE($D40,Milestones!$AA$47)&gt;=$S40),$V40,$U40)))=Milestones!$AB$47),UPPER(TEXT(EDATE($D40,Milestones!$AA$47),"dd mmm yy"))&amp;" "&amp;Milestones!$AB$47&amp;" "&amp;Milestones!$AC$47&amp;";  ","")&amp;IF(AND(EDATE($D40,Milestones!$AA$48)&lt;=AsOfDate,IF($R40=0,$X40,IF(AND($T40&lt;&gt;"",EDATE($D40,Milestones!$AA$48)&gt;=$T40),$W40,IF(AND($S40&lt;&gt;"",EDATE($D40,Milestones!$AA$48)&gt;=$S40),$V40,$U40)))=Milestones!$AB$48),UPPER(TEXT(EDATE($D40,Milestones!$AA$48),"dd mmm yy"))&amp;" "&amp;Milestones!$AB$48&amp;" "&amp;Milestones!$AC$48&amp;";  ","")&amp;IF(AND(EDATE($D40,Milestones!$AA$49)&lt;=AsOfDate,IF($R40=0,$X40,IF(AND($T40&lt;&gt;"",EDATE($D40,Milestones!$AA$49)&gt;=$T40),$W40,IF(AND($S40&lt;&gt;"",EDATE($D40,Milestones!$AA$49)&gt;=$S40),$V40,$U40)))=Milestones!$AB$49),UPPER(TEXT(EDATE($D40,Milestones!$AA$49),"dd mmm yy"))&amp;" "&amp;Milestones!$AB$49&amp;" "&amp;Milestones!$AC$49&amp;";  ","")&amp;IF(AND(EDATE($D40,Milestones!$AA$50)&lt;=AsOfDate,IF($R40=0,$X40,IF(AND($T40&lt;&gt;"",EDATE($D40,Milestones!$AA$50)&gt;=$T40),$W40,IF(AND($S40&lt;&gt;"",EDATE($D40,Milestones!$AA$50)&gt;=$S40),$V40,$U40)))=Milestones!$AB$50),UPPER(TEXT(EDATE($D40,Milestones!$AA$50),"dd mmm yy"))&amp;" "&amp;Milestones!$AB$50&amp;" "&amp;Milestones!$AC$50&amp;";  ","")&amp;IF(AND(EDATE($D40,Milestones!$AA$51)&lt;=AsOfDate,IF($R40=0,$X40,IF(AND($T40&lt;&gt;"",EDATE($D40,Milestones!$AA$51)&gt;=$T40),$W40,IF(AND($S40&lt;&gt;"",EDATE($D40,Milestones!$AA$51)&gt;=$S40),$V40,$U40)))=Milestones!$AB$51),UPPER(TEXT(EDATE($D40,Milestones!$AA$51),"dd mmm yy"))&amp;" "&amp;Milestones!$AB$51&amp;" "&amp;Milestones!$AC$51&amp;";  ","")&amp;IF(AND(EDATE($D40,Milestones!$AA$52)&lt;=AsOfDate,IF($R40=0,$X40,IF(AND($T40&lt;&gt;"",EDATE($D40,Milestones!$AA$52)&gt;=$T40),$W40,IF(AND($S40&lt;&gt;"",EDATE($D40,Milestones!$AA$52)&gt;=$S40),$V40,$U40)))=Milestones!$AB$52),UPPER(TEXT(EDATE($D40,Milestones!$AA$52),"dd mmm yy"))&amp;" "&amp;Milestones!$AB$52&amp;" "&amp;Milestones!$AC$52&amp;";  ","")&amp;IF(AND(EDATE($D40,Milestones!$AA$53)&lt;=AsOfDate,IF($R40=0,$X40,IF(AND($T40&lt;&gt;"",EDATE($D40,Milestones!$AA$53)&gt;=$T40),$W40,IF(AND($S40&lt;&gt;"",EDATE($D40,Milestones!$AA$53)&gt;=$S40),$V40,$U40)))=Milestones!$AB$53),UPPER(TEXT(EDATE($D40,Milestones!$AA$53),"dd mmm yy"))&amp;" "&amp;Milestones!$AB$53&amp;" "&amp;Milestones!$AC$53&amp;";  ","")&amp;IF(AND(EDATE($D40,Milestones!$AA$54)&lt;=AsOfDate,IF($R40=0,$X40,IF(AND($T40&lt;&gt;"",EDATE($D40,Milestones!$AA$54)&gt;=$T40),$W40,IF(AND($S40&lt;&gt;"",EDATE($D40,Milestones!$AA$54)&gt;=$S40),$V40,$U40)))=Milestones!$AB$54),UPPER(TEXT(EDATE($D40,Milestones!$AA$54),"dd mmm yy"))&amp;" "&amp;Milestones!$AB$54&amp;" "&amp;Milestones!$AC$54&amp;";  ","")&amp;IF(AND(EDATE($D40,Milestones!$AA$55)&lt;=AsOfDate,IF($R40=0,$X40,IF(AND($T40&lt;&gt;"",EDATE($D40,Milestones!$AA$55)&gt;=$T40),$W40,IF(AND($S40&lt;&gt;"",EDATE($D40,Milestones!$AA$55)&gt;=$S40),$V40,$U40)))=Milestones!$AB$55),UPPER(TEXT(EDATE($D40,Milestones!$AA$55),"dd mmm yy"))&amp;" "&amp;Milestones!$AB$55&amp;" "&amp;Milestones!$AC$55&amp;";  ","")&amp;IF(AND(EDATE($D40,Milestones!$AA$56)&lt;=AsOfDate,IF($R40=0,$X40,IF(AND($T40&lt;&gt;"",EDATE($D40,Milestones!$AA$56)&gt;=$T40),$W40,IF(AND($S40&lt;&gt;"",EDATE($D40,Milestones!$AA$56)&gt;=$S40),$V40,$U40)))=Milestones!$AB$56),UPPER(TEXT(EDATE($D40,Milestones!$AA$56),"dd mmm yy"))&amp;" "&amp;Milestones!$AB$56&amp;" "&amp;Milestones!$AC$56&amp;";  ","")&amp;IF(AND(EDATE($D40,Milestones!$AA$57)&lt;=AsOfDate,IF($R40=0,$X40,IF(AND($T40&lt;&gt;"",EDATE($D40,Milestones!$AA$57)&gt;=$T40),$W40,IF(AND($S40&lt;&gt;"",EDATE($D40,Milestones!$AA$57)&gt;=$S40),$V40,$U40)))=Milestones!$AB$57),UPPER(TEXT(EDATE($D40,Milestones!$AA$57),"dd mmm yy"))&amp;" "&amp;Milestones!$AB$57&amp;" "&amp;Milestones!$AC$57&amp;";  ","")&amp;IF(AND(EDATE($D40,Milestones!$AA$58)&lt;=AsOfDate,IF($R40=0,$X40,IF(AND($T40&lt;&gt;"",EDATE($D40,Milestones!$AA$58)&gt;=$T40),$W40,IF(AND($S40&lt;&gt;"",EDATE($D40,Milestones!$AA$58)&gt;=$S40),$V40,$U40)))=Milestones!$AB$58),UPPER(TEXT(EDATE($D40,Milestones!$AA$58),"dd mmm yy"))&amp;" "&amp;Milestones!$AB$58&amp;" "&amp;Milestones!$AC$58&amp;";  ","")&amp;IF(AND(EDATE($D40,Milestones!$AA$59)&lt;=AsOfDate,IF($R40=0,$X40,IF(AND($T40&lt;&gt;"",EDATE($D40,Milestones!$AA$59)&gt;=$T40),$W40,IF(AND($S40&lt;&gt;"",EDATE($D40,Milestones!$AA$59)&gt;=$S40),$V40,$U40)))=Milestones!$AB$59),UPPER(TEXT(EDATE($D40,Milestones!$AA$59),"dd mmm yy"))&amp;" "&amp;Milestones!$AB$59&amp;" "&amp;Milestones!$AC$59&amp;";  ",""))</f>
        <v/>
      </c>
      <c r="K40" s="0" t="str">
        <f aca="false">IF(OR($A40="",$D40=""),"",IF(AND(EDATE($D40,Milestones!$AA$60)&lt;=AsOfDate,IF($R40=0,$X40,IF(AND($T40&lt;&gt;"",EDATE($D40,Milestones!$AA$60)&gt;=$T40),$W40,IF(AND($S40&lt;&gt;"",EDATE($D40,Milestones!$AA$60)&gt;=$S40),$V40,$U40)))=Milestones!$AB$60),UPPER(TEXT(EDATE($D40,Milestones!$AA$60),"dd mmm yy"))&amp;" "&amp;Milestones!$AB$60&amp;" "&amp;Milestones!$AC$60&amp;";  ","")&amp;IF(AND(EDATE($D40,Milestones!$AA$61)&lt;=AsOfDate,IF($R40=0,$X40,IF(AND($T40&lt;&gt;"",EDATE($D40,Milestones!$AA$61)&gt;=$T40),$W40,IF(AND($S40&lt;&gt;"",EDATE($D40,Milestones!$AA$61)&gt;=$S40),$V40,$U40)))=Milestones!$AB$61),UPPER(TEXT(EDATE($D40,Milestones!$AA$61),"dd mmm yy"))&amp;" "&amp;Milestones!$AB$61&amp;" "&amp;Milestones!$AC$61&amp;";  ","")&amp;IF(AND(EDATE($D40,Milestones!$AA$62)&lt;=AsOfDate,IF($R40=0,$X40,IF(AND($T40&lt;&gt;"",EDATE($D40,Milestones!$AA$62)&gt;=$T40),$W40,IF(AND($S40&lt;&gt;"",EDATE($D40,Milestones!$AA$62)&gt;=$S40),$V40,$U40)))=Milestones!$AB$62),UPPER(TEXT(EDATE($D40,Milestones!$AA$62),"dd mmm yy"))&amp;" "&amp;Milestones!$AB$62&amp;" "&amp;Milestones!$AC$62&amp;";  ","")&amp;IF(AND(EDATE($D40,Milestones!$AA$63)&lt;=AsOfDate,IF($R40=0,$X40,IF(AND($T40&lt;&gt;"",EDATE($D40,Milestones!$AA$63)&gt;=$T40),$W40,IF(AND($S40&lt;&gt;"",EDATE($D40,Milestones!$AA$63)&gt;=$S40),$V40,$U40)))=Milestones!$AB$63),UPPER(TEXT(EDATE($D40,Milestones!$AA$63),"dd mmm yy"))&amp;" "&amp;Milestones!$AB$63&amp;" "&amp;Milestones!$AC$63&amp;";  ","")&amp;IF(AND(EDATE($D40,Milestones!$AA$64)&lt;=AsOfDate,IF($R40=0,$X40,IF(AND($T40&lt;&gt;"",EDATE($D40,Milestones!$AA$64)&gt;=$T40),$W40,IF(AND($S40&lt;&gt;"",EDATE($D40,Milestones!$AA$64)&gt;=$S40),$V40,$U40)))=Milestones!$AB$64),UPPER(TEXT(EDATE($D40,Milestones!$AA$64),"dd mmm yy"))&amp;" "&amp;Milestones!$AB$64&amp;" "&amp;Milestones!$AC$64&amp;";  ","")&amp;IF(AND(EDATE($D40,Milestones!$AA$65)&lt;=AsOfDate,IF($R40=0,$X40,IF(AND($T40&lt;&gt;"",EDATE($D40,Milestones!$AA$65)&gt;=$T40),$W40,IF(AND($S40&lt;&gt;"",EDATE($D40,Milestones!$AA$65)&gt;=$S40),$V40,$U40)))=Milestones!$AB$65),UPPER(TEXT(EDATE($D40,Milestones!$AA$65),"dd mmm yy"))&amp;" "&amp;Milestones!$AB$65&amp;" "&amp;Milestones!$AC$65&amp;";  ","")&amp;IF(AND(EDATE($D40,Milestones!$AA$66)&lt;=AsOfDate,IF($R40=0,$X40,IF(AND($T40&lt;&gt;"",EDATE($D40,Milestones!$AA$66)&gt;=$T40),$W40,IF(AND($S40&lt;&gt;"",EDATE($D40,Milestones!$AA$66)&gt;=$S40),$V40,$U40)))=Milestones!$AB$66),UPPER(TEXT(EDATE($D40,Milestones!$AA$66),"dd mmm yy"))&amp;" "&amp;Milestones!$AB$66&amp;" "&amp;Milestones!$AC$66&amp;";  ","")&amp;IF(AND(EDATE($D40,Milestones!$AA$67)&lt;=AsOfDate,IF($R40=0,$X40,IF(AND($T40&lt;&gt;"",EDATE($D40,Milestones!$AA$67)&gt;=$T40),$W40,IF(AND($S40&lt;&gt;"",EDATE($D40,Milestones!$AA$67)&gt;=$S40),$V40,$U40)))=Milestones!$AB$67),UPPER(TEXT(EDATE($D40,Milestones!$AA$67),"dd mmm yy"))&amp;" "&amp;Milestones!$AB$67&amp;" "&amp;Milestones!$AC$67&amp;";  ","")&amp;IF(AND(EDATE($D40,Milestones!$AA$68)&lt;=AsOfDate,IF($R40=0,$X40,IF(AND($T40&lt;&gt;"",EDATE($D40,Milestones!$AA$68)&gt;=$T40),$W40,IF(AND($S40&lt;&gt;"",EDATE($D40,Milestones!$AA$68)&gt;=$S40),$V40,$U40)))=Milestones!$AB$68),UPPER(TEXT(EDATE($D40,Milestones!$AA$68),"dd mmm yy"))&amp;" "&amp;Milestones!$AB$68&amp;" "&amp;Milestones!$AC$68&amp;";  ","")&amp;IF(AND(EDATE($D40,Milestones!$AA$69)&lt;=AsOfDate,IF($R40=0,$X40,IF(AND($T40&lt;&gt;"",EDATE($D40,Milestones!$AA$69)&gt;=$T40),$W40,IF(AND($S40&lt;&gt;"",EDATE($D40,Milestones!$AA$69)&gt;=$S40),$V40,$U40)))=Milestones!$AB$69),UPPER(TEXT(EDATE($D40,Milestones!$AA$69),"dd mmm yy"))&amp;" "&amp;Milestones!$AB$69&amp;" "&amp;Milestones!$AC$69&amp;";  ","")&amp;IF(AND(EDATE($D40,Milestones!$AA$70)&lt;=AsOfDate,IF($R40=0,$X40,IF(AND($T40&lt;&gt;"",EDATE($D40,Milestones!$AA$70)&gt;=$T40),$W40,IF(AND($S40&lt;&gt;"",EDATE($D40,Milestones!$AA$70)&gt;=$S40),$V40,$U40)))=Milestones!$AB$70),UPPER(TEXT(EDATE($D40,Milestones!$AA$70),"dd mmm yy"))&amp;" "&amp;Milestones!$AB$70&amp;" "&amp;Milestones!$AC$70&amp;";  ","")&amp;IF(AND(EDATE($D40,Milestones!$AA$71)&lt;=AsOfDate,IF($R40=0,$X40,IF(AND($T40&lt;&gt;"",EDATE($D40,Milestones!$AA$71)&gt;=$T40),$W40,IF(AND($S40&lt;&gt;"",EDATE($D40,Milestones!$AA$71)&gt;=$S40),$V40,$U40)))=Milestones!$AB$71),UPPER(TEXT(EDATE($D40,Milestones!$AA$71),"dd mmm yy"))&amp;" "&amp;Milestones!$AB$71&amp;" "&amp;Milestones!$AC$71&amp;";  ","")&amp;IF(AND(EDATE($D40,Milestones!$AA$72)&lt;=AsOfDate,IF($R40=0,$X40,IF(AND($T40&lt;&gt;"",EDATE($D40,Milestones!$AA$72)&gt;=$T40),$W40,IF(AND($S40&lt;&gt;"",EDATE($D40,Milestones!$AA$72)&gt;=$S40),$V40,$U40)))=Milestones!$AB$72),UPPER(TEXT(EDATE($D40,Milestones!$AA$72),"dd mmm yy"))&amp;" "&amp;Milestones!$AB$72&amp;" "&amp;Milestones!$AC$72&amp;";  ","")&amp;IF(AND(EDATE($D40,Milestones!$AA$73)&lt;=AsOfDate,IF($R40=0,$X40,IF(AND($T40&lt;&gt;"",EDATE($D40,Milestones!$AA$73)&gt;=$T40),$W40,IF(AND($S40&lt;&gt;"",EDATE($D40,Milestones!$AA$73)&gt;=$S40),$V40,$U40)))=Milestones!$AB$73),UPPER(TEXT(EDATE($D40,Milestones!$AA$73),"dd mmm yy"))&amp;" "&amp;Milestones!$AB$73&amp;" "&amp;Milestones!$AC$73&amp;";  ","")&amp;IF(AND(EDATE($D40,Milestones!$AA$74)&lt;=AsOfDate,IF($R40=0,$X40,IF(AND($T40&lt;&gt;"",EDATE($D40,Milestones!$AA$74)&gt;=$T40),$W40,IF(AND($S40&lt;&gt;"",EDATE($D40,Milestones!$AA$74)&gt;=$S40),$V40,$U40)))=Milestones!$AB$74),UPPER(TEXT(EDATE($D40,Milestones!$AA$74),"dd mmm yy"))&amp;" "&amp;Milestones!$AB$74&amp;" "&amp;Milestones!$AC$74&amp;";  ","")&amp;IF(AND(EDATE($D40,Milestones!$AA$75)&lt;=AsOfDate,IF($R40=0,$X40,IF(AND($T40&lt;&gt;"",EDATE($D40,Milestones!$AA$75)&gt;=$T40),$W40,IF(AND($S40&lt;&gt;"",EDATE($D40,Milestones!$AA$75)&gt;=$S40),$V40,$U40)))=Milestones!$AB$75),UPPER(TEXT(EDATE($D40,Milestones!$AA$75),"dd mmm yy"))&amp;" "&amp;Milestones!$AB$75&amp;" "&amp;Milestones!$AC$75&amp;";  ","")&amp;IF(AND(EDATE($D40,Milestones!$AA$76)&lt;=AsOfDate,IF($R40=0,$X40,IF(AND($T40&lt;&gt;"",EDATE($D40,Milestones!$AA$76)&gt;=$T40),$W40,IF(AND($S40&lt;&gt;"",EDATE($D40,Milestones!$AA$76)&gt;=$S40),$V40,$U40)))=Milestones!$AB$76),UPPER(TEXT(EDATE($D40,Milestones!$AA$76),"dd mmm yy"))&amp;" "&amp;Milestones!$AB$76&amp;" "&amp;Milestones!$AC$76&amp;";  ","")&amp;IF(AND(EDATE($D40,Milestones!$AA$77)&lt;=AsOfDate,IF($R40=0,$X40,IF(AND($T40&lt;&gt;"",EDATE($D40,Milestones!$AA$77)&gt;=$T40),$W40,IF(AND($S40&lt;&gt;"",EDATE($D40,Milestones!$AA$77)&gt;=$S40),$V40,$U40)))=Milestones!$AB$77),UPPER(TEXT(EDATE($D40,Milestones!$AA$77),"dd mmm yy"))&amp;" "&amp;Milestones!$AB$77&amp;" "&amp;Milestones!$AC$77&amp;";  ","")&amp;IF(AND(EDATE($D40,Milestones!$AA$78)&lt;=AsOfDate,IF($R40=0,$X40,IF(AND($T40&lt;&gt;"",EDATE($D40,Milestones!$AA$78)&gt;=$T40),$W40,IF(AND($S40&lt;&gt;"",EDATE($D40,Milestones!$AA$78)&gt;=$S40),$V40,$U40)))=Milestones!$AB$78),UPPER(TEXT(EDATE($D40,Milestones!$AA$78),"dd mmm yy"))&amp;" "&amp;Milestones!$AB$78&amp;" "&amp;Milestones!$AC$78&amp;";  ","")&amp;IF(AND(EDATE($D40,Milestones!$AA$79)&lt;=AsOfDate,IF($R40=0,$X40,IF(AND($T40&lt;&gt;"",EDATE($D40,Milestones!$AA$79)&gt;=$T40),$W40,IF(AND($S40&lt;&gt;"",EDATE($D40,Milestones!$AA$79)&gt;=$S40),$V40,$U40)))=Milestones!$AB$79),UPPER(TEXT(EDATE($D40,Milestones!$AA$79),"dd mmm yy"))&amp;" "&amp;Milestones!$AB$79&amp;" "&amp;Milestones!$AC$79&amp;";  ",""))</f>
        <v/>
      </c>
      <c r="L40" s="0" t="str">
        <f aca="false">IF(OR($A40="",$D40=""),"",IF(AND(EDATE($D40,Milestones!$AA$80)&lt;=AsOfDate,IF($R40=0,$X40,IF(AND($T40&lt;&gt;"",EDATE($D40,Milestones!$AA$80)&gt;=$T40),$W40,IF(AND($S40&lt;&gt;"",EDATE($D40,Milestones!$AA$80)&gt;=$S40),$V40,$U40)))=Milestones!$AB$80),UPPER(TEXT(EDATE($D40,Milestones!$AA$80),"dd mmm yy"))&amp;" "&amp;Milestones!$AB$80&amp;" "&amp;Milestones!$AC$80&amp;";  ","")&amp;IF(AND(EDATE($D40,Milestones!$AA$81)&lt;=AsOfDate,IF($R40=0,$X40,IF(AND($T40&lt;&gt;"",EDATE($D40,Milestones!$AA$81)&gt;=$T40),$W40,IF(AND($S40&lt;&gt;"",EDATE($D40,Milestones!$AA$81)&gt;=$S40),$V40,$U40)))=Milestones!$AB$81),UPPER(TEXT(EDATE($D40,Milestones!$AA$81),"dd mmm yy"))&amp;" "&amp;Milestones!$AB$81&amp;" "&amp;Milestones!$AC$81&amp;";  ","")&amp;IF(AND(EDATE($D40,Milestones!$AA$82)&lt;=AsOfDate,IF($R40=0,$X40,IF(AND($T40&lt;&gt;"",EDATE($D40,Milestones!$AA$82)&gt;=$T40),$W40,IF(AND($S40&lt;&gt;"",EDATE($D40,Milestones!$AA$82)&gt;=$S40),$V40,$U40)))=Milestones!$AB$82),UPPER(TEXT(EDATE($D40,Milestones!$AA$82),"dd mmm yy"))&amp;" "&amp;Milestones!$AB$82&amp;" "&amp;Milestones!$AC$82&amp;";  ","")&amp;IF(AND(EDATE($D40,Milestones!$AA$83)&lt;=AsOfDate,IF($R40=0,$X40,IF(AND($T40&lt;&gt;"",EDATE($D40,Milestones!$AA$83)&gt;=$T40),$W40,IF(AND($S40&lt;&gt;"",EDATE($D40,Milestones!$AA$83)&gt;=$S40),$V40,$U40)))=Milestones!$AB$83),UPPER(TEXT(EDATE($D40,Milestones!$AA$83),"dd mmm yy"))&amp;" "&amp;Milestones!$AB$83&amp;" "&amp;Milestones!$AC$83&amp;";  ","")&amp;IF(AND(EDATE($D40,Milestones!$AA$84)&lt;=AsOfDate,IF($R40=0,$X40,IF(AND($T40&lt;&gt;"",EDATE($D40,Milestones!$AA$84)&gt;=$T40),$W40,IF(AND($S40&lt;&gt;"",EDATE($D40,Milestones!$AA$84)&gt;=$S40),$V40,$U40)))=Milestones!$AB$84),UPPER(TEXT(EDATE($D40,Milestones!$AA$84),"dd mmm yy"))&amp;" "&amp;Milestones!$AB$84&amp;" "&amp;Milestones!$AC$84&amp;";  ","")&amp;IF(AND(EDATE($D40,Milestones!$AA$85)&lt;=AsOfDate,IF($R40=0,$X40,IF(AND($T40&lt;&gt;"",EDATE($D40,Milestones!$AA$85)&gt;=$T40),$W40,IF(AND($S40&lt;&gt;"",EDATE($D40,Milestones!$AA$85)&gt;=$S40),$V40,$U40)))=Milestones!$AB$85),UPPER(TEXT(EDATE($D40,Milestones!$AA$85),"dd mmm yy"))&amp;" "&amp;Milestones!$AB$85&amp;" "&amp;Milestones!$AC$85&amp;";  ","")&amp;IF(AND(EDATE($D40,Milestones!$AA$86)&lt;=AsOfDate,IF($R40=0,$X40,IF(AND($T40&lt;&gt;"",EDATE($D40,Milestones!$AA$86)&gt;=$T40),$W40,IF(AND($S40&lt;&gt;"",EDATE($D40,Milestones!$AA$86)&gt;=$S40),$V40,$U40)))=Milestones!$AB$86),UPPER(TEXT(EDATE($D40,Milestones!$AA$86),"dd mmm yy"))&amp;" "&amp;Milestones!$AB$86&amp;" "&amp;Milestones!$AC$86&amp;";  ","")&amp;IF(AND(EDATE($D40,Milestones!$AA$87)&lt;=AsOfDate,IF($R40=0,$X40,IF(AND($T40&lt;&gt;"",EDATE($D40,Milestones!$AA$87)&gt;=$T40),$W40,IF(AND($S40&lt;&gt;"",EDATE($D40,Milestones!$AA$87)&gt;=$S40),$V40,$U40)))=Milestones!$AB$87),UPPER(TEXT(EDATE($D40,Milestones!$AA$87),"dd mmm yy"))&amp;" "&amp;Milestones!$AB$87&amp;" "&amp;Milestones!$AC$87&amp;";  ","")&amp;IF(AND(EDATE($D40,Milestones!$AA$88)&lt;=AsOfDate,IF($R40=0,$X40,IF(AND($T40&lt;&gt;"",EDATE($D40,Milestones!$AA$88)&gt;=$T40),$W40,IF(AND($S40&lt;&gt;"",EDATE($D40,Milestones!$AA$88)&gt;=$S40),$V40,$U40)))=Milestones!$AB$88),UPPER(TEXT(EDATE($D40,Milestones!$AA$88),"dd mmm yy"))&amp;" "&amp;Milestones!$AB$88&amp;" "&amp;Milestones!$AC$88&amp;";  ","")&amp;IF(AND(EDATE($D40,Milestones!$AA$89)&lt;=AsOfDate,IF($R40=0,$X40,IF(AND($T40&lt;&gt;"",EDATE($D40,Milestones!$AA$89)&gt;=$T40),$W40,IF(AND($S40&lt;&gt;"",EDATE($D40,Milestones!$AA$89)&gt;=$S40),$V40,$U40)))=Milestones!$AB$89),UPPER(TEXT(EDATE($D40,Milestones!$AA$89),"dd mmm yy"))&amp;" "&amp;Milestones!$AB$89&amp;" "&amp;Milestones!$AC$89&amp;";  ","")&amp;IF(AND(EDATE($D40,Milestones!$AA$90)&lt;=AsOfDate,IF($R40=0,$X40,IF(AND($T40&lt;&gt;"",EDATE($D40,Milestones!$AA$90)&gt;=$T40),$W40,IF(AND($S40&lt;&gt;"",EDATE($D40,Milestones!$AA$90)&gt;=$S40),$V40,$U40)))=Milestones!$AB$90),UPPER(TEXT(EDATE($D40,Milestones!$AA$90),"dd mmm yy"))&amp;" "&amp;Milestones!$AB$90&amp;" "&amp;Milestones!$AC$90&amp;";  ","")&amp;IF(AND(EDATE($D40,Milestones!$AA$91)&lt;=AsOfDate,IF($R40=0,$X40,IF(AND($T40&lt;&gt;"",EDATE($D40,Milestones!$AA$91)&gt;=$T40),$W40,IF(AND($S40&lt;&gt;"",EDATE($D40,Milestones!$AA$91)&gt;=$S40),$V40,$U40)))=Milestones!$AB$91),UPPER(TEXT(EDATE($D40,Milestones!$AA$91),"dd mmm yy"))&amp;" "&amp;Milestones!$AB$91&amp;" "&amp;Milestones!$AC$91&amp;";  ","")&amp;IF(AND(EDATE($D40,Milestones!$AA$92)&lt;=AsOfDate,IF($R40=0,$X40,IF(AND($T40&lt;&gt;"",EDATE($D40,Milestones!$AA$92)&gt;=$T40),$W40,IF(AND($S40&lt;&gt;"",EDATE($D40,Milestones!$AA$92)&gt;=$S40),$V40,$U40)))=Milestones!$AB$92),UPPER(TEXT(EDATE($D40,Milestones!$AA$92),"dd mmm yy"))&amp;" "&amp;Milestones!$AB$92&amp;" "&amp;Milestones!$AC$92&amp;";  ","")&amp;IF(AND(EDATE($D40,Milestones!$AA$93)&lt;=AsOfDate,IF($R40=0,$X40,IF(AND($T40&lt;&gt;"",EDATE($D40,Milestones!$AA$93)&gt;=$T40),$W40,IF(AND($S40&lt;&gt;"",EDATE($D40,Milestones!$AA$93)&gt;=$S40),$V40,$U40)))=Milestones!$AB$93),UPPER(TEXT(EDATE($D40,Milestones!$AA$93),"dd mmm yy"))&amp;" "&amp;Milestones!$AB$93&amp;" "&amp;Milestones!$AC$93&amp;";  ","")&amp;IF(AND(EDATE($D40,Milestones!$AA$94)&lt;=AsOfDate,IF($R40=0,$X40,IF(AND($T40&lt;&gt;"",EDATE($D40,Milestones!$AA$94)&gt;=$T40),$W40,IF(AND($S40&lt;&gt;"",EDATE($D40,Milestones!$AA$94)&gt;=$S40),$V40,$U40)))=Milestones!$AB$94),UPPER(TEXT(EDATE($D40,Milestones!$AA$94),"dd mmm yy"))&amp;" "&amp;Milestones!$AB$94&amp;" "&amp;Milestones!$AC$94&amp;";  ","")&amp;IF(AND(EDATE($D40,Milestones!$AA$95)&lt;=AsOfDate,IF($R40=0,$X40,IF(AND($T40&lt;&gt;"",EDATE($D40,Milestones!$AA$95)&gt;=$T40),$W40,IF(AND($S40&lt;&gt;"",EDATE($D40,Milestones!$AA$95)&gt;=$S40),$V40,$U40)))=Milestones!$AB$95),UPPER(TEXT(EDATE($D40,Milestones!$AA$95),"dd mmm yy"))&amp;" "&amp;Milestones!$AB$95&amp;" "&amp;Milestones!$AC$95&amp;";  ","")&amp;IF(AND(EDATE($D40,Milestones!$AA$96)&lt;=AsOfDate,IF($R40=0,$X40,IF(AND($T40&lt;&gt;"",EDATE($D40,Milestones!$AA$96)&gt;=$T40),$W40,IF(AND($S40&lt;&gt;"",EDATE($D40,Milestones!$AA$96)&gt;=$S40),$V40,$U40)))=Milestones!$AB$96),UPPER(TEXT(EDATE($D40,Milestones!$AA$96),"dd mmm yy"))&amp;" "&amp;Milestones!$AB$96&amp;" "&amp;Milestones!$AC$96&amp;";  ","")&amp;IF(AND(EDATE($D40,Milestones!$AA$97)&lt;=AsOfDate,IF($R40=0,$X40,IF(AND($T40&lt;&gt;"",EDATE($D40,Milestones!$AA$97)&gt;=$T40),$W40,IF(AND($S40&lt;&gt;"",EDATE($D40,Milestones!$AA$97)&gt;=$S40),$V40,$U40)))=Milestones!$AB$97),UPPER(TEXT(EDATE($D40,Milestones!$AA$97),"dd mmm yy"))&amp;" "&amp;Milestones!$AB$97&amp;" "&amp;Milestones!$AC$97&amp;";  ","")&amp;IF(AND(EDATE($D40,Milestones!$AA$98)&lt;=AsOfDate,IF($R40=0,$X40,IF(AND($T40&lt;&gt;"",EDATE($D40,Milestones!$AA$98)&gt;=$T40),$W40,IF(AND($S40&lt;&gt;"",EDATE($D40,Milestones!$AA$98)&gt;=$S40),$V40,$U40)))=Milestones!$AB$98),UPPER(TEXT(EDATE($D40,Milestones!$AA$98),"dd mmm yy"))&amp;" "&amp;Milestones!$AB$98&amp;" "&amp;Milestones!$AC$98&amp;";  ","")&amp;IF(AND(EDATE($D40,Milestones!$AA$99)&lt;=AsOfDate,IF($R40=0,$X40,IF(AND($T40&lt;&gt;"",EDATE($D40,Milestones!$AA$99)&gt;=$T40),$W40,IF(AND($S40&lt;&gt;"",EDATE($D40,Milestones!$AA$99)&gt;=$S40),$V40,$U40)))=Milestones!$AB$99),UPPER(TEXT(EDATE($D40,Milestones!$AA$99),"dd mmm yy"))&amp;" "&amp;Milestones!$AB$99&amp;" "&amp;Milestones!$AC$99&amp;";  ",""))</f>
        <v/>
      </c>
      <c r="M40" s="0" t="str">
        <f aca="false">IF(OR($A40="",$D40=""),"",IF(AND(EDATE($D40,Milestones!$AA$100)&lt;=AsOfDate,IF($R40=0,$X40,IF(AND($T40&lt;&gt;"",EDATE($D40,Milestones!$AA$100)&gt;=$T40),$W40,IF(AND($S40&lt;&gt;"",EDATE($D40,Milestones!$AA$100)&gt;=$S40),$V40,$U40)))=Milestones!$AB$100),UPPER(TEXT(EDATE($D40,Milestones!$AA$100),"dd mmm yy"))&amp;" "&amp;Milestones!$AB$100&amp;" "&amp;Milestones!$AC$100&amp;";  ","")&amp;IF(AND(EDATE($D40,Milestones!$AA$101)&lt;=AsOfDate,IF($R40=0,$X40,IF(AND($T40&lt;&gt;"",EDATE($D40,Milestones!$AA$101)&gt;=$T40),$W40,IF(AND($S40&lt;&gt;"",EDATE($D40,Milestones!$AA$101)&gt;=$S40),$V40,$U40)))=Milestones!$AB$101),UPPER(TEXT(EDATE($D40,Milestones!$AA$101),"dd mmm yy"))&amp;" "&amp;Milestones!$AB$101&amp;" "&amp;Milestones!$AC$101&amp;";  ","")&amp;IF(AND(EDATE($D40,Milestones!$AA$102)&lt;=AsOfDate,IF($R40=0,$X40,IF(AND($T40&lt;&gt;"",EDATE($D40,Milestones!$AA$102)&gt;=$T40),$W40,IF(AND($S40&lt;&gt;"",EDATE($D40,Milestones!$AA$102)&gt;=$S40),$V40,$U40)))=Milestones!$AB$102),UPPER(TEXT(EDATE($D40,Milestones!$AA$102),"dd mmm yy"))&amp;" "&amp;Milestones!$AB$102&amp;" "&amp;Milestones!$AC$102&amp;";  ","")&amp;IF(AND(EDATE($D40,Milestones!$AA$103)&lt;=AsOfDate,IF($R40=0,$X40,IF(AND($T40&lt;&gt;"",EDATE($D40,Milestones!$AA$103)&gt;=$T40),$W40,IF(AND($S40&lt;&gt;"",EDATE($D40,Milestones!$AA$103)&gt;=$S40),$V40,$U40)))=Milestones!$AB$103),UPPER(TEXT(EDATE($D40,Milestones!$AA$103),"dd mmm yy"))&amp;" "&amp;Milestones!$AB$103&amp;" "&amp;Milestones!$AC$103&amp;";  ","")&amp;IF(AND(EDATE($D40,Milestones!$AA$104)&lt;=AsOfDate,IF($R40=0,$X40,IF(AND($T40&lt;&gt;"",EDATE($D40,Milestones!$AA$104)&gt;=$T40),$W40,IF(AND($S40&lt;&gt;"",EDATE($D40,Milestones!$AA$104)&gt;=$S40),$V40,$U40)))=Milestones!$AB$104),UPPER(TEXT(EDATE($D40,Milestones!$AA$104),"dd mmm yy"))&amp;" "&amp;Milestones!$AB$104&amp;" "&amp;Milestones!$AC$104&amp;";  ","")&amp;IF(AND(EDATE($D40,Milestones!$AA$105)&lt;=AsOfDate,IF($R40=0,$X40,IF(AND($T40&lt;&gt;"",EDATE($D40,Milestones!$AA$105)&gt;=$T40),$W40,IF(AND($S40&lt;&gt;"",EDATE($D40,Milestones!$AA$105)&gt;=$S40),$V40,$U40)))=Milestones!$AB$105),UPPER(TEXT(EDATE($D40,Milestones!$AA$105),"dd mmm yy"))&amp;" "&amp;Milestones!$AB$105&amp;" "&amp;Milestones!$AC$105&amp;";  ","")&amp;IF(AND(EDATE($D40,Milestones!$AA$106)&lt;=AsOfDate,IF($R40=0,$X40,IF(AND($T40&lt;&gt;"",EDATE($D40,Milestones!$AA$106)&gt;=$T40),$W40,IF(AND($S40&lt;&gt;"",EDATE($D40,Milestones!$AA$106)&gt;=$S40),$V40,$U40)))=Milestones!$AB$106),UPPER(TEXT(EDATE($D40,Milestones!$AA$106),"dd mmm yy"))&amp;" "&amp;Milestones!$AB$106&amp;" "&amp;Milestones!$AC$106&amp;";  ","")&amp;IF(AND(EDATE($D40,Milestones!$AA$107)&lt;=AsOfDate,IF($R40=0,$X40,IF(AND($T40&lt;&gt;"",EDATE($D40,Milestones!$AA$107)&gt;=$T40),$W40,IF(AND($S40&lt;&gt;"",EDATE($D40,Milestones!$AA$107)&gt;=$S40),$V40,$U40)))=Milestones!$AB$107),UPPER(TEXT(EDATE($D40,Milestones!$AA$107),"dd mmm yy"))&amp;" "&amp;Milestones!$AB$107&amp;" "&amp;Milestones!$AC$107&amp;";  ","")&amp;IF(AND(EDATE($D40,Milestones!$AA$108)&lt;=AsOfDate,IF($R40=0,$X40,IF(AND($T40&lt;&gt;"",EDATE($D40,Milestones!$AA$108)&gt;=$T40),$W40,IF(AND($S40&lt;&gt;"",EDATE($D40,Milestones!$AA$108)&gt;=$S40),$V40,$U40)))=Milestones!$AB$108),UPPER(TEXT(EDATE($D40,Milestones!$AA$108),"dd mmm yy"))&amp;" "&amp;Milestones!$AB$108&amp;" "&amp;Milestones!$AC$108&amp;";  ","")&amp;IF(AND(EDATE($D40,Milestones!$AA$109)&lt;=AsOfDate,IF($R40=0,$X40,IF(AND($T40&lt;&gt;"",EDATE($D40,Milestones!$AA$109)&gt;=$T40),$W40,IF(AND($S40&lt;&gt;"",EDATE($D40,Milestones!$AA$109)&gt;=$S40),$V40,$U40)))=Milestones!$AB$109),UPPER(TEXT(EDATE($D40,Milestones!$AA$109),"dd mmm yy"))&amp;" "&amp;Milestones!$AB$109&amp;" "&amp;Milestones!$AC$109&amp;";  ","")&amp;IF(AND(EDATE($D40,Milestones!$AA$110)&lt;=AsOfDate,IF($R40=0,$X40,IF(AND($T40&lt;&gt;"",EDATE($D40,Milestones!$AA$110)&gt;=$T40),$W40,IF(AND($S40&lt;&gt;"",EDATE($D40,Milestones!$AA$110)&gt;=$S40),$V40,$U40)))=Milestones!$AB$110),UPPER(TEXT(EDATE($D40,Milestones!$AA$110),"dd mmm yy"))&amp;" "&amp;Milestones!$AB$110&amp;" "&amp;Milestones!$AC$110&amp;";  ","")&amp;IF(AND(EDATE($D40,Milestones!$AA$111)&lt;=AsOfDate,IF($R40=0,$X40,IF(AND($T40&lt;&gt;"",EDATE($D40,Milestones!$AA$111)&gt;=$T40),$W40,IF(AND($S40&lt;&gt;"",EDATE($D40,Milestones!$AA$111)&gt;=$S40),$V40,$U40)))=Milestones!$AB$111),UPPER(TEXT(EDATE($D40,Milestones!$AA$111),"dd mmm yy"))&amp;" "&amp;Milestones!$AB$111&amp;" "&amp;Milestones!$AC$111&amp;";  ","")&amp;IF(AND(EDATE($D40,Milestones!$AA$112)&lt;=AsOfDate,IF($R40=0,$X40,IF(AND($T40&lt;&gt;"",EDATE($D40,Milestones!$AA$112)&gt;=$T40),$W40,IF(AND($S40&lt;&gt;"",EDATE($D40,Milestones!$AA$112)&gt;=$S40),$V40,$U40)))=Milestones!$AB$112),UPPER(TEXT(EDATE($D40,Milestones!$AA$112),"dd mmm yy"))&amp;" "&amp;Milestones!$AB$112&amp;" "&amp;Milestones!$AC$112&amp;";  ","")&amp;IF(AND(EDATE($D40,Milestones!$AA$113)&lt;=AsOfDate,IF($R40=0,$X40,IF(AND($T40&lt;&gt;"",EDATE($D40,Milestones!$AA$113)&gt;=$T40),$W40,IF(AND($S40&lt;&gt;"",EDATE($D40,Milestones!$AA$113)&gt;=$S40),$V40,$U40)))=Milestones!$AB$113),UPPER(TEXT(EDATE($D40,Milestones!$AA$113),"dd mmm yy"))&amp;" "&amp;Milestones!$AB$113&amp;" "&amp;Milestones!$AC$113&amp;";  ","")&amp;IF(AND(EDATE($D40,Milestones!$AA$114)&lt;=AsOfDate,IF($R40=0,$X40,IF(AND($T40&lt;&gt;"",EDATE($D40,Milestones!$AA$114)&gt;=$T40),$W40,IF(AND($S40&lt;&gt;"",EDATE($D40,Milestones!$AA$114)&gt;=$S40),$V40,$U40)))=Milestones!$AB$114),UPPER(TEXT(EDATE($D40,Milestones!$AA$114),"dd mmm yy"))&amp;" "&amp;Milestones!$AB$114&amp;" "&amp;Milestones!$AC$114&amp;";  ","")&amp;IF(AND(EDATE($D40,Milestones!$AA$115)&lt;=AsOfDate,IF($R40=0,$X40,IF(AND($T40&lt;&gt;"",EDATE($D40,Milestones!$AA$115)&gt;=$T40),$W40,IF(AND($S40&lt;&gt;"",EDATE($D40,Milestones!$AA$115)&gt;=$S40),$V40,$U40)))=Milestones!$AB$115),UPPER(TEXT(EDATE($D40,Milestones!$AA$115),"dd mmm yy"))&amp;" "&amp;Milestones!$AB$115&amp;" "&amp;Milestones!$AC$115&amp;";  ","")&amp;IF(AND(EDATE($D40,Milestones!$AA$116)&lt;=AsOfDate,IF($R40=0,$X40,IF(AND($T40&lt;&gt;"",EDATE($D40,Milestones!$AA$116)&gt;=$T40),$W40,IF(AND($S40&lt;&gt;"",EDATE($D40,Milestones!$AA$116)&gt;=$S40),$V40,$U40)))=Milestones!$AB$116),UPPER(TEXT(EDATE($D40,Milestones!$AA$116),"dd mmm yy"))&amp;" "&amp;Milestones!$AB$116&amp;" "&amp;Milestones!$AC$116&amp;";  ","")&amp;IF(AND(EDATE($D40,Milestones!$AA$117)&lt;=AsOfDate,IF($R40=0,$X40,IF(AND($T40&lt;&gt;"",EDATE($D40,Milestones!$AA$117)&gt;=$T40),$W40,IF(AND($S40&lt;&gt;"",EDATE($D40,Milestones!$AA$117)&gt;=$S40),$V40,$U40)))=Milestones!$AB$117),UPPER(TEXT(EDATE($D40,Milestones!$AA$117),"dd mmm yy"))&amp;" "&amp;Milestones!$AB$117&amp;" "&amp;Milestones!$AC$117&amp;";  ","")&amp;IF(AND(EDATE($D40,Milestones!$AA$118)&lt;=AsOfDate,IF($R40=0,$X40,IF(AND($T40&lt;&gt;"",EDATE($D40,Milestones!$AA$118)&gt;=$T40),$W40,IF(AND($S40&lt;&gt;"",EDATE($D40,Milestones!$AA$118)&gt;=$S40),$V40,$U40)))=Milestones!$AB$118),UPPER(TEXT(EDATE($D40,Milestones!$AA$118),"dd mmm yy"))&amp;" "&amp;Milestones!$AB$118&amp;" "&amp;Milestones!$AC$118&amp;";  ","")&amp;IF(AND(EDATE($D40,Milestones!$AA$119)&lt;=AsOfDate,IF($R40=0,$X40,IF(AND($T40&lt;&gt;"",EDATE($D40,Milestones!$AA$119)&gt;=$T40),$W40,IF(AND($S40&lt;&gt;"",EDATE($D40,Milestones!$AA$119)&gt;=$S40),$V40,$U40)))=Milestones!$AB$119),UPPER(TEXT(EDATE($D40,Milestones!$AA$119),"dd mmm yy"))&amp;" "&amp;Milestones!$AB$119&amp;" "&amp;Milestones!$AC$119&amp;";  ",""))</f>
        <v/>
      </c>
      <c r="N40" s="0" t="str">
        <f aca="false">IF(OR($A40="",$D40=""),"",IF(AND(EDATE($D40,Milestones!$AA$120)&lt;=AsOfDate,IF($R40=0,$X40,IF(AND($T40&lt;&gt;"",EDATE($D40,Milestones!$AA$120)&gt;=$T40),$W40,IF(AND($S40&lt;&gt;"",EDATE($D40,Milestones!$AA$120)&gt;=$S40),$V40,$U40)))=Milestones!$AB$120),UPPER(TEXT(EDATE($D40,Milestones!$AA$120),"dd mmm yy"))&amp;" "&amp;Milestones!$AB$120&amp;" "&amp;Milestones!$AC$120&amp;";  ","")&amp;IF(AND(EDATE($D40,Milestones!$AA$121)&lt;=AsOfDate,IF($R40=0,$X40,IF(AND($T40&lt;&gt;"",EDATE($D40,Milestones!$AA$121)&gt;=$T40),$W40,IF(AND($S40&lt;&gt;"",EDATE($D40,Milestones!$AA$121)&gt;=$S40),$V40,$U40)))=Milestones!$AB$121),UPPER(TEXT(EDATE($D40,Milestones!$AA$121),"dd mmm yy"))&amp;" "&amp;Milestones!$AB$121&amp;" "&amp;Milestones!$AC$121&amp;";  ","")&amp;IF(AND(EDATE($D40,Milestones!$AA$122)&lt;=AsOfDate,IF($R40=0,$X40,IF(AND($T40&lt;&gt;"",EDATE($D40,Milestones!$AA$122)&gt;=$T40),$W40,IF(AND($S40&lt;&gt;"",EDATE($D40,Milestones!$AA$122)&gt;=$S40),$V40,$U40)))=Milestones!$AB$122),UPPER(TEXT(EDATE($D40,Milestones!$AA$122),"dd mmm yy"))&amp;" "&amp;Milestones!$AB$122&amp;" "&amp;Milestones!$AC$122&amp;";  ","")&amp;IF(AND(EDATE($D40,Milestones!$AA$123)&lt;=AsOfDate,IF($R40=0,$X40,IF(AND($T40&lt;&gt;"",EDATE($D40,Milestones!$AA$123)&gt;=$T40),$W40,IF(AND($S40&lt;&gt;"",EDATE($D40,Milestones!$AA$123)&gt;=$S40),$V40,$U40)))=Milestones!$AB$123),UPPER(TEXT(EDATE($D40,Milestones!$AA$123),"dd mmm yy"))&amp;" "&amp;Milestones!$AB$123&amp;" "&amp;Milestones!$AC$123&amp;";  ","")&amp;IF(AND(EDATE($D40,Milestones!$AA$124)&lt;=AsOfDate,IF($R40=0,$X40,IF(AND($T40&lt;&gt;"",EDATE($D40,Milestones!$AA$124)&gt;=$T40),$W40,IF(AND($S40&lt;&gt;"",EDATE($D40,Milestones!$AA$124)&gt;=$S40),$V40,$U40)))=Milestones!$AB$124),UPPER(TEXT(EDATE($D40,Milestones!$AA$124),"dd mmm yy"))&amp;" "&amp;Milestones!$AB$124&amp;" "&amp;Milestones!$AC$124&amp;";  ","")&amp;IF(AND(EDATE($D40,Milestones!$AA$125)&lt;=AsOfDate,IF($R40=0,$X40,IF(AND($T40&lt;&gt;"",EDATE($D40,Milestones!$AA$125)&gt;=$T40),$W40,IF(AND($S40&lt;&gt;"",EDATE($D40,Milestones!$AA$125)&gt;=$S40),$V40,$U40)))=Milestones!$AB$125),UPPER(TEXT(EDATE($D40,Milestones!$AA$125),"dd mmm yy"))&amp;" "&amp;Milestones!$AB$125&amp;" "&amp;Milestones!$AC$125&amp;";  ","")&amp;IF(AND(EDATE($D40,Milestones!$AA$126)&lt;=AsOfDate,IF($R40=0,$X40,IF(AND($T40&lt;&gt;"",EDATE($D40,Milestones!$AA$126)&gt;=$T40),$W40,IF(AND($S40&lt;&gt;"",EDATE($D40,Milestones!$AA$126)&gt;=$S40),$V40,$U40)))=Milestones!$AB$126),UPPER(TEXT(EDATE($D40,Milestones!$AA$126),"dd mmm yy"))&amp;" "&amp;Milestones!$AB$126&amp;" "&amp;Milestones!$AC$126&amp;";  ","")&amp;IF(AND(EDATE($D40,Milestones!$AA$127)&lt;=AsOfDate,IF($R40=0,$X40,IF(AND($T40&lt;&gt;"",EDATE($D40,Milestones!$AA$127)&gt;=$T40),$W40,IF(AND($S40&lt;&gt;"",EDATE($D40,Milestones!$AA$127)&gt;=$S40),$V40,$U40)))=Milestones!$AB$127),UPPER(TEXT(EDATE($D40,Milestones!$AA$127),"dd mmm yy"))&amp;" "&amp;Milestones!$AB$127&amp;" "&amp;Milestones!$AC$127&amp;";  ","")&amp;IF(AND(EDATE($D40,Milestones!$AA$128)&lt;=AsOfDate,IF($R40=0,$X40,IF(AND($T40&lt;&gt;"",EDATE($D40,Milestones!$AA$128)&gt;=$T40),$W40,IF(AND($S40&lt;&gt;"",EDATE($D40,Milestones!$AA$128)&gt;=$S40),$V40,$U40)))=Milestones!$AB$128),UPPER(TEXT(EDATE($D40,Milestones!$AA$128),"dd mmm yy"))&amp;" "&amp;Milestones!$AB$128&amp;" "&amp;Milestones!$AC$128&amp;";  ","")&amp;IF(AND(EDATE($D40,Milestones!$AA$129)&lt;=AsOfDate,IF($R40=0,$X40,IF(AND($T40&lt;&gt;"",EDATE($D40,Milestones!$AA$129)&gt;=$T40),$W40,IF(AND($S40&lt;&gt;"",EDATE($D40,Milestones!$AA$129)&gt;=$S40),$V40,$U40)))=Milestones!$AB$129),UPPER(TEXT(EDATE($D40,Milestones!$AA$129),"dd mmm yy"))&amp;" "&amp;Milestones!$AB$129&amp;" "&amp;Milestones!$AC$129&amp;";  ","")&amp;IF(AND(EDATE($D40,Milestones!$AA$130)&lt;=AsOfDate,IF($R40=0,$X40,IF(AND($T40&lt;&gt;"",EDATE($D40,Milestones!$AA$130)&gt;=$T40),$W40,IF(AND($S40&lt;&gt;"",EDATE($D40,Milestones!$AA$130)&gt;=$S40),$V40,$U40)))=Milestones!$AB$130),UPPER(TEXT(EDATE($D40,Milestones!$AA$130),"dd mmm yy"))&amp;" "&amp;Milestones!$AB$130&amp;" "&amp;Milestones!$AC$130&amp;";  ","")&amp;IF(AND(EDATE($D40,Milestones!$AA$131)&lt;=AsOfDate,IF($R40=0,$X40,IF(AND($T40&lt;&gt;"",EDATE($D40,Milestones!$AA$131)&gt;=$T40),$W40,IF(AND($S40&lt;&gt;"",EDATE($D40,Milestones!$AA$131)&gt;=$S40),$V40,$U40)))=Milestones!$AB$131),UPPER(TEXT(EDATE($D40,Milestones!$AA$131),"dd mmm yy"))&amp;" "&amp;Milestones!$AB$131&amp;" "&amp;Milestones!$AC$131&amp;";  ","")&amp;IF(AND(EDATE($D40,Milestones!$AA$132)&lt;=AsOfDate,IF($R40=0,$X40,IF(AND($T40&lt;&gt;"",EDATE($D40,Milestones!$AA$132)&gt;=$T40),$W40,IF(AND($S40&lt;&gt;"",EDATE($D40,Milestones!$AA$132)&gt;=$S40),$V40,$U40)))=Milestones!$AB$132),UPPER(TEXT(EDATE($D40,Milestones!$AA$132),"dd mmm yy"))&amp;" "&amp;Milestones!$AB$132&amp;" "&amp;Milestones!$AC$132&amp;";  ","")&amp;IF(AND(EDATE($D40,Milestones!$AA$133)&lt;=AsOfDate,IF($R40=0,$X40,IF(AND($T40&lt;&gt;"",EDATE($D40,Milestones!$AA$133)&gt;=$T40),$W40,IF(AND($S40&lt;&gt;"",EDATE($D40,Milestones!$AA$133)&gt;=$S40),$V40,$U40)))=Milestones!$AB$133),UPPER(TEXT(EDATE($D40,Milestones!$AA$133),"dd mmm yy"))&amp;" "&amp;Milestones!$AB$133&amp;" "&amp;Milestones!$AC$133&amp;";  ","")&amp;IF(AND(EDATE($D40,Milestones!$AA$134)&lt;=AsOfDate,IF($R40=0,$X40,IF(AND($T40&lt;&gt;"",EDATE($D40,Milestones!$AA$134)&gt;=$T40),$W40,IF(AND($S40&lt;&gt;"",EDATE($D40,Milestones!$AA$134)&gt;=$S40),$V40,$U40)))=Milestones!$AB$134),UPPER(TEXT(EDATE($D40,Milestones!$AA$134),"dd mmm yy"))&amp;" "&amp;Milestones!$AB$134&amp;" "&amp;Milestones!$AC$134&amp;";  ","")&amp;IF(AND(EDATE($D40,Milestones!$AA$135)&lt;=AsOfDate,IF($R40=0,$X40,IF(AND($T40&lt;&gt;"",EDATE($D40,Milestones!$AA$135)&gt;=$T40),$W40,IF(AND($S40&lt;&gt;"",EDATE($D40,Milestones!$AA$135)&gt;=$S40),$V40,$U40)))=Milestones!$AB$135),UPPER(TEXT(EDATE($D40,Milestones!$AA$135),"dd mmm yy"))&amp;" "&amp;Milestones!$AB$135&amp;" "&amp;Milestones!$AC$135&amp;";  ","")&amp;IF(AND(EDATE($D40,Milestones!$AA$136)&lt;=AsOfDate,IF($R40=0,$X40,IF(AND($T40&lt;&gt;"",EDATE($D40,Milestones!$AA$136)&gt;=$T40),$W40,IF(AND($S40&lt;&gt;"",EDATE($D40,Milestones!$AA$136)&gt;=$S40),$V40,$U40)))=Milestones!$AB$136),UPPER(TEXT(EDATE($D40,Milestones!$AA$136),"dd mmm yy"))&amp;" "&amp;Milestones!$AB$136&amp;" "&amp;Milestones!$AC$136&amp;";  ","")&amp;IF(AND(EDATE($D40,Milestones!$AA$137)&lt;=AsOfDate,IF($R40=0,$X40,IF(AND($T40&lt;&gt;"",EDATE($D40,Milestones!$AA$137)&gt;=$T40),$W40,IF(AND($S40&lt;&gt;"",EDATE($D40,Milestones!$AA$137)&gt;=$S40),$V40,$U40)))=Milestones!$AB$137),UPPER(TEXT(EDATE($D40,Milestones!$AA$137),"dd mmm yy"))&amp;" "&amp;Milestones!$AB$137&amp;" "&amp;Milestones!$AC$137&amp;";  ","")&amp;IF(AND(EDATE($D40,Milestones!$AA$138)&lt;=AsOfDate,IF($R40=0,$X40,IF(AND($T40&lt;&gt;"",EDATE($D40,Milestones!$AA$138)&gt;=$T40),$W40,IF(AND($S40&lt;&gt;"",EDATE($D40,Milestones!$AA$138)&gt;=$S40),$V40,$U40)))=Milestones!$AB$138),UPPER(TEXT(EDATE($D40,Milestones!$AA$138),"dd mmm yy"))&amp;" "&amp;Milestones!$AB$138&amp;" "&amp;Milestones!$AC$138&amp;";  ","")&amp;IF(AND(EDATE($D40,Milestones!$AA$139)&lt;=AsOfDate,IF($R40=0,$X40,IF(AND($T40&lt;&gt;"",EDATE($D40,Milestones!$AA$139)&gt;=$T40),$W40,IF(AND($S40&lt;&gt;"",EDATE($D40,Milestones!$AA$139)&gt;=$S40),$V40,$U40)))=Milestones!$AB$139),UPPER(TEXT(EDATE($D40,Milestones!$AA$139),"dd mmm yy"))&amp;" "&amp;Milestones!$AB$139&amp;" "&amp;Milestones!$AC$139&amp;";  ",""))</f>
        <v/>
      </c>
      <c r="O40" s="0" t="str">
        <f aca="false">IF(OR($A40="",$D40=""),"",IF(AND(EDATE($D40,Milestones!$AA$140)&lt;=AsOfDate,IF($R40=0,$X40,IF(AND($T40&lt;&gt;"",EDATE($D40,Milestones!$AA$140)&gt;=$T40),$W40,IF(AND($S40&lt;&gt;"",EDATE($D40,Milestones!$AA$140)&gt;=$S40),$V40,$U40)))=Milestones!$AB$140),UPPER(TEXT(EDATE($D40,Milestones!$AA$140),"dd mmm yy"))&amp;" "&amp;Milestones!$AB$140&amp;" "&amp;Milestones!$AC$140&amp;";  ","")&amp;IF(AND(EDATE($D40,Milestones!$AA$141)&lt;=AsOfDate,IF($R40=0,$X40,IF(AND($T40&lt;&gt;"",EDATE($D40,Milestones!$AA$141)&gt;=$T40),$W40,IF(AND($S40&lt;&gt;"",EDATE($D40,Milestones!$AA$141)&gt;=$S40),$V40,$U40)))=Milestones!$AB$141),UPPER(TEXT(EDATE($D40,Milestones!$AA$141),"dd mmm yy"))&amp;" "&amp;Milestones!$AB$141&amp;" "&amp;Milestones!$AC$141&amp;";  ","")&amp;IF(AND(EDATE($D40,Milestones!$AA$142)&lt;=AsOfDate,IF($R40=0,$X40,IF(AND($T40&lt;&gt;"",EDATE($D40,Milestones!$AA$142)&gt;=$T40),$W40,IF(AND($S40&lt;&gt;"",EDATE($D40,Milestones!$AA$142)&gt;=$S40),$V40,$U40)))=Milestones!$AB$142),UPPER(TEXT(EDATE($D40,Milestones!$AA$142),"dd mmm yy"))&amp;" "&amp;Milestones!$AB$142&amp;" "&amp;Milestones!$AC$142&amp;";  ","")&amp;IF(AND(EDATE($D40,Milestones!$AA$143)&lt;=AsOfDate,IF($R40=0,$X40,IF(AND($T40&lt;&gt;"",EDATE($D40,Milestones!$AA$143)&gt;=$T40),$W40,IF(AND($S40&lt;&gt;"",EDATE($D40,Milestones!$AA$143)&gt;=$S40),$V40,$U40)))=Milestones!$AB$143),UPPER(TEXT(EDATE($D40,Milestones!$AA$143),"dd mmm yy"))&amp;" "&amp;Milestones!$AB$143&amp;" "&amp;Milestones!$AC$143&amp;";  ","")&amp;IF(AND(EDATE($D40,Milestones!$AA$144)&lt;=AsOfDate,IF($R40=0,$X40,IF(AND($T40&lt;&gt;"",EDATE($D40,Milestones!$AA$144)&gt;=$T40),$W40,IF(AND($S40&lt;&gt;"",EDATE($D40,Milestones!$AA$144)&gt;=$S40),$V40,$U40)))=Milestones!$AB$144),UPPER(TEXT(EDATE($D40,Milestones!$AA$144),"dd mmm yy"))&amp;" "&amp;Milestones!$AB$144&amp;" "&amp;Milestones!$AC$144&amp;";  ","")&amp;IF(AND(EDATE($D40,Milestones!$AA$145)&lt;=AsOfDate,IF($R40=0,$X40,IF(AND($T40&lt;&gt;"",EDATE($D40,Milestones!$AA$145)&gt;=$T40),$W40,IF(AND($S40&lt;&gt;"",EDATE($D40,Milestones!$AA$145)&gt;=$S40),$V40,$U40)))=Milestones!$AB$145),UPPER(TEXT(EDATE($D40,Milestones!$AA$145),"dd mmm yy"))&amp;" "&amp;Milestones!$AB$145&amp;" "&amp;Milestones!$AC$145&amp;";  ","")&amp;IF(AND(EDATE($D40,Milestones!$AA$146)&lt;=AsOfDate,IF($R40=0,$X40,IF(AND($T40&lt;&gt;"",EDATE($D40,Milestones!$AA$146)&gt;=$T40),$W40,IF(AND($S40&lt;&gt;"",EDATE($D40,Milestones!$AA$146)&gt;=$S40),$V40,$U40)))=Milestones!$AB$146),UPPER(TEXT(EDATE($D40,Milestones!$AA$146),"dd mmm yy"))&amp;" "&amp;Milestones!$AB$146&amp;" "&amp;Milestones!$AC$146&amp;";  ","")&amp;IF(AND(EDATE($D40,Milestones!$AA$147)&lt;=AsOfDate,IF($R40=0,$X40,IF(AND($T40&lt;&gt;"",EDATE($D40,Milestones!$AA$147)&gt;=$T40),$W40,IF(AND($S40&lt;&gt;"",EDATE($D40,Milestones!$AA$147)&gt;=$S40),$V40,$U40)))=Milestones!$AB$147),UPPER(TEXT(EDATE($D40,Milestones!$AA$147),"dd mmm yy"))&amp;" "&amp;Milestones!$AB$147&amp;" "&amp;Milestones!$AC$147&amp;";  ","")&amp;IF(AND(EDATE($D40,Milestones!$AA$148)&lt;=AsOfDate,IF($R40=0,$X40,IF(AND($T40&lt;&gt;"",EDATE($D40,Milestones!$AA$148)&gt;=$T40),$W40,IF(AND($S40&lt;&gt;"",EDATE($D40,Milestones!$AA$148)&gt;=$S40),$V40,$U40)))=Milestones!$AB$148),UPPER(TEXT(EDATE($D40,Milestones!$AA$148),"dd mmm yy"))&amp;" "&amp;Milestones!$AB$148&amp;" "&amp;Milestones!$AC$148&amp;";  ","")&amp;IF(AND(EDATE($D40,Milestones!$AA$149)&lt;=AsOfDate,IF($R40=0,$X40,IF(AND($T40&lt;&gt;"",EDATE($D40,Milestones!$AA$149)&gt;=$T40),$W40,IF(AND($S40&lt;&gt;"",EDATE($D40,Milestones!$AA$149)&gt;=$S40),$V40,$U40)))=Milestones!$AB$149),UPPER(TEXT(EDATE($D40,Milestones!$AA$149),"dd mmm yy"))&amp;" "&amp;Milestones!$AB$149&amp;" "&amp;Milestones!$AC$149&amp;";  ","")&amp;IF(AND(EDATE($D40,Milestones!$AA$150)&lt;=AsOfDate,IF($R40=0,$X40,IF(AND($T40&lt;&gt;"",EDATE($D40,Milestones!$AA$150)&gt;=$T40),$W40,IF(AND($S40&lt;&gt;"",EDATE($D40,Milestones!$AA$150)&gt;=$S40),$V40,$U40)))=Milestones!$AB$150),UPPER(TEXT(EDATE($D40,Milestones!$AA$150),"dd mmm yy"))&amp;" "&amp;Milestones!$AB$150&amp;" "&amp;Milestones!$AC$150&amp;";  ","")&amp;IF(AND(EDATE($D40,Milestones!$AA$151)&lt;=AsOfDate,IF($R40=0,$X40,IF(AND($T40&lt;&gt;"",EDATE($D40,Milestones!$AA$151)&gt;=$T40),$W40,IF(AND($S40&lt;&gt;"",EDATE($D40,Milestones!$AA$151)&gt;=$S40),$V40,$U40)))=Milestones!$AB$151),UPPER(TEXT(EDATE($D40,Milestones!$AA$151),"dd mmm yy"))&amp;" "&amp;Milestones!$AB$151&amp;" "&amp;Milestones!$AC$151&amp;";  ","")&amp;IF(AND(EDATE($D40,Milestones!$AA$152)&lt;=AsOfDate,IF($R40=0,$X40,IF(AND($T40&lt;&gt;"",EDATE($D40,Milestones!$AA$152)&gt;=$T40),$W40,IF(AND($S40&lt;&gt;"",EDATE($D40,Milestones!$AA$152)&gt;=$S40),$V40,$U40)))=Milestones!$AB$152),UPPER(TEXT(EDATE($D40,Milestones!$AA$152),"dd mmm yy"))&amp;" "&amp;Milestones!$AB$152&amp;" "&amp;Milestones!$AC$152&amp;";  ","")&amp;IF(AND(EDATE($D40,Milestones!$AA$153)&lt;=AsOfDate,IF($R40=0,$X40,IF(AND($T40&lt;&gt;"",EDATE($D40,Milestones!$AA$153)&gt;=$T40),$W40,IF(AND($S40&lt;&gt;"",EDATE($D40,Milestones!$AA$153)&gt;=$S40),$V40,$U40)))=Milestones!$AB$153),UPPER(TEXT(EDATE($D40,Milestones!$AA$153),"dd mmm yy"))&amp;" "&amp;Milestones!$AB$153&amp;" "&amp;Milestones!$AC$153&amp;";  ","")&amp;IF(AND(EDATE($D40,Milestones!$AA$154)&lt;=AsOfDate,IF($R40=0,$X40,IF(AND($T40&lt;&gt;"",EDATE($D40,Milestones!$AA$154)&gt;=$T40),$W40,IF(AND($S40&lt;&gt;"",EDATE($D40,Milestones!$AA$154)&gt;=$S40),$V40,$U40)))=Milestones!$AB$154),UPPER(TEXT(EDATE($D40,Milestones!$AA$154),"dd mmm yy"))&amp;" "&amp;Milestones!$AB$154&amp;" "&amp;Milestones!$AC$154&amp;";  ","")&amp;IF(AND(EDATE($D40,Milestones!$AA$155)&lt;=AsOfDate,IF($R40=0,$X40,IF(AND($T40&lt;&gt;"",EDATE($D40,Milestones!$AA$155)&gt;=$T40),$W40,IF(AND($S40&lt;&gt;"",EDATE($D40,Milestones!$AA$155)&gt;=$S40),$V40,$U40)))=Milestones!$AB$155),UPPER(TEXT(EDATE($D40,Milestones!$AA$155),"dd mmm yy"))&amp;" "&amp;Milestones!$AB$155&amp;" "&amp;Milestones!$AC$155&amp;";  ","")&amp;IF(AND(EDATE($D40,Milestones!$AA$156)&lt;=AsOfDate,IF($R40=0,$X40,IF(AND($T40&lt;&gt;"",EDATE($D40,Milestones!$AA$156)&gt;=$T40),$W40,IF(AND($S40&lt;&gt;"",EDATE($D40,Milestones!$AA$156)&gt;=$S40),$V40,$U40)))=Milestones!$AB$156),UPPER(TEXT(EDATE($D40,Milestones!$AA$156),"dd mmm yy"))&amp;" "&amp;Milestones!$AB$156&amp;" "&amp;Milestones!$AC$156&amp;";  ","")&amp;IF(AND(EDATE($D40,Milestones!$AA$157)&lt;=AsOfDate,IF($R40=0,$X40,IF(AND($T40&lt;&gt;"",EDATE($D40,Milestones!$AA$157)&gt;=$T40),$W40,IF(AND($S40&lt;&gt;"",EDATE($D40,Milestones!$AA$157)&gt;=$S40),$V40,$U40)))=Milestones!$AB$157),UPPER(TEXT(EDATE($D40,Milestones!$AA$157),"dd mmm yy"))&amp;" "&amp;Milestones!$AB$157&amp;" "&amp;Milestones!$AC$157&amp;";  ","")&amp;IF(AND(EDATE($D40,Milestones!$AA$158)&lt;=AsOfDate,IF($R40=0,$X40,IF(AND($T40&lt;&gt;"",EDATE($D40,Milestones!$AA$158)&gt;=$T40),$W40,IF(AND($S40&lt;&gt;"",EDATE($D40,Milestones!$AA$158)&gt;=$S40),$V40,$U40)))=Milestones!$AB$158),UPPER(TEXT(EDATE($D40,Milestones!$AA$158),"dd mmm yy"))&amp;" "&amp;Milestones!$AB$158&amp;" "&amp;Milestones!$AC$158&amp;";  ","")&amp;IF(AND(EDATE($D40,Milestones!$AA$159)&lt;=AsOfDate,IF($R40=0,$X40,IF(AND($T40&lt;&gt;"",EDATE($D40,Milestones!$AA$159)&gt;=$T40),$W40,IF(AND($S40&lt;&gt;"",EDATE($D40,Milestones!$AA$159)&gt;=$S40),$V40,$U40)))=Milestones!$AB$159),UPPER(TEXT(EDATE($D40,Milestones!$AA$159),"dd mmm yy"))&amp;" "&amp;Milestones!$AB$159&amp;" "&amp;Milestones!$AC$159&amp;";  ",""))</f>
        <v/>
      </c>
      <c r="P40" s="0" t="str">
        <f aca="false">IF(OR($A40="",$D40=""),"",IF(AND(EDATE($D40,Milestones!$AA$160)&lt;=AsOfDate,IF($R40=0,$X40,IF(AND($T40&lt;&gt;"",EDATE($D40,Milestones!$AA$160)&gt;=$T40),$W40,IF(AND($S40&lt;&gt;"",EDATE($D40,Milestones!$AA$160)&gt;=$S40),$V40,$U40)))=Milestones!$AB$160),UPPER(TEXT(EDATE($D40,Milestones!$AA$160),"dd mmm yy"))&amp;" "&amp;Milestones!$AB$160&amp;" "&amp;Milestones!$AC$160&amp;";  ","")&amp;IF(AND(EDATE($D40,Milestones!$AA$161)&lt;=AsOfDate,IF($R40=0,$X40,IF(AND($T40&lt;&gt;"",EDATE($D40,Milestones!$AA$161)&gt;=$T40),$W40,IF(AND($S40&lt;&gt;"",EDATE($D40,Milestones!$AA$161)&gt;=$S40),$V40,$U40)))=Milestones!$AB$161),UPPER(TEXT(EDATE($D40,Milestones!$AA$161),"dd mmm yy"))&amp;" "&amp;Milestones!$AB$161&amp;" "&amp;Milestones!$AC$161&amp;";  ","")&amp;IF(AND(EDATE($D40,Milestones!$AA$162)&lt;=AsOfDate,IF($R40=0,$X40,IF(AND($T40&lt;&gt;"",EDATE($D40,Milestones!$AA$162)&gt;=$T40),$W40,IF(AND($S40&lt;&gt;"",EDATE($D40,Milestones!$AA$162)&gt;=$S40),$V40,$U40)))=Milestones!$AB$162),UPPER(TEXT(EDATE($D40,Milestones!$AA$162),"dd mmm yy"))&amp;" "&amp;Milestones!$AB$162&amp;" "&amp;Milestones!$AC$162&amp;";  ","")&amp;IF(AND(EDATE($D40,Milestones!$AA$163)&lt;=AsOfDate,IF($R40=0,$X40,IF(AND($T40&lt;&gt;"",EDATE($D40,Milestones!$AA$163)&gt;=$T40),$W40,IF(AND($S40&lt;&gt;"",EDATE($D40,Milestones!$AA$163)&gt;=$S40),$V40,$U40)))=Milestones!$AB$163),UPPER(TEXT(EDATE($D40,Milestones!$AA$163),"dd mmm yy"))&amp;" "&amp;Milestones!$AB$163&amp;" "&amp;Milestones!$AC$163&amp;";  ","")&amp;IF(AND(EDATE($D40,Milestones!$AA$164)&lt;=AsOfDate,IF($R40=0,$X40,IF(AND($T40&lt;&gt;"",EDATE($D40,Milestones!$AA$164)&gt;=$T40),$W40,IF(AND($S40&lt;&gt;"",EDATE($D40,Milestones!$AA$164)&gt;=$S40),$V40,$U40)))=Milestones!$AB$164),UPPER(TEXT(EDATE($D40,Milestones!$AA$164),"dd mmm yy"))&amp;" "&amp;Milestones!$AB$164&amp;" "&amp;Milestones!$AC$164&amp;";  ","")&amp;IF(AND(EDATE($D40,Milestones!$AA$165)&lt;=AsOfDate,IF($R40=0,$X40,IF(AND($T40&lt;&gt;"",EDATE($D40,Milestones!$AA$165)&gt;=$T40),$W40,IF(AND($S40&lt;&gt;"",EDATE($D40,Milestones!$AA$165)&gt;=$S40),$V40,$U40)))=Milestones!$AB$165),UPPER(TEXT(EDATE($D40,Milestones!$AA$165),"dd mmm yy"))&amp;" "&amp;Milestones!$AB$165&amp;" "&amp;Milestones!$AC$165&amp;";  ","")&amp;IF(AND(EDATE($D40,Milestones!$AA$166)&lt;=AsOfDate,IF($R40=0,$X40,IF(AND($T40&lt;&gt;"",EDATE($D40,Milestones!$AA$166)&gt;=$T40),$W40,IF(AND($S40&lt;&gt;"",EDATE($D40,Milestones!$AA$166)&gt;=$S40),$V40,$U40)))=Milestones!$AB$166),UPPER(TEXT(EDATE($D40,Milestones!$AA$166),"dd mmm yy"))&amp;" "&amp;Milestones!$AB$166&amp;" "&amp;Milestones!$AC$166&amp;";  ","")&amp;IF(AND(EDATE($D40,Milestones!$AA$167)&lt;=AsOfDate,IF($R40=0,$X40,IF(AND($T40&lt;&gt;"",EDATE($D40,Milestones!$AA$167)&gt;=$T40),$W40,IF(AND($S40&lt;&gt;"",EDATE($D40,Milestones!$AA$167)&gt;=$S40),$V40,$U40)))=Milestones!$AB$167),UPPER(TEXT(EDATE($D40,Milestones!$AA$167),"dd mmm yy"))&amp;" "&amp;Milestones!$AB$167&amp;" "&amp;Milestones!$AC$167&amp;";  ","")&amp;IF(AND(EDATE($D40,Milestones!$AA$168)&lt;=AsOfDate,IF($R40=0,$X40,IF(AND($T40&lt;&gt;"",EDATE($D40,Milestones!$AA$168)&gt;=$T40),$W40,IF(AND($S40&lt;&gt;"",EDATE($D40,Milestones!$AA$168)&gt;=$S40),$V40,$U40)))=Milestones!$AB$168),UPPER(TEXT(EDATE($D40,Milestones!$AA$168),"dd mmm yy"))&amp;" "&amp;Milestones!$AB$168&amp;" "&amp;Milestones!$AC$168&amp;";  ","")&amp;IF(AND(EDATE($D40,Milestones!$AA$169)&lt;=AsOfDate,IF($R40=0,$X40,IF(AND($T40&lt;&gt;"",EDATE($D40,Milestones!$AA$169)&gt;=$T40),$W40,IF(AND($S40&lt;&gt;"",EDATE($D40,Milestones!$AA$169)&gt;=$S40),$V40,$U40)))=Milestones!$AB$169),UPPER(TEXT(EDATE($D40,Milestones!$AA$169),"dd mmm yy"))&amp;" "&amp;Milestones!$AB$169&amp;" "&amp;Milestones!$AC$169&amp;";  ","")&amp;IF(AND(EDATE($D40,Milestones!$AA$170)&lt;=AsOfDate,IF($R40=0,$X40,IF(AND($T40&lt;&gt;"",EDATE($D40,Milestones!$AA$170)&gt;=$T40),$W40,IF(AND($S40&lt;&gt;"",EDATE($D40,Milestones!$AA$170)&gt;=$S40),$V40,$U40)))=Milestones!$AB$170),UPPER(TEXT(EDATE($D40,Milestones!$AA$170),"dd mmm yy"))&amp;" "&amp;Milestones!$AB$170&amp;" "&amp;Milestones!$AC$170&amp;";  ","")&amp;IF(AND(EDATE($D40,Milestones!$AA$171)&lt;=AsOfDate,IF($R40=0,$X40,IF(AND($T40&lt;&gt;"",EDATE($D40,Milestones!$AA$171)&gt;=$T40),$W40,IF(AND($S40&lt;&gt;"",EDATE($D40,Milestones!$AA$171)&gt;=$S40),$V40,$U40)))=Milestones!$AB$171),UPPER(TEXT(EDATE($D40,Milestones!$AA$171),"dd mmm yy"))&amp;" "&amp;Milestones!$AB$171&amp;" "&amp;Milestones!$AC$171&amp;";  ","")&amp;IF(AND(EDATE($D40,Milestones!$AA$172)&lt;=AsOfDate,IF($R40=0,$X40,IF(AND($T40&lt;&gt;"",EDATE($D40,Milestones!$AA$172)&gt;=$T40),$W40,IF(AND($S40&lt;&gt;"",EDATE($D40,Milestones!$AA$172)&gt;=$S40),$V40,$U40)))=Milestones!$AB$172),UPPER(TEXT(EDATE($D40,Milestones!$AA$172),"dd mmm yy"))&amp;" "&amp;Milestones!$AB$172&amp;" "&amp;Milestones!$AC$172&amp;";  ","")&amp;IF(AND(EDATE($D40,Milestones!$AA$173)&lt;=AsOfDate,IF($R40=0,$X40,IF(AND($T40&lt;&gt;"",EDATE($D40,Milestones!$AA$173)&gt;=$T40),$W40,IF(AND($S40&lt;&gt;"",EDATE($D40,Milestones!$AA$173)&gt;=$S40),$V40,$U40)))=Milestones!$AB$173),UPPER(TEXT(EDATE($D40,Milestones!$AA$173),"dd mmm yy"))&amp;" "&amp;Milestones!$AB$173&amp;" "&amp;Milestones!$AC$173&amp;";  ","")&amp;IF(AND(EDATE($D40,Milestones!$AA$174)&lt;=AsOfDate,IF($R40=0,$X40,IF(AND($T40&lt;&gt;"",EDATE($D40,Milestones!$AA$174)&gt;=$T40),$W40,IF(AND($S40&lt;&gt;"",EDATE($D40,Milestones!$AA$174)&gt;=$S40),$V40,$U40)))=Milestones!$AB$174),UPPER(TEXT(EDATE($D40,Milestones!$AA$174),"dd mmm yy"))&amp;" "&amp;Milestones!$AB$174&amp;" "&amp;Milestones!$AC$174&amp;";  ","")&amp;IF(AND(EDATE($D40,Milestones!$AA$175)&lt;=AsOfDate,IF($R40=0,$X40,IF(AND($T40&lt;&gt;"",EDATE($D40,Milestones!$AA$175)&gt;=$T40),$W40,IF(AND($S40&lt;&gt;"",EDATE($D40,Milestones!$AA$175)&gt;=$S40),$V40,$U40)))=Milestones!$AB$175),UPPER(TEXT(EDATE($D40,Milestones!$AA$175),"dd mmm yy"))&amp;" "&amp;Milestones!$AB$175&amp;" "&amp;Milestones!$AC$175&amp;";  ","")&amp;IF(AND(EDATE($D40,Milestones!$AA$176)&lt;=AsOfDate,IF($R40=0,$X40,IF(AND($T40&lt;&gt;"",EDATE($D40,Milestones!$AA$176)&gt;=$T40),$W40,IF(AND($S40&lt;&gt;"",EDATE($D40,Milestones!$AA$176)&gt;=$S40),$V40,$U40)))=Milestones!$AB$176),UPPER(TEXT(EDATE($D40,Milestones!$AA$176),"dd mmm yy"))&amp;" "&amp;Milestones!$AB$176&amp;" "&amp;Milestones!$AC$176&amp;";  ","")&amp;IF(AND(EDATE($D40,Milestones!$AA$177)&lt;=AsOfDate,IF($R40=0,$X40,IF(AND($T40&lt;&gt;"",EDATE($D40,Milestones!$AA$177)&gt;=$T40),$W40,IF(AND($S40&lt;&gt;"",EDATE($D40,Milestones!$AA$177)&gt;=$S40),$V40,$U40)))=Milestones!$AB$177),UPPER(TEXT(EDATE($D40,Milestones!$AA$177),"dd mmm yy"))&amp;" "&amp;Milestones!$AB$177&amp;" "&amp;Milestones!$AC$177&amp;";  ","")&amp;IF(AND(EDATE($D40,Milestones!$AA$178)&lt;=AsOfDate,IF($R40=0,$X40,IF(AND($T40&lt;&gt;"",EDATE($D40,Milestones!$AA$178)&gt;=$T40),$W40,IF(AND($S40&lt;&gt;"",EDATE($D40,Milestones!$AA$178)&gt;=$S40),$V40,$U40)))=Milestones!$AB$178),UPPER(TEXT(EDATE($D40,Milestones!$AA$178),"dd mmm yy"))&amp;" "&amp;Milestones!$AB$178&amp;" "&amp;Milestones!$AC$178&amp;";  ","")&amp;IF(AND(EDATE($D40,Milestones!$AA$179)&lt;=AsOfDate,IF($R40=0,$X40,IF(AND($T40&lt;&gt;"",EDATE($D40,Milestones!$AA$179)&gt;=$T40),$W40,IF(AND($S40&lt;&gt;"",EDATE($D40,Milestones!$AA$179)&gt;=$S40),$V40,$U40)))=Milestones!$AB$179),UPPER(TEXT(EDATE($D40,Milestones!$AA$179),"dd mmm yy"))&amp;" "&amp;Milestones!$AB$179&amp;" "&amp;Milestones!$AC$179&amp;";  ",""))</f>
        <v/>
      </c>
      <c r="Q40" s="0" t="str">
        <f aca="false">IF(OR($A40="",$D40=""),"",IF(AND(EDATE($D40,Milestones!$AA$180)&lt;=AsOfDate,IF($R40=0,$X40,IF(AND($T40&lt;&gt;"",EDATE($D40,Milestones!$AA$180)&gt;=$T40),$W40,IF(AND($S40&lt;&gt;"",EDATE($D40,Milestones!$AA$180)&gt;=$S40),$V40,$U40)))=Milestones!$AB$180),UPPER(TEXT(EDATE($D40,Milestones!$AA$180),"dd mmm yy"))&amp;" "&amp;Milestones!$AB$180&amp;" "&amp;Milestones!$AC$180&amp;";  ","")&amp;IF(AND(EDATE($D40,Milestones!$AA$181)&lt;=AsOfDate,IF($R40=0,$X40,IF(AND($T40&lt;&gt;"",EDATE($D40,Milestones!$AA$181)&gt;=$T40),$W40,IF(AND($S40&lt;&gt;"",EDATE($D40,Milestones!$AA$181)&gt;=$S40),$V40,$U40)))=Milestones!$AB$181),UPPER(TEXT(EDATE($D40,Milestones!$AA$181),"dd mmm yy"))&amp;" "&amp;Milestones!$AB$181&amp;" "&amp;Milestones!$AC$181&amp;";  ","")&amp;IF(AND(EDATE($D40,Milestones!$AA$182)&lt;=AsOfDate,IF($R40=0,$X40,IF(AND($T40&lt;&gt;"",EDATE($D40,Milestones!$AA$182)&gt;=$T40),$W40,IF(AND($S40&lt;&gt;"",EDATE($D40,Milestones!$AA$182)&gt;=$S40),$V40,$U40)))=Milestones!$AB$182),UPPER(TEXT(EDATE($D40,Milestones!$AA$182),"dd mmm yy"))&amp;" "&amp;Milestones!$AB$182&amp;" "&amp;Milestones!$AC$182&amp;";  ","")&amp;IF(AND(EDATE($D40,Milestones!$AA$183)&lt;=AsOfDate,IF($R40=0,$X40,IF(AND($T40&lt;&gt;"",EDATE($D40,Milestones!$AA$183)&gt;=$T40),$W40,IF(AND($S40&lt;&gt;"",EDATE($D40,Milestones!$AA$183)&gt;=$S40),$V40,$U40)))=Milestones!$AB$183),UPPER(TEXT(EDATE($D40,Milestones!$AA$183),"dd mmm yy"))&amp;" "&amp;Milestones!$AB$183&amp;" "&amp;Milestones!$AC$183&amp;";  ","")&amp;IF(AND(EDATE($D40,Milestones!$AA$184)&lt;=AsOfDate,IF($R40=0,$X40,IF(AND($T40&lt;&gt;"",EDATE($D40,Milestones!$AA$184)&gt;=$T40),$W40,IF(AND($S40&lt;&gt;"",EDATE($D40,Milestones!$AA$184)&gt;=$S40),$V40,$U40)))=Milestones!$AB$184),UPPER(TEXT(EDATE($D40,Milestones!$AA$184),"dd mmm yy"))&amp;" "&amp;Milestones!$AB$184&amp;" "&amp;Milestones!$AC$184&amp;";  ","")&amp;IF(AND(EDATE($D40,Milestones!$AA$185)&lt;=AsOfDate,IF($R40=0,$X40,IF(AND($T40&lt;&gt;"",EDATE($D40,Milestones!$AA$185)&gt;=$T40),$W40,IF(AND($S40&lt;&gt;"",EDATE($D40,Milestones!$AA$185)&gt;=$S40),$V40,$U40)))=Milestones!$AB$185),UPPER(TEXT(EDATE($D40,Milestones!$AA$185),"dd mmm yy"))&amp;" "&amp;Milestones!$AB$185&amp;" "&amp;Milestones!$AC$185&amp;";  ","")&amp;IF(AND(EDATE($D40,Milestones!$AA$186)&lt;=AsOfDate,IF($R40=0,$X40,IF(AND($T40&lt;&gt;"",EDATE($D40,Milestones!$AA$186)&gt;=$T40),$W40,IF(AND($S40&lt;&gt;"",EDATE($D40,Milestones!$AA$186)&gt;=$S40),$V40,$U40)))=Milestones!$AB$186),UPPER(TEXT(EDATE($D40,Milestones!$AA$186),"dd mmm yy"))&amp;" "&amp;Milestones!$AB$186&amp;" "&amp;Milestones!$AC$186&amp;";  ","")&amp;IF(AND(EDATE($D40,Milestones!$AA$187)&lt;=AsOfDate,IF($R40=0,$X40,IF(AND($T40&lt;&gt;"",EDATE($D40,Milestones!$AA$187)&gt;=$T40),$W40,IF(AND($S40&lt;&gt;"",EDATE($D40,Milestones!$AA$187)&gt;=$S40),$V40,$U40)))=Milestones!$AB$187),UPPER(TEXT(EDATE($D40,Milestones!$AA$187),"dd mmm yy"))&amp;" "&amp;Milestones!$AB$187&amp;" "&amp;Milestones!$AC$187&amp;";  ","")&amp;IF(AND(EDATE($D40,Milestones!$AA$188)&lt;=AsOfDate,IF($R40=0,$X40,IF(AND($T40&lt;&gt;"",EDATE($D40,Milestones!$AA$188)&gt;=$T40),$W40,IF(AND($S40&lt;&gt;"",EDATE($D40,Milestones!$AA$188)&gt;=$S40),$V40,$U40)))=Milestones!$AB$188),UPPER(TEXT(EDATE($D40,Milestones!$AA$188),"dd mmm yy"))&amp;" "&amp;Milestones!$AB$188&amp;" "&amp;Milestones!$AC$188&amp;";  ","")&amp;IF(AND(EDATE($D40,Milestones!$AA$189)&lt;=AsOfDate,IF($R40=0,$X40,IF(AND($T40&lt;&gt;"",EDATE($D40,Milestones!$AA$189)&gt;=$T40),$W40,IF(AND($S40&lt;&gt;"",EDATE($D40,Milestones!$AA$189)&gt;=$S40),$V40,$U40)))=Milestones!$AB$189),UPPER(TEXT(EDATE($D40,Milestones!$AA$189),"dd mmm yy"))&amp;" "&amp;Milestones!$AB$189&amp;" "&amp;Milestones!$AC$189&amp;";  ","")&amp;IF(AND(EDATE($D40,Milestones!$AA$190)&lt;=AsOfDate,IF($R40=0,$X40,IF(AND($T40&lt;&gt;"",EDATE($D40,Milestones!$AA$190)&gt;=$T40),$W40,IF(AND($S40&lt;&gt;"",EDATE($D40,Milestones!$AA$190)&gt;=$S40),$V40,$U40)))=Milestones!$AB$190),UPPER(TEXT(EDATE($D40,Milestones!$AA$190),"dd mmm yy"))&amp;" "&amp;Milestones!$AB$190&amp;" "&amp;Milestones!$AC$190&amp;";  ","")&amp;IF(AND(EDATE($D40,Milestones!$AA$191)&lt;=AsOfDate,IF($R40=0,$X40,IF(AND($T40&lt;&gt;"",EDATE($D40,Milestones!$AA$191)&gt;=$T40),$W40,IF(AND($S40&lt;&gt;"",EDATE($D40,Milestones!$AA$191)&gt;=$S40),$V40,$U40)))=Milestones!$AB$191),UPPER(TEXT(EDATE($D40,Milestones!$AA$191),"dd mmm yy"))&amp;" "&amp;Milestones!$AB$191&amp;" "&amp;Milestones!$AC$191&amp;";  ","")&amp;IF(AND(EDATE($D40,Milestones!$AA$192)&lt;=AsOfDate,IF($R40=0,$X40,IF(AND($T40&lt;&gt;"",EDATE($D40,Milestones!$AA$192)&gt;=$T40),$W40,IF(AND($S40&lt;&gt;"",EDATE($D40,Milestones!$AA$192)&gt;=$S40),$V40,$U40)))=Milestones!$AB$192),UPPER(TEXT(EDATE($D40,Milestones!$AA$192),"dd mmm yy"))&amp;" "&amp;Milestones!$AB$192&amp;" "&amp;Milestones!$AC$192&amp;";  ","")&amp;IF(AND(EDATE($D40,Milestones!$AA$193)&lt;=AsOfDate,IF($R40=0,$X40,IF(AND($T40&lt;&gt;"",EDATE($D40,Milestones!$AA$193)&gt;=$T40),$W40,IF(AND($S40&lt;&gt;"",EDATE($D40,Milestones!$AA$193)&gt;=$S40),$V40,$U40)))=Milestones!$AB$193),UPPER(TEXT(EDATE($D40,Milestones!$AA$193),"dd mmm yy"))&amp;" "&amp;Milestones!$AB$193&amp;" "&amp;Milestones!$AC$193&amp;";  ","")&amp;IF(AND(EDATE($D40,Milestones!$AA$194)&lt;=AsOfDate,IF($R40=0,$X40,IF(AND($T40&lt;&gt;"",EDATE($D40,Milestones!$AA$194)&gt;=$T40),$W40,IF(AND($S40&lt;&gt;"",EDATE($D40,Milestones!$AA$194)&gt;=$S40),$V40,$U40)))=Milestones!$AB$194),UPPER(TEXT(EDATE($D40,Milestones!$AA$194),"dd mmm yy"))&amp;" "&amp;Milestones!$AB$194&amp;" "&amp;Milestones!$AC$194&amp;";  ","")&amp;IF(AND(EDATE($D40,Milestones!$AA$195)&lt;=AsOfDate,IF($R40=0,$X40,IF(AND($T40&lt;&gt;"",EDATE($D40,Milestones!$AA$195)&gt;=$T40),$W40,IF(AND($S40&lt;&gt;"",EDATE($D40,Milestones!$AA$195)&gt;=$S40),$V40,$U40)))=Milestones!$AB$195),UPPER(TEXT(EDATE($D40,Milestones!$AA$195),"dd mmm yy"))&amp;" "&amp;Milestones!$AB$195&amp;" "&amp;Milestones!$AC$195&amp;";  ","")&amp;IF(AND(EDATE($D40,Milestones!$AA$196)&lt;=AsOfDate,IF($R40=0,$X40,IF(AND($T40&lt;&gt;"",EDATE($D40,Milestones!$AA$196)&gt;=$T40),$W40,IF(AND($S40&lt;&gt;"",EDATE($D40,Milestones!$AA$196)&gt;=$S40),$V40,$U40)))=Milestones!$AB$196),UPPER(TEXT(EDATE($D40,Milestones!$AA$196),"dd mmm yy"))&amp;" "&amp;Milestones!$AB$196&amp;" "&amp;Milestones!$AC$196&amp;";  ","")&amp;IF(AND(EDATE($D40,Milestones!$AA$197)&lt;=AsOfDate,IF($R40=0,$X40,IF(AND($T40&lt;&gt;"",EDATE($D40,Milestones!$AA$197)&gt;=$T40),$W40,IF(AND($S40&lt;&gt;"",EDATE($D40,Milestones!$AA$197)&gt;=$S40),$V40,$U40)))=Milestones!$AB$197),UPPER(TEXT(EDATE($D40,Milestones!$AA$197),"dd mmm yy"))&amp;" "&amp;Milestones!$AB$197&amp;" "&amp;Milestones!$AC$197&amp;";  ","")&amp;IF(AND(EDATE($D40,Milestones!$AA$198)&lt;=AsOfDate,IF($R40=0,$X40,IF(AND($T40&lt;&gt;"",EDATE($D40,Milestones!$AA$198)&gt;=$T40),$W40,IF(AND($S40&lt;&gt;"",EDATE($D40,Milestones!$AA$198)&gt;=$S40),$V40,$U40)))=Milestones!$AB$198),UPPER(TEXT(EDATE($D40,Milestones!$AA$198),"dd mmm yy"))&amp;" "&amp;Milestones!$AB$198&amp;" "&amp;Milestones!$AC$198&amp;";  ","")&amp;IF(AND(EDATE($D40,Milestones!$AA$199)&lt;=AsOfDate,IF($R40=0,$X40,IF(AND($T40&lt;&gt;"",EDATE($D40,Milestones!$AA$199)&gt;=$T40),$W40,IF(AND($S40&lt;&gt;"",EDATE($D40,Milestones!$AA$199)&gt;=$S40),$V40,$U40)))=Milestones!$AB$199),UPPER(TEXT(EDATE($D40,Milestones!$AA$199),"dd mmm yy"))&amp;" "&amp;Milestones!$AB$199&amp;" "&amp;Milestones!$AC$199&amp;";  ",""))</f>
        <v/>
      </c>
      <c r="R40" s="0" t="str">
        <f aca="false">IF(Staff!$A40="","",Staff!$AI40)</f>
        <v/>
      </c>
      <c r="S40" s="0" t="str">
        <f aca="false">IF(Staff!$A40="","",Staff!$AK40)</f>
        <v/>
      </c>
      <c r="T40" s="0" t="str">
        <f aca="false">IF(Staff!$A40="","",Staff!$AL40)</f>
        <v/>
      </c>
      <c r="U40" s="0" t="str">
        <f aca="false">IF(Staff!$A40="","",Staff!$AP40)</f>
        <v/>
      </c>
      <c r="V40" s="0" t="str">
        <f aca="false">IF(Staff!$A40="","",Staff!$AQ40)</f>
        <v/>
      </c>
      <c r="W40" s="0" t="str">
        <f aca="false">IF(Staff!$A40="","",Staff!$AR40)</f>
        <v/>
      </c>
      <c r="X40" s="0" t="str">
        <f aca="false">IF(Staff!$A40="","",Staff!$AS40)</f>
        <v/>
      </c>
    </row>
    <row r="41" customFormat="false" ht="15" hidden="false" customHeight="false" outlineLevel="0" collapsed="false">
      <c r="A41" s="14" t="str">
        <f aca="false">IF(Staff!$A41="","",Staff!$A41)</f>
        <v/>
      </c>
      <c r="B41" s="14" t="str">
        <f aca="false">IF(Staff!$A41="","",Staff!$B41)</f>
        <v/>
      </c>
      <c r="C41" s="14" t="str">
        <f aca="false">IF(Staff!$A41="","",Staff!$C41)</f>
        <v/>
      </c>
      <c r="D41" s="12" t="str">
        <f aca="false">IF(Staff!$A41="","",Staff!$AH41)</f>
        <v/>
      </c>
      <c r="E41" s="14" t="str">
        <f aca="false">IF(Staff!$A41="","",Staff!$O41)</f>
        <v/>
      </c>
      <c r="F41" s="14" t="str">
        <f aca="false">IF(E41="","",E41*HoursPerDay)</f>
        <v/>
      </c>
      <c r="G41" s="14" t="str">
        <f aca="false">IF(Staff!$A41="","",Staff!$AE41)</f>
        <v/>
      </c>
      <c r="H41" s="26" t="str">
        <f aca="false">IF($A41="","",I41&amp;J41&amp;K41&amp;L41&amp;M41&amp;N41&amp;O41&amp;P41&amp;Q41)</f>
        <v/>
      </c>
      <c r="I41" s="0" t="str">
        <f aca="false">IF(OR($A41="",$D41=""),"",IF(AND(EDATE($D41,Milestones!$AA$20)&lt;=AsOfDate,IF($R41=0,$X41,IF(AND($T41&lt;&gt;"",EDATE($D41,Milestones!$AA$20)&gt;=$T41),$W41,IF(AND($S41&lt;&gt;"",EDATE($D41,Milestones!$AA$20)&gt;=$S41),$V41,$U41)))=Milestones!$AB$20),UPPER(TEXT(EDATE($D41,Milestones!$AA$20),"dd mmm yy"))&amp;" "&amp;Milestones!$AB$20&amp;" "&amp;Milestones!$AC$20&amp;";  ","")&amp;IF(AND(EDATE($D41,Milestones!$AA$21)&lt;=AsOfDate,IF($R41=0,$X41,IF(AND($T41&lt;&gt;"",EDATE($D41,Milestones!$AA$21)&gt;=$T41),$W41,IF(AND($S41&lt;&gt;"",EDATE($D41,Milestones!$AA$21)&gt;=$S41),$V41,$U41)))=Milestones!$AB$21),UPPER(TEXT(EDATE($D41,Milestones!$AA$21),"dd mmm yy"))&amp;" "&amp;Milestones!$AB$21&amp;" "&amp;Milestones!$AC$21&amp;";  ","")&amp;IF(AND(EDATE($D41,Milestones!$AA$22)&lt;=AsOfDate,IF($R41=0,$X41,IF(AND($T41&lt;&gt;"",EDATE($D41,Milestones!$AA$22)&gt;=$T41),$W41,IF(AND($S41&lt;&gt;"",EDATE($D41,Milestones!$AA$22)&gt;=$S41),$V41,$U41)))=Milestones!$AB$22),UPPER(TEXT(EDATE($D41,Milestones!$AA$22),"dd mmm yy"))&amp;" "&amp;Milestones!$AB$22&amp;" "&amp;Milestones!$AC$22&amp;";  ","")&amp;IF(AND(EDATE($D41,Milestones!$AA$23)&lt;=AsOfDate,IF($R41=0,$X41,IF(AND($T41&lt;&gt;"",EDATE($D41,Milestones!$AA$23)&gt;=$T41),$W41,IF(AND($S41&lt;&gt;"",EDATE($D41,Milestones!$AA$23)&gt;=$S41),$V41,$U41)))=Milestones!$AB$23),UPPER(TEXT(EDATE($D41,Milestones!$AA$23),"dd mmm yy"))&amp;" "&amp;Milestones!$AB$23&amp;" "&amp;Milestones!$AC$23&amp;";  ","")&amp;IF(AND(EDATE($D41,Milestones!$AA$24)&lt;=AsOfDate,IF($R41=0,$X41,IF(AND($T41&lt;&gt;"",EDATE($D41,Milestones!$AA$24)&gt;=$T41),$W41,IF(AND($S41&lt;&gt;"",EDATE($D41,Milestones!$AA$24)&gt;=$S41),$V41,$U41)))=Milestones!$AB$24),UPPER(TEXT(EDATE($D41,Milestones!$AA$24),"dd mmm yy"))&amp;" "&amp;Milestones!$AB$24&amp;" "&amp;Milestones!$AC$24&amp;";  ","")&amp;IF(AND(EDATE($D41,Milestones!$AA$25)&lt;=AsOfDate,IF($R41=0,$X41,IF(AND($T41&lt;&gt;"",EDATE($D41,Milestones!$AA$25)&gt;=$T41),$W41,IF(AND($S41&lt;&gt;"",EDATE($D41,Milestones!$AA$25)&gt;=$S41),$V41,$U41)))=Milestones!$AB$25),UPPER(TEXT(EDATE($D41,Milestones!$AA$25),"dd mmm yy"))&amp;" "&amp;Milestones!$AB$25&amp;" "&amp;Milestones!$AC$25&amp;";  ","")&amp;IF(AND(EDATE($D41,Milestones!$AA$26)&lt;=AsOfDate,IF($R41=0,$X41,IF(AND($T41&lt;&gt;"",EDATE($D41,Milestones!$AA$26)&gt;=$T41),$W41,IF(AND($S41&lt;&gt;"",EDATE($D41,Milestones!$AA$26)&gt;=$S41),$V41,$U41)))=Milestones!$AB$26),UPPER(TEXT(EDATE($D41,Milestones!$AA$26),"dd mmm yy"))&amp;" "&amp;Milestones!$AB$26&amp;" "&amp;Milestones!$AC$26&amp;";  ","")&amp;IF(AND(EDATE($D41,Milestones!$AA$27)&lt;=AsOfDate,IF($R41=0,$X41,IF(AND($T41&lt;&gt;"",EDATE($D41,Milestones!$AA$27)&gt;=$T41),$W41,IF(AND($S41&lt;&gt;"",EDATE($D41,Milestones!$AA$27)&gt;=$S41),$V41,$U41)))=Milestones!$AB$27),UPPER(TEXT(EDATE($D41,Milestones!$AA$27),"dd mmm yy"))&amp;" "&amp;Milestones!$AB$27&amp;" "&amp;Milestones!$AC$27&amp;";  ","")&amp;IF(AND(EDATE($D41,Milestones!$AA$28)&lt;=AsOfDate,IF($R41=0,$X41,IF(AND($T41&lt;&gt;"",EDATE($D41,Milestones!$AA$28)&gt;=$T41),$W41,IF(AND($S41&lt;&gt;"",EDATE($D41,Milestones!$AA$28)&gt;=$S41),$V41,$U41)))=Milestones!$AB$28),UPPER(TEXT(EDATE($D41,Milestones!$AA$28),"dd mmm yy"))&amp;" "&amp;Milestones!$AB$28&amp;" "&amp;Milestones!$AC$28&amp;";  ","")&amp;IF(AND(EDATE($D41,Milestones!$AA$29)&lt;=AsOfDate,IF($R41=0,$X41,IF(AND($T41&lt;&gt;"",EDATE($D41,Milestones!$AA$29)&gt;=$T41),$W41,IF(AND($S41&lt;&gt;"",EDATE($D41,Milestones!$AA$29)&gt;=$S41),$V41,$U41)))=Milestones!$AB$29),UPPER(TEXT(EDATE($D41,Milestones!$AA$29),"dd mmm yy"))&amp;" "&amp;Milestones!$AB$29&amp;" "&amp;Milestones!$AC$29&amp;";  ","")&amp;IF(AND(EDATE($D41,Milestones!$AA$30)&lt;=AsOfDate,IF($R41=0,$X41,IF(AND($T41&lt;&gt;"",EDATE($D41,Milestones!$AA$30)&gt;=$T41),$W41,IF(AND($S41&lt;&gt;"",EDATE($D41,Milestones!$AA$30)&gt;=$S41),$V41,$U41)))=Milestones!$AB$30),UPPER(TEXT(EDATE($D41,Milestones!$AA$30),"dd mmm yy"))&amp;" "&amp;Milestones!$AB$30&amp;" "&amp;Milestones!$AC$30&amp;";  ","")&amp;IF(AND(EDATE($D41,Milestones!$AA$31)&lt;=AsOfDate,IF($R41=0,$X41,IF(AND($T41&lt;&gt;"",EDATE($D41,Milestones!$AA$31)&gt;=$T41),$W41,IF(AND($S41&lt;&gt;"",EDATE($D41,Milestones!$AA$31)&gt;=$S41),$V41,$U41)))=Milestones!$AB$31),UPPER(TEXT(EDATE($D41,Milestones!$AA$31),"dd mmm yy"))&amp;" "&amp;Milestones!$AB$31&amp;" "&amp;Milestones!$AC$31&amp;";  ","")&amp;IF(AND(EDATE($D41,Milestones!$AA$32)&lt;=AsOfDate,IF($R41=0,$X41,IF(AND($T41&lt;&gt;"",EDATE($D41,Milestones!$AA$32)&gt;=$T41),$W41,IF(AND($S41&lt;&gt;"",EDATE($D41,Milestones!$AA$32)&gt;=$S41),$V41,$U41)))=Milestones!$AB$32),UPPER(TEXT(EDATE($D41,Milestones!$AA$32),"dd mmm yy"))&amp;" "&amp;Milestones!$AB$32&amp;" "&amp;Milestones!$AC$32&amp;";  ","")&amp;IF(AND(EDATE($D41,Milestones!$AA$33)&lt;=AsOfDate,IF($R41=0,$X41,IF(AND($T41&lt;&gt;"",EDATE($D41,Milestones!$AA$33)&gt;=$T41),$W41,IF(AND($S41&lt;&gt;"",EDATE($D41,Milestones!$AA$33)&gt;=$S41),$V41,$U41)))=Milestones!$AB$33),UPPER(TEXT(EDATE($D41,Milestones!$AA$33),"dd mmm yy"))&amp;" "&amp;Milestones!$AB$33&amp;" "&amp;Milestones!$AC$33&amp;";  ","")&amp;IF(AND(EDATE($D41,Milestones!$AA$34)&lt;=AsOfDate,IF($R41=0,$X41,IF(AND($T41&lt;&gt;"",EDATE($D41,Milestones!$AA$34)&gt;=$T41),$W41,IF(AND($S41&lt;&gt;"",EDATE($D41,Milestones!$AA$34)&gt;=$S41),$V41,$U41)))=Milestones!$AB$34),UPPER(TEXT(EDATE($D41,Milestones!$AA$34),"dd mmm yy"))&amp;" "&amp;Milestones!$AB$34&amp;" "&amp;Milestones!$AC$34&amp;";  ","")&amp;IF(AND(EDATE($D41,Milestones!$AA$35)&lt;=AsOfDate,IF($R41=0,$X41,IF(AND($T41&lt;&gt;"",EDATE($D41,Milestones!$AA$35)&gt;=$T41),$W41,IF(AND($S41&lt;&gt;"",EDATE($D41,Milestones!$AA$35)&gt;=$S41),$V41,$U41)))=Milestones!$AB$35),UPPER(TEXT(EDATE($D41,Milestones!$AA$35),"dd mmm yy"))&amp;" "&amp;Milestones!$AB$35&amp;" "&amp;Milestones!$AC$35&amp;";  ","")&amp;IF(AND(EDATE($D41,Milestones!$AA$36)&lt;=AsOfDate,IF($R41=0,$X41,IF(AND($T41&lt;&gt;"",EDATE($D41,Milestones!$AA$36)&gt;=$T41),$W41,IF(AND($S41&lt;&gt;"",EDATE($D41,Milestones!$AA$36)&gt;=$S41),$V41,$U41)))=Milestones!$AB$36),UPPER(TEXT(EDATE($D41,Milestones!$AA$36),"dd mmm yy"))&amp;" "&amp;Milestones!$AB$36&amp;" "&amp;Milestones!$AC$36&amp;";  ","")&amp;IF(AND(EDATE($D41,Milestones!$AA$37)&lt;=AsOfDate,IF($R41=0,$X41,IF(AND($T41&lt;&gt;"",EDATE($D41,Milestones!$AA$37)&gt;=$T41),$W41,IF(AND($S41&lt;&gt;"",EDATE($D41,Milestones!$AA$37)&gt;=$S41),$V41,$U41)))=Milestones!$AB$37),UPPER(TEXT(EDATE($D41,Milestones!$AA$37),"dd mmm yy"))&amp;" "&amp;Milestones!$AB$37&amp;" "&amp;Milestones!$AC$37&amp;";  ","")&amp;IF(AND(EDATE($D41,Milestones!$AA$38)&lt;=AsOfDate,IF($R41=0,$X41,IF(AND($T41&lt;&gt;"",EDATE($D41,Milestones!$AA$38)&gt;=$T41),$W41,IF(AND($S41&lt;&gt;"",EDATE($D41,Milestones!$AA$38)&gt;=$S41),$V41,$U41)))=Milestones!$AB$38),UPPER(TEXT(EDATE($D41,Milestones!$AA$38),"dd mmm yy"))&amp;" "&amp;Milestones!$AB$38&amp;" "&amp;Milestones!$AC$38&amp;";  ","")&amp;IF(AND(EDATE($D41,Milestones!$AA$39)&lt;=AsOfDate,IF($R41=0,$X41,IF(AND($T41&lt;&gt;"",EDATE($D41,Milestones!$AA$39)&gt;=$T41),$W41,IF(AND($S41&lt;&gt;"",EDATE($D41,Milestones!$AA$39)&gt;=$S41),$V41,$U41)))=Milestones!$AB$39),UPPER(TEXT(EDATE($D41,Milestones!$AA$39),"dd mmm yy"))&amp;" "&amp;Milestones!$AB$39&amp;" "&amp;Milestones!$AC$39&amp;";  ",""))</f>
        <v/>
      </c>
      <c r="J41" s="0" t="str">
        <f aca="false">IF(OR($A41="",$D41=""),"",IF(AND(EDATE($D41,Milestones!$AA$40)&lt;=AsOfDate,IF($R41=0,$X41,IF(AND($T41&lt;&gt;"",EDATE($D41,Milestones!$AA$40)&gt;=$T41),$W41,IF(AND($S41&lt;&gt;"",EDATE($D41,Milestones!$AA$40)&gt;=$S41),$V41,$U41)))=Milestones!$AB$40),UPPER(TEXT(EDATE($D41,Milestones!$AA$40),"dd mmm yy"))&amp;" "&amp;Milestones!$AB$40&amp;" "&amp;Milestones!$AC$40&amp;";  ","")&amp;IF(AND(EDATE($D41,Milestones!$AA$41)&lt;=AsOfDate,IF($R41=0,$X41,IF(AND($T41&lt;&gt;"",EDATE($D41,Milestones!$AA$41)&gt;=$T41),$W41,IF(AND($S41&lt;&gt;"",EDATE($D41,Milestones!$AA$41)&gt;=$S41),$V41,$U41)))=Milestones!$AB$41),UPPER(TEXT(EDATE($D41,Milestones!$AA$41),"dd mmm yy"))&amp;" "&amp;Milestones!$AB$41&amp;" "&amp;Milestones!$AC$41&amp;";  ","")&amp;IF(AND(EDATE($D41,Milestones!$AA$42)&lt;=AsOfDate,IF($R41=0,$X41,IF(AND($T41&lt;&gt;"",EDATE($D41,Milestones!$AA$42)&gt;=$T41),$W41,IF(AND($S41&lt;&gt;"",EDATE($D41,Milestones!$AA$42)&gt;=$S41),$V41,$U41)))=Milestones!$AB$42),UPPER(TEXT(EDATE($D41,Milestones!$AA$42),"dd mmm yy"))&amp;" "&amp;Milestones!$AB$42&amp;" "&amp;Milestones!$AC$42&amp;";  ","")&amp;IF(AND(EDATE($D41,Milestones!$AA$43)&lt;=AsOfDate,IF($R41=0,$X41,IF(AND($T41&lt;&gt;"",EDATE($D41,Milestones!$AA$43)&gt;=$T41),$W41,IF(AND($S41&lt;&gt;"",EDATE($D41,Milestones!$AA$43)&gt;=$S41),$V41,$U41)))=Milestones!$AB$43),UPPER(TEXT(EDATE($D41,Milestones!$AA$43),"dd mmm yy"))&amp;" "&amp;Milestones!$AB$43&amp;" "&amp;Milestones!$AC$43&amp;";  ","")&amp;IF(AND(EDATE($D41,Milestones!$AA$44)&lt;=AsOfDate,IF($R41=0,$X41,IF(AND($T41&lt;&gt;"",EDATE($D41,Milestones!$AA$44)&gt;=$T41),$W41,IF(AND($S41&lt;&gt;"",EDATE($D41,Milestones!$AA$44)&gt;=$S41),$V41,$U41)))=Milestones!$AB$44),UPPER(TEXT(EDATE($D41,Milestones!$AA$44),"dd mmm yy"))&amp;" "&amp;Milestones!$AB$44&amp;" "&amp;Milestones!$AC$44&amp;";  ","")&amp;IF(AND(EDATE($D41,Milestones!$AA$45)&lt;=AsOfDate,IF($R41=0,$X41,IF(AND($T41&lt;&gt;"",EDATE($D41,Milestones!$AA$45)&gt;=$T41),$W41,IF(AND($S41&lt;&gt;"",EDATE($D41,Milestones!$AA$45)&gt;=$S41),$V41,$U41)))=Milestones!$AB$45),UPPER(TEXT(EDATE($D41,Milestones!$AA$45),"dd mmm yy"))&amp;" "&amp;Milestones!$AB$45&amp;" "&amp;Milestones!$AC$45&amp;";  ","")&amp;IF(AND(EDATE($D41,Milestones!$AA$46)&lt;=AsOfDate,IF($R41=0,$X41,IF(AND($T41&lt;&gt;"",EDATE($D41,Milestones!$AA$46)&gt;=$T41),$W41,IF(AND($S41&lt;&gt;"",EDATE($D41,Milestones!$AA$46)&gt;=$S41),$V41,$U41)))=Milestones!$AB$46),UPPER(TEXT(EDATE($D41,Milestones!$AA$46),"dd mmm yy"))&amp;" "&amp;Milestones!$AB$46&amp;" "&amp;Milestones!$AC$46&amp;";  ","")&amp;IF(AND(EDATE($D41,Milestones!$AA$47)&lt;=AsOfDate,IF($R41=0,$X41,IF(AND($T41&lt;&gt;"",EDATE($D41,Milestones!$AA$47)&gt;=$T41),$W41,IF(AND($S41&lt;&gt;"",EDATE($D41,Milestones!$AA$47)&gt;=$S41),$V41,$U41)))=Milestones!$AB$47),UPPER(TEXT(EDATE($D41,Milestones!$AA$47),"dd mmm yy"))&amp;" "&amp;Milestones!$AB$47&amp;" "&amp;Milestones!$AC$47&amp;";  ","")&amp;IF(AND(EDATE($D41,Milestones!$AA$48)&lt;=AsOfDate,IF($R41=0,$X41,IF(AND($T41&lt;&gt;"",EDATE($D41,Milestones!$AA$48)&gt;=$T41),$W41,IF(AND($S41&lt;&gt;"",EDATE($D41,Milestones!$AA$48)&gt;=$S41),$V41,$U41)))=Milestones!$AB$48),UPPER(TEXT(EDATE($D41,Milestones!$AA$48),"dd mmm yy"))&amp;" "&amp;Milestones!$AB$48&amp;" "&amp;Milestones!$AC$48&amp;";  ","")&amp;IF(AND(EDATE($D41,Milestones!$AA$49)&lt;=AsOfDate,IF($R41=0,$X41,IF(AND($T41&lt;&gt;"",EDATE($D41,Milestones!$AA$49)&gt;=$T41),$W41,IF(AND($S41&lt;&gt;"",EDATE($D41,Milestones!$AA$49)&gt;=$S41),$V41,$U41)))=Milestones!$AB$49),UPPER(TEXT(EDATE($D41,Milestones!$AA$49),"dd mmm yy"))&amp;" "&amp;Milestones!$AB$49&amp;" "&amp;Milestones!$AC$49&amp;";  ","")&amp;IF(AND(EDATE($D41,Milestones!$AA$50)&lt;=AsOfDate,IF($R41=0,$X41,IF(AND($T41&lt;&gt;"",EDATE($D41,Milestones!$AA$50)&gt;=$T41),$W41,IF(AND($S41&lt;&gt;"",EDATE($D41,Milestones!$AA$50)&gt;=$S41),$V41,$U41)))=Milestones!$AB$50),UPPER(TEXT(EDATE($D41,Milestones!$AA$50),"dd mmm yy"))&amp;" "&amp;Milestones!$AB$50&amp;" "&amp;Milestones!$AC$50&amp;";  ","")&amp;IF(AND(EDATE($D41,Milestones!$AA$51)&lt;=AsOfDate,IF($R41=0,$X41,IF(AND($T41&lt;&gt;"",EDATE($D41,Milestones!$AA$51)&gt;=$T41),$W41,IF(AND($S41&lt;&gt;"",EDATE($D41,Milestones!$AA$51)&gt;=$S41),$V41,$U41)))=Milestones!$AB$51),UPPER(TEXT(EDATE($D41,Milestones!$AA$51),"dd mmm yy"))&amp;" "&amp;Milestones!$AB$51&amp;" "&amp;Milestones!$AC$51&amp;";  ","")&amp;IF(AND(EDATE($D41,Milestones!$AA$52)&lt;=AsOfDate,IF($R41=0,$X41,IF(AND($T41&lt;&gt;"",EDATE($D41,Milestones!$AA$52)&gt;=$T41),$W41,IF(AND($S41&lt;&gt;"",EDATE($D41,Milestones!$AA$52)&gt;=$S41),$V41,$U41)))=Milestones!$AB$52),UPPER(TEXT(EDATE($D41,Milestones!$AA$52),"dd mmm yy"))&amp;" "&amp;Milestones!$AB$52&amp;" "&amp;Milestones!$AC$52&amp;";  ","")&amp;IF(AND(EDATE($D41,Milestones!$AA$53)&lt;=AsOfDate,IF($R41=0,$X41,IF(AND($T41&lt;&gt;"",EDATE($D41,Milestones!$AA$53)&gt;=$T41),$W41,IF(AND($S41&lt;&gt;"",EDATE($D41,Milestones!$AA$53)&gt;=$S41),$V41,$U41)))=Milestones!$AB$53),UPPER(TEXT(EDATE($D41,Milestones!$AA$53),"dd mmm yy"))&amp;" "&amp;Milestones!$AB$53&amp;" "&amp;Milestones!$AC$53&amp;";  ","")&amp;IF(AND(EDATE($D41,Milestones!$AA$54)&lt;=AsOfDate,IF($R41=0,$X41,IF(AND($T41&lt;&gt;"",EDATE($D41,Milestones!$AA$54)&gt;=$T41),$W41,IF(AND($S41&lt;&gt;"",EDATE($D41,Milestones!$AA$54)&gt;=$S41),$V41,$U41)))=Milestones!$AB$54),UPPER(TEXT(EDATE($D41,Milestones!$AA$54),"dd mmm yy"))&amp;" "&amp;Milestones!$AB$54&amp;" "&amp;Milestones!$AC$54&amp;";  ","")&amp;IF(AND(EDATE($D41,Milestones!$AA$55)&lt;=AsOfDate,IF($R41=0,$X41,IF(AND($T41&lt;&gt;"",EDATE($D41,Milestones!$AA$55)&gt;=$T41),$W41,IF(AND($S41&lt;&gt;"",EDATE($D41,Milestones!$AA$55)&gt;=$S41),$V41,$U41)))=Milestones!$AB$55),UPPER(TEXT(EDATE($D41,Milestones!$AA$55),"dd mmm yy"))&amp;" "&amp;Milestones!$AB$55&amp;" "&amp;Milestones!$AC$55&amp;";  ","")&amp;IF(AND(EDATE($D41,Milestones!$AA$56)&lt;=AsOfDate,IF($R41=0,$X41,IF(AND($T41&lt;&gt;"",EDATE($D41,Milestones!$AA$56)&gt;=$T41),$W41,IF(AND($S41&lt;&gt;"",EDATE($D41,Milestones!$AA$56)&gt;=$S41),$V41,$U41)))=Milestones!$AB$56),UPPER(TEXT(EDATE($D41,Milestones!$AA$56),"dd mmm yy"))&amp;" "&amp;Milestones!$AB$56&amp;" "&amp;Milestones!$AC$56&amp;";  ","")&amp;IF(AND(EDATE($D41,Milestones!$AA$57)&lt;=AsOfDate,IF($R41=0,$X41,IF(AND($T41&lt;&gt;"",EDATE($D41,Milestones!$AA$57)&gt;=$T41),$W41,IF(AND($S41&lt;&gt;"",EDATE($D41,Milestones!$AA$57)&gt;=$S41),$V41,$U41)))=Milestones!$AB$57),UPPER(TEXT(EDATE($D41,Milestones!$AA$57),"dd mmm yy"))&amp;" "&amp;Milestones!$AB$57&amp;" "&amp;Milestones!$AC$57&amp;";  ","")&amp;IF(AND(EDATE($D41,Milestones!$AA$58)&lt;=AsOfDate,IF($R41=0,$X41,IF(AND($T41&lt;&gt;"",EDATE($D41,Milestones!$AA$58)&gt;=$T41),$W41,IF(AND($S41&lt;&gt;"",EDATE($D41,Milestones!$AA$58)&gt;=$S41),$V41,$U41)))=Milestones!$AB$58),UPPER(TEXT(EDATE($D41,Milestones!$AA$58),"dd mmm yy"))&amp;" "&amp;Milestones!$AB$58&amp;" "&amp;Milestones!$AC$58&amp;";  ","")&amp;IF(AND(EDATE($D41,Milestones!$AA$59)&lt;=AsOfDate,IF($R41=0,$X41,IF(AND($T41&lt;&gt;"",EDATE($D41,Milestones!$AA$59)&gt;=$T41),$W41,IF(AND($S41&lt;&gt;"",EDATE($D41,Milestones!$AA$59)&gt;=$S41),$V41,$U41)))=Milestones!$AB$59),UPPER(TEXT(EDATE($D41,Milestones!$AA$59),"dd mmm yy"))&amp;" "&amp;Milestones!$AB$59&amp;" "&amp;Milestones!$AC$59&amp;";  ",""))</f>
        <v/>
      </c>
      <c r="K41" s="0" t="str">
        <f aca="false">IF(OR($A41="",$D41=""),"",IF(AND(EDATE($D41,Milestones!$AA$60)&lt;=AsOfDate,IF($R41=0,$X41,IF(AND($T41&lt;&gt;"",EDATE($D41,Milestones!$AA$60)&gt;=$T41),$W41,IF(AND($S41&lt;&gt;"",EDATE($D41,Milestones!$AA$60)&gt;=$S41),$V41,$U41)))=Milestones!$AB$60),UPPER(TEXT(EDATE($D41,Milestones!$AA$60),"dd mmm yy"))&amp;" "&amp;Milestones!$AB$60&amp;" "&amp;Milestones!$AC$60&amp;";  ","")&amp;IF(AND(EDATE($D41,Milestones!$AA$61)&lt;=AsOfDate,IF($R41=0,$X41,IF(AND($T41&lt;&gt;"",EDATE($D41,Milestones!$AA$61)&gt;=$T41),$W41,IF(AND($S41&lt;&gt;"",EDATE($D41,Milestones!$AA$61)&gt;=$S41),$V41,$U41)))=Milestones!$AB$61),UPPER(TEXT(EDATE($D41,Milestones!$AA$61),"dd mmm yy"))&amp;" "&amp;Milestones!$AB$61&amp;" "&amp;Milestones!$AC$61&amp;";  ","")&amp;IF(AND(EDATE($D41,Milestones!$AA$62)&lt;=AsOfDate,IF($R41=0,$X41,IF(AND($T41&lt;&gt;"",EDATE($D41,Milestones!$AA$62)&gt;=$T41),$W41,IF(AND($S41&lt;&gt;"",EDATE($D41,Milestones!$AA$62)&gt;=$S41),$V41,$U41)))=Milestones!$AB$62),UPPER(TEXT(EDATE($D41,Milestones!$AA$62),"dd mmm yy"))&amp;" "&amp;Milestones!$AB$62&amp;" "&amp;Milestones!$AC$62&amp;";  ","")&amp;IF(AND(EDATE($D41,Milestones!$AA$63)&lt;=AsOfDate,IF($R41=0,$X41,IF(AND($T41&lt;&gt;"",EDATE($D41,Milestones!$AA$63)&gt;=$T41),$W41,IF(AND($S41&lt;&gt;"",EDATE($D41,Milestones!$AA$63)&gt;=$S41),$V41,$U41)))=Milestones!$AB$63),UPPER(TEXT(EDATE($D41,Milestones!$AA$63),"dd mmm yy"))&amp;" "&amp;Milestones!$AB$63&amp;" "&amp;Milestones!$AC$63&amp;";  ","")&amp;IF(AND(EDATE($D41,Milestones!$AA$64)&lt;=AsOfDate,IF($R41=0,$X41,IF(AND($T41&lt;&gt;"",EDATE($D41,Milestones!$AA$64)&gt;=$T41),$W41,IF(AND($S41&lt;&gt;"",EDATE($D41,Milestones!$AA$64)&gt;=$S41),$V41,$U41)))=Milestones!$AB$64),UPPER(TEXT(EDATE($D41,Milestones!$AA$64),"dd mmm yy"))&amp;" "&amp;Milestones!$AB$64&amp;" "&amp;Milestones!$AC$64&amp;";  ","")&amp;IF(AND(EDATE($D41,Milestones!$AA$65)&lt;=AsOfDate,IF($R41=0,$X41,IF(AND($T41&lt;&gt;"",EDATE($D41,Milestones!$AA$65)&gt;=$T41),$W41,IF(AND($S41&lt;&gt;"",EDATE($D41,Milestones!$AA$65)&gt;=$S41),$V41,$U41)))=Milestones!$AB$65),UPPER(TEXT(EDATE($D41,Milestones!$AA$65),"dd mmm yy"))&amp;" "&amp;Milestones!$AB$65&amp;" "&amp;Milestones!$AC$65&amp;";  ","")&amp;IF(AND(EDATE($D41,Milestones!$AA$66)&lt;=AsOfDate,IF($R41=0,$X41,IF(AND($T41&lt;&gt;"",EDATE($D41,Milestones!$AA$66)&gt;=$T41),$W41,IF(AND($S41&lt;&gt;"",EDATE($D41,Milestones!$AA$66)&gt;=$S41),$V41,$U41)))=Milestones!$AB$66),UPPER(TEXT(EDATE($D41,Milestones!$AA$66),"dd mmm yy"))&amp;" "&amp;Milestones!$AB$66&amp;" "&amp;Milestones!$AC$66&amp;";  ","")&amp;IF(AND(EDATE($D41,Milestones!$AA$67)&lt;=AsOfDate,IF($R41=0,$X41,IF(AND($T41&lt;&gt;"",EDATE($D41,Milestones!$AA$67)&gt;=$T41),$W41,IF(AND($S41&lt;&gt;"",EDATE($D41,Milestones!$AA$67)&gt;=$S41),$V41,$U41)))=Milestones!$AB$67),UPPER(TEXT(EDATE($D41,Milestones!$AA$67),"dd mmm yy"))&amp;" "&amp;Milestones!$AB$67&amp;" "&amp;Milestones!$AC$67&amp;";  ","")&amp;IF(AND(EDATE($D41,Milestones!$AA$68)&lt;=AsOfDate,IF($R41=0,$X41,IF(AND($T41&lt;&gt;"",EDATE($D41,Milestones!$AA$68)&gt;=$T41),$W41,IF(AND($S41&lt;&gt;"",EDATE($D41,Milestones!$AA$68)&gt;=$S41),$V41,$U41)))=Milestones!$AB$68),UPPER(TEXT(EDATE($D41,Milestones!$AA$68),"dd mmm yy"))&amp;" "&amp;Milestones!$AB$68&amp;" "&amp;Milestones!$AC$68&amp;";  ","")&amp;IF(AND(EDATE($D41,Milestones!$AA$69)&lt;=AsOfDate,IF($R41=0,$X41,IF(AND($T41&lt;&gt;"",EDATE($D41,Milestones!$AA$69)&gt;=$T41),$W41,IF(AND($S41&lt;&gt;"",EDATE($D41,Milestones!$AA$69)&gt;=$S41),$V41,$U41)))=Milestones!$AB$69),UPPER(TEXT(EDATE($D41,Milestones!$AA$69),"dd mmm yy"))&amp;" "&amp;Milestones!$AB$69&amp;" "&amp;Milestones!$AC$69&amp;";  ","")&amp;IF(AND(EDATE($D41,Milestones!$AA$70)&lt;=AsOfDate,IF($R41=0,$X41,IF(AND($T41&lt;&gt;"",EDATE($D41,Milestones!$AA$70)&gt;=$T41),$W41,IF(AND($S41&lt;&gt;"",EDATE($D41,Milestones!$AA$70)&gt;=$S41),$V41,$U41)))=Milestones!$AB$70),UPPER(TEXT(EDATE($D41,Milestones!$AA$70),"dd mmm yy"))&amp;" "&amp;Milestones!$AB$70&amp;" "&amp;Milestones!$AC$70&amp;";  ","")&amp;IF(AND(EDATE($D41,Milestones!$AA$71)&lt;=AsOfDate,IF($R41=0,$X41,IF(AND($T41&lt;&gt;"",EDATE($D41,Milestones!$AA$71)&gt;=$T41),$W41,IF(AND($S41&lt;&gt;"",EDATE($D41,Milestones!$AA$71)&gt;=$S41),$V41,$U41)))=Milestones!$AB$71),UPPER(TEXT(EDATE($D41,Milestones!$AA$71),"dd mmm yy"))&amp;" "&amp;Milestones!$AB$71&amp;" "&amp;Milestones!$AC$71&amp;";  ","")&amp;IF(AND(EDATE($D41,Milestones!$AA$72)&lt;=AsOfDate,IF($R41=0,$X41,IF(AND($T41&lt;&gt;"",EDATE($D41,Milestones!$AA$72)&gt;=$T41),$W41,IF(AND($S41&lt;&gt;"",EDATE($D41,Milestones!$AA$72)&gt;=$S41),$V41,$U41)))=Milestones!$AB$72),UPPER(TEXT(EDATE($D41,Milestones!$AA$72),"dd mmm yy"))&amp;" "&amp;Milestones!$AB$72&amp;" "&amp;Milestones!$AC$72&amp;";  ","")&amp;IF(AND(EDATE($D41,Milestones!$AA$73)&lt;=AsOfDate,IF($R41=0,$X41,IF(AND($T41&lt;&gt;"",EDATE($D41,Milestones!$AA$73)&gt;=$T41),$W41,IF(AND($S41&lt;&gt;"",EDATE($D41,Milestones!$AA$73)&gt;=$S41),$V41,$U41)))=Milestones!$AB$73),UPPER(TEXT(EDATE($D41,Milestones!$AA$73),"dd mmm yy"))&amp;" "&amp;Milestones!$AB$73&amp;" "&amp;Milestones!$AC$73&amp;";  ","")&amp;IF(AND(EDATE($D41,Milestones!$AA$74)&lt;=AsOfDate,IF($R41=0,$X41,IF(AND($T41&lt;&gt;"",EDATE($D41,Milestones!$AA$74)&gt;=$T41),$W41,IF(AND($S41&lt;&gt;"",EDATE($D41,Milestones!$AA$74)&gt;=$S41),$V41,$U41)))=Milestones!$AB$74),UPPER(TEXT(EDATE($D41,Milestones!$AA$74),"dd mmm yy"))&amp;" "&amp;Milestones!$AB$74&amp;" "&amp;Milestones!$AC$74&amp;";  ","")&amp;IF(AND(EDATE($D41,Milestones!$AA$75)&lt;=AsOfDate,IF($R41=0,$X41,IF(AND($T41&lt;&gt;"",EDATE($D41,Milestones!$AA$75)&gt;=$T41),$W41,IF(AND($S41&lt;&gt;"",EDATE($D41,Milestones!$AA$75)&gt;=$S41),$V41,$U41)))=Milestones!$AB$75),UPPER(TEXT(EDATE($D41,Milestones!$AA$75),"dd mmm yy"))&amp;" "&amp;Milestones!$AB$75&amp;" "&amp;Milestones!$AC$75&amp;";  ","")&amp;IF(AND(EDATE($D41,Milestones!$AA$76)&lt;=AsOfDate,IF($R41=0,$X41,IF(AND($T41&lt;&gt;"",EDATE($D41,Milestones!$AA$76)&gt;=$T41),$W41,IF(AND($S41&lt;&gt;"",EDATE($D41,Milestones!$AA$76)&gt;=$S41),$V41,$U41)))=Milestones!$AB$76),UPPER(TEXT(EDATE($D41,Milestones!$AA$76),"dd mmm yy"))&amp;" "&amp;Milestones!$AB$76&amp;" "&amp;Milestones!$AC$76&amp;";  ","")&amp;IF(AND(EDATE($D41,Milestones!$AA$77)&lt;=AsOfDate,IF($R41=0,$X41,IF(AND($T41&lt;&gt;"",EDATE($D41,Milestones!$AA$77)&gt;=$T41),$W41,IF(AND($S41&lt;&gt;"",EDATE($D41,Milestones!$AA$77)&gt;=$S41),$V41,$U41)))=Milestones!$AB$77),UPPER(TEXT(EDATE($D41,Milestones!$AA$77),"dd mmm yy"))&amp;" "&amp;Milestones!$AB$77&amp;" "&amp;Milestones!$AC$77&amp;";  ","")&amp;IF(AND(EDATE($D41,Milestones!$AA$78)&lt;=AsOfDate,IF($R41=0,$X41,IF(AND($T41&lt;&gt;"",EDATE($D41,Milestones!$AA$78)&gt;=$T41),$W41,IF(AND($S41&lt;&gt;"",EDATE($D41,Milestones!$AA$78)&gt;=$S41),$V41,$U41)))=Milestones!$AB$78),UPPER(TEXT(EDATE($D41,Milestones!$AA$78),"dd mmm yy"))&amp;" "&amp;Milestones!$AB$78&amp;" "&amp;Milestones!$AC$78&amp;";  ","")&amp;IF(AND(EDATE($D41,Milestones!$AA$79)&lt;=AsOfDate,IF($R41=0,$X41,IF(AND($T41&lt;&gt;"",EDATE($D41,Milestones!$AA$79)&gt;=$T41),$W41,IF(AND($S41&lt;&gt;"",EDATE($D41,Milestones!$AA$79)&gt;=$S41),$V41,$U41)))=Milestones!$AB$79),UPPER(TEXT(EDATE($D41,Milestones!$AA$79),"dd mmm yy"))&amp;" "&amp;Milestones!$AB$79&amp;" "&amp;Milestones!$AC$79&amp;";  ",""))</f>
        <v/>
      </c>
      <c r="L41" s="0" t="str">
        <f aca="false">IF(OR($A41="",$D41=""),"",IF(AND(EDATE($D41,Milestones!$AA$80)&lt;=AsOfDate,IF($R41=0,$X41,IF(AND($T41&lt;&gt;"",EDATE($D41,Milestones!$AA$80)&gt;=$T41),$W41,IF(AND($S41&lt;&gt;"",EDATE($D41,Milestones!$AA$80)&gt;=$S41),$V41,$U41)))=Milestones!$AB$80),UPPER(TEXT(EDATE($D41,Milestones!$AA$80),"dd mmm yy"))&amp;" "&amp;Milestones!$AB$80&amp;" "&amp;Milestones!$AC$80&amp;";  ","")&amp;IF(AND(EDATE($D41,Milestones!$AA$81)&lt;=AsOfDate,IF($R41=0,$X41,IF(AND($T41&lt;&gt;"",EDATE($D41,Milestones!$AA$81)&gt;=$T41),$W41,IF(AND($S41&lt;&gt;"",EDATE($D41,Milestones!$AA$81)&gt;=$S41),$V41,$U41)))=Milestones!$AB$81),UPPER(TEXT(EDATE($D41,Milestones!$AA$81),"dd mmm yy"))&amp;" "&amp;Milestones!$AB$81&amp;" "&amp;Milestones!$AC$81&amp;";  ","")&amp;IF(AND(EDATE($D41,Milestones!$AA$82)&lt;=AsOfDate,IF($R41=0,$X41,IF(AND($T41&lt;&gt;"",EDATE($D41,Milestones!$AA$82)&gt;=$T41),$W41,IF(AND($S41&lt;&gt;"",EDATE($D41,Milestones!$AA$82)&gt;=$S41),$V41,$U41)))=Milestones!$AB$82),UPPER(TEXT(EDATE($D41,Milestones!$AA$82),"dd mmm yy"))&amp;" "&amp;Milestones!$AB$82&amp;" "&amp;Milestones!$AC$82&amp;";  ","")&amp;IF(AND(EDATE($D41,Milestones!$AA$83)&lt;=AsOfDate,IF($R41=0,$X41,IF(AND($T41&lt;&gt;"",EDATE($D41,Milestones!$AA$83)&gt;=$T41),$W41,IF(AND($S41&lt;&gt;"",EDATE($D41,Milestones!$AA$83)&gt;=$S41),$V41,$U41)))=Milestones!$AB$83),UPPER(TEXT(EDATE($D41,Milestones!$AA$83),"dd mmm yy"))&amp;" "&amp;Milestones!$AB$83&amp;" "&amp;Milestones!$AC$83&amp;";  ","")&amp;IF(AND(EDATE($D41,Milestones!$AA$84)&lt;=AsOfDate,IF($R41=0,$X41,IF(AND($T41&lt;&gt;"",EDATE($D41,Milestones!$AA$84)&gt;=$T41),$W41,IF(AND($S41&lt;&gt;"",EDATE($D41,Milestones!$AA$84)&gt;=$S41),$V41,$U41)))=Milestones!$AB$84),UPPER(TEXT(EDATE($D41,Milestones!$AA$84),"dd mmm yy"))&amp;" "&amp;Milestones!$AB$84&amp;" "&amp;Milestones!$AC$84&amp;";  ","")&amp;IF(AND(EDATE($D41,Milestones!$AA$85)&lt;=AsOfDate,IF($R41=0,$X41,IF(AND($T41&lt;&gt;"",EDATE($D41,Milestones!$AA$85)&gt;=$T41),$W41,IF(AND($S41&lt;&gt;"",EDATE($D41,Milestones!$AA$85)&gt;=$S41),$V41,$U41)))=Milestones!$AB$85),UPPER(TEXT(EDATE($D41,Milestones!$AA$85),"dd mmm yy"))&amp;" "&amp;Milestones!$AB$85&amp;" "&amp;Milestones!$AC$85&amp;";  ","")&amp;IF(AND(EDATE($D41,Milestones!$AA$86)&lt;=AsOfDate,IF($R41=0,$X41,IF(AND($T41&lt;&gt;"",EDATE($D41,Milestones!$AA$86)&gt;=$T41),$W41,IF(AND($S41&lt;&gt;"",EDATE($D41,Milestones!$AA$86)&gt;=$S41),$V41,$U41)))=Milestones!$AB$86),UPPER(TEXT(EDATE($D41,Milestones!$AA$86),"dd mmm yy"))&amp;" "&amp;Milestones!$AB$86&amp;" "&amp;Milestones!$AC$86&amp;";  ","")&amp;IF(AND(EDATE($D41,Milestones!$AA$87)&lt;=AsOfDate,IF($R41=0,$X41,IF(AND($T41&lt;&gt;"",EDATE($D41,Milestones!$AA$87)&gt;=$T41),$W41,IF(AND($S41&lt;&gt;"",EDATE($D41,Milestones!$AA$87)&gt;=$S41),$V41,$U41)))=Milestones!$AB$87),UPPER(TEXT(EDATE($D41,Milestones!$AA$87),"dd mmm yy"))&amp;" "&amp;Milestones!$AB$87&amp;" "&amp;Milestones!$AC$87&amp;";  ","")&amp;IF(AND(EDATE($D41,Milestones!$AA$88)&lt;=AsOfDate,IF($R41=0,$X41,IF(AND($T41&lt;&gt;"",EDATE($D41,Milestones!$AA$88)&gt;=$T41),$W41,IF(AND($S41&lt;&gt;"",EDATE($D41,Milestones!$AA$88)&gt;=$S41),$V41,$U41)))=Milestones!$AB$88),UPPER(TEXT(EDATE($D41,Milestones!$AA$88),"dd mmm yy"))&amp;" "&amp;Milestones!$AB$88&amp;" "&amp;Milestones!$AC$88&amp;";  ","")&amp;IF(AND(EDATE($D41,Milestones!$AA$89)&lt;=AsOfDate,IF($R41=0,$X41,IF(AND($T41&lt;&gt;"",EDATE($D41,Milestones!$AA$89)&gt;=$T41),$W41,IF(AND($S41&lt;&gt;"",EDATE($D41,Milestones!$AA$89)&gt;=$S41),$V41,$U41)))=Milestones!$AB$89),UPPER(TEXT(EDATE($D41,Milestones!$AA$89),"dd mmm yy"))&amp;" "&amp;Milestones!$AB$89&amp;" "&amp;Milestones!$AC$89&amp;";  ","")&amp;IF(AND(EDATE($D41,Milestones!$AA$90)&lt;=AsOfDate,IF($R41=0,$X41,IF(AND($T41&lt;&gt;"",EDATE($D41,Milestones!$AA$90)&gt;=$T41),$W41,IF(AND($S41&lt;&gt;"",EDATE($D41,Milestones!$AA$90)&gt;=$S41),$V41,$U41)))=Milestones!$AB$90),UPPER(TEXT(EDATE($D41,Milestones!$AA$90),"dd mmm yy"))&amp;" "&amp;Milestones!$AB$90&amp;" "&amp;Milestones!$AC$90&amp;";  ","")&amp;IF(AND(EDATE($D41,Milestones!$AA$91)&lt;=AsOfDate,IF($R41=0,$X41,IF(AND($T41&lt;&gt;"",EDATE($D41,Milestones!$AA$91)&gt;=$T41),$W41,IF(AND($S41&lt;&gt;"",EDATE($D41,Milestones!$AA$91)&gt;=$S41),$V41,$U41)))=Milestones!$AB$91),UPPER(TEXT(EDATE($D41,Milestones!$AA$91),"dd mmm yy"))&amp;" "&amp;Milestones!$AB$91&amp;" "&amp;Milestones!$AC$91&amp;";  ","")&amp;IF(AND(EDATE($D41,Milestones!$AA$92)&lt;=AsOfDate,IF($R41=0,$X41,IF(AND($T41&lt;&gt;"",EDATE($D41,Milestones!$AA$92)&gt;=$T41),$W41,IF(AND($S41&lt;&gt;"",EDATE($D41,Milestones!$AA$92)&gt;=$S41),$V41,$U41)))=Milestones!$AB$92),UPPER(TEXT(EDATE($D41,Milestones!$AA$92),"dd mmm yy"))&amp;" "&amp;Milestones!$AB$92&amp;" "&amp;Milestones!$AC$92&amp;";  ","")&amp;IF(AND(EDATE($D41,Milestones!$AA$93)&lt;=AsOfDate,IF($R41=0,$X41,IF(AND($T41&lt;&gt;"",EDATE($D41,Milestones!$AA$93)&gt;=$T41),$W41,IF(AND($S41&lt;&gt;"",EDATE($D41,Milestones!$AA$93)&gt;=$S41),$V41,$U41)))=Milestones!$AB$93),UPPER(TEXT(EDATE($D41,Milestones!$AA$93),"dd mmm yy"))&amp;" "&amp;Milestones!$AB$93&amp;" "&amp;Milestones!$AC$93&amp;";  ","")&amp;IF(AND(EDATE($D41,Milestones!$AA$94)&lt;=AsOfDate,IF($R41=0,$X41,IF(AND($T41&lt;&gt;"",EDATE($D41,Milestones!$AA$94)&gt;=$T41),$W41,IF(AND($S41&lt;&gt;"",EDATE($D41,Milestones!$AA$94)&gt;=$S41),$V41,$U41)))=Milestones!$AB$94),UPPER(TEXT(EDATE($D41,Milestones!$AA$94),"dd mmm yy"))&amp;" "&amp;Milestones!$AB$94&amp;" "&amp;Milestones!$AC$94&amp;";  ","")&amp;IF(AND(EDATE($D41,Milestones!$AA$95)&lt;=AsOfDate,IF($R41=0,$X41,IF(AND($T41&lt;&gt;"",EDATE($D41,Milestones!$AA$95)&gt;=$T41),$W41,IF(AND($S41&lt;&gt;"",EDATE($D41,Milestones!$AA$95)&gt;=$S41),$V41,$U41)))=Milestones!$AB$95),UPPER(TEXT(EDATE($D41,Milestones!$AA$95),"dd mmm yy"))&amp;" "&amp;Milestones!$AB$95&amp;" "&amp;Milestones!$AC$95&amp;";  ","")&amp;IF(AND(EDATE($D41,Milestones!$AA$96)&lt;=AsOfDate,IF($R41=0,$X41,IF(AND($T41&lt;&gt;"",EDATE($D41,Milestones!$AA$96)&gt;=$T41),$W41,IF(AND($S41&lt;&gt;"",EDATE($D41,Milestones!$AA$96)&gt;=$S41),$V41,$U41)))=Milestones!$AB$96),UPPER(TEXT(EDATE($D41,Milestones!$AA$96),"dd mmm yy"))&amp;" "&amp;Milestones!$AB$96&amp;" "&amp;Milestones!$AC$96&amp;";  ","")&amp;IF(AND(EDATE($D41,Milestones!$AA$97)&lt;=AsOfDate,IF($R41=0,$X41,IF(AND($T41&lt;&gt;"",EDATE($D41,Milestones!$AA$97)&gt;=$T41),$W41,IF(AND($S41&lt;&gt;"",EDATE($D41,Milestones!$AA$97)&gt;=$S41),$V41,$U41)))=Milestones!$AB$97),UPPER(TEXT(EDATE($D41,Milestones!$AA$97),"dd mmm yy"))&amp;" "&amp;Milestones!$AB$97&amp;" "&amp;Milestones!$AC$97&amp;";  ","")&amp;IF(AND(EDATE($D41,Milestones!$AA$98)&lt;=AsOfDate,IF($R41=0,$X41,IF(AND($T41&lt;&gt;"",EDATE($D41,Milestones!$AA$98)&gt;=$T41),$W41,IF(AND($S41&lt;&gt;"",EDATE($D41,Milestones!$AA$98)&gt;=$S41),$V41,$U41)))=Milestones!$AB$98),UPPER(TEXT(EDATE($D41,Milestones!$AA$98),"dd mmm yy"))&amp;" "&amp;Milestones!$AB$98&amp;" "&amp;Milestones!$AC$98&amp;";  ","")&amp;IF(AND(EDATE($D41,Milestones!$AA$99)&lt;=AsOfDate,IF($R41=0,$X41,IF(AND($T41&lt;&gt;"",EDATE($D41,Milestones!$AA$99)&gt;=$T41),$W41,IF(AND($S41&lt;&gt;"",EDATE($D41,Milestones!$AA$99)&gt;=$S41),$V41,$U41)))=Milestones!$AB$99),UPPER(TEXT(EDATE($D41,Milestones!$AA$99),"dd mmm yy"))&amp;" "&amp;Milestones!$AB$99&amp;" "&amp;Milestones!$AC$99&amp;";  ",""))</f>
        <v/>
      </c>
      <c r="M41" s="0" t="str">
        <f aca="false">IF(OR($A41="",$D41=""),"",IF(AND(EDATE($D41,Milestones!$AA$100)&lt;=AsOfDate,IF($R41=0,$X41,IF(AND($T41&lt;&gt;"",EDATE($D41,Milestones!$AA$100)&gt;=$T41),$W41,IF(AND($S41&lt;&gt;"",EDATE($D41,Milestones!$AA$100)&gt;=$S41),$V41,$U41)))=Milestones!$AB$100),UPPER(TEXT(EDATE($D41,Milestones!$AA$100),"dd mmm yy"))&amp;" "&amp;Milestones!$AB$100&amp;" "&amp;Milestones!$AC$100&amp;";  ","")&amp;IF(AND(EDATE($D41,Milestones!$AA$101)&lt;=AsOfDate,IF($R41=0,$X41,IF(AND($T41&lt;&gt;"",EDATE($D41,Milestones!$AA$101)&gt;=$T41),$W41,IF(AND($S41&lt;&gt;"",EDATE($D41,Milestones!$AA$101)&gt;=$S41),$V41,$U41)))=Milestones!$AB$101),UPPER(TEXT(EDATE($D41,Milestones!$AA$101),"dd mmm yy"))&amp;" "&amp;Milestones!$AB$101&amp;" "&amp;Milestones!$AC$101&amp;";  ","")&amp;IF(AND(EDATE($D41,Milestones!$AA$102)&lt;=AsOfDate,IF($R41=0,$X41,IF(AND($T41&lt;&gt;"",EDATE($D41,Milestones!$AA$102)&gt;=$T41),$W41,IF(AND($S41&lt;&gt;"",EDATE($D41,Milestones!$AA$102)&gt;=$S41),$V41,$U41)))=Milestones!$AB$102),UPPER(TEXT(EDATE($D41,Milestones!$AA$102),"dd mmm yy"))&amp;" "&amp;Milestones!$AB$102&amp;" "&amp;Milestones!$AC$102&amp;";  ","")&amp;IF(AND(EDATE($D41,Milestones!$AA$103)&lt;=AsOfDate,IF($R41=0,$X41,IF(AND($T41&lt;&gt;"",EDATE($D41,Milestones!$AA$103)&gt;=$T41),$W41,IF(AND($S41&lt;&gt;"",EDATE($D41,Milestones!$AA$103)&gt;=$S41),$V41,$U41)))=Milestones!$AB$103),UPPER(TEXT(EDATE($D41,Milestones!$AA$103),"dd mmm yy"))&amp;" "&amp;Milestones!$AB$103&amp;" "&amp;Milestones!$AC$103&amp;";  ","")&amp;IF(AND(EDATE($D41,Milestones!$AA$104)&lt;=AsOfDate,IF($R41=0,$X41,IF(AND($T41&lt;&gt;"",EDATE($D41,Milestones!$AA$104)&gt;=$T41),$W41,IF(AND($S41&lt;&gt;"",EDATE($D41,Milestones!$AA$104)&gt;=$S41),$V41,$U41)))=Milestones!$AB$104),UPPER(TEXT(EDATE($D41,Milestones!$AA$104),"dd mmm yy"))&amp;" "&amp;Milestones!$AB$104&amp;" "&amp;Milestones!$AC$104&amp;";  ","")&amp;IF(AND(EDATE($D41,Milestones!$AA$105)&lt;=AsOfDate,IF($R41=0,$X41,IF(AND($T41&lt;&gt;"",EDATE($D41,Milestones!$AA$105)&gt;=$T41),$W41,IF(AND($S41&lt;&gt;"",EDATE($D41,Milestones!$AA$105)&gt;=$S41),$V41,$U41)))=Milestones!$AB$105),UPPER(TEXT(EDATE($D41,Milestones!$AA$105),"dd mmm yy"))&amp;" "&amp;Milestones!$AB$105&amp;" "&amp;Milestones!$AC$105&amp;";  ","")&amp;IF(AND(EDATE($D41,Milestones!$AA$106)&lt;=AsOfDate,IF($R41=0,$X41,IF(AND($T41&lt;&gt;"",EDATE($D41,Milestones!$AA$106)&gt;=$T41),$W41,IF(AND($S41&lt;&gt;"",EDATE($D41,Milestones!$AA$106)&gt;=$S41),$V41,$U41)))=Milestones!$AB$106),UPPER(TEXT(EDATE($D41,Milestones!$AA$106),"dd mmm yy"))&amp;" "&amp;Milestones!$AB$106&amp;" "&amp;Milestones!$AC$106&amp;";  ","")&amp;IF(AND(EDATE($D41,Milestones!$AA$107)&lt;=AsOfDate,IF($R41=0,$X41,IF(AND($T41&lt;&gt;"",EDATE($D41,Milestones!$AA$107)&gt;=$T41),$W41,IF(AND($S41&lt;&gt;"",EDATE($D41,Milestones!$AA$107)&gt;=$S41),$V41,$U41)))=Milestones!$AB$107),UPPER(TEXT(EDATE($D41,Milestones!$AA$107),"dd mmm yy"))&amp;" "&amp;Milestones!$AB$107&amp;" "&amp;Milestones!$AC$107&amp;";  ","")&amp;IF(AND(EDATE($D41,Milestones!$AA$108)&lt;=AsOfDate,IF($R41=0,$X41,IF(AND($T41&lt;&gt;"",EDATE($D41,Milestones!$AA$108)&gt;=$T41),$W41,IF(AND($S41&lt;&gt;"",EDATE($D41,Milestones!$AA$108)&gt;=$S41),$V41,$U41)))=Milestones!$AB$108),UPPER(TEXT(EDATE($D41,Milestones!$AA$108),"dd mmm yy"))&amp;" "&amp;Milestones!$AB$108&amp;" "&amp;Milestones!$AC$108&amp;";  ","")&amp;IF(AND(EDATE($D41,Milestones!$AA$109)&lt;=AsOfDate,IF($R41=0,$X41,IF(AND($T41&lt;&gt;"",EDATE($D41,Milestones!$AA$109)&gt;=$T41),$W41,IF(AND($S41&lt;&gt;"",EDATE($D41,Milestones!$AA$109)&gt;=$S41),$V41,$U41)))=Milestones!$AB$109),UPPER(TEXT(EDATE($D41,Milestones!$AA$109),"dd mmm yy"))&amp;" "&amp;Milestones!$AB$109&amp;" "&amp;Milestones!$AC$109&amp;";  ","")&amp;IF(AND(EDATE($D41,Milestones!$AA$110)&lt;=AsOfDate,IF($R41=0,$X41,IF(AND($T41&lt;&gt;"",EDATE($D41,Milestones!$AA$110)&gt;=$T41),$W41,IF(AND($S41&lt;&gt;"",EDATE($D41,Milestones!$AA$110)&gt;=$S41),$V41,$U41)))=Milestones!$AB$110),UPPER(TEXT(EDATE($D41,Milestones!$AA$110),"dd mmm yy"))&amp;" "&amp;Milestones!$AB$110&amp;" "&amp;Milestones!$AC$110&amp;";  ","")&amp;IF(AND(EDATE($D41,Milestones!$AA$111)&lt;=AsOfDate,IF($R41=0,$X41,IF(AND($T41&lt;&gt;"",EDATE($D41,Milestones!$AA$111)&gt;=$T41),$W41,IF(AND($S41&lt;&gt;"",EDATE($D41,Milestones!$AA$111)&gt;=$S41),$V41,$U41)))=Milestones!$AB$111),UPPER(TEXT(EDATE($D41,Milestones!$AA$111),"dd mmm yy"))&amp;" "&amp;Milestones!$AB$111&amp;" "&amp;Milestones!$AC$111&amp;";  ","")&amp;IF(AND(EDATE($D41,Milestones!$AA$112)&lt;=AsOfDate,IF($R41=0,$X41,IF(AND($T41&lt;&gt;"",EDATE($D41,Milestones!$AA$112)&gt;=$T41),$W41,IF(AND($S41&lt;&gt;"",EDATE($D41,Milestones!$AA$112)&gt;=$S41),$V41,$U41)))=Milestones!$AB$112),UPPER(TEXT(EDATE($D41,Milestones!$AA$112),"dd mmm yy"))&amp;" "&amp;Milestones!$AB$112&amp;" "&amp;Milestones!$AC$112&amp;";  ","")&amp;IF(AND(EDATE($D41,Milestones!$AA$113)&lt;=AsOfDate,IF($R41=0,$X41,IF(AND($T41&lt;&gt;"",EDATE($D41,Milestones!$AA$113)&gt;=$T41),$W41,IF(AND($S41&lt;&gt;"",EDATE($D41,Milestones!$AA$113)&gt;=$S41),$V41,$U41)))=Milestones!$AB$113),UPPER(TEXT(EDATE($D41,Milestones!$AA$113),"dd mmm yy"))&amp;" "&amp;Milestones!$AB$113&amp;" "&amp;Milestones!$AC$113&amp;";  ","")&amp;IF(AND(EDATE($D41,Milestones!$AA$114)&lt;=AsOfDate,IF($R41=0,$X41,IF(AND($T41&lt;&gt;"",EDATE($D41,Milestones!$AA$114)&gt;=$T41),$W41,IF(AND($S41&lt;&gt;"",EDATE($D41,Milestones!$AA$114)&gt;=$S41),$V41,$U41)))=Milestones!$AB$114),UPPER(TEXT(EDATE($D41,Milestones!$AA$114),"dd mmm yy"))&amp;" "&amp;Milestones!$AB$114&amp;" "&amp;Milestones!$AC$114&amp;";  ","")&amp;IF(AND(EDATE($D41,Milestones!$AA$115)&lt;=AsOfDate,IF($R41=0,$X41,IF(AND($T41&lt;&gt;"",EDATE($D41,Milestones!$AA$115)&gt;=$T41),$W41,IF(AND($S41&lt;&gt;"",EDATE($D41,Milestones!$AA$115)&gt;=$S41),$V41,$U41)))=Milestones!$AB$115),UPPER(TEXT(EDATE($D41,Milestones!$AA$115),"dd mmm yy"))&amp;" "&amp;Milestones!$AB$115&amp;" "&amp;Milestones!$AC$115&amp;";  ","")&amp;IF(AND(EDATE($D41,Milestones!$AA$116)&lt;=AsOfDate,IF($R41=0,$X41,IF(AND($T41&lt;&gt;"",EDATE($D41,Milestones!$AA$116)&gt;=$T41),$W41,IF(AND($S41&lt;&gt;"",EDATE($D41,Milestones!$AA$116)&gt;=$S41),$V41,$U41)))=Milestones!$AB$116),UPPER(TEXT(EDATE($D41,Milestones!$AA$116),"dd mmm yy"))&amp;" "&amp;Milestones!$AB$116&amp;" "&amp;Milestones!$AC$116&amp;";  ","")&amp;IF(AND(EDATE($D41,Milestones!$AA$117)&lt;=AsOfDate,IF($R41=0,$X41,IF(AND($T41&lt;&gt;"",EDATE($D41,Milestones!$AA$117)&gt;=$T41),$W41,IF(AND($S41&lt;&gt;"",EDATE($D41,Milestones!$AA$117)&gt;=$S41),$V41,$U41)))=Milestones!$AB$117),UPPER(TEXT(EDATE($D41,Milestones!$AA$117),"dd mmm yy"))&amp;" "&amp;Milestones!$AB$117&amp;" "&amp;Milestones!$AC$117&amp;";  ","")&amp;IF(AND(EDATE($D41,Milestones!$AA$118)&lt;=AsOfDate,IF($R41=0,$X41,IF(AND($T41&lt;&gt;"",EDATE($D41,Milestones!$AA$118)&gt;=$T41),$W41,IF(AND($S41&lt;&gt;"",EDATE($D41,Milestones!$AA$118)&gt;=$S41),$V41,$U41)))=Milestones!$AB$118),UPPER(TEXT(EDATE($D41,Milestones!$AA$118),"dd mmm yy"))&amp;" "&amp;Milestones!$AB$118&amp;" "&amp;Milestones!$AC$118&amp;";  ","")&amp;IF(AND(EDATE($D41,Milestones!$AA$119)&lt;=AsOfDate,IF($R41=0,$X41,IF(AND($T41&lt;&gt;"",EDATE($D41,Milestones!$AA$119)&gt;=$T41),$W41,IF(AND($S41&lt;&gt;"",EDATE($D41,Milestones!$AA$119)&gt;=$S41),$V41,$U41)))=Milestones!$AB$119),UPPER(TEXT(EDATE($D41,Milestones!$AA$119),"dd mmm yy"))&amp;" "&amp;Milestones!$AB$119&amp;" "&amp;Milestones!$AC$119&amp;";  ",""))</f>
        <v/>
      </c>
      <c r="N41" s="0" t="str">
        <f aca="false">IF(OR($A41="",$D41=""),"",IF(AND(EDATE($D41,Milestones!$AA$120)&lt;=AsOfDate,IF($R41=0,$X41,IF(AND($T41&lt;&gt;"",EDATE($D41,Milestones!$AA$120)&gt;=$T41),$W41,IF(AND($S41&lt;&gt;"",EDATE($D41,Milestones!$AA$120)&gt;=$S41),$V41,$U41)))=Milestones!$AB$120),UPPER(TEXT(EDATE($D41,Milestones!$AA$120),"dd mmm yy"))&amp;" "&amp;Milestones!$AB$120&amp;" "&amp;Milestones!$AC$120&amp;";  ","")&amp;IF(AND(EDATE($D41,Milestones!$AA$121)&lt;=AsOfDate,IF($R41=0,$X41,IF(AND($T41&lt;&gt;"",EDATE($D41,Milestones!$AA$121)&gt;=$T41),$W41,IF(AND($S41&lt;&gt;"",EDATE($D41,Milestones!$AA$121)&gt;=$S41),$V41,$U41)))=Milestones!$AB$121),UPPER(TEXT(EDATE($D41,Milestones!$AA$121),"dd mmm yy"))&amp;" "&amp;Milestones!$AB$121&amp;" "&amp;Milestones!$AC$121&amp;";  ","")&amp;IF(AND(EDATE($D41,Milestones!$AA$122)&lt;=AsOfDate,IF($R41=0,$X41,IF(AND($T41&lt;&gt;"",EDATE($D41,Milestones!$AA$122)&gt;=$T41),$W41,IF(AND($S41&lt;&gt;"",EDATE($D41,Milestones!$AA$122)&gt;=$S41),$V41,$U41)))=Milestones!$AB$122),UPPER(TEXT(EDATE($D41,Milestones!$AA$122),"dd mmm yy"))&amp;" "&amp;Milestones!$AB$122&amp;" "&amp;Milestones!$AC$122&amp;";  ","")&amp;IF(AND(EDATE($D41,Milestones!$AA$123)&lt;=AsOfDate,IF($R41=0,$X41,IF(AND($T41&lt;&gt;"",EDATE($D41,Milestones!$AA$123)&gt;=$T41),$W41,IF(AND($S41&lt;&gt;"",EDATE($D41,Milestones!$AA$123)&gt;=$S41),$V41,$U41)))=Milestones!$AB$123),UPPER(TEXT(EDATE($D41,Milestones!$AA$123),"dd mmm yy"))&amp;" "&amp;Milestones!$AB$123&amp;" "&amp;Milestones!$AC$123&amp;";  ","")&amp;IF(AND(EDATE($D41,Milestones!$AA$124)&lt;=AsOfDate,IF($R41=0,$X41,IF(AND($T41&lt;&gt;"",EDATE($D41,Milestones!$AA$124)&gt;=$T41),$W41,IF(AND($S41&lt;&gt;"",EDATE($D41,Milestones!$AA$124)&gt;=$S41),$V41,$U41)))=Milestones!$AB$124),UPPER(TEXT(EDATE($D41,Milestones!$AA$124),"dd mmm yy"))&amp;" "&amp;Milestones!$AB$124&amp;" "&amp;Milestones!$AC$124&amp;";  ","")&amp;IF(AND(EDATE($D41,Milestones!$AA$125)&lt;=AsOfDate,IF($R41=0,$X41,IF(AND($T41&lt;&gt;"",EDATE($D41,Milestones!$AA$125)&gt;=$T41),$W41,IF(AND($S41&lt;&gt;"",EDATE($D41,Milestones!$AA$125)&gt;=$S41),$V41,$U41)))=Milestones!$AB$125),UPPER(TEXT(EDATE($D41,Milestones!$AA$125),"dd mmm yy"))&amp;" "&amp;Milestones!$AB$125&amp;" "&amp;Milestones!$AC$125&amp;";  ","")&amp;IF(AND(EDATE($D41,Milestones!$AA$126)&lt;=AsOfDate,IF($R41=0,$X41,IF(AND($T41&lt;&gt;"",EDATE($D41,Milestones!$AA$126)&gt;=$T41),$W41,IF(AND($S41&lt;&gt;"",EDATE($D41,Milestones!$AA$126)&gt;=$S41),$V41,$U41)))=Milestones!$AB$126),UPPER(TEXT(EDATE($D41,Milestones!$AA$126),"dd mmm yy"))&amp;" "&amp;Milestones!$AB$126&amp;" "&amp;Milestones!$AC$126&amp;";  ","")&amp;IF(AND(EDATE($D41,Milestones!$AA$127)&lt;=AsOfDate,IF($R41=0,$X41,IF(AND($T41&lt;&gt;"",EDATE($D41,Milestones!$AA$127)&gt;=$T41),$W41,IF(AND($S41&lt;&gt;"",EDATE($D41,Milestones!$AA$127)&gt;=$S41),$V41,$U41)))=Milestones!$AB$127),UPPER(TEXT(EDATE($D41,Milestones!$AA$127),"dd mmm yy"))&amp;" "&amp;Milestones!$AB$127&amp;" "&amp;Milestones!$AC$127&amp;";  ","")&amp;IF(AND(EDATE($D41,Milestones!$AA$128)&lt;=AsOfDate,IF($R41=0,$X41,IF(AND($T41&lt;&gt;"",EDATE($D41,Milestones!$AA$128)&gt;=$T41),$W41,IF(AND($S41&lt;&gt;"",EDATE($D41,Milestones!$AA$128)&gt;=$S41),$V41,$U41)))=Milestones!$AB$128),UPPER(TEXT(EDATE($D41,Milestones!$AA$128),"dd mmm yy"))&amp;" "&amp;Milestones!$AB$128&amp;" "&amp;Milestones!$AC$128&amp;";  ","")&amp;IF(AND(EDATE($D41,Milestones!$AA$129)&lt;=AsOfDate,IF($R41=0,$X41,IF(AND($T41&lt;&gt;"",EDATE($D41,Milestones!$AA$129)&gt;=$T41),$W41,IF(AND($S41&lt;&gt;"",EDATE($D41,Milestones!$AA$129)&gt;=$S41),$V41,$U41)))=Milestones!$AB$129),UPPER(TEXT(EDATE($D41,Milestones!$AA$129),"dd mmm yy"))&amp;" "&amp;Milestones!$AB$129&amp;" "&amp;Milestones!$AC$129&amp;";  ","")&amp;IF(AND(EDATE($D41,Milestones!$AA$130)&lt;=AsOfDate,IF($R41=0,$X41,IF(AND($T41&lt;&gt;"",EDATE($D41,Milestones!$AA$130)&gt;=$T41),$W41,IF(AND($S41&lt;&gt;"",EDATE($D41,Milestones!$AA$130)&gt;=$S41),$V41,$U41)))=Milestones!$AB$130),UPPER(TEXT(EDATE($D41,Milestones!$AA$130),"dd mmm yy"))&amp;" "&amp;Milestones!$AB$130&amp;" "&amp;Milestones!$AC$130&amp;";  ","")&amp;IF(AND(EDATE($D41,Milestones!$AA$131)&lt;=AsOfDate,IF($R41=0,$X41,IF(AND($T41&lt;&gt;"",EDATE($D41,Milestones!$AA$131)&gt;=$T41),$W41,IF(AND($S41&lt;&gt;"",EDATE($D41,Milestones!$AA$131)&gt;=$S41),$V41,$U41)))=Milestones!$AB$131),UPPER(TEXT(EDATE($D41,Milestones!$AA$131),"dd mmm yy"))&amp;" "&amp;Milestones!$AB$131&amp;" "&amp;Milestones!$AC$131&amp;";  ","")&amp;IF(AND(EDATE($D41,Milestones!$AA$132)&lt;=AsOfDate,IF($R41=0,$X41,IF(AND($T41&lt;&gt;"",EDATE($D41,Milestones!$AA$132)&gt;=$T41),$W41,IF(AND($S41&lt;&gt;"",EDATE($D41,Milestones!$AA$132)&gt;=$S41),$V41,$U41)))=Milestones!$AB$132),UPPER(TEXT(EDATE($D41,Milestones!$AA$132),"dd mmm yy"))&amp;" "&amp;Milestones!$AB$132&amp;" "&amp;Milestones!$AC$132&amp;";  ","")&amp;IF(AND(EDATE($D41,Milestones!$AA$133)&lt;=AsOfDate,IF($R41=0,$X41,IF(AND($T41&lt;&gt;"",EDATE($D41,Milestones!$AA$133)&gt;=$T41),$W41,IF(AND($S41&lt;&gt;"",EDATE($D41,Milestones!$AA$133)&gt;=$S41),$V41,$U41)))=Milestones!$AB$133),UPPER(TEXT(EDATE($D41,Milestones!$AA$133),"dd mmm yy"))&amp;" "&amp;Milestones!$AB$133&amp;" "&amp;Milestones!$AC$133&amp;";  ","")&amp;IF(AND(EDATE($D41,Milestones!$AA$134)&lt;=AsOfDate,IF($R41=0,$X41,IF(AND($T41&lt;&gt;"",EDATE($D41,Milestones!$AA$134)&gt;=$T41),$W41,IF(AND($S41&lt;&gt;"",EDATE($D41,Milestones!$AA$134)&gt;=$S41),$V41,$U41)))=Milestones!$AB$134),UPPER(TEXT(EDATE($D41,Milestones!$AA$134),"dd mmm yy"))&amp;" "&amp;Milestones!$AB$134&amp;" "&amp;Milestones!$AC$134&amp;";  ","")&amp;IF(AND(EDATE($D41,Milestones!$AA$135)&lt;=AsOfDate,IF($R41=0,$X41,IF(AND($T41&lt;&gt;"",EDATE($D41,Milestones!$AA$135)&gt;=$T41),$W41,IF(AND($S41&lt;&gt;"",EDATE($D41,Milestones!$AA$135)&gt;=$S41),$V41,$U41)))=Milestones!$AB$135),UPPER(TEXT(EDATE($D41,Milestones!$AA$135),"dd mmm yy"))&amp;" "&amp;Milestones!$AB$135&amp;" "&amp;Milestones!$AC$135&amp;";  ","")&amp;IF(AND(EDATE($D41,Milestones!$AA$136)&lt;=AsOfDate,IF($R41=0,$X41,IF(AND($T41&lt;&gt;"",EDATE($D41,Milestones!$AA$136)&gt;=$T41),$W41,IF(AND($S41&lt;&gt;"",EDATE($D41,Milestones!$AA$136)&gt;=$S41),$V41,$U41)))=Milestones!$AB$136),UPPER(TEXT(EDATE($D41,Milestones!$AA$136),"dd mmm yy"))&amp;" "&amp;Milestones!$AB$136&amp;" "&amp;Milestones!$AC$136&amp;";  ","")&amp;IF(AND(EDATE($D41,Milestones!$AA$137)&lt;=AsOfDate,IF($R41=0,$X41,IF(AND($T41&lt;&gt;"",EDATE($D41,Milestones!$AA$137)&gt;=$T41),$W41,IF(AND($S41&lt;&gt;"",EDATE($D41,Milestones!$AA$137)&gt;=$S41),$V41,$U41)))=Milestones!$AB$137),UPPER(TEXT(EDATE($D41,Milestones!$AA$137),"dd mmm yy"))&amp;" "&amp;Milestones!$AB$137&amp;" "&amp;Milestones!$AC$137&amp;";  ","")&amp;IF(AND(EDATE($D41,Milestones!$AA$138)&lt;=AsOfDate,IF($R41=0,$X41,IF(AND($T41&lt;&gt;"",EDATE($D41,Milestones!$AA$138)&gt;=$T41),$W41,IF(AND($S41&lt;&gt;"",EDATE($D41,Milestones!$AA$138)&gt;=$S41),$V41,$U41)))=Milestones!$AB$138),UPPER(TEXT(EDATE($D41,Milestones!$AA$138),"dd mmm yy"))&amp;" "&amp;Milestones!$AB$138&amp;" "&amp;Milestones!$AC$138&amp;";  ","")&amp;IF(AND(EDATE($D41,Milestones!$AA$139)&lt;=AsOfDate,IF($R41=0,$X41,IF(AND($T41&lt;&gt;"",EDATE($D41,Milestones!$AA$139)&gt;=$T41),$W41,IF(AND($S41&lt;&gt;"",EDATE($D41,Milestones!$AA$139)&gt;=$S41),$V41,$U41)))=Milestones!$AB$139),UPPER(TEXT(EDATE($D41,Milestones!$AA$139),"dd mmm yy"))&amp;" "&amp;Milestones!$AB$139&amp;" "&amp;Milestones!$AC$139&amp;";  ",""))</f>
        <v/>
      </c>
      <c r="O41" s="0" t="str">
        <f aca="false">IF(OR($A41="",$D41=""),"",IF(AND(EDATE($D41,Milestones!$AA$140)&lt;=AsOfDate,IF($R41=0,$X41,IF(AND($T41&lt;&gt;"",EDATE($D41,Milestones!$AA$140)&gt;=$T41),$W41,IF(AND($S41&lt;&gt;"",EDATE($D41,Milestones!$AA$140)&gt;=$S41),$V41,$U41)))=Milestones!$AB$140),UPPER(TEXT(EDATE($D41,Milestones!$AA$140),"dd mmm yy"))&amp;" "&amp;Milestones!$AB$140&amp;" "&amp;Milestones!$AC$140&amp;";  ","")&amp;IF(AND(EDATE($D41,Milestones!$AA$141)&lt;=AsOfDate,IF($R41=0,$X41,IF(AND($T41&lt;&gt;"",EDATE($D41,Milestones!$AA$141)&gt;=$T41),$W41,IF(AND($S41&lt;&gt;"",EDATE($D41,Milestones!$AA$141)&gt;=$S41),$V41,$U41)))=Milestones!$AB$141),UPPER(TEXT(EDATE($D41,Milestones!$AA$141),"dd mmm yy"))&amp;" "&amp;Milestones!$AB$141&amp;" "&amp;Milestones!$AC$141&amp;";  ","")&amp;IF(AND(EDATE($D41,Milestones!$AA$142)&lt;=AsOfDate,IF($R41=0,$X41,IF(AND($T41&lt;&gt;"",EDATE($D41,Milestones!$AA$142)&gt;=$T41),$W41,IF(AND($S41&lt;&gt;"",EDATE($D41,Milestones!$AA$142)&gt;=$S41),$V41,$U41)))=Milestones!$AB$142),UPPER(TEXT(EDATE($D41,Milestones!$AA$142),"dd mmm yy"))&amp;" "&amp;Milestones!$AB$142&amp;" "&amp;Milestones!$AC$142&amp;";  ","")&amp;IF(AND(EDATE($D41,Milestones!$AA$143)&lt;=AsOfDate,IF($R41=0,$X41,IF(AND($T41&lt;&gt;"",EDATE($D41,Milestones!$AA$143)&gt;=$T41),$W41,IF(AND($S41&lt;&gt;"",EDATE($D41,Milestones!$AA$143)&gt;=$S41),$V41,$U41)))=Milestones!$AB$143),UPPER(TEXT(EDATE($D41,Milestones!$AA$143),"dd mmm yy"))&amp;" "&amp;Milestones!$AB$143&amp;" "&amp;Milestones!$AC$143&amp;";  ","")&amp;IF(AND(EDATE($D41,Milestones!$AA$144)&lt;=AsOfDate,IF($R41=0,$X41,IF(AND($T41&lt;&gt;"",EDATE($D41,Milestones!$AA$144)&gt;=$T41),$W41,IF(AND($S41&lt;&gt;"",EDATE($D41,Milestones!$AA$144)&gt;=$S41),$V41,$U41)))=Milestones!$AB$144),UPPER(TEXT(EDATE($D41,Milestones!$AA$144),"dd mmm yy"))&amp;" "&amp;Milestones!$AB$144&amp;" "&amp;Milestones!$AC$144&amp;";  ","")&amp;IF(AND(EDATE($D41,Milestones!$AA$145)&lt;=AsOfDate,IF($R41=0,$X41,IF(AND($T41&lt;&gt;"",EDATE($D41,Milestones!$AA$145)&gt;=$T41),$W41,IF(AND($S41&lt;&gt;"",EDATE($D41,Milestones!$AA$145)&gt;=$S41),$V41,$U41)))=Milestones!$AB$145),UPPER(TEXT(EDATE($D41,Milestones!$AA$145),"dd mmm yy"))&amp;" "&amp;Milestones!$AB$145&amp;" "&amp;Milestones!$AC$145&amp;";  ","")&amp;IF(AND(EDATE($D41,Milestones!$AA$146)&lt;=AsOfDate,IF($R41=0,$X41,IF(AND($T41&lt;&gt;"",EDATE($D41,Milestones!$AA$146)&gt;=$T41),$W41,IF(AND($S41&lt;&gt;"",EDATE($D41,Milestones!$AA$146)&gt;=$S41),$V41,$U41)))=Milestones!$AB$146),UPPER(TEXT(EDATE($D41,Milestones!$AA$146),"dd mmm yy"))&amp;" "&amp;Milestones!$AB$146&amp;" "&amp;Milestones!$AC$146&amp;";  ","")&amp;IF(AND(EDATE($D41,Milestones!$AA$147)&lt;=AsOfDate,IF($R41=0,$X41,IF(AND($T41&lt;&gt;"",EDATE($D41,Milestones!$AA$147)&gt;=$T41),$W41,IF(AND($S41&lt;&gt;"",EDATE($D41,Milestones!$AA$147)&gt;=$S41),$V41,$U41)))=Milestones!$AB$147),UPPER(TEXT(EDATE($D41,Milestones!$AA$147),"dd mmm yy"))&amp;" "&amp;Milestones!$AB$147&amp;" "&amp;Milestones!$AC$147&amp;";  ","")&amp;IF(AND(EDATE($D41,Milestones!$AA$148)&lt;=AsOfDate,IF($R41=0,$X41,IF(AND($T41&lt;&gt;"",EDATE($D41,Milestones!$AA$148)&gt;=$T41),$W41,IF(AND($S41&lt;&gt;"",EDATE($D41,Milestones!$AA$148)&gt;=$S41),$V41,$U41)))=Milestones!$AB$148),UPPER(TEXT(EDATE($D41,Milestones!$AA$148),"dd mmm yy"))&amp;" "&amp;Milestones!$AB$148&amp;" "&amp;Milestones!$AC$148&amp;";  ","")&amp;IF(AND(EDATE($D41,Milestones!$AA$149)&lt;=AsOfDate,IF($R41=0,$X41,IF(AND($T41&lt;&gt;"",EDATE($D41,Milestones!$AA$149)&gt;=$T41),$W41,IF(AND($S41&lt;&gt;"",EDATE($D41,Milestones!$AA$149)&gt;=$S41),$V41,$U41)))=Milestones!$AB$149),UPPER(TEXT(EDATE($D41,Milestones!$AA$149),"dd mmm yy"))&amp;" "&amp;Milestones!$AB$149&amp;" "&amp;Milestones!$AC$149&amp;";  ","")&amp;IF(AND(EDATE($D41,Milestones!$AA$150)&lt;=AsOfDate,IF($R41=0,$X41,IF(AND($T41&lt;&gt;"",EDATE($D41,Milestones!$AA$150)&gt;=$T41),$W41,IF(AND($S41&lt;&gt;"",EDATE($D41,Milestones!$AA$150)&gt;=$S41),$V41,$U41)))=Milestones!$AB$150),UPPER(TEXT(EDATE($D41,Milestones!$AA$150),"dd mmm yy"))&amp;" "&amp;Milestones!$AB$150&amp;" "&amp;Milestones!$AC$150&amp;";  ","")&amp;IF(AND(EDATE($D41,Milestones!$AA$151)&lt;=AsOfDate,IF($R41=0,$X41,IF(AND($T41&lt;&gt;"",EDATE($D41,Milestones!$AA$151)&gt;=$T41),$W41,IF(AND($S41&lt;&gt;"",EDATE($D41,Milestones!$AA$151)&gt;=$S41),$V41,$U41)))=Milestones!$AB$151),UPPER(TEXT(EDATE($D41,Milestones!$AA$151),"dd mmm yy"))&amp;" "&amp;Milestones!$AB$151&amp;" "&amp;Milestones!$AC$151&amp;";  ","")&amp;IF(AND(EDATE($D41,Milestones!$AA$152)&lt;=AsOfDate,IF($R41=0,$X41,IF(AND($T41&lt;&gt;"",EDATE($D41,Milestones!$AA$152)&gt;=$T41),$W41,IF(AND($S41&lt;&gt;"",EDATE($D41,Milestones!$AA$152)&gt;=$S41),$V41,$U41)))=Milestones!$AB$152),UPPER(TEXT(EDATE($D41,Milestones!$AA$152),"dd mmm yy"))&amp;" "&amp;Milestones!$AB$152&amp;" "&amp;Milestones!$AC$152&amp;";  ","")&amp;IF(AND(EDATE($D41,Milestones!$AA$153)&lt;=AsOfDate,IF($R41=0,$X41,IF(AND($T41&lt;&gt;"",EDATE($D41,Milestones!$AA$153)&gt;=$T41),$W41,IF(AND($S41&lt;&gt;"",EDATE($D41,Milestones!$AA$153)&gt;=$S41),$V41,$U41)))=Milestones!$AB$153),UPPER(TEXT(EDATE($D41,Milestones!$AA$153),"dd mmm yy"))&amp;" "&amp;Milestones!$AB$153&amp;" "&amp;Milestones!$AC$153&amp;";  ","")&amp;IF(AND(EDATE($D41,Milestones!$AA$154)&lt;=AsOfDate,IF($R41=0,$X41,IF(AND($T41&lt;&gt;"",EDATE($D41,Milestones!$AA$154)&gt;=$T41),$W41,IF(AND($S41&lt;&gt;"",EDATE($D41,Milestones!$AA$154)&gt;=$S41),$V41,$U41)))=Milestones!$AB$154),UPPER(TEXT(EDATE($D41,Milestones!$AA$154),"dd mmm yy"))&amp;" "&amp;Milestones!$AB$154&amp;" "&amp;Milestones!$AC$154&amp;";  ","")&amp;IF(AND(EDATE($D41,Milestones!$AA$155)&lt;=AsOfDate,IF($R41=0,$X41,IF(AND($T41&lt;&gt;"",EDATE($D41,Milestones!$AA$155)&gt;=$T41),$W41,IF(AND($S41&lt;&gt;"",EDATE($D41,Milestones!$AA$155)&gt;=$S41),$V41,$U41)))=Milestones!$AB$155),UPPER(TEXT(EDATE($D41,Milestones!$AA$155),"dd mmm yy"))&amp;" "&amp;Milestones!$AB$155&amp;" "&amp;Milestones!$AC$155&amp;";  ","")&amp;IF(AND(EDATE($D41,Milestones!$AA$156)&lt;=AsOfDate,IF($R41=0,$X41,IF(AND($T41&lt;&gt;"",EDATE($D41,Milestones!$AA$156)&gt;=$T41),$W41,IF(AND($S41&lt;&gt;"",EDATE($D41,Milestones!$AA$156)&gt;=$S41),$V41,$U41)))=Milestones!$AB$156),UPPER(TEXT(EDATE($D41,Milestones!$AA$156),"dd mmm yy"))&amp;" "&amp;Milestones!$AB$156&amp;" "&amp;Milestones!$AC$156&amp;";  ","")&amp;IF(AND(EDATE($D41,Milestones!$AA$157)&lt;=AsOfDate,IF($R41=0,$X41,IF(AND($T41&lt;&gt;"",EDATE($D41,Milestones!$AA$157)&gt;=$T41),$W41,IF(AND($S41&lt;&gt;"",EDATE($D41,Milestones!$AA$157)&gt;=$S41),$V41,$U41)))=Milestones!$AB$157),UPPER(TEXT(EDATE($D41,Milestones!$AA$157),"dd mmm yy"))&amp;" "&amp;Milestones!$AB$157&amp;" "&amp;Milestones!$AC$157&amp;";  ","")&amp;IF(AND(EDATE($D41,Milestones!$AA$158)&lt;=AsOfDate,IF($R41=0,$X41,IF(AND($T41&lt;&gt;"",EDATE($D41,Milestones!$AA$158)&gt;=$T41),$W41,IF(AND($S41&lt;&gt;"",EDATE($D41,Milestones!$AA$158)&gt;=$S41),$V41,$U41)))=Milestones!$AB$158),UPPER(TEXT(EDATE($D41,Milestones!$AA$158),"dd mmm yy"))&amp;" "&amp;Milestones!$AB$158&amp;" "&amp;Milestones!$AC$158&amp;";  ","")&amp;IF(AND(EDATE($D41,Milestones!$AA$159)&lt;=AsOfDate,IF($R41=0,$X41,IF(AND($T41&lt;&gt;"",EDATE($D41,Milestones!$AA$159)&gt;=$T41),$W41,IF(AND($S41&lt;&gt;"",EDATE($D41,Milestones!$AA$159)&gt;=$S41),$V41,$U41)))=Milestones!$AB$159),UPPER(TEXT(EDATE($D41,Milestones!$AA$159),"dd mmm yy"))&amp;" "&amp;Milestones!$AB$159&amp;" "&amp;Milestones!$AC$159&amp;";  ",""))</f>
        <v/>
      </c>
      <c r="P41" s="0" t="str">
        <f aca="false">IF(OR($A41="",$D41=""),"",IF(AND(EDATE($D41,Milestones!$AA$160)&lt;=AsOfDate,IF($R41=0,$X41,IF(AND($T41&lt;&gt;"",EDATE($D41,Milestones!$AA$160)&gt;=$T41),$W41,IF(AND($S41&lt;&gt;"",EDATE($D41,Milestones!$AA$160)&gt;=$S41),$V41,$U41)))=Milestones!$AB$160),UPPER(TEXT(EDATE($D41,Milestones!$AA$160),"dd mmm yy"))&amp;" "&amp;Milestones!$AB$160&amp;" "&amp;Milestones!$AC$160&amp;";  ","")&amp;IF(AND(EDATE($D41,Milestones!$AA$161)&lt;=AsOfDate,IF($R41=0,$X41,IF(AND($T41&lt;&gt;"",EDATE($D41,Milestones!$AA$161)&gt;=$T41),$W41,IF(AND($S41&lt;&gt;"",EDATE($D41,Milestones!$AA$161)&gt;=$S41),$V41,$U41)))=Milestones!$AB$161),UPPER(TEXT(EDATE($D41,Milestones!$AA$161),"dd mmm yy"))&amp;" "&amp;Milestones!$AB$161&amp;" "&amp;Milestones!$AC$161&amp;";  ","")&amp;IF(AND(EDATE($D41,Milestones!$AA$162)&lt;=AsOfDate,IF($R41=0,$X41,IF(AND($T41&lt;&gt;"",EDATE($D41,Milestones!$AA$162)&gt;=$T41),$W41,IF(AND($S41&lt;&gt;"",EDATE($D41,Milestones!$AA$162)&gt;=$S41),$V41,$U41)))=Milestones!$AB$162),UPPER(TEXT(EDATE($D41,Milestones!$AA$162),"dd mmm yy"))&amp;" "&amp;Milestones!$AB$162&amp;" "&amp;Milestones!$AC$162&amp;";  ","")&amp;IF(AND(EDATE($D41,Milestones!$AA$163)&lt;=AsOfDate,IF($R41=0,$X41,IF(AND($T41&lt;&gt;"",EDATE($D41,Milestones!$AA$163)&gt;=$T41),$W41,IF(AND($S41&lt;&gt;"",EDATE($D41,Milestones!$AA$163)&gt;=$S41),$V41,$U41)))=Milestones!$AB$163),UPPER(TEXT(EDATE($D41,Milestones!$AA$163),"dd mmm yy"))&amp;" "&amp;Milestones!$AB$163&amp;" "&amp;Milestones!$AC$163&amp;";  ","")&amp;IF(AND(EDATE($D41,Milestones!$AA$164)&lt;=AsOfDate,IF($R41=0,$X41,IF(AND($T41&lt;&gt;"",EDATE($D41,Milestones!$AA$164)&gt;=$T41),$W41,IF(AND($S41&lt;&gt;"",EDATE($D41,Milestones!$AA$164)&gt;=$S41),$V41,$U41)))=Milestones!$AB$164),UPPER(TEXT(EDATE($D41,Milestones!$AA$164),"dd mmm yy"))&amp;" "&amp;Milestones!$AB$164&amp;" "&amp;Milestones!$AC$164&amp;";  ","")&amp;IF(AND(EDATE($D41,Milestones!$AA$165)&lt;=AsOfDate,IF($R41=0,$X41,IF(AND($T41&lt;&gt;"",EDATE($D41,Milestones!$AA$165)&gt;=$T41),$W41,IF(AND($S41&lt;&gt;"",EDATE($D41,Milestones!$AA$165)&gt;=$S41),$V41,$U41)))=Milestones!$AB$165),UPPER(TEXT(EDATE($D41,Milestones!$AA$165),"dd mmm yy"))&amp;" "&amp;Milestones!$AB$165&amp;" "&amp;Milestones!$AC$165&amp;";  ","")&amp;IF(AND(EDATE($D41,Milestones!$AA$166)&lt;=AsOfDate,IF($R41=0,$X41,IF(AND($T41&lt;&gt;"",EDATE($D41,Milestones!$AA$166)&gt;=$T41),$W41,IF(AND($S41&lt;&gt;"",EDATE($D41,Milestones!$AA$166)&gt;=$S41),$V41,$U41)))=Milestones!$AB$166),UPPER(TEXT(EDATE($D41,Milestones!$AA$166),"dd mmm yy"))&amp;" "&amp;Milestones!$AB$166&amp;" "&amp;Milestones!$AC$166&amp;";  ","")&amp;IF(AND(EDATE($D41,Milestones!$AA$167)&lt;=AsOfDate,IF($R41=0,$X41,IF(AND($T41&lt;&gt;"",EDATE($D41,Milestones!$AA$167)&gt;=$T41),$W41,IF(AND($S41&lt;&gt;"",EDATE($D41,Milestones!$AA$167)&gt;=$S41),$V41,$U41)))=Milestones!$AB$167),UPPER(TEXT(EDATE($D41,Milestones!$AA$167),"dd mmm yy"))&amp;" "&amp;Milestones!$AB$167&amp;" "&amp;Milestones!$AC$167&amp;";  ","")&amp;IF(AND(EDATE($D41,Milestones!$AA$168)&lt;=AsOfDate,IF($R41=0,$X41,IF(AND($T41&lt;&gt;"",EDATE($D41,Milestones!$AA$168)&gt;=$T41),$W41,IF(AND($S41&lt;&gt;"",EDATE($D41,Milestones!$AA$168)&gt;=$S41),$V41,$U41)))=Milestones!$AB$168),UPPER(TEXT(EDATE($D41,Milestones!$AA$168),"dd mmm yy"))&amp;" "&amp;Milestones!$AB$168&amp;" "&amp;Milestones!$AC$168&amp;";  ","")&amp;IF(AND(EDATE($D41,Milestones!$AA$169)&lt;=AsOfDate,IF($R41=0,$X41,IF(AND($T41&lt;&gt;"",EDATE($D41,Milestones!$AA$169)&gt;=$T41),$W41,IF(AND($S41&lt;&gt;"",EDATE($D41,Milestones!$AA$169)&gt;=$S41),$V41,$U41)))=Milestones!$AB$169),UPPER(TEXT(EDATE($D41,Milestones!$AA$169),"dd mmm yy"))&amp;" "&amp;Milestones!$AB$169&amp;" "&amp;Milestones!$AC$169&amp;";  ","")&amp;IF(AND(EDATE($D41,Milestones!$AA$170)&lt;=AsOfDate,IF($R41=0,$X41,IF(AND($T41&lt;&gt;"",EDATE($D41,Milestones!$AA$170)&gt;=$T41),$W41,IF(AND($S41&lt;&gt;"",EDATE($D41,Milestones!$AA$170)&gt;=$S41),$V41,$U41)))=Milestones!$AB$170),UPPER(TEXT(EDATE($D41,Milestones!$AA$170),"dd mmm yy"))&amp;" "&amp;Milestones!$AB$170&amp;" "&amp;Milestones!$AC$170&amp;";  ","")&amp;IF(AND(EDATE($D41,Milestones!$AA$171)&lt;=AsOfDate,IF($R41=0,$X41,IF(AND($T41&lt;&gt;"",EDATE($D41,Milestones!$AA$171)&gt;=$T41),$W41,IF(AND($S41&lt;&gt;"",EDATE($D41,Milestones!$AA$171)&gt;=$S41),$V41,$U41)))=Milestones!$AB$171),UPPER(TEXT(EDATE($D41,Milestones!$AA$171),"dd mmm yy"))&amp;" "&amp;Milestones!$AB$171&amp;" "&amp;Milestones!$AC$171&amp;";  ","")&amp;IF(AND(EDATE($D41,Milestones!$AA$172)&lt;=AsOfDate,IF($R41=0,$X41,IF(AND($T41&lt;&gt;"",EDATE($D41,Milestones!$AA$172)&gt;=$T41),$W41,IF(AND($S41&lt;&gt;"",EDATE($D41,Milestones!$AA$172)&gt;=$S41),$V41,$U41)))=Milestones!$AB$172),UPPER(TEXT(EDATE($D41,Milestones!$AA$172),"dd mmm yy"))&amp;" "&amp;Milestones!$AB$172&amp;" "&amp;Milestones!$AC$172&amp;";  ","")&amp;IF(AND(EDATE($D41,Milestones!$AA$173)&lt;=AsOfDate,IF($R41=0,$X41,IF(AND($T41&lt;&gt;"",EDATE($D41,Milestones!$AA$173)&gt;=$T41),$W41,IF(AND($S41&lt;&gt;"",EDATE($D41,Milestones!$AA$173)&gt;=$S41),$V41,$U41)))=Milestones!$AB$173),UPPER(TEXT(EDATE($D41,Milestones!$AA$173),"dd mmm yy"))&amp;" "&amp;Milestones!$AB$173&amp;" "&amp;Milestones!$AC$173&amp;";  ","")&amp;IF(AND(EDATE($D41,Milestones!$AA$174)&lt;=AsOfDate,IF($R41=0,$X41,IF(AND($T41&lt;&gt;"",EDATE($D41,Milestones!$AA$174)&gt;=$T41),$W41,IF(AND($S41&lt;&gt;"",EDATE($D41,Milestones!$AA$174)&gt;=$S41),$V41,$U41)))=Milestones!$AB$174),UPPER(TEXT(EDATE($D41,Milestones!$AA$174),"dd mmm yy"))&amp;" "&amp;Milestones!$AB$174&amp;" "&amp;Milestones!$AC$174&amp;";  ","")&amp;IF(AND(EDATE($D41,Milestones!$AA$175)&lt;=AsOfDate,IF($R41=0,$X41,IF(AND($T41&lt;&gt;"",EDATE($D41,Milestones!$AA$175)&gt;=$T41),$W41,IF(AND($S41&lt;&gt;"",EDATE($D41,Milestones!$AA$175)&gt;=$S41),$V41,$U41)))=Milestones!$AB$175),UPPER(TEXT(EDATE($D41,Milestones!$AA$175),"dd mmm yy"))&amp;" "&amp;Milestones!$AB$175&amp;" "&amp;Milestones!$AC$175&amp;";  ","")&amp;IF(AND(EDATE($D41,Milestones!$AA$176)&lt;=AsOfDate,IF($R41=0,$X41,IF(AND($T41&lt;&gt;"",EDATE($D41,Milestones!$AA$176)&gt;=$T41),$W41,IF(AND($S41&lt;&gt;"",EDATE($D41,Milestones!$AA$176)&gt;=$S41),$V41,$U41)))=Milestones!$AB$176),UPPER(TEXT(EDATE($D41,Milestones!$AA$176),"dd mmm yy"))&amp;" "&amp;Milestones!$AB$176&amp;" "&amp;Milestones!$AC$176&amp;";  ","")&amp;IF(AND(EDATE($D41,Milestones!$AA$177)&lt;=AsOfDate,IF($R41=0,$X41,IF(AND($T41&lt;&gt;"",EDATE($D41,Milestones!$AA$177)&gt;=$T41),$W41,IF(AND($S41&lt;&gt;"",EDATE($D41,Milestones!$AA$177)&gt;=$S41),$V41,$U41)))=Milestones!$AB$177),UPPER(TEXT(EDATE($D41,Milestones!$AA$177),"dd mmm yy"))&amp;" "&amp;Milestones!$AB$177&amp;" "&amp;Milestones!$AC$177&amp;";  ","")&amp;IF(AND(EDATE($D41,Milestones!$AA$178)&lt;=AsOfDate,IF($R41=0,$X41,IF(AND($T41&lt;&gt;"",EDATE($D41,Milestones!$AA$178)&gt;=$T41),$W41,IF(AND($S41&lt;&gt;"",EDATE($D41,Milestones!$AA$178)&gt;=$S41),$V41,$U41)))=Milestones!$AB$178),UPPER(TEXT(EDATE($D41,Milestones!$AA$178),"dd mmm yy"))&amp;" "&amp;Milestones!$AB$178&amp;" "&amp;Milestones!$AC$178&amp;";  ","")&amp;IF(AND(EDATE($D41,Milestones!$AA$179)&lt;=AsOfDate,IF($R41=0,$X41,IF(AND($T41&lt;&gt;"",EDATE($D41,Milestones!$AA$179)&gt;=$T41),$W41,IF(AND($S41&lt;&gt;"",EDATE($D41,Milestones!$AA$179)&gt;=$S41),$V41,$U41)))=Milestones!$AB$179),UPPER(TEXT(EDATE($D41,Milestones!$AA$179),"dd mmm yy"))&amp;" "&amp;Milestones!$AB$179&amp;" "&amp;Milestones!$AC$179&amp;";  ",""))</f>
        <v/>
      </c>
      <c r="Q41" s="0" t="str">
        <f aca="false">IF(OR($A41="",$D41=""),"",IF(AND(EDATE($D41,Milestones!$AA$180)&lt;=AsOfDate,IF($R41=0,$X41,IF(AND($T41&lt;&gt;"",EDATE($D41,Milestones!$AA$180)&gt;=$T41),$W41,IF(AND($S41&lt;&gt;"",EDATE($D41,Milestones!$AA$180)&gt;=$S41),$V41,$U41)))=Milestones!$AB$180),UPPER(TEXT(EDATE($D41,Milestones!$AA$180),"dd mmm yy"))&amp;" "&amp;Milestones!$AB$180&amp;" "&amp;Milestones!$AC$180&amp;";  ","")&amp;IF(AND(EDATE($D41,Milestones!$AA$181)&lt;=AsOfDate,IF($R41=0,$X41,IF(AND($T41&lt;&gt;"",EDATE($D41,Milestones!$AA$181)&gt;=$T41),$W41,IF(AND($S41&lt;&gt;"",EDATE($D41,Milestones!$AA$181)&gt;=$S41),$V41,$U41)))=Milestones!$AB$181),UPPER(TEXT(EDATE($D41,Milestones!$AA$181),"dd mmm yy"))&amp;" "&amp;Milestones!$AB$181&amp;" "&amp;Milestones!$AC$181&amp;";  ","")&amp;IF(AND(EDATE($D41,Milestones!$AA$182)&lt;=AsOfDate,IF($R41=0,$X41,IF(AND($T41&lt;&gt;"",EDATE($D41,Milestones!$AA$182)&gt;=$T41),$W41,IF(AND($S41&lt;&gt;"",EDATE($D41,Milestones!$AA$182)&gt;=$S41),$V41,$U41)))=Milestones!$AB$182),UPPER(TEXT(EDATE($D41,Milestones!$AA$182),"dd mmm yy"))&amp;" "&amp;Milestones!$AB$182&amp;" "&amp;Milestones!$AC$182&amp;";  ","")&amp;IF(AND(EDATE($D41,Milestones!$AA$183)&lt;=AsOfDate,IF($R41=0,$X41,IF(AND($T41&lt;&gt;"",EDATE($D41,Milestones!$AA$183)&gt;=$T41),$W41,IF(AND($S41&lt;&gt;"",EDATE($D41,Milestones!$AA$183)&gt;=$S41),$V41,$U41)))=Milestones!$AB$183),UPPER(TEXT(EDATE($D41,Milestones!$AA$183),"dd mmm yy"))&amp;" "&amp;Milestones!$AB$183&amp;" "&amp;Milestones!$AC$183&amp;";  ","")&amp;IF(AND(EDATE($D41,Milestones!$AA$184)&lt;=AsOfDate,IF($R41=0,$X41,IF(AND($T41&lt;&gt;"",EDATE($D41,Milestones!$AA$184)&gt;=$T41),$W41,IF(AND($S41&lt;&gt;"",EDATE($D41,Milestones!$AA$184)&gt;=$S41),$V41,$U41)))=Milestones!$AB$184),UPPER(TEXT(EDATE($D41,Milestones!$AA$184),"dd mmm yy"))&amp;" "&amp;Milestones!$AB$184&amp;" "&amp;Milestones!$AC$184&amp;";  ","")&amp;IF(AND(EDATE($D41,Milestones!$AA$185)&lt;=AsOfDate,IF($R41=0,$X41,IF(AND($T41&lt;&gt;"",EDATE($D41,Milestones!$AA$185)&gt;=$T41),$W41,IF(AND($S41&lt;&gt;"",EDATE($D41,Milestones!$AA$185)&gt;=$S41),$V41,$U41)))=Milestones!$AB$185),UPPER(TEXT(EDATE($D41,Milestones!$AA$185),"dd mmm yy"))&amp;" "&amp;Milestones!$AB$185&amp;" "&amp;Milestones!$AC$185&amp;";  ","")&amp;IF(AND(EDATE($D41,Milestones!$AA$186)&lt;=AsOfDate,IF($R41=0,$X41,IF(AND($T41&lt;&gt;"",EDATE($D41,Milestones!$AA$186)&gt;=$T41),$W41,IF(AND($S41&lt;&gt;"",EDATE($D41,Milestones!$AA$186)&gt;=$S41),$V41,$U41)))=Milestones!$AB$186),UPPER(TEXT(EDATE($D41,Milestones!$AA$186),"dd mmm yy"))&amp;" "&amp;Milestones!$AB$186&amp;" "&amp;Milestones!$AC$186&amp;";  ","")&amp;IF(AND(EDATE($D41,Milestones!$AA$187)&lt;=AsOfDate,IF($R41=0,$X41,IF(AND($T41&lt;&gt;"",EDATE($D41,Milestones!$AA$187)&gt;=$T41),$W41,IF(AND($S41&lt;&gt;"",EDATE($D41,Milestones!$AA$187)&gt;=$S41),$V41,$U41)))=Milestones!$AB$187),UPPER(TEXT(EDATE($D41,Milestones!$AA$187),"dd mmm yy"))&amp;" "&amp;Milestones!$AB$187&amp;" "&amp;Milestones!$AC$187&amp;";  ","")&amp;IF(AND(EDATE($D41,Milestones!$AA$188)&lt;=AsOfDate,IF($R41=0,$X41,IF(AND($T41&lt;&gt;"",EDATE($D41,Milestones!$AA$188)&gt;=$T41),$W41,IF(AND($S41&lt;&gt;"",EDATE($D41,Milestones!$AA$188)&gt;=$S41),$V41,$U41)))=Milestones!$AB$188),UPPER(TEXT(EDATE($D41,Milestones!$AA$188),"dd mmm yy"))&amp;" "&amp;Milestones!$AB$188&amp;" "&amp;Milestones!$AC$188&amp;";  ","")&amp;IF(AND(EDATE($D41,Milestones!$AA$189)&lt;=AsOfDate,IF($R41=0,$X41,IF(AND($T41&lt;&gt;"",EDATE($D41,Milestones!$AA$189)&gt;=$T41),$W41,IF(AND($S41&lt;&gt;"",EDATE($D41,Milestones!$AA$189)&gt;=$S41),$V41,$U41)))=Milestones!$AB$189),UPPER(TEXT(EDATE($D41,Milestones!$AA$189),"dd mmm yy"))&amp;" "&amp;Milestones!$AB$189&amp;" "&amp;Milestones!$AC$189&amp;";  ","")&amp;IF(AND(EDATE($D41,Milestones!$AA$190)&lt;=AsOfDate,IF($R41=0,$X41,IF(AND($T41&lt;&gt;"",EDATE($D41,Milestones!$AA$190)&gt;=$T41),$W41,IF(AND($S41&lt;&gt;"",EDATE($D41,Milestones!$AA$190)&gt;=$S41),$V41,$U41)))=Milestones!$AB$190),UPPER(TEXT(EDATE($D41,Milestones!$AA$190),"dd mmm yy"))&amp;" "&amp;Milestones!$AB$190&amp;" "&amp;Milestones!$AC$190&amp;";  ","")&amp;IF(AND(EDATE($D41,Milestones!$AA$191)&lt;=AsOfDate,IF($R41=0,$X41,IF(AND($T41&lt;&gt;"",EDATE($D41,Milestones!$AA$191)&gt;=$T41),$W41,IF(AND($S41&lt;&gt;"",EDATE($D41,Milestones!$AA$191)&gt;=$S41),$V41,$U41)))=Milestones!$AB$191),UPPER(TEXT(EDATE($D41,Milestones!$AA$191),"dd mmm yy"))&amp;" "&amp;Milestones!$AB$191&amp;" "&amp;Milestones!$AC$191&amp;";  ","")&amp;IF(AND(EDATE($D41,Milestones!$AA$192)&lt;=AsOfDate,IF($R41=0,$X41,IF(AND($T41&lt;&gt;"",EDATE($D41,Milestones!$AA$192)&gt;=$T41),$W41,IF(AND($S41&lt;&gt;"",EDATE($D41,Milestones!$AA$192)&gt;=$S41),$V41,$U41)))=Milestones!$AB$192),UPPER(TEXT(EDATE($D41,Milestones!$AA$192),"dd mmm yy"))&amp;" "&amp;Milestones!$AB$192&amp;" "&amp;Milestones!$AC$192&amp;";  ","")&amp;IF(AND(EDATE($D41,Milestones!$AA$193)&lt;=AsOfDate,IF($R41=0,$X41,IF(AND($T41&lt;&gt;"",EDATE($D41,Milestones!$AA$193)&gt;=$T41),$W41,IF(AND($S41&lt;&gt;"",EDATE($D41,Milestones!$AA$193)&gt;=$S41),$V41,$U41)))=Milestones!$AB$193),UPPER(TEXT(EDATE($D41,Milestones!$AA$193),"dd mmm yy"))&amp;" "&amp;Milestones!$AB$193&amp;" "&amp;Milestones!$AC$193&amp;";  ","")&amp;IF(AND(EDATE($D41,Milestones!$AA$194)&lt;=AsOfDate,IF($R41=0,$X41,IF(AND($T41&lt;&gt;"",EDATE($D41,Milestones!$AA$194)&gt;=$T41),$W41,IF(AND($S41&lt;&gt;"",EDATE($D41,Milestones!$AA$194)&gt;=$S41),$V41,$U41)))=Milestones!$AB$194),UPPER(TEXT(EDATE($D41,Milestones!$AA$194),"dd mmm yy"))&amp;" "&amp;Milestones!$AB$194&amp;" "&amp;Milestones!$AC$194&amp;";  ","")&amp;IF(AND(EDATE($D41,Milestones!$AA$195)&lt;=AsOfDate,IF($R41=0,$X41,IF(AND($T41&lt;&gt;"",EDATE($D41,Milestones!$AA$195)&gt;=$T41),$W41,IF(AND($S41&lt;&gt;"",EDATE($D41,Milestones!$AA$195)&gt;=$S41),$V41,$U41)))=Milestones!$AB$195),UPPER(TEXT(EDATE($D41,Milestones!$AA$195),"dd mmm yy"))&amp;" "&amp;Milestones!$AB$195&amp;" "&amp;Milestones!$AC$195&amp;";  ","")&amp;IF(AND(EDATE($D41,Milestones!$AA$196)&lt;=AsOfDate,IF($R41=0,$X41,IF(AND($T41&lt;&gt;"",EDATE($D41,Milestones!$AA$196)&gt;=$T41),$W41,IF(AND($S41&lt;&gt;"",EDATE($D41,Milestones!$AA$196)&gt;=$S41),$V41,$U41)))=Milestones!$AB$196),UPPER(TEXT(EDATE($D41,Milestones!$AA$196),"dd mmm yy"))&amp;" "&amp;Milestones!$AB$196&amp;" "&amp;Milestones!$AC$196&amp;";  ","")&amp;IF(AND(EDATE($D41,Milestones!$AA$197)&lt;=AsOfDate,IF($R41=0,$X41,IF(AND($T41&lt;&gt;"",EDATE($D41,Milestones!$AA$197)&gt;=$T41),$W41,IF(AND($S41&lt;&gt;"",EDATE($D41,Milestones!$AA$197)&gt;=$S41),$V41,$U41)))=Milestones!$AB$197),UPPER(TEXT(EDATE($D41,Milestones!$AA$197),"dd mmm yy"))&amp;" "&amp;Milestones!$AB$197&amp;" "&amp;Milestones!$AC$197&amp;";  ","")&amp;IF(AND(EDATE($D41,Milestones!$AA$198)&lt;=AsOfDate,IF($R41=0,$X41,IF(AND($T41&lt;&gt;"",EDATE($D41,Milestones!$AA$198)&gt;=$T41),$W41,IF(AND($S41&lt;&gt;"",EDATE($D41,Milestones!$AA$198)&gt;=$S41),$V41,$U41)))=Milestones!$AB$198),UPPER(TEXT(EDATE($D41,Milestones!$AA$198),"dd mmm yy"))&amp;" "&amp;Milestones!$AB$198&amp;" "&amp;Milestones!$AC$198&amp;";  ","")&amp;IF(AND(EDATE($D41,Milestones!$AA$199)&lt;=AsOfDate,IF($R41=0,$X41,IF(AND($T41&lt;&gt;"",EDATE($D41,Milestones!$AA$199)&gt;=$T41),$W41,IF(AND($S41&lt;&gt;"",EDATE($D41,Milestones!$AA$199)&gt;=$S41),$V41,$U41)))=Milestones!$AB$199),UPPER(TEXT(EDATE($D41,Milestones!$AA$199),"dd mmm yy"))&amp;" "&amp;Milestones!$AB$199&amp;" "&amp;Milestones!$AC$199&amp;";  ",""))</f>
        <v/>
      </c>
      <c r="R41" s="0" t="str">
        <f aca="false">IF(Staff!$A41="","",Staff!$AI41)</f>
        <v/>
      </c>
      <c r="S41" s="0" t="str">
        <f aca="false">IF(Staff!$A41="","",Staff!$AK41)</f>
        <v/>
      </c>
      <c r="T41" s="0" t="str">
        <f aca="false">IF(Staff!$A41="","",Staff!$AL41)</f>
        <v/>
      </c>
      <c r="U41" s="0" t="str">
        <f aca="false">IF(Staff!$A41="","",Staff!$AP41)</f>
        <v/>
      </c>
      <c r="V41" s="0" t="str">
        <f aca="false">IF(Staff!$A41="","",Staff!$AQ41)</f>
        <v/>
      </c>
      <c r="W41" s="0" t="str">
        <f aca="false">IF(Staff!$A41="","",Staff!$AR41)</f>
        <v/>
      </c>
      <c r="X41" s="0" t="str">
        <f aca="false">IF(Staff!$A41="","",Staff!$AS41)</f>
        <v/>
      </c>
    </row>
    <row r="42" customFormat="false" ht="15" hidden="false" customHeight="false" outlineLevel="0" collapsed="false">
      <c r="A42" s="14" t="str">
        <f aca="false">IF(Staff!$A42="","",Staff!$A42)</f>
        <v/>
      </c>
      <c r="B42" s="14" t="str">
        <f aca="false">IF(Staff!$A42="","",Staff!$B42)</f>
        <v/>
      </c>
      <c r="C42" s="14" t="str">
        <f aca="false">IF(Staff!$A42="","",Staff!$C42)</f>
        <v/>
      </c>
      <c r="D42" s="12" t="str">
        <f aca="false">IF(Staff!$A42="","",Staff!$AH42)</f>
        <v/>
      </c>
      <c r="E42" s="14" t="str">
        <f aca="false">IF(Staff!$A42="","",Staff!$O42)</f>
        <v/>
      </c>
      <c r="F42" s="14" t="str">
        <f aca="false">IF(E42="","",E42*HoursPerDay)</f>
        <v/>
      </c>
      <c r="G42" s="14" t="str">
        <f aca="false">IF(Staff!$A42="","",Staff!$AE42)</f>
        <v/>
      </c>
      <c r="H42" s="26" t="str">
        <f aca="false">IF($A42="","",I42&amp;J42&amp;K42&amp;L42&amp;M42&amp;N42&amp;O42&amp;P42&amp;Q42)</f>
        <v/>
      </c>
      <c r="I42" s="0" t="str">
        <f aca="false">IF(OR($A42="",$D42=""),"",IF(AND(EDATE($D42,Milestones!$AA$20)&lt;=AsOfDate,IF($R42=0,$X42,IF(AND($T42&lt;&gt;"",EDATE($D42,Milestones!$AA$20)&gt;=$T42),$W42,IF(AND($S42&lt;&gt;"",EDATE($D42,Milestones!$AA$20)&gt;=$S42),$V42,$U42)))=Milestones!$AB$20),UPPER(TEXT(EDATE($D42,Milestones!$AA$20),"dd mmm yy"))&amp;" "&amp;Milestones!$AB$20&amp;" "&amp;Milestones!$AC$20&amp;";  ","")&amp;IF(AND(EDATE($D42,Milestones!$AA$21)&lt;=AsOfDate,IF($R42=0,$X42,IF(AND($T42&lt;&gt;"",EDATE($D42,Milestones!$AA$21)&gt;=$T42),$W42,IF(AND($S42&lt;&gt;"",EDATE($D42,Milestones!$AA$21)&gt;=$S42),$V42,$U42)))=Milestones!$AB$21),UPPER(TEXT(EDATE($D42,Milestones!$AA$21),"dd mmm yy"))&amp;" "&amp;Milestones!$AB$21&amp;" "&amp;Milestones!$AC$21&amp;";  ","")&amp;IF(AND(EDATE($D42,Milestones!$AA$22)&lt;=AsOfDate,IF($R42=0,$X42,IF(AND($T42&lt;&gt;"",EDATE($D42,Milestones!$AA$22)&gt;=$T42),$W42,IF(AND($S42&lt;&gt;"",EDATE($D42,Milestones!$AA$22)&gt;=$S42),$V42,$U42)))=Milestones!$AB$22),UPPER(TEXT(EDATE($D42,Milestones!$AA$22),"dd mmm yy"))&amp;" "&amp;Milestones!$AB$22&amp;" "&amp;Milestones!$AC$22&amp;";  ","")&amp;IF(AND(EDATE($D42,Milestones!$AA$23)&lt;=AsOfDate,IF($R42=0,$X42,IF(AND($T42&lt;&gt;"",EDATE($D42,Milestones!$AA$23)&gt;=$T42),$W42,IF(AND($S42&lt;&gt;"",EDATE($D42,Milestones!$AA$23)&gt;=$S42),$V42,$U42)))=Milestones!$AB$23),UPPER(TEXT(EDATE($D42,Milestones!$AA$23),"dd mmm yy"))&amp;" "&amp;Milestones!$AB$23&amp;" "&amp;Milestones!$AC$23&amp;";  ","")&amp;IF(AND(EDATE($D42,Milestones!$AA$24)&lt;=AsOfDate,IF($R42=0,$X42,IF(AND($T42&lt;&gt;"",EDATE($D42,Milestones!$AA$24)&gt;=$T42),$W42,IF(AND($S42&lt;&gt;"",EDATE($D42,Milestones!$AA$24)&gt;=$S42),$V42,$U42)))=Milestones!$AB$24),UPPER(TEXT(EDATE($D42,Milestones!$AA$24),"dd mmm yy"))&amp;" "&amp;Milestones!$AB$24&amp;" "&amp;Milestones!$AC$24&amp;";  ","")&amp;IF(AND(EDATE($D42,Milestones!$AA$25)&lt;=AsOfDate,IF($R42=0,$X42,IF(AND($T42&lt;&gt;"",EDATE($D42,Milestones!$AA$25)&gt;=$T42),$W42,IF(AND($S42&lt;&gt;"",EDATE($D42,Milestones!$AA$25)&gt;=$S42),$V42,$U42)))=Milestones!$AB$25),UPPER(TEXT(EDATE($D42,Milestones!$AA$25),"dd mmm yy"))&amp;" "&amp;Milestones!$AB$25&amp;" "&amp;Milestones!$AC$25&amp;";  ","")&amp;IF(AND(EDATE($D42,Milestones!$AA$26)&lt;=AsOfDate,IF($R42=0,$X42,IF(AND($T42&lt;&gt;"",EDATE($D42,Milestones!$AA$26)&gt;=$T42),$W42,IF(AND($S42&lt;&gt;"",EDATE($D42,Milestones!$AA$26)&gt;=$S42),$V42,$U42)))=Milestones!$AB$26),UPPER(TEXT(EDATE($D42,Milestones!$AA$26),"dd mmm yy"))&amp;" "&amp;Milestones!$AB$26&amp;" "&amp;Milestones!$AC$26&amp;";  ","")&amp;IF(AND(EDATE($D42,Milestones!$AA$27)&lt;=AsOfDate,IF($R42=0,$X42,IF(AND($T42&lt;&gt;"",EDATE($D42,Milestones!$AA$27)&gt;=$T42),$W42,IF(AND($S42&lt;&gt;"",EDATE($D42,Milestones!$AA$27)&gt;=$S42),$V42,$U42)))=Milestones!$AB$27),UPPER(TEXT(EDATE($D42,Milestones!$AA$27),"dd mmm yy"))&amp;" "&amp;Milestones!$AB$27&amp;" "&amp;Milestones!$AC$27&amp;";  ","")&amp;IF(AND(EDATE($D42,Milestones!$AA$28)&lt;=AsOfDate,IF($R42=0,$X42,IF(AND($T42&lt;&gt;"",EDATE($D42,Milestones!$AA$28)&gt;=$T42),$W42,IF(AND($S42&lt;&gt;"",EDATE($D42,Milestones!$AA$28)&gt;=$S42),$V42,$U42)))=Milestones!$AB$28),UPPER(TEXT(EDATE($D42,Milestones!$AA$28),"dd mmm yy"))&amp;" "&amp;Milestones!$AB$28&amp;" "&amp;Milestones!$AC$28&amp;";  ","")&amp;IF(AND(EDATE($D42,Milestones!$AA$29)&lt;=AsOfDate,IF($R42=0,$X42,IF(AND($T42&lt;&gt;"",EDATE($D42,Milestones!$AA$29)&gt;=$T42),$W42,IF(AND($S42&lt;&gt;"",EDATE($D42,Milestones!$AA$29)&gt;=$S42),$V42,$U42)))=Milestones!$AB$29),UPPER(TEXT(EDATE($D42,Milestones!$AA$29),"dd mmm yy"))&amp;" "&amp;Milestones!$AB$29&amp;" "&amp;Milestones!$AC$29&amp;";  ","")&amp;IF(AND(EDATE($D42,Milestones!$AA$30)&lt;=AsOfDate,IF($R42=0,$X42,IF(AND($T42&lt;&gt;"",EDATE($D42,Milestones!$AA$30)&gt;=$T42),$W42,IF(AND($S42&lt;&gt;"",EDATE($D42,Milestones!$AA$30)&gt;=$S42),$V42,$U42)))=Milestones!$AB$30),UPPER(TEXT(EDATE($D42,Milestones!$AA$30),"dd mmm yy"))&amp;" "&amp;Milestones!$AB$30&amp;" "&amp;Milestones!$AC$30&amp;";  ","")&amp;IF(AND(EDATE($D42,Milestones!$AA$31)&lt;=AsOfDate,IF($R42=0,$X42,IF(AND($T42&lt;&gt;"",EDATE($D42,Milestones!$AA$31)&gt;=$T42),$W42,IF(AND($S42&lt;&gt;"",EDATE($D42,Milestones!$AA$31)&gt;=$S42),$V42,$U42)))=Milestones!$AB$31),UPPER(TEXT(EDATE($D42,Milestones!$AA$31),"dd mmm yy"))&amp;" "&amp;Milestones!$AB$31&amp;" "&amp;Milestones!$AC$31&amp;";  ","")&amp;IF(AND(EDATE($D42,Milestones!$AA$32)&lt;=AsOfDate,IF($R42=0,$X42,IF(AND($T42&lt;&gt;"",EDATE($D42,Milestones!$AA$32)&gt;=$T42),$W42,IF(AND($S42&lt;&gt;"",EDATE($D42,Milestones!$AA$32)&gt;=$S42),$V42,$U42)))=Milestones!$AB$32),UPPER(TEXT(EDATE($D42,Milestones!$AA$32),"dd mmm yy"))&amp;" "&amp;Milestones!$AB$32&amp;" "&amp;Milestones!$AC$32&amp;";  ","")&amp;IF(AND(EDATE($D42,Milestones!$AA$33)&lt;=AsOfDate,IF($R42=0,$X42,IF(AND($T42&lt;&gt;"",EDATE($D42,Milestones!$AA$33)&gt;=$T42),$W42,IF(AND($S42&lt;&gt;"",EDATE($D42,Milestones!$AA$33)&gt;=$S42),$V42,$U42)))=Milestones!$AB$33),UPPER(TEXT(EDATE($D42,Milestones!$AA$33),"dd mmm yy"))&amp;" "&amp;Milestones!$AB$33&amp;" "&amp;Milestones!$AC$33&amp;";  ","")&amp;IF(AND(EDATE($D42,Milestones!$AA$34)&lt;=AsOfDate,IF($R42=0,$X42,IF(AND($T42&lt;&gt;"",EDATE($D42,Milestones!$AA$34)&gt;=$T42),$W42,IF(AND($S42&lt;&gt;"",EDATE($D42,Milestones!$AA$34)&gt;=$S42),$V42,$U42)))=Milestones!$AB$34),UPPER(TEXT(EDATE($D42,Milestones!$AA$34),"dd mmm yy"))&amp;" "&amp;Milestones!$AB$34&amp;" "&amp;Milestones!$AC$34&amp;";  ","")&amp;IF(AND(EDATE($D42,Milestones!$AA$35)&lt;=AsOfDate,IF($R42=0,$X42,IF(AND($T42&lt;&gt;"",EDATE($D42,Milestones!$AA$35)&gt;=$T42),$W42,IF(AND($S42&lt;&gt;"",EDATE($D42,Milestones!$AA$35)&gt;=$S42),$V42,$U42)))=Milestones!$AB$35),UPPER(TEXT(EDATE($D42,Milestones!$AA$35),"dd mmm yy"))&amp;" "&amp;Milestones!$AB$35&amp;" "&amp;Milestones!$AC$35&amp;";  ","")&amp;IF(AND(EDATE($D42,Milestones!$AA$36)&lt;=AsOfDate,IF($R42=0,$X42,IF(AND($T42&lt;&gt;"",EDATE($D42,Milestones!$AA$36)&gt;=$T42),$W42,IF(AND($S42&lt;&gt;"",EDATE($D42,Milestones!$AA$36)&gt;=$S42),$V42,$U42)))=Milestones!$AB$36),UPPER(TEXT(EDATE($D42,Milestones!$AA$36),"dd mmm yy"))&amp;" "&amp;Milestones!$AB$36&amp;" "&amp;Milestones!$AC$36&amp;";  ","")&amp;IF(AND(EDATE($D42,Milestones!$AA$37)&lt;=AsOfDate,IF($R42=0,$X42,IF(AND($T42&lt;&gt;"",EDATE($D42,Milestones!$AA$37)&gt;=$T42),$W42,IF(AND($S42&lt;&gt;"",EDATE($D42,Milestones!$AA$37)&gt;=$S42),$V42,$U42)))=Milestones!$AB$37),UPPER(TEXT(EDATE($D42,Milestones!$AA$37),"dd mmm yy"))&amp;" "&amp;Milestones!$AB$37&amp;" "&amp;Milestones!$AC$37&amp;";  ","")&amp;IF(AND(EDATE($D42,Milestones!$AA$38)&lt;=AsOfDate,IF($R42=0,$X42,IF(AND($T42&lt;&gt;"",EDATE($D42,Milestones!$AA$38)&gt;=$T42),$W42,IF(AND($S42&lt;&gt;"",EDATE($D42,Milestones!$AA$38)&gt;=$S42),$V42,$U42)))=Milestones!$AB$38),UPPER(TEXT(EDATE($D42,Milestones!$AA$38),"dd mmm yy"))&amp;" "&amp;Milestones!$AB$38&amp;" "&amp;Milestones!$AC$38&amp;";  ","")&amp;IF(AND(EDATE($D42,Milestones!$AA$39)&lt;=AsOfDate,IF($R42=0,$X42,IF(AND($T42&lt;&gt;"",EDATE($D42,Milestones!$AA$39)&gt;=$T42),$W42,IF(AND($S42&lt;&gt;"",EDATE($D42,Milestones!$AA$39)&gt;=$S42),$V42,$U42)))=Milestones!$AB$39),UPPER(TEXT(EDATE($D42,Milestones!$AA$39),"dd mmm yy"))&amp;" "&amp;Milestones!$AB$39&amp;" "&amp;Milestones!$AC$39&amp;";  ",""))</f>
        <v/>
      </c>
      <c r="J42" s="0" t="str">
        <f aca="false">IF(OR($A42="",$D42=""),"",IF(AND(EDATE($D42,Milestones!$AA$40)&lt;=AsOfDate,IF($R42=0,$X42,IF(AND($T42&lt;&gt;"",EDATE($D42,Milestones!$AA$40)&gt;=$T42),$W42,IF(AND($S42&lt;&gt;"",EDATE($D42,Milestones!$AA$40)&gt;=$S42),$V42,$U42)))=Milestones!$AB$40),UPPER(TEXT(EDATE($D42,Milestones!$AA$40),"dd mmm yy"))&amp;" "&amp;Milestones!$AB$40&amp;" "&amp;Milestones!$AC$40&amp;";  ","")&amp;IF(AND(EDATE($D42,Milestones!$AA$41)&lt;=AsOfDate,IF($R42=0,$X42,IF(AND($T42&lt;&gt;"",EDATE($D42,Milestones!$AA$41)&gt;=$T42),$W42,IF(AND($S42&lt;&gt;"",EDATE($D42,Milestones!$AA$41)&gt;=$S42),$V42,$U42)))=Milestones!$AB$41),UPPER(TEXT(EDATE($D42,Milestones!$AA$41),"dd mmm yy"))&amp;" "&amp;Milestones!$AB$41&amp;" "&amp;Milestones!$AC$41&amp;";  ","")&amp;IF(AND(EDATE($D42,Milestones!$AA$42)&lt;=AsOfDate,IF($R42=0,$X42,IF(AND($T42&lt;&gt;"",EDATE($D42,Milestones!$AA$42)&gt;=$T42),$W42,IF(AND($S42&lt;&gt;"",EDATE($D42,Milestones!$AA$42)&gt;=$S42),$V42,$U42)))=Milestones!$AB$42),UPPER(TEXT(EDATE($D42,Milestones!$AA$42),"dd mmm yy"))&amp;" "&amp;Milestones!$AB$42&amp;" "&amp;Milestones!$AC$42&amp;";  ","")&amp;IF(AND(EDATE($D42,Milestones!$AA$43)&lt;=AsOfDate,IF($R42=0,$X42,IF(AND($T42&lt;&gt;"",EDATE($D42,Milestones!$AA$43)&gt;=$T42),$W42,IF(AND($S42&lt;&gt;"",EDATE($D42,Milestones!$AA$43)&gt;=$S42),$V42,$U42)))=Milestones!$AB$43),UPPER(TEXT(EDATE($D42,Milestones!$AA$43),"dd mmm yy"))&amp;" "&amp;Milestones!$AB$43&amp;" "&amp;Milestones!$AC$43&amp;";  ","")&amp;IF(AND(EDATE($D42,Milestones!$AA$44)&lt;=AsOfDate,IF($R42=0,$X42,IF(AND($T42&lt;&gt;"",EDATE($D42,Milestones!$AA$44)&gt;=$T42),$W42,IF(AND($S42&lt;&gt;"",EDATE($D42,Milestones!$AA$44)&gt;=$S42),$V42,$U42)))=Milestones!$AB$44),UPPER(TEXT(EDATE($D42,Milestones!$AA$44),"dd mmm yy"))&amp;" "&amp;Milestones!$AB$44&amp;" "&amp;Milestones!$AC$44&amp;";  ","")&amp;IF(AND(EDATE($D42,Milestones!$AA$45)&lt;=AsOfDate,IF($R42=0,$X42,IF(AND($T42&lt;&gt;"",EDATE($D42,Milestones!$AA$45)&gt;=$T42),$W42,IF(AND($S42&lt;&gt;"",EDATE($D42,Milestones!$AA$45)&gt;=$S42),$V42,$U42)))=Milestones!$AB$45),UPPER(TEXT(EDATE($D42,Milestones!$AA$45),"dd mmm yy"))&amp;" "&amp;Milestones!$AB$45&amp;" "&amp;Milestones!$AC$45&amp;";  ","")&amp;IF(AND(EDATE($D42,Milestones!$AA$46)&lt;=AsOfDate,IF($R42=0,$X42,IF(AND($T42&lt;&gt;"",EDATE($D42,Milestones!$AA$46)&gt;=$T42),$W42,IF(AND($S42&lt;&gt;"",EDATE($D42,Milestones!$AA$46)&gt;=$S42),$V42,$U42)))=Milestones!$AB$46),UPPER(TEXT(EDATE($D42,Milestones!$AA$46),"dd mmm yy"))&amp;" "&amp;Milestones!$AB$46&amp;" "&amp;Milestones!$AC$46&amp;";  ","")&amp;IF(AND(EDATE($D42,Milestones!$AA$47)&lt;=AsOfDate,IF($R42=0,$X42,IF(AND($T42&lt;&gt;"",EDATE($D42,Milestones!$AA$47)&gt;=$T42),$W42,IF(AND($S42&lt;&gt;"",EDATE($D42,Milestones!$AA$47)&gt;=$S42),$V42,$U42)))=Milestones!$AB$47),UPPER(TEXT(EDATE($D42,Milestones!$AA$47),"dd mmm yy"))&amp;" "&amp;Milestones!$AB$47&amp;" "&amp;Milestones!$AC$47&amp;";  ","")&amp;IF(AND(EDATE($D42,Milestones!$AA$48)&lt;=AsOfDate,IF($R42=0,$X42,IF(AND($T42&lt;&gt;"",EDATE($D42,Milestones!$AA$48)&gt;=$T42),$W42,IF(AND($S42&lt;&gt;"",EDATE($D42,Milestones!$AA$48)&gt;=$S42),$V42,$U42)))=Milestones!$AB$48),UPPER(TEXT(EDATE($D42,Milestones!$AA$48),"dd mmm yy"))&amp;" "&amp;Milestones!$AB$48&amp;" "&amp;Milestones!$AC$48&amp;";  ","")&amp;IF(AND(EDATE($D42,Milestones!$AA$49)&lt;=AsOfDate,IF($R42=0,$X42,IF(AND($T42&lt;&gt;"",EDATE($D42,Milestones!$AA$49)&gt;=$T42),$W42,IF(AND($S42&lt;&gt;"",EDATE($D42,Milestones!$AA$49)&gt;=$S42),$V42,$U42)))=Milestones!$AB$49),UPPER(TEXT(EDATE($D42,Milestones!$AA$49),"dd mmm yy"))&amp;" "&amp;Milestones!$AB$49&amp;" "&amp;Milestones!$AC$49&amp;";  ","")&amp;IF(AND(EDATE($D42,Milestones!$AA$50)&lt;=AsOfDate,IF($R42=0,$X42,IF(AND($T42&lt;&gt;"",EDATE($D42,Milestones!$AA$50)&gt;=$T42),$W42,IF(AND($S42&lt;&gt;"",EDATE($D42,Milestones!$AA$50)&gt;=$S42),$V42,$U42)))=Milestones!$AB$50),UPPER(TEXT(EDATE($D42,Milestones!$AA$50),"dd mmm yy"))&amp;" "&amp;Milestones!$AB$50&amp;" "&amp;Milestones!$AC$50&amp;";  ","")&amp;IF(AND(EDATE($D42,Milestones!$AA$51)&lt;=AsOfDate,IF($R42=0,$X42,IF(AND($T42&lt;&gt;"",EDATE($D42,Milestones!$AA$51)&gt;=$T42),$W42,IF(AND($S42&lt;&gt;"",EDATE($D42,Milestones!$AA$51)&gt;=$S42),$V42,$U42)))=Milestones!$AB$51),UPPER(TEXT(EDATE($D42,Milestones!$AA$51),"dd mmm yy"))&amp;" "&amp;Milestones!$AB$51&amp;" "&amp;Milestones!$AC$51&amp;";  ","")&amp;IF(AND(EDATE($D42,Milestones!$AA$52)&lt;=AsOfDate,IF($R42=0,$X42,IF(AND($T42&lt;&gt;"",EDATE($D42,Milestones!$AA$52)&gt;=$T42),$W42,IF(AND($S42&lt;&gt;"",EDATE($D42,Milestones!$AA$52)&gt;=$S42),$V42,$U42)))=Milestones!$AB$52),UPPER(TEXT(EDATE($D42,Milestones!$AA$52),"dd mmm yy"))&amp;" "&amp;Milestones!$AB$52&amp;" "&amp;Milestones!$AC$52&amp;";  ","")&amp;IF(AND(EDATE($D42,Milestones!$AA$53)&lt;=AsOfDate,IF($R42=0,$X42,IF(AND($T42&lt;&gt;"",EDATE($D42,Milestones!$AA$53)&gt;=$T42),$W42,IF(AND($S42&lt;&gt;"",EDATE($D42,Milestones!$AA$53)&gt;=$S42),$V42,$U42)))=Milestones!$AB$53),UPPER(TEXT(EDATE($D42,Milestones!$AA$53),"dd mmm yy"))&amp;" "&amp;Milestones!$AB$53&amp;" "&amp;Milestones!$AC$53&amp;";  ","")&amp;IF(AND(EDATE($D42,Milestones!$AA$54)&lt;=AsOfDate,IF($R42=0,$X42,IF(AND($T42&lt;&gt;"",EDATE($D42,Milestones!$AA$54)&gt;=$T42),$W42,IF(AND($S42&lt;&gt;"",EDATE($D42,Milestones!$AA$54)&gt;=$S42),$V42,$U42)))=Milestones!$AB$54),UPPER(TEXT(EDATE($D42,Milestones!$AA$54),"dd mmm yy"))&amp;" "&amp;Milestones!$AB$54&amp;" "&amp;Milestones!$AC$54&amp;";  ","")&amp;IF(AND(EDATE($D42,Milestones!$AA$55)&lt;=AsOfDate,IF($R42=0,$X42,IF(AND($T42&lt;&gt;"",EDATE($D42,Milestones!$AA$55)&gt;=$T42),$W42,IF(AND($S42&lt;&gt;"",EDATE($D42,Milestones!$AA$55)&gt;=$S42),$V42,$U42)))=Milestones!$AB$55),UPPER(TEXT(EDATE($D42,Milestones!$AA$55),"dd mmm yy"))&amp;" "&amp;Milestones!$AB$55&amp;" "&amp;Milestones!$AC$55&amp;";  ","")&amp;IF(AND(EDATE($D42,Milestones!$AA$56)&lt;=AsOfDate,IF($R42=0,$X42,IF(AND($T42&lt;&gt;"",EDATE($D42,Milestones!$AA$56)&gt;=$T42),$W42,IF(AND($S42&lt;&gt;"",EDATE($D42,Milestones!$AA$56)&gt;=$S42),$V42,$U42)))=Milestones!$AB$56),UPPER(TEXT(EDATE($D42,Milestones!$AA$56),"dd mmm yy"))&amp;" "&amp;Milestones!$AB$56&amp;" "&amp;Milestones!$AC$56&amp;";  ","")&amp;IF(AND(EDATE($D42,Milestones!$AA$57)&lt;=AsOfDate,IF($R42=0,$X42,IF(AND($T42&lt;&gt;"",EDATE($D42,Milestones!$AA$57)&gt;=$T42),$W42,IF(AND($S42&lt;&gt;"",EDATE($D42,Milestones!$AA$57)&gt;=$S42),$V42,$U42)))=Milestones!$AB$57),UPPER(TEXT(EDATE($D42,Milestones!$AA$57),"dd mmm yy"))&amp;" "&amp;Milestones!$AB$57&amp;" "&amp;Milestones!$AC$57&amp;";  ","")&amp;IF(AND(EDATE($D42,Milestones!$AA$58)&lt;=AsOfDate,IF($R42=0,$X42,IF(AND($T42&lt;&gt;"",EDATE($D42,Milestones!$AA$58)&gt;=$T42),$W42,IF(AND($S42&lt;&gt;"",EDATE($D42,Milestones!$AA$58)&gt;=$S42),$V42,$U42)))=Milestones!$AB$58),UPPER(TEXT(EDATE($D42,Milestones!$AA$58),"dd mmm yy"))&amp;" "&amp;Milestones!$AB$58&amp;" "&amp;Milestones!$AC$58&amp;";  ","")&amp;IF(AND(EDATE($D42,Milestones!$AA$59)&lt;=AsOfDate,IF($R42=0,$X42,IF(AND($T42&lt;&gt;"",EDATE($D42,Milestones!$AA$59)&gt;=$T42),$W42,IF(AND($S42&lt;&gt;"",EDATE($D42,Milestones!$AA$59)&gt;=$S42),$V42,$U42)))=Milestones!$AB$59),UPPER(TEXT(EDATE($D42,Milestones!$AA$59),"dd mmm yy"))&amp;" "&amp;Milestones!$AB$59&amp;" "&amp;Milestones!$AC$59&amp;";  ",""))</f>
        <v/>
      </c>
      <c r="K42" s="0" t="str">
        <f aca="false">IF(OR($A42="",$D42=""),"",IF(AND(EDATE($D42,Milestones!$AA$60)&lt;=AsOfDate,IF($R42=0,$X42,IF(AND($T42&lt;&gt;"",EDATE($D42,Milestones!$AA$60)&gt;=$T42),$W42,IF(AND($S42&lt;&gt;"",EDATE($D42,Milestones!$AA$60)&gt;=$S42),$V42,$U42)))=Milestones!$AB$60),UPPER(TEXT(EDATE($D42,Milestones!$AA$60),"dd mmm yy"))&amp;" "&amp;Milestones!$AB$60&amp;" "&amp;Milestones!$AC$60&amp;";  ","")&amp;IF(AND(EDATE($D42,Milestones!$AA$61)&lt;=AsOfDate,IF($R42=0,$X42,IF(AND($T42&lt;&gt;"",EDATE($D42,Milestones!$AA$61)&gt;=$T42),$W42,IF(AND($S42&lt;&gt;"",EDATE($D42,Milestones!$AA$61)&gt;=$S42),$V42,$U42)))=Milestones!$AB$61),UPPER(TEXT(EDATE($D42,Milestones!$AA$61),"dd mmm yy"))&amp;" "&amp;Milestones!$AB$61&amp;" "&amp;Milestones!$AC$61&amp;";  ","")&amp;IF(AND(EDATE($D42,Milestones!$AA$62)&lt;=AsOfDate,IF($R42=0,$X42,IF(AND($T42&lt;&gt;"",EDATE($D42,Milestones!$AA$62)&gt;=$T42),$W42,IF(AND($S42&lt;&gt;"",EDATE($D42,Milestones!$AA$62)&gt;=$S42),$V42,$U42)))=Milestones!$AB$62),UPPER(TEXT(EDATE($D42,Milestones!$AA$62),"dd mmm yy"))&amp;" "&amp;Milestones!$AB$62&amp;" "&amp;Milestones!$AC$62&amp;";  ","")&amp;IF(AND(EDATE($D42,Milestones!$AA$63)&lt;=AsOfDate,IF($R42=0,$X42,IF(AND($T42&lt;&gt;"",EDATE($D42,Milestones!$AA$63)&gt;=$T42),$W42,IF(AND($S42&lt;&gt;"",EDATE($D42,Milestones!$AA$63)&gt;=$S42),$V42,$U42)))=Milestones!$AB$63),UPPER(TEXT(EDATE($D42,Milestones!$AA$63),"dd mmm yy"))&amp;" "&amp;Milestones!$AB$63&amp;" "&amp;Milestones!$AC$63&amp;";  ","")&amp;IF(AND(EDATE($D42,Milestones!$AA$64)&lt;=AsOfDate,IF($R42=0,$X42,IF(AND($T42&lt;&gt;"",EDATE($D42,Milestones!$AA$64)&gt;=$T42),$W42,IF(AND($S42&lt;&gt;"",EDATE($D42,Milestones!$AA$64)&gt;=$S42),$V42,$U42)))=Milestones!$AB$64),UPPER(TEXT(EDATE($D42,Milestones!$AA$64),"dd mmm yy"))&amp;" "&amp;Milestones!$AB$64&amp;" "&amp;Milestones!$AC$64&amp;";  ","")&amp;IF(AND(EDATE($D42,Milestones!$AA$65)&lt;=AsOfDate,IF($R42=0,$X42,IF(AND($T42&lt;&gt;"",EDATE($D42,Milestones!$AA$65)&gt;=$T42),$W42,IF(AND($S42&lt;&gt;"",EDATE($D42,Milestones!$AA$65)&gt;=$S42),$V42,$U42)))=Milestones!$AB$65),UPPER(TEXT(EDATE($D42,Milestones!$AA$65),"dd mmm yy"))&amp;" "&amp;Milestones!$AB$65&amp;" "&amp;Milestones!$AC$65&amp;";  ","")&amp;IF(AND(EDATE($D42,Milestones!$AA$66)&lt;=AsOfDate,IF($R42=0,$X42,IF(AND($T42&lt;&gt;"",EDATE($D42,Milestones!$AA$66)&gt;=$T42),$W42,IF(AND($S42&lt;&gt;"",EDATE($D42,Milestones!$AA$66)&gt;=$S42),$V42,$U42)))=Milestones!$AB$66),UPPER(TEXT(EDATE($D42,Milestones!$AA$66),"dd mmm yy"))&amp;" "&amp;Milestones!$AB$66&amp;" "&amp;Milestones!$AC$66&amp;";  ","")&amp;IF(AND(EDATE($D42,Milestones!$AA$67)&lt;=AsOfDate,IF($R42=0,$X42,IF(AND($T42&lt;&gt;"",EDATE($D42,Milestones!$AA$67)&gt;=$T42),$W42,IF(AND($S42&lt;&gt;"",EDATE($D42,Milestones!$AA$67)&gt;=$S42),$V42,$U42)))=Milestones!$AB$67),UPPER(TEXT(EDATE($D42,Milestones!$AA$67),"dd mmm yy"))&amp;" "&amp;Milestones!$AB$67&amp;" "&amp;Milestones!$AC$67&amp;";  ","")&amp;IF(AND(EDATE($D42,Milestones!$AA$68)&lt;=AsOfDate,IF($R42=0,$X42,IF(AND($T42&lt;&gt;"",EDATE($D42,Milestones!$AA$68)&gt;=$T42),$W42,IF(AND($S42&lt;&gt;"",EDATE($D42,Milestones!$AA$68)&gt;=$S42),$V42,$U42)))=Milestones!$AB$68),UPPER(TEXT(EDATE($D42,Milestones!$AA$68),"dd mmm yy"))&amp;" "&amp;Milestones!$AB$68&amp;" "&amp;Milestones!$AC$68&amp;";  ","")&amp;IF(AND(EDATE($D42,Milestones!$AA$69)&lt;=AsOfDate,IF($R42=0,$X42,IF(AND($T42&lt;&gt;"",EDATE($D42,Milestones!$AA$69)&gt;=$T42),$W42,IF(AND($S42&lt;&gt;"",EDATE($D42,Milestones!$AA$69)&gt;=$S42),$V42,$U42)))=Milestones!$AB$69),UPPER(TEXT(EDATE($D42,Milestones!$AA$69),"dd mmm yy"))&amp;" "&amp;Milestones!$AB$69&amp;" "&amp;Milestones!$AC$69&amp;";  ","")&amp;IF(AND(EDATE($D42,Milestones!$AA$70)&lt;=AsOfDate,IF($R42=0,$X42,IF(AND($T42&lt;&gt;"",EDATE($D42,Milestones!$AA$70)&gt;=$T42),$W42,IF(AND($S42&lt;&gt;"",EDATE($D42,Milestones!$AA$70)&gt;=$S42),$V42,$U42)))=Milestones!$AB$70),UPPER(TEXT(EDATE($D42,Milestones!$AA$70),"dd mmm yy"))&amp;" "&amp;Milestones!$AB$70&amp;" "&amp;Milestones!$AC$70&amp;";  ","")&amp;IF(AND(EDATE($D42,Milestones!$AA$71)&lt;=AsOfDate,IF($R42=0,$X42,IF(AND($T42&lt;&gt;"",EDATE($D42,Milestones!$AA$71)&gt;=$T42),$W42,IF(AND($S42&lt;&gt;"",EDATE($D42,Milestones!$AA$71)&gt;=$S42),$V42,$U42)))=Milestones!$AB$71),UPPER(TEXT(EDATE($D42,Milestones!$AA$71),"dd mmm yy"))&amp;" "&amp;Milestones!$AB$71&amp;" "&amp;Milestones!$AC$71&amp;";  ","")&amp;IF(AND(EDATE($D42,Milestones!$AA$72)&lt;=AsOfDate,IF($R42=0,$X42,IF(AND($T42&lt;&gt;"",EDATE($D42,Milestones!$AA$72)&gt;=$T42),$W42,IF(AND($S42&lt;&gt;"",EDATE($D42,Milestones!$AA$72)&gt;=$S42),$V42,$U42)))=Milestones!$AB$72),UPPER(TEXT(EDATE($D42,Milestones!$AA$72),"dd mmm yy"))&amp;" "&amp;Milestones!$AB$72&amp;" "&amp;Milestones!$AC$72&amp;";  ","")&amp;IF(AND(EDATE($D42,Milestones!$AA$73)&lt;=AsOfDate,IF($R42=0,$X42,IF(AND($T42&lt;&gt;"",EDATE($D42,Milestones!$AA$73)&gt;=$T42),$W42,IF(AND($S42&lt;&gt;"",EDATE($D42,Milestones!$AA$73)&gt;=$S42),$V42,$U42)))=Milestones!$AB$73),UPPER(TEXT(EDATE($D42,Milestones!$AA$73),"dd mmm yy"))&amp;" "&amp;Milestones!$AB$73&amp;" "&amp;Milestones!$AC$73&amp;";  ","")&amp;IF(AND(EDATE($D42,Milestones!$AA$74)&lt;=AsOfDate,IF($R42=0,$X42,IF(AND($T42&lt;&gt;"",EDATE($D42,Milestones!$AA$74)&gt;=$T42),$W42,IF(AND($S42&lt;&gt;"",EDATE($D42,Milestones!$AA$74)&gt;=$S42),$V42,$U42)))=Milestones!$AB$74),UPPER(TEXT(EDATE($D42,Milestones!$AA$74),"dd mmm yy"))&amp;" "&amp;Milestones!$AB$74&amp;" "&amp;Milestones!$AC$74&amp;";  ","")&amp;IF(AND(EDATE($D42,Milestones!$AA$75)&lt;=AsOfDate,IF($R42=0,$X42,IF(AND($T42&lt;&gt;"",EDATE($D42,Milestones!$AA$75)&gt;=$T42),$W42,IF(AND($S42&lt;&gt;"",EDATE($D42,Milestones!$AA$75)&gt;=$S42),$V42,$U42)))=Milestones!$AB$75),UPPER(TEXT(EDATE($D42,Milestones!$AA$75),"dd mmm yy"))&amp;" "&amp;Milestones!$AB$75&amp;" "&amp;Milestones!$AC$75&amp;";  ","")&amp;IF(AND(EDATE($D42,Milestones!$AA$76)&lt;=AsOfDate,IF($R42=0,$X42,IF(AND($T42&lt;&gt;"",EDATE($D42,Milestones!$AA$76)&gt;=$T42),$W42,IF(AND($S42&lt;&gt;"",EDATE($D42,Milestones!$AA$76)&gt;=$S42),$V42,$U42)))=Milestones!$AB$76),UPPER(TEXT(EDATE($D42,Milestones!$AA$76),"dd mmm yy"))&amp;" "&amp;Milestones!$AB$76&amp;" "&amp;Milestones!$AC$76&amp;";  ","")&amp;IF(AND(EDATE($D42,Milestones!$AA$77)&lt;=AsOfDate,IF($R42=0,$X42,IF(AND($T42&lt;&gt;"",EDATE($D42,Milestones!$AA$77)&gt;=$T42),$W42,IF(AND($S42&lt;&gt;"",EDATE($D42,Milestones!$AA$77)&gt;=$S42),$V42,$U42)))=Milestones!$AB$77),UPPER(TEXT(EDATE($D42,Milestones!$AA$77),"dd mmm yy"))&amp;" "&amp;Milestones!$AB$77&amp;" "&amp;Milestones!$AC$77&amp;";  ","")&amp;IF(AND(EDATE($D42,Milestones!$AA$78)&lt;=AsOfDate,IF($R42=0,$X42,IF(AND($T42&lt;&gt;"",EDATE($D42,Milestones!$AA$78)&gt;=$T42),$W42,IF(AND($S42&lt;&gt;"",EDATE($D42,Milestones!$AA$78)&gt;=$S42),$V42,$U42)))=Milestones!$AB$78),UPPER(TEXT(EDATE($D42,Milestones!$AA$78),"dd mmm yy"))&amp;" "&amp;Milestones!$AB$78&amp;" "&amp;Milestones!$AC$78&amp;";  ","")&amp;IF(AND(EDATE($D42,Milestones!$AA$79)&lt;=AsOfDate,IF($R42=0,$X42,IF(AND($T42&lt;&gt;"",EDATE($D42,Milestones!$AA$79)&gt;=$T42),$W42,IF(AND($S42&lt;&gt;"",EDATE($D42,Milestones!$AA$79)&gt;=$S42),$V42,$U42)))=Milestones!$AB$79),UPPER(TEXT(EDATE($D42,Milestones!$AA$79),"dd mmm yy"))&amp;" "&amp;Milestones!$AB$79&amp;" "&amp;Milestones!$AC$79&amp;";  ",""))</f>
        <v/>
      </c>
      <c r="L42" s="0" t="str">
        <f aca="false">IF(OR($A42="",$D42=""),"",IF(AND(EDATE($D42,Milestones!$AA$80)&lt;=AsOfDate,IF($R42=0,$X42,IF(AND($T42&lt;&gt;"",EDATE($D42,Milestones!$AA$80)&gt;=$T42),$W42,IF(AND($S42&lt;&gt;"",EDATE($D42,Milestones!$AA$80)&gt;=$S42),$V42,$U42)))=Milestones!$AB$80),UPPER(TEXT(EDATE($D42,Milestones!$AA$80),"dd mmm yy"))&amp;" "&amp;Milestones!$AB$80&amp;" "&amp;Milestones!$AC$80&amp;";  ","")&amp;IF(AND(EDATE($D42,Milestones!$AA$81)&lt;=AsOfDate,IF($R42=0,$X42,IF(AND($T42&lt;&gt;"",EDATE($D42,Milestones!$AA$81)&gt;=$T42),$W42,IF(AND($S42&lt;&gt;"",EDATE($D42,Milestones!$AA$81)&gt;=$S42),$V42,$U42)))=Milestones!$AB$81),UPPER(TEXT(EDATE($D42,Milestones!$AA$81),"dd mmm yy"))&amp;" "&amp;Milestones!$AB$81&amp;" "&amp;Milestones!$AC$81&amp;";  ","")&amp;IF(AND(EDATE($D42,Milestones!$AA$82)&lt;=AsOfDate,IF($R42=0,$X42,IF(AND($T42&lt;&gt;"",EDATE($D42,Milestones!$AA$82)&gt;=$T42),$W42,IF(AND($S42&lt;&gt;"",EDATE($D42,Milestones!$AA$82)&gt;=$S42),$V42,$U42)))=Milestones!$AB$82),UPPER(TEXT(EDATE($D42,Milestones!$AA$82),"dd mmm yy"))&amp;" "&amp;Milestones!$AB$82&amp;" "&amp;Milestones!$AC$82&amp;";  ","")&amp;IF(AND(EDATE($D42,Milestones!$AA$83)&lt;=AsOfDate,IF($R42=0,$X42,IF(AND($T42&lt;&gt;"",EDATE($D42,Milestones!$AA$83)&gt;=$T42),$W42,IF(AND($S42&lt;&gt;"",EDATE($D42,Milestones!$AA$83)&gt;=$S42),$V42,$U42)))=Milestones!$AB$83),UPPER(TEXT(EDATE($D42,Milestones!$AA$83),"dd mmm yy"))&amp;" "&amp;Milestones!$AB$83&amp;" "&amp;Milestones!$AC$83&amp;";  ","")&amp;IF(AND(EDATE($D42,Milestones!$AA$84)&lt;=AsOfDate,IF($R42=0,$X42,IF(AND($T42&lt;&gt;"",EDATE($D42,Milestones!$AA$84)&gt;=$T42),$W42,IF(AND($S42&lt;&gt;"",EDATE($D42,Milestones!$AA$84)&gt;=$S42),$V42,$U42)))=Milestones!$AB$84),UPPER(TEXT(EDATE($D42,Milestones!$AA$84),"dd mmm yy"))&amp;" "&amp;Milestones!$AB$84&amp;" "&amp;Milestones!$AC$84&amp;";  ","")&amp;IF(AND(EDATE($D42,Milestones!$AA$85)&lt;=AsOfDate,IF($R42=0,$X42,IF(AND($T42&lt;&gt;"",EDATE($D42,Milestones!$AA$85)&gt;=$T42),$W42,IF(AND($S42&lt;&gt;"",EDATE($D42,Milestones!$AA$85)&gt;=$S42),$V42,$U42)))=Milestones!$AB$85),UPPER(TEXT(EDATE($D42,Milestones!$AA$85),"dd mmm yy"))&amp;" "&amp;Milestones!$AB$85&amp;" "&amp;Milestones!$AC$85&amp;";  ","")&amp;IF(AND(EDATE($D42,Milestones!$AA$86)&lt;=AsOfDate,IF($R42=0,$X42,IF(AND($T42&lt;&gt;"",EDATE($D42,Milestones!$AA$86)&gt;=$T42),$W42,IF(AND($S42&lt;&gt;"",EDATE($D42,Milestones!$AA$86)&gt;=$S42),$V42,$U42)))=Milestones!$AB$86),UPPER(TEXT(EDATE($D42,Milestones!$AA$86),"dd mmm yy"))&amp;" "&amp;Milestones!$AB$86&amp;" "&amp;Milestones!$AC$86&amp;";  ","")&amp;IF(AND(EDATE($D42,Milestones!$AA$87)&lt;=AsOfDate,IF($R42=0,$X42,IF(AND($T42&lt;&gt;"",EDATE($D42,Milestones!$AA$87)&gt;=$T42),$W42,IF(AND($S42&lt;&gt;"",EDATE($D42,Milestones!$AA$87)&gt;=$S42),$V42,$U42)))=Milestones!$AB$87),UPPER(TEXT(EDATE($D42,Milestones!$AA$87),"dd mmm yy"))&amp;" "&amp;Milestones!$AB$87&amp;" "&amp;Milestones!$AC$87&amp;";  ","")&amp;IF(AND(EDATE($D42,Milestones!$AA$88)&lt;=AsOfDate,IF($R42=0,$X42,IF(AND($T42&lt;&gt;"",EDATE($D42,Milestones!$AA$88)&gt;=$T42),$W42,IF(AND($S42&lt;&gt;"",EDATE($D42,Milestones!$AA$88)&gt;=$S42),$V42,$U42)))=Milestones!$AB$88),UPPER(TEXT(EDATE($D42,Milestones!$AA$88),"dd mmm yy"))&amp;" "&amp;Milestones!$AB$88&amp;" "&amp;Milestones!$AC$88&amp;";  ","")&amp;IF(AND(EDATE($D42,Milestones!$AA$89)&lt;=AsOfDate,IF($R42=0,$X42,IF(AND($T42&lt;&gt;"",EDATE($D42,Milestones!$AA$89)&gt;=$T42),$W42,IF(AND($S42&lt;&gt;"",EDATE($D42,Milestones!$AA$89)&gt;=$S42),$V42,$U42)))=Milestones!$AB$89),UPPER(TEXT(EDATE($D42,Milestones!$AA$89),"dd mmm yy"))&amp;" "&amp;Milestones!$AB$89&amp;" "&amp;Milestones!$AC$89&amp;";  ","")&amp;IF(AND(EDATE($D42,Milestones!$AA$90)&lt;=AsOfDate,IF($R42=0,$X42,IF(AND($T42&lt;&gt;"",EDATE($D42,Milestones!$AA$90)&gt;=$T42),$W42,IF(AND($S42&lt;&gt;"",EDATE($D42,Milestones!$AA$90)&gt;=$S42),$V42,$U42)))=Milestones!$AB$90),UPPER(TEXT(EDATE($D42,Milestones!$AA$90),"dd mmm yy"))&amp;" "&amp;Milestones!$AB$90&amp;" "&amp;Milestones!$AC$90&amp;";  ","")&amp;IF(AND(EDATE($D42,Milestones!$AA$91)&lt;=AsOfDate,IF($R42=0,$X42,IF(AND($T42&lt;&gt;"",EDATE($D42,Milestones!$AA$91)&gt;=$T42),$W42,IF(AND($S42&lt;&gt;"",EDATE($D42,Milestones!$AA$91)&gt;=$S42),$V42,$U42)))=Milestones!$AB$91),UPPER(TEXT(EDATE($D42,Milestones!$AA$91),"dd mmm yy"))&amp;" "&amp;Milestones!$AB$91&amp;" "&amp;Milestones!$AC$91&amp;";  ","")&amp;IF(AND(EDATE($D42,Milestones!$AA$92)&lt;=AsOfDate,IF($R42=0,$X42,IF(AND($T42&lt;&gt;"",EDATE($D42,Milestones!$AA$92)&gt;=$T42),$W42,IF(AND($S42&lt;&gt;"",EDATE($D42,Milestones!$AA$92)&gt;=$S42),$V42,$U42)))=Milestones!$AB$92),UPPER(TEXT(EDATE($D42,Milestones!$AA$92),"dd mmm yy"))&amp;" "&amp;Milestones!$AB$92&amp;" "&amp;Milestones!$AC$92&amp;";  ","")&amp;IF(AND(EDATE($D42,Milestones!$AA$93)&lt;=AsOfDate,IF($R42=0,$X42,IF(AND($T42&lt;&gt;"",EDATE($D42,Milestones!$AA$93)&gt;=$T42),$W42,IF(AND($S42&lt;&gt;"",EDATE($D42,Milestones!$AA$93)&gt;=$S42),$V42,$U42)))=Milestones!$AB$93),UPPER(TEXT(EDATE($D42,Milestones!$AA$93),"dd mmm yy"))&amp;" "&amp;Milestones!$AB$93&amp;" "&amp;Milestones!$AC$93&amp;";  ","")&amp;IF(AND(EDATE($D42,Milestones!$AA$94)&lt;=AsOfDate,IF($R42=0,$X42,IF(AND($T42&lt;&gt;"",EDATE($D42,Milestones!$AA$94)&gt;=$T42),$W42,IF(AND($S42&lt;&gt;"",EDATE($D42,Milestones!$AA$94)&gt;=$S42),$V42,$U42)))=Milestones!$AB$94),UPPER(TEXT(EDATE($D42,Milestones!$AA$94),"dd mmm yy"))&amp;" "&amp;Milestones!$AB$94&amp;" "&amp;Milestones!$AC$94&amp;";  ","")&amp;IF(AND(EDATE($D42,Milestones!$AA$95)&lt;=AsOfDate,IF($R42=0,$X42,IF(AND($T42&lt;&gt;"",EDATE($D42,Milestones!$AA$95)&gt;=$T42),$W42,IF(AND($S42&lt;&gt;"",EDATE($D42,Milestones!$AA$95)&gt;=$S42),$V42,$U42)))=Milestones!$AB$95),UPPER(TEXT(EDATE($D42,Milestones!$AA$95),"dd mmm yy"))&amp;" "&amp;Milestones!$AB$95&amp;" "&amp;Milestones!$AC$95&amp;";  ","")&amp;IF(AND(EDATE($D42,Milestones!$AA$96)&lt;=AsOfDate,IF($R42=0,$X42,IF(AND($T42&lt;&gt;"",EDATE($D42,Milestones!$AA$96)&gt;=$T42),$W42,IF(AND($S42&lt;&gt;"",EDATE($D42,Milestones!$AA$96)&gt;=$S42),$V42,$U42)))=Milestones!$AB$96),UPPER(TEXT(EDATE($D42,Milestones!$AA$96),"dd mmm yy"))&amp;" "&amp;Milestones!$AB$96&amp;" "&amp;Milestones!$AC$96&amp;";  ","")&amp;IF(AND(EDATE($D42,Milestones!$AA$97)&lt;=AsOfDate,IF($R42=0,$X42,IF(AND($T42&lt;&gt;"",EDATE($D42,Milestones!$AA$97)&gt;=$T42),$W42,IF(AND($S42&lt;&gt;"",EDATE($D42,Milestones!$AA$97)&gt;=$S42),$V42,$U42)))=Milestones!$AB$97),UPPER(TEXT(EDATE($D42,Milestones!$AA$97),"dd mmm yy"))&amp;" "&amp;Milestones!$AB$97&amp;" "&amp;Milestones!$AC$97&amp;";  ","")&amp;IF(AND(EDATE($D42,Milestones!$AA$98)&lt;=AsOfDate,IF($R42=0,$X42,IF(AND($T42&lt;&gt;"",EDATE($D42,Milestones!$AA$98)&gt;=$T42),$W42,IF(AND($S42&lt;&gt;"",EDATE($D42,Milestones!$AA$98)&gt;=$S42),$V42,$U42)))=Milestones!$AB$98),UPPER(TEXT(EDATE($D42,Milestones!$AA$98),"dd mmm yy"))&amp;" "&amp;Milestones!$AB$98&amp;" "&amp;Milestones!$AC$98&amp;";  ","")&amp;IF(AND(EDATE($D42,Milestones!$AA$99)&lt;=AsOfDate,IF($R42=0,$X42,IF(AND($T42&lt;&gt;"",EDATE($D42,Milestones!$AA$99)&gt;=$T42),$W42,IF(AND($S42&lt;&gt;"",EDATE($D42,Milestones!$AA$99)&gt;=$S42),$V42,$U42)))=Milestones!$AB$99),UPPER(TEXT(EDATE($D42,Milestones!$AA$99),"dd mmm yy"))&amp;" "&amp;Milestones!$AB$99&amp;" "&amp;Milestones!$AC$99&amp;";  ",""))</f>
        <v/>
      </c>
      <c r="M42" s="0" t="str">
        <f aca="false">IF(OR($A42="",$D42=""),"",IF(AND(EDATE($D42,Milestones!$AA$100)&lt;=AsOfDate,IF($R42=0,$X42,IF(AND($T42&lt;&gt;"",EDATE($D42,Milestones!$AA$100)&gt;=$T42),$W42,IF(AND($S42&lt;&gt;"",EDATE($D42,Milestones!$AA$100)&gt;=$S42),$V42,$U42)))=Milestones!$AB$100),UPPER(TEXT(EDATE($D42,Milestones!$AA$100),"dd mmm yy"))&amp;" "&amp;Milestones!$AB$100&amp;" "&amp;Milestones!$AC$100&amp;";  ","")&amp;IF(AND(EDATE($D42,Milestones!$AA$101)&lt;=AsOfDate,IF($R42=0,$X42,IF(AND($T42&lt;&gt;"",EDATE($D42,Milestones!$AA$101)&gt;=$T42),$W42,IF(AND($S42&lt;&gt;"",EDATE($D42,Milestones!$AA$101)&gt;=$S42),$V42,$U42)))=Milestones!$AB$101),UPPER(TEXT(EDATE($D42,Milestones!$AA$101),"dd mmm yy"))&amp;" "&amp;Milestones!$AB$101&amp;" "&amp;Milestones!$AC$101&amp;";  ","")&amp;IF(AND(EDATE($D42,Milestones!$AA$102)&lt;=AsOfDate,IF($R42=0,$X42,IF(AND($T42&lt;&gt;"",EDATE($D42,Milestones!$AA$102)&gt;=$T42),$W42,IF(AND($S42&lt;&gt;"",EDATE($D42,Milestones!$AA$102)&gt;=$S42),$V42,$U42)))=Milestones!$AB$102),UPPER(TEXT(EDATE($D42,Milestones!$AA$102),"dd mmm yy"))&amp;" "&amp;Milestones!$AB$102&amp;" "&amp;Milestones!$AC$102&amp;";  ","")&amp;IF(AND(EDATE($D42,Milestones!$AA$103)&lt;=AsOfDate,IF($R42=0,$X42,IF(AND($T42&lt;&gt;"",EDATE($D42,Milestones!$AA$103)&gt;=$T42),$W42,IF(AND($S42&lt;&gt;"",EDATE($D42,Milestones!$AA$103)&gt;=$S42),$V42,$U42)))=Milestones!$AB$103),UPPER(TEXT(EDATE($D42,Milestones!$AA$103),"dd mmm yy"))&amp;" "&amp;Milestones!$AB$103&amp;" "&amp;Milestones!$AC$103&amp;";  ","")&amp;IF(AND(EDATE($D42,Milestones!$AA$104)&lt;=AsOfDate,IF($R42=0,$X42,IF(AND($T42&lt;&gt;"",EDATE($D42,Milestones!$AA$104)&gt;=$T42),$W42,IF(AND($S42&lt;&gt;"",EDATE($D42,Milestones!$AA$104)&gt;=$S42),$V42,$U42)))=Milestones!$AB$104),UPPER(TEXT(EDATE($D42,Milestones!$AA$104),"dd mmm yy"))&amp;" "&amp;Milestones!$AB$104&amp;" "&amp;Milestones!$AC$104&amp;";  ","")&amp;IF(AND(EDATE($D42,Milestones!$AA$105)&lt;=AsOfDate,IF($R42=0,$X42,IF(AND($T42&lt;&gt;"",EDATE($D42,Milestones!$AA$105)&gt;=$T42),$W42,IF(AND($S42&lt;&gt;"",EDATE($D42,Milestones!$AA$105)&gt;=$S42),$V42,$U42)))=Milestones!$AB$105),UPPER(TEXT(EDATE($D42,Milestones!$AA$105),"dd mmm yy"))&amp;" "&amp;Milestones!$AB$105&amp;" "&amp;Milestones!$AC$105&amp;";  ","")&amp;IF(AND(EDATE($D42,Milestones!$AA$106)&lt;=AsOfDate,IF($R42=0,$X42,IF(AND($T42&lt;&gt;"",EDATE($D42,Milestones!$AA$106)&gt;=$T42),$W42,IF(AND($S42&lt;&gt;"",EDATE($D42,Milestones!$AA$106)&gt;=$S42),$V42,$U42)))=Milestones!$AB$106),UPPER(TEXT(EDATE($D42,Milestones!$AA$106),"dd mmm yy"))&amp;" "&amp;Milestones!$AB$106&amp;" "&amp;Milestones!$AC$106&amp;";  ","")&amp;IF(AND(EDATE($D42,Milestones!$AA$107)&lt;=AsOfDate,IF($R42=0,$X42,IF(AND($T42&lt;&gt;"",EDATE($D42,Milestones!$AA$107)&gt;=$T42),$W42,IF(AND($S42&lt;&gt;"",EDATE($D42,Milestones!$AA$107)&gt;=$S42),$V42,$U42)))=Milestones!$AB$107),UPPER(TEXT(EDATE($D42,Milestones!$AA$107),"dd mmm yy"))&amp;" "&amp;Milestones!$AB$107&amp;" "&amp;Milestones!$AC$107&amp;";  ","")&amp;IF(AND(EDATE($D42,Milestones!$AA$108)&lt;=AsOfDate,IF($R42=0,$X42,IF(AND($T42&lt;&gt;"",EDATE($D42,Milestones!$AA$108)&gt;=$T42),$W42,IF(AND($S42&lt;&gt;"",EDATE($D42,Milestones!$AA$108)&gt;=$S42),$V42,$U42)))=Milestones!$AB$108),UPPER(TEXT(EDATE($D42,Milestones!$AA$108),"dd mmm yy"))&amp;" "&amp;Milestones!$AB$108&amp;" "&amp;Milestones!$AC$108&amp;";  ","")&amp;IF(AND(EDATE($D42,Milestones!$AA$109)&lt;=AsOfDate,IF($R42=0,$X42,IF(AND($T42&lt;&gt;"",EDATE($D42,Milestones!$AA$109)&gt;=$T42),$W42,IF(AND($S42&lt;&gt;"",EDATE($D42,Milestones!$AA$109)&gt;=$S42),$V42,$U42)))=Milestones!$AB$109),UPPER(TEXT(EDATE($D42,Milestones!$AA$109),"dd mmm yy"))&amp;" "&amp;Milestones!$AB$109&amp;" "&amp;Milestones!$AC$109&amp;";  ","")&amp;IF(AND(EDATE($D42,Milestones!$AA$110)&lt;=AsOfDate,IF($R42=0,$X42,IF(AND($T42&lt;&gt;"",EDATE($D42,Milestones!$AA$110)&gt;=$T42),$W42,IF(AND($S42&lt;&gt;"",EDATE($D42,Milestones!$AA$110)&gt;=$S42),$V42,$U42)))=Milestones!$AB$110),UPPER(TEXT(EDATE($D42,Milestones!$AA$110),"dd mmm yy"))&amp;" "&amp;Milestones!$AB$110&amp;" "&amp;Milestones!$AC$110&amp;";  ","")&amp;IF(AND(EDATE($D42,Milestones!$AA$111)&lt;=AsOfDate,IF($R42=0,$X42,IF(AND($T42&lt;&gt;"",EDATE($D42,Milestones!$AA$111)&gt;=$T42),$W42,IF(AND($S42&lt;&gt;"",EDATE($D42,Milestones!$AA$111)&gt;=$S42),$V42,$U42)))=Milestones!$AB$111),UPPER(TEXT(EDATE($D42,Milestones!$AA$111),"dd mmm yy"))&amp;" "&amp;Milestones!$AB$111&amp;" "&amp;Milestones!$AC$111&amp;";  ","")&amp;IF(AND(EDATE($D42,Milestones!$AA$112)&lt;=AsOfDate,IF($R42=0,$X42,IF(AND($T42&lt;&gt;"",EDATE($D42,Milestones!$AA$112)&gt;=$T42),$W42,IF(AND($S42&lt;&gt;"",EDATE($D42,Milestones!$AA$112)&gt;=$S42),$V42,$U42)))=Milestones!$AB$112),UPPER(TEXT(EDATE($D42,Milestones!$AA$112),"dd mmm yy"))&amp;" "&amp;Milestones!$AB$112&amp;" "&amp;Milestones!$AC$112&amp;";  ","")&amp;IF(AND(EDATE($D42,Milestones!$AA$113)&lt;=AsOfDate,IF($R42=0,$X42,IF(AND($T42&lt;&gt;"",EDATE($D42,Milestones!$AA$113)&gt;=$T42),$W42,IF(AND($S42&lt;&gt;"",EDATE($D42,Milestones!$AA$113)&gt;=$S42),$V42,$U42)))=Milestones!$AB$113),UPPER(TEXT(EDATE($D42,Milestones!$AA$113),"dd mmm yy"))&amp;" "&amp;Milestones!$AB$113&amp;" "&amp;Milestones!$AC$113&amp;";  ","")&amp;IF(AND(EDATE($D42,Milestones!$AA$114)&lt;=AsOfDate,IF($R42=0,$X42,IF(AND($T42&lt;&gt;"",EDATE($D42,Milestones!$AA$114)&gt;=$T42),$W42,IF(AND($S42&lt;&gt;"",EDATE($D42,Milestones!$AA$114)&gt;=$S42),$V42,$U42)))=Milestones!$AB$114),UPPER(TEXT(EDATE($D42,Milestones!$AA$114),"dd mmm yy"))&amp;" "&amp;Milestones!$AB$114&amp;" "&amp;Milestones!$AC$114&amp;";  ","")&amp;IF(AND(EDATE($D42,Milestones!$AA$115)&lt;=AsOfDate,IF($R42=0,$X42,IF(AND($T42&lt;&gt;"",EDATE($D42,Milestones!$AA$115)&gt;=$T42),$W42,IF(AND($S42&lt;&gt;"",EDATE($D42,Milestones!$AA$115)&gt;=$S42),$V42,$U42)))=Milestones!$AB$115),UPPER(TEXT(EDATE($D42,Milestones!$AA$115),"dd mmm yy"))&amp;" "&amp;Milestones!$AB$115&amp;" "&amp;Milestones!$AC$115&amp;";  ","")&amp;IF(AND(EDATE($D42,Milestones!$AA$116)&lt;=AsOfDate,IF($R42=0,$X42,IF(AND($T42&lt;&gt;"",EDATE($D42,Milestones!$AA$116)&gt;=$T42),$W42,IF(AND($S42&lt;&gt;"",EDATE($D42,Milestones!$AA$116)&gt;=$S42),$V42,$U42)))=Milestones!$AB$116),UPPER(TEXT(EDATE($D42,Milestones!$AA$116),"dd mmm yy"))&amp;" "&amp;Milestones!$AB$116&amp;" "&amp;Milestones!$AC$116&amp;";  ","")&amp;IF(AND(EDATE($D42,Milestones!$AA$117)&lt;=AsOfDate,IF($R42=0,$X42,IF(AND($T42&lt;&gt;"",EDATE($D42,Milestones!$AA$117)&gt;=$T42),$W42,IF(AND($S42&lt;&gt;"",EDATE($D42,Milestones!$AA$117)&gt;=$S42),$V42,$U42)))=Milestones!$AB$117),UPPER(TEXT(EDATE($D42,Milestones!$AA$117),"dd mmm yy"))&amp;" "&amp;Milestones!$AB$117&amp;" "&amp;Milestones!$AC$117&amp;";  ","")&amp;IF(AND(EDATE($D42,Milestones!$AA$118)&lt;=AsOfDate,IF($R42=0,$X42,IF(AND($T42&lt;&gt;"",EDATE($D42,Milestones!$AA$118)&gt;=$T42),$W42,IF(AND($S42&lt;&gt;"",EDATE($D42,Milestones!$AA$118)&gt;=$S42),$V42,$U42)))=Milestones!$AB$118),UPPER(TEXT(EDATE($D42,Milestones!$AA$118),"dd mmm yy"))&amp;" "&amp;Milestones!$AB$118&amp;" "&amp;Milestones!$AC$118&amp;";  ","")&amp;IF(AND(EDATE($D42,Milestones!$AA$119)&lt;=AsOfDate,IF($R42=0,$X42,IF(AND($T42&lt;&gt;"",EDATE($D42,Milestones!$AA$119)&gt;=$T42),$W42,IF(AND($S42&lt;&gt;"",EDATE($D42,Milestones!$AA$119)&gt;=$S42),$V42,$U42)))=Milestones!$AB$119),UPPER(TEXT(EDATE($D42,Milestones!$AA$119),"dd mmm yy"))&amp;" "&amp;Milestones!$AB$119&amp;" "&amp;Milestones!$AC$119&amp;";  ",""))</f>
        <v/>
      </c>
      <c r="N42" s="0" t="str">
        <f aca="false">IF(OR($A42="",$D42=""),"",IF(AND(EDATE($D42,Milestones!$AA$120)&lt;=AsOfDate,IF($R42=0,$X42,IF(AND($T42&lt;&gt;"",EDATE($D42,Milestones!$AA$120)&gt;=$T42),$W42,IF(AND($S42&lt;&gt;"",EDATE($D42,Milestones!$AA$120)&gt;=$S42),$V42,$U42)))=Milestones!$AB$120),UPPER(TEXT(EDATE($D42,Milestones!$AA$120),"dd mmm yy"))&amp;" "&amp;Milestones!$AB$120&amp;" "&amp;Milestones!$AC$120&amp;";  ","")&amp;IF(AND(EDATE($D42,Milestones!$AA$121)&lt;=AsOfDate,IF($R42=0,$X42,IF(AND($T42&lt;&gt;"",EDATE($D42,Milestones!$AA$121)&gt;=$T42),$W42,IF(AND($S42&lt;&gt;"",EDATE($D42,Milestones!$AA$121)&gt;=$S42),$V42,$U42)))=Milestones!$AB$121),UPPER(TEXT(EDATE($D42,Milestones!$AA$121),"dd mmm yy"))&amp;" "&amp;Milestones!$AB$121&amp;" "&amp;Milestones!$AC$121&amp;";  ","")&amp;IF(AND(EDATE($D42,Milestones!$AA$122)&lt;=AsOfDate,IF($R42=0,$X42,IF(AND($T42&lt;&gt;"",EDATE($D42,Milestones!$AA$122)&gt;=$T42),$W42,IF(AND($S42&lt;&gt;"",EDATE($D42,Milestones!$AA$122)&gt;=$S42),$V42,$U42)))=Milestones!$AB$122),UPPER(TEXT(EDATE($D42,Milestones!$AA$122),"dd mmm yy"))&amp;" "&amp;Milestones!$AB$122&amp;" "&amp;Milestones!$AC$122&amp;";  ","")&amp;IF(AND(EDATE($D42,Milestones!$AA$123)&lt;=AsOfDate,IF($R42=0,$X42,IF(AND($T42&lt;&gt;"",EDATE($D42,Milestones!$AA$123)&gt;=$T42),$W42,IF(AND($S42&lt;&gt;"",EDATE($D42,Milestones!$AA$123)&gt;=$S42),$V42,$U42)))=Milestones!$AB$123),UPPER(TEXT(EDATE($D42,Milestones!$AA$123),"dd mmm yy"))&amp;" "&amp;Milestones!$AB$123&amp;" "&amp;Milestones!$AC$123&amp;";  ","")&amp;IF(AND(EDATE($D42,Milestones!$AA$124)&lt;=AsOfDate,IF($R42=0,$X42,IF(AND($T42&lt;&gt;"",EDATE($D42,Milestones!$AA$124)&gt;=$T42),$W42,IF(AND($S42&lt;&gt;"",EDATE($D42,Milestones!$AA$124)&gt;=$S42),$V42,$U42)))=Milestones!$AB$124),UPPER(TEXT(EDATE($D42,Milestones!$AA$124),"dd mmm yy"))&amp;" "&amp;Milestones!$AB$124&amp;" "&amp;Milestones!$AC$124&amp;";  ","")&amp;IF(AND(EDATE($D42,Milestones!$AA$125)&lt;=AsOfDate,IF($R42=0,$X42,IF(AND($T42&lt;&gt;"",EDATE($D42,Milestones!$AA$125)&gt;=$T42),$W42,IF(AND($S42&lt;&gt;"",EDATE($D42,Milestones!$AA$125)&gt;=$S42),$V42,$U42)))=Milestones!$AB$125),UPPER(TEXT(EDATE($D42,Milestones!$AA$125),"dd mmm yy"))&amp;" "&amp;Milestones!$AB$125&amp;" "&amp;Milestones!$AC$125&amp;";  ","")&amp;IF(AND(EDATE($D42,Milestones!$AA$126)&lt;=AsOfDate,IF($R42=0,$X42,IF(AND($T42&lt;&gt;"",EDATE($D42,Milestones!$AA$126)&gt;=$T42),$W42,IF(AND($S42&lt;&gt;"",EDATE($D42,Milestones!$AA$126)&gt;=$S42),$V42,$U42)))=Milestones!$AB$126),UPPER(TEXT(EDATE($D42,Milestones!$AA$126),"dd mmm yy"))&amp;" "&amp;Milestones!$AB$126&amp;" "&amp;Milestones!$AC$126&amp;";  ","")&amp;IF(AND(EDATE($D42,Milestones!$AA$127)&lt;=AsOfDate,IF($R42=0,$X42,IF(AND($T42&lt;&gt;"",EDATE($D42,Milestones!$AA$127)&gt;=$T42),$W42,IF(AND($S42&lt;&gt;"",EDATE($D42,Milestones!$AA$127)&gt;=$S42),$V42,$U42)))=Milestones!$AB$127),UPPER(TEXT(EDATE($D42,Milestones!$AA$127),"dd mmm yy"))&amp;" "&amp;Milestones!$AB$127&amp;" "&amp;Milestones!$AC$127&amp;";  ","")&amp;IF(AND(EDATE($D42,Milestones!$AA$128)&lt;=AsOfDate,IF($R42=0,$X42,IF(AND($T42&lt;&gt;"",EDATE($D42,Milestones!$AA$128)&gt;=$T42),$W42,IF(AND($S42&lt;&gt;"",EDATE($D42,Milestones!$AA$128)&gt;=$S42),$V42,$U42)))=Milestones!$AB$128),UPPER(TEXT(EDATE($D42,Milestones!$AA$128),"dd mmm yy"))&amp;" "&amp;Milestones!$AB$128&amp;" "&amp;Milestones!$AC$128&amp;";  ","")&amp;IF(AND(EDATE($D42,Milestones!$AA$129)&lt;=AsOfDate,IF($R42=0,$X42,IF(AND($T42&lt;&gt;"",EDATE($D42,Milestones!$AA$129)&gt;=$T42),$W42,IF(AND($S42&lt;&gt;"",EDATE($D42,Milestones!$AA$129)&gt;=$S42),$V42,$U42)))=Milestones!$AB$129),UPPER(TEXT(EDATE($D42,Milestones!$AA$129),"dd mmm yy"))&amp;" "&amp;Milestones!$AB$129&amp;" "&amp;Milestones!$AC$129&amp;";  ","")&amp;IF(AND(EDATE($D42,Milestones!$AA$130)&lt;=AsOfDate,IF($R42=0,$X42,IF(AND($T42&lt;&gt;"",EDATE($D42,Milestones!$AA$130)&gt;=$T42),$W42,IF(AND($S42&lt;&gt;"",EDATE($D42,Milestones!$AA$130)&gt;=$S42),$V42,$U42)))=Milestones!$AB$130),UPPER(TEXT(EDATE($D42,Milestones!$AA$130),"dd mmm yy"))&amp;" "&amp;Milestones!$AB$130&amp;" "&amp;Milestones!$AC$130&amp;";  ","")&amp;IF(AND(EDATE($D42,Milestones!$AA$131)&lt;=AsOfDate,IF($R42=0,$X42,IF(AND($T42&lt;&gt;"",EDATE($D42,Milestones!$AA$131)&gt;=$T42),$W42,IF(AND($S42&lt;&gt;"",EDATE($D42,Milestones!$AA$131)&gt;=$S42),$V42,$U42)))=Milestones!$AB$131),UPPER(TEXT(EDATE($D42,Milestones!$AA$131),"dd mmm yy"))&amp;" "&amp;Milestones!$AB$131&amp;" "&amp;Milestones!$AC$131&amp;";  ","")&amp;IF(AND(EDATE($D42,Milestones!$AA$132)&lt;=AsOfDate,IF($R42=0,$X42,IF(AND($T42&lt;&gt;"",EDATE($D42,Milestones!$AA$132)&gt;=$T42),$W42,IF(AND($S42&lt;&gt;"",EDATE($D42,Milestones!$AA$132)&gt;=$S42),$V42,$U42)))=Milestones!$AB$132),UPPER(TEXT(EDATE($D42,Milestones!$AA$132),"dd mmm yy"))&amp;" "&amp;Milestones!$AB$132&amp;" "&amp;Milestones!$AC$132&amp;";  ","")&amp;IF(AND(EDATE($D42,Milestones!$AA$133)&lt;=AsOfDate,IF($R42=0,$X42,IF(AND($T42&lt;&gt;"",EDATE($D42,Milestones!$AA$133)&gt;=$T42),$W42,IF(AND($S42&lt;&gt;"",EDATE($D42,Milestones!$AA$133)&gt;=$S42),$V42,$U42)))=Milestones!$AB$133),UPPER(TEXT(EDATE($D42,Milestones!$AA$133),"dd mmm yy"))&amp;" "&amp;Milestones!$AB$133&amp;" "&amp;Milestones!$AC$133&amp;";  ","")&amp;IF(AND(EDATE($D42,Milestones!$AA$134)&lt;=AsOfDate,IF($R42=0,$X42,IF(AND($T42&lt;&gt;"",EDATE($D42,Milestones!$AA$134)&gt;=$T42),$W42,IF(AND($S42&lt;&gt;"",EDATE($D42,Milestones!$AA$134)&gt;=$S42),$V42,$U42)))=Milestones!$AB$134),UPPER(TEXT(EDATE($D42,Milestones!$AA$134),"dd mmm yy"))&amp;" "&amp;Milestones!$AB$134&amp;" "&amp;Milestones!$AC$134&amp;";  ","")&amp;IF(AND(EDATE($D42,Milestones!$AA$135)&lt;=AsOfDate,IF($R42=0,$X42,IF(AND($T42&lt;&gt;"",EDATE($D42,Milestones!$AA$135)&gt;=$T42),$W42,IF(AND($S42&lt;&gt;"",EDATE($D42,Milestones!$AA$135)&gt;=$S42),$V42,$U42)))=Milestones!$AB$135),UPPER(TEXT(EDATE($D42,Milestones!$AA$135),"dd mmm yy"))&amp;" "&amp;Milestones!$AB$135&amp;" "&amp;Milestones!$AC$135&amp;";  ","")&amp;IF(AND(EDATE($D42,Milestones!$AA$136)&lt;=AsOfDate,IF($R42=0,$X42,IF(AND($T42&lt;&gt;"",EDATE($D42,Milestones!$AA$136)&gt;=$T42),$W42,IF(AND($S42&lt;&gt;"",EDATE($D42,Milestones!$AA$136)&gt;=$S42),$V42,$U42)))=Milestones!$AB$136),UPPER(TEXT(EDATE($D42,Milestones!$AA$136),"dd mmm yy"))&amp;" "&amp;Milestones!$AB$136&amp;" "&amp;Milestones!$AC$136&amp;";  ","")&amp;IF(AND(EDATE($D42,Milestones!$AA$137)&lt;=AsOfDate,IF($R42=0,$X42,IF(AND($T42&lt;&gt;"",EDATE($D42,Milestones!$AA$137)&gt;=$T42),$W42,IF(AND($S42&lt;&gt;"",EDATE($D42,Milestones!$AA$137)&gt;=$S42),$V42,$U42)))=Milestones!$AB$137),UPPER(TEXT(EDATE($D42,Milestones!$AA$137),"dd mmm yy"))&amp;" "&amp;Milestones!$AB$137&amp;" "&amp;Milestones!$AC$137&amp;";  ","")&amp;IF(AND(EDATE($D42,Milestones!$AA$138)&lt;=AsOfDate,IF($R42=0,$X42,IF(AND($T42&lt;&gt;"",EDATE($D42,Milestones!$AA$138)&gt;=$T42),$W42,IF(AND($S42&lt;&gt;"",EDATE($D42,Milestones!$AA$138)&gt;=$S42),$V42,$U42)))=Milestones!$AB$138),UPPER(TEXT(EDATE($D42,Milestones!$AA$138),"dd mmm yy"))&amp;" "&amp;Milestones!$AB$138&amp;" "&amp;Milestones!$AC$138&amp;";  ","")&amp;IF(AND(EDATE($D42,Milestones!$AA$139)&lt;=AsOfDate,IF($R42=0,$X42,IF(AND($T42&lt;&gt;"",EDATE($D42,Milestones!$AA$139)&gt;=$T42),$W42,IF(AND($S42&lt;&gt;"",EDATE($D42,Milestones!$AA$139)&gt;=$S42),$V42,$U42)))=Milestones!$AB$139),UPPER(TEXT(EDATE($D42,Milestones!$AA$139),"dd mmm yy"))&amp;" "&amp;Milestones!$AB$139&amp;" "&amp;Milestones!$AC$139&amp;";  ",""))</f>
        <v/>
      </c>
      <c r="O42" s="0" t="str">
        <f aca="false">IF(OR($A42="",$D42=""),"",IF(AND(EDATE($D42,Milestones!$AA$140)&lt;=AsOfDate,IF($R42=0,$X42,IF(AND($T42&lt;&gt;"",EDATE($D42,Milestones!$AA$140)&gt;=$T42),$W42,IF(AND($S42&lt;&gt;"",EDATE($D42,Milestones!$AA$140)&gt;=$S42),$V42,$U42)))=Milestones!$AB$140),UPPER(TEXT(EDATE($D42,Milestones!$AA$140),"dd mmm yy"))&amp;" "&amp;Milestones!$AB$140&amp;" "&amp;Milestones!$AC$140&amp;";  ","")&amp;IF(AND(EDATE($D42,Milestones!$AA$141)&lt;=AsOfDate,IF($R42=0,$X42,IF(AND($T42&lt;&gt;"",EDATE($D42,Milestones!$AA$141)&gt;=$T42),$W42,IF(AND($S42&lt;&gt;"",EDATE($D42,Milestones!$AA$141)&gt;=$S42),$V42,$U42)))=Milestones!$AB$141),UPPER(TEXT(EDATE($D42,Milestones!$AA$141),"dd mmm yy"))&amp;" "&amp;Milestones!$AB$141&amp;" "&amp;Milestones!$AC$141&amp;";  ","")&amp;IF(AND(EDATE($D42,Milestones!$AA$142)&lt;=AsOfDate,IF($R42=0,$X42,IF(AND($T42&lt;&gt;"",EDATE($D42,Milestones!$AA$142)&gt;=$T42),$W42,IF(AND($S42&lt;&gt;"",EDATE($D42,Milestones!$AA$142)&gt;=$S42),$V42,$U42)))=Milestones!$AB$142),UPPER(TEXT(EDATE($D42,Milestones!$AA$142),"dd mmm yy"))&amp;" "&amp;Milestones!$AB$142&amp;" "&amp;Milestones!$AC$142&amp;";  ","")&amp;IF(AND(EDATE($D42,Milestones!$AA$143)&lt;=AsOfDate,IF($R42=0,$X42,IF(AND($T42&lt;&gt;"",EDATE($D42,Milestones!$AA$143)&gt;=$T42),$W42,IF(AND($S42&lt;&gt;"",EDATE($D42,Milestones!$AA$143)&gt;=$S42),$V42,$U42)))=Milestones!$AB$143),UPPER(TEXT(EDATE($D42,Milestones!$AA$143),"dd mmm yy"))&amp;" "&amp;Milestones!$AB$143&amp;" "&amp;Milestones!$AC$143&amp;";  ","")&amp;IF(AND(EDATE($D42,Milestones!$AA$144)&lt;=AsOfDate,IF($R42=0,$X42,IF(AND($T42&lt;&gt;"",EDATE($D42,Milestones!$AA$144)&gt;=$T42),$W42,IF(AND($S42&lt;&gt;"",EDATE($D42,Milestones!$AA$144)&gt;=$S42),$V42,$U42)))=Milestones!$AB$144),UPPER(TEXT(EDATE($D42,Milestones!$AA$144),"dd mmm yy"))&amp;" "&amp;Milestones!$AB$144&amp;" "&amp;Milestones!$AC$144&amp;";  ","")&amp;IF(AND(EDATE($D42,Milestones!$AA$145)&lt;=AsOfDate,IF($R42=0,$X42,IF(AND($T42&lt;&gt;"",EDATE($D42,Milestones!$AA$145)&gt;=$T42),$W42,IF(AND($S42&lt;&gt;"",EDATE($D42,Milestones!$AA$145)&gt;=$S42),$V42,$U42)))=Milestones!$AB$145),UPPER(TEXT(EDATE($D42,Milestones!$AA$145),"dd mmm yy"))&amp;" "&amp;Milestones!$AB$145&amp;" "&amp;Milestones!$AC$145&amp;";  ","")&amp;IF(AND(EDATE($D42,Milestones!$AA$146)&lt;=AsOfDate,IF($R42=0,$X42,IF(AND($T42&lt;&gt;"",EDATE($D42,Milestones!$AA$146)&gt;=$T42),$W42,IF(AND($S42&lt;&gt;"",EDATE($D42,Milestones!$AA$146)&gt;=$S42),$V42,$U42)))=Milestones!$AB$146),UPPER(TEXT(EDATE($D42,Milestones!$AA$146),"dd mmm yy"))&amp;" "&amp;Milestones!$AB$146&amp;" "&amp;Milestones!$AC$146&amp;";  ","")&amp;IF(AND(EDATE($D42,Milestones!$AA$147)&lt;=AsOfDate,IF($R42=0,$X42,IF(AND($T42&lt;&gt;"",EDATE($D42,Milestones!$AA$147)&gt;=$T42),$W42,IF(AND($S42&lt;&gt;"",EDATE($D42,Milestones!$AA$147)&gt;=$S42),$V42,$U42)))=Milestones!$AB$147),UPPER(TEXT(EDATE($D42,Milestones!$AA$147),"dd mmm yy"))&amp;" "&amp;Milestones!$AB$147&amp;" "&amp;Milestones!$AC$147&amp;";  ","")&amp;IF(AND(EDATE($D42,Milestones!$AA$148)&lt;=AsOfDate,IF($R42=0,$X42,IF(AND($T42&lt;&gt;"",EDATE($D42,Milestones!$AA$148)&gt;=$T42),$W42,IF(AND($S42&lt;&gt;"",EDATE($D42,Milestones!$AA$148)&gt;=$S42),$V42,$U42)))=Milestones!$AB$148),UPPER(TEXT(EDATE($D42,Milestones!$AA$148),"dd mmm yy"))&amp;" "&amp;Milestones!$AB$148&amp;" "&amp;Milestones!$AC$148&amp;";  ","")&amp;IF(AND(EDATE($D42,Milestones!$AA$149)&lt;=AsOfDate,IF($R42=0,$X42,IF(AND($T42&lt;&gt;"",EDATE($D42,Milestones!$AA$149)&gt;=$T42),$W42,IF(AND($S42&lt;&gt;"",EDATE($D42,Milestones!$AA$149)&gt;=$S42),$V42,$U42)))=Milestones!$AB$149),UPPER(TEXT(EDATE($D42,Milestones!$AA$149),"dd mmm yy"))&amp;" "&amp;Milestones!$AB$149&amp;" "&amp;Milestones!$AC$149&amp;";  ","")&amp;IF(AND(EDATE($D42,Milestones!$AA$150)&lt;=AsOfDate,IF($R42=0,$X42,IF(AND($T42&lt;&gt;"",EDATE($D42,Milestones!$AA$150)&gt;=$T42),$W42,IF(AND($S42&lt;&gt;"",EDATE($D42,Milestones!$AA$150)&gt;=$S42),$V42,$U42)))=Milestones!$AB$150),UPPER(TEXT(EDATE($D42,Milestones!$AA$150),"dd mmm yy"))&amp;" "&amp;Milestones!$AB$150&amp;" "&amp;Milestones!$AC$150&amp;";  ","")&amp;IF(AND(EDATE($D42,Milestones!$AA$151)&lt;=AsOfDate,IF($R42=0,$X42,IF(AND($T42&lt;&gt;"",EDATE($D42,Milestones!$AA$151)&gt;=$T42),$W42,IF(AND($S42&lt;&gt;"",EDATE($D42,Milestones!$AA$151)&gt;=$S42),$V42,$U42)))=Milestones!$AB$151),UPPER(TEXT(EDATE($D42,Milestones!$AA$151),"dd mmm yy"))&amp;" "&amp;Milestones!$AB$151&amp;" "&amp;Milestones!$AC$151&amp;";  ","")&amp;IF(AND(EDATE($D42,Milestones!$AA$152)&lt;=AsOfDate,IF($R42=0,$X42,IF(AND($T42&lt;&gt;"",EDATE($D42,Milestones!$AA$152)&gt;=$T42),$W42,IF(AND($S42&lt;&gt;"",EDATE($D42,Milestones!$AA$152)&gt;=$S42),$V42,$U42)))=Milestones!$AB$152),UPPER(TEXT(EDATE($D42,Milestones!$AA$152),"dd mmm yy"))&amp;" "&amp;Milestones!$AB$152&amp;" "&amp;Milestones!$AC$152&amp;";  ","")&amp;IF(AND(EDATE($D42,Milestones!$AA$153)&lt;=AsOfDate,IF($R42=0,$X42,IF(AND($T42&lt;&gt;"",EDATE($D42,Milestones!$AA$153)&gt;=$T42),$W42,IF(AND($S42&lt;&gt;"",EDATE($D42,Milestones!$AA$153)&gt;=$S42),$V42,$U42)))=Milestones!$AB$153),UPPER(TEXT(EDATE($D42,Milestones!$AA$153),"dd mmm yy"))&amp;" "&amp;Milestones!$AB$153&amp;" "&amp;Milestones!$AC$153&amp;";  ","")&amp;IF(AND(EDATE($D42,Milestones!$AA$154)&lt;=AsOfDate,IF($R42=0,$X42,IF(AND($T42&lt;&gt;"",EDATE($D42,Milestones!$AA$154)&gt;=$T42),$W42,IF(AND($S42&lt;&gt;"",EDATE($D42,Milestones!$AA$154)&gt;=$S42),$V42,$U42)))=Milestones!$AB$154),UPPER(TEXT(EDATE($D42,Milestones!$AA$154),"dd mmm yy"))&amp;" "&amp;Milestones!$AB$154&amp;" "&amp;Milestones!$AC$154&amp;";  ","")&amp;IF(AND(EDATE($D42,Milestones!$AA$155)&lt;=AsOfDate,IF($R42=0,$X42,IF(AND($T42&lt;&gt;"",EDATE($D42,Milestones!$AA$155)&gt;=$T42),$W42,IF(AND($S42&lt;&gt;"",EDATE($D42,Milestones!$AA$155)&gt;=$S42),$V42,$U42)))=Milestones!$AB$155),UPPER(TEXT(EDATE($D42,Milestones!$AA$155),"dd mmm yy"))&amp;" "&amp;Milestones!$AB$155&amp;" "&amp;Milestones!$AC$155&amp;";  ","")&amp;IF(AND(EDATE($D42,Milestones!$AA$156)&lt;=AsOfDate,IF($R42=0,$X42,IF(AND($T42&lt;&gt;"",EDATE($D42,Milestones!$AA$156)&gt;=$T42),$W42,IF(AND($S42&lt;&gt;"",EDATE($D42,Milestones!$AA$156)&gt;=$S42),$V42,$U42)))=Milestones!$AB$156),UPPER(TEXT(EDATE($D42,Milestones!$AA$156),"dd mmm yy"))&amp;" "&amp;Milestones!$AB$156&amp;" "&amp;Milestones!$AC$156&amp;";  ","")&amp;IF(AND(EDATE($D42,Milestones!$AA$157)&lt;=AsOfDate,IF($R42=0,$X42,IF(AND($T42&lt;&gt;"",EDATE($D42,Milestones!$AA$157)&gt;=$T42),$W42,IF(AND($S42&lt;&gt;"",EDATE($D42,Milestones!$AA$157)&gt;=$S42),$V42,$U42)))=Milestones!$AB$157),UPPER(TEXT(EDATE($D42,Milestones!$AA$157),"dd mmm yy"))&amp;" "&amp;Milestones!$AB$157&amp;" "&amp;Milestones!$AC$157&amp;";  ","")&amp;IF(AND(EDATE($D42,Milestones!$AA$158)&lt;=AsOfDate,IF($R42=0,$X42,IF(AND($T42&lt;&gt;"",EDATE($D42,Milestones!$AA$158)&gt;=$T42),$W42,IF(AND($S42&lt;&gt;"",EDATE($D42,Milestones!$AA$158)&gt;=$S42),$V42,$U42)))=Milestones!$AB$158),UPPER(TEXT(EDATE($D42,Milestones!$AA$158),"dd mmm yy"))&amp;" "&amp;Milestones!$AB$158&amp;" "&amp;Milestones!$AC$158&amp;";  ","")&amp;IF(AND(EDATE($D42,Milestones!$AA$159)&lt;=AsOfDate,IF($R42=0,$X42,IF(AND($T42&lt;&gt;"",EDATE($D42,Milestones!$AA$159)&gt;=$T42),$W42,IF(AND($S42&lt;&gt;"",EDATE($D42,Milestones!$AA$159)&gt;=$S42),$V42,$U42)))=Milestones!$AB$159),UPPER(TEXT(EDATE($D42,Milestones!$AA$159),"dd mmm yy"))&amp;" "&amp;Milestones!$AB$159&amp;" "&amp;Milestones!$AC$159&amp;";  ",""))</f>
        <v/>
      </c>
      <c r="P42" s="0" t="str">
        <f aca="false">IF(OR($A42="",$D42=""),"",IF(AND(EDATE($D42,Milestones!$AA$160)&lt;=AsOfDate,IF($R42=0,$X42,IF(AND($T42&lt;&gt;"",EDATE($D42,Milestones!$AA$160)&gt;=$T42),$W42,IF(AND($S42&lt;&gt;"",EDATE($D42,Milestones!$AA$160)&gt;=$S42),$V42,$U42)))=Milestones!$AB$160),UPPER(TEXT(EDATE($D42,Milestones!$AA$160),"dd mmm yy"))&amp;" "&amp;Milestones!$AB$160&amp;" "&amp;Milestones!$AC$160&amp;";  ","")&amp;IF(AND(EDATE($D42,Milestones!$AA$161)&lt;=AsOfDate,IF($R42=0,$X42,IF(AND($T42&lt;&gt;"",EDATE($D42,Milestones!$AA$161)&gt;=$T42),$W42,IF(AND($S42&lt;&gt;"",EDATE($D42,Milestones!$AA$161)&gt;=$S42),$V42,$U42)))=Milestones!$AB$161),UPPER(TEXT(EDATE($D42,Milestones!$AA$161),"dd mmm yy"))&amp;" "&amp;Milestones!$AB$161&amp;" "&amp;Milestones!$AC$161&amp;";  ","")&amp;IF(AND(EDATE($D42,Milestones!$AA$162)&lt;=AsOfDate,IF($R42=0,$X42,IF(AND($T42&lt;&gt;"",EDATE($D42,Milestones!$AA$162)&gt;=$T42),$W42,IF(AND($S42&lt;&gt;"",EDATE($D42,Milestones!$AA$162)&gt;=$S42),$V42,$U42)))=Milestones!$AB$162),UPPER(TEXT(EDATE($D42,Milestones!$AA$162),"dd mmm yy"))&amp;" "&amp;Milestones!$AB$162&amp;" "&amp;Milestones!$AC$162&amp;";  ","")&amp;IF(AND(EDATE($D42,Milestones!$AA$163)&lt;=AsOfDate,IF($R42=0,$X42,IF(AND($T42&lt;&gt;"",EDATE($D42,Milestones!$AA$163)&gt;=$T42),$W42,IF(AND($S42&lt;&gt;"",EDATE($D42,Milestones!$AA$163)&gt;=$S42),$V42,$U42)))=Milestones!$AB$163),UPPER(TEXT(EDATE($D42,Milestones!$AA$163),"dd mmm yy"))&amp;" "&amp;Milestones!$AB$163&amp;" "&amp;Milestones!$AC$163&amp;";  ","")&amp;IF(AND(EDATE($D42,Milestones!$AA$164)&lt;=AsOfDate,IF($R42=0,$X42,IF(AND($T42&lt;&gt;"",EDATE($D42,Milestones!$AA$164)&gt;=$T42),$W42,IF(AND($S42&lt;&gt;"",EDATE($D42,Milestones!$AA$164)&gt;=$S42),$V42,$U42)))=Milestones!$AB$164),UPPER(TEXT(EDATE($D42,Milestones!$AA$164),"dd mmm yy"))&amp;" "&amp;Milestones!$AB$164&amp;" "&amp;Milestones!$AC$164&amp;";  ","")&amp;IF(AND(EDATE($D42,Milestones!$AA$165)&lt;=AsOfDate,IF($R42=0,$X42,IF(AND($T42&lt;&gt;"",EDATE($D42,Milestones!$AA$165)&gt;=$T42),$W42,IF(AND($S42&lt;&gt;"",EDATE($D42,Milestones!$AA$165)&gt;=$S42),$V42,$U42)))=Milestones!$AB$165),UPPER(TEXT(EDATE($D42,Milestones!$AA$165),"dd mmm yy"))&amp;" "&amp;Milestones!$AB$165&amp;" "&amp;Milestones!$AC$165&amp;";  ","")&amp;IF(AND(EDATE($D42,Milestones!$AA$166)&lt;=AsOfDate,IF($R42=0,$X42,IF(AND($T42&lt;&gt;"",EDATE($D42,Milestones!$AA$166)&gt;=$T42),$W42,IF(AND($S42&lt;&gt;"",EDATE($D42,Milestones!$AA$166)&gt;=$S42),$V42,$U42)))=Milestones!$AB$166),UPPER(TEXT(EDATE($D42,Milestones!$AA$166),"dd mmm yy"))&amp;" "&amp;Milestones!$AB$166&amp;" "&amp;Milestones!$AC$166&amp;";  ","")&amp;IF(AND(EDATE($D42,Milestones!$AA$167)&lt;=AsOfDate,IF($R42=0,$X42,IF(AND($T42&lt;&gt;"",EDATE($D42,Milestones!$AA$167)&gt;=$T42),$W42,IF(AND($S42&lt;&gt;"",EDATE($D42,Milestones!$AA$167)&gt;=$S42),$V42,$U42)))=Milestones!$AB$167),UPPER(TEXT(EDATE($D42,Milestones!$AA$167),"dd mmm yy"))&amp;" "&amp;Milestones!$AB$167&amp;" "&amp;Milestones!$AC$167&amp;";  ","")&amp;IF(AND(EDATE($D42,Milestones!$AA$168)&lt;=AsOfDate,IF($R42=0,$X42,IF(AND($T42&lt;&gt;"",EDATE($D42,Milestones!$AA$168)&gt;=$T42),$W42,IF(AND($S42&lt;&gt;"",EDATE($D42,Milestones!$AA$168)&gt;=$S42),$V42,$U42)))=Milestones!$AB$168),UPPER(TEXT(EDATE($D42,Milestones!$AA$168),"dd mmm yy"))&amp;" "&amp;Milestones!$AB$168&amp;" "&amp;Milestones!$AC$168&amp;";  ","")&amp;IF(AND(EDATE($D42,Milestones!$AA$169)&lt;=AsOfDate,IF($R42=0,$X42,IF(AND($T42&lt;&gt;"",EDATE($D42,Milestones!$AA$169)&gt;=$T42),$W42,IF(AND($S42&lt;&gt;"",EDATE($D42,Milestones!$AA$169)&gt;=$S42),$V42,$U42)))=Milestones!$AB$169),UPPER(TEXT(EDATE($D42,Milestones!$AA$169),"dd mmm yy"))&amp;" "&amp;Milestones!$AB$169&amp;" "&amp;Milestones!$AC$169&amp;";  ","")&amp;IF(AND(EDATE($D42,Milestones!$AA$170)&lt;=AsOfDate,IF($R42=0,$X42,IF(AND($T42&lt;&gt;"",EDATE($D42,Milestones!$AA$170)&gt;=$T42),$W42,IF(AND($S42&lt;&gt;"",EDATE($D42,Milestones!$AA$170)&gt;=$S42),$V42,$U42)))=Milestones!$AB$170),UPPER(TEXT(EDATE($D42,Milestones!$AA$170),"dd mmm yy"))&amp;" "&amp;Milestones!$AB$170&amp;" "&amp;Milestones!$AC$170&amp;";  ","")&amp;IF(AND(EDATE($D42,Milestones!$AA$171)&lt;=AsOfDate,IF($R42=0,$X42,IF(AND($T42&lt;&gt;"",EDATE($D42,Milestones!$AA$171)&gt;=$T42),$W42,IF(AND($S42&lt;&gt;"",EDATE($D42,Milestones!$AA$171)&gt;=$S42),$V42,$U42)))=Milestones!$AB$171),UPPER(TEXT(EDATE($D42,Milestones!$AA$171),"dd mmm yy"))&amp;" "&amp;Milestones!$AB$171&amp;" "&amp;Milestones!$AC$171&amp;";  ","")&amp;IF(AND(EDATE($D42,Milestones!$AA$172)&lt;=AsOfDate,IF($R42=0,$X42,IF(AND($T42&lt;&gt;"",EDATE($D42,Milestones!$AA$172)&gt;=$T42),$W42,IF(AND($S42&lt;&gt;"",EDATE($D42,Milestones!$AA$172)&gt;=$S42),$V42,$U42)))=Milestones!$AB$172),UPPER(TEXT(EDATE($D42,Milestones!$AA$172),"dd mmm yy"))&amp;" "&amp;Milestones!$AB$172&amp;" "&amp;Milestones!$AC$172&amp;";  ","")&amp;IF(AND(EDATE($D42,Milestones!$AA$173)&lt;=AsOfDate,IF($R42=0,$X42,IF(AND($T42&lt;&gt;"",EDATE($D42,Milestones!$AA$173)&gt;=$T42),$W42,IF(AND($S42&lt;&gt;"",EDATE($D42,Milestones!$AA$173)&gt;=$S42),$V42,$U42)))=Milestones!$AB$173),UPPER(TEXT(EDATE($D42,Milestones!$AA$173),"dd mmm yy"))&amp;" "&amp;Milestones!$AB$173&amp;" "&amp;Milestones!$AC$173&amp;";  ","")&amp;IF(AND(EDATE($D42,Milestones!$AA$174)&lt;=AsOfDate,IF($R42=0,$X42,IF(AND($T42&lt;&gt;"",EDATE($D42,Milestones!$AA$174)&gt;=$T42),$W42,IF(AND($S42&lt;&gt;"",EDATE($D42,Milestones!$AA$174)&gt;=$S42),$V42,$U42)))=Milestones!$AB$174),UPPER(TEXT(EDATE($D42,Milestones!$AA$174),"dd mmm yy"))&amp;" "&amp;Milestones!$AB$174&amp;" "&amp;Milestones!$AC$174&amp;";  ","")&amp;IF(AND(EDATE($D42,Milestones!$AA$175)&lt;=AsOfDate,IF($R42=0,$X42,IF(AND($T42&lt;&gt;"",EDATE($D42,Milestones!$AA$175)&gt;=$T42),$W42,IF(AND($S42&lt;&gt;"",EDATE($D42,Milestones!$AA$175)&gt;=$S42),$V42,$U42)))=Milestones!$AB$175),UPPER(TEXT(EDATE($D42,Milestones!$AA$175),"dd mmm yy"))&amp;" "&amp;Milestones!$AB$175&amp;" "&amp;Milestones!$AC$175&amp;";  ","")&amp;IF(AND(EDATE($D42,Milestones!$AA$176)&lt;=AsOfDate,IF($R42=0,$X42,IF(AND($T42&lt;&gt;"",EDATE($D42,Milestones!$AA$176)&gt;=$T42),$W42,IF(AND($S42&lt;&gt;"",EDATE($D42,Milestones!$AA$176)&gt;=$S42),$V42,$U42)))=Milestones!$AB$176),UPPER(TEXT(EDATE($D42,Milestones!$AA$176),"dd mmm yy"))&amp;" "&amp;Milestones!$AB$176&amp;" "&amp;Milestones!$AC$176&amp;";  ","")&amp;IF(AND(EDATE($D42,Milestones!$AA$177)&lt;=AsOfDate,IF($R42=0,$X42,IF(AND($T42&lt;&gt;"",EDATE($D42,Milestones!$AA$177)&gt;=$T42),$W42,IF(AND($S42&lt;&gt;"",EDATE($D42,Milestones!$AA$177)&gt;=$S42),$V42,$U42)))=Milestones!$AB$177),UPPER(TEXT(EDATE($D42,Milestones!$AA$177),"dd mmm yy"))&amp;" "&amp;Milestones!$AB$177&amp;" "&amp;Milestones!$AC$177&amp;";  ","")&amp;IF(AND(EDATE($D42,Milestones!$AA$178)&lt;=AsOfDate,IF($R42=0,$X42,IF(AND($T42&lt;&gt;"",EDATE($D42,Milestones!$AA$178)&gt;=$T42),$W42,IF(AND($S42&lt;&gt;"",EDATE($D42,Milestones!$AA$178)&gt;=$S42),$V42,$U42)))=Milestones!$AB$178),UPPER(TEXT(EDATE($D42,Milestones!$AA$178),"dd mmm yy"))&amp;" "&amp;Milestones!$AB$178&amp;" "&amp;Milestones!$AC$178&amp;";  ","")&amp;IF(AND(EDATE($D42,Milestones!$AA$179)&lt;=AsOfDate,IF($R42=0,$X42,IF(AND($T42&lt;&gt;"",EDATE($D42,Milestones!$AA$179)&gt;=$T42),$W42,IF(AND($S42&lt;&gt;"",EDATE($D42,Milestones!$AA$179)&gt;=$S42),$V42,$U42)))=Milestones!$AB$179),UPPER(TEXT(EDATE($D42,Milestones!$AA$179),"dd mmm yy"))&amp;" "&amp;Milestones!$AB$179&amp;" "&amp;Milestones!$AC$179&amp;";  ",""))</f>
        <v/>
      </c>
      <c r="Q42" s="0" t="str">
        <f aca="false">IF(OR($A42="",$D42=""),"",IF(AND(EDATE($D42,Milestones!$AA$180)&lt;=AsOfDate,IF($R42=0,$X42,IF(AND($T42&lt;&gt;"",EDATE($D42,Milestones!$AA$180)&gt;=$T42),$W42,IF(AND($S42&lt;&gt;"",EDATE($D42,Milestones!$AA$180)&gt;=$S42),$V42,$U42)))=Milestones!$AB$180),UPPER(TEXT(EDATE($D42,Milestones!$AA$180),"dd mmm yy"))&amp;" "&amp;Milestones!$AB$180&amp;" "&amp;Milestones!$AC$180&amp;";  ","")&amp;IF(AND(EDATE($D42,Milestones!$AA$181)&lt;=AsOfDate,IF($R42=0,$X42,IF(AND($T42&lt;&gt;"",EDATE($D42,Milestones!$AA$181)&gt;=$T42),$W42,IF(AND($S42&lt;&gt;"",EDATE($D42,Milestones!$AA$181)&gt;=$S42),$V42,$U42)))=Milestones!$AB$181),UPPER(TEXT(EDATE($D42,Milestones!$AA$181),"dd mmm yy"))&amp;" "&amp;Milestones!$AB$181&amp;" "&amp;Milestones!$AC$181&amp;";  ","")&amp;IF(AND(EDATE($D42,Milestones!$AA$182)&lt;=AsOfDate,IF($R42=0,$X42,IF(AND($T42&lt;&gt;"",EDATE($D42,Milestones!$AA$182)&gt;=$T42),$W42,IF(AND($S42&lt;&gt;"",EDATE($D42,Milestones!$AA$182)&gt;=$S42),$V42,$U42)))=Milestones!$AB$182),UPPER(TEXT(EDATE($D42,Milestones!$AA$182),"dd mmm yy"))&amp;" "&amp;Milestones!$AB$182&amp;" "&amp;Milestones!$AC$182&amp;";  ","")&amp;IF(AND(EDATE($D42,Milestones!$AA$183)&lt;=AsOfDate,IF($R42=0,$X42,IF(AND($T42&lt;&gt;"",EDATE($D42,Milestones!$AA$183)&gt;=$T42),$W42,IF(AND($S42&lt;&gt;"",EDATE($D42,Milestones!$AA$183)&gt;=$S42),$V42,$U42)))=Milestones!$AB$183),UPPER(TEXT(EDATE($D42,Milestones!$AA$183),"dd mmm yy"))&amp;" "&amp;Milestones!$AB$183&amp;" "&amp;Milestones!$AC$183&amp;";  ","")&amp;IF(AND(EDATE($D42,Milestones!$AA$184)&lt;=AsOfDate,IF($R42=0,$X42,IF(AND($T42&lt;&gt;"",EDATE($D42,Milestones!$AA$184)&gt;=$T42),$W42,IF(AND($S42&lt;&gt;"",EDATE($D42,Milestones!$AA$184)&gt;=$S42),$V42,$U42)))=Milestones!$AB$184),UPPER(TEXT(EDATE($D42,Milestones!$AA$184),"dd mmm yy"))&amp;" "&amp;Milestones!$AB$184&amp;" "&amp;Milestones!$AC$184&amp;";  ","")&amp;IF(AND(EDATE($D42,Milestones!$AA$185)&lt;=AsOfDate,IF($R42=0,$X42,IF(AND($T42&lt;&gt;"",EDATE($D42,Milestones!$AA$185)&gt;=$T42),$W42,IF(AND($S42&lt;&gt;"",EDATE($D42,Milestones!$AA$185)&gt;=$S42),$V42,$U42)))=Milestones!$AB$185),UPPER(TEXT(EDATE($D42,Milestones!$AA$185),"dd mmm yy"))&amp;" "&amp;Milestones!$AB$185&amp;" "&amp;Milestones!$AC$185&amp;";  ","")&amp;IF(AND(EDATE($D42,Milestones!$AA$186)&lt;=AsOfDate,IF($R42=0,$X42,IF(AND($T42&lt;&gt;"",EDATE($D42,Milestones!$AA$186)&gt;=$T42),$W42,IF(AND($S42&lt;&gt;"",EDATE($D42,Milestones!$AA$186)&gt;=$S42),$V42,$U42)))=Milestones!$AB$186),UPPER(TEXT(EDATE($D42,Milestones!$AA$186),"dd mmm yy"))&amp;" "&amp;Milestones!$AB$186&amp;" "&amp;Milestones!$AC$186&amp;";  ","")&amp;IF(AND(EDATE($D42,Milestones!$AA$187)&lt;=AsOfDate,IF($R42=0,$X42,IF(AND($T42&lt;&gt;"",EDATE($D42,Milestones!$AA$187)&gt;=$T42),$W42,IF(AND($S42&lt;&gt;"",EDATE($D42,Milestones!$AA$187)&gt;=$S42),$V42,$U42)))=Milestones!$AB$187),UPPER(TEXT(EDATE($D42,Milestones!$AA$187),"dd mmm yy"))&amp;" "&amp;Milestones!$AB$187&amp;" "&amp;Milestones!$AC$187&amp;";  ","")&amp;IF(AND(EDATE($D42,Milestones!$AA$188)&lt;=AsOfDate,IF($R42=0,$X42,IF(AND($T42&lt;&gt;"",EDATE($D42,Milestones!$AA$188)&gt;=$T42),$W42,IF(AND($S42&lt;&gt;"",EDATE($D42,Milestones!$AA$188)&gt;=$S42),$V42,$U42)))=Milestones!$AB$188),UPPER(TEXT(EDATE($D42,Milestones!$AA$188),"dd mmm yy"))&amp;" "&amp;Milestones!$AB$188&amp;" "&amp;Milestones!$AC$188&amp;";  ","")&amp;IF(AND(EDATE($D42,Milestones!$AA$189)&lt;=AsOfDate,IF($R42=0,$X42,IF(AND($T42&lt;&gt;"",EDATE($D42,Milestones!$AA$189)&gt;=$T42),$W42,IF(AND($S42&lt;&gt;"",EDATE($D42,Milestones!$AA$189)&gt;=$S42),$V42,$U42)))=Milestones!$AB$189),UPPER(TEXT(EDATE($D42,Milestones!$AA$189),"dd mmm yy"))&amp;" "&amp;Milestones!$AB$189&amp;" "&amp;Milestones!$AC$189&amp;";  ","")&amp;IF(AND(EDATE($D42,Milestones!$AA$190)&lt;=AsOfDate,IF($R42=0,$X42,IF(AND($T42&lt;&gt;"",EDATE($D42,Milestones!$AA$190)&gt;=$T42),$W42,IF(AND($S42&lt;&gt;"",EDATE($D42,Milestones!$AA$190)&gt;=$S42),$V42,$U42)))=Milestones!$AB$190),UPPER(TEXT(EDATE($D42,Milestones!$AA$190),"dd mmm yy"))&amp;" "&amp;Milestones!$AB$190&amp;" "&amp;Milestones!$AC$190&amp;";  ","")&amp;IF(AND(EDATE($D42,Milestones!$AA$191)&lt;=AsOfDate,IF($R42=0,$X42,IF(AND($T42&lt;&gt;"",EDATE($D42,Milestones!$AA$191)&gt;=$T42),$W42,IF(AND($S42&lt;&gt;"",EDATE($D42,Milestones!$AA$191)&gt;=$S42),$V42,$U42)))=Milestones!$AB$191),UPPER(TEXT(EDATE($D42,Milestones!$AA$191),"dd mmm yy"))&amp;" "&amp;Milestones!$AB$191&amp;" "&amp;Milestones!$AC$191&amp;";  ","")&amp;IF(AND(EDATE($D42,Milestones!$AA$192)&lt;=AsOfDate,IF($R42=0,$X42,IF(AND($T42&lt;&gt;"",EDATE($D42,Milestones!$AA$192)&gt;=$T42),$W42,IF(AND($S42&lt;&gt;"",EDATE($D42,Milestones!$AA$192)&gt;=$S42),$V42,$U42)))=Milestones!$AB$192),UPPER(TEXT(EDATE($D42,Milestones!$AA$192),"dd mmm yy"))&amp;" "&amp;Milestones!$AB$192&amp;" "&amp;Milestones!$AC$192&amp;";  ","")&amp;IF(AND(EDATE($D42,Milestones!$AA$193)&lt;=AsOfDate,IF($R42=0,$X42,IF(AND($T42&lt;&gt;"",EDATE($D42,Milestones!$AA$193)&gt;=$T42),$W42,IF(AND($S42&lt;&gt;"",EDATE($D42,Milestones!$AA$193)&gt;=$S42),$V42,$U42)))=Milestones!$AB$193),UPPER(TEXT(EDATE($D42,Milestones!$AA$193),"dd mmm yy"))&amp;" "&amp;Milestones!$AB$193&amp;" "&amp;Milestones!$AC$193&amp;";  ","")&amp;IF(AND(EDATE($D42,Milestones!$AA$194)&lt;=AsOfDate,IF($R42=0,$X42,IF(AND($T42&lt;&gt;"",EDATE($D42,Milestones!$AA$194)&gt;=$T42),$W42,IF(AND($S42&lt;&gt;"",EDATE($D42,Milestones!$AA$194)&gt;=$S42),$V42,$U42)))=Milestones!$AB$194),UPPER(TEXT(EDATE($D42,Milestones!$AA$194),"dd mmm yy"))&amp;" "&amp;Milestones!$AB$194&amp;" "&amp;Milestones!$AC$194&amp;";  ","")&amp;IF(AND(EDATE($D42,Milestones!$AA$195)&lt;=AsOfDate,IF($R42=0,$X42,IF(AND($T42&lt;&gt;"",EDATE($D42,Milestones!$AA$195)&gt;=$T42),$W42,IF(AND($S42&lt;&gt;"",EDATE($D42,Milestones!$AA$195)&gt;=$S42),$V42,$U42)))=Milestones!$AB$195),UPPER(TEXT(EDATE($D42,Milestones!$AA$195),"dd mmm yy"))&amp;" "&amp;Milestones!$AB$195&amp;" "&amp;Milestones!$AC$195&amp;";  ","")&amp;IF(AND(EDATE($D42,Milestones!$AA$196)&lt;=AsOfDate,IF($R42=0,$X42,IF(AND($T42&lt;&gt;"",EDATE($D42,Milestones!$AA$196)&gt;=$T42),$W42,IF(AND($S42&lt;&gt;"",EDATE($D42,Milestones!$AA$196)&gt;=$S42),$V42,$U42)))=Milestones!$AB$196),UPPER(TEXT(EDATE($D42,Milestones!$AA$196),"dd mmm yy"))&amp;" "&amp;Milestones!$AB$196&amp;" "&amp;Milestones!$AC$196&amp;";  ","")&amp;IF(AND(EDATE($D42,Milestones!$AA$197)&lt;=AsOfDate,IF($R42=0,$X42,IF(AND($T42&lt;&gt;"",EDATE($D42,Milestones!$AA$197)&gt;=$T42),$W42,IF(AND($S42&lt;&gt;"",EDATE($D42,Milestones!$AA$197)&gt;=$S42),$V42,$U42)))=Milestones!$AB$197),UPPER(TEXT(EDATE($D42,Milestones!$AA$197),"dd mmm yy"))&amp;" "&amp;Milestones!$AB$197&amp;" "&amp;Milestones!$AC$197&amp;";  ","")&amp;IF(AND(EDATE($D42,Milestones!$AA$198)&lt;=AsOfDate,IF($R42=0,$X42,IF(AND($T42&lt;&gt;"",EDATE($D42,Milestones!$AA$198)&gt;=$T42),$W42,IF(AND($S42&lt;&gt;"",EDATE($D42,Milestones!$AA$198)&gt;=$S42),$V42,$U42)))=Milestones!$AB$198),UPPER(TEXT(EDATE($D42,Milestones!$AA$198),"dd mmm yy"))&amp;" "&amp;Milestones!$AB$198&amp;" "&amp;Milestones!$AC$198&amp;";  ","")&amp;IF(AND(EDATE($D42,Milestones!$AA$199)&lt;=AsOfDate,IF($R42=0,$X42,IF(AND($T42&lt;&gt;"",EDATE($D42,Milestones!$AA$199)&gt;=$T42),$W42,IF(AND($S42&lt;&gt;"",EDATE($D42,Milestones!$AA$199)&gt;=$S42),$V42,$U42)))=Milestones!$AB$199),UPPER(TEXT(EDATE($D42,Milestones!$AA$199),"dd mmm yy"))&amp;" "&amp;Milestones!$AB$199&amp;" "&amp;Milestones!$AC$199&amp;";  ",""))</f>
        <v/>
      </c>
      <c r="R42" s="0" t="str">
        <f aca="false">IF(Staff!$A42="","",Staff!$AI42)</f>
        <v/>
      </c>
      <c r="S42" s="0" t="str">
        <f aca="false">IF(Staff!$A42="","",Staff!$AK42)</f>
        <v/>
      </c>
      <c r="T42" s="0" t="str">
        <f aca="false">IF(Staff!$A42="","",Staff!$AL42)</f>
        <v/>
      </c>
      <c r="U42" s="0" t="str">
        <f aca="false">IF(Staff!$A42="","",Staff!$AP42)</f>
        <v/>
      </c>
      <c r="V42" s="0" t="str">
        <f aca="false">IF(Staff!$A42="","",Staff!$AQ42)</f>
        <v/>
      </c>
      <c r="W42" s="0" t="str">
        <f aca="false">IF(Staff!$A42="","",Staff!$AR42)</f>
        <v/>
      </c>
      <c r="X42" s="0" t="str">
        <f aca="false">IF(Staff!$A42="","",Staff!$AS42)</f>
        <v/>
      </c>
    </row>
    <row r="43" customFormat="false" ht="15" hidden="false" customHeight="false" outlineLevel="0" collapsed="false">
      <c r="A43" s="14" t="str">
        <f aca="false">IF(Staff!$A43="","",Staff!$A43)</f>
        <v/>
      </c>
      <c r="B43" s="14" t="str">
        <f aca="false">IF(Staff!$A43="","",Staff!$B43)</f>
        <v/>
      </c>
      <c r="C43" s="14" t="str">
        <f aca="false">IF(Staff!$A43="","",Staff!$C43)</f>
        <v/>
      </c>
      <c r="D43" s="12" t="str">
        <f aca="false">IF(Staff!$A43="","",Staff!$AH43)</f>
        <v/>
      </c>
      <c r="E43" s="14" t="str">
        <f aca="false">IF(Staff!$A43="","",Staff!$O43)</f>
        <v/>
      </c>
      <c r="F43" s="14" t="str">
        <f aca="false">IF(E43="","",E43*HoursPerDay)</f>
        <v/>
      </c>
      <c r="G43" s="14" t="str">
        <f aca="false">IF(Staff!$A43="","",Staff!$AE43)</f>
        <v/>
      </c>
      <c r="H43" s="26" t="str">
        <f aca="false">IF($A43="","",I43&amp;J43&amp;K43&amp;L43&amp;M43&amp;N43&amp;O43&amp;P43&amp;Q43)</f>
        <v/>
      </c>
      <c r="I43" s="0" t="str">
        <f aca="false">IF(OR($A43="",$D43=""),"",IF(AND(EDATE($D43,Milestones!$AA$20)&lt;=AsOfDate,IF($R43=0,$X43,IF(AND($T43&lt;&gt;"",EDATE($D43,Milestones!$AA$20)&gt;=$T43),$W43,IF(AND($S43&lt;&gt;"",EDATE($D43,Milestones!$AA$20)&gt;=$S43),$V43,$U43)))=Milestones!$AB$20),UPPER(TEXT(EDATE($D43,Milestones!$AA$20),"dd mmm yy"))&amp;" "&amp;Milestones!$AB$20&amp;" "&amp;Milestones!$AC$20&amp;";  ","")&amp;IF(AND(EDATE($D43,Milestones!$AA$21)&lt;=AsOfDate,IF($R43=0,$X43,IF(AND($T43&lt;&gt;"",EDATE($D43,Milestones!$AA$21)&gt;=$T43),$W43,IF(AND($S43&lt;&gt;"",EDATE($D43,Milestones!$AA$21)&gt;=$S43),$V43,$U43)))=Milestones!$AB$21),UPPER(TEXT(EDATE($D43,Milestones!$AA$21),"dd mmm yy"))&amp;" "&amp;Milestones!$AB$21&amp;" "&amp;Milestones!$AC$21&amp;";  ","")&amp;IF(AND(EDATE($D43,Milestones!$AA$22)&lt;=AsOfDate,IF($R43=0,$X43,IF(AND($T43&lt;&gt;"",EDATE($D43,Milestones!$AA$22)&gt;=$T43),$W43,IF(AND($S43&lt;&gt;"",EDATE($D43,Milestones!$AA$22)&gt;=$S43),$V43,$U43)))=Milestones!$AB$22),UPPER(TEXT(EDATE($D43,Milestones!$AA$22),"dd mmm yy"))&amp;" "&amp;Milestones!$AB$22&amp;" "&amp;Milestones!$AC$22&amp;";  ","")&amp;IF(AND(EDATE($D43,Milestones!$AA$23)&lt;=AsOfDate,IF($R43=0,$X43,IF(AND($T43&lt;&gt;"",EDATE($D43,Milestones!$AA$23)&gt;=$T43),$W43,IF(AND($S43&lt;&gt;"",EDATE($D43,Milestones!$AA$23)&gt;=$S43),$V43,$U43)))=Milestones!$AB$23),UPPER(TEXT(EDATE($D43,Milestones!$AA$23),"dd mmm yy"))&amp;" "&amp;Milestones!$AB$23&amp;" "&amp;Milestones!$AC$23&amp;";  ","")&amp;IF(AND(EDATE($D43,Milestones!$AA$24)&lt;=AsOfDate,IF($R43=0,$X43,IF(AND($T43&lt;&gt;"",EDATE($D43,Milestones!$AA$24)&gt;=$T43),$W43,IF(AND($S43&lt;&gt;"",EDATE($D43,Milestones!$AA$24)&gt;=$S43),$V43,$U43)))=Milestones!$AB$24),UPPER(TEXT(EDATE($D43,Milestones!$AA$24),"dd mmm yy"))&amp;" "&amp;Milestones!$AB$24&amp;" "&amp;Milestones!$AC$24&amp;";  ","")&amp;IF(AND(EDATE($D43,Milestones!$AA$25)&lt;=AsOfDate,IF($R43=0,$X43,IF(AND($T43&lt;&gt;"",EDATE($D43,Milestones!$AA$25)&gt;=$T43),$W43,IF(AND($S43&lt;&gt;"",EDATE($D43,Milestones!$AA$25)&gt;=$S43),$V43,$U43)))=Milestones!$AB$25),UPPER(TEXT(EDATE($D43,Milestones!$AA$25),"dd mmm yy"))&amp;" "&amp;Milestones!$AB$25&amp;" "&amp;Milestones!$AC$25&amp;";  ","")&amp;IF(AND(EDATE($D43,Milestones!$AA$26)&lt;=AsOfDate,IF($R43=0,$X43,IF(AND($T43&lt;&gt;"",EDATE($D43,Milestones!$AA$26)&gt;=$T43),$W43,IF(AND($S43&lt;&gt;"",EDATE($D43,Milestones!$AA$26)&gt;=$S43),$V43,$U43)))=Milestones!$AB$26),UPPER(TEXT(EDATE($D43,Milestones!$AA$26),"dd mmm yy"))&amp;" "&amp;Milestones!$AB$26&amp;" "&amp;Milestones!$AC$26&amp;";  ","")&amp;IF(AND(EDATE($D43,Milestones!$AA$27)&lt;=AsOfDate,IF($R43=0,$X43,IF(AND($T43&lt;&gt;"",EDATE($D43,Milestones!$AA$27)&gt;=$T43),$W43,IF(AND($S43&lt;&gt;"",EDATE($D43,Milestones!$AA$27)&gt;=$S43),$V43,$U43)))=Milestones!$AB$27),UPPER(TEXT(EDATE($D43,Milestones!$AA$27),"dd mmm yy"))&amp;" "&amp;Milestones!$AB$27&amp;" "&amp;Milestones!$AC$27&amp;";  ","")&amp;IF(AND(EDATE($D43,Milestones!$AA$28)&lt;=AsOfDate,IF($R43=0,$X43,IF(AND($T43&lt;&gt;"",EDATE($D43,Milestones!$AA$28)&gt;=$T43),$W43,IF(AND($S43&lt;&gt;"",EDATE($D43,Milestones!$AA$28)&gt;=$S43),$V43,$U43)))=Milestones!$AB$28),UPPER(TEXT(EDATE($D43,Milestones!$AA$28),"dd mmm yy"))&amp;" "&amp;Milestones!$AB$28&amp;" "&amp;Milestones!$AC$28&amp;";  ","")&amp;IF(AND(EDATE($D43,Milestones!$AA$29)&lt;=AsOfDate,IF($R43=0,$X43,IF(AND($T43&lt;&gt;"",EDATE($D43,Milestones!$AA$29)&gt;=$T43),$W43,IF(AND($S43&lt;&gt;"",EDATE($D43,Milestones!$AA$29)&gt;=$S43),$V43,$U43)))=Milestones!$AB$29),UPPER(TEXT(EDATE($D43,Milestones!$AA$29),"dd mmm yy"))&amp;" "&amp;Milestones!$AB$29&amp;" "&amp;Milestones!$AC$29&amp;";  ","")&amp;IF(AND(EDATE($D43,Milestones!$AA$30)&lt;=AsOfDate,IF($R43=0,$X43,IF(AND($T43&lt;&gt;"",EDATE($D43,Milestones!$AA$30)&gt;=$T43),$W43,IF(AND($S43&lt;&gt;"",EDATE($D43,Milestones!$AA$30)&gt;=$S43),$V43,$U43)))=Milestones!$AB$30),UPPER(TEXT(EDATE($D43,Milestones!$AA$30),"dd mmm yy"))&amp;" "&amp;Milestones!$AB$30&amp;" "&amp;Milestones!$AC$30&amp;";  ","")&amp;IF(AND(EDATE($D43,Milestones!$AA$31)&lt;=AsOfDate,IF($R43=0,$X43,IF(AND($T43&lt;&gt;"",EDATE($D43,Milestones!$AA$31)&gt;=$T43),$W43,IF(AND($S43&lt;&gt;"",EDATE($D43,Milestones!$AA$31)&gt;=$S43),$V43,$U43)))=Milestones!$AB$31),UPPER(TEXT(EDATE($D43,Milestones!$AA$31),"dd mmm yy"))&amp;" "&amp;Milestones!$AB$31&amp;" "&amp;Milestones!$AC$31&amp;";  ","")&amp;IF(AND(EDATE($D43,Milestones!$AA$32)&lt;=AsOfDate,IF($R43=0,$X43,IF(AND($T43&lt;&gt;"",EDATE($D43,Milestones!$AA$32)&gt;=$T43),$W43,IF(AND($S43&lt;&gt;"",EDATE($D43,Milestones!$AA$32)&gt;=$S43),$V43,$U43)))=Milestones!$AB$32),UPPER(TEXT(EDATE($D43,Milestones!$AA$32),"dd mmm yy"))&amp;" "&amp;Milestones!$AB$32&amp;" "&amp;Milestones!$AC$32&amp;";  ","")&amp;IF(AND(EDATE($D43,Milestones!$AA$33)&lt;=AsOfDate,IF($R43=0,$X43,IF(AND($T43&lt;&gt;"",EDATE($D43,Milestones!$AA$33)&gt;=$T43),$W43,IF(AND($S43&lt;&gt;"",EDATE($D43,Milestones!$AA$33)&gt;=$S43),$V43,$U43)))=Milestones!$AB$33),UPPER(TEXT(EDATE($D43,Milestones!$AA$33),"dd mmm yy"))&amp;" "&amp;Milestones!$AB$33&amp;" "&amp;Milestones!$AC$33&amp;";  ","")&amp;IF(AND(EDATE($D43,Milestones!$AA$34)&lt;=AsOfDate,IF($R43=0,$X43,IF(AND($T43&lt;&gt;"",EDATE($D43,Milestones!$AA$34)&gt;=$T43),$W43,IF(AND($S43&lt;&gt;"",EDATE($D43,Milestones!$AA$34)&gt;=$S43),$V43,$U43)))=Milestones!$AB$34),UPPER(TEXT(EDATE($D43,Milestones!$AA$34),"dd mmm yy"))&amp;" "&amp;Milestones!$AB$34&amp;" "&amp;Milestones!$AC$34&amp;";  ","")&amp;IF(AND(EDATE($D43,Milestones!$AA$35)&lt;=AsOfDate,IF($R43=0,$X43,IF(AND($T43&lt;&gt;"",EDATE($D43,Milestones!$AA$35)&gt;=$T43),$W43,IF(AND($S43&lt;&gt;"",EDATE($D43,Milestones!$AA$35)&gt;=$S43),$V43,$U43)))=Milestones!$AB$35),UPPER(TEXT(EDATE($D43,Milestones!$AA$35),"dd mmm yy"))&amp;" "&amp;Milestones!$AB$35&amp;" "&amp;Milestones!$AC$35&amp;";  ","")&amp;IF(AND(EDATE($D43,Milestones!$AA$36)&lt;=AsOfDate,IF($R43=0,$X43,IF(AND($T43&lt;&gt;"",EDATE($D43,Milestones!$AA$36)&gt;=$T43),$W43,IF(AND($S43&lt;&gt;"",EDATE($D43,Milestones!$AA$36)&gt;=$S43),$V43,$U43)))=Milestones!$AB$36),UPPER(TEXT(EDATE($D43,Milestones!$AA$36),"dd mmm yy"))&amp;" "&amp;Milestones!$AB$36&amp;" "&amp;Milestones!$AC$36&amp;";  ","")&amp;IF(AND(EDATE($D43,Milestones!$AA$37)&lt;=AsOfDate,IF($R43=0,$X43,IF(AND($T43&lt;&gt;"",EDATE($D43,Milestones!$AA$37)&gt;=$T43),$W43,IF(AND($S43&lt;&gt;"",EDATE($D43,Milestones!$AA$37)&gt;=$S43),$V43,$U43)))=Milestones!$AB$37),UPPER(TEXT(EDATE($D43,Milestones!$AA$37),"dd mmm yy"))&amp;" "&amp;Milestones!$AB$37&amp;" "&amp;Milestones!$AC$37&amp;";  ","")&amp;IF(AND(EDATE($D43,Milestones!$AA$38)&lt;=AsOfDate,IF($R43=0,$X43,IF(AND($T43&lt;&gt;"",EDATE($D43,Milestones!$AA$38)&gt;=$T43),$W43,IF(AND($S43&lt;&gt;"",EDATE($D43,Milestones!$AA$38)&gt;=$S43),$V43,$U43)))=Milestones!$AB$38),UPPER(TEXT(EDATE($D43,Milestones!$AA$38),"dd mmm yy"))&amp;" "&amp;Milestones!$AB$38&amp;" "&amp;Milestones!$AC$38&amp;";  ","")&amp;IF(AND(EDATE($D43,Milestones!$AA$39)&lt;=AsOfDate,IF($R43=0,$X43,IF(AND($T43&lt;&gt;"",EDATE($D43,Milestones!$AA$39)&gt;=$T43),$W43,IF(AND($S43&lt;&gt;"",EDATE($D43,Milestones!$AA$39)&gt;=$S43),$V43,$U43)))=Milestones!$AB$39),UPPER(TEXT(EDATE($D43,Milestones!$AA$39),"dd mmm yy"))&amp;" "&amp;Milestones!$AB$39&amp;" "&amp;Milestones!$AC$39&amp;";  ",""))</f>
        <v/>
      </c>
      <c r="J43" s="0" t="str">
        <f aca="false">IF(OR($A43="",$D43=""),"",IF(AND(EDATE($D43,Milestones!$AA$40)&lt;=AsOfDate,IF($R43=0,$X43,IF(AND($T43&lt;&gt;"",EDATE($D43,Milestones!$AA$40)&gt;=$T43),$W43,IF(AND($S43&lt;&gt;"",EDATE($D43,Milestones!$AA$40)&gt;=$S43),$V43,$U43)))=Milestones!$AB$40),UPPER(TEXT(EDATE($D43,Milestones!$AA$40),"dd mmm yy"))&amp;" "&amp;Milestones!$AB$40&amp;" "&amp;Milestones!$AC$40&amp;";  ","")&amp;IF(AND(EDATE($D43,Milestones!$AA$41)&lt;=AsOfDate,IF($R43=0,$X43,IF(AND($T43&lt;&gt;"",EDATE($D43,Milestones!$AA$41)&gt;=$T43),$W43,IF(AND($S43&lt;&gt;"",EDATE($D43,Milestones!$AA$41)&gt;=$S43),$V43,$U43)))=Milestones!$AB$41),UPPER(TEXT(EDATE($D43,Milestones!$AA$41),"dd mmm yy"))&amp;" "&amp;Milestones!$AB$41&amp;" "&amp;Milestones!$AC$41&amp;";  ","")&amp;IF(AND(EDATE($D43,Milestones!$AA$42)&lt;=AsOfDate,IF($R43=0,$X43,IF(AND($T43&lt;&gt;"",EDATE($D43,Milestones!$AA$42)&gt;=$T43),$W43,IF(AND($S43&lt;&gt;"",EDATE($D43,Milestones!$AA$42)&gt;=$S43),$V43,$U43)))=Milestones!$AB$42),UPPER(TEXT(EDATE($D43,Milestones!$AA$42),"dd mmm yy"))&amp;" "&amp;Milestones!$AB$42&amp;" "&amp;Milestones!$AC$42&amp;";  ","")&amp;IF(AND(EDATE($D43,Milestones!$AA$43)&lt;=AsOfDate,IF($R43=0,$X43,IF(AND($T43&lt;&gt;"",EDATE($D43,Milestones!$AA$43)&gt;=$T43),$W43,IF(AND($S43&lt;&gt;"",EDATE($D43,Milestones!$AA$43)&gt;=$S43),$V43,$U43)))=Milestones!$AB$43),UPPER(TEXT(EDATE($D43,Milestones!$AA$43),"dd mmm yy"))&amp;" "&amp;Milestones!$AB$43&amp;" "&amp;Milestones!$AC$43&amp;";  ","")&amp;IF(AND(EDATE($D43,Milestones!$AA$44)&lt;=AsOfDate,IF($R43=0,$X43,IF(AND($T43&lt;&gt;"",EDATE($D43,Milestones!$AA$44)&gt;=$T43),$W43,IF(AND($S43&lt;&gt;"",EDATE($D43,Milestones!$AA$44)&gt;=$S43),$V43,$U43)))=Milestones!$AB$44),UPPER(TEXT(EDATE($D43,Milestones!$AA$44),"dd mmm yy"))&amp;" "&amp;Milestones!$AB$44&amp;" "&amp;Milestones!$AC$44&amp;";  ","")&amp;IF(AND(EDATE($D43,Milestones!$AA$45)&lt;=AsOfDate,IF($R43=0,$X43,IF(AND($T43&lt;&gt;"",EDATE($D43,Milestones!$AA$45)&gt;=$T43),$W43,IF(AND($S43&lt;&gt;"",EDATE($D43,Milestones!$AA$45)&gt;=$S43),$V43,$U43)))=Milestones!$AB$45),UPPER(TEXT(EDATE($D43,Milestones!$AA$45),"dd mmm yy"))&amp;" "&amp;Milestones!$AB$45&amp;" "&amp;Milestones!$AC$45&amp;";  ","")&amp;IF(AND(EDATE($D43,Milestones!$AA$46)&lt;=AsOfDate,IF($R43=0,$X43,IF(AND($T43&lt;&gt;"",EDATE($D43,Milestones!$AA$46)&gt;=$T43),$W43,IF(AND($S43&lt;&gt;"",EDATE($D43,Milestones!$AA$46)&gt;=$S43),$V43,$U43)))=Milestones!$AB$46),UPPER(TEXT(EDATE($D43,Milestones!$AA$46),"dd mmm yy"))&amp;" "&amp;Milestones!$AB$46&amp;" "&amp;Milestones!$AC$46&amp;";  ","")&amp;IF(AND(EDATE($D43,Milestones!$AA$47)&lt;=AsOfDate,IF($R43=0,$X43,IF(AND($T43&lt;&gt;"",EDATE($D43,Milestones!$AA$47)&gt;=$T43),$W43,IF(AND($S43&lt;&gt;"",EDATE($D43,Milestones!$AA$47)&gt;=$S43),$V43,$U43)))=Milestones!$AB$47),UPPER(TEXT(EDATE($D43,Milestones!$AA$47),"dd mmm yy"))&amp;" "&amp;Milestones!$AB$47&amp;" "&amp;Milestones!$AC$47&amp;";  ","")&amp;IF(AND(EDATE($D43,Milestones!$AA$48)&lt;=AsOfDate,IF($R43=0,$X43,IF(AND($T43&lt;&gt;"",EDATE($D43,Milestones!$AA$48)&gt;=$T43),$W43,IF(AND($S43&lt;&gt;"",EDATE($D43,Milestones!$AA$48)&gt;=$S43),$V43,$U43)))=Milestones!$AB$48),UPPER(TEXT(EDATE($D43,Milestones!$AA$48),"dd mmm yy"))&amp;" "&amp;Milestones!$AB$48&amp;" "&amp;Milestones!$AC$48&amp;";  ","")&amp;IF(AND(EDATE($D43,Milestones!$AA$49)&lt;=AsOfDate,IF($R43=0,$X43,IF(AND($T43&lt;&gt;"",EDATE($D43,Milestones!$AA$49)&gt;=$T43),$W43,IF(AND($S43&lt;&gt;"",EDATE($D43,Milestones!$AA$49)&gt;=$S43),$V43,$U43)))=Milestones!$AB$49),UPPER(TEXT(EDATE($D43,Milestones!$AA$49),"dd mmm yy"))&amp;" "&amp;Milestones!$AB$49&amp;" "&amp;Milestones!$AC$49&amp;";  ","")&amp;IF(AND(EDATE($D43,Milestones!$AA$50)&lt;=AsOfDate,IF($R43=0,$X43,IF(AND($T43&lt;&gt;"",EDATE($D43,Milestones!$AA$50)&gt;=$T43),$W43,IF(AND($S43&lt;&gt;"",EDATE($D43,Milestones!$AA$50)&gt;=$S43),$V43,$U43)))=Milestones!$AB$50),UPPER(TEXT(EDATE($D43,Milestones!$AA$50),"dd mmm yy"))&amp;" "&amp;Milestones!$AB$50&amp;" "&amp;Milestones!$AC$50&amp;";  ","")&amp;IF(AND(EDATE($D43,Milestones!$AA$51)&lt;=AsOfDate,IF($R43=0,$X43,IF(AND($T43&lt;&gt;"",EDATE($D43,Milestones!$AA$51)&gt;=$T43),$W43,IF(AND($S43&lt;&gt;"",EDATE($D43,Milestones!$AA$51)&gt;=$S43),$V43,$U43)))=Milestones!$AB$51),UPPER(TEXT(EDATE($D43,Milestones!$AA$51),"dd mmm yy"))&amp;" "&amp;Milestones!$AB$51&amp;" "&amp;Milestones!$AC$51&amp;";  ","")&amp;IF(AND(EDATE($D43,Milestones!$AA$52)&lt;=AsOfDate,IF($R43=0,$X43,IF(AND($T43&lt;&gt;"",EDATE($D43,Milestones!$AA$52)&gt;=$T43),$W43,IF(AND($S43&lt;&gt;"",EDATE($D43,Milestones!$AA$52)&gt;=$S43),$V43,$U43)))=Milestones!$AB$52),UPPER(TEXT(EDATE($D43,Milestones!$AA$52),"dd mmm yy"))&amp;" "&amp;Milestones!$AB$52&amp;" "&amp;Milestones!$AC$52&amp;";  ","")&amp;IF(AND(EDATE($D43,Milestones!$AA$53)&lt;=AsOfDate,IF($R43=0,$X43,IF(AND($T43&lt;&gt;"",EDATE($D43,Milestones!$AA$53)&gt;=$T43),$W43,IF(AND($S43&lt;&gt;"",EDATE($D43,Milestones!$AA$53)&gt;=$S43),$V43,$U43)))=Milestones!$AB$53),UPPER(TEXT(EDATE($D43,Milestones!$AA$53),"dd mmm yy"))&amp;" "&amp;Milestones!$AB$53&amp;" "&amp;Milestones!$AC$53&amp;";  ","")&amp;IF(AND(EDATE($D43,Milestones!$AA$54)&lt;=AsOfDate,IF($R43=0,$X43,IF(AND($T43&lt;&gt;"",EDATE($D43,Milestones!$AA$54)&gt;=$T43),$W43,IF(AND($S43&lt;&gt;"",EDATE($D43,Milestones!$AA$54)&gt;=$S43),$V43,$U43)))=Milestones!$AB$54),UPPER(TEXT(EDATE($D43,Milestones!$AA$54),"dd mmm yy"))&amp;" "&amp;Milestones!$AB$54&amp;" "&amp;Milestones!$AC$54&amp;";  ","")&amp;IF(AND(EDATE($D43,Milestones!$AA$55)&lt;=AsOfDate,IF($R43=0,$X43,IF(AND($T43&lt;&gt;"",EDATE($D43,Milestones!$AA$55)&gt;=$T43),$W43,IF(AND($S43&lt;&gt;"",EDATE($D43,Milestones!$AA$55)&gt;=$S43),$V43,$U43)))=Milestones!$AB$55),UPPER(TEXT(EDATE($D43,Milestones!$AA$55),"dd mmm yy"))&amp;" "&amp;Milestones!$AB$55&amp;" "&amp;Milestones!$AC$55&amp;";  ","")&amp;IF(AND(EDATE($D43,Milestones!$AA$56)&lt;=AsOfDate,IF($R43=0,$X43,IF(AND($T43&lt;&gt;"",EDATE($D43,Milestones!$AA$56)&gt;=$T43),$W43,IF(AND($S43&lt;&gt;"",EDATE($D43,Milestones!$AA$56)&gt;=$S43),$V43,$U43)))=Milestones!$AB$56),UPPER(TEXT(EDATE($D43,Milestones!$AA$56),"dd mmm yy"))&amp;" "&amp;Milestones!$AB$56&amp;" "&amp;Milestones!$AC$56&amp;";  ","")&amp;IF(AND(EDATE($D43,Milestones!$AA$57)&lt;=AsOfDate,IF($R43=0,$X43,IF(AND($T43&lt;&gt;"",EDATE($D43,Milestones!$AA$57)&gt;=$T43),$W43,IF(AND($S43&lt;&gt;"",EDATE($D43,Milestones!$AA$57)&gt;=$S43),$V43,$U43)))=Milestones!$AB$57),UPPER(TEXT(EDATE($D43,Milestones!$AA$57),"dd mmm yy"))&amp;" "&amp;Milestones!$AB$57&amp;" "&amp;Milestones!$AC$57&amp;";  ","")&amp;IF(AND(EDATE($D43,Milestones!$AA$58)&lt;=AsOfDate,IF($R43=0,$X43,IF(AND($T43&lt;&gt;"",EDATE($D43,Milestones!$AA$58)&gt;=$T43),$W43,IF(AND($S43&lt;&gt;"",EDATE($D43,Milestones!$AA$58)&gt;=$S43),$V43,$U43)))=Milestones!$AB$58),UPPER(TEXT(EDATE($D43,Milestones!$AA$58),"dd mmm yy"))&amp;" "&amp;Milestones!$AB$58&amp;" "&amp;Milestones!$AC$58&amp;";  ","")&amp;IF(AND(EDATE($D43,Milestones!$AA$59)&lt;=AsOfDate,IF($R43=0,$X43,IF(AND($T43&lt;&gt;"",EDATE($D43,Milestones!$AA$59)&gt;=$T43),$W43,IF(AND($S43&lt;&gt;"",EDATE($D43,Milestones!$AA$59)&gt;=$S43),$V43,$U43)))=Milestones!$AB$59),UPPER(TEXT(EDATE($D43,Milestones!$AA$59),"dd mmm yy"))&amp;" "&amp;Milestones!$AB$59&amp;" "&amp;Milestones!$AC$59&amp;";  ",""))</f>
        <v/>
      </c>
      <c r="K43" s="0" t="str">
        <f aca="false">IF(OR($A43="",$D43=""),"",IF(AND(EDATE($D43,Milestones!$AA$60)&lt;=AsOfDate,IF($R43=0,$X43,IF(AND($T43&lt;&gt;"",EDATE($D43,Milestones!$AA$60)&gt;=$T43),$W43,IF(AND($S43&lt;&gt;"",EDATE($D43,Milestones!$AA$60)&gt;=$S43),$V43,$U43)))=Milestones!$AB$60),UPPER(TEXT(EDATE($D43,Milestones!$AA$60),"dd mmm yy"))&amp;" "&amp;Milestones!$AB$60&amp;" "&amp;Milestones!$AC$60&amp;";  ","")&amp;IF(AND(EDATE($D43,Milestones!$AA$61)&lt;=AsOfDate,IF($R43=0,$X43,IF(AND($T43&lt;&gt;"",EDATE($D43,Milestones!$AA$61)&gt;=$T43),$W43,IF(AND($S43&lt;&gt;"",EDATE($D43,Milestones!$AA$61)&gt;=$S43),$V43,$U43)))=Milestones!$AB$61),UPPER(TEXT(EDATE($D43,Milestones!$AA$61),"dd mmm yy"))&amp;" "&amp;Milestones!$AB$61&amp;" "&amp;Milestones!$AC$61&amp;";  ","")&amp;IF(AND(EDATE($D43,Milestones!$AA$62)&lt;=AsOfDate,IF($R43=0,$X43,IF(AND($T43&lt;&gt;"",EDATE($D43,Milestones!$AA$62)&gt;=$T43),$W43,IF(AND($S43&lt;&gt;"",EDATE($D43,Milestones!$AA$62)&gt;=$S43),$V43,$U43)))=Milestones!$AB$62),UPPER(TEXT(EDATE($D43,Milestones!$AA$62),"dd mmm yy"))&amp;" "&amp;Milestones!$AB$62&amp;" "&amp;Milestones!$AC$62&amp;";  ","")&amp;IF(AND(EDATE($D43,Milestones!$AA$63)&lt;=AsOfDate,IF($R43=0,$X43,IF(AND($T43&lt;&gt;"",EDATE($D43,Milestones!$AA$63)&gt;=$T43),$W43,IF(AND($S43&lt;&gt;"",EDATE($D43,Milestones!$AA$63)&gt;=$S43),$V43,$U43)))=Milestones!$AB$63),UPPER(TEXT(EDATE($D43,Milestones!$AA$63),"dd mmm yy"))&amp;" "&amp;Milestones!$AB$63&amp;" "&amp;Milestones!$AC$63&amp;";  ","")&amp;IF(AND(EDATE($D43,Milestones!$AA$64)&lt;=AsOfDate,IF($R43=0,$X43,IF(AND($T43&lt;&gt;"",EDATE($D43,Milestones!$AA$64)&gt;=$T43),$W43,IF(AND($S43&lt;&gt;"",EDATE($D43,Milestones!$AA$64)&gt;=$S43),$V43,$U43)))=Milestones!$AB$64),UPPER(TEXT(EDATE($D43,Milestones!$AA$64),"dd mmm yy"))&amp;" "&amp;Milestones!$AB$64&amp;" "&amp;Milestones!$AC$64&amp;";  ","")&amp;IF(AND(EDATE($D43,Milestones!$AA$65)&lt;=AsOfDate,IF($R43=0,$X43,IF(AND($T43&lt;&gt;"",EDATE($D43,Milestones!$AA$65)&gt;=$T43),$W43,IF(AND($S43&lt;&gt;"",EDATE($D43,Milestones!$AA$65)&gt;=$S43),$V43,$U43)))=Milestones!$AB$65),UPPER(TEXT(EDATE($D43,Milestones!$AA$65),"dd mmm yy"))&amp;" "&amp;Milestones!$AB$65&amp;" "&amp;Milestones!$AC$65&amp;";  ","")&amp;IF(AND(EDATE($D43,Milestones!$AA$66)&lt;=AsOfDate,IF($R43=0,$X43,IF(AND($T43&lt;&gt;"",EDATE($D43,Milestones!$AA$66)&gt;=$T43),$W43,IF(AND($S43&lt;&gt;"",EDATE($D43,Milestones!$AA$66)&gt;=$S43),$V43,$U43)))=Milestones!$AB$66),UPPER(TEXT(EDATE($D43,Milestones!$AA$66),"dd mmm yy"))&amp;" "&amp;Milestones!$AB$66&amp;" "&amp;Milestones!$AC$66&amp;";  ","")&amp;IF(AND(EDATE($D43,Milestones!$AA$67)&lt;=AsOfDate,IF($R43=0,$X43,IF(AND($T43&lt;&gt;"",EDATE($D43,Milestones!$AA$67)&gt;=$T43),$W43,IF(AND($S43&lt;&gt;"",EDATE($D43,Milestones!$AA$67)&gt;=$S43),$V43,$U43)))=Milestones!$AB$67),UPPER(TEXT(EDATE($D43,Milestones!$AA$67),"dd mmm yy"))&amp;" "&amp;Milestones!$AB$67&amp;" "&amp;Milestones!$AC$67&amp;";  ","")&amp;IF(AND(EDATE($D43,Milestones!$AA$68)&lt;=AsOfDate,IF($R43=0,$X43,IF(AND($T43&lt;&gt;"",EDATE($D43,Milestones!$AA$68)&gt;=$T43),$W43,IF(AND($S43&lt;&gt;"",EDATE($D43,Milestones!$AA$68)&gt;=$S43),$V43,$U43)))=Milestones!$AB$68),UPPER(TEXT(EDATE($D43,Milestones!$AA$68),"dd mmm yy"))&amp;" "&amp;Milestones!$AB$68&amp;" "&amp;Milestones!$AC$68&amp;";  ","")&amp;IF(AND(EDATE($D43,Milestones!$AA$69)&lt;=AsOfDate,IF($R43=0,$X43,IF(AND($T43&lt;&gt;"",EDATE($D43,Milestones!$AA$69)&gt;=$T43),$W43,IF(AND($S43&lt;&gt;"",EDATE($D43,Milestones!$AA$69)&gt;=$S43),$V43,$U43)))=Milestones!$AB$69),UPPER(TEXT(EDATE($D43,Milestones!$AA$69),"dd mmm yy"))&amp;" "&amp;Milestones!$AB$69&amp;" "&amp;Milestones!$AC$69&amp;";  ","")&amp;IF(AND(EDATE($D43,Milestones!$AA$70)&lt;=AsOfDate,IF($R43=0,$X43,IF(AND($T43&lt;&gt;"",EDATE($D43,Milestones!$AA$70)&gt;=$T43),$W43,IF(AND($S43&lt;&gt;"",EDATE($D43,Milestones!$AA$70)&gt;=$S43),$V43,$U43)))=Milestones!$AB$70),UPPER(TEXT(EDATE($D43,Milestones!$AA$70),"dd mmm yy"))&amp;" "&amp;Milestones!$AB$70&amp;" "&amp;Milestones!$AC$70&amp;";  ","")&amp;IF(AND(EDATE($D43,Milestones!$AA$71)&lt;=AsOfDate,IF($R43=0,$X43,IF(AND($T43&lt;&gt;"",EDATE($D43,Milestones!$AA$71)&gt;=$T43),$W43,IF(AND($S43&lt;&gt;"",EDATE($D43,Milestones!$AA$71)&gt;=$S43),$V43,$U43)))=Milestones!$AB$71),UPPER(TEXT(EDATE($D43,Milestones!$AA$71),"dd mmm yy"))&amp;" "&amp;Milestones!$AB$71&amp;" "&amp;Milestones!$AC$71&amp;";  ","")&amp;IF(AND(EDATE($D43,Milestones!$AA$72)&lt;=AsOfDate,IF($R43=0,$X43,IF(AND($T43&lt;&gt;"",EDATE($D43,Milestones!$AA$72)&gt;=$T43),$W43,IF(AND($S43&lt;&gt;"",EDATE($D43,Milestones!$AA$72)&gt;=$S43),$V43,$U43)))=Milestones!$AB$72),UPPER(TEXT(EDATE($D43,Milestones!$AA$72),"dd mmm yy"))&amp;" "&amp;Milestones!$AB$72&amp;" "&amp;Milestones!$AC$72&amp;";  ","")&amp;IF(AND(EDATE($D43,Milestones!$AA$73)&lt;=AsOfDate,IF($R43=0,$X43,IF(AND($T43&lt;&gt;"",EDATE($D43,Milestones!$AA$73)&gt;=$T43),$W43,IF(AND($S43&lt;&gt;"",EDATE($D43,Milestones!$AA$73)&gt;=$S43),$V43,$U43)))=Milestones!$AB$73),UPPER(TEXT(EDATE($D43,Milestones!$AA$73),"dd mmm yy"))&amp;" "&amp;Milestones!$AB$73&amp;" "&amp;Milestones!$AC$73&amp;";  ","")&amp;IF(AND(EDATE($D43,Milestones!$AA$74)&lt;=AsOfDate,IF($R43=0,$X43,IF(AND($T43&lt;&gt;"",EDATE($D43,Milestones!$AA$74)&gt;=$T43),$W43,IF(AND($S43&lt;&gt;"",EDATE($D43,Milestones!$AA$74)&gt;=$S43),$V43,$U43)))=Milestones!$AB$74),UPPER(TEXT(EDATE($D43,Milestones!$AA$74),"dd mmm yy"))&amp;" "&amp;Milestones!$AB$74&amp;" "&amp;Milestones!$AC$74&amp;";  ","")&amp;IF(AND(EDATE($D43,Milestones!$AA$75)&lt;=AsOfDate,IF($R43=0,$X43,IF(AND($T43&lt;&gt;"",EDATE($D43,Milestones!$AA$75)&gt;=$T43),$W43,IF(AND($S43&lt;&gt;"",EDATE($D43,Milestones!$AA$75)&gt;=$S43),$V43,$U43)))=Milestones!$AB$75),UPPER(TEXT(EDATE($D43,Milestones!$AA$75),"dd mmm yy"))&amp;" "&amp;Milestones!$AB$75&amp;" "&amp;Milestones!$AC$75&amp;";  ","")&amp;IF(AND(EDATE($D43,Milestones!$AA$76)&lt;=AsOfDate,IF($R43=0,$X43,IF(AND($T43&lt;&gt;"",EDATE($D43,Milestones!$AA$76)&gt;=$T43),$W43,IF(AND($S43&lt;&gt;"",EDATE($D43,Milestones!$AA$76)&gt;=$S43),$V43,$U43)))=Milestones!$AB$76),UPPER(TEXT(EDATE($D43,Milestones!$AA$76),"dd mmm yy"))&amp;" "&amp;Milestones!$AB$76&amp;" "&amp;Milestones!$AC$76&amp;";  ","")&amp;IF(AND(EDATE($D43,Milestones!$AA$77)&lt;=AsOfDate,IF($R43=0,$X43,IF(AND($T43&lt;&gt;"",EDATE($D43,Milestones!$AA$77)&gt;=$T43),$W43,IF(AND($S43&lt;&gt;"",EDATE($D43,Milestones!$AA$77)&gt;=$S43),$V43,$U43)))=Milestones!$AB$77),UPPER(TEXT(EDATE($D43,Milestones!$AA$77),"dd mmm yy"))&amp;" "&amp;Milestones!$AB$77&amp;" "&amp;Milestones!$AC$77&amp;";  ","")&amp;IF(AND(EDATE($D43,Milestones!$AA$78)&lt;=AsOfDate,IF($R43=0,$X43,IF(AND($T43&lt;&gt;"",EDATE($D43,Milestones!$AA$78)&gt;=$T43),$W43,IF(AND($S43&lt;&gt;"",EDATE($D43,Milestones!$AA$78)&gt;=$S43),$V43,$U43)))=Milestones!$AB$78),UPPER(TEXT(EDATE($D43,Milestones!$AA$78),"dd mmm yy"))&amp;" "&amp;Milestones!$AB$78&amp;" "&amp;Milestones!$AC$78&amp;";  ","")&amp;IF(AND(EDATE($D43,Milestones!$AA$79)&lt;=AsOfDate,IF($R43=0,$X43,IF(AND($T43&lt;&gt;"",EDATE($D43,Milestones!$AA$79)&gt;=$T43),$W43,IF(AND($S43&lt;&gt;"",EDATE($D43,Milestones!$AA$79)&gt;=$S43),$V43,$U43)))=Milestones!$AB$79),UPPER(TEXT(EDATE($D43,Milestones!$AA$79),"dd mmm yy"))&amp;" "&amp;Milestones!$AB$79&amp;" "&amp;Milestones!$AC$79&amp;";  ",""))</f>
        <v/>
      </c>
      <c r="L43" s="0" t="str">
        <f aca="false">IF(OR($A43="",$D43=""),"",IF(AND(EDATE($D43,Milestones!$AA$80)&lt;=AsOfDate,IF($R43=0,$X43,IF(AND($T43&lt;&gt;"",EDATE($D43,Milestones!$AA$80)&gt;=$T43),$W43,IF(AND($S43&lt;&gt;"",EDATE($D43,Milestones!$AA$80)&gt;=$S43),$V43,$U43)))=Milestones!$AB$80),UPPER(TEXT(EDATE($D43,Milestones!$AA$80),"dd mmm yy"))&amp;" "&amp;Milestones!$AB$80&amp;" "&amp;Milestones!$AC$80&amp;";  ","")&amp;IF(AND(EDATE($D43,Milestones!$AA$81)&lt;=AsOfDate,IF($R43=0,$X43,IF(AND($T43&lt;&gt;"",EDATE($D43,Milestones!$AA$81)&gt;=$T43),$W43,IF(AND($S43&lt;&gt;"",EDATE($D43,Milestones!$AA$81)&gt;=$S43),$V43,$U43)))=Milestones!$AB$81),UPPER(TEXT(EDATE($D43,Milestones!$AA$81),"dd mmm yy"))&amp;" "&amp;Milestones!$AB$81&amp;" "&amp;Milestones!$AC$81&amp;";  ","")&amp;IF(AND(EDATE($D43,Milestones!$AA$82)&lt;=AsOfDate,IF($R43=0,$X43,IF(AND($T43&lt;&gt;"",EDATE($D43,Milestones!$AA$82)&gt;=$T43),$W43,IF(AND($S43&lt;&gt;"",EDATE($D43,Milestones!$AA$82)&gt;=$S43),$V43,$U43)))=Milestones!$AB$82),UPPER(TEXT(EDATE($D43,Milestones!$AA$82),"dd mmm yy"))&amp;" "&amp;Milestones!$AB$82&amp;" "&amp;Milestones!$AC$82&amp;";  ","")&amp;IF(AND(EDATE($D43,Milestones!$AA$83)&lt;=AsOfDate,IF($R43=0,$X43,IF(AND($T43&lt;&gt;"",EDATE($D43,Milestones!$AA$83)&gt;=$T43),$W43,IF(AND($S43&lt;&gt;"",EDATE($D43,Milestones!$AA$83)&gt;=$S43),$V43,$U43)))=Milestones!$AB$83),UPPER(TEXT(EDATE($D43,Milestones!$AA$83),"dd mmm yy"))&amp;" "&amp;Milestones!$AB$83&amp;" "&amp;Milestones!$AC$83&amp;";  ","")&amp;IF(AND(EDATE($D43,Milestones!$AA$84)&lt;=AsOfDate,IF($R43=0,$X43,IF(AND($T43&lt;&gt;"",EDATE($D43,Milestones!$AA$84)&gt;=$T43),$W43,IF(AND($S43&lt;&gt;"",EDATE($D43,Milestones!$AA$84)&gt;=$S43),$V43,$U43)))=Milestones!$AB$84),UPPER(TEXT(EDATE($D43,Milestones!$AA$84),"dd mmm yy"))&amp;" "&amp;Milestones!$AB$84&amp;" "&amp;Milestones!$AC$84&amp;";  ","")&amp;IF(AND(EDATE($D43,Milestones!$AA$85)&lt;=AsOfDate,IF($R43=0,$X43,IF(AND($T43&lt;&gt;"",EDATE($D43,Milestones!$AA$85)&gt;=$T43),$W43,IF(AND($S43&lt;&gt;"",EDATE($D43,Milestones!$AA$85)&gt;=$S43),$V43,$U43)))=Milestones!$AB$85),UPPER(TEXT(EDATE($D43,Milestones!$AA$85),"dd mmm yy"))&amp;" "&amp;Milestones!$AB$85&amp;" "&amp;Milestones!$AC$85&amp;";  ","")&amp;IF(AND(EDATE($D43,Milestones!$AA$86)&lt;=AsOfDate,IF($R43=0,$X43,IF(AND($T43&lt;&gt;"",EDATE($D43,Milestones!$AA$86)&gt;=$T43),$W43,IF(AND($S43&lt;&gt;"",EDATE($D43,Milestones!$AA$86)&gt;=$S43),$V43,$U43)))=Milestones!$AB$86),UPPER(TEXT(EDATE($D43,Milestones!$AA$86),"dd mmm yy"))&amp;" "&amp;Milestones!$AB$86&amp;" "&amp;Milestones!$AC$86&amp;";  ","")&amp;IF(AND(EDATE($D43,Milestones!$AA$87)&lt;=AsOfDate,IF($R43=0,$X43,IF(AND($T43&lt;&gt;"",EDATE($D43,Milestones!$AA$87)&gt;=$T43),$W43,IF(AND($S43&lt;&gt;"",EDATE($D43,Milestones!$AA$87)&gt;=$S43),$V43,$U43)))=Milestones!$AB$87),UPPER(TEXT(EDATE($D43,Milestones!$AA$87),"dd mmm yy"))&amp;" "&amp;Milestones!$AB$87&amp;" "&amp;Milestones!$AC$87&amp;";  ","")&amp;IF(AND(EDATE($D43,Milestones!$AA$88)&lt;=AsOfDate,IF($R43=0,$X43,IF(AND($T43&lt;&gt;"",EDATE($D43,Milestones!$AA$88)&gt;=$T43),$W43,IF(AND($S43&lt;&gt;"",EDATE($D43,Milestones!$AA$88)&gt;=$S43),$V43,$U43)))=Milestones!$AB$88),UPPER(TEXT(EDATE($D43,Milestones!$AA$88),"dd mmm yy"))&amp;" "&amp;Milestones!$AB$88&amp;" "&amp;Milestones!$AC$88&amp;";  ","")&amp;IF(AND(EDATE($D43,Milestones!$AA$89)&lt;=AsOfDate,IF($R43=0,$X43,IF(AND($T43&lt;&gt;"",EDATE($D43,Milestones!$AA$89)&gt;=$T43),$W43,IF(AND($S43&lt;&gt;"",EDATE($D43,Milestones!$AA$89)&gt;=$S43),$V43,$U43)))=Milestones!$AB$89),UPPER(TEXT(EDATE($D43,Milestones!$AA$89),"dd mmm yy"))&amp;" "&amp;Milestones!$AB$89&amp;" "&amp;Milestones!$AC$89&amp;";  ","")&amp;IF(AND(EDATE($D43,Milestones!$AA$90)&lt;=AsOfDate,IF($R43=0,$X43,IF(AND($T43&lt;&gt;"",EDATE($D43,Milestones!$AA$90)&gt;=$T43),$W43,IF(AND($S43&lt;&gt;"",EDATE($D43,Milestones!$AA$90)&gt;=$S43),$V43,$U43)))=Milestones!$AB$90),UPPER(TEXT(EDATE($D43,Milestones!$AA$90),"dd mmm yy"))&amp;" "&amp;Milestones!$AB$90&amp;" "&amp;Milestones!$AC$90&amp;";  ","")&amp;IF(AND(EDATE($D43,Milestones!$AA$91)&lt;=AsOfDate,IF($R43=0,$X43,IF(AND($T43&lt;&gt;"",EDATE($D43,Milestones!$AA$91)&gt;=$T43),$W43,IF(AND($S43&lt;&gt;"",EDATE($D43,Milestones!$AA$91)&gt;=$S43),$V43,$U43)))=Milestones!$AB$91),UPPER(TEXT(EDATE($D43,Milestones!$AA$91),"dd mmm yy"))&amp;" "&amp;Milestones!$AB$91&amp;" "&amp;Milestones!$AC$91&amp;";  ","")&amp;IF(AND(EDATE($D43,Milestones!$AA$92)&lt;=AsOfDate,IF($R43=0,$X43,IF(AND($T43&lt;&gt;"",EDATE($D43,Milestones!$AA$92)&gt;=$T43),$W43,IF(AND($S43&lt;&gt;"",EDATE($D43,Milestones!$AA$92)&gt;=$S43),$V43,$U43)))=Milestones!$AB$92),UPPER(TEXT(EDATE($D43,Milestones!$AA$92),"dd mmm yy"))&amp;" "&amp;Milestones!$AB$92&amp;" "&amp;Milestones!$AC$92&amp;";  ","")&amp;IF(AND(EDATE($D43,Milestones!$AA$93)&lt;=AsOfDate,IF($R43=0,$X43,IF(AND($T43&lt;&gt;"",EDATE($D43,Milestones!$AA$93)&gt;=$T43),$W43,IF(AND($S43&lt;&gt;"",EDATE($D43,Milestones!$AA$93)&gt;=$S43),$V43,$U43)))=Milestones!$AB$93),UPPER(TEXT(EDATE($D43,Milestones!$AA$93),"dd mmm yy"))&amp;" "&amp;Milestones!$AB$93&amp;" "&amp;Milestones!$AC$93&amp;";  ","")&amp;IF(AND(EDATE($D43,Milestones!$AA$94)&lt;=AsOfDate,IF($R43=0,$X43,IF(AND($T43&lt;&gt;"",EDATE($D43,Milestones!$AA$94)&gt;=$T43),$W43,IF(AND($S43&lt;&gt;"",EDATE($D43,Milestones!$AA$94)&gt;=$S43),$V43,$U43)))=Milestones!$AB$94),UPPER(TEXT(EDATE($D43,Milestones!$AA$94),"dd mmm yy"))&amp;" "&amp;Milestones!$AB$94&amp;" "&amp;Milestones!$AC$94&amp;";  ","")&amp;IF(AND(EDATE($D43,Milestones!$AA$95)&lt;=AsOfDate,IF($R43=0,$X43,IF(AND($T43&lt;&gt;"",EDATE($D43,Milestones!$AA$95)&gt;=$T43),$W43,IF(AND($S43&lt;&gt;"",EDATE($D43,Milestones!$AA$95)&gt;=$S43),$V43,$U43)))=Milestones!$AB$95),UPPER(TEXT(EDATE($D43,Milestones!$AA$95),"dd mmm yy"))&amp;" "&amp;Milestones!$AB$95&amp;" "&amp;Milestones!$AC$95&amp;";  ","")&amp;IF(AND(EDATE($D43,Milestones!$AA$96)&lt;=AsOfDate,IF($R43=0,$X43,IF(AND($T43&lt;&gt;"",EDATE($D43,Milestones!$AA$96)&gt;=$T43),$W43,IF(AND($S43&lt;&gt;"",EDATE($D43,Milestones!$AA$96)&gt;=$S43),$V43,$U43)))=Milestones!$AB$96),UPPER(TEXT(EDATE($D43,Milestones!$AA$96),"dd mmm yy"))&amp;" "&amp;Milestones!$AB$96&amp;" "&amp;Milestones!$AC$96&amp;";  ","")&amp;IF(AND(EDATE($D43,Milestones!$AA$97)&lt;=AsOfDate,IF($R43=0,$X43,IF(AND($T43&lt;&gt;"",EDATE($D43,Milestones!$AA$97)&gt;=$T43),$W43,IF(AND($S43&lt;&gt;"",EDATE($D43,Milestones!$AA$97)&gt;=$S43),$V43,$U43)))=Milestones!$AB$97),UPPER(TEXT(EDATE($D43,Milestones!$AA$97),"dd mmm yy"))&amp;" "&amp;Milestones!$AB$97&amp;" "&amp;Milestones!$AC$97&amp;";  ","")&amp;IF(AND(EDATE($D43,Milestones!$AA$98)&lt;=AsOfDate,IF($R43=0,$X43,IF(AND($T43&lt;&gt;"",EDATE($D43,Milestones!$AA$98)&gt;=$T43),$W43,IF(AND($S43&lt;&gt;"",EDATE($D43,Milestones!$AA$98)&gt;=$S43),$V43,$U43)))=Milestones!$AB$98),UPPER(TEXT(EDATE($D43,Milestones!$AA$98),"dd mmm yy"))&amp;" "&amp;Milestones!$AB$98&amp;" "&amp;Milestones!$AC$98&amp;";  ","")&amp;IF(AND(EDATE($D43,Milestones!$AA$99)&lt;=AsOfDate,IF($R43=0,$X43,IF(AND($T43&lt;&gt;"",EDATE($D43,Milestones!$AA$99)&gt;=$T43),$W43,IF(AND($S43&lt;&gt;"",EDATE($D43,Milestones!$AA$99)&gt;=$S43),$V43,$U43)))=Milestones!$AB$99),UPPER(TEXT(EDATE($D43,Milestones!$AA$99),"dd mmm yy"))&amp;" "&amp;Milestones!$AB$99&amp;" "&amp;Milestones!$AC$99&amp;";  ",""))</f>
        <v/>
      </c>
      <c r="M43" s="0" t="str">
        <f aca="false">IF(OR($A43="",$D43=""),"",IF(AND(EDATE($D43,Milestones!$AA$100)&lt;=AsOfDate,IF($R43=0,$X43,IF(AND($T43&lt;&gt;"",EDATE($D43,Milestones!$AA$100)&gt;=$T43),$W43,IF(AND($S43&lt;&gt;"",EDATE($D43,Milestones!$AA$100)&gt;=$S43),$V43,$U43)))=Milestones!$AB$100),UPPER(TEXT(EDATE($D43,Milestones!$AA$100),"dd mmm yy"))&amp;" "&amp;Milestones!$AB$100&amp;" "&amp;Milestones!$AC$100&amp;";  ","")&amp;IF(AND(EDATE($D43,Milestones!$AA$101)&lt;=AsOfDate,IF($R43=0,$X43,IF(AND($T43&lt;&gt;"",EDATE($D43,Milestones!$AA$101)&gt;=$T43),$W43,IF(AND($S43&lt;&gt;"",EDATE($D43,Milestones!$AA$101)&gt;=$S43),$V43,$U43)))=Milestones!$AB$101),UPPER(TEXT(EDATE($D43,Milestones!$AA$101),"dd mmm yy"))&amp;" "&amp;Milestones!$AB$101&amp;" "&amp;Milestones!$AC$101&amp;";  ","")&amp;IF(AND(EDATE($D43,Milestones!$AA$102)&lt;=AsOfDate,IF($R43=0,$X43,IF(AND($T43&lt;&gt;"",EDATE($D43,Milestones!$AA$102)&gt;=$T43),$W43,IF(AND($S43&lt;&gt;"",EDATE($D43,Milestones!$AA$102)&gt;=$S43),$V43,$U43)))=Milestones!$AB$102),UPPER(TEXT(EDATE($D43,Milestones!$AA$102),"dd mmm yy"))&amp;" "&amp;Milestones!$AB$102&amp;" "&amp;Milestones!$AC$102&amp;";  ","")&amp;IF(AND(EDATE($D43,Milestones!$AA$103)&lt;=AsOfDate,IF($R43=0,$X43,IF(AND($T43&lt;&gt;"",EDATE($D43,Milestones!$AA$103)&gt;=$T43),$W43,IF(AND($S43&lt;&gt;"",EDATE($D43,Milestones!$AA$103)&gt;=$S43),$V43,$U43)))=Milestones!$AB$103),UPPER(TEXT(EDATE($D43,Milestones!$AA$103),"dd mmm yy"))&amp;" "&amp;Milestones!$AB$103&amp;" "&amp;Milestones!$AC$103&amp;";  ","")&amp;IF(AND(EDATE($D43,Milestones!$AA$104)&lt;=AsOfDate,IF($R43=0,$X43,IF(AND($T43&lt;&gt;"",EDATE($D43,Milestones!$AA$104)&gt;=$T43),$W43,IF(AND($S43&lt;&gt;"",EDATE($D43,Milestones!$AA$104)&gt;=$S43),$V43,$U43)))=Milestones!$AB$104),UPPER(TEXT(EDATE($D43,Milestones!$AA$104),"dd mmm yy"))&amp;" "&amp;Milestones!$AB$104&amp;" "&amp;Milestones!$AC$104&amp;";  ","")&amp;IF(AND(EDATE($D43,Milestones!$AA$105)&lt;=AsOfDate,IF($R43=0,$X43,IF(AND($T43&lt;&gt;"",EDATE($D43,Milestones!$AA$105)&gt;=$T43),$W43,IF(AND($S43&lt;&gt;"",EDATE($D43,Milestones!$AA$105)&gt;=$S43),$V43,$U43)))=Milestones!$AB$105),UPPER(TEXT(EDATE($D43,Milestones!$AA$105),"dd mmm yy"))&amp;" "&amp;Milestones!$AB$105&amp;" "&amp;Milestones!$AC$105&amp;";  ","")&amp;IF(AND(EDATE($D43,Milestones!$AA$106)&lt;=AsOfDate,IF($R43=0,$X43,IF(AND($T43&lt;&gt;"",EDATE($D43,Milestones!$AA$106)&gt;=$T43),$W43,IF(AND($S43&lt;&gt;"",EDATE($D43,Milestones!$AA$106)&gt;=$S43),$V43,$U43)))=Milestones!$AB$106),UPPER(TEXT(EDATE($D43,Milestones!$AA$106),"dd mmm yy"))&amp;" "&amp;Milestones!$AB$106&amp;" "&amp;Milestones!$AC$106&amp;";  ","")&amp;IF(AND(EDATE($D43,Milestones!$AA$107)&lt;=AsOfDate,IF($R43=0,$X43,IF(AND($T43&lt;&gt;"",EDATE($D43,Milestones!$AA$107)&gt;=$T43),$W43,IF(AND($S43&lt;&gt;"",EDATE($D43,Milestones!$AA$107)&gt;=$S43),$V43,$U43)))=Milestones!$AB$107),UPPER(TEXT(EDATE($D43,Milestones!$AA$107),"dd mmm yy"))&amp;" "&amp;Milestones!$AB$107&amp;" "&amp;Milestones!$AC$107&amp;";  ","")&amp;IF(AND(EDATE($D43,Milestones!$AA$108)&lt;=AsOfDate,IF($R43=0,$X43,IF(AND($T43&lt;&gt;"",EDATE($D43,Milestones!$AA$108)&gt;=$T43),$W43,IF(AND($S43&lt;&gt;"",EDATE($D43,Milestones!$AA$108)&gt;=$S43),$V43,$U43)))=Milestones!$AB$108),UPPER(TEXT(EDATE($D43,Milestones!$AA$108),"dd mmm yy"))&amp;" "&amp;Milestones!$AB$108&amp;" "&amp;Milestones!$AC$108&amp;";  ","")&amp;IF(AND(EDATE($D43,Milestones!$AA$109)&lt;=AsOfDate,IF($R43=0,$X43,IF(AND($T43&lt;&gt;"",EDATE($D43,Milestones!$AA$109)&gt;=$T43),$W43,IF(AND($S43&lt;&gt;"",EDATE($D43,Milestones!$AA$109)&gt;=$S43),$V43,$U43)))=Milestones!$AB$109),UPPER(TEXT(EDATE($D43,Milestones!$AA$109),"dd mmm yy"))&amp;" "&amp;Milestones!$AB$109&amp;" "&amp;Milestones!$AC$109&amp;";  ","")&amp;IF(AND(EDATE($D43,Milestones!$AA$110)&lt;=AsOfDate,IF($R43=0,$X43,IF(AND($T43&lt;&gt;"",EDATE($D43,Milestones!$AA$110)&gt;=$T43),$W43,IF(AND($S43&lt;&gt;"",EDATE($D43,Milestones!$AA$110)&gt;=$S43),$V43,$U43)))=Milestones!$AB$110),UPPER(TEXT(EDATE($D43,Milestones!$AA$110),"dd mmm yy"))&amp;" "&amp;Milestones!$AB$110&amp;" "&amp;Milestones!$AC$110&amp;";  ","")&amp;IF(AND(EDATE($D43,Milestones!$AA$111)&lt;=AsOfDate,IF($R43=0,$X43,IF(AND($T43&lt;&gt;"",EDATE($D43,Milestones!$AA$111)&gt;=$T43),$W43,IF(AND($S43&lt;&gt;"",EDATE($D43,Milestones!$AA$111)&gt;=$S43),$V43,$U43)))=Milestones!$AB$111),UPPER(TEXT(EDATE($D43,Milestones!$AA$111),"dd mmm yy"))&amp;" "&amp;Milestones!$AB$111&amp;" "&amp;Milestones!$AC$111&amp;";  ","")&amp;IF(AND(EDATE($D43,Milestones!$AA$112)&lt;=AsOfDate,IF($R43=0,$X43,IF(AND($T43&lt;&gt;"",EDATE($D43,Milestones!$AA$112)&gt;=$T43),$W43,IF(AND($S43&lt;&gt;"",EDATE($D43,Milestones!$AA$112)&gt;=$S43),$V43,$U43)))=Milestones!$AB$112),UPPER(TEXT(EDATE($D43,Milestones!$AA$112),"dd mmm yy"))&amp;" "&amp;Milestones!$AB$112&amp;" "&amp;Milestones!$AC$112&amp;";  ","")&amp;IF(AND(EDATE($D43,Milestones!$AA$113)&lt;=AsOfDate,IF($R43=0,$X43,IF(AND($T43&lt;&gt;"",EDATE($D43,Milestones!$AA$113)&gt;=$T43),$W43,IF(AND($S43&lt;&gt;"",EDATE($D43,Milestones!$AA$113)&gt;=$S43),$V43,$U43)))=Milestones!$AB$113),UPPER(TEXT(EDATE($D43,Milestones!$AA$113),"dd mmm yy"))&amp;" "&amp;Milestones!$AB$113&amp;" "&amp;Milestones!$AC$113&amp;";  ","")&amp;IF(AND(EDATE($D43,Milestones!$AA$114)&lt;=AsOfDate,IF($R43=0,$X43,IF(AND($T43&lt;&gt;"",EDATE($D43,Milestones!$AA$114)&gt;=$T43),$W43,IF(AND($S43&lt;&gt;"",EDATE($D43,Milestones!$AA$114)&gt;=$S43),$V43,$U43)))=Milestones!$AB$114),UPPER(TEXT(EDATE($D43,Milestones!$AA$114),"dd mmm yy"))&amp;" "&amp;Milestones!$AB$114&amp;" "&amp;Milestones!$AC$114&amp;";  ","")&amp;IF(AND(EDATE($D43,Milestones!$AA$115)&lt;=AsOfDate,IF($R43=0,$X43,IF(AND($T43&lt;&gt;"",EDATE($D43,Milestones!$AA$115)&gt;=$T43),$W43,IF(AND($S43&lt;&gt;"",EDATE($D43,Milestones!$AA$115)&gt;=$S43),$V43,$U43)))=Milestones!$AB$115),UPPER(TEXT(EDATE($D43,Milestones!$AA$115),"dd mmm yy"))&amp;" "&amp;Milestones!$AB$115&amp;" "&amp;Milestones!$AC$115&amp;";  ","")&amp;IF(AND(EDATE($D43,Milestones!$AA$116)&lt;=AsOfDate,IF($R43=0,$X43,IF(AND($T43&lt;&gt;"",EDATE($D43,Milestones!$AA$116)&gt;=$T43),$W43,IF(AND($S43&lt;&gt;"",EDATE($D43,Milestones!$AA$116)&gt;=$S43),$V43,$U43)))=Milestones!$AB$116),UPPER(TEXT(EDATE($D43,Milestones!$AA$116),"dd mmm yy"))&amp;" "&amp;Milestones!$AB$116&amp;" "&amp;Milestones!$AC$116&amp;";  ","")&amp;IF(AND(EDATE($D43,Milestones!$AA$117)&lt;=AsOfDate,IF($R43=0,$X43,IF(AND($T43&lt;&gt;"",EDATE($D43,Milestones!$AA$117)&gt;=$T43),$W43,IF(AND($S43&lt;&gt;"",EDATE($D43,Milestones!$AA$117)&gt;=$S43),$V43,$U43)))=Milestones!$AB$117),UPPER(TEXT(EDATE($D43,Milestones!$AA$117),"dd mmm yy"))&amp;" "&amp;Milestones!$AB$117&amp;" "&amp;Milestones!$AC$117&amp;";  ","")&amp;IF(AND(EDATE($D43,Milestones!$AA$118)&lt;=AsOfDate,IF($R43=0,$X43,IF(AND($T43&lt;&gt;"",EDATE($D43,Milestones!$AA$118)&gt;=$T43),$W43,IF(AND($S43&lt;&gt;"",EDATE($D43,Milestones!$AA$118)&gt;=$S43),$V43,$U43)))=Milestones!$AB$118),UPPER(TEXT(EDATE($D43,Milestones!$AA$118),"dd mmm yy"))&amp;" "&amp;Milestones!$AB$118&amp;" "&amp;Milestones!$AC$118&amp;";  ","")&amp;IF(AND(EDATE($D43,Milestones!$AA$119)&lt;=AsOfDate,IF($R43=0,$X43,IF(AND($T43&lt;&gt;"",EDATE($D43,Milestones!$AA$119)&gt;=$T43),$W43,IF(AND($S43&lt;&gt;"",EDATE($D43,Milestones!$AA$119)&gt;=$S43),$V43,$U43)))=Milestones!$AB$119),UPPER(TEXT(EDATE($D43,Milestones!$AA$119),"dd mmm yy"))&amp;" "&amp;Milestones!$AB$119&amp;" "&amp;Milestones!$AC$119&amp;";  ",""))</f>
        <v/>
      </c>
      <c r="N43" s="0" t="str">
        <f aca="false">IF(OR($A43="",$D43=""),"",IF(AND(EDATE($D43,Milestones!$AA$120)&lt;=AsOfDate,IF($R43=0,$X43,IF(AND($T43&lt;&gt;"",EDATE($D43,Milestones!$AA$120)&gt;=$T43),$W43,IF(AND($S43&lt;&gt;"",EDATE($D43,Milestones!$AA$120)&gt;=$S43),$V43,$U43)))=Milestones!$AB$120),UPPER(TEXT(EDATE($D43,Milestones!$AA$120),"dd mmm yy"))&amp;" "&amp;Milestones!$AB$120&amp;" "&amp;Milestones!$AC$120&amp;";  ","")&amp;IF(AND(EDATE($D43,Milestones!$AA$121)&lt;=AsOfDate,IF($R43=0,$X43,IF(AND($T43&lt;&gt;"",EDATE($D43,Milestones!$AA$121)&gt;=$T43),$W43,IF(AND($S43&lt;&gt;"",EDATE($D43,Milestones!$AA$121)&gt;=$S43),$V43,$U43)))=Milestones!$AB$121),UPPER(TEXT(EDATE($D43,Milestones!$AA$121),"dd mmm yy"))&amp;" "&amp;Milestones!$AB$121&amp;" "&amp;Milestones!$AC$121&amp;";  ","")&amp;IF(AND(EDATE($D43,Milestones!$AA$122)&lt;=AsOfDate,IF($R43=0,$X43,IF(AND($T43&lt;&gt;"",EDATE($D43,Milestones!$AA$122)&gt;=$T43),$W43,IF(AND($S43&lt;&gt;"",EDATE($D43,Milestones!$AA$122)&gt;=$S43),$V43,$U43)))=Milestones!$AB$122),UPPER(TEXT(EDATE($D43,Milestones!$AA$122),"dd mmm yy"))&amp;" "&amp;Milestones!$AB$122&amp;" "&amp;Milestones!$AC$122&amp;";  ","")&amp;IF(AND(EDATE($D43,Milestones!$AA$123)&lt;=AsOfDate,IF($R43=0,$X43,IF(AND($T43&lt;&gt;"",EDATE($D43,Milestones!$AA$123)&gt;=$T43),$W43,IF(AND($S43&lt;&gt;"",EDATE($D43,Milestones!$AA$123)&gt;=$S43),$V43,$U43)))=Milestones!$AB$123),UPPER(TEXT(EDATE($D43,Milestones!$AA$123),"dd mmm yy"))&amp;" "&amp;Milestones!$AB$123&amp;" "&amp;Milestones!$AC$123&amp;";  ","")&amp;IF(AND(EDATE($D43,Milestones!$AA$124)&lt;=AsOfDate,IF($R43=0,$X43,IF(AND($T43&lt;&gt;"",EDATE($D43,Milestones!$AA$124)&gt;=$T43),$W43,IF(AND($S43&lt;&gt;"",EDATE($D43,Milestones!$AA$124)&gt;=$S43),$V43,$U43)))=Milestones!$AB$124),UPPER(TEXT(EDATE($D43,Milestones!$AA$124),"dd mmm yy"))&amp;" "&amp;Milestones!$AB$124&amp;" "&amp;Milestones!$AC$124&amp;";  ","")&amp;IF(AND(EDATE($D43,Milestones!$AA$125)&lt;=AsOfDate,IF($R43=0,$X43,IF(AND($T43&lt;&gt;"",EDATE($D43,Milestones!$AA$125)&gt;=$T43),$W43,IF(AND($S43&lt;&gt;"",EDATE($D43,Milestones!$AA$125)&gt;=$S43),$V43,$U43)))=Milestones!$AB$125),UPPER(TEXT(EDATE($D43,Milestones!$AA$125),"dd mmm yy"))&amp;" "&amp;Milestones!$AB$125&amp;" "&amp;Milestones!$AC$125&amp;";  ","")&amp;IF(AND(EDATE($D43,Milestones!$AA$126)&lt;=AsOfDate,IF($R43=0,$X43,IF(AND($T43&lt;&gt;"",EDATE($D43,Milestones!$AA$126)&gt;=$T43),$W43,IF(AND($S43&lt;&gt;"",EDATE($D43,Milestones!$AA$126)&gt;=$S43),$V43,$U43)))=Milestones!$AB$126),UPPER(TEXT(EDATE($D43,Milestones!$AA$126),"dd mmm yy"))&amp;" "&amp;Milestones!$AB$126&amp;" "&amp;Milestones!$AC$126&amp;";  ","")&amp;IF(AND(EDATE($D43,Milestones!$AA$127)&lt;=AsOfDate,IF($R43=0,$X43,IF(AND($T43&lt;&gt;"",EDATE($D43,Milestones!$AA$127)&gt;=$T43),$W43,IF(AND($S43&lt;&gt;"",EDATE($D43,Milestones!$AA$127)&gt;=$S43),$V43,$U43)))=Milestones!$AB$127),UPPER(TEXT(EDATE($D43,Milestones!$AA$127),"dd mmm yy"))&amp;" "&amp;Milestones!$AB$127&amp;" "&amp;Milestones!$AC$127&amp;";  ","")&amp;IF(AND(EDATE($D43,Milestones!$AA$128)&lt;=AsOfDate,IF($R43=0,$X43,IF(AND($T43&lt;&gt;"",EDATE($D43,Milestones!$AA$128)&gt;=$T43),$W43,IF(AND($S43&lt;&gt;"",EDATE($D43,Milestones!$AA$128)&gt;=$S43),$V43,$U43)))=Milestones!$AB$128),UPPER(TEXT(EDATE($D43,Milestones!$AA$128),"dd mmm yy"))&amp;" "&amp;Milestones!$AB$128&amp;" "&amp;Milestones!$AC$128&amp;";  ","")&amp;IF(AND(EDATE($D43,Milestones!$AA$129)&lt;=AsOfDate,IF($R43=0,$X43,IF(AND($T43&lt;&gt;"",EDATE($D43,Milestones!$AA$129)&gt;=$T43),$W43,IF(AND($S43&lt;&gt;"",EDATE($D43,Milestones!$AA$129)&gt;=$S43),$V43,$U43)))=Milestones!$AB$129),UPPER(TEXT(EDATE($D43,Milestones!$AA$129),"dd mmm yy"))&amp;" "&amp;Milestones!$AB$129&amp;" "&amp;Milestones!$AC$129&amp;";  ","")&amp;IF(AND(EDATE($D43,Milestones!$AA$130)&lt;=AsOfDate,IF($R43=0,$X43,IF(AND($T43&lt;&gt;"",EDATE($D43,Milestones!$AA$130)&gt;=$T43),$W43,IF(AND($S43&lt;&gt;"",EDATE($D43,Milestones!$AA$130)&gt;=$S43),$V43,$U43)))=Milestones!$AB$130),UPPER(TEXT(EDATE($D43,Milestones!$AA$130),"dd mmm yy"))&amp;" "&amp;Milestones!$AB$130&amp;" "&amp;Milestones!$AC$130&amp;";  ","")&amp;IF(AND(EDATE($D43,Milestones!$AA$131)&lt;=AsOfDate,IF($R43=0,$X43,IF(AND($T43&lt;&gt;"",EDATE($D43,Milestones!$AA$131)&gt;=$T43),$W43,IF(AND($S43&lt;&gt;"",EDATE($D43,Milestones!$AA$131)&gt;=$S43),$V43,$U43)))=Milestones!$AB$131),UPPER(TEXT(EDATE($D43,Milestones!$AA$131),"dd mmm yy"))&amp;" "&amp;Milestones!$AB$131&amp;" "&amp;Milestones!$AC$131&amp;";  ","")&amp;IF(AND(EDATE($D43,Milestones!$AA$132)&lt;=AsOfDate,IF($R43=0,$X43,IF(AND($T43&lt;&gt;"",EDATE($D43,Milestones!$AA$132)&gt;=$T43),$W43,IF(AND($S43&lt;&gt;"",EDATE($D43,Milestones!$AA$132)&gt;=$S43),$V43,$U43)))=Milestones!$AB$132),UPPER(TEXT(EDATE($D43,Milestones!$AA$132),"dd mmm yy"))&amp;" "&amp;Milestones!$AB$132&amp;" "&amp;Milestones!$AC$132&amp;";  ","")&amp;IF(AND(EDATE($D43,Milestones!$AA$133)&lt;=AsOfDate,IF($R43=0,$X43,IF(AND($T43&lt;&gt;"",EDATE($D43,Milestones!$AA$133)&gt;=$T43),$W43,IF(AND($S43&lt;&gt;"",EDATE($D43,Milestones!$AA$133)&gt;=$S43),$V43,$U43)))=Milestones!$AB$133),UPPER(TEXT(EDATE($D43,Milestones!$AA$133),"dd mmm yy"))&amp;" "&amp;Milestones!$AB$133&amp;" "&amp;Milestones!$AC$133&amp;";  ","")&amp;IF(AND(EDATE($D43,Milestones!$AA$134)&lt;=AsOfDate,IF($R43=0,$X43,IF(AND($T43&lt;&gt;"",EDATE($D43,Milestones!$AA$134)&gt;=$T43),$W43,IF(AND($S43&lt;&gt;"",EDATE($D43,Milestones!$AA$134)&gt;=$S43),$V43,$U43)))=Milestones!$AB$134),UPPER(TEXT(EDATE($D43,Milestones!$AA$134),"dd mmm yy"))&amp;" "&amp;Milestones!$AB$134&amp;" "&amp;Milestones!$AC$134&amp;";  ","")&amp;IF(AND(EDATE($D43,Milestones!$AA$135)&lt;=AsOfDate,IF($R43=0,$X43,IF(AND($T43&lt;&gt;"",EDATE($D43,Milestones!$AA$135)&gt;=$T43),$W43,IF(AND($S43&lt;&gt;"",EDATE($D43,Milestones!$AA$135)&gt;=$S43),$V43,$U43)))=Milestones!$AB$135),UPPER(TEXT(EDATE($D43,Milestones!$AA$135),"dd mmm yy"))&amp;" "&amp;Milestones!$AB$135&amp;" "&amp;Milestones!$AC$135&amp;";  ","")&amp;IF(AND(EDATE($D43,Milestones!$AA$136)&lt;=AsOfDate,IF($R43=0,$X43,IF(AND($T43&lt;&gt;"",EDATE($D43,Milestones!$AA$136)&gt;=$T43),$W43,IF(AND($S43&lt;&gt;"",EDATE($D43,Milestones!$AA$136)&gt;=$S43),$V43,$U43)))=Milestones!$AB$136),UPPER(TEXT(EDATE($D43,Milestones!$AA$136),"dd mmm yy"))&amp;" "&amp;Milestones!$AB$136&amp;" "&amp;Milestones!$AC$136&amp;";  ","")&amp;IF(AND(EDATE($D43,Milestones!$AA$137)&lt;=AsOfDate,IF($R43=0,$X43,IF(AND($T43&lt;&gt;"",EDATE($D43,Milestones!$AA$137)&gt;=$T43),$W43,IF(AND($S43&lt;&gt;"",EDATE($D43,Milestones!$AA$137)&gt;=$S43),$V43,$U43)))=Milestones!$AB$137),UPPER(TEXT(EDATE($D43,Milestones!$AA$137),"dd mmm yy"))&amp;" "&amp;Milestones!$AB$137&amp;" "&amp;Milestones!$AC$137&amp;";  ","")&amp;IF(AND(EDATE($D43,Milestones!$AA$138)&lt;=AsOfDate,IF($R43=0,$X43,IF(AND($T43&lt;&gt;"",EDATE($D43,Milestones!$AA$138)&gt;=$T43),$W43,IF(AND($S43&lt;&gt;"",EDATE($D43,Milestones!$AA$138)&gt;=$S43),$V43,$U43)))=Milestones!$AB$138),UPPER(TEXT(EDATE($D43,Milestones!$AA$138),"dd mmm yy"))&amp;" "&amp;Milestones!$AB$138&amp;" "&amp;Milestones!$AC$138&amp;";  ","")&amp;IF(AND(EDATE($D43,Milestones!$AA$139)&lt;=AsOfDate,IF($R43=0,$X43,IF(AND($T43&lt;&gt;"",EDATE($D43,Milestones!$AA$139)&gt;=$T43),$W43,IF(AND($S43&lt;&gt;"",EDATE($D43,Milestones!$AA$139)&gt;=$S43),$V43,$U43)))=Milestones!$AB$139),UPPER(TEXT(EDATE($D43,Milestones!$AA$139),"dd mmm yy"))&amp;" "&amp;Milestones!$AB$139&amp;" "&amp;Milestones!$AC$139&amp;";  ",""))</f>
        <v/>
      </c>
      <c r="O43" s="0" t="str">
        <f aca="false">IF(OR($A43="",$D43=""),"",IF(AND(EDATE($D43,Milestones!$AA$140)&lt;=AsOfDate,IF($R43=0,$X43,IF(AND($T43&lt;&gt;"",EDATE($D43,Milestones!$AA$140)&gt;=$T43),$W43,IF(AND($S43&lt;&gt;"",EDATE($D43,Milestones!$AA$140)&gt;=$S43),$V43,$U43)))=Milestones!$AB$140),UPPER(TEXT(EDATE($D43,Milestones!$AA$140),"dd mmm yy"))&amp;" "&amp;Milestones!$AB$140&amp;" "&amp;Milestones!$AC$140&amp;";  ","")&amp;IF(AND(EDATE($D43,Milestones!$AA$141)&lt;=AsOfDate,IF($R43=0,$X43,IF(AND($T43&lt;&gt;"",EDATE($D43,Milestones!$AA$141)&gt;=$T43),$W43,IF(AND($S43&lt;&gt;"",EDATE($D43,Milestones!$AA$141)&gt;=$S43),$V43,$U43)))=Milestones!$AB$141),UPPER(TEXT(EDATE($D43,Milestones!$AA$141),"dd mmm yy"))&amp;" "&amp;Milestones!$AB$141&amp;" "&amp;Milestones!$AC$141&amp;";  ","")&amp;IF(AND(EDATE($D43,Milestones!$AA$142)&lt;=AsOfDate,IF($R43=0,$X43,IF(AND($T43&lt;&gt;"",EDATE($D43,Milestones!$AA$142)&gt;=$T43),$W43,IF(AND($S43&lt;&gt;"",EDATE($D43,Milestones!$AA$142)&gt;=$S43),$V43,$U43)))=Milestones!$AB$142),UPPER(TEXT(EDATE($D43,Milestones!$AA$142),"dd mmm yy"))&amp;" "&amp;Milestones!$AB$142&amp;" "&amp;Milestones!$AC$142&amp;";  ","")&amp;IF(AND(EDATE($D43,Milestones!$AA$143)&lt;=AsOfDate,IF($R43=0,$X43,IF(AND($T43&lt;&gt;"",EDATE($D43,Milestones!$AA$143)&gt;=$T43),$W43,IF(AND($S43&lt;&gt;"",EDATE($D43,Milestones!$AA$143)&gt;=$S43),$V43,$U43)))=Milestones!$AB$143),UPPER(TEXT(EDATE($D43,Milestones!$AA$143),"dd mmm yy"))&amp;" "&amp;Milestones!$AB$143&amp;" "&amp;Milestones!$AC$143&amp;";  ","")&amp;IF(AND(EDATE($D43,Milestones!$AA$144)&lt;=AsOfDate,IF($R43=0,$X43,IF(AND($T43&lt;&gt;"",EDATE($D43,Milestones!$AA$144)&gt;=$T43),$W43,IF(AND($S43&lt;&gt;"",EDATE($D43,Milestones!$AA$144)&gt;=$S43),$V43,$U43)))=Milestones!$AB$144),UPPER(TEXT(EDATE($D43,Milestones!$AA$144),"dd mmm yy"))&amp;" "&amp;Milestones!$AB$144&amp;" "&amp;Milestones!$AC$144&amp;";  ","")&amp;IF(AND(EDATE($D43,Milestones!$AA$145)&lt;=AsOfDate,IF($R43=0,$X43,IF(AND($T43&lt;&gt;"",EDATE($D43,Milestones!$AA$145)&gt;=$T43),$W43,IF(AND($S43&lt;&gt;"",EDATE($D43,Milestones!$AA$145)&gt;=$S43),$V43,$U43)))=Milestones!$AB$145),UPPER(TEXT(EDATE($D43,Milestones!$AA$145),"dd mmm yy"))&amp;" "&amp;Milestones!$AB$145&amp;" "&amp;Milestones!$AC$145&amp;";  ","")&amp;IF(AND(EDATE($D43,Milestones!$AA$146)&lt;=AsOfDate,IF($R43=0,$X43,IF(AND($T43&lt;&gt;"",EDATE($D43,Milestones!$AA$146)&gt;=$T43),$W43,IF(AND($S43&lt;&gt;"",EDATE($D43,Milestones!$AA$146)&gt;=$S43),$V43,$U43)))=Milestones!$AB$146),UPPER(TEXT(EDATE($D43,Milestones!$AA$146),"dd mmm yy"))&amp;" "&amp;Milestones!$AB$146&amp;" "&amp;Milestones!$AC$146&amp;";  ","")&amp;IF(AND(EDATE($D43,Milestones!$AA$147)&lt;=AsOfDate,IF($R43=0,$X43,IF(AND($T43&lt;&gt;"",EDATE($D43,Milestones!$AA$147)&gt;=$T43),$W43,IF(AND($S43&lt;&gt;"",EDATE($D43,Milestones!$AA$147)&gt;=$S43),$V43,$U43)))=Milestones!$AB$147),UPPER(TEXT(EDATE($D43,Milestones!$AA$147),"dd mmm yy"))&amp;" "&amp;Milestones!$AB$147&amp;" "&amp;Milestones!$AC$147&amp;";  ","")&amp;IF(AND(EDATE($D43,Milestones!$AA$148)&lt;=AsOfDate,IF($R43=0,$X43,IF(AND($T43&lt;&gt;"",EDATE($D43,Milestones!$AA$148)&gt;=$T43),$W43,IF(AND($S43&lt;&gt;"",EDATE($D43,Milestones!$AA$148)&gt;=$S43),$V43,$U43)))=Milestones!$AB$148),UPPER(TEXT(EDATE($D43,Milestones!$AA$148),"dd mmm yy"))&amp;" "&amp;Milestones!$AB$148&amp;" "&amp;Milestones!$AC$148&amp;";  ","")&amp;IF(AND(EDATE($D43,Milestones!$AA$149)&lt;=AsOfDate,IF($R43=0,$X43,IF(AND($T43&lt;&gt;"",EDATE($D43,Milestones!$AA$149)&gt;=$T43),$W43,IF(AND($S43&lt;&gt;"",EDATE($D43,Milestones!$AA$149)&gt;=$S43),$V43,$U43)))=Milestones!$AB$149),UPPER(TEXT(EDATE($D43,Milestones!$AA$149),"dd mmm yy"))&amp;" "&amp;Milestones!$AB$149&amp;" "&amp;Milestones!$AC$149&amp;";  ","")&amp;IF(AND(EDATE($D43,Milestones!$AA$150)&lt;=AsOfDate,IF($R43=0,$X43,IF(AND($T43&lt;&gt;"",EDATE($D43,Milestones!$AA$150)&gt;=$T43),$W43,IF(AND($S43&lt;&gt;"",EDATE($D43,Milestones!$AA$150)&gt;=$S43),$V43,$U43)))=Milestones!$AB$150),UPPER(TEXT(EDATE($D43,Milestones!$AA$150),"dd mmm yy"))&amp;" "&amp;Milestones!$AB$150&amp;" "&amp;Milestones!$AC$150&amp;";  ","")&amp;IF(AND(EDATE($D43,Milestones!$AA$151)&lt;=AsOfDate,IF($R43=0,$X43,IF(AND($T43&lt;&gt;"",EDATE($D43,Milestones!$AA$151)&gt;=$T43),$W43,IF(AND($S43&lt;&gt;"",EDATE($D43,Milestones!$AA$151)&gt;=$S43),$V43,$U43)))=Milestones!$AB$151),UPPER(TEXT(EDATE($D43,Milestones!$AA$151),"dd mmm yy"))&amp;" "&amp;Milestones!$AB$151&amp;" "&amp;Milestones!$AC$151&amp;";  ","")&amp;IF(AND(EDATE($D43,Milestones!$AA$152)&lt;=AsOfDate,IF($R43=0,$X43,IF(AND($T43&lt;&gt;"",EDATE($D43,Milestones!$AA$152)&gt;=$T43),$W43,IF(AND($S43&lt;&gt;"",EDATE($D43,Milestones!$AA$152)&gt;=$S43),$V43,$U43)))=Milestones!$AB$152),UPPER(TEXT(EDATE($D43,Milestones!$AA$152),"dd mmm yy"))&amp;" "&amp;Milestones!$AB$152&amp;" "&amp;Milestones!$AC$152&amp;";  ","")&amp;IF(AND(EDATE($D43,Milestones!$AA$153)&lt;=AsOfDate,IF($R43=0,$X43,IF(AND($T43&lt;&gt;"",EDATE($D43,Milestones!$AA$153)&gt;=$T43),$W43,IF(AND($S43&lt;&gt;"",EDATE($D43,Milestones!$AA$153)&gt;=$S43),$V43,$U43)))=Milestones!$AB$153),UPPER(TEXT(EDATE($D43,Milestones!$AA$153),"dd mmm yy"))&amp;" "&amp;Milestones!$AB$153&amp;" "&amp;Milestones!$AC$153&amp;";  ","")&amp;IF(AND(EDATE($D43,Milestones!$AA$154)&lt;=AsOfDate,IF($R43=0,$X43,IF(AND($T43&lt;&gt;"",EDATE($D43,Milestones!$AA$154)&gt;=$T43),$W43,IF(AND($S43&lt;&gt;"",EDATE($D43,Milestones!$AA$154)&gt;=$S43),$V43,$U43)))=Milestones!$AB$154),UPPER(TEXT(EDATE($D43,Milestones!$AA$154),"dd mmm yy"))&amp;" "&amp;Milestones!$AB$154&amp;" "&amp;Milestones!$AC$154&amp;";  ","")&amp;IF(AND(EDATE($D43,Milestones!$AA$155)&lt;=AsOfDate,IF($R43=0,$X43,IF(AND($T43&lt;&gt;"",EDATE($D43,Milestones!$AA$155)&gt;=$T43),$W43,IF(AND($S43&lt;&gt;"",EDATE($D43,Milestones!$AA$155)&gt;=$S43),$V43,$U43)))=Milestones!$AB$155),UPPER(TEXT(EDATE($D43,Milestones!$AA$155),"dd mmm yy"))&amp;" "&amp;Milestones!$AB$155&amp;" "&amp;Milestones!$AC$155&amp;";  ","")&amp;IF(AND(EDATE($D43,Milestones!$AA$156)&lt;=AsOfDate,IF($R43=0,$X43,IF(AND($T43&lt;&gt;"",EDATE($D43,Milestones!$AA$156)&gt;=$T43),$W43,IF(AND($S43&lt;&gt;"",EDATE($D43,Milestones!$AA$156)&gt;=$S43),$V43,$U43)))=Milestones!$AB$156),UPPER(TEXT(EDATE($D43,Milestones!$AA$156),"dd mmm yy"))&amp;" "&amp;Milestones!$AB$156&amp;" "&amp;Milestones!$AC$156&amp;";  ","")&amp;IF(AND(EDATE($D43,Milestones!$AA$157)&lt;=AsOfDate,IF($R43=0,$X43,IF(AND($T43&lt;&gt;"",EDATE($D43,Milestones!$AA$157)&gt;=$T43),$W43,IF(AND($S43&lt;&gt;"",EDATE($D43,Milestones!$AA$157)&gt;=$S43),$V43,$U43)))=Milestones!$AB$157),UPPER(TEXT(EDATE($D43,Milestones!$AA$157),"dd mmm yy"))&amp;" "&amp;Milestones!$AB$157&amp;" "&amp;Milestones!$AC$157&amp;";  ","")&amp;IF(AND(EDATE($D43,Milestones!$AA$158)&lt;=AsOfDate,IF($R43=0,$X43,IF(AND($T43&lt;&gt;"",EDATE($D43,Milestones!$AA$158)&gt;=$T43),$W43,IF(AND($S43&lt;&gt;"",EDATE($D43,Milestones!$AA$158)&gt;=$S43),$V43,$U43)))=Milestones!$AB$158),UPPER(TEXT(EDATE($D43,Milestones!$AA$158),"dd mmm yy"))&amp;" "&amp;Milestones!$AB$158&amp;" "&amp;Milestones!$AC$158&amp;";  ","")&amp;IF(AND(EDATE($D43,Milestones!$AA$159)&lt;=AsOfDate,IF($R43=0,$X43,IF(AND($T43&lt;&gt;"",EDATE($D43,Milestones!$AA$159)&gt;=$T43),$W43,IF(AND($S43&lt;&gt;"",EDATE($D43,Milestones!$AA$159)&gt;=$S43),$V43,$U43)))=Milestones!$AB$159),UPPER(TEXT(EDATE($D43,Milestones!$AA$159),"dd mmm yy"))&amp;" "&amp;Milestones!$AB$159&amp;" "&amp;Milestones!$AC$159&amp;";  ",""))</f>
        <v/>
      </c>
      <c r="P43" s="0" t="str">
        <f aca="false">IF(OR($A43="",$D43=""),"",IF(AND(EDATE($D43,Milestones!$AA$160)&lt;=AsOfDate,IF($R43=0,$X43,IF(AND($T43&lt;&gt;"",EDATE($D43,Milestones!$AA$160)&gt;=$T43),$W43,IF(AND($S43&lt;&gt;"",EDATE($D43,Milestones!$AA$160)&gt;=$S43),$V43,$U43)))=Milestones!$AB$160),UPPER(TEXT(EDATE($D43,Milestones!$AA$160),"dd mmm yy"))&amp;" "&amp;Milestones!$AB$160&amp;" "&amp;Milestones!$AC$160&amp;";  ","")&amp;IF(AND(EDATE($D43,Milestones!$AA$161)&lt;=AsOfDate,IF($R43=0,$X43,IF(AND($T43&lt;&gt;"",EDATE($D43,Milestones!$AA$161)&gt;=$T43),$W43,IF(AND($S43&lt;&gt;"",EDATE($D43,Milestones!$AA$161)&gt;=$S43),$V43,$U43)))=Milestones!$AB$161),UPPER(TEXT(EDATE($D43,Milestones!$AA$161),"dd mmm yy"))&amp;" "&amp;Milestones!$AB$161&amp;" "&amp;Milestones!$AC$161&amp;";  ","")&amp;IF(AND(EDATE($D43,Milestones!$AA$162)&lt;=AsOfDate,IF($R43=0,$X43,IF(AND($T43&lt;&gt;"",EDATE($D43,Milestones!$AA$162)&gt;=$T43),$W43,IF(AND($S43&lt;&gt;"",EDATE($D43,Milestones!$AA$162)&gt;=$S43),$V43,$U43)))=Milestones!$AB$162),UPPER(TEXT(EDATE($D43,Milestones!$AA$162),"dd mmm yy"))&amp;" "&amp;Milestones!$AB$162&amp;" "&amp;Milestones!$AC$162&amp;";  ","")&amp;IF(AND(EDATE($D43,Milestones!$AA$163)&lt;=AsOfDate,IF($R43=0,$X43,IF(AND($T43&lt;&gt;"",EDATE($D43,Milestones!$AA$163)&gt;=$T43),$W43,IF(AND($S43&lt;&gt;"",EDATE($D43,Milestones!$AA$163)&gt;=$S43),$V43,$U43)))=Milestones!$AB$163),UPPER(TEXT(EDATE($D43,Milestones!$AA$163),"dd mmm yy"))&amp;" "&amp;Milestones!$AB$163&amp;" "&amp;Milestones!$AC$163&amp;";  ","")&amp;IF(AND(EDATE($D43,Milestones!$AA$164)&lt;=AsOfDate,IF($R43=0,$X43,IF(AND($T43&lt;&gt;"",EDATE($D43,Milestones!$AA$164)&gt;=$T43),$W43,IF(AND($S43&lt;&gt;"",EDATE($D43,Milestones!$AA$164)&gt;=$S43),$V43,$U43)))=Milestones!$AB$164),UPPER(TEXT(EDATE($D43,Milestones!$AA$164),"dd mmm yy"))&amp;" "&amp;Milestones!$AB$164&amp;" "&amp;Milestones!$AC$164&amp;";  ","")&amp;IF(AND(EDATE($D43,Milestones!$AA$165)&lt;=AsOfDate,IF($R43=0,$X43,IF(AND($T43&lt;&gt;"",EDATE($D43,Milestones!$AA$165)&gt;=$T43),$W43,IF(AND($S43&lt;&gt;"",EDATE($D43,Milestones!$AA$165)&gt;=$S43),$V43,$U43)))=Milestones!$AB$165),UPPER(TEXT(EDATE($D43,Milestones!$AA$165),"dd mmm yy"))&amp;" "&amp;Milestones!$AB$165&amp;" "&amp;Milestones!$AC$165&amp;";  ","")&amp;IF(AND(EDATE($D43,Milestones!$AA$166)&lt;=AsOfDate,IF($R43=0,$X43,IF(AND($T43&lt;&gt;"",EDATE($D43,Milestones!$AA$166)&gt;=$T43),$W43,IF(AND($S43&lt;&gt;"",EDATE($D43,Milestones!$AA$166)&gt;=$S43),$V43,$U43)))=Milestones!$AB$166),UPPER(TEXT(EDATE($D43,Milestones!$AA$166),"dd mmm yy"))&amp;" "&amp;Milestones!$AB$166&amp;" "&amp;Milestones!$AC$166&amp;";  ","")&amp;IF(AND(EDATE($D43,Milestones!$AA$167)&lt;=AsOfDate,IF($R43=0,$X43,IF(AND($T43&lt;&gt;"",EDATE($D43,Milestones!$AA$167)&gt;=$T43),$W43,IF(AND($S43&lt;&gt;"",EDATE($D43,Milestones!$AA$167)&gt;=$S43),$V43,$U43)))=Milestones!$AB$167),UPPER(TEXT(EDATE($D43,Milestones!$AA$167),"dd mmm yy"))&amp;" "&amp;Milestones!$AB$167&amp;" "&amp;Milestones!$AC$167&amp;";  ","")&amp;IF(AND(EDATE($D43,Milestones!$AA$168)&lt;=AsOfDate,IF($R43=0,$X43,IF(AND($T43&lt;&gt;"",EDATE($D43,Milestones!$AA$168)&gt;=$T43),$W43,IF(AND($S43&lt;&gt;"",EDATE($D43,Milestones!$AA$168)&gt;=$S43),$V43,$U43)))=Milestones!$AB$168),UPPER(TEXT(EDATE($D43,Milestones!$AA$168),"dd mmm yy"))&amp;" "&amp;Milestones!$AB$168&amp;" "&amp;Milestones!$AC$168&amp;";  ","")&amp;IF(AND(EDATE($D43,Milestones!$AA$169)&lt;=AsOfDate,IF($R43=0,$X43,IF(AND($T43&lt;&gt;"",EDATE($D43,Milestones!$AA$169)&gt;=$T43),$W43,IF(AND($S43&lt;&gt;"",EDATE($D43,Milestones!$AA$169)&gt;=$S43),$V43,$U43)))=Milestones!$AB$169),UPPER(TEXT(EDATE($D43,Milestones!$AA$169),"dd mmm yy"))&amp;" "&amp;Milestones!$AB$169&amp;" "&amp;Milestones!$AC$169&amp;";  ","")&amp;IF(AND(EDATE($D43,Milestones!$AA$170)&lt;=AsOfDate,IF($R43=0,$X43,IF(AND($T43&lt;&gt;"",EDATE($D43,Milestones!$AA$170)&gt;=$T43),$W43,IF(AND($S43&lt;&gt;"",EDATE($D43,Milestones!$AA$170)&gt;=$S43),$V43,$U43)))=Milestones!$AB$170),UPPER(TEXT(EDATE($D43,Milestones!$AA$170),"dd mmm yy"))&amp;" "&amp;Milestones!$AB$170&amp;" "&amp;Milestones!$AC$170&amp;";  ","")&amp;IF(AND(EDATE($D43,Milestones!$AA$171)&lt;=AsOfDate,IF($R43=0,$X43,IF(AND($T43&lt;&gt;"",EDATE($D43,Milestones!$AA$171)&gt;=$T43),$W43,IF(AND($S43&lt;&gt;"",EDATE($D43,Milestones!$AA$171)&gt;=$S43),$V43,$U43)))=Milestones!$AB$171),UPPER(TEXT(EDATE($D43,Milestones!$AA$171),"dd mmm yy"))&amp;" "&amp;Milestones!$AB$171&amp;" "&amp;Milestones!$AC$171&amp;";  ","")&amp;IF(AND(EDATE($D43,Milestones!$AA$172)&lt;=AsOfDate,IF($R43=0,$X43,IF(AND($T43&lt;&gt;"",EDATE($D43,Milestones!$AA$172)&gt;=$T43),$W43,IF(AND($S43&lt;&gt;"",EDATE($D43,Milestones!$AA$172)&gt;=$S43),$V43,$U43)))=Milestones!$AB$172),UPPER(TEXT(EDATE($D43,Milestones!$AA$172),"dd mmm yy"))&amp;" "&amp;Milestones!$AB$172&amp;" "&amp;Milestones!$AC$172&amp;";  ","")&amp;IF(AND(EDATE($D43,Milestones!$AA$173)&lt;=AsOfDate,IF($R43=0,$X43,IF(AND($T43&lt;&gt;"",EDATE($D43,Milestones!$AA$173)&gt;=$T43),$W43,IF(AND($S43&lt;&gt;"",EDATE($D43,Milestones!$AA$173)&gt;=$S43),$V43,$U43)))=Milestones!$AB$173),UPPER(TEXT(EDATE($D43,Milestones!$AA$173),"dd mmm yy"))&amp;" "&amp;Milestones!$AB$173&amp;" "&amp;Milestones!$AC$173&amp;";  ","")&amp;IF(AND(EDATE($D43,Milestones!$AA$174)&lt;=AsOfDate,IF($R43=0,$X43,IF(AND($T43&lt;&gt;"",EDATE($D43,Milestones!$AA$174)&gt;=$T43),$W43,IF(AND($S43&lt;&gt;"",EDATE($D43,Milestones!$AA$174)&gt;=$S43),$V43,$U43)))=Milestones!$AB$174),UPPER(TEXT(EDATE($D43,Milestones!$AA$174),"dd mmm yy"))&amp;" "&amp;Milestones!$AB$174&amp;" "&amp;Milestones!$AC$174&amp;";  ","")&amp;IF(AND(EDATE($D43,Milestones!$AA$175)&lt;=AsOfDate,IF($R43=0,$X43,IF(AND($T43&lt;&gt;"",EDATE($D43,Milestones!$AA$175)&gt;=$T43),$W43,IF(AND($S43&lt;&gt;"",EDATE($D43,Milestones!$AA$175)&gt;=$S43),$V43,$U43)))=Milestones!$AB$175),UPPER(TEXT(EDATE($D43,Milestones!$AA$175),"dd mmm yy"))&amp;" "&amp;Milestones!$AB$175&amp;" "&amp;Milestones!$AC$175&amp;";  ","")&amp;IF(AND(EDATE($D43,Milestones!$AA$176)&lt;=AsOfDate,IF($R43=0,$X43,IF(AND($T43&lt;&gt;"",EDATE($D43,Milestones!$AA$176)&gt;=$T43),$W43,IF(AND($S43&lt;&gt;"",EDATE($D43,Milestones!$AA$176)&gt;=$S43),$V43,$U43)))=Milestones!$AB$176),UPPER(TEXT(EDATE($D43,Milestones!$AA$176),"dd mmm yy"))&amp;" "&amp;Milestones!$AB$176&amp;" "&amp;Milestones!$AC$176&amp;";  ","")&amp;IF(AND(EDATE($D43,Milestones!$AA$177)&lt;=AsOfDate,IF($R43=0,$X43,IF(AND($T43&lt;&gt;"",EDATE($D43,Milestones!$AA$177)&gt;=$T43),$W43,IF(AND($S43&lt;&gt;"",EDATE($D43,Milestones!$AA$177)&gt;=$S43),$V43,$U43)))=Milestones!$AB$177),UPPER(TEXT(EDATE($D43,Milestones!$AA$177),"dd mmm yy"))&amp;" "&amp;Milestones!$AB$177&amp;" "&amp;Milestones!$AC$177&amp;";  ","")&amp;IF(AND(EDATE($D43,Milestones!$AA$178)&lt;=AsOfDate,IF($R43=0,$X43,IF(AND($T43&lt;&gt;"",EDATE($D43,Milestones!$AA$178)&gt;=$T43),$W43,IF(AND($S43&lt;&gt;"",EDATE($D43,Milestones!$AA$178)&gt;=$S43),$V43,$U43)))=Milestones!$AB$178),UPPER(TEXT(EDATE($D43,Milestones!$AA$178),"dd mmm yy"))&amp;" "&amp;Milestones!$AB$178&amp;" "&amp;Milestones!$AC$178&amp;";  ","")&amp;IF(AND(EDATE($D43,Milestones!$AA$179)&lt;=AsOfDate,IF($R43=0,$X43,IF(AND($T43&lt;&gt;"",EDATE($D43,Milestones!$AA$179)&gt;=$T43),$W43,IF(AND($S43&lt;&gt;"",EDATE($D43,Milestones!$AA$179)&gt;=$S43),$V43,$U43)))=Milestones!$AB$179),UPPER(TEXT(EDATE($D43,Milestones!$AA$179),"dd mmm yy"))&amp;" "&amp;Milestones!$AB$179&amp;" "&amp;Milestones!$AC$179&amp;";  ",""))</f>
        <v/>
      </c>
      <c r="Q43" s="0" t="str">
        <f aca="false">IF(OR($A43="",$D43=""),"",IF(AND(EDATE($D43,Milestones!$AA$180)&lt;=AsOfDate,IF($R43=0,$X43,IF(AND($T43&lt;&gt;"",EDATE($D43,Milestones!$AA$180)&gt;=$T43),$W43,IF(AND($S43&lt;&gt;"",EDATE($D43,Milestones!$AA$180)&gt;=$S43),$V43,$U43)))=Milestones!$AB$180),UPPER(TEXT(EDATE($D43,Milestones!$AA$180),"dd mmm yy"))&amp;" "&amp;Milestones!$AB$180&amp;" "&amp;Milestones!$AC$180&amp;";  ","")&amp;IF(AND(EDATE($D43,Milestones!$AA$181)&lt;=AsOfDate,IF($R43=0,$X43,IF(AND($T43&lt;&gt;"",EDATE($D43,Milestones!$AA$181)&gt;=$T43),$W43,IF(AND($S43&lt;&gt;"",EDATE($D43,Milestones!$AA$181)&gt;=$S43),$V43,$U43)))=Milestones!$AB$181),UPPER(TEXT(EDATE($D43,Milestones!$AA$181),"dd mmm yy"))&amp;" "&amp;Milestones!$AB$181&amp;" "&amp;Milestones!$AC$181&amp;";  ","")&amp;IF(AND(EDATE($D43,Milestones!$AA$182)&lt;=AsOfDate,IF($R43=0,$X43,IF(AND($T43&lt;&gt;"",EDATE($D43,Milestones!$AA$182)&gt;=$T43),$W43,IF(AND($S43&lt;&gt;"",EDATE($D43,Milestones!$AA$182)&gt;=$S43),$V43,$U43)))=Milestones!$AB$182),UPPER(TEXT(EDATE($D43,Milestones!$AA$182),"dd mmm yy"))&amp;" "&amp;Milestones!$AB$182&amp;" "&amp;Milestones!$AC$182&amp;";  ","")&amp;IF(AND(EDATE($D43,Milestones!$AA$183)&lt;=AsOfDate,IF($R43=0,$X43,IF(AND($T43&lt;&gt;"",EDATE($D43,Milestones!$AA$183)&gt;=$T43),$W43,IF(AND($S43&lt;&gt;"",EDATE($D43,Milestones!$AA$183)&gt;=$S43),$V43,$U43)))=Milestones!$AB$183),UPPER(TEXT(EDATE($D43,Milestones!$AA$183),"dd mmm yy"))&amp;" "&amp;Milestones!$AB$183&amp;" "&amp;Milestones!$AC$183&amp;";  ","")&amp;IF(AND(EDATE($D43,Milestones!$AA$184)&lt;=AsOfDate,IF($R43=0,$X43,IF(AND($T43&lt;&gt;"",EDATE($D43,Milestones!$AA$184)&gt;=$T43),$W43,IF(AND($S43&lt;&gt;"",EDATE($D43,Milestones!$AA$184)&gt;=$S43),$V43,$U43)))=Milestones!$AB$184),UPPER(TEXT(EDATE($D43,Milestones!$AA$184),"dd mmm yy"))&amp;" "&amp;Milestones!$AB$184&amp;" "&amp;Milestones!$AC$184&amp;";  ","")&amp;IF(AND(EDATE($D43,Milestones!$AA$185)&lt;=AsOfDate,IF($R43=0,$X43,IF(AND($T43&lt;&gt;"",EDATE($D43,Milestones!$AA$185)&gt;=$T43),$W43,IF(AND($S43&lt;&gt;"",EDATE($D43,Milestones!$AA$185)&gt;=$S43),$V43,$U43)))=Milestones!$AB$185),UPPER(TEXT(EDATE($D43,Milestones!$AA$185),"dd mmm yy"))&amp;" "&amp;Milestones!$AB$185&amp;" "&amp;Milestones!$AC$185&amp;";  ","")&amp;IF(AND(EDATE($D43,Milestones!$AA$186)&lt;=AsOfDate,IF($R43=0,$X43,IF(AND($T43&lt;&gt;"",EDATE($D43,Milestones!$AA$186)&gt;=$T43),$W43,IF(AND($S43&lt;&gt;"",EDATE($D43,Milestones!$AA$186)&gt;=$S43),$V43,$U43)))=Milestones!$AB$186),UPPER(TEXT(EDATE($D43,Milestones!$AA$186),"dd mmm yy"))&amp;" "&amp;Milestones!$AB$186&amp;" "&amp;Milestones!$AC$186&amp;";  ","")&amp;IF(AND(EDATE($D43,Milestones!$AA$187)&lt;=AsOfDate,IF($R43=0,$X43,IF(AND($T43&lt;&gt;"",EDATE($D43,Milestones!$AA$187)&gt;=$T43),$W43,IF(AND($S43&lt;&gt;"",EDATE($D43,Milestones!$AA$187)&gt;=$S43),$V43,$U43)))=Milestones!$AB$187),UPPER(TEXT(EDATE($D43,Milestones!$AA$187),"dd mmm yy"))&amp;" "&amp;Milestones!$AB$187&amp;" "&amp;Milestones!$AC$187&amp;";  ","")&amp;IF(AND(EDATE($D43,Milestones!$AA$188)&lt;=AsOfDate,IF($R43=0,$X43,IF(AND($T43&lt;&gt;"",EDATE($D43,Milestones!$AA$188)&gt;=$T43),$W43,IF(AND($S43&lt;&gt;"",EDATE($D43,Milestones!$AA$188)&gt;=$S43),$V43,$U43)))=Milestones!$AB$188),UPPER(TEXT(EDATE($D43,Milestones!$AA$188),"dd mmm yy"))&amp;" "&amp;Milestones!$AB$188&amp;" "&amp;Milestones!$AC$188&amp;";  ","")&amp;IF(AND(EDATE($D43,Milestones!$AA$189)&lt;=AsOfDate,IF($R43=0,$X43,IF(AND($T43&lt;&gt;"",EDATE($D43,Milestones!$AA$189)&gt;=$T43),$W43,IF(AND($S43&lt;&gt;"",EDATE($D43,Milestones!$AA$189)&gt;=$S43),$V43,$U43)))=Milestones!$AB$189),UPPER(TEXT(EDATE($D43,Milestones!$AA$189),"dd mmm yy"))&amp;" "&amp;Milestones!$AB$189&amp;" "&amp;Milestones!$AC$189&amp;";  ","")&amp;IF(AND(EDATE($D43,Milestones!$AA$190)&lt;=AsOfDate,IF($R43=0,$X43,IF(AND($T43&lt;&gt;"",EDATE($D43,Milestones!$AA$190)&gt;=$T43),$W43,IF(AND($S43&lt;&gt;"",EDATE($D43,Milestones!$AA$190)&gt;=$S43),$V43,$U43)))=Milestones!$AB$190),UPPER(TEXT(EDATE($D43,Milestones!$AA$190),"dd mmm yy"))&amp;" "&amp;Milestones!$AB$190&amp;" "&amp;Milestones!$AC$190&amp;";  ","")&amp;IF(AND(EDATE($D43,Milestones!$AA$191)&lt;=AsOfDate,IF($R43=0,$X43,IF(AND($T43&lt;&gt;"",EDATE($D43,Milestones!$AA$191)&gt;=$T43),$W43,IF(AND($S43&lt;&gt;"",EDATE($D43,Milestones!$AA$191)&gt;=$S43),$V43,$U43)))=Milestones!$AB$191),UPPER(TEXT(EDATE($D43,Milestones!$AA$191),"dd mmm yy"))&amp;" "&amp;Milestones!$AB$191&amp;" "&amp;Milestones!$AC$191&amp;";  ","")&amp;IF(AND(EDATE($D43,Milestones!$AA$192)&lt;=AsOfDate,IF($R43=0,$X43,IF(AND($T43&lt;&gt;"",EDATE($D43,Milestones!$AA$192)&gt;=$T43),$W43,IF(AND($S43&lt;&gt;"",EDATE($D43,Milestones!$AA$192)&gt;=$S43),$V43,$U43)))=Milestones!$AB$192),UPPER(TEXT(EDATE($D43,Milestones!$AA$192),"dd mmm yy"))&amp;" "&amp;Milestones!$AB$192&amp;" "&amp;Milestones!$AC$192&amp;";  ","")&amp;IF(AND(EDATE($D43,Milestones!$AA$193)&lt;=AsOfDate,IF($R43=0,$X43,IF(AND($T43&lt;&gt;"",EDATE($D43,Milestones!$AA$193)&gt;=$T43),$W43,IF(AND($S43&lt;&gt;"",EDATE($D43,Milestones!$AA$193)&gt;=$S43),$V43,$U43)))=Milestones!$AB$193),UPPER(TEXT(EDATE($D43,Milestones!$AA$193),"dd mmm yy"))&amp;" "&amp;Milestones!$AB$193&amp;" "&amp;Milestones!$AC$193&amp;";  ","")&amp;IF(AND(EDATE($D43,Milestones!$AA$194)&lt;=AsOfDate,IF($R43=0,$X43,IF(AND($T43&lt;&gt;"",EDATE($D43,Milestones!$AA$194)&gt;=$T43),$W43,IF(AND($S43&lt;&gt;"",EDATE($D43,Milestones!$AA$194)&gt;=$S43),$V43,$U43)))=Milestones!$AB$194),UPPER(TEXT(EDATE($D43,Milestones!$AA$194),"dd mmm yy"))&amp;" "&amp;Milestones!$AB$194&amp;" "&amp;Milestones!$AC$194&amp;";  ","")&amp;IF(AND(EDATE($D43,Milestones!$AA$195)&lt;=AsOfDate,IF($R43=0,$X43,IF(AND($T43&lt;&gt;"",EDATE($D43,Milestones!$AA$195)&gt;=$T43),$W43,IF(AND($S43&lt;&gt;"",EDATE($D43,Milestones!$AA$195)&gt;=$S43),$V43,$U43)))=Milestones!$AB$195),UPPER(TEXT(EDATE($D43,Milestones!$AA$195),"dd mmm yy"))&amp;" "&amp;Milestones!$AB$195&amp;" "&amp;Milestones!$AC$195&amp;";  ","")&amp;IF(AND(EDATE($D43,Milestones!$AA$196)&lt;=AsOfDate,IF($R43=0,$X43,IF(AND($T43&lt;&gt;"",EDATE($D43,Milestones!$AA$196)&gt;=$T43),$W43,IF(AND($S43&lt;&gt;"",EDATE($D43,Milestones!$AA$196)&gt;=$S43),$V43,$U43)))=Milestones!$AB$196),UPPER(TEXT(EDATE($D43,Milestones!$AA$196),"dd mmm yy"))&amp;" "&amp;Milestones!$AB$196&amp;" "&amp;Milestones!$AC$196&amp;";  ","")&amp;IF(AND(EDATE($D43,Milestones!$AA$197)&lt;=AsOfDate,IF($R43=0,$X43,IF(AND($T43&lt;&gt;"",EDATE($D43,Milestones!$AA$197)&gt;=$T43),$W43,IF(AND($S43&lt;&gt;"",EDATE($D43,Milestones!$AA$197)&gt;=$S43),$V43,$U43)))=Milestones!$AB$197),UPPER(TEXT(EDATE($D43,Milestones!$AA$197),"dd mmm yy"))&amp;" "&amp;Milestones!$AB$197&amp;" "&amp;Milestones!$AC$197&amp;";  ","")&amp;IF(AND(EDATE($D43,Milestones!$AA$198)&lt;=AsOfDate,IF($R43=0,$X43,IF(AND($T43&lt;&gt;"",EDATE($D43,Milestones!$AA$198)&gt;=$T43),$W43,IF(AND($S43&lt;&gt;"",EDATE($D43,Milestones!$AA$198)&gt;=$S43),$V43,$U43)))=Milestones!$AB$198),UPPER(TEXT(EDATE($D43,Milestones!$AA$198),"dd mmm yy"))&amp;" "&amp;Milestones!$AB$198&amp;" "&amp;Milestones!$AC$198&amp;";  ","")&amp;IF(AND(EDATE($D43,Milestones!$AA$199)&lt;=AsOfDate,IF($R43=0,$X43,IF(AND($T43&lt;&gt;"",EDATE($D43,Milestones!$AA$199)&gt;=$T43),$W43,IF(AND($S43&lt;&gt;"",EDATE($D43,Milestones!$AA$199)&gt;=$S43),$V43,$U43)))=Milestones!$AB$199),UPPER(TEXT(EDATE($D43,Milestones!$AA$199),"dd mmm yy"))&amp;" "&amp;Milestones!$AB$199&amp;" "&amp;Milestones!$AC$199&amp;";  ",""))</f>
        <v/>
      </c>
      <c r="R43" s="0" t="str">
        <f aca="false">IF(Staff!$A43="","",Staff!$AI43)</f>
        <v/>
      </c>
      <c r="S43" s="0" t="str">
        <f aca="false">IF(Staff!$A43="","",Staff!$AK43)</f>
        <v/>
      </c>
      <c r="T43" s="0" t="str">
        <f aca="false">IF(Staff!$A43="","",Staff!$AL43)</f>
        <v/>
      </c>
      <c r="U43" s="0" t="str">
        <f aca="false">IF(Staff!$A43="","",Staff!$AP43)</f>
        <v/>
      </c>
      <c r="V43" s="0" t="str">
        <f aca="false">IF(Staff!$A43="","",Staff!$AQ43)</f>
        <v/>
      </c>
      <c r="W43" s="0" t="str">
        <f aca="false">IF(Staff!$A43="","",Staff!$AR43)</f>
        <v/>
      </c>
      <c r="X43" s="0" t="str">
        <f aca="false">IF(Staff!$A43="","",Staff!$AS43)</f>
        <v/>
      </c>
    </row>
    <row r="44" customFormat="false" ht="15" hidden="false" customHeight="false" outlineLevel="0" collapsed="false">
      <c r="A44" s="14" t="str">
        <f aca="false">IF(Staff!$A44="","",Staff!$A44)</f>
        <v/>
      </c>
      <c r="B44" s="14" t="str">
        <f aca="false">IF(Staff!$A44="","",Staff!$B44)</f>
        <v/>
      </c>
      <c r="C44" s="14" t="str">
        <f aca="false">IF(Staff!$A44="","",Staff!$C44)</f>
        <v/>
      </c>
      <c r="D44" s="12" t="str">
        <f aca="false">IF(Staff!$A44="","",Staff!$AH44)</f>
        <v/>
      </c>
      <c r="E44" s="14" t="str">
        <f aca="false">IF(Staff!$A44="","",Staff!$O44)</f>
        <v/>
      </c>
      <c r="F44" s="14" t="str">
        <f aca="false">IF(E44="","",E44*HoursPerDay)</f>
        <v/>
      </c>
      <c r="G44" s="14" t="str">
        <f aca="false">IF(Staff!$A44="","",Staff!$AE44)</f>
        <v/>
      </c>
      <c r="H44" s="26" t="str">
        <f aca="false">IF($A44="","",I44&amp;J44&amp;K44&amp;L44&amp;M44&amp;N44&amp;O44&amp;P44&amp;Q44)</f>
        <v/>
      </c>
      <c r="I44" s="0" t="str">
        <f aca="false">IF(OR($A44="",$D44=""),"",IF(AND(EDATE($D44,Milestones!$AA$20)&lt;=AsOfDate,IF($R44=0,$X44,IF(AND($T44&lt;&gt;"",EDATE($D44,Milestones!$AA$20)&gt;=$T44),$W44,IF(AND($S44&lt;&gt;"",EDATE($D44,Milestones!$AA$20)&gt;=$S44),$V44,$U44)))=Milestones!$AB$20),UPPER(TEXT(EDATE($D44,Milestones!$AA$20),"dd mmm yy"))&amp;" "&amp;Milestones!$AB$20&amp;" "&amp;Milestones!$AC$20&amp;";  ","")&amp;IF(AND(EDATE($D44,Milestones!$AA$21)&lt;=AsOfDate,IF($R44=0,$X44,IF(AND($T44&lt;&gt;"",EDATE($D44,Milestones!$AA$21)&gt;=$T44),$W44,IF(AND($S44&lt;&gt;"",EDATE($D44,Milestones!$AA$21)&gt;=$S44),$V44,$U44)))=Milestones!$AB$21),UPPER(TEXT(EDATE($D44,Milestones!$AA$21),"dd mmm yy"))&amp;" "&amp;Milestones!$AB$21&amp;" "&amp;Milestones!$AC$21&amp;";  ","")&amp;IF(AND(EDATE($D44,Milestones!$AA$22)&lt;=AsOfDate,IF($R44=0,$X44,IF(AND($T44&lt;&gt;"",EDATE($D44,Milestones!$AA$22)&gt;=$T44),$W44,IF(AND($S44&lt;&gt;"",EDATE($D44,Milestones!$AA$22)&gt;=$S44),$V44,$U44)))=Milestones!$AB$22),UPPER(TEXT(EDATE($D44,Milestones!$AA$22),"dd mmm yy"))&amp;" "&amp;Milestones!$AB$22&amp;" "&amp;Milestones!$AC$22&amp;";  ","")&amp;IF(AND(EDATE($D44,Milestones!$AA$23)&lt;=AsOfDate,IF($R44=0,$X44,IF(AND($T44&lt;&gt;"",EDATE($D44,Milestones!$AA$23)&gt;=$T44),$W44,IF(AND($S44&lt;&gt;"",EDATE($D44,Milestones!$AA$23)&gt;=$S44),$V44,$U44)))=Milestones!$AB$23),UPPER(TEXT(EDATE($D44,Milestones!$AA$23),"dd mmm yy"))&amp;" "&amp;Milestones!$AB$23&amp;" "&amp;Milestones!$AC$23&amp;";  ","")&amp;IF(AND(EDATE($D44,Milestones!$AA$24)&lt;=AsOfDate,IF($R44=0,$X44,IF(AND($T44&lt;&gt;"",EDATE($D44,Milestones!$AA$24)&gt;=$T44),$W44,IF(AND($S44&lt;&gt;"",EDATE($D44,Milestones!$AA$24)&gt;=$S44),$V44,$U44)))=Milestones!$AB$24),UPPER(TEXT(EDATE($D44,Milestones!$AA$24),"dd mmm yy"))&amp;" "&amp;Milestones!$AB$24&amp;" "&amp;Milestones!$AC$24&amp;";  ","")&amp;IF(AND(EDATE($D44,Milestones!$AA$25)&lt;=AsOfDate,IF($R44=0,$X44,IF(AND($T44&lt;&gt;"",EDATE($D44,Milestones!$AA$25)&gt;=$T44),$W44,IF(AND($S44&lt;&gt;"",EDATE($D44,Milestones!$AA$25)&gt;=$S44),$V44,$U44)))=Milestones!$AB$25),UPPER(TEXT(EDATE($D44,Milestones!$AA$25),"dd mmm yy"))&amp;" "&amp;Milestones!$AB$25&amp;" "&amp;Milestones!$AC$25&amp;";  ","")&amp;IF(AND(EDATE($D44,Milestones!$AA$26)&lt;=AsOfDate,IF($R44=0,$X44,IF(AND($T44&lt;&gt;"",EDATE($D44,Milestones!$AA$26)&gt;=$T44),$W44,IF(AND($S44&lt;&gt;"",EDATE($D44,Milestones!$AA$26)&gt;=$S44),$V44,$U44)))=Milestones!$AB$26),UPPER(TEXT(EDATE($D44,Milestones!$AA$26),"dd mmm yy"))&amp;" "&amp;Milestones!$AB$26&amp;" "&amp;Milestones!$AC$26&amp;";  ","")&amp;IF(AND(EDATE($D44,Milestones!$AA$27)&lt;=AsOfDate,IF($R44=0,$X44,IF(AND($T44&lt;&gt;"",EDATE($D44,Milestones!$AA$27)&gt;=$T44),$W44,IF(AND($S44&lt;&gt;"",EDATE($D44,Milestones!$AA$27)&gt;=$S44),$V44,$U44)))=Milestones!$AB$27),UPPER(TEXT(EDATE($D44,Milestones!$AA$27),"dd mmm yy"))&amp;" "&amp;Milestones!$AB$27&amp;" "&amp;Milestones!$AC$27&amp;";  ","")&amp;IF(AND(EDATE($D44,Milestones!$AA$28)&lt;=AsOfDate,IF($R44=0,$X44,IF(AND($T44&lt;&gt;"",EDATE($D44,Milestones!$AA$28)&gt;=$T44),$W44,IF(AND($S44&lt;&gt;"",EDATE($D44,Milestones!$AA$28)&gt;=$S44),$V44,$U44)))=Milestones!$AB$28),UPPER(TEXT(EDATE($D44,Milestones!$AA$28),"dd mmm yy"))&amp;" "&amp;Milestones!$AB$28&amp;" "&amp;Milestones!$AC$28&amp;";  ","")&amp;IF(AND(EDATE($D44,Milestones!$AA$29)&lt;=AsOfDate,IF($R44=0,$X44,IF(AND($T44&lt;&gt;"",EDATE($D44,Milestones!$AA$29)&gt;=$T44),$W44,IF(AND($S44&lt;&gt;"",EDATE($D44,Milestones!$AA$29)&gt;=$S44),$V44,$U44)))=Milestones!$AB$29),UPPER(TEXT(EDATE($D44,Milestones!$AA$29),"dd mmm yy"))&amp;" "&amp;Milestones!$AB$29&amp;" "&amp;Milestones!$AC$29&amp;";  ","")&amp;IF(AND(EDATE($D44,Milestones!$AA$30)&lt;=AsOfDate,IF($R44=0,$X44,IF(AND($T44&lt;&gt;"",EDATE($D44,Milestones!$AA$30)&gt;=$T44),$W44,IF(AND($S44&lt;&gt;"",EDATE($D44,Milestones!$AA$30)&gt;=$S44),$V44,$U44)))=Milestones!$AB$30),UPPER(TEXT(EDATE($D44,Milestones!$AA$30),"dd mmm yy"))&amp;" "&amp;Milestones!$AB$30&amp;" "&amp;Milestones!$AC$30&amp;";  ","")&amp;IF(AND(EDATE($D44,Milestones!$AA$31)&lt;=AsOfDate,IF($R44=0,$X44,IF(AND($T44&lt;&gt;"",EDATE($D44,Milestones!$AA$31)&gt;=$T44),$W44,IF(AND($S44&lt;&gt;"",EDATE($D44,Milestones!$AA$31)&gt;=$S44),$V44,$U44)))=Milestones!$AB$31),UPPER(TEXT(EDATE($D44,Milestones!$AA$31),"dd mmm yy"))&amp;" "&amp;Milestones!$AB$31&amp;" "&amp;Milestones!$AC$31&amp;";  ","")&amp;IF(AND(EDATE($D44,Milestones!$AA$32)&lt;=AsOfDate,IF($R44=0,$X44,IF(AND($T44&lt;&gt;"",EDATE($D44,Milestones!$AA$32)&gt;=$T44),$W44,IF(AND($S44&lt;&gt;"",EDATE($D44,Milestones!$AA$32)&gt;=$S44),$V44,$U44)))=Milestones!$AB$32),UPPER(TEXT(EDATE($D44,Milestones!$AA$32),"dd mmm yy"))&amp;" "&amp;Milestones!$AB$32&amp;" "&amp;Milestones!$AC$32&amp;";  ","")&amp;IF(AND(EDATE($D44,Milestones!$AA$33)&lt;=AsOfDate,IF($R44=0,$X44,IF(AND($T44&lt;&gt;"",EDATE($D44,Milestones!$AA$33)&gt;=$T44),$W44,IF(AND($S44&lt;&gt;"",EDATE($D44,Milestones!$AA$33)&gt;=$S44),$V44,$U44)))=Milestones!$AB$33),UPPER(TEXT(EDATE($D44,Milestones!$AA$33),"dd mmm yy"))&amp;" "&amp;Milestones!$AB$33&amp;" "&amp;Milestones!$AC$33&amp;";  ","")&amp;IF(AND(EDATE($D44,Milestones!$AA$34)&lt;=AsOfDate,IF($R44=0,$X44,IF(AND($T44&lt;&gt;"",EDATE($D44,Milestones!$AA$34)&gt;=$T44),$W44,IF(AND($S44&lt;&gt;"",EDATE($D44,Milestones!$AA$34)&gt;=$S44),$V44,$U44)))=Milestones!$AB$34),UPPER(TEXT(EDATE($D44,Milestones!$AA$34),"dd mmm yy"))&amp;" "&amp;Milestones!$AB$34&amp;" "&amp;Milestones!$AC$34&amp;";  ","")&amp;IF(AND(EDATE($D44,Milestones!$AA$35)&lt;=AsOfDate,IF($R44=0,$X44,IF(AND($T44&lt;&gt;"",EDATE($D44,Milestones!$AA$35)&gt;=$T44),$W44,IF(AND($S44&lt;&gt;"",EDATE($D44,Milestones!$AA$35)&gt;=$S44),$V44,$U44)))=Milestones!$AB$35),UPPER(TEXT(EDATE($D44,Milestones!$AA$35),"dd mmm yy"))&amp;" "&amp;Milestones!$AB$35&amp;" "&amp;Milestones!$AC$35&amp;";  ","")&amp;IF(AND(EDATE($D44,Milestones!$AA$36)&lt;=AsOfDate,IF($R44=0,$X44,IF(AND($T44&lt;&gt;"",EDATE($D44,Milestones!$AA$36)&gt;=$T44),$W44,IF(AND($S44&lt;&gt;"",EDATE($D44,Milestones!$AA$36)&gt;=$S44),$V44,$U44)))=Milestones!$AB$36),UPPER(TEXT(EDATE($D44,Milestones!$AA$36),"dd mmm yy"))&amp;" "&amp;Milestones!$AB$36&amp;" "&amp;Milestones!$AC$36&amp;";  ","")&amp;IF(AND(EDATE($D44,Milestones!$AA$37)&lt;=AsOfDate,IF($R44=0,$X44,IF(AND($T44&lt;&gt;"",EDATE($D44,Milestones!$AA$37)&gt;=$T44),$W44,IF(AND($S44&lt;&gt;"",EDATE($D44,Milestones!$AA$37)&gt;=$S44),$V44,$U44)))=Milestones!$AB$37),UPPER(TEXT(EDATE($D44,Milestones!$AA$37),"dd mmm yy"))&amp;" "&amp;Milestones!$AB$37&amp;" "&amp;Milestones!$AC$37&amp;";  ","")&amp;IF(AND(EDATE($D44,Milestones!$AA$38)&lt;=AsOfDate,IF($R44=0,$X44,IF(AND($T44&lt;&gt;"",EDATE($D44,Milestones!$AA$38)&gt;=$T44),$W44,IF(AND($S44&lt;&gt;"",EDATE($D44,Milestones!$AA$38)&gt;=$S44),$V44,$U44)))=Milestones!$AB$38),UPPER(TEXT(EDATE($D44,Milestones!$AA$38),"dd mmm yy"))&amp;" "&amp;Milestones!$AB$38&amp;" "&amp;Milestones!$AC$38&amp;";  ","")&amp;IF(AND(EDATE($D44,Milestones!$AA$39)&lt;=AsOfDate,IF($R44=0,$X44,IF(AND($T44&lt;&gt;"",EDATE($D44,Milestones!$AA$39)&gt;=$T44),$W44,IF(AND($S44&lt;&gt;"",EDATE($D44,Milestones!$AA$39)&gt;=$S44),$V44,$U44)))=Milestones!$AB$39),UPPER(TEXT(EDATE($D44,Milestones!$AA$39),"dd mmm yy"))&amp;" "&amp;Milestones!$AB$39&amp;" "&amp;Milestones!$AC$39&amp;";  ",""))</f>
        <v/>
      </c>
      <c r="J44" s="0" t="str">
        <f aca="false">IF(OR($A44="",$D44=""),"",IF(AND(EDATE($D44,Milestones!$AA$40)&lt;=AsOfDate,IF($R44=0,$X44,IF(AND($T44&lt;&gt;"",EDATE($D44,Milestones!$AA$40)&gt;=$T44),$W44,IF(AND($S44&lt;&gt;"",EDATE($D44,Milestones!$AA$40)&gt;=$S44),$V44,$U44)))=Milestones!$AB$40),UPPER(TEXT(EDATE($D44,Milestones!$AA$40),"dd mmm yy"))&amp;" "&amp;Milestones!$AB$40&amp;" "&amp;Milestones!$AC$40&amp;";  ","")&amp;IF(AND(EDATE($D44,Milestones!$AA$41)&lt;=AsOfDate,IF($R44=0,$X44,IF(AND($T44&lt;&gt;"",EDATE($D44,Milestones!$AA$41)&gt;=$T44),$W44,IF(AND($S44&lt;&gt;"",EDATE($D44,Milestones!$AA$41)&gt;=$S44),$V44,$U44)))=Milestones!$AB$41),UPPER(TEXT(EDATE($D44,Milestones!$AA$41),"dd mmm yy"))&amp;" "&amp;Milestones!$AB$41&amp;" "&amp;Milestones!$AC$41&amp;";  ","")&amp;IF(AND(EDATE($D44,Milestones!$AA$42)&lt;=AsOfDate,IF($R44=0,$X44,IF(AND($T44&lt;&gt;"",EDATE($D44,Milestones!$AA$42)&gt;=$T44),$W44,IF(AND($S44&lt;&gt;"",EDATE($D44,Milestones!$AA$42)&gt;=$S44),$V44,$U44)))=Milestones!$AB$42),UPPER(TEXT(EDATE($D44,Milestones!$AA$42),"dd mmm yy"))&amp;" "&amp;Milestones!$AB$42&amp;" "&amp;Milestones!$AC$42&amp;";  ","")&amp;IF(AND(EDATE($D44,Milestones!$AA$43)&lt;=AsOfDate,IF($R44=0,$X44,IF(AND($T44&lt;&gt;"",EDATE($D44,Milestones!$AA$43)&gt;=$T44),$W44,IF(AND($S44&lt;&gt;"",EDATE($D44,Milestones!$AA$43)&gt;=$S44),$V44,$U44)))=Milestones!$AB$43),UPPER(TEXT(EDATE($D44,Milestones!$AA$43),"dd mmm yy"))&amp;" "&amp;Milestones!$AB$43&amp;" "&amp;Milestones!$AC$43&amp;";  ","")&amp;IF(AND(EDATE($D44,Milestones!$AA$44)&lt;=AsOfDate,IF($R44=0,$X44,IF(AND($T44&lt;&gt;"",EDATE($D44,Milestones!$AA$44)&gt;=$T44),$W44,IF(AND($S44&lt;&gt;"",EDATE($D44,Milestones!$AA$44)&gt;=$S44),$V44,$U44)))=Milestones!$AB$44),UPPER(TEXT(EDATE($D44,Milestones!$AA$44),"dd mmm yy"))&amp;" "&amp;Milestones!$AB$44&amp;" "&amp;Milestones!$AC$44&amp;";  ","")&amp;IF(AND(EDATE($D44,Milestones!$AA$45)&lt;=AsOfDate,IF($R44=0,$X44,IF(AND($T44&lt;&gt;"",EDATE($D44,Milestones!$AA$45)&gt;=$T44),$W44,IF(AND($S44&lt;&gt;"",EDATE($D44,Milestones!$AA$45)&gt;=$S44),$V44,$U44)))=Milestones!$AB$45),UPPER(TEXT(EDATE($D44,Milestones!$AA$45),"dd mmm yy"))&amp;" "&amp;Milestones!$AB$45&amp;" "&amp;Milestones!$AC$45&amp;";  ","")&amp;IF(AND(EDATE($D44,Milestones!$AA$46)&lt;=AsOfDate,IF($R44=0,$X44,IF(AND($T44&lt;&gt;"",EDATE($D44,Milestones!$AA$46)&gt;=$T44),$W44,IF(AND($S44&lt;&gt;"",EDATE($D44,Milestones!$AA$46)&gt;=$S44),$V44,$U44)))=Milestones!$AB$46),UPPER(TEXT(EDATE($D44,Milestones!$AA$46),"dd mmm yy"))&amp;" "&amp;Milestones!$AB$46&amp;" "&amp;Milestones!$AC$46&amp;";  ","")&amp;IF(AND(EDATE($D44,Milestones!$AA$47)&lt;=AsOfDate,IF($R44=0,$X44,IF(AND($T44&lt;&gt;"",EDATE($D44,Milestones!$AA$47)&gt;=$T44),$W44,IF(AND($S44&lt;&gt;"",EDATE($D44,Milestones!$AA$47)&gt;=$S44),$V44,$U44)))=Milestones!$AB$47),UPPER(TEXT(EDATE($D44,Milestones!$AA$47),"dd mmm yy"))&amp;" "&amp;Milestones!$AB$47&amp;" "&amp;Milestones!$AC$47&amp;";  ","")&amp;IF(AND(EDATE($D44,Milestones!$AA$48)&lt;=AsOfDate,IF($R44=0,$X44,IF(AND($T44&lt;&gt;"",EDATE($D44,Milestones!$AA$48)&gt;=$T44),$W44,IF(AND($S44&lt;&gt;"",EDATE($D44,Milestones!$AA$48)&gt;=$S44),$V44,$U44)))=Milestones!$AB$48),UPPER(TEXT(EDATE($D44,Milestones!$AA$48),"dd mmm yy"))&amp;" "&amp;Milestones!$AB$48&amp;" "&amp;Milestones!$AC$48&amp;";  ","")&amp;IF(AND(EDATE($D44,Milestones!$AA$49)&lt;=AsOfDate,IF($R44=0,$X44,IF(AND($T44&lt;&gt;"",EDATE($D44,Milestones!$AA$49)&gt;=$T44),$W44,IF(AND($S44&lt;&gt;"",EDATE($D44,Milestones!$AA$49)&gt;=$S44),$V44,$U44)))=Milestones!$AB$49),UPPER(TEXT(EDATE($D44,Milestones!$AA$49),"dd mmm yy"))&amp;" "&amp;Milestones!$AB$49&amp;" "&amp;Milestones!$AC$49&amp;";  ","")&amp;IF(AND(EDATE($D44,Milestones!$AA$50)&lt;=AsOfDate,IF($R44=0,$X44,IF(AND($T44&lt;&gt;"",EDATE($D44,Milestones!$AA$50)&gt;=$T44),$W44,IF(AND($S44&lt;&gt;"",EDATE($D44,Milestones!$AA$50)&gt;=$S44),$V44,$U44)))=Milestones!$AB$50),UPPER(TEXT(EDATE($D44,Milestones!$AA$50),"dd mmm yy"))&amp;" "&amp;Milestones!$AB$50&amp;" "&amp;Milestones!$AC$50&amp;";  ","")&amp;IF(AND(EDATE($D44,Milestones!$AA$51)&lt;=AsOfDate,IF($R44=0,$X44,IF(AND($T44&lt;&gt;"",EDATE($D44,Milestones!$AA$51)&gt;=$T44),$W44,IF(AND($S44&lt;&gt;"",EDATE($D44,Milestones!$AA$51)&gt;=$S44),$V44,$U44)))=Milestones!$AB$51),UPPER(TEXT(EDATE($D44,Milestones!$AA$51),"dd mmm yy"))&amp;" "&amp;Milestones!$AB$51&amp;" "&amp;Milestones!$AC$51&amp;";  ","")&amp;IF(AND(EDATE($D44,Milestones!$AA$52)&lt;=AsOfDate,IF($R44=0,$X44,IF(AND($T44&lt;&gt;"",EDATE($D44,Milestones!$AA$52)&gt;=$T44),$W44,IF(AND($S44&lt;&gt;"",EDATE($D44,Milestones!$AA$52)&gt;=$S44),$V44,$U44)))=Milestones!$AB$52),UPPER(TEXT(EDATE($D44,Milestones!$AA$52),"dd mmm yy"))&amp;" "&amp;Milestones!$AB$52&amp;" "&amp;Milestones!$AC$52&amp;";  ","")&amp;IF(AND(EDATE($D44,Milestones!$AA$53)&lt;=AsOfDate,IF($R44=0,$X44,IF(AND($T44&lt;&gt;"",EDATE($D44,Milestones!$AA$53)&gt;=$T44),$W44,IF(AND($S44&lt;&gt;"",EDATE($D44,Milestones!$AA$53)&gt;=$S44),$V44,$U44)))=Milestones!$AB$53),UPPER(TEXT(EDATE($D44,Milestones!$AA$53),"dd mmm yy"))&amp;" "&amp;Milestones!$AB$53&amp;" "&amp;Milestones!$AC$53&amp;";  ","")&amp;IF(AND(EDATE($D44,Milestones!$AA$54)&lt;=AsOfDate,IF($R44=0,$X44,IF(AND($T44&lt;&gt;"",EDATE($D44,Milestones!$AA$54)&gt;=$T44),$W44,IF(AND($S44&lt;&gt;"",EDATE($D44,Milestones!$AA$54)&gt;=$S44),$V44,$U44)))=Milestones!$AB$54),UPPER(TEXT(EDATE($D44,Milestones!$AA$54),"dd mmm yy"))&amp;" "&amp;Milestones!$AB$54&amp;" "&amp;Milestones!$AC$54&amp;";  ","")&amp;IF(AND(EDATE($D44,Milestones!$AA$55)&lt;=AsOfDate,IF($R44=0,$X44,IF(AND($T44&lt;&gt;"",EDATE($D44,Milestones!$AA$55)&gt;=$T44),$W44,IF(AND($S44&lt;&gt;"",EDATE($D44,Milestones!$AA$55)&gt;=$S44),$V44,$U44)))=Milestones!$AB$55),UPPER(TEXT(EDATE($D44,Milestones!$AA$55),"dd mmm yy"))&amp;" "&amp;Milestones!$AB$55&amp;" "&amp;Milestones!$AC$55&amp;";  ","")&amp;IF(AND(EDATE($D44,Milestones!$AA$56)&lt;=AsOfDate,IF($R44=0,$X44,IF(AND($T44&lt;&gt;"",EDATE($D44,Milestones!$AA$56)&gt;=$T44),$W44,IF(AND($S44&lt;&gt;"",EDATE($D44,Milestones!$AA$56)&gt;=$S44),$V44,$U44)))=Milestones!$AB$56),UPPER(TEXT(EDATE($D44,Milestones!$AA$56),"dd mmm yy"))&amp;" "&amp;Milestones!$AB$56&amp;" "&amp;Milestones!$AC$56&amp;";  ","")&amp;IF(AND(EDATE($D44,Milestones!$AA$57)&lt;=AsOfDate,IF($R44=0,$X44,IF(AND($T44&lt;&gt;"",EDATE($D44,Milestones!$AA$57)&gt;=$T44),$W44,IF(AND($S44&lt;&gt;"",EDATE($D44,Milestones!$AA$57)&gt;=$S44),$V44,$U44)))=Milestones!$AB$57),UPPER(TEXT(EDATE($D44,Milestones!$AA$57),"dd mmm yy"))&amp;" "&amp;Milestones!$AB$57&amp;" "&amp;Milestones!$AC$57&amp;";  ","")&amp;IF(AND(EDATE($D44,Milestones!$AA$58)&lt;=AsOfDate,IF($R44=0,$X44,IF(AND($T44&lt;&gt;"",EDATE($D44,Milestones!$AA$58)&gt;=$T44),$W44,IF(AND($S44&lt;&gt;"",EDATE($D44,Milestones!$AA$58)&gt;=$S44),$V44,$U44)))=Milestones!$AB$58),UPPER(TEXT(EDATE($D44,Milestones!$AA$58),"dd mmm yy"))&amp;" "&amp;Milestones!$AB$58&amp;" "&amp;Milestones!$AC$58&amp;";  ","")&amp;IF(AND(EDATE($D44,Milestones!$AA$59)&lt;=AsOfDate,IF($R44=0,$X44,IF(AND($T44&lt;&gt;"",EDATE($D44,Milestones!$AA$59)&gt;=$T44),$W44,IF(AND($S44&lt;&gt;"",EDATE($D44,Milestones!$AA$59)&gt;=$S44),$V44,$U44)))=Milestones!$AB$59),UPPER(TEXT(EDATE($D44,Milestones!$AA$59),"dd mmm yy"))&amp;" "&amp;Milestones!$AB$59&amp;" "&amp;Milestones!$AC$59&amp;";  ",""))</f>
        <v/>
      </c>
      <c r="K44" s="0" t="str">
        <f aca="false">IF(OR($A44="",$D44=""),"",IF(AND(EDATE($D44,Milestones!$AA$60)&lt;=AsOfDate,IF($R44=0,$X44,IF(AND($T44&lt;&gt;"",EDATE($D44,Milestones!$AA$60)&gt;=$T44),$W44,IF(AND($S44&lt;&gt;"",EDATE($D44,Milestones!$AA$60)&gt;=$S44),$V44,$U44)))=Milestones!$AB$60),UPPER(TEXT(EDATE($D44,Milestones!$AA$60),"dd mmm yy"))&amp;" "&amp;Milestones!$AB$60&amp;" "&amp;Milestones!$AC$60&amp;";  ","")&amp;IF(AND(EDATE($D44,Milestones!$AA$61)&lt;=AsOfDate,IF($R44=0,$X44,IF(AND($T44&lt;&gt;"",EDATE($D44,Milestones!$AA$61)&gt;=$T44),$W44,IF(AND($S44&lt;&gt;"",EDATE($D44,Milestones!$AA$61)&gt;=$S44),$V44,$U44)))=Milestones!$AB$61),UPPER(TEXT(EDATE($D44,Milestones!$AA$61),"dd mmm yy"))&amp;" "&amp;Milestones!$AB$61&amp;" "&amp;Milestones!$AC$61&amp;";  ","")&amp;IF(AND(EDATE($D44,Milestones!$AA$62)&lt;=AsOfDate,IF($R44=0,$X44,IF(AND($T44&lt;&gt;"",EDATE($D44,Milestones!$AA$62)&gt;=$T44),$W44,IF(AND($S44&lt;&gt;"",EDATE($D44,Milestones!$AA$62)&gt;=$S44),$V44,$U44)))=Milestones!$AB$62),UPPER(TEXT(EDATE($D44,Milestones!$AA$62),"dd mmm yy"))&amp;" "&amp;Milestones!$AB$62&amp;" "&amp;Milestones!$AC$62&amp;";  ","")&amp;IF(AND(EDATE($D44,Milestones!$AA$63)&lt;=AsOfDate,IF($R44=0,$X44,IF(AND($T44&lt;&gt;"",EDATE($D44,Milestones!$AA$63)&gt;=$T44),$W44,IF(AND($S44&lt;&gt;"",EDATE($D44,Milestones!$AA$63)&gt;=$S44),$V44,$U44)))=Milestones!$AB$63),UPPER(TEXT(EDATE($D44,Milestones!$AA$63),"dd mmm yy"))&amp;" "&amp;Milestones!$AB$63&amp;" "&amp;Milestones!$AC$63&amp;";  ","")&amp;IF(AND(EDATE($D44,Milestones!$AA$64)&lt;=AsOfDate,IF($R44=0,$X44,IF(AND($T44&lt;&gt;"",EDATE($D44,Milestones!$AA$64)&gt;=$T44),$W44,IF(AND($S44&lt;&gt;"",EDATE($D44,Milestones!$AA$64)&gt;=$S44),$V44,$U44)))=Milestones!$AB$64),UPPER(TEXT(EDATE($D44,Milestones!$AA$64),"dd mmm yy"))&amp;" "&amp;Milestones!$AB$64&amp;" "&amp;Milestones!$AC$64&amp;";  ","")&amp;IF(AND(EDATE($D44,Milestones!$AA$65)&lt;=AsOfDate,IF($R44=0,$X44,IF(AND($T44&lt;&gt;"",EDATE($D44,Milestones!$AA$65)&gt;=$T44),$W44,IF(AND($S44&lt;&gt;"",EDATE($D44,Milestones!$AA$65)&gt;=$S44),$V44,$U44)))=Milestones!$AB$65),UPPER(TEXT(EDATE($D44,Milestones!$AA$65),"dd mmm yy"))&amp;" "&amp;Milestones!$AB$65&amp;" "&amp;Milestones!$AC$65&amp;";  ","")&amp;IF(AND(EDATE($D44,Milestones!$AA$66)&lt;=AsOfDate,IF($R44=0,$X44,IF(AND($T44&lt;&gt;"",EDATE($D44,Milestones!$AA$66)&gt;=$T44),$W44,IF(AND($S44&lt;&gt;"",EDATE($D44,Milestones!$AA$66)&gt;=$S44),$V44,$U44)))=Milestones!$AB$66),UPPER(TEXT(EDATE($D44,Milestones!$AA$66),"dd mmm yy"))&amp;" "&amp;Milestones!$AB$66&amp;" "&amp;Milestones!$AC$66&amp;";  ","")&amp;IF(AND(EDATE($D44,Milestones!$AA$67)&lt;=AsOfDate,IF($R44=0,$X44,IF(AND($T44&lt;&gt;"",EDATE($D44,Milestones!$AA$67)&gt;=$T44),$W44,IF(AND($S44&lt;&gt;"",EDATE($D44,Milestones!$AA$67)&gt;=$S44),$V44,$U44)))=Milestones!$AB$67),UPPER(TEXT(EDATE($D44,Milestones!$AA$67),"dd mmm yy"))&amp;" "&amp;Milestones!$AB$67&amp;" "&amp;Milestones!$AC$67&amp;";  ","")&amp;IF(AND(EDATE($D44,Milestones!$AA$68)&lt;=AsOfDate,IF($R44=0,$X44,IF(AND($T44&lt;&gt;"",EDATE($D44,Milestones!$AA$68)&gt;=$T44),$W44,IF(AND($S44&lt;&gt;"",EDATE($D44,Milestones!$AA$68)&gt;=$S44),$V44,$U44)))=Milestones!$AB$68),UPPER(TEXT(EDATE($D44,Milestones!$AA$68),"dd mmm yy"))&amp;" "&amp;Milestones!$AB$68&amp;" "&amp;Milestones!$AC$68&amp;";  ","")&amp;IF(AND(EDATE($D44,Milestones!$AA$69)&lt;=AsOfDate,IF($R44=0,$X44,IF(AND($T44&lt;&gt;"",EDATE($D44,Milestones!$AA$69)&gt;=$T44),$W44,IF(AND($S44&lt;&gt;"",EDATE($D44,Milestones!$AA$69)&gt;=$S44),$V44,$U44)))=Milestones!$AB$69),UPPER(TEXT(EDATE($D44,Milestones!$AA$69),"dd mmm yy"))&amp;" "&amp;Milestones!$AB$69&amp;" "&amp;Milestones!$AC$69&amp;";  ","")&amp;IF(AND(EDATE($D44,Milestones!$AA$70)&lt;=AsOfDate,IF($R44=0,$X44,IF(AND($T44&lt;&gt;"",EDATE($D44,Milestones!$AA$70)&gt;=$T44),$W44,IF(AND($S44&lt;&gt;"",EDATE($D44,Milestones!$AA$70)&gt;=$S44),$V44,$U44)))=Milestones!$AB$70),UPPER(TEXT(EDATE($D44,Milestones!$AA$70),"dd mmm yy"))&amp;" "&amp;Milestones!$AB$70&amp;" "&amp;Milestones!$AC$70&amp;";  ","")&amp;IF(AND(EDATE($D44,Milestones!$AA$71)&lt;=AsOfDate,IF($R44=0,$X44,IF(AND($T44&lt;&gt;"",EDATE($D44,Milestones!$AA$71)&gt;=$T44),$W44,IF(AND($S44&lt;&gt;"",EDATE($D44,Milestones!$AA$71)&gt;=$S44),$V44,$U44)))=Milestones!$AB$71),UPPER(TEXT(EDATE($D44,Milestones!$AA$71),"dd mmm yy"))&amp;" "&amp;Milestones!$AB$71&amp;" "&amp;Milestones!$AC$71&amp;";  ","")&amp;IF(AND(EDATE($D44,Milestones!$AA$72)&lt;=AsOfDate,IF($R44=0,$X44,IF(AND($T44&lt;&gt;"",EDATE($D44,Milestones!$AA$72)&gt;=$T44),$W44,IF(AND($S44&lt;&gt;"",EDATE($D44,Milestones!$AA$72)&gt;=$S44),$V44,$U44)))=Milestones!$AB$72),UPPER(TEXT(EDATE($D44,Milestones!$AA$72),"dd mmm yy"))&amp;" "&amp;Milestones!$AB$72&amp;" "&amp;Milestones!$AC$72&amp;";  ","")&amp;IF(AND(EDATE($D44,Milestones!$AA$73)&lt;=AsOfDate,IF($R44=0,$X44,IF(AND($T44&lt;&gt;"",EDATE($D44,Milestones!$AA$73)&gt;=$T44),$W44,IF(AND($S44&lt;&gt;"",EDATE($D44,Milestones!$AA$73)&gt;=$S44),$V44,$U44)))=Milestones!$AB$73),UPPER(TEXT(EDATE($D44,Milestones!$AA$73),"dd mmm yy"))&amp;" "&amp;Milestones!$AB$73&amp;" "&amp;Milestones!$AC$73&amp;";  ","")&amp;IF(AND(EDATE($D44,Milestones!$AA$74)&lt;=AsOfDate,IF($R44=0,$X44,IF(AND($T44&lt;&gt;"",EDATE($D44,Milestones!$AA$74)&gt;=$T44),$W44,IF(AND($S44&lt;&gt;"",EDATE($D44,Milestones!$AA$74)&gt;=$S44),$V44,$U44)))=Milestones!$AB$74),UPPER(TEXT(EDATE($D44,Milestones!$AA$74),"dd mmm yy"))&amp;" "&amp;Milestones!$AB$74&amp;" "&amp;Milestones!$AC$74&amp;";  ","")&amp;IF(AND(EDATE($D44,Milestones!$AA$75)&lt;=AsOfDate,IF($R44=0,$X44,IF(AND($T44&lt;&gt;"",EDATE($D44,Milestones!$AA$75)&gt;=$T44),$W44,IF(AND($S44&lt;&gt;"",EDATE($D44,Milestones!$AA$75)&gt;=$S44),$V44,$U44)))=Milestones!$AB$75),UPPER(TEXT(EDATE($D44,Milestones!$AA$75),"dd mmm yy"))&amp;" "&amp;Milestones!$AB$75&amp;" "&amp;Milestones!$AC$75&amp;";  ","")&amp;IF(AND(EDATE($D44,Milestones!$AA$76)&lt;=AsOfDate,IF($R44=0,$X44,IF(AND($T44&lt;&gt;"",EDATE($D44,Milestones!$AA$76)&gt;=$T44),$W44,IF(AND($S44&lt;&gt;"",EDATE($D44,Milestones!$AA$76)&gt;=$S44),$V44,$U44)))=Milestones!$AB$76),UPPER(TEXT(EDATE($D44,Milestones!$AA$76),"dd mmm yy"))&amp;" "&amp;Milestones!$AB$76&amp;" "&amp;Milestones!$AC$76&amp;";  ","")&amp;IF(AND(EDATE($D44,Milestones!$AA$77)&lt;=AsOfDate,IF($R44=0,$X44,IF(AND($T44&lt;&gt;"",EDATE($D44,Milestones!$AA$77)&gt;=$T44),$W44,IF(AND($S44&lt;&gt;"",EDATE($D44,Milestones!$AA$77)&gt;=$S44),$V44,$U44)))=Milestones!$AB$77),UPPER(TEXT(EDATE($D44,Milestones!$AA$77),"dd mmm yy"))&amp;" "&amp;Milestones!$AB$77&amp;" "&amp;Milestones!$AC$77&amp;";  ","")&amp;IF(AND(EDATE($D44,Milestones!$AA$78)&lt;=AsOfDate,IF($R44=0,$X44,IF(AND($T44&lt;&gt;"",EDATE($D44,Milestones!$AA$78)&gt;=$T44),$W44,IF(AND($S44&lt;&gt;"",EDATE($D44,Milestones!$AA$78)&gt;=$S44),$V44,$U44)))=Milestones!$AB$78),UPPER(TEXT(EDATE($D44,Milestones!$AA$78),"dd mmm yy"))&amp;" "&amp;Milestones!$AB$78&amp;" "&amp;Milestones!$AC$78&amp;";  ","")&amp;IF(AND(EDATE($D44,Milestones!$AA$79)&lt;=AsOfDate,IF($R44=0,$X44,IF(AND($T44&lt;&gt;"",EDATE($D44,Milestones!$AA$79)&gt;=$T44),$W44,IF(AND($S44&lt;&gt;"",EDATE($D44,Milestones!$AA$79)&gt;=$S44),$V44,$U44)))=Milestones!$AB$79),UPPER(TEXT(EDATE($D44,Milestones!$AA$79),"dd mmm yy"))&amp;" "&amp;Milestones!$AB$79&amp;" "&amp;Milestones!$AC$79&amp;";  ",""))</f>
        <v/>
      </c>
      <c r="L44" s="0" t="str">
        <f aca="false">IF(OR($A44="",$D44=""),"",IF(AND(EDATE($D44,Milestones!$AA$80)&lt;=AsOfDate,IF($R44=0,$X44,IF(AND($T44&lt;&gt;"",EDATE($D44,Milestones!$AA$80)&gt;=$T44),$W44,IF(AND($S44&lt;&gt;"",EDATE($D44,Milestones!$AA$80)&gt;=$S44),$V44,$U44)))=Milestones!$AB$80),UPPER(TEXT(EDATE($D44,Milestones!$AA$80),"dd mmm yy"))&amp;" "&amp;Milestones!$AB$80&amp;" "&amp;Milestones!$AC$80&amp;";  ","")&amp;IF(AND(EDATE($D44,Milestones!$AA$81)&lt;=AsOfDate,IF($R44=0,$X44,IF(AND($T44&lt;&gt;"",EDATE($D44,Milestones!$AA$81)&gt;=$T44),$W44,IF(AND($S44&lt;&gt;"",EDATE($D44,Milestones!$AA$81)&gt;=$S44),$V44,$U44)))=Milestones!$AB$81),UPPER(TEXT(EDATE($D44,Milestones!$AA$81),"dd mmm yy"))&amp;" "&amp;Milestones!$AB$81&amp;" "&amp;Milestones!$AC$81&amp;";  ","")&amp;IF(AND(EDATE($D44,Milestones!$AA$82)&lt;=AsOfDate,IF($R44=0,$X44,IF(AND($T44&lt;&gt;"",EDATE($D44,Milestones!$AA$82)&gt;=$T44),$W44,IF(AND($S44&lt;&gt;"",EDATE($D44,Milestones!$AA$82)&gt;=$S44),$V44,$U44)))=Milestones!$AB$82),UPPER(TEXT(EDATE($D44,Milestones!$AA$82),"dd mmm yy"))&amp;" "&amp;Milestones!$AB$82&amp;" "&amp;Milestones!$AC$82&amp;";  ","")&amp;IF(AND(EDATE($D44,Milestones!$AA$83)&lt;=AsOfDate,IF($R44=0,$X44,IF(AND($T44&lt;&gt;"",EDATE($D44,Milestones!$AA$83)&gt;=$T44),$W44,IF(AND($S44&lt;&gt;"",EDATE($D44,Milestones!$AA$83)&gt;=$S44),$V44,$U44)))=Milestones!$AB$83),UPPER(TEXT(EDATE($D44,Milestones!$AA$83),"dd mmm yy"))&amp;" "&amp;Milestones!$AB$83&amp;" "&amp;Milestones!$AC$83&amp;";  ","")&amp;IF(AND(EDATE($D44,Milestones!$AA$84)&lt;=AsOfDate,IF($R44=0,$X44,IF(AND($T44&lt;&gt;"",EDATE($D44,Milestones!$AA$84)&gt;=$T44),$W44,IF(AND($S44&lt;&gt;"",EDATE($D44,Milestones!$AA$84)&gt;=$S44),$V44,$U44)))=Milestones!$AB$84),UPPER(TEXT(EDATE($D44,Milestones!$AA$84),"dd mmm yy"))&amp;" "&amp;Milestones!$AB$84&amp;" "&amp;Milestones!$AC$84&amp;";  ","")&amp;IF(AND(EDATE($D44,Milestones!$AA$85)&lt;=AsOfDate,IF($R44=0,$X44,IF(AND($T44&lt;&gt;"",EDATE($D44,Milestones!$AA$85)&gt;=$T44),$W44,IF(AND($S44&lt;&gt;"",EDATE($D44,Milestones!$AA$85)&gt;=$S44),$V44,$U44)))=Milestones!$AB$85),UPPER(TEXT(EDATE($D44,Milestones!$AA$85),"dd mmm yy"))&amp;" "&amp;Milestones!$AB$85&amp;" "&amp;Milestones!$AC$85&amp;";  ","")&amp;IF(AND(EDATE($D44,Milestones!$AA$86)&lt;=AsOfDate,IF($R44=0,$X44,IF(AND($T44&lt;&gt;"",EDATE($D44,Milestones!$AA$86)&gt;=$T44),$W44,IF(AND($S44&lt;&gt;"",EDATE($D44,Milestones!$AA$86)&gt;=$S44),$V44,$U44)))=Milestones!$AB$86),UPPER(TEXT(EDATE($D44,Milestones!$AA$86),"dd mmm yy"))&amp;" "&amp;Milestones!$AB$86&amp;" "&amp;Milestones!$AC$86&amp;";  ","")&amp;IF(AND(EDATE($D44,Milestones!$AA$87)&lt;=AsOfDate,IF($R44=0,$X44,IF(AND($T44&lt;&gt;"",EDATE($D44,Milestones!$AA$87)&gt;=$T44),$W44,IF(AND($S44&lt;&gt;"",EDATE($D44,Milestones!$AA$87)&gt;=$S44),$V44,$U44)))=Milestones!$AB$87),UPPER(TEXT(EDATE($D44,Milestones!$AA$87),"dd mmm yy"))&amp;" "&amp;Milestones!$AB$87&amp;" "&amp;Milestones!$AC$87&amp;";  ","")&amp;IF(AND(EDATE($D44,Milestones!$AA$88)&lt;=AsOfDate,IF($R44=0,$X44,IF(AND($T44&lt;&gt;"",EDATE($D44,Milestones!$AA$88)&gt;=$T44),$W44,IF(AND($S44&lt;&gt;"",EDATE($D44,Milestones!$AA$88)&gt;=$S44),$V44,$U44)))=Milestones!$AB$88),UPPER(TEXT(EDATE($D44,Milestones!$AA$88),"dd mmm yy"))&amp;" "&amp;Milestones!$AB$88&amp;" "&amp;Milestones!$AC$88&amp;";  ","")&amp;IF(AND(EDATE($D44,Milestones!$AA$89)&lt;=AsOfDate,IF($R44=0,$X44,IF(AND($T44&lt;&gt;"",EDATE($D44,Milestones!$AA$89)&gt;=$T44),$W44,IF(AND($S44&lt;&gt;"",EDATE($D44,Milestones!$AA$89)&gt;=$S44),$V44,$U44)))=Milestones!$AB$89),UPPER(TEXT(EDATE($D44,Milestones!$AA$89),"dd mmm yy"))&amp;" "&amp;Milestones!$AB$89&amp;" "&amp;Milestones!$AC$89&amp;";  ","")&amp;IF(AND(EDATE($D44,Milestones!$AA$90)&lt;=AsOfDate,IF($R44=0,$X44,IF(AND($T44&lt;&gt;"",EDATE($D44,Milestones!$AA$90)&gt;=$T44),$W44,IF(AND($S44&lt;&gt;"",EDATE($D44,Milestones!$AA$90)&gt;=$S44),$V44,$U44)))=Milestones!$AB$90),UPPER(TEXT(EDATE($D44,Milestones!$AA$90),"dd mmm yy"))&amp;" "&amp;Milestones!$AB$90&amp;" "&amp;Milestones!$AC$90&amp;";  ","")&amp;IF(AND(EDATE($D44,Milestones!$AA$91)&lt;=AsOfDate,IF($R44=0,$X44,IF(AND($T44&lt;&gt;"",EDATE($D44,Milestones!$AA$91)&gt;=$T44),$W44,IF(AND($S44&lt;&gt;"",EDATE($D44,Milestones!$AA$91)&gt;=$S44),$V44,$U44)))=Milestones!$AB$91),UPPER(TEXT(EDATE($D44,Milestones!$AA$91),"dd mmm yy"))&amp;" "&amp;Milestones!$AB$91&amp;" "&amp;Milestones!$AC$91&amp;";  ","")&amp;IF(AND(EDATE($D44,Milestones!$AA$92)&lt;=AsOfDate,IF($R44=0,$X44,IF(AND($T44&lt;&gt;"",EDATE($D44,Milestones!$AA$92)&gt;=$T44),$W44,IF(AND($S44&lt;&gt;"",EDATE($D44,Milestones!$AA$92)&gt;=$S44),$V44,$U44)))=Milestones!$AB$92),UPPER(TEXT(EDATE($D44,Milestones!$AA$92),"dd mmm yy"))&amp;" "&amp;Milestones!$AB$92&amp;" "&amp;Milestones!$AC$92&amp;";  ","")&amp;IF(AND(EDATE($D44,Milestones!$AA$93)&lt;=AsOfDate,IF($R44=0,$X44,IF(AND($T44&lt;&gt;"",EDATE($D44,Milestones!$AA$93)&gt;=$T44),$W44,IF(AND($S44&lt;&gt;"",EDATE($D44,Milestones!$AA$93)&gt;=$S44),$V44,$U44)))=Milestones!$AB$93),UPPER(TEXT(EDATE($D44,Milestones!$AA$93),"dd mmm yy"))&amp;" "&amp;Milestones!$AB$93&amp;" "&amp;Milestones!$AC$93&amp;";  ","")&amp;IF(AND(EDATE($D44,Milestones!$AA$94)&lt;=AsOfDate,IF($R44=0,$X44,IF(AND($T44&lt;&gt;"",EDATE($D44,Milestones!$AA$94)&gt;=$T44),$W44,IF(AND($S44&lt;&gt;"",EDATE($D44,Milestones!$AA$94)&gt;=$S44),$V44,$U44)))=Milestones!$AB$94),UPPER(TEXT(EDATE($D44,Milestones!$AA$94),"dd mmm yy"))&amp;" "&amp;Milestones!$AB$94&amp;" "&amp;Milestones!$AC$94&amp;";  ","")&amp;IF(AND(EDATE($D44,Milestones!$AA$95)&lt;=AsOfDate,IF($R44=0,$X44,IF(AND($T44&lt;&gt;"",EDATE($D44,Milestones!$AA$95)&gt;=$T44),$W44,IF(AND($S44&lt;&gt;"",EDATE($D44,Milestones!$AA$95)&gt;=$S44),$V44,$U44)))=Milestones!$AB$95),UPPER(TEXT(EDATE($D44,Milestones!$AA$95),"dd mmm yy"))&amp;" "&amp;Milestones!$AB$95&amp;" "&amp;Milestones!$AC$95&amp;";  ","")&amp;IF(AND(EDATE($D44,Milestones!$AA$96)&lt;=AsOfDate,IF($R44=0,$X44,IF(AND($T44&lt;&gt;"",EDATE($D44,Milestones!$AA$96)&gt;=$T44),$W44,IF(AND($S44&lt;&gt;"",EDATE($D44,Milestones!$AA$96)&gt;=$S44),$V44,$U44)))=Milestones!$AB$96),UPPER(TEXT(EDATE($D44,Milestones!$AA$96),"dd mmm yy"))&amp;" "&amp;Milestones!$AB$96&amp;" "&amp;Milestones!$AC$96&amp;";  ","")&amp;IF(AND(EDATE($D44,Milestones!$AA$97)&lt;=AsOfDate,IF($R44=0,$X44,IF(AND($T44&lt;&gt;"",EDATE($D44,Milestones!$AA$97)&gt;=$T44),$W44,IF(AND($S44&lt;&gt;"",EDATE($D44,Milestones!$AA$97)&gt;=$S44),$V44,$U44)))=Milestones!$AB$97),UPPER(TEXT(EDATE($D44,Milestones!$AA$97),"dd mmm yy"))&amp;" "&amp;Milestones!$AB$97&amp;" "&amp;Milestones!$AC$97&amp;";  ","")&amp;IF(AND(EDATE($D44,Milestones!$AA$98)&lt;=AsOfDate,IF($R44=0,$X44,IF(AND($T44&lt;&gt;"",EDATE($D44,Milestones!$AA$98)&gt;=$T44),$W44,IF(AND($S44&lt;&gt;"",EDATE($D44,Milestones!$AA$98)&gt;=$S44),$V44,$U44)))=Milestones!$AB$98),UPPER(TEXT(EDATE($D44,Milestones!$AA$98),"dd mmm yy"))&amp;" "&amp;Milestones!$AB$98&amp;" "&amp;Milestones!$AC$98&amp;";  ","")&amp;IF(AND(EDATE($D44,Milestones!$AA$99)&lt;=AsOfDate,IF($R44=0,$X44,IF(AND($T44&lt;&gt;"",EDATE($D44,Milestones!$AA$99)&gt;=$T44),$W44,IF(AND($S44&lt;&gt;"",EDATE($D44,Milestones!$AA$99)&gt;=$S44),$V44,$U44)))=Milestones!$AB$99),UPPER(TEXT(EDATE($D44,Milestones!$AA$99),"dd mmm yy"))&amp;" "&amp;Milestones!$AB$99&amp;" "&amp;Milestones!$AC$99&amp;";  ",""))</f>
        <v/>
      </c>
      <c r="M44" s="0" t="str">
        <f aca="false">IF(OR($A44="",$D44=""),"",IF(AND(EDATE($D44,Milestones!$AA$100)&lt;=AsOfDate,IF($R44=0,$X44,IF(AND($T44&lt;&gt;"",EDATE($D44,Milestones!$AA$100)&gt;=$T44),$W44,IF(AND($S44&lt;&gt;"",EDATE($D44,Milestones!$AA$100)&gt;=$S44),$V44,$U44)))=Milestones!$AB$100),UPPER(TEXT(EDATE($D44,Milestones!$AA$100),"dd mmm yy"))&amp;" "&amp;Milestones!$AB$100&amp;" "&amp;Milestones!$AC$100&amp;";  ","")&amp;IF(AND(EDATE($D44,Milestones!$AA$101)&lt;=AsOfDate,IF($R44=0,$X44,IF(AND($T44&lt;&gt;"",EDATE($D44,Milestones!$AA$101)&gt;=$T44),$W44,IF(AND($S44&lt;&gt;"",EDATE($D44,Milestones!$AA$101)&gt;=$S44),$V44,$U44)))=Milestones!$AB$101),UPPER(TEXT(EDATE($D44,Milestones!$AA$101),"dd mmm yy"))&amp;" "&amp;Milestones!$AB$101&amp;" "&amp;Milestones!$AC$101&amp;";  ","")&amp;IF(AND(EDATE($D44,Milestones!$AA$102)&lt;=AsOfDate,IF($R44=0,$X44,IF(AND($T44&lt;&gt;"",EDATE($D44,Milestones!$AA$102)&gt;=$T44),$W44,IF(AND($S44&lt;&gt;"",EDATE($D44,Milestones!$AA$102)&gt;=$S44),$V44,$U44)))=Milestones!$AB$102),UPPER(TEXT(EDATE($D44,Milestones!$AA$102),"dd mmm yy"))&amp;" "&amp;Milestones!$AB$102&amp;" "&amp;Milestones!$AC$102&amp;";  ","")&amp;IF(AND(EDATE($D44,Milestones!$AA$103)&lt;=AsOfDate,IF($R44=0,$X44,IF(AND($T44&lt;&gt;"",EDATE($D44,Milestones!$AA$103)&gt;=$T44),$W44,IF(AND($S44&lt;&gt;"",EDATE($D44,Milestones!$AA$103)&gt;=$S44),$V44,$U44)))=Milestones!$AB$103),UPPER(TEXT(EDATE($D44,Milestones!$AA$103),"dd mmm yy"))&amp;" "&amp;Milestones!$AB$103&amp;" "&amp;Milestones!$AC$103&amp;";  ","")&amp;IF(AND(EDATE($D44,Milestones!$AA$104)&lt;=AsOfDate,IF($R44=0,$X44,IF(AND($T44&lt;&gt;"",EDATE($D44,Milestones!$AA$104)&gt;=$T44),$W44,IF(AND($S44&lt;&gt;"",EDATE($D44,Milestones!$AA$104)&gt;=$S44),$V44,$U44)))=Milestones!$AB$104),UPPER(TEXT(EDATE($D44,Milestones!$AA$104),"dd mmm yy"))&amp;" "&amp;Milestones!$AB$104&amp;" "&amp;Milestones!$AC$104&amp;";  ","")&amp;IF(AND(EDATE($D44,Milestones!$AA$105)&lt;=AsOfDate,IF($R44=0,$X44,IF(AND($T44&lt;&gt;"",EDATE($D44,Milestones!$AA$105)&gt;=$T44),$W44,IF(AND($S44&lt;&gt;"",EDATE($D44,Milestones!$AA$105)&gt;=$S44),$V44,$U44)))=Milestones!$AB$105),UPPER(TEXT(EDATE($D44,Milestones!$AA$105),"dd mmm yy"))&amp;" "&amp;Milestones!$AB$105&amp;" "&amp;Milestones!$AC$105&amp;";  ","")&amp;IF(AND(EDATE($D44,Milestones!$AA$106)&lt;=AsOfDate,IF($R44=0,$X44,IF(AND($T44&lt;&gt;"",EDATE($D44,Milestones!$AA$106)&gt;=$T44),$W44,IF(AND($S44&lt;&gt;"",EDATE($D44,Milestones!$AA$106)&gt;=$S44),$V44,$U44)))=Milestones!$AB$106),UPPER(TEXT(EDATE($D44,Milestones!$AA$106),"dd mmm yy"))&amp;" "&amp;Milestones!$AB$106&amp;" "&amp;Milestones!$AC$106&amp;";  ","")&amp;IF(AND(EDATE($D44,Milestones!$AA$107)&lt;=AsOfDate,IF($R44=0,$X44,IF(AND($T44&lt;&gt;"",EDATE($D44,Milestones!$AA$107)&gt;=$T44),$W44,IF(AND($S44&lt;&gt;"",EDATE($D44,Milestones!$AA$107)&gt;=$S44),$V44,$U44)))=Milestones!$AB$107),UPPER(TEXT(EDATE($D44,Milestones!$AA$107),"dd mmm yy"))&amp;" "&amp;Milestones!$AB$107&amp;" "&amp;Milestones!$AC$107&amp;";  ","")&amp;IF(AND(EDATE($D44,Milestones!$AA$108)&lt;=AsOfDate,IF($R44=0,$X44,IF(AND($T44&lt;&gt;"",EDATE($D44,Milestones!$AA$108)&gt;=$T44),$W44,IF(AND($S44&lt;&gt;"",EDATE($D44,Milestones!$AA$108)&gt;=$S44),$V44,$U44)))=Milestones!$AB$108),UPPER(TEXT(EDATE($D44,Milestones!$AA$108),"dd mmm yy"))&amp;" "&amp;Milestones!$AB$108&amp;" "&amp;Milestones!$AC$108&amp;";  ","")&amp;IF(AND(EDATE($D44,Milestones!$AA$109)&lt;=AsOfDate,IF($R44=0,$X44,IF(AND($T44&lt;&gt;"",EDATE($D44,Milestones!$AA$109)&gt;=$T44),$W44,IF(AND($S44&lt;&gt;"",EDATE($D44,Milestones!$AA$109)&gt;=$S44),$V44,$U44)))=Milestones!$AB$109),UPPER(TEXT(EDATE($D44,Milestones!$AA$109),"dd mmm yy"))&amp;" "&amp;Milestones!$AB$109&amp;" "&amp;Milestones!$AC$109&amp;";  ","")&amp;IF(AND(EDATE($D44,Milestones!$AA$110)&lt;=AsOfDate,IF($R44=0,$X44,IF(AND($T44&lt;&gt;"",EDATE($D44,Milestones!$AA$110)&gt;=$T44),$W44,IF(AND($S44&lt;&gt;"",EDATE($D44,Milestones!$AA$110)&gt;=$S44),$V44,$U44)))=Milestones!$AB$110),UPPER(TEXT(EDATE($D44,Milestones!$AA$110),"dd mmm yy"))&amp;" "&amp;Milestones!$AB$110&amp;" "&amp;Milestones!$AC$110&amp;";  ","")&amp;IF(AND(EDATE($D44,Milestones!$AA$111)&lt;=AsOfDate,IF($R44=0,$X44,IF(AND($T44&lt;&gt;"",EDATE($D44,Milestones!$AA$111)&gt;=$T44),$W44,IF(AND($S44&lt;&gt;"",EDATE($D44,Milestones!$AA$111)&gt;=$S44),$V44,$U44)))=Milestones!$AB$111),UPPER(TEXT(EDATE($D44,Milestones!$AA$111),"dd mmm yy"))&amp;" "&amp;Milestones!$AB$111&amp;" "&amp;Milestones!$AC$111&amp;";  ","")&amp;IF(AND(EDATE($D44,Milestones!$AA$112)&lt;=AsOfDate,IF($R44=0,$X44,IF(AND($T44&lt;&gt;"",EDATE($D44,Milestones!$AA$112)&gt;=$T44),$W44,IF(AND($S44&lt;&gt;"",EDATE($D44,Milestones!$AA$112)&gt;=$S44),$V44,$U44)))=Milestones!$AB$112),UPPER(TEXT(EDATE($D44,Milestones!$AA$112),"dd mmm yy"))&amp;" "&amp;Milestones!$AB$112&amp;" "&amp;Milestones!$AC$112&amp;";  ","")&amp;IF(AND(EDATE($D44,Milestones!$AA$113)&lt;=AsOfDate,IF($R44=0,$X44,IF(AND($T44&lt;&gt;"",EDATE($D44,Milestones!$AA$113)&gt;=$T44),$W44,IF(AND($S44&lt;&gt;"",EDATE($D44,Milestones!$AA$113)&gt;=$S44),$V44,$U44)))=Milestones!$AB$113),UPPER(TEXT(EDATE($D44,Milestones!$AA$113),"dd mmm yy"))&amp;" "&amp;Milestones!$AB$113&amp;" "&amp;Milestones!$AC$113&amp;";  ","")&amp;IF(AND(EDATE($D44,Milestones!$AA$114)&lt;=AsOfDate,IF($R44=0,$X44,IF(AND($T44&lt;&gt;"",EDATE($D44,Milestones!$AA$114)&gt;=$T44),$W44,IF(AND($S44&lt;&gt;"",EDATE($D44,Milestones!$AA$114)&gt;=$S44),$V44,$U44)))=Milestones!$AB$114),UPPER(TEXT(EDATE($D44,Milestones!$AA$114),"dd mmm yy"))&amp;" "&amp;Milestones!$AB$114&amp;" "&amp;Milestones!$AC$114&amp;";  ","")&amp;IF(AND(EDATE($D44,Milestones!$AA$115)&lt;=AsOfDate,IF($R44=0,$X44,IF(AND($T44&lt;&gt;"",EDATE($D44,Milestones!$AA$115)&gt;=$T44),$W44,IF(AND($S44&lt;&gt;"",EDATE($D44,Milestones!$AA$115)&gt;=$S44),$V44,$U44)))=Milestones!$AB$115),UPPER(TEXT(EDATE($D44,Milestones!$AA$115),"dd mmm yy"))&amp;" "&amp;Milestones!$AB$115&amp;" "&amp;Milestones!$AC$115&amp;";  ","")&amp;IF(AND(EDATE($D44,Milestones!$AA$116)&lt;=AsOfDate,IF($R44=0,$X44,IF(AND($T44&lt;&gt;"",EDATE($D44,Milestones!$AA$116)&gt;=$T44),$W44,IF(AND($S44&lt;&gt;"",EDATE($D44,Milestones!$AA$116)&gt;=$S44),$V44,$U44)))=Milestones!$AB$116),UPPER(TEXT(EDATE($D44,Milestones!$AA$116),"dd mmm yy"))&amp;" "&amp;Milestones!$AB$116&amp;" "&amp;Milestones!$AC$116&amp;";  ","")&amp;IF(AND(EDATE($D44,Milestones!$AA$117)&lt;=AsOfDate,IF($R44=0,$X44,IF(AND($T44&lt;&gt;"",EDATE($D44,Milestones!$AA$117)&gt;=$T44),$W44,IF(AND($S44&lt;&gt;"",EDATE($D44,Milestones!$AA$117)&gt;=$S44),$V44,$U44)))=Milestones!$AB$117),UPPER(TEXT(EDATE($D44,Milestones!$AA$117),"dd mmm yy"))&amp;" "&amp;Milestones!$AB$117&amp;" "&amp;Milestones!$AC$117&amp;";  ","")&amp;IF(AND(EDATE($D44,Milestones!$AA$118)&lt;=AsOfDate,IF($R44=0,$X44,IF(AND($T44&lt;&gt;"",EDATE($D44,Milestones!$AA$118)&gt;=$T44),$W44,IF(AND($S44&lt;&gt;"",EDATE($D44,Milestones!$AA$118)&gt;=$S44),$V44,$U44)))=Milestones!$AB$118),UPPER(TEXT(EDATE($D44,Milestones!$AA$118),"dd mmm yy"))&amp;" "&amp;Milestones!$AB$118&amp;" "&amp;Milestones!$AC$118&amp;";  ","")&amp;IF(AND(EDATE($D44,Milestones!$AA$119)&lt;=AsOfDate,IF($R44=0,$X44,IF(AND($T44&lt;&gt;"",EDATE($D44,Milestones!$AA$119)&gt;=$T44),$W44,IF(AND($S44&lt;&gt;"",EDATE($D44,Milestones!$AA$119)&gt;=$S44),$V44,$U44)))=Milestones!$AB$119),UPPER(TEXT(EDATE($D44,Milestones!$AA$119),"dd mmm yy"))&amp;" "&amp;Milestones!$AB$119&amp;" "&amp;Milestones!$AC$119&amp;";  ",""))</f>
        <v/>
      </c>
      <c r="N44" s="0" t="str">
        <f aca="false">IF(OR($A44="",$D44=""),"",IF(AND(EDATE($D44,Milestones!$AA$120)&lt;=AsOfDate,IF($R44=0,$X44,IF(AND($T44&lt;&gt;"",EDATE($D44,Milestones!$AA$120)&gt;=$T44),$W44,IF(AND($S44&lt;&gt;"",EDATE($D44,Milestones!$AA$120)&gt;=$S44),$V44,$U44)))=Milestones!$AB$120),UPPER(TEXT(EDATE($D44,Milestones!$AA$120),"dd mmm yy"))&amp;" "&amp;Milestones!$AB$120&amp;" "&amp;Milestones!$AC$120&amp;";  ","")&amp;IF(AND(EDATE($D44,Milestones!$AA$121)&lt;=AsOfDate,IF($R44=0,$X44,IF(AND($T44&lt;&gt;"",EDATE($D44,Milestones!$AA$121)&gt;=$T44),$W44,IF(AND($S44&lt;&gt;"",EDATE($D44,Milestones!$AA$121)&gt;=$S44),$V44,$U44)))=Milestones!$AB$121),UPPER(TEXT(EDATE($D44,Milestones!$AA$121),"dd mmm yy"))&amp;" "&amp;Milestones!$AB$121&amp;" "&amp;Milestones!$AC$121&amp;";  ","")&amp;IF(AND(EDATE($D44,Milestones!$AA$122)&lt;=AsOfDate,IF($R44=0,$X44,IF(AND($T44&lt;&gt;"",EDATE($D44,Milestones!$AA$122)&gt;=$T44),$W44,IF(AND($S44&lt;&gt;"",EDATE($D44,Milestones!$AA$122)&gt;=$S44),$V44,$U44)))=Milestones!$AB$122),UPPER(TEXT(EDATE($D44,Milestones!$AA$122),"dd mmm yy"))&amp;" "&amp;Milestones!$AB$122&amp;" "&amp;Milestones!$AC$122&amp;";  ","")&amp;IF(AND(EDATE($D44,Milestones!$AA$123)&lt;=AsOfDate,IF($R44=0,$X44,IF(AND($T44&lt;&gt;"",EDATE($D44,Milestones!$AA$123)&gt;=$T44),$W44,IF(AND($S44&lt;&gt;"",EDATE($D44,Milestones!$AA$123)&gt;=$S44),$V44,$U44)))=Milestones!$AB$123),UPPER(TEXT(EDATE($D44,Milestones!$AA$123),"dd mmm yy"))&amp;" "&amp;Milestones!$AB$123&amp;" "&amp;Milestones!$AC$123&amp;";  ","")&amp;IF(AND(EDATE($D44,Milestones!$AA$124)&lt;=AsOfDate,IF($R44=0,$X44,IF(AND($T44&lt;&gt;"",EDATE($D44,Milestones!$AA$124)&gt;=$T44),$W44,IF(AND($S44&lt;&gt;"",EDATE($D44,Milestones!$AA$124)&gt;=$S44),$V44,$U44)))=Milestones!$AB$124),UPPER(TEXT(EDATE($D44,Milestones!$AA$124),"dd mmm yy"))&amp;" "&amp;Milestones!$AB$124&amp;" "&amp;Milestones!$AC$124&amp;";  ","")&amp;IF(AND(EDATE($D44,Milestones!$AA$125)&lt;=AsOfDate,IF($R44=0,$X44,IF(AND($T44&lt;&gt;"",EDATE($D44,Milestones!$AA$125)&gt;=$T44),$W44,IF(AND($S44&lt;&gt;"",EDATE($D44,Milestones!$AA$125)&gt;=$S44),$V44,$U44)))=Milestones!$AB$125),UPPER(TEXT(EDATE($D44,Milestones!$AA$125),"dd mmm yy"))&amp;" "&amp;Milestones!$AB$125&amp;" "&amp;Milestones!$AC$125&amp;";  ","")&amp;IF(AND(EDATE($D44,Milestones!$AA$126)&lt;=AsOfDate,IF($R44=0,$X44,IF(AND($T44&lt;&gt;"",EDATE($D44,Milestones!$AA$126)&gt;=$T44),$W44,IF(AND($S44&lt;&gt;"",EDATE($D44,Milestones!$AA$126)&gt;=$S44),$V44,$U44)))=Milestones!$AB$126),UPPER(TEXT(EDATE($D44,Milestones!$AA$126),"dd mmm yy"))&amp;" "&amp;Milestones!$AB$126&amp;" "&amp;Milestones!$AC$126&amp;";  ","")&amp;IF(AND(EDATE($D44,Milestones!$AA$127)&lt;=AsOfDate,IF($R44=0,$X44,IF(AND($T44&lt;&gt;"",EDATE($D44,Milestones!$AA$127)&gt;=$T44),$W44,IF(AND($S44&lt;&gt;"",EDATE($D44,Milestones!$AA$127)&gt;=$S44),$V44,$U44)))=Milestones!$AB$127),UPPER(TEXT(EDATE($D44,Milestones!$AA$127),"dd mmm yy"))&amp;" "&amp;Milestones!$AB$127&amp;" "&amp;Milestones!$AC$127&amp;";  ","")&amp;IF(AND(EDATE($D44,Milestones!$AA$128)&lt;=AsOfDate,IF($R44=0,$X44,IF(AND($T44&lt;&gt;"",EDATE($D44,Milestones!$AA$128)&gt;=$T44),$W44,IF(AND($S44&lt;&gt;"",EDATE($D44,Milestones!$AA$128)&gt;=$S44),$V44,$U44)))=Milestones!$AB$128),UPPER(TEXT(EDATE($D44,Milestones!$AA$128),"dd mmm yy"))&amp;" "&amp;Milestones!$AB$128&amp;" "&amp;Milestones!$AC$128&amp;";  ","")&amp;IF(AND(EDATE($D44,Milestones!$AA$129)&lt;=AsOfDate,IF($R44=0,$X44,IF(AND($T44&lt;&gt;"",EDATE($D44,Milestones!$AA$129)&gt;=$T44),$W44,IF(AND($S44&lt;&gt;"",EDATE($D44,Milestones!$AA$129)&gt;=$S44),$V44,$U44)))=Milestones!$AB$129),UPPER(TEXT(EDATE($D44,Milestones!$AA$129),"dd mmm yy"))&amp;" "&amp;Milestones!$AB$129&amp;" "&amp;Milestones!$AC$129&amp;";  ","")&amp;IF(AND(EDATE($D44,Milestones!$AA$130)&lt;=AsOfDate,IF($R44=0,$X44,IF(AND($T44&lt;&gt;"",EDATE($D44,Milestones!$AA$130)&gt;=$T44),$W44,IF(AND($S44&lt;&gt;"",EDATE($D44,Milestones!$AA$130)&gt;=$S44),$V44,$U44)))=Milestones!$AB$130),UPPER(TEXT(EDATE($D44,Milestones!$AA$130),"dd mmm yy"))&amp;" "&amp;Milestones!$AB$130&amp;" "&amp;Milestones!$AC$130&amp;";  ","")&amp;IF(AND(EDATE($D44,Milestones!$AA$131)&lt;=AsOfDate,IF($R44=0,$X44,IF(AND($T44&lt;&gt;"",EDATE($D44,Milestones!$AA$131)&gt;=$T44),$W44,IF(AND($S44&lt;&gt;"",EDATE($D44,Milestones!$AA$131)&gt;=$S44),$V44,$U44)))=Milestones!$AB$131),UPPER(TEXT(EDATE($D44,Milestones!$AA$131),"dd mmm yy"))&amp;" "&amp;Milestones!$AB$131&amp;" "&amp;Milestones!$AC$131&amp;";  ","")&amp;IF(AND(EDATE($D44,Milestones!$AA$132)&lt;=AsOfDate,IF($R44=0,$X44,IF(AND($T44&lt;&gt;"",EDATE($D44,Milestones!$AA$132)&gt;=$T44),$W44,IF(AND($S44&lt;&gt;"",EDATE($D44,Milestones!$AA$132)&gt;=$S44),$V44,$U44)))=Milestones!$AB$132),UPPER(TEXT(EDATE($D44,Milestones!$AA$132),"dd mmm yy"))&amp;" "&amp;Milestones!$AB$132&amp;" "&amp;Milestones!$AC$132&amp;";  ","")&amp;IF(AND(EDATE($D44,Milestones!$AA$133)&lt;=AsOfDate,IF($R44=0,$X44,IF(AND($T44&lt;&gt;"",EDATE($D44,Milestones!$AA$133)&gt;=$T44),$W44,IF(AND($S44&lt;&gt;"",EDATE($D44,Milestones!$AA$133)&gt;=$S44),$V44,$U44)))=Milestones!$AB$133),UPPER(TEXT(EDATE($D44,Milestones!$AA$133),"dd mmm yy"))&amp;" "&amp;Milestones!$AB$133&amp;" "&amp;Milestones!$AC$133&amp;";  ","")&amp;IF(AND(EDATE($D44,Milestones!$AA$134)&lt;=AsOfDate,IF($R44=0,$X44,IF(AND($T44&lt;&gt;"",EDATE($D44,Milestones!$AA$134)&gt;=$T44),$W44,IF(AND($S44&lt;&gt;"",EDATE($D44,Milestones!$AA$134)&gt;=$S44),$V44,$U44)))=Milestones!$AB$134),UPPER(TEXT(EDATE($D44,Milestones!$AA$134),"dd mmm yy"))&amp;" "&amp;Milestones!$AB$134&amp;" "&amp;Milestones!$AC$134&amp;";  ","")&amp;IF(AND(EDATE($D44,Milestones!$AA$135)&lt;=AsOfDate,IF($R44=0,$X44,IF(AND($T44&lt;&gt;"",EDATE($D44,Milestones!$AA$135)&gt;=$T44),$W44,IF(AND($S44&lt;&gt;"",EDATE($D44,Milestones!$AA$135)&gt;=$S44),$V44,$U44)))=Milestones!$AB$135),UPPER(TEXT(EDATE($D44,Milestones!$AA$135),"dd mmm yy"))&amp;" "&amp;Milestones!$AB$135&amp;" "&amp;Milestones!$AC$135&amp;";  ","")&amp;IF(AND(EDATE($D44,Milestones!$AA$136)&lt;=AsOfDate,IF($R44=0,$X44,IF(AND($T44&lt;&gt;"",EDATE($D44,Milestones!$AA$136)&gt;=$T44),$W44,IF(AND($S44&lt;&gt;"",EDATE($D44,Milestones!$AA$136)&gt;=$S44),$V44,$U44)))=Milestones!$AB$136),UPPER(TEXT(EDATE($D44,Milestones!$AA$136),"dd mmm yy"))&amp;" "&amp;Milestones!$AB$136&amp;" "&amp;Milestones!$AC$136&amp;";  ","")&amp;IF(AND(EDATE($D44,Milestones!$AA$137)&lt;=AsOfDate,IF($R44=0,$X44,IF(AND($T44&lt;&gt;"",EDATE($D44,Milestones!$AA$137)&gt;=$T44),$W44,IF(AND($S44&lt;&gt;"",EDATE($D44,Milestones!$AA$137)&gt;=$S44),$V44,$U44)))=Milestones!$AB$137),UPPER(TEXT(EDATE($D44,Milestones!$AA$137),"dd mmm yy"))&amp;" "&amp;Milestones!$AB$137&amp;" "&amp;Milestones!$AC$137&amp;";  ","")&amp;IF(AND(EDATE($D44,Milestones!$AA$138)&lt;=AsOfDate,IF($R44=0,$X44,IF(AND($T44&lt;&gt;"",EDATE($D44,Milestones!$AA$138)&gt;=$T44),$W44,IF(AND($S44&lt;&gt;"",EDATE($D44,Milestones!$AA$138)&gt;=$S44),$V44,$U44)))=Milestones!$AB$138),UPPER(TEXT(EDATE($D44,Milestones!$AA$138),"dd mmm yy"))&amp;" "&amp;Milestones!$AB$138&amp;" "&amp;Milestones!$AC$138&amp;";  ","")&amp;IF(AND(EDATE($D44,Milestones!$AA$139)&lt;=AsOfDate,IF($R44=0,$X44,IF(AND($T44&lt;&gt;"",EDATE($D44,Milestones!$AA$139)&gt;=$T44),$W44,IF(AND($S44&lt;&gt;"",EDATE($D44,Milestones!$AA$139)&gt;=$S44),$V44,$U44)))=Milestones!$AB$139),UPPER(TEXT(EDATE($D44,Milestones!$AA$139),"dd mmm yy"))&amp;" "&amp;Milestones!$AB$139&amp;" "&amp;Milestones!$AC$139&amp;";  ",""))</f>
        <v/>
      </c>
      <c r="O44" s="0" t="str">
        <f aca="false">IF(OR($A44="",$D44=""),"",IF(AND(EDATE($D44,Milestones!$AA$140)&lt;=AsOfDate,IF($R44=0,$X44,IF(AND($T44&lt;&gt;"",EDATE($D44,Milestones!$AA$140)&gt;=$T44),$W44,IF(AND($S44&lt;&gt;"",EDATE($D44,Milestones!$AA$140)&gt;=$S44),$V44,$U44)))=Milestones!$AB$140),UPPER(TEXT(EDATE($D44,Milestones!$AA$140),"dd mmm yy"))&amp;" "&amp;Milestones!$AB$140&amp;" "&amp;Milestones!$AC$140&amp;";  ","")&amp;IF(AND(EDATE($D44,Milestones!$AA$141)&lt;=AsOfDate,IF($R44=0,$X44,IF(AND($T44&lt;&gt;"",EDATE($D44,Milestones!$AA$141)&gt;=$T44),$W44,IF(AND($S44&lt;&gt;"",EDATE($D44,Milestones!$AA$141)&gt;=$S44),$V44,$U44)))=Milestones!$AB$141),UPPER(TEXT(EDATE($D44,Milestones!$AA$141),"dd mmm yy"))&amp;" "&amp;Milestones!$AB$141&amp;" "&amp;Milestones!$AC$141&amp;";  ","")&amp;IF(AND(EDATE($D44,Milestones!$AA$142)&lt;=AsOfDate,IF($R44=0,$X44,IF(AND($T44&lt;&gt;"",EDATE($D44,Milestones!$AA$142)&gt;=$T44),$W44,IF(AND($S44&lt;&gt;"",EDATE($D44,Milestones!$AA$142)&gt;=$S44),$V44,$U44)))=Milestones!$AB$142),UPPER(TEXT(EDATE($D44,Milestones!$AA$142),"dd mmm yy"))&amp;" "&amp;Milestones!$AB$142&amp;" "&amp;Milestones!$AC$142&amp;";  ","")&amp;IF(AND(EDATE($D44,Milestones!$AA$143)&lt;=AsOfDate,IF($R44=0,$X44,IF(AND($T44&lt;&gt;"",EDATE($D44,Milestones!$AA$143)&gt;=$T44),$W44,IF(AND($S44&lt;&gt;"",EDATE($D44,Milestones!$AA$143)&gt;=$S44),$V44,$U44)))=Milestones!$AB$143),UPPER(TEXT(EDATE($D44,Milestones!$AA$143),"dd mmm yy"))&amp;" "&amp;Milestones!$AB$143&amp;" "&amp;Milestones!$AC$143&amp;";  ","")&amp;IF(AND(EDATE($D44,Milestones!$AA$144)&lt;=AsOfDate,IF($R44=0,$X44,IF(AND($T44&lt;&gt;"",EDATE($D44,Milestones!$AA$144)&gt;=$T44),$W44,IF(AND($S44&lt;&gt;"",EDATE($D44,Milestones!$AA$144)&gt;=$S44),$V44,$U44)))=Milestones!$AB$144),UPPER(TEXT(EDATE($D44,Milestones!$AA$144),"dd mmm yy"))&amp;" "&amp;Milestones!$AB$144&amp;" "&amp;Milestones!$AC$144&amp;";  ","")&amp;IF(AND(EDATE($D44,Milestones!$AA$145)&lt;=AsOfDate,IF($R44=0,$X44,IF(AND($T44&lt;&gt;"",EDATE($D44,Milestones!$AA$145)&gt;=$T44),$W44,IF(AND($S44&lt;&gt;"",EDATE($D44,Milestones!$AA$145)&gt;=$S44),$V44,$U44)))=Milestones!$AB$145),UPPER(TEXT(EDATE($D44,Milestones!$AA$145),"dd mmm yy"))&amp;" "&amp;Milestones!$AB$145&amp;" "&amp;Milestones!$AC$145&amp;";  ","")&amp;IF(AND(EDATE($D44,Milestones!$AA$146)&lt;=AsOfDate,IF($R44=0,$X44,IF(AND($T44&lt;&gt;"",EDATE($D44,Milestones!$AA$146)&gt;=$T44),$W44,IF(AND($S44&lt;&gt;"",EDATE($D44,Milestones!$AA$146)&gt;=$S44),$V44,$U44)))=Milestones!$AB$146),UPPER(TEXT(EDATE($D44,Milestones!$AA$146),"dd mmm yy"))&amp;" "&amp;Milestones!$AB$146&amp;" "&amp;Milestones!$AC$146&amp;";  ","")&amp;IF(AND(EDATE($D44,Milestones!$AA$147)&lt;=AsOfDate,IF($R44=0,$X44,IF(AND($T44&lt;&gt;"",EDATE($D44,Milestones!$AA$147)&gt;=$T44),$W44,IF(AND($S44&lt;&gt;"",EDATE($D44,Milestones!$AA$147)&gt;=$S44),$V44,$U44)))=Milestones!$AB$147),UPPER(TEXT(EDATE($D44,Milestones!$AA$147),"dd mmm yy"))&amp;" "&amp;Milestones!$AB$147&amp;" "&amp;Milestones!$AC$147&amp;";  ","")&amp;IF(AND(EDATE($D44,Milestones!$AA$148)&lt;=AsOfDate,IF($R44=0,$X44,IF(AND($T44&lt;&gt;"",EDATE($D44,Milestones!$AA$148)&gt;=$T44),$W44,IF(AND($S44&lt;&gt;"",EDATE($D44,Milestones!$AA$148)&gt;=$S44),$V44,$U44)))=Milestones!$AB$148),UPPER(TEXT(EDATE($D44,Milestones!$AA$148),"dd mmm yy"))&amp;" "&amp;Milestones!$AB$148&amp;" "&amp;Milestones!$AC$148&amp;";  ","")&amp;IF(AND(EDATE($D44,Milestones!$AA$149)&lt;=AsOfDate,IF($R44=0,$X44,IF(AND($T44&lt;&gt;"",EDATE($D44,Milestones!$AA$149)&gt;=$T44),$W44,IF(AND($S44&lt;&gt;"",EDATE($D44,Milestones!$AA$149)&gt;=$S44),$V44,$U44)))=Milestones!$AB$149),UPPER(TEXT(EDATE($D44,Milestones!$AA$149),"dd mmm yy"))&amp;" "&amp;Milestones!$AB$149&amp;" "&amp;Milestones!$AC$149&amp;";  ","")&amp;IF(AND(EDATE($D44,Milestones!$AA$150)&lt;=AsOfDate,IF($R44=0,$X44,IF(AND($T44&lt;&gt;"",EDATE($D44,Milestones!$AA$150)&gt;=$T44),$W44,IF(AND($S44&lt;&gt;"",EDATE($D44,Milestones!$AA$150)&gt;=$S44),$V44,$U44)))=Milestones!$AB$150),UPPER(TEXT(EDATE($D44,Milestones!$AA$150),"dd mmm yy"))&amp;" "&amp;Milestones!$AB$150&amp;" "&amp;Milestones!$AC$150&amp;";  ","")&amp;IF(AND(EDATE($D44,Milestones!$AA$151)&lt;=AsOfDate,IF($R44=0,$X44,IF(AND($T44&lt;&gt;"",EDATE($D44,Milestones!$AA$151)&gt;=$T44),$W44,IF(AND($S44&lt;&gt;"",EDATE($D44,Milestones!$AA$151)&gt;=$S44),$V44,$U44)))=Milestones!$AB$151),UPPER(TEXT(EDATE($D44,Milestones!$AA$151),"dd mmm yy"))&amp;" "&amp;Milestones!$AB$151&amp;" "&amp;Milestones!$AC$151&amp;";  ","")&amp;IF(AND(EDATE($D44,Milestones!$AA$152)&lt;=AsOfDate,IF($R44=0,$X44,IF(AND($T44&lt;&gt;"",EDATE($D44,Milestones!$AA$152)&gt;=$T44),$W44,IF(AND($S44&lt;&gt;"",EDATE($D44,Milestones!$AA$152)&gt;=$S44),$V44,$U44)))=Milestones!$AB$152),UPPER(TEXT(EDATE($D44,Milestones!$AA$152),"dd mmm yy"))&amp;" "&amp;Milestones!$AB$152&amp;" "&amp;Milestones!$AC$152&amp;";  ","")&amp;IF(AND(EDATE($D44,Milestones!$AA$153)&lt;=AsOfDate,IF($R44=0,$X44,IF(AND($T44&lt;&gt;"",EDATE($D44,Milestones!$AA$153)&gt;=$T44),$W44,IF(AND($S44&lt;&gt;"",EDATE($D44,Milestones!$AA$153)&gt;=$S44),$V44,$U44)))=Milestones!$AB$153),UPPER(TEXT(EDATE($D44,Milestones!$AA$153),"dd mmm yy"))&amp;" "&amp;Milestones!$AB$153&amp;" "&amp;Milestones!$AC$153&amp;";  ","")&amp;IF(AND(EDATE($D44,Milestones!$AA$154)&lt;=AsOfDate,IF($R44=0,$X44,IF(AND($T44&lt;&gt;"",EDATE($D44,Milestones!$AA$154)&gt;=$T44),$W44,IF(AND($S44&lt;&gt;"",EDATE($D44,Milestones!$AA$154)&gt;=$S44),$V44,$U44)))=Milestones!$AB$154),UPPER(TEXT(EDATE($D44,Milestones!$AA$154),"dd mmm yy"))&amp;" "&amp;Milestones!$AB$154&amp;" "&amp;Milestones!$AC$154&amp;";  ","")&amp;IF(AND(EDATE($D44,Milestones!$AA$155)&lt;=AsOfDate,IF($R44=0,$X44,IF(AND($T44&lt;&gt;"",EDATE($D44,Milestones!$AA$155)&gt;=$T44),$W44,IF(AND($S44&lt;&gt;"",EDATE($D44,Milestones!$AA$155)&gt;=$S44),$V44,$U44)))=Milestones!$AB$155),UPPER(TEXT(EDATE($D44,Milestones!$AA$155),"dd mmm yy"))&amp;" "&amp;Milestones!$AB$155&amp;" "&amp;Milestones!$AC$155&amp;";  ","")&amp;IF(AND(EDATE($D44,Milestones!$AA$156)&lt;=AsOfDate,IF($R44=0,$X44,IF(AND($T44&lt;&gt;"",EDATE($D44,Milestones!$AA$156)&gt;=$T44),$W44,IF(AND($S44&lt;&gt;"",EDATE($D44,Milestones!$AA$156)&gt;=$S44),$V44,$U44)))=Milestones!$AB$156),UPPER(TEXT(EDATE($D44,Milestones!$AA$156),"dd mmm yy"))&amp;" "&amp;Milestones!$AB$156&amp;" "&amp;Milestones!$AC$156&amp;";  ","")&amp;IF(AND(EDATE($D44,Milestones!$AA$157)&lt;=AsOfDate,IF($R44=0,$X44,IF(AND($T44&lt;&gt;"",EDATE($D44,Milestones!$AA$157)&gt;=$T44),$W44,IF(AND($S44&lt;&gt;"",EDATE($D44,Milestones!$AA$157)&gt;=$S44),$V44,$U44)))=Milestones!$AB$157),UPPER(TEXT(EDATE($D44,Milestones!$AA$157),"dd mmm yy"))&amp;" "&amp;Milestones!$AB$157&amp;" "&amp;Milestones!$AC$157&amp;";  ","")&amp;IF(AND(EDATE($D44,Milestones!$AA$158)&lt;=AsOfDate,IF($R44=0,$X44,IF(AND($T44&lt;&gt;"",EDATE($D44,Milestones!$AA$158)&gt;=$T44),$W44,IF(AND($S44&lt;&gt;"",EDATE($D44,Milestones!$AA$158)&gt;=$S44),$V44,$U44)))=Milestones!$AB$158),UPPER(TEXT(EDATE($D44,Milestones!$AA$158),"dd mmm yy"))&amp;" "&amp;Milestones!$AB$158&amp;" "&amp;Milestones!$AC$158&amp;";  ","")&amp;IF(AND(EDATE($D44,Milestones!$AA$159)&lt;=AsOfDate,IF($R44=0,$X44,IF(AND($T44&lt;&gt;"",EDATE($D44,Milestones!$AA$159)&gt;=$T44),$W44,IF(AND($S44&lt;&gt;"",EDATE($D44,Milestones!$AA$159)&gt;=$S44),$V44,$U44)))=Milestones!$AB$159),UPPER(TEXT(EDATE($D44,Milestones!$AA$159),"dd mmm yy"))&amp;" "&amp;Milestones!$AB$159&amp;" "&amp;Milestones!$AC$159&amp;";  ",""))</f>
        <v/>
      </c>
      <c r="P44" s="0" t="str">
        <f aca="false">IF(OR($A44="",$D44=""),"",IF(AND(EDATE($D44,Milestones!$AA$160)&lt;=AsOfDate,IF($R44=0,$X44,IF(AND($T44&lt;&gt;"",EDATE($D44,Milestones!$AA$160)&gt;=$T44),$W44,IF(AND($S44&lt;&gt;"",EDATE($D44,Milestones!$AA$160)&gt;=$S44),$V44,$U44)))=Milestones!$AB$160),UPPER(TEXT(EDATE($D44,Milestones!$AA$160),"dd mmm yy"))&amp;" "&amp;Milestones!$AB$160&amp;" "&amp;Milestones!$AC$160&amp;";  ","")&amp;IF(AND(EDATE($D44,Milestones!$AA$161)&lt;=AsOfDate,IF($R44=0,$X44,IF(AND($T44&lt;&gt;"",EDATE($D44,Milestones!$AA$161)&gt;=$T44),$W44,IF(AND($S44&lt;&gt;"",EDATE($D44,Milestones!$AA$161)&gt;=$S44),$V44,$U44)))=Milestones!$AB$161),UPPER(TEXT(EDATE($D44,Milestones!$AA$161),"dd mmm yy"))&amp;" "&amp;Milestones!$AB$161&amp;" "&amp;Milestones!$AC$161&amp;";  ","")&amp;IF(AND(EDATE($D44,Milestones!$AA$162)&lt;=AsOfDate,IF($R44=0,$X44,IF(AND($T44&lt;&gt;"",EDATE($D44,Milestones!$AA$162)&gt;=$T44),$W44,IF(AND($S44&lt;&gt;"",EDATE($D44,Milestones!$AA$162)&gt;=$S44),$V44,$U44)))=Milestones!$AB$162),UPPER(TEXT(EDATE($D44,Milestones!$AA$162),"dd mmm yy"))&amp;" "&amp;Milestones!$AB$162&amp;" "&amp;Milestones!$AC$162&amp;";  ","")&amp;IF(AND(EDATE($D44,Milestones!$AA$163)&lt;=AsOfDate,IF($R44=0,$X44,IF(AND($T44&lt;&gt;"",EDATE($D44,Milestones!$AA$163)&gt;=$T44),$W44,IF(AND($S44&lt;&gt;"",EDATE($D44,Milestones!$AA$163)&gt;=$S44),$V44,$U44)))=Milestones!$AB$163),UPPER(TEXT(EDATE($D44,Milestones!$AA$163),"dd mmm yy"))&amp;" "&amp;Milestones!$AB$163&amp;" "&amp;Milestones!$AC$163&amp;";  ","")&amp;IF(AND(EDATE($D44,Milestones!$AA$164)&lt;=AsOfDate,IF($R44=0,$X44,IF(AND($T44&lt;&gt;"",EDATE($D44,Milestones!$AA$164)&gt;=$T44),$W44,IF(AND($S44&lt;&gt;"",EDATE($D44,Milestones!$AA$164)&gt;=$S44),$V44,$U44)))=Milestones!$AB$164),UPPER(TEXT(EDATE($D44,Milestones!$AA$164),"dd mmm yy"))&amp;" "&amp;Milestones!$AB$164&amp;" "&amp;Milestones!$AC$164&amp;";  ","")&amp;IF(AND(EDATE($D44,Milestones!$AA$165)&lt;=AsOfDate,IF($R44=0,$X44,IF(AND($T44&lt;&gt;"",EDATE($D44,Milestones!$AA$165)&gt;=$T44),$W44,IF(AND($S44&lt;&gt;"",EDATE($D44,Milestones!$AA$165)&gt;=$S44),$V44,$U44)))=Milestones!$AB$165),UPPER(TEXT(EDATE($D44,Milestones!$AA$165),"dd mmm yy"))&amp;" "&amp;Milestones!$AB$165&amp;" "&amp;Milestones!$AC$165&amp;";  ","")&amp;IF(AND(EDATE($D44,Milestones!$AA$166)&lt;=AsOfDate,IF($R44=0,$X44,IF(AND($T44&lt;&gt;"",EDATE($D44,Milestones!$AA$166)&gt;=$T44),$W44,IF(AND($S44&lt;&gt;"",EDATE($D44,Milestones!$AA$166)&gt;=$S44),$V44,$U44)))=Milestones!$AB$166),UPPER(TEXT(EDATE($D44,Milestones!$AA$166),"dd mmm yy"))&amp;" "&amp;Milestones!$AB$166&amp;" "&amp;Milestones!$AC$166&amp;";  ","")&amp;IF(AND(EDATE($D44,Milestones!$AA$167)&lt;=AsOfDate,IF($R44=0,$X44,IF(AND($T44&lt;&gt;"",EDATE($D44,Milestones!$AA$167)&gt;=$T44),$W44,IF(AND($S44&lt;&gt;"",EDATE($D44,Milestones!$AA$167)&gt;=$S44),$V44,$U44)))=Milestones!$AB$167),UPPER(TEXT(EDATE($D44,Milestones!$AA$167),"dd mmm yy"))&amp;" "&amp;Milestones!$AB$167&amp;" "&amp;Milestones!$AC$167&amp;";  ","")&amp;IF(AND(EDATE($D44,Milestones!$AA$168)&lt;=AsOfDate,IF($R44=0,$X44,IF(AND($T44&lt;&gt;"",EDATE($D44,Milestones!$AA$168)&gt;=$T44),$W44,IF(AND($S44&lt;&gt;"",EDATE($D44,Milestones!$AA$168)&gt;=$S44),$V44,$U44)))=Milestones!$AB$168),UPPER(TEXT(EDATE($D44,Milestones!$AA$168),"dd mmm yy"))&amp;" "&amp;Milestones!$AB$168&amp;" "&amp;Milestones!$AC$168&amp;";  ","")&amp;IF(AND(EDATE($D44,Milestones!$AA$169)&lt;=AsOfDate,IF($R44=0,$X44,IF(AND($T44&lt;&gt;"",EDATE($D44,Milestones!$AA$169)&gt;=$T44),$W44,IF(AND($S44&lt;&gt;"",EDATE($D44,Milestones!$AA$169)&gt;=$S44),$V44,$U44)))=Milestones!$AB$169),UPPER(TEXT(EDATE($D44,Milestones!$AA$169),"dd mmm yy"))&amp;" "&amp;Milestones!$AB$169&amp;" "&amp;Milestones!$AC$169&amp;";  ","")&amp;IF(AND(EDATE($D44,Milestones!$AA$170)&lt;=AsOfDate,IF($R44=0,$X44,IF(AND($T44&lt;&gt;"",EDATE($D44,Milestones!$AA$170)&gt;=$T44),$W44,IF(AND($S44&lt;&gt;"",EDATE($D44,Milestones!$AA$170)&gt;=$S44),$V44,$U44)))=Milestones!$AB$170),UPPER(TEXT(EDATE($D44,Milestones!$AA$170),"dd mmm yy"))&amp;" "&amp;Milestones!$AB$170&amp;" "&amp;Milestones!$AC$170&amp;";  ","")&amp;IF(AND(EDATE($D44,Milestones!$AA$171)&lt;=AsOfDate,IF($R44=0,$X44,IF(AND($T44&lt;&gt;"",EDATE($D44,Milestones!$AA$171)&gt;=$T44),$W44,IF(AND($S44&lt;&gt;"",EDATE($D44,Milestones!$AA$171)&gt;=$S44),$V44,$U44)))=Milestones!$AB$171),UPPER(TEXT(EDATE($D44,Milestones!$AA$171),"dd mmm yy"))&amp;" "&amp;Milestones!$AB$171&amp;" "&amp;Milestones!$AC$171&amp;";  ","")&amp;IF(AND(EDATE($D44,Milestones!$AA$172)&lt;=AsOfDate,IF($R44=0,$X44,IF(AND($T44&lt;&gt;"",EDATE($D44,Milestones!$AA$172)&gt;=$T44),$W44,IF(AND($S44&lt;&gt;"",EDATE($D44,Milestones!$AA$172)&gt;=$S44),$V44,$U44)))=Milestones!$AB$172),UPPER(TEXT(EDATE($D44,Milestones!$AA$172),"dd mmm yy"))&amp;" "&amp;Milestones!$AB$172&amp;" "&amp;Milestones!$AC$172&amp;";  ","")&amp;IF(AND(EDATE($D44,Milestones!$AA$173)&lt;=AsOfDate,IF($R44=0,$X44,IF(AND($T44&lt;&gt;"",EDATE($D44,Milestones!$AA$173)&gt;=$T44),$W44,IF(AND($S44&lt;&gt;"",EDATE($D44,Milestones!$AA$173)&gt;=$S44),$V44,$U44)))=Milestones!$AB$173),UPPER(TEXT(EDATE($D44,Milestones!$AA$173),"dd mmm yy"))&amp;" "&amp;Milestones!$AB$173&amp;" "&amp;Milestones!$AC$173&amp;";  ","")&amp;IF(AND(EDATE($D44,Milestones!$AA$174)&lt;=AsOfDate,IF($R44=0,$X44,IF(AND($T44&lt;&gt;"",EDATE($D44,Milestones!$AA$174)&gt;=$T44),$W44,IF(AND($S44&lt;&gt;"",EDATE($D44,Milestones!$AA$174)&gt;=$S44),$V44,$U44)))=Milestones!$AB$174),UPPER(TEXT(EDATE($D44,Milestones!$AA$174),"dd mmm yy"))&amp;" "&amp;Milestones!$AB$174&amp;" "&amp;Milestones!$AC$174&amp;";  ","")&amp;IF(AND(EDATE($D44,Milestones!$AA$175)&lt;=AsOfDate,IF($R44=0,$X44,IF(AND($T44&lt;&gt;"",EDATE($D44,Milestones!$AA$175)&gt;=$T44),$W44,IF(AND($S44&lt;&gt;"",EDATE($D44,Milestones!$AA$175)&gt;=$S44),$V44,$U44)))=Milestones!$AB$175),UPPER(TEXT(EDATE($D44,Milestones!$AA$175),"dd mmm yy"))&amp;" "&amp;Milestones!$AB$175&amp;" "&amp;Milestones!$AC$175&amp;";  ","")&amp;IF(AND(EDATE($D44,Milestones!$AA$176)&lt;=AsOfDate,IF($R44=0,$X44,IF(AND($T44&lt;&gt;"",EDATE($D44,Milestones!$AA$176)&gt;=$T44),$W44,IF(AND($S44&lt;&gt;"",EDATE($D44,Milestones!$AA$176)&gt;=$S44),$V44,$U44)))=Milestones!$AB$176),UPPER(TEXT(EDATE($D44,Milestones!$AA$176),"dd mmm yy"))&amp;" "&amp;Milestones!$AB$176&amp;" "&amp;Milestones!$AC$176&amp;";  ","")&amp;IF(AND(EDATE($D44,Milestones!$AA$177)&lt;=AsOfDate,IF($R44=0,$X44,IF(AND($T44&lt;&gt;"",EDATE($D44,Milestones!$AA$177)&gt;=$T44),$W44,IF(AND($S44&lt;&gt;"",EDATE($D44,Milestones!$AA$177)&gt;=$S44),$V44,$U44)))=Milestones!$AB$177),UPPER(TEXT(EDATE($D44,Milestones!$AA$177),"dd mmm yy"))&amp;" "&amp;Milestones!$AB$177&amp;" "&amp;Milestones!$AC$177&amp;";  ","")&amp;IF(AND(EDATE($D44,Milestones!$AA$178)&lt;=AsOfDate,IF($R44=0,$X44,IF(AND($T44&lt;&gt;"",EDATE($D44,Milestones!$AA$178)&gt;=$T44),$W44,IF(AND($S44&lt;&gt;"",EDATE($D44,Milestones!$AA$178)&gt;=$S44),$V44,$U44)))=Milestones!$AB$178),UPPER(TEXT(EDATE($D44,Milestones!$AA$178),"dd mmm yy"))&amp;" "&amp;Milestones!$AB$178&amp;" "&amp;Milestones!$AC$178&amp;";  ","")&amp;IF(AND(EDATE($D44,Milestones!$AA$179)&lt;=AsOfDate,IF($R44=0,$X44,IF(AND($T44&lt;&gt;"",EDATE($D44,Milestones!$AA$179)&gt;=$T44),$W44,IF(AND($S44&lt;&gt;"",EDATE($D44,Milestones!$AA$179)&gt;=$S44),$V44,$U44)))=Milestones!$AB$179),UPPER(TEXT(EDATE($D44,Milestones!$AA$179),"dd mmm yy"))&amp;" "&amp;Milestones!$AB$179&amp;" "&amp;Milestones!$AC$179&amp;";  ",""))</f>
        <v/>
      </c>
      <c r="Q44" s="0" t="str">
        <f aca="false">IF(OR($A44="",$D44=""),"",IF(AND(EDATE($D44,Milestones!$AA$180)&lt;=AsOfDate,IF($R44=0,$X44,IF(AND($T44&lt;&gt;"",EDATE($D44,Milestones!$AA$180)&gt;=$T44),$W44,IF(AND($S44&lt;&gt;"",EDATE($D44,Milestones!$AA$180)&gt;=$S44),$V44,$U44)))=Milestones!$AB$180),UPPER(TEXT(EDATE($D44,Milestones!$AA$180),"dd mmm yy"))&amp;" "&amp;Milestones!$AB$180&amp;" "&amp;Milestones!$AC$180&amp;";  ","")&amp;IF(AND(EDATE($D44,Milestones!$AA$181)&lt;=AsOfDate,IF($R44=0,$X44,IF(AND($T44&lt;&gt;"",EDATE($D44,Milestones!$AA$181)&gt;=$T44),$W44,IF(AND($S44&lt;&gt;"",EDATE($D44,Milestones!$AA$181)&gt;=$S44),$V44,$U44)))=Milestones!$AB$181),UPPER(TEXT(EDATE($D44,Milestones!$AA$181),"dd mmm yy"))&amp;" "&amp;Milestones!$AB$181&amp;" "&amp;Milestones!$AC$181&amp;";  ","")&amp;IF(AND(EDATE($D44,Milestones!$AA$182)&lt;=AsOfDate,IF($R44=0,$X44,IF(AND($T44&lt;&gt;"",EDATE($D44,Milestones!$AA$182)&gt;=$T44),$W44,IF(AND($S44&lt;&gt;"",EDATE($D44,Milestones!$AA$182)&gt;=$S44),$V44,$U44)))=Milestones!$AB$182),UPPER(TEXT(EDATE($D44,Milestones!$AA$182),"dd mmm yy"))&amp;" "&amp;Milestones!$AB$182&amp;" "&amp;Milestones!$AC$182&amp;";  ","")&amp;IF(AND(EDATE($D44,Milestones!$AA$183)&lt;=AsOfDate,IF($R44=0,$X44,IF(AND($T44&lt;&gt;"",EDATE($D44,Milestones!$AA$183)&gt;=$T44),$W44,IF(AND($S44&lt;&gt;"",EDATE($D44,Milestones!$AA$183)&gt;=$S44),$V44,$U44)))=Milestones!$AB$183),UPPER(TEXT(EDATE($D44,Milestones!$AA$183),"dd mmm yy"))&amp;" "&amp;Milestones!$AB$183&amp;" "&amp;Milestones!$AC$183&amp;";  ","")&amp;IF(AND(EDATE($D44,Milestones!$AA$184)&lt;=AsOfDate,IF($R44=0,$X44,IF(AND($T44&lt;&gt;"",EDATE($D44,Milestones!$AA$184)&gt;=$T44),$W44,IF(AND($S44&lt;&gt;"",EDATE($D44,Milestones!$AA$184)&gt;=$S44),$V44,$U44)))=Milestones!$AB$184),UPPER(TEXT(EDATE($D44,Milestones!$AA$184),"dd mmm yy"))&amp;" "&amp;Milestones!$AB$184&amp;" "&amp;Milestones!$AC$184&amp;";  ","")&amp;IF(AND(EDATE($D44,Milestones!$AA$185)&lt;=AsOfDate,IF($R44=0,$X44,IF(AND($T44&lt;&gt;"",EDATE($D44,Milestones!$AA$185)&gt;=$T44),$W44,IF(AND($S44&lt;&gt;"",EDATE($D44,Milestones!$AA$185)&gt;=$S44),$V44,$U44)))=Milestones!$AB$185),UPPER(TEXT(EDATE($D44,Milestones!$AA$185),"dd mmm yy"))&amp;" "&amp;Milestones!$AB$185&amp;" "&amp;Milestones!$AC$185&amp;";  ","")&amp;IF(AND(EDATE($D44,Milestones!$AA$186)&lt;=AsOfDate,IF($R44=0,$X44,IF(AND($T44&lt;&gt;"",EDATE($D44,Milestones!$AA$186)&gt;=$T44),$W44,IF(AND($S44&lt;&gt;"",EDATE($D44,Milestones!$AA$186)&gt;=$S44),$V44,$U44)))=Milestones!$AB$186),UPPER(TEXT(EDATE($D44,Milestones!$AA$186),"dd mmm yy"))&amp;" "&amp;Milestones!$AB$186&amp;" "&amp;Milestones!$AC$186&amp;";  ","")&amp;IF(AND(EDATE($D44,Milestones!$AA$187)&lt;=AsOfDate,IF($R44=0,$X44,IF(AND($T44&lt;&gt;"",EDATE($D44,Milestones!$AA$187)&gt;=$T44),$W44,IF(AND($S44&lt;&gt;"",EDATE($D44,Milestones!$AA$187)&gt;=$S44),$V44,$U44)))=Milestones!$AB$187),UPPER(TEXT(EDATE($D44,Milestones!$AA$187),"dd mmm yy"))&amp;" "&amp;Milestones!$AB$187&amp;" "&amp;Milestones!$AC$187&amp;";  ","")&amp;IF(AND(EDATE($D44,Milestones!$AA$188)&lt;=AsOfDate,IF($R44=0,$X44,IF(AND($T44&lt;&gt;"",EDATE($D44,Milestones!$AA$188)&gt;=$T44),$W44,IF(AND($S44&lt;&gt;"",EDATE($D44,Milestones!$AA$188)&gt;=$S44),$V44,$U44)))=Milestones!$AB$188),UPPER(TEXT(EDATE($D44,Milestones!$AA$188),"dd mmm yy"))&amp;" "&amp;Milestones!$AB$188&amp;" "&amp;Milestones!$AC$188&amp;";  ","")&amp;IF(AND(EDATE($D44,Milestones!$AA$189)&lt;=AsOfDate,IF($R44=0,$X44,IF(AND($T44&lt;&gt;"",EDATE($D44,Milestones!$AA$189)&gt;=$T44),$W44,IF(AND($S44&lt;&gt;"",EDATE($D44,Milestones!$AA$189)&gt;=$S44),$V44,$U44)))=Milestones!$AB$189),UPPER(TEXT(EDATE($D44,Milestones!$AA$189),"dd mmm yy"))&amp;" "&amp;Milestones!$AB$189&amp;" "&amp;Milestones!$AC$189&amp;";  ","")&amp;IF(AND(EDATE($D44,Milestones!$AA$190)&lt;=AsOfDate,IF($R44=0,$X44,IF(AND($T44&lt;&gt;"",EDATE($D44,Milestones!$AA$190)&gt;=$T44),$W44,IF(AND($S44&lt;&gt;"",EDATE($D44,Milestones!$AA$190)&gt;=$S44),$V44,$U44)))=Milestones!$AB$190),UPPER(TEXT(EDATE($D44,Milestones!$AA$190),"dd mmm yy"))&amp;" "&amp;Milestones!$AB$190&amp;" "&amp;Milestones!$AC$190&amp;";  ","")&amp;IF(AND(EDATE($D44,Milestones!$AA$191)&lt;=AsOfDate,IF($R44=0,$X44,IF(AND($T44&lt;&gt;"",EDATE($D44,Milestones!$AA$191)&gt;=$T44),$W44,IF(AND($S44&lt;&gt;"",EDATE($D44,Milestones!$AA$191)&gt;=$S44),$V44,$U44)))=Milestones!$AB$191),UPPER(TEXT(EDATE($D44,Milestones!$AA$191),"dd mmm yy"))&amp;" "&amp;Milestones!$AB$191&amp;" "&amp;Milestones!$AC$191&amp;";  ","")&amp;IF(AND(EDATE($D44,Milestones!$AA$192)&lt;=AsOfDate,IF($R44=0,$X44,IF(AND($T44&lt;&gt;"",EDATE($D44,Milestones!$AA$192)&gt;=$T44),$W44,IF(AND($S44&lt;&gt;"",EDATE($D44,Milestones!$AA$192)&gt;=$S44),$V44,$U44)))=Milestones!$AB$192),UPPER(TEXT(EDATE($D44,Milestones!$AA$192),"dd mmm yy"))&amp;" "&amp;Milestones!$AB$192&amp;" "&amp;Milestones!$AC$192&amp;";  ","")&amp;IF(AND(EDATE($D44,Milestones!$AA$193)&lt;=AsOfDate,IF($R44=0,$X44,IF(AND($T44&lt;&gt;"",EDATE($D44,Milestones!$AA$193)&gt;=$T44),$W44,IF(AND($S44&lt;&gt;"",EDATE($D44,Milestones!$AA$193)&gt;=$S44),$V44,$U44)))=Milestones!$AB$193),UPPER(TEXT(EDATE($D44,Milestones!$AA$193),"dd mmm yy"))&amp;" "&amp;Milestones!$AB$193&amp;" "&amp;Milestones!$AC$193&amp;";  ","")&amp;IF(AND(EDATE($D44,Milestones!$AA$194)&lt;=AsOfDate,IF($R44=0,$X44,IF(AND($T44&lt;&gt;"",EDATE($D44,Milestones!$AA$194)&gt;=$T44),$W44,IF(AND($S44&lt;&gt;"",EDATE($D44,Milestones!$AA$194)&gt;=$S44),$V44,$U44)))=Milestones!$AB$194),UPPER(TEXT(EDATE($D44,Milestones!$AA$194),"dd mmm yy"))&amp;" "&amp;Milestones!$AB$194&amp;" "&amp;Milestones!$AC$194&amp;";  ","")&amp;IF(AND(EDATE($D44,Milestones!$AA$195)&lt;=AsOfDate,IF($R44=0,$X44,IF(AND($T44&lt;&gt;"",EDATE($D44,Milestones!$AA$195)&gt;=$T44),$W44,IF(AND($S44&lt;&gt;"",EDATE($D44,Milestones!$AA$195)&gt;=$S44),$V44,$U44)))=Milestones!$AB$195),UPPER(TEXT(EDATE($D44,Milestones!$AA$195),"dd mmm yy"))&amp;" "&amp;Milestones!$AB$195&amp;" "&amp;Milestones!$AC$195&amp;";  ","")&amp;IF(AND(EDATE($D44,Milestones!$AA$196)&lt;=AsOfDate,IF($R44=0,$X44,IF(AND($T44&lt;&gt;"",EDATE($D44,Milestones!$AA$196)&gt;=$T44),$W44,IF(AND($S44&lt;&gt;"",EDATE($D44,Milestones!$AA$196)&gt;=$S44),$V44,$U44)))=Milestones!$AB$196),UPPER(TEXT(EDATE($D44,Milestones!$AA$196),"dd mmm yy"))&amp;" "&amp;Milestones!$AB$196&amp;" "&amp;Milestones!$AC$196&amp;";  ","")&amp;IF(AND(EDATE($D44,Milestones!$AA$197)&lt;=AsOfDate,IF($R44=0,$X44,IF(AND($T44&lt;&gt;"",EDATE($D44,Milestones!$AA$197)&gt;=$T44),$W44,IF(AND($S44&lt;&gt;"",EDATE($D44,Milestones!$AA$197)&gt;=$S44),$V44,$U44)))=Milestones!$AB$197),UPPER(TEXT(EDATE($D44,Milestones!$AA$197),"dd mmm yy"))&amp;" "&amp;Milestones!$AB$197&amp;" "&amp;Milestones!$AC$197&amp;";  ","")&amp;IF(AND(EDATE($D44,Milestones!$AA$198)&lt;=AsOfDate,IF($R44=0,$X44,IF(AND($T44&lt;&gt;"",EDATE($D44,Milestones!$AA$198)&gt;=$T44),$W44,IF(AND($S44&lt;&gt;"",EDATE($D44,Milestones!$AA$198)&gt;=$S44),$V44,$U44)))=Milestones!$AB$198),UPPER(TEXT(EDATE($D44,Milestones!$AA$198),"dd mmm yy"))&amp;" "&amp;Milestones!$AB$198&amp;" "&amp;Milestones!$AC$198&amp;";  ","")&amp;IF(AND(EDATE($D44,Milestones!$AA$199)&lt;=AsOfDate,IF($R44=0,$X44,IF(AND($T44&lt;&gt;"",EDATE($D44,Milestones!$AA$199)&gt;=$T44),$W44,IF(AND($S44&lt;&gt;"",EDATE($D44,Milestones!$AA$199)&gt;=$S44),$V44,$U44)))=Milestones!$AB$199),UPPER(TEXT(EDATE($D44,Milestones!$AA$199),"dd mmm yy"))&amp;" "&amp;Milestones!$AB$199&amp;" "&amp;Milestones!$AC$199&amp;";  ",""))</f>
        <v/>
      </c>
      <c r="R44" s="0" t="str">
        <f aca="false">IF(Staff!$A44="","",Staff!$AI44)</f>
        <v/>
      </c>
      <c r="S44" s="0" t="str">
        <f aca="false">IF(Staff!$A44="","",Staff!$AK44)</f>
        <v/>
      </c>
      <c r="T44" s="0" t="str">
        <f aca="false">IF(Staff!$A44="","",Staff!$AL44)</f>
        <v/>
      </c>
      <c r="U44" s="0" t="str">
        <f aca="false">IF(Staff!$A44="","",Staff!$AP44)</f>
        <v/>
      </c>
      <c r="V44" s="0" t="str">
        <f aca="false">IF(Staff!$A44="","",Staff!$AQ44)</f>
        <v/>
      </c>
      <c r="W44" s="0" t="str">
        <f aca="false">IF(Staff!$A44="","",Staff!$AR44)</f>
        <v/>
      </c>
      <c r="X44" s="0" t="str">
        <f aca="false">IF(Staff!$A44="","",Staff!$AS44)</f>
        <v/>
      </c>
    </row>
    <row r="45" customFormat="false" ht="15" hidden="false" customHeight="false" outlineLevel="0" collapsed="false">
      <c r="A45" s="14" t="str">
        <f aca="false">IF(Staff!$A45="","",Staff!$A45)</f>
        <v/>
      </c>
      <c r="B45" s="14" t="str">
        <f aca="false">IF(Staff!$A45="","",Staff!$B45)</f>
        <v/>
      </c>
      <c r="C45" s="14" t="str">
        <f aca="false">IF(Staff!$A45="","",Staff!$C45)</f>
        <v/>
      </c>
      <c r="D45" s="12" t="str">
        <f aca="false">IF(Staff!$A45="","",Staff!$AH45)</f>
        <v/>
      </c>
      <c r="E45" s="14" t="str">
        <f aca="false">IF(Staff!$A45="","",Staff!$O45)</f>
        <v/>
      </c>
      <c r="F45" s="14" t="str">
        <f aca="false">IF(E45="","",E45*HoursPerDay)</f>
        <v/>
      </c>
      <c r="G45" s="14" t="str">
        <f aca="false">IF(Staff!$A45="","",Staff!$AE45)</f>
        <v/>
      </c>
      <c r="H45" s="26" t="str">
        <f aca="false">IF($A45="","",I45&amp;J45&amp;K45&amp;L45&amp;M45&amp;N45&amp;O45&amp;P45&amp;Q45)</f>
        <v/>
      </c>
      <c r="I45" s="0" t="str">
        <f aca="false">IF(OR($A45="",$D45=""),"",IF(AND(EDATE($D45,Milestones!$AA$20)&lt;=AsOfDate,IF($R45=0,$X45,IF(AND($T45&lt;&gt;"",EDATE($D45,Milestones!$AA$20)&gt;=$T45),$W45,IF(AND($S45&lt;&gt;"",EDATE($D45,Milestones!$AA$20)&gt;=$S45),$V45,$U45)))=Milestones!$AB$20),UPPER(TEXT(EDATE($D45,Milestones!$AA$20),"dd mmm yy"))&amp;" "&amp;Milestones!$AB$20&amp;" "&amp;Milestones!$AC$20&amp;";  ","")&amp;IF(AND(EDATE($D45,Milestones!$AA$21)&lt;=AsOfDate,IF($R45=0,$X45,IF(AND($T45&lt;&gt;"",EDATE($D45,Milestones!$AA$21)&gt;=$T45),$W45,IF(AND($S45&lt;&gt;"",EDATE($D45,Milestones!$AA$21)&gt;=$S45),$V45,$U45)))=Milestones!$AB$21),UPPER(TEXT(EDATE($D45,Milestones!$AA$21),"dd mmm yy"))&amp;" "&amp;Milestones!$AB$21&amp;" "&amp;Milestones!$AC$21&amp;";  ","")&amp;IF(AND(EDATE($D45,Milestones!$AA$22)&lt;=AsOfDate,IF($R45=0,$X45,IF(AND($T45&lt;&gt;"",EDATE($D45,Milestones!$AA$22)&gt;=$T45),$W45,IF(AND($S45&lt;&gt;"",EDATE($D45,Milestones!$AA$22)&gt;=$S45),$V45,$U45)))=Milestones!$AB$22),UPPER(TEXT(EDATE($D45,Milestones!$AA$22),"dd mmm yy"))&amp;" "&amp;Milestones!$AB$22&amp;" "&amp;Milestones!$AC$22&amp;";  ","")&amp;IF(AND(EDATE($D45,Milestones!$AA$23)&lt;=AsOfDate,IF($R45=0,$X45,IF(AND($T45&lt;&gt;"",EDATE($D45,Milestones!$AA$23)&gt;=$T45),$W45,IF(AND($S45&lt;&gt;"",EDATE($D45,Milestones!$AA$23)&gt;=$S45),$V45,$U45)))=Milestones!$AB$23),UPPER(TEXT(EDATE($D45,Milestones!$AA$23),"dd mmm yy"))&amp;" "&amp;Milestones!$AB$23&amp;" "&amp;Milestones!$AC$23&amp;";  ","")&amp;IF(AND(EDATE($D45,Milestones!$AA$24)&lt;=AsOfDate,IF($R45=0,$X45,IF(AND($T45&lt;&gt;"",EDATE($D45,Milestones!$AA$24)&gt;=$T45),$W45,IF(AND($S45&lt;&gt;"",EDATE($D45,Milestones!$AA$24)&gt;=$S45),$V45,$U45)))=Milestones!$AB$24),UPPER(TEXT(EDATE($D45,Milestones!$AA$24),"dd mmm yy"))&amp;" "&amp;Milestones!$AB$24&amp;" "&amp;Milestones!$AC$24&amp;";  ","")&amp;IF(AND(EDATE($D45,Milestones!$AA$25)&lt;=AsOfDate,IF($R45=0,$X45,IF(AND($T45&lt;&gt;"",EDATE($D45,Milestones!$AA$25)&gt;=$T45),$W45,IF(AND($S45&lt;&gt;"",EDATE($D45,Milestones!$AA$25)&gt;=$S45),$V45,$U45)))=Milestones!$AB$25),UPPER(TEXT(EDATE($D45,Milestones!$AA$25),"dd mmm yy"))&amp;" "&amp;Milestones!$AB$25&amp;" "&amp;Milestones!$AC$25&amp;";  ","")&amp;IF(AND(EDATE($D45,Milestones!$AA$26)&lt;=AsOfDate,IF($R45=0,$X45,IF(AND($T45&lt;&gt;"",EDATE($D45,Milestones!$AA$26)&gt;=$T45),$W45,IF(AND($S45&lt;&gt;"",EDATE($D45,Milestones!$AA$26)&gt;=$S45),$V45,$U45)))=Milestones!$AB$26),UPPER(TEXT(EDATE($D45,Milestones!$AA$26),"dd mmm yy"))&amp;" "&amp;Milestones!$AB$26&amp;" "&amp;Milestones!$AC$26&amp;";  ","")&amp;IF(AND(EDATE($D45,Milestones!$AA$27)&lt;=AsOfDate,IF($R45=0,$X45,IF(AND($T45&lt;&gt;"",EDATE($D45,Milestones!$AA$27)&gt;=$T45),$W45,IF(AND($S45&lt;&gt;"",EDATE($D45,Milestones!$AA$27)&gt;=$S45),$V45,$U45)))=Milestones!$AB$27),UPPER(TEXT(EDATE($D45,Milestones!$AA$27),"dd mmm yy"))&amp;" "&amp;Milestones!$AB$27&amp;" "&amp;Milestones!$AC$27&amp;";  ","")&amp;IF(AND(EDATE($D45,Milestones!$AA$28)&lt;=AsOfDate,IF($R45=0,$X45,IF(AND($T45&lt;&gt;"",EDATE($D45,Milestones!$AA$28)&gt;=$T45),$W45,IF(AND($S45&lt;&gt;"",EDATE($D45,Milestones!$AA$28)&gt;=$S45),$V45,$U45)))=Milestones!$AB$28),UPPER(TEXT(EDATE($D45,Milestones!$AA$28),"dd mmm yy"))&amp;" "&amp;Milestones!$AB$28&amp;" "&amp;Milestones!$AC$28&amp;";  ","")&amp;IF(AND(EDATE($D45,Milestones!$AA$29)&lt;=AsOfDate,IF($R45=0,$X45,IF(AND($T45&lt;&gt;"",EDATE($D45,Milestones!$AA$29)&gt;=$T45),$W45,IF(AND($S45&lt;&gt;"",EDATE($D45,Milestones!$AA$29)&gt;=$S45),$V45,$U45)))=Milestones!$AB$29),UPPER(TEXT(EDATE($D45,Milestones!$AA$29),"dd mmm yy"))&amp;" "&amp;Milestones!$AB$29&amp;" "&amp;Milestones!$AC$29&amp;";  ","")&amp;IF(AND(EDATE($D45,Milestones!$AA$30)&lt;=AsOfDate,IF($R45=0,$X45,IF(AND($T45&lt;&gt;"",EDATE($D45,Milestones!$AA$30)&gt;=$T45),$W45,IF(AND($S45&lt;&gt;"",EDATE($D45,Milestones!$AA$30)&gt;=$S45),$V45,$U45)))=Milestones!$AB$30),UPPER(TEXT(EDATE($D45,Milestones!$AA$30),"dd mmm yy"))&amp;" "&amp;Milestones!$AB$30&amp;" "&amp;Milestones!$AC$30&amp;";  ","")&amp;IF(AND(EDATE($D45,Milestones!$AA$31)&lt;=AsOfDate,IF($R45=0,$X45,IF(AND($T45&lt;&gt;"",EDATE($D45,Milestones!$AA$31)&gt;=$T45),$W45,IF(AND($S45&lt;&gt;"",EDATE($D45,Milestones!$AA$31)&gt;=$S45),$V45,$U45)))=Milestones!$AB$31),UPPER(TEXT(EDATE($D45,Milestones!$AA$31),"dd mmm yy"))&amp;" "&amp;Milestones!$AB$31&amp;" "&amp;Milestones!$AC$31&amp;";  ","")&amp;IF(AND(EDATE($D45,Milestones!$AA$32)&lt;=AsOfDate,IF($R45=0,$X45,IF(AND($T45&lt;&gt;"",EDATE($D45,Milestones!$AA$32)&gt;=$T45),$W45,IF(AND($S45&lt;&gt;"",EDATE($D45,Milestones!$AA$32)&gt;=$S45),$V45,$U45)))=Milestones!$AB$32),UPPER(TEXT(EDATE($D45,Milestones!$AA$32),"dd mmm yy"))&amp;" "&amp;Milestones!$AB$32&amp;" "&amp;Milestones!$AC$32&amp;";  ","")&amp;IF(AND(EDATE($D45,Milestones!$AA$33)&lt;=AsOfDate,IF($R45=0,$X45,IF(AND($T45&lt;&gt;"",EDATE($D45,Milestones!$AA$33)&gt;=$T45),$W45,IF(AND($S45&lt;&gt;"",EDATE($D45,Milestones!$AA$33)&gt;=$S45),$V45,$U45)))=Milestones!$AB$33),UPPER(TEXT(EDATE($D45,Milestones!$AA$33),"dd mmm yy"))&amp;" "&amp;Milestones!$AB$33&amp;" "&amp;Milestones!$AC$33&amp;";  ","")&amp;IF(AND(EDATE($D45,Milestones!$AA$34)&lt;=AsOfDate,IF($R45=0,$X45,IF(AND($T45&lt;&gt;"",EDATE($D45,Milestones!$AA$34)&gt;=$T45),$W45,IF(AND($S45&lt;&gt;"",EDATE($D45,Milestones!$AA$34)&gt;=$S45),$V45,$U45)))=Milestones!$AB$34),UPPER(TEXT(EDATE($D45,Milestones!$AA$34),"dd mmm yy"))&amp;" "&amp;Milestones!$AB$34&amp;" "&amp;Milestones!$AC$34&amp;";  ","")&amp;IF(AND(EDATE($D45,Milestones!$AA$35)&lt;=AsOfDate,IF($R45=0,$X45,IF(AND($T45&lt;&gt;"",EDATE($D45,Milestones!$AA$35)&gt;=$T45),$W45,IF(AND($S45&lt;&gt;"",EDATE($D45,Milestones!$AA$35)&gt;=$S45),$V45,$U45)))=Milestones!$AB$35),UPPER(TEXT(EDATE($D45,Milestones!$AA$35),"dd mmm yy"))&amp;" "&amp;Milestones!$AB$35&amp;" "&amp;Milestones!$AC$35&amp;";  ","")&amp;IF(AND(EDATE($D45,Milestones!$AA$36)&lt;=AsOfDate,IF($R45=0,$X45,IF(AND($T45&lt;&gt;"",EDATE($D45,Milestones!$AA$36)&gt;=$T45),$W45,IF(AND($S45&lt;&gt;"",EDATE($D45,Milestones!$AA$36)&gt;=$S45),$V45,$U45)))=Milestones!$AB$36),UPPER(TEXT(EDATE($D45,Milestones!$AA$36),"dd mmm yy"))&amp;" "&amp;Milestones!$AB$36&amp;" "&amp;Milestones!$AC$36&amp;";  ","")&amp;IF(AND(EDATE($D45,Milestones!$AA$37)&lt;=AsOfDate,IF($R45=0,$X45,IF(AND($T45&lt;&gt;"",EDATE($D45,Milestones!$AA$37)&gt;=$T45),$W45,IF(AND($S45&lt;&gt;"",EDATE($D45,Milestones!$AA$37)&gt;=$S45),$V45,$U45)))=Milestones!$AB$37),UPPER(TEXT(EDATE($D45,Milestones!$AA$37),"dd mmm yy"))&amp;" "&amp;Milestones!$AB$37&amp;" "&amp;Milestones!$AC$37&amp;";  ","")&amp;IF(AND(EDATE($D45,Milestones!$AA$38)&lt;=AsOfDate,IF($R45=0,$X45,IF(AND($T45&lt;&gt;"",EDATE($D45,Milestones!$AA$38)&gt;=$T45),$W45,IF(AND($S45&lt;&gt;"",EDATE($D45,Milestones!$AA$38)&gt;=$S45),$V45,$U45)))=Milestones!$AB$38),UPPER(TEXT(EDATE($D45,Milestones!$AA$38),"dd mmm yy"))&amp;" "&amp;Milestones!$AB$38&amp;" "&amp;Milestones!$AC$38&amp;";  ","")&amp;IF(AND(EDATE($D45,Milestones!$AA$39)&lt;=AsOfDate,IF($R45=0,$X45,IF(AND($T45&lt;&gt;"",EDATE($D45,Milestones!$AA$39)&gt;=$T45),$W45,IF(AND($S45&lt;&gt;"",EDATE($D45,Milestones!$AA$39)&gt;=$S45),$V45,$U45)))=Milestones!$AB$39),UPPER(TEXT(EDATE($D45,Milestones!$AA$39),"dd mmm yy"))&amp;" "&amp;Milestones!$AB$39&amp;" "&amp;Milestones!$AC$39&amp;";  ",""))</f>
        <v/>
      </c>
      <c r="J45" s="0" t="str">
        <f aca="false">IF(OR($A45="",$D45=""),"",IF(AND(EDATE($D45,Milestones!$AA$40)&lt;=AsOfDate,IF($R45=0,$X45,IF(AND($T45&lt;&gt;"",EDATE($D45,Milestones!$AA$40)&gt;=$T45),$W45,IF(AND($S45&lt;&gt;"",EDATE($D45,Milestones!$AA$40)&gt;=$S45),$V45,$U45)))=Milestones!$AB$40),UPPER(TEXT(EDATE($D45,Milestones!$AA$40),"dd mmm yy"))&amp;" "&amp;Milestones!$AB$40&amp;" "&amp;Milestones!$AC$40&amp;";  ","")&amp;IF(AND(EDATE($D45,Milestones!$AA$41)&lt;=AsOfDate,IF($R45=0,$X45,IF(AND($T45&lt;&gt;"",EDATE($D45,Milestones!$AA$41)&gt;=$T45),$W45,IF(AND($S45&lt;&gt;"",EDATE($D45,Milestones!$AA$41)&gt;=$S45),$V45,$U45)))=Milestones!$AB$41),UPPER(TEXT(EDATE($D45,Milestones!$AA$41),"dd mmm yy"))&amp;" "&amp;Milestones!$AB$41&amp;" "&amp;Milestones!$AC$41&amp;";  ","")&amp;IF(AND(EDATE($D45,Milestones!$AA$42)&lt;=AsOfDate,IF($R45=0,$X45,IF(AND($T45&lt;&gt;"",EDATE($D45,Milestones!$AA$42)&gt;=$T45),$W45,IF(AND($S45&lt;&gt;"",EDATE($D45,Milestones!$AA$42)&gt;=$S45),$V45,$U45)))=Milestones!$AB$42),UPPER(TEXT(EDATE($D45,Milestones!$AA$42),"dd mmm yy"))&amp;" "&amp;Milestones!$AB$42&amp;" "&amp;Milestones!$AC$42&amp;";  ","")&amp;IF(AND(EDATE($D45,Milestones!$AA$43)&lt;=AsOfDate,IF($R45=0,$X45,IF(AND($T45&lt;&gt;"",EDATE($D45,Milestones!$AA$43)&gt;=$T45),$W45,IF(AND($S45&lt;&gt;"",EDATE($D45,Milestones!$AA$43)&gt;=$S45),$V45,$U45)))=Milestones!$AB$43),UPPER(TEXT(EDATE($D45,Milestones!$AA$43),"dd mmm yy"))&amp;" "&amp;Milestones!$AB$43&amp;" "&amp;Milestones!$AC$43&amp;";  ","")&amp;IF(AND(EDATE($D45,Milestones!$AA$44)&lt;=AsOfDate,IF($R45=0,$X45,IF(AND($T45&lt;&gt;"",EDATE($D45,Milestones!$AA$44)&gt;=$T45),$W45,IF(AND($S45&lt;&gt;"",EDATE($D45,Milestones!$AA$44)&gt;=$S45),$V45,$U45)))=Milestones!$AB$44),UPPER(TEXT(EDATE($D45,Milestones!$AA$44),"dd mmm yy"))&amp;" "&amp;Milestones!$AB$44&amp;" "&amp;Milestones!$AC$44&amp;";  ","")&amp;IF(AND(EDATE($D45,Milestones!$AA$45)&lt;=AsOfDate,IF($R45=0,$X45,IF(AND($T45&lt;&gt;"",EDATE($D45,Milestones!$AA$45)&gt;=$T45),$W45,IF(AND($S45&lt;&gt;"",EDATE($D45,Milestones!$AA$45)&gt;=$S45),$V45,$U45)))=Milestones!$AB$45),UPPER(TEXT(EDATE($D45,Milestones!$AA$45),"dd mmm yy"))&amp;" "&amp;Milestones!$AB$45&amp;" "&amp;Milestones!$AC$45&amp;";  ","")&amp;IF(AND(EDATE($D45,Milestones!$AA$46)&lt;=AsOfDate,IF($R45=0,$X45,IF(AND($T45&lt;&gt;"",EDATE($D45,Milestones!$AA$46)&gt;=$T45),$W45,IF(AND($S45&lt;&gt;"",EDATE($D45,Milestones!$AA$46)&gt;=$S45),$V45,$U45)))=Milestones!$AB$46),UPPER(TEXT(EDATE($D45,Milestones!$AA$46),"dd mmm yy"))&amp;" "&amp;Milestones!$AB$46&amp;" "&amp;Milestones!$AC$46&amp;";  ","")&amp;IF(AND(EDATE($D45,Milestones!$AA$47)&lt;=AsOfDate,IF($R45=0,$X45,IF(AND($T45&lt;&gt;"",EDATE($D45,Milestones!$AA$47)&gt;=$T45),$W45,IF(AND($S45&lt;&gt;"",EDATE($D45,Milestones!$AA$47)&gt;=$S45),$V45,$U45)))=Milestones!$AB$47),UPPER(TEXT(EDATE($D45,Milestones!$AA$47),"dd mmm yy"))&amp;" "&amp;Milestones!$AB$47&amp;" "&amp;Milestones!$AC$47&amp;";  ","")&amp;IF(AND(EDATE($D45,Milestones!$AA$48)&lt;=AsOfDate,IF($R45=0,$X45,IF(AND($T45&lt;&gt;"",EDATE($D45,Milestones!$AA$48)&gt;=$T45),$W45,IF(AND($S45&lt;&gt;"",EDATE($D45,Milestones!$AA$48)&gt;=$S45),$V45,$U45)))=Milestones!$AB$48),UPPER(TEXT(EDATE($D45,Milestones!$AA$48),"dd mmm yy"))&amp;" "&amp;Milestones!$AB$48&amp;" "&amp;Milestones!$AC$48&amp;";  ","")&amp;IF(AND(EDATE($D45,Milestones!$AA$49)&lt;=AsOfDate,IF($R45=0,$X45,IF(AND($T45&lt;&gt;"",EDATE($D45,Milestones!$AA$49)&gt;=$T45),$W45,IF(AND($S45&lt;&gt;"",EDATE($D45,Milestones!$AA$49)&gt;=$S45),$V45,$U45)))=Milestones!$AB$49),UPPER(TEXT(EDATE($D45,Milestones!$AA$49),"dd mmm yy"))&amp;" "&amp;Milestones!$AB$49&amp;" "&amp;Milestones!$AC$49&amp;";  ","")&amp;IF(AND(EDATE($D45,Milestones!$AA$50)&lt;=AsOfDate,IF($R45=0,$X45,IF(AND($T45&lt;&gt;"",EDATE($D45,Milestones!$AA$50)&gt;=$T45),$W45,IF(AND($S45&lt;&gt;"",EDATE($D45,Milestones!$AA$50)&gt;=$S45),$V45,$U45)))=Milestones!$AB$50),UPPER(TEXT(EDATE($D45,Milestones!$AA$50),"dd mmm yy"))&amp;" "&amp;Milestones!$AB$50&amp;" "&amp;Milestones!$AC$50&amp;";  ","")&amp;IF(AND(EDATE($D45,Milestones!$AA$51)&lt;=AsOfDate,IF($R45=0,$X45,IF(AND($T45&lt;&gt;"",EDATE($D45,Milestones!$AA$51)&gt;=$T45),$W45,IF(AND($S45&lt;&gt;"",EDATE($D45,Milestones!$AA$51)&gt;=$S45),$V45,$U45)))=Milestones!$AB$51),UPPER(TEXT(EDATE($D45,Milestones!$AA$51),"dd mmm yy"))&amp;" "&amp;Milestones!$AB$51&amp;" "&amp;Milestones!$AC$51&amp;";  ","")&amp;IF(AND(EDATE($D45,Milestones!$AA$52)&lt;=AsOfDate,IF($R45=0,$X45,IF(AND($T45&lt;&gt;"",EDATE($D45,Milestones!$AA$52)&gt;=$T45),$W45,IF(AND($S45&lt;&gt;"",EDATE($D45,Milestones!$AA$52)&gt;=$S45),$V45,$U45)))=Milestones!$AB$52),UPPER(TEXT(EDATE($D45,Milestones!$AA$52),"dd mmm yy"))&amp;" "&amp;Milestones!$AB$52&amp;" "&amp;Milestones!$AC$52&amp;";  ","")&amp;IF(AND(EDATE($D45,Milestones!$AA$53)&lt;=AsOfDate,IF($R45=0,$X45,IF(AND($T45&lt;&gt;"",EDATE($D45,Milestones!$AA$53)&gt;=$T45),$W45,IF(AND($S45&lt;&gt;"",EDATE($D45,Milestones!$AA$53)&gt;=$S45),$V45,$U45)))=Milestones!$AB$53),UPPER(TEXT(EDATE($D45,Milestones!$AA$53),"dd mmm yy"))&amp;" "&amp;Milestones!$AB$53&amp;" "&amp;Milestones!$AC$53&amp;";  ","")&amp;IF(AND(EDATE($D45,Milestones!$AA$54)&lt;=AsOfDate,IF($R45=0,$X45,IF(AND($T45&lt;&gt;"",EDATE($D45,Milestones!$AA$54)&gt;=$T45),$W45,IF(AND($S45&lt;&gt;"",EDATE($D45,Milestones!$AA$54)&gt;=$S45),$V45,$U45)))=Milestones!$AB$54),UPPER(TEXT(EDATE($D45,Milestones!$AA$54),"dd mmm yy"))&amp;" "&amp;Milestones!$AB$54&amp;" "&amp;Milestones!$AC$54&amp;";  ","")&amp;IF(AND(EDATE($D45,Milestones!$AA$55)&lt;=AsOfDate,IF($R45=0,$X45,IF(AND($T45&lt;&gt;"",EDATE($D45,Milestones!$AA$55)&gt;=$T45),$W45,IF(AND($S45&lt;&gt;"",EDATE($D45,Milestones!$AA$55)&gt;=$S45),$V45,$U45)))=Milestones!$AB$55),UPPER(TEXT(EDATE($D45,Milestones!$AA$55),"dd mmm yy"))&amp;" "&amp;Milestones!$AB$55&amp;" "&amp;Milestones!$AC$55&amp;";  ","")&amp;IF(AND(EDATE($D45,Milestones!$AA$56)&lt;=AsOfDate,IF($R45=0,$X45,IF(AND($T45&lt;&gt;"",EDATE($D45,Milestones!$AA$56)&gt;=$T45),$W45,IF(AND($S45&lt;&gt;"",EDATE($D45,Milestones!$AA$56)&gt;=$S45),$V45,$U45)))=Milestones!$AB$56),UPPER(TEXT(EDATE($D45,Milestones!$AA$56),"dd mmm yy"))&amp;" "&amp;Milestones!$AB$56&amp;" "&amp;Milestones!$AC$56&amp;";  ","")&amp;IF(AND(EDATE($D45,Milestones!$AA$57)&lt;=AsOfDate,IF($R45=0,$X45,IF(AND($T45&lt;&gt;"",EDATE($D45,Milestones!$AA$57)&gt;=$T45),$W45,IF(AND($S45&lt;&gt;"",EDATE($D45,Milestones!$AA$57)&gt;=$S45),$V45,$U45)))=Milestones!$AB$57),UPPER(TEXT(EDATE($D45,Milestones!$AA$57),"dd mmm yy"))&amp;" "&amp;Milestones!$AB$57&amp;" "&amp;Milestones!$AC$57&amp;";  ","")&amp;IF(AND(EDATE($D45,Milestones!$AA$58)&lt;=AsOfDate,IF($R45=0,$X45,IF(AND($T45&lt;&gt;"",EDATE($D45,Milestones!$AA$58)&gt;=$T45),$W45,IF(AND($S45&lt;&gt;"",EDATE($D45,Milestones!$AA$58)&gt;=$S45),$V45,$U45)))=Milestones!$AB$58),UPPER(TEXT(EDATE($D45,Milestones!$AA$58),"dd mmm yy"))&amp;" "&amp;Milestones!$AB$58&amp;" "&amp;Milestones!$AC$58&amp;";  ","")&amp;IF(AND(EDATE($D45,Milestones!$AA$59)&lt;=AsOfDate,IF($R45=0,$X45,IF(AND($T45&lt;&gt;"",EDATE($D45,Milestones!$AA$59)&gt;=$T45),$W45,IF(AND($S45&lt;&gt;"",EDATE($D45,Milestones!$AA$59)&gt;=$S45),$V45,$U45)))=Milestones!$AB$59),UPPER(TEXT(EDATE($D45,Milestones!$AA$59),"dd mmm yy"))&amp;" "&amp;Milestones!$AB$59&amp;" "&amp;Milestones!$AC$59&amp;";  ",""))</f>
        <v/>
      </c>
      <c r="K45" s="0" t="str">
        <f aca="false">IF(OR($A45="",$D45=""),"",IF(AND(EDATE($D45,Milestones!$AA$60)&lt;=AsOfDate,IF($R45=0,$X45,IF(AND($T45&lt;&gt;"",EDATE($D45,Milestones!$AA$60)&gt;=$T45),$W45,IF(AND($S45&lt;&gt;"",EDATE($D45,Milestones!$AA$60)&gt;=$S45),$V45,$U45)))=Milestones!$AB$60),UPPER(TEXT(EDATE($D45,Milestones!$AA$60),"dd mmm yy"))&amp;" "&amp;Milestones!$AB$60&amp;" "&amp;Milestones!$AC$60&amp;";  ","")&amp;IF(AND(EDATE($D45,Milestones!$AA$61)&lt;=AsOfDate,IF($R45=0,$X45,IF(AND($T45&lt;&gt;"",EDATE($D45,Milestones!$AA$61)&gt;=$T45),$W45,IF(AND($S45&lt;&gt;"",EDATE($D45,Milestones!$AA$61)&gt;=$S45),$V45,$U45)))=Milestones!$AB$61),UPPER(TEXT(EDATE($D45,Milestones!$AA$61),"dd mmm yy"))&amp;" "&amp;Milestones!$AB$61&amp;" "&amp;Milestones!$AC$61&amp;";  ","")&amp;IF(AND(EDATE($D45,Milestones!$AA$62)&lt;=AsOfDate,IF($R45=0,$X45,IF(AND($T45&lt;&gt;"",EDATE($D45,Milestones!$AA$62)&gt;=$T45),$W45,IF(AND($S45&lt;&gt;"",EDATE($D45,Milestones!$AA$62)&gt;=$S45),$V45,$U45)))=Milestones!$AB$62),UPPER(TEXT(EDATE($D45,Milestones!$AA$62),"dd mmm yy"))&amp;" "&amp;Milestones!$AB$62&amp;" "&amp;Milestones!$AC$62&amp;";  ","")&amp;IF(AND(EDATE($D45,Milestones!$AA$63)&lt;=AsOfDate,IF($R45=0,$X45,IF(AND($T45&lt;&gt;"",EDATE($D45,Milestones!$AA$63)&gt;=$T45),$W45,IF(AND($S45&lt;&gt;"",EDATE($D45,Milestones!$AA$63)&gt;=$S45),$V45,$U45)))=Milestones!$AB$63),UPPER(TEXT(EDATE($D45,Milestones!$AA$63),"dd mmm yy"))&amp;" "&amp;Milestones!$AB$63&amp;" "&amp;Milestones!$AC$63&amp;";  ","")&amp;IF(AND(EDATE($D45,Milestones!$AA$64)&lt;=AsOfDate,IF($R45=0,$X45,IF(AND($T45&lt;&gt;"",EDATE($D45,Milestones!$AA$64)&gt;=$T45),$W45,IF(AND($S45&lt;&gt;"",EDATE($D45,Milestones!$AA$64)&gt;=$S45),$V45,$U45)))=Milestones!$AB$64),UPPER(TEXT(EDATE($D45,Milestones!$AA$64),"dd mmm yy"))&amp;" "&amp;Milestones!$AB$64&amp;" "&amp;Milestones!$AC$64&amp;";  ","")&amp;IF(AND(EDATE($D45,Milestones!$AA$65)&lt;=AsOfDate,IF($R45=0,$X45,IF(AND($T45&lt;&gt;"",EDATE($D45,Milestones!$AA$65)&gt;=$T45),$W45,IF(AND($S45&lt;&gt;"",EDATE($D45,Milestones!$AA$65)&gt;=$S45),$V45,$U45)))=Milestones!$AB$65),UPPER(TEXT(EDATE($D45,Milestones!$AA$65),"dd mmm yy"))&amp;" "&amp;Milestones!$AB$65&amp;" "&amp;Milestones!$AC$65&amp;";  ","")&amp;IF(AND(EDATE($D45,Milestones!$AA$66)&lt;=AsOfDate,IF($R45=0,$X45,IF(AND($T45&lt;&gt;"",EDATE($D45,Milestones!$AA$66)&gt;=$T45),$W45,IF(AND($S45&lt;&gt;"",EDATE($D45,Milestones!$AA$66)&gt;=$S45),$V45,$U45)))=Milestones!$AB$66),UPPER(TEXT(EDATE($D45,Milestones!$AA$66),"dd mmm yy"))&amp;" "&amp;Milestones!$AB$66&amp;" "&amp;Milestones!$AC$66&amp;";  ","")&amp;IF(AND(EDATE($D45,Milestones!$AA$67)&lt;=AsOfDate,IF($R45=0,$X45,IF(AND($T45&lt;&gt;"",EDATE($D45,Milestones!$AA$67)&gt;=$T45),$W45,IF(AND($S45&lt;&gt;"",EDATE($D45,Milestones!$AA$67)&gt;=$S45),$V45,$U45)))=Milestones!$AB$67),UPPER(TEXT(EDATE($D45,Milestones!$AA$67),"dd mmm yy"))&amp;" "&amp;Milestones!$AB$67&amp;" "&amp;Milestones!$AC$67&amp;";  ","")&amp;IF(AND(EDATE($D45,Milestones!$AA$68)&lt;=AsOfDate,IF($R45=0,$X45,IF(AND($T45&lt;&gt;"",EDATE($D45,Milestones!$AA$68)&gt;=$T45),$W45,IF(AND($S45&lt;&gt;"",EDATE($D45,Milestones!$AA$68)&gt;=$S45),$V45,$U45)))=Milestones!$AB$68),UPPER(TEXT(EDATE($D45,Milestones!$AA$68),"dd mmm yy"))&amp;" "&amp;Milestones!$AB$68&amp;" "&amp;Milestones!$AC$68&amp;";  ","")&amp;IF(AND(EDATE($D45,Milestones!$AA$69)&lt;=AsOfDate,IF($R45=0,$X45,IF(AND($T45&lt;&gt;"",EDATE($D45,Milestones!$AA$69)&gt;=$T45),$W45,IF(AND($S45&lt;&gt;"",EDATE($D45,Milestones!$AA$69)&gt;=$S45),$V45,$U45)))=Milestones!$AB$69),UPPER(TEXT(EDATE($D45,Milestones!$AA$69),"dd mmm yy"))&amp;" "&amp;Milestones!$AB$69&amp;" "&amp;Milestones!$AC$69&amp;";  ","")&amp;IF(AND(EDATE($D45,Milestones!$AA$70)&lt;=AsOfDate,IF($R45=0,$X45,IF(AND($T45&lt;&gt;"",EDATE($D45,Milestones!$AA$70)&gt;=$T45),$W45,IF(AND($S45&lt;&gt;"",EDATE($D45,Milestones!$AA$70)&gt;=$S45),$V45,$U45)))=Milestones!$AB$70),UPPER(TEXT(EDATE($D45,Milestones!$AA$70),"dd mmm yy"))&amp;" "&amp;Milestones!$AB$70&amp;" "&amp;Milestones!$AC$70&amp;";  ","")&amp;IF(AND(EDATE($D45,Milestones!$AA$71)&lt;=AsOfDate,IF($R45=0,$X45,IF(AND($T45&lt;&gt;"",EDATE($D45,Milestones!$AA$71)&gt;=$T45),$W45,IF(AND($S45&lt;&gt;"",EDATE($D45,Milestones!$AA$71)&gt;=$S45),$V45,$U45)))=Milestones!$AB$71),UPPER(TEXT(EDATE($D45,Milestones!$AA$71),"dd mmm yy"))&amp;" "&amp;Milestones!$AB$71&amp;" "&amp;Milestones!$AC$71&amp;";  ","")&amp;IF(AND(EDATE($D45,Milestones!$AA$72)&lt;=AsOfDate,IF($R45=0,$X45,IF(AND($T45&lt;&gt;"",EDATE($D45,Milestones!$AA$72)&gt;=$T45),$W45,IF(AND($S45&lt;&gt;"",EDATE($D45,Milestones!$AA$72)&gt;=$S45),$V45,$U45)))=Milestones!$AB$72),UPPER(TEXT(EDATE($D45,Milestones!$AA$72),"dd mmm yy"))&amp;" "&amp;Milestones!$AB$72&amp;" "&amp;Milestones!$AC$72&amp;";  ","")&amp;IF(AND(EDATE($D45,Milestones!$AA$73)&lt;=AsOfDate,IF($R45=0,$X45,IF(AND($T45&lt;&gt;"",EDATE($D45,Milestones!$AA$73)&gt;=$T45),$W45,IF(AND($S45&lt;&gt;"",EDATE($D45,Milestones!$AA$73)&gt;=$S45),$V45,$U45)))=Milestones!$AB$73),UPPER(TEXT(EDATE($D45,Milestones!$AA$73),"dd mmm yy"))&amp;" "&amp;Milestones!$AB$73&amp;" "&amp;Milestones!$AC$73&amp;";  ","")&amp;IF(AND(EDATE($D45,Milestones!$AA$74)&lt;=AsOfDate,IF($R45=0,$X45,IF(AND($T45&lt;&gt;"",EDATE($D45,Milestones!$AA$74)&gt;=$T45),$W45,IF(AND($S45&lt;&gt;"",EDATE($D45,Milestones!$AA$74)&gt;=$S45),$V45,$U45)))=Milestones!$AB$74),UPPER(TEXT(EDATE($D45,Milestones!$AA$74),"dd mmm yy"))&amp;" "&amp;Milestones!$AB$74&amp;" "&amp;Milestones!$AC$74&amp;";  ","")&amp;IF(AND(EDATE($D45,Milestones!$AA$75)&lt;=AsOfDate,IF($R45=0,$X45,IF(AND($T45&lt;&gt;"",EDATE($D45,Milestones!$AA$75)&gt;=$T45),$W45,IF(AND($S45&lt;&gt;"",EDATE($D45,Milestones!$AA$75)&gt;=$S45),$V45,$U45)))=Milestones!$AB$75),UPPER(TEXT(EDATE($D45,Milestones!$AA$75),"dd mmm yy"))&amp;" "&amp;Milestones!$AB$75&amp;" "&amp;Milestones!$AC$75&amp;";  ","")&amp;IF(AND(EDATE($D45,Milestones!$AA$76)&lt;=AsOfDate,IF($R45=0,$X45,IF(AND($T45&lt;&gt;"",EDATE($D45,Milestones!$AA$76)&gt;=$T45),$W45,IF(AND($S45&lt;&gt;"",EDATE($D45,Milestones!$AA$76)&gt;=$S45),$V45,$U45)))=Milestones!$AB$76),UPPER(TEXT(EDATE($D45,Milestones!$AA$76),"dd mmm yy"))&amp;" "&amp;Milestones!$AB$76&amp;" "&amp;Milestones!$AC$76&amp;";  ","")&amp;IF(AND(EDATE($D45,Milestones!$AA$77)&lt;=AsOfDate,IF($R45=0,$X45,IF(AND($T45&lt;&gt;"",EDATE($D45,Milestones!$AA$77)&gt;=$T45),$W45,IF(AND($S45&lt;&gt;"",EDATE($D45,Milestones!$AA$77)&gt;=$S45),$V45,$U45)))=Milestones!$AB$77),UPPER(TEXT(EDATE($D45,Milestones!$AA$77),"dd mmm yy"))&amp;" "&amp;Milestones!$AB$77&amp;" "&amp;Milestones!$AC$77&amp;";  ","")&amp;IF(AND(EDATE($D45,Milestones!$AA$78)&lt;=AsOfDate,IF($R45=0,$X45,IF(AND($T45&lt;&gt;"",EDATE($D45,Milestones!$AA$78)&gt;=$T45),$W45,IF(AND($S45&lt;&gt;"",EDATE($D45,Milestones!$AA$78)&gt;=$S45),$V45,$U45)))=Milestones!$AB$78),UPPER(TEXT(EDATE($D45,Milestones!$AA$78),"dd mmm yy"))&amp;" "&amp;Milestones!$AB$78&amp;" "&amp;Milestones!$AC$78&amp;";  ","")&amp;IF(AND(EDATE($D45,Milestones!$AA$79)&lt;=AsOfDate,IF($R45=0,$X45,IF(AND($T45&lt;&gt;"",EDATE($D45,Milestones!$AA$79)&gt;=$T45),$W45,IF(AND($S45&lt;&gt;"",EDATE($D45,Milestones!$AA$79)&gt;=$S45),$V45,$U45)))=Milestones!$AB$79),UPPER(TEXT(EDATE($D45,Milestones!$AA$79),"dd mmm yy"))&amp;" "&amp;Milestones!$AB$79&amp;" "&amp;Milestones!$AC$79&amp;";  ",""))</f>
        <v/>
      </c>
      <c r="L45" s="0" t="str">
        <f aca="false">IF(OR($A45="",$D45=""),"",IF(AND(EDATE($D45,Milestones!$AA$80)&lt;=AsOfDate,IF($R45=0,$X45,IF(AND($T45&lt;&gt;"",EDATE($D45,Milestones!$AA$80)&gt;=$T45),$W45,IF(AND($S45&lt;&gt;"",EDATE($D45,Milestones!$AA$80)&gt;=$S45),$V45,$U45)))=Milestones!$AB$80),UPPER(TEXT(EDATE($D45,Milestones!$AA$80),"dd mmm yy"))&amp;" "&amp;Milestones!$AB$80&amp;" "&amp;Milestones!$AC$80&amp;";  ","")&amp;IF(AND(EDATE($D45,Milestones!$AA$81)&lt;=AsOfDate,IF($R45=0,$X45,IF(AND($T45&lt;&gt;"",EDATE($D45,Milestones!$AA$81)&gt;=$T45),$W45,IF(AND($S45&lt;&gt;"",EDATE($D45,Milestones!$AA$81)&gt;=$S45),$V45,$U45)))=Milestones!$AB$81),UPPER(TEXT(EDATE($D45,Milestones!$AA$81),"dd mmm yy"))&amp;" "&amp;Milestones!$AB$81&amp;" "&amp;Milestones!$AC$81&amp;";  ","")&amp;IF(AND(EDATE($D45,Milestones!$AA$82)&lt;=AsOfDate,IF($R45=0,$X45,IF(AND($T45&lt;&gt;"",EDATE($D45,Milestones!$AA$82)&gt;=$T45),$W45,IF(AND($S45&lt;&gt;"",EDATE($D45,Milestones!$AA$82)&gt;=$S45),$V45,$U45)))=Milestones!$AB$82),UPPER(TEXT(EDATE($D45,Milestones!$AA$82),"dd mmm yy"))&amp;" "&amp;Milestones!$AB$82&amp;" "&amp;Milestones!$AC$82&amp;";  ","")&amp;IF(AND(EDATE($D45,Milestones!$AA$83)&lt;=AsOfDate,IF($R45=0,$X45,IF(AND($T45&lt;&gt;"",EDATE($D45,Milestones!$AA$83)&gt;=$T45),$W45,IF(AND($S45&lt;&gt;"",EDATE($D45,Milestones!$AA$83)&gt;=$S45),$V45,$U45)))=Milestones!$AB$83),UPPER(TEXT(EDATE($D45,Milestones!$AA$83),"dd mmm yy"))&amp;" "&amp;Milestones!$AB$83&amp;" "&amp;Milestones!$AC$83&amp;";  ","")&amp;IF(AND(EDATE($D45,Milestones!$AA$84)&lt;=AsOfDate,IF($R45=0,$X45,IF(AND($T45&lt;&gt;"",EDATE($D45,Milestones!$AA$84)&gt;=$T45),$W45,IF(AND($S45&lt;&gt;"",EDATE($D45,Milestones!$AA$84)&gt;=$S45),$V45,$U45)))=Milestones!$AB$84),UPPER(TEXT(EDATE($D45,Milestones!$AA$84),"dd mmm yy"))&amp;" "&amp;Milestones!$AB$84&amp;" "&amp;Milestones!$AC$84&amp;";  ","")&amp;IF(AND(EDATE($D45,Milestones!$AA$85)&lt;=AsOfDate,IF($R45=0,$X45,IF(AND($T45&lt;&gt;"",EDATE($D45,Milestones!$AA$85)&gt;=$T45),$W45,IF(AND($S45&lt;&gt;"",EDATE($D45,Milestones!$AA$85)&gt;=$S45),$V45,$U45)))=Milestones!$AB$85),UPPER(TEXT(EDATE($D45,Milestones!$AA$85),"dd mmm yy"))&amp;" "&amp;Milestones!$AB$85&amp;" "&amp;Milestones!$AC$85&amp;";  ","")&amp;IF(AND(EDATE($D45,Milestones!$AA$86)&lt;=AsOfDate,IF($R45=0,$X45,IF(AND($T45&lt;&gt;"",EDATE($D45,Milestones!$AA$86)&gt;=$T45),$W45,IF(AND($S45&lt;&gt;"",EDATE($D45,Milestones!$AA$86)&gt;=$S45),$V45,$U45)))=Milestones!$AB$86),UPPER(TEXT(EDATE($D45,Milestones!$AA$86),"dd mmm yy"))&amp;" "&amp;Milestones!$AB$86&amp;" "&amp;Milestones!$AC$86&amp;";  ","")&amp;IF(AND(EDATE($D45,Milestones!$AA$87)&lt;=AsOfDate,IF($R45=0,$X45,IF(AND($T45&lt;&gt;"",EDATE($D45,Milestones!$AA$87)&gt;=$T45),$W45,IF(AND($S45&lt;&gt;"",EDATE($D45,Milestones!$AA$87)&gt;=$S45),$V45,$U45)))=Milestones!$AB$87),UPPER(TEXT(EDATE($D45,Milestones!$AA$87),"dd mmm yy"))&amp;" "&amp;Milestones!$AB$87&amp;" "&amp;Milestones!$AC$87&amp;";  ","")&amp;IF(AND(EDATE($D45,Milestones!$AA$88)&lt;=AsOfDate,IF($R45=0,$X45,IF(AND($T45&lt;&gt;"",EDATE($D45,Milestones!$AA$88)&gt;=$T45),$W45,IF(AND($S45&lt;&gt;"",EDATE($D45,Milestones!$AA$88)&gt;=$S45),$V45,$U45)))=Milestones!$AB$88),UPPER(TEXT(EDATE($D45,Milestones!$AA$88),"dd mmm yy"))&amp;" "&amp;Milestones!$AB$88&amp;" "&amp;Milestones!$AC$88&amp;";  ","")&amp;IF(AND(EDATE($D45,Milestones!$AA$89)&lt;=AsOfDate,IF($R45=0,$X45,IF(AND($T45&lt;&gt;"",EDATE($D45,Milestones!$AA$89)&gt;=$T45),$W45,IF(AND($S45&lt;&gt;"",EDATE($D45,Milestones!$AA$89)&gt;=$S45),$V45,$U45)))=Milestones!$AB$89),UPPER(TEXT(EDATE($D45,Milestones!$AA$89),"dd mmm yy"))&amp;" "&amp;Milestones!$AB$89&amp;" "&amp;Milestones!$AC$89&amp;";  ","")&amp;IF(AND(EDATE($D45,Milestones!$AA$90)&lt;=AsOfDate,IF($R45=0,$X45,IF(AND($T45&lt;&gt;"",EDATE($D45,Milestones!$AA$90)&gt;=$T45),$W45,IF(AND($S45&lt;&gt;"",EDATE($D45,Milestones!$AA$90)&gt;=$S45),$V45,$U45)))=Milestones!$AB$90),UPPER(TEXT(EDATE($D45,Milestones!$AA$90),"dd mmm yy"))&amp;" "&amp;Milestones!$AB$90&amp;" "&amp;Milestones!$AC$90&amp;";  ","")&amp;IF(AND(EDATE($D45,Milestones!$AA$91)&lt;=AsOfDate,IF($R45=0,$X45,IF(AND($T45&lt;&gt;"",EDATE($D45,Milestones!$AA$91)&gt;=$T45),$W45,IF(AND($S45&lt;&gt;"",EDATE($D45,Milestones!$AA$91)&gt;=$S45),$V45,$U45)))=Milestones!$AB$91),UPPER(TEXT(EDATE($D45,Milestones!$AA$91),"dd mmm yy"))&amp;" "&amp;Milestones!$AB$91&amp;" "&amp;Milestones!$AC$91&amp;";  ","")&amp;IF(AND(EDATE($D45,Milestones!$AA$92)&lt;=AsOfDate,IF($R45=0,$X45,IF(AND($T45&lt;&gt;"",EDATE($D45,Milestones!$AA$92)&gt;=$T45),$W45,IF(AND($S45&lt;&gt;"",EDATE($D45,Milestones!$AA$92)&gt;=$S45),$V45,$U45)))=Milestones!$AB$92),UPPER(TEXT(EDATE($D45,Milestones!$AA$92),"dd mmm yy"))&amp;" "&amp;Milestones!$AB$92&amp;" "&amp;Milestones!$AC$92&amp;";  ","")&amp;IF(AND(EDATE($D45,Milestones!$AA$93)&lt;=AsOfDate,IF($R45=0,$X45,IF(AND($T45&lt;&gt;"",EDATE($D45,Milestones!$AA$93)&gt;=$T45),$W45,IF(AND($S45&lt;&gt;"",EDATE($D45,Milestones!$AA$93)&gt;=$S45),$V45,$U45)))=Milestones!$AB$93),UPPER(TEXT(EDATE($D45,Milestones!$AA$93),"dd mmm yy"))&amp;" "&amp;Milestones!$AB$93&amp;" "&amp;Milestones!$AC$93&amp;";  ","")&amp;IF(AND(EDATE($D45,Milestones!$AA$94)&lt;=AsOfDate,IF($R45=0,$X45,IF(AND($T45&lt;&gt;"",EDATE($D45,Milestones!$AA$94)&gt;=$T45),$W45,IF(AND($S45&lt;&gt;"",EDATE($D45,Milestones!$AA$94)&gt;=$S45),$V45,$U45)))=Milestones!$AB$94),UPPER(TEXT(EDATE($D45,Milestones!$AA$94),"dd mmm yy"))&amp;" "&amp;Milestones!$AB$94&amp;" "&amp;Milestones!$AC$94&amp;";  ","")&amp;IF(AND(EDATE($D45,Milestones!$AA$95)&lt;=AsOfDate,IF($R45=0,$X45,IF(AND($T45&lt;&gt;"",EDATE($D45,Milestones!$AA$95)&gt;=$T45),$W45,IF(AND($S45&lt;&gt;"",EDATE($D45,Milestones!$AA$95)&gt;=$S45),$V45,$U45)))=Milestones!$AB$95),UPPER(TEXT(EDATE($D45,Milestones!$AA$95),"dd mmm yy"))&amp;" "&amp;Milestones!$AB$95&amp;" "&amp;Milestones!$AC$95&amp;";  ","")&amp;IF(AND(EDATE($D45,Milestones!$AA$96)&lt;=AsOfDate,IF($R45=0,$X45,IF(AND($T45&lt;&gt;"",EDATE($D45,Milestones!$AA$96)&gt;=$T45),$W45,IF(AND($S45&lt;&gt;"",EDATE($D45,Milestones!$AA$96)&gt;=$S45),$V45,$U45)))=Milestones!$AB$96),UPPER(TEXT(EDATE($D45,Milestones!$AA$96),"dd mmm yy"))&amp;" "&amp;Milestones!$AB$96&amp;" "&amp;Milestones!$AC$96&amp;";  ","")&amp;IF(AND(EDATE($D45,Milestones!$AA$97)&lt;=AsOfDate,IF($R45=0,$X45,IF(AND($T45&lt;&gt;"",EDATE($D45,Milestones!$AA$97)&gt;=$T45),$W45,IF(AND($S45&lt;&gt;"",EDATE($D45,Milestones!$AA$97)&gt;=$S45),$V45,$U45)))=Milestones!$AB$97),UPPER(TEXT(EDATE($D45,Milestones!$AA$97),"dd mmm yy"))&amp;" "&amp;Milestones!$AB$97&amp;" "&amp;Milestones!$AC$97&amp;";  ","")&amp;IF(AND(EDATE($D45,Milestones!$AA$98)&lt;=AsOfDate,IF($R45=0,$X45,IF(AND($T45&lt;&gt;"",EDATE($D45,Milestones!$AA$98)&gt;=$T45),$W45,IF(AND($S45&lt;&gt;"",EDATE($D45,Milestones!$AA$98)&gt;=$S45),$V45,$U45)))=Milestones!$AB$98),UPPER(TEXT(EDATE($D45,Milestones!$AA$98),"dd mmm yy"))&amp;" "&amp;Milestones!$AB$98&amp;" "&amp;Milestones!$AC$98&amp;";  ","")&amp;IF(AND(EDATE($D45,Milestones!$AA$99)&lt;=AsOfDate,IF($R45=0,$X45,IF(AND($T45&lt;&gt;"",EDATE($D45,Milestones!$AA$99)&gt;=$T45),$W45,IF(AND($S45&lt;&gt;"",EDATE($D45,Milestones!$AA$99)&gt;=$S45),$V45,$U45)))=Milestones!$AB$99),UPPER(TEXT(EDATE($D45,Milestones!$AA$99),"dd mmm yy"))&amp;" "&amp;Milestones!$AB$99&amp;" "&amp;Milestones!$AC$99&amp;";  ",""))</f>
        <v/>
      </c>
      <c r="M45" s="0" t="str">
        <f aca="false">IF(OR($A45="",$D45=""),"",IF(AND(EDATE($D45,Milestones!$AA$100)&lt;=AsOfDate,IF($R45=0,$X45,IF(AND($T45&lt;&gt;"",EDATE($D45,Milestones!$AA$100)&gt;=$T45),$W45,IF(AND($S45&lt;&gt;"",EDATE($D45,Milestones!$AA$100)&gt;=$S45),$V45,$U45)))=Milestones!$AB$100),UPPER(TEXT(EDATE($D45,Milestones!$AA$100),"dd mmm yy"))&amp;" "&amp;Milestones!$AB$100&amp;" "&amp;Milestones!$AC$100&amp;";  ","")&amp;IF(AND(EDATE($D45,Milestones!$AA$101)&lt;=AsOfDate,IF($R45=0,$X45,IF(AND($T45&lt;&gt;"",EDATE($D45,Milestones!$AA$101)&gt;=$T45),$W45,IF(AND($S45&lt;&gt;"",EDATE($D45,Milestones!$AA$101)&gt;=$S45),$V45,$U45)))=Milestones!$AB$101),UPPER(TEXT(EDATE($D45,Milestones!$AA$101),"dd mmm yy"))&amp;" "&amp;Milestones!$AB$101&amp;" "&amp;Milestones!$AC$101&amp;";  ","")&amp;IF(AND(EDATE($D45,Milestones!$AA$102)&lt;=AsOfDate,IF($R45=0,$X45,IF(AND($T45&lt;&gt;"",EDATE($D45,Milestones!$AA$102)&gt;=$T45),$W45,IF(AND($S45&lt;&gt;"",EDATE($D45,Milestones!$AA$102)&gt;=$S45),$V45,$U45)))=Milestones!$AB$102),UPPER(TEXT(EDATE($D45,Milestones!$AA$102),"dd mmm yy"))&amp;" "&amp;Milestones!$AB$102&amp;" "&amp;Milestones!$AC$102&amp;";  ","")&amp;IF(AND(EDATE($D45,Milestones!$AA$103)&lt;=AsOfDate,IF($R45=0,$X45,IF(AND($T45&lt;&gt;"",EDATE($D45,Milestones!$AA$103)&gt;=$T45),$W45,IF(AND($S45&lt;&gt;"",EDATE($D45,Milestones!$AA$103)&gt;=$S45),$V45,$U45)))=Milestones!$AB$103),UPPER(TEXT(EDATE($D45,Milestones!$AA$103),"dd mmm yy"))&amp;" "&amp;Milestones!$AB$103&amp;" "&amp;Milestones!$AC$103&amp;";  ","")&amp;IF(AND(EDATE($D45,Milestones!$AA$104)&lt;=AsOfDate,IF($R45=0,$X45,IF(AND($T45&lt;&gt;"",EDATE($D45,Milestones!$AA$104)&gt;=$T45),$W45,IF(AND($S45&lt;&gt;"",EDATE($D45,Milestones!$AA$104)&gt;=$S45),$V45,$U45)))=Milestones!$AB$104),UPPER(TEXT(EDATE($D45,Milestones!$AA$104),"dd mmm yy"))&amp;" "&amp;Milestones!$AB$104&amp;" "&amp;Milestones!$AC$104&amp;";  ","")&amp;IF(AND(EDATE($D45,Milestones!$AA$105)&lt;=AsOfDate,IF($R45=0,$X45,IF(AND($T45&lt;&gt;"",EDATE($D45,Milestones!$AA$105)&gt;=$T45),$W45,IF(AND($S45&lt;&gt;"",EDATE($D45,Milestones!$AA$105)&gt;=$S45),$V45,$U45)))=Milestones!$AB$105),UPPER(TEXT(EDATE($D45,Milestones!$AA$105),"dd mmm yy"))&amp;" "&amp;Milestones!$AB$105&amp;" "&amp;Milestones!$AC$105&amp;";  ","")&amp;IF(AND(EDATE($D45,Milestones!$AA$106)&lt;=AsOfDate,IF($R45=0,$X45,IF(AND($T45&lt;&gt;"",EDATE($D45,Milestones!$AA$106)&gt;=$T45),$W45,IF(AND($S45&lt;&gt;"",EDATE($D45,Milestones!$AA$106)&gt;=$S45),$V45,$U45)))=Milestones!$AB$106),UPPER(TEXT(EDATE($D45,Milestones!$AA$106),"dd mmm yy"))&amp;" "&amp;Milestones!$AB$106&amp;" "&amp;Milestones!$AC$106&amp;";  ","")&amp;IF(AND(EDATE($D45,Milestones!$AA$107)&lt;=AsOfDate,IF($R45=0,$X45,IF(AND($T45&lt;&gt;"",EDATE($D45,Milestones!$AA$107)&gt;=$T45),$W45,IF(AND($S45&lt;&gt;"",EDATE($D45,Milestones!$AA$107)&gt;=$S45),$V45,$U45)))=Milestones!$AB$107),UPPER(TEXT(EDATE($D45,Milestones!$AA$107),"dd mmm yy"))&amp;" "&amp;Milestones!$AB$107&amp;" "&amp;Milestones!$AC$107&amp;";  ","")&amp;IF(AND(EDATE($D45,Milestones!$AA$108)&lt;=AsOfDate,IF($R45=0,$X45,IF(AND($T45&lt;&gt;"",EDATE($D45,Milestones!$AA$108)&gt;=$T45),$W45,IF(AND($S45&lt;&gt;"",EDATE($D45,Milestones!$AA$108)&gt;=$S45),$V45,$U45)))=Milestones!$AB$108),UPPER(TEXT(EDATE($D45,Milestones!$AA$108),"dd mmm yy"))&amp;" "&amp;Milestones!$AB$108&amp;" "&amp;Milestones!$AC$108&amp;";  ","")&amp;IF(AND(EDATE($D45,Milestones!$AA$109)&lt;=AsOfDate,IF($R45=0,$X45,IF(AND($T45&lt;&gt;"",EDATE($D45,Milestones!$AA$109)&gt;=$T45),$W45,IF(AND($S45&lt;&gt;"",EDATE($D45,Milestones!$AA$109)&gt;=$S45),$V45,$U45)))=Milestones!$AB$109),UPPER(TEXT(EDATE($D45,Milestones!$AA$109),"dd mmm yy"))&amp;" "&amp;Milestones!$AB$109&amp;" "&amp;Milestones!$AC$109&amp;";  ","")&amp;IF(AND(EDATE($D45,Milestones!$AA$110)&lt;=AsOfDate,IF($R45=0,$X45,IF(AND($T45&lt;&gt;"",EDATE($D45,Milestones!$AA$110)&gt;=$T45),$W45,IF(AND($S45&lt;&gt;"",EDATE($D45,Milestones!$AA$110)&gt;=$S45),$V45,$U45)))=Milestones!$AB$110),UPPER(TEXT(EDATE($D45,Milestones!$AA$110),"dd mmm yy"))&amp;" "&amp;Milestones!$AB$110&amp;" "&amp;Milestones!$AC$110&amp;";  ","")&amp;IF(AND(EDATE($D45,Milestones!$AA$111)&lt;=AsOfDate,IF($R45=0,$X45,IF(AND($T45&lt;&gt;"",EDATE($D45,Milestones!$AA$111)&gt;=$T45),$W45,IF(AND($S45&lt;&gt;"",EDATE($D45,Milestones!$AA$111)&gt;=$S45),$V45,$U45)))=Milestones!$AB$111),UPPER(TEXT(EDATE($D45,Milestones!$AA$111),"dd mmm yy"))&amp;" "&amp;Milestones!$AB$111&amp;" "&amp;Milestones!$AC$111&amp;";  ","")&amp;IF(AND(EDATE($D45,Milestones!$AA$112)&lt;=AsOfDate,IF($R45=0,$X45,IF(AND($T45&lt;&gt;"",EDATE($D45,Milestones!$AA$112)&gt;=$T45),$W45,IF(AND($S45&lt;&gt;"",EDATE($D45,Milestones!$AA$112)&gt;=$S45),$V45,$U45)))=Milestones!$AB$112),UPPER(TEXT(EDATE($D45,Milestones!$AA$112),"dd mmm yy"))&amp;" "&amp;Milestones!$AB$112&amp;" "&amp;Milestones!$AC$112&amp;";  ","")&amp;IF(AND(EDATE($D45,Milestones!$AA$113)&lt;=AsOfDate,IF($R45=0,$X45,IF(AND($T45&lt;&gt;"",EDATE($D45,Milestones!$AA$113)&gt;=$T45),$W45,IF(AND($S45&lt;&gt;"",EDATE($D45,Milestones!$AA$113)&gt;=$S45),$V45,$U45)))=Milestones!$AB$113),UPPER(TEXT(EDATE($D45,Milestones!$AA$113),"dd mmm yy"))&amp;" "&amp;Milestones!$AB$113&amp;" "&amp;Milestones!$AC$113&amp;";  ","")&amp;IF(AND(EDATE($D45,Milestones!$AA$114)&lt;=AsOfDate,IF($R45=0,$X45,IF(AND($T45&lt;&gt;"",EDATE($D45,Milestones!$AA$114)&gt;=$T45),$W45,IF(AND($S45&lt;&gt;"",EDATE($D45,Milestones!$AA$114)&gt;=$S45),$V45,$U45)))=Milestones!$AB$114),UPPER(TEXT(EDATE($D45,Milestones!$AA$114),"dd mmm yy"))&amp;" "&amp;Milestones!$AB$114&amp;" "&amp;Milestones!$AC$114&amp;";  ","")&amp;IF(AND(EDATE($D45,Milestones!$AA$115)&lt;=AsOfDate,IF($R45=0,$X45,IF(AND($T45&lt;&gt;"",EDATE($D45,Milestones!$AA$115)&gt;=$T45),$W45,IF(AND($S45&lt;&gt;"",EDATE($D45,Milestones!$AA$115)&gt;=$S45),$V45,$U45)))=Milestones!$AB$115),UPPER(TEXT(EDATE($D45,Milestones!$AA$115),"dd mmm yy"))&amp;" "&amp;Milestones!$AB$115&amp;" "&amp;Milestones!$AC$115&amp;";  ","")&amp;IF(AND(EDATE($D45,Milestones!$AA$116)&lt;=AsOfDate,IF($R45=0,$X45,IF(AND($T45&lt;&gt;"",EDATE($D45,Milestones!$AA$116)&gt;=$T45),$W45,IF(AND($S45&lt;&gt;"",EDATE($D45,Milestones!$AA$116)&gt;=$S45),$V45,$U45)))=Milestones!$AB$116),UPPER(TEXT(EDATE($D45,Milestones!$AA$116),"dd mmm yy"))&amp;" "&amp;Milestones!$AB$116&amp;" "&amp;Milestones!$AC$116&amp;";  ","")&amp;IF(AND(EDATE($D45,Milestones!$AA$117)&lt;=AsOfDate,IF($R45=0,$X45,IF(AND($T45&lt;&gt;"",EDATE($D45,Milestones!$AA$117)&gt;=$T45),$W45,IF(AND($S45&lt;&gt;"",EDATE($D45,Milestones!$AA$117)&gt;=$S45),$V45,$U45)))=Milestones!$AB$117),UPPER(TEXT(EDATE($D45,Milestones!$AA$117),"dd mmm yy"))&amp;" "&amp;Milestones!$AB$117&amp;" "&amp;Milestones!$AC$117&amp;";  ","")&amp;IF(AND(EDATE($D45,Milestones!$AA$118)&lt;=AsOfDate,IF($R45=0,$X45,IF(AND($T45&lt;&gt;"",EDATE($D45,Milestones!$AA$118)&gt;=$T45),$W45,IF(AND($S45&lt;&gt;"",EDATE($D45,Milestones!$AA$118)&gt;=$S45),$V45,$U45)))=Milestones!$AB$118),UPPER(TEXT(EDATE($D45,Milestones!$AA$118),"dd mmm yy"))&amp;" "&amp;Milestones!$AB$118&amp;" "&amp;Milestones!$AC$118&amp;";  ","")&amp;IF(AND(EDATE($D45,Milestones!$AA$119)&lt;=AsOfDate,IF($R45=0,$X45,IF(AND($T45&lt;&gt;"",EDATE($D45,Milestones!$AA$119)&gt;=$T45),$W45,IF(AND($S45&lt;&gt;"",EDATE($D45,Milestones!$AA$119)&gt;=$S45),$V45,$U45)))=Milestones!$AB$119),UPPER(TEXT(EDATE($D45,Milestones!$AA$119),"dd mmm yy"))&amp;" "&amp;Milestones!$AB$119&amp;" "&amp;Milestones!$AC$119&amp;";  ",""))</f>
        <v/>
      </c>
      <c r="N45" s="0" t="str">
        <f aca="false">IF(OR($A45="",$D45=""),"",IF(AND(EDATE($D45,Milestones!$AA$120)&lt;=AsOfDate,IF($R45=0,$X45,IF(AND($T45&lt;&gt;"",EDATE($D45,Milestones!$AA$120)&gt;=$T45),$W45,IF(AND($S45&lt;&gt;"",EDATE($D45,Milestones!$AA$120)&gt;=$S45),$V45,$U45)))=Milestones!$AB$120),UPPER(TEXT(EDATE($D45,Milestones!$AA$120),"dd mmm yy"))&amp;" "&amp;Milestones!$AB$120&amp;" "&amp;Milestones!$AC$120&amp;";  ","")&amp;IF(AND(EDATE($D45,Milestones!$AA$121)&lt;=AsOfDate,IF($R45=0,$X45,IF(AND($T45&lt;&gt;"",EDATE($D45,Milestones!$AA$121)&gt;=$T45),$W45,IF(AND($S45&lt;&gt;"",EDATE($D45,Milestones!$AA$121)&gt;=$S45),$V45,$U45)))=Milestones!$AB$121),UPPER(TEXT(EDATE($D45,Milestones!$AA$121),"dd mmm yy"))&amp;" "&amp;Milestones!$AB$121&amp;" "&amp;Milestones!$AC$121&amp;";  ","")&amp;IF(AND(EDATE($D45,Milestones!$AA$122)&lt;=AsOfDate,IF($R45=0,$X45,IF(AND($T45&lt;&gt;"",EDATE($D45,Milestones!$AA$122)&gt;=$T45),$W45,IF(AND($S45&lt;&gt;"",EDATE($D45,Milestones!$AA$122)&gt;=$S45),$V45,$U45)))=Milestones!$AB$122),UPPER(TEXT(EDATE($D45,Milestones!$AA$122),"dd mmm yy"))&amp;" "&amp;Milestones!$AB$122&amp;" "&amp;Milestones!$AC$122&amp;";  ","")&amp;IF(AND(EDATE($D45,Milestones!$AA$123)&lt;=AsOfDate,IF($R45=0,$X45,IF(AND($T45&lt;&gt;"",EDATE($D45,Milestones!$AA$123)&gt;=$T45),$W45,IF(AND($S45&lt;&gt;"",EDATE($D45,Milestones!$AA$123)&gt;=$S45),$V45,$U45)))=Milestones!$AB$123),UPPER(TEXT(EDATE($D45,Milestones!$AA$123),"dd mmm yy"))&amp;" "&amp;Milestones!$AB$123&amp;" "&amp;Milestones!$AC$123&amp;";  ","")&amp;IF(AND(EDATE($D45,Milestones!$AA$124)&lt;=AsOfDate,IF($R45=0,$X45,IF(AND($T45&lt;&gt;"",EDATE($D45,Milestones!$AA$124)&gt;=$T45),$W45,IF(AND($S45&lt;&gt;"",EDATE($D45,Milestones!$AA$124)&gt;=$S45),$V45,$U45)))=Milestones!$AB$124),UPPER(TEXT(EDATE($D45,Milestones!$AA$124),"dd mmm yy"))&amp;" "&amp;Milestones!$AB$124&amp;" "&amp;Milestones!$AC$124&amp;";  ","")&amp;IF(AND(EDATE($D45,Milestones!$AA$125)&lt;=AsOfDate,IF($R45=0,$X45,IF(AND($T45&lt;&gt;"",EDATE($D45,Milestones!$AA$125)&gt;=$T45),$W45,IF(AND($S45&lt;&gt;"",EDATE($D45,Milestones!$AA$125)&gt;=$S45),$V45,$U45)))=Milestones!$AB$125),UPPER(TEXT(EDATE($D45,Milestones!$AA$125),"dd mmm yy"))&amp;" "&amp;Milestones!$AB$125&amp;" "&amp;Milestones!$AC$125&amp;";  ","")&amp;IF(AND(EDATE($D45,Milestones!$AA$126)&lt;=AsOfDate,IF($R45=0,$X45,IF(AND($T45&lt;&gt;"",EDATE($D45,Milestones!$AA$126)&gt;=$T45),$W45,IF(AND($S45&lt;&gt;"",EDATE($D45,Milestones!$AA$126)&gt;=$S45),$V45,$U45)))=Milestones!$AB$126),UPPER(TEXT(EDATE($D45,Milestones!$AA$126),"dd mmm yy"))&amp;" "&amp;Milestones!$AB$126&amp;" "&amp;Milestones!$AC$126&amp;";  ","")&amp;IF(AND(EDATE($D45,Milestones!$AA$127)&lt;=AsOfDate,IF($R45=0,$X45,IF(AND($T45&lt;&gt;"",EDATE($D45,Milestones!$AA$127)&gt;=$T45),$W45,IF(AND($S45&lt;&gt;"",EDATE($D45,Milestones!$AA$127)&gt;=$S45),$V45,$U45)))=Milestones!$AB$127),UPPER(TEXT(EDATE($D45,Milestones!$AA$127),"dd mmm yy"))&amp;" "&amp;Milestones!$AB$127&amp;" "&amp;Milestones!$AC$127&amp;";  ","")&amp;IF(AND(EDATE($D45,Milestones!$AA$128)&lt;=AsOfDate,IF($R45=0,$X45,IF(AND($T45&lt;&gt;"",EDATE($D45,Milestones!$AA$128)&gt;=$T45),$W45,IF(AND($S45&lt;&gt;"",EDATE($D45,Milestones!$AA$128)&gt;=$S45),$V45,$U45)))=Milestones!$AB$128),UPPER(TEXT(EDATE($D45,Milestones!$AA$128),"dd mmm yy"))&amp;" "&amp;Milestones!$AB$128&amp;" "&amp;Milestones!$AC$128&amp;";  ","")&amp;IF(AND(EDATE($D45,Milestones!$AA$129)&lt;=AsOfDate,IF($R45=0,$X45,IF(AND($T45&lt;&gt;"",EDATE($D45,Milestones!$AA$129)&gt;=$T45),$W45,IF(AND($S45&lt;&gt;"",EDATE($D45,Milestones!$AA$129)&gt;=$S45),$V45,$U45)))=Milestones!$AB$129),UPPER(TEXT(EDATE($D45,Milestones!$AA$129),"dd mmm yy"))&amp;" "&amp;Milestones!$AB$129&amp;" "&amp;Milestones!$AC$129&amp;";  ","")&amp;IF(AND(EDATE($D45,Milestones!$AA$130)&lt;=AsOfDate,IF($R45=0,$X45,IF(AND($T45&lt;&gt;"",EDATE($D45,Milestones!$AA$130)&gt;=$T45),$W45,IF(AND($S45&lt;&gt;"",EDATE($D45,Milestones!$AA$130)&gt;=$S45),$V45,$U45)))=Milestones!$AB$130),UPPER(TEXT(EDATE($D45,Milestones!$AA$130),"dd mmm yy"))&amp;" "&amp;Milestones!$AB$130&amp;" "&amp;Milestones!$AC$130&amp;";  ","")&amp;IF(AND(EDATE($D45,Milestones!$AA$131)&lt;=AsOfDate,IF($R45=0,$X45,IF(AND($T45&lt;&gt;"",EDATE($D45,Milestones!$AA$131)&gt;=$T45),$W45,IF(AND($S45&lt;&gt;"",EDATE($D45,Milestones!$AA$131)&gt;=$S45),$V45,$U45)))=Milestones!$AB$131),UPPER(TEXT(EDATE($D45,Milestones!$AA$131),"dd mmm yy"))&amp;" "&amp;Milestones!$AB$131&amp;" "&amp;Milestones!$AC$131&amp;";  ","")&amp;IF(AND(EDATE($D45,Milestones!$AA$132)&lt;=AsOfDate,IF($R45=0,$X45,IF(AND($T45&lt;&gt;"",EDATE($D45,Milestones!$AA$132)&gt;=$T45),$W45,IF(AND($S45&lt;&gt;"",EDATE($D45,Milestones!$AA$132)&gt;=$S45),$V45,$U45)))=Milestones!$AB$132),UPPER(TEXT(EDATE($D45,Milestones!$AA$132),"dd mmm yy"))&amp;" "&amp;Milestones!$AB$132&amp;" "&amp;Milestones!$AC$132&amp;";  ","")&amp;IF(AND(EDATE($D45,Milestones!$AA$133)&lt;=AsOfDate,IF($R45=0,$X45,IF(AND($T45&lt;&gt;"",EDATE($D45,Milestones!$AA$133)&gt;=$T45),$W45,IF(AND($S45&lt;&gt;"",EDATE($D45,Milestones!$AA$133)&gt;=$S45),$V45,$U45)))=Milestones!$AB$133),UPPER(TEXT(EDATE($D45,Milestones!$AA$133),"dd mmm yy"))&amp;" "&amp;Milestones!$AB$133&amp;" "&amp;Milestones!$AC$133&amp;";  ","")&amp;IF(AND(EDATE($D45,Milestones!$AA$134)&lt;=AsOfDate,IF($R45=0,$X45,IF(AND($T45&lt;&gt;"",EDATE($D45,Milestones!$AA$134)&gt;=$T45),$W45,IF(AND($S45&lt;&gt;"",EDATE($D45,Milestones!$AA$134)&gt;=$S45),$V45,$U45)))=Milestones!$AB$134),UPPER(TEXT(EDATE($D45,Milestones!$AA$134),"dd mmm yy"))&amp;" "&amp;Milestones!$AB$134&amp;" "&amp;Milestones!$AC$134&amp;";  ","")&amp;IF(AND(EDATE($D45,Milestones!$AA$135)&lt;=AsOfDate,IF($R45=0,$X45,IF(AND($T45&lt;&gt;"",EDATE($D45,Milestones!$AA$135)&gt;=$T45),$W45,IF(AND($S45&lt;&gt;"",EDATE($D45,Milestones!$AA$135)&gt;=$S45),$V45,$U45)))=Milestones!$AB$135),UPPER(TEXT(EDATE($D45,Milestones!$AA$135),"dd mmm yy"))&amp;" "&amp;Milestones!$AB$135&amp;" "&amp;Milestones!$AC$135&amp;";  ","")&amp;IF(AND(EDATE($D45,Milestones!$AA$136)&lt;=AsOfDate,IF($R45=0,$X45,IF(AND($T45&lt;&gt;"",EDATE($D45,Milestones!$AA$136)&gt;=$T45),$W45,IF(AND($S45&lt;&gt;"",EDATE($D45,Milestones!$AA$136)&gt;=$S45),$V45,$U45)))=Milestones!$AB$136),UPPER(TEXT(EDATE($D45,Milestones!$AA$136),"dd mmm yy"))&amp;" "&amp;Milestones!$AB$136&amp;" "&amp;Milestones!$AC$136&amp;";  ","")&amp;IF(AND(EDATE($D45,Milestones!$AA$137)&lt;=AsOfDate,IF($R45=0,$X45,IF(AND($T45&lt;&gt;"",EDATE($D45,Milestones!$AA$137)&gt;=$T45),$W45,IF(AND($S45&lt;&gt;"",EDATE($D45,Milestones!$AA$137)&gt;=$S45),$V45,$U45)))=Milestones!$AB$137),UPPER(TEXT(EDATE($D45,Milestones!$AA$137),"dd mmm yy"))&amp;" "&amp;Milestones!$AB$137&amp;" "&amp;Milestones!$AC$137&amp;";  ","")&amp;IF(AND(EDATE($D45,Milestones!$AA$138)&lt;=AsOfDate,IF($R45=0,$X45,IF(AND($T45&lt;&gt;"",EDATE($D45,Milestones!$AA$138)&gt;=$T45),$W45,IF(AND($S45&lt;&gt;"",EDATE($D45,Milestones!$AA$138)&gt;=$S45),$V45,$U45)))=Milestones!$AB$138),UPPER(TEXT(EDATE($D45,Milestones!$AA$138),"dd mmm yy"))&amp;" "&amp;Milestones!$AB$138&amp;" "&amp;Milestones!$AC$138&amp;";  ","")&amp;IF(AND(EDATE($D45,Milestones!$AA$139)&lt;=AsOfDate,IF($R45=0,$X45,IF(AND($T45&lt;&gt;"",EDATE($D45,Milestones!$AA$139)&gt;=$T45),$W45,IF(AND($S45&lt;&gt;"",EDATE($D45,Milestones!$AA$139)&gt;=$S45),$V45,$U45)))=Milestones!$AB$139),UPPER(TEXT(EDATE($D45,Milestones!$AA$139),"dd mmm yy"))&amp;" "&amp;Milestones!$AB$139&amp;" "&amp;Milestones!$AC$139&amp;";  ",""))</f>
        <v/>
      </c>
      <c r="O45" s="0" t="str">
        <f aca="false">IF(OR($A45="",$D45=""),"",IF(AND(EDATE($D45,Milestones!$AA$140)&lt;=AsOfDate,IF($R45=0,$X45,IF(AND($T45&lt;&gt;"",EDATE($D45,Milestones!$AA$140)&gt;=$T45),$W45,IF(AND($S45&lt;&gt;"",EDATE($D45,Milestones!$AA$140)&gt;=$S45),$V45,$U45)))=Milestones!$AB$140),UPPER(TEXT(EDATE($D45,Milestones!$AA$140),"dd mmm yy"))&amp;" "&amp;Milestones!$AB$140&amp;" "&amp;Milestones!$AC$140&amp;";  ","")&amp;IF(AND(EDATE($D45,Milestones!$AA$141)&lt;=AsOfDate,IF($R45=0,$X45,IF(AND($T45&lt;&gt;"",EDATE($D45,Milestones!$AA$141)&gt;=$T45),$W45,IF(AND($S45&lt;&gt;"",EDATE($D45,Milestones!$AA$141)&gt;=$S45),$V45,$U45)))=Milestones!$AB$141),UPPER(TEXT(EDATE($D45,Milestones!$AA$141),"dd mmm yy"))&amp;" "&amp;Milestones!$AB$141&amp;" "&amp;Milestones!$AC$141&amp;";  ","")&amp;IF(AND(EDATE($D45,Milestones!$AA$142)&lt;=AsOfDate,IF($R45=0,$X45,IF(AND($T45&lt;&gt;"",EDATE($D45,Milestones!$AA$142)&gt;=$T45),$W45,IF(AND($S45&lt;&gt;"",EDATE($D45,Milestones!$AA$142)&gt;=$S45),$V45,$U45)))=Milestones!$AB$142),UPPER(TEXT(EDATE($D45,Milestones!$AA$142),"dd mmm yy"))&amp;" "&amp;Milestones!$AB$142&amp;" "&amp;Milestones!$AC$142&amp;";  ","")&amp;IF(AND(EDATE($D45,Milestones!$AA$143)&lt;=AsOfDate,IF($R45=0,$X45,IF(AND($T45&lt;&gt;"",EDATE($D45,Milestones!$AA$143)&gt;=$T45),$W45,IF(AND($S45&lt;&gt;"",EDATE($D45,Milestones!$AA$143)&gt;=$S45),$V45,$U45)))=Milestones!$AB$143),UPPER(TEXT(EDATE($D45,Milestones!$AA$143),"dd mmm yy"))&amp;" "&amp;Milestones!$AB$143&amp;" "&amp;Milestones!$AC$143&amp;";  ","")&amp;IF(AND(EDATE($D45,Milestones!$AA$144)&lt;=AsOfDate,IF($R45=0,$X45,IF(AND($T45&lt;&gt;"",EDATE($D45,Milestones!$AA$144)&gt;=$T45),$W45,IF(AND($S45&lt;&gt;"",EDATE($D45,Milestones!$AA$144)&gt;=$S45),$V45,$U45)))=Milestones!$AB$144),UPPER(TEXT(EDATE($D45,Milestones!$AA$144),"dd mmm yy"))&amp;" "&amp;Milestones!$AB$144&amp;" "&amp;Milestones!$AC$144&amp;";  ","")&amp;IF(AND(EDATE($D45,Milestones!$AA$145)&lt;=AsOfDate,IF($R45=0,$X45,IF(AND($T45&lt;&gt;"",EDATE($D45,Milestones!$AA$145)&gt;=$T45),$W45,IF(AND($S45&lt;&gt;"",EDATE($D45,Milestones!$AA$145)&gt;=$S45),$V45,$U45)))=Milestones!$AB$145),UPPER(TEXT(EDATE($D45,Milestones!$AA$145),"dd mmm yy"))&amp;" "&amp;Milestones!$AB$145&amp;" "&amp;Milestones!$AC$145&amp;";  ","")&amp;IF(AND(EDATE($D45,Milestones!$AA$146)&lt;=AsOfDate,IF($R45=0,$X45,IF(AND($T45&lt;&gt;"",EDATE($D45,Milestones!$AA$146)&gt;=$T45),$W45,IF(AND($S45&lt;&gt;"",EDATE($D45,Milestones!$AA$146)&gt;=$S45),$V45,$U45)))=Milestones!$AB$146),UPPER(TEXT(EDATE($D45,Milestones!$AA$146),"dd mmm yy"))&amp;" "&amp;Milestones!$AB$146&amp;" "&amp;Milestones!$AC$146&amp;";  ","")&amp;IF(AND(EDATE($D45,Milestones!$AA$147)&lt;=AsOfDate,IF($R45=0,$X45,IF(AND($T45&lt;&gt;"",EDATE($D45,Milestones!$AA$147)&gt;=$T45),$W45,IF(AND($S45&lt;&gt;"",EDATE($D45,Milestones!$AA$147)&gt;=$S45),$V45,$U45)))=Milestones!$AB$147),UPPER(TEXT(EDATE($D45,Milestones!$AA$147),"dd mmm yy"))&amp;" "&amp;Milestones!$AB$147&amp;" "&amp;Milestones!$AC$147&amp;";  ","")&amp;IF(AND(EDATE($D45,Milestones!$AA$148)&lt;=AsOfDate,IF($R45=0,$X45,IF(AND($T45&lt;&gt;"",EDATE($D45,Milestones!$AA$148)&gt;=$T45),$W45,IF(AND($S45&lt;&gt;"",EDATE($D45,Milestones!$AA$148)&gt;=$S45),$V45,$U45)))=Milestones!$AB$148),UPPER(TEXT(EDATE($D45,Milestones!$AA$148),"dd mmm yy"))&amp;" "&amp;Milestones!$AB$148&amp;" "&amp;Milestones!$AC$148&amp;";  ","")&amp;IF(AND(EDATE($D45,Milestones!$AA$149)&lt;=AsOfDate,IF($R45=0,$X45,IF(AND($T45&lt;&gt;"",EDATE($D45,Milestones!$AA$149)&gt;=$T45),$W45,IF(AND($S45&lt;&gt;"",EDATE($D45,Milestones!$AA$149)&gt;=$S45),$V45,$U45)))=Milestones!$AB$149),UPPER(TEXT(EDATE($D45,Milestones!$AA$149),"dd mmm yy"))&amp;" "&amp;Milestones!$AB$149&amp;" "&amp;Milestones!$AC$149&amp;";  ","")&amp;IF(AND(EDATE($D45,Milestones!$AA$150)&lt;=AsOfDate,IF($R45=0,$X45,IF(AND($T45&lt;&gt;"",EDATE($D45,Milestones!$AA$150)&gt;=$T45),$W45,IF(AND($S45&lt;&gt;"",EDATE($D45,Milestones!$AA$150)&gt;=$S45),$V45,$U45)))=Milestones!$AB$150),UPPER(TEXT(EDATE($D45,Milestones!$AA$150),"dd mmm yy"))&amp;" "&amp;Milestones!$AB$150&amp;" "&amp;Milestones!$AC$150&amp;";  ","")&amp;IF(AND(EDATE($D45,Milestones!$AA$151)&lt;=AsOfDate,IF($R45=0,$X45,IF(AND($T45&lt;&gt;"",EDATE($D45,Milestones!$AA$151)&gt;=$T45),$W45,IF(AND($S45&lt;&gt;"",EDATE($D45,Milestones!$AA$151)&gt;=$S45),$V45,$U45)))=Milestones!$AB$151),UPPER(TEXT(EDATE($D45,Milestones!$AA$151),"dd mmm yy"))&amp;" "&amp;Milestones!$AB$151&amp;" "&amp;Milestones!$AC$151&amp;";  ","")&amp;IF(AND(EDATE($D45,Milestones!$AA$152)&lt;=AsOfDate,IF($R45=0,$X45,IF(AND($T45&lt;&gt;"",EDATE($D45,Milestones!$AA$152)&gt;=$T45),$W45,IF(AND($S45&lt;&gt;"",EDATE($D45,Milestones!$AA$152)&gt;=$S45),$V45,$U45)))=Milestones!$AB$152),UPPER(TEXT(EDATE($D45,Milestones!$AA$152),"dd mmm yy"))&amp;" "&amp;Milestones!$AB$152&amp;" "&amp;Milestones!$AC$152&amp;";  ","")&amp;IF(AND(EDATE($D45,Milestones!$AA$153)&lt;=AsOfDate,IF($R45=0,$X45,IF(AND($T45&lt;&gt;"",EDATE($D45,Milestones!$AA$153)&gt;=$T45),$W45,IF(AND($S45&lt;&gt;"",EDATE($D45,Milestones!$AA$153)&gt;=$S45),$V45,$U45)))=Milestones!$AB$153),UPPER(TEXT(EDATE($D45,Milestones!$AA$153),"dd mmm yy"))&amp;" "&amp;Milestones!$AB$153&amp;" "&amp;Milestones!$AC$153&amp;";  ","")&amp;IF(AND(EDATE($D45,Milestones!$AA$154)&lt;=AsOfDate,IF($R45=0,$X45,IF(AND($T45&lt;&gt;"",EDATE($D45,Milestones!$AA$154)&gt;=$T45),$W45,IF(AND($S45&lt;&gt;"",EDATE($D45,Milestones!$AA$154)&gt;=$S45),$V45,$U45)))=Milestones!$AB$154),UPPER(TEXT(EDATE($D45,Milestones!$AA$154),"dd mmm yy"))&amp;" "&amp;Milestones!$AB$154&amp;" "&amp;Milestones!$AC$154&amp;";  ","")&amp;IF(AND(EDATE($D45,Milestones!$AA$155)&lt;=AsOfDate,IF($R45=0,$X45,IF(AND($T45&lt;&gt;"",EDATE($D45,Milestones!$AA$155)&gt;=$T45),$W45,IF(AND($S45&lt;&gt;"",EDATE($D45,Milestones!$AA$155)&gt;=$S45),$V45,$U45)))=Milestones!$AB$155),UPPER(TEXT(EDATE($D45,Milestones!$AA$155),"dd mmm yy"))&amp;" "&amp;Milestones!$AB$155&amp;" "&amp;Milestones!$AC$155&amp;";  ","")&amp;IF(AND(EDATE($D45,Milestones!$AA$156)&lt;=AsOfDate,IF($R45=0,$X45,IF(AND($T45&lt;&gt;"",EDATE($D45,Milestones!$AA$156)&gt;=$T45),$W45,IF(AND($S45&lt;&gt;"",EDATE($D45,Milestones!$AA$156)&gt;=$S45),$V45,$U45)))=Milestones!$AB$156),UPPER(TEXT(EDATE($D45,Milestones!$AA$156),"dd mmm yy"))&amp;" "&amp;Milestones!$AB$156&amp;" "&amp;Milestones!$AC$156&amp;";  ","")&amp;IF(AND(EDATE($D45,Milestones!$AA$157)&lt;=AsOfDate,IF($R45=0,$X45,IF(AND($T45&lt;&gt;"",EDATE($D45,Milestones!$AA$157)&gt;=$T45),$W45,IF(AND($S45&lt;&gt;"",EDATE($D45,Milestones!$AA$157)&gt;=$S45),$V45,$U45)))=Milestones!$AB$157),UPPER(TEXT(EDATE($D45,Milestones!$AA$157),"dd mmm yy"))&amp;" "&amp;Milestones!$AB$157&amp;" "&amp;Milestones!$AC$157&amp;";  ","")&amp;IF(AND(EDATE($D45,Milestones!$AA$158)&lt;=AsOfDate,IF($R45=0,$X45,IF(AND($T45&lt;&gt;"",EDATE($D45,Milestones!$AA$158)&gt;=$T45),$W45,IF(AND($S45&lt;&gt;"",EDATE($D45,Milestones!$AA$158)&gt;=$S45),$V45,$U45)))=Milestones!$AB$158),UPPER(TEXT(EDATE($D45,Milestones!$AA$158),"dd mmm yy"))&amp;" "&amp;Milestones!$AB$158&amp;" "&amp;Milestones!$AC$158&amp;";  ","")&amp;IF(AND(EDATE($D45,Milestones!$AA$159)&lt;=AsOfDate,IF($R45=0,$X45,IF(AND($T45&lt;&gt;"",EDATE($D45,Milestones!$AA$159)&gt;=$T45),$W45,IF(AND($S45&lt;&gt;"",EDATE($D45,Milestones!$AA$159)&gt;=$S45),$V45,$U45)))=Milestones!$AB$159),UPPER(TEXT(EDATE($D45,Milestones!$AA$159),"dd mmm yy"))&amp;" "&amp;Milestones!$AB$159&amp;" "&amp;Milestones!$AC$159&amp;";  ",""))</f>
        <v/>
      </c>
      <c r="P45" s="0" t="str">
        <f aca="false">IF(OR($A45="",$D45=""),"",IF(AND(EDATE($D45,Milestones!$AA$160)&lt;=AsOfDate,IF($R45=0,$X45,IF(AND($T45&lt;&gt;"",EDATE($D45,Milestones!$AA$160)&gt;=$T45),$W45,IF(AND($S45&lt;&gt;"",EDATE($D45,Milestones!$AA$160)&gt;=$S45),$V45,$U45)))=Milestones!$AB$160),UPPER(TEXT(EDATE($D45,Milestones!$AA$160),"dd mmm yy"))&amp;" "&amp;Milestones!$AB$160&amp;" "&amp;Milestones!$AC$160&amp;";  ","")&amp;IF(AND(EDATE($D45,Milestones!$AA$161)&lt;=AsOfDate,IF($R45=0,$X45,IF(AND($T45&lt;&gt;"",EDATE($D45,Milestones!$AA$161)&gt;=$T45),$W45,IF(AND($S45&lt;&gt;"",EDATE($D45,Milestones!$AA$161)&gt;=$S45),$V45,$U45)))=Milestones!$AB$161),UPPER(TEXT(EDATE($D45,Milestones!$AA$161),"dd mmm yy"))&amp;" "&amp;Milestones!$AB$161&amp;" "&amp;Milestones!$AC$161&amp;";  ","")&amp;IF(AND(EDATE($D45,Milestones!$AA$162)&lt;=AsOfDate,IF($R45=0,$X45,IF(AND($T45&lt;&gt;"",EDATE($D45,Milestones!$AA$162)&gt;=$T45),$W45,IF(AND($S45&lt;&gt;"",EDATE($D45,Milestones!$AA$162)&gt;=$S45),$V45,$U45)))=Milestones!$AB$162),UPPER(TEXT(EDATE($D45,Milestones!$AA$162),"dd mmm yy"))&amp;" "&amp;Milestones!$AB$162&amp;" "&amp;Milestones!$AC$162&amp;";  ","")&amp;IF(AND(EDATE($D45,Milestones!$AA$163)&lt;=AsOfDate,IF($R45=0,$X45,IF(AND($T45&lt;&gt;"",EDATE($D45,Milestones!$AA$163)&gt;=$T45),$W45,IF(AND($S45&lt;&gt;"",EDATE($D45,Milestones!$AA$163)&gt;=$S45),$V45,$U45)))=Milestones!$AB$163),UPPER(TEXT(EDATE($D45,Milestones!$AA$163),"dd mmm yy"))&amp;" "&amp;Milestones!$AB$163&amp;" "&amp;Milestones!$AC$163&amp;";  ","")&amp;IF(AND(EDATE($D45,Milestones!$AA$164)&lt;=AsOfDate,IF($R45=0,$X45,IF(AND($T45&lt;&gt;"",EDATE($D45,Milestones!$AA$164)&gt;=$T45),$W45,IF(AND($S45&lt;&gt;"",EDATE($D45,Milestones!$AA$164)&gt;=$S45),$V45,$U45)))=Milestones!$AB$164),UPPER(TEXT(EDATE($D45,Milestones!$AA$164),"dd mmm yy"))&amp;" "&amp;Milestones!$AB$164&amp;" "&amp;Milestones!$AC$164&amp;";  ","")&amp;IF(AND(EDATE($D45,Milestones!$AA$165)&lt;=AsOfDate,IF($R45=0,$X45,IF(AND($T45&lt;&gt;"",EDATE($D45,Milestones!$AA$165)&gt;=$T45),$W45,IF(AND($S45&lt;&gt;"",EDATE($D45,Milestones!$AA$165)&gt;=$S45),$V45,$U45)))=Milestones!$AB$165),UPPER(TEXT(EDATE($D45,Milestones!$AA$165),"dd mmm yy"))&amp;" "&amp;Milestones!$AB$165&amp;" "&amp;Milestones!$AC$165&amp;";  ","")&amp;IF(AND(EDATE($D45,Milestones!$AA$166)&lt;=AsOfDate,IF($R45=0,$X45,IF(AND($T45&lt;&gt;"",EDATE($D45,Milestones!$AA$166)&gt;=$T45),$W45,IF(AND($S45&lt;&gt;"",EDATE($D45,Milestones!$AA$166)&gt;=$S45),$V45,$U45)))=Milestones!$AB$166),UPPER(TEXT(EDATE($D45,Milestones!$AA$166),"dd mmm yy"))&amp;" "&amp;Milestones!$AB$166&amp;" "&amp;Milestones!$AC$166&amp;";  ","")&amp;IF(AND(EDATE($D45,Milestones!$AA$167)&lt;=AsOfDate,IF($R45=0,$X45,IF(AND($T45&lt;&gt;"",EDATE($D45,Milestones!$AA$167)&gt;=$T45),$W45,IF(AND($S45&lt;&gt;"",EDATE($D45,Milestones!$AA$167)&gt;=$S45),$V45,$U45)))=Milestones!$AB$167),UPPER(TEXT(EDATE($D45,Milestones!$AA$167),"dd mmm yy"))&amp;" "&amp;Milestones!$AB$167&amp;" "&amp;Milestones!$AC$167&amp;";  ","")&amp;IF(AND(EDATE($D45,Milestones!$AA$168)&lt;=AsOfDate,IF($R45=0,$X45,IF(AND($T45&lt;&gt;"",EDATE($D45,Milestones!$AA$168)&gt;=$T45),$W45,IF(AND($S45&lt;&gt;"",EDATE($D45,Milestones!$AA$168)&gt;=$S45),$V45,$U45)))=Milestones!$AB$168),UPPER(TEXT(EDATE($D45,Milestones!$AA$168),"dd mmm yy"))&amp;" "&amp;Milestones!$AB$168&amp;" "&amp;Milestones!$AC$168&amp;";  ","")&amp;IF(AND(EDATE($D45,Milestones!$AA$169)&lt;=AsOfDate,IF($R45=0,$X45,IF(AND($T45&lt;&gt;"",EDATE($D45,Milestones!$AA$169)&gt;=$T45),$W45,IF(AND($S45&lt;&gt;"",EDATE($D45,Milestones!$AA$169)&gt;=$S45),$V45,$U45)))=Milestones!$AB$169),UPPER(TEXT(EDATE($D45,Milestones!$AA$169),"dd mmm yy"))&amp;" "&amp;Milestones!$AB$169&amp;" "&amp;Milestones!$AC$169&amp;";  ","")&amp;IF(AND(EDATE($D45,Milestones!$AA$170)&lt;=AsOfDate,IF($R45=0,$X45,IF(AND($T45&lt;&gt;"",EDATE($D45,Milestones!$AA$170)&gt;=$T45),$W45,IF(AND($S45&lt;&gt;"",EDATE($D45,Milestones!$AA$170)&gt;=$S45),$V45,$U45)))=Milestones!$AB$170),UPPER(TEXT(EDATE($D45,Milestones!$AA$170),"dd mmm yy"))&amp;" "&amp;Milestones!$AB$170&amp;" "&amp;Milestones!$AC$170&amp;";  ","")&amp;IF(AND(EDATE($D45,Milestones!$AA$171)&lt;=AsOfDate,IF($R45=0,$X45,IF(AND($T45&lt;&gt;"",EDATE($D45,Milestones!$AA$171)&gt;=$T45),$W45,IF(AND($S45&lt;&gt;"",EDATE($D45,Milestones!$AA$171)&gt;=$S45),$V45,$U45)))=Milestones!$AB$171),UPPER(TEXT(EDATE($D45,Milestones!$AA$171),"dd mmm yy"))&amp;" "&amp;Milestones!$AB$171&amp;" "&amp;Milestones!$AC$171&amp;";  ","")&amp;IF(AND(EDATE($D45,Milestones!$AA$172)&lt;=AsOfDate,IF($R45=0,$X45,IF(AND($T45&lt;&gt;"",EDATE($D45,Milestones!$AA$172)&gt;=$T45),$W45,IF(AND($S45&lt;&gt;"",EDATE($D45,Milestones!$AA$172)&gt;=$S45),$V45,$U45)))=Milestones!$AB$172),UPPER(TEXT(EDATE($D45,Milestones!$AA$172),"dd mmm yy"))&amp;" "&amp;Milestones!$AB$172&amp;" "&amp;Milestones!$AC$172&amp;";  ","")&amp;IF(AND(EDATE($D45,Milestones!$AA$173)&lt;=AsOfDate,IF($R45=0,$X45,IF(AND($T45&lt;&gt;"",EDATE($D45,Milestones!$AA$173)&gt;=$T45),$W45,IF(AND($S45&lt;&gt;"",EDATE($D45,Milestones!$AA$173)&gt;=$S45),$V45,$U45)))=Milestones!$AB$173),UPPER(TEXT(EDATE($D45,Milestones!$AA$173),"dd mmm yy"))&amp;" "&amp;Milestones!$AB$173&amp;" "&amp;Milestones!$AC$173&amp;";  ","")&amp;IF(AND(EDATE($D45,Milestones!$AA$174)&lt;=AsOfDate,IF($R45=0,$X45,IF(AND($T45&lt;&gt;"",EDATE($D45,Milestones!$AA$174)&gt;=$T45),$W45,IF(AND($S45&lt;&gt;"",EDATE($D45,Milestones!$AA$174)&gt;=$S45),$V45,$U45)))=Milestones!$AB$174),UPPER(TEXT(EDATE($D45,Milestones!$AA$174),"dd mmm yy"))&amp;" "&amp;Milestones!$AB$174&amp;" "&amp;Milestones!$AC$174&amp;";  ","")&amp;IF(AND(EDATE($D45,Milestones!$AA$175)&lt;=AsOfDate,IF($R45=0,$X45,IF(AND($T45&lt;&gt;"",EDATE($D45,Milestones!$AA$175)&gt;=$T45),$W45,IF(AND($S45&lt;&gt;"",EDATE($D45,Milestones!$AA$175)&gt;=$S45),$V45,$U45)))=Milestones!$AB$175),UPPER(TEXT(EDATE($D45,Milestones!$AA$175),"dd mmm yy"))&amp;" "&amp;Milestones!$AB$175&amp;" "&amp;Milestones!$AC$175&amp;";  ","")&amp;IF(AND(EDATE($D45,Milestones!$AA$176)&lt;=AsOfDate,IF($R45=0,$X45,IF(AND($T45&lt;&gt;"",EDATE($D45,Milestones!$AA$176)&gt;=$T45),$W45,IF(AND($S45&lt;&gt;"",EDATE($D45,Milestones!$AA$176)&gt;=$S45),$V45,$U45)))=Milestones!$AB$176),UPPER(TEXT(EDATE($D45,Milestones!$AA$176),"dd mmm yy"))&amp;" "&amp;Milestones!$AB$176&amp;" "&amp;Milestones!$AC$176&amp;";  ","")&amp;IF(AND(EDATE($D45,Milestones!$AA$177)&lt;=AsOfDate,IF($R45=0,$X45,IF(AND($T45&lt;&gt;"",EDATE($D45,Milestones!$AA$177)&gt;=$T45),$W45,IF(AND($S45&lt;&gt;"",EDATE($D45,Milestones!$AA$177)&gt;=$S45),$V45,$U45)))=Milestones!$AB$177),UPPER(TEXT(EDATE($D45,Milestones!$AA$177),"dd mmm yy"))&amp;" "&amp;Milestones!$AB$177&amp;" "&amp;Milestones!$AC$177&amp;";  ","")&amp;IF(AND(EDATE($D45,Milestones!$AA$178)&lt;=AsOfDate,IF($R45=0,$X45,IF(AND($T45&lt;&gt;"",EDATE($D45,Milestones!$AA$178)&gt;=$T45),$W45,IF(AND($S45&lt;&gt;"",EDATE($D45,Milestones!$AA$178)&gt;=$S45),$V45,$U45)))=Milestones!$AB$178),UPPER(TEXT(EDATE($D45,Milestones!$AA$178),"dd mmm yy"))&amp;" "&amp;Milestones!$AB$178&amp;" "&amp;Milestones!$AC$178&amp;";  ","")&amp;IF(AND(EDATE($D45,Milestones!$AA$179)&lt;=AsOfDate,IF($R45=0,$X45,IF(AND($T45&lt;&gt;"",EDATE($D45,Milestones!$AA$179)&gt;=$T45),$W45,IF(AND($S45&lt;&gt;"",EDATE($D45,Milestones!$AA$179)&gt;=$S45),$V45,$U45)))=Milestones!$AB$179),UPPER(TEXT(EDATE($D45,Milestones!$AA$179),"dd mmm yy"))&amp;" "&amp;Milestones!$AB$179&amp;" "&amp;Milestones!$AC$179&amp;";  ",""))</f>
        <v/>
      </c>
      <c r="Q45" s="0" t="str">
        <f aca="false">IF(OR($A45="",$D45=""),"",IF(AND(EDATE($D45,Milestones!$AA$180)&lt;=AsOfDate,IF($R45=0,$X45,IF(AND($T45&lt;&gt;"",EDATE($D45,Milestones!$AA$180)&gt;=$T45),$W45,IF(AND($S45&lt;&gt;"",EDATE($D45,Milestones!$AA$180)&gt;=$S45),$V45,$U45)))=Milestones!$AB$180),UPPER(TEXT(EDATE($D45,Milestones!$AA$180),"dd mmm yy"))&amp;" "&amp;Milestones!$AB$180&amp;" "&amp;Milestones!$AC$180&amp;";  ","")&amp;IF(AND(EDATE($D45,Milestones!$AA$181)&lt;=AsOfDate,IF($R45=0,$X45,IF(AND($T45&lt;&gt;"",EDATE($D45,Milestones!$AA$181)&gt;=$T45),$W45,IF(AND($S45&lt;&gt;"",EDATE($D45,Milestones!$AA$181)&gt;=$S45),$V45,$U45)))=Milestones!$AB$181),UPPER(TEXT(EDATE($D45,Milestones!$AA$181),"dd mmm yy"))&amp;" "&amp;Milestones!$AB$181&amp;" "&amp;Milestones!$AC$181&amp;";  ","")&amp;IF(AND(EDATE($D45,Milestones!$AA$182)&lt;=AsOfDate,IF($R45=0,$X45,IF(AND($T45&lt;&gt;"",EDATE($D45,Milestones!$AA$182)&gt;=$T45),$W45,IF(AND($S45&lt;&gt;"",EDATE($D45,Milestones!$AA$182)&gt;=$S45),$V45,$U45)))=Milestones!$AB$182),UPPER(TEXT(EDATE($D45,Milestones!$AA$182),"dd mmm yy"))&amp;" "&amp;Milestones!$AB$182&amp;" "&amp;Milestones!$AC$182&amp;";  ","")&amp;IF(AND(EDATE($D45,Milestones!$AA$183)&lt;=AsOfDate,IF($R45=0,$X45,IF(AND($T45&lt;&gt;"",EDATE($D45,Milestones!$AA$183)&gt;=$T45),$W45,IF(AND($S45&lt;&gt;"",EDATE($D45,Milestones!$AA$183)&gt;=$S45),$V45,$U45)))=Milestones!$AB$183),UPPER(TEXT(EDATE($D45,Milestones!$AA$183),"dd mmm yy"))&amp;" "&amp;Milestones!$AB$183&amp;" "&amp;Milestones!$AC$183&amp;";  ","")&amp;IF(AND(EDATE($D45,Milestones!$AA$184)&lt;=AsOfDate,IF($R45=0,$X45,IF(AND($T45&lt;&gt;"",EDATE($D45,Milestones!$AA$184)&gt;=$T45),$W45,IF(AND($S45&lt;&gt;"",EDATE($D45,Milestones!$AA$184)&gt;=$S45),$V45,$U45)))=Milestones!$AB$184),UPPER(TEXT(EDATE($D45,Milestones!$AA$184),"dd mmm yy"))&amp;" "&amp;Milestones!$AB$184&amp;" "&amp;Milestones!$AC$184&amp;";  ","")&amp;IF(AND(EDATE($D45,Milestones!$AA$185)&lt;=AsOfDate,IF($R45=0,$X45,IF(AND($T45&lt;&gt;"",EDATE($D45,Milestones!$AA$185)&gt;=$T45),$W45,IF(AND($S45&lt;&gt;"",EDATE($D45,Milestones!$AA$185)&gt;=$S45),$V45,$U45)))=Milestones!$AB$185),UPPER(TEXT(EDATE($D45,Milestones!$AA$185),"dd mmm yy"))&amp;" "&amp;Milestones!$AB$185&amp;" "&amp;Milestones!$AC$185&amp;";  ","")&amp;IF(AND(EDATE($D45,Milestones!$AA$186)&lt;=AsOfDate,IF($R45=0,$X45,IF(AND($T45&lt;&gt;"",EDATE($D45,Milestones!$AA$186)&gt;=$T45),$W45,IF(AND($S45&lt;&gt;"",EDATE($D45,Milestones!$AA$186)&gt;=$S45),$V45,$U45)))=Milestones!$AB$186),UPPER(TEXT(EDATE($D45,Milestones!$AA$186),"dd mmm yy"))&amp;" "&amp;Milestones!$AB$186&amp;" "&amp;Milestones!$AC$186&amp;";  ","")&amp;IF(AND(EDATE($D45,Milestones!$AA$187)&lt;=AsOfDate,IF($R45=0,$X45,IF(AND($T45&lt;&gt;"",EDATE($D45,Milestones!$AA$187)&gt;=$T45),$W45,IF(AND($S45&lt;&gt;"",EDATE($D45,Milestones!$AA$187)&gt;=$S45),$V45,$U45)))=Milestones!$AB$187),UPPER(TEXT(EDATE($D45,Milestones!$AA$187),"dd mmm yy"))&amp;" "&amp;Milestones!$AB$187&amp;" "&amp;Milestones!$AC$187&amp;";  ","")&amp;IF(AND(EDATE($D45,Milestones!$AA$188)&lt;=AsOfDate,IF($R45=0,$X45,IF(AND($T45&lt;&gt;"",EDATE($D45,Milestones!$AA$188)&gt;=$T45),$W45,IF(AND($S45&lt;&gt;"",EDATE($D45,Milestones!$AA$188)&gt;=$S45),$V45,$U45)))=Milestones!$AB$188),UPPER(TEXT(EDATE($D45,Milestones!$AA$188),"dd mmm yy"))&amp;" "&amp;Milestones!$AB$188&amp;" "&amp;Milestones!$AC$188&amp;";  ","")&amp;IF(AND(EDATE($D45,Milestones!$AA$189)&lt;=AsOfDate,IF($R45=0,$X45,IF(AND($T45&lt;&gt;"",EDATE($D45,Milestones!$AA$189)&gt;=$T45),$W45,IF(AND($S45&lt;&gt;"",EDATE($D45,Milestones!$AA$189)&gt;=$S45),$V45,$U45)))=Milestones!$AB$189),UPPER(TEXT(EDATE($D45,Milestones!$AA$189),"dd mmm yy"))&amp;" "&amp;Milestones!$AB$189&amp;" "&amp;Milestones!$AC$189&amp;";  ","")&amp;IF(AND(EDATE($D45,Milestones!$AA$190)&lt;=AsOfDate,IF($R45=0,$X45,IF(AND($T45&lt;&gt;"",EDATE($D45,Milestones!$AA$190)&gt;=$T45),$W45,IF(AND($S45&lt;&gt;"",EDATE($D45,Milestones!$AA$190)&gt;=$S45),$V45,$U45)))=Milestones!$AB$190),UPPER(TEXT(EDATE($D45,Milestones!$AA$190),"dd mmm yy"))&amp;" "&amp;Milestones!$AB$190&amp;" "&amp;Milestones!$AC$190&amp;";  ","")&amp;IF(AND(EDATE($D45,Milestones!$AA$191)&lt;=AsOfDate,IF($R45=0,$X45,IF(AND($T45&lt;&gt;"",EDATE($D45,Milestones!$AA$191)&gt;=$T45),$W45,IF(AND($S45&lt;&gt;"",EDATE($D45,Milestones!$AA$191)&gt;=$S45),$V45,$U45)))=Milestones!$AB$191),UPPER(TEXT(EDATE($D45,Milestones!$AA$191),"dd mmm yy"))&amp;" "&amp;Milestones!$AB$191&amp;" "&amp;Milestones!$AC$191&amp;";  ","")&amp;IF(AND(EDATE($D45,Milestones!$AA$192)&lt;=AsOfDate,IF($R45=0,$X45,IF(AND($T45&lt;&gt;"",EDATE($D45,Milestones!$AA$192)&gt;=$T45),$W45,IF(AND($S45&lt;&gt;"",EDATE($D45,Milestones!$AA$192)&gt;=$S45),$V45,$U45)))=Milestones!$AB$192),UPPER(TEXT(EDATE($D45,Milestones!$AA$192),"dd mmm yy"))&amp;" "&amp;Milestones!$AB$192&amp;" "&amp;Milestones!$AC$192&amp;";  ","")&amp;IF(AND(EDATE($D45,Milestones!$AA$193)&lt;=AsOfDate,IF($R45=0,$X45,IF(AND($T45&lt;&gt;"",EDATE($D45,Milestones!$AA$193)&gt;=$T45),$W45,IF(AND($S45&lt;&gt;"",EDATE($D45,Milestones!$AA$193)&gt;=$S45),$V45,$U45)))=Milestones!$AB$193),UPPER(TEXT(EDATE($D45,Milestones!$AA$193),"dd mmm yy"))&amp;" "&amp;Milestones!$AB$193&amp;" "&amp;Milestones!$AC$193&amp;";  ","")&amp;IF(AND(EDATE($D45,Milestones!$AA$194)&lt;=AsOfDate,IF($R45=0,$X45,IF(AND($T45&lt;&gt;"",EDATE($D45,Milestones!$AA$194)&gt;=$T45),$W45,IF(AND($S45&lt;&gt;"",EDATE($D45,Milestones!$AA$194)&gt;=$S45),$V45,$U45)))=Milestones!$AB$194),UPPER(TEXT(EDATE($D45,Milestones!$AA$194),"dd mmm yy"))&amp;" "&amp;Milestones!$AB$194&amp;" "&amp;Milestones!$AC$194&amp;";  ","")&amp;IF(AND(EDATE($D45,Milestones!$AA$195)&lt;=AsOfDate,IF($R45=0,$X45,IF(AND($T45&lt;&gt;"",EDATE($D45,Milestones!$AA$195)&gt;=$T45),$W45,IF(AND($S45&lt;&gt;"",EDATE($D45,Milestones!$AA$195)&gt;=$S45),$V45,$U45)))=Milestones!$AB$195),UPPER(TEXT(EDATE($D45,Milestones!$AA$195),"dd mmm yy"))&amp;" "&amp;Milestones!$AB$195&amp;" "&amp;Milestones!$AC$195&amp;";  ","")&amp;IF(AND(EDATE($D45,Milestones!$AA$196)&lt;=AsOfDate,IF($R45=0,$X45,IF(AND($T45&lt;&gt;"",EDATE($D45,Milestones!$AA$196)&gt;=$T45),$W45,IF(AND($S45&lt;&gt;"",EDATE($D45,Milestones!$AA$196)&gt;=$S45),$V45,$U45)))=Milestones!$AB$196),UPPER(TEXT(EDATE($D45,Milestones!$AA$196),"dd mmm yy"))&amp;" "&amp;Milestones!$AB$196&amp;" "&amp;Milestones!$AC$196&amp;";  ","")&amp;IF(AND(EDATE($D45,Milestones!$AA$197)&lt;=AsOfDate,IF($R45=0,$X45,IF(AND($T45&lt;&gt;"",EDATE($D45,Milestones!$AA$197)&gt;=$T45),$W45,IF(AND($S45&lt;&gt;"",EDATE($D45,Milestones!$AA$197)&gt;=$S45),$V45,$U45)))=Milestones!$AB$197),UPPER(TEXT(EDATE($D45,Milestones!$AA$197),"dd mmm yy"))&amp;" "&amp;Milestones!$AB$197&amp;" "&amp;Milestones!$AC$197&amp;";  ","")&amp;IF(AND(EDATE($D45,Milestones!$AA$198)&lt;=AsOfDate,IF($R45=0,$X45,IF(AND($T45&lt;&gt;"",EDATE($D45,Milestones!$AA$198)&gt;=$T45),$W45,IF(AND($S45&lt;&gt;"",EDATE($D45,Milestones!$AA$198)&gt;=$S45),$V45,$U45)))=Milestones!$AB$198),UPPER(TEXT(EDATE($D45,Milestones!$AA$198),"dd mmm yy"))&amp;" "&amp;Milestones!$AB$198&amp;" "&amp;Milestones!$AC$198&amp;";  ","")&amp;IF(AND(EDATE($D45,Milestones!$AA$199)&lt;=AsOfDate,IF($R45=0,$X45,IF(AND($T45&lt;&gt;"",EDATE($D45,Milestones!$AA$199)&gt;=$T45),$W45,IF(AND($S45&lt;&gt;"",EDATE($D45,Milestones!$AA$199)&gt;=$S45),$V45,$U45)))=Milestones!$AB$199),UPPER(TEXT(EDATE($D45,Milestones!$AA$199),"dd mmm yy"))&amp;" "&amp;Milestones!$AB$199&amp;" "&amp;Milestones!$AC$199&amp;";  ",""))</f>
        <v/>
      </c>
      <c r="R45" s="0" t="str">
        <f aca="false">IF(Staff!$A45="","",Staff!$AI45)</f>
        <v/>
      </c>
      <c r="S45" s="0" t="str">
        <f aca="false">IF(Staff!$A45="","",Staff!$AK45)</f>
        <v/>
      </c>
      <c r="T45" s="0" t="str">
        <f aca="false">IF(Staff!$A45="","",Staff!$AL45)</f>
        <v/>
      </c>
      <c r="U45" s="0" t="str">
        <f aca="false">IF(Staff!$A45="","",Staff!$AP45)</f>
        <v/>
      </c>
      <c r="V45" s="0" t="str">
        <f aca="false">IF(Staff!$A45="","",Staff!$AQ45)</f>
        <v/>
      </c>
      <c r="W45" s="0" t="str">
        <f aca="false">IF(Staff!$A45="","",Staff!$AR45)</f>
        <v/>
      </c>
      <c r="X45" s="0" t="str">
        <f aca="false">IF(Staff!$A45="","",Staff!$AS45)</f>
        <v/>
      </c>
    </row>
    <row r="46" customFormat="false" ht="15" hidden="false" customHeight="false" outlineLevel="0" collapsed="false">
      <c r="A46" s="14" t="str">
        <f aca="false">IF(Staff!$A46="","",Staff!$A46)</f>
        <v/>
      </c>
      <c r="B46" s="14" t="str">
        <f aca="false">IF(Staff!$A46="","",Staff!$B46)</f>
        <v/>
      </c>
      <c r="C46" s="14" t="str">
        <f aca="false">IF(Staff!$A46="","",Staff!$C46)</f>
        <v/>
      </c>
      <c r="D46" s="12" t="str">
        <f aca="false">IF(Staff!$A46="","",Staff!$AH46)</f>
        <v/>
      </c>
      <c r="E46" s="14" t="str">
        <f aca="false">IF(Staff!$A46="","",Staff!$O46)</f>
        <v/>
      </c>
      <c r="F46" s="14" t="str">
        <f aca="false">IF(E46="","",E46*HoursPerDay)</f>
        <v/>
      </c>
      <c r="G46" s="14" t="str">
        <f aca="false">IF(Staff!$A46="","",Staff!$AE46)</f>
        <v/>
      </c>
      <c r="H46" s="26" t="str">
        <f aca="false">IF($A46="","",I46&amp;J46&amp;K46&amp;L46&amp;M46&amp;N46&amp;O46&amp;P46&amp;Q46)</f>
        <v/>
      </c>
      <c r="I46" s="0" t="str">
        <f aca="false">IF(OR($A46="",$D46=""),"",IF(AND(EDATE($D46,Milestones!$AA$20)&lt;=AsOfDate,IF($R46=0,$X46,IF(AND($T46&lt;&gt;"",EDATE($D46,Milestones!$AA$20)&gt;=$T46),$W46,IF(AND($S46&lt;&gt;"",EDATE($D46,Milestones!$AA$20)&gt;=$S46),$V46,$U46)))=Milestones!$AB$20),UPPER(TEXT(EDATE($D46,Milestones!$AA$20),"dd mmm yy"))&amp;" "&amp;Milestones!$AB$20&amp;" "&amp;Milestones!$AC$20&amp;";  ","")&amp;IF(AND(EDATE($D46,Milestones!$AA$21)&lt;=AsOfDate,IF($R46=0,$X46,IF(AND($T46&lt;&gt;"",EDATE($D46,Milestones!$AA$21)&gt;=$T46),$W46,IF(AND($S46&lt;&gt;"",EDATE($D46,Milestones!$AA$21)&gt;=$S46),$V46,$U46)))=Milestones!$AB$21),UPPER(TEXT(EDATE($D46,Milestones!$AA$21),"dd mmm yy"))&amp;" "&amp;Milestones!$AB$21&amp;" "&amp;Milestones!$AC$21&amp;";  ","")&amp;IF(AND(EDATE($D46,Milestones!$AA$22)&lt;=AsOfDate,IF($R46=0,$X46,IF(AND($T46&lt;&gt;"",EDATE($D46,Milestones!$AA$22)&gt;=$T46),$W46,IF(AND($S46&lt;&gt;"",EDATE($D46,Milestones!$AA$22)&gt;=$S46),$V46,$U46)))=Milestones!$AB$22),UPPER(TEXT(EDATE($D46,Milestones!$AA$22),"dd mmm yy"))&amp;" "&amp;Milestones!$AB$22&amp;" "&amp;Milestones!$AC$22&amp;";  ","")&amp;IF(AND(EDATE($D46,Milestones!$AA$23)&lt;=AsOfDate,IF($R46=0,$X46,IF(AND($T46&lt;&gt;"",EDATE($D46,Milestones!$AA$23)&gt;=$T46),$W46,IF(AND($S46&lt;&gt;"",EDATE($D46,Milestones!$AA$23)&gt;=$S46),$V46,$U46)))=Milestones!$AB$23),UPPER(TEXT(EDATE($D46,Milestones!$AA$23),"dd mmm yy"))&amp;" "&amp;Milestones!$AB$23&amp;" "&amp;Milestones!$AC$23&amp;";  ","")&amp;IF(AND(EDATE($D46,Milestones!$AA$24)&lt;=AsOfDate,IF($R46=0,$X46,IF(AND($T46&lt;&gt;"",EDATE($D46,Milestones!$AA$24)&gt;=$T46),$W46,IF(AND($S46&lt;&gt;"",EDATE($D46,Milestones!$AA$24)&gt;=$S46),$V46,$U46)))=Milestones!$AB$24),UPPER(TEXT(EDATE($D46,Milestones!$AA$24),"dd mmm yy"))&amp;" "&amp;Milestones!$AB$24&amp;" "&amp;Milestones!$AC$24&amp;";  ","")&amp;IF(AND(EDATE($D46,Milestones!$AA$25)&lt;=AsOfDate,IF($R46=0,$X46,IF(AND($T46&lt;&gt;"",EDATE($D46,Milestones!$AA$25)&gt;=$T46),$W46,IF(AND($S46&lt;&gt;"",EDATE($D46,Milestones!$AA$25)&gt;=$S46),$V46,$U46)))=Milestones!$AB$25),UPPER(TEXT(EDATE($D46,Milestones!$AA$25),"dd mmm yy"))&amp;" "&amp;Milestones!$AB$25&amp;" "&amp;Milestones!$AC$25&amp;";  ","")&amp;IF(AND(EDATE($D46,Milestones!$AA$26)&lt;=AsOfDate,IF($R46=0,$X46,IF(AND($T46&lt;&gt;"",EDATE($D46,Milestones!$AA$26)&gt;=$T46),$W46,IF(AND($S46&lt;&gt;"",EDATE($D46,Milestones!$AA$26)&gt;=$S46),$V46,$U46)))=Milestones!$AB$26),UPPER(TEXT(EDATE($D46,Milestones!$AA$26),"dd mmm yy"))&amp;" "&amp;Milestones!$AB$26&amp;" "&amp;Milestones!$AC$26&amp;";  ","")&amp;IF(AND(EDATE($D46,Milestones!$AA$27)&lt;=AsOfDate,IF($R46=0,$X46,IF(AND($T46&lt;&gt;"",EDATE($D46,Milestones!$AA$27)&gt;=$T46),$W46,IF(AND($S46&lt;&gt;"",EDATE($D46,Milestones!$AA$27)&gt;=$S46),$V46,$U46)))=Milestones!$AB$27),UPPER(TEXT(EDATE($D46,Milestones!$AA$27),"dd mmm yy"))&amp;" "&amp;Milestones!$AB$27&amp;" "&amp;Milestones!$AC$27&amp;";  ","")&amp;IF(AND(EDATE($D46,Milestones!$AA$28)&lt;=AsOfDate,IF($R46=0,$X46,IF(AND($T46&lt;&gt;"",EDATE($D46,Milestones!$AA$28)&gt;=$T46),$W46,IF(AND($S46&lt;&gt;"",EDATE($D46,Milestones!$AA$28)&gt;=$S46),$V46,$U46)))=Milestones!$AB$28),UPPER(TEXT(EDATE($D46,Milestones!$AA$28),"dd mmm yy"))&amp;" "&amp;Milestones!$AB$28&amp;" "&amp;Milestones!$AC$28&amp;";  ","")&amp;IF(AND(EDATE($D46,Milestones!$AA$29)&lt;=AsOfDate,IF($R46=0,$X46,IF(AND($T46&lt;&gt;"",EDATE($D46,Milestones!$AA$29)&gt;=$T46),$W46,IF(AND($S46&lt;&gt;"",EDATE($D46,Milestones!$AA$29)&gt;=$S46),$V46,$U46)))=Milestones!$AB$29),UPPER(TEXT(EDATE($D46,Milestones!$AA$29),"dd mmm yy"))&amp;" "&amp;Milestones!$AB$29&amp;" "&amp;Milestones!$AC$29&amp;";  ","")&amp;IF(AND(EDATE($D46,Milestones!$AA$30)&lt;=AsOfDate,IF($R46=0,$X46,IF(AND($T46&lt;&gt;"",EDATE($D46,Milestones!$AA$30)&gt;=$T46),$W46,IF(AND($S46&lt;&gt;"",EDATE($D46,Milestones!$AA$30)&gt;=$S46),$V46,$U46)))=Milestones!$AB$30),UPPER(TEXT(EDATE($D46,Milestones!$AA$30),"dd mmm yy"))&amp;" "&amp;Milestones!$AB$30&amp;" "&amp;Milestones!$AC$30&amp;";  ","")&amp;IF(AND(EDATE($D46,Milestones!$AA$31)&lt;=AsOfDate,IF($R46=0,$X46,IF(AND($T46&lt;&gt;"",EDATE($D46,Milestones!$AA$31)&gt;=$T46),$W46,IF(AND($S46&lt;&gt;"",EDATE($D46,Milestones!$AA$31)&gt;=$S46),$V46,$U46)))=Milestones!$AB$31),UPPER(TEXT(EDATE($D46,Milestones!$AA$31),"dd mmm yy"))&amp;" "&amp;Milestones!$AB$31&amp;" "&amp;Milestones!$AC$31&amp;";  ","")&amp;IF(AND(EDATE($D46,Milestones!$AA$32)&lt;=AsOfDate,IF($R46=0,$X46,IF(AND($T46&lt;&gt;"",EDATE($D46,Milestones!$AA$32)&gt;=$T46),$W46,IF(AND($S46&lt;&gt;"",EDATE($D46,Milestones!$AA$32)&gt;=$S46),$V46,$U46)))=Milestones!$AB$32),UPPER(TEXT(EDATE($D46,Milestones!$AA$32),"dd mmm yy"))&amp;" "&amp;Milestones!$AB$32&amp;" "&amp;Milestones!$AC$32&amp;";  ","")&amp;IF(AND(EDATE($D46,Milestones!$AA$33)&lt;=AsOfDate,IF($R46=0,$X46,IF(AND($T46&lt;&gt;"",EDATE($D46,Milestones!$AA$33)&gt;=$T46),$W46,IF(AND($S46&lt;&gt;"",EDATE($D46,Milestones!$AA$33)&gt;=$S46),$V46,$U46)))=Milestones!$AB$33),UPPER(TEXT(EDATE($D46,Milestones!$AA$33),"dd mmm yy"))&amp;" "&amp;Milestones!$AB$33&amp;" "&amp;Milestones!$AC$33&amp;";  ","")&amp;IF(AND(EDATE($D46,Milestones!$AA$34)&lt;=AsOfDate,IF($R46=0,$X46,IF(AND($T46&lt;&gt;"",EDATE($D46,Milestones!$AA$34)&gt;=$T46),$W46,IF(AND($S46&lt;&gt;"",EDATE($D46,Milestones!$AA$34)&gt;=$S46),$V46,$U46)))=Milestones!$AB$34),UPPER(TEXT(EDATE($D46,Milestones!$AA$34),"dd mmm yy"))&amp;" "&amp;Milestones!$AB$34&amp;" "&amp;Milestones!$AC$34&amp;";  ","")&amp;IF(AND(EDATE($D46,Milestones!$AA$35)&lt;=AsOfDate,IF($R46=0,$X46,IF(AND($T46&lt;&gt;"",EDATE($D46,Milestones!$AA$35)&gt;=$T46),$W46,IF(AND($S46&lt;&gt;"",EDATE($D46,Milestones!$AA$35)&gt;=$S46),$V46,$U46)))=Milestones!$AB$35),UPPER(TEXT(EDATE($D46,Milestones!$AA$35),"dd mmm yy"))&amp;" "&amp;Milestones!$AB$35&amp;" "&amp;Milestones!$AC$35&amp;";  ","")&amp;IF(AND(EDATE($D46,Milestones!$AA$36)&lt;=AsOfDate,IF($R46=0,$X46,IF(AND($T46&lt;&gt;"",EDATE($D46,Milestones!$AA$36)&gt;=$T46),$W46,IF(AND($S46&lt;&gt;"",EDATE($D46,Milestones!$AA$36)&gt;=$S46),$V46,$U46)))=Milestones!$AB$36),UPPER(TEXT(EDATE($D46,Milestones!$AA$36),"dd mmm yy"))&amp;" "&amp;Milestones!$AB$36&amp;" "&amp;Milestones!$AC$36&amp;";  ","")&amp;IF(AND(EDATE($D46,Milestones!$AA$37)&lt;=AsOfDate,IF($R46=0,$X46,IF(AND($T46&lt;&gt;"",EDATE($D46,Milestones!$AA$37)&gt;=$T46),$W46,IF(AND($S46&lt;&gt;"",EDATE($D46,Milestones!$AA$37)&gt;=$S46),$V46,$U46)))=Milestones!$AB$37),UPPER(TEXT(EDATE($D46,Milestones!$AA$37),"dd mmm yy"))&amp;" "&amp;Milestones!$AB$37&amp;" "&amp;Milestones!$AC$37&amp;";  ","")&amp;IF(AND(EDATE($D46,Milestones!$AA$38)&lt;=AsOfDate,IF($R46=0,$X46,IF(AND($T46&lt;&gt;"",EDATE($D46,Milestones!$AA$38)&gt;=$T46),$W46,IF(AND($S46&lt;&gt;"",EDATE($D46,Milestones!$AA$38)&gt;=$S46),$V46,$U46)))=Milestones!$AB$38),UPPER(TEXT(EDATE($D46,Milestones!$AA$38),"dd mmm yy"))&amp;" "&amp;Milestones!$AB$38&amp;" "&amp;Milestones!$AC$38&amp;";  ","")&amp;IF(AND(EDATE($D46,Milestones!$AA$39)&lt;=AsOfDate,IF($R46=0,$X46,IF(AND($T46&lt;&gt;"",EDATE($D46,Milestones!$AA$39)&gt;=$T46),$W46,IF(AND($S46&lt;&gt;"",EDATE($D46,Milestones!$AA$39)&gt;=$S46),$V46,$U46)))=Milestones!$AB$39),UPPER(TEXT(EDATE($D46,Milestones!$AA$39),"dd mmm yy"))&amp;" "&amp;Milestones!$AB$39&amp;" "&amp;Milestones!$AC$39&amp;";  ",""))</f>
        <v/>
      </c>
      <c r="J46" s="0" t="str">
        <f aca="false">IF(OR($A46="",$D46=""),"",IF(AND(EDATE($D46,Milestones!$AA$40)&lt;=AsOfDate,IF($R46=0,$X46,IF(AND($T46&lt;&gt;"",EDATE($D46,Milestones!$AA$40)&gt;=$T46),$W46,IF(AND($S46&lt;&gt;"",EDATE($D46,Milestones!$AA$40)&gt;=$S46),$V46,$U46)))=Milestones!$AB$40),UPPER(TEXT(EDATE($D46,Milestones!$AA$40),"dd mmm yy"))&amp;" "&amp;Milestones!$AB$40&amp;" "&amp;Milestones!$AC$40&amp;";  ","")&amp;IF(AND(EDATE($D46,Milestones!$AA$41)&lt;=AsOfDate,IF($R46=0,$X46,IF(AND($T46&lt;&gt;"",EDATE($D46,Milestones!$AA$41)&gt;=$T46),$W46,IF(AND($S46&lt;&gt;"",EDATE($D46,Milestones!$AA$41)&gt;=$S46),$V46,$U46)))=Milestones!$AB$41),UPPER(TEXT(EDATE($D46,Milestones!$AA$41),"dd mmm yy"))&amp;" "&amp;Milestones!$AB$41&amp;" "&amp;Milestones!$AC$41&amp;";  ","")&amp;IF(AND(EDATE($D46,Milestones!$AA$42)&lt;=AsOfDate,IF($R46=0,$X46,IF(AND($T46&lt;&gt;"",EDATE($D46,Milestones!$AA$42)&gt;=$T46),$W46,IF(AND($S46&lt;&gt;"",EDATE($D46,Milestones!$AA$42)&gt;=$S46),$V46,$U46)))=Milestones!$AB$42),UPPER(TEXT(EDATE($D46,Milestones!$AA$42),"dd mmm yy"))&amp;" "&amp;Milestones!$AB$42&amp;" "&amp;Milestones!$AC$42&amp;";  ","")&amp;IF(AND(EDATE($D46,Milestones!$AA$43)&lt;=AsOfDate,IF($R46=0,$X46,IF(AND($T46&lt;&gt;"",EDATE($D46,Milestones!$AA$43)&gt;=$T46),$W46,IF(AND($S46&lt;&gt;"",EDATE($D46,Milestones!$AA$43)&gt;=$S46),$V46,$U46)))=Milestones!$AB$43),UPPER(TEXT(EDATE($D46,Milestones!$AA$43),"dd mmm yy"))&amp;" "&amp;Milestones!$AB$43&amp;" "&amp;Milestones!$AC$43&amp;";  ","")&amp;IF(AND(EDATE($D46,Milestones!$AA$44)&lt;=AsOfDate,IF($R46=0,$X46,IF(AND($T46&lt;&gt;"",EDATE($D46,Milestones!$AA$44)&gt;=$T46),$W46,IF(AND($S46&lt;&gt;"",EDATE($D46,Milestones!$AA$44)&gt;=$S46),$V46,$U46)))=Milestones!$AB$44),UPPER(TEXT(EDATE($D46,Milestones!$AA$44),"dd mmm yy"))&amp;" "&amp;Milestones!$AB$44&amp;" "&amp;Milestones!$AC$44&amp;";  ","")&amp;IF(AND(EDATE($D46,Milestones!$AA$45)&lt;=AsOfDate,IF($R46=0,$X46,IF(AND($T46&lt;&gt;"",EDATE($D46,Milestones!$AA$45)&gt;=$T46),$W46,IF(AND($S46&lt;&gt;"",EDATE($D46,Milestones!$AA$45)&gt;=$S46),$V46,$U46)))=Milestones!$AB$45),UPPER(TEXT(EDATE($D46,Milestones!$AA$45),"dd mmm yy"))&amp;" "&amp;Milestones!$AB$45&amp;" "&amp;Milestones!$AC$45&amp;";  ","")&amp;IF(AND(EDATE($D46,Milestones!$AA$46)&lt;=AsOfDate,IF($R46=0,$X46,IF(AND($T46&lt;&gt;"",EDATE($D46,Milestones!$AA$46)&gt;=$T46),$W46,IF(AND($S46&lt;&gt;"",EDATE($D46,Milestones!$AA$46)&gt;=$S46),$V46,$U46)))=Milestones!$AB$46),UPPER(TEXT(EDATE($D46,Milestones!$AA$46),"dd mmm yy"))&amp;" "&amp;Milestones!$AB$46&amp;" "&amp;Milestones!$AC$46&amp;";  ","")&amp;IF(AND(EDATE($D46,Milestones!$AA$47)&lt;=AsOfDate,IF($R46=0,$X46,IF(AND($T46&lt;&gt;"",EDATE($D46,Milestones!$AA$47)&gt;=$T46),$W46,IF(AND($S46&lt;&gt;"",EDATE($D46,Milestones!$AA$47)&gt;=$S46),$V46,$U46)))=Milestones!$AB$47),UPPER(TEXT(EDATE($D46,Milestones!$AA$47),"dd mmm yy"))&amp;" "&amp;Milestones!$AB$47&amp;" "&amp;Milestones!$AC$47&amp;";  ","")&amp;IF(AND(EDATE($D46,Milestones!$AA$48)&lt;=AsOfDate,IF($R46=0,$X46,IF(AND($T46&lt;&gt;"",EDATE($D46,Milestones!$AA$48)&gt;=$T46),$W46,IF(AND($S46&lt;&gt;"",EDATE($D46,Milestones!$AA$48)&gt;=$S46),$V46,$U46)))=Milestones!$AB$48),UPPER(TEXT(EDATE($D46,Milestones!$AA$48),"dd mmm yy"))&amp;" "&amp;Milestones!$AB$48&amp;" "&amp;Milestones!$AC$48&amp;";  ","")&amp;IF(AND(EDATE($D46,Milestones!$AA$49)&lt;=AsOfDate,IF($R46=0,$X46,IF(AND($T46&lt;&gt;"",EDATE($D46,Milestones!$AA$49)&gt;=$T46),$W46,IF(AND($S46&lt;&gt;"",EDATE($D46,Milestones!$AA$49)&gt;=$S46),$V46,$U46)))=Milestones!$AB$49),UPPER(TEXT(EDATE($D46,Milestones!$AA$49),"dd mmm yy"))&amp;" "&amp;Milestones!$AB$49&amp;" "&amp;Milestones!$AC$49&amp;";  ","")&amp;IF(AND(EDATE($D46,Milestones!$AA$50)&lt;=AsOfDate,IF($R46=0,$X46,IF(AND($T46&lt;&gt;"",EDATE($D46,Milestones!$AA$50)&gt;=$T46),$W46,IF(AND($S46&lt;&gt;"",EDATE($D46,Milestones!$AA$50)&gt;=$S46),$V46,$U46)))=Milestones!$AB$50),UPPER(TEXT(EDATE($D46,Milestones!$AA$50),"dd mmm yy"))&amp;" "&amp;Milestones!$AB$50&amp;" "&amp;Milestones!$AC$50&amp;";  ","")&amp;IF(AND(EDATE($D46,Milestones!$AA$51)&lt;=AsOfDate,IF($R46=0,$X46,IF(AND($T46&lt;&gt;"",EDATE($D46,Milestones!$AA$51)&gt;=$T46),$W46,IF(AND($S46&lt;&gt;"",EDATE($D46,Milestones!$AA$51)&gt;=$S46),$V46,$U46)))=Milestones!$AB$51),UPPER(TEXT(EDATE($D46,Milestones!$AA$51),"dd mmm yy"))&amp;" "&amp;Milestones!$AB$51&amp;" "&amp;Milestones!$AC$51&amp;";  ","")&amp;IF(AND(EDATE($D46,Milestones!$AA$52)&lt;=AsOfDate,IF($R46=0,$X46,IF(AND($T46&lt;&gt;"",EDATE($D46,Milestones!$AA$52)&gt;=$T46),$W46,IF(AND($S46&lt;&gt;"",EDATE($D46,Milestones!$AA$52)&gt;=$S46),$V46,$U46)))=Milestones!$AB$52),UPPER(TEXT(EDATE($D46,Milestones!$AA$52),"dd mmm yy"))&amp;" "&amp;Milestones!$AB$52&amp;" "&amp;Milestones!$AC$52&amp;";  ","")&amp;IF(AND(EDATE($D46,Milestones!$AA$53)&lt;=AsOfDate,IF($R46=0,$X46,IF(AND($T46&lt;&gt;"",EDATE($D46,Milestones!$AA$53)&gt;=$T46),$W46,IF(AND($S46&lt;&gt;"",EDATE($D46,Milestones!$AA$53)&gt;=$S46),$V46,$U46)))=Milestones!$AB$53),UPPER(TEXT(EDATE($D46,Milestones!$AA$53),"dd mmm yy"))&amp;" "&amp;Milestones!$AB$53&amp;" "&amp;Milestones!$AC$53&amp;";  ","")&amp;IF(AND(EDATE($D46,Milestones!$AA$54)&lt;=AsOfDate,IF($R46=0,$X46,IF(AND($T46&lt;&gt;"",EDATE($D46,Milestones!$AA$54)&gt;=$T46),$W46,IF(AND($S46&lt;&gt;"",EDATE($D46,Milestones!$AA$54)&gt;=$S46),$V46,$U46)))=Milestones!$AB$54),UPPER(TEXT(EDATE($D46,Milestones!$AA$54),"dd mmm yy"))&amp;" "&amp;Milestones!$AB$54&amp;" "&amp;Milestones!$AC$54&amp;";  ","")&amp;IF(AND(EDATE($D46,Milestones!$AA$55)&lt;=AsOfDate,IF($R46=0,$X46,IF(AND($T46&lt;&gt;"",EDATE($D46,Milestones!$AA$55)&gt;=$T46),$W46,IF(AND($S46&lt;&gt;"",EDATE($D46,Milestones!$AA$55)&gt;=$S46),$V46,$U46)))=Milestones!$AB$55),UPPER(TEXT(EDATE($D46,Milestones!$AA$55),"dd mmm yy"))&amp;" "&amp;Milestones!$AB$55&amp;" "&amp;Milestones!$AC$55&amp;";  ","")&amp;IF(AND(EDATE($D46,Milestones!$AA$56)&lt;=AsOfDate,IF($R46=0,$X46,IF(AND($T46&lt;&gt;"",EDATE($D46,Milestones!$AA$56)&gt;=$T46),$W46,IF(AND($S46&lt;&gt;"",EDATE($D46,Milestones!$AA$56)&gt;=$S46),$V46,$U46)))=Milestones!$AB$56),UPPER(TEXT(EDATE($D46,Milestones!$AA$56),"dd mmm yy"))&amp;" "&amp;Milestones!$AB$56&amp;" "&amp;Milestones!$AC$56&amp;";  ","")&amp;IF(AND(EDATE($D46,Milestones!$AA$57)&lt;=AsOfDate,IF($R46=0,$X46,IF(AND($T46&lt;&gt;"",EDATE($D46,Milestones!$AA$57)&gt;=$T46),$W46,IF(AND($S46&lt;&gt;"",EDATE($D46,Milestones!$AA$57)&gt;=$S46),$V46,$U46)))=Milestones!$AB$57),UPPER(TEXT(EDATE($D46,Milestones!$AA$57),"dd mmm yy"))&amp;" "&amp;Milestones!$AB$57&amp;" "&amp;Milestones!$AC$57&amp;";  ","")&amp;IF(AND(EDATE($D46,Milestones!$AA$58)&lt;=AsOfDate,IF($R46=0,$X46,IF(AND($T46&lt;&gt;"",EDATE($D46,Milestones!$AA$58)&gt;=$T46),$W46,IF(AND($S46&lt;&gt;"",EDATE($D46,Milestones!$AA$58)&gt;=$S46),$V46,$U46)))=Milestones!$AB$58),UPPER(TEXT(EDATE($D46,Milestones!$AA$58),"dd mmm yy"))&amp;" "&amp;Milestones!$AB$58&amp;" "&amp;Milestones!$AC$58&amp;";  ","")&amp;IF(AND(EDATE($D46,Milestones!$AA$59)&lt;=AsOfDate,IF($R46=0,$X46,IF(AND($T46&lt;&gt;"",EDATE($D46,Milestones!$AA$59)&gt;=$T46),$W46,IF(AND($S46&lt;&gt;"",EDATE($D46,Milestones!$AA$59)&gt;=$S46),$V46,$U46)))=Milestones!$AB$59),UPPER(TEXT(EDATE($D46,Milestones!$AA$59),"dd mmm yy"))&amp;" "&amp;Milestones!$AB$59&amp;" "&amp;Milestones!$AC$59&amp;";  ",""))</f>
        <v/>
      </c>
      <c r="K46" s="0" t="str">
        <f aca="false">IF(OR($A46="",$D46=""),"",IF(AND(EDATE($D46,Milestones!$AA$60)&lt;=AsOfDate,IF($R46=0,$X46,IF(AND($T46&lt;&gt;"",EDATE($D46,Milestones!$AA$60)&gt;=$T46),$W46,IF(AND($S46&lt;&gt;"",EDATE($D46,Milestones!$AA$60)&gt;=$S46),$V46,$U46)))=Milestones!$AB$60),UPPER(TEXT(EDATE($D46,Milestones!$AA$60),"dd mmm yy"))&amp;" "&amp;Milestones!$AB$60&amp;" "&amp;Milestones!$AC$60&amp;";  ","")&amp;IF(AND(EDATE($D46,Milestones!$AA$61)&lt;=AsOfDate,IF($R46=0,$X46,IF(AND($T46&lt;&gt;"",EDATE($D46,Milestones!$AA$61)&gt;=$T46),$W46,IF(AND($S46&lt;&gt;"",EDATE($D46,Milestones!$AA$61)&gt;=$S46),$V46,$U46)))=Milestones!$AB$61),UPPER(TEXT(EDATE($D46,Milestones!$AA$61),"dd mmm yy"))&amp;" "&amp;Milestones!$AB$61&amp;" "&amp;Milestones!$AC$61&amp;";  ","")&amp;IF(AND(EDATE($D46,Milestones!$AA$62)&lt;=AsOfDate,IF($R46=0,$X46,IF(AND($T46&lt;&gt;"",EDATE($D46,Milestones!$AA$62)&gt;=$T46),$W46,IF(AND($S46&lt;&gt;"",EDATE($D46,Milestones!$AA$62)&gt;=$S46),$V46,$U46)))=Milestones!$AB$62),UPPER(TEXT(EDATE($D46,Milestones!$AA$62),"dd mmm yy"))&amp;" "&amp;Milestones!$AB$62&amp;" "&amp;Milestones!$AC$62&amp;";  ","")&amp;IF(AND(EDATE($D46,Milestones!$AA$63)&lt;=AsOfDate,IF($R46=0,$X46,IF(AND($T46&lt;&gt;"",EDATE($D46,Milestones!$AA$63)&gt;=$T46),$W46,IF(AND($S46&lt;&gt;"",EDATE($D46,Milestones!$AA$63)&gt;=$S46),$V46,$U46)))=Milestones!$AB$63),UPPER(TEXT(EDATE($D46,Milestones!$AA$63),"dd mmm yy"))&amp;" "&amp;Milestones!$AB$63&amp;" "&amp;Milestones!$AC$63&amp;";  ","")&amp;IF(AND(EDATE($D46,Milestones!$AA$64)&lt;=AsOfDate,IF($R46=0,$X46,IF(AND($T46&lt;&gt;"",EDATE($D46,Milestones!$AA$64)&gt;=$T46),$W46,IF(AND($S46&lt;&gt;"",EDATE($D46,Milestones!$AA$64)&gt;=$S46),$V46,$U46)))=Milestones!$AB$64),UPPER(TEXT(EDATE($D46,Milestones!$AA$64),"dd mmm yy"))&amp;" "&amp;Milestones!$AB$64&amp;" "&amp;Milestones!$AC$64&amp;";  ","")&amp;IF(AND(EDATE($D46,Milestones!$AA$65)&lt;=AsOfDate,IF($R46=0,$X46,IF(AND($T46&lt;&gt;"",EDATE($D46,Milestones!$AA$65)&gt;=$T46),$W46,IF(AND($S46&lt;&gt;"",EDATE($D46,Milestones!$AA$65)&gt;=$S46),$V46,$U46)))=Milestones!$AB$65),UPPER(TEXT(EDATE($D46,Milestones!$AA$65),"dd mmm yy"))&amp;" "&amp;Milestones!$AB$65&amp;" "&amp;Milestones!$AC$65&amp;";  ","")&amp;IF(AND(EDATE($D46,Milestones!$AA$66)&lt;=AsOfDate,IF($R46=0,$X46,IF(AND($T46&lt;&gt;"",EDATE($D46,Milestones!$AA$66)&gt;=$T46),$W46,IF(AND($S46&lt;&gt;"",EDATE($D46,Milestones!$AA$66)&gt;=$S46),$V46,$U46)))=Milestones!$AB$66),UPPER(TEXT(EDATE($D46,Milestones!$AA$66),"dd mmm yy"))&amp;" "&amp;Milestones!$AB$66&amp;" "&amp;Milestones!$AC$66&amp;";  ","")&amp;IF(AND(EDATE($D46,Milestones!$AA$67)&lt;=AsOfDate,IF($R46=0,$X46,IF(AND($T46&lt;&gt;"",EDATE($D46,Milestones!$AA$67)&gt;=$T46),$W46,IF(AND($S46&lt;&gt;"",EDATE($D46,Milestones!$AA$67)&gt;=$S46),$V46,$U46)))=Milestones!$AB$67),UPPER(TEXT(EDATE($D46,Milestones!$AA$67),"dd mmm yy"))&amp;" "&amp;Milestones!$AB$67&amp;" "&amp;Milestones!$AC$67&amp;";  ","")&amp;IF(AND(EDATE($D46,Milestones!$AA$68)&lt;=AsOfDate,IF($R46=0,$X46,IF(AND($T46&lt;&gt;"",EDATE($D46,Milestones!$AA$68)&gt;=$T46),$W46,IF(AND($S46&lt;&gt;"",EDATE($D46,Milestones!$AA$68)&gt;=$S46),$V46,$U46)))=Milestones!$AB$68),UPPER(TEXT(EDATE($D46,Milestones!$AA$68),"dd mmm yy"))&amp;" "&amp;Milestones!$AB$68&amp;" "&amp;Milestones!$AC$68&amp;";  ","")&amp;IF(AND(EDATE($D46,Milestones!$AA$69)&lt;=AsOfDate,IF($R46=0,$X46,IF(AND($T46&lt;&gt;"",EDATE($D46,Milestones!$AA$69)&gt;=$T46),$W46,IF(AND($S46&lt;&gt;"",EDATE($D46,Milestones!$AA$69)&gt;=$S46),$V46,$U46)))=Milestones!$AB$69),UPPER(TEXT(EDATE($D46,Milestones!$AA$69),"dd mmm yy"))&amp;" "&amp;Milestones!$AB$69&amp;" "&amp;Milestones!$AC$69&amp;";  ","")&amp;IF(AND(EDATE($D46,Milestones!$AA$70)&lt;=AsOfDate,IF($R46=0,$X46,IF(AND($T46&lt;&gt;"",EDATE($D46,Milestones!$AA$70)&gt;=$T46),$W46,IF(AND($S46&lt;&gt;"",EDATE($D46,Milestones!$AA$70)&gt;=$S46),$V46,$U46)))=Milestones!$AB$70),UPPER(TEXT(EDATE($D46,Milestones!$AA$70),"dd mmm yy"))&amp;" "&amp;Milestones!$AB$70&amp;" "&amp;Milestones!$AC$70&amp;";  ","")&amp;IF(AND(EDATE($D46,Milestones!$AA$71)&lt;=AsOfDate,IF($R46=0,$X46,IF(AND($T46&lt;&gt;"",EDATE($D46,Milestones!$AA$71)&gt;=$T46),$W46,IF(AND($S46&lt;&gt;"",EDATE($D46,Milestones!$AA$71)&gt;=$S46),$V46,$U46)))=Milestones!$AB$71),UPPER(TEXT(EDATE($D46,Milestones!$AA$71),"dd mmm yy"))&amp;" "&amp;Milestones!$AB$71&amp;" "&amp;Milestones!$AC$71&amp;";  ","")&amp;IF(AND(EDATE($D46,Milestones!$AA$72)&lt;=AsOfDate,IF($R46=0,$X46,IF(AND($T46&lt;&gt;"",EDATE($D46,Milestones!$AA$72)&gt;=$T46),$W46,IF(AND($S46&lt;&gt;"",EDATE($D46,Milestones!$AA$72)&gt;=$S46),$V46,$U46)))=Milestones!$AB$72),UPPER(TEXT(EDATE($D46,Milestones!$AA$72),"dd mmm yy"))&amp;" "&amp;Milestones!$AB$72&amp;" "&amp;Milestones!$AC$72&amp;";  ","")&amp;IF(AND(EDATE($D46,Milestones!$AA$73)&lt;=AsOfDate,IF($R46=0,$X46,IF(AND($T46&lt;&gt;"",EDATE($D46,Milestones!$AA$73)&gt;=$T46),$W46,IF(AND($S46&lt;&gt;"",EDATE($D46,Milestones!$AA$73)&gt;=$S46),$V46,$U46)))=Milestones!$AB$73),UPPER(TEXT(EDATE($D46,Milestones!$AA$73),"dd mmm yy"))&amp;" "&amp;Milestones!$AB$73&amp;" "&amp;Milestones!$AC$73&amp;";  ","")&amp;IF(AND(EDATE($D46,Milestones!$AA$74)&lt;=AsOfDate,IF($R46=0,$X46,IF(AND($T46&lt;&gt;"",EDATE($D46,Milestones!$AA$74)&gt;=$T46),$W46,IF(AND($S46&lt;&gt;"",EDATE($D46,Milestones!$AA$74)&gt;=$S46),$V46,$U46)))=Milestones!$AB$74),UPPER(TEXT(EDATE($D46,Milestones!$AA$74),"dd mmm yy"))&amp;" "&amp;Milestones!$AB$74&amp;" "&amp;Milestones!$AC$74&amp;";  ","")&amp;IF(AND(EDATE($D46,Milestones!$AA$75)&lt;=AsOfDate,IF($R46=0,$X46,IF(AND($T46&lt;&gt;"",EDATE($D46,Milestones!$AA$75)&gt;=$T46),$W46,IF(AND($S46&lt;&gt;"",EDATE($D46,Milestones!$AA$75)&gt;=$S46),$V46,$U46)))=Milestones!$AB$75),UPPER(TEXT(EDATE($D46,Milestones!$AA$75),"dd mmm yy"))&amp;" "&amp;Milestones!$AB$75&amp;" "&amp;Milestones!$AC$75&amp;";  ","")&amp;IF(AND(EDATE($D46,Milestones!$AA$76)&lt;=AsOfDate,IF($R46=0,$X46,IF(AND($T46&lt;&gt;"",EDATE($D46,Milestones!$AA$76)&gt;=$T46),$W46,IF(AND($S46&lt;&gt;"",EDATE($D46,Milestones!$AA$76)&gt;=$S46),$V46,$U46)))=Milestones!$AB$76),UPPER(TEXT(EDATE($D46,Milestones!$AA$76),"dd mmm yy"))&amp;" "&amp;Milestones!$AB$76&amp;" "&amp;Milestones!$AC$76&amp;";  ","")&amp;IF(AND(EDATE($D46,Milestones!$AA$77)&lt;=AsOfDate,IF($R46=0,$X46,IF(AND($T46&lt;&gt;"",EDATE($D46,Milestones!$AA$77)&gt;=$T46),$W46,IF(AND($S46&lt;&gt;"",EDATE($D46,Milestones!$AA$77)&gt;=$S46),$V46,$U46)))=Milestones!$AB$77),UPPER(TEXT(EDATE($D46,Milestones!$AA$77),"dd mmm yy"))&amp;" "&amp;Milestones!$AB$77&amp;" "&amp;Milestones!$AC$77&amp;";  ","")&amp;IF(AND(EDATE($D46,Milestones!$AA$78)&lt;=AsOfDate,IF($R46=0,$X46,IF(AND($T46&lt;&gt;"",EDATE($D46,Milestones!$AA$78)&gt;=$T46),$W46,IF(AND($S46&lt;&gt;"",EDATE($D46,Milestones!$AA$78)&gt;=$S46),$V46,$U46)))=Milestones!$AB$78),UPPER(TEXT(EDATE($D46,Milestones!$AA$78),"dd mmm yy"))&amp;" "&amp;Milestones!$AB$78&amp;" "&amp;Milestones!$AC$78&amp;";  ","")&amp;IF(AND(EDATE($D46,Milestones!$AA$79)&lt;=AsOfDate,IF($R46=0,$X46,IF(AND($T46&lt;&gt;"",EDATE($D46,Milestones!$AA$79)&gt;=$T46),$W46,IF(AND($S46&lt;&gt;"",EDATE($D46,Milestones!$AA$79)&gt;=$S46),$V46,$U46)))=Milestones!$AB$79),UPPER(TEXT(EDATE($D46,Milestones!$AA$79),"dd mmm yy"))&amp;" "&amp;Milestones!$AB$79&amp;" "&amp;Milestones!$AC$79&amp;";  ",""))</f>
        <v/>
      </c>
      <c r="L46" s="0" t="str">
        <f aca="false">IF(OR($A46="",$D46=""),"",IF(AND(EDATE($D46,Milestones!$AA$80)&lt;=AsOfDate,IF($R46=0,$X46,IF(AND($T46&lt;&gt;"",EDATE($D46,Milestones!$AA$80)&gt;=$T46),$W46,IF(AND($S46&lt;&gt;"",EDATE($D46,Milestones!$AA$80)&gt;=$S46),$V46,$U46)))=Milestones!$AB$80),UPPER(TEXT(EDATE($D46,Milestones!$AA$80),"dd mmm yy"))&amp;" "&amp;Milestones!$AB$80&amp;" "&amp;Milestones!$AC$80&amp;";  ","")&amp;IF(AND(EDATE($D46,Milestones!$AA$81)&lt;=AsOfDate,IF($R46=0,$X46,IF(AND($T46&lt;&gt;"",EDATE($D46,Milestones!$AA$81)&gt;=$T46),$W46,IF(AND($S46&lt;&gt;"",EDATE($D46,Milestones!$AA$81)&gt;=$S46),$V46,$U46)))=Milestones!$AB$81),UPPER(TEXT(EDATE($D46,Milestones!$AA$81),"dd mmm yy"))&amp;" "&amp;Milestones!$AB$81&amp;" "&amp;Milestones!$AC$81&amp;";  ","")&amp;IF(AND(EDATE($D46,Milestones!$AA$82)&lt;=AsOfDate,IF($R46=0,$X46,IF(AND($T46&lt;&gt;"",EDATE($D46,Milestones!$AA$82)&gt;=$T46),$W46,IF(AND($S46&lt;&gt;"",EDATE($D46,Milestones!$AA$82)&gt;=$S46),$V46,$U46)))=Milestones!$AB$82),UPPER(TEXT(EDATE($D46,Milestones!$AA$82),"dd mmm yy"))&amp;" "&amp;Milestones!$AB$82&amp;" "&amp;Milestones!$AC$82&amp;";  ","")&amp;IF(AND(EDATE($D46,Milestones!$AA$83)&lt;=AsOfDate,IF($R46=0,$X46,IF(AND($T46&lt;&gt;"",EDATE($D46,Milestones!$AA$83)&gt;=$T46),$W46,IF(AND($S46&lt;&gt;"",EDATE($D46,Milestones!$AA$83)&gt;=$S46),$V46,$U46)))=Milestones!$AB$83),UPPER(TEXT(EDATE($D46,Milestones!$AA$83),"dd mmm yy"))&amp;" "&amp;Milestones!$AB$83&amp;" "&amp;Milestones!$AC$83&amp;";  ","")&amp;IF(AND(EDATE($D46,Milestones!$AA$84)&lt;=AsOfDate,IF($R46=0,$X46,IF(AND($T46&lt;&gt;"",EDATE($D46,Milestones!$AA$84)&gt;=$T46),$W46,IF(AND($S46&lt;&gt;"",EDATE($D46,Milestones!$AA$84)&gt;=$S46),$V46,$U46)))=Milestones!$AB$84),UPPER(TEXT(EDATE($D46,Milestones!$AA$84),"dd mmm yy"))&amp;" "&amp;Milestones!$AB$84&amp;" "&amp;Milestones!$AC$84&amp;";  ","")&amp;IF(AND(EDATE($D46,Milestones!$AA$85)&lt;=AsOfDate,IF($R46=0,$X46,IF(AND($T46&lt;&gt;"",EDATE($D46,Milestones!$AA$85)&gt;=$T46),$W46,IF(AND($S46&lt;&gt;"",EDATE($D46,Milestones!$AA$85)&gt;=$S46),$V46,$U46)))=Milestones!$AB$85),UPPER(TEXT(EDATE($D46,Milestones!$AA$85),"dd mmm yy"))&amp;" "&amp;Milestones!$AB$85&amp;" "&amp;Milestones!$AC$85&amp;";  ","")&amp;IF(AND(EDATE($D46,Milestones!$AA$86)&lt;=AsOfDate,IF($R46=0,$X46,IF(AND($T46&lt;&gt;"",EDATE($D46,Milestones!$AA$86)&gt;=$T46),$W46,IF(AND($S46&lt;&gt;"",EDATE($D46,Milestones!$AA$86)&gt;=$S46),$V46,$U46)))=Milestones!$AB$86),UPPER(TEXT(EDATE($D46,Milestones!$AA$86),"dd mmm yy"))&amp;" "&amp;Milestones!$AB$86&amp;" "&amp;Milestones!$AC$86&amp;";  ","")&amp;IF(AND(EDATE($D46,Milestones!$AA$87)&lt;=AsOfDate,IF($R46=0,$X46,IF(AND($T46&lt;&gt;"",EDATE($D46,Milestones!$AA$87)&gt;=$T46),$W46,IF(AND($S46&lt;&gt;"",EDATE($D46,Milestones!$AA$87)&gt;=$S46),$V46,$U46)))=Milestones!$AB$87),UPPER(TEXT(EDATE($D46,Milestones!$AA$87),"dd mmm yy"))&amp;" "&amp;Milestones!$AB$87&amp;" "&amp;Milestones!$AC$87&amp;";  ","")&amp;IF(AND(EDATE($D46,Milestones!$AA$88)&lt;=AsOfDate,IF($R46=0,$X46,IF(AND($T46&lt;&gt;"",EDATE($D46,Milestones!$AA$88)&gt;=$T46),$W46,IF(AND($S46&lt;&gt;"",EDATE($D46,Milestones!$AA$88)&gt;=$S46),$V46,$U46)))=Milestones!$AB$88),UPPER(TEXT(EDATE($D46,Milestones!$AA$88),"dd mmm yy"))&amp;" "&amp;Milestones!$AB$88&amp;" "&amp;Milestones!$AC$88&amp;";  ","")&amp;IF(AND(EDATE($D46,Milestones!$AA$89)&lt;=AsOfDate,IF($R46=0,$X46,IF(AND($T46&lt;&gt;"",EDATE($D46,Milestones!$AA$89)&gt;=$T46),$W46,IF(AND($S46&lt;&gt;"",EDATE($D46,Milestones!$AA$89)&gt;=$S46),$V46,$U46)))=Milestones!$AB$89),UPPER(TEXT(EDATE($D46,Milestones!$AA$89),"dd mmm yy"))&amp;" "&amp;Milestones!$AB$89&amp;" "&amp;Milestones!$AC$89&amp;";  ","")&amp;IF(AND(EDATE($D46,Milestones!$AA$90)&lt;=AsOfDate,IF($R46=0,$X46,IF(AND($T46&lt;&gt;"",EDATE($D46,Milestones!$AA$90)&gt;=$T46),$W46,IF(AND($S46&lt;&gt;"",EDATE($D46,Milestones!$AA$90)&gt;=$S46),$V46,$U46)))=Milestones!$AB$90),UPPER(TEXT(EDATE($D46,Milestones!$AA$90),"dd mmm yy"))&amp;" "&amp;Milestones!$AB$90&amp;" "&amp;Milestones!$AC$90&amp;";  ","")&amp;IF(AND(EDATE($D46,Milestones!$AA$91)&lt;=AsOfDate,IF($R46=0,$X46,IF(AND($T46&lt;&gt;"",EDATE($D46,Milestones!$AA$91)&gt;=$T46),$W46,IF(AND($S46&lt;&gt;"",EDATE($D46,Milestones!$AA$91)&gt;=$S46),$V46,$U46)))=Milestones!$AB$91),UPPER(TEXT(EDATE($D46,Milestones!$AA$91),"dd mmm yy"))&amp;" "&amp;Milestones!$AB$91&amp;" "&amp;Milestones!$AC$91&amp;";  ","")&amp;IF(AND(EDATE($D46,Milestones!$AA$92)&lt;=AsOfDate,IF($R46=0,$X46,IF(AND($T46&lt;&gt;"",EDATE($D46,Milestones!$AA$92)&gt;=$T46),$W46,IF(AND($S46&lt;&gt;"",EDATE($D46,Milestones!$AA$92)&gt;=$S46),$V46,$U46)))=Milestones!$AB$92),UPPER(TEXT(EDATE($D46,Milestones!$AA$92),"dd mmm yy"))&amp;" "&amp;Milestones!$AB$92&amp;" "&amp;Milestones!$AC$92&amp;";  ","")&amp;IF(AND(EDATE($D46,Milestones!$AA$93)&lt;=AsOfDate,IF($R46=0,$X46,IF(AND($T46&lt;&gt;"",EDATE($D46,Milestones!$AA$93)&gt;=$T46),$W46,IF(AND($S46&lt;&gt;"",EDATE($D46,Milestones!$AA$93)&gt;=$S46),$V46,$U46)))=Milestones!$AB$93),UPPER(TEXT(EDATE($D46,Milestones!$AA$93),"dd mmm yy"))&amp;" "&amp;Milestones!$AB$93&amp;" "&amp;Milestones!$AC$93&amp;";  ","")&amp;IF(AND(EDATE($D46,Milestones!$AA$94)&lt;=AsOfDate,IF($R46=0,$X46,IF(AND($T46&lt;&gt;"",EDATE($D46,Milestones!$AA$94)&gt;=$T46),$W46,IF(AND($S46&lt;&gt;"",EDATE($D46,Milestones!$AA$94)&gt;=$S46),$V46,$U46)))=Milestones!$AB$94),UPPER(TEXT(EDATE($D46,Milestones!$AA$94),"dd mmm yy"))&amp;" "&amp;Milestones!$AB$94&amp;" "&amp;Milestones!$AC$94&amp;";  ","")&amp;IF(AND(EDATE($D46,Milestones!$AA$95)&lt;=AsOfDate,IF($R46=0,$X46,IF(AND($T46&lt;&gt;"",EDATE($D46,Milestones!$AA$95)&gt;=$T46),$W46,IF(AND($S46&lt;&gt;"",EDATE($D46,Milestones!$AA$95)&gt;=$S46),$V46,$U46)))=Milestones!$AB$95),UPPER(TEXT(EDATE($D46,Milestones!$AA$95),"dd mmm yy"))&amp;" "&amp;Milestones!$AB$95&amp;" "&amp;Milestones!$AC$95&amp;";  ","")&amp;IF(AND(EDATE($D46,Milestones!$AA$96)&lt;=AsOfDate,IF($R46=0,$X46,IF(AND($T46&lt;&gt;"",EDATE($D46,Milestones!$AA$96)&gt;=$T46),$W46,IF(AND($S46&lt;&gt;"",EDATE($D46,Milestones!$AA$96)&gt;=$S46),$V46,$U46)))=Milestones!$AB$96),UPPER(TEXT(EDATE($D46,Milestones!$AA$96),"dd mmm yy"))&amp;" "&amp;Milestones!$AB$96&amp;" "&amp;Milestones!$AC$96&amp;";  ","")&amp;IF(AND(EDATE($D46,Milestones!$AA$97)&lt;=AsOfDate,IF($R46=0,$X46,IF(AND($T46&lt;&gt;"",EDATE($D46,Milestones!$AA$97)&gt;=$T46),$W46,IF(AND($S46&lt;&gt;"",EDATE($D46,Milestones!$AA$97)&gt;=$S46),$V46,$U46)))=Milestones!$AB$97),UPPER(TEXT(EDATE($D46,Milestones!$AA$97),"dd mmm yy"))&amp;" "&amp;Milestones!$AB$97&amp;" "&amp;Milestones!$AC$97&amp;";  ","")&amp;IF(AND(EDATE($D46,Milestones!$AA$98)&lt;=AsOfDate,IF($R46=0,$X46,IF(AND($T46&lt;&gt;"",EDATE($D46,Milestones!$AA$98)&gt;=$T46),$W46,IF(AND($S46&lt;&gt;"",EDATE($D46,Milestones!$AA$98)&gt;=$S46),$V46,$U46)))=Milestones!$AB$98),UPPER(TEXT(EDATE($D46,Milestones!$AA$98),"dd mmm yy"))&amp;" "&amp;Milestones!$AB$98&amp;" "&amp;Milestones!$AC$98&amp;";  ","")&amp;IF(AND(EDATE($D46,Milestones!$AA$99)&lt;=AsOfDate,IF($R46=0,$X46,IF(AND($T46&lt;&gt;"",EDATE($D46,Milestones!$AA$99)&gt;=$T46),$W46,IF(AND($S46&lt;&gt;"",EDATE($D46,Milestones!$AA$99)&gt;=$S46),$V46,$U46)))=Milestones!$AB$99),UPPER(TEXT(EDATE($D46,Milestones!$AA$99),"dd mmm yy"))&amp;" "&amp;Milestones!$AB$99&amp;" "&amp;Milestones!$AC$99&amp;";  ",""))</f>
        <v/>
      </c>
      <c r="M46" s="0" t="str">
        <f aca="false">IF(OR($A46="",$D46=""),"",IF(AND(EDATE($D46,Milestones!$AA$100)&lt;=AsOfDate,IF($R46=0,$X46,IF(AND($T46&lt;&gt;"",EDATE($D46,Milestones!$AA$100)&gt;=$T46),$W46,IF(AND($S46&lt;&gt;"",EDATE($D46,Milestones!$AA$100)&gt;=$S46),$V46,$U46)))=Milestones!$AB$100),UPPER(TEXT(EDATE($D46,Milestones!$AA$100),"dd mmm yy"))&amp;" "&amp;Milestones!$AB$100&amp;" "&amp;Milestones!$AC$100&amp;";  ","")&amp;IF(AND(EDATE($D46,Milestones!$AA$101)&lt;=AsOfDate,IF($R46=0,$X46,IF(AND($T46&lt;&gt;"",EDATE($D46,Milestones!$AA$101)&gt;=$T46),$W46,IF(AND($S46&lt;&gt;"",EDATE($D46,Milestones!$AA$101)&gt;=$S46),$V46,$U46)))=Milestones!$AB$101),UPPER(TEXT(EDATE($D46,Milestones!$AA$101),"dd mmm yy"))&amp;" "&amp;Milestones!$AB$101&amp;" "&amp;Milestones!$AC$101&amp;";  ","")&amp;IF(AND(EDATE($D46,Milestones!$AA$102)&lt;=AsOfDate,IF($R46=0,$X46,IF(AND($T46&lt;&gt;"",EDATE($D46,Milestones!$AA$102)&gt;=$T46),$W46,IF(AND($S46&lt;&gt;"",EDATE($D46,Milestones!$AA$102)&gt;=$S46),$V46,$U46)))=Milestones!$AB$102),UPPER(TEXT(EDATE($D46,Milestones!$AA$102),"dd mmm yy"))&amp;" "&amp;Milestones!$AB$102&amp;" "&amp;Milestones!$AC$102&amp;";  ","")&amp;IF(AND(EDATE($D46,Milestones!$AA$103)&lt;=AsOfDate,IF($R46=0,$X46,IF(AND($T46&lt;&gt;"",EDATE($D46,Milestones!$AA$103)&gt;=$T46),$W46,IF(AND($S46&lt;&gt;"",EDATE($D46,Milestones!$AA$103)&gt;=$S46),$V46,$U46)))=Milestones!$AB$103),UPPER(TEXT(EDATE($D46,Milestones!$AA$103),"dd mmm yy"))&amp;" "&amp;Milestones!$AB$103&amp;" "&amp;Milestones!$AC$103&amp;";  ","")&amp;IF(AND(EDATE($D46,Milestones!$AA$104)&lt;=AsOfDate,IF($R46=0,$X46,IF(AND($T46&lt;&gt;"",EDATE($D46,Milestones!$AA$104)&gt;=$T46),$W46,IF(AND($S46&lt;&gt;"",EDATE($D46,Milestones!$AA$104)&gt;=$S46),$V46,$U46)))=Milestones!$AB$104),UPPER(TEXT(EDATE($D46,Milestones!$AA$104),"dd mmm yy"))&amp;" "&amp;Milestones!$AB$104&amp;" "&amp;Milestones!$AC$104&amp;";  ","")&amp;IF(AND(EDATE($D46,Milestones!$AA$105)&lt;=AsOfDate,IF($R46=0,$X46,IF(AND($T46&lt;&gt;"",EDATE($D46,Milestones!$AA$105)&gt;=$T46),$W46,IF(AND($S46&lt;&gt;"",EDATE($D46,Milestones!$AA$105)&gt;=$S46),$V46,$U46)))=Milestones!$AB$105),UPPER(TEXT(EDATE($D46,Milestones!$AA$105),"dd mmm yy"))&amp;" "&amp;Milestones!$AB$105&amp;" "&amp;Milestones!$AC$105&amp;";  ","")&amp;IF(AND(EDATE($D46,Milestones!$AA$106)&lt;=AsOfDate,IF($R46=0,$X46,IF(AND($T46&lt;&gt;"",EDATE($D46,Milestones!$AA$106)&gt;=$T46),$W46,IF(AND($S46&lt;&gt;"",EDATE($D46,Milestones!$AA$106)&gt;=$S46),$V46,$U46)))=Milestones!$AB$106),UPPER(TEXT(EDATE($D46,Milestones!$AA$106),"dd mmm yy"))&amp;" "&amp;Milestones!$AB$106&amp;" "&amp;Milestones!$AC$106&amp;";  ","")&amp;IF(AND(EDATE($D46,Milestones!$AA$107)&lt;=AsOfDate,IF($R46=0,$X46,IF(AND($T46&lt;&gt;"",EDATE($D46,Milestones!$AA$107)&gt;=$T46),$W46,IF(AND($S46&lt;&gt;"",EDATE($D46,Milestones!$AA$107)&gt;=$S46),$V46,$U46)))=Milestones!$AB$107),UPPER(TEXT(EDATE($D46,Milestones!$AA$107),"dd mmm yy"))&amp;" "&amp;Milestones!$AB$107&amp;" "&amp;Milestones!$AC$107&amp;";  ","")&amp;IF(AND(EDATE($D46,Milestones!$AA$108)&lt;=AsOfDate,IF($R46=0,$X46,IF(AND($T46&lt;&gt;"",EDATE($D46,Milestones!$AA$108)&gt;=$T46),$W46,IF(AND($S46&lt;&gt;"",EDATE($D46,Milestones!$AA$108)&gt;=$S46),$V46,$U46)))=Milestones!$AB$108),UPPER(TEXT(EDATE($D46,Milestones!$AA$108),"dd mmm yy"))&amp;" "&amp;Milestones!$AB$108&amp;" "&amp;Milestones!$AC$108&amp;";  ","")&amp;IF(AND(EDATE($D46,Milestones!$AA$109)&lt;=AsOfDate,IF($R46=0,$X46,IF(AND($T46&lt;&gt;"",EDATE($D46,Milestones!$AA$109)&gt;=$T46),$W46,IF(AND($S46&lt;&gt;"",EDATE($D46,Milestones!$AA$109)&gt;=$S46),$V46,$U46)))=Milestones!$AB$109),UPPER(TEXT(EDATE($D46,Milestones!$AA$109),"dd mmm yy"))&amp;" "&amp;Milestones!$AB$109&amp;" "&amp;Milestones!$AC$109&amp;";  ","")&amp;IF(AND(EDATE($D46,Milestones!$AA$110)&lt;=AsOfDate,IF($R46=0,$X46,IF(AND($T46&lt;&gt;"",EDATE($D46,Milestones!$AA$110)&gt;=$T46),$W46,IF(AND($S46&lt;&gt;"",EDATE($D46,Milestones!$AA$110)&gt;=$S46),$V46,$U46)))=Milestones!$AB$110),UPPER(TEXT(EDATE($D46,Milestones!$AA$110),"dd mmm yy"))&amp;" "&amp;Milestones!$AB$110&amp;" "&amp;Milestones!$AC$110&amp;";  ","")&amp;IF(AND(EDATE($D46,Milestones!$AA$111)&lt;=AsOfDate,IF($R46=0,$X46,IF(AND($T46&lt;&gt;"",EDATE($D46,Milestones!$AA$111)&gt;=$T46),$W46,IF(AND($S46&lt;&gt;"",EDATE($D46,Milestones!$AA$111)&gt;=$S46),$V46,$U46)))=Milestones!$AB$111),UPPER(TEXT(EDATE($D46,Milestones!$AA$111),"dd mmm yy"))&amp;" "&amp;Milestones!$AB$111&amp;" "&amp;Milestones!$AC$111&amp;";  ","")&amp;IF(AND(EDATE($D46,Milestones!$AA$112)&lt;=AsOfDate,IF($R46=0,$X46,IF(AND($T46&lt;&gt;"",EDATE($D46,Milestones!$AA$112)&gt;=$T46),$W46,IF(AND($S46&lt;&gt;"",EDATE($D46,Milestones!$AA$112)&gt;=$S46),$V46,$U46)))=Milestones!$AB$112),UPPER(TEXT(EDATE($D46,Milestones!$AA$112),"dd mmm yy"))&amp;" "&amp;Milestones!$AB$112&amp;" "&amp;Milestones!$AC$112&amp;";  ","")&amp;IF(AND(EDATE($D46,Milestones!$AA$113)&lt;=AsOfDate,IF($R46=0,$X46,IF(AND($T46&lt;&gt;"",EDATE($D46,Milestones!$AA$113)&gt;=$T46),$W46,IF(AND($S46&lt;&gt;"",EDATE($D46,Milestones!$AA$113)&gt;=$S46),$V46,$U46)))=Milestones!$AB$113),UPPER(TEXT(EDATE($D46,Milestones!$AA$113),"dd mmm yy"))&amp;" "&amp;Milestones!$AB$113&amp;" "&amp;Milestones!$AC$113&amp;";  ","")&amp;IF(AND(EDATE($D46,Milestones!$AA$114)&lt;=AsOfDate,IF($R46=0,$X46,IF(AND($T46&lt;&gt;"",EDATE($D46,Milestones!$AA$114)&gt;=$T46),$W46,IF(AND($S46&lt;&gt;"",EDATE($D46,Milestones!$AA$114)&gt;=$S46),$V46,$U46)))=Milestones!$AB$114),UPPER(TEXT(EDATE($D46,Milestones!$AA$114),"dd mmm yy"))&amp;" "&amp;Milestones!$AB$114&amp;" "&amp;Milestones!$AC$114&amp;";  ","")&amp;IF(AND(EDATE($D46,Milestones!$AA$115)&lt;=AsOfDate,IF($R46=0,$X46,IF(AND($T46&lt;&gt;"",EDATE($D46,Milestones!$AA$115)&gt;=$T46),$W46,IF(AND($S46&lt;&gt;"",EDATE($D46,Milestones!$AA$115)&gt;=$S46),$V46,$U46)))=Milestones!$AB$115),UPPER(TEXT(EDATE($D46,Milestones!$AA$115),"dd mmm yy"))&amp;" "&amp;Milestones!$AB$115&amp;" "&amp;Milestones!$AC$115&amp;";  ","")&amp;IF(AND(EDATE($D46,Milestones!$AA$116)&lt;=AsOfDate,IF($R46=0,$X46,IF(AND($T46&lt;&gt;"",EDATE($D46,Milestones!$AA$116)&gt;=$T46),$W46,IF(AND($S46&lt;&gt;"",EDATE($D46,Milestones!$AA$116)&gt;=$S46),$V46,$U46)))=Milestones!$AB$116),UPPER(TEXT(EDATE($D46,Milestones!$AA$116),"dd mmm yy"))&amp;" "&amp;Milestones!$AB$116&amp;" "&amp;Milestones!$AC$116&amp;";  ","")&amp;IF(AND(EDATE($D46,Milestones!$AA$117)&lt;=AsOfDate,IF($R46=0,$X46,IF(AND($T46&lt;&gt;"",EDATE($D46,Milestones!$AA$117)&gt;=$T46),$W46,IF(AND($S46&lt;&gt;"",EDATE($D46,Milestones!$AA$117)&gt;=$S46),$V46,$U46)))=Milestones!$AB$117),UPPER(TEXT(EDATE($D46,Milestones!$AA$117),"dd mmm yy"))&amp;" "&amp;Milestones!$AB$117&amp;" "&amp;Milestones!$AC$117&amp;";  ","")&amp;IF(AND(EDATE($D46,Milestones!$AA$118)&lt;=AsOfDate,IF($R46=0,$X46,IF(AND($T46&lt;&gt;"",EDATE($D46,Milestones!$AA$118)&gt;=$T46),$W46,IF(AND($S46&lt;&gt;"",EDATE($D46,Milestones!$AA$118)&gt;=$S46),$V46,$U46)))=Milestones!$AB$118),UPPER(TEXT(EDATE($D46,Milestones!$AA$118),"dd mmm yy"))&amp;" "&amp;Milestones!$AB$118&amp;" "&amp;Milestones!$AC$118&amp;";  ","")&amp;IF(AND(EDATE($D46,Milestones!$AA$119)&lt;=AsOfDate,IF($R46=0,$X46,IF(AND($T46&lt;&gt;"",EDATE($D46,Milestones!$AA$119)&gt;=$T46),$W46,IF(AND($S46&lt;&gt;"",EDATE($D46,Milestones!$AA$119)&gt;=$S46),$V46,$U46)))=Milestones!$AB$119),UPPER(TEXT(EDATE($D46,Milestones!$AA$119),"dd mmm yy"))&amp;" "&amp;Milestones!$AB$119&amp;" "&amp;Milestones!$AC$119&amp;";  ",""))</f>
        <v/>
      </c>
      <c r="N46" s="0" t="str">
        <f aca="false">IF(OR($A46="",$D46=""),"",IF(AND(EDATE($D46,Milestones!$AA$120)&lt;=AsOfDate,IF($R46=0,$X46,IF(AND($T46&lt;&gt;"",EDATE($D46,Milestones!$AA$120)&gt;=$T46),$W46,IF(AND($S46&lt;&gt;"",EDATE($D46,Milestones!$AA$120)&gt;=$S46),$V46,$U46)))=Milestones!$AB$120),UPPER(TEXT(EDATE($D46,Milestones!$AA$120),"dd mmm yy"))&amp;" "&amp;Milestones!$AB$120&amp;" "&amp;Milestones!$AC$120&amp;";  ","")&amp;IF(AND(EDATE($D46,Milestones!$AA$121)&lt;=AsOfDate,IF($R46=0,$X46,IF(AND($T46&lt;&gt;"",EDATE($D46,Milestones!$AA$121)&gt;=$T46),$W46,IF(AND($S46&lt;&gt;"",EDATE($D46,Milestones!$AA$121)&gt;=$S46),$V46,$U46)))=Milestones!$AB$121),UPPER(TEXT(EDATE($D46,Milestones!$AA$121),"dd mmm yy"))&amp;" "&amp;Milestones!$AB$121&amp;" "&amp;Milestones!$AC$121&amp;";  ","")&amp;IF(AND(EDATE($D46,Milestones!$AA$122)&lt;=AsOfDate,IF($R46=0,$X46,IF(AND($T46&lt;&gt;"",EDATE($D46,Milestones!$AA$122)&gt;=$T46),$W46,IF(AND($S46&lt;&gt;"",EDATE($D46,Milestones!$AA$122)&gt;=$S46),$V46,$U46)))=Milestones!$AB$122),UPPER(TEXT(EDATE($D46,Milestones!$AA$122),"dd mmm yy"))&amp;" "&amp;Milestones!$AB$122&amp;" "&amp;Milestones!$AC$122&amp;";  ","")&amp;IF(AND(EDATE($D46,Milestones!$AA$123)&lt;=AsOfDate,IF($R46=0,$X46,IF(AND($T46&lt;&gt;"",EDATE($D46,Milestones!$AA$123)&gt;=$T46),$W46,IF(AND($S46&lt;&gt;"",EDATE($D46,Milestones!$AA$123)&gt;=$S46),$V46,$U46)))=Milestones!$AB$123),UPPER(TEXT(EDATE($D46,Milestones!$AA$123),"dd mmm yy"))&amp;" "&amp;Milestones!$AB$123&amp;" "&amp;Milestones!$AC$123&amp;";  ","")&amp;IF(AND(EDATE($D46,Milestones!$AA$124)&lt;=AsOfDate,IF($R46=0,$X46,IF(AND($T46&lt;&gt;"",EDATE($D46,Milestones!$AA$124)&gt;=$T46),$W46,IF(AND($S46&lt;&gt;"",EDATE($D46,Milestones!$AA$124)&gt;=$S46),$V46,$U46)))=Milestones!$AB$124),UPPER(TEXT(EDATE($D46,Milestones!$AA$124),"dd mmm yy"))&amp;" "&amp;Milestones!$AB$124&amp;" "&amp;Milestones!$AC$124&amp;";  ","")&amp;IF(AND(EDATE($D46,Milestones!$AA$125)&lt;=AsOfDate,IF($R46=0,$X46,IF(AND($T46&lt;&gt;"",EDATE($D46,Milestones!$AA$125)&gt;=$T46),$W46,IF(AND($S46&lt;&gt;"",EDATE($D46,Milestones!$AA$125)&gt;=$S46),$V46,$U46)))=Milestones!$AB$125),UPPER(TEXT(EDATE($D46,Milestones!$AA$125),"dd mmm yy"))&amp;" "&amp;Milestones!$AB$125&amp;" "&amp;Milestones!$AC$125&amp;";  ","")&amp;IF(AND(EDATE($D46,Milestones!$AA$126)&lt;=AsOfDate,IF($R46=0,$X46,IF(AND($T46&lt;&gt;"",EDATE($D46,Milestones!$AA$126)&gt;=$T46),$W46,IF(AND($S46&lt;&gt;"",EDATE($D46,Milestones!$AA$126)&gt;=$S46),$V46,$U46)))=Milestones!$AB$126),UPPER(TEXT(EDATE($D46,Milestones!$AA$126),"dd mmm yy"))&amp;" "&amp;Milestones!$AB$126&amp;" "&amp;Milestones!$AC$126&amp;";  ","")&amp;IF(AND(EDATE($D46,Milestones!$AA$127)&lt;=AsOfDate,IF($R46=0,$X46,IF(AND($T46&lt;&gt;"",EDATE($D46,Milestones!$AA$127)&gt;=$T46),$W46,IF(AND($S46&lt;&gt;"",EDATE($D46,Milestones!$AA$127)&gt;=$S46),$V46,$U46)))=Milestones!$AB$127),UPPER(TEXT(EDATE($D46,Milestones!$AA$127),"dd mmm yy"))&amp;" "&amp;Milestones!$AB$127&amp;" "&amp;Milestones!$AC$127&amp;";  ","")&amp;IF(AND(EDATE($D46,Milestones!$AA$128)&lt;=AsOfDate,IF($R46=0,$X46,IF(AND($T46&lt;&gt;"",EDATE($D46,Milestones!$AA$128)&gt;=$T46),$W46,IF(AND($S46&lt;&gt;"",EDATE($D46,Milestones!$AA$128)&gt;=$S46),$V46,$U46)))=Milestones!$AB$128),UPPER(TEXT(EDATE($D46,Milestones!$AA$128),"dd mmm yy"))&amp;" "&amp;Milestones!$AB$128&amp;" "&amp;Milestones!$AC$128&amp;";  ","")&amp;IF(AND(EDATE($D46,Milestones!$AA$129)&lt;=AsOfDate,IF($R46=0,$X46,IF(AND($T46&lt;&gt;"",EDATE($D46,Milestones!$AA$129)&gt;=$T46),$W46,IF(AND($S46&lt;&gt;"",EDATE($D46,Milestones!$AA$129)&gt;=$S46),$V46,$U46)))=Milestones!$AB$129),UPPER(TEXT(EDATE($D46,Milestones!$AA$129),"dd mmm yy"))&amp;" "&amp;Milestones!$AB$129&amp;" "&amp;Milestones!$AC$129&amp;";  ","")&amp;IF(AND(EDATE($D46,Milestones!$AA$130)&lt;=AsOfDate,IF($R46=0,$X46,IF(AND($T46&lt;&gt;"",EDATE($D46,Milestones!$AA$130)&gt;=$T46),$W46,IF(AND($S46&lt;&gt;"",EDATE($D46,Milestones!$AA$130)&gt;=$S46),$V46,$U46)))=Milestones!$AB$130),UPPER(TEXT(EDATE($D46,Milestones!$AA$130),"dd mmm yy"))&amp;" "&amp;Milestones!$AB$130&amp;" "&amp;Milestones!$AC$130&amp;";  ","")&amp;IF(AND(EDATE($D46,Milestones!$AA$131)&lt;=AsOfDate,IF($R46=0,$X46,IF(AND($T46&lt;&gt;"",EDATE($D46,Milestones!$AA$131)&gt;=$T46),$W46,IF(AND($S46&lt;&gt;"",EDATE($D46,Milestones!$AA$131)&gt;=$S46),$V46,$U46)))=Milestones!$AB$131),UPPER(TEXT(EDATE($D46,Milestones!$AA$131),"dd mmm yy"))&amp;" "&amp;Milestones!$AB$131&amp;" "&amp;Milestones!$AC$131&amp;";  ","")&amp;IF(AND(EDATE($D46,Milestones!$AA$132)&lt;=AsOfDate,IF($R46=0,$X46,IF(AND($T46&lt;&gt;"",EDATE($D46,Milestones!$AA$132)&gt;=$T46),$W46,IF(AND($S46&lt;&gt;"",EDATE($D46,Milestones!$AA$132)&gt;=$S46),$V46,$U46)))=Milestones!$AB$132),UPPER(TEXT(EDATE($D46,Milestones!$AA$132),"dd mmm yy"))&amp;" "&amp;Milestones!$AB$132&amp;" "&amp;Milestones!$AC$132&amp;";  ","")&amp;IF(AND(EDATE($D46,Milestones!$AA$133)&lt;=AsOfDate,IF($R46=0,$X46,IF(AND($T46&lt;&gt;"",EDATE($D46,Milestones!$AA$133)&gt;=$T46),$W46,IF(AND($S46&lt;&gt;"",EDATE($D46,Milestones!$AA$133)&gt;=$S46),$V46,$U46)))=Milestones!$AB$133),UPPER(TEXT(EDATE($D46,Milestones!$AA$133),"dd mmm yy"))&amp;" "&amp;Milestones!$AB$133&amp;" "&amp;Milestones!$AC$133&amp;";  ","")&amp;IF(AND(EDATE($D46,Milestones!$AA$134)&lt;=AsOfDate,IF($R46=0,$X46,IF(AND($T46&lt;&gt;"",EDATE($D46,Milestones!$AA$134)&gt;=$T46),$W46,IF(AND($S46&lt;&gt;"",EDATE($D46,Milestones!$AA$134)&gt;=$S46),$V46,$U46)))=Milestones!$AB$134),UPPER(TEXT(EDATE($D46,Milestones!$AA$134),"dd mmm yy"))&amp;" "&amp;Milestones!$AB$134&amp;" "&amp;Milestones!$AC$134&amp;";  ","")&amp;IF(AND(EDATE($D46,Milestones!$AA$135)&lt;=AsOfDate,IF($R46=0,$X46,IF(AND($T46&lt;&gt;"",EDATE($D46,Milestones!$AA$135)&gt;=$T46),$W46,IF(AND($S46&lt;&gt;"",EDATE($D46,Milestones!$AA$135)&gt;=$S46),$V46,$U46)))=Milestones!$AB$135),UPPER(TEXT(EDATE($D46,Milestones!$AA$135),"dd mmm yy"))&amp;" "&amp;Milestones!$AB$135&amp;" "&amp;Milestones!$AC$135&amp;";  ","")&amp;IF(AND(EDATE($D46,Milestones!$AA$136)&lt;=AsOfDate,IF($R46=0,$X46,IF(AND($T46&lt;&gt;"",EDATE($D46,Milestones!$AA$136)&gt;=$T46),$W46,IF(AND($S46&lt;&gt;"",EDATE($D46,Milestones!$AA$136)&gt;=$S46),$V46,$U46)))=Milestones!$AB$136),UPPER(TEXT(EDATE($D46,Milestones!$AA$136),"dd mmm yy"))&amp;" "&amp;Milestones!$AB$136&amp;" "&amp;Milestones!$AC$136&amp;";  ","")&amp;IF(AND(EDATE($D46,Milestones!$AA$137)&lt;=AsOfDate,IF($R46=0,$X46,IF(AND($T46&lt;&gt;"",EDATE($D46,Milestones!$AA$137)&gt;=$T46),$W46,IF(AND($S46&lt;&gt;"",EDATE($D46,Milestones!$AA$137)&gt;=$S46),$V46,$U46)))=Milestones!$AB$137),UPPER(TEXT(EDATE($D46,Milestones!$AA$137),"dd mmm yy"))&amp;" "&amp;Milestones!$AB$137&amp;" "&amp;Milestones!$AC$137&amp;";  ","")&amp;IF(AND(EDATE($D46,Milestones!$AA$138)&lt;=AsOfDate,IF($R46=0,$X46,IF(AND($T46&lt;&gt;"",EDATE($D46,Milestones!$AA$138)&gt;=$T46),$W46,IF(AND($S46&lt;&gt;"",EDATE($D46,Milestones!$AA$138)&gt;=$S46),$V46,$U46)))=Milestones!$AB$138),UPPER(TEXT(EDATE($D46,Milestones!$AA$138),"dd mmm yy"))&amp;" "&amp;Milestones!$AB$138&amp;" "&amp;Milestones!$AC$138&amp;";  ","")&amp;IF(AND(EDATE($D46,Milestones!$AA$139)&lt;=AsOfDate,IF($R46=0,$X46,IF(AND($T46&lt;&gt;"",EDATE($D46,Milestones!$AA$139)&gt;=$T46),$W46,IF(AND($S46&lt;&gt;"",EDATE($D46,Milestones!$AA$139)&gt;=$S46),$V46,$U46)))=Milestones!$AB$139),UPPER(TEXT(EDATE($D46,Milestones!$AA$139),"dd mmm yy"))&amp;" "&amp;Milestones!$AB$139&amp;" "&amp;Milestones!$AC$139&amp;";  ",""))</f>
        <v/>
      </c>
      <c r="O46" s="0" t="str">
        <f aca="false">IF(OR($A46="",$D46=""),"",IF(AND(EDATE($D46,Milestones!$AA$140)&lt;=AsOfDate,IF($R46=0,$X46,IF(AND($T46&lt;&gt;"",EDATE($D46,Milestones!$AA$140)&gt;=$T46),$W46,IF(AND($S46&lt;&gt;"",EDATE($D46,Milestones!$AA$140)&gt;=$S46),$V46,$U46)))=Milestones!$AB$140),UPPER(TEXT(EDATE($D46,Milestones!$AA$140),"dd mmm yy"))&amp;" "&amp;Milestones!$AB$140&amp;" "&amp;Milestones!$AC$140&amp;";  ","")&amp;IF(AND(EDATE($D46,Milestones!$AA$141)&lt;=AsOfDate,IF($R46=0,$X46,IF(AND($T46&lt;&gt;"",EDATE($D46,Milestones!$AA$141)&gt;=$T46),$W46,IF(AND($S46&lt;&gt;"",EDATE($D46,Milestones!$AA$141)&gt;=$S46),$V46,$U46)))=Milestones!$AB$141),UPPER(TEXT(EDATE($D46,Milestones!$AA$141),"dd mmm yy"))&amp;" "&amp;Milestones!$AB$141&amp;" "&amp;Milestones!$AC$141&amp;";  ","")&amp;IF(AND(EDATE($D46,Milestones!$AA$142)&lt;=AsOfDate,IF($R46=0,$X46,IF(AND($T46&lt;&gt;"",EDATE($D46,Milestones!$AA$142)&gt;=$T46),$W46,IF(AND($S46&lt;&gt;"",EDATE($D46,Milestones!$AA$142)&gt;=$S46),$V46,$U46)))=Milestones!$AB$142),UPPER(TEXT(EDATE($D46,Milestones!$AA$142),"dd mmm yy"))&amp;" "&amp;Milestones!$AB$142&amp;" "&amp;Milestones!$AC$142&amp;";  ","")&amp;IF(AND(EDATE($D46,Milestones!$AA$143)&lt;=AsOfDate,IF($R46=0,$X46,IF(AND($T46&lt;&gt;"",EDATE($D46,Milestones!$AA$143)&gt;=$T46),$W46,IF(AND($S46&lt;&gt;"",EDATE($D46,Milestones!$AA$143)&gt;=$S46),$V46,$U46)))=Milestones!$AB$143),UPPER(TEXT(EDATE($D46,Milestones!$AA$143),"dd mmm yy"))&amp;" "&amp;Milestones!$AB$143&amp;" "&amp;Milestones!$AC$143&amp;";  ","")&amp;IF(AND(EDATE($D46,Milestones!$AA$144)&lt;=AsOfDate,IF($R46=0,$X46,IF(AND($T46&lt;&gt;"",EDATE($D46,Milestones!$AA$144)&gt;=$T46),$W46,IF(AND($S46&lt;&gt;"",EDATE($D46,Milestones!$AA$144)&gt;=$S46),$V46,$U46)))=Milestones!$AB$144),UPPER(TEXT(EDATE($D46,Milestones!$AA$144),"dd mmm yy"))&amp;" "&amp;Milestones!$AB$144&amp;" "&amp;Milestones!$AC$144&amp;";  ","")&amp;IF(AND(EDATE($D46,Milestones!$AA$145)&lt;=AsOfDate,IF($R46=0,$X46,IF(AND($T46&lt;&gt;"",EDATE($D46,Milestones!$AA$145)&gt;=$T46),$W46,IF(AND($S46&lt;&gt;"",EDATE($D46,Milestones!$AA$145)&gt;=$S46),$V46,$U46)))=Milestones!$AB$145),UPPER(TEXT(EDATE($D46,Milestones!$AA$145),"dd mmm yy"))&amp;" "&amp;Milestones!$AB$145&amp;" "&amp;Milestones!$AC$145&amp;";  ","")&amp;IF(AND(EDATE($D46,Milestones!$AA$146)&lt;=AsOfDate,IF($R46=0,$X46,IF(AND($T46&lt;&gt;"",EDATE($D46,Milestones!$AA$146)&gt;=$T46),$W46,IF(AND($S46&lt;&gt;"",EDATE($D46,Milestones!$AA$146)&gt;=$S46),$V46,$U46)))=Milestones!$AB$146),UPPER(TEXT(EDATE($D46,Milestones!$AA$146),"dd mmm yy"))&amp;" "&amp;Milestones!$AB$146&amp;" "&amp;Milestones!$AC$146&amp;";  ","")&amp;IF(AND(EDATE($D46,Milestones!$AA$147)&lt;=AsOfDate,IF($R46=0,$X46,IF(AND($T46&lt;&gt;"",EDATE($D46,Milestones!$AA$147)&gt;=$T46),$W46,IF(AND($S46&lt;&gt;"",EDATE($D46,Milestones!$AA$147)&gt;=$S46),$V46,$U46)))=Milestones!$AB$147),UPPER(TEXT(EDATE($D46,Milestones!$AA$147),"dd mmm yy"))&amp;" "&amp;Milestones!$AB$147&amp;" "&amp;Milestones!$AC$147&amp;";  ","")&amp;IF(AND(EDATE($D46,Milestones!$AA$148)&lt;=AsOfDate,IF($R46=0,$X46,IF(AND($T46&lt;&gt;"",EDATE($D46,Milestones!$AA$148)&gt;=$T46),$W46,IF(AND($S46&lt;&gt;"",EDATE($D46,Milestones!$AA$148)&gt;=$S46),$V46,$U46)))=Milestones!$AB$148),UPPER(TEXT(EDATE($D46,Milestones!$AA$148),"dd mmm yy"))&amp;" "&amp;Milestones!$AB$148&amp;" "&amp;Milestones!$AC$148&amp;";  ","")&amp;IF(AND(EDATE($D46,Milestones!$AA$149)&lt;=AsOfDate,IF($R46=0,$X46,IF(AND($T46&lt;&gt;"",EDATE($D46,Milestones!$AA$149)&gt;=$T46),$W46,IF(AND($S46&lt;&gt;"",EDATE($D46,Milestones!$AA$149)&gt;=$S46),$V46,$U46)))=Milestones!$AB$149),UPPER(TEXT(EDATE($D46,Milestones!$AA$149),"dd mmm yy"))&amp;" "&amp;Milestones!$AB$149&amp;" "&amp;Milestones!$AC$149&amp;";  ","")&amp;IF(AND(EDATE($D46,Milestones!$AA$150)&lt;=AsOfDate,IF($R46=0,$X46,IF(AND($T46&lt;&gt;"",EDATE($D46,Milestones!$AA$150)&gt;=$T46),$W46,IF(AND($S46&lt;&gt;"",EDATE($D46,Milestones!$AA$150)&gt;=$S46),$V46,$U46)))=Milestones!$AB$150),UPPER(TEXT(EDATE($D46,Milestones!$AA$150),"dd mmm yy"))&amp;" "&amp;Milestones!$AB$150&amp;" "&amp;Milestones!$AC$150&amp;";  ","")&amp;IF(AND(EDATE($D46,Milestones!$AA$151)&lt;=AsOfDate,IF($R46=0,$X46,IF(AND($T46&lt;&gt;"",EDATE($D46,Milestones!$AA$151)&gt;=$T46),$W46,IF(AND($S46&lt;&gt;"",EDATE($D46,Milestones!$AA$151)&gt;=$S46),$V46,$U46)))=Milestones!$AB$151),UPPER(TEXT(EDATE($D46,Milestones!$AA$151),"dd mmm yy"))&amp;" "&amp;Milestones!$AB$151&amp;" "&amp;Milestones!$AC$151&amp;";  ","")&amp;IF(AND(EDATE($D46,Milestones!$AA$152)&lt;=AsOfDate,IF($R46=0,$X46,IF(AND($T46&lt;&gt;"",EDATE($D46,Milestones!$AA$152)&gt;=$T46),$W46,IF(AND($S46&lt;&gt;"",EDATE($D46,Milestones!$AA$152)&gt;=$S46),$V46,$U46)))=Milestones!$AB$152),UPPER(TEXT(EDATE($D46,Milestones!$AA$152),"dd mmm yy"))&amp;" "&amp;Milestones!$AB$152&amp;" "&amp;Milestones!$AC$152&amp;";  ","")&amp;IF(AND(EDATE($D46,Milestones!$AA$153)&lt;=AsOfDate,IF($R46=0,$X46,IF(AND($T46&lt;&gt;"",EDATE($D46,Milestones!$AA$153)&gt;=$T46),$W46,IF(AND($S46&lt;&gt;"",EDATE($D46,Milestones!$AA$153)&gt;=$S46),$V46,$U46)))=Milestones!$AB$153),UPPER(TEXT(EDATE($D46,Milestones!$AA$153),"dd mmm yy"))&amp;" "&amp;Milestones!$AB$153&amp;" "&amp;Milestones!$AC$153&amp;";  ","")&amp;IF(AND(EDATE($D46,Milestones!$AA$154)&lt;=AsOfDate,IF($R46=0,$X46,IF(AND($T46&lt;&gt;"",EDATE($D46,Milestones!$AA$154)&gt;=$T46),$W46,IF(AND($S46&lt;&gt;"",EDATE($D46,Milestones!$AA$154)&gt;=$S46),$V46,$U46)))=Milestones!$AB$154),UPPER(TEXT(EDATE($D46,Milestones!$AA$154),"dd mmm yy"))&amp;" "&amp;Milestones!$AB$154&amp;" "&amp;Milestones!$AC$154&amp;";  ","")&amp;IF(AND(EDATE($D46,Milestones!$AA$155)&lt;=AsOfDate,IF($R46=0,$X46,IF(AND($T46&lt;&gt;"",EDATE($D46,Milestones!$AA$155)&gt;=$T46),$W46,IF(AND($S46&lt;&gt;"",EDATE($D46,Milestones!$AA$155)&gt;=$S46),$V46,$U46)))=Milestones!$AB$155),UPPER(TEXT(EDATE($D46,Milestones!$AA$155),"dd mmm yy"))&amp;" "&amp;Milestones!$AB$155&amp;" "&amp;Milestones!$AC$155&amp;";  ","")&amp;IF(AND(EDATE($D46,Milestones!$AA$156)&lt;=AsOfDate,IF($R46=0,$X46,IF(AND($T46&lt;&gt;"",EDATE($D46,Milestones!$AA$156)&gt;=$T46),$W46,IF(AND($S46&lt;&gt;"",EDATE($D46,Milestones!$AA$156)&gt;=$S46),$V46,$U46)))=Milestones!$AB$156),UPPER(TEXT(EDATE($D46,Milestones!$AA$156),"dd mmm yy"))&amp;" "&amp;Milestones!$AB$156&amp;" "&amp;Milestones!$AC$156&amp;";  ","")&amp;IF(AND(EDATE($D46,Milestones!$AA$157)&lt;=AsOfDate,IF($R46=0,$X46,IF(AND($T46&lt;&gt;"",EDATE($D46,Milestones!$AA$157)&gt;=$T46),$W46,IF(AND($S46&lt;&gt;"",EDATE($D46,Milestones!$AA$157)&gt;=$S46),$V46,$U46)))=Milestones!$AB$157),UPPER(TEXT(EDATE($D46,Milestones!$AA$157),"dd mmm yy"))&amp;" "&amp;Milestones!$AB$157&amp;" "&amp;Milestones!$AC$157&amp;";  ","")&amp;IF(AND(EDATE($D46,Milestones!$AA$158)&lt;=AsOfDate,IF($R46=0,$X46,IF(AND($T46&lt;&gt;"",EDATE($D46,Milestones!$AA$158)&gt;=$T46),$W46,IF(AND($S46&lt;&gt;"",EDATE($D46,Milestones!$AA$158)&gt;=$S46),$V46,$U46)))=Milestones!$AB$158),UPPER(TEXT(EDATE($D46,Milestones!$AA$158),"dd mmm yy"))&amp;" "&amp;Milestones!$AB$158&amp;" "&amp;Milestones!$AC$158&amp;";  ","")&amp;IF(AND(EDATE($D46,Milestones!$AA$159)&lt;=AsOfDate,IF($R46=0,$X46,IF(AND($T46&lt;&gt;"",EDATE($D46,Milestones!$AA$159)&gt;=$T46),$W46,IF(AND($S46&lt;&gt;"",EDATE($D46,Milestones!$AA$159)&gt;=$S46),$V46,$U46)))=Milestones!$AB$159),UPPER(TEXT(EDATE($D46,Milestones!$AA$159),"dd mmm yy"))&amp;" "&amp;Milestones!$AB$159&amp;" "&amp;Milestones!$AC$159&amp;";  ",""))</f>
        <v/>
      </c>
      <c r="P46" s="0" t="str">
        <f aca="false">IF(OR($A46="",$D46=""),"",IF(AND(EDATE($D46,Milestones!$AA$160)&lt;=AsOfDate,IF($R46=0,$X46,IF(AND($T46&lt;&gt;"",EDATE($D46,Milestones!$AA$160)&gt;=$T46),$W46,IF(AND($S46&lt;&gt;"",EDATE($D46,Milestones!$AA$160)&gt;=$S46),$V46,$U46)))=Milestones!$AB$160),UPPER(TEXT(EDATE($D46,Milestones!$AA$160),"dd mmm yy"))&amp;" "&amp;Milestones!$AB$160&amp;" "&amp;Milestones!$AC$160&amp;";  ","")&amp;IF(AND(EDATE($D46,Milestones!$AA$161)&lt;=AsOfDate,IF($R46=0,$X46,IF(AND($T46&lt;&gt;"",EDATE($D46,Milestones!$AA$161)&gt;=$T46),$W46,IF(AND($S46&lt;&gt;"",EDATE($D46,Milestones!$AA$161)&gt;=$S46),$V46,$U46)))=Milestones!$AB$161),UPPER(TEXT(EDATE($D46,Milestones!$AA$161),"dd mmm yy"))&amp;" "&amp;Milestones!$AB$161&amp;" "&amp;Milestones!$AC$161&amp;";  ","")&amp;IF(AND(EDATE($D46,Milestones!$AA$162)&lt;=AsOfDate,IF($R46=0,$X46,IF(AND($T46&lt;&gt;"",EDATE($D46,Milestones!$AA$162)&gt;=$T46),$W46,IF(AND($S46&lt;&gt;"",EDATE($D46,Milestones!$AA$162)&gt;=$S46),$V46,$U46)))=Milestones!$AB$162),UPPER(TEXT(EDATE($D46,Milestones!$AA$162),"dd mmm yy"))&amp;" "&amp;Milestones!$AB$162&amp;" "&amp;Milestones!$AC$162&amp;";  ","")&amp;IF(AND(EDATE($D46,Milestones!$AA$163)&lt;=AsOfDate,IF($R46=0,$X46,IF(AND($T46&lt;&gt;"",EDATE($D46,Milestones!$AA$163)&gt;=$T46),$W46,IF(AND($S46&lt;&gt;"",EDATE($D46,Milestones!$AA$163)&gt;=$S46),$V46,$U46)))=Milestones!$AB$163),UPPER(TEXT(EDATE($D46,Milestones!$AA$163),"dd mmm yy"))&amp;" "&amp;Milestones!$AB$163&amp;" "&amp;Milestones!$AC$163&amp;";  ","")&amp;IF(AND(EDATE($D46,Milestones!$AA$164)&lt;=AsOfDate,IF($R46=0,$X46,IF(AND($T46&lt;&gt;"",EDATE($D46,Milestones!$AA$164)&gt;=$T46),$W46,IF(AND($S46&lt;&gt;"",EDATE($D46,Milestones!$AA$164)&gt;=$S46),$V46,$U46)))=Milestones!$AB$164),UPPER(TEXT(EDATE($D46,Milestones!$AA$164),"dd mmm yy"))&amp;" "&amp;Milestones!$AB$164&amp;" "&amp;Milestones!$AC$164&amp;";  ","")&amp;IF(AND(EDATE($D46,Milestones!$AA$165)&lt;=AsOfDate,IF($R46=0,$X46,IF(AND($T46&lt;&gt;"",EDATE($D46,Milestones!$AA$165)&gt;=$T46),$W46,IF(AND($S46&lt;&gt;"",EDATE($D46,Milestones!$AA$165)&gt;=$S46),$V46,$U46)))=Milestones!$AB$165),UPPER(TEXT(EDATE($D46,Milestones!$AA$165),"dd mmm yy"))&amp;" "&amp;Milestones!$AB$165&amp;" "&amp;Milestones!$AC$165&amp;";  ","")&amp;IF(AND(EDATE($D46,Milestones!$AA$166)&lt;=AsOfDate,IF($R46=0,$X46,IF(AND($T46&lt;&gt;"",EDATE($D46,Milestones!$AA$166)&gt;=$T46),$W46,IF(AND($S46&lt;&gt;"",EDATE($D46,Milestones!$AA$166)&gt;=$S46),$V46,$U46)))=Milestones!$AB$166),UPPER(TEXT(EDATE($D46,Milestones!$AA$166),"dd mmm yy"))&amp;" "&amp;Milestones!$AB$166&amp;" "&amp;Milestones!$AC$166&amp;";  ","")&amp;IF(AND(EDATE($D46,Milestones!$AA$167)&lt;=AsOfDate,IF($R46=0,$X46,IF(AND($T46&lt;&gt;"",EDATE($D46,Milestones!$AA$167)&gt;=$T46),$W46,IF(AND($S46&lt;&gt;"",EDATE($D46,Milestones!$AA$167)&gt;=$S46),$V46,$U46)))=Milestones!$AB$167),UPPER(TEXT(EDATE($D46,Milestones!$AA$167),"dd mmm yy"))&amp;" "&amp;Milestones!$AB$167&amp;" "&amp;Milestones!$AC$167&amp;";  ","")&amp;IF(AND(EDATE($D46,Milestones!$AA$168)&lt;=AsOfDate,IF($R46=0,$X46,IF(AND($T46&lt;&gt;"",EDATE($D46,Milestones!$AA$168)&gt;=$T46),$W46,IF(AND($S46&lt;&gt;"",EDATE($D46,Milestones!$AA$168)&gt;=$S46),$V46,$U46)))=Milestones!$AB$168),UPPER(TEXT(EDATE($D46,Milestones!$AA$168),"dd mmm yy"))&amp;" "&amp;Milestones!$AB$168&amp;" "&amp;Milestones!$AC$168&amp;";  ","")&amp;IF(AND(EDATE($D46,Milestones!$AA$169)&lt;=AsOfDate,IF($R46=0,$X46,IF(AND($T46&lt;&gt;"",EDATE($D46,Milestones!$AA$169)&gt;=$T46),$W46,IF(AND($S46&lt;&gt;"",EDATE($D46,Milestones!$AA$169)&gt;=$S46),$V46,$U46)))=Milestones!$AB$169),UPPER(TEXT(EDATE($D46,Milestones!$AA$169),"dd mmm yy"))&amp;" "&amp;Milestones!$AB$169&amp;" "&amp;Milestones!$AC$169&amp;";  ","")&amp;IF(AND(EDATE($D46,Milestones!$AA$170)&lt;=AsOfDate,IF($R46=0,$X46,IF(AND($T46&lt;&gt;"",EDATE($D46,Milestones!$AA$170)&gt;=$T46),$W46,IF(AND($S46&lt;&gt;"",EDATE($D46,Milestones!$AA$170)&gt;=$S46),$V46,$U46)))=Milestones!$AB$170),UPPER(TEXT(EDATE($D46,Milestones!$AA$170),"dd mmm yy"))&amp;" "&amp;Milestones!$AB$170&amp;" "&amp;Milestones!$AC$170&amp;";  ","")&amp;IF(AND(EDATE($D46,Milestones!$AA$171)&lt;=AsOfDate,IF($R46=0,$X46,IF(AND($T46&lt;&gt;"",EDATE($D46,Milestones!$AA$171)&gt;=$T46),$W46,IF(AND($S46&lt;&gt;"",EDATE($D46,Milestones!$AA$171)&gt;=$S46),$V46,$U46)))=Milestones!$AB$171),UPPER(TEXT(EDATE($D46,Milestones!$AA$171),"dd mmm yy"))&amp;" "&amp;Milestones!$AB$171&amp;" "&amp;Milestones!$AC$171&amp;";  ","")&amp;IF(AND(EDATE($D46,Milestones!$AA$172)&lt;=AsOfDate,IF($R46=0,$X46,IF(AND($T46&lt;&gt;"",EDATE($D46,Milestones!$AA$172)&gt;=$T46),$W46,IF(AND($S46&lt;&gt;"",EDATE($D46,Milestones!$AA$172)&gt;=$S46),$V46,$U46)))=Milestones!$AB$172),UPPER(TEXT(EDATE($D46,Milestones!$AA$172),"dd mmm yy"))&amp;" "&amp;Milestones!$AB$172&amp;" "&amp;Milestones!$AC$172&amp;";  ","")&amp;IF(AND(EDATE($D46,Milestones!$AA$173)&lt;=AsOfDate,IF($R46=0,$X46,IF(AND($T46&lt;&gt;"",EDATE($D46,Milestones!$AA$173)&gt;=$T46),$W46,IF(AND($S46&lt;&gt;"",EDATE($D46,Milestones!$AA$173)&gt;=$S46),$V46,$U46)))=Milestones!$AB$173),UPPER(TEXT(EDATE($D46,Milestones!$AA$173),"dd mmm yy"))&amp;" "&amp;Milestones!$AB$173&amp;" "&amp;Milestones!$AC$173&amp;";  ","")&amp;IF(AND(EDATE($D46,Milestones!$AA$174)&lt;=AsOfDate,IF($R46=0,$X46,IF(AND($T46&lt;&gt;"",EDATE($D46,Milestones!$AA$174)&gt;=$T46),$W46,IF(AND($S46&lt;&gt;"",EDATE($D46,Milestones!$AA$174)&gt;=$S46),$V46,$U46)))=Milestones!$AB$174),UPPER(TEXT(EDATE($D46,Milestones!$AA$174),"dd mmm yy"))&amp;" "&amp;Milestones!$AB$174&amp;" "&amp;Milestones!$AC$174&amp;";  ","")&amp;IF(AND(EDATE($D46,Milestones!$AA$175)&lt;=AsOfDate,IF($R46=0,$X46,IF(AND($T46&lt;&gt;"",EDATE($D46,Milestones!$AA$175)&gt;=$T46),$W46,IF(AND($S46&lt;&gt;"",EDATE($D46,Milestones!$AA$175)&gt;=$S46),$V46,$U46)))=Milestones!$AB$175),UPPER(TEXT(EDATE($D46,Milestones!$AA$175),"dd mmm yy"))&amp;" "&amp;Milestones!$AB$175&amp;" "&amp;Milestones!$AC$175&amp;";  ","")&amp;IF(AND(EDATE($D46,Milestones!$AA$176)&lt;=AsOfDate,IF($R46=0,$X46,IF(AND($T46&lt;&gt;"",EDATE($D46,Milestones!$AA$176)&gt;=$T46),$W46,IF(AND($S46&lt;&gt;"",EDATE($D46,Milestones!$AA$176)&gt;=$S46),$V46,$U46)))=Milestones!$AB$176),UPPER(TEXT(EDATE($D46,Milestones!$AA$176),"dd mmm yy"))&amp;" "&amp;Milestones!$AB$176&amp;" "&amp;Milestones!$AC$176&amp;";  ","")&amp;IF(AND(EDATE($D46,Milestones!$AA$177)&lt;=AsOfDate,IF($R46=0,$X46,IF(AND($T46&lt;&gt;"",EDATE($D46,Milestones!$AA$177)&gt;=$T46),$W46,IF(AND($S46&lt;&gt;"",EDATE($D46,Milestones!$AA$177)&gt;=$S46),$V46,$U46)))=Milestones!$AB$177),UPPER(TEXT(EDATE($D46,Milestones!$AA$177),"dd mmm yy"))&amp;" "&amp;Milestones!$AB$177&amp;" "&amp;Milestones!$AC$177&amp;";  ","")&amp;IF(AND(EDATE($D46,Milestones!$AA$178)&lt;=AsOfDate,IF($R46=0,$X46,IF(AND($T46&lt;&gt;"",EDATE($D46,Milestones!$AA$178)&gt;=$T46),$W46,IF(AND($S46&lt;&gt;"",EDATE($D46,Milestones!$AA$178)&gt;=$S46),$V46,$U46)))=Milestones!$AB$178),UPPER(TEXT(EDATE($D46,Milestones!$AA$178),"dd mmm yy"))&amp;" "&amp;Milestones!$AB$178&amp;" "&amp;Milestones!$AC$178&amp;";  ","")&amp;IF(AND(EDATE($D46,Milestones!$AA$179)&lt;=AsOfDate,IF($R46=0,$X46,IF(AND($T46&lt;&gt;"",EDATE($D46,Milestones!$AA$179)&gt;=$T46),$W46,IF(AND($S46&lt;&gt;"",EDATE($D46,Milestones!$AA$179)&gt;=$S46),$V46,$U46)))=Milestones!$AB$179),UPPER(TEXT(EDATE($D46,Milestones!$AA$179),"dd mmm yy"))&amp;" "&amp;Milestones!$AB$179&amp;" "&amp;Milestones!$AC$179&amp;";  ",""))</f>
        <v/>
      </c>
      <c r="Q46" s="0" t="str">
        <f aca="false">IF(OR($A46="",$D46=""),"",IF(AND(EDATE($D46,Milestones!$AA$180)&lt;=AsOfDate,IF($R46=0,$X46,IF(AND($T46&lt;&gt;"",EDATE($D46,Milestones!$AA$180)&gt;=$T46),$W46,IF(AND($S46&lt;&gt;"",EDATE($D46,Milestones!$AA$180)&gt;=$S46),$V46,$U46)))=Milestones!$AB$180),UPPER(TEXT(EDATE($D46,Milestones!$AA$180),"dd mmm yy"))&amp;" "&amp;Milestones!$AB$180&amp;" "&amp;Milestones!$AC$180&amp;";  ","")&amp;IF(AND(EDATE($D46,Milestones!$AA$181)&lt;=AsOfDate,IF($R46=0,$X46,IF(AND($T46&lt;&gt;"",EDATE($D46,Milestones!$AA$181)&gt;=$T46),$W46,IF(AND($S46&lt;&gt;"",EDATE($D46,Milestones!$AA$181)&gt;=$S46),$V46,$U46)))=Milestones!$AB$181),UPPER(TEXT(EDATE($D46,Milestones!$AA$181),"dd mmm yy"))&amp;" "&amp;Milestones!$AB$181&amp;" "&amp;Milestones!$AC$181&amp;";  ","")&amp;IF(AND(EDATE($D46,Milestones!$AA$182)&lt;=AsOfDate,IF($R46=0,$X46,IF(AND($T46&lt;&gt;"",EDATE($D46,Milestones!$AA$182)&gt;=$T46),$W46,IF(AND($S46&lt;&gt;"",EDATE($D46,Milestones!$AA$182)&gt;=$S46),$V46,$U46)))=Milestones!$AB$182),UPPER(TEXT(EDATE($D46,Milestones!$AA$182),"dd mmm yy"))&amp;" "&amp;Milestones!$AB$182&amp;" "&amp;Milestones!$AC$182&amp;";  ","")&amp;IF(AND(EDATE($D46,Milestones!$AA$183)&lt;=AsOfDate,IF($R46=0,$X46,IF(AND($T46&lt;&gt;"",EDATE($D46,Milestones!$AA$183)&gt;=$T46),$W46,IF(AND($S46&lt;&gt;"",EDATE($D46,Milestones!$AA$183)&gt;=$S46),$V46,$U46)))=Milestones!$AB$183),UPPER(TEXT(EDATE($D46,Milestones!$AA$183),"dd mmm yy"))&amp;" "&amp;Milestones!$AB$183&amp;" "&amp;Milestones!$AC$183&amp;";  ","")&amp;IF(AND(EDATE($D46,Milestones!$AA$184)&lt;=AsOfDate,IF($R46=0,$X46,IF(AND($T46&lt;&gt;"",EDATE($D46,Milestones!$AA$184)&gt;=$T46),$W46,IF(AND($S46&lt;&gt;"",EDATE($D46,Milestones!$AA$184)&gt;=$S46),$V46,$U46)))=Milestones!$AB$184),UPPER(TEXT(EDATE($D46,Milestones!$AA$184),"dd mmm yy"))&amp;" "&amp;Milestones!$AB$184&amp;" "&amp;Milestones!$AC$184&amp;";  ","")&amp;IF(AND(EDATE($D46,Milestones!$AA$185)&lt;=AsOfDate,IF($R46=0,$X46,IF(AND($T46&lt;&gt;"",EDATE($D46,Milestones!$AA$185)&gt;=$T46),$W46,IF(AND($S46&lt;&gt;"",EDATE($D46,Milestones!$AA$185)&gt;=$S46),$V46,$U46)))=Milestones!$AB$185),UPPER(TEXT(EDATE($D46,Milestones!$AA$185),"dd mmm yy"))&amp;" "&amp;Milestones!$AB$185&amp;" "&amp;Milestones!$AC$185&amp;";  ","")&amp;IF(AND(EDATE($D46,Milestones!$AA$186)&lt;=AsOfDate,IF($R46=0,$X46,IF(AND($T46&lt;&gt;"",EDATE($D46,Milestones!$AA$186)&gt;=$T46),$W46,IF(AND($S46&lt;&gt;"",EDATE($D46,Milestones!$AA$186)&gt;=$S46),$V46,$U46)))=Milestones!$AB$186),UPPER(TEXT(EDATE($D46,Milestones!$AA$186),"dd mmm yy"))&amp;" "&amp;Milestones!$AB$186&amp;" "&amp;Milestones!$AC$186&amp;";  ","")&amp;IF(AND(EDATE($D46,Milestones!$AA$187)&lt;=AsOfDate,IF($R46=0,$X46,IF(AND($T46&lt;&gt;"",EDATE($D46,Milestones!$AA$187)&gt;=$T46),$W46,IF(AND($S46&lt;&gt;"",EDATE($D46,Milestones!$AA$187)&gt;=$S46),$V46,$U46)))=Milestones!$AB$187),UPPER(TEXT(EDATE($D46,Milestones!$AA$187),"dd mmm yy"))&amp;" "&amp;Milestones!$AB$187&amp;" "&amp;Milestones!$AC$187&amp;";  ","")&amp;IF(AND(EDATE($D46,Milestones!$AA$188)&lt;=AsOfDate,IF($R46=0,$X46,IF(AND($T46&lt;&gt;"",EDATE($D46,Milestones!$AA$188)&gt;=$T46),$W46,IF(AND($S46&lt;&gt;"",EDATE($D46,Milestones!$AA$188)&gt;=$S46),$V46,$U46)))=Milestones!$AB$188),UPPER(TEXT(EDATE($D46,Milestones!$AA$188),"dd mmm yy"))&amp;" "&amp;Milestones!$AB$188&amp;" "&amp;Milestones!$AC$188&amp;";  ","")&amp;IF(AND(EDATE($D46,Milestones!$AA$189)&lt;=AsOfDate,IF($R46=0,$X46,IF(AND($T46&lt;&gt;"",EDATE($D46,Milestones!$AA$189)&gt;=$T46),$W46,IF(AND($S46&lt;&gt;"",EDATE($D46,Milestones!$AA$189)&gt;=$S46),$V46,$U46)))=Milestones!$AB$189),UPPER(TEXT(EDATE($D46,Milestones!$AA$189),"dd mmm yy"))&amp;" "&amp;Milestones!$AB$189&amp;" "&amp;Milestones!$AC$189&amp;";  ","")&amp;IF(AND(EDATE($D46,Milestones!$AA$190)&lt;=AsOfDate,IF($R46=0,$X46,IF(AND($T46&lt;&gt;"",EDATE($D46,Milestones!$AA$190)&gt;=$T46),$W46,IF(AND($S46&lt;&gt;"",EDATE($D46,Milestones!$AA$190)&gt;=$S46),$V46,$U46)))=Milestones!$AB$190),UPPER(TEXT(EDATE($D46,Milestones!$AA$190),"dd mmm yy"))&amp;" "&amp;Milestones!$AB$190&amp;" "&amp;Milestones!$AC$190&amp;";  ","")&amp;IF(AND(EDATE($D46,Milestones!$AA$191)&lt;=AsOfDate,IF($R46=0,$X46,IF(AND($T46&lt;&gt;"",EDATE($D46,Milestones!$AA$191)&gt;=$T46),$W46,IF(AND($S46&lt;&gt;"",EDATE($D46,Milestones!$AA$191)&gt;=$S46),$V46,$U46)))=Milestones!$AB$191),UPPER(TEXT(EDATE($D46,Milestones!$AA$191),"dd mmm yy"))&amp;" "&amp;Milestones!$AB$191&amp;" "&amp;Milestones!$AC$191&amp;";  ","")&amp;IF(AND(EDATE($D46,Milestones!$AA$192)&lt;=AsOfDate,IF($R46=0,$X46,IF(AND($T46&lt;&gt;"",EDATE($D46,Milestones!$AA$192)&gt;=$T46),$W46,IF(AND($S46&lt;&gt;"",EDATE($D46,Milestones!$AA$192)&gt;=$S46),$V46,$U46)))=Milestones!$AB$192),UPPER(TEXT(EDATE($D46,Milestones!$AA$192),"dd mmm yy"))&amp;" "&amp;Milestones!$AB$192&amp;" "&amp;Milestones!$AC$192&amp;";  ","")&amp;IF(AND(EDATE($D46,Milestones!$AA$193)&lt;=AsOfDate,IF($R46=0,$X46,IF(AND($T46&lt;&gt;"",EDATE($D46,Milestones!$AA$193)&gt;=$T46),$W46,IF(AND($S46&lt;&gt;"",EDATE($D46,Milestones!$AA$193)&gt;=$S46),$V46,$U46)))=Milestones!$AB$193),UPPER(TEXT(EDATE($D46,Milestones!$AA$193),"dd mmm yy"))&amp;" "&amp;Milestones!$AB$193&amp;" "&amp;Milestones!$AC$193&amp;";  ","")&amp;IF(AND(EDATE($D46,Milestones!$AA$194)&lt;=AsOfDate,IF($R46=0,$X46,IF(AND($T46&lt;&gt;"",EDATE($D46,Milestones!$AA$194)&gt;=$T46),$W46,IF(AND($S46&lt;&gt;"",EDATE($D46,Milestones!$AA$194)&gt;=$S46),$V46,$U46)))=Milestones!$AB$194),UPPER(TEXT(EDATE($D46,Milestones!$AA$194),"dd mmm yy"))&amp;" "&amp;Milestones!$AB$194&amp;" "&amp;Milestones!$AC$194&amp;";  ","")&amp;IF(AND(EDATE($D46,Milestones!$AA$195)&lt;=AsOfDate,IF($R46=0,$X46,IF(AND($T46&lt;&gt;"",EDATE($D46,Milestones!$AA$195)&gt;=$T46),$W46,IF(AND($S46&lt;&gt;"",EDATE($D46,Milestones!$AA$195)&gt;=$S46),$V46,$U46)))=Milestones!$AB$195),UPPER(TEXT(EDATE($D46,Milestones!$AA$195),"dd mmm yy"))&amp;" "&amp;Milestones!$AB$195&amp;" "&amp;Milestones!$AC$195&amp;";  ","")&amp;IF(AND(EDATE($D46,Milestones!$AA$196)&lt;=AsOfDate,IF($R46=0,$X46,IF(AND($T46&lt;&gt;"",EDATE($D46,Milestones!$AA$196)&gt;=$T46),$W46,IF(AND($S46&lt;&gt;"",EDATE($D46,Milestones!$AA$196)&gt;=$S46),$V46,$U46)))=Milestones!$AB$196),UPPER(TEXT(EDATE($D46,Milestones!$AA$196),"dd mmm yy"))&amp;" "&amp;Milestones!$AB$196&amp;" "&amp;Milestones!$AC$196&amp;";  ","")&amp;IF(AND(EDATE($D46,Milestones!$AA$197)&lt;=AsOfDate,IF($R46=0,$X46,IF(AND($T46&lt;&gt;"",EDATE($D46,Milestones!$AA$197)&gt;=$T46),$W46,IF(AND($S46&lt;&gt;"",EDATE($D46,Milestones!$AA$197)&gt;=$S46),$V46,$U46)))=Milestones!$AB$197),UPPER(TEXT(EDATE($D46,Milestones!$AA$197),"dd mmm yy"))&amp;" "&amp;Milestones!$AB$197&amp;" "&amp;Milestones!$AC$197&amp;";  ","")&amp;IF(AND(EDATE($D46,Milestones!$AA$198)&lt;=AsOfDate,IF($R46=0,$X46,IF(AND($T46&lt;&gt;"",EDATE($D46,Milestones!$AA$198)&gt;=$T46),$W46,IF(AND($S46&lt;&gt;"",EDATE($D46,Milestones!$AA$198)&gt;=$S46),$V46,$U46)))=Milestones!$AB$198),UPPER(TEXT(EDATE($D46,Milestones!$AA$198),"dd mmm yy"))&amp;" "&amp;Milestones!$AB$198&amp;" "&amp;Milestones!$AC$198&amp;";  ","")&amp;IF(AND(EDATE($D46,Milestones!$AA$199)&lt;=AsOfDate,IF($R46=0,$X46,IF(AND($T46&lt;&gt;"",EDATE($D46,Milestones!$AA$199)&gt;=$T46),$W46,IF(AND($S46&lt;&gt;"",EDATE($D46,Milestones!$AA$199)&gt;=$S46),$V46,$U46)))=Milestones!$AB$199),UPPER(TEXT(EDATE($D46,Milestones!$AA$199),"dd mmm yy"))&amp;" "&amp;Milestones!$AB$199&amp;" "&amp;Milestones!$AC$199&amp;";  ",""))</f>
        <v/>
      </c>
      <c r="R46" s="0" t="str">
        <f aca="false">IF(Staff!$A46="","",Staff!$AI46)</f>
        <v/>
      </c>
      <c r="S46" s="0" t="str">
        <f aca="false">IF(Staff!$A46="","",Staff!$AK46)</f>
        <v/>
      </c>
      <c r="T46" s="0" t="str">
        <f aca="false">IF(Staff!$A46="","",Staff!$AL46)</f>
        <v/>
      </c>
      <c r="U46" s="0" t="str">
        <f aca="false">IF(Staff!$A46="","",Staff!$AP46)</f>
        <v/>
      </c>
      <c r="V46" s="0" t="str">
        <f aca="false">IF(Staff!$A46="","",Staff!$AQ46)</f>
        <v/>
      </c>
      <c r="W46" s="0" t="str">
        <f aca="false">IF(Staff!$A46="","",Staff!$AR46)</f>
        <v/>
      </c>
      <c r="X46" s="0" t="str">
        <f aca="false">IF(Staff!$A46="","",Staff!$AS46)</f>
        <v/>
      </c>
    </row>
    <row r="47" customFormat="false" ht="15" hidden="false" customHeight="false" outlineLevel="0" collapsed="false">
      <c r="A47" s="14" t="str">
        <f aca="false">IF(Staff!$A47="","",Staff!$A47)</f>
        <v/>
      </c>
      <c r="B47" s="14" t="str">
        <f aca="false">IF(Staff!$A47="","",Staff!$B47)</f>
        <v/>
      </c>
      <c r="C47" s="14" t="str">
        <f aca="false">IF(Staff!$A47="","",Staff!$C47)</f>
        <v/>
      </c>
      <c r="D47" s="12" t="str">
        <f aca="false">IF(Staff!$A47="","",Staff!$AH47)</f>
        <v/>
      </c>
      <c r="E47" s="14" t="str">
        <f aca="false">IF(Staff!$A47="","",Staff!$O47)</f>
        <v/>
      </c>
      <c r="F47" s="14" t="str">
        <f aca="false">IF(E47="","",E47*HoursPerDay)</f>
        <v/>
      </c>
      <c r="G47" s="14" t="str">
        <f aca="false">IF(Staff!$A47="","",Staff!$AE47)</f>
        <v/>
      </c>
      <c r="H47" s="26" t="str">
        <f aca="false">IF($A47="","",I47&amp;J47&amp;K47&amp;L47&amp;M47&amp;N47&amp;O47&amp;P47&amp;Q47)</f>
        <v/>
      </c>
      <c r="I47" s="0" t="str">
        <f aca="false">IF(OR($A47="",$D47=""),"",IF(AND(EDATE($D47,Milestones!$AA$20)&lt;=AsOfDate,IF($R47=0,$X47,IF(AND($T47&lt;&gt;"",EDATE($D47,Milestones!$AA$20)&gt;=$T47),$W47,IF(AND($S47&lt;&gt;"",EDATE($D47,Milestones!$AA$20)&gt;=$S47),$V47,$U47)))=Milestones!$AB$20),UPPER(TEXT(EDATE($D47,Milestones!$AA$20),"dd mmm yy"))&amp;" "&amp;Milestones!$AB$20&amp;" "&amp;Milestones!$AC$20&amp;";  ","")&amp;IF(AND(EDATE($D47,Milestones!$AA$21)&lt;=AsOfDate,IF($R47=0,$X47,IF(AND($T47&lt;&gt;"",EDATE($D47,Milestones!$AA$21)&gt;=$T47),$W47,IF(AND($S47&lt;&gt;"",EDATE($D47,Milestones!$AA$21)&gt;=$S47),$V47,$U47)))=Milestones!$AB$21),UPPER(TEXT(EDATE($D47,Milestones!$AA$21),"dd mmm yy"))&amp;" "&amp;Milestones!$AB$21&amp;" "&amp;Milestones!$AC$21&amp;";  ","")&amp;IF(AND(EDATE($D47,Milestones!$AA$22)&lt;=AsOfDate,IF($R47=0,$X47,IF(AND($T47&lt;&gt;"",EDATE($D47,Milestones!$AA$22)&gt;=$T47),$W47,IF(AND($S47&lt;&gt;"",EDATE($D47,Milestones!$AA$22)&gt;=$S47),$V47,$U47)))=Milestones!$AB$22),UPPER(TEXT(EDATE($D47,Milestones!$AA$22),"dd mmm yy"))&amp;" "&amp;Milestones!$AB$22&amp;" "&amp;Milestones!$AC$22&amp;";  ","")&amp;IF(AND(EDATE($D47,Milestones!$AA$23)&lt;=AsOfDate,IF($R47=0,$X47,IF(AND($T47&lt;&gt;"",EDATE($D47,Milestones!$AA$23)&gt;=$T47),$W47,IF(AND($S47&lt;&gt;"",EDATE($D47,Milestones!$AA$23)&gt;=$S47),$V47,$U47)))=Milestones!$AB$23),UPPER(TEXT(EDATE($D47,Milestones!$AA$23),"dd mmm yy"))&amp;" "&amp;Milestones!$AB$23&amp;" "&amp;Milestones!$AC$23&amp;";  ","")&amp;IF(AND(EDATE($D47,Milestones!$AA$24)&lt;=AsOfDate,IF($R47=0,$X47,IF(AND($T47&lt;&gt;"",EDATE($D47,Milestones!$AA$24)&gt;=$T47),$W47,IF(AND($S47&lt;&gt;"",EDATE($D47,Milestones!$AA$24)&gt;=$S47),$V47,$U47)))=Milestones!$AB$24),UPPER(TEXT(EDATE($D47,Milestones!$AA$24),"dd mmm yy"))&amp;" "&amp;Milestones!$AB$24&amp;" "&amp;Milestones!$AC$24&amp;";  ","")&amp;IF(AND(EDATE($D47,Milestones!$AA$25)&lt;=AsOfDate,IF($R47=0,$X47,IF(AND($T47&lt;&gt;"",EDATE($D47,Milestones!$AA$25)&gt;=$T47),$W47,IF(AND($S47&lt;&gt;"",EDATE($D47,Milestones!$AA$25)&gt;=$S47),$V47,$U47)))=Milestones!$AB$25),UPPER(TEXT(EDATE($D47,Milestones!$AA$25),"dd mmm yy"))&amp;" "&amp;Milestones!$AB$25&amp;" "&amp;Milestones!$AC$25&amp;";  ","")&amp;IF(AND(EDATE($D47,Milestones!$AA$26)&lt;=AsOfDate,IF($R47=0,$X47,IF(AND($T47&lt;&gt;"",EDATE($D47,Milestones!$AA$26)&gt;=$T47),$W47,IF(AND($S47&lt;&gt;"",EDATE($D47,Milestones!$AA$26)&gt;=$S47),$V47,$U47)))=Milestones!$AB$26),UPPER(TEXT(EDATE($D47,Milestones!$AA$26),"dd mmm yy"))&amp;" "&amp;Milestones!$AB$26&amp;" "&amp;Milestones!$AC$26&amp;";  ","")&amp;IF(AND(EDATE($D47,Milestones!$AA$27)&lt;=AsOfDate,IF($R47=0,$X47,IF(AND($T47&lt;&gt;"",EDATE($D47,Milestones!$AA$27)&gt;=$T47),$W47,IF(AND($S47&lt;&gt;"",EDATE($D47,Milestones!$AA$27)&gt;=$S47),$V47,$U47)))=Milestones!$AB$27),UPPER(TEXT(EDATE($D47,Milestones!$AA$27),"dd mmm yy"))&amp;" "&amp;Milestones!$AB$27&amp;" "&amp;Milestones!$AC$27&amp;";  ","")&amp;IF(AND(EDATE($D47,Milestones!$AA$28)&lt;=AsOfDate,IF($R47=0,$X47,IF(AND($T47&lt;&gt;"",EDATE($D47,Milestones!$AA$28)&gt;=$T47),$W47,IF(AND($S47&lt;&gt;"",EDATE($D47,Milestones!$AA$28)&gt;=$S47),$V47,$U47)))=Milestones!$AB$28),UPPER(TEXT(EDATE($D47,Milestones!$AA$28),"dd mmm yy"))&amp;" "&amp;Milestones!$AB$28&amp;" "&amp;Milestones!$AC$28&amp;";  ","")&amp;IF(AND(EDATE($D47,Milestones!$AA$29)&lt;=AsOfDate,IF($R47=0,$X47,IF(AND($T47&lt;&gt;"",EDATE($D47,Milestones!$AA$29)&gt;=$T47),$W47,IF(AND($S47&lt;&gt;"",EDATE($D47,Milestones!$AA$29)&gt;=$S47),$V47,$U47)))=Milestones!$AB$29),UPPER(TEXT(EDATE($D47,Milestones!$AA$29),"dd mmm yy"))&amp;" "&amp;Milestones!$AB$29&amp;" "&amp;Milestones!$AC$29&amp;";  ","")&amp;IF(AND(EDATE($D47,Milestones!$AA$30)&lt;=AsOfDate,IF($R47=0,$X47,IF(AND($T47&lt;&gt;"",EDATE($D47,Milestones!$AA$30)&gt;=$T47),$W47,IF(AND($S47&lt;&gt;"",EDATE($D47,Milestones!$AA$30)&gt;=$S47),$V47,$U47)))=Milestones!$AB$30),UPPER(TEXT(EDATE($D47,Milestones!$AA$30),"dd mmm yy"))&amp;" "&amp;Milestones!$AB$30&amp;" "&amp;Milestones!$AC$30&amp;";  ","")&amp;IF(AND(EDATE($D47,Milestones!$AA$31)&lt;=AsOfDate,IF($R47=0,$X47,IF(AND($T47&lt;&gt;"",EDATE($D47,Milestones!$AA$31)&gt;=$T47),$W47,IF(AND($S47&lt;&gt;"",EDATE($D47,Milestones!$AA$31)&gt;=$S47),$V47,$U47)))=Milestones!$AB$31),UPPER(TEXT(EDATE($D47,Milestones!$AA$31),"dd mmm yy"))&amp;" "&amp;Milestones!$AB$31&amp;" "&amp;Milestones!$AC$31&amp;";  ","")&amp;IF(AND(EDATE($D47,Milestones!$AA$32)&lt;=AsOfDate,IF($R47=0,$X47,IF(AND($T47&lt;&gt;"",EDATE($D47,Milestones!$AA$32)&gt;=$T47),$W47,IF(AND($S47&lt;&gt;"",EDATE($D47,Milestones!$AA$32)&gt;=$S47),$V47,$U47)))=Milestones!$AB$32),UPPER(TEXT(EDATE($D47,Milestones!$AA$32),"dd mmm yy"))&amp;" "&amp;Milestones!$AB$32&amp;" "&amp;Milestones!$AC$32&amp;";  ","")&amp;IF(AND(EDATE($D47,Milestones!$AA$33)&lt;=AsOfDate,IF($R47=0,$X47,IF(AND($T47&lt;&gt;"",EDATE($D47,Milestones!$AA$33)&gt;=$T47),$W47,IF(AND($S47&lt;&gt;"",EDATE($D47,Milestones!$AA$33)&gt;=$S47),$V47,$U47)))=Milestones!$AB$33),UPPER(TEXT(EDATE($D47,Milestones!$AA$33),"dd mmm yy"))&amp;" "&amp;Milestones!$AB$33&amp;" "&amp;Milestones!$AC$33&amp;";  ","")&amp;IF(AND(EDATE($D47,Milestones!$AA$34)&lt;=AsOfDate,IF($R47=0,$X47,IF(AND($T47&lt;&gt;"",EDATE($D47,Milestones!$AA$34)&gt;=$T47),$W47,IF(AND($S47&lt;&gt;"",EDATE($D47,Milestones!$AA$34)&gt;=$S47),$V47,$U47)))=Milestones!$AB$34),UPPER(TEXT(EDATE($D47,Milestones!$AA$34),"dd mmm yy"))&amp;" "&amp;Milestones!$AB$34&amp;" "&amp;Milestones!$AC$34&amp;";  ","")&amp;IF(AND(EDATE($D47,Milestones!$AA$35)&lt;=AsOfDate,IF($R47=0,$X47,IF(AND($T47&lt;&gt;"",EDATE($D47,Milestones!$AA$35)&gt;=$T47),$W47,IF(AND($S47&lt;&gt;"",EDATE($D47,Milestones!$AA$35)&gt;=$S47),$V47,$U47)))=Milestones!$AB$35),UPPER(TEXT(EDATE($D47,Milestones!$AA$35),"dd mmm yy"))&amp;" "&amp;Milestones!$AB$35&amp;" "&amp;Milestones!$AC$35&amp;";  ","")&amp;IF(AND(EDATE($D47,Milestones!$AA$36)&lt;=AsOfDate,IF($R47=0,$X47,IF(AND($T47&lt;&gt;"",EDATE($D47,Milestones!$AA$36)&gt;=$T47),$W47,IF(AND($S47&lt;&gt;"",EDATE($D47,Milestones!$AA$36)&gt;=$S47),$V47,$U47)))=Milestones!$AB$36),UPPER(TEXT(EDATE($D47,Milestones!$AA$36),"dd mmm yy"))&amp;" "&amp;Milestones!$AB$36&amp;" "&amp;Milestones!$AC$36&amp;";  ","")&amp;IF(AND(EDATE($D47,Milestones!$AA$37)&lt;=AsOfDate,IF($R47=0,$X47,IF(AND($T47&lt;&gt;"",EDATE($D47,Milestones!$AA$37)&gt;=$T47),$W47,IF(AND($S47&lt;&gt;"",EDATE($D47,Milestones!$AA$37)&gt;=$S47),$V47,$U47)))=Milestones!$AB$37),UPPER(TEXT(EDATE($D47,Milestones!$AA$37),"dd mmm yy"))&amp;" "&amp;Milestones!$AB$37&amp;" "&amp;Milestones!$AC$37&amp;";  ","")&amp;IF(AND(EDATE($D47,Milestones!$AA$38)&lt;=AsOfDate,IF($R47=0,$X47,IF(AND($T47&lt;&gt;"",EDATE($D47,Milestones!$AA$38)&gt;=$T47),$W47,IF(AND($S47&lt;&gt;"",EDATE($D47,Milestones!$AA$38)&gt;=$S47),$V47,$U47)))=Milestones!$AB$38),UPPER(TEXT(EDATE($D47,Milestones!$AA$38),"dd mmm yy"))&amp;" "&amp;Milestones!$AB$38&amp;" "&amp;Milestones!$AC$38&amp;";  ","")&amp;IF(AND(EDATE($D47,Milestones!$AA$39)&lt;=AsOfDate,IF($R47=0,$X47,IF(AND($T47&lt;&gt;"",EDATE($D47,Milestones!$AA$39)&gt;=$T47),$W47,IF(AND($S47&lt;&gt;"",EDATE($D47,Milestones!$AA$39)&gt;=$S47),$V47,$U47)))=Milestones!$AB$39),UPPER(TEXT(EDATE($D47,Milestones!$AA$39),"dd mmm yy"))&amp;" "&amp;Milestones!$AB$39&amp;" "&amp;Milestones!$AC$39&amp;";  ",""))</f>
        <v/>
      </c>
      <c r="J47" s="0" t="str">
        <f aca="false">IF(OR($A47="",$D47=""),"",IF(AND(EDATE($D47,Milestones!$AA$40)&lt;=AsOfDate,IF($R47=0,$X47,IF(AND($T47&lt;&gt;"",EDATE($D47,Milestones!$AA$40)&gt;=$T47),$W47,IF(AND($S47&lt;&gt;"",EDATE($D47,Milestones!$AA$40)&gt;=$S47),$V47,$U47)))=Milestones!$AB$40),UPPER(TEXT(EDATE($D47,Milestones!$AA$40),"dd mmm yy"))&amp;" "&amp;Milestones!$AB$40&amp;" "&amp;Milestones!$AC$40&amp;";  ","")&amp;IF(AND(EDATE($D47,Milestones!$AA$41)&lt;=AsOfDate,IF($R47=0,$X47,IF(AND($T47&lt;&gt;"",EDATE($D47,Milestones!$AA$41)&gt;=$T47),$W47,IF(AND($S47&lt;&gt;"",EDATE($D47,Milestones!$AA$41)&gt;=$S47),$V47,$U47)))=Milestones!$AB$41),UPPER(TEXT(EDATE($D47,Milestones!$AA$41),"dd mmm yy"))&amp;" "&amp;Milestones!$AB$41&amp;" "&amp;Milestones!$AC$41&amp;";  ","")&amp;IF(AND(EDATE($D47,Milestones!$AA$42)&lt;=AsOfDate,IF($R47=0,$X47,IF(AND($T47&lt;&gt;"",EDATE($D47,Milestones!$AA$42)&gt;=$T47),$W47,IF(AND($S47&lt;&gt;"",EDATE($D47,Milestones!$AA$42)&gt;=$S47),$V47,$U47)))=Milestones!$AB$42),UPPER(TEXT(EDATE($D47,Milestones!$AA$42),"dd mmm yy"))&amp;" "&amp;Milestones!$AB$42&amp;" "&amp;Milestones!$AC$42&amp;";  ","")&amp;IF(AND(EDATE($D47,Milestones!$AA$43)&lt;=AsOfDate,IF($R47=0,$X47,IF(AND($T47&lt;&gt;"",EDATE($D47,Milestones!$AA$43)&gt;=$T47),$W47,IF(AND($S47&lt;&gt;"",EDATE($D47,Milestones!$AA$43)&gt;=$S47),$V47,$U47)))=Milestones!$AB$43),UPPER(TEXT(EDATE($D47,Milestones!$AA$43),"dd mmm yy"))&amp;" "&amp;Milestones!$AB$43&amp;" "&amp;Milestones!$AC$43&amp;";  ","")&amp;IF(AND(EDATE($D47,Milestones!$AA$44)&lt;=AsOfDate,IF($R47=0,$X47,IF(AND($T47&lt;&gt;"",EDATE($D47,Milestones!$AA$44)&gt;=$T47),$W47,IF(AND($S47&lt;&gt;"",EDATE($D47,Milestones!$AA$44)&gt;=$S47),$V47,$U47)))=Milestones!$AB$44),UPPER(TEXT(EDATE($D47,Milestones!$AA$44),"dd mmm yy"))&amp;" "&amp;Milestones!$AB$44&amp;" "&amp;Milestones!$AC$44&amp;";  ","")&amp;IF(AND(EDATE($D47,Milestones!$AA$45)&lt;=AsOfDate,IF($R47=0,$X47,IF(AND($T47&lt;&gt;"",EDATE($D47,Milestones!$AA$45)&gt;=$T47),$W47,IF(AND($S47&lt;&gt;"",EDATE($D47,Milestones!$AA$45)&gt;=$S47),$V47,$U47)))=Milestones!$AB$45),UPPER(TEXT(EDATE($D47,Milestones!$AA$45),"dd mmm yy"))&amp;" "&amp;Milestones!$AB$45&amp;" "&amp;Milestones!$AC$45&amp;";  ","")&amp;IF(AND(EDATE($D47,Milestones!$AA$46)&lt;=AsOfDate,IF($R47=0,$X47,IF(AND($T47&lt;&gt;"",EDATE($D47,Milestones!$AA$46)&gt;=$T47),$W47,IF(AND($S47&lt;&gt;"",EDATE($D47,Milestones!$AA$46)&gt;=$S47),$V47,$U47)))=Milestones!$AB$46),UPPER(TEXT(EDATE($D47,Milestones!$AA$46),"dd mmm yy"))&amp;" "&amp;Milestones!$AB$46&amp;" "&amp;Milestones!$AC$46&amp;";  ","")&amp;IF(AND(EDATE($D47,Milestones!$AA$47)&lt;=AsOfDate,IF($R47=0,$X47,IF(AND($T47&lt;&gt;"",EDATE($D47,Milestones!$AA$47)&gt;=$T47),$W47,IF(AND($S47&lt;&gt;"",EDATE($D47,Milestones!$AA$47)&gt;=$S47),$V47,$U47)))=Milestones!$AB$47),UPPER(TEXT(EDATE($D47,Milestones!$AA$47),"dd mmm yy"))&amp;" "&amp;Milestones!$AB$47&amp;" "&amp;Milestones!$AC$47&amp;";  ","")&amp;IF(AND(EDATE($D47,Milestones!$AA$48)&lt;=AsOfDate,IF($R47=0,$X47,IF(AND($T47&lt;&gt;"",EDATE($D47,Milestones!$AA$48)&gt;=$T47),$W47,IF(AND($S47&lt;&gt;"",EDATE($D47,Milestones!$AA$48)&gt;=$S47),$V47,$U47)))=Milestones!$AB$48),UPPER(TEXT(EDATE($D47,Milestones!$AA$48),"dd mmm yy"))&amp;" "&amp;Milestones!$AB$48&amp;" "&amp;Milestones!$AC$48&amp;";  ","")&amp;IF(AND(EDATE($D47,Milestones!$AA$49)&lt;=AsOfDate,IF($R47=0,$X47,IF(AND($T47&lt;&gt;"",EDATE($D47,Milestones!$AA$49)&gt;=$T47),$W47,IF(AND($S47&lt;&gt;"",EDATE($D47,Milestones!$AA$49)&gt;=$S47),$V47,$U47)))=Milestones!$AB$49),UPPER(TEXT(EDATE($D47,Milestones!$AA$49),"dd mmm yy"))&amp;" "&amp;Milestones!$AB$49&amp;" "&amp;Milestones!$AC$49&amp;";  ","")&amp;IF(AND(EDATE($D47,Milestones!$AA$50)&lt;=AsOfDate,IF($R47=0,$X47,IF(AND($T47&lt;&gt;"",EDATE($D47,Milestones!$AA$50)&gt;=$T47),$W47,IF(AND($S47&lt;&gt;"",EDATE($D47,Milestones!$AA$50)&gt;=$S47),$V47,$U47)))=Milestones!$AB$50),UPPER(TEXT(EDATE($D47,Milestones!$AA$50),"dd mmm yy"))&amp;" "&amp;Milestones!$AB$50&amp;" "&amp;Milestones!$AC$50&amp;";  ","")&amp;IF(AND(EDATE($D47,Milestones!$AA$51)&lt;=AsOfDate,IF($R47=0,$X47,IF(AND($T47&lt;&gt;"",EDATE($D47,Milestones!$AA$51)&gt;=$T47),$W47,IF(AND($S47&lt;&gt;"",EDATE($D47,Milestones!$AA$51)&gt;=$S47),$V47,$U47)))=Milestones!$AB$51),UPPER(TEXT(EDATE($D47,Milestones!$AA$51),"dd mmm yy"))&amp;" "&amp;Milestones!$AB$51&amp;" "&amp;Milestones!$AC$51&amp;";  ","")&amp;IF(AND(EDATE($D47,Milestones!$AA$52)&lt;=AsOfDate,IF($R47=0,$X47,IF(AND($T47&lt;&gt;"",EDATE($D47,Milestones!$AA$52)&gt;=$T47),$W47,IF(AND($S47&lt;&gt;"",EDATE($D47,Milestones!$AA$52)&gt;=$S47),$V47,$U47)))=Milestones!$AB$52),UPPER(TEXT(EDATE($D47,Milestones!$AA$52),"dd mmm yy"))&amp;" "&amp;Milestones!$AB$52&amp;" "&amp;Milestones!$AC$52&amp;";  ","")&amp;IF(AND(EDATE($D47,Milestones!$AA$53)&lt;=AsOfDate,IF($R47=0,$X47,IF(AND($T47&lt;&gt;"",EDATE($D47,Milestones!$AA$53)&gt;=$T47),$W47,IF(AND($S47&lt;&gt;"",EDATE($D47,Milestones!$AA$53)&gt;=$S47),$V47,$U47)))=Milestones!$AB$53),UPPER(TEXT(EDATE($D47,Milestones!$AA$53),"dd mmm yy"))&amp;" "&amp;Milestones!$AB$53&amp;" "&amp;Milestones!$AC$53&amp;";  ","")&amp;IF(AND(EDATE($D47,Milestones!$AA$54)&lt;=AsOfDate,IF($R47=0,$X47,IF(AND($T47&lt;&gt;"",EDATE($D47,Milestones!$AA$54)&gt;=$T47),$W47,IF(AND($S47&lt;&gt;"",EDATE($D47,Milestones!$AA$54)&gt;=$S47),$V47,$U47)))=Milestones!$AB$54),UPPER(TEXT(EDATE($D47,Milestones!$AA$54),"dd mmm yy"))&amp;" "&amp;Milestones!$AB$54&amp;" "&amp;Milestones!$AC$54&amp;";  ","")&amp;IF(AND(EDATE($D47,Milestones!$AA$55)&lt;=AsOfDate,IF($R47=0,$X47,IF(AND($T47&lt;&gt;"",EDATE($D47,Milestones!$AA$55)&gt;=$T47),$W47,IF(AND($S47&lt;&gt;"",EDATE($D47,Milestones!$AA$55)&gt;=$S47),$V47,$U47)))=Milestones!$AB$55),UPPER(TEXT(EDATE($D47,Milestones!$AA$55),"dd mmm yy"))&amp;" "&amp;Milestones!$AB$55&amp;" "&amp;Milestones!$AC$55&amp;";  ","")&amp;IF(AND(EDATE($D47,Milestones!$AA$56)&lt;=AsOfDate,IF($R47=0,$X47,IF(AND($T47&lt;&gt;"",EDATE($D47,Milestones!$AA$56)&gt;=$T47),$W47,IF(AND($S47&lt;&gt;"",EDATE($D47,Milestones!$AA$56)&gt;=$S47),$V47,$U47)))=Milestones!$AB$56),UPPER(TEXT(EDATE($D47,Milestones!$AA$56),"dd mmm yy"))&amp;" "&amp;Milestones!$AB$56&amp;" "&amp;Milestones!$AC$56&amp;";  ","")&amp;IF(AND(EDATE($D47,Milestones!$AA$57)&lt;=AsOfDate,IF($R47=0,$X47,IF(AND($T47&lt;&gt;"",EDATE($D47,Milestones!$AA$57)&gt;=$T47),$W47,IF(AND($S47&lt;&gt;"",EDATE($D47,Milestones!$AA$57)&gt;=$S47),$V47,$U47)))=Milestones!$AB$57),UPPER(TEXT(EDATE($D47,Milestones!$AA$57),"dd mmm yy"))&amp;" "&amp;Milestones!$AB$57&amp;" "&amp;Milestones!$AC$57&amp;";  ","")&amp;IF(AND(EDATE($D47,Milestones!$AA$58)&lt;=AsOfDate,IF($R47=0,$X47,IF(AND($T47&lt;&gt;"",EDATE($D47,Milestones!$AA$58)&gt;=$T47),$W47,IF(AND($S47&lt;&gt;"",EDATE($D47,Milestones!$AA$58)&gt;=$S47),$V47,$U47)))=Milestones!$AB$58),UPPER(TEXT(EDATE($D47,Milestones!$AA$58),"dd mmm yy"))&amp;" "&amp;Milestones!$AB$58&amp;" "&amp;Milestones!$AC$58&amp;";  ","")&amp;IF(AND(EDATE($D47,Milestones!$AA$59)&lt;=AsOfDate,IF($R47=0,$X47,IF(AND($T47&lt;&gt;"",EDATE($D47,Milestones!$AA$59)&gt;=$T47),$W47,IF(AND($S47&lt;&gt;"",EDATE($D47,Milestones!$AA$59)&gt;=$S47),$V47,$U47)))=Milestones!$AB$59),UPPER(TEXT(EDATE($D47,Milestones!$AA$59),"dd mmm yy"))&amp;" "&amp;Milestones!$AB$59&amp;" "&amp;Milestones!$AC$59&amp;";  ",""))</f>
        <v/>
      </c>
      <c r="K47" s="0" t="str">
        <f aca="false">IF(OR($A47="",$D47=""),"",IF(AND(EDATE($D47,Milestones!$AA$60)&lt;=AsOfDate,IF($R47=0,$X47,IF(AND($T47&lt;&gt;"",EDATE($D47,Milestones!$AA$60)&gt;=$T47),$W47,IF(AND($S47&lt;&gt;"",EDATE($D47,Milestones!$AA$60)&gt;=$S47),$V47,$U47)))=Milestones!$AB$60),UPPER(TEXT(EDATE($D47,Milestones!$AA$60),"dd mmm yy"))&amp;" "&amp;Milestones!$AB$60&amp;" "&amp;Milestones!$AC$60&amp;";  ","")&amp;IF(AND(EDATE($D47,Milestones!$AA$61)&lt;=AsOfDate,IF($R47=0,$X47,IF(AND($T47&lt;&gt;"",EDATE($D47,Milestones!$AA$61)&gt;=$T47),$W47,IF(AND($S47&lt;&gt;"",EDATE($D47,Milestones!$AA$61)&gt;=$S47),$V47,$U47)))=Milestones!$AB$61),UPPER(TEXT(EDATE($D47,Milestones!$AA$61),"dd mmm yy"))&amp;" "&amp;Milestones!$AB$61&amp;" "&amp;Milestones!$AC$61&amp;";  ","")&amp;IF(AND(EDATE($D47,Milestones!$AA$62)&lt;=AsOfDate,IF($R47=0,$X47,IF(AND($T47&lt;&gt;"",EDATE($D47,Milestones!$AA$62)&gt;=$T47),$W47,IF(AND($S47&lt;&gt;"",EDATE($D47,Milestones!$AA$62)&gt;=$S47),$V47,$U47)))=Milestones!$AB$62),UPPER(TEXT(EDATE($D47,Milestones!$AA$62),"dd mmm yy"))&amp;" "&amp;Milestones!$AB$62&amp;" "&amp;Milestones!$AC$62&amp;";  ","")&amp;IF(AND(EDATE($D47,Milestones!$AA$63)&lt;=AsOfDate,IF($R47=0,$X47,IF(AND($T47&lt;&gt;"",EDATE($D47,Milestones!$AA$63)&gt;=$T47),$W47,IF(AND($S47&lt;&gt;"",EDATE($D47,Milestones!$AA$63)&gt;=$S47),$V47,$U47)))=Milestones!$AB$63),UPPER(TEXT(EDATE($D47,Milestones!$AA$63),"dd mmm yy"))&amp;" "&amp;Milestones!$AB$63&amp;" "&amp;Milestones!$AC$63&amp;";  ","")&amp;IF(AND(EDATE($D47,Milestones!$AA$64)&lt;=AsOfDate,IF($R47=0,$X47,IF(AND($T47&lt;&gt;"",EDATE($D47,Milestones!$AA$64)&gt;=$T47),$W47,IF(AND($S47&lt;&gt;"",EDATE($D47,Milestones!$AA$64)&gt;=$S47),$V47,$U47)))=Milestones!$AB$64),UPPER(TEXT(EDATE($D47,Milestones!$AA$64),"dd mmm yy"))&amp;" "&amp;Milestones!$AB$64&amp;" "&amp;Milestones!$AC$64&amp;";  ","")&amp;IF(AND(EDATE($D47,Milestones!$AA$65)&lt;=AsOfDate,IF($R47=0,$X47,IF(AND($T47&lt;&gt;"",EDATE($D47,Milestones!$AA$65)&gt;=$T47),$W47,IF(AND($S47&lt;&gt;"",EDATE($D47,Milestones!$AA$65)&gt;=$S47),$V47,$U47)))=Milestones!$AB$65),UPPER(TEXT(EDATE($D47,Milestones!$AA$65),"dd mmm yy"))&amp;" "&amp;Milestones!$AB$65&amp;" "&amp;Milestones!$AC$65&amp;";  ","")&amp;IF(AND(EDATE($D47,Milestones!$AA$66)&lt;=AsOfDate,IF($R47=0,$X47,IF(AND($T47&lt;&gt;"",EDATE($D47,Milestones!$AA$66)&gt;=$T47),$W47,IF(AND($S47&lt;&gt;"",EDATE($D47,Milestones!$AA$66)&gt;=$S47),$V47,$U47)))=Milestones!$AB$66),UPPER(TEXT(EDATE($D47,Milestones!$AA$66),"dd mmm yy"))&amp;" "&amp;Milestones!$AB$66&amp;" "&amp;Milestones!$AC$66&amp;";  ","")&amp;IF(AND(EDATE($D47,Milestones!$AA$67)&lt;=AsOfDate,IF($R47=0,$X47,IF(AND($T47&lt;&gt;"",EDATE($D47,Milestones!$AA$67)&gt;=$T47),$W47,IF(AND($S47&lt;&gt;"",EDATE($D47,Milestones!$AA$67)&gt;=$S47),$V47,$U47)))=Milestones!$AB$67),UPPER(TEXT(EDATE($D47,Milestones!$AA$67),"dd mmm yy"))&amp;" "&amp;Milestones!$AB$67&amp;" "&amp;Milestones!$AC$67&amp;";  ","")&amp;IF(AND(EDATE($D47,Milestones!$AA$68)&lt;=AsOfDate,IF($R47=0,$X47,IF(AND($T47&lt;&gt;"",EDATE($D47,Milestones!$AA$68)&gt;=$T47),$W47,IF(AND($S47&lt;&gt;"",EDATE($D47,Milestones!$AA$68)&gt;=$S47),$V47,$U47)))=Milestones!$AB$68),UPPER(TEXT(EDATE($D47,Milestones!$AA$68),"dd mmm yy"))&amp;" "&amp;Milestones!$AB$68&amp;" "&amp;Milestones!$AC$68&amp;";  ","")&amp;IF(AND(EDATE($D47,Milestones!$AA$69)&lt;=AsOfDate,IF($R47=0,$X47,IF(AND($T47&lt;&gt;"",EDATE($D47,Milestones!$AA$69)&gt;=$T47),$W47,IF(AND($S47&lt;&gt;"",EDATE($D47,Milestones!$AA$69)&gt;=$S47),$V47,$U47)))=Milestones!$AB$69),UPPER(TEXT(EDATE($D47,Milestones!$AA$69),"dd mmm yy"))&amp;" "&amp;Milestones!$AB$69&amp;" "&amp;Milestones!$AC$69&amp;";  ","")&amp;IF(AND(EDATE($D47,Milestones!$AA$70)&lt;=AsOfDate,IF($R47=0,$X47,IF(AND($T47&lt;&gt;"",EDATE($D47,Milestones!$AA$70)&gt;=$T47),$W47,IF(AND($S47&lt;&gt;"",EDATE($D47,Milestones!$AA$70)&gt;=$S47),$V47,$U47)))=Milestones!$AB$70),UPPER(TEXT(EDATE($D47,Milestones!$AA$70),"dd mmm yy"))&amp;" "&amp;Milestones!$AB$70&amp;" "&amp;Milestones!$AC$70&amp;";  ","")&amp;IF(AND(EDATE($D47,Milestones!$AA$71)&lt;=AsOfDate,IF($R47=0,$X47,IF(AND($T47&lt;&gt;"",EDATE($D47,Milestones!$AA$71)&gt;=$T47),$W47,IF(AND($S47&lt;&gt;"",EDATE($D47,Milestones!$AA$71)&gt;=$S47),$V47,$U47)))=Milestones!$AB$71),UPPER(TEXT(EDATE($D47,Milestones!$AA$71),"dd mmm yy"))&amp;" "&amp;Milestones!$AB$71&amp;" "&amp;Milestones!$AC$71&amp;";  ","")&amp;IF(AND(EDATE($D47,Milestones!$AA$72)&lt;=AsOfDate,IF($R47=0,$X47,IF(AND($T47&lt;&gt;"",EDATE($D47,Milestones!$AA$72)&gt;=$T47),$W47,IF(AND($S47&lt;&gt;"",EDATE($D47,Milestones!$AA$72)&gt;=$S47),$V47,$U47)))=Milestones!$AB$72),UPPER(TEXT(EDATE($D47,Milestones!$AA$72),"dd mmm yy"))&amp;" "&amp;Milestones!$AB$72&amp;" "&amp;Milestones!$AC$72&amp;";  ","")&amp;IF(AND(EDATE($D47,Milestones!$AA$73)&lt;=AsOfDate,IF($R47=0,$X47,IF(AND($T47&lt;&gt;"",EDATE($D47,Milestones!$AA$73)&gt;=$T47),$W47,IF(AND($S47&lt;&gt;"",EDATE($D47,Milestones!$AA$73)&gt;=$S47),$V47,$U47)))=Milestones!$AB$73),UPPER(TEXT(EDATE($D47,Milestones!$AA$73),"dd mmm yy"))&amp;" "&amp;Milestones!$AB$73&amp;" "&amp;Milestones!$AC$73&amp;";  ","")&amp;IF(AND(EDATE($D47,Milestones!$AA$74)&lt;=AsOfDate,IF($R47=0,$X47,IF(AND($T47&lt;&gt;"",EDATE($D47,Milestones!$AA$74)&gt;=$T47),$W47,IF(AND($S47&lt;&gt;"",EDATE($D47,Milestones!$AA$74)&gt;=$S47),$V47,$U47)))=Milestones!$AB$74),UPPER(TEXT(EDATE($D47,Milestones!$AA$74),"dd mmm yy"))&amp;" "&amp;Milestones!$AB$74&amp;" "&amp;Milestones!$AC$74&amp;";  ","")&amp;IF(AND(EDATE($D47,Milestones!$AA$75)&lt;=AsOfDate,IF($R47=0,$X47,IF(AND($T47&lt;&gt;"",EDATE($D47,Milestones!$AA$75)&gt;=$T47),$W47,IF(AND($S47&lt;&gt;"",EDATE($D47,Milestones!$AA$75)&gt;=$S47),$V47,$U47)))=Milestones!$AB$75),UPPER(TEXT(EDATE($D47,Milestones!$AA$75),"dd mmm yy"))&amp;" "&amp;Milestones!$AB$75&amp;" "&amp;Milestones!$AC$75&amp;";  ","")&amp;IF(AND(EDATE($D47,Milestones!$AA$76)&lt;=AsOfDate,IF($R47=0,$X47,IF(AND($T47&lt;&gt;"",EDATE($D47,Milestones!$AA$76)&gt;=$T47),$W47,IF(AND($S47&lt;&gt;"",EDATE($D47,Milestones!$AA$76)&gt;=$S47),$V47,$U47)))=Milestones!$AB$76),UPPER(TEXT(EDATE($D47,Milestones!$AA$76),"dd mmm yy"))&amp;" "&amp;Milestones!$AB$76&amp;" "&amp;Milestones!$AC$76&amp;";  ","")&amp;IF(AND(EDATE($D47,Milestones!$AA$77)&lt;=AsOfDate,IF($R47=0,$X47,IF(AND($T47&lt;&gt;"",EDATE($D47,Milestones!$AA$77)&gt;=$T47),$W47,IF(AND($S47&lt;&gt;"",EDATE($D47,Milestones!$AA$77)&gt;=$S47),$V47,$U47)))=Milestones!$AB$77),UPPER(TEXT(EDATE($D47,Milestones!$AA$77),"dd mmm yy"))&amp;" "&amp;Milestones!$AB$77&amp;" "&amp;Milestones!$AC$77&amp;";  ","")&amp;IF(AND(EDATE($D47,Milestones!$AA$78)&lt;=AsOfDate,IF($R47=0,$X47,IF(AND($T47&lt;&gt;"",EDATE($D47,Milestones!$AA$78)&gt;=$T47),$W47,IF(AND($S47&lt;&gt;"",EDATE($D47,Milestones!$AA$78)&gt;=$S47),$V47,$U47)))=Milestones!$AB$78),UPPER(TEXT(EDATE($D47,Milestones!$AA$78),"dd mmm yy"))&amp;" "&amp;Milestones!$AB$78&amp;" "&amp;Milestones!$AC$78&amp;";  ","")&amp;IF(AND(EDATE($D47,Milestones!$AA$79)&lt;=AsOfDate,IF($R47=0,$X47,IF(AND($T47&lt;&gt;"",EDATE($D47,Milestones!$AA$79)&gt;=$T47),$W47,IF(AND($S47&lt;&gt;"",EDATE($D47,Milestones!$AA$79)&gt;=$S47),$V47,$U47)))=Milestones!$AB$79),UPPER(TEXT(EDATE($D47,Milestones!$AA$79),"dd mmm yy"))&amp;" "&amp;Milestones!$AB$79&amp;" "&amp;Milestones!$AC$79&amp;";  ",""))</f>
        <v/>
      </c>
      <c r="L47" s="0" t="str">
        <f aca="false">IF(OR($A47="",$D47=""),"",IF(AND(EDATE($D47,Milestones!$AA$80)&lt;=AsOfDate,IF($R47=0,$X47,IF(AND($T47&lt;&gt;"",EDATE($D47,Milestones!$AA$80)&gt;=$T47),$W47,IF(AND($S47&lt;&gt;"",EDATE($D47,Milestones!$AA$80)&gt;=$S47),$V47,$U47)))=Milestones!$AB$80),UPPER(TEXT(EDATE($D47,Milestones!$AA$80),"dd mmm yy"))&amp;" "&amp;Milestones!$AB$80&amp;" "&amp;Milestones!$AC$80&amp;";  ","")&amp;IF(AND(EDATE($D47,Milestones!$AA$81)&lt;=AsOfDate,IF($R47=0,$X47,IF(AND($T47&lt;&gt;"",EDATE($D47,Milestones!$AA$81)&gt;=$T47),$W47,IF(AND($S47&lt;&gt;"",EDATE($D47,Milestones!$AA$81)&gt;=$S47),$V47,$U47)))=Milestones!$AB$81),UPPER(TEXT(EDATE($D47,Milestones!$AA$81),"dd mmm yy"))&amp;" "&amp;Milestones!$AB$81&amp;" "&amp;Milestones!$AC$81&amp;";  ","")&amp;IF(AND(EDATE($D47,Milestones!$AA$82)&lt;=AsOfDate,IF($R47=0,$X47,IF(AND($T47&lt;&gt;"",EDATE($D47,Milestones!$AA$82)&gt;=$T47),$W47,IF(AND($S47&lt;&gt;"",EDATE($D47,Milestones!$AA$82)&gt;=$S47),$V47,$U47)))=Milestones!$AB$82),UPPER(TEXT(EDATE($D47,Milestones!$AA$82),"dd mmm yy"))&amp;" "&amp;Milestones!$AB$82&amp;" "&amp;Milestones!$AC$82&amp;";  ","")&amp;IF(AND(EDATE($D47,Milestones!$AA$83)&lt;=AsOfDate,IF($R47=0,$X47,IF(AND($T47&lt;&gt;"",EDATE($D47,Milestones!$AA$83)&gt;=$T47),$W47,IF(AND($S47&lt;&gt;"",EDATE($D47,Milestones!$AA$83)&gt;=$S47),$V47,$U47)))=Milestones!$AB$83),UPPER(TEXT(EDATE($D47,Milestones!$AA$83),"dd mmm yy"))&amp;" "&amp;Milestones!$AB$83&amp;" "&amp;Milestones!$AC$83&amp;";  ","")&amp;IF(AND(EDATE($D47,Milestones!$AA$84)&lt;=AsOfDate,IF($R47=0,$X47,IF(AND($T47&lt;&gt;"",EDATE($D47,Milestones!$AA$84)&gt;=$T47),$W47,IF(AND($S47&lt;&gt;"",EDATE($D47,Milestones!$AA$84)&gt;=$S47),$V47,$U47)))=Milestones!$AB$84),UPPER(TEXT(EDATE($D47,Milestones!$AA$84),"dd mmm yy"))&amp;" "&amp;Milestones!$AB$84&amp;" "&amp;Milestones!$AC$84&amp;";  ","")&amp;IF(AND(EDATE($D47,Milestones!$AA$85)&lt;=AsOfDate,IF($R47=0,$X47,IF(AND($T47&lt;&gt;"",EDATE($D47,Milestones!$AA$85)&gt;=$T47),$W47,IF(AND($S47&lt;&gt;"",EDATE($D47,Milestones!$AA$85)&gt;=$S47),$V47,$U47)))=Milestones!$AB$85),UPPER(TEXT(EDATE($D47,Milestones!$AA$85),"dd mmm yy"))&amp;" "&amp;Milestones!$AB$85&amp;" "&amp;Milestones!$AC$85&amp;";  ","")&amp;IF(AND(EDATE($D47,Milestones!$AA$86)&lt;=AsOfDate,IF($R47=0,$X47,IF(AND($T47&lt;&gt;"",EDATE($D47,Milestones!$AA$86)&gt;=$T47),$W47,IF(AND($S47&lt;&gt;"",EDATE($D47,Milestones!$AA$86)&gt;=$S47),$V47,$U47)))=Milestones!$AB$86),UPPER(TEXT(EDATE($D47,Milestones!$AA$86),"dd mmm yy"))&amp;" "&amp;Milestones!$AB$86&amp;" "&amp;Milestones!$AC$86&amp;";  ","")&amp;IF(AND(EDATE($D47,Milestones!$AA$87)&lt;=AsOfDate,IF($R47=0,$X47,IF(AND($T47&lt;&gt;"",EDATE($D47,Milestones!$AA$87)&gt;=$T47),$W47,IF(AND($S47&lt;&gt;"",EDATE($D47,Milestones!$AA$87)&gt;=$S47),$V47,$U47)))=Milestones!$AB$87),UPPER(TEXT(EDATE($D47,Milestones!$AA$87),"dd mmm yy"))&amp;" "&amp;Milestones!$AB$87&amp;" "&amp;Milestones!$AC$87&amp;";  ","")&amp;IF(AND(EDATE($D47,Milestones!$AA$88)&lt;=AsOfDate,IF($R47=0,$X47,IF(AND($T47&lt;&gt;"",EDATE($D47,Milestones!$AA$88)&gt;=$T47),$W47,IF(AND($S47&lt;&gt;"",EDATE($D47,Milestones!$AA$88)&gt;=$S47),$V47,$U47)))=Milestones!$AB$88),UPPER(TEXT(EDATE($D47,Milestones!$AA$88),"dd mmm yy"))&amp;" "&amp;Milestones!$AB$88&amp;" "&amp;Milestones!$AC$88&amp;";  ","")&amp;IF(AND(EDATE($D47,Milestones!$AA$89)&lt;=AsOfDate,IF($R47=0,$X47,IF(AND($T47&lt;&gt;"",EDATE($D47,Milestones!$AA$89)&gt;=$T47),$W47,IF(AND($S47&lt;&gt;"",EDATE($D47,Milestones!$AA$89)&gt;=$S47),$V47,$U47)))=Milestones!$AB$89),UPPER(TEXT(EDATE($D47,Milestones!$AA$89),"dd mmm yy"))&amp;" "&amp;Milestones!$AB$89&amp;" "&amp;Milestones!$AC$89&amp;";  ","")&amp;IF(AND(EDATE($D47,Milestones!$AA$90)&lt;=AsOfDate,IF($R47=0,$X47,IF(AND($T47&lt;&gt;"",EDATE($D47,Milestones!$AA$90)&gt;=$T47),$W47,IF(AND($S47&lt;&gt;"",EDATE($D47,Milestones!$AA$90)&gt;=$S47),$V47,$U47)))=Milestones!$AB$90),UPPER(TEXT(EDATE($D47,Milestones!$AA$90),"dd mmm yy"))&amp;" "&amp;Milestones!$AB$90&amp;" "&amp;Milestones!$AC$90&amp;";  ","")&amp;IF(AND(EDATE($D47,Milestones!$AA$91)&lt;=AsOfDate,IF($R47=0,$X47,IF(AND($T47&lt;&gt;"",EDATE($D47,Milestones!$AA$91)&gt;=$T47),$W47,IF(AND($S47&lt;&gt;"",EDATE($D47,Milestones!$AA$91)&gt;=$S47),$V47,$U47)))=Milestones!$AB$91),UPPER(TEXT(EDATE($D47,Milestones!$AA$91),"dd mmm yy"))&amp;" "&amp;Milestones!$AB$91&amp;" "&amp;Milestones!$AC$91&amp;";  ","")&amp;IF(AND(EDATE($D47,Milestones!$AA$92)&lt;=AsOfDate,IF($R47=0,$X47,IF(AND($T47&lt;&gt;"",EDATE($D47,Milestones!$AA$92)&gt;=$T47),$W47,IF(AND($S47&lt;&gt;"",EDATE($D47,Milestones!$AA$92)&gt;=$S47),$V47,$U47)))=Milestones!$AB$92),UPPER(TEXT(EDATE($D47,Milestones!$AA$92),"dd mmm yy"))&amp;" "&amp;Milestones!$AB$92&amp;" "&amp;Milestones!$AC$92&amp;";  ","")&amp;IF(AND(EDATE($D47,Milestones!$AA$93)&lt;=AsOfDate,IF($R47=0,$X47,IF(AND($T47&lt;&gt;"",EDATE($D47,Milestones!$AA$93)&gt;=$T47),$W47,IF(AND($S47&lt;&gt;"",EDATE($D47,Milestones!$AA$93)&gt;=$S47),$V47,$U47)))=Milestones!$AB$93),UPPER(TEXT(EDATE($D47,Milestones!$AA$93),"dd mmm yy"))&amp;" "&amp;Milestones!$AB$93&amp;" "&amp;Milestones!$AC$93&amp;";  ","")&amp;IF(AND(EDATE($D47,Milestones!$AA$94)&lt;=AsOfDate,IF($R47=0,$X47,IF(AND($T47&lt;&gt;"",EDATE($D47,Milestones!$AA$94)&gt;=$T47),$W47,IF(AND($S47&lt;&gt;"",EDATE($D47,Milestones!$AA$94)&gt;=$S47),$V47,$U47)))=Milestones!$AB$94),UPPER(TEXT(EDATE($D47,Milestones!$AA$94),"dd mmm yy"))&amp;" "&amp;Milestones!$AB$94&amp;" "&amp;Milestones!$AC$94&amp;";  ","")&amp;IF(AND(EDATE($D47,Milestones!$AA$95)&lt;=AsOfDate,IF($R47=0,$X47,IF(AND($T47&lt;&gt;"",EDATE($D47,Milestones!$AA$95)&gt;=$T47),$W47,IF(AND($S47&lt;&gt;"",EDATE($D47,Milestones!$AA$95)&gt;=$S47),$V47,$U47)))=Milestones!$AB$95),UPPER(TEXT(EDATE($D47,Milestones!$AA$95),"dd mmm yy"))&amp;" "&amp;Milestones!$AB$95&amp;" "&amp;Milestones!$AC$95&amp;";  ","")&amp;IF(AND(EDATE($D47,Milestones!$AA$96)&lt;=AsOfDate,IF($R47=0,$X47,IF(AND($T47&lt;&gt;"",EDATE($D47,Milestones!$AA$96)&gt;=$T47),$W47,IF(AND($S47&lt;&gt;"",EDATE($D47,Milestones!$AA$96)&gt;=$S47),$V47,$U47)))=Milestones!$AB$96),UPPER(TEXT(EDATE($D47,Milestones!$AA$96),"dd mmm yy"))&amp;" "&amp;Milestones!$AB$96&amp;" "&amp;Milestones!$AC$96&amp;";  ","")&amp;IF(AND(EDATE($D47,Milestones!$AA$97)&lt;=AsOfDate,IF($R47=0,$X47,IF(AND($T47&lt;&gt;"",EDATE($D47,Milestones!$AA$97)&gt;=$T47),$W47,IF(AND($S47&lt;&gt;"",EDATE($D47,Milestones!$AA$97)&gt;=$S47),$V47,$U47)))=Milestones!$AB$97),UPPER(TEXT(EDATE($D47,Milestones!$AA$97),"dd mmm yy"))&amp;" "&amp;Milestones!$AB$97&amp;" "&amp;Milestones!$AC$97&amp;";  ","")&amp;IF(AND(EDATE($D47,Milestones!$AA$98)&lt;=AsOfDate,IF($R47=0,$X47,IF(AND($T47&lt;&gt;"",EDATE($D47,Milestones!$AA$98)&gt;=$T47),$W47,IF(AND($S47&lt;&gt;"",EDATE($D47,Milestones!$AA$98)&gt;=$S47),$V47,$U47)))=Milestones!$AB$98),UPPER(TEXT(EDATE($D47,Milestones!$AA$98),"dd mmm yy"))&amp;" "&amp;Milestones!$AB$98&amp;" "&amp;Milestones!$AC$98&amp;";  ","")&amp;IF(AND(EDATE($D47,Milestones!$AA$99)&lt;=AsOfDate,IF($R47=0,$X47,IF(AND($T47&lt;&gt;"",EDATE($D47,Milestones!$AA$99)&gt;=$T47),$W47,IF(AND($S47&lt;&gt;"",EDATE($D47,Milestones!$AA$99)&gt;=$S47),$V47,$U47)))=Milestones!$AB$99),UPPER(TEXT(EDATE($D47,Milestones!$AA$99),"dd mmm yy"))&amp;" "&amp;Milestones!$AB$99&amp;" "&amp;Milestones!$AC$99&amp;";  ",""))</f>
        <v/>
      </c>
      <c r="M47" s="0" t="str">
        <f aca="false">IF(OR($A47="",$D47=""),"",IF(AND(EDATE($D47,Milestones!$AA$100)&lt;=AsOfDate,IF($R47=0,$X47,IF(AND($T47&lt;&gt;"",EDATE($D47,Milestones!$AA$100)&gt;=$T47),$W47,IF(AND($S47&lt;&gt;"",EDATE($D47,Milestones!$AA$100)&gt;=$S47),$V47,$U47)))=Milestones!$AB$100),UPPER(TEXT(EDATE($D47,Milestones!$AA$100),"dd mmm yy"))&amp;" "&amp;Milestones!$AB$100&amp;" "&amp;Milestones!$AC$100&amp;";  ","")&amp;IF(AND(EDATE($D47,Milestones!$AA$101)&lt;=AsOfDate,IF($R47=0,$X47,IF(AND($T47&lt;&gt;"",EDATE($D47,Milestones!$AA$101)&gt;=$T47),$W47,IF(AND($S47&lt;&gt;"",EDATE($D47,Milestones!$AA$101)&gt;=$S47),$V47,$U47)))=Milestones!$AB$101),UPPER(TEXT(EDATE($D47,Milestones!$AA$101),"dd mmm yy"))&amp;" "&amp;Milestones!$AB$101&amp;" "&amp;Milestones!$AC$101&amp;";  ","")&amp;IF(AND(EDATE($D47,Milestones!$AA$102)&lt;=AsOfDate,IF($R47=0,$X47,IF(AND($T47&lt;&gt;"",EDATE($D47,Milestones!$AA$102)&gt;=$T47),$W47,IF(AND($S47&lt;&gt;"",EDATE($D47,Milestones!$AA$102)&gt;=$S47),$V47,$U47)))=Milestones!$AB$102),UPPER(TEXT(EDATE($D47,Milestones!$AA$102),"dd mmm yy"))&amp;" "&amp;Milestones!$AB$102&amp;" "&amp;Milestones!$AC$102&amp;";  ","")&amp;IF(AND(EDATE($D47,Milestones!$AA$103)&lt;=AsOfDate,IF($R47=0,$X47,IF(AND($T47&lt;&gt;"",EDATE($D47,Milestones!$AA$103)&gt;=$T47),$W47,IF(AND($S47&lt;&gt;"",EDATE($D47,Milestones!$AA$103)&gt;=$S47),$V47,$U47)))=Milestones!$AB$103),UPPER(TEXT(EDATE($D47,Milestones!$AA$103),"dd mmm yy"))&amp;" "&amp;Milestones!$AB$103&amp;" "&amp;Milestones!$AC$103&amp;";  ","")&amp;IF(AND(EDATE($D47,Milestones!$AA$104)&lt;=AsOfDate,IF($R47=0,$X47,IF(AND($T47&lt;&gt;"",EDATE($D47,Milestones!$AA$104)&gt;=$T47),$W47,IF(AND($S47&lt;&gt;"",EDATE($D47,Milestones!$AA$104)&gt;=$S47),$V47,$U47)))=Milestones!$AB$104),UPPER(TEXT(EDATE($D47,Milestones!$AA$104),"dd mmm yy"))&amp;" "&amp;Milestones!$AB$104&amp;" "&amp;Milestones!$AC$104&amp;";  ","")&amp;IF(AND(EDATE($D47,Milestones!$AA$105)&lt;=AsOfDate,IF($R47=0,$X47,IF(AND($T47&lt;&gt;"",EDATE($D47,Milestones!$AA$105)&gt;=$T47),$W47,IF(AND($S47&lt;&gt;"",EDATE($D47,Milestones!$AA$105)&gt;=$S47),$V47,$U47)))=Milestones!$AB$105),UPPER(TEXT(EDATE($D47,Milestones!$AA$105),"dd mmm yy"))&amp;" "&amp;Milestones!$AB$105&amp;" "&amp;Milestones!$AC$105&amp;";  ","")&amp;IF(AND(EDATE($D47,Milestones!$AA$106)&lt;=AsOfDate,IF($R47=0,$X47,IF(AND($T47&lt;&gt;"",EDATE($D47,Milestones!$AA$106)&gt;=$T47),$W47,IF(AND($S47&lt;&gt;"",EDATE($D47,Milestones!$AA$106)&gt;=$S47),$V47,$U47)))=Milestones!$AB$106),UPPER(TEXT(EDATE($D47,Milestones!$AA$106),"dd mmm yy"))&amp;" "&amp;Milestones!$AB$106&amp;" "&amp;Milestones!$AC$106&amp;";  ","")&amp;IF(AND(EDATE($D47,Milestones!$AA$107)&lt;=AsOfDate,IF($R47=0,$X47,IF(AND($T47&lt;&gt;"",EDATE($D47,Milestones!$AA$107)&gt;=$T47),$W47,IF(AND($S47&lt;&gt;"",EDATE($D47,Milestones!$AA$107)&gt;=$S47),$V47,$U47)))=Milestones!$AB$107),UPPER(TEXT(EDATE($D47,Milestones!$AA$107),"dd mmm yy"))&amp;" "&amp;Milestones!$AB$107&amp;" "&amp;Milestones!$AC$107&amp;";  ","")&amp;IF(AND(EDATE($D47,Milestones!$AA$108)&lt;=AsOfDate,IF($R47=0,$X47,IF(AND($T47&lt;&gt;"",EDATE($D47,Milestones!$AA$108)&gt;=$T47),$W47,IF(AND($S47&lt;&gt;"",EDATE($D47,Milestones!$AA$108)&gt;=$S47),$V47,$U47)))=Milestones!$AB$108),UPPER(TEXT(EDATE($D47,Milestones!$AA$108),"dd mmm yy"))&amp;" "&amp;Milestones!$AB$108&amp;" "&amp;Milestones!$AC$108&amp;";  ","")&amp;IF(AND(EDATE($D47,Milestones!$AA$109)&lt;=AsOfDate,IF($R47=0,$X47,IF(AND($T47&lt;&gt;"",EDATE($D47,Milestones!$AA$109)&gt;=$T47),$W47,IF(AND($S47&lt;&gt;"",EDATE($D47,Milestones!$AA$109)&gt;=$S47),$V47,$U47)))=Milestones!$AB$109),UPPER(TEXT(EDATE($D47,Milestones!$AA$109),"dd mmm yy"))&amp;" "&amp;Milestones!$AB$109&amp;" "&amp;Milestones!$AC$109&amp;";  ","")&amp;IF(AND(EDATE($D47,Milestones!$AA$110)&lt;=AsOfDate,IF($R47=0,$X47,IF(AND($T47&lt;&gt;"",EDATE($D47,Milestones!$AA$110)&gt;=$T47),$W47,IF(AND($S47&lt;&gt;"",EDATE($D47,Milestones!$AA$110)&gt;=$S47),$V47,$U47)))=Milestones!$AB$110),UPPER(TEXT(EDATE($D47,Milestones!$AA$110),"dd mmm yy"))&amp;" "&amp;Milestones!$AB$110&amp;" "&amp;Milestones!$AC$110&amp;";  ","")&amp;IF(AND(EDATE($D47,Milestones!$AA$111)&lt;=AsOfDate,IF($R47=0,$X47,IF(AND($T47&lt;&gt;"",EDATE($D47,Milestones!$AA$111)&gt;=$T47),$W47,IF(AND($S47&lt;&gt;"",EDATE($D47,Milestones!$AA$111)&gt;=$S47),$V47,$U47)))=Milestones!$AB$111),UPPER(TEXT(EDATE($D47,Milestones!$AA$111),"dd mmm yy"))&amp;" "&amp;Milestones!$AB$111&amp;" "&amp;Milestones!$AC$111&amp;";  ","")&amp;IF(AND(EDATE($D47,Milestones!$AA$112)&lt;=AsOfDate,IF($R47=0,$X47,IF(AND($T47&lt;&gt;"",EDATE($D47,Milestones!$AA$112)&gt;=$T47),$W47,IF(AND($S47&lt;&gt;"",EDATE($D47,Milestones!$AA$112)&gt;=$S47),$V47,$U47)))=Milestones!$AB$112),UPPER(TEXT(EDATE($D47,Milestones!$AA$112),"dd mmm yy"))&amp;" "&amp;Milestones!$AB$112&amp;" "&amp;Milestones!$AC$112&amp;";  ","")&amp;IF(AND(EDATE($D47,Milestones!$AA$113)&lt;=AsOfDate,IF($R47=0,$X47,IF(AND($T47&lt;&gt;"",EDATE($D47,Milestones!$AA$113)&gt;=$T47),$W47,IF(AND($S47&lt;&gt;"",EDATE($D47,Milestones!$AA$113)&gt;=$S47),$V47,$U47)))=Milestones!$AB$113),UPPER(TEXT(EDATE($D47,Milestones!$AA$113),"dd mmm yy"))&amp;" "&amp;Milestones!$AB$113&amp;" "&amp;Milestones!$AC$113&amp;";  ","")&amp;IF(AND(EDATE($D47,Milestones!$AA$114)&lt;=AsOfDate,IF($R47=0,$X47,IF(AND($T47&lt;&gt;"",EDATE($D47,Milestones!$AA$114)&gt;=$T47),$W47,IF(AND($S47&lt;&gt;"",EDATE($D47,Milestones!$AA$114)&gt;=$S47),$V47,$U47)))=Milestones!$AB$114),UPPER(TEXT(EDATE($D47,Milestones!$AA$114),"dd mmm yy"))&amp;" "&amp;Milestones!$AB$114&amp;" "&amp;Milestones!$AC$114&amp;";  ","")&amp;IF(AND(EDATE($D47,Milestones!$AA$115)&lt;=AsOfDate,IF($R47=0,$X47,IF(AND($T47&lt;&gt;"",EDATE($D47,Milestones!$AA$115)&gt;=$T47),$W47,IF(AND($S47&lt;&gt;"",EDATE($D47,Milestones!$AA$115)&gt;=$S47),$V47,$U47)))=Milestones!$AB$115),UPPER(TEXT(EDATE($D47,Milestones!$AA$115),"dd mmm yy"))&amp;" "&amp;Milestones!$AB$115&amp;" "&amp;Milestones!$AC$115&amp;";  ","")&amp;IF(AND(EDATE($D47,Milestones!$AA$116)&lt;=AsOfDate,IF($R47=0,$X47,IF(AND($T47&lt;&gt;"",EDATE($D47,Milestones!$AA$116)&gt;=$T47),$W47,IF(AND($S47&lt;&gt;"",EDATE($D47,Milestones!$AA$116)&gt;=$S47),$V47,$U47)))=Milestones!$AB$116),UPPER(TEXT(EDATE($D47,Milestones!$AA$116),"dd mmm yy"))&amp;" "&amp;Milestones!$AB$116&amp;" "&amp;Milestones!$AC$116&amp;";  ","")&amp;IF(AND(EDATE($D47,Milestones!$AA$117)&lt;=AsOfDate,IF($R47=0,$X47,IF(AND($T47&lt;&gt;"",EDATE($D47,Milestones!$AA$117)&gt;=$T47),$W47,IF(AND($S47&lt;&gt;"",EDATE($D47,Milestones!$AA$117)&gt;=$S47),$V47,$U47)))=Milestones!$AB$117),UPPER(TEXT(EDATE($D47,Milestones!$AA$117),"dd mmm yy"))&amp;" "&amp;Milestones!$AB$117&amp;" "&amp;Milestones!$AC$117&amp;";  ","")&amp;IF(AND(EDATE($D47,Milestones!$AA$118)&lt;=AsOfDate,IF($R47=0,$X47,IF(AND($T47&lt;&gt;"",EDATE($D47,Milestones!$AA$118)&gt;=$T47),$W47,IF(AND($S47&lt;&gt;"",EDATE($D47,Milestones!$AA$118)&gt;=$S47),$V47,$U47)))=Milestones!$AB$118),UPPER(TEXT(EDATE($D47,Milestones!$AA$118),"dd mmm yy"))&amp;" "&amp;Milestones!$AB$118&amp;" "&amp;Milestones!$AC$118&amp;";  ","")&amp;IF(AND(EDATE($D47,Milestones!$AA$119)&lt;=AsOfDate,IF($R47=0,$X47,IF(AND($T47&lt;&gt;"",EDATE($D47,Milestones!$AA$119)&gt;=$T47),$W47,IF(AND($S47&lt;&gt;"",EDATE($D47,Milestones!$AA$119)&gt;=$S47),$V47,$U47)))=Milestones!$AB$119),UPPER(TEXT(EDATE($D47,Milestones!$AA$119),"dd mmm yy"))&amp;" "&amp;Milestones!$AB$119&amp;" "&amp;Milestones!$AC$119&amp;";  ",""))</f>
        <v/>
      </c>
      <c r="N47" s="0" t="str">
        <f aca="false">IF(OR($A47="",$D47=""),"",IF(AND(EDATE($D47,Milestones!$AA$120)&lt;=AsOfDate,IF($R47=0,$X47,IF(AND($T47&lt;&gt;"",EDATE($D47,Milestones!$AA$120)&gt;=$T47),$W47,IF(AND($S47&lt;&gt;"",EDATE($D47,Milestones!$AA$120)&gt;=$S47),$V47,$U47)))=Milestones!$AB$120),UPPER(TEXT(EDATE($D47,Milestones!$AA$120),"dd mmm yy"))&amp;" "&amp;Milestones!$AB$120&amp;" "&amp;Milestones!$AC$120&amp;";  ","")&amp;IF(AND(EDATE($D47,Milestones!$AA$121)&lt;=AsOfDate,IF($R47=0,$X47,IF(AND($T47&lt;&gt;"",EDATE($D47,Milestones!$AA$121)&gt;=$T47),$W47,IF(AND($S47&lt;&gt;"",EDATE($D47,Milestones!$AA$121)&gt;=$S47),$V47,$U47)))=Milestones!$AB$121),UPPER(TEXT(EDATE($D47,Milestones!$AA$121),"dd mmm yy"))&amp;" "&amp;Milestones!$AB$121&amp;" "&amp;Milestones!$AC$121&amp;";  ","")&amp;IF(AND(EDATE($D47,Milestones!$AA$122)&lt;=AsOfDate,IF($R47=0,$X47,IF(AND($T47&lt;&gt;"",EDATE($D47,Milestones!$AA$122)&gt;=$T47),$W47,IF(AND($S47&lt;&gt;"",EDATE($D47,Milestones!$AA$122)&gt;=$S47),$V47,$U47)))=Milestones!$AB$122),UPPER(TEXT(EDATE($D47,Milestones!$AA$122),"dd mmm yy"))&amp;" "&amp;Milestones!$AB$122&amp;" "&amp;Milestones!$AC$122&amp;";  ","")&amp;IF(AND(EDATE($D47,Milestones!$AA$123)&lt;=AsOfDate,IF($R47=0,$X47,IF(AND($T47&lt;&gt;"",EDATE($D47,Milestones!$AA$123)&gt;=$T47),$W47,IF(AND($S47&lt;&gt;"",EDATE($D47,Milestones!$AA$123)&gt;=$S47),$V47,$U47)))=Milestones!$AB$123),UPPER(TEXT(EDATE($D47,Milestones!$AA$123),"dd mmm yy"))&amp;" "&amp;Milestones!$AB$123&amp;" "&amp;Milestones!$AC$123&amp;";  ","")&amp;IF(AND(EDATE($D47,Milestones!$AA$124)&lt;=AsOfDate,IF($R47=0,$X47,IF(AND($T47&lt;&gt;"",EDATE($D47,Milestones!$AA$124)&gt;=$T47),$W47,IF(AND($S47&lt;&gt;"",EDATE($D47,Milestones!$AA$124)&gt;=$S47),$V47,$U47)))=Milestones!$AB$124),UPPER(TEXT(EDATE($D47,Milestones!$AA$124),"dd mmm yy"))&amp;" "&amp;Milestones!$AB$124&amp;" "&amp;Milestones!$AC$124&amp;";  ","")&amp;IF(AND(EDATE($D47,Milestones!$AA$125)&lt;=AsOfDate,IF($R47=0,$X47,IF(AND($T47&lt;&gt;"",EDATE($D47,Milestones!$AA$125)&gt;=$T47),$W47,IF(AND($S47&lt;&gt;"",EDATE($D47,Milestones!$AA$125)&gt;=$S47),$V47,$U47)))=Milestones!$AB$125),UPPER(TEXT(EDATE($D47,Milestones!$AA$125),"dd mmm yy"))&amp;" "&amp;Milestones!$AB$125&amp;" "&amp;Milestones!$AC$125&amp;";  ","")&amp;IF(AND(EDATE($D47,Milestones!$AA$126)&lt;=AsOfDate,IF($R47=0,$X47,IF(AND($T47&lt;&gt;"",EDATE($D47,Milestones!$AA$126)&gt;=$T47),$W47,IF(AND($S47&lt;&gt;"",EDATE($D47,Milestones!$AA$126)&gt;=$S47),$V47,$U47)))=Milestones!$AB$126),UPPER(TEXT(EDATE($D47,Milestones!$AA$126),"dd mmm yy"))&amp;" "&amp;Milestones!$AB$126&amp;" "&amp;Milestones!$AC$126&amp;";  ","")&amp;IF(AND(EDATE($D47,Milestones!$AA$127)&lt;=AsOfDate,IF($R47=0,$X47,IF(AND($T47&lt;&gt;"",EDATE($D47,Milestones!$AA$127)&gt;=$T47),$W47,IF(AND($S47&lt;&gt;"",EDATE($D47,Milestones!$AA$127)&gt;=$S47),$V47,$U47)))=Milestones!$AB$127),UPPER(TEXT(EDATE($D47,Milestones!$AA$127),"dd mmm yy"))&amp;" "&amp;Milestones!$AB$127&amp;" "&amp;Milestones!$AC$127&amp;";  ","")&amp;IF(AND(EDATE($D47,Milestones!$AA$128)&lt;=AsOfDate,IF($R47=0,$X47,IF(AND($T47&lt;&gt;"",EDATE($D47,Milestones!$AA$128)&gt;=$T47),$W47,IF(AND($S47&lt;&gt;"",EDATE($D47,Milestones!$AA$128)&gt;=$S47),$V47,$U47)))=Milestones!$AB$128),UPPER(TEXT(EDATE($D47,Milestones!$AA$128),"dd mmm yy"))&amp;" "&amp;Milestones!$AB$128&amp;" "&amp;Milestones!$AC$128&amp;";  ","")&amp;IF(AND(EDATE($D47,Milestones!$AA$129)&lt;=AsOfDate,IF($R47=0,$X47,IF(AND($T47&lt;&gt;"",EDATE($D47,Milestones!$AA$129)&gt;=$T47),$W47,IF(AND($S47&lt;&gt;"",EDATE($D47,Milestones!$AA$129)&gt;=$S47),$V47,$U47)))=Milestones!$AB$129),UPPER(TEXT(EDATE($D47,Milestones!$AA$129),"dd mmm yy"))&amp;" "&amp;Milestones!$AB$129&amp;" "&amp;Milestones!$AC$129&amp;";  ","")&amp;IF(AND(EDATE($D47,Milestones!$AA$130)&lt;=AsOfDate,IF($R47=0,$X47,IF(AND($T47&lt;&gt;"",EDATE($D47,Milestones!$AA$130)&gt;=$T47),$W47,IF(AND($S47&lt;&gt;"",EDATE($D47,Milestones!$AA$130)&gt;=$S47),$V47,$U47)))=Milestones!$AB$130),UPPER(TEXT(EDATE($D47,Milestones!$AA$130),"dd mmm yy"))&amp;" "&amp;Milestones!$AB$130&amp;" "&amp;Milestones!$AC$130&amp;";  ","")&amp;IF(AND(EDATE($D47,Milestones!$AA$131)&lt;=AsOfDate,IF($R47=0,$X47,IF(AND($T47&lt;&gt;"",EDATE($D47,Milestones!$AA$131)&gt;=$T47),$W47,IF(AND($S47&lt;&gt;"",EDATE($D47,Milestones!$AA$131)&gt;=$S47),$V47,$U47)))=Milestones!$AB$131),UPPER(TEXT(EDATE($D47,Milestones!$AA$131),"dd mmm yy"))&amp;" "&amp;Milestones!$AB$131&amp;" "&amp;Milestones!$AC$131&amp;";  ","")&amp;IF(AND(EDATE($D47,Milestones!$AA$132)&lt;=AsOfDate,IF($R47=0,$X47,IF(AND($T47&lt;&gt;"",EDATE($D47,Milestones!$AA$132)&gt;=$T47),$W47,IF(AND($S47&lt;&gt;"",EDATE($D47,Milestones!$AA$132)&gt;=$S47),$V47,$U47)))=Milestones!$AB$132),UPPER(TEXT(EDATE($D47,Milestones!$AA$132),"dd mmm yy"))&amp;" "&amp;Milestones!$AB$132&amp;" "&amp;Milestones!$AC$132&amp;";  ","")&amp;IF(AND(EDATE($D47,Milestones!$AA$133)&lt;=AsOfDate,IF($R47=0,$X47,IF(AND($T47&lt;&gt;"",EDATE($D47,Milestones!$AA$133)&gt;=$T47),$W47,IF(AND($S47&lt;&gt;"",EDATE($D47,Milestones!$AA$133)&gt;=$S47),$V47,$U47)))=Milestones!$AB$133),UPPER(TEXT(EDATE($D47,Milestones!$AA$133),"dd mmm yy"))&amp;" "&amp;Milestones!$AB$133&amp;" "&amp;Milestones!$AC$133&amp;";  ","")&amp;IF(AND(EDATE($D47,Milestones!$AA$134)&lt;=AsOfDate,IF($R47=0,$X47,IF(AND($T47&lt;&gt;"",EDATE($D47,Milestones!$AA$134)&gt;=$T47),$W47,IF(AND($S47&lt;&gt;"",EDATE($D47,Milestones!$AA$134)&gt;=$S47),$V47,$U47)))=Milestones!$AB$134),UPPER(TEXT(EDATE($D47,Milestones!$AA$134),"dd mmm yy"))&amp;" "&amp;Milestones!$AB$134&amp;" "&amp;Milestones!$AC$134&amp;";  ","")&amp;IF(AND(EDATE($D47,Milestones!$AA$135)&lt;=AsOfDate,IF($R47=0,$X47,IF(AND($T47&lt;&gt;"",EDATE($D47,Milestones!$AA$135)&gt;=$T47),$W47,IF(AND($S47&lt;&gt;"",EDATE($D47,Milestones!$AA$135)&gt;=$S47),$V47,$U47)))=Milestones!$AB$135),UPPER(TEXT(EDATE($D47,Milestones!$AA$135),"dd mmm yy"))&amp;" "&amp;Milestones!$AB$135&amp;" "&amp;Milestones!$AC$135&amp;";  ","")&amp;IF(AND(EDATE($D47,Milestones!$AA$136)&lt;=AsOfDate,IF($R47=0,$X47,IF(AND($T47&lt;&gt;"",EDATE($D47,Milestones!$AA$136)&gt;=$T47),$W47,IF(AND($S47&lt;&gt;"",EDATE($D47,Milestones!$AA$136)&gt;=$S47),$V47,$U47)))=Milestones!$AB$136),UPPER(TEXT(EDATE($D47,Milestones!$AA$136),"dd mmm yy"))&amp;" "&amp;Milestones!$AB$136&amp;" "&amp;Milestones!$AC$136&amp;";  ","")&amp;IF(AND(EDATE($D47,Milestones!$AA$137)&lt;=AsOfDate,IF($R47=0,$X47,IF(AND($T47&lt;&gt;"",EDATE($D47,Milestones!$AA$137)&gt;=$T47),$W47,IF(AND($S47&lt;&gt;"",EDATE($D47,Milestones!$AA$137)&gt;=$S47),$V47,$U47)))=Milestones!$AB$137),UPPER(TEXT(EDATE($D47,Milestones!$AA$137),"dd mmm yy"))&amp;" "&amp;Milestones!$AB$137&amp;" "&amp;Milestones!$AC$137&amp;";  ","")&amp;IF(AND(EDATE($D47,Milestones!$AA$138)&lt;=AsOfDate,IF($R47=0,$X47,IF(AND($T47&lt;&gt;"",EDATE($D47,Milestones!$AA$138)&gt;=$T47),$W47,IF(AND($S47&lt;&gt;"",EDATE($D47,Milestones!$AA$138)&gt;=$S47),$V47,$U47)))=Milestones!$AB$138),UPPER(TEXT(EDATE($D47,Milestones!$AA$138),"dd mmm yy"))&amp;" "&amp;Milestones!$AB$138&amp;" "&amp;Milestones!$AC$138&amp;";  ","")&amp;IF(AND(EDATE($D47,Milestones!$AA$139)&lt;=AsOfDate,IF($R47=0,$X47,IF(AND($T47&lt;&gt;"",EDATE($D47,Milestones!$AA$139)&gt;=$T47),$W47,IF(AND($S47&lt;&gt;"",EDATE($D47,Milestones!$AA$139)&gt;=$S47),$V47,$U47)))=Milestones!$AB$139),UPPER(TEXT(EDATE($D47,Milestones!$AA$139),"dd mmm yy"))&amp;" "&amp;Milestones!$AB$139&amp;" "&amp;Milestones!$AC$139&amp;";  ",""))</f>
        <v/>
      </c>
      <c r="O47" s="0" t="str">
        <f aca="false">IF(OR($A47="",$D47=""),"",IF(AND(EDATE($D47,Milestones!$AA$140)&lt;=AsOfDate,IF($R47=0,$X47,IF(AND($T47&lt;&gt;"",EDATE($D47,Milestones!$AA$140)&gt;=$T47),$W47,IF(AND($S47&lt;&gt;"",EDATE($D47,Milestones!$AA$140)&gt;=$S47),$V47,$U47)))=Milestones!$AB$140),UPPER(TEXT(EDATE($D47,Milestones!$AA$140),"dd mmm yy"))&amp;" "&amp;Milestones!$AB$140&amp;" "&amp;Milestones!$AC$140&amp;";  ","")&amp;IF(AND(EDATE($D47,Milestones!$AA$141)&lt;=AsOfDate,IF($R47=0,$X47,IF(AND($T47&lt;&gt;"",EDATE($D47,Milestones!$AA$141)&gt;=$T47),$W47,IF(AND($S47&lt;&gt;"",EDATE($D47,Milestones!$AA$141)&gt;=$S47),$V47,$U47)))=Milestones!$AB$141),UPPER(TEXT(EDATE($D47,Milestones!$AA$141),"dd mmm yy"))&amp;" "&amp;Milestones!$AB$141&amp;" "&amp;Milestones!$AC$141&amp;";  ","")&amp;IF(AND(EDATE($D47,Milestones!$AA$142)&lt;=AsOfDate,IF($R47=0,$X47,IF(AND($T47&lt;&gt;"",EDATE($D47,Milestones!$AA$142)&gt;=$T47),$W47,IF(AND($S47&lt;&gt;"",EDATE($D47,Milestones!$AA$142)&gt;=$S47),$V47,$U47)))=Milestones!$AB$142),UPPER(TEXT(EDATE($D47,Milestones!$AA$142),"dd mmm yy"))&amp;" "&amp;Milestones!$AB$142&amp;" "&amp;Milestones!$AC$142&amp;";  ","")&amp;IF(AND(EDATE($D47,Milestones!$AA$143)&lt;=AsOfDate,IF($R47=0,$X47,IF(AND($T47&lt;&gt;"",EDATE($D47,Milestones!$AA$143)&gt;=$T47),$W47,IF(AND($S47&lt;&gt;"",EDATE($D47,Milestones!$AA$143)&gt;=$S47),$V47,$U47)))=Milestones!$AB$143),UPPER(TEXT(EDATE($D47,Milestones!$AA$143),"dd mmm yy"))&amp;" "&amp;Milestones!$AB$143&amp;" "&amp;Milestones!$AC$143&amp;";  ","")&amp;IF(AND(EDATE($D47,Milestones!$AA$144)&lt;=AsOfDate,IF($R47=0,$X47,IF(AND($T47&lt;&gt;"",EDATE($D47,Milestones!$AA$144)&gt;=$T47),$W47,IF(AND($S47&lt;&gt;"",EDATE($D47,Milestones!$AA$144)&gt;=$S47),$V47,$U47)))=Milestones!$AB$144),UPPER(TEXT(EDATE($D47,Milestones!$AA$144),"dd mmm yy"))&amp;" "&amp;Milestones!$AB$144&amp;" "&amp;Milestones!$AC$144&amp;";  ","")&amp;IF(AND(EDATE($D47,Milestones!$AA$145)&lt;=AsOfDate,IF($R47=0,$X47,IF(AND($T47&lt;&gt;"",EDATE($D47,Milestones!$AA$145)&gt;=$T47),$W47,IF(AND($S47&lt;&gt;"",EDATE($D47,Milestones!$AA$145)&gt;=$S47),$V47,$U47)))=Milestones!$AB$145),UPPER(TEXT(EDATE($D47,Milestones!$AA$145),"dd mmm yy"))&amp;" "&amp;Milestones!$AB$145&amp;" "&amp;Milestones!$AC$145&amp;";  ","")&amp;IF(AND(EDATE($D47,Milestones!$AA$146)&lt;=AsOfDate,IF($R47=0,$X47,IF(AND($T47&lt;&gt;"",EDATE($D47,Milestones!$AA$146)&gt;=$T47),$W47,IF(AND($S47&lt;&gt;"",EDATE($D47,Milestones!$AA$146)&gt;=$S47),$V47,$U47)))=Milestones!$AB$146),UPPER(TEXT(EDATE($D47,Milestones!$AA$146),"dd mmm yy"))&amp;" "&amp;Milestones!$AB$146&amp;" "&amp;Milestones!$AC$146&amp;";  ","")&amp;IF(AND(EDATE($D47,Milestones!$AA$147)&lt;=AsOfDate,IF($R47=0,$X47,IF(AND($T47&lt;&gt;"",EDATE($D47,Milestones!$AA$147)&gt;=$T47),$W47,IF(AND($S47&lt;&gt;"",EDATE($D47,Milestones!$AA$147)&gt;=$S47),$V47,$U47)))=Milestones!$AB$147),UPPER(TEXT(EDATE($D47,Milestones!$AA$147),"dd mmm yy"))&amp;" "&amp;Milestones!$AB$147&amp;" "&amp;Milestones!$AC$147&amp;";  ","")&amp;IF(AND(EDATE($D47,Milestones!$AA$148)&lt;=AsOfDate,IF($R47=0,$X47,IF(AND($T47&lt;&gt;"",EDATE($D47,Milestones!$AA$148)&gt;=$T47),$W47,IF(AND($S47&lt;&gt;"",EDATE($D47,Milestones!$AA$148)&gt;=$S47),$V47,$U47)))=Milestones!$AB$148),UPPER(TEXT(EDATE($D47,Milestones!$AA$148),"dd mmm yy"))&amp;" "&amp;Milestones!$AB$148&amp;" "&amp;Milestones!$AC$148&amp;";  ","")&amp;IF(AND(EDATE($D47,Milestones!$AA$149)&lt;=AsOfDate,IF($R47=0,$X47,IF(AND($T47&lt;&gt;"",EDATE($D47,Milestones!$AA$149)&gt;=$T47),$W47,IF(AND($S47&lt;&gt;"",EDATE($D47,Milestones!$AA$149)&gt;=$S47),$V47,$U47)))=Milestones!$AB$149),UPPER(TEXT(EDATE($D47,Milestones!$AA$149),"dd mmm yy"))&amp;" "&amp;Milestones!$AB$149&amp;" "&amp;Milestones!$AC$149&amp;";  ","")&amp;IF(AND(EDATE($D47,Milestones!$AA$150)&lt;=AsOfDate,IF($R47=0,$X47,IF(AND($T47&lt;&gt;"",EDATE($D47,Milestones!$AA$150)&gt;=$T47),$W47,IF(AND($S47&lt;&gt;"",EDATE($D47,Milestones!$AA$150)&gt;=$S47),$V47,$U47)))=Milestones!$AB$150),UPPER(TEXT(EDATE($D47,Milestones!$AA$150),"dd mmm yy"))&amp;" "&amp;Milestones!$AB$150&amp;" "&amp;Milestones!$AC$150&amp;";  ","")&amp;IF(AND(EDATE($D47,Milestones!$AA$151)&lt;=AsOfDate,IF($R47=0,$X47,IF(AND($T47&lt;&gt;"",EDATE($D47,Milestones!$AA$151)&gt;=$T47),$W47,IF(AND($S47&lt;&gt;"",EDATE($D47,Milestones!$AA$151)&gt;=$S47),$V47,$U47)))=Milestones!$AB$151),UPPER(TEXT(EDATE($D47,Milestones!$AA$151),"dd mmm yy"))&amp;" "&amp;Milestones!$AB$151&amp;" "&amp;Milestones!$AC$151&amp;";  ","")&amp;IF(AND(EDATE($D47,Milestones!$AA$152)&lt;=AsOfDate,IF($R47=0,$X47,IF(AND($T47&lt;&gt;"",EDATE($D47,Milestones!$AA$152)&gt;=$T47),$W47,IF(AND($S47&lt;&gt;"",EDATE($D47,Milestones!$AA$152)&gt;=$S47),$V47,$U47)))=Milestones!$AB$152),UPPER(TEXT(EDATE($D47,Milestones!$AA$152),"dd mmm yy"))&amp;" "&amp;Milestones!$AB$152&amp;" "&amp;Milestones!$AC$152&amp;";  ","")&amp;IF(AND(EDATE($D47,Milestones!$AA$153)&lt;=AsOfDate,IF($R47=0,$X47,IF(AND($T47&lt;&gt;"",EDATE($D47,Milestones!$AA$153)&gt;=$T47),$W47,IF(AND($S47&lt;&gt;"",EDATE($D47,Milestones!$AA$153)&gt;=$S47),$V47,$U47)))=Milestones!$AB$153),UPPER(TEXT(EDATE($D47,Milestones!$AA$153),"dd mmm yy"))&amp;" "&amp;Milestones!$AB$153&amp;" "&amp;Milestones!$AC$153&amp;";  ","")&amp;IF(AND(EDATE($D47,Milestones!$AA$154)&lt;=AsOfDate,IF($R47=0,$X47,IF(AND($T47&lt;&gt;"",EDATE($D47,Milestones!$AA$154)&gt;=$T47),$W47,IF(AND($S47&lt;&gt;"",EDATE($D47,Milestones!$AA$154)&gt;=$S47),$V47,$U47)))=Milestones!$AB$154),UPPER(TEXT(EDATE($D47,Milestones!$AA$154),"dd mmm yy"))&amp;" "&amp;Milestones!$AB$154&amp;" "&amp;Milestones!$AC$154&amp;";  ","")&amp;IF(AND(EDATE($D47,Milestones!$AA$155)&lt;=AsOfDate,IF($R47=0,$X47,IF(AND($T47&lt;&gt;"",EDATE($D47,Milestones!$AA$155)&gt;=$T47),$W47,IF(AND($S47&lt;&gt;"",EDATE($D47,Milestones!$AA$155)&gt;=$S47),$V47,$U47)))=Milestones!$AB$155),UPPER(TEXT(EDATE($D47,Milestones!$AA$155),"dd mmm yy"))&amp;" "&amp;Milestones!$AB$155&amp;" "&amp;Milestones!$AC$155&amp;";  ","")&amp;IF(AND(EDATE($D47,Milestones!$AA$156)&lt;=AsOfDate,IF($R47=0,$X47,IF(AND($T47&lt;&gt;"",EDATE($D47,Milestones!$AA$156)&gt;=$T47),$W47,IF(AND($S47&lt;&gt;"",EDATE($D47,Milestones!$AA$156)&gt;=$S47),$V47,$U47)))=Milestones!$AB$156),UPPER(TEXT(EDATE($D47,Milestones!$AA$156),"dd mmm yy"))&amp;" "&amp;Milestones!$AB$156&amp;" "&amp;Milestones!$AC$156&amp;";  ","")&amp;IF(AND(EDATE($D47,Milestones!$AA$157)&lt;=AsOfDate,IF($R47=0,$X47,IF(AND($T47&lt;&gt;"",EDATE($D47,Milestones!$AA$157)&gt;=$T47),$W47,IF(AND($S47&lt;&gt;"",EDATE($D47,Milestones!$AA$157)&gt;=$S47),$V47,$U47)))=Milestones!$AB$157),UPPER(TEXT(EDATE($D47,Milestones!$AA$157),"dd mmm yy"))&amp;" "&amp;Milestones!$AB$157&amp;" "&amp;Milestones!$AC$157&amp;";  ","")&amp;IF(AND(EDATE($D47,Milestones!$AA$158)&lt;=AsOfDate,IF($R47=0,$X47,IF(AND($T47&lt;&gt;"",EDATE($D47,Milestones!$AA$158)&gt;=$T47),$W47,IF(AND($S47&lt;&gt;"",EDATE($D47,Milestones!$AA$158)&gt;=$S47),$V47,$U47)))=Milestones!$AB$158),UPPER(TEXT(EDATE($D47,Milestones!$AA$158),"dd mmm yy"))&amp;" "&amp;Milestones!$AB$158&amp;" "&amp;Milestones!$AC$158&amp;";  ","")&amp;IF(AND(EDATE($D47,Milestones!$AA$159)&lt;=AsOfDate,IF($R47=0,$X47,IF(AND($T47&lt;&gt;"",EDATE($D47,Milestones!$AA$159)&gt;=$T47),$W47,IF(AND($S47&lt;&gt;"",EDATE($D47,Milestones!$AA$159)&gt;=$S47),$V47,$U47)))=Milestones!$AB$159),UPPER(TEXT(EDATE($D47,Milestones!$AA$159),"dd mmm yy"))&amp;" "&amp;Milestones!$AB$159&amp;" "&amp;Milestones!$AC$159&amp;";  ",""))</f>
        <v/>
      </c>
      <c r="P47" s="0" t="str">
        <f aca="false">IF(OR($A47="",$D47=""),"",IF(AND(EDATE($D47,Milestones!$AA$160)&lt;=AsOfDate,IF($R47=0,$X47,IF(AND($T47&lt;&gt;"",EDATE($D47,Milestones!$AA$160)&gt;=$T47),$W47,IF(AND($S47&lt;&gt;"",EDATE($D47,Milestones!$AA$160)&gt;=$S47),$V47,$U47)))=Milestones!$AB$160),UPPER(TEXT(EDATE($D47,Milestones!$AA$160),"dd mmm yy"))&amp;" "&amp;Milestones!$AB$160&amp;" "&amp;Milestones!$AC$160&amp;";  ","")&amp;IF(AND(EDATE($D47,Milestones!$AA$161)&lt;=AsOfDate,IF($R47=0,$X47,IF(AND($T47&lt;&gt;"",EDATE($D47,Milestones!$AA$161)&gt;=$T47),$W47,IF(AND($S47&lt;&gt;"",EDATE($D47,Milestones!$AA$161)&gt;=$S47),$V47,$U47)))=Milestones!$AB$161),UPPER(TEXT(EDATE($D47,Milestones!$AA$161),"dd mmm yy"))&amp;" "&amp;Milestones!$AB$161&amp;" "&amp;Milestones!$AC$161&amp;";  ","")&amp;IF(AND(EDATE($D47,Milestones!$AA$162)&lt;=AsOfDate,IF($R47=0,$X47,IF(AND($T47&lt;&gt;"",EDATE($D47,Milestones!$AA$162)&gt;=$T47),$W47,IF(AND($S47&lt;&gt;"",EDATE($D47,Milestones!$AA$162)&gt;=$S47),$V47,$U47)))=Milestones!$AB$162),UPPER(TEXT(EDATE($D47,Milestones!$AA$162),"dd mmm yy"))&amp;" "&amp;Milestones!$AB$162&amp;" "&amp;Milestones!$AC$162&amp;";  ","")&amp;IF(AND(EDATE($D47,Milestones!$AA$163)&lt;=AsOfDate,IF($R47=0,$X47,IF(AND($T47&lt;&gt;"",EDATE($D47,Milestones!$AA$163)&gt;=$T47),$W47,IF(AND($S47&lt;&gt;"",EDATE($D47,Milestones!$AA$163)&gt;=$S47),$V47,$U47)))=Milestones!$AB$163),UPPER(TEXT(EDATE($D47,Milestones!$AA$163),"dd mmm yy"))&amp;" "&amp;Milestones!$AB$163&amp;" "&amp;Milestones!$AC$163&amp;";  ","")&amp;IF(AND(EDATE($D47,Milestones!$AA$164)&lt;=AsOfDate,IF($R47=0,$X47,IF(AND($T47&lt;&gt;"",EDATE($D47,Milestones!$AA$164)&gt;=$T47),$W47,IF(AND($S47&lt;&gt;"",EDATE($D47,Milestones!$AA$164)&gt;=$S47),$V47,$U47)))=Milestones!$AB$164),UPPER(TEXT(EDATE($D47,Milestones!$AA$164),"dd mmm yy"))&amp;" "&amp;Milestones!$AB$164&amp;" "&amp;Milestones!$AC$164&amp;";  ","")&amp;IF(AND(EDATE($D47,Milestones!$AA$165)&lt;=AsOfDate,IF($R47=0,$X47,IF(AND($T47&lt;&gt;"",EDATE($D47,Milestones!$AA$165)&gt;=$T47),$W47,IF(AND($S47&lt;&gt;"",EDATE($D47,Milestones!$AA$165)&gt;=$S47),$V47,$U47)))=Milestones!$AB$165),UPPER(TEXT(EDATE($D47,Milestones!$AA$165),"dd mmm yy"))&amp;" "&amp;Milestones!$AB$165&amp;" "&amp;Milestones!$AC$165&amp;";  ","")&amp;IF(AND(EDATE($D47,Milestones!$AA$166)&lt;=AsOfDate,IF($R47=0,$X47,IF(AND($T47&lt;&gt;"",EDATE($D47,Milestones!$AA$166)&gt;=$T47),$W47,IF(AND($S47&lt;&gt;"",EDATE($D47,Milestones!$AA$166)&gt;=$S47),$V47,$U47)))=Milestones!$AB$166),UPPER(TEXT(EDATE($D47,Milestones!$AA$166),"dd mmm yy"))&amp;" "&amp;Milestones!$AB$166&amp;" "&amp;Milestones!$AC$166&amp;";  ","")&amp;IF(AND(EDATE($D47,Milestones!$AA$167)&lt;=AsOfDate,IF($R47=0,$X47,IF(AND($T47&lt;&gt;"",EDATE($D47,Milestones!$AA$167)&gt;=$T47),$W47,IF(AND($S47&lt;&gt;"",EDATE($D47,Milestones!$AA$167)&gt;=$S47),$V47,$U47)))=Milestones!$AB$167),UPPER(TEXT(EDATE($D47,Milestones!$AA$167),"dd mmm yy"))&amp;" "&amp;Milestones!$AB$167&amp;" "&amp;Milestones!$AC$167&amp;";  ","")&amp;IF(AND(EDATE($D47,Milestones!$AA$168)&lt;=AsOfDate,IF($R47=0,$X47,IF(AND($T47&lt;&gt;"",EDATE($D47,Milestones!$AA$168)&gt;=$T47),$W47,IF(AND($S47&lt;&gt;"",EDATE($D47,Milestones!$AA$168)&gt;=$S47),$V47,$U47)))=Milestones!$AB$168),UPPER(TEXT(EDATE($D47,Milestones!$AA$168),"dd mmm yy"))&amp;" "&amp;Milestones!$AB$168&amp;" "&amp;Milestones!$AC$168&amp;";  ","")&amp;IF(AND(EDATE($D47,Milestones!$AA$169)&lt;=AsOfDate,IF($R47=0,$X47,IF(AND($T47&lt;&gt;"",EDATE($D47,Milestones!$AA$169)&gt;=$T47),$W47,IF(AND($S47&lt;&gt;"",EDATE($D47,Milestones!$AA$169)&gt;=$S47),$V47,$U47)))=Milestones!$AB$169),UPPER(TEXT(EDATE($D47,Milestones!$AA$169),"dd mmm yy"))&amp;" "&amp;Milestones!$AB$169&amp;" "&amp;Milestones!$AC$169&amp;";  ","")&amp;IF(AND(EDATE($D47,Milestones!$AA$170)&lt;=AsOfDate,IF($R47=0,$X47,IF(AND($T47&lt;&gt;"",EDATE($D47,Milestones!$AA$170)&gt;=$T47),$W47,IF(AND($S47&lt;&gt;"",EDATE($D47,Milestones!$AA$170)&gt;=$S47),$V47,$U47)))=Milestones!$AB$170),UPPER(TEXT(EDATE($D47,Milestones!$AA$170),"dd mmm yy"))&amp;" "&amp;Milestones!$AB$170&amp;" "&amp;Milestones!$AC$170&amp;";  ","")&amp;IF(AND(EDATE($D47,Milestones!$AA$171)&lt;=AsOfDate,IF($R47=0,$X47,IF(AND($T47&lt;&gt;"",EDATE($D47,Milestones!$AA$171)&gt;=$T47),$W47,IF(AND($S47&lt;&gt;"",EDATE($D47,Milestones!$AA$171)&gt;=$S47),$V47,$U47)))=Milestones!$AB$171),UPPER(TEXT(EDATE($D47,Milestones!$AA$171),"dd mmm yy"))&amp;" "&amp;Milestones!$AB$171&amp;" "&amp;Milestones!$AC$171&amp;";  ","")&amp;IF(AND(EDATE($D47,Milestones!$AA$172)&lt;=AsOfDate,IF($R47=0,$X47,IF(AND($T47&lt;&gt;"",EDATE($D47,Milestones!$AA$172)&gt;=$T47),$W47,IF(AND($S47&lt;&gt;"",EDATE($D47,Milestones!$AA$172)&gt;=$S47),$V47,$U47)))=Milestones!$AB$172),UPPER(TEXT(EDATE($D47,Milestones!$AA$172),"dd mmm yy"))&amp;" "&amp;Milestones!$AB$172&amp;" "&amp;Milestones!$AC$172&amp;";  ","")&amp;IF(AND(EDATE($D47,Milestones!$AA$173)&lt;=AsOfDate,IF($R47=0,$X47,IF(AND($T47&lt;&gt;"",EDATE($D47,Milestones!$AA$173)&gt;=$T47),$W47,IF(AND($S47&lt;&gt;"",EDATE($D47,Milestones!$AA$173)&gt;=$S47),$V47,$U47)))=Milestones!$AB$173),UPPER(TEXT(EDATE($D47,Milestones!$AA$173),"dd mmm yy"))&amp;" "&amp;Milestones!$AB$173&amp;" "&amp;Milestones!$AC$173&amp;";  ","")&amp;IF(AND(EDATE($D47,Milestones!$AA$174)&lt;=AsOfDate,IF($R47=0,$X47,IF(AND($T47&lt;&gt;"",EDATE($D47,Milestones!$AA$174)&gt;=$T47),$W47,IF(AND($S47&lt;&gt;"",EDATE($D47,Milestones!$AA$174)&gt;=$S47),$V47,$U47)))=Milestones!$AB$174),UPPER(TEXT(EDATE($D47,Milestones!$AA$174),"dd mmm yy"))&amp;" "&amp;Milestones!$AB$174&amp;" "&amp;Milestones!$AC$174&amp;";  ","")&amp;IF(AND(EDATE($D47,Milestones!$AA$175)&lt;=AsOfDate,IF($R47=0,$X47,IF(AND($T47&lt;&gt;"",EDATE($D47,Milestones!$AA$175)&gt;=$T47),$W47,IF(AND($S47&lt;&gt;"",EDATE($D47,Milestones!$AA$175)&gt;=$S47),$V47,$U47)))=Milestones!$AB$175),UPPER(TEXT(EDATE($D47,Milestones!$AA$175),"dd mmm yy"))&amp;" "&amp;Milestones!$AB$175&amp;" "&amp;Milestones!$AC$175&amp;";  ","")&amp;IF(AND(EDATE($D47,Milestones!$AA$176)&lt;=AsOfDate,IF($R47=0,$X47,IF(AND($T47&lt;&gt;"",EDATE($D47,Milestones!$AA$176)&gt;=$T47),$W47,IF(AND($S47&lt;&gt;"",EDATE($D47,Milestones!$AA$176)&gt;=$S47),$V47,$U47)))=Milestones!$AB$176),UPPER(TEXT(EDATE($D47,Milestones!$AA$176),"dd mmm yy"))&amp;" "&amp;Milestones!$AB$176&amp;" "&amp;Milestones!$AC$176&amp;";  ","")&amp;IF(AND(EDATE($D47,Milestones!$AA$177)&lt;=AsOfDate,IF($R47=0,$X47,IF(AND($T47&lt;&gt;"",EDATE($D47,Milestones!$AA$177)&gt;=$T47),$W47,IF(AND($S47&lt;&gt;"",EDATE($D47,Milestones!$AA$177)&gt;=$S47),$V47,$U47)))=Milestones!$AB$177),UPPER(TEXT(EDATE($D47,Milestones!$AA$177),"dd mmm yy"))&amp;" "&amp;Milestones!$AB$177&amp;" "&amp;Milestones!$AC$177&amp;";  ","")&amp;IF(AND(EDATE($D47,Milestones!$AA$178)&lt;=AsOfDate,IF($R47=0,$X47,IF(AND($T47&lt;&gt;"",EDATE($D47,Milestones!$AA$178)&gt;=$T47),$W47,IF(AND($S47&lt;&gt;"",EDATE($D47,Milestones!$AA$178)&gt;=$S47),$V47,$U47)))=Milestones!$AB$178),UPPER(TEXT(EDATE($D47,Milestones!$AA$178),"dd mmm yy"))&amp;" "&amp;Milestones!$AB$178&amp;" "&amp;Milestones!$AC$178&amp;";  ","")&amp;IF(AND(EDATE($D47,Milestones!$AA$179)&lt;=AsOfDate,IF($R47=0,$X47,IF(AND($T47&lt;&gt;"",EDATE($D47,Milestones!$AA$179)&gt;=$T47),$W47,IF(AND($S47&lt;&gt;"",EDATE($D47,Milestones!$AA$179)&gt;=$S47),$V47,$U47)))=Milestones!$AB$179),UPPER(TEXT(EDATE($D47,Milestones!$AA$179),"dd mmm yy"))&amp;" "&amp;Milestones!$AB$179&amp;" "&amp;Milestones!$AC$179&amp;";  ",""))</f>
        <v/>
      </c>
      <c r="Q47" s="0" t="str">
        <f aca="false">IF(OR($A47="",$D47=""),"",IF(AND(EDATE($D47,Milestones!$AA$180)&lt;=AsOfDate,IF($R47=0,$X47,IF(AND($T47&lt;&gt;"",EDATE($D47,Milestones!$AA$180)&gt;=$T47),$W47,IF(AND($S47&lt;&gt;"",EDATE($D47,Milestones!$AA$180)&gt;=$S47),$V47,$U47)))=Milestones!$AB$180),UPPER(TEXT(EDATE($D47,Milestones!$AA$180),"dd mmm yy"))&amp;" "&amp;Milestones!$AB$180&amp;" "&amp;Milestones!$AC$180&amp;";  ","")&amp;IF(AND(EDATE($D47,Milestones!$AA$181)&lt;=AsOfDate,IF($R47=0,$X47,IF(AND($T47&lt;&gt;"",EDATE($D47,Milestones!$AA$181)&gt;=$T47),$W47,IF(AND($S47&lt;&gt;"",EDATE($D47,Milestones!$AA$181)&gt;=$S47),$V47,$U47)))=Milestones!$AB$181),UPPER(TEXT(EDATE($D47,Milestones!$AA$181),"dd mmm yy"))&amp;" "&amp;Milestones!$AB$181&amp;" "&amp;Milestones!$AC$181&amp;";  ","")&amp;IF(AND(EDATE($D47,Milestones!$AA$182)&lt;=AsOfDate,IF($R47=0,$X47,IF(AND($T47&lt;&gt;"",EDATE($D47,Milestones!$AA$182)&gt;=$T47),$W47,IF(AND($S47&lt;&gt;"",EDATE($D47,Milestones!$AA$182)&gt;=$S47),$V47,$U47)))=Milestones!$AB$182),UPPER(TEXT(EDATE($D47,Milestones!$AA$182),"dd mmm yy"))&amp;" "&amp;Milestones!$AB$182&amp;" "&amp;Milestones!$AC$182&amp;";  ","")&amp;IF(AND(EDATE($D47,Milestones!$AA$183)&lt;=AsOfDate,IF($R47=0,$X47,IF(AND($T47&lt;&gt;"",EDATE($D47,Milestones!$AA$183)&gt;=$T47),$W47,IF(AND($S47&lt;&gt;"",EDATE($D47,Milestones!$AA$183)&gt;=$S47),$V47,$U47)))=Milestones!$AB$183),UPPER(TEXT(EDATE($D47,Milestones!$AA$183),"dd mmm yy"))&amp;" "&amp;Milestones!$AB$183&amp;" "&amp;Milestones!$AC$183&amp;";  ","")&amp;IF(AND(EDATE($D47,Milestones!$AA$184)&lt;=AsOfDate,IF($R47=0,$X47,IF(AND($T47&lt;&gt;"",EDATE($D47,Milestones!$AA$184)&gt;=$T47),$W47,IF(AND($S47&lt;&gt;"",EDATE($D47,Milestones!$AA$184)&gt;=$S47),$V47,$U47)))=Milestones!$AB$184),UPPER(TEXT(EDATE($D47,Milestones!$AA$184),"dd mmm yy"))&amp;" "&amp;Milestones!$AB$184&amp;" "&amp;Milestones!$AC$184&amp;";  ","")&amp;IF(AND(EDATE($D47,Milestones!$AA$185)&lt;=AsOfDate,IF($R47=0,$X47,IF(AND($T47&lt;&gt;"",EDATE($D47,Milestones!$AA$185)&gt;=$T47),$W47,IF(AND($S47&lt;&gt;"",EDATE($D47,Milestones!$AA$185)&gt;=$S47),$V47,$U47)))=Milestones!$AB$185),UPPER(TEXT(EDATE($D47,Milestones!$AA$185),"dd mmm yy"))&amp;" "&amp;Milestones!$AB$185&amp;" "&amp;Milestones!$AC$185&amp;";  ","")&amp;IF(AND(EDATE($D47,Milestones!$AA$186)&lt;=AsOfDate,IF($R47=0,$X47,IF(AND($T47&lt;&gt;"",EDATE($D47,Milestones!$AA$186)&gt;=$T47),$W47,IF(AND($S47&lt;&gt;"",EDATE($D47,Milestones!$AA$186)&gt;=$S47),$V47,$U47)))=Milestones!$AB$186),UPPER(TEXT(EDATE($D47,Milestones!$AA$186),"dd mmm yy"))&amp;" "&amp;Milestones!$AB$186&amp;" "&amp;Milestones!$AC$186&amp;";  ","")&amp;IF(AND(EDATE($D47,Milestones!$AA$187)&lt;=AsOfDate,IF($R47=0,$X47,IF(AND($T47&lt;&gt;"",EDATE($D47,Milestones!$AA$187)&gt;=$T47),$W47,IF(AND($S47&lt;&gt;"",EDATE($D47,Milestones!$AA$187)&gt;=$S47),$V47,$U47)))=Milestones!$AB$187),UPPER(TEXT(EDATE($D47,Milestones!$AA$187),"dd mmm yy"))&amp;" "&amp;Milestones!$AB$187&amp;" "&amp;Milestones!$AC$187&amp;";  ","")&amp;IF(AND(EDATE($D47,Milestones!$AA$188)&lt;=AsOfDate,IF($R47=0,$X47,IF(AND($T47&lt;&gt;"",EDATE($D47,Milestones!$AA$188)&gt;=$T47),$W47,IF(AND($S47&lt;&gt;"",EDATE($D47,Milestones!$AA$188)&gt;=$S47),$V47,$U47)))=Milestones!$AB$188),UPPER(TEXT(EDATE($D47,Milestones!$AA$188),"dd mmm yy"))&amp;" "&amp;Milestones!$AB$188&amp;" "&amp;Milestones!$AC$188&amp;";  ","")&amp;IF(AND(EDATE($D47,Milestones!$AA$189)&lt;=AsOfDate,IF($R47=0,$X47,IF(AND($T47&lt;&gt;"",EDATE($D47,Milestones!$AA$189)&gt;=$T47),$W47,IF(AND($S47&lt;&gt;"",EDATE($D47,Milestones!$AA$189)&gt;=$S47),$V47,$U47)))=Milestones!$AB$189),UPPER(TEXT(EDATE($D47,Milestones!$AA$189),"dd mmm yy"))&amp;" "&amp;Milestones!$AB$189&amp;" "&amp;Milestones!$AC$189&amp;";  ","")&amp;IF(AND(EDATE($D47,Milestones!$AA$190)&lt;=AsOfDate,IF($R47=0,$X47,IF(AND($T47&lt;&gt;"",EDATE($D47,Milestones!$AA$190)&gt;=$T47),$W47,IF(AND($S47&lt;&gt;"",EDATE($D47,Milestones!$AA$190)&gt;=$S47),$V47,$U47)))=Milestones!$AB$190),UPPER(TEXT(EDATE($D47,Milestones!$AA$190),"dd mmm yy"))&amp;" "&amp;Milestones!$AB$190&amp;" "&amp;Milestones!$AC$190&amp;";  ","")&amp;IF(AND(EDATE($D47,Milestones!$AA$191)&lt;=AsOfDate,IF($R47=0,$X47,IF(AND($T47&lt;&gt;"",EDATE($D47,Milestones!$AA$191)&gt;=$T47),$W47,IF(AND($S47&lt;&gt;"",EDATE($D47,Milestones!$AA$191)&gt;=$S47),$V47,$U47)))=Milestones!$AB$191),UPPER(TEXT(EDATE($D47,Milestones!$AA$191),"dd mmm yy"))&amp;" "&amp;Milestones!$AB$191&amp;" "&amp;Milestones!$AC$191&amp;";  ","")&amp;IF(AND(EDATE($D47,Milestones!$AA$192)&lt;=AsOfDate,IF($R47=0,$X47,IF(AND($T47&lt;&gt;"",EDATE($D47,Milestones!$AA$192)&gt;=$T47),$W47,IF(AND($S47&lt;&gt;"",EDATE($D47,Milestones!$AA$192)&gt;=$S47),$V47,$U47)))=Milestones!$AB$192),UPPER(TEXT(EDATE($D47,Milestones!$AA$192),"dd mmm yy"))&amp;" "&amp;Milestones!$AB$192&amp;" "&amp;Milestones!$AC$192&amp;";  ","")&amp;IF(AND(EDATE($D47,Milestones!$AA$193)&lt;=AsOfDate,IF($R47=0,$X47,IF(AND($T47&lt;&gt;"",EDATE($D47,Milestones!$AA$193)&gt;=$T47),$W47,IF(AND($S47&lt;&gt;"",EDATE($D47,Milestones!$AA$193)&gt;=$S47),$V47,$U47)))=Milestones!$AB$193),UPPER(TEXT(EDATE($D47,Milestones!$AA$193),"dd mmm yy"))&amp;" "&amp;Milestones!$AB$193&amp;" "&amp;Milestones!$AC$193&amp;";  ","")&amp;IF(AND(EDATE($D47,Milestones!$AA$194)&lt;=AsOfDate,IF($R47=0,$X47,IF(AND($T47&lt;&gt;"",EDATE($D47,Milestones!$AA$194)&gt;=$T47),$W47,IF(AND($S47&lt;&gt;"",EDATE($D47,Milestones!$AA$194)&gt;=$S47),$V47,$U47)))=Milestones!$AB$194),UPPER(TEXT(EDATE($D47,Milestones!$AA$194),"dd mmm yy"))&amp;" "&amp;Milestones!$AB$194&amp;" "&amp;Milestones!$AC$194&amp;";  ","")&amp;IF(AND(EDATE($D47,Milestones!$AA$195)&lt;=AsOfDate,IF($R47=0,$X47,IF(AND($T47&lt;&gt;"",EDATE($D47,Milestones!$AA$195)&gt;=$T47),$W47,IF(AND($S47&lt;&gt;"",EDATE($D47,Milestones!$AA$195)&gt;=$S47),$V47,$U47)))=Milestones!$AB$195),UPPER(TEXT(EDATE($D47,Milestones!$AA$195),"dd mmm yy"))&amp;" "&amp;Milestones!$AB$195&amp;" "&amp;Milestones!$AC$195&amp;";  ","")&amp;IF(AND(EDATE($D47,Milestones!$AA$196)&lt;=AsOfDate,IF($R47=0,$X47,IF(AND($T47&lt;&gt;"",EDATE($D47,Milestones!$AA$196)&gt;=$T47),$W47,IF(AND($S47&lt;&gt;"",EDATE($D47,Milestones!$AA$196)&gt;=$S47),$V47,$U47)))=Milestones!$AB$196),UPPER(TEXT(EDATE($D47,Milestones!$AA$196),"dd mmm yy"))&amp;" "&amp;Milestones!$AB$196&amp;" "&amp;Milestones!$AC$196&amp;";  ","")&amp;IF(AND(EDATE($D47,Milestones!$AA$197)&lt;=AsOfDate,IF($R47=0,$X47,IF(AND($T47&lt;&gt;"",EDATE($D47,Milestones!$AA$197)&gt;=$T47),$W47,IF(AND($S47&lt;&gt;"",EDATE($D47,Milestones!$AA$197)&gt;=$S47),$V47,$U47)))=Milestones!$AB$197),UPPER(TEXT(EDATE($D47,Milestones!$AA$197),"dd mmm yy"))&amp;" "&amp;Milestones!$AB$197&amp;" "&amp;Milestones!$AC$197&amp;";  ","")&amp;IF(AND(EDATE($D47,Milestones!$AA$198)&lt;=AsOfDate,IF($R47=0,$X47,IF(AND($T47&lt;&gt;"",EDATE($D47,Milestones!$AA$198)&gt;=$T47),$W47,IF(AND($S47&lt;&gt;"",EDATE($D47,Milestones!$AA$198)&gt;=$S47),$V47,$U47)))=Milestones!$AB$198),UPPER(TEXT(EDATE($D47,Milestones!$AA$198),"dd mmm yy"))&amp;" "&amp;Milestones!$AB$198&amp;" "&amp;Milestones!$AC$198&amp;";  ","")&amp;IF(AND(EDATE($D47,Milestones!$AA$199)&lt;=AsOfDate,IF($R47=0,$X47,IF(AND($T47&lt;&gt;"",EDATE($D47,Milestones!$AA$199)&gt;=$T47),$W47,IF(AND($S47&lt;&gt;"",EDATE($D47,Milestones!$AA$199)&gt;=$S47),$V47,$U47)))=Milestones!$AB$199),UPPER(TEXT(EDATE($D47,Milestones!$AA$199),"dd mmm yy"))&amp;" "&amp;Milestones!$AB$199&amp;" "&amp;Milestones!$AC$199&amp;";  ",""))</f>
        <v/>
      </c>
      <c r="R47" s="0" t="str">
        <f aca="false">IF(Staff!$A47="","",Staff!$AI47)</f>
        <v/>
      </c>
      <c r="S47" s="0" t="str">
        <f aca="false">IF(Staff!$A47="","",Staff!$AK47)</f>
        <v/>
      </c>
      <c r="T47" s="0" t="str">
        <f aca="false">IF(Staff!$A47="","",Staff!$AL47)</f>
        <v/>
      </c>
      <c r="U47" s="0" t="str">
        <f aca="false">IF(Staff!$A47="","",Staff!$AP47)</f>
        <v/>
      </c>
      <c r="V47" s="0" t="str">
        <f aca="false">IF(Staff!$A47="","",Staff!$AQ47)</f>
        <v/>
      </c>
      <c r="W47" s="0" t="str">
        <f aca="false">IF(Staff!$A47="","",Staff!$AR47)</f>
        <v/>
      </c>
      <c r="X47" s="0" t="str">
        <f aca="false">IF(Staff!$A47="","",Staff!$AS47)</f>
        <v/>
      </c>
    </row>
    <row r="48" customFormat="false" ht="15" hidden="false" customHeight="false" outlineLevel="0" collapsed="false">
      <c r="A48" s="14" t="str">
        <f aca="false">IF(Staff!$A48="","",Staff!$A48)</f>
        <v/>
      </c>
      <c r="B48" s="14" t="str">
        <f aca="false">IF(Staff!$A48="","",Staff!$B48)</f>
        <v/>
      </c>
      <c r="C48" s="14" t="str">
        <f aca="false">IF(Staff!$A48="","",Staff!$C48)</f>
        <v/>
      </c>
      <c r="D48" s="12" t="str">
        <f aca="false">IF(Staff!$A48="","",Staff!$AH48)</f>
        <v/>
      </c>
      <c r="E48" s="14" t="str">
        <f aca="false">IF(Staff!$A48="","",Staff!$O48)</f>
        <v/>
      </c>
      <c r="F48" s="14" t="str">
        <f aca="false">IF(E48="","",E48*HoursPerDay)</f>
        <v/>
      </c>
      <c r="G48" s="14" t="str">
        <f aca="false">IF(Staff!$A48="","",Staff!$AE48)</f>
        <v/>
      </c>
      <c r="H48" s="26" t="str">
        <f aca="false">IF($A48="","",I48&amp;J48&amp;K48&amp;L48&amp;M48&amp;N48&amp;O48&amp;P48&amp;Q48)</f>
        <v/>
      </c>
      <c r="I48" s="0" t="str">
        <f aca="false">IF(OR($A48="",$D48=""),"",IF(AND(EDATE($D48,Milestones!$AA$20)&lt;=AsOfDate,IF($R48=0,$X48,IF(AND($T48&lt;&gt;"",EDATE($D48,Milestones!$AA$20)&gt;=$T48),$W48,IF(AND($S48&lt;&gt;"",EDATE($D48,Milestones!$AA$20)&gt;=$S48),$V48,$U48)))=Milestones!$AB$20),UPPER(TEXT(EDATE($D48,Milestones!$AA$20),"dd mmm yy"))&amp;" "&amp;Milestones!$AB$20&amp;" "&amp;Milestones!$AC$20&amp;";  ","")&amp;IF(AND(EDATE($D48,Milestones!$AA$21)&lt;=AsOfDate,IF($R48=0,$X48,IF(AND($T48&lt;&gt;"",EDATE($D48,Milestones!$AA$21)&gt;=$T48),$W48,IF(AND($S48&lt;&gt;"",EDATE($D48,Milestones!$AA$21)&gt;=$S48),$V48,$U48)))=Milestones!$AB$21),UPPER(TEXT(EDATE($D48,Milestones!$AA$21),"dd mmm yy"))&amp;" "&amp;Milestones!$AB$21&amp;" "&amp;Milestones!$AC$21&amp;";  ","")&amp;IF(AND(EDATE($D48,Milestones!$AA$22)&lt;=AsOfDate,IF($R48=0,$X48,IF(AND($T48&lt;&gt;"",EDATE($D48,Milestones!$AA$22)&gt;=$T48),$W48,IF(AND($S48&lt;&gt;"",EDATE($D48,Milestones!$AA$22)&gt;=$S48),$V48,$U48)))=Milestones!$AB$22),UPPER(TEXT(EDATE($D48,Milestones!$AA$22),"dd mmm yy"))&amp;" "&amp;Milestones!$AB$22&amp;" "&amp;Milestones!$AC$22&amp;";  ","")&amp;IF(AND(EDATE($D48,Milestones!$AA$23)&lt;=AsOfDate,IF($R48=0,$X48,IF(AND($T48&lt;&gt;"",EDATE($D48,Milestones!$AA$23)&gt;=$T48),$W48,IF(AND($S48&lt;&gt;"",EDATE($D48,Milestones!$AA$23)&gt;=$S48),$V48,$U48)))=Milestones!$AB$23),UPPER(TEXT(EDATE($D48,Milestones!$AA$23),"dd mmm yy"))&amp;" "&amp;Milestones!$AB$23&amp;" "&amp;Milestones!$AC$23&amp;";  ","")&amp;IF(AND(EDATE($D48,Milestones!$AA$24)&lt;=AsOfDate,IF($R48=0,$X48,IF(AND($T48&lt;&gt;"",EDATE($D48,Milestones!$AA$24)&gt;=$T48),$W48,IF(AND($S48&lt;&gt;"",EDATE($D48,Milestones!$AA$24)&gt;=$S48),$V48,$U48)))=Milestones!$AB$24),UPPER(TEXT(EDATE($D48,Milestones!$AA$24),"dd mmm yy"))&amp;" "&amp;Milestones!$AB$24&amp;" "&amp;Milestones!$AC$24&amp;";  ","")&amp;IF(AND(EDATE($D48,Milestones!$AA$25)&lt;=AsOfDate,IF($R48=0,$X48,IF(AND($T48&lt;&gt;"",EDATE($D48,Milestones!$AA$25)&gt;=$T48),$W48,IF(AND($S48&lt;&gt;"",EDATE($D48,Milestones!$AA$25)&gt;=$S48),$V48,$U48)))=Milestones!$AB$25),UPPER(TEXT(EDATE($D48,Milestones!$AA$25),"dd mmm yy"))&amp;" "&amp;Milestones!$AB$25&amp;" "&amp;Milestones!$AC$25&amp;";  ","")&amp;IF(AND(EDATE($D48,Milestones!$AA$26)&lt;=AsOfDate,IF($R48=0,$X48,IF(AND($T48&lt;&gt;"",EDATE($D48,Milestones!$AA$26)&gt;=$T48),$W48,IF(AND($S48&lt;&gt;"",EDATE($D48,Milestones!$AA$26)&gt;=$S48),$V48,$U48)))=Milestones!$AB$26),UPPER(TEXT(EDATE($D48,Milestones!$AA$26),"dd mmm yy"))&amp;" "&amp;Milestones!$AB$26&amp;" "&amp;Milestones!$AC$26&amp;";  ","")&amp;IF(AND(EDATE($D48,Milestones!$AA$27)&lt;=AsOfDate,IF($R48=0,$X48,IF(AND($T48&lt;&gt;"",EDATE($D48,Milestones!$AA$27)&gt;=$T48),$W48,IF(AND($S48&lt;&gt;"",EDATE($D48,Milestones!$AA$27)&gt;=$S48),$V48,$U48)))=Milestones!$AB$27),UPPER(TEXT(EDATE($D48,Milestones!$AA$27),"dd mmm yy"))&amp;" "&amp;Milestones!$AB$27&amp;" "&amp;Milestones!$AC$27&amp;";  ","")&amp;IF(AND(EDATE($D48,Milestones!$AA$28)&lt;=AsOfDate,IF($R48=0,$X48,IF(AND($T48&lt;&gt;"",EDATE($D48,Milestones!$AA$28)&gt;=$T48),$W48,IF(AND($S48&lt;&gt;"",EDATE($D48,Milestones!$AA$28)&gt;=$S48),$V48,$U48)))=Milestones!$AB$28),UPPER(TEXT(EDATE($D48,Milestones!$AA$28),"dd mmm yy"))&amp;" "&amp;Milestones!$AB$28&amp;" "&amp;Milestones!$AC$28&amp;";  ","")&amp;IF(AND(EDATE($D48,Milestones!$AA$29)&lt;=AsOfDate,IF($R48=0,$X48,IF(AND($T48&lt;&gt;"",EDATE($D48,Milestones!$AA$29)&gt;=$T48),$W48,IF(AND($S48&lt;&gt;"",EDATE($D48,Milestones!$AA$29)&gt;=$S48),$V48,$U48)))=Milestones!$AB$29),UPPER(TEXT(EDATE($D48,Milestones!$AA$29),"dd mmm yy"))&amp;" "&amp;Milestones!$AB$29&amp;" "&amp;Milestones!$AC$29&amp;";  ","")&amp;IF(AND(EDATE($D48,Milestones!$AA$30)&lt;=AsOfDate,IF($R48=0,$X48,IF(AND($T48&lt;&gt;"",EDATE($D48,Milestones!$AA$30)&gt;=$T48),$W48,IF(AND($S48&lt;&gt;"",EDATE($D48,Milestones!$AA$30)&gt;=$S48),$V48,$U48)))=Milestones!$AB$30),UPPER(TEXT(EDATE($D48,Milestones!$AA$30),"dd mmm yy"))&amp;" "&amp;Milestones!$AB$30&amp;" "&amp;Milestones!$AC$30&amp;";  ","")&amp;IF(AND(EDATE($D48,Milestones!$AA$31)&lt;=AsOfDate,IF($R48=0,$X48,IF(AND($T48&lt;&gt;"",EDATE($D48,Milestones!$AA$31)&gt;=$T48),$W48,IF(AND($S48&lt;&gt;"",EDATE($D48,Milestones!$AA$31)&gt;=$S48),$V48,$U48)))=Milestones!$AB$31),UPPER(TEXT(EDATE($D48,Milestones!$AA$31),"dd mmm yy"))&amp;" "&amp;Milestones!$AB$31&amp;" "&amp;Milestones!$AC$31&amp;";  ","")&amp;IF(AND(EDATE($D48,Milestones!$AA$32)&lt;=AsOfDate,IF($R48=0,$X48,IF(AND($T48&lt;&gt;"",EDATE($D48,Milestones!$AA$32)&gt;=$T48),$W48,IF(AND($S48&lt;&gt;"",EDATE($D48,Milestones!$AA$32)&gt;=$S48),$V48,$U48)))=Milestones!$AB$32),UPPER(TEXT(EDATE($D48,Milestones!$AA$32),"dd mmm yy"))&amp;" "&amp;Milestones!$AB$32&amp;" "&amp;Milestones!$AC$32&amp;";  ","")&amp;IF(AND(EDATE($D48,Milestones!$AA$33)&lt;=AsOfDate,IF($R48=0,$X48,IF(AND($T48&lt;&gt;"",EDATE($D48,Milestones!$AA$33)&gt;=$T48),$W48,IF(AND($S48&lt;&gt;"",EDATE($D48,Milestones!$AA$33)&gt;=$S48),$V48,$U48)))=Milestones!$AB$33),UPPER(TEXT(EDATE($D48,Milestones!$AA$33),"dd mmm yy"))&amp;" "&amp;Milestones!$AB$33&amp;" "&amp;Milestones!$AC$33&amp;";  ","")&amp;IF(AND(EDATE($D48,Milestones!$AA$34)&lt;=AsOfDate,IF($R48=0,$X48,IF(AND($T48&lt;&gt;"",EDATE($D48,Milestones!$AA$34)&gt;=$T48),$W48,IF(AND($S48&lt;&gt;"",EDATE($D48,Milestones!$AA$34)&gt;=$S48),$V48,$U48)))=Milestones!$AB$34),UPPER(TEXT(EDATE($D48,Milestones!$AA$34),"dd mmm yy"))&amp;" "&amp;Milestones!$AB$34&amp;" "&amp;Milestones!$AC$34&amp;";  ","")&amp;IF(AND(EDATE($D48,Milestones!$AA$35)&lt;=AsOfDate,IF($R48=0,$X48,IF(AND($T48&lt;&gt;"",EDATE($D48,Milestones!$AA$35)&gt;=$T48),$W48,IF(AND($S48&lt;&gt;"",EDATE($D48,Milestones!$AA$35)&gt;=$S48),$V48,$U48)))=Milestones!$AB$35),UPPER(TEXT(EDATE($D48,Milestones!$AA$35),"dd mmm yy"))&amp;" "&amp;Milestones!$AB$35&amp;" "&amp;Milestones!$AC$35&amp;";  ","")&amp;IF(AND(EDATE($D48,Milestones!$AA$36)&lt;=AsOfDate,IF($R48=0,$X48,IF(AND($T48&lt;&gt;"",EDATE($D48,Milestones!$AA$36)&gt;=$T48),$W48,IF(AND($S48&lt;&gt;"",EDATE($D48,Milestones!$AA$36)&gt;=$S48),$V48,$U48)))=Milestones!$AB$36),UPPER(TEXT(EDATE($D48,Milestones!$AA$36),"dd mmm yy"))&amp;" "&amp;Milestones!$AB$36&amp;" "&amp;Milestones!$AC$36&amp;";  ","")&amp;IF(AND(EDATE($D48,Milestones!$AA$37)&lt;=AsOfDate,IF($R48=0,$X48,IF(AND($T48&lt;&gt;"",EDATE($D48,Milestones!$AA$37)&gt;=$T48),$W48,IF(AND($S48&lt;&gt;"",EDATE($D48,Milestones!$AA$37)&gt;=$S48),$V48,$U48)))=Milestones!$AB$37),UPPER(TEXT(EDATE($D48,Milestones!$AA$37),"dd mmm yy"))&amp;" "&amp;Milestones!$AB$37&amp;" "&amp;Milestones!$AC$37&amp;";  ","")&amp;IF(AND(EDATE($D48,Milestones!$AA$38)&lt;=AsOfDate,IF($R48=0,$X48,IF(AND($T48&lt;&gt;"",EDATE($D48,Milestones!$AA$38)&gt;=$T48),$W48,IF(AND($S48&lt;&gt;"",EDATE($D48,Milestones!$AA$38)&gt;=$S48),$V48,$U48)))=Milestones!$AB$38),UPPER(TEXT(EDATE($D48,Milestones!$AA$38),"dd mmm yy"))&amp;" "&amp;Milestones!$AB$38&amp;" "&amp;Milestones!$AC$38&amp;";  ","")&amp;IF(AND(EDATE($D48,Milestones!$AA$39)&lt;=AsOfDate,IF($R48=0,$X48,IF(AND($T48&lt;&gt;"",EDATE($D48,Milestones!$AA$39)&gt;=$T48),$W48,IF(AND($S48&lt;&gt;"",EDATE($D48,Milestones!$AA$39)&gt;=$S48),$V48,$U48)))=Milestones!$AB$39),UPPER(TEXT(EDATE($D48,Milestones!$AA$39),"dd mmm yy"))&amp;" "&amp;Milestones!$AB$39&amp;" "&amp;Milestones!$AC$39&amp;";  ",""))</f>
        <v/>
      </c>
      <c r="J48" s="0" t="str">
        <f aca="false">IF(OR($A48="",$D48=""),"",IF(AND(EDATE($D48,Milestones!$AA$40)&lt;=AsOfDate,IF($R48=0,$X48,IF(AND($T48&lt;&gt;"",EDATE($D48,Milestones!$AA$40)&gt;=$T48),$W48,IF(AND($S48&lt;&gt;"",EDATE($D48,Milestones!$AA$40)&gt;=$S48),$V48,$U48)))=Milestones!$AB$40),UPPER(TEXT(EDATE($D48,Milestones!$AA$40),"dd mmm yy"))&amp;" "&amp;Milestones!$AB$40&amp;" "&amp;Milestones!$AC$40&amp;";  ","")&amp;IF(AND(EDATE($D48,Milestones!$AA$41)&lt;=AsOfDate,IF($R48=0,$X48,IF(AND($T48&lt;&gt;"",EDATE($D48,Milestones!$AA$41)&gt;=$T48),$W48,IF(AND($S48&lt;&gt;"",EDATE($D48,Milestones!$AA$41)&gt;=$S48),$V48,$U48)))=Milestones!$AB$41),UPPER(TEXT(EDATE($D48,Milestones!$AA$41),"dd mmm yy"))&amp;" "&amp;Milestones!$AB$41&amp;" "&amp;Milestones!$AC$41&amp;";  ","")&amp;IF(AND(EDATE($D48,Milestones!$AA$42)&lt;=AsOfDate,IF($R48=0,$X48,IF(AND($T48&lt;&gt;"",EDATE($D48,Milestones!$AA$42)&gt;=$T48),$W48,IF(AND($S48&lt;&gt;"",EDATE($D48,Milestones!$AA$42)&gt;=$S48),$V48,$U48)))=Milestones!$AB$42),UPPER(TEXT(EDATE($D48,Milestones!$AA$42),"dd mmm yy"))&amp;" "&amp;Milestones!$AB$42&amp;" "&amp;Milestones!$AC$42&amp;";  ","")&amp;IF(AND(EDATE($D48,Milestones!$AA$43)&lt;=AsOfDate,IF($R48=0,$X48,IF(AND($T48&lt;&gt;"",EDATE($D48,Milestones!$AA$43)&gt;=$T48),$W48,IF(AND($S48&lt;&gt;"",EDATE($D48,Milestones!$AA$43)&gt;=$S48),$V48,$U48)))=Milestones!$AB$43),UPPER(TEXT(EDATE($D48,Milestones!$AA$43),"dd mmm yy"))&amp;" "&amp;Milestones!$AB$43&amp;" "&amp;Milestones!$AC$43&amp;";  ","")&amp;IF(AND(EDATE($D48,Milestones!$AA$44)&lt;=AsOfDate,IF($R48=0,$X48,IF(AND($T48&lt;&gt;"",EDATE($D48,Milestones!$AA$44)&gt;=$T48),$W48,IF(AND($S48&lt;&gt;"",EDATE($D48,Milestones!$AA$44)&gt;=$S48),$V48,$U48)))=Milestones!$AB$44),UPPER(TEXT(EDATE($D48,Milestones!$AA$44),"dd mmm yy"))&amp;" "&amp;Milestones!$AB$44&amp;" "&amp;Milestones!$AC$44&amp;";  ","")&amp;IF(AND(EDATE($D48,Milestones!$AA$45)&lt;=AsOfDate,IF($R48=0,$X48,IF(AND($T48&lt;&gt;"",EDATE($D48,Milestones!$AA$45)&gt;=$T48),$W48,IF(AND($S48&lt;&gt;"",EDATE($D48,Milestones!$AA$45)&gt;=$S48),$V48,$U48)))=Milestones!$AB$45),UPPER(TEXT(EDATE($D48,Milestones!$AA$45),"dd mmm yy"))&amp;" "&amp;Milestones!$AB$45&amp;" "&amp;Milestones!$AC$45&amp;";  ","")&amp;IF(AND(EDATE($D48,Milestones!$AA$46)&lt;=AsOfDate,IF($R48=0,$X48,IF(AND($T48&lt;&gt;"",EDATE($D48,Milestones!$AA$46)&gt;=$T48),$W48,IF(AND($S48&lt;&gt;"",EDATE($D48,Milestones!$AA$46)&gt;=$S48),$V48,$U48)))=Milestones!$AB$46),UPPER(TEXT(EDATE($D48,Milestones!$AA$46),"dd mmm yy"))&amp;" "&amp;Milestones!$AB$46&amp;" "&amp;Milestones!$AC$46&amp;";  ","")&amp;IF(AND(EDATE($D48,Milestones!$AA$47)&lt;=AsOfDate,IF($R48=0,$X48,IF(AND($T48&lt;&gt;"",EDATE($D48,Milestones!$AA$47)&gt;=$T48),$W48,IF(AND($S48&lt;&gt;"",EDATE($D48,Milestones!$AA$47)&gt;=$S48),$V48,$U48)))=Milestones!$AB$47),UPPER(TEXT(EDATE($D48,Milestones!$AA$47),"dd mmm yy"))&amp;" "&amp;Milestones!$AB$47&amp;" "&amp;Milestones!$AC$47&amp;";  ","")&amp;IF(AND(EDATE($D48,Milestones!$AA$48)&lt;=AsOfDate,IF($R48=0,$X48,IF(AND($T48&lt;&gt;"",EDATE($D48,Milestones!$AA$48)&gt;=$T48),$W48,IF(AND($S48&lt;&gt;"",EDATE($D48,Milestones!$AA$48)&gt;=$S48),$V48,$U48)))=Milestones!$AB$48),UPPER(TEXT(EDATE($D48,Milestones!$AA$48),"dd mmm yy"))&amp;" "&amp;Milestones!$AB$48&amp;" "&amp;Milestones!$AC$48&amp;";  ","")&amp;IF(AND(EDATE($D48,Milestones!$AA$49)&lt;=AsOfDate,IF($R48=0,$X48,IF(AND($T48&lt;&gt;"",EDATE($D48,Milestones!$AA$49)&gt;=$T48),$W48,IF(AND($S48&lt;&gt;"",EDATE($D48,Milestones!$AA$49)&gt;=$S48),$V48,$U48)))=Milestones!$AB$49),UPPER(TEXT(EDATE($D48,Milestones!$AA$49),"dd mmm yy"))&amp;" "&amp;Milestones!$AB$49&amp;" "&amp;Milestones!$AC$49&amp;";  ","")&amp;IF(AND(EDATE($D48,Milestones!$AA$50)&lt;=AsOfDate,IF($R48=0,$X48,IF(AND($T48&lt;&gt;"",EDATE($D48,Milestones!$AA$50)&gt;=$T48),$W48,IF(AND($S48&lt;&gt;"",EDATE($D48,Milestones!$AA$50)&gt;=$S48),$V48,$U48)))=Milestones!$AB$50),UPPER(TEXT(EDATE($D48,Milestones!$AA$50),"dd mmm yy"))&amp;" "&amp;Milestones!$AB$50&amp;" "&amp;Milestones!$AC$50&amp;";  ","")&amp;IF(AND(EDATE($D48,Milestones!$AA$51)&lt;=AsOfDate,IF($R48=0,$X48,IF(AND($T48&lt;&gt;"",EDATE($D48,Milestones!$AA$51)&gt;=$T48),$W48,IF(AND($S48&lt;&gt;"",EDATE($D48,Milestones!$AA$51)&gt;=$S48),$V48,$U48)))=Milestones!$AB$51),UPPER(TEXT(EDATE($D48,Milestones!$AA$51),"dd mmm yy"))&amp;" "&amp;Milestones!$AB$51&amp;" "&amp;Milestones!$AC$51&amp;";  ","")&amp;IF(AND(EDATE($D48,Milestones!$AA$52)&lt;=AsOfDate,IF($R48=0,$X48,IF(AND($T48&lt;&gt;"",EDATE($D48,Milestones!$AA$52)&gt;=$T48),$W48,IF(AND($S48&lt;&gt;"",EDATE($D48,Milestones!$AA$52)&gt;=$S48),$V48,$U48)))=Milestones!$AB$52),UPPER(TEXT(EDATE($D48,Milestones!$AA$52),"dd mmm yy"))&amp;" "&amp;Milestones!$AB$52&amp;" "&amp;Milestones!$AC$52&amp;";  ","")&amp;IF(AND(EDATE($D48,Milestones!$AA$53)&lt;=AsOfDate,IF($R48=0,$X48,IF(AND($T48&lt;&gt;"",EDATE($D48,Milestones!$AA$53)&gt;=$T48),$W48,IF(AND($S48&lt;&gt;"",EDATE($D48,Milestones!$AA$53)&gt;=$S48),$V48,$U48)))=Milestones!$AB$53),UPPER(TEXT(EDATE($D48,Milestones!$AA$53),"dd mmm yy"))&amp;" "&amp;Milestones!$AB$53&amp;" "&amp;Milestones!$AC$53&amp;";  ","")&amp;IF(AND(EDATE($D48,Milestones!$AA$54)&lt;=AsOfDate,IF($R48=0,$X48,IF(AND($T48&lt;&gt;"",EDATE($D48,Milestones!$AA$54)&gt;=$T48),$W48,IF(AND($S48&lt;&gt;"",EDATE($D48,Milestones!$AA$54)&gt;=$S48),$V48,$U48)))=Milestones!$AB$54),UPPER(TEXT(EDATE($D48,Milestones!$AA$54),"dd mmm yy"))&amp;" "&amp;Milestones!$AB$54&amp;" "&amp;Milestones!$AC$54&amp;";  ","")&amp;IF(AND(EDATE($D48,Milestones!$AA$55)&lt;=AsOfDate,IF($R48=0,$X48,IF(AND($T48&lt;&gt;"",EDATE($D48,Milestones!$AA$55)&gt;=$T48),$W48,IF(AND($S48&lt;&gt;"",EDATE($D48,Milestones!$AA$55)&gt;=$S48),$V48,$U48)))=Milestones!$AB$55),UPPER(TEXT(EDATE($D48,Milestones!$AA$55),"dd mmm yy"))&amp;" "&amp;Milestones!$AB$55&amp;" "&amp;Milestones!$AC$55&amp;";  ","")&amp;IF(AND(EDATE($D48,Milestones!$AA$56)&lt;=AsOfDate,IF($R48=0,$X48,IF(AND($T48&lt;&gt;"",EDATE($D48,Milestones!$AA$56)&gt;=$T48),$W48,IF(AND($S48&lt;&gt;"",EDATE($D48,Milestones!$AA$56)&gt;=$S48),$V48,$U48)))=Milestones!$AB$56),UPPER(TEXT(EDATE($D48,Milestones!$AA$56),"dd mmm yy"))&amp;" "&amp;Milestones!$AB$56&amp;" "&amp;Milestones!$AC$56&amp;";  ","")&amp;IF(AND(EDATE($D48,Milestones!$AA$57)&lt;=AsOfDate,IF($R48=0,$X48,IF(AND($T48&lt;&gt;"",EDATE($D48,Milestones!$AA$57)&gt;=$T48),$W48,IF(AND($S48&lt;&gt;"",EDATE($D48,Milestones!$AA$57)&gt;=$S48),$V48,$U48)))=Milestones!$AB$57),UPPER(TEXT(EDATE($D48,Milestones!$AA$57),"dd mmm yy"))&amp;" "&amp;Milestones!$AB$57&amp;" "&amp;Milestones!$AC$57&amp;";  ","")&amp;IF(AND(EDATE($D48,Milestones!$AA$58)&lt;=AsOfDate,IF($R48=0,$X48,IF(AND($T48&lt;&gt;"",EDATE($D48,Milestones!$AA$58)&gt;=$T48),$W48,IF(AND($S48&lt;&gt;"",EDATE($D48,Milestones!$AA$58)&gt;=$S48),$V48,$U48)))=Milestones!$AB$58),UPPER(TEXT(EDATE($D48,Milestones!$AA$58),"dd mmm yy"))&amp;" "&amp;Milestones!$AB$58&amp;" "&amp;Milestones!$AC$58&amp;";  ","")&amp;IF(AND(EDATE($D48,Milestones!$AA$59)&lt;=AsOfDate,IF($R48=0,$X48,IF(AND($T48&lt;&gt;"",EDATE($D48,Milestones!$AA$59)&gt;=$T48),$W48,IF(AND($S48&lt;&gt;"",EDATE($D48,Milestones!$AA$59)&gt;=$S48),$V48,$U48)))=Milestones!$AB$59),UPPER(TEXT(EDATE($D48,Milestones!$AA$59),"dd mmm yy"))&amp;" "&amp;Milestones!$AB$59&amp;" "&amp;Milestones!$AC$59&amp;";  ",""))</f>
        <v/>
      </c>
      <c r="K48" s="0" t="str">
        <f aca="false">IF(OR($A48="",$D48=""),"",IF(AND(EDATE($D48,Milestones!$AA$60)&lt;=AsOfDate,IF($R48=0,$X48,IF(AND($T48&lt;&gt;"",EDATE($D48,Milestones!$AA$60)&gt;=$T48),$W48,IF(AND($S48&lt;&gt;"",EDATE($D48,Milestones!$AA$60)&gt;=$S48),$V48,$U48)))=Milestones!$AB$60),UPPER(TEXT(EDATE($D48,Milestones!$AA$60),"dd mmm yy"))&amp;" "&amp;Milestones!$AB$60&amp;" "&amp;Milestones!$AC$60&amp;";  ","")&amp;IF(AND(EDATE($D48,Milestones!$AA$61)&lt;=AsOfDate,IF($R48=0,$X48,IF(AND($T48&lt;&gt;"",EDATE($D48,Milestones!$AA$61)&gt;=$T48),$W48,IF(AND($S48&lt;&gt;"",EDATE($D48,Milestones!$AA$61)&gt;=$S48),$V48,$U48)))=Milestones!$AB$61),UPPER(TEXT(EDATE($D48,Milestones!$AA$61),"dd mmm yy"))&amp;" "&amp;Milestones!$AB$61&amp;" "&amp;Milestones!$AC$61&amp;";  ","")&amp;IF(AND(EDATE($D48,Milestones!$AA$62)&lt;=AsOfDate,IF($R48=0,$X48,IF(AND($T48&lt;&gt;"",EDATE($D48,Milestones!$AA$62)&gt;=$T48),$W48,IF(AND($S48&lt;&gt;"",EDATE($D48,Milestones!$AA$62)&gt;=$S48),$V48,$U48)))=Milestones!$AB$62),UPPER(TEXT(EDATE($D48,Milestones!$AA$62),"dd mmm yy"))&amp;" "&amp;Milestones!$AB$62&amp;" "&amp;Milestones!$AC$62&amp;";  ","")&amp;IF(AND(EDATE($D48,Milestones!$AA$63)&lt;=AsOfDate,IF($R48=0,$X48,IF(AND($T48&lt;&gt;"",EDATE($D48,Milestones!$AA$63)&gt;=$T48),$W48,IF(AND($S48&lt;&gt;"",EDATE($D48,Milestones!$AA$63)&gt;=$S48),$V48,$U48)))=Milestones!$AB$63),UPPER(TEXT(EDATE($D48,Milestones!$AA$63),"dd mmm yy"))&amp;" "&amp;Milestones!$AB$63&amp;" "&amp;Milestones!$AC$63&amp;";  ","")&amp;IF(AND(EDATE($D48,Milestones!$AA$64)&lt;=AsOfDate,IF($R48=0,$X48,IF(AND($T48&lt;&gt;"",EDATE($D48,Milestones!$AA$64)&gt;=$T48),$W48,IF(AND($S48&lt;&gt;"",EDATE($D48,Milestones!$AA$64)&gt;=$S48),$V48,$U48)))=Milestones!$AB$64),UPPER(TEXT(EDATE($D48,Milestones!$AA$64),"dd mmm yy"))&amp;" "&amp;Milestones!$AB$64&amp;" "&amp;Milestones!$AC$64&amp;";  ","")&amp;IF(AND(EDATE($D48,Milestones!$AA$65)&lt;=AsOfDate,IF($R48=0,$X48,IF(AND($T48&lt;&gt;"",EDATE($D48,Milestones!$AA$65)&gt;=$T48),$W48,IF(AND($S48&lt;&gt;"",EDATE($D48,Milestones!$AA$65)&gt;=$S48),$V48,$U48)))=Milestones!$AB$65),UPPER(TEXT(EDATE($D48,Milestones!$AA$65),"dd mmm yy"))&amp;" "&amp;Milestones!$AB$65&amp;" "&amp;Milestones!$AC$65&amp;";  ","")&amp;IF(AND(EDATE($D48,Milestones!$AA$66)&lt;=AsOfDate,IF($R48=0,$X48,IF(AND($T48&lt;&gt;"",EDATE($D48,Milestones!$AA$66)&gt;=$T48),$W48,IF(AND($S48&lt;&gt;"",EDATE($D48,Milestones!$AA$66)&gt;=$S48),$V48,$U48)))=Milestones!$AB$66),UPPER(TEXT(EDATE($D48,Milestones!$AA$66),"dd mmm yy"))&amp;" "&amp;Milestones!$AB$66&amp;" "&amp;Milestones!$AC$66&amp;";  ","")&amp;IF(AND(EDATE($D48,Milestones!$AA$67)&lt;=AsOfDate,IF($R48=0,$X48,IF(AND($T48&lt;&gt;"",EDATE($D48,Milestones!$AA$67)&gt;=$T48),$W48,IF(AND($S48&lt;&gt;"",EDATE($D48,Milestones!$AA$67)&gt;=$S48),$V48,$U48)))=Milestones!$AB$67),UPPER(TEXT(EDATE($D48,Milestones!$AA$67),"dd mmm yy"))&amp;" "&amp;Milestones!$AB$67&amp;" "&amp;Milestones!$AC$67&amp;";  ","")&amp;IF(AND(EDATE($D48,Milestones!$AA$68)&lt;=AsOfDate,IF($R48=0,$X48,IF(AND($T48&lt;&gt;"",EDATE($D48,Milestones!$AA$68)&gt;=$T48),$W48,IF(AND($S48&lt;&gt;"",EDATE($D48,Milestones!$AA$68)&gt;=$S48),$V48,$U48)))=Milestones!$AB$68),UPPER(TEXT(EDATE($D48,Milestones!$AA$68),"dd mmm yy"))&amp;" "&amp;Milestones!$AB$68&amp;" "&amp;Milestones!$AC$68&amp;";  ","")&amp;IF(AND(EDATE($D48,Milestones!$AA$69)&lt;=AsOfDate,IF($R48=0,$X48,IF(AND($T48&lt;&gt;"",EDATE($D48,Milestones!$AA$69)&gt;=$T48),$W48,IF(AND($S48&lt;&gt;"",EDATE($D48,Milestones!$AA$69)&gt;=$S48),$V48,$U48)))=Milestones!$AB$69),UPPER(TEXT(EDATE($D48,Milestones!$AA$69),"dd mmm yy"))&amp;" "&amp;Milestones!$AB$69&amp;" "&amp;Milestones!$AC$69&amp;";  ","")&amp;IF(AND(EDATE($D48,Milestones!$AA$70)&lt;=AsOfDate,IF($R48=0,$X48,IF(AND($T48&lt;&gt;"",EDATE($D48,Milestones!$AA$70)&gt;=$T48),$W48,IF(AND($S48&lt;&gt;"",EDATE($D48,Milestones!$AA$70)&gt;=$S48),$V48,$U48)))=Milestones!$AB$70),UPPER(TEXT(EDATE($D48,Milestones!$AA$70),"dd mmm yy"))&amp;" "&amp;Milestones!$AB$70&amp;" "&amp;Milestones!$AC$70&amp;";  ","")&amp;IF(AND(EDATE($D48,Milestones!$AA$71)&lt;=AsOfDate,IF($R48=0,$X48,IF(AND($T48&lt;&gt;"",EDATE($D48,Milestones!$AA$71)&gt;=$T48),$W48,IF(AND($S48&lt;&gt;"",EDATE($D48,Milestones!$AA$71)&gt;=$S48),$V48,$U48)))=Milestones!$AB$71),UPPER(TEXT(EDATE($D48,Milestones!$AA$71),"dd mmm yy"))&amp;" "&amp;Milestones!$AB$71&amp;" "&amp;Milestones!$AC$71&amp;";  ","")&amp;IF(AND(EDATE($D48,Milestones!$AA$72)&lt;=AsOfDate,IF($R48=0,$X48,IF(AND($T48&lt;&gt;"",EDATE($D48,Milestones!$AA$72)&gt;=$T48),$W48,IF(AND($S48&lt;&gt;"",EDATE($D48,Milestones!$AA$72)&gt;=$S48),$V48,$U48)))=Milestones!$AB$72),UPPER(TEXT(EDATE($D48,Milestones!$AA$72),"dd mmm yy"))&amp;" "&amp;Milestones!$AB$72&amp;" "&amp;Milestones!$AC$72&amp;";  ","")&amp;IF(AND(EDATE($D48,Milestones!$AA$73)&lt;=AsOfDate,IF($R48=0,$X48,IF(AND($T48&lt;&gt;"",EDATE($D48,Milestones!$AA$73)&gt;=$T48),$W48,IF(AND($S48&lt;&gt;"",EDATE($D48,Milestones!$AA$73)&gt;=$S48),$V48,$U48)))=Milestones!$AB$73),UPPER(TEXT(EDATE($D48,Milestones!$AA$73),"dd mmm yy"))&amp;" "&amp;Milestones!$AB$73&amp;" "&amp;Milestones!$AC$73&amp;";  ","")&amp;IF(AND(EDATE($D48,Milestones!$AA$74)&lt;=AsOfDate,IF($R48=0,$X48,IF(AND($T48&lt;&gt;"",EDATE($D48,Milestones!$AA$74)&gt;=$T48),$W48,IF(AND($S48&lt;&gt;"",EDATE($D48,Milestones!$AA$74)&gt;=$S48),$V48,$U48)))=Milestones!$AB$74),UPPER(TEXT(EDATE($D48,Milestones!$AA$74),"dd mmm yy"))&amp;" "&amp;Milestones!$AB$74&amp;" "&amp;Milestones!$AC$74&amp;";  ","")&amp;IF(AND(EDATE($D48,Milestones!$AA$75)&lt;=AsOfDate,IF($R48=0,$X48,IF(AND($T48&lt;&gt;"",EDATE($D48,Milestones!$AA$75)&gt;=$T48),$W48,IF(AND($S48&lt;&gt;"",EDATE($D48,Milestones!$AA$75)&gt;=$S48),$V48,$U48)))=Milestones!$AB$75),UPPER(TEXT(EDATE($D48,Milestones!$AA$75),"dd mmm yy"))&amp;" "&amp;Milestones!$AB$75&amp;" "&amp;Milestones!$AC$75&amp;";  ","")&amp;IF(AND(EDATE($D48,Milestones!$AA$76)&lt;=AsOfDate,IF($R48=0,$X48,IF(AND($T48&lt;&gt;"",EDATE($D48,Milestones!$AA$76)&gt;=$T48),$W48,IF(AND($S48&lt;&gt;"",EDATE($D48,Milestones!$AA$76)&gt;=$S48),$V48,$U48)))=Milestones!$AB$76),UPPER(TEXT(EDATE($D48,Milestones!$AA$76),"dd mmm yy"))&amp;" "&amp;Milestones!$AB$76&amp;" "&amp;Milestones!$AC$76&amp;";  ","")&amp;IF(AND(EDATE($D48,Milestones!$AA$77)&lt;=AsOfDate,IF($R48=0,$X48,IF(AND($T48&lt;&gt;"",EDATE($D48,Milestones!$AA$77)&gt;=$T48),$W48,IF(AND($S48&lt;&gt;"",EDATE($D48,Milestones!$AA$77)&gt;=$S48),$V48,$U48)))=Milestones!$AB$77),UPPER(TEXT(EDATE($D48,Milestones!$AA$77),"dd mmm yy"))&amp;" "&amp;Milestones!$AB$77&amp;" "&amp;Milestones!$AC$77&amp;";  ","")&amp;IF(AND(EDATE($D48,Milestones!$AA$78)&lt;=AsOfDate,IF($R48=0,$X48,IF(AND($T48&lt;&gt;"",EDATE($D48,Milestones!$AA$78)&gt;=$T48),$W48,IF(AND($S48&lt;&gt;"",EDATE($D48,Milestones!$AA$78)&gt;=$S48),$V48,$U48)))=Milestones!$AB$78),UPPER(TEXT(EDATE($D48,Milestones!$AA$78),"dd mmm yy"))&amp;" "&amp;Milestones!$AB$78&amp;" "&amp;Milestones!$AC$78&amp;";  ","")&amp;IF(AND(EDATE($D48,Milestones!$AA$79)&lt;=AsOfDate,IF($R48=0,$X48,IF(AND($T48&lt;&gt;"",EDATE($D48,Milestones!$AA$79)&gt;=$T48),$W48,IF(AND($S48&lt;&gt;"",EDATE($D48,Milestones!$AA$79)&gt;=$S48),$V48,$U48)))=Milestones!$AB$79),UPPER(TEXT(EDATE($D48,Milestones!$AA$79),"dd mmm yy"))&amp;" "&amp;Milestones!$AB$79&amp;" "&amp;Milestones!$AC$79&amp;";  ",""))</f>
        <v/>
      </c>
      <c r="L48" s="0" t="str">
        <f aca="false">IF(OR($A48="",$D48=""),"",IF(AND(EDATE($D48,Milestones!$AA$80)&lt;=AsOfDate,IF($R48=0,$X48,IF(AND($T48&lt;&gt;"",EDATE($D48,Milestones!$AA$80)&gt;=$T48),$W48,IF(AND($S48&lt;&gt;"",EDATE($D48,Milestones!$AA$80)&gt;=$S48),$V48,$U48)))=Milestones!$AB$80),UPPER(TEXT(EDATE($D48,Milestones!$AA$80),"dd mmm yy"))&amp;" "&amp;Milestones!$AB$80&amp;" "&amp;Milestones!$AC$80&amp;";  ","")&amp;IF(AND(EDATE($D48,Milestones!$AA$81)&lt;=AsOfDate,IF($R48=0,$X48,IF(AND($T48&lt;&gt;"",EDATE($D48,Milestones!$AA$81)&gt;=$T48),$W48,IF(AND($S48&lt;&gt;"",EDATE($D48,Milestones!$AA$81)&gt;=$S48),$V48,$U48)))=Milestones!$AB$81),UPPER(TEXT(EDATE($D48,Milestones!$AA$81),"dd mmm yy"))&amp;" "&amp;Milestones!$AB$81&amp;" "&amp;Milestones!$AC$81&amp;";  ","")&amp;IF(AND(EDATE($D48,Milestones!$AA$82)&lt;=AsOfDate,IF($R48=0,$X48,IF(AND($T48&lt;&gt;"",EDATE($D48,Milestones!$AA$82)&gt;=$T48),$W48,IF(AND($S48&lt;&gt;"",EDATE($D48,Milestones!$AA$82)&gt;=$S48),$V48,$U48)))=Milestones!$AB$82),UPPER(TEXT(EDATE($D48,Milestones!$AA$82),"dd mmm yy"))&amp;" "&amp;Milestones!$AB$82&amp;" "&amp;Milestones!$AC$82&amp;";  ","")&amp;IF(AND(EDATE($D48,Milestones!$AA$83)&lt;=AsOfDate,IF($R48=0,$X48,IF(AND($T48&lt;&gt;"",EDATE($D48,Milestones!$AA$83)&gt;=$T48),$W48,IF(AND($S48&lt;&gt;"",EDATE($D48,Milestones!$AA$83)&gt;=$S48),$V48,$U48)))=Milestones!$AB$83),UPPER(TEXT(EDATE($D48,Milestones!$AA$83),"dd mmm yy"))&amp;" "&amp;Milestones!$AB$83&amp;" "&amp;Milestones!$AC$83&amp;";  ","")&amp;IF(AND(EDATE($D48,Milestones!$AA$84)&lt;=AsOfDate,IF($R48=0,$X48,IF(AND($T48&lt;&gt;"",EDATE($D48,Milestones!$AA$84)&gt;=$T48),$W48,IF(AND($S48&lt;&gt;"",EDATE($D48,Milestones!$AA$84)&gt;=$S48),$V48,$U48)))=Milestones!$AB$84),UPPER(TEXT(EDATE($D48,Milestones!$AA$84),"dd mmm yy"))&amp;" "&amp;Milestones!$AB$84&amp;" "&amp;Milestones!$AC$84&amp;";  ","")&amp;IF(AND(EDATE($D48,Milestones!$AA$85)&lt;=AsOfDate,IF($R48=0,$X48,IF(AND($T48&lt;&gt;"",EDATE($D48,Milestones!$AA$85)&gt;=$T48),$W48,IF(AND($S48&lt;&gt;"",EDATE($D48,Milestones!$AA$85)&gt;=$S48),$V48,$U48)))=Milestones!$AB$85),UPPER(TEXT(EDATE($D48,Milestones!$AA$85),"dd mmm yy"))&amp;" "&amp;Milestones!$AB$85&amp;" "&amp;Milestones!$AC$85&amp;";  ","")&amp;IF(AND(EDATE($D48,Milestones!$AA$86)&lt;=AsOfDate,IF($R48=0,$X48,IF(AND($T48&lt;&gt;"",EDATE($D48,Milestones!$AA$86)&gt;=$T48),$W48,IF(AND($S48&lt;&gt;"",EDATE($D48,Milestones!$AA$86)&gt;=$S48),$V48,$U48)))=Milestones!$AB$86),UPPER(TEXT(EDATE($D48,Milestones!$AA$86),"dd mmm yy"))&amp;" "&amp;Milestones!$AB$86&amp;" "&amp;Milestones!$AC$86&amp;";  ","")&amp;IF(AND(EDATE($D48,Milestones!$AA$87)&lt;=AsOfDate,IF($R48=0,$X48,IF(AND($T48&lt;&gt;"",EDATE($D48,Milestones!$AA$87)&gt;=$T48),$W48,IF(AND($S48&lt;&gt;"",EDATE($D48,Milestones!$AA$87)&gt;=$S48),$V48,$U48)))=Milestones!$AB$87),UPPER(TEXT(EDATE($D48,Milestones!$AA$87),"dd mmm yy"))&amp;" "&amp;Milestones!$AB$87&amp;" "&amp;Milestones!$AC$87&amp;";  ","")&amp;IF(AND(EDATE($D48,Milestones!$AA$88)&lt;=AsOfDate,IF($R48=0,$X48,IF(AND($T48&lt;&gt;"",EDATE($D48,Milestones!$AA$88)&gt;=$T48),$W48,IF(AND($S48&lt;&gt;"",EDATE($D48,Milestones!$AA$88)&gt;=$S48),$V48,$U48)))=Milestones!$AB$88),UPPER(TEXT(EDATE($D48,Milestones!$AA$88),"dd mmm yy"))&amp;" "&amp;Milestones!$AB$88&amp;" "&amp;Milestones!$AC$88&amp;";  ","")&amp;IF(AND(EDATE($D48,Milestones!$AA$89)&lt;=AsOfDate,IF($R48=0,$X48,IF(AND($T48&lt;&gt;"",EDATE($D48,Milestones!$AA$89)&gt;=$T48),$W48,IF(AND($S48&lt;&gt;"",EDATE($D48,Milestones!$AA$89)&gt;=$S48),$V48,$U48)))=Milestones!$AB$89),UPPER(TEXT(EDATE($D48,Milestones!$AA$89),"dd mmm yy"))&amp;" "&amp;Milestones!$AB$89&amp;" "&amp;Milestones!$AC$89&amp;";  ","")&amp;IF(AND(EDATE($D48,Milestones!$AA$90)&lt;=AsOfDate,IF($R48=0,$X48,IF(AND($T48&lt;&gt;"",EDATE($D48,Milestones!$AA$90)&gt;=$T48),$W48,IF(AND($S48&lt;&gt;"",EDATE($D48,Milestones!$AA$90)&gt;=$S48),$V48,$U48)))=Milestones!$AB$90),UPPER(TEXT(EDATE($D48,Milestones!$AA$90),"dd mmm yy"))&amp;" "&amp;Milestones!$AB$90&amp;" "&amp;Milestones!$AC$90&amp;";  ","")&amp;IF(AND(EDATE($D48,Milestones!$AA$91)&lt;=AsOfDate,IF($R48=0,$X48,IF(AND($T48&lt;&gt;"",EDATE($D48,Milestones!$AA$91)&gt;=$T48),$W48,IF(AND($S48&lt;&gt;"",EDATE($D48,Milestones!$AA$91)&gt;=$S48),$V48,$U48)))=Milestones!$AB$91),UPPER(TEXT(EDATE($D48,Milestones!$AA$91),"dd mmm yy"))&amp;" "&amp;Milestones!$AB$91&amp;" "&amp;Milestones!$AC$91&amp;";  ","")&amp;IF(AND(EDATE($D48,Milestones!$AA$92)&lt;=AsOfDate,IF($R48=0,$X48,IF(AND($T48&lt;&gt;"",EDATE($D48,Milestones!$AA$92)&gt;=$T48),$W48,IF(AND($S48&lt;&gt;"",EDATE($D48,Milestones!$AA$92)&gt;=$S48),$V48,$U48)))=Milestones!$AB$92),UPPER(TEXT(EDATE($D48,Milestones!$AA$92),"dd mmm yy"))&amp;" "&amp;Milestones!$AB$92&amp;" "&amp;Milestones!$AC$92&amp;";  ","")&amp;IF(AND(EDATE($D48,Milestones!$AA$93)&lt;=AsOfDate,IF($R48=0,$X48,IF(AND($T48&lt;&gt;"",EDATE($D48,Milestones!$AA$93)&gt;=$T48),$W48,IF(AND($S48&lt;&gt;"",EDATE($D48,Milestones!$AA$93)&gt;=$S48),$V48,$U48)))=Milestones!$AB$93),UPPER(TEXT(EDATE($D48,Milestones!$AA$93),"dd mmm yy"))&amp;" "&amp;Milestones!$AB$93&amp;" "&amp;Milestones!$AC$93&amp;";  ","")&amp;IF(AND(EDATE($D48,Milestones!$AA$94)&lt;=AsOfDate,IF($R48=0,$X48,IF(AND($T48&lt;&gt;"",EDATE($D48,Milestones!$AA$94)&gt;=$T48),$W48,IF(AND($S48&lt;&gt;"",EDATE($D48,Milestones!$AA$94)&gt;=$S48),$V48,$U48)))=Milestones!$AB$94),UPPER(TEXT(EDATE($D48,Milestones!$AA$94),"dd mmm yy"))&amp;" "&amp;Milestones!$AB$94&amp;" "&amp;Milestones!$AC$94&amp;";  ","")&amp;IF(AND(EDATE($D48,Milestones!$AA$95)&lt;=AsOfDate,IF($R48=0,$X48,IF(AND($T48&lt;&gt;"",EDATE($D48,Milestones!$AA$95)&gt;=$T48),$W48,IF(AND($S48&lt;&gt;"",EDATE($D48,Milestones!$AA$95)&gt;=$S48),$V48,$U48)))=Milestones!$AB$95),UPPER(TEXT(EDATE($D48,Milestones!$AA$95),"dd mmm yy"))&amp;" "&amp;Milestones!$AB$95&amp;" "&amp;Milestones!$AC$95&amp;";  ","")&amp;IF(AND(EDATE($D48,Milestones!$AA$96)&lt;=AsOfDate,IF($R48=0,$X48,IF(AND($T48&lt;&gt;"",EDATE($D48,Milestones!$AA$96)&gt;=$T48),$W48,IF(AND($S48&lt;&gt;"",EDATE($D48,Milestones!$AA$96)&gt;=$S48),$V48,$U48)))=Milestones!$AB$96),UPPER(TEXT(EDATE($D48,Milestones!$AA$96),"dd mmm yy"))&amp;" "&amp;Milestones!$AB$96&amp;" "&amp;Milestones!$AC$96&amp;";  ","")&amp;IF(AND(EDATE($D48,Milestones!$AA$97)&lt;=AsOfDate,IF($R48=0,$X48,IF(AND($T48&lt;&gt;"",EDATE($D48,Milestones!$AA$97)&gt;=$T48),$W48,IF(AND($S48&lt;&gt;"",EDATE($D48,Milestones!$AA$97)&gt;=$S48),$V48,$U48)))=Milestones!$AB$97),UPPER(TEXT(EDATE($D48,Milestones!$AA$97),"dd mmm yy"))&amp;" "&amp;Milestones!$AB$97&amp;" "&amp;Milestones!$AC$97&amp;";  ","")&amp;IF(AND(EDATE($D48,Milestones!$AA$98)&lt;=AsOfDate,IF($R48=0,$X48,IF(AND($T48&lt;&gt;"",EDATE($D48,Milestones!$AA$98)&gt;=$T48),$W48,IF(AND($S48&lt;&gt;"",EDATE($D48,Milestones!$AA$98)&gt;=$S48),$V48,$U48)))=Milestones!$AB$98),UPPER(TEXT(EDATE($D48,Milestones!$AA$98),"dd mmm yy"))&amp;" "&amp;Milestones!$AB$98&amp;" "&amp;Milestones!$AC$98&amp;";  ","")&amp;IF(AND(EDATE($D48,Milestones!$AA$99)&lt;=AsOfDate,IF($R48=0,$X48,IF(AND($T48&lt;&gt;"",EDATE($D48,Milestones!$AA$99)&gt;=$T48),$W48,IF(AND($S48&lt;&gt;"",EDATE($D48,Milestones!$AA$99)&gt;=$S48),$V48,$U48)))=Milestones!$AB$99),UPPER(TEXT(EDATE($D48,Milestones!$AA$99),"dd mmm yy"))&amp;" "&amp;Milestones!$AB$99&amp;" "&amp;Milestones!$AC$99&amp;";  ",""))</f>
        <v/>
      </c>
      <c r="M48" s="0" t="str">
        <f aca="false">IF(OR($A48="",$D48=""),"",IF(AND(EDATE($D48,Milestones!$AA$100)&lt;=AsOfDate,IF($R48=0,$X48,IF(AND($T48&lt;&gt;"",EDATE($D48,Milestones!$AA$100)&gt;=$T48),$W48,IF(AND($S48&lt;&gt;"",EDATE($D48,Milestones!$AA$100)&gt;=$S48),$V48,$U48)))=Milestones!$AB$100),UPPER(TEXT(EDATE($D48,Milestones!$AA$100),"dd mmm yy"))&amp;" "&amp;Milestones!$AB$100&amp;" "&amp;Milestones!$AC$100&amp;";  ","")&amp;IF(AND(EDATE($D48,Milestones!$AA$101)&lt;=AsOfDate,IF($R48=0,$X48,IF(AND($T48&lt;&gt;"",EDATE($D48,Milestones!$AA$101)&gt;=$T48),$W48,IF(AND($S48&lt;&gt;"",EDATE($D48,Milestones!$AA$101)&gt;=$S48),$V48,$U48)))=Milestones!$AB$101),UPPER(TEXT(EDATE($D48,Milestones!$AA$101),"dd mmm yy"))&amp;" "&amp;Milestones!$AB$101&amp;" "&amp;Milestones!$AC$101&amp;";  ","")&amp;IF(AND(EDATE($D48,Milestones!$AA$102)&lt;=AsOfDate,IF($R48=0,$X48,IF(AND($T48&lt;&gt;"",EDATE($D48,Milestones!$AA$102)&gt;=$T48),$W48,IF(AND($S48&lt;&gt;"",EDATE($D48,Milestones!$AA$102)&gt;=$S48),$V48,$U48)))=Milestones!$AB$102),UPPER(TEXT(EDATE($D48,Milestones!$AA$102),"dd mmm yy"))&amp;" "&amp;Milestones!$AB$102&amp;" "&amp;Milestones!$AC$102&amp;";  ","")&amp;IF(AND(EDATE($D48,Milestones!$AA$103)&lt;=AsOfDate,IF($R48=0,$X48,IF(AND($T48&lt;&gt;"",EDATE($D48,Milestones!$AA$103)&gt;=$T48),$W48,IF(AND($S48&lt;&gt;"",EDATE($D48,Milestones!$AA$103)&gt;=$S48),$V48,$U48)))=Milestones!$AB$103),UPPER(TEXT(EDATE($D48,Milestones!$AA$103),"dd mmm yy"))&amp;" "&amp;Milestones!$AB$103&amp;" "&amp;Milestones!$AC$103&amp;";  ","")&amp;IF(AND(EDATE($D48,Milestones!$AA$104)&lt;=AsOfDate,IF($R48=0,$X48,IF(AND($T48&lt;&gt;"",EDATE($D48,Milestones!$AA$104)&gt;=$T48),$W48,IF(AND($S48&lt;&gt;"",EDATE($D48,Milestones!$AA$104)&gt;=$S48),$V48,$U48)))=Milestones!$AB$104),UPPER(TEXT(EDATE($D48,Milestones!$AA$104),"dd mmm yy"))&amp;" "&amp;Milestones!$AB$104&amp;" "&amp;Milestones!$AC$104&amp;";  ","")&amp;IF(AND(EDATE($D48,Milestones!$AA$105)&lt;=AsOfDate,IF($R48=0,$X48,IF(AND($T48&lt;&gt;"",EDATE($D48,Milestones!$AA$105)&gt;=$T48),$W48,IF(AND($S48&lt;&gt;"",EDATE($D48,Milestones!$AA$105)&gt;=$S48),$V48,$U48)))=Milestones!$AB$105),UPPER(TEXT(EDATE($D48,Milestones!$AA$105),"dd mmm yy"))&amp;" "&amp;Milestones!$AB$105&amp;" "&amp;Milestones!$AC$105&amp;";  ","")&amp;IF(AND(EDATE($D48,Milestones!$AA$106)&lt;=AsOfDate,IF($R48=0,$X48,IF(AND($T48&lt;&gt;"",EDATE($D48,Milestones!$AA$106)&gt;=$T48),$W48,IF(AND($S48&lt;&gt;"",EDATE($D48,Milestones!$AA$106)&gt;=$S48),$V48,$U48)))=Milestones!$AB$106),UPPER(TEXT(EDATE($D48,Milestones!$AA$106),"dd mmm yy"))&amp;" "&amp;Milestones!$AB$106&amp;" "&amp;Milestones!$AC$106&amp;";  ","")&amp;IF(AND(EDATE($D48,Milestones!$AA$107)&lt;=AsOfDate,IF($R48=0,$X48,IF(AND($T48&lt;&gt;"",EDATE($D48,Milestones!$AA$107)&gt;=$T48),$W48,IF(AND($S48&lt;&gt;"",EDATE($D48,Milestones!$AA$107)&gt;=$S48),$V48,$U48)))=Milestones!$AB$107),UPPER(TEXT(EDATE($D48,Milestones!$AA$107),"dd mmm yy"))&amp;" "&amp;Milestones!$AB$107&amp;" "&amp;Milestones!$AC$107&amp;";  ","")&amp;IF(AND(EDATE($D48,Milestones!$AA$108)&lt;=AsOfDate,IF($R48=0,$X48,IF(AND($T48&lt;&gt;"",EDATE($D48,Milestones!$AA$108)&gt;=$T48),$W48,IF(AND($S48&lt;&gt;"",EDATE($D48,Milestones!$AA$108)&gt;=$S48),$V48,$U48)))=Milestones!$AB$108),UPPER(TEXT(EDATE($D48,Milestones!$AA$108),"dd mmm yy"))&amp;" "&amp;Milestones!$AB$108&amp;" "&amp;Milestones!$AC$108&amp;";  ","")&amp;IF(AND(EDATE($D48,Milestones!$AA$109)&lt;=AsOfDate,IF($R48=0,$X48,IF(AND($T48&lt;&gt;"",EDATE($D48,Milestones!$AA$109)&gt;=$T48),$W48,IF(AND($S48&lt;&gt;"",EDATE($D48,Milestones!$AA$109)&gt;=$S48),$V48,$U48)))=Milestones!$AB$109),UPPER(TEXT(EDATE($D48,Milestones!$AA$109),"dd mmm yy"))&amp;" "&amp;Milestones!$AB$109&amp;" "&amp;Milestones!$AC$109&amp;";  ","")&amp;IF(AND(EDATE($D48,Milestones!$AA$110)&lt;=AsOfDate,IF($R48=0,$X48,IF(AND($T48&lt;&gt;"",EDATE($D48,Milestones!$AA$110)&gt;=$T48),$W48,IF(AND($S48&lt;&gt;"",EDATE($D48,Milestones!$AA$110)&gt;=$S48),$V48,$U48)))=Milestones!$AB$110),UPPER(TEXT(EDATE($D48,Milestones!$AA$110),"dd mmm yy"))&amp;" "&amp;Milestones!$AB$110&amp;" "&amp;Milestones!$AC$110&amp;";  ","")&amp;IF(AND(EDATE($D48,Milestones!$AA$111)&lt;=AsOfDate,IF($R48=0,$X48,IF(AND($T48&lt;&gt;"",EDATE($D48,Milestones!$AA$111)&gt;=$T48),$W48,IF(AND($S48&lt;&gt;"",EDATE($D48,Milestones!$AA$111)&gt;=$S48),$V48,$U48)))=Milestones!$AB$111),UPPER(TEXT(EDATE($D48,Milestones!$AA$111),"dd mmm yy"))&amp;" "&amp;Milestones!$AB$111&amp;" "&amp;Milestones!$AC$111&amp;";  ","")&amp;IF(AND(EDATE($D48,Milestones!$AA$112)&lt;=AsOfDate,IF($R48=0,$X48,IF(AND($T48&lt;&gt;"",EDATE($D48,Milestones!$AA$112)&gt;=$T48),$W48,IF(AND($S48&lt;&gt;"",EDATE($D48,Milestones!$AA$112)&gt;=$S48),$V48,$U48)))=Milestones!$AB$112),UPPER(TEXT(EDATE($D48,Milestones!$AA$112),"dd mmm yy"))&amp;" "&amp;Milestones!$AB$112&amp;" "&amp;Milestones!$AC$112&amp;";  ","")&amp;IF(AND(EDATE($D48,Milestones!$AA$113)&lt;=AsOfDate,IF($R48=0,$X48,IF(AND($T48&lt;&gt;"",EDATE($D48,Milestones!$AA$113)&gt;=$T48),$W48,IF(AND($S48&lt;&gt;"",EDATE($D48,Milestones!$AA$113)&gt;=$S48),$V48,$U48)))=Milestones!$AB$113),UPPER(TEXT(EDATE($D48,Milestones!$AA$113),"dd mmm yy"))&amp;" "&amp;Milestones!$AB$113&amp;" "&amp;Milestones!$AC$113&amp;";  ","")&amp;IF(AND(EDATE($D48,Milestones!$AA$114)&lt;=AsOfDate,IF($R48=0,$X48,IF(AND($T48&lt;&gt;"",EDATE($D48,Milestones!$AA$114)&gt;=$T48),$W48,IF(AND($S48&lt;&gt;"",EDATE($D48,Milestones!$AA$114)&gt;=$S48),$V48,$U48)))=Milestones!$AB$114),UPPER(TEXT(EDATE($D48,Milestones!$AA$114),"dd mmm yy"))&amp;" "&amp;Milestones!$AB$114&amp;" "&amp;Milestones!$AC$114&amp;";  ","")&amp;IF(AND(EDATE($D48,Milestones!$AA$115)&lt;=AsOfDate,IF($R48=0,$X48,IF(AND($T48&lt;&gt;"",EDATE($D48,Milestones!$AA$115)&gt;=$T48),$W48,IF(AND($S48&lt;&gt;"",EDATE($D48,Milestones!$AA$115)&gt;=$S48),$V48,$U48)))=Milestones!$AB$115),UPPER(TEXT(EDATE($D48,Milestones!$AA$115),"dd mmm yy"))&amp;" "&amp;Milestones!$AB$115&amp;" "&amp;Milestones!$AC$115&amp;";  ","")&amp;IF(AND(EDATE($D48,Milestones!$AA$116)&lt;=AsOfDate,IF($R48=0,$X48,IF(AND($T48&lt;&gt;"",EDATE($D48,Milestones!$AA$116)&gt;=$T48),$W48,IF(AND($S48&lt;&gt;"",EDATE($D48,Milestones!$AA$116)&gt;=$S48),$V48,$U48)))=Milestones!$AB$116),UPPER(TEXT(EDATE($D48,Milestones!$AA$116),"dd mmm yy"))&amp;" "&amp;Milestones!$AB$116&amp;" "&amp;Milestones!$AC$116&amp;";  ","")&amp;IF(AND(EDATE($D48,Milestones!$AA$117)&lt;=AsOfDate,IF($R48=0,$X48,IF(AND($T48&lt;&gt;"",EDATE($D48,Milestones!$AA$117)&gt;=$T48),$W48,IF(AND($S48&lt;&gt;"",EDATE($D48,Milestones!$AA$117)&gt;=$S48),$V48,$U48)))=Milestones!$AB$117),UPPER(TEXT(EDATE($D48,Milestones!$AA$117),"dd mmm yy"))&amp;" "&amp;Milestones!$AB$117&amp;" "&amp;Milestones!$AC$117&amp;";  ","")&amp;IF(AND(EDATE($D48,Milestones!$AA$118)&lt;=AsOfDate,IF($R48=0,$X48,IF(AND($T48&lt;&gt;"",EDATE($D48,Milestones!$AA$118)&gt;=$T48),$W48,IF(AND($S48&lt;&gt;"",EDATE($D48,Milestones!$AA$118)&gt;=$S48),$V48,$U48)))=Milestones!$AB$118),UPPER(TEXT(EDATE($D48,Milestones!$AA$118),"dd mmm yy"))&amp;" "&amp;Milestones!$AB$118&amp;" "&amp;Milestones!$AC$118&amp;";  ","")&amp;IF(AND(EDATE($D48,Milestones!$AA$119)&lt;=AsOfDate,IF($R48=0,$X48,IF(AND($T48&lt;&gt;"",EDATE($D48,Milestones!$AA$119)&gt;=$T48),$W48,IF(AND($S48&lt;&gt;"",EDATE($D48,Milestones!$AA$119)&gt;=$S48),$V48,$U48)))=Milestones!$AB$119),UPPER(TEXT(EDATE($D48,Milestones!$AA$119),"dd mmm yy"))&amp;" "&amp;Milestones!$AB$119&amp;" "&amp;Milestones!$AC$119&amp;";  ",""))</f>
        <v/>
      </c>
      <c r="N48" s="0" t="str">
        <f aca="false">IF(OR($A48="",$D48=""),"",IF(AND(EDATE($D48,Milestones!$AA$120)&lt;=AsOfDate,IF($R48=0,$X48,IF(AND($T48&lt;&gt;"",EDATE($D48,Milestones!$AA$120)&gt;=$T48),$W48,IF(AND($S48&lt;&gt;"",EDATE($D48,Milestones!$AA$120)&gt;=$S48),$V48,$U48)))=Milestones!$AB$120),UPPER(TEXT(EDATE($D48,Milestones!$AA$120),"dd mmm yy"))&amp;" "&amp;Milestones!$AB$120&amp;" "&amp;Milestones!$AC$120&amp;";  ","")&amp;IF(AND(EDATE($D48,Milestones!$AA$121)&lt;=AsOfDate,IF($R48=0,$X48,IF(AND($T48&lt;&gt;"",EDATE($D48,Milestones!$AA$121)&gt;=$T48),$W48,IF(AND($S48&lt;&gt;"",EDATE($D48,Milestones!$AA$121)&gt;=$S48),$V48,$U48)))=Milestones!$AB$121),UPPER(TEXT(EDATE($D48,Milestones!$AA$121),"dd mmm yy"))&amp;" "&amp;Milestones!$AB$121&amp;" "&amp;Milestones!$AC$121&amp;";  ","")&amp;IF(AND(EDATE($D48,Milestones!$AA$122)&lt;=AsOfDate,IF($R48=0,$X48,IF(AND($T48&lt;&gt;"",EDATE($D48,Milestones!$AA$122)&gt;=$T48),$W48,IF(AND($S48&lt;&gt;"",EDATE($D48,Milestones!$AA$122)&gt;=$S48),$V48,$U48)))=Milestones!$AB$122),UPPER(TEXT(EDATE($D48,Milestones!$AA$122),"dd mmm yy"))&amp;" "&amp;Milestones!$AB$122&amp;" "&amp;Milestones!$AC$122&amp;";  ","")&amp;IF(AND(EDATE($D48,Milestones!$AA$123)&lt;=AsOfDate,IF($R48=0,$X48,IF(AND($T48&lt;&gt;"",EDATE($D48,Milestones!$AA$123)&gt;=$T48),$W48,IF(AND($S48&lt;&gt;"",EDATE($D48,Milestones!$AA$123)&gt;=$S48),$V48,$U48)))=Milestones!$AB$123),UPPER(TEXT(EDATE($D48,Milestones!$AA$123),"dd mmm yy"))&amp;" "&amp;Milestones!$AB$123&amp;" "&amp;Milestones!$AC$123&amp;";  ","")&amp;IF(AND(EDATE($D48,Milestones!$AA$124)&lt;=AsOfDate,IF($R48=0,$X48,IF(AND($T48&lt;&gt;"",EDATE($D48,Milestones!$AA$124)&gt;=$T48),$W48,IF(AND($S48&lt;&gt;"",EDATE($D48,Milestones!$AA$124)&gt;=$S48),$V48,$U48)))=Milestones!$AB$124),UPPER(TEXT(EDATE($D48,Milestones!$AA$124),"dd mmm yy"))&amp;" "&amp;Milestones!$AB$124&amp;" "&amp;Milestones!$AC$124&amp;";  ","")&amp;IF(AND(EDATE($D48,Milestones!$AA$125)&lt;=AsOfDate,IF($R48=0,$X48,IF(AND($T48&lt;&gt;"",EDATE($D48,Milestones!$AA$125)&gt;=$T48),$W48,IF(AND($S48&lt;&gt;"",EDATE($D48,Milestones!$AA$125)&gt;=$S48),$V48,$U48)))=Milestones!$AB$125),UPPER(TEXT(EDATE($D48,Milestones!$AA$125),"dd mmm yy"))&amp;" "&amp;Milestones!$AB$125&amp;" "&amp;Milestones!$AC$125&amp;";  ","")&amp;IF(AND(EDATE($D48,Milestones!$AA$126)&lt;=AsOfDate,IF($R48=0,$X48,IF(AND($T48&lt;&gt;"",EDATE($D48,Milestones!$AA$126)&gt;=$T48),$W48,IF(AND($S48&lt;&gt;"",EDATE($D48,Milestones!$AA$126)&gt;=$S48),$V48,$U48)))=Milestones!$AB$126),UPPER(TEXT(EDATE($D48,Milestones!$AA$126),"dd mmm yy"))&amp;" "&amp;Milestones!$AB$126&amp;" "&amp;Milestones!$AC$126&amp;";  ","")&amp;IF(AND(EDATE($D48,Milestones!$AA$127)&lt;=AsOfDate,IF($R48=0,$X48,IF(AND($T48&lt;&gt;"",EDATE($D48,Milestones!$AA$127)&gt;=$T48),$W48,IF(AND($S48&lt;&gt;"",EDATE($D48,Milestones!$AA$127)&gt;=$S48),$V48,$U48)))=Milestones!$AB$127),UPPER(TEXT(EDATE($D48,Milestones!$AA$127),"dd mmm yy"))&amp;" "&amp;Milestones!$AB$127&amp;" "&amp;Milestones!$AC$127&amp;";  ","")&amp;IF(AND(EDATE($D48,Milestones!$AA$128)&lt;=AsOfDate,IF($R48=0,$X48,IF(AND($T48&lt;&gt;"",EDATE($D48,Milestones!$AA$128)&gt;=$T48),$W48,IF(AND($S48&lt;&gt;"",EDATE($D48,Milestones!$AA$128)&gt;=$S48),$V48,$U48)))=Milestones!$AB$128),UPPER(TEXT(EDATE($D48,Milestones!$AA$128),"dd mmm yy"))&amp;" "&amp;Milestones!$AB$128&amp;" "&amp;Milestones!$AC$128&amp;";  ","")&amp;IF(AND(EDATE($D48,Milestones!$AA$129)&lt;=AsOfDate,IF($R48=0,$X48,IF(AND($T48&lt;&gt;"",EDATE($D48,Milestones!$AA$129)&gt;=$T48),$W48,IF(AND($S48&lt;&gt;"",EDATE($D48,Milestones!$AA$129)&gt;=$S48),$V48,$U48)))=Milestones!$AB$129),UPPER(TEXT(EDATE($D48,Milestones!$AA$129),"dd mmm yy"))&amp;" "&amp;Milestones!$AB$129&amp;" "&amp;Milestones!$AC$129&amp;";  ","")&amp;IF(AND(EDATE($D48,Milestones!$AA$130)&lt;=AsOfDate,IF($R48=0,$X48,IF(AND($T48&lt;&gt;"",EDATE($D48,Milestones!$AA$130)&gt;=$T48),$W48,IF(AND($S48&lt;&gt;"",EDATE($D48,Milestones!$AA$130)&gt;=$S48),$V48,$U48)))=Milestones!$AB$130),UPPER(TEXT(EDATE($D48,Milestones!$AA$130),"dd mmm yy"))&amp;" "&amp;Milestones!$AB$130&amp;" "&amp;Milestones!$AC$130&amp;";  ","")&amp;IF(AND(EDATE($D48,Milestones!$AA$131)&lt;=AsOfDate,IF($R48=0,$X48,IF(AND($T48&lt;&gt;"",EDATE($D48,Milestones!$AA$131)&gt;=$T48),$W48,IF(AND($S48&lt;&gt;"",EDATE($D48,Milestones!$AA$131)&gt;=$S48),$V48,$U48)))=Milestones!$AB$131),UPPER(TEXT(EDATE($D48,Milestones!$AA$131),"dd mmm yy"))&amp;" "&amp;Milestones!$AB$131&amp;" "&amp;Milestones!$AC$131&amp;";  ","")&amp;IF(AND(EDATE($D48,Milestones!$AA$132)&lt;=AsOfDate,IF($R48=0,$X48,IF(AND($T48&lt;&gt;"",EDATE($D48,Milestones!$AA$132)&gt;=$T48),$W48,IF(AND($S48&lt;&gt;"",EDATE($D48,Milestones!$AA$132)&gt;=$S48),$V48,$U48)))=Milestones!$AB$132),UPPER(TEXT(EDATE($D48,Milestones!$AA$132),"dd mmm yy"))&amp;" "&amp;Milestones!$AB$132&amp;" "&amp;Milestones!$AC$132&amp;";  ","")&amp;IF(AND(EDATE($D48,Milestones!$AA$133)&lt;=AsOfDate,IF($R48=0,$X48,IF(AND($T48&lt;&gt;"",EDATE($D48,Milestones!$AA$133)&gt;=$T48),$W48,IF(AND($S48&lt;&gt;"",EDATE($D48,Milestones!$AA$133)&gt;=$S48),$V48,$U48)))=Milestones!$AB$133),UPPER(TEXT(EDATE($D48,Milestones!$AA$133),"dd mmm yy"))&amp;" "&amp;Milestones!$AB$133&amp;" "&amp;Milestones!$AC$133&amp;";  ","")&amp;IF(AND(EDATE($D48,Milestones!$AA$134)&lt;=AsOfDate,IF($R48=0,$X48,IF(AND($T48&lt;&gt;"",EDATE($D48,Milestones!$AA$134)&gt;=$T48),$W48,IF(AND($S48&lt;&gt;"",EDATE($D48,Milestones!$AA$134)&gt;=$S48),$V48,$U48)))=Milestones!$AB$134),UPPER(TEXT(EDATE($D48,Milestones!$AA$134),"dd mmm yy"))&amp;" "&amp;Milestones!$AB$134&amp;" "&amp;Milestones!$AC$134&amp;";  ","")&amp;IF(AND(EDATE($D48,Milestones!$AA$135)&lt;=AsOfDate,IF($R48=0,$X48,IF(AND($T48&lt;&gt;"",EDATE($D48,Milestones!$AA$135)&gt;=$T48),$W48,IF(AND($S48&lt;&gt;"",EDATE($D48,Milestones!$AA$135)&gt;=$S48),$V48,$U48)))=Milestones!$AB$135),UPPER(TEXT(EDATE($D48,Milestones!$AA$135),"dd mmm yy"))&amp;" "&amp;Milestones!$AB$135&amp;" "&amp;Milestones!$AC$135&amp;";  ","")&amp;IF(AND(EDATE($D48,Milestones!$AA$136)&lt;=AsOfDate,IF($R48=0,$X48,IF(AND($T48&lt;&gt;"",EDATE($D48,Milestones!$AA$136)&gt;=$T48),$W48,IF(AND($S48&lt;&gt;"",EDATE($D48,Milestones!$AA$136)&gt;=$S48),$V48,$U48)))=Milestones!$AB$136),UPPER(TEXT(EDATE($D48,Milestones!$AA$136),"dd mmm yy"))&amp;" "&amp;Milestones!$AB$136&amp;" "&amp;Milestones!$AC$136&amp;";  ","")&amp;IF(AND(EDATE($D48,Milestones!$AA$137)&lt;=AsOfDate,IF($R48=0,$X48,IF(AND($T48&lt;&gt;"",EDATE($D48,Milestones!$AA$137)&gt;=$T48),$W48,IF(AND($S48&lt;&gt;"",EDATE($D48,Milestones!$AA$137)&gt;=$S48),$V48,$U48)))=Milestones!$AB$137),UPPER(TEXT(EDATE($D48,Milestones!$AA$137),"dd mmm yy"))&amp;" "&amp;Milestones!$AB$137&amp;" "&amp;Milestones!$AC$137&amp;";  ","")&amp;IF(AND(EDATE($D48,Milestones!$AA$138)&lt;=AsOfDate,IF($R48=0,$X48,IF(AND($T48&lt;&gt;"",EDATE($D48,Milestones!$AA$138)&gt;=$T48),$W48,IF(AND($S48&lt;&gt;"",EDATE($D48,Milestones!$AA$138)&gt;=$S48),$V48,$U48)))=Milestones!$AB$138),UPPER(TEXT(EDATE($D48,Milestones!$AA$138),"dd mmm yy"))&amp;" "&amp;Milestones!$AB$138&amp;" "&amp;Milestones!$AC$138&amp;";  ","")&amp;IF(AND(EDATE($D48,Milestones!$AA$139)&lt;=AsOfDate,IF($R48=0,$X48,IF(AND($T48&lt;&gt;"",EDATE($D48,Milestones!$AA$139)&gt;=$T48),$W48,IF(AND($S48&lt;&gt;"",EDATE($D48,Milestones!$AA$139)&gt;=$S48),$V48,$U48)))=Milestones!$AB$139),UPPER(TEXT(EDATE($D48,Milestones!$AA$139),"dd mmm yy"))&amp;" "&amp;Milestones!$AB$139&amp;" "&amp;Milestones!$AC$139&amp;";  ",""))</f>
        <v/>
      </c>
      <c r="O48" s="0" t="str">
        <f aca="false">IF(OR($A48="",$D48=""),"",IF(AND(EDATE($D48,Milestones!$AA$140)&lt;=AsOfDate,IF($R48=0,$X48,IF(AND($T48&lt;&gt;"",EDATE($D48,Milestones!$AA$140)&gt;=$T48),$W48,IF(AND($S48&lt;&gt;"",EDATE($D48,Milestones!$AA$140)&gt;=$S48),$V48,$U48)))=Milestones!$AB$140),UPPER(TEXT(EDATE($D48,Milestones!$AA$140),"dd mmm yy"))&amp;" "&amp;Milestones!$AB$140&amp;" "&amp;Milestones!$AC$140&amp;";  ","")&amp;IF(AND(EDATE($D48,Milestones!$AA$141)&lt;=AsOfDate,IF($R48=0,$X48,IF(AND($T48&lt;&gt;"",EDATE($D48,Milestones!$AA$141)&gt;=$T48),$W48,IF(AND($S48&lt;&gt;"",EDATE($D48,Milestones!$AA$141)&gt;=$S48),$V48,$U48)))=Milestones!$AB$141),UPPER(TEXT(EDATE($D48,Milestones!$AA$141),"dd mmm yy"))&amp;" "&amp;Milestones!$AB$141&amp;" "&amp;Milestones!$AC$141&amp;";  ","")&amp;IF(AND(EDATE($D48,Milestones!$AA$142)&lt;=AsOfDate,IF($R48=0,$X48,IF(AND($T48&lt;&gt;"",EDATE($D48,Milestones!$AA$142)&gt;=$T48),$W48,IF(AND($S48&lt;&gt;"",EDATE($D48,Milestones!$AA$142)&gt;=$S48),$V48,$U48)))=Milestones!$AB$142),UPPER(TEXT(EDATE($D48,Milestones!$AA$142),"dd mmm yy"))&amp;" "&amp;Milestones!$AB$142&amp;" "&amp;Milestones!$AC$142&amp;";  ","")&amp;IF(AND(EDATE($D48,Milestones!$AA$143)&lt;=AsOfDate,IF($R48=0,$X48,IF(AND($T48&lt;&gt;"",EDATE($D48,Milestones!$AA$143)&gt;=$T48),$W48,IF(AND($S48&lt;&gt;"",EDATE($D48,Milestones!$AA$143)&gt;=$S48),$V48,$U48)))=Milestones!$AB$143),UPPER(TEXT(EDATE($D48,Milestones!$AA$143),"dd mmm yy"))&amp;" "&amp;Milestones!$AB$143&amp;" "&amp;Milestones!$AC$143&amp;";  ","")&amp;IF(AND(EDATE($D48,Milestones!$AA$144)&lt;=AsOfDate,IF($R48=0,$X48,IF(AND($T48&lt;&gt;"",EDATE($D48,Milestones!$AA$144)&gt;=$T48),$W48,IF(AND($S48&lt;&gt;"",EDATE($D48,Milestones!$AA$144)&gt;=$S48),$V48,$U48)))=Milestones!$AB$144),UPPER(TEXT(EDATE($D48,Milestones!$AA$144),"dd mmm yy"))&amp;" "&amp;Milestones!$AB$144&amp;" "&amp;Milestones!$AC$144&amp;";  ","")&amp;IF(AND(EDATE($D48,Milestones!$AA$145)&lt;=AsOfDate,IF($R48=0,$X48,IF(AND($T48&lt;&gt;"",EDATE($D48,Milestones!$AA$145)&gt;=$T48),$W48,IF(AND($S48&lt;&gt;"",EDATE($D48,Milestones!$AA$145)&gt;=$S48),$V48,$U48)))=Milestones!$AB$145),UPPER(TEXT(EDATE($D48,Milestones!$AA$145),"dd mmm yy"))&amp;" "&amp;Milestones!$AB$145&amp;" "&amp;Milestones!$AC$145&amp;";  ","")&amp;IF(AND(EDATE($D48,Milestones!$AA$146)&lt;=AsOfDate,IF($R48=0,$X48,IF(AND($T48&lt;&gt;"",EDATE($D48,Milestones!$AA$146)&gt;=$T48),$W48,IF(AND($S48&lt;&gt;"",EDATE($D48,Milestones!$AA$146)&gt;=$S48),$V48,$U48)))=Milestones!$AB$146),UPPER(TEXT(EDATE($D48,Milestones!$AA$146),"dd mmm yy"))&amp;" "&amp;Milestones!$AB$146&amp;" "&amp;Milestones!$AC$146&amp;";  ","")&amp;IF(AND(EDATE($D48,Milestones!$AA$147)&lt;=AsOfDate,IF($R48=0,$X48,IF(AND($T48&lt;&gt;"",EDATE($D48,Milestones!$AA$147)&gt;=$T48),$W48,IF(AND($S48&lt;&gt;"",EDATE($D48,Milestones!$AA$147)&gt;=$S48),$V48,$U48)))=Milestones!$AB$147),UPPER(TEXT(EDATE($D48,Milestones!$AA$147),"dd mmm yy"))&amp;" "&amp;Milestones!$AB$147&amp;" "&amp;Milestones!$AC$147&amp;";  ","")&amp;IF(AND(EDATE($D48,Milestones!$AA$148)&lt;=AsOfDate,IF($R48=0,$X48,IF(AND($T48&lt;&gt;"",EDATE($D48,Milestones!$AA$148)&gt;=$T48),$W48,IF(AND($S48&lt;&gt;"",EDATE($D48,Milestones!$AA$148)&gt;=$S48),$V48,$U48)))=Milestones!$AB$148),UPPER(TEXT(EDATE($D48,Milestones!$AA$148),"dd mmm yy"))&amp;" "&amp;Milestones!$AB$148&amp;" "&amp;Milestones!$AC$148&amp;";  ","")&amp;IF(AND(EDATE($D48,Milestones!$AA$149)&lt;=AsOfDate,IF($R48=0,$X48,IF(AND($T48&lt;&gt;"",EDATE($D48,Milestones!$AA$149)&gt;=$T48),$W48,IF(AND($S48&lt;&gt;"",EDATE($D48,Milestones!$AA$149)&gt;=$S48),$V48,$U48)))=Milestones!$AB$149),UPPER(TEXT(EDATE($D48,Milestones!$AA$149),"dd mmm yy"))&amp;" "&amp;Milestones!$AB$149&amp;" "&amp;Milestones!$AC$149&amp;";  ","")&amp;IF(AND(EDATE($D48,Milestones!$AA$150)&lt;=AsOfDate,IF($R48=0,$X48,IF(AND($T48&lt;&gt;"",EDATE($D48,Milestones!$AA$150)&gt;=$T48),$W48,IF(AND($S48&lt;&gt;"",EDATE($D48,Milestones!$AA$150)&gt;=$S48),$V48,$U48)))=Milestones!$AB$150),UPPER(TEXT(EDATE($D48,Milestones!$AA$150),"dd mmm yy"))&amp;" "&amp;Milestones!$AB$150&amp;" "&amp;Milestones!$AC$150&amp;";  ","")&amp;IF(AND(EDATE($D48,Milestones!$AA$151)&lt;=AsOfDate,IF($R48=0,$X48,IF(AND($T48&lt;&gt;"",EDATE($D48,Milestones!$AA$151)&gt;=$T48),$W48,IF(AND($S48&lt;&gt;"",EDATE($D48,Milestones!$AA$151)&gt;=$S48),$V48,$U48)))=Milestones!$AB$151),UPPER(TEXT(EDATE($D48,Milestones!$AA$151),"dd mmm yy"))&amp;" "&amp;Milestones!$AB$151&amp;" "&amp;Milestones!$AC$151&amp;";  ","")&amp;IF(AND(EDATE($D48,Milestones!$AA$152)&lt;=AsOfDate,IF($R48=0,$X48,IF(AND($T48&lt;&gt;"",EDATE($D48,Milestones!$AA$152)&gt;=$T48),$W48,IF(AND($S48&lt;&gt;"",EDATE($D48,Milestones!$AA$152)&gt;=$S48),$V48,$U48)))=Milestones!$AB$152),UPPER(TEXT(EDATE($D48,Milestones!$AA$152),"dd mmm yy"))&amp;" "&amp;Milestones!$AB$152&amp;" "&amp;Milestones!$AC$152&amp;";  ","")&amp;IF(AND(EDATE($D48,Milestones!$AA$153)&lt;=AsOfDate,IF($R48=0,$X48,IF(AND($T48&lt;&gt;"",EDATE($D48,Milestones!$AA$153)&gt;=$T48),$W48,IF(AND($S48&lt;&gt;"",EDATE($D48,Milestones!$AA$153)&gt;=$S48),$V48,$U48)))=Milestones!$AB$153),UPPER(TEXT(EDATE($D48,Milestones!$AA$153),"dd mmm yy"))&amp;" "&amp;Milestones!$AB$153&amp;" "&amp;Milestones!$AC$153&amp;";  ","")&amp;IF(AND(EDATE($D48,Milestones!$AA$154)&lt;=AsOfDate,IF($R48=0,$X48,IF(AND($T48&lt;&gt;"",EDATE($D48,Milestones!$AA$154)&gt;=$T48),$W48,IF(AND($S48&lt;&gt;"",EDATE($D48,Milestones!$AA$154)&gt;=$S48),$V48,$U48)))=Milestones!$AB$154),UPPER(TEXT(EDATE($D48,Milestones!$AA$154),"dd mmm yy"))&amp;" "&amp;Milestones!$AB$154&amp;" "&amp;Milestones!$AC$154&amp;";  ","")&amp;IF(AND(EDATE($D48,Milestones!$AA$155)&lt;=AsOfDate,IF($R48=0,$X48,IF(AND($T48&lt;&gt;"",EDATE($D48,Milestones!$AA$155)&gt;=$T48),$W48,IF(AND($S48&lt;&gt;"",EDATE($D48,Milestones!$AA$155)&gt;=$S48),$V48,$U48)))=Milestones!$AB$155),UPPER(TEXT(EDATE($D48,Milestones!$AA$155),"dd mmm yy"))&amp;" "&amp;Milestones!$AB$155&amp;" "&amp;Milestones!$AC$155&amp;";  ","")&amp;IF(AND(EDATE($D48,Milestones!$AA$156)&lt;=AsOfDate,IF($R48=0,$X48,IF(AND($T48&lt;&gt;"",EDATE($D48,Milestones!$AA$156)&gt;=$T48),$W48,IF(AND($S48&lt;&gt;"",EDATE($D48,Milestones!$AA$156)&gt;=$S48),$V48,$U48)))=Milestones!$AB$156),UPPER(TEXT(EDATE($D48,Milestones!$AA$156),"dd mmm yy"))&amp;" "&amp;Milestones!$AB$156&amp;" "&amp;Milestones!$AC$156&amp;";  ","")&amp;IF(AND(EDATE($D48,Milestones!$AA$157)&lt;=AsOfDate,IF($R48=0,$X48,IF(AND($T48&lt;&gt;"",EDATE($D48,Milestones!$AA$157)&gt;=$T48),$W48,IF(AND($S48&lt;&gt;"",EDATE($D48,Milestones!$AA$157)&gt;=$S48),$V48,$U48)))=Milestones!$AB$157),UPPER(TEXT(EDATE($D48,Milestones!$AA$157),"dd mmm yy"))&amp;" "&amp;Milestones!$AB$157&amp;" "&amp;Milestones!$AC$157&amp;";  ","")&amp;IF(AND(EDATE($D48,Milestones!$AA$158)&lt;=AsOfDate,IF($R48=0,$X48,IF(AND($T48&lt;&gt;"",EDATE($D48,Milestones!$AA$158)&gt;=$T48),$W48,IF(AND($S48&lt;&gt;"",EDATE($D48,Milestones!$AA$158)&gt;=$S48),$V48,$U48)))=Milestones!$AB$158),UPPER(TEXT(EDATE($D48,Milestones!$AA$158),"dd mmm yy"))&amp;" "&amp;Milestones!$AB$158&amp;" "&amp;Milestones!$AC$158&amp;";  ","")&amp;IF(AND(EDATE($D48,Milestones!$AA$159)&lt;=AsOfDate,IF($R48=0,$X48,IF(AND($T48&lt;&gt;"",EDATE($D48,Milestones!$AA$159)&gt;=$T48),$W48,IF(AND($S48&lt;&gt;"",EDATE($D48,Milestones!$AA$159)&gt;=$S48),$V48,$U48)))=Milestones!$AB$159),UPPER(TEXT(EDATE($D48,Milestones!$AA$159),"dd mmm yy"))&amp;" "&amp;Milestones!$AB$159&amp;" "&amp;Milestones!$AC$159&amp;";  ",""))</f>
        <v/>
      </c>
      <c r="P48" s="0" t="str">
        <f aca="false">IF(OR($A48="",$D48=""),"",IF(AND(EDATE($D48,Milestones!$AA$160)&lt;=AsOfDate,IF($R48=0,$X48,IF(AND($T48&lt;&gt;"",EDATE($D48,Milestones!$AA$160)&gt;=$T48),$W48,IF(AND($S48&lt;&gt;"",EDATE($D48,Milestones!$AA$160)&gt;=$S48),$V48,$U48)))=Milestones!$AB$160),UPPER(TEXT(EDATE($D48,Milestones!$AA$160),"dd mmm yy"))&amp;" "&amp;Milestones!$AB$160&amp;" "&amp;Milestones!$AC$160&amp;";  ","")&amp;IF(AND(EDATE($D48,Milestones!$AA$161)&lt;=AsOfDate,IF($R48=0,$X48,IF(AND($T48&lt;&gt;"",EDATE($D48,Milestones!$AA$161)&gt;=$T48),$W48,IF(AND($S48&lt;&gt;"",EDATE($D48,Milestones!$AA$161)&gt;=$S48),$V48,$U48)))=Milestones!$AB$161),UPPER(TEXT(EDATE($D48,Milestones!$AA$161),"dd mmm yy"))&amp;" "&amp;Milestones!$AB$161&amp;" "&amp;Milestones!$AC$161&amp;";  ","")&amp;IF(AND(EDATE($D48,Milestones!$AA$162)&lt;=AsOfDate,IF($R48=0,$X48,IF(AND($T48&lt;&gt;"",EDATE($D48,Milestones!$AA$162)&gt;=$T48),$W48,IF(AND($S48&lt;&gt;"",EDATE($D48,Milestones!$AA$162)&gt;=$S48),$V48,$U48)))=Milestones!$AB$162),UPPER(TEXT(EDATE($D48,Milestones!$AA$162),"dd mmm yy"))&amp;" "&amp;Milestones!$AB$162&amp;" "&amp;Milestones!$AC$162&amp;";  ","")&amp;IF(AND(EDATE($D48,Milestones!$AA$163)&lt;=AsOfDate,IF($R48=0,$X48,IF(AND($T48&lt;&gt;"",EDATE($D48,Milestones!$AA$163)&gt;=$T48),$W48,IF(AND($S48&lt;&gt;"",EDATE($D48,Milestones!$AA$163)&gt;=$S48),$V48,$U48)))=Milestones!$AB$163),UPPER(TEXT(EDATE($D48,Milestones!$AA$163),"dd mmm yy"))&amp;" "&amp;Milestones!$AB$163&amp;" "&amp;Milestones!$AC$163&amp;";  ","")&amp;IF(AND(EDATE($D48,Milestones!$AA$164)&lt;=AsOfDate,IF($R48=0,$X48,IF(AND($T48&lt;&gt;"",EDATE($D48,Milestones!$AA$164)&gt;=$T48),$W48,IF(AND($S48&lt;&gt;"",EDATE($D48,Milestones!$AA$164)&gt;=$S48),$V48,$U48)))=Milestones!$AB$164),UPPER(TEXT(EDATE($D48,Milestones!$AA$164),"dd mmm yy"))&amp;" "&amp;Milestones!$AB$164&amp;" "&amp;Milestones!$AC$164&amp;";  ","")&amp;IF(AND(EDATE($D48,Milestones!$AA$165)&lt;=AsOfDate,IF($R48=0,$X48,IF(AND($T48&lt;&gt;"",EDATE($D48,Milestones!$AA$165)&gt;=$T48),$W48,IF(AND($S48&lt;&gt;"",EDATE($D48,Milestones!$AA$165)&gt;=$S48),$V48,$U48)))=Milestones!$AB$165),UPPER(TEXT(EDATE($D48,Milestones!$AA$165),"dd mmm yy"))&amp;" "&amp;Milestones!$AB$165&amp;" "&amp;Milestones!$AC$165&amp;";  ","")&amp;IF(AND(EDATE($D48,Milestones!$AA$166)&lt;=AsOfDate,IF($R48=0,$X48,IF(AND($T48&lt;&gt;"",EDATE($D48,Milestones!$AA$166)&gt;=$T48),$W48,IF(AND($S48&lt;&gt;"",EDATE($D48,Milestones!$AA$166)&gt;=$S48),$V48,$U48)))=Milestones!$AB$166),UPPER(TEXT(EDATE($D48,Milestones!$AA$166),"dd mmm yy"))&amp;" "&amp;Milestones!$AB$166&amp;" "&amp;Milestones!$AC$166&amp;";  ","")&amp;IF(AND(EDATE($D48,Milestones!$AA$167)&lt;=AsOfDate,IF($R48=0,$X48,IF(AND($T48&lt;&gt;"",EDATE($D48,Milestones!$AA$167)&gt;=$T48),$W48,IF(AND($S48&lt;&gt;"",EDATE($D48,Milestones!$AA$167)&gt;=$S48),$V48,$U48)))=Milestones!$AB$167),UPPER(TEXT(EDATE($D48,Milestones!$AA$167),"dd mmm yy"))&amp;" "&amp;Milestones!$AB$167&amp;" "&amp;Milestones!$AC$167&amp;";  ","")&amp;IF(AND(EDATE($D48,Milestones!$AA$168)&lt;=AsOfDate,IF($R48=0,$X48,IF(AND($T48&lt;&gt;"",EDATE($D48,Milestones!$AA$168)&gt;=$T48),$W48,IF(AND($S48&lt;&gt;"",EDATE($D48,Milestones!$AA$168)&gt;=$S48),$V48,$U48)))=Milestones!$AB$168),UPPER(TEXT(EDATE($D48,Milestones!$AA$168),"dd mmm yy"))&amp;" "&amp;Milestones!$AB$168&amp;" "&amp;Milestones!$AC$168&amp;";  ","")&amp;IF(AND(EDATE($D48,Milestones!$AA$169)&lt;=AsOfDate,IF($R48=0,$X48,IF(AND($T48&lt;&gt;"",EDATE($D48,Milestones!$AA$169)&gt;=$T48),$W48,IF(AND($S48&lt;&gt;"",EDATE($D48,Milestones!$AA$169)&gt;=$S48),$V48,$U48)))=Milestones!$AB$169),UPPER(TEXT(EDATE($D48,Milestones!$AA$169),"dd mmm yy"))&amp;" "&amp;Milestones!$AB$169&amp;" "&amp;Milestones!$AC$169&amp;";  ","")&amp;IF(AND(EDATE($D48,Milestones!$AA$170)&lt;=AsOfDate,IF($R48=0,$X48,IF(AND($T48&lt;&gt;"",EDATE($D48,Milestones!$AA$170)&gt;=$T48),$W48,IF(AND($S48&lt;&gt;"",EDATE($D48,Milestones!$AA$170)&gt;=$S48),$V48,$U48)))=Milestones!$AB$170),UPPER(TEXT(EDATE($D48,Milestones!$AA$170),"dd mmm yy"))&amp;" "&amp;Milestones!$AB$170&amp;" "&amp;Milestones!$AC$170&amp;";  ","")&amp;IF(AND(EDATE($D48,Milestones!$AA$171)&lt;=AsOfDate,IF($R48=0,$X48,IF(AND($T48&lt;&gt;"",EDATE($D48,Milestones!$AA$171)&gt;=$T48),$W48,IF(AND($S48&lt;&gt;"",EDATE($D48,Milestones!$AA$171)&gt;=$S48),$V48,$U48)))=Milestones!$AB$171),UPPER(TEXT(EDATE($D48,Milestones!$AA$171),"dd mmm yy"))&amp;" "&amp;Milestones!$AB$171&amp;" "&amp;Milestones!$AC$171&amp;";  ","")&amp;IF(AND(EDATE($D48,Milestones!$AA$172)&lt;=AsOfDate,IF($R48=0,$X48,IF(AND($T48&lt;&gt;"",EDATE($D48,Milestones!$AA$172)&gt;=$T48),$W48,IF(AND($S48&lt;&gt;"",EDATE($D48,Milestones!$AA$172)&gt;=$S48),$V48,$U48)))=Milestones!$AB$172),UPPER(TEXT(EDATE($D48,Milestones!$AA$172),"dd mmm yy"))&amp;" "&amp;Milestones!$AB$172&amp;" "&amp;Milestones!$AC$172&amp;";  ","")&amp;IF(AND(EDATE($D48,Milestones!$AA$173)&lt;=AsOfDate,IF($R48=0,$X48,IF(AND($T48&lt;&gt;"",EDATE($D48,Milestones!$AA$173)&gt;=$T48),$W48,IF(AND($S48&lt;&gt;"",EDATE($D48,Milestones!$AA$173)&gt;=$S48),$V48,$U48)))=Milestones!$AB$173),UPPER(TEXT(EDATE($D48,Milestones!$AA$173),"dd mmm yy"))&amp;" "&amp;Milestones!$AB$173&amp;" "&amp;Milestones!$AC$173&amp;";  ","")&amp;IF(AND(EDATE($D48,Milestones!$AA$174)&lt;=AsOfDate,IF($R48=0,$X48,IF(AND($T48&lt;&gt;"",EDATE($D48,Milestones!$AA$174)&gt;=$T48),$W48,IF(AND($S48&lt;&gt;"",EDATE($D48,Milestones!$AA$174)&gt;=$S48),$V48,$U48)))=Milestones!$AB$174),UPPER(TEXT(EDATE($D48,Milestones!$AA$174),"dd mmm yy"))&amp;" "&amp;Milestones!$AB$174&amp;" "&amp;Milestones!$AC$174&amp;";  ","")&amp;IF(AND(EDATE($D48,Milestones!$AA$175)&lt;=AsOfDate,IF($R48=0,$X48,IF(AND($T48&lt;&gt;"",EDATE($D48,Milestones!$AA$175)&gt;=$T48),$W48,IF(AND($S48&lt;&gt;"",EDATE($D48,Milestones!$AA$175)&gt;=$S48),$V48,$U48)))=Milestones!$AB$175),UPPER(TEXT(EDATE($D48,Milestones!$AA$175),"dd mmm yy"))&amp;" "&amp;Milestones!$AB$175&amp;" "&amp;Milestones!$AC$175&amp;";  ","")&amp;IF(AND(EDATE($D48,Milestones!$AA$176)&lt;=AsOfDate,IF($R48=0,$X48,IF(AND($T48&lt;&gt;"",EDATE($D48,Milestones!$AA$176)&gt;=$T48),$W48,IF(AND($S48&lt;&gt;"",EDATE($D48,Milestones!$AA$176)&gt;=$S48),$V48,$U48)))=Milestones!$AB$176),UPPER(TEXT(EDATE($D48,Milestones!$AA$176),"dd mmm yy"))&amp;" "&amp;Milestones!$AB$176&amp;" "&amp;Milestones!$AC$176&amp;";  ","")&amp;IF(AND(EDATE($D48,Milestones!$AA$177)&lt;=AsOfDate,IF($R48=0,$X48,IF(AND($T48&lt;&gt;"",EDATE($D48,Milestones!$AA$177)&gt;=$T48),$W48,IF(AND($S48&lt;&gt;"",EDATE($D48,Milestones!$AA$177)&gt;=$S48),$V48,$U48)))=Milestones!$AB$177),UPPER(TEXT(EDATE($D48,Milestones!$AA$177),"dd mmm yy"))&amp;" "&amp;Milestones!$AB$177&amp;" "&amp;Milestones!$AC$177&amp;";  ","")&amp;IF(AND(EDATE($D48,Milestones!$AA$178)&lt;=AsOfDate,IF($R48=0,$X48,IF(AND($T48&lt;&gt;"",EDATE($D48,Milestones!$AA$178)&gt;=$T48),$W48,IF(AND($S48&lt;&gt;"",EDATE($D48,Milestones!$AA$178)&gt;=$S48),$V48,$U48)))=Milestones!$AB$178),UPPER(TEXT(EDATE($D48,Milestones!$AA$178),"dd mmm yy"))&amp;" "&amp;Milestones!$AB$178&amp;" "&amp;Milestones!$AC$178&amp;";  ","")&amp;IF(AND(EDATE($D48,Milestones!$AA$179)&lt;=AsOfDate,IF($R48=0,$X48,IF(AND($T48&lt;&gt;"",EDATE($D48,Milestones!$AA$179)&gt;=$T48),$W48,IF(AND($S48&lt;&gt;"",EDATE($D48,Milestones!$AA$179)&gt;=$S48),$V48,$U48)))=Milestones!$AB$179),UPPER(TEXT(EDATE($D48,Milestones!$AA$179),"dd mmm yy"))&amp;" "&amp;Milestones!$AB$179&amp;" "&amp;Milestones!$AC$179&amp;";  ",""))</f>
        <v/>
      </c>
      <c r="Q48" s="0" t="str">
        <f aca="false">IF(OR($A48="",$D48=""),"",IF(AND(EDATE($D48,Milestones!$AA$180)&lt;=AsOfDate,IF($R48=0,$X48,IF(AND($T48&lt;&gt;"",EDATE($D48,Milestones!$AA$180)&gt;=$T48),$W48,IF(AND($S48&lt;&gt;"",EDATE($D48,Milestones!$AA$180)&gt;=$S48),$V48,$U48)))=Milestones!$AB$180),UPPER(TEXT(EDATE($D48,Milestones!$AA$180),"dd mmm yy"))&amp;" "&amp;Milestones!$AB$180&amp;" "&amp;Milestones!$AC$180&amp;";  ","")&amp;IF(AND(EDATE($D48,Milestones!$AA$181)&lt;=AsOfDate,IF($R48=0,$X48,IF(AND($T48&lt;&gt;"",EDATE($D48,Milestones!$AA$181)&gt;=$T48),$W48,IF(AND($S48&lt;&gt;"",EDATE($D48,Milestones!$AA$181)&gt;=$S48),$V48,$U48)))=Milestones!$AB$181),UPPER(TEXT(EDATE($D48,Milestones!$AA$181),"dd mmm yy"))&amp;" "&amp;Milestones!$AB$181&amp;" "&amp;Milestones!$AC$181&amp;";  ","")&amp;IF(AND(EDATE($D48,Milestones!$AA$182)&lt;=AsOfDate,IF($R48=0,$X48,IF(AND($T48&lt;&gt;"",EDATE($D48,Milestones!$AA$182)&gt;=$T48),$W48,IF(AND($S48&lt;&gt;"",EDATE($D48,Milestones!$AA$182)&gt;=$S48),$V48,$U48)))=Milestones!$AB$182),UPPER(TEXT(EDATE($D48,Milestones!$AA$182),"dd mmm yy"))&amp;" "&amp;Milestones!$AB$182&amp;" "&amp;Milestones!$AC$182&amp;";  ","")&amp;IF(AND(EDATE($D48,Milestones!$AA$183)&lt;=AsOfDate,IF($R48=0,$X48,IF(AND($T48&lt;&gt;"",EDATE($D48,Milestones!$AA$183)&gt;=$T48),$W48,IF(AND($S48&lt;&gt;"",EDATE($D48,Milestones!$AA$183)&gt;=$S48),$V48,$U48)))=Milestones!$AB$183),UPPER(TEXT(EDATE($D48,Milestones!$AA$183),"dd mmm yy"))&amp;" "&amp;Milestones!$AB$183&amp;" "&amp;Milestones!$AC$183&amp;";  ","")&amp;IF(AND(EDATE($D48,Milestones!$AA$184)&lt;=AsOfDate,IF($R48=0,$X48,IF(AND($T48&lt;&gt;"",EDATE($D48,Milestones!$AA$184)&gt;=$T48),$W48,IF(AND($S48&lt;&gt;"",EDATE($D48,Milestones!$AA$184)&gt;=$S48),$V48,$U48)))=Milestones!$AB$184),UPPER(TEXT(EDATE($D48,Milestones!$AA$184),"dd mmm yy"))&amp;" "&amp;Milestones!$AB$184&amp;" "&amp;Milestones!$AC$184&amp;";  ","")&amp;IF(AND(EDATE($D48,Milestones!$AA$185)&lt;=AsOfDate,IF($R48=0,$X48,IF(AND($T48&lt;&gt;"",EDATE($D48,Milestones!$AA$185)&gt;=$T48),$W48,IF(AND($S48&lt;&gt;"",EDATE($D48,Milestones!$AA$185)&gt;=$S48),$V48,$U48)))=Milestones!$AB$185),UPPER(TEXT(EDATE($D48,Milestones!$AA$185),"dd mmm yy"))&amp;" "&amp;Milestones!$AB$185&amp;" "&amp;Milestones!$AC$185&amp;";  ","")&amp;IF(AND(EDATE($D48,Milestones!$AA$186)&lt;=AsOfDate,IF($R48=0,$X48,IF(AND($T48&lt;&gt;"",EDATE($D48,Milestones!$AA$186)&gt;=$T48),$W48,IF(AND($S48&lt;&gt;"",EDATE($D48,Milestones!$AA$186)&gt;=$S48),$V48,$U48)))=Milestones!$AB$186),UPPER(TEXT(EDATE($D48,Milestones!$AA$186),"dd mmm yy"))&amp;" "&amp;Milestones!$AB$186&amp;" "&amp;Milestones!$AC$186&amp;";  ","")&amp;IF(AND(EDATE($D48,Milestones!$AA$187)&lt;=AsOfDate,IF($R48=0,$X48,IF(AND($T48&lt;&gt;"",EDATE($D48,Milestones!$AA$187)&gt;=$T48),$W48,IF(AND($S48&lt;&gt;"",EDATE($D48,Milestones!$AA$187)&gt;=$S48),$V48,$U48)))=Milestones!$AB$187),UPPER(TEXT(EDATE($D48,Milestones!$AA$187),"dd mmm yy"))&amp;" "&amp;Milestones!$AB$187&amp;" "&amp;Milestones!$AC$187&amp;";  ","")&amp;IF(AND(EDATE($D48,Milestones!$AA$188)&lt;=AsOfDate,IF($R48=0,$X48,IF(AND($T48&lt;&gt;"",EDATE($D48,Milestones!$AA$188)&gt;=$T48),$W48,IF(AND($S48&lt;&gt;"",EDATE($D48,Milestones!$AA$188)&gt;=$S48),$V48,$U48)))=Milestones!$AB$188),UPPER(TEXT(EDATE($D48,Milestones!$AA$188),"dd mmm yy"))&amp;" "&amp;Milestones!$AB$188&amp;" "&amp;Milestones!$AC$188&amp;";  ","")&amp;IF(AND(EDATE($D48,Milestones!$AA$189)&lt;=AsOfDate,IF($R48=0,$X48,IF(AND($T48&lt;&gt;"",EDATE($D48,Milestones!$AA$189)&gt;=$T48),$W48,IF(AND($S48&lt;&gt;"",EDATE($D48,Milestones!$AA$189)&gt;=$S48),$V48,$U48)))=Milestones!$AB$189),UPPER(TEXT(EDATE($D48,Milestones!$AA$189),"dd mmm yy"))&amp;" "&amp;Milestones!$AB$189&amp;" "&amp;Milestones!$AC$189&amp;";  ","")&amp;IF(AND(EDATE($D48,Milestones!$AA$190)&lt;=AsOfDate,IF($R48=0,$X48,IF(AND($T48&lt;&gt;"",EDATE($D48,Milestones!$AA$190)&gt;=$T48),$W48,IF(AND($S48&lt;&gt;"",EDATE($D48,Milestones!$AA$190)&gt;=$S48),$V48,$U48)))=Milestones!$AB$190),UPPER(TEXT(EDATE($D48,Milestones!$AA$190),"dd mmm yy"))&amp;" "&amp;Milestones!$AB$190&amp;" "&amp;Milestones!$AC$190&amp;";  ","")&amp;IF(AND(EDATE($D48,Milestones!$AA$191)&lt;=AsOfDate,IF($R48=0,$X48,IF(AND($T48&lt;&gt;"",EDATE($D48,Milestones!$AA$191)&gt;=$T48),$W48,IF(AND($S48&lt;&gt;"",EDATE($D48,Milestones!$AA$191)&gt;=$S48),$V48,$U48)))=Milestones!$AB$191),UPPER(TEXT(EDATE($D48,Milestones!$AA$191),"dd mmm yy"))&amp;" "&amp;Milestones!$AB$191&amp;" "&amp;Milestones!$AC$191&amp;";  ","")&amp;IF(AND(EDATE($D48,Milestones!$AA$192)&lt;=AsOfDate,IF($R48=0,$X48,IF(AND($T48&lt;&gt;"",EDATE($D48,Milestones!$AA$192)&gt;=$T48),$W48,IF(AND($S48&lt;&gt;"",EDATE($D48,Milestones!$AA$192)&gt;=$S48),$V48,$U48)))=Milestones!$AB$192),UPPER(TEXT(EDATE($D48,Milestones!$AA$192),"dd mmm yy"))&amp;" "&amp;Milestones!$AB$192&amp;" "&amp;Milestones!$AC$192&amp;";  ","")&amp;IF(AND(EDATE($D48,Milestones!$AA$193)&lt;=AsOfDate,IF($R48=0,$X48,IF(AND($T48&lt;&gt;"",EDATE($D48,Milestones!$AA$193)&gt;=$T48),$W48,IF(AND($S48&lt;&gt;"",EDATE($D48,Milestones!$AA$193)&gt;=$S48),$V48,$U48)))=Milestones!$AB$193),UPPER(TEXT(EDATE($D48,Milestones!$AA$193),"dd mmm yy"))&amp;" "&amp;Milestones!$AB$193&amp;" "&amp;Milestones!$AC$193&amp;";  ","")&amp;IF(AND(EDATE($D48,Milestones!$AA$194)&lt;=AsOfDate,IF($R48=0,$X48,IF(AND($T48&lt;&gt;"",EDATE($D48,Milestones!$AA$194)&gt;=$T48),$W48,IF(AND($S48&lt;&gt;"",EDATE($D48,Milestones!$AA$194)&gt;=$S48),$V48,$U48)))=Milestones!$AB$194),UPPER(TEXT(EDATE($D48,Milestones!$AA$194),"dd mmm yy"))&amp;" "&amp;Milestones!$AB$194&amp;" "&amp;Milestones!$AC$194&amp;";  ","")&amp;IF(AND(EDATE($D48,Milestones!$AA$195)&lt;=AsOfDate,IF($R48=0,$X48,IF(AND($T48&lt;&gt;"",EDATE($D48,Milestones!$AA$195)&gt;=$T48),$W48,IF(AND($S48&lt;&gt;"",EDATE($D48,Milestones!$AA$195)&gt;=$S48),$V48,$U48)))=Milestones!$AB$195),UPPER(TEXT(EDATE($D48,Milestones!$AA$195),"dd mmm yy"))&amp;" "&amp;Milestones!$AB$195&amp;" "&amp;Milestones!$AC$195&amp;";  ","")&amp;IF(AND(EDATE($D48,Milestones!$AA$196)&lt;=AsOfDate,IF($R48=0,$X48,IF(AND($T48&lt;&gt;"",EDATE($D48,Milestones!$AA$196)&gt;=$T48),$W48,IF(AND($S48&lt;&gt;"",EDATE($D48,Milestones!$AA$196)&gt;=$S48),$V48,$U48)))=Milestones!$AB$196),UPPER(TEXT(EDATE($D48,Milestones!$AA$196),"dd mmm yy"))&amp;" "&amp;Milestones!$AB$196&amp;" "&amp;Milestones!$AC$196&amp;";  ","")&amp;IF(AND(EDATE($D48,Milestones!$AA$197)&lt;=AsOfDate,IF($R48=0,$X48,IF(AND($T48&lt;&gt;"",EDATE($D48,Milestones!$AA$197)&gt;=$T48),$W48,IF(AND($S48&lt;&gt;"",EDATE($D48,Milestones!$AA$197)&gt;=$S48),$V48,$U48)))=Milestones!$AB$197),UPPER(TEXT(EDATE($D48,Milestones!$AA$197),"dd mmm yy"))&amp;" "&amp;Milestones!$AB$197&amp;" "&amp;Milestones!$AC$197&amp;";  ","")&amp;IF(AND(EDATE($D48,Milestones!$AA$198)&lt;=AsOfDate,IF($R48=0,$X48,IF(AND($T48&lt;&gt;"",EDATE($D48,Milestones!$AA$198)&gt;=$T48),$W48,IF(AND($S48&lt;&gt;"",EDATE($D48,Milestones!$AA$198)&gt;=$S48),$V48,$U48)))=Milestones!$AB$198),UPPER(TEXT(EDATE($D48,Milestones!$AA$198),"dd mmm yy"))&amp;" "&amp;Milestones!$AB$198&amp;" "&amp;Milestones!$AC$198&amp;";  ","")&amp;IF(AND(EDATE($D48,Milestones!$AA$199)&lt;=AsOfDate,IF($R48=0,$X48,IF(AND($T48&lt;&gt;"",EDATE($D48,Milestones!$AA$199)&gt;=$T48),$W48,IF(AND($S48&lt;&gt;"",EDATE($D48,Milestones!$AA$199)&gt;=$S48),$V48,$U48)))=Milestones!$AB$199),UPPER(TEXT(EDATE($D48,Milestones!$AA$199),"dd mmm yy"))&amp;" "&amp;Milestones!$AB$199&amp;" "&amp;Milestones!$AC$199&amp;";  ",""))</f>
        <v/>
      </c>
      <c r="R48" s="0" t="str">
        <f aca="false">IF(Staff!$A48="","",Staff!$AI48)</f>
        <v/>
      </c>
      <c r="S48" s="0" t="str">
        <f aca="false">IF(Staff!$A48="","",Staff!$AK48)</f>
        <v/>
      </c>
      <c r="T48" s="0" t="str">
        <f aca="false">IF(Staff!$A48="","",Staff!$AL48)</f>
        <v/>
      </c>
      <c r="U48" s="0" t="str">
        <f aca="false">IF(Staff!$A48="","",Staff!$AP48)</f>
        <v/>
      </c>
      <c r="V48" s="0" t="str">
        <f aca="false">IF(Staff!$A48="","",Staff!$AQ48)</f>
        <v/>
      </c>
      <c r="W48" s="0" t="str">
        <f aca="false">IF(Staff!$A48="","",Staff!$AR48)</f>
        <v/>
      </c>
      <c r="X48" s="0" t="str">
        <f aca="false">IF(Staff!$A48="","",Staff!$AS48)</f>
        <v/>
      </c>
    </row>
    <row r="49" customFormat="false" ht="15" hidden="false" customHeight="false" outlineLevel="0" collapsed="false">
      <c r="A49" s="14" t="str">
        <f aca="false">IF(Staff!$A49="","",Staff!$A49)</f>
        <v/>
      </c>
      <c r="B49" s="14" t="str">
        <f aca="false">IF(Staff!$A49="","",Staff!$B49)</f>
        <v/>
      </c>
      <c r="C49" s="14" t="str">
        <f aca="false">IF(Staff!$A49="","",Staff!$C49)</f>
        <v/>
      </c>
      <c r="D49" s="12" t="str">
        <f aca="false">IF(Staff!$A49="","",Staff!$AH49)</f>
        <v/>
      </c>
      <c r="E49" s="14" t="str">
        <f aca="false">IF(Staff!$A49="","",Staff!$O49)</f>
        <v/>
      </c>
      <c r="F49" s="14" t="str">
        <f aca="false">IF(E49="","",E49*HoursPerDay)</f>
        <v/>
      </c>
      <c r="G49" s="14" t="str">
        <f aca="false">IF(Staff!$A49="","",Staff!$AE49)</f>
        <v/>
      </c>
      <c r="H49" s="26" t="str">
        <f aca="false">IF($A49="","",I49&amp;J49&amp;K49&amp;L49&amp;M49&amp;N49&amp;O49&amp;P49&amp;Q49)</f>
        <v/>
      </c>
      <c r="I49" s="0" t="str">
        <f aca="false">IF(OR($A49="",$D49=""),"",IF(AND(EDATE($D49,Milestones!$AA$20)&lt;=AsOfDate,IF($R49=0,$X49,IF(AND($T49&lt;&gt;"",EDATE($D49,Milestones!$AA$20)&gt;=$T49),$W49,IF(AND($S49&lt;&gt;"",EDATE($D49,Milestones!$AA$20)&gt;=$S49),$V49,$U49)))=Milestones!$AB$20),UPPER(TEXT(EDATE($D49,Milestones!$AA$20),"dd mmm yy"))&amp;" "&amp;Milestones!$AB$20&amp;" "&amp;Milestones!$AC$20&amp;";  ","")&amp;IF(AND(EDATE($D49,Milestones!$AA$21)&lt;=AsOfDate,IF($R49=0,$X49,IF(AND($T49&lt;&gt;"",EDATE($D49,Milestones!$AA$21)&gt;=$T49),$W49,IF(AND($S49&lt;&gt;"",EDATE($D49,Milestones!$AA$21)&gt;=$S49),$V49,$U49)))=Milestones!$AB$21),UPPER(TEXT(EDATE($D49,Milestones!$AA$21),"dd mmm yy"))&amp;" "&amp;Milestones!$AB$21&amp;" "&amp;Milestones!$AC$21&amp;";  ","")&amp;IF(AND(EDATE($D49,Milestones!$AA$22)&lt;=AsOfDate,IF($R49=0,$X49,IF(AND($T49&lt;&gt;"",EDATE($D49,Milestones!$AA$22)&gt;=$T49),$W49,IF(AND($S49&lt;&gt;"",EDATE($D49,Milestones!$AA$22)&gt;=$S49),$V49,$U49)))=Milestones!$AB$22),UPPER(TEXT(EDATE($D49,Milestones!$AA$22),"dd mmm yy"))&amp;" "&amp;Milestones!$AB$22&amp;" "&amp;Milestones!$AC$22&amp;";  ","")&amp;IF(AND(EDATE($D49,Milestones!$AA$23)&lt;=AsOfDate,IF($R49=0,$X49,IF(AND($T49&lt;&gt;"",EDATE($D49,Milestones!$AA$23)&gt;=$T49),$W49,IF(AND($S49&lt;&gt;"",EDATE($D49,Milestones!$AA$23)&gt;=$S49),$V49,$U49)))=Milestones!$AB$23),UPPER(TEXT(EDATE($D49,Milestones!$AA$23),"dd mmm yy"))&amp;" "&amp;Milestones!$AB$23&amp;" "&amp;Milestones!$AC$23&amp;";  ","")&amp;IF(AND(EDATE($D49,Milestones!$AA$24)&lt;=AsOfDate,IF($R49=0,$X49,IF(AND($T49&lt;&gt;"",EDATE($D49,Milestones!$AA$24)&gt;=$T49),$W49,IF(AND($S49&lt;&gt;"",EDATE($D49,Milestones!$AA$24)&gt;=$S49),$V49,$U49)))=Milestones!$AB$24),UPPER(TEXT(EDATE($D49,Milestones!$AA$24),"dd mmm yy"))&amp;" "&amp;Milestones!$AB$24&amp;" "&amp;Milestones!$AC$24&amp;";  ","")&amp;IF(AND(EDATE($D49,Milestones!$AA$25)&lt;=AsOfDate,IF($R49=0,$X49,IF(AND($T49&lt;&gt;"",EDATE($D49,Milestones!$AA$25)&gt;=$T49),$W49,IF(AND($S49&lt;&gt;"",EDATE($D49,Milestones!$AA$25)&gt;=$S49),$V49,$U49)))=Milestones!$AB$25),UPPER(TEXT(EDATE($D49,Milestones!$AA$25),"dd mmm yy"))&amp;" "&amp;Milestones!$AB$25&amp;" "&amp;Milestones!$AC$25&amp;";  ","")&amp;IF(AND(EDATE($D49,Milestones!$AA$26)&lt;=AsOfDate,IF($R49=0,$X49,IF(AND($T49&lt;&gt;"",EDATE($D49,Milestones!$AA$26)&gt;=$T49),$W49,IF(AND($S49&lt;&gt;"",EDATE($D49,Milestones!$AA$26)&gt;=$S49),$V49,$U49)))=Milestones!$AB$26),UPPER(TEXT(EDATE($D49,Milestones!$AA$26),"dd mmm yy"))&amp;" "&amp;Milestones!$AB$26&amp;" "&amp;Milestones!$AC$26&amp;";  ","")&amp;IF(AND(EDATE($D49,Milestones!$AA$27)&lt;=AsOfDate,IF($R49=0,$X49,IF(AND($T49&lt;&gt;"",EDATE($D49,Milestones!$AA$27)&gt;=$T49),$W49,IF(AND($S49&lt;&gt;"",EDATE($D49,Milestones!$AA$27)&gt;=$S49),$V49,$U49)))=Milestones!$AB$27),UPPER(TEXT(EDATE($D49,Milestones!$AA$27),"dd mmm yy"))&amp;" "&amp;Milestones!$AB$27&amp;" "&amp;Milestones!$AC$27&amp;";  ","")&amp;IF(AND(EDATE($D49,Milestones!$AA$28)&lt;=AsOfDate,IF($R49=0,$X49,IF(AND($T49&lt;&gt;"",EDATE($D49,Milestones!$AA$28)&gt;=$T49),$W49,IF(AND($S49&lt;&gt;"",EDATE($D49,Milestones!$AA$28)&gt;=$S49),$V49,$U49)))=Milestones!$AB$28),UPPER(TEXT(EDATE($D49,Milestones!$AA$28),"dd mmm yy"))&amp;" "&amp;Milestones!$AB$28&amp;" "&amp;Milestones!$AC$28&amp;";  ","")&amp;IF(AND(EDATE($D49,Milestones!$AA$29)&lt;=AsOfDate,IF($R49=0,$X49,IF(AND($T49&lt;&gt;"",EDATE($D49,Milestones!$AA$29)&gt;=$T49),$W49,IF(AND($S49&lt;&gt;"",EDATE($D49,Milestones!$AA$29)&gt;=$S49),$V49,$U49)))=Milestones!$AB$29),UPPER(TEXT(EDATE($D49,Milestones!$AA$29),"dd mmm yy"))&amp;" "&amp;Milestones!$AB$29&amp;" "&amp;Milestones!$AC$29&amp;";  ","")&amp;IF(AND(EDATE($D49,Milestones!$AA$30)&lt;=AsOfDate,IF($R49=0,$X49,IF(AND($T49&lt;&gt;"",EDATE($D49,Milestones!$AA$30)&gt;=$T49),$W49,IF(AND($S49&lt;&gt;"",EDATE($D49,Milestones!$AA$30)&gt;=$S49),$V49,$U49)))=Milestones!$AB$30),UPPER(TEXT(EDATE($D49,Milestones!$AA$30),"dd mmm yy"))&amp;" "&amp;Milestones!$AB$30&amp;" "&amp;Milestones!$AC$30&amp;";  ","")&amp;IF(AND(EDATE($D49,Milestones!$AA$31)&lt;=AsOfDate,IF($R49=0,$X49,IF(AND($T49&lt;&gt;"",EDATE($D49,Milestones!$AA$31)&gt;=$T49),$W49,IF(AND($S49&lt;&gt;"",EDATE($D49,Milestones!$AA$31)&gt;=$S49),$V49,$U49)))=Milestones!$AB$31),UPPER(TEXT(EDATE($D49,Milestones!$AA$31),"dd mmm yy"))&amp;" "&amp;Milestones!$AB$31&amp;" "&amp;Milestones!$AC$31&amp;";  ","")&amp;IF(AND(EDATE($D49,Milestones!$AA$32)&lt;=AsOfDate,IF($R49=0,$X49,IF(AND($T49&lt;&gt;"",EDATE($D49,Milestones!$AA$32)&gt;=$T49),$W49,IF(AND($S49&lt;&gt;"",EDATE($D49,Milestones!$AA$32)&gt;=$S49),$V49,$U49)))=Milestones!$AB$32),UPPER(TEXT(EDATE($D49,Milestones!$AA$32),"dd mmm yy"))&amp;" "&amp;Milestones!$AB$32&amp;" "&amp;Milestones!$AC$32&amp;";  ","")&amp;IF(AND(EDATE($D49,Milestones!$AA$33)&lt;=AsOfDate,IF($R49=0,$X49,IF(AND($T49&lt;&gt;"",EDATE($D49,Milestones!$AA$33)&gt;=$T49),$W49,IF(AND($S49&lt;&gt;"",EDATE($D49,Milestones!$AA$33)&gt;=$S49),$V49,$U49)))=Milestones!$AB$33),UPPER(TEXT(EDATE($D49,Milestones!$AA$33),"dd mmm yy"))&amp;" "&amp;Milestones!$AB$33&amp;" "&amp;Milestones!$AC$33&amp;";  ","")&amp;IF(AND(EDATE($D49,Milestones!$AA$34)&lt;=AsOfDate,IF($R49=0,$X49,IF(AND($T49&lt;&gt;"",EDATE($D49,Milestones!$AA$34)&gt;=$T49),$W49,IF(AND($S49&lt;&gt;"",EDATE($D49,Milestones!$AA$34)&gt;=$S49),$V49,$U49)))=Milestones!$AB$34),UPPER(TEXT(EDATE($D49,Milestones!$AA$34),"dd mmm yy"))&amp;" "&amp;Milestones!$AB$34&amp;" "&amp;Milestones!$AC$34&amp;";  ","")&amp;IF(AND(EDATE($D49,Milestones!$AA$35)&lt;=AsOfDate,IF($R49=0,$X49,IF(AND($T49&lt;&gt;"",EDATE($D49,Milestones!$AA$35)&gt;=$T49),$W49,IF(AND($S49&lt;&gt;"",EDATE($D49,Milestones!$AA$35)&gt;=$S49),$V49,$U49)))=Milestones!$AB$35),UPPER(TEXT(EDATE($D49,Milestones!$AA$35),"dd mmm yy"))&amp;" "&amp;Milestones!$AB$35&amp;" "&amp;Milestones!$AC$35&amp;";  ","")&amp;IF(AND(EDATE($D49,Milestones!$AA$36)&lt;=AsOfDate,IF($R49=0,$X49,IF(AND($T49&lt;&gt;"",EDATE($D49,Milestones!$AA$36)&gt;=$T49),$W49,IF(AND($S49&lt;&gt;"",EDATE($D49,Milestones!$AA$36)&gt;=$S49),$V49,$U49)))=Milestones!$AB$36),UPPER(TEXT(EDATE($D49,Milestones!$AA$36),"dd mmm yy"))&amp;" "&amp;Milestones!$AB$36&amp;" "&amp;Milestones!$AC$36&amp;";  ","")&amp;IF(AND(EDATE($D49,Milestones!$AA$37)&lt;=AsOfDate,IF($R49=0,$X49,IF(AND($T49&lt;&gt;"",EDATE($D49,Milestones!$AA$37)&gt;=$T49),$W49,IF(AND($S49&lt;&gt;"",EDATE($D49,Milestones!$AA$37)&gt;=$S49),$V49,$U49)))=Milestones!$AB$37),UPPER(TEXT(EDATE($D49,Milestones!$AA$37),"dd mmm yy"))&amp;" "&amp;Milestones!$AB$37&amp;" "&amp;Milestones!$AC$37&amp;";  ","")&amp;IF(AND(EDATE($D49,Milestones!$AA$38)&lt;=AsOfDate,IF($R49=0,$X49,IF(AND($T49&lt;&gt;"",EDATE($D49,Milestones!$AA$38)&gt;=$T49),$W49,IF(AND($S49&lt;&gt;"",EDATE($D49,Milestones!$AA$38)&gt;=$S49),$V49,$U49)))=Milestones!$AB$38),UPPER(TEXT(EDATE($D49,Milestones!$AA$38),"dd mmm yy"))&amp;" "&amp;Milestones!$AB$38&amp;" "&amp;Milestones!$AC$38&amp;";  ","")&amp;IF(AND(EDATE($D49,Milestones!$AA$39)&lt;=AsOfDate,IF($R49=0,$X49,IF(AND($T49&lt;&gt;"",EDATE($D49,Milestones!$AA$39)&gt;=$T49),$W49,IF(AND($S49&lt;&gt;"",EDATE($D49,Milestones!$AA$39)&gt;=$S49),$V49,$U49)))=Milestones!$AB$39),UPPER(TEXT(EDATE($D49,Milestones!$AA$39),"dd mmm yy"))&amp;" "&amp;Milestones!$AB$39&amp;" "&amp;Milestones!$AC$39&amp;";  ",""))</f>
        <v/>
      </c>
      <c r="J49" s="0" t="str">
        <f aca="false">IF(OR($A49="",$D49=""),"",IF(AND(EDATE($D49,Milestones!$AA$40)&lt;=AsOfDate,IF($R49=0,$X49,IF(AND($T49&lt;&gt;"",EDATE($D49,Milestones!$AA$40)&gt;=$T49),$W49,IF(AND($S49&lt;&gt;"",EDATE($D49,Milestones!$AA$40)&gt;=$S49),$V49,$U49)))=Milestones!$AB$40),UPPER(TEXT(EDATE($D49,Milestones!$AA$40),"dd mmm yy"))&amp;" "&amp;Milestones!$AB$40&amp;" "&amp;Milestones!$AC$40&amp;";  ","")&amp;IF(AND(EDATE($D49,Milestones!$AA$41)&lt;=AsOfDate,IF($R49=0,$X49,IF(AND($T49&lt;&gt;"",EDATE($D49,Milestones!$AA$41)&gt;=$T49),$W49,IF(AND($S49&lt;&gt;"",EDATE($D49,Milestones!$AA$41)&gt;=$S49),$V49,$U49)))=Milestones!$AB$41),UPPER(TEXT(EDATE($D49,Milestones!$AA$41),"dd mmm yy"))&amp;" "&amp;Milestones!$AB$41&amp;" "&amp;Milestones!$AC$41&amp;";  ","")&amp;IF(AND(EDATE($D49,Milestones!$AA$42)&lt;=AsOfDate,IF($R49=0,$X49,IF(AND($T49&lt;&gt;"",EDATE($D49,Milestones!$AA$42)&gt;=$T49),$W49,IF(AND($S49&lt;&gt;"",EDATE($D49,Milestones!$AA$42)&gt;=$S49),$V49,$U49)))=Milestones!$AB$42),UPPER(TEXT(EDATE($D49,Milestones!$AA$42),"dd mmm yy"))&amp;" "&amp;Milestones!$AB$42&amp;" "&amp;Milestones!$AC$42&amp;";  ","")&amp;IF(AND(EDATE($D49,Milestones!$AA$43)&lt;=AsOfDate,IF($R49=0,$X49,IF(AND($T49&lt;&gt;"",EDATE($D49,Milestones!$AA$43)&gt;=$T49),$W49,IF(AND($S49&lt;&gt;"",EDATE($D49,Milestones!$AA$43)&gt;=$S49),$V49,$U49)))=Milestones!$AB$43),UPPER(TEXT(EDATE($D49,Milestones!$AA$43),"dd mmm yy"))&amp;" "&amp;Milestones!$AB$43&amp;" "&amp;Milestones!$AC$43&amp;";  ","")&amp;IF(AND(EDATE($D49,Milestones!$AA$44)&lt;=AsOfDate,IF($R49=0,$X49,IF(AND($T49&lt;&gt;"",EDATE($D49,Milestones!$AA$44)&gt;=$T49),$W49,IF(AND($S49&lt;&gt;"",EDATE($D49,Milestones!$AA$44)&gt;=$S49),$V49,$U49)))=Milestones!$AB$44),UPPER(TEXT(EDATE($D49,Milestones!$AA$44),"dd mmm yy"))&amp;" "&amp;Milestones!$AB$44&amp;" "&amp;Milestones!$AC$44&amp;";  ","")&amp;IF(AND(EDATE($D49,Milestones!$AA$45)&lt;=AsOfDate,IF($R49=0,$X49,IF(AND($T49&lt;&gt;"",EDATE($D49,Milestones!$AA$45)&gt;=$T49),$W49,IF(AND($S49&lt;&gt;"",EDATE($D49,Milestones!$AA$45)&gt;=$S49),$V49,$U49)))=Milestones!$AB$45),UPPER(TEXT(EDATE($D49,Milestones!$AA$45),"dd mmm yy"))&amp;" "&amp;Milestones!$AB$45&amp;" "&amp;Milestones!$AC$45&amp;";  ","")&amp;IF(AND(EDATE($D49,Milestones!$AA$46)&lt;=AsOfDate,IF($R49=0,$X49,IF(AND($T49&lt;&gt;"",EDATE($D49,Milestones!$AA$46)&gt;=$T49),$W49,IF(AND($S49&lt;&gt;"",EDATE($D49,Milestones!$AA$46)&gt;=$S49),$V49,$U49)))=Milestones!$AB$46),UPPER(TEXT(EDATE($D49,Milestones!$AA$46),"dd mmm yy"))&amp;" "&amp;Milestones!$AB$46&amp;" "&amp;Milestones!$AC$46&amp;";  ","")&amp;IF(AND(EDATE($D49,Milestones!$AA$47)&lt;=AsOfDate,IF($R49=0,$X49,IF(AND($T49&lt;&gt;"",EDATE($D49,Milestones!$AA$47)&gt;=$T49),$W49,IF(AND($S49&lt;&gt;"",EDATE($D49,Milestones!$AA$47)&gt;=$S49),$V49,$U49)))=Milestones!$AB$47),UPPER(TEXT(EDATE($D49,Milestones!$AA$47),"dd mmm yy"))&amp;" "&amp;Milestones!$AB$47&amp;" "&amp;Milestones!$AC$47&amp;";  ","")&amp;IF(AND(EDATE($D49,Milestones!$AA$48)&lt;=AsOfDate,IF($R49=0,$X49,IF(AND($T49&lt;&gt;"",EDATE($D49,Milestones!$AA$48)&gt;=$T49),$W49,IF(AND($S49&lt;&gt;"",EDATE($D49,Milestones!$AA$48)&gt;=$S49),$V49,$U49)))=Milestones!$AB$48),UPPER(TEXT(EDATE($D49,Milestones!$AA$48),"dd mmm yy"))&amp;" "&amp;Milestones!$AB$48&amp;" "&amp;Milestones!$AC$48&amp;";  ","")&amp;IF(AND(EDATE($D49,Milestones!$AA$49)&lt;=AsOfDate,IF($R49=0,$X49,IF(AND($T49&lt;&gt;"",EDATE($D49,Milestones!$AA$49)&gt;=$T49),$W49,IF(AND($S49&lt;&gt;"",EDATE($D49,Milestones!$AA$49)&gt;=$S49),$V49,$U49)))=Milestones!$AB$49),UPPER(TEXT(EDATE($D49,Milestones!$AA$49),"dd mmm yy"))&amp;" "&amp;Milestones!$AB$49&amp;" "&amp;Milestones!$AC$49&amp;";  ","")&amp;IF(AND(EDATE($D49,Milestones!$AA$50)&lt;=AsOfDate,IF($R49=0,$X49,IF(AND($T49&lt;&gt;"",EDATE($D49,Milestones!$AA$50)&gt;=$T49),$W49,IF(AND($S49&lt;&gt;"",EDATE($D49,Milestones!$AA$50)&gt;=$S49),$V49,$U49)))=Milestones!$AB$50),UPPER(TEXT(EDATE($D49,Milestones!$AA$50),"dd mmm yy"))&amp;" "&amp;Milestones!$AB$50&amp;" "&amp;Milestones!$AC$50&amp;";  ","")&amp;IF(AND(EDATE($D49,Milestones!$AA$51)&lt;=AsOfDate,IF($R49=0,$X49,IF(AND($T49&lt;&gt;"",EDATE($D49,Milestones!$AA$51)&gt;=$T49),$W49,IF(AND($S49&lt;&gt;"",EDATE($D49,Milestones!$AA$51)&gt;=$S49),$V49,$U49)))=Milestones!$AB$51),UPPER(TEXT(EDATE($D49,Milestones!$AA$51),"dd mmm yy"))&amp;" "&amp;Milestones!$AB$51&amp;" "&amp;Milestones!$AC$51&amp;";  ","")&amp;IF(AND(EDATE($D49,Milestones!$AA$52)&lt;=AsOfDate,IF($R49=0,$X49,IF(AND($T49&lt;&gt;"",EDATE($D49,Milestones!$AA$52)&gt;=$T49),$W49,IF(AND($S49&lt;&gt;"",EDATE($D49,Milestones!$AA$52)&gt;=$S49),$V49,$U49)))=Milestones!$AB$52),UPPER(TEXT(EDATE($D49,Milestones!$AA$52),"dd mmm yy"))&amp;" "&amp;Milestones!$AB$52&amp;" "&amp;Milestones!$AC$52&amp;";  ","")&amp;IF(AND(EDATE($D49,Milestones!$AA$53)&lt;=AsOfDate,IF($R49=0,$X49,IF(AND($T49&lt;&gt;"",EDATE($D49,Milestones!$AA$53)&gt;=$T49),$W49,IF(AND($S49&lt;&gt;"",EDATE($D49,Milestones!$AA$53)&gt;=$S49),$V49,$U49)))=Milestones!$AB$53),UPPER(TEXT(EDATE($D49,Milestones!$AA$53),"dd mmm yy"))&amp;" "&amp;Milestones!$AB$53&amp;" "&amp;Milestones!$AC$53&amp;";  ","")&amp;IF(AND(EDATE($D49,Milestones!$AA$54)&lt;=AsOfDate,IF($R49=0,$X49,IF(AND($T49&lt;&gt;"",EDATE($D49,Milestones!$AA$54)&gt;=$T49),$W49,IF(AND($S49&lt;&gt;"",EDATE($D49,Milestones!$AA$54)&gt;=$S49),$V49,$U49)))=Milestones!$AB$54),UPPER(TEXT(EDATE($D49,Milestones!$AA$54),"dd mmm yy"))&amp;" "&amp;Milestones!$AB$54&amp;" "&amp;Milestones!$AC$54&amp;";  ","")&amp;IF(AND(EDATE($D49,Milestones!$AA$55)&lt;=AsOfDate,IF($R49=0,$X49,IF(AND($T49&lt;&gt;"",EDATE($D49,Milestones!$AA$55)&gt;=$T49),$W49,IF(AND($S49&lt;&gt;"",EDATE($D49,Milestones!$AA$55)&gt;=$S49),$V49,$U49)))=Milestones!$AB$55),UPPER(TEXT(EDATE($D49,Milestones!$AA$55),"dd mmm yy"))&amp;" "&amp;Milestones!$AB$55&amp;" "&amp;Milestones!$AC$55&amp;";  ","")&amp;IF(AND(EDATE($D49,Milestones!$AA$56)&lt;=AsOfDate,IF($R49=0,$X49,IF(AND($T49&lt;&gt;"",EDATE($D49,Milestones!$AA$56)&gt;=$T49),$W49,IF(AND($S49&lt;&gt;"",EDATE($D49,Milestones!$AA$56)&gt;=$S49),$V49,$U49)))=Milestones!$AB$56),UPPER(TEXT(EDATE($D49,Milestones!$AA$56),"dd mmm yy"))&amp;" "&amp;Milestones!$AB$56&amp;" "&amp;Milestones!$AC$56&amp;";  ","")&amp;IF(AND(EDATE($D49,Milestones!$AA$57)&lt;=AsOfDate,IF($R49=0,$X49,IF(AND($T49&lt;&gt;"",EDATE($D49,Milestones!$AA$57)&gt;=$T49),$W49,IF(AND($S49&lt;&gt;"",EDATE($D49,Milestones!$AA$57)&gt;=$S49),$V49,$U49)))=Milestones!$AB$57),UPPER(TEXT(EDATE($D49,Milestones!$AA$57),"dd mmm yy"))&amp;" "&amp;Milestones!$AB$57&amp;" "&amp;Milestones!$AC$57&amp;";  ","")&amp;IF(AND(EDATE($D49,Milestones!$AA$58)&lt;=AsOfDate,IF($R49=0,$X49,IF(AND($T49&lt;&gt;"",EDATE($D49,Milestones!$AA$58)&gt;=$T49),$W49,IF(AND($S49&lt;&gt;"",EDATE($D49,Milestones!$AA$58)&gt;=$S49),$V49,$U49)))=Milestones!$AB$58),UPPER(TEXT(EDATE($D49,Milestones!$AA$58),"dd mmm yy"))&amp;" "&amp;Milestones!$AB$58&amp;" "&amp;Milestones!$AC$58&amp;";  ","")&amp;IF(AND(EDATE($D49,Milestones!$AA$59)&lt;=AsOfDate,IF($R49=0,$X49,IF(AND($T49&lt;&gt;"",EDATE($D49,Milestones!$AA$59)&gt;=$T49),$W49,IF(AND($S49&lt;&gt;"",EDATE($D49,Milestones!$AA$59)&gt;=$S49),$V49,$U49)))=Milestones!$AB$59),UPPER(TEXT(EDATE($D49,Milestones!$AA$59),"dd mmm yy"))&amp;" "&amp;Milestones!$AB$59&amp;" "&amp;Milestones!$AC$59&amp;";  ",""))</f>
        <v/>
      </c>
      <c r="K49" s="0" t="str">
        <f aca="false">IF(OR($A49="",$D49=""),"",IF(AND(EDATE($D49,Milestones!$AA$60)&lt;=AsOfDate,IF($R49=0,$X49,IF(AND($T49&lt;&gt;"",EDATE($D49,Milestones!$AA$60)&gt;=$T49),$W49,IF(AND($S49&lt;&gt;"",EDATE($D49,Milestones!$AA$60)&gt;=$S49),$V49,$U49)))=Milestones!$AB$60),UPPER(TEXT(EDATE($D49,Milestones!$AA$60),"dd mmm yy"))&amp;" "&amp;Milestones!$AB$60&amp;" "&amp;Milestones!$AC$60&amp;";  ","")&amp;IF(AND(EDATE($D49,Milestones!$AA$61)&lt;=AsOfDate,IF($R49=0,$X49,IF(AND($T49&lt;&gt;"",EDATE($D49,Milestones!$AA$61)&gt;=$T49),$W49,IF(AND($S49&lt;&gt;"",EDATE($D49,Milestones!$AA$61)&gt;=$S49),$V49,$U49)))=Milestones!$AB$61),UPPER(TEXT(EDATE($D49,Milestones!$AA$61),"dd mmm yy"))&amp;" "&amp;Milestones!$AB$61&amp;" "&amp;Milestones!$AC$61&amp;";  ","")&amp;IF(AND(EDATE($D49,Milestones!$AA$62)&lt;=AsOfDate,IF($R49=0,$X49,IF(AND($T49&lt;&gt;"",EDATE($D49,Milestones!$AA$62)&gt;=$T49),$W49,IF(AND($S49&lt;&gt;"",EDATE($D49,Milestones!$AA$62)&gt;=$S49),$V49,$U49)))=Milestones!$AB$62),UPPER(TEXT(EDATE($D49,Milestones!$AA$62),"dd mmm yy"))&amp;" "&amp;Milestones!$AB$62&amp;" "&amp;Milestones!$AC$62&amp;";  ","")&amp;IF(AND(EDATE($D49,Milestones!$AA$63)&lt;=AsOfDate,IF($R49=0,$X49,IF(AND($T49&lt;&gt;"",EDATE($D49,Milestones!$AA$63)&gt;=$T49),$W49,IF(AND($S49&lt;&gt;"",EDATE($D49,Milestones!$AA$63)&gt;=$S49),$V49,$U49)))=Milestones!$AB$63),UPPER(TEXT(EDATE($D49,Milestones!$AA$63),"dd mmm yy"))&amp;" "&amp;Milestones!$AB$63&amp;" "&amp;Milestones!$AC$63&amp;";  ","")&amp;IF(AND(EDATE($D49,Milestones!$AA$64)&lt;=AsOfDate,IF($R49=0,$X49,IF(AND($T49&lt;&gt;"",EDATE($D49,Milestones!$AA$64)&gt;=$T49),$W49,IF(AND($S49&lt;&gt;"",EDATE($D49,Milestones!$AA$64)&gt;=$S49),$V49,$U49)))=Milestones!$AB$64),UPPER(TEXT(EDATE($D49,Milestones!$AA$64),"dd mmm yy"))&amp;" "&amp;Milestones!$AB$64&amp;" "&amp;Milestones!$AC$64&amp;";  ","")&amp;IF(AND(EDATE($D49,Milestones!$AA$65)&lt;=AsOfDate,IF($R49=0,$X49,IF(AND($T49&lt;&gt;"",EDATE($D49,Milestones!$AA$65)&gt;=$T49),$W49,IF(AND($S49&lt;&gt;"",EDATE($D49,Milestones!$AA$65)&gt;=$S49),$V49,$U49)))=Milestones!$AB$65),UPPER(TEXT(EDATE($D49,Milestones!$AA$65),"dd mmm yy"))&amp;" "&amp;Milestones!$AB$65&amp;" "&amp;Milestones!$AC$65&amp;";  ","")&amp;IF(AND(EDATE($D49,Milestones!$AA$66)&lt;=AsOfDate,IF($R49=0,$X49,IF(AND($T49&lt;&gt;"",EDATE($D49,Milestones!$AA$66)&gt;=$T49),$W49,IF(AND($S49&lt;&gt;"",EDATE($D49,Milestones!$AA$66)&gt;=$S49),$V49,$U49)))=Milestones!$AB$66),UPPER(TEXT(EDATE($D49,Milestones!$AA$66),"dd mmm yy"))&amp;" "&amp;Milestones!$AB$66&amp;" "&amp;Milestones!$AC$66&amp;";  ","")&amp;IF(AND(EDATE($D49,Milestones!$AA$67)&lt;=AsOfDate,IF($R49=0,$X49,IF(AND($T49&lt;&gt;"",EDATE($D49,Milestones!$AA$67)&gt;=$T49),$W49,IF(AND($S49&lt;&gt;"",EDATE($D49,Milestones!$AA$67)&gt;=$S49),$V49,$U49)))=Milestones!$AB$67),UPPER(TEXT(EDATE($D49,Milestones!$AA$67),"dd mmm yy"))&amp;" "&amp;Milestones!$AB$67&amp;" "&amp;Milestones!$AC$67&amp;";  ","")&amp;IF(AND(EDATE($D49,Milestones!$AA$68)&lt;=AsOfDate,IF($R49=0,$X49,IF(AND($T49&lt;&gt;"",EDATE($D49,Milestones!$AA$68)&gt;=$T49),$W49,IF(AND($S49&lt;&gt;"",EDATE($D49,Milestones!$AA$68)&gt;=$S49),$V49,$U49)))=Milestones!$AB$68),UPPER(TEXT(EDATE($D49,Milestones!$AA$68),"dd mmm yy"))&amp;" "&amp;Milestones!$AB$68&amp;" "&amp;Milestones!$AC$68&amp;";  ","")&amp;IF(AND(EDATE($D49,Milestones!$AA$69)&lt;=AsOfDate,IF($R49=0,$X49,IF(AND($T49&lt;&gt;"",EDATE($D49,Milestones!$AA$69)&gt;=$T49),$W49,IF(AND($S49&lt;&gt;"",EDATE($D49,Milestones!$AA$69)&gt;=$S49),$V49,$U49)))=Milestones!$AB$69),UPPER(TEXT(EDATE($D49,Milestones!$AA$69),"dd mmm yy"))&amp;" "&amp;Milestones!$AB$69&amp;" "&amp;Milestones!$AC$69&amp;";  ","")&amp;IF(AND(EDATE($D49,Milestones!$AA$70)&lt;=AsOfDate,IF($R49=0,$X49,IF(AND($T49&lt;&gt;"",EDATE($D49,Milestones!$AA$70)&gt;=$T49),$W49,IF(AND($S49&lt;&gt;"",EDATE($D49,Milestones!$AA$70)&gt;=$S49),$V49,$U49)))=Milestones!$AB$70),UPPER(TEXT(EDATE($D49,Milestones!$AA$70),"dd mmm yy"))&amp;" "&amp;Milestones!$AB$70&amp;" "&amp;Milestones!$AC$70&amp;";  ","")&amp;IF(AND(EDATE($D49,Milestones!$AA$71)&lt;=AsOfDate,IF($R49=0,$X49,IF(AND($T49&lt;&gt;"",EDATE($D49,Milestones!$AA$71)&gt;=$T49),$W49,IF(AND($S49&lt;&gt;"",EDATE($D49,Milestones!$AA$71)&gt;=$S49),$V49,$U49)))=Milestones!$AB$71),UPPER(TEXT(EDATE($D49,Milestones!$AA$71),"dd mmm yy"))&amp;" "&amp;Milestones!$AB$71&amp;" "&amp;Milestones!$AC$71&amp;";  ","")&amp;IF(AND(EDATE($D49,Milestones!$AA$72)&lt;=AsOfDate,IF($R49=0,$X49,IF(AND($T49&lt;&gt;"",EDATE($D49,Milestones!$AA$72)&gt;=$T49),$W49,IF(AND($S49&lt;&gt;"",EDATE($D49,Milestones!$AA$72)&gt;=$S49),$V49,$U49)))=Milestones!$AB$72),UPPER(TEXT(EDATE($D49,Milestones!$AA$72),"dd mmm yy"))&amp;" "&amp;Milestones!$AB$72&amp;" "&amp;Milestones!$AC$72&amp;";  ","")&amp;IF(AND(EDATE($D49,Milestones!$AA$73)&lt;=AsOfDate,IF($R49=0,$X49,IF(AND($T49&lt;&gt;"",EDATE($D49,Milestones!$AA$73)&gt;=$T49),$W49,IF(AND($S49&lt;&gt;"",EDATE($D49,Milestones!$AA$73)&gt;=$S49),$V49,$U49)))=Milestones!$AB$73),UPPER(TEXT(EDATE($D49,Milestones!$AA$73),"dd mmm yy"))&amp;" "&amp;Milestones!$AB$73&amp;" "&amp;Milestones!$AC$73&amp;";  ","")&amp;IF(AND(EDATE($D49,Milestones!$AA$74)&lt;=AsOfDate,IF($R49=0,$X49,IF(AND($T49&lt;&gt;"",EDATE($D49,Milestones!$AA$74)&gt;=$T49),$W49,IF(AND($S49&lt;&gt;"",EDATE($D49,Milestones!$AA$74)&gt;=$S49),$V49,$U49)))=Milestones!$AB$74),UPPER(TEXT(EDATE($D49,Milestones!$AA$74),"dd mmm yy"))&amp;" "&amp;Milestones!$AB$74&amp;" "&amp;Milestones!$AC$74&amp;";  ","")&amp;IF(AND(EDATE($D49,Milestones!$AA$75)&lt;=AsOfDate,IF($R49=0,$X49,IF(AND($T49&lt;&gt;"",EDATE($D49,Milestones!$AA$75)&gt;=$T49),$W49,IF(AND($S49&lt;&gt;"",EDATE($D49,Milestones!$AA$75)&gt;=$S49),$V49,$U49)))=Milestones!$AB$75),UPPER(TEXT(EDATE($D49,Milestones!$AA$75),"dd mmm yy"))&amp;" "&amp;Milestones!$AB$75&amp;" "&amp;Milestones!$AC$75&amp;";  ","")&amp;IF(AND(EDATE($D49,Milestones!$AA$76)&lt;=AsOfDate,IF($R49=0,$X49,IF(AND($T49&lt;&gt;"",EDATE($D49,Milestones!$AA$76)&gt;=$T49),$W49,IF(AND($S49&lt;&gt;"",EDATE($D49,Milestones!$AA$76)&gt;=$S49),$V49,$U49)))=Milestones!$AB$76),UPPER(TEXT(EDATE($D49,Milestones!$AA$76),"dd mmm yy"))&amp;" "&amp;Milestones!$AB$76&amp;" "&amp;Milestones!$AC$76&amp;";  ","")&amp;IF(AND(EDATE($D49,Milestones!$AA$77)&lt;=AsOfDate,IF($R49=0,$X49,IF(AND($T49&lt;&gt;"",EDATE($D49,Milestones!$AA$77)&gt;=$T49),$W49,IF(AND($S49&lt;&gt;"",EDATE($D49,Milestones!$AA$77)&gt;=$S49),$V49,$U49)))=Milestones!$AB$77),UPPER(TEXT(EDATE($D49,Milestones!$AA$77),"dd mmm yy"))&amp;" "&amp;Milestones!$AB$77&amp;" "&amp;Milestones!$AC$77&amp;";  ","")&amp;IF(AND(EDATE($D49,Milestones!$AA$78)&lt;=AsOfDate,IF($R49=0,$X49,IF(AND($T49&lt;&gt;"",EDATE($D49,Milestones!$AA$78)&gt;=$T49),$W49,IF(AND($S49&lt;&gt;"",EDATE($D49,Milestones!$AA$78)&gt;=$S49),$V49,$U49)))=Milestones!$AB$78),UPPER(TEXT(EDATE($D49,Milestones!$AA$78),"dd mmm yy"))&amp;" "&amp;Milestones!$AB$78&amp;" "&amp;Milestones!$AC$78&amp;";  ","")&amp;IF(AND(EDATE($D49,Milestones!$AA$79)&lt;=AsOfDate,IF($R49=0,$X49,IF(AND($T49&lt;&gt;"",EDATE($D49,Milestones!$AA$79)&gt;=$T49),$W49,IF(AND($S49&lt;&gt;"",EDATE($D49,Milestones!$AA$79)&gt;=$S49),$V49,$U49)))=Milestones!$AB$79),UPPER(TEXT(EDATE($D49,Milestones!$AA$79),"dd mmm yy"))&amp;" "&amp;Milestones!$AB$79&amp;" "&amp;Milestones!$AC$79&amp;";  ",""))</f>
        <v/>
      </c>
      <c r="L49" s="0" t="str">
        <f aca="false">IF(OR($A49="",$D49=""),"",IF(AND(EDATE($D49,Milestones!$AA$80)&lt;=AsOfDate,IF($R49=0,$X49,IF(AND($T49&lt;&gt;"",EDATE($D49,Milestones!$AA$80)&gt;=$T49),$W49,IF(AND($S49&lt;&gt;"",EDATE($D49,Milestones!$AA$80)&gt;=$S49),$V49,$U49)))=Milestones!$AB$80),UPPER(TEXT(EDATE($D49,Milestones!$AA$80),"dd mmm yy"))&amp;" "&amp;Milestones!$AB$80&amp;" "&amp;Milestones!$AC$80&amp;";  ","")&amp;IF(AND(EDATE($D49,Milestones!$AA$81)&lt;=AsOfDate,IF($R49=0,$X49,IF(AND($T49&lt;&gt;"",EDATE($D49,Milestones!$AA$81)&gt;=$T49),$W49,IF(AND($S49&lt;&gt;"",EDATE($D49,Milestones!$AA$81)&gt;=$S49),$V49,$U49)))=Milestones!$AB$81),UPPER(TEXT(EDATE($D49,Milestones!$AA$81),"dd mmm yy"))&amp;" "&amp;Milestones!$AB$81&amp;" "&amp;Milestones!$AC$81&amp;";  ","")&amp;IF(AND(EDATE($D49,Milestones!$AA$82)&lt;=AsOfDate,IF($R49=0,$X49,IF(AND($T49&lt;&gt;"",EDATE($D49,Milestones!$AA$82)&gt;=$T49),$W49,IF(AND($S49&lt;&gt;"",EDATE($D49,Milestones!$AA$82)&gt;=$S49),$V49,$U49)))=Milestones!$AB$82),UPPER(TEXT(EDATE($D49,Milestones!$AA$82),"dd mmm yy"))&amp;" "&amp;Milestones!$AB$82&amp;" "&amp;Milestones!$AC$82&amp;";  ","")&amp;IF(AND(EDATE($D49,Milestones!$AA$83)&lt;=AsOfDate,IF($R49=0,$X49,IF(AND($T49&lt;&gt;"",EDATE($D49,Milestones!$AA$83)&gt;=$T49),$W49,IF(AND($S49&lt;&gt;"",EDATE($D49,Milestones!$AA$83)&gt;=$S49),$V49,$U49)))=Milestones!$AB$83),UPPER(TEXT(EDATE($D49,Milestones!$AA$83),"dd mmm yy"))&amp;" "&amp;Milestones!$AB$83&amp;" "&amp;Milestones!$AC$83&amp;";  ","")&amp;IF(AND(EDATE($D49,Milestones!$AA$84)&lt;=AsOfDate,IF($R49=0,$X49,IF(AND($T49&lt;&gt;"",EDATE($D49,Milestones!$AA$84)&gt;=$T49),$W49,IF(AND($S49&lt;&gt;"",EDATE($D49,Milestones!$AA$84)&gt;=$S49),$V49,$U49)))=Milestones!$AB$84),UPPER(TEXT(EDATE($D49,Milestones!$AA$84),"dd mmm yy"))&amp;" "&amp;Milestones!$AB$84&amp;" "&amp;Milestones!$AC$84&amp;";  ","")&amp;IF(AND(EDATE($D49,Milestones!$AA$85)&lt;=AsOfDate,IF($R49=0,$X49,IF(AND($T49&lt;&gt;"",EDATE($D49,Milestones!$AA$85)&gt;=$T49),$W49,IF(AND($S49&lt;&gt;"",EDATE($D49,Milestones!$AA$85)&gt;=$S49),$V49,$U49)))=Milestones!$AB$85),UPPER(TEXT(EDATE($D49,Milestones!$AA$85),"dd mmm yy"))&amp;" "&amp;Milestones!$AB$85&amp;" "&amp;Milestones!$AC$85&amp;";  ","")&amp;IF(AND(EDATE($D49,Milestones!$AA$86)&lt;=AsOfDate,IF($R49=0,$X49,IF(AND($T49&lt;&gt;"",EDATE($D49,Milestones!$AA$86)&gt;=$T49),$W49,IF(AND($S49&lt;&gt;"",EDATE($D49,Milestones!$AA$86)&gt;=$S49),$V49,$U49)))=Milestones!$AB$86),UPPER(TEXT(EDATE($D49,Milestones!$AA$86),"dd mmm yy"))&amp;" "&amp;Milestones!$AB$86&amp;" "&amp;Milestones!$AC$86&amp;";  ","")&amp;IF(AND(EDATE($D49,Milestones!$AA$87)&lt;=AsOfDate,IF($R49=0,$X49,IF(AND($T49&lt;&gt;"",EDATE($D49,Milestones!$AA$87)&gt;=$T49),$W49,IF(AND($S49&lt;&gt;"",EDATE($D49,Milestones!$AA$87)&gt;=$S49),$V49,$U49)))=Milestones!$AB$87),UPPER(TEXT(EDATE($D49,Milestones!$AA$87),"dd mmm yy"))&amp;" "&amp;Milestones!$AB$87&amp;" "&amp;Milestones!$AC$87&amp;";  ","")&amp;IF(AND(EDATE($D49,Milestones!$AA$88)&lt;=AsOfDate,IF($R49=0,$X49,IF(AND($T49&lt;&gt;"",EDATE($D49,Milestones!$AA$88)&gt;=$T49),$W49,IF(AND($S49&lt;&gt;"",EDATE($D49,Milestones!$AA$88)&gt;=$S49),$V49,$U49)))=Milestones!$AB$88),UPPER(TEXT(EDATE($D49,Milestones!$AA$88),"dd mmm yy"))&amp;" "&amp;Milestones!$AB$88&amp;" "&amp;Milestones!$AC$88&amp;";  ","")&amp;IF(AND(EDATE($D49,Milestones!$AA$89)&lt;=AsOfDate,IF($R49=0,$X49,IF(AND($T49&lt;&gt;"",EDATE($D49,Milestones!$AA$89)&gt;=$T49),$W49,IF(AND($S49&lt;&gt;"",EDATE($D49,Milestones!$AA$89)&gt;=$S49),$V49,$U49)))=Milestones!$AB$89),UPPER(TEXT(EDATE($D49,Milestones!$AA$89),"dd mmm yy"))&amp;" "&amp;Milestones!$AB$89&amp;" "&amp;Milestones!$AC$89&amp;";  ","")&amp;IF(AND(EDATE($D49,Milestones!$AA$90)&lt;=AsOfDate,IF($R49=0,$X49,IF(AND($T49&lt;&gt;"",EDATE($D49,Milestones!$AA$90)&gt;=$T49),$W49,IF(AND($S49&lt;&gt;"",EDATE($D49,Milestones!$AA$90)&gt;=$S49),$V49,$U49)))=Milestones!$AB$90),UPPER(TEXT(EDATE($D49,Milestones!$AA$90),"dd mmm yy"))&amp;" "&amp;Milestones!$AB$90&amp;" "&amp;Milestones!$AC$90&amp;";  ","")&amp;IF(AND(EDATE($D49,Milestones!$AA$91)&lt;=AsOfDate,IF($R49=0,$X49,IF(AND($T49&lt;&gt;"",EDATE($D49,Milestones!$AA$91)&gt;=$T49),$W49,IF(AND($S49&lt;&gt;"",EDATE($D49,Milestones!$AA$91)&gt;=$S49),$V49,$U49)))=Milestones!$AB$91),UPPER(TEXT(EDATE($D49,Milestones!$AA$91),"dd mmm yy"))&amp;" "&amp;Milestones!$AB$91&amp;" "&amp;Milestones!$AC$91&amp;";  ","")&amp;IF(AND(EDATE($D49,Milestones!$AA$92)&lt;=AsOfDate,IF($R49=0,$X49,IF(AND($T49&lt;&gt;"",EDATE($D49,Milestones!$AA$92)&gt;=$T49),$W49,IF(AND($S49&lt;&gt;"",EDATE($D49,Milestones!$AA$92)&gt;=$S49),$V49,$U49)))=Milestones!$AB$92),UPPER(TEXT(EDATE($D49,Milestones!$AA$92),"dd mmm yy"))&amp;" "&amp;Milestones!$AB$92&amp;" "&amp;Milestones!$AC$92&amp;";  ","")&amp;IF(AND(EDATE($D49,Milestones!$AA$93)&lt;=AsOfDate,IF($R49=0,$X49,IF(AND($T49&lt;&gt;"",EDATE($D49,Milestones!$AA$93)&gt;=$T49),$W49,IF(AND($S49&lt;&gt;"",EDATE($D49,Milestones!$AA$93)&gt;=$S49),$V49,$U49)))=Milestones!$AB$93),UPPER(TEXT(EDATE($D49,Milestones!$AA$93),"dd mmm yy"))&amp;" "&amp;Milestones!$AB$93&amp;" "&amp;Milestones!$AC$93&amp;";  ","")&amp;IF(AND(EDATE($D49,Milestones!$AA$94)&lt;=AsOfDate,IF($R49=0,$X49,IF(AND($T49&lt;&gt;"",EDATE($D49,Milestones!$AA$94)&gt;=$T49),$W49,IF(AND($S49&lt;&gt;"",EDATE($D49,Milestones!$AA$94)&gt;=$S49),$V49,$U49)))=Milestones!$AB$94),UPPER(TEXT(EDATE($D49,Milestones!$AA$94),"dd mmm yy"))&amp;" "&amp;Milestones!$AB$94&amp;" "&amp;Milestones!$AC$94&amp;";  ","")&amp;IF(AND(EDATE($D49,Milestones!$AA$95)&lt;=AsOfDate,IF($R49=0,$X49,IF(AND($T49&lt;&gt;"",EDATE($D49,Milestones!$AA$95)&gt;=$T49),$W49,IF(AND($S49&lt;&gt;"",EDATE($D49,Milestones!$AA$95)&gt;=$S49),$V49,$U49)))=Milestones!$AB$95),UPPER(TEXT(EDATE($D49,Milestones!$AA$95),"dd mmm yy"))&amp;" "&amp;Milestones!$AB$95&amp;" "&amp;Milestones!$AC$95&amp;";  ","")&amp;IF(AND(EDATE($D49,Milestones!$AA$96)&lt;=AsOfDate,IF($R49=0,$X49,IF(AND($T49&lt;&gt;"",EDATE($D49,Milestones!$AA$96)&gt;=$T49),$W49,IF(AND($S49&lt;&gt;"",EDATE($D49,Milestones!$AA$96)&gt;=$S49),$V49,$U49)))=Milestones!$AB$96),UPPER(TEXT(EDATE($D49,Milestones!$AA$96),"dd mmm yy"))&amp;" "&amp;Milestones!$AB$96&amp;" "&amp;Milestones!$AC$96&amp;";  ","")&amp;IF(AND(EDATE($D49,Milestones!$AA$97)&lt;=AsOfDate,IF($R49=0,$X49,IF(AND($T49&lt;&gt;"",EDATE($D49,Milestones!$AA$97)&gt;=$T49),$W49,IF(AND($S49&lt;&gt;"",EDATE($D49,Milestones!$AA$97)&gt;=$S49),$V49,$U49)))=Milestones!$AB$97),UPPER(TEXT(EDATE($D49,Milestones!$AA$97),"dd mmm yy"))&amp;" "&amp;Milestones!$AB$97&amp;" "&amp;Milestones!$AC$97&amp;";  ","")&amp;IF(AND(EDATE($D49,Milestones!$AA$98)&lt;=AsOfDate,IF($R49=0,$X49,IF(AND($T49&lt;&gt;"",EDATE($D49,Milestones!$AA$98)&gt;=$T49),$W49,IF(AND($S49&lt;&gt;"",EDATE($D49,Milestones!$AA$98)&gt;=$S49),$V49,$U49)))=Milestones!$AB$98),UPPER(TEXT(EDATE($D49,Milestones!$AA$98),"dd mmm yy"))&amp;" "&amp;Milestones!$AB$98&amp;" "&amp;Milestones!$AC$98&amp;";  ","")&amp;IF(AND(EDATE($D49,Milestones!$AA$99)&lt;=AsOfDate,IF($R49=0,$X49,IF(AND($T49&lt;&gt;"",EDATE($D49,Milestones!$AA$99)&gt;=$T49),$W49,IF(AND($S49&lt;&gt;"",EDATE($D49,Milestones!$AA$99)&gt;=$S49),$V49,$U49)))=Milestones!$AB$99),UPPER(TEXT(EDATE($D49,Milestones!$AA$99),"dd mmm yy"))&amp;" "&amp;Milestones!$AB$99&amp;" "&amp;Milestones!$AC$99&amp;";  ",""))</f>
        <v/>
      </c>
      <c r="M49" s="0" t="str">
        <f aca="false">IF(OR($A49="",$D49=""),"",IF(AND(EDATE($D49,Milestones!$AA$100)&lt;=AsOfDate,IF($R49=0,$X49,IF(AND($T49&lt;&gt;"",EDATE($D49,Milestones!$AA$100)&gt;=$T49),$W49,IF(AND($S49&lt;&gt;"",EDATE($D49,Milestones!$AA$100)&gt;=$S49),$V49,$U49)))=Milestones!$AB$100),UPPER(TEXT(EDATE($D49,Milestones!$AA$100),"dd mmm yy"))&amp;" "&amp;Milestones!$AB$100&amp;" "&amp;Milestones!$AC$100&amp;";  ","")&amp;IF(AND(EDATE($D49,Milestones!$AA$101)&lt;=AsOfDate,IF($R49=0,$X49,IF(AND($T49&lt;&gt;"",EDATE($D49,Milestones!$AA$101)&gt;=$T49),$W49,IF(AND($S49&lt;&gt;"",EDATE($D49,Milestones!$AA$101)&gt;=$S49),$V49,$U49)))=Milestones!$AB$101),UPPER(TEXT(EDATE($D49,Milestones!$AA$101),"dd mmm yy"))&amp;" "&amp;Milestones!$AB$101&amp;" "&amp;Milestones!$AC$101&amp;";  ","")&amp;IF(AND(EDATE($D49,Milestones!$AA$102)&lt;=AsOfDate,IF($R49=0,$X49,IF(AND($T49&lt;&gt;"",EDATE($D49,Milestones!$AA$102)&gt;=$T49),$W49,IF(AND($S49&lt;&gt;"",EDATE($D49,Milestones!$AA$102)&gt;=$S49),$V49,$U49)))=Milestones!$AB$102),UPPER(TEXT(EDATE($D49,Milestones!$AA$102),"dd mmm yy"))&amp;" "&amp;Milestones!$AB$102&amp;" "&amp;Milestones!$AC$102&amp;";  ","")&amp;IF(AND(EDATE($D49,Milestones!$AA$103)&lt;=AsOfDate,IF($R49=0,$X49,IF(AND($T49&lt;&gt;"",EDATE($D49,Milestones!$AA$103)&gt;=$T49),$W49,IF(AND($S49&lt;&gt;"",EDATE($D49,Milestones!$AA$103)&gt;=$S49),$V49,$U49)))=Milestones!$AB$103),UPPER(TEXT(EDATE($D49,Milestones!$AA$103),"dd mmm yy"))&amp;" "&amp;Milestones!$AB$103&amp;" "&amp;Milestones!$AC$103&amp;";  ","")&amp;IF(AND(EDATE($D49,Milestones!$AA$104)&lt;=AsOfDate,IF($R49=0,$X49,IF(AND($T49&lt;&gt;"",EDATE($D49,Milestones!$AA$104)&gt;=$T49),$W49,IF(AND($S49&lt;&gt;"",EDATE($D49,Milestones!$AA$104)&gt;=$S49),$V49,$U49)))=Milestones!$AB$104),UPPER(TEXT(EDATE($D49,Milestones!$AA$104),"dd mmm yy"))&amp;" "&amp;Milestones!$AB$104&amp;" "&amp;Milestones!$AC$104&amp;";  ","")&amp;IF(AND(EDATE($D49,Milestones!$AA$105)&lt;=AsOfDate,IF($R49=0,$X49,IF(AND($T49&lt;&gt;"",EDATE($D49,Milestones!$AA$105)&gt;=$T49),$W49,IF(AND($S49&lt;&gt;"",EDATE($D49,Milestones!$AA$105)&gt;=$S49),$V49,$U49)))=Milestones!$AB$105),UPPER(TEXT(EDATE($D49,Milestones!$AA$105),"dd mmm yy"))&amp;" "&amp;Milestones!$AB$105&amp;" "&amp;Milestones!$AC$105&amp;";  ","")&amp;IF(AND(EDATE($D49,Milestones!$AA$106)&lt;=AsOfDate,IF($R49=0,$X49,IF(AND($T49&lt;&gt;"",EDATE($D49,Milestones!$AA$106)&gt;=$T49),$W49,IF(AND($S49&lt;&gt;"",EDATE($D49,Milestones!$AA$106)&gt;=$S49),$V49,$U49)))=Milestones!$AB$106),UPPER(TEXT(EDATE($D49,Milestones!$AA$106),"dd mmm yy"))&amp;" "&amp;Milestones!$AB$106&amp;" "&amp;Milestones!$AC$106&amp;";  ","")&amp;IF(AND(EDATE($D49,Milestones!$AA$107)&lt;=AsOfDate,IF($R49=0,$X49,IF(AND($T49&lt;&gt;"",EDATE($D49,Milestones!$AA$107)&gt;=$T49),$W49,IF(AND($S49&lt;&gt;"",EDATE($D49,Milestones!$AA$107)&gt;=$S49),$V49,$U49)))=Milestones!$AB$107),UPPER(TEXT(EDATE($D49,Milestones!$AA$107),"dd mmm yy"))&amp;" "&amp;Milestones!$AB$107&amp;" "&amp;Milestones!$AC$107&amp;";  ","")&amp;IF(AND(EDATE($D49,Milestones!$AA$108)&lt;=AsOfDate,IF($R49=0,$X49,IF(AND($T49&lt;&gt;"",EDATE($D49,Milestones!$AA$108)&gt;=$T49),$W49,IF(AND($S49&lt;&gt;"",EDATE($D49,Milestones!$AA$108)&gt;=$S49),$V49,$U49)))=Milestones!$AB$108),UPPER(TEXT(EDATE($D49,Milestones!$AA$108),"dd mmm yy"))&amp;" "&amp;Milestones!$AB$108&amp;" "&amp;Milestones!$AC$108&amp;";  ","")&amp;IF(AND(EDATE($D49,Milestones!$AA$109)&lt;=AsOfDate,IF($R49=0,$X49,IF(AND($T49&lt;&gt;"",EDATE($D49,Milestones!$AA$109)&gt;=$T49),$W49,IF(AND($S49&lt;&gt;"",EDATE($D49,Milestones!$AA$109)&gt;=$S49),$V49,$U49)))=Milestones!$AB$109),UPPER(TEXT(EDATE($D49,Milestones!$AA$109),"dd mmm yy"))&amp;" "&amp;Milestones!$AB$109&amp;" "&amp;Milestones!$AC$109&amp;";  ","")&amp;IF(AND(EDATE($D49,Milestones!$AA$110)&lt;=AsOfDate,IF($R49=0,$X49,IF(AND($T49&lt;&gt;"",EDATE($D49,Milestones!$AA$110)&gt;=$T49),$W49,IF(AND($S49&lt;&gt;"",EDATE($D49,Milestones!$AA$110)&gt;=$S49),$V49,$U49)))=Milestones!$AB$110),UPPER(TEXT(EDATE($D49,Milestones!$AA$110),"dd mmm yy"))&amp;" "&amp;Milestones!$AB$110&amp;" "&amp;Milestones!$AC$110&amp;";  ","")&amp;IF(AND(EDATE($D49,Milestones!$AA$111)&lt;=AsOfDate,IF($R49=0,$X49,IF(AND($T49&lt;&gt;"",EDATE($D49,Milestones!$AA$111)&gt;=$T49),$W49,IF(AND($S49&lt;&gt;"",EDATE($D49,Milestones!$AA$111)&gt;=$S49),$V49,$U49)))=Milestones!$AB$111),UPPER(TEXT(EDATE($D49,Milestones!$AA$111),"dd mmm yy"))&amp;" "&amp;Milestones!$AB$111&amp;" "&amp;Milestones!$AC$111&amp;";  ","")&amp;IF(AND(EDATE($D49,Milestones!$AA$112)&lt;=AsOfDate,IF($R49=0,$X49,IF(AND($T49&lt;&gt;"",EDATE($D49,Milestones!$AA$112)&gt;=$T49),$W49,IF(AND($S49&lt;&gt;"",EDATE($D49,Milestones!$AA$112)&gt;=$S49),$V49,$U49)))=Milestones!$AB$112),UPPER(TEXT(EDATE($D49,Milestones!$AA$112),"dd mmm yy"))&amp;" "&amp;Milestones!$AB$112&amp;" "&amp;Milestones!$AC$112&amp;";  ","")&amp;IF(AND(EDATE($D49,Milestones!$AA$113)&lt;=AsOfDate,IF($R49=0,$X49,IF(AND($T49&lt;&gt;"",EDATE($D49,Milestones!$AA$113)&gt;=$T49),$W49,IF(AND($S49&lt;&gt;"",EDATE($D49,Milestones!$AA$113)&gt;=$S49),$V49,$U49)))=Milestones!$AB$113),UPPER(TEXT(EDATE($D49,Milestones!$AA$113),"dd mmm yy"))&amp;" "&amp;Milestones!$AB$113&amp;" "&amp;Milestones!$AC$113&amp;";  ","")&amp;IF(AND(EDATE($D49,Milestones!$AA$114)&lt;=AsOfDate,IF($R49=0,$X49,IF(AND($T49&lt;&gt;"",EDATE($D49,Milestones!$AA$114)&gt;=$T49),$W49,IF(AND($S49&lt;&gt;"",EDATE($D49,Milestones!$AA$114)&gt;=$S49),$V49,$U49)))=Milestones!$AB$114),UPPER(TEXT(EDATE($D49,Milestones!$AA$114),"dd mmm yy"))&amp;" "&amp;Milestones!$AB$114&amp;" "&amp;Milestones!$AC$114&amp;";  ","")&amp;IF(AND(EDATE($D49,Milestones!$AA$115)&lt;=AsOfDate,IF($R49=0,$X49,IF(AND($T49&lt;&gt;"",EDATE($D49,Milestones!$AA$115)&gt;=$T49),$W49,IF(AND($S49&lt;&gt;"",EDATE($D49,Milestones!$AA$115)&gt;=$S49),$V49,$U49)))=Milestones!$AB$115),UPPER(TEXT(EDATE($D49,Milestones!$AA$115),"dd mmm yy"))&amp;" "&amp;Milestones!$AB$115&amp;" "&amp;Milestones!$AC$115&amp;";  ","")&amp;IF(AND(EDATE($D49,Milestones!$AA$116)&lt;=AsOfDate,IF($R49=0,$X49,IF(AND($T49&lt;&gt;"",EDATE($D49,Milestones!$AA$116)&gt;=$T49),$W49,IF(AND($S49&lt;&gt;"",EDATE($D49,Milestones!$AA$116)&gt;=$S49),$V49,$U49)))=Milestones!$AB$116),UPPER(TEXT(EDATE($D49,Milestones!$AA$116),"dd mmm yy"))&amp;" "&amp;Milestones!$AB$116&amp;" "&amp;Milestones!$AC$116&amp;";  ","")&amp;IF(AND(EDATE($D49,Milestones!$AA$117)&lt;=AsOfDate,IF($R49=0,$X49,IF(AND($T49&lt;&gt;"",EDATE($D49,Milestones!$AA$117)&gt;=$T49),$W49,IF(AND($S49&lt;&gt;"",EDATE($D49,Milestones!$AA$117)&gt;=$S49),$V49,$U49)))=Milestones!$AB$117),UPPER(TEXT(EDATE($D49,Milestones!$AA$117),"dd mmm yy"))&amp;" "&amp;Milestones!$AB$117&amp;" "&amp;Milestones!$AC$117&amp;";  ","")&amp;IF(AND(EDATE($D49,Milestones!$AA$118)&lt;=AsOfDate,IF($R49=0,$X49,IF(AND($T49&lt;&gt;"",EDATE($D49,Milestones!$AA$118)&gt;=$T49),$W49,IF(AND($S49&lt;&gt;"",EDATE($D49,Milestones!$AA$118)&gt;=$S49),$V49,$U49)))=Milestones!$AB$118),UPPER(TEXT(EDATE($D49,Milestones!$AA$118),"dd mmm yy"))&amp;" "&amp;Milestones!$AB$118&amp;" "&amp;Milestones!$AC$118&amp;";  ","")&amp;IF(AND(EDATE($D49,Milestones!$AA$119)&lt;=AsOfDate,IF($R49=0,$X49,IF(AND($T49&lt;&gt;"",EDATE($D49,Milestones!$AA$119)&gt;=$T49),$W49,IF(AND($S49&lt;&gt;"",EDATE($D49,Milestones!$AA$119)&gt;=$S49),$V49,$U49)))=Milestones!$AB$119),UPPER(TEXT(EDATE($D49,Milestones!$AA$119),"dd mmm yy"))&amp;" "&amp;Milestones!$AB$119&amp;" "&amp;Milestones!$AC$119&amp;";  ",""))</f>
        <v/>
      </c>
      <c r="N49" s="0" t="str">
        <f aca="false">IF(OR($A49="",$D49=""),"",IF(AND(EDATE($D49,Milestones!$AA$120)&lt;=AsOfDate,IF($R49=0,$X49,IF(AND($T49&lt;&gt;"",EDATE($D49,Milestones!$AA$120)&gt;=$T49),$W49,IF(AND($S49&lt;&gt;"",EDATE($D49,Milestones!$AA$120)&gt;=$S49),$V49,$U49)))=Milestones!$AB$120),UPPER(TEXT(EDATE($D49,Milestones!$AA$120),"dd mmm yy"))&amp;" "&amp;Milestones!$AB$120&amp;" "&amp;Milestones!$AC$120&amp;";  ","")&amp;IF(AND(EDATE($D49,Milestones!$AA$121)&lt;=AsOfDate,IF($R49=0,$X49,IF(AND($T49&lt;&gt;"",EDATE($D49,Milestones!$AA$121)&gt;=$T49),$W49,IF(AND($S49&lt;&gt;"",EDATE($D49,Milestones!$AA$121)&gt;=$S49),$V49,$U49)))=Milestones!$AB$121),UPPER(TEXT(EDATE($D49,Milestones!$AA$121),"dd mmm yy"))&amp;" "&amp;Milestones!$AB$121&amp;" "&amp;Milestones!$AC$121&amp;";  ","")&amp;IF(AND(EDATE($D49,Milestones!$AA$122)&lt;=AsOfDate,IF($R49=0,$X49,IF(AND($T49&lt;&gt;"",EDATE($D49,Milestones!$AA$122)&gt;=$T49),$W49,IF(AND($S49&lt;&gt;"",EDATE($D49,Milestones!$AA$122)&gt;=$S49),$V49,$U49)))=Milestones!$AB$122),UPPER(TEXT(EDATE($D49,Milestones!$AA$122),"dd mmm yy"))&amp;" "&amp;Milestones!$AB$122&amp;" "&amp;Milestones!$AC$122&amp;";  ","")&amp;IF(AND(EDATE($D49,Milestones!$AA$123)&lt;=AsOfDate,IF($R49=0,$X49,IF(AND($T49&lt;&gt;"",EDATE($D49,Milestones!$AA$123)&gt;=$T49),$W49,IF(AND($S49&lt;&gt;"",EDATE($D49,Milestones!$AA$123)&gt;=$S49),$V49,$U49)))=Milestones!$AB$123),UPPER(TEXT(EDATE($D49,Milestones!$AA$123),"dd mmm yy"))&amp;" "&amp;Milestones!$AB$123&amp;" "&amp;Milestones!$AC$123&amp;";  ","")&amp;IF(AND(EDATE($D49,Milestones!$AA$124)&lt;=AsOfDate,IF($R49=0,$X49,IF(AND($T49&lt;&gt;"",EDATE($D49,Milestones!$AA$124)&gt;=$T49),$W49,IF(AND($S49&lt;&gt;"",EDATE($D49,Milestones!$AA$124)&gt;=$S49),$V49,$U49)))=Milestones!$AB$124),UPPER(TEXT(EDATE($D49,Milestones!$AA$124),"dd mmm yy"))&amp;" "&amp;Milestones!$AB$124&amp;" "&amp;Milestones!$AC$124&amp;";  ","")&amp;IF(AND(EDATE($D49,Milestones!$AA$125)&lt;=AsOfDate,IF($R49=0,$X49,IF(AND($T49&lt;&gt;"",EDATE($D49,Milestones!$AA$125)&gt;=$T49),$W49,IF(AND($S49&lt;&gt;"",EDATE($D49,Milestones!$AA$125)&gt;=$S49),$V49,$U49)))=Milestones!$AB$125),UPPER(TEXT(EDATE($D49,Milestones!$AA$125),"dd mmm yy"))&amp;" "&amp;Milestones!$AB$125&amp;" "&amp;Milestones!$AC$125&amp;";  ","")&amp;IF(AND(EDATE($D49,Milestones!$AA$126)&lt;=AsOfDate,IF($R49=0,$X49,IF(AND($T49&lt;&gt;"",EDATE($D49,Milestones!$AA$126)&gt;=$T49),$W49,IF(AND($S49&lt;&gt;"",EDATE($D49,Milestones!$AA$126)&gt;=$S49),$V49,$U49)))=Milestones!$AB$126),UPPER(TEXT(EDATE($D49,Milestones!$AA$126),"dd mmm yy"))&amp;" "&amp;Milestones!$AB$126&amp;" "&amp;Milestones!$AC$126&amp;";  ","")&amp;IF(AND(EDATE($D49,Milestones!$AA$127)&lt;=AsOfDate,IF($R49=0,$X49,IF(AND($T49&lt;&gt;"",EDATE($D49,Milestones!$AA$127)&gt;=$T49),$W49,IF(AND($S49&lt;&gt;"",EDATE($D49,Milestones!$AA$127)&gt;=$S49),$V49,$U49)))=Milestones!$AB$127),UPPER(TEXT(EDATE($D49,Milestones!$AA$127),"dd mmm yy"))&amp;" "&amp;Milestones!$AB$127&amp;" "&amp;Milestones!$AC$127&amp;";  ","")&amp;IF(AND(EDATE($D49,Milestones!$AA$128)&lt;=AsOfDate,IF($R49=0,$X49,IF(AND($T49&lt;&gt;"",EDATE($D49,Milestones!$AA$128)&gt;=$T49),$W49,IF(AND($S49&lt;&gt;"",EDATE($D49,Milestones!$AA$128)&gt;=$S49),$V49,$U49)))=Milestones!$AB$128),UPPER(TEXT(EDATE($D49,Milestones!$AA$128),"dd mmm yy"))&amp;" "&amp;Milestones!$AB$128&amp;" "&amp;Milestones!$AC$128&amp;";  ","")&amp;IF(AND(EDATE($D49,Milestones!$AA$129)&lt;=AsOfDate,IF($R49=0,$X49,IF(AND($T49&lt;&gt;"",EDATE($D49,Milestones!$AA$129)&gt;=$T49),$W49,IF(AND($S49&lt;&gt;"",EDATE($D49,Milestones!$AA$129)&gt;=$S49),$V49,$U49)))=Milestones!$AB$129),UPPER(TEXT(EDATE($D49,Milestones!$AA$129),"dd mmm yy"))&amp;" "&amp;Milestones!$AB$129&amp;" "&amp;Milestones!$AC$129&amp;";  ","")&amp;IF(AND(EDATE($D49,Milestones!$AA$130)&lt;=AsOfDate,IF($R49=0,$X49,IF(AND($T49&lt;&gt;"",EDATE($D49,Milestones!$AA$130)&gt;=$T49),$W49,IF(AND($S49&lt;&gt;"",EDATE($D49,Milestones!$AA$130)&gt;=$S49),$V49,$U49)))=Milestones!$AB$130),UPPER(TEXT(EDATE($D49,Milestones!$AA$130),"dd mmm yy"))&amp;" "&amp;Milestones!$AB$130&amp;" "&amp;Milestones!$AC$130&amp;";  ","")&amp;IF(AND(EDATE($D49,Milestones!$AA$131)&lt;=AsOfDate,IF($R49=0,$X49,IF(AND($T49&lt;&gt;"",EDATE($D49,Milestones!$AA$131)&gt;=$T49),$W49,IF(AND($S49&lt;&gt;"",EDATE($D49,Milestones!$AA$131)&gt;=$S49),$V49,$U49)))=Milestones!$AB$131),UPPER(TEXT(EDATE($D49,Milestones!$AA$131),"dd mmm yy"))&amp;" "&amp;Milestones!$AB$131&amp;" "&amp;Milestones!$AC$131&amp;";  ","")&amp;IF(AND(EDATE($D49,Milestones!$AA$132)&lt;=AsOfDate,IF($R49=0,$X49,IF(AND($T49&lt;&gt;"",EDATE($D49,Milestones!$AA$132)&gt;=$T49),$W49,IF(AND($S49&lt;&gt;"",EDATE($D49,Milestones!$AA$132)&gt;=$S49),$V49,$U49)))=Milestones!$AB$132),UPPER(TEXT(EDATE($D49,Milestones!$AA$132),"dd mmm yy"))&amp;" "&amp;Milestones!$AB$132&amp;" "&amp;Milestones!$AC$132&amp;";  ","")&amp;IF(AND(EDATE($D49,Milestones!$AA$133)&lt;=AsOfDate,IF($R49=0,$X49,IF(AND($T49&lt;&gt;"",EDATE($D49,Milestones!$AA$133)&gt;=$T49),$W49,IF(AND($S49&lt;&gt;"",EDATE($D49,Milestones!$AA$133)&gt;=$S49),$V49,$U49)))=Milestones!$AB$133),UPPER(TEXT(EDATE($D49,Milestones!$AA$133),"dd mmm yy"))&amp;" "&amp;Milestones!$AB$133&amp;" "&amp;Milestones!$AC$133&amp;";  ","")&amp;IF(AND(EDATE($D49,Milestones!$AA$134)&lt;=AsOfDate,IF($R49=0,$X49,IF(AND($T49&lt;&gt;"",EDATE($D49,Milestones!$AA$134)&gt;=$T49),$W49,IF(AND($S49&lt;&gt;"",EDATE($D49,Milestones!$AA$134)&gt;=$S49),$V49,$U49)))=Milestones!$AB$134),UPPER(TEXT(EDATE($D49,Milestones!$AA$134),"dd mmm yy"))&amp;" "&amp;Milestones!$AB$134&amp;" "&amp;Milestones!$AC$134&amp;";  ","")&amp;IF(AND(EDATE($D49,Milestones!$AA$135)&lt;=AsOfDate,IF($R49=0,$X49,IF(AND($T49&lt;&gt;"",EDATE($D49,Milestones!$AA$135)&gt;=$T49),$W49,IF(AND($S49&lt;&gt;"",EDATE($D49,Milestones!$AA$135)&gt;=$S49),$V49,$U49)))=Milestones!$AB$135),UPPER(TEXT(EDATE($D49,Milestones!$AA$135),"dd mmm yy"))&amp;" "&amp;Milestones!$AB$135&amp;" "&amp;Milestones!$AC$135&amp;";  ","")&amp;IF(AND(EDATE($D49,Milestones!$AA$136)&lt;=AsOfDate,IF($R49=0,$X49,IF(AND($T49&lt;&gt;"",EDATE($D49,Milestones!$AA$136)&gt;=$T49),$W49,IF(AND($S49&lt;&gt;"",EDATE($D49,Milestones!$AA$136)&gt;=$S49),$V49,$U49)))=Milestones!$AB$136),UPPER(TEXT(EDATE($D49,Milestones!$AA$136),"dd mmm yy"))&amp;" "&amp;Milestones!$AB$136&amp;" "&amp;Milestones!$AC$136&amp;";  ","")&amp;IF(AND(EDATE($D49,Milestones!$AA$137)&lt;=AsOfDate,IF($R49=0,$X49,IF(AND($T49&lt;&gt;"",EDATE($D49,Milestones!$AA$137)&gt;=$T49),$W49,IF(AND($S49&lt;&gt;"",EDATE($D49,Milestones!$AA$137)&gt;=$S49),$V49,$U49)))=Milestones!$AB$137),UPPER(TEXT(EDATE($D49,Milestones!$AA$137),"dd mmm yy"))&amp;" "&amp;Milestones!$AB$137&amp;" "&amp;Milestones!$AC$137&amp;";  ","")&amp;IF(AND(EDATE($D49,Milestones!$AA$138)&lt;=AsOfDate,IF($R49=0,$X49,IF(AND($T49&lt;&gt;"",EDATE($D49,Milestones!$AA$138)&gt;=$T49),$W49,IF(AND($S49&lt;&gt;"",EDATE($D49,Milestones!$AA$138)&gt;=$S49),$V49,$U49)))=Milestones!$AB$138),UPPER(TEXT(EDATE($D49,Milestones!$AA$138),"dd mmm yy"))&amp;" "&amp;Milestones!$AB$138&amp;" "&amp;Milestones!$AC$138&amp;";  ","")&amp;IF(AND(EDATE($D49,Milestones!$AA$139)&lt;=AsOfDate,IF($R49=0,$X49,IF(AND($T49&lt;&gt;"",EDATE($D49,Milestones!$AA$139)&gt;=$T49),$W49,IF(AND($S49&lt;&gt;"",EDATE($D49,Milestones!$AA$139)&gt;=$S49),$V49,$U49)))=Milestones!$AB$139),UPPER(TEXT(EDATE($D49,Milestones!$AA$139),"dd mmm yy"))&amp;" "&amp;Milestones!$AB$139&amp;" "&amp;Milestones!$AC$139&amp;";  ",""))</f>
        <v/>
      </c>
      <c r="O49" s="0" t="str">
        <f aca="false">IF(OR($A49="",$D49=""),"",IF(AND(EDATE($D49,Milestones!$AA$140)&lt;=AsOfDate,IF($R49=0,$X49,IF(AND($T49&lt;&gt;"",EDATE($D49,Milestones!$AA$140)&gt;=$T49),$W49,IF(AND($S49&lt;&gt;"",EDATE($D49,Milestones!$AA$140)&gt;=$S49),$V49,$U49)))=Milestones!$AB$140),UPPER(TEXT(EDATE($D49,Milestones!$AA$140),"dd mmm yy"))&amp;" "&amp;Milestones!$AB$140&amp;" "&amp;Milestones!$AC$140&amp;";  ","")&amp;IF(AND(EDATE($D49,Milestones!$AA$141)&lt;=AsOfDate,IF($R49=0,$X49,IF(AND($T49&lt;&gt;"",EDATE($D49,Milestones!$AA$141)&gt;=$T49),$W49,IF(AND($S49&lt;&gt;"",EDATE($D49,Milestones!$AA$141)&gt;=$S49),$V49,$U49)))=Milestones!$AB$141),UPPER(TEXT(EDATE($D49,Milestones!$AA$141),"dd mmm yy"))&amp;" "&amp;Milestones!$AB$141&amp;" "&amp;Milestones!$AC$141&amp;";  ","")&amp;IF(AND(EDATE($D49,Milestones!$AA$142)&lt;=AsOfDate,IF($R49=0,$X49,IF(AND($T49&lt;&gt;"",EDATE($D49,Milestones!$AA$142)&gt;=$T49),$W49,IF(AND($S49&lt;&gt;"",EDATE($D49,Milestones!$AA$142)&gt;=$S49),$V49,$U49)))=Milestones!$AB$142),UPPER(TEXT(EDATE($D49,Milestones!$AA$142),"dd mmm yy"))&amp;" "&amp;Milestones!$AB$142&amp;" "&amp;Milestones!$AC$142&amp;";  ","")&amp;IF(AND(EDATE($D49,Milestones!$AA$143)&lt;=AsOfDate,IF($R49=0,$X49,IF(AND($T49&lt;&gt;"",EDATE($D49,Milestones!$AA$143)&gt;=$T49),$W49,IF(AND($S49&lt;&gt;"",EDATE($D49,Milestones!$AA$143)&gt;=$S49),$V49,$U49)))=Milestones!$AB$143),UPPER(TEXT(EDATE($D49,Milestones!$AA$143),"dd mmm yy"))&amp;" "&amp;Milestones!$AB$143&amp;" "&amp;Milestones!$AC$143&amp;";  ","")&amp;IF(AND(EDATE($D49,Milestones!$AA$144)&lt;=AsOfDate,IF($R49=0,$X49,IF(AND($T49&lt;&gt;"",EDATE($D49,Milestones!$AA$144)&gt;=$T49),$W49,IF(AND($S49&lt;&gt;"",EDATE($D49,Milestones!$AA$144)&gt;=$S49),$V49,$U49)))=Milestones!$AB$144),UPPER(TEXT(EDATE($D49,Milestones!$AA$144),"dd mmm yy"))&amp;" "&amp;Milestones!$AB$144&amp;" "&amp;Milestones!$AC$144&amp;";  ","")&amp;IF(AND(EDATE($D49,Milestones!$AA$145)&lt;=AsOfDate,IF($R49=0,$X49,IF(AND($T49&lt;&gt;"",EDATE($D49,Milestones!$AA$145)&gt;=$T49),$W49,IF(AND($S49&lt;&gt;"",EDATE($D49,Milestones!$AA$145)&gt;=$S49),$V49,$U49)))=Milestones!$AB$145),UPPER(TEXT(EDATE($D49,Milestones!$AA$145),"dd mmm yy"))&amp;" "&amp;Milestones!$AB$145&amp;" "&amp;Milestones!$AC$145&amp;";  ","")&amp;IF(AND(EDATE($D49,Milestones!$AA$146)&lt;=AsOfDate,IF($R49=0,$X49,IF(AND($T49&lt;&gt;"",EDATE($D49,Milestones!$AA$146)&gt;=$T49),$W49,IF(AND($S49&lt;&gt;"",EDATE($D49,Milestones!$AA$146)&gt;=$S49),$V49,$U49)))=Milestones!$AB$146),UPPER(TEXT(EDATE($D49,Milestones!$AA$146),"dd mmm yy"))&amp;" "&amp;Milestones!$AB$146&amp;" "&amp;Milestones!$AC$146&amp;";  ","")&amp;IF(AND(EDATE($D49,Milestones!$AA$147)&lt;=AsOfDate,IF($R49=0,$X49,IF(AND($T49&lt;&gt;"",EDATE($D49,Milestones!$AA$147)&gt;=$T49),$W49,IF(AND($S49&lt;&gt;"",EDATE($D49,Milestones!$AA$147)&gt;=$S49),$V49,$U49)))=Milestones!$AB$147),UPPER(TEXT(EDATE($D49,Milestones!$AA$147),"dd mmm yy"))&amp;" "&amp;Milestones!$AB$147&amp;" "&amp;Milestones!$AC$147&amp;";  ","")&amp;IF(AND(EDATE($D49,Milestones!$AA$148)&lt;=AsOfDate,IF($R49=0,$X49,IF(AND($T49&lt;&gt;"",EDATE($D49,Milestones!$AA$148)&gt;=$T49),$W49,IF(AND($S49&lt;&gt;"",EDATE($D49,Milestones!$AA$148)&gt;=$S49),$V49,$U49)))=Milestones!$AB$148),UPPER(TEXT(EDATE($D49,Milestones!$AA$148),"dd mmm yy"))&amp;" "&amp;Milestones!$AB$148&amp;" "&amp;Milestones!$AC$148&amp;";  ","")&amp;IF(AND(EDATE($D49,Milestones!$AA$149)&lt;=AsOfDate,IF($R49=0,$X49,IF(AND($T49&lt;&gt;"",EDATE($D49,Milestones!$AA$149)&gt;=$T49),$W49,IF(AND($S49&lt;&gt;"",EDATE($D49,Milestones!$AA$149)&gt;=$S49),$V49,$U49)))=Milestones!$AB$149),UPPER(TEXT(EDATE($D49,Milestones!$AA$149),"dd mmm yy"))&amp;" "&amp;Milestones!$AB$149&amp;" "&amp;Milestones!$AC$149&amp;";  ","")&amp;IF(AND(EDATE($D49,Milestones!$AA$150)&lt;=AsOfDate,IF($R49=0,$X49,IF(AND($T49&lt;&gt;"",EDATE($D49,Milestones!$AA$150)&gt;=$T49),$W49,IF(AND($S49&lt;&gt;"",EDATE($D49,Milestones!$AA$150)&gt;=$S49),$V49,$U49)))=Milestones!$AB$150),UPPER(TEXT(EDATE($D49,Milestones!$AA$150),"dd mmm yy"))&amp;" "&amp;Milestones!$AB$150&amp;" "&amp;Milestones!$AC$150&amp;";  ","")&amp;IF(AND(EDATE($D49,Milestones!$AA$151)&lt;=AsOfDate,IF($R49=0,$X49,IF(AND($T49&lt;&gt;"",EDATE($D49,Milestones!$AA$151)&gt;=$T49),$W49,IF(AND($S49&lt;&gt;"",EDATE($D49,Milestones!$AA$151)&gt;=$S49),$V49,$U49)))=Milestones!$AB$151),UPPER(TEXT(EDATE($D49,Milestones!$AA$151),"dd mmm yy"))&amp;" "&amp;Milestones!$AB$151&amp;" "&amp;Milestones!$AC$151&amp;";  ","")&amp;IF(AND(EDATE($D49,Milestones!$AA$152)&lt;=AsOfDate,IF($R49=0,$X49,IF(AND($T49&lt;&gt;"",EDATE($D49,Milestones!$AA$152)&gt;=$T49),$W49,IF(AND($S49&lt;&gt;"",EDATE($D49,Milestones!$AA$152)&gt;=$S49),$V49,$U49)))=Milestones!$AB$152),UPPER(TEXT(EDATE($D49,Milestones!$AA$152),"dd mmm yy"))&amp;" "&amp;Milestones!$AB$152&amp;" "&amp;Milestones!$AC$152&amp;";  ","")&amp;IF(AND(EDATE($D49,Milestones!$AA$153)&lt;=AsOfDate,IF($R49=0,$X49,IF(AND($T49&lt;&gt;"",EDATE($D49,Milestones!$AA$153)&gt;=$T49),$W49,IF(AND($S49&lt;&gt;"",EDATE($D49,Milestones!$AA$153)&gt;=$S49),$V49,$U49)))=Milestones!$AB$153),UPPER(TEXT(EDATE($D49,Milestones!$AA$153),"dd mmm yy"))&amp;" "&amp;Milestones!$AB$153&amp;" "&amp;Milestones!$AC$153&amp;";  ","")&amp;IF(AND(EDATE($D49,Milestones!$AA$154)&lt;=AsOfDate,IF($R49=0,$X49,IF(AND($T49&lt;&gt;"",EDATE($D49,Milestones!$AA$154)&gt;=$T49),$W49,IF(AND($S49&lt;&gt;"",EDATE($D49,Milestones!$AA$154)&gt;=$S49),$V49,$U49)))=Milestones!$AB$154),UPPER(TEXT(EDATE($D49,Milestones!$AA$154),"dd mmm yy"))&amp;" "&amp;Milestones!$AB$154&amp;" "&amp;Milestones!$AC$154&amp;";  ","")&amp;IF(AND(EDATE($D49,Milestones!$AA$155)&lt;=AsOfDate,IF($R49=0,$X49,IF(AND($T49&lt;&gt;"",EDATE($D49,Milestones!$AA$155)&gt;=$T49),$W49,IF(AND($S49&lt;&gt;"",EDATE($D49,Milestones!$AA$155)&gt;=$S49),$V49,$U49)))=Milestones!$AB$155),UPPER(TEXT(EDATE($D49,Milestones!$AA$155),"dd mmm yy"))&amp;" "&amp;Milestones!$AB$155&amp;" "&amp;Milestones!$AC$155&amp;";  ","")&amp;IF(AND(EDATE($D49,Milestones!$AA$156)&lt;=AsOfDate,IF($R49=0,$X49,IF(AND($T49&lt;&gt;"",EDATE($D49,Milestones!$AA$156)&gt;=$T49),$W49,IF(AND($S49&lt;&gt;"",EDATE($D49,Milestones!$AA$156)&gt;=$S49),$V49,$U49)))=Milestones!$AB$156),UPPER(TEXT(EDATE($D49,Milestones!$AA$156),"dd mmm yy"))&amp;" "&amp;Milestones!$AB$156&amp;" "&amp;Milestones!$AC$156&amp;";  ","")&amp;IF(AND(EDATE($D49,Milestones!$AA$157)&lt;=AsOfDate,IF($R49=0,$X49,IF(AND($T49&lt;&gt;"",EDATE($D49,Milestones!$AA$157)&gt;=$T49),$W49,IF(AND($S49&lt;&gt;"",EDATE($D49,Milestones!$AA$157)&gt;=$S49),$V49,$U49)))=Milestones!$AB$157),UPPER(TEXT(EDATE($D49,Milestones!$AA$157),"dd mmm yy"))&amp;" "&amp;Milestones!$AB$157&amp;" "&amp;Milestones!$AC$157&amp;";  ","")&amp;IF(AND(EDATE($D49,Milestones!$AA$158)&lt;=AsOfDate,IF($R49=0,$X49,IF(AND($T49&lt;&gt;"",EDATE($D49,Milestones!$AA$158)&gt;=$T49),$W49,IF(AND($S49&lt;&gt;"",EDATE($D49,Milestones!$AA$158)&gt;=$S49),$V49,$U49)))=Milestones!$AB$158),UPPER(TEXT(EDATE($D49,Milestones!$AA$158),"dd mmm yy"))&amp;" "&amp;Milestones!$AB$158&amp;" "&amp;Milestones!$AC$158&amp;";  ","")&amp;IF(AND(EDATE($D49,Milestones!$AA$159)&lt;=AsOfDate,IF($R49=0,$X49,IF(AND($T49&lt;&gt;"",EDATE($D49,Milestones!$AA$159)&gt;=$T49),$W49,IF(AND($S49&lt;&gt;"",EDATE($D49,Milestones!$AA$159)&gt;=$S49),$V49,$U49)))=Milestones!$AB$159),UPPER(TEXT(EDATE($D49,Milestones!$AA$159),"dd mmm yy"))&amp;" "&amp;Milestones!$AB$159&amp;" "&amp;Milestones!$AC$159&amp;";  ",""))</f>
        <v/>
      </c>
      <c r="P49" s="0" t="str">
        <f aca="false">IF(OR($A49="",$D49=""),"",IF(AND(EDATE($D49,Milestones!$AA$160)&lt;=AsOfDate,IF($R49=0,$X49,IF(AND($T49&lt;&gt;"",EDATE($D49,Milestones!$AA$160)&gt;=$T49),$W49,IF(AND($S49&lt;&gt;"",EDATE($D49,Milestones!$AA$160)&gt;=$S49),$V49,$U49)))=Milestones!$AB$160),UPPER(TEXT(EDATE($D49,Milestones!$AA$160),"dd mmm yy"))&amp;" "&amp;Milestones!$AB$160&amp;" "&amp;Milestones!$AC$160&amp;";  ","")&amp;IF(AND(EDATE($D49,Milestones!$AA$161)&lt;=AsOfDate,IF($R49=0,$X49,IF(AND($T49&lt;&gt;"",EDATE($D49,Milestones!$AA$161)&gt;=$T49),$W49,IF(AND($S49&lt;&gt;"",EDATE($D49,Milestones!$AA$161)&gt;=$S49),$V49,$U49)))=Milestones!$AB$161),UPPER(TEXT(EDATE($D49,Milestones!$AA$161),"dd mmm yy"))&amp;" "&amp;Milestones!$AB$161&amp;" "&amp;Milestones!$AC$161&amp;";  ","")&amp;IF(AND(EDATE($D49,Milestones!$AA$162)&lt;=AsOfDate,IF($R49=0,$X49,IF(AND($T49&lt;&gt;"",EDATE($D49,Milestones!$AA$162)&gt;=$T49),$W49,IF(AND($S49&lt;&gt;"",EDATE($D49,Milestones!$AA$162)&gt;=$S49),$V49,$U49)))=Milestones!$AB$162),UPPER(TEXT(EDATE($D49,Milestones!$AA$162),"dd mmm yy"))&amp;" "&amp;Milestones!$AB$162&amp;" "&amp;Milestones!$AC$162&amp;";  ","")&amp;IF(AND(EDATE($D49,Milestones!$AA$163)&lt;=AsOfDate,IF($R49=0,$X49,IF(AND($T49&lt;&gt;"",EDATE($D49,Milestones!$AA$163)&gt;=$T49),$W49,IF(AND($S49&lt;&gt;"",EDATE($D49,Milestones!$AA$163)&gt;=$S49),$V49,$U49)))=Milestones!$AB$163),UPPER(TEXT(EDATE($D49,Milestones!$AA$163),"dd mmm yy"))&amp;" "&amp;Milestones!$AB$163&amp;" "&amp;Milestones!$AC$163&amp;";  ","")&amp;IF(AND(EDATE($D49,Milestones!$AA$164)&lt;=AsOfDate,IF($R49=0,$X49,IF(AND($T49&lt;&gt;"",EDATE($D49,Milestones!$AA$164)&gt;=$T49),$W49,IF(AND($S49&lt;&gt;"",EDATE($D49,Milestones!$AA$164)&gt;=$S49),$V49,$U49)))=Milestones!$AB$164),UPPER(TEXT(EDATE($D49,Milestones!$AA$164),"dd mmm yy"))&amp;" "&amp;Milestones!$AB$164&amp;" "&amp;Milestones!$AC$164&amp;";  ","")&amp;IF(AND(EDATE($D49,Milestones!$AA$165)&lt;=AsOfDate,IF($R49=0,$X49,IF(AND($T49&lt;&gt;"",EDATE($D49,Milestones!$AA$165)&gt;=$T49),$W49,IF(AND($S49&lt;&gt;"",EDATE($D49,Milestones!$AA$165)&gt;=$S49),$V49,$U49)))=Milestones!$AB$165),UPPER(TEXT(EDATE($D49,Milestones!$AA$165),"dd mmm yy"))&amp;" "&amp;Milestones!$AB$165&amp;" "&amp;Milestones!$AC$165&amp;";  ","")&amp;IF(AND(EDATE($D49,Milestones!$AA$166)&lt;=AsOfDate,IF($R49=0,$X49,IF(AND($T49&lt;&gt;"",EDATE($D49,Milestones!$AA$166)&gt;=$T49),$W49,IF(AND($S49&lt;&gt;"",EDATE($D49,Milestones!$AA$166)&gt;=$S49),$V49,$U49)))=Milestones!$AB$166),UPPER(TEXT(EDATE($D49,Milestones!$AA$166),"dd mmm yy"))&amp;" "&amp;Milestones!$AB$166&amp;" "&amp;Milestones!$AC$166&amp;";  ","")&amp;IF(AND(EDATE($D49,Milestones!$AA$167)&lt;=AsOfDate,IF($R49=0,$X49,IF(AND($T49&lt;&gt;"",EDATE($D49,Milestones!$AA$167)&gt;=$T49),$W49,IF(AND($S49&lt;&gt;"",EDATE($D49,Milestones!$AA$167)&gt;=$S49),$V49,$U49)))=Milestones!$AB$167),UPPER(TEXT(EDATE($D49,Milestones!$AA$167),"dd mmm yy"))&amp;" "&amp;Milestones!$AB$167&amp;" "&amp;Milestones!$AC$167&amp;";  ","")&amp;IF(AND(EDATE($D49,Milestones!$AA$168)&lt;=AsOfDate,IF($R49=0,$X49,IF(AND($T49&lt;&gt;"",EDATE($D49,Milestones!$AA$168)&gt;=$T49),$W49,IF(AND($S49&lt;&gt;"",EDATE($D49,Milestones!$AA$168)&gt;=$S49),$V49,$U49)))=Milestones!$AB$168),UPPER(TEXT(EDATE($D49,Milestones!$AA$168),"dd mmm yy"))&amp;" "&amp;Milestones!$AB$168&amp;" "&amp;Milestones!$AC$168&amp;";  ","")&amp;IF(AND(EDATE($D49,Milestones!$AA$169)&lt;=AsOfDate,IF($R49=0,$X49,IF(AND($T49&lt;&gt;"",EDATE($D49,Milestones!$AA$169)&gt;=$T49),$W49,IF(AND($S49&lt;&gt;"",EDATE($D49,Milestones!$AA$169)&gt;=$S49),$V49,$U49)))=Milestones!$AB$169),UPPER(TEXT(EDATE($D49,Milestones!$AA$169),"dd mmm yy"))&amp;" "&amp;Milestones!$AB$169&amp;" "&amp;Milestones!$AC$169&amp;";  ","")&amp;IF(AND(EDATE($D49,Milestones!$AA$170)&lt;=AsOfDate,IF($R49=0,$X49,IF(AND($T49&lt;&gt;"",EDATE($D49,Milestones!$AA$170)&gt;=$T49),$W49,IF(AND($S49&lt;&gt;"",EDATE($D49,Milestones!$AA$170)&gt;=$S49),$V49,$U49)))=Milestones!$AB$170),UPPER(TEXT(EDATE($D49,Milestones!$AA$170),"dd mmm yy"))&amp;" "&amp;Milestones!$AB$170&amp;" "&amp;Milestones!$AC$170&amp;";  ","")&amp;IF(AND(EDATE($D49,Milestones!$AA$171)&lt;=AsOfDate,IF($R49=0,$X49,IF(AND($T49&lt;&gt;"",EDATE($D49,Milestones!$AA$171)&gt;=$T49),$W49,IF(AND($S49&lt;&gt;"",EDATE($D49,Milestones!$AA$171)&gt;=$S49),$V49,$U49)))=Milestones!$AB$171),UPPER(TEXT(EDATE($D49,Milestones!$AA$171),"dd mmm yy"))&amp;" "&amp;Milestones!$AB$171&amp;" "&amp;Milestones!$AC$171&amp;";  ","")&amp;IF(AND(EDATE($D49,Milestones!$AA$172)&lt;=AsOfDate,IF($R49=0,$X49,IF(AND($T49&lt;&gt;"",EDATE($D49,Milestones!$AA$172)&gt;=$T49),$W49,IF(AND($S49&lt;&gt;"",EDATE($D49,Milestones!$AA$172)&gt;=$S49),$V49,$U49)))=Milestones!$AB$172),UPPER(TEXT(EDATE($D49,Milestones!$AA$172),"dd mmm yy"))&amp;" "&amp;Milestones!$AB$172&amp;" "&amp;Milestones!$AC$172&amp;";  ","")&amp;IF(AND(EDATE($D49,Milestones!$AA$173)&lt;=AsOfDate,IF($R49=0,$X49,IF(AND($T49&lt;&gt;"",EDATE($D49,Milestones!$AA$173)&gt;=$T49),$W49,IF(AND($S49&lt;&gt;"",EDATE($D49,Milestones!$AA$173)&gt;=$S49),$V49,$U49)))=Milestones!$AB$173),UPPER(TEXT(EDATE($D49,Milestones!$AA$173),"dd mmm yy"))&amp;" "&amp;Milestones!$AB$173&amp;" "&amp;Milestones!$AC$173&amp;";  ","")&amp;IF(AND(EDATE($D49,Milestones!$AA$174)&lt;=AsOfDate,IF($R49=0,$X49,IF(AND($T49&lt;&gt;"",EDATE($D49,Milestones!$AA$174)&gt;=$T49),$W49,IF(AND($S49&lt;&gt;"",EDATE($D49,Milestones!$AA$174)&gt;=$S49),$V49,$U49)))=Milestones!$AB$174),UPPER(TEXT(EDATE($D49,Milestones!$AA$174),"dd mmm yy"))&amp;" "&amp;Milestones!$AB$174&amp;" "&amp;Milestones!$AC$174&amp;";  ","")&amp;IF(AND(EDATE($D49,Milestones!$AA$175)&lt;=AsOfDate,IF($R49=0,$X49,IF(AND($T49&lt;&gt;"",EDATE($D49,Milestones!$AA$175)&gt;=$T49),$W49,IF(AND($S49&lt;&gt;"",EDATE($D49,Milestones!$AA$175)&gt;=$S49),$V49,$U49)))=Milestones!$AB$175),UPPER(TEXT(EDATE($D49,Milestones!$AA$175),"dd mmm yy"))&amp;" "&amp;Milestones!$AB$175&amp;" "&amp;Milestones!$AC$175&amp;";  ","")&amp;IF(AND(EDATE($D49,Milestones!$AA$176)&lt;=AsOfDate,IF($R49=0,$X49,IF(AND($T49&lt;&gt;"",EDATE($D49,Milestones!$AA$176)&gt;=$T49),$W49,IF(AND($S49&lt;&gt;"",EDATE($D49,Milestones!$AA$176)&gt;=$S49),$V49,$U49)))=Milestones!$AB$176),UPPER(TEXT(EDATE($D49,Milestones!$AA$176),"dd mmm yy"))&amp;" "&amp;Milestones!$AB$176&amp;" "&amp;Milestones!$AC$176&amp;";  ","")&amp;IF(AND(EDATE($D49,Milestones!$AA$177)&lt;=AsOfDate,IF($R49=0,$X49,IF(AND($T49&lt;&gt;"",EDATE($D49,Milestones!$AA$177)&gt;=$T49),$W49,IF(AND($S49&lt;&gt;"",EDATE($D49,Milestones!$AA$177)&gt;=$S49),$V49,$U49)))=Milestones!$AB$177),UPPER(TEXT(EDATE($D49,Milestones!$AA$177),"dd mmm yy"))&amp;" "&amp;Milestones!$AB$177&amp;" "&amp;Milestones!$AC$177&amp;";  ","")&amp;IF(AND(EDATE($D49,Milestones!$AA$178)&lt;=AsOfDate,IF($R49=0,$X49,IF(AND($T49&lt;&gt;"",EDATE($D49,Milestones!$AA$178)&gt;=$T49),$W49,IF(AND($S49&lt;&gt;"",EDATE($D49,Milestones!$AA$178)&gt;=$S49),$V49,$U49)))=Milestones!$AB$178),UPPER(TEXT(EDATE($D49,Milestones!$AA$178),"dd mmm yy"))&amp;" "&amp;Milestones!$AB$178&amp;" "&amp;Milestones!$AC$178&amp;";  ","")&amp;IF(AND(EDATE($D49,Milestones!$AA$179)&lt;=AsOfDate,IF($R49=0,$X49,IF(AND($T49&lt;&gt;"",EDATE($D49,Milestones!$AA$179)&gt;=$T49),$W49,IF(AND($S49&lt;&gt;"",EDATE($D49,Milestones!$AA$179)&gt;=$S49),$V49,$U49)))=Milestones!$AB$179),UPPER(TEXT(EDATE($D49,Milestones!$AA$179),"dd mmm yy"))&amp;" "&amp;Milestones!$AB$179&amp;" "&amp;Milestones!$AC$179&amp;";  ",""))</f>
        <v/>
      </c>
      <c r="Q49" s="0" t="str">
        <f aca="false">IF(OR($A49="",$D49=""),"",IF(AND(EDATE($D49,Milestones!$AA$180)&lt;=AsOfDate,IF($R49=0,$X49,IF(AND($T49&lt;&gt;"",EDATE($D49,Milestones!$AA$180)&gt;=$T49),$W49,IF(AND($S49&lt;&gt;"",EDATE($D49,Milestones!$AA$180)&gt;=$S49),$V49,$U49)))=Milestones!$AB$180),UPPER(TEXT(EDATE($D49,Milestones!$AA$180),"dd mmm yy"))&amp;" "&amp;Milestones!$AB$180&amp;" "&amp;Milestones!$AC$180&amp;";  ","")&amp;IF(AND(EDATE($D49,Milestones!$AA$181)&lt;=AsOfDate,IF($R49=0,$X49,IF(AND($T49&lt;&gt;"",EDATE($D49,Milestones!$AA$181)&gt;=$T49),$W49,IF(AND($S49&lt;&gt;"",EDATE($D49,Milestones!$AA$181)&gt;=$S49),$V49,$U49)))=Milestones!$AB$181),UPPER(TEXT(EDATE($D49,Milestones!$AA$181),"dd mmm yy"))&amp;" "&amp;Milestones!$AB$181&amp;" "&amp;Milestones!$AC$181&amp;";  ","")&amp;IF(AND(EDATE($D49,Milestones!$AA$182)&lt;=AsOfDate,IF($R49=0,$X49,IF(AND($T49&lt;&gt;"",EDATE($D49,Milestones!$AA$182)&gt;=$T49),$W49,IF(AND($S49&lt;&gt;"",EDATE($D49,Milestones!$AA$182)&gt;=$S49),$V49,$U49)))=Milestones!$AB$182),UPPER(TEXT(EDATE($D49,Milestones!$AA$182),"dd mmm yy"))&amp;" "&amp;Milestones!$AB$182&amp;" "&amp;Milestones!$AC$182&amp;";  ","")&amp;IF(AND(EDATE($D49,Milestones!$AA$183)&lt;=AsOfDate,IF($R49=0,$X49,IF(AND($T49&lt;&gt;"",EDATE($D49,Milestones!$AA$183)&gt;=$T49),$W49,IF(AND($S49&lt;&gt;"",EDATE($D49,Milestones!$AA$183)&gt;=$S49),$V49,$U49)))=Milestones!$AB$183),UPPER(TEXT(EDATE($D49,Milestones!$AA$183),"dd mmm yy"))&amp;" "&amp;Milestones!$AB$183&amp;" "&amp;Milestones!$AC$183&amp;";  ","")&amp;IF(AND(EDATE($D49,Milestones!$AA$184)&lt;=AsOfDate,IF($R49=0,$X49,IF(AND($T49&lt;&gt;"",EDATE($D49,Milestones!$AA$184)&gt;=$T49),$W49,IF(AND($S49&lt;&gt;"",EDATE($D49,Milestones!$AA$184)&gt;=$S49),$V49,$U49)))=Milestones!$AB$184),UPPER(TEXT(EDATE($D49,Milestones!$AA$184),"dd mmm yy"))&amp;" "&amp;Milestones!$AB$184&amp;" "&amp;Milestones!$AC$184&amp;";  ","")&amp;IF(AND(EDATE($D49,Milestones!$AA$185)&lt;=AsOfDate,IF($R49=0,$X49,IF(AND($T49&lt;&gt;"",EDATE($D49,Milestones!$AA$185)&gt;=$T49),$W49,IF(AND($S49&lt;&gt;"",EDATE($D49,Milestones!$AA$185)&gt;=$S49),$V49,$U49)))=Milestones!$AB$185),UPPER(TEXT(EDATE($D49,Milestones!$AA$185),"dd mmm yy"))&amp;" "&amp;Milestones!$AB$185&amp;" "&amp;Milestones!$AC$185&amp;";  ","")&amp;IF(AND(EDATE($D49,Milestones!$AA$186)&lt;=AsOfDate,IF($R49=0,$X49,IF(AND($T49&lt;&gt;"",EDATE($D49,Milestones!$AA$186)&gt;=$T49),$W49,IF(AND($S49&lt;&gt;"",EDATE($D49,Milestones!$AA$186)&gt;=$S49),$V49,$U49)))=Milestones!$AB$186),UPPER(TEXT(EDATE($D49,Milestones!$AA$186),"dd mmm yy"))&amp;" "&amp;Milestones!$AB$186&amp;" "&amp;Milestones!$AC$186&amp;";  ","")&amp;IF(AND(EDATE($D49,Milestones!$AA$187)&lt;=AsOfDate,IF($R49=0,$X49,IF(AND($T49&lt;&gt;"",EDATE($D49,Milestones!$AA$187)&gt;=$T49),$W49,IF(AND($S49&lt;&gt;"",EDATE($D49,Milestones!$AA$187)&gt;=$S49),$V49,$U49)))=Milestones!$AB$187),UPPER(TEXT(EDATE($D49,Milestones!$AA$187),"dd mmm yy"))&amp;" "&amp;Milestones!$AB$187&amp;" "&amp;Milestones!$AC$187&amp;";  ","")&amp;IF(AND(EDATE($D49,Milestones!$AA$188)&lt;=AsOfDate,IF($R49=0,$X49,IF(AND($T49&lt;&gt;"",EDATE($D49,Milestones!$AA$188)&gt;=$T49),$W49,IF(AND($S49&lt;&gt;"",EDATE($D49,Milestones!$AA$188)&gt;=$S49),$V49,$U49)))=Milestones!$AB$188),UPPER(TEXT(EDATE($D49,Milestones!$AA$188),"dd mmm yy"))&amp;" "&amp;Milestones!$AB$188&amp;" "&amp;Milestones!$AC$188&amp;";  ","")&amp;IF(AND(EDATE($D49,Milestones!$AA$189)&lt;=AsOfDate,IF($R49=0,$X49,IF(AND($T49&lt;&gt;"",EDATE($D49,Milestones!$AA$189)&gt;=$T49),$W49,IF(AND($S49&lt;&gt;"",EDATE($D49,Milestones!$AA$189)&gt;=$S49),$V49,$U49)))=Milestones!$AB$189),UPPER(TEXT(EDATE($D49,Milestones!$AA$189),"dd mmm yy"))&amp;" "&amp;Milestones!$AB$189&amp;" "&amp;Milestones!$AC$189&amp;";  ","")&amp;IF(AND(EDATE($D49,Milestones!$AA$190)&lt;=AsOfDate,IF($R49=0,$X49,IF(AND($T49&lt;&gt;"",EDATE($D49,Milestones!$AA$190)&gt;=$T49),$W49,IF(AND($S49&lt;&gt;"",EDATE($D49,Milestones!$AA$190)&gt;=$S49),$V49,$U49)))=Milestones!$AB$190),UPPER(TEXT(EDATE($D49,Milestones!$AA$190),"dd mmm yy"))&amp;" "&amp;Milestones!$AB$190&amp;" "&amp;Milestones!$AC$190&amp;";  ","")&amp;IF(AND(EDATE($D49,Milestones!$AA$191)&lt;=AsOfDate,IF($R49=0,$X49,IF(AND($T49&lt;&gt;"",EDATE($D49,Milestones!$AA$191)&gt;=$T49),$W49,IF(AND($S49&lt;&gt;"",EDATE($D49,Milestones!$AA$191)&gt;=$S49),$V49,$U49)))=Milestones!$AB$191),UPPER(TEXT(EDATE($D49,Milestones!$AA$191),"dd mmm yy"))&amp;" "&amp;Milestones!$AB$191&amp;" "&amp;Milestones!$AC$191&amp;";  ","")&amp;IF(AND(EDATE($D49,Milestones!$AA$192)&lt;=AsOfDate,IF($R49=0,$X49,IF(AND($T49&lt;&gt;"",EDATE($D49,Milestones!$AA$192)&gt;=$T49),$W49,IF(AND($S49&lt;&gt;"",EDATE($D49,Milestones!$AA$192)&gt;=$S49),$V49,$U49)))=Milestones!$AB$192),UPPER(TEXT(EDATE($D49,Milestones!$AA$192),"dd mmm yy"))&amp;" "&amp;Milestones!$AB$192&amp;" "&amp;Milestones!$AC$192&amp;";  ","")&amp;IF(AND(EDATE($D49,Milestones!$AA$193)&lt;=AsOfDate,IF($R49=0,$X49,IF(AND($T49&lt;&gt;"",EDATE($D49,Milestones!$AA$193)&gt;=$T49),$W49,IF(AND($S49&lt;&gt;"",EDATE($D49,Milestones!$AA$193)&gt;=$S49),$V49,$U49)))=Milestones!$AB$193),UPPER(TEXT(EDATE($D49,Milestones!$AA$193),"dd mmm yy"))&amp;" "&amp;Milestones!$AB$193&amp;" "&amp;Milestones!$AC$193&amp;";  ","")&amp;IF(AND(EDATE($D49,Milestones!$AA$194)&lt;=AsOfDate,IF($R49=0,$X49,IF(AND($T49&lt;&gt;"",EDATE($D49,Milestones!$AA$194)&gt;=$T49),$W49,IF(AND($S49&lt;&gt;"",EDATE($D49,Milestones!$AA$194)&gt;=$S49),$V49,$U49)))=Milestones!$AB$194),UPPER(TEXT(EDATE($D49,Milestones!$AA$194),"dd mmm yy"))&amp;" "&amp;Milestones!$AB$194&amp;" "&amp;Milestones!$AC$194&amp;";  ","")&amp;IF(AND(EDATE($D49,Milestones!$AA$195)&lt;=AsOfDate,IF($R49=0,$X49,IF(AND($T49&lt;&gt;"",EDATE($D49,Milestones!$AA$195)&gt;=$T49),$W49,IF(AND($S49&lt;&gt;"",EDATE($D49,Milestones!$AA$195)&gt;=$S49),$V49,$U49)))=Milestones!$AB$195),UPPER(TEXT(EDATE($D49,Milestones!$AA$195),"dd mmm yy"))&amp;" "&amp;Milestones!$AB$195&amp;" "&amp;Milestones!$AC$195&amp;";  ","")&amp;IF(AND(EDATE($D49,Milestones!$AA$196)&lt;=AsOfDate,IF($R49=0,$X49,IF(AND($T49&lt;&gt;"",EDATE($D49,Milestones!$AA$196)&gt;=$T49),$W49,IF(AND($S49&lt;&gt;"",EDATE($D49,Milestones!$AA$196)&gt;=$S49),$V49,$U49)))=Milestones!$AB$196),UPPER(TEXT(EDATE($D49,Milestones!$AA$196),"dd mmm yy"))&amp;" "&amp;Milestones!$AB$196&amp;" "&amp;Milestones!$AC$196&amp;";  ","")&amp;IF(AND(EDATE($D49,Milestones!$AA$197)&lt;=AsOfDate,IF($R49=0,$X49,IF(AND($T49&lt;&gt;"",EDATE($D49,Milestones!$AA$197)&gt;=$T49),$W49,IF(AND($S49&lt;&gt;"",EDATE($D49,Milestones!$AA$197)&gt;=$S49),$V49,$U49)))=Milestones!$AB$197),UPPER(TEXT(EDATE($D49,Milestones!$AA$197),"dd mmm yy"))&amp;" "&amp;Milestones!$AB$197&amp;" "&amp;Milestones!$AC$197&amp;";  ","")&amp;IF(AND(EDATE($D49,Milestones!$AA$198)&lt;=AsOfDate,IF($R49=0,$X49,IF(AND($T49&lt;&gt;"",EDATE($D49,Milestones!$AA$198)&gt;=$T49),$W49,IF(AND($S49&lt;&gt;"",EDATE($D49,Milestones!$AA$198)&gt;=$S49),$V49,$U49)))=Milestones!$AB$198),UPPER(TEXT(EDATE($D49,Milestones!$AA$198),"dd mmm yy"))&amp;" "&amp;Milestones!$AB$198&amp;" "&amp;Milestones!$AC$198&amp;";  ","")&amp;IF(AND(EDATE($D49,Milestones!$AA$199)&lt;=AsOfDate,IF($R49=0,$X49,IF(AND($T49&lt;&gt;"",EDATE($D49,Milestones!$AA$199)&gt;=$T49),$W49,IF(AND($S49&lt;&gt;"",EDATE($D49,Milestones!$AA$199)&gt;=$S49),$V49,$U49)))=Milestones!$AB$199),UPPER(TEXT(EDATE($D49,Milestones!$AA$199),"dd mmm yy"))&amp;" "&amp;Milestones!$AB$199&amp;" "&amp;Milestones!$AC$199&amp;";  ",""))</f>
        <v/>
      </c>
      <c r="R49" s="0" t="str">
        <f aca="false">IF(Staff!$A49="","",Staff!$AI49)</f>
        <v/>
      </c>
      <c r="S49" s="0" t="str">
        <f aca="false">IF(Staff!$A49="","",Staff!$AK49)</f>
        <v/>
      </c>
      <c r="T49" s="0" t="str">
        <f aca="false">IF(Staff!$A49="","",Staff!$AL49)</f>
        <v/>
      </c>
      <c r="U49" s="0" t="str">
        <f aca="false">IF(Staff!$A49="","",Staff!$AP49)</f>
        <v/>
      </c>
      <c r="V49" s="0" t="str">
        <f aca="false">IF(Staff!$A49="","",Staff!$AQ49)</f>
        <v/>
      </c>
      <c r="W49" s="0" t="str">
        <f aca="false">IF(Staff!$A49="","",Staff!$AR49)</f>
        <v/>
      </c>
      <c r="X49" s="0" t="str">
        <f aca="false">IF(Staff!$A49="","",Staff!$AS49)</f>
        <v/>
      </c>
    </row>
    <row r="50" customFormat="false" ht="15" hidden="false" customHeight="false" outlineLevel="0" collapsed="false">
      <c r="A50" s="14" t="str">
        <f aca="false">IF(Staff!$A50="","",Staff!$A50)</f>
        <v/>
      </c>
      <c r="B50" s="14" t="str">
        <f aca="false">IF(Staff!$A50="","",Staff!$B50)</f>
        <v/>
      </c>
      <c r="C50" s="14" t="str">
        <f aca="false">IF(Staff!$A50="","",Staff!$C50)</f>
        <v/>
      </c>
      <c r="D50" s="12" t="str">
        <f aca="false">IF(Staff!$A50="","",Staff!$AH50)</f>
        <v/>
      </c>
      <c r="E50" s="14" t="str">
        <f aca="false">IF(Staff!$A50="","",Staff!$O50)</f>
        <v/>
      </c>
      <c r="F50" s="14" t="str">
        <f aca="false">IF(E50="","",E50*HoursPerDay)</f>
        <v/>
      </c>
      <c r="G50" s="14" t="str">
        <f aca="false">IF(Staff!$A50="","",Staff!$AE50)</f>
        <v/>
      </c>
      <c r="H50" s="26" t="str">
        <f aca="false">IF($A50="","",I50&amp;J50&amp;K50&amp;L50&amp;M50&amp;N50&amp;O50&amp;P50&amp;Q50)</f>
        <v/>
      </c>
      <c r="I50" s="0" t="str">
        <f aca="false">IF(OR($A50="",$D50=""),"",IF(AND(EDATE($D50,Milestones!$AA$20)&lt;=AsOfDate,IF($R50=0,$X50,IF(AND($T50&lt;&gt;"",EDATE($D50,Milestones!$AA$20)&gt;=$T50),$W50,IF(AND($S50&lt;&gt;"",EDATE($D50,Milestones!$AA$20)&gt;=$S50),$V50,$U50)))=Milestones!$AB$20),UPPER(TEXT(EDATE($D50,Milestones!$AA$20),"dd mmm yy"))&amp;" "&amp;Milestones!$AB$20&amp;" "&amp;Milestones!$AC$20&amp;";  ","")&amp;IF(AND(EDATE($D50,Milestones!$AA$21)&lt;=AsOfDate,IF($R50=0,$X50,IF(AND($T50&lt;&gt;"",EDATE($D50,Milestones!$AA$21)&gt;=$T50),$W50,IF(AND($S50&lt;&gt;"",EDATE($D50,Milestones!$AA$21)&gt;=$S50),$V50,$U50)))=Milestones!$AB$21),UPPER(TEXT(EDATE($D50,Milestones!$AA$21),"dd mmm yy"))&amp;" "&amp;Milestones!$AB$21&amp;" "&amp;Milestones!$AC$21&amp;";  ","")&amp;IF(AND(EDATE($D50,Milestones!$AA$22)&lt;=AsOfDate,IF($R50=0,$X50,IF(AND($T50&lt;&gt;"",EDATE($D50,Milestones!$AA$22)&gt;=$T50),$W50,IF(AND($S50&lt;&gt;"",EDATE($D50,Milestones!$AA$22)&gt;=$S50),$V50,$U50)))=Milestones!$AB$22),UPPER(TEXT(EDATE($D50,Milestones!$AA$22),"dd mmm yy"))&amp;" "&amp;Milestones!$AB$22&amp;" "&amp;Milestones!$AC$22&amp;";  ","")&amp;IF(AND(EDATE($D50,Milestones!$AA$23)&lt;=AsOfDate,IF($R50=0,$X50,IF(AND($T50&lt;&gt;"",EDATE($D50,Milestones!$AA$23)&gt;=$T50),$W50,IF(AND($S50&lt;&gt;"",EDATE($D50,Milestones!$AA$23)&gt;=$S50),$V50,$U50)))=Milestones!$AB$23),UPPER(TEXT(EDATE($D50,Milestones!$AA$23),"dd mmm yy"))&amp;" "&amp;Milestones!$AB$23&amp;" "&amp;Milestones!$AC$23&amp;";  ","")&amp;IF(AND(EDATE($D50,Milestones!$AA$24)&lt;=AsOfDate,IF($R50=0,$X50,IF(AND($T50&lt;&gt;"",EDATE($D50,Milestones!$AA$24)&gt;=$T50),$W50,IF(AND($S50&lt;&gt;"",EDATE($D50,Milestones!$AA$24)&gt;=$S50),$V50,$U50)))=Milestones!$AB$24),UPPER(TEXT(EDATE($D50,Milestones!$AA$24),"dd mmm yy"))&amp;" "&amp;Milestones!$AB$24&amp;" "&amp;Milestones!$AC$24&amp;";  ","")&amp;IF(AND(EDATE($D50,Milestones!$AA$25)&lt;=AsOfDate,IF($R50=0,$X50,IF(AND($T50&lt;&gt;"",EDATE($D50,Milestones!$AA$25)&gt;=$T50),$W50,IF(AND($S50&lt;&gt;"",EDATE($D50,Milestones!$AA$25)&gt;=$S50),$V50,$U50)))=Milestones!$AB$25),UPPER(TEXT(EDATE($D50,Milestones!$AA$25),"dd mmm yy"))&amp;" "&amp;Milestones!$AB$25&amp;" "&amp;Milestones!$AC$25&amp;";  ","")&amp;IF(AND(EDATE($D50,Milestones!$AA$26)&lt;=AsOfDate,IF($R50=0,$X50,IF(AND($T50&lt;&gt;"",EDATE($D50,Milestones!$AA$26)&gt;=$T50),$W50,IF(AND($S50&lt;&gt;"",EDATE($D50,Milestones!$AA$26)&gt;=$S50),$V50,$U50)))=Milestones!$AB$26),UPPER(TEXT(EDATE($D50,Milestones!$AA$26),"dd mmm yy"))&amp;" "&amp;Milestones!$AB$26&amp;" "&amp;Milestones!$AC$26&amp;";  ","")&amp;IF(AND(EDATE($D50,Milestones!$AA$27)&lt;=AsOfDate,IF($R50=0,$X50,IF(AND($T50&lt;&gt;"",EDATE($D50,Milestones!$AA$27)&gt;=$T50),$W50,IF(AND($S50&lt;&gt;"",EDATE($D50,Milestones!$AA$27)&gt;=$S50),$V50,$U50)))=Milestones!$AB$27),UPPER(TEXT(EDATE($D50,Milestones!$AA$27),"dd mmm yy"))&amp;" "&amp;Milestones!$AB$27&amp;" "&amp;Milestones!$AC$27&amp;";  ","")&amp;IF(AND(EDATE($D50,Milestones!$AA$28)&lt;=AsOfDate,IF($R50=0,$X50,IF(AND($T50&lt;&gt;"",EDATE($D50,Milestones!$AA$28)&gt;=$T50),$W50,IF(AND($S50&lt;&gt;"",EDATE($D50,Milestones!$AA$28)&gt;=$S50),$V50,$U50)))=Milestones!$AB$28),UPPER(TEXT(EDATE($D50,Milestones!$AA$28),"dd mmm yy"))&amp;" "&amp;Milestones!$AB$28&amp;" "&amp;Milestones!$AC$28&amp;";  ","")&amp;IF(AND(EDATE($D50,Milestones!$AA$29)&lt;=AsOfDate,IF($R50=0,$X50,IF(AND($T50&lt;&gt;"",EDATE($D50,Milestones!$AA$29)&gt;=$T50),$W50,IF(AND($S50&lt;&gt;"",EDATE($D50,Milestones!$AA$29)&gt;=$S50),$V50,$U50)))=Milestones!$AB$29),UPPER(TEXT(EDATE($D50,Milestones!$AA$29),"dd mmm yy"))&amp;" "&amp;Milestones!$AB$29&amp;" "&amp;Milestones!$AC$29&amp;";  ","")&amp;IF(AND(EDATE($D50,Milestones!$AA$30)&lt;=AsOfDate,IF($R50=0,$X50,IF(AND($T50&lt;&gt;"",EDATE($D50,Milestones!$AA$30)&gt;=$T50),$W50,IF(AND($S50&lt;&gt;"",EDATE($D50,Milestones!$AA$30)&gt;=$S50),$V50,$U50)))=Milestones!$AB$30),UPPER(TEXT(EDATE($D50,Milestones!$AA$30),"dd mmm yy"))&amp;" "&amp;Milestones!$AB$30&amp;" "&amp;Milestones!$AC$30&amp;";  ","")&amp;IF(AND(EDATE($D50,Milestones!$AA$31)&lt;=AsOfDate,IF($R50=0,$X50,IF(AND($T50&lt;&gt;"",EDATE($D50,Milestones!$AA$31)&gt;=$T50),$W50,IF(AND($S50&lt;&gt;"",EDATE($D50,Milestones!$AA$31)&gt;=$S50),$V50,$U50)))=Milestones!$AB$31),UPPER(TEXT(EDATE($D50,Milestones!$AA$31),"dd mmm yy"))&amp;" "&amp;Milestones!$AB$31&amp;" "&amp;Milestones!$AC$31&amp;";  ","")&amp;IF(AND(EDATE($D50,Milestones!$AA$32)&lt;=AsOfDate,IF($R50=0,$X50,IF(AND($T50&lt;&gt;"",EDATE($D50,Milestones!$AA$32)&gt;=$T50),$W50,IF(AND($S50&lt;&gt;"",EDATE($D50,Milestones!$AA$32)&gt;=$S50),$V50,$U50)))=Milestones!$AB$32),UPPER(TEXT(EDATE($D50,Milestones!$AA$32),"dd mmm yy"))&amp;" "&amp;Milestones!$AB$32&amp;" "&amp;Milestones!$AC$32&amp;";  ","")&amp;IF(AND(EDATE($D50,Milestones!$AA$33)&lt;=AsOfDate,IF($R50=0,$X50,IF(AND($T50&lt;&gt;"",EDATE($D50,Milestones!$AA$33)&gt;=$T50),$W50,IF(AND($S50&lt;&gt;"",EDATE($D50,Milestones!$AA$33)&gt;=$S50),$V50,$U50)))=Milestones!$AB$33),UPPER(TEXT(EDATE($D50,Milestones!$AA$33),"dd mmm yy"))&amp;" "&amp;Milestones!$AB$33&amp;" "&amp;Milestones!$AC$33&amp;";  ","")&amp;IF(AND(EDATE($D50,Milestones!$AA$34)&lt;=AsOfDate,IF($R50=0,$X50,IF(AND($T50&lt;&gt;"",EDATE($D50,Milestones!$AA$34)&gt;=$T50),$W50,IF(AND($S50&lt;&gt;"",EDATE($D50,Milestones!$AA$34)&gt;=$S50),$V50,$U50)))=Milestones!$AB$34),UPPER(TEXT(EDATE($D50,Milestones!$AA$34),"dd mmm yy"))&amp;" "&amp;Milestones!$AB$34&amp;" "&amp;Milestones!$AC$34&amp;";  ","")&amp;IF(AND(EDATE($D50,Milestones!$AA$35)&lt;=AsOfDate,IF($R50=0,$X50,IF(AND($T50&lt;&gt;"",EDATE($D50,Milestones!$AA$35)&gt;=$T50),$W50,IF(AND($S50&lt;&gt;"",EDATE($D50,Milestones!$AA$35)&gt;=$S50),$V50,$U50)))=Milestones!$AB$35),UPPER(TEXT(EDATE($D50,Milestones!$AA$35),"dd mmm yy"))&amp;" "&amp;Milestones!$AB$35&amp;" "&amp;Milestones!$AC$35&amp;";  ","")&amp;IF(AND(EDATE($D50,Milestones!$AA$36)&lt;=AsOfDate,IF($R50=0,$X50,IF(AND($T50&lt;&gt;"",EDATE($D50,Milestones!$AA$36)&gt;=$T50),$W50,IF(AND($S50&lt;&gt;"",EDATE($D50,Milestones!$AA$36)&gt;=$S50),$V50,$U50)))=Milestones!$AB$36),UPPER(TEXT(EDATE($D50,Milestones!$AA$36),"dd mmm yy"))&amp;" "&amp;Milestones!$AB$36&amp;" "&amp;Milestones!$AC$36&amp;";  ","")&amp;IF(AND(EDATE($D50,Milestones!$AA$37)&lt;=AsOfDate,IF($R50=0,$X50,IF(AND($T50&lt;&gt;"",EDATE($D50,Milestones!$AA$37)&gt;=$T50),$W50,IF(AND($S50&lt;&gt;"",EDATE($D50,Milestones!$AA$37)&gt;=$S50),$V50,$U50)))=Milestones!$AB$37),UPPER(TEXT(EDATE($D50,Milestones!$AA$37),"dd mmm yy"))&amp;" "&amp;Milestones!$AB$37&amp;" "&amp;Milestones!$AC$37&amp;";  ","")&amp;IF(AND(EDATE($D50,Milestones!$AA$38)&lt;=AsOfDate,IF($R50=0,$X50,IF(AND($T50&lt;&gt;"",EDATE($D50,Milestones!$AA$38)&gt;=$T50),$W50,IF(AND($S50&lt;&gt;"",EDATE($D50,Milestones!$AA$38)&gt;=$S50),$V50,$U50)))=Milestones!$AB$38),UPPER(TEXT(EDATE($D50,Milestones!$AA$38),"dd mmm yy"))&amp;" "&amp;Milestones!$AB$38&amp;" "&amp;Milestones!$AC$38&amp;";  ","")&amp;IF(AND(EDATE($D50,Milestones!$AA$39)&lt;=AsOfDate,IF($R50=0,$X50,IF(AND($T50&lt;&gt;"",EDATE($D50,Milestones!$AA$39)&gt;=$T50),$W50,IF(AND($S50&lt;&gt;"",EDATE($D50,Milestones!$AA$39)&gt;=$S50),$V50,$U50)))=Milestones!$AB$39),UPPER(TEXT(EDATE($D50,Milestones!$AA$39),"dd mmm yy"))&amp;" "&amp;Milestones!$AB$39&amp;" "&amp;Milestones!$AC$39&amp;";  ",""))</f>
        <v/>
      </c>
      <c r="J50" s="0" t="str">
        <f aca="false">IF(OR($A50="",$D50=""),"",IF(AND(EDATE($D50,Milestones!$AA$40)&lt;=AsOfDate,IF($R50=0,$X50,IF(AND($T50&lt;&gt;"",EDATE($D50,Milestones!$AA$40)&gt;=$T50),$W50,IF(AND($S50&lt;&gt;"",EDATE($D50,Milestones!$AA$40)&gt;=$S50),$V50,$U50)))=Milestones!$AB$40),UPPER(TEXT(EDATE($D50,Milestones!$AA$40),"dd mmm yy"))&amp;" "&amp;Milestones!$AB$40&amp;" "&amp;Milestones!$AC$40&amp;";  ","")&amp;IF(AND(EDATE($D50,Milestones!$AA$41)&lt;=AsOfDate,IF($R50=0,$X50,IF(AND($T50&lt;&gt;"",EDATE($D50,Milestones!$AA$41)&gt;=$T50),$W50,IF(AND($S50&lt;&gt;"",EDATE($D50,Milestones!$AA$41)&gt;=$S50),$V50,$U50)))=Milestones!$AB$41),UPPER(TEXT(EDATE($D50,Milestones!$AA$41),"dd mmm yy"))&amp;" "&amp;Milestones!$AB$41&amp;" "&amp;Milestones!$AC$41&amp;";  ","")&amp;IF(AND(EDATE($D50,Milestones!$AA$42)&lt;=AsOfDate,IF($R50=0,$X50,IF(AND($T50&lt;&gt;"",EDATE($D50,Milestones!$AA$42)&gt;=$T50),$W50,IF(AND($S50&lt;&gt;"",EDATE($D50,Milestones!$AA$42)&gt;=$S50),$V50,$U50)))=Milestones!$AB$42),UPPER(TEXT(EDATE($D50,Milestones!$AA$42),"dd mmm yy"))&amp;" "&amp;Milestones!$AB$42&amp;" "&amp;Milestones!$AC$42&amp;";  ","")&amp;IF(AND(EDATE($D50,Milestones!$AA$43)&lt;=AsOfDate,IF($R50=0,$X50,IF(AND($T50&lt;&gt;"",EDATE($D50,Milestones!$AA$43)&gt;=$T50),$W50,IF(AND($S50&lt;&gt;"",EDATE($D50,Milestones!$AA$43)&gt;=$S50),$V50,$U50)))=Milestones!$AB$43),UPPER(TEXT(EDATE($D50,Milestones!$AA$43),"dd mmm yy"))&amp;" "&amp;Milestones!$AB$43&amp;" "&amp;Milestones!$AC$43&amp;";  ","")&amp;IF(AND(EDATE($D50,Milestones!$AA$44)&lt;=AsOfDate,IF($R50=0,$X50,IF(AND($T50&lt;&gt;"",EDATE($D50,Milestones!$AA$44)&gt;=$T50),$W50,IF(AND($S50&lt;&gt;"",EDATE($D50,Milestones!$AA$44)&gt;=$S50),$V50,$U50)))=Milestones!$AB$44),UPPER(TEXT(EDATE($D50,Milestones!$AA$44),"dd mmm yy"))&amp;" "&amp;Milestones!$AB$44&amp;" "&amp;Milestones!$AC$44&amp;";  ","")&amp;IF(AND(EDATE($D50,Milestones!$AA$45)&lt;=AsOfDate,IF($R50=0,$X50,IF(AND($T50&lt;&gt;"",EDATE($D50,Milestones!$AA$45)&gt;=$T50),$W50,IF(AND($S50&lt;&gt;"",EDATE($D50,Milestones!$AA$45)&gt;=$S50),$V50,$U50)))=Milestones!$AB$45),UPPER(TEXT(EDATE($D50,Milestones!$AA$45),"dd mmm yy"))&amp;" "&amp;Milestones!$AB$45&amp;" "&amp;Milestones!$AC$45&amp;";  ","")&amp;IF(AND(EDATE($D50,Milestones!$AA$46)&lt;=AsOfDate,IF($R50=0,$X50,IF(AND($T50&lt;&gt;"",EDATE($D50,Milestones!$AA$46)&gt;=$T50),$W50,IF(AND($S50&lt;&gt;"",EDATE($D50,Milestones!$AA$46)&gt;=$S50),$V50,$U50)))=Milestones!$AB$46),UPPER(TEXT(EDATE($D50,Milestones!$AA$46),"dd mmm yy"))&amp;" "&amp;Milestones!$AB$46&amp;" "&amp;Milestones!$AC$46&amp;";  ","")&amp;IF(AND(EDATE($D50,Milestones!$AA$47)&lt;=AsOfDate,IF($R50=0,$X50,IF(AND($T50&lt;&gt;"",EDATE($D50,Milestones!$AA$47)&gt;=$T50),$W50,IF(AND($S50&lt;&gt;"",EDATE($D50,Milestones!$AA$47)&gt;=$S50),$V50,$U50)))=Milestones!$AB$47),UPPER(TEXT(EDATE($D50,Milestones!$AA$47),"dd mmm yy"))&amp;" "&amp;Milestones!$AB$47&amp;" "&amp;Milestones!$AC$47&amp;";  ","")&amp;IF(AND(EDATE($D50,Milestones!$AA$48)&lt;=AsOfDate,IF($R50=0,$X50,IF(AND($T50&lt;&gt;"",EDATE($D50,Milestones!$AA$48)&gt;=$T50),$W50,IF(AND($S50&lt;&gt;"",EDATE($D50,Milestones!$AA$48)&gt;=$S50),$V50,$U50)))=Milestones!$AB$48),UPPER(TEXT(EDATE($D50,Milestones!$AA$48),"dd mmm yy"))&amp;" "&amp;Milestones!$AB$48&amp;" "&amp;Milestones!$AC$48&amp;";  ","")&amp;IF(AND(EDATE($D50,Milestones!$AA$49)&lt;=AsOfDate,IF($R50=0,$X50,IF(AND($T50&lt;&gt;"",EDATE($D50,Milestones!$AA$49)&gt;=$T50),$W50,IF(AND($S50&lt;&gt;"",EDATE($D50,Milestones!$AA$49)&gt;=$S50),$V50,$U50)))=Milestones!$AB$49),UPPER(TEXT(EDATE($D50,Milestones!$AA$49),"dd mmm yy"))&amp;" "&amp;Milestones!$AB$49&amp;" "&amp;Milestones!$AC$49&amp;";  ","")&amp;IF(AND(EDATE($D50,Milestones!$AA$50)&lt;=AsOfDate,IF($R50=0,$X50,IF(AND($T50&lt;&gt;"",EDATE($D50,Milestones!$AA$50)&gt;=$T50),$W50,IF(AND($S50&lt;&gt;"",EDATE($D50,Milestones!$AA$50)&gt;=$S50),$V50,$U50)))=Milestones!$AB$50),UPPER(TEXT(EDATE($D50,Milestones!$AA$50),"dd mmm yy"))&amp;" "&amp;Milestones!$AB$50&amp;" "&amp;Milestones!$AC$50&amp;";  ","")&amp;IF(AND(EDATE($D50,Milestones!$AA$51)&lt;=AsOfDate,IF($R50=0,$X50,IF(AND($T50&lt;&gt;"",EDATE($D50,Milestones!$AA$51)&gt;=$T50),$W50,IF(AND($S50&lt;&gt;"",EDATE($D50,Milestones!$AA$51)&gt;=$S50),$V50,$U50)))=Milestones!$AB$51),UPPER(TEXT(EDATE($D50,Milestones!$AA$51),"dd mmm yy"))&amp;" "&amp;Milestones!$AB$51&amp;" "&amp;Milestones!$AC$51&amp;";  ","")&amp;IF(AND(EDATE($D50,Milestones!$AA$52)&lt;=AsOfDate,IF($R50=0,$X50,IF(AND($T50&lt;&gt;"",EDATE($D50,Milestones!$AA$52)&gt;=$T50),$W50,IF(AND($S50&lt;&gt;"",EDATE($D50,Milestones!$AA$52)&gt;=$S50),$V50,$U50)))=Milestones!$AB$52),UPPER(TEXT(EDATE($D50,Milestones!$AA$52),"dd mmm yy"))&amp;" "&amp;Milestones!$AB$52&amp;" "&amp;Milestones!$AC$52&amp;";  ","")&amp;IF(AND(EDATE($D50,Milestones!$AA$53)&lt;=AsOfDate,IF($R50=0,$X50,IF(AND($T50&lt;&gt;"",EDATE($D50,Milestones!$AA$53)&gt;=$T50),$W50,IF(AND($S50&lt;&gt;"",EDATE($D50,Milestones!$AA$53)&gt;=$S50),$V50,$U50)))=Milestones!$AB$53),UPPER(TEXT(EDATE($D50,Milestones!$AA$53),"dd mmm yy"))&amp;" "&amp;Milestones!$AB$53&amp;" "&amp;Milestones!$AC$53&amp;";  ","")&amp;IF(AND(EDATE($D50,Milestones!$AA$54)&lt;=AsOfDate,IF($R50=0,$X50,IF(AND($T50&lt;&gt;"",EDATE($D50,Milestones!$AA$54)&gt;=$T50),$W50,IF(AND($S50&lt;&gt;"",EDATE($D50,Milestones!$AA$54)&gt;=$S50),$V50,$U50)))=Milestones!$AB$54),UPPER(TEXT(EDATE($D50,Milestones!$AA$54),"dd mmm yy"))&amp;" "&amp;Milestones!$AB$54&amp;" "&amp;Milestones!$AC$54&amp;";  ","")&amp;IF(AND(EDATE($D50,Milestones!$AA$55)&lt;=AsOfDate,IF($R50=0,$X50,IF(AND($T50&lt;&gt;"",EDATE($D50,Milestones!$AA$55)&gt;=$T50),$W50,IF(AND($S50&lt;&gt;"",EDATE($D50,Milestones!$AA$55)&gt;=$S50),$V50,$U50)))=Milestones!$AB$55),UPPER(TEXT(EDATE($D50,Milestones!$AA$55),"dd mmm yy"))&amp;" "&amp;Milestones!$AB$55&amp;" "&amp;Milestones!$AC$55&amp;";  ","")&amp;IF(AND(EDATE($D50,Milestones!$AA$56)&lt;=AsOfDate,IF($R50=0,$X50,IF(AND($T50&lt;&gt;"",EDATE($D50,Milestones!$AA$56)&gt;=$T50),$W50,IF(AND($S50&lt;&gt;"",EDATE($D50,Milestones!$AA$56)&gt;=$S50),$V50,$U50)))=Milestones!$AB$56),UPPER(TEXT(EDATE($D50,Milestones!$AA$56),"dd mmm yy"))&amp;" "&amp;Milestones!$AB$56&amp;" "&amp;Milestones!$AC$56&amp;";  ","")&amp;IF(AND(EDATE($D50,Milestones!$AA$57)&lt;=AsOfDate,IF($R50=0,$X50,IF(AND($T50&lt;&gt;"",EDATE($D50,Milestones!$AA$57)&gt;=$T50),$W50,IF(AND($S50&lt;&gt;"",EDATE($D50,Milestones!$AA$57)&gt;=$S50),$V50,$U50)))=Milestones!$AB$57),UPPER(TEXT(EDATE($D50,Milestones!$AA$57),"dd mmm yy"))&amp;" "&amp;Milestones!$AB$57&amp;" "&amp;Milestones!$AC$57&amp;";  ","")&amp;IF(AND(EDATE($D50,Milestones!$AA$58)&lt;=AsOfDate,IF($R50=0,$X50,IF(AND($T50&lt;&gt;"",EDATE($D50,Milestones!$AA$58)&gt;=$T50),$W50,IF(AND($S50&lt;&gt;"",EDATE($D50,Milestones!$AA$58)&gt;=$S50),$V50,$U50)))=Milestones!$AB$58),UPPER(TEXT(EDATE($D50,Milestones!$AA$58),"dd mmm yy"))&amp;" "&amp;Milestones!$AB$58&amp;" "&amp;Milestones!$AC$58&amp;";  ","")&amp;IF(AND(EDATE($D50,Milestones!$AA$59)&lt;=AsOfDate,IF($R50=0,$X50,IF(AND($T50&lt;&gt;"",EDATE($D50,Milestones!$AA$59)&gt;=$T50),$W50,IF(AND($S50&lt;&gt;"",EDATE($D50,Milestones!$AA$59)&gt;=$S50),$V50,$U50)))=Milestones!$AB$59),UPPER(TEXT(EDATE($D50,Milestones!$AA$59),"dd mmm yy"))&amp;" "&amp;Milestones!$AB$59&amp;" "&amp;Milestones!$AC$59&amp;";  ",""))</f>
        <v/>
      </c>
      <c r="K50" s="0" t="str">
        <f aca="false">IF(OR($A50="",$D50=""),"",IF(AND(EDATE($D50,Milestones!$AA$60)&lt;=AsOfDate,IF($R50=0,$X50,IF(AND($T50&lt;&gt;"",EDATE($D50,Milestones!$AA$60)&gt;=$T50),$W50,IF(AND($S50&lt;&gt;"",EDATE($D50,Milestones!$AA$60)&gt;=$S50),$V50,$U50)))=Milestones!$AB$60),UPPER(TEXT(EDATE($D50,Milestones!$AA$60),"dd mmm yy"))&amp;" "&amp;Milestones!$AB$60&amp;" "&amp;Milestones!$AC$60&amp;";  ","")&amp;IF(AND(EDATE($D50,Milestones!$AA$61)&lt;=AsOfDate,IF($R50=0,$X50,IF(AND($T50&lt;&gt;"",EDATE($D50,Milestones!$AA$61)&gt;=$T50),$W50,IF(AND($S50&lt;&gt;"",EDATE($D50,Milestones!$AA$61)&gt;=$S50),$V50,$U50)))=Milestones!$AB$61),UPPER(TEXT(EDATE($D50,Milestones!$AA$61),"dd mmm yy"))&amp;" "&amp;Milestones!$AB$61&amp;" "&amp;Milestones!$AC$61&amp;";  ","")&amp;IF(AND(EDATE($D50,Milestones!$AA$62)&lt;=AsOfDate,IF($R50=0,$X50,IF(AND($T50&lt;&gt;"",EDATE($D50,Milestones!$AA$62)&gt;=$T50),$W50,IF(AND($S50&lt;&gt;"",EDATE($D50,Milestones!$AA$62)&gt;=$S50),$V50,$U50)))=Milestones!$AB$62),UPPER(TEXT(EDATE($D50,Milestones!$AA$62),"dd mmm yy"))&amp;" "&amp;Milestones!$AB$62&amp;" "&amp;Milestones!$AC$62&amp;";  ","")&amp;IF(AND(EDATE($D50,Milestones!$AA$63)&lt;=AsOfDate,IF($R50=0,$X50,IF(AND($T50&lt;&gt;"",EDATE($D50,Milestones!$AA$63)&gt;=$T50),$W50,IF(AND($S50&lt;&gt;"",EDATE($D50,Milestones!$AA$63)&gt;=$S50),$V50,$U50)))=Milestones!$AB$63),UPPER(TEXT(EDATE($D50,Milestones!$AA$63),"dd mmm yy"))&amp;" "&amp;Milestones!$AB$63&amp;" "&amp;Milestones!$AC$63&amp;";  ","")&amp;IF(AND(EDATE($D50,Milestones!$AA$64)&lt;=AsOfDate,IF($R50=0,$X50,IF(AND($T50&lt;&gt;"",EDATE($D50,Milestones!$AA$64)&gt;=$T50),$W50,IF(AND($S50&lt;&gt;"",EDATE($D50,Milestones!$AA$64)&gt;=$S50),$V50,$U50)))=Milestones!$AB$64),UPPER(TEXT(EDATE($D50,Milestones!$AA$64),"dd mmm yy"))&amp;" "&amp;Milestones!$AB$64&amp;" "&amp;Milestones!$AC$64&amp;";  ","")&amp;IF(AND(EDATE($D50,Milestones!$AA$65)&lt;=AsOfDate,IF($R50=0,$X50,IF(AND($T50&lt;&gt;"",EDATE($D50,Milestones!$AA$65)&gt;=$T50),$W50,IF(AND($S50&lt;&gt;"",EDATE($D50,Milestones!$AA$65)&gt;=$S50),$V50,$U50)))=Milestones!$AB$65),UPPER(TEXT(EDATE($D50,Milestones!$AA$65),"dd mmm yy"))&amp;" "&amp;Milestones!$AB$65&amp;" "&amp;Milestones!$AC$65&amp;";  ","")&amp;IF(AND(EDATE($D50,Milestones!$AA$66)&lt;=AsOfDate,IF($R50=0,$X50,IF(AND($T50&lt;&gt;"",EDATE($D50,Milestones!$AA$66)&gt;=$T50),$W50,IF(AND($S50&lt;&gt;"",EDATE($D50,Milestones!$AA$66)&gt;=$S50),$V50,$U50)))=Milestones!$AB$66),UPPER(TEXT(EDATE($D50,Milestones!$AA$66),"dd mmm yy"))&amp;" "&amp;Milestones!$AB$66&amp;" "&amp;Milestones!$AC$66&amp;";  ","")&amp;IF(AND(EDATE($D50,Milestones!$AA$67)&lt;=AsOfDate,IF($R50=0,$X50,IF(AND($T50&lt;&gt;"",EDATE($D50,Milestones!$AA$67)&gt;=$T50),$W50,IF(AND($S50&lt;&gt;"",EDATE($D50,Milestones!$AA$67)&gt;=$S50),$V50,$U50)))=Milestones!$AB$67),UPPER(TEXT(EDATE($D50,Milestones!$AA$67),"dd mmm yy"))&amp;" "&amp;Milestones!$AB$67&amp;" "&amp;Milestones!$AC$67&amp;";  ","")&amp;IF(AND(EDATE($D50,Milestones!$AA$68)&lt;=AsOfDate,IF($R50=0,$X50,IF(AND($T50&lt;&gt;"",EDATE($D50,Milestones!$AA$68)&gt;=$T50),$W50,IF(AND($S50&lt;&gt;"",EDATE($D50,Milestones!$AA$68)&gt;=$S50),$V50,$U50)))=Milestones!$AB$68),UPPER(TEXT(EDATE($D50,Milestones!$AA$68),"dd mmm yy"))&amp;" "&amp;Milestones!$AB$68&amp;" "&amp;Milestones!$AC$68&amp;";  ","")&amp;IF(AND(EDATE($D50,Milestones!$AA$69)&lt;=AsOfDate,IF($R50=0,$X50,IF(AND($T50&lt;&gt;"",EDATE($D50,Milestones!$AA$69)&gt;=$T50),$W50,IF(AND($S50&lt;&gt;"",EDATE($D50,Milestones!$AA$69)&gt;=$S50),$V50,$U50)))=Milestones!$AB$69),UPPER(TEXT(EDATE($D50,Milestones!$AA$69),"dd mmm yy"))&amp;" "&amp;Milestones!$AB$69&amp;" "&amp;Milestones!$AC$69&amp;";  ","")&amp;IF(AND(EDATE($D50,Milestones!$AA$70)&lt;=AsOfDate,IF($R50=0,$X50,IF(AND($T50&lt;&gt;"",EDATE($D50,Milestones!$AA$70)&gt;=$T50),$W50,IF(AND($S50&lt;&gt;"",EDATE($D50,Milestones!$AA$70)&gt;=$S50),$V50,$U50)))=Milestones!$AB$70),UPPER(TEXT(EDATE($D50,Milestones!$AA$70),"dd mmm yy"))&amp;" "&amp;Milestones!$AB$70&amp;" "&amp;Milestones!$AC$70&amp;";  ","")&amp;IF(AND(EDATE($D50,Milestones!$AA$71)&lt;=AsOfDate,IF($R50=0,$X50,IF(AND($T50&lt;&gt;"",EDATE($D50,Milestones!$AA$71)&gt;=$T50),$W50,IF(AND($S50&lt;&gt;"",EDATE($D50,Milestones!$AA$71)&gt;=$S50),$V50,$U50)))=Milestones!$AB$71),UPPER(TEXT(EDATE($D50,Milestones!$AA$71),"dd mmm yy"))&amp;" "&amp;Milestones!$AB$71&amp;" "&amp;Milestones!$AC$71&amp;";  ","")&amp;IF(AND(EDATE($D50,Milestones!$AA$72)&lt;=AsOfDate,IF($R50=0,$X50,IF(AND($T50&lt;&gt;"",EDATE($D50,Milestones!$AA$72)&gt;=$T50),$W50,IF(AND($S50&lt;&gt;"",EDATE($D50,Milestones!$AA$72)&gt;=$S50),$V50,$U50)))=Milestones!$AB$72),UPPER(TEXT(EDATE($D50,Milestones!$AA$72),"dd mmm yy"))&amp;" "&amp;Milestones!$AB$72&amp;" "&amp;Milestones!$AC$72&amp;";  ","")&amp;IF(AND(EDATE($D50,Milestones!$AA$73)&lt;=AsOfDate,IF($R50=0,$X50,IF(AND($T50&lt;&gt;"",EDATE($D50,Milestones!$AA$73)&gt;=$T50),$W50,IF(AND($S50&lt;&gt;"",EDATE($D50,Milestones!$AA$73)&gt;=$S50),$V50,$U50)))=Milestones!$AB$73),UPPER(TEXT(EDATE($D50,Milestones!$AA$73),"dd mmm yy"))&amp;" "&amp;Milestones!$AB$73&amp;" "&amp;Milestones!$AC$73&amp;";  ","")&amp;IF(AND(EDATE($D50,Milestones!$AA$74)&lt;=AsOfDate,IF($R50=0,$X50,IF(AND($T50&lt;&gt;"",EDATE($D50,Milestones!$AA$74)&gt;=$T50),$W50,IF(AND($S50&lt;&gt;"",EDATE($D50,Milestones!$AA$74)&gt;=$S50),$V50,$U50)))=Milestones!$AB$74),UPPER(TEXT(EDATE($D50,Milestones!$AA$74),"dd mmm yy"))&amp;" "&amp;Milestones!$AB$74&amp;" "&amp;Milestones!$AC$74&amp;";  ","")&amp;IF(AND(EDATE($D50,Milestones!$AA$75)&lt;=AsOfDate,IF($R50=0,$X50,IF(AND($T50&lt;&gt;"",EDATE($D50,Milestones!$AA$75)&gt;=$T50),$W50,IF(AND($S50&lt;&gt;"",EDATE($D50,Milestones!$AA$75)&gt;=$S50),$V50,$U50)))=Milestones!$AB$75),UPPER(TEXT(EDATE($D50,Milestones!$AA$75),"dd mmm yy"))&amp;" "&amp;Milestones!$AB$75&amp;" "&amp;Milestones!$AC$75&amp;";  ","")&amp;IF(AND(EDATE($D50,Milestones!$AA$76)&lt;=AsOfDate,IF($R50=0,$X50,IF(AND($T50&lt;&gt;"",EDATE($D50,Milestones!$AA$76)&gt;=$T50),$W50,IF(AND($S50&lt;&gt;"",EDATE($D50,Milestones!$AA$76)&gt;=$S50),$V50,$U50)))=Milestones!$AB$76),UPPER(TEXT(EDATE($D50,Milestones!$AA$76),"dd mmm yy"))&amp;" "&amp;Milestones!$AB$76&amp;" "&amp;Milestones!$AC$76&amp;";  ","")&amp;IF(AND(EDATE($D50,Milestones!$AA$77)&lt;=AsOfDate,IF($R50=0,$X50,IF(AND($T50&lt;&gt;"",EDATE($D50,Milestones!$AA$77)&gt;=$T50),$W50,IF(AND($S50&lt;&gt;"",EDATE($D50,Milestones!$AA$77)&gt;=$S50),$V50,$U50)))=Milestones!$AB$77),UPPER(TEXT(EDATE($D50,Milestones!$AA$77),"dd mmm yy"))&amp;" "&amp;Milestones!$AB$77&amp;" "&amp;Milestones!$AC$77&amp;";  ","")&amp;IF(AND(EDATE($D50,Milestones!$AA$78)&lt;=AsOfDate,IF($R50=0,$X50,IF(AND($T50&lt;&gt;"",EDATE($D50,Milestones!$AA$78)&gt;=$T50),$W50,IF(AND($S50&lt;&gt;"",EDATE($D50,Milestones!$AA$78)&gt;=$S50),$V50,$U50)))=Milestones!$AB$78),UPPER(TEXT(EDATE($D50,Milestones!$AA$78),"dd mmm yy"))&amp;" "&amp;Milestones!$AB$78&amp;" "&amp;Milestones!$AC$78&amp;";  ","")&amp;IF(AND(EDATE($D50,Milestones!$AA$79)&lt;=AsOfDate,IF($R50=0,$X50,IF(AND($T50&lt;&gt;"",EDATE($D50,Milestones!$AA$79)&gt;=$T50),$W50,IF(AND($S50&lt;&gt;"",EDATE($D50,Milestones!$AA$79)&gt;=$S50),$V50,$U50)))=Milestones!$AB$79),UPPER(TEXT(EDATE($D50,Milestones!$AA$79),"dd mmm yy"))&amp;" "&amp;Milestones!$AB$79&amp;" "&amp;Milestones!$AC$79&amp;";  ",""))</f>
        <v/>
      </c>
      <c r="L50" s="0" t="str">
        <f aca="false">IF(OR($A50="",$D50=""),"",IF(AND(EDATE($D50,Milestones!$AA$80)&lt;=AsOfDate,IF($R50=0,$X50,IF(AND($T50&lt;&gt;"",EDATE($D50,Milestones!$AA$80)&gt;=$T50),$W50,IF(AND($S50&lt;&gt;"",EDATE($D50,Milestones!$AA$80)&gt;=$S50),$V50,$U50)))=Milestones!$AB$80),UPPER(TEXT(EDATE($D50,Milestones!$AA$80),"dd mmm yy"))&amp;" "&amp;Milestones!$AB$80&amp;" "&amp;Milestones!$AC$80&amp;";  ","")&amp;IF(AND(EDATE($D50,Milestones!$AA$81)&lt;=AsOfDate,IF($R50=0,$X50,IF(AND($T50&lt;&gt;"",EDATE($D50,Milestones!$AA$81)&gt;=$T50),$W50,IF(AND($S50&lt;&gt;"",EDATE($D50,Milestones!$AA$81)&gt;=$S50),$V50,$U50)))=Milestones!$AB$81),UPPER(TEXT(EDATE($D50,Milestones!$AA$81),"dd mmm yy"))&amp;" "&amp;Milestones!$AB$81&amp;" "&amp;Milestones!$AC$81&amp;";  ","")&amp;IF(AND(EDATE($D50,Milestones!$AA$82)&lt;=AsOfDate,IF($R50=0,$X50,IF(AND($T50&lt;&gt;"",EDATE($D50,Milestones!$AA$82)&gt;=$T50),$W50,IF(AND($S50&lt;&gt;"",EDATE($D50,Milestones!$AA$82)&gt;=$S50),$V50,$U50)))=Milestones!$AB$82),UPPER(TEXT(EDATE($D50,Milestones!$AA$82),"dd mmm yy"))&amp;" "&amp;Milestones!$AB$82&amp;" "&amp;Milestones!$AC$82&amp;";  ","")&amp;IF(AND(EDATE($D50,Milestones!$AA$83)&lt;=AsOfDate,IF($R50=0,$X50,IF(AND($T50&lt;&gt;"",EDATE($D50,Milestones!$AA$83)&gt;=$T50),$W50,IF(AND($S50&lt;&gt;"",EDATE($D50,Milestones!$AA$83)&gt;=$S50),$V50,$U50)))=Milestones!$AB$83),UPPER(TEXT(EDATE($D50,Milestones!$AA$83),"dd mmm yy"))&amp;" "&amp;Milestones!$AB$83&amp;" "&amp;Milestones!$AC$83&amp;";  ","")&amp;IF(AND(EDATE($D50,Milestones!$AA$84)&lt;=AsOfDate,IF($R50=0,$X50,IF(AND($T50&lt;&gt;"",EDATE($D50,Milestones!$AA$84)&gt;=$T50),$W50,IF(AND($S50&lt;&gt;"",EDATE($D50,Milestones!$AA$84)&gt;=$S50),$V50,$U50)))=Milestones!$AB$84),UPPER(TEXT(EDATE($D50,Milestones!$AA$84),"dd mmm yy"))&amp;" "&amp;Milestones!$AB$84&amp;" "&amp;Milestones!$AC$84&amp;";  ","")&amp;IF(AND(EDATE($D50,Milestones!$AA$85)&lt;=AsOfDate,IF($R50=0,$X50,IF(AND($T50&lt;&gt;"",EDATE($D50,Milestones!$AA$85)&gt;=$T50),$W50,IF(AND($S50&lt;&gt;"",EDATE($D50,Milestones!$AA$85)&gt;=$S50),$V50,$U50)))=Milestones!$AB$85),UPPER(TEXT(EDATE($D50,Milestones!$AA$85),"dd mmm yy"))&amp;" "&amp;Milestones!$AB$85&amp;" "&amp;Milestones!$AC$85&amp;";  ","")&amp;IF(AND(EDATE($D50,Milestones!$AA$86)&lt;=AsOfDate,IF($R50=0,$X50,IF(AND($T50&lt;&gt;"",EDATE($D50,Milestones!$AA$86)&gt;=$T50),$W50,IF(AND($S50&lt;&gt;"",EDATE($D50,Milestones!$AA$86)&gt;=$S50),$V50,$U50)))=Milestones!$AB$86),UPPER(TEXT(EDATE($D50,Milestones!$AA$86),"dd mmm yy"))&amp;" "&amp;Milestones!$AB$86&amp;" "&amp;Milestones!$AC$86&amp;";  ","")&amp;IF(AND(EDATE($D50,Milestones!$AA$87)&lt;=AsOfDate,IF($R50=0,$X50,IF(AND($T50&lt;&gt;"",EDATE($D50,Milestones!$AA$87)&gt;=$T50),$W50,IF(AND($S50&lt;&gt;"",EDATE($D50,Milestones!$AA$87)&gt;=$S50),$V50,$U50)))=Milestones!$AB$87),UPPER(TEXT(EDATE($D50,Milestones!$AA$87),"dd mmm yy"))&amp;" "&amp;Milestones!$AB$87&amp;" "&amp;Milestones!$AC$87&amp;";  ","")&amp;IF(AND(EDATE($D50,Milestones!$AA$88)&lt;=AsOfDate,IF($R50=0,$X50,IF(AND($T50&lt;&gt;"",EDATE($D50,Milestones!$AA$88)&gt;=$T50),$W50,IF(AND($S50&lt;&gt;"",EDATE($D50,Milestones!$AA$88)&gt;=$S50),$V50,$U50)))=Milestones!$AB$88),UPPER(TEXT(EDATE($D50,Milestones!$AA$88),"dd mmm yy"))&amp;" "&amp;Milestones!$AB$88&amp;" "&amp;Milestones!$AC$88&amp;";  ","")&amp;IF(AND(EDATE($D50,Milestones!$AA$89)&lt;=AsOfDate,IF($R50=0,$X50,IF(AND($T50&lt;&gt;"",EDATE($D50,Milestones!$AA$89)&gt;=$T50),$W50,IF(AND($S50&lt;&gt;"",EDATE($D50,Milestones!$AA$89)&gt;=$S50),$V50,$U50)))=Milestones!$AB$89),UPPER(TEXT(EDATE($D50,Milestones!$AA$89),"dd mmm yy"))&amp;" "&amp;Milestones!$AB$89&amp;" "&amp;Milestones!$AC$89&amp;";  ","")&amp;IF(AND(EDATE($D50,Milestones!$AA$90)&lt;=AsOfDate,IF($R50=0,$X50,IF(AND($T50&lt;&gt;"",EDATE($D50,Milestones!$AA$90)&gt;=$T50),$W50,IF(AND($S50&lt;&gt;"",EDATE($D50,Milestones!$AA$90)&gt;=$S50),$V50,$U50)))=Milestones!$AB$90),UPPER(TEXT(EDATE($D50,Milestones!$AA$90),"dd mmm yy"))&amp;" "&amp;Milestones!$AB$90&amp;" "&amp;Milestones!$AC$90&amp;";  ","")&amp;IF(AND(EDATE($D50,Milestones!$AA$91)&lt;=AsOfDate,IF($R50=0,$X50,IF(AND($T50&lt;&gt;"",EDATE($D50,Milestones!$AA$91)&gt;=$T50),$W50,IF(AND($S50&lt;&gt;"",EDATE($D50,Milestones!$AA$91)&gt;=$S50),$V50,$U50)))=Milestones!$AB$91),UPPER(TEXT(EDATE($D50,Milestones!$AA$91),"dd mmm yy"))&amp;" "&amp;Milestones!$AB$91&amp;" "&amp;Milestones!$AC$91&amp;";  ","")&amp;IF(AND(EDATE($D50,Milestones!$AA$92)&lt;=AsOfDate,IF($R50=0,$X50,IF(AND($T50&lt;&gt;"",EDATE($D50,Milestones!$AA$92)&gt;=$T50),$W50,IF(AND($S50&lt;&gt;"",EDATE($D50,Milestones!$AA$92)&gt;=$S50),$V50,$U50)))=Milestones!$AB$92),UPPER(TEXT(EDATE($D50,Milestones!$AA$92),"dd mmm yy"))&amp;" "&amp;Milestones!$AB$92&amp;" "&amp;Milestones!$AC$92&amp;";  ","")&amp;IF(AND(EDATE($D50,Milestones!$AA$93)&lt;=AsOfDate,IF($R50=0,$X50,IF(AND($T50&lt;&gt;"",EDATE($D50,Milestones!$AA$93)&gt;=$T50),$W50,IF(AND($S50&lt;&gt;"",EDATE($D50,Milestones!$AA$93)&gt;=$S50),$V50,$U50)))=Milestones!$AB$93),UPPER(TEXT(EDATE($D50,Milestones!$AA$93),"dd mmm yy"))&amp;" "&amp;Milestones!$AB$93&amp;" "&amp;Milestones!$AC$93&amp;";  ","")&amp;IF(AND(EDATE($D50,Milestones!$AA$94)&lt;=AsOfDate,IF($R50=0,$X50,IF(AND($T50&lt;&gt;"",EDATE($D50,Milestones!$AA$94)&gt;=$T50),$W50,IF(AND($S50&lt;&gt;"",EDATE($D50,Milestones!$AA$94)&gt;=$S50),$V50,$U50)))=Milestones!$AB$94),UPPER(TEXT(EDATE($D50,Milestones!$AA$94),"dd mmm yy"))&amp;" "&amp;Milestones!$AB$94&amp;" "&amp;Milestones!$AC$94&amp;";  ","")&amp;IF(AND(EDATE($D50,Milestones!$AA$95)&lt;=AsOfDate,IF($R50=0,$X50,IF(AND($T50&lt;&gt;"",EDATE($D50,Milestones!$AA$95)&gt;=$T50),$W50,IF(AND($S50&lt;&gt;"",EDATE($D50,Milestones!$AA$95)&gt;=$S50),$V50,$U50)))=Milestones!$AB$95),UPPER(TEXT(EDATE($D50,Milestones!$AA$95),"dd mmm yy"))&amp;" "&amp;Milestones!$AB$95&amp;" "&amp;Milestones!$AC$95&amp;";  ","")&amp;IF(AND(EDATE($D50,Milestones!$AA$96)&lt;=AsOfDate,IF($R50=0,$X50,IF(AND($T50&lt;&gt;"",EDATE($D50,Milestones!$AA$96)&gt;=$T50),$W50,IF(AND($S50&lt;&gt;"",EDATE($D50,Milestones!$AA$96)&gt;=$S50),$V50,$U50)))=Milestones!$AB$96),UPPER(TEXT(EDATE($D50,Milestones!$AA$96),"dd mmm yy"))&amp;" "&amp;Milestones!$AB$96&amp;" "&amp;Milestones!$AC$96&amp;";  ","")&amp;IF(AND(EDATE($D50,Milestones!$AA$97)&lt;=AsOfDate,IF($R50=0,$X50,IF(AND($T50&lt;&gt;"",EDATE($D50,Milestones!$AA$97)&gt;=$T50),$W50,IF(AND($S50&lt;&gt;"",EDATE($D50,Milestones!$AA$97)&gt;=$S50),$V50,$U50)))=Milestones!$AB$97),UPPER(TEXT(EDATE($D50,Milestones!$AA$97),"dd mmm yy"))&amp;" "&amp;Milestones!$AB$97&amp;" "&amp;Milestones!$AC$97&amp;";  ","")&amp;IF(AND(EDATE($D50,Milestones!$AA$98)&lt;=AsOfDate,IF($R50=0,$X50,IF(AND($T50&lt;&gt;"",EDATE($D50,Milestones!$AA$98)&gt;=$T50),$W50,IF(AND($S50&lt;&gt;"",EDATE($D50,Milestones!$AA$98)&gt;=$S50),$V50,$U50)))=Milestones!$AB$98),UPPER(TEXT(EDATE($D50,Milestones!$AA$98),"dd mmm yy"))&amp;" "&amp;Milestones!$AB$98&amp;" "&amp;Milestones!$AC$98&amp;";  ","")&amp;IF(AND(EDATE($D50,Milestones!$AA$99)&lt;=AsOfDate,IF($R50=0,$X50,IF(AND($T50&lt;&gt;"",EDATE($D50,Milestones!$AA$99)&gt;=$T50),$W50,IF(AND($S50&lt;&gt;"",EDATE($D50,Milestones!$AA$99)&gt;=$S50),$V50,$U50)))=Milestones!$AB$99),UPPER(TEXT(EDATE($D50,Milestones!$AA$99),"dd mmm yy"))&amp;" "&amp;Milestones!$AB$99&amp;" "&amp;Milestones!$AC$99&amp;";  ",""))</f>
        <v/>
      </c>
      <c r="M50" s="0" t="str">
        <f aca="false">IF(OR($A50="",$D50=""),"",IF(AND(EDATE($D50,Milestones!$AA$100)&lt;=AsOfDate,IF($R50=0,$X50,IF(AND($T50&lt;&gt;"",EDATE($D50,Milestones!$AA$100)&gt;=$T50),$W50,IF(AND($S50&lt;&gt;"",EDATE($D50,Milestones!$AA$100)&gt;=$S50),$V50,$U50)))=Milestones!$AB$100),UPPER(TEXT(EDATE($D50,Milestones!$AA$100),"dd mmm yy"))&amp;" "&amp;Milestones!$AB$100&amp;" "&amp;Milestones!$AC$100&amp;";  ","")&amp;IF(AND(EDATE($D50,Milestones!$AA$101)&lt;=AsOfDate,IF($R50=0,$X50,IF(AND($T50&lt;&gt;"",EDATE($D50,Milestones!$AA$101)&gt;=$T50),$W50,IF(AND($S50&lt;&gt;"",EDATE($D50,Milestones!$AA$101)&gt;=$S50),$V50,$U50)))=Milestones!$AB$101),UPPER(TEXT(EDATE($D50,Milestones!$AA$101),"dd mmm yy"))&amp;" "&amp;Milestones!$AB$101&amp;" "&amp;Milestones!$AC$101&amp;";  ","")&amp;IF(AND(EDATE($D50,Milestones!$AA$102)&lt;=AsOfDate,IF($R50=0,$X50,IF(AND($T50&lt;&gt;"",EDATE($D50,Milestones!$AA$102)&gt;=$T50),$W50,IF(AND($S50&lt;&gt;"",EDATE($D50,Milestones!$AA$102)&gt;=$S50),$V50,$U50)))=Milestones!$AB$102),UPPER(TEXT(EDATE($D50,Milestones!$AA$102),"dd mmm yy"))&amp;" "&amp;Milestones!$AB$102&amp;" "&amp;Milestones!$AC$102&amp;";  ","")&amp;IF(AND(EDATE($D50,Milestones!$AA$103)&lt;=AsOfDate,IF($R50=0,$X50,IF(AND($T50&lt;&gt;"",EDATE($D50,Milestones!$AA$103)&gt;=$T50),$W50,IF(AND($S50&lt;&gt;"",EDATE($D50,Milestones!$AA$103)&gt;=$S50),$V50,$U50)))=Milestones!$AB$103),UPPER(TEXT(EDATE($D50,Milestones!$AA$103),"dd mmm yy"))&amp;" "&amp;Milestones!$AB$103&amp;" "&amp;Milestones!$AC$103&amp;";  ","")&amp;IF(AND(EDATE($D50,Milestones!$AA$104)&lt;=AsOfDate,IF($R50=0,$X50,IF(AND($T50&lt;&gt;"",EDATE($D50,Milestones!$AA$104)&gt;=$T50),$W50,IF(AND($S50&lt;&gt;"",EDATE($D50,Milestones!$AA$104)&gt;=$S50),$V50,$U50)))=Milestones!$AB$104),UPPER(TEXT(EDATE($D50,Milestones!$AA$104),"dd mmm yy"))&amp;" "&amp;Milestones!$AB$104&amp;" "&amp;Milestones!$AC$104&amp;";  ","")&amp;IF(AND(EDATE($D50,Milestones!$AA$105)&lt;=AsOfDate,IF($R50=0,$X50,IF(AND($T50&lt;&gt;"",EDATE($D50,Milestones!$AA$105)&gt;=$T50),$W50,IF(AND($S50&lt;&gt;"",EDATE($D50,Milestones!$AA$105)&gt;=$S50),$V50,$U50)))=Milestones!$AB$105),UPPER(TEXT(EDATE($D50,Milestones!$AA$105),"dd mmm yy"))&amp;" "&amp;Milestones!$AB$105&amp;" "&amp;Milestones!$AC$105&amp;";  ","")&amp;IF(AND(EDATE($D50,Milestones!$AA$106)&lt;=AsOfDate,IF($R50=0,$X50,IF(AND($T50&lt;&gt;"",EDATE($D50,Milestones!$AA$106)&gt;=$T50),$W50,IF(AND($S50&lt;&gt;"",EDATE($D50,Milestones!$AA$106)&gt;=$S50),$V50,$U50)))=Milestones!$AB$106),UPPER(TEXT(EDATE($D50,Milestones!$AA$106),"dd mmm yy"))&amp;" "&amp;Milestones!$AB$106&amp;" "&amp;Milestones!$AC$106&amp;";  ","")&amp;IF(AND(EDATE($D50,Milestones!$AA$107)&lt;=AsOfDate,IF($R50=0,$X50,IF(AND($T50&lt;&gt;"",EDATE($D50,Milestones!$AA$107)&gt;=$T50),$W50,IF(AND($S50&lt;&gt;"",EDATE($D50,Milestones!$AA$107)&gt;=$S50),$V50,$U50)))=Milestones!$AB$107),UPPER(TEXT(EDATE($D50,Milestones!$AA$107),"dd mmm yy"))&amp;" "&amp;Milestones!$AB$107&amp;" "&amp;Milestones!$AC$107&amp;";  ","")&amp;IF(AND(EDATE($D50,Milestones!$AA$108)&lt;=AsOfDate,IF($R50=0,$X50,IF(AND($T50&lt;&gt;"",EDATE($D50,Milestones!$AA$108)&gt;=$T50),$W50,IF(AND($S50&lt;&gt;"",EDATE($D50,Milestones!$AA$108)&gt;=$S50),$V50,$U50)))=Milestones!$AB$108),UPPER(TEXT(EDATE($D50,Milestones!$AA$108),"dd mmm yy"))&amp;" "&amp;Milestones!$AB$108&amp;" "&amp;Milestones!$AC$108&amp;";  ","")&amp;IF(AND(EDATE($D50,Milestones!$AA$109)&lt;=AsOfDate,IF($R50=0,$X50,IF(AND($T50&lt;&gt;"",EDATE($D50,Milestones!$AA$109)&gt;=$T50),$W50,IF(AND($S50&lt;&gt;"",EDATE($D50,Milestones!$AA$109)&gt;=$S50),$V50,$U50)))=Milestones!$AB$109),UPPER(TEXT(EDATE($D50,Milestones!$AA$109),"dd mmm yy"))&amp;" "&amp;Milestones!$AB$109&amp;" "&amp;Milestones!$AC$109&amp;";  ","")&amp;IF(AND(EDATE($D50,Milestones!$AA$110)&lt;=AsOfDate,IF($R50=0,$X50,IF(AND($T50&lt;&gt;"",EDATE($D50,Milestones!$AA$110)&gt;=$T50),$W50,IF(AND($S50&lt;&gt;"",EDATE($D50,Milestones!$AA$110)&gt;=$S50),$V50,$U50)))=Milestones!$AB$110),UPPER(TEXT(EDATE($D50,Milestones!$AA$110),"dd mmm yy"))&amp;" "&amp;Milestones!$AB$110&amp;" "&amp;Milestones!$AC$110&amp;";  ","")&amp;IF(AND(EDATE($D50,Milestones!$AA$111)&lt;=AsOfDate,IF($R50=0,$X50,IF(AND($T50&lt;&gt;"",EDATE($D50,Milestones!$AA$111)&gt;=$T50),$W50,IF(AND($S50&lt;&gt;"",EDATE($D50,Milestones!$AA$111)&gt;=$S50),$V50,$U50)))=Milestones!$AB$111),UPPER(TEXT(EDATE($D50,Milestones!$AA$111),"dd mmm yy"))&amp;" "&amp;Milestones!$AB$111&amp;" "&amp;Milestones!$AC$111&amp;";  ","")&amp;IF(AND(EDATE($D50,Milestones!$AA$112)&lt;=AsOfDate,IF($R50=0,$X50,IF(AND($T50&lt;&gt;"",EDATE($D50,Milestones!$AA$112)&gt;=$T50),$W50,IF(AND($S50&lt;&gt;"",EDATE($D50,Milestones!$AA$112)&gt;=$S50),$V50,$U50)))=Milestones!$AB$112),UPPER(TEXT(EDATE($D50,Milestones!$AA$112),"dd mmm yy"))&amp;" "&amp;Milestones!$AB$112&amp;" "&amp;Milestones!$AC$112&amp;";  ","")&amp;IF(AND(EDATE($D50,Milestones!$AA$113)&lt;=AsOfDate,IF($R50=0,$X50,IF(AND($T50&lt;&gt;"",EDATE($D50,Milestones!$AA$113)&gt;=$T50),$W50,IF(AND($S50&lt;&gt;"",EDATE($D50,Milestones!$AA$113)&gt;=$S50),$V50,$U50)))=Milestones!$AB$113),UPPER(TEXT(EDATE($D50,Milestones!$AA$113),"dd mmm yy"))&amp;" "&amp;Milestones!$AB$113&amp;" "&amp;Milestones!$AC$113&amp;";  ","")&amp;IF(AND(EDATE($D50,Milestones!$AA$114)&lt;=AsOfDate,IF($R50=0,$X50,IF(AND($T50&lt;&gt;"",EDATE($D50,Milestones!$AA$114)&gt;=$T50),$W50,IF(AND($S50&lt;&gt;"",EDATE($D50,Milestones!$AA$114)&gt;=$S50),$V50,$U50)))=Milestones!$AB$114),UPPER(TEXT(EDATE($D50,Milestones!$AA$114),"dd mmm yy"))&amp;" "&amp;Milestones!$AB$114&amp;" "&amp;Milestones!$AC$114&amp;";  ","")&amp;IF(AND(EDATE($D50,Milestones!$AA$115)&lt;=AsOfDate,IF($R50=0,$X50,IF(AND($T50&lt;&gt;"",EDATE($D50,Milestones!$AA$115)&gt;=$T50),$W50,IF(AND($S50&lt;&gt;"",EDATE($D50,Milestones!$AA$115)&gt;=$S50),$V50,$U50)))=Milestones!$AB$115),UPPER(TEXT(EDATE($D50,Milestones!$AA$115),"dd mmm yy"))&amp;" "&amp;Milestones!$AB$115&amp;" "&amp;Milestones!$AC$115&amp;";  ","")&amp;IF(AND(EDATE($D50,Milestones!$AA$116)&lt;=AsOfDate,IF($R50=0,$X50,IF(AND($T50&lt;&gt;"",EDATE($D50,Milestones!$AA$116)&gt;=$T50),$W50,IF(AND($S50&lt;&gt;"",EDATE($D50,Milestones!$AA$116)&gt;=$S50),$V50,$U50)))=Milestones!$AB$116),UPPER(TEXT(EDATE($D50,Milestones!$AA$116),"dd mmm yy"))&amp;" "&amp;Milestones!$AB$116&amp;" "&amp;Milestones!$AC$116&amp;";  ","")&amp;IF(AND(EDATE($D50,Milestones!$AA$117)&lt;=AsOfDate,IF($R50=0,$X50,IF(AND($T50&lt;&gt;"",EDATE($D50,Milestones!$AA$117)&gt;=$T50),$W50,IF(AND($S50&lt;&gt;"",EDATE($D50,Milestones!$AA$117)&gt;=$S50),$V50,$U50)))=Milestones!$AB$117),UPPER(TEXT(EDATE($D50,Milestones!$AA$117),"dd mmm yy"))&amp;" "&amp;Milestones!$AB$117&amp;" "&amp;Milestones!$AC$117&amp;";  ","")&amp;IF(AND(EDATE($D50,Milestones!$AA$118)&lt;=AsOfDate,IF($R50=0,$X50,IF(AND($T50&lt;&gt;"",EDATE($D50,Milestones!$AA$118)&gt;=$T50),$W50,IF(AND($S50&lt;&gt;"",EDATE($D50,Milestones!$AA$118)&gt;=$S50),$V50,$U50)))=Milestones!$AB$118),UPPER(TEXT(EDATE($D50,Milestones!$AA$118),"dd mmm yy"))&amp;" "&amp;Milestones!$AB$118&amp;" "&amp;Milestones!$AC$118&amp;";  ","")&amp;IF(AND(EDATE($D50,Milestones!$AA$119)&lt;=AsOfDate,IF($R50=0,$X50,IF(AND($T50&lt;&gt;"",EDATE($D50,Milestones!$AA$119)&gt;=$T50),$W50,IF(AND($S50&lt;&gt;"",EDATE($D50,Milestones!$AA$119)&gt;=$S50),$V50,$U50)))=Milestones!$AB$119),UPPER(TEXT(EDATE($D50,Milestones!$AA$119),"dd mmm yy"))&amp;" "&amp;Milestones!$AB$119&amp;" "&amp;Milestones!$AC$119&amp;";  ",""))</f>
        <v/>
      </c>
      <c r="N50" s="0" t="str">
        <f aca="false">IF(OR($A50="",$D50=""),"",IF(AND(EDATE($D50,Milestones!$AA$120)&lt;=AsOfDate,IF($R50=0,$X50,IF(AND($T50&lt;&gt;"",EDATE($D50,Milestones!$AA$120)&gt;=$T50),$W50,IF(AND($S50&lt;&gt;"",EDATE($D50,Milestones!$AA$120)&gt;=$S50),$V50,$U50)))=Milestones!$AB$120),UPPER(TEXT(EDATE($D50,Milestones!$AA$120),"dd mmm yy"))&amp;" "&amp;Milestones!$AB$120&amp;" "&amp;Milestones!$AC$120&amp;";  ","")&amp;IF(AND(EDATE($D50,Milestones!$AA$121)&lt;=AsOfDate,IF($R50=0,$X50,IF(AND($T50&lt;&gt;"",EDATE($D50,Milestones!$AA$121)&gt;=$T50),$W50,IF(AND($S50&lt;&gt;"",EDATE($D50,Milestones!$AA$121)&gt;=$S50),$V50,$U50)))=Milestones!$AB$121),UPPER(TEXT(EDATE($D50,Milestones!$AA$121),"dd mmm yy"))&amp;" "&amp;Milestones!$AB$121&amp;" "&amp;Milestones!$AC$121&amp;";  ","")&amp;IF(AND(EDATE($D50,Milestones!$AA$122)&lt;=AsOfDate,IF($R50=0,$X50,IF(AND($T50&lt;&gt;"",EDATE($D50,Milestones!$AA$122)&gt;=$T50),$W50,IF(AND($S50&lt;&gt;"",EDATE($D50,Milestones!$AA$122)&gt;=$S50),$V50,$U50)))=Milestones!$AB$122),UPPER(TEXT(EDATE($D50,Milestones!$AA$122),"dd mmm yy"))&amp;" "&amp;Milestones!$AB$122&amp;" "&amp;Milestones!$AC$122&amp;";  ","")&amp;IF(AND(EDATE($D50,Milestones!$AA$123)&lt;=AsOfDate,IF($R50=0,$X50,IF(AND($T50&lt;&gt;"",EDATE($D50,Milestones!$AA$123)&gt;=$T50),$W50,IF(AND($S50&lt;&gt;"",EDATE($D50,Milestones!$AA$123)&gt;=$S50),$V50,$U50)))=Milestones!$AB$123),UPPER(TEXT(EDATE($D50,Milestones!$AA$123),"dd mmm yy"))&amp;" "&amp;Milestones!$AB$123&amp;" "&amp;Milestones!$AC$123&amp;";  ","")&amp;IF(AND(EDATE($D50,Milestones!$AA$124)&lt;=AsOfDate,IF($R50=0,$X50,IF(AND($T50&lt;&gt;"",EDATE($D50,Milestones!$AA$124)&gt;=$T50),$W50,IF(AND($S50&lt;&gt;"",EDATE($D50,Milestones!$AA$124)&gt;=$S50),$V50,$U50)))=Milestones!$AB$124),UPPER(TEXT(EDATE($D50,Milestones!$AA$124),"dd mmm yy"))&amp;" "&amp;Milestones!$AB$124&amp;" "&amp;Milestones!$AC$124&amp;";  ","")&amp;IF(AND(EDATE($D50,Milestones!$AA$125)&lt;=AsOfDate,IF($R50=0,$X50,IF(AND($T50&lt;&gt;"",EDATE($D50,Milestones!$AA$125)&gt;=$T50),$W50,IF(AND($S50&lt;&gt;"",EDATE($D50,Milestones!$AA$125)&gt;=$S50),$V50,$U50)))=Milestones!$AB$125),UPPER(TEXT(EDATE($D50,Milestones!$AA$125),"dd mmm yy"))&amp;" "&amp;Milestones!$AB$125&amp;" "&amp;Milestones!$AC$125&amp;";  ","")&amp;IF(AND(EDATE($D50,Milestones!$AA$126)&lt;=AsOfDate,IF($R50=0,$X50,IF(AND($T50&lt;&gt;"",EDATE($D50,Milestones!$AA$126)&gt;=$T50),$W50,IF(AND($S50&lt;&gt;"",EDATE($D50,Milestones!$AA$126)&gt;=$S50),$V50,$U50)))=Milestones!$AB$126),UPPER(TEXT(EDATE($D50,Milestones!$AA$126),"dd mmm yy"))&amp;" "&amp;Milestones!$AB$126&amp;" "&amp;Milestones!$AC$126&amp;";  ","")&amp;IF(AND(EDATE($D50,Milestones!$AA$127)&lt;=AsOfDate,IF($R50=0,$X50,IF(AND($T50&lt;&gt;"",EDATE($D50,Milestones!$AA$127)&gt;=$T50),$W50,IF(AND($S50&lt;&gt;"",EDATE($D50,Milestones!$AA$127)&gt;=$S50),$V50,$U50)))=Milestones!$AB$127),UPPER(TEXT(EDATE($D50,Milestones!$AA$127),"dd mmm yy"))&amp;" "&amp;Milestones!$AB$127&amp;" "&amp;Milestones!$AC$127&amp;";  ","")&amp;IF(AND(EDATE($D50,Milestones!$AA$128)&lt;=AsOfDate,IF($R50=0,$X50,IF(AND($T50&lt;&gt;"",EDATE($D50,Milestones!$AA$128)&gt;=$T50),$W50,IF(AND($S50&lt;&gt;"",EDATE($D50,Milestones!$AA$128)&gt;=$S50),$V50,$U50)))=Milestones!$AB$128),UPPER(TEXT(EDATE($D50,Milestones!$AA$128),"dd mmm yy"))&amp;" "&amp;Milestones!$AB$128&amp;" "&amp;Milestones!$AC$128&amp;";  ","")&amp;IF(AND(EDATE($D50,Milestones!$AA$129)&lt;=AsOfDate,IF($R50=0,$X50,IF(AND($T50&lt;&gt;"",EDATE($D50,Milestones!$AA$129)&gt;=$T50),$W50,IF(AND($S50&lt;&gt;"",EDATE($D50,Milestones!$AA$129)&gt;=$S50),$V50,$U50)))=Milestones!$AB$129),UPPER(TEXT(EDATE($D50,Milestones!$AA$129),"dd mmm yy"))&amp;" "&amp;Milestones!$AB$129&amp;" "&amp;Milestones!$AC$129&amp;";  ","")&amp;IF(AND(EDATE($D50,Milestones!$AA$130)&lt;=AsOfDate,IF($R50=0,$X50,IF(AND($T50&lt;&gt;"",EDATE($D50,Milestones!$AA$130)&gt;=$T50),$W50,IF(AND($S50&lt;&gt;"",EDATE($D50,Milestones!$AA$130)&gt;=$S50),$V50,$U50)))=Milestones!$AB$130),UPPER(TEXT(EDATE($D50,Milestones!$AA$130),"dd mmm yy"))&amp;" "&amp;Milestones!$AB$130&amp;" "&amp;Milestones!$AC$130&amp;";  ","")&amp;IF(AND(EDATE($D50,Milestones!$AA$131)&lt;=AsOfDate,IF($R50=0,$X50,IF(AND($T50&lt;&gt;"",EDATE($D50,Milestones!$AA$131)&gt;=$T50),$W50,IF(AND($S50&lt;&gt;"",EDATE($D50,Milestones!$AA$131)&gt;=$S50),$V50,$U50)))=Milestones!$AB$131),UPPER(TEXT(EDATE($D50,Milestones!$AA$131),"dd mmm yy"))&amp;" "&amp;Milestones!$AB$131&amp;" "&amp;Milestones!$AC$131&amp;";  ","")&amp;IF(AND(EDATE($D50,Milestones!$AA$132)&lt;=AsOfDate,IF($R50=0,$X50,IF(AND($T50&lt;&gt;"",EDATE($D50,Milestones!$AA$132)&gt;=$T50),$W50,IF(AND($S50&lt;&gt;"",EDATE($D50,Milestones!$AA$132)&gt;=$S50),$V50,$U50)))=Milestones!$AB$132),UPPER(TEXT(EDATE($D50,Milestones!$AA$132),"dd mmm yy"))&amp;" "&amp;Milestones!$AB$132&amp;" "&amp;Milestones!$AC$132&amp;";  ","")&amp;IF(AND(EDATE($D50,Milestones!$AA$133)&lt;=AsOfDate,IF($R50=0,$X50,IF(AND($T50&lt;&gt;"",EDATE($D50,Milestones!$AA$133)&gt;=$T50),$W50,IF(AND($S50&lt;&gt;"",EDATE($D50,Milestones!$AA$133)&gt;=$S50),$V50,$U50)))=Milestones!$AB$133),UPPER(TEXT(EDATE($D50,Milestones!$AA$133),"dd mmm yy"))&amp;" "&amp;Milestones!$AB$133&amp;" "&amp;Milestones!$AC$133&amp;";  ","")&amp;IF(AND(EDATE($D50,Milestones!$AA$134)&lt;=AsOfDate,IF($R50=0,$X50,IF(AND($T50&lt;&gt;"",EDATE($D50,Milestones!$AA$134)&gt;=$T50),$W50,IF(AND($S50&lt;&gt;"",EDATE($D50,Milestones!$AA$134)&gt;=$S50),$V50,$U50)))=Milestones!$AB$134),UPPER(TEXT(EDATE($D50,Milestones!$AA$134),"dd mmm yy"))&amp;" "&amp;Milestones!$AB$134&amp;" "&amp;Milestones!$AC$134&amp;";  ","")&amp;IF(AND(EDATE($D50,Milestones!$AA$135)&lt;=AsOfDate,IF($R50=0,$X50,IF(AND($T50&lt;&gt;"",EDATE($D50,Milestones!$AA$135)&gt;=$T50),$W50,IF(AND($S50&lt;&gt;"",EDATE($D50,Milestones!$AA$135)&gt;=$S50),$V50,$U50)))=Milestones!$AB$135),UPPER(TEXT(EDATE($D50,Milestones!$AA$135),"dd mmm yy"))&amp;" "&amp;Milestones!$AB$135&amp;" "&amp;Milestones!$AC$135&amp;";  ","")&amp;IF(AND(EDATE($D50,Milestones!$AA$136)&lt;=AsOfDate,IF($R50=0,$X50,IF(AND($T50&lt;&gt;"",EDATE($D50,Milestones!$AA$136)&gt;=$T50),$W50,IF(AND($S50&lt;&gt;"",EDATE($D50,Milestones!$AA$136)&gt;=$S50),$V50,$U50)))=Milestones!$AB$136),UPPER(TEXT(EDATE($D50,Milestones!$AA$136),"dd mmm yy"))&amp;" "&amp;Milestones!$AB$136&amp;" "&amp;Milestones!$AC$136&amp;";  ","")&amp;IF(AND(EDATE($D50,Milestones!$AA$137)&lt;=AsOfDate,IF($R50=0,$X50,IF(AND($T50&lt;&gt;"",EDATE($D50,Milestones!$AA$137)&gt;=$T50),$W50,IF(AND($S50&lt;&gt;"",EDATE($D50,Milestones!$AA$137)&gt;=$S50),$V50,$U50)))=Milestones!$AB$137),UPPER(TEXT(EDATE($D50,Milestones!$AA$137),"dd mmm yy"))&amp;" "&amp;Milestones!$AB$137&amp;" "&amp;Milestones!$AC$137&amp;";  ","")&amp;IF(AND(EDATE($D50,Milestones!$AA$138)&lt;=AsOfDate,IF($R50=0,$X50,IF(AND($T50&lt;&gt;"",EDATE($D50,Milestones!$AA$138)&gt;=$T50),$W50,IF(AND($S50&lt;&gt;"",EDATE($D50,Milestones!$AA$138)&gt;=$S50),$V50,$U50)))=Milestones!$AB$138),UPPER(TEXT(EDATE($D50,Milestones!$AA$138),"dd mmm yy"))&amp;" "&amp;Milestones!$AB$138&amp;" "&amp;Milestones!$AC$138&amp;";  ","")&amp;IF(AND(EDATE($D50,Milestones!$AA$139)&lt;=AsOfDate,IF($R50=0,$X50,IF(AND($T50&lt;&gt;"",EDATE($D50,Milestones!$AA$139)&gt;=$T50),$W50,IF(AND($S50&lt;&gt;"",EDATE($D50,Milestones!$AA$139)&gt;=$S50),$V50,$U50)))=Milestones!$AB$139),UPPER(TEXT(EDATE($D50,Milestones!$AA$139),"dd mmm yy"))&amp;" "&amp;Milestones!$AB$139&amp;" "&amp;Milestones!$AC$139&amp;";  ",""))</f>
        <v/>
      </c>
      <c r="O50" s="0" t="str">
        <f aca="false">IF(OR($A50="",$D50=""),"",IF(AND(EDATE($D50,Milestones!$AA$140)&lt;=AsOfDate,IF($R50=0,$X50,IF(AND($T50&lt;&gt;"",EDATE($D50,Milestones!$AA$140)&gt;=$T50),$W50,IF(AND($S50&lt;&gt;"",EDATE($D50,Milestones!$AA$140)&gt;=$S50),$V50,$U50)))=Milestones!$AB$140),UPPER(TEXT(EDATE($D50,Milestones!$AA$140),"dd mmm yy"))&amp;" "&amp;Milestones!$AB$140&amp;" "&amp;Milestones!$AC$140&amp;";  ","")&amp;IF(AND(EDATE($D50,Milestones!$AA$141)&lt;=AsOfDate,IF($R50=0,$X50,IF(AND($T50&lt;&gt;"",EDATE($D50,Milestones!$AA$141)&gt;=$T50),$W50,IF(AND($S50&lt;&gt;"",EDATE($D50,Milestones!$AA$141)&gt;=$S50),$V50,$U50)))=Milestones!$AB$141),UPPER(TEXT(EDATE($D50,Milestones!$AA$141),"dd mmm yy"))&amp;" "&amp;Milestones!$AB$141&amp;" "&amp;Milestones!$AC$141&amp;";  ","")&amp;IF(AND(EDATE($D50,Milestones!$AA$142)&lt;=AsOfDate,IF($R50=0,$X50,IF(AND($T50&lt;&gt;"",EDATE($D50,Milestones!$AA$142)&gt;=$T50),$W50,IF(AND($S50&lt;&gt;"",EDATE($D50,Milestones!$AA$142)&gt;=$S50),$V50,$U50)))=Milestones!$AB$142),UPPER(TEXT(EDATE($D50,Milestones!$AA$142),"dd mmm yy"))&amp;" "&amp;Milestones!$AB$142&amp;" "&amp;Milestones!$AC$142&amp;";  ","")&amp;IF(AND(EDATE($D50,Milestones!$AA$143)&lt;=AsOfDate,IF($R50=0,$X50,IF(AND($T50&lt;&gt;"",EDATE($D50,Milestones!$AA$143)&gt;=$T50),$W50,IF(AND($S50&lt;&gt;"",EDATE($D50,Milestones!$AA$143)&gt;=$S50),$V50,$U50)))=Milestones!$AB$143),UPPER(TEXT(EDATE($D50,Milestones!$AA$143),"dd mmm yy"))&amp;" "&amp;Milestones!$AB$143&amp;" "&amp;Milestones!$AC$143&amp;";  ","")&amp;IF(AND(EDATE($D50,Milestones!$AA$144)&lt;=AsOfDate,IF($R50=0,$X50,IF(AND($T50&lt;&gt;"",EDATE($D50,Milestones!$AA$144)&gt;=$T50),$W50,IF(AND($S50&lt;&gt;"",EDATE($D50,Milestones!$AA$144)&gt;=$S50),$V50,$U50)))=Milestones!$AB$144),UPPER(TEXT(EDATE($D50,Milestones!$AA$144),"dd mmm yy"))&amp;" "&amp;Milestones!$AB$144&amp;" "&amp;Milestones!$AC$144&amp;";  ","")&amp;IF(AND(EDATE($D50,Milestones!$AA$145)&lt;=AsOfDate,IF($R50=0,$X50,IF(AND($T50&lt;&gt;"",EDATE($D50,Milestones!$AA$145)&gt;=$T50),$W50,IF(AND($S50&lt;&gt;"",EDATE($D50,Milestones!$AA$145)&gt;=$S50),$V50,$U50)))=Milestones!$AB$145),UPPER(TEXT(EDATE($D50,Milestones!$AA$145),"dd mmm yy"))&amp;" "&amp;Milestones!$AB$145&amp;" "&amp;Milestones!$AC$145&amp;";  ","")&amp;IF(AND(EDATE($D50,Milestones!$AA$146)&lt;=AsOfDate,IF($R50=0,$X50,IF(AND($T50&lt;&gt;"",EDATE($D50,Milestones!$AA$146)&gt;=$T50),$W50,IF(AND($S50&lt;&gt;"",EDATE($D50,Milestones!$AA$146)&gt;=$S50),$V50,$U50)))=Milestones!$AB$146),UPPER(TEXT(EDATE($D50,Milestones!$AA$146),"dd mmm yy"))&amp;" "&amp;Milestones!$AB$146&amp;" "&amp;Milestones!$AC$146&amp;";  ","")&amp;IF(AND(EDATE($D50,Milestones!$AA$147)&lt;=AsOfDate,IF($R50=0,$X50,IF(AND($T50&lt;&gt;"",EDATE($D50,Milestones!$AA$147)&gt;=$T50),$W50,IF(AND($S50&lt;&gt;"",EDATE($D50,Milestones!$AA$147)&gt;=$S50),$V50,$U50)))=Milestones!$AB$147),UPPER(TEXT(EDATE($D50,Milestones!$AA$147),"dd mmm yy"))&amp;" "&amp;Milestones!$AB$147&amp;" "&amp;Milestones!$AC$147&amp;";  ","")&amp;IF(AND(EDATE($D50,Milestones!$AA$148)&lt;=AsOfDate,IF($R50=0,$X50,IF(AND($T50&lt;&gt;"",EDATE($D50,Milestones!$AA$148)&gt;=$T50),$W50,IF(AND($S50&lt;&gt;"",EDATE($D50,Milestones!$AA$148)&gt;=$S50),$V50,$U50)))=Milestones!$AB$148),UPPER(TEXT(EDATE($D50,Milestones!$AA$148),"dd mmm yy"))&amp;" "&amp;Milestones!$AB$148&amp;" "&amp;Milestones!$AC$148&amp;";  ","")&amp;IF(AND(EDATE($D50,Milestones!$AA$149)&lt;=AsOfDate,IF($R50=0,$X50,IF(AND($T50&lt;&gt;"",EDATE($D50,Milestones!$AA$149)&gt;=$T50),$W50,IF(AND($S50&lt;&gt;"",EDATE($D50,Milestones!$AA$149)&gt;=$S50),$V50,$U50)))=Milestones!$AB$149),UPPER(TEXT(EDATE($D50,Milestones!$AA$149),"dd mmm yy"))&amp;" "&amp;Milestones!$AB$149&amp;" "&amp;Milestones!$AC$149&amp;";  ","")&amp;IF(AND(EDATE($D50,Milestones!$AA$150)&lt;=AsOfDate,IF($R50=0,$X50,IF(AND($T50&lt;&gt;"",EDATE($D50,Milestones!$AA$150)&gt;=$T50),$W50,IF(AND($S50&lt;&gt;"",EDATE($D50,Milestones!$AA$150)&gt;=$S50),$V50,$U50)))=Milestones!$AB$150),UPPER(TEXT(EDATE($D50,Milestones!$AA$150),"dd mmm yy"))&amp;" "&amp;Milestones!$AB$150&amp;" "&amp;Milestones!$AC$150&amp;";  ","")&amp;IF(AND(EDATE($D50,Milestones!$AA$151)&lt;=AsOfDate,IF($R50=0,$X50,IF(AND($T50&lt;&gt;"",EDATE($D50,Milestones!$AA$151)&gt;=$T50),$W50,IF(AND($S50&lt;&gt;"",EDATE($D50,Milestones!$AA$151)&gt;=$S50),$V50,$U50)))=Milestones!$AB$151),UPPER(TEXT(EDATE($D50,Milestones!$AA$151),"dd mmm yy"))&amp;" "&amp;Milestones!$AB$151&amp;" "&amp;Milestones!$AC$151&amp;";  ","")&amp;IF(AND(EDATE($D50,Milestones!$AA$152)&lt;=AsOfDate,IF($R50=0,$X50,IF(AND($T50&lt;&gt;"",EDATE($D50,Milestones!$AA$152)&gt;=$T50),$W50,IF(AND($S50&lt;&gt;"",EDATE($D50,Milestones!$AA$152)&gt;=$S50),$V50,$U50)))=Milestones!$AB$152),UPPER(TEXT(EDATE($D50,Milestones!$AA$152),"dd mmm yy"))&amp;" "&amp;Milestones!$AB$152&amp;" "&amp;Milestones!$AC$152&amp;";  ","")&amp;IF(AND(EDATE($D50,Milestones!$AA$153)&lt;=AsOfDate,IF($R50=0,$X50,IF(AND($T50&lt;&gt;"",EDATE($D50,Milestones!$AA$153)&gt;=$T50),$W50,IF(AND($S50&lt;&gt;"",EDATE($D50,Milestones!$AA$153)&gt;=$S50),$V50,$U50)))=Milestones!$AB$153),UPPER(TEXT(EDATE($D50,Milestones!$AA$153),"dd mmm yy"))&amp;" "&amp;Milestones!$AB$153&amp;" "&amp;Milestones!$AC$153&amp;";  ","")&amp;IF(AND(EDATE($D50,Milestones!$AA$154)&lt;=AsOfDate,IF($R50=0,$X50,IF(AND($T50&lt;&gt;"",EDATE($D50,Milestones!$AA$154)&gt;=$T50),$W50,IF(AND($S50&lt;&gt;"",EDATE($D50,Milestones!$AA$154)&gt;=$S50),$V50,$U50)))=Milestones!$AB$154),UPPER(TEXT(EDATE($D50,Milestones!$AA$154),"dd mmm yy"))&amp;" "&amp;Milestones!$AB$154&amp;" "&amp;Milestones!$AC$154&amp;";  ","")&amp;IF(AND(EDATE($D50,Milestones!$AA$155)&lt;=AsOfDate,IF($R50=0,$X50,IF(AND($T50&lt;&gt;"",EDATE($D50,Milestones!$AA$155)&gt;=$T50),$W50,IF(AND($S50&lt;&gt;"",EDATE($D50,Milestones!$AA$155)&gt;=$S50),$V50,$U50)))=Milestones!$AB$155),UPPER(TEXT(EDATE($D50,Milestones!$AA$155),"dd mmm yy"))&amp;" "&amp;Milestones!$AB$155&amp;" "&amp;Milestones!$AC$155&amp;";  ","")&amp;IF(AND(EDATE($D50,Milestones!$AA$156)&lt;=AsOfDate,IF($R50=0,$X50,IF(AND($T50&lt;&gt;"",EDATE($D50,Milestones!$AA$156)&gt;=$T50),$W50,IF(AND($S50&lt;&gt;"",EDATE($D50,Milestones!$AA$156)&gt;=$S50),$V50,$U50)))=Milestones!$AB$156),UPPER(TEXT(EDATE($D50,Milestones!$AA$156),"dd mmm yy"))&amp;" "&amp;Milestones!$AB$156&amp;" "&amp;Milestones!$AC$156&amp;";  ","")&amp;IF(AND(EDATE($D50,Milestones!$AA$157)&lt;=AsOfDate,IF($R50=0,$X50,IF(AND($T50&lt;&gt;"",EDATE($D50,Milestones!$AA$157)&gt;=$T50),$W50,IF(AND($S50&lt;&gt;"",EDATE($D50,Milestones!$AA$157)&gt;=$S50),$V50,$U50)))=Milestones!$AB$157),UPPER(TEXT(EDATE($D50,Milestones!$AA$157),"dd mmm yy"))&amp;" "&amp;Milestones!$AB$157&amp;" "&amp;Milestones!$AC$157&amp;";  ","")&amp;IF(AND(EDATE($D50,Milestones!$AA$158)&lt;=AsOfDate,IF($R50=0,$X50,IF(AND($T50&lt;&gt;"",EDATE($D50,Milestones!$AA$158)&gt;=$T50),$W50,IF(AND($S50&lt;&gt;"",EDATE($D50,Milestones!$AA$158)&gt;=$S50),$V50,$U50)))=Milestones!$AB$158),UPPER(TEXT(EDATE($D50,Milestones!$AA$158),"dd mmm yy"))&amp;" "&amp;Milestones!$AB$158&amp;" "&amp;Milestones!$AC$158&amp;";  ","")&amp;IF(AND(EDATE($D50,Milestones!$AA$159)&lt;=AsOfDate,IF($R50=0,$X50,IF(AND($T50&lt;&gt;"",EDATE($D50,Milestones!$AA$159)&gt;=$T50),$W50,IF(AND($S50&lt;&gt;"",EDATE($D50,Milestones!$AA$159)&gt;=$S50),$V50,$U50)))=Milestones!$AB$159),UPPER(TEXT(EDATE($D50,Milestones!$AA$159),"dd mmm yy"))&amp;" "&amp;Milestones!$AB$159&amp;" "&amp;Milestones!$AC$159&amp;";  ",""))</f>
        <v/>
      </c>
      <c r="P50" s="0" t="str">
        <f aca="false">IF(OR($A50="",$D50=""),"",IF(AND(EDATE($D50,Milestones!$AA$160)&lt;=AsOfDate,IF($R50=0,$X50,IF(AND($T50&lt;&gt;"",EDATE($D50,Milestones!$AA$160)&gt;=$T50),$W50,IF(AND($S50&lt;&gt;"",EDATE($D50,Milestones!$AA$160)&gt;=$S50),$V50,$U50)))=Milestones!$AB$160),UPPER(TEXT(EDATE($D50,Milestones!$AA$160),"dd mmm yy"))&amp;" "&amp;Milestones!$AB$160&amp;" "&amp;Milestones!$AC$160&amp;";  ","")&amp;IF(AND(EDATE($D50,Milestones!$AA$161)&lt;=AsOfDate,IF($R50=0,$X50,IF(AND($T50&lt;&gt;"",EDATE($D50,Milestones!$AA$161)&gt;=$T50),$W50,IF(AND($S50&lt;&gt;"",EDATE($D50,Milestones!$AA$161)&gt;=$S50),$V50,$U50)))=Milestones!$AB$161),UPPER(TEXT(EDATE($D50,Milestones!$AA$161),"dd mmm yy"))&amp;" "&amp;Milestones!$AB$161&amp;" "&amp;Milestones!$AC$161&amp;";  ","")&amp;IF(AND(EDATE($D50,Milestones!$AA$162)&lt;=AsOfDate,IF($R50=0,$X50,IF(AND($T50&lt;&gt;"",EDATE($D50,Milestones!$AA$162)&gt;=$T50),$W50,IF(AND($S50&lt;&gt;"",EDATE($D50,Milestones!$AA$162)&gt;=$S50),$V50,$U50)))=Milestones!$AB$162),UPPER(TEXT(EDATE($D50,Milestones!$AA$162),"dd mmm yy"))&amp;" "&amp;Milestones!$AB$162&amp;" "&amp;Milestones!$AC$162&amp;";  ","")&amp;IF(AND(EDATE($D50,Milestones!$AA$163)&lt;=AsOfDate,IF($R50=0,$X50,IF(AND($T50&lt;&gt;"",EDATE($D50,Milestones!$AA$163)&gt;=$T50),$W50,IF(AND($S50&lt;&gt;"",EDATE($D50,Milestones!$AA$163)&gt;=$S50),$V50,$U50)))=Milestones!$AB$163),UPPER(TEXT(EDATE($D50,Milestones!$AA$163),"dd mmm yy"))&amp;" "&amp;Milestones!$AB$163&amp;" "&amp;Milestones!$AC$163&amp;";  ","")&amp;IF(AND(EDATE($D50,Milestones!$AA$164)&lt;=AsOfDate,IF($R50=0,$X50,IF(AND($T50&lt;&gt;"",EDATE($D50,Milestones!$AA$164)&gt;=$T50),$W50,IF(AND($S50&lt;&gt;"",EDATE($D50,Milestones!$AA$164)&gt;=$S50),$V50,$U50)))=Milestones!$AB$164),UPPER(TEXT(EDATE($D50,Milestones!$AA$164),"dd mmm yy"))&amp;" "&amp;Milestones!$AB$164&amp;" "&amp;Milestones!$AC$164&amp;";  ","")&amp;IF(AND(EDATE($D50,Milestones!$AA$165)&lt;=AsOfDate,IF($R50=0,$X50,IF(AND($T50&lt;&gt;"",EDATE($D50,Milestones!$AA$165)&gt;=$T50),$W50,IF(AND($S50&lt;&gt;"",EDATE($D50,Milestones!$AA$165)&gt;=$S50),$V50,$U50)))=Milestones!$AB$165),UPPER(TEXT(EDATE($D50,Milestones!$AA$165),"dd mmm yy"))&amp;" "&amp;Milestones!$AB$165&amp;" "&amp;Milestones!$AC$165&amp;";  ","")&amp;IF(AND(EDATE($D50,Milestones!$AA$166)&lt;=AsOfDate,IF($R50=0,$X50,IF(AND($T50&lt;&gt;"",EDATE($D50,Milestones!$AA$166)&gt;=$T50),$W50,IF(AND($S50&lt;&gt;"",EDATE($D50,Milestones!$AA$166)&gt;=$S50),$V50,$U50)))=Milestones!$AB$166),UPPER(TEXT(EDATE($D50,Milestones!$AA$166),"dd mmm yy"))&amp;" "&amp;Milestones!$AB$166&amp;" "&amp;Milestones!$AC$166&amp;";  ","")&amp;IF(AND(EDATE($D50,Milestones!$AA$167)&lt;=AsOfDate,IF($R50=0,$X50,IF(AND($T50&lt;&gt;"",EDATE($D50,Milestones!$AA$167)&gt;=$T50),$W50,IF(AND($S50&lt;&gt;"",EDATE($D50,Milestones!$AA$167)&gt;=$S50),$V50,$U50)))=Milestones!$AB$167),UPPER(TEXT(EDATE($D50,Milestones!$AA$167),"dd mmm yy"))&amp;" "&amp;Milestones!$AB$167&amp;" "&amp;Milestones!$AC$167&amp;";  ","")&amp;IF(AND(EDATE($D50,Milestones!$AA$168)&lt;=AsOfDate,IF($R50=0,$X50,IF(AND($T50&lt;&gt;"",EDATE($D50,Milestones!$AA$168)&gt;=$T50),$W50,IF(AND($S50&lt;&gt;"",EDATE($D50,Milestones!$AA$168)&gt;=$S50),$V50,$U50)))=Milestones!$AB$168),UPPER(TEXT(EDATE($D50,Milestones!$AA$168),"dd mmm yy"))&amp;" "&amp;Milestones!$AB$168&amp;" "&amp;Milestones!$AC$168&amp;";  ","")&amp;IF(AND(EDATE($D50,Milestones!$AA$169)&lt;=AsOfDate,IF($R50=0,$X50,IF(AND($T50&lt;&gt;"",EDATE($D50,Milestones!$AA$169)&gt;=$T50),$W50,IF(AND($S50&lt;&gt;"",EDATE($D50,Milestones!$AA$169)&gt;=$S50),$V50,$U50)))=Milestones!$AB$169),UPPER(TEXT(EDATE($D50,Milestones!$AA$169),"dd mmm yy"))&amp;" "&amp;Milestones!$AB$169&amp;" "&amp;Milestones!$AC$169&amp;";  ","")&amp;IF(AND(EDATE($D50,Milestones!$AA$170)&lt;=AsOfDate,IF($R50=0,$X50,IF(AND($T50&lt;&gt;"",EDATE($D50,Milestones!$AA$170)&gt;=$T50),$W50,IF(AND($S50&lt;&gt;"",EDATE($D50,Milestones!$AA$170)&gt;=$S50),$V50,$U50)))=Milestones!$AB$170),UPPER(TEXT(EDATE($D50,Milestones!$AA$170),"dd mmm yy"))&amp;" "&amp;Milestones!$AB$170&amp;" "&amp;Milestones!$AC$170&amp;";  ","")&amp;IF(AND(EDATE($D50,Milestones!$AA$171)&lt;=AsOfDate,IF($R50=0,$X50,IF(AND($T50&lt;&gt;"",EDATE($D50,Milestones!$AA$171)&gt;=$T50),$W50,IF(AND($S50&lt;&gt;"",EDATE($D50,Milestones!$AA$171)&gt;=$S50),$V50,$U50)))=Milestones!$AB$171),UPPER(TEXT(EDATE($D50,Milestones!$AA$171),"dd mmm yy"))&amp;" "&amp;Milestones!$AB$171&amp;" "&amp;Milestones!$AC$171&amp;";  ","")&amp;IF(AND(EDATE($D50,Milestones!$AA$172)&lt;=AsOfDate,IF($R50=0,$X50,IF(AND($T50&lt;&gt;"",EDATE($D50,Milestones!$AA$172)&gt;=$T50),$W50,IF(AND($S50&lt;&gt;"",EDATE($D50,Milestones!$AA$172)&gt;=$S50),$V50,$U50)))=Milestones!$AB$172),UPPER(TEXT(EDATE($D50,Milestones!$AA$172),"dd mmm yy"))&amp;" "&amp;Milestones!$AB$172&amp;" "&amp;Milestones!$AC$172&amp;";  ","")&amp;IF(AND(EDATE($D50,Milestones!$AA$173)&lt;=AsOfDate,IF($R50=0,$X50,IF(AND($T50&lt;&gt;"",EDATE($D50,Milestones!$AA$173)&gt;=$T50),$W50,IF(AND($S50&lt;&gt;"",EDATE($D50,Milestones!$AA$173)&gt;=$S50),$V50,$U50)))=Milestones!$AB$173),UPPER(TEXT(EDATE($D50,Milestones!$AA$173),"dd mmm yy"))&amp;" "&amp;Milestones!$AB$173&amp;" "&amp;Milestones!$AC$173&amp;";  ","")&amp;IF(AND(EDATE($D50,Milestones!$AA$174)&lt;=AsOfDate,IF($R50=0,$X50,IF(AND($T50&lt;&gt;"",EDATE($D50,Milestones!$AA$174)&gt;=$T50),$W50,IF(AND($S50&lt;&gt;"",EDATE($D50,Milestones!$AA$174)&gt;=$S50),$V50,$U50)))=Milestones!$AB$174),UPPER(TEXT(EDATE($D50,Milestones!$AA$174),"dd mmm yy"))&amp;" "&amp;Milestones!$AB$174&amp;" "&amp;Milestones!$AC$174&amp;";  ","")&amp;IF(AND(EDATE($D50,Milestones!$AA$175)&lt;=AsOfDate,IF($R50=0,$X50,IF(AND($T50&lt;&gt;"",EDATE($D50,Milestones!$AA$175)&gt;=$T50),$W50,IF(AND($S50&lt;&gt;"",EDATE($D50,Milestones!$AA$175)&gt;=$S50),$V50,$U50)))=Milestones!$AB$175),UPPER(TEXT(EDATE($D50,Milestones!$AA$175),"dd mmm yy"))&amp;" "&amp;Milestones!$AB$175&amp;" "&amp;Milestones!$AC$175&amp;";  ","")&amp;IF(AND(EDATE($D50,Milestones!$AA$176)&lt;=AsOfDate,IF($R50=0,$X50,IF(AND($T50&lt;&gt;"",EDATE($D50,Milestones!$AA$176)&gt;=$T50),$W50,IF(AND($S50&lt;&gt;"",EDATE($D50,Milestones!$AA$176)&gt;=$S50),$V50,$U50)))=Milestones!$AB$176),UPPER(TEXT(EDATE($D50,Milestones!$AA$176),"dd mmm yy"))&amp;" "&amp;Milestones!$AB$176&amp;" "&amp;Milestones!$AC$176&amp;";  ","")&amp;IF(AND(EDATE($D50,Milestones!$AA$177)&lt;=AsOfDate,IF($R50=0,$X50,IF(AND($T50&lt;&gt;"",EDATE($D50,Milestones!$AA$177)&gt;=$T50),$W50,IF(AND($S50&lt;&gt;"",EDATE($D50,Milestones!$AA$177)&gt;=$S50),$V50,$U50)))=Milestones!$AB$177),UPPER(TEXT(EDATE($D50,Milestones!$AA$177),"dd mmm yy"))&amp;" "&amp;Milestones!$AB$177&amp;" "&amp;Milestones!$AC$177&amp;";  ","")&amp;IF(AND(EDATE($D50,Milestones!$AA$178)&lt;=AsOfDate,IF($R50=0,$X50,IF(AND($T50&lt;&gt;"",EDATE($D50,Milestones!$AA$178)&gt;=$T50),$W50,IF(AND($S50&lt;&gt;"",EDATE($D50,Milestones!$AA$178)&gt;=$S50),$V50,$U50)))=Milestones!$AB$178),UPPER(TEXT(EDATE($D50,Milestones!$AA$178),"dd mmm yy"))&amp;" "&amp;Milestones!$AB$178&amp;" "&amp;Milestones!$AC$178&amp;";  ","")&amp;IF(AND(EDATE($D50,Milestones!$AA$179)&lt;=AsOfDate,IF($R50=0,$X50,IF(AND($T50&lt;&gt;"",EDATE($D50,Milestones!$AA$179)&gt;=$T50),$W50,IF(AND($S50&lt;&gt;"",EDATE($D50,Milestones!$AA$179)&gt;=$S50),$V50,$U50)))=Milestones!$AB$179),UPPER(TEXT(EDATE($D50,Milestones!$AA$179),"dd mmm yy"))&amp;" "&amp;Milestones!$AB$179&amp;" "&amp;Milestones!$AC$179&amp;";  ",""))</f>
        <v/>
      </c>
      <c r="Q50" s="0" t="str">
        <f aca="false">IF(OR($A50="",$D50=""),"",IF(AND(EDATE($D50,Milestones!$AA$180)&lt;=AsOfDate,IF($R50=0,$X50,IF(AND($T50&lt;&gt;"",EDATE($D50,Milestones!$AA$180)&gt;=$T50),$W50,IF(AND($S50&lt;&gt;"",EDATE($D50,Milestones!$AA$180)&gt;=$S50),$V50,$U50)))=Milestones!$AB$180),UPPER(TEXT(EDATE($D50,Milestones!$AA$180),"dd mmm yy"))&amp;" "&amp;Milestones!$AB$180&amp;" "&amp;Milestones!$AC$180&amp;";  ","")&amp;IF(AND(EDATE($D50,Milestones!$AA$181)&lt;=AsOfDate,IF($R50=0,$X50,IF(AND($T50&lt;&gt;"",EDATE($D50,Milestones!$AA$181)&gt;=$T50),$W50,IF(AND($S50&lt;&gt;"",EDATE($D50,Milestones!$AA$181)&gt;=$S50),$V50,$U50)))=Milestones!$AB$181),UPPER(TEXT(EDATE($D50,Milestones!$AA$181),"dd mmm yy"))&amp;" "&amp;Milestones!$AB$181&amp;" "&amp;Milestones!$AC$181&amp;";  ","")&amp;IF(AND(EDATE($D50,Milestones!$AA$182)&lt;=AsOfDate,IF($R50=0,$X50,IF(AND($T50&lt;&gt;"",EDATE($D50,Milestones!$AA$182)&gt;=$T50),$W50,IF(AND($S50&lt;&gt;"",EDATE($D50,Milestones!$AA$182)&gt;=$S50),$V50,$U50)))=Milestones!$AB$182),UPPER(TEXT(EDATE($D50,Milestones!$AA$182),"dd mmm yy"))&amp;" "&amp;Milestones!$AB$182&amp;" "&amp;Milestones!$AC$182&amp;";  ","")&amp;IF(AND(EDATE($D50,Milestones!$AA$183)&lt;=AsOfDate,IF($R50=0,$X50,IF(AND($T50&lt;&gt;"",EDATE($D50,Milestones!$AA$183)&gt;=$T50),$W50,IF(AND($S50&lt;&gt;"",EDATE($D50,Milestones!$AA$183)&gt;=$S50),$V50,$U50)))=Milestones!$AB$183),UPPER(TEXT(EDATE($D50,Milestones!$AA$183),"dd mmm yy"))&amp;" "&amp;Milestones!$AB$183&amp;" "&amp;Milestones!$AC$183&amp;";  ","")&amp;IF(AND(EDATE($D50,Milestones!$AA$184)&lt;=AsOfDate,IF($R50=0,$X50,IF(AND($T50&lt;&gt;"",EDATE($D50,Milestones!$AA$184)&gt;=$T50),$W50,IF(AND($S50&lt;&gt;"",EDATE($D50,Milestones!$AA$184)&gt;=$S50),$V50,$U50)))=Milestones!$AB$184),UPPER(TEXT(EDATE($D50,Milestones!$AA$184),"dd mmm yy"))&amp;" "&amp;Milestones!$AB$184&amp;" "&amp;Milestones!$AC$184&amp;";  ","")&amp;IF(AND(EDATE($D50,Milestones!$AA$185)&lt;=AsOfDate,IF($R50=0,$X50,IF(AND($T50&lt;&gt;"",EDATE($D50,Milestones!$AA$185)&gt;=$T50),$W50,IF(AND($S50&lt;&gt;"",EDATE($D50,Milestones!$AA$185)&gt;=$S50),$V50,$U50)))=Milestones!$AB$185),UPPER(TEXT(EDATE($D50,Milestones!$AA$185),"dd mmm yy"))&amp;" "&amp;Milestones!$AB$185&amp;" "&amp;Milestones!$AC$185&amp;";  ","")&amp;IF(AND(EDATE($D50,Milestones!$AA$186)&lt;=AsOfDate,IF($R50=0,$X50,IF(AND($T50&lt;&gt;"",EDATE($D50,Milestones!$AA$186)&gt;=$T50),$W50,IF(AND($S50&lt;&gt;"",EDATE($D50,Milestones!$AA$186)&gt;=$S50),$V50,$U50)))=Milestones!$AB$186),UPPER(TEXT(EDATE($D50,Milestones!$AA$186),"dd mmm yy"))&amp;" "&amp;Milestones!$AB$186&amp;" "&amp;Milestones!$AC$186&amp;";  ","")&amp;IF(AND(EDATE($D50,Milestones!$AA$187)&lt;=AsOfDate,IF($R50=0,$X50,IF(AND($T50&lt;&gt;"",EDATE($D50,Milestones!$AA$187)&gt;=$T50),$W50,IF(AND($S50&lt;&gt;"",EDATE($D50,Milestones!$AA$187)&gt;=$S50),$V50,$U50)))=Milestones!$AB$187),UPPER(TEXT(EDATE($D50,Milestones!$AA$187),"dd mmm yy"))&amp;" "&amp;Milestones!$AB$187&amp;" "&amp;Milestones!$AC$187&amp;";  ","")&amp;IF(AND(EDATE($D50,Milestones!$AA$188)&lt;=AsOfDate,IF($R50=0,$X50,IF(AND($T50&lt;&gt;"",EDATE($D50,Milestones!$AA$188)&gt;=$T50),$W50,IF(AND($S50&lt;&gt;"",EDATE($D50,Milestones!$AA$188)&gt;=$S50),$V50,$U50)))=Milestones!$AB$188),UPPER(TEXT(EDATE($D50,Milestones!$AA$188),"dd mmm yy"))&amp;" "&amp;Milestones!$AB$188&amp;" "&amp;Milestones!$AC$188&amp;";  ","")&amp;IF(AND(EDATE($D50,Milestones!$AA$189)&lt;=AsOfDate,IF($R50=0,$X50,IF(AND($T50&lt;&gt;"",EDATE($D50,Milestones!$AA$189)&gt;=$T50),$W50,IF(AND($S50&lt;&gt;"",EDATE($D50,Milestones!$AA$189)&gt;=$S50),$V50,$U50)))=Milestones!$AB$189),UPPER(TEXT(EDATE($D50,Milestones!$AA$189),"dd mmm yy"))&amp;" "&amp;Milestones!$AB$189&amp;" "&amp;Milestones!$AC$189&amp;";  ","")&amp;IF(AND(EDATE($D50,Milestones!$AA$190)&lt;=AsOfDate,IF($R50=0,$X50,IF(AND($T50&lt;&gt;"",EDATE($D50,Milestones!$AA$190)&gt;=$T50),$W50,IF(AND($S50&lt;&gt;"",EDATE($D50,Milestones!$AA$190)&gt;=$S50),$V50,$U50)))=Milestones!$AB$190),UPPER(TEXT(EDATE($D50,Milestones!$AA$190),"dd mmm yy"))&amp;" "&amp;Milestones!$AB$190&amp;" "&amp;Milestones!$AC$190&amp;";  ","")&amp;IF(AND(EDATE($D50,Milestones!$AA$191)&lt;=AsOfDate,IF($R50=0,$X50,IF(AND($T50&lt;&gt;"",EDATE($D50,Milestones!$AA$191)&gt;=$T50),$W50,IF(AND($S50&lt;&gt;"",EDATE($D50,Milestones!$AA$191)&gt;=$S50),$V50,$U50)))=Milestones!$AB$191),UPPER(TEXT(EDATE($D50,Milestones!$AA$191),"dd mmm yy"))&amp;" "&amp;Milestones!$AB$191&amp;" "&amp;Milestones!$AC$191&amp;";  ","")&amp;IF(AND(EDATE($D50,Milestones!$AA$192)&lt;=AsOfDate,IF($R50=0,$X50,IF(AND($T50&lt;&gt;"",EDATE($D50,Milestones!$AA$192)&gt;=$T50),$W50,IF(AND($S50&lt;&gt;"",EDATE($D50,Milestones!$AA$192)&gt;=$S50),$V50,$U50)))=Milestones!$AB$192),UPPER(TEXT(EDATE($D50,Milestones!$AA$192),"dd mmm yy"))&amp;" "&amp;Milestones!$AB$192&amp;" "&amp;Milestones!$AC$192&amp;";  ","")&amp;IF(AND(EDATE($D50,Milestones!$AA$193)&lt;=AsOfDate,IF($R50=0,$X50,IF(AND($T50&lt;&gt;"",EDATE($D50,Milestones!$AA$193)&gt;=$T50),$W50,IF(AND($S50&lt;&gt;"",EDATE($D50,Milestones!$AA$193)&gt;=$S50),$V50,$U50)))=Milestones!$AB$193),UPPER(TEXT(EDATE($D50,Milestones!$AA$193),"dd mmm yy"))&amp;" "&amp;Milestones!$AB$193&amp;" "&amp;Milestones!$AC$193&amp;";  ","")&amp;IF(AND(EDATE($D50,Milestones!$AA$194)&lt;=AsOfDate,IF($R50=0,$X50,IF(AND($T50&lt;&gt;"",EDATE($D50,Milestones!$AA$194)&gt;=$T50),$W50,IF(AND($S50&lt;&gt;"",EDATE($D50,Milestones!$AA$194)&gt;=$S50),$V50,$U50)))=Milestones!$AB$194),UPPER(TEXT(EDATE($D50,Milestones!$AA$194),"dd mmm yy"))&amp;" "&amp;Milestones!$AB$194&amp;" "&amp;Milestones!$AC$194&amp;";  ","")&amp;IF(AND(EDATE($D50,Milestones!$AA$195)&lt;=AsOfDate,IF($R50=0,$X50,IF(AND($T50&lt;&gt;"",EDATE($D50,Milestones!$AA$195)&gt;=$T50),$W50,IF(AND($S50&lt;&gt;"",EDATE($D50,Milestones!$AA$195)&gt;=$S50),$V50,$U50)))=Milestones!$AB$195),UPPER(TEXT(EDATE($D50,Milestones!$AA$195),"dd mmm yy"))&amp;" "&amp;Milestones!$AB$195&amp;" "&amp;Milestones!$AC$195&amp;";  ","")&amp;IF(AND(EDATE($D50,Milestones!$AA$196)&lt;=AsOfDate,IF($R50=0,$X50,IF(AND($T50&lt;&gt;"",EDATE($D50,Milestones!$AA$196)&gt;=$T50),$W50,IF(AND($S50&lt;&gt;"",EDATE($D50,Milestones!$AA$196)&gt;=$S50),$V50,$U50)))=Milestones!$AB$196),UPPER(TEXT(EDATE($D50,Milestones!$AA$196),"dd mmm yy"))&amp;" "&amp;Milestones!$AB$196&amp;" "&amp;Milestones!$AC$196&amp;";  ","")&amp;IF(AND(EDATE($D50,Milestones!$AA$197)&lt;=AsOfDate,IF($R50=0,$X50,IF(AND($T50&lt;&gt;"",EDATE($D50,Milestones!$AA$197)&gt;=$T50),$W50,IF(AND($S50&lt;&gt;"",EDATE($D50,Milestones!$AA$197)&gt;=$S50),$V50,$U50)))=Milestones!$AB$197),UPPER(TEXT(EDATE($D50,Milestones!$AA$197),"dd mmm yy"))&amp;" "&amp;Milestones!$AB$197&amp;" "&amp;Milestones!$AC$197&amp;";  ","")&amp;IF(AND(EDATE($D50,Milestones!$AA$198)&lt;=AsOfDate,IF($R50=0,$X50,IF(AND($T50&lt;&gt;"",EDATE($D50,Milestones!$AA$198)&gt;=$T50),$W50,IF(AND($S50&lt;&gt;"",EDATE($D50,Milestones!$AA$198)&gt;=$S50),$V50,$U50)))=Milestones!$AB$198),UPPER(TEXT(EDATE($D50,Milestones!$AA$198),"dd mmm yy"))&amp;" "&amp;Milestones!$AB$198&amp;" "&amp;Milestones!$AC$198&amp;";  ","")&amp;IF(AND(EDATE($D50,Milestones!$AA$199)&lt;=AsOfDate,IF($R50=0,$X50,IF(AND($T50&lt;&gt;"",EDATE($D50,Milestones!$AA$199)&gt;=$T50),$W50,IF(AND($S50&lt;&gt;"",EDATE($D50,Milestones!$AA$199)&gt;=$S50),$V50,$U50)))=Milestones!$AB$199),UPPER(TEXT(EDATE($D50,Milestones!$AA$199),"dd mmm yy"))&amp;" "&amp;Milestones!$AB$199&amp;" "&amp;Milestones!$AC$199&amp;";  ",""))</f>
        <v/>
      </c>
      <c r="R50" s="0" t="str">
        <f aca="false">IF(Staff!$A50="","",Staff!$AI50)</f>
        <v/>
      </c>
      <c r="S50" s="0" t="str">
        <f aca="false">IF(Staff!$A50="","",Staff!$AK50)</f>
        <v/>
      </c>
      <c r="T50" s="0" t="str">
        <f aca="false">IF(Staff!$A50="","",Staff!$AL50)</f>
        <v/>
      </c>
      <c r="U50" s="0" t="str">
        <f aca="false">IF(Staff!$A50="","",Staff!$AP50)</f>
        <v/>
      </c>
      <c r="V50" s="0" t="str">
        <f aca="false">IF(Staff!$A50="","",Staff!$AQ50)</f>
        <v/>
      </c>
      <c r="W50" s="0" t="str">
        <f aca="false">IF(Staff!$A50="","",Staff!$AR50)</f>
        <v/>
      </c>
      <c r="X50" s="0" t="str">
        <f aca="false">IF(Staff!$A50="","",Staff!$AS50)</f>
        <v/>
      </c>
    </row>
    <row r="51" customFormat="false" ht="15" hidden="false" customHeight="false" outlineLevel="0" collapsed="false">
      <c r="A51" s="14" t="str">
        <f aca="false">IF(Staff!$A51="","",Staff!$A51)</f>
        <v/>
      </c>
      <c r="B51" s="14" t="str">
        <f aca="false">IF(Staff!$A51="","",Staff!$B51)</f>
        <v/>
      </c>
      <c r="C51" s="14" t="str">
        <f aca="false">IF(Staff!$A51="","",Staff!$C51)</f>
        <v/>
      </c>
      <c r="D51" s="12" t="str">
        <f aca="false">IF(Staff!$A51="","",Staff!$AH51)</f>
        <v/>
      </c>
      <c r="E51" s="14" t="str">
        <f aca="false">IF(Staff!$A51="","",Staff!$O51)</f>
        <v/>
      </c>
      <c r="F51" s="14" t="str">
        <f aca="false">IF(E51="","",E51*HoursPerDay)</f>
        <v/>
      </c>
      <c r="G51" s="14" t="str">
        <f aca="false">IF(Staff!$A51="","",Staff!$AE51)</f>
        <v/>
      </c>
      <c r="H51" s="26" t="str">
        <f aca="false">IF($A51="","",I51&amp;J51&amp;K51&amp;L51&amp;M51&amp;N51&amp;O51&amp;P51&amp;Q51)</f>
        <v/>
      </c>
      <c r="I51" s="0" t="str">
        <f aca="false">IF(OR($A51="",$D51=""),"",IF(AND(EDATE($D51,Milestones!$AA$20)&lt;=AsOfDate,IF($R51=0,$X51,IF(AND($T51&lt;&gt;"",EDATE($D51,Milestones!$AA$20)&gt;=$T51),$W51,IF(AND($S51&lt;&gt;"",EDATE($D51,Milestones!$AA$20)&gt;=$S51),$V51,$U51)))=Milestones!$AB$20),UPPER(TEXT(EDATE($D51,Milestones!$AA$20),"dd mmm yy"))&amp;" "&amp;Milestones!$AB$20&amp;" "&amp;Milestones!$AC$20&amp;";  ","")&amp;IF(AND(EDATE($D51,Milestones!$AA$21)&lt;=AsOfDate,IF($R51=0,$X51,IF(AND($T51&lt;&gt;"",EDATE($D51,Milestones!$AA$21)&gt;=$T51),$W51,IF(AND($S51&lt;&gt;"",EDATE($D51,Milestones!$AA$21)&gt;=$S51),$V51,$U51)))=Milestones!$AB$21),UPPER(TEXT(EDATE($D51,Milestones!$AA$21),"dd mmm yy"))&amp;" "&amp;Milestones!$AB$21&amp;" "&amp;Milestones!$AC$21&amp;";  ","")&amp;IF(AND(EDATE($D51,Milestones!$AA$22)&lt;=AsOfDate,IF($R51=0,$X51,IF(AND($T51&lt;&gt;"",EDATE($D51,Milestones!$AA$22)&gt;=$T51),$W51,IF(AND($S51&lt;&gt;"",EDATE($D51,Milestones!$AA$22)&gt;=$S51),$V51,$U51)))=Milestones!$AB$22),UPPER(TEXT(EDATE($D51,Milestones!$AA$22),"dd mmm yy"))&amp;" "&amp;Milestones!$AB$22&amp;" "&amp;Milestones!$AC$22&amp;";  ","")&amp;IF(AND(EDATE($D51,Milestones!$AA$23)&lt;=AsOfDate,IF($R51=0,$X51,IF(AND($T51&lt;&gt;"",EDATE($D51,Milestones!$AA$23)&gt;=$T51),$W51,IF(AND($S51&lt;&gt;"",EDATE($D51,Milestones!$AA$23)&gt;=$S51),$V51,$U51)))=Milestones!$AB$23),UPPER(TEXT(EDATE($D51,Milestones!$AA$23),"dd mmm yy"))&amp;" "&amp;Milestones!$AB$23&amp;" "&amp;Milestones!$AC$23&amp;";  ","")&amp;IF(AND(EDATE($D51,Milestones!$AA$24)&lt;=AsOfDate,IF($R51=0,$X51,IF(AND($T51&lt;&gt;"",EDATE($D51,Milestones!$AA$24)&gt;=$T51),$W51,IF(AND($S51&lt;&gt;"",EDATE($D51,Milestones!$AA$24)&gt;=$S51),$V51,$U51)))=Milestones!$AB$24),UPPER(TEXT(EDATE($D51,Milestones!$AA$24),"dd mmm yy"))&amp;" "&amp;Milestones!$AB$24&amp;" "&amp;Milestones!$AC$24&amp;";  ","")&amp;IF(AND(EDATE($D51,Milestones!$AA$25)&lt;=AsOfDate,IF($R51=0,$X51,IF(AND($T51&lt;&gt;"",EDATE($D51,Milestones!$AA$25)&gt;=$T51),$W51,IF(AND($S51&lt;&gt;"",EDATE($D51,Milestones!$AA$25)&gt;=$S51),$V51,$U51)))=Milestones!$AB$25),UPPER(TEXT(EDATE($D51,Milestones!$AA$25),"dd mmm yy"))&amp;" "&amp;Milestones!$AB$25&amp;" "&amp;Milestones!$AC$25&amp;";  ","")&amp;IF(AND(EDATE($D51,Milestones!$AA$26)&lt;=AsOfDate,IF($R51=0,$X51,IF(AND($T51&lt;&gt;"",EDATE($D51,Milestones!$AA$26)&gt;=$T51),$W51,IF(AND($S51&lt;&gt;"",EDATE($D51,Milestones!$AA$26)&gt;=$S51),$V51,$U51)))=Milestones!$AB$26),UPPER(TEXT(EDATE($D51,Milestones!$AA$26),"dd mmm yy"))&amp;" "&amp;Milestones!$AB$26&amp;" "&amp;Milestones!$AC$26&amp;";  ","")&amp;IF(AND(EDATE($D51,Milestones!$AA$27)&lt;=AsOfDate,IF($R51=0,$X51,IF(AND($T51&lt;&gt;"",EDATE($D51,Milestones!$AA$27)&gt;=$T51),$W51,IF(AND($S51&lt;&gt;"",EDATE($D51,Milestones!$AA$27)&gt;=$S51),$V51,$U51)))=Milestones!$AB$27),UPPER(TEXT(EDATE($D51,Milestones!$AA$27),"dd mmm yy"))&amp;" "&amp;Milestones!$AB$27&amp;" "&amp;Milestones!$AC$27&amp;";  ","")&amp;IF(AND(EDATE($D51,Milestones!$AA$28)&lt;=AsOfDate,IF($R51=0,$X51,IF(AND($T51&lt;&gt;"",EDATE($D51,Milestones!$AA$28)&gt;=$T51),$W51,IF(AND($S51&lt;&gt;"",EDATE($D51,Milestones!$AA$28)&gt;=$S51),$V51,$U51)))=Milestones!$AB$28),UPPER(TEXT(EDATE($D51,Milestones!$AA$28),"dd mmm yy"))&amp;" "&amp;Milestones!$AB$28&amp;" "&amp;Milestones!$AC$28&amp;";  ","")&amp;IF(AND(EDATE($D51,Milestones!$AA$29)&lt;=AsOfDate,IF($R51=0,$X51,IF(AND($T51&lt;&gt;"",EDATE($D51,Milestones!$AA$29)&gt;=$T51),$W51,IF(AND($S51&lt;&gt;"",EDATE($D51,Milestones!$AA$29)&gt;=$S51),$V51,$U51)))=Milestones!$AB$29),UPPER(TEXT(EDATE($D51,Milestones!$AA$29),"dd mmm yy"))&amp;" "&amp;Milestones!$AB$29&amp;" "&amp;Milestones!$AC$29&amp;";  ","")&amp;IF(AND(EDATE($D51,Milestones!$AA$30)&lt;=AsOfDate,IF($R51=0,$X51,IF(AND($T51&lt;&gt;"",EDATE($D51,Milestones!$AA$30)&gt;=$T51),$W51,IF(AND($S51&lt;&gt;"",EDATE($D51,Milestones!$AA$30)&gt;=$S51),$V51,$U51)))=Milestones!$AB$30),UPPER(TEXT(EDATE($D51,Milestones!$AA$30),"dd mmm yy"))&amp;" "&amp;Milestones!$AB$30&amp;" "&amp;Milestones!$AC$30&amp;";  ","")&amp;IF(AND(EDATE($D51,Milestones!$AA$31)&lt;=AsOfDate,IF($R51=0,$X51,IF(AND($T51&lt;&gt;"",EDATE($D51,Milestones!$AA$31)&gt;=$T51),$W51,IF(AND($S51&lt;&gt;"",EDATE($D51,Milestones!$AA$31)&gt;=$S51),$V51,$U51)))=Milestones!$AB$31),UPPER(TEXT(EDATE($D51,Milestones!$AA$31),"dd mmm yy"))&amp;" "&amp;Milestones!$AB$31&amp;" "&amp;Milestones!$AC$31&amp;";  ","")&amp;IF(AND(EDATE($D51,Milestones!$AA$32)&lt;=AsOfDate,IF($R51=0,$X51,IF(AND($T51&lt;&gt;"",EDATE($D51,Milestones!$AA$32)&gt;=$T51),$W51,IF(AND($S51&lt;&gt;"",EDATE($D51,Milestones!$AA$32)&gt;=$S51),$V51,$U51)))=Milestones!$AB$32),UPPER(TEXT(EDATE($D51,Milestones!$AA$32),"dd mmm yy"))&amp;" "&amp;Milestones!$AB$32&amp;" "&amp;Milestones!$AC$32&amp;";  ","")&amp;IF(AND(EDATE($D51,Milestones!$AA$33)&lt;=AsOfDate,IF($R51=0,$X51,IF(AND($T51&lt;&gt;"",EDATE($D51,Milestones!$AA$33)&gt;=$T51),$W51,IF(AND($S51&lt;&gt;"",EDATE($D51,Milestones!$AA$33)&gt;=$S51),$V51,$U51)))=Milestones!$AB$33),UPPER(TEXT(EDATE($D51,Milestones!$AA$33),"dd mmm yy"))&amp;" "&amp;Milestones!$AB$33&amp;" "&amp;Milestones!$AC$33&amp;";  ","")&amp;IF(AND(EDATE($D51,Milestones!$AA$34)&lt;=AsOfDate,IF($R51=0,$X51,IF(AND($T51&lt;&gt;"",EDATE($D51,Milestones!$AA$34)&gt;=$T51),$W51,IF(AND($S51&lt;&gt;"",EDATE($D51,Milestones!$AA$34)&gt;=$S51),$V51,$U51)))=Milestones!$AB$34),UPPER(TEXT(EDATE($D51,Milestones!$AA$34),"dd mmm yy"))&amp;" "&amp;Milestones!$AB$34&amp;" "&amp;Milestones!$AC$34&amp;";  ","")&amp;IF(AND(EDATE($D51,Milestones!$AA$35)&lt;=AsOfDate,IF($R51=0,$X51,IF(AND($T51&lt;&gt;"",EDATE($D51,Milestones!$AA$35)&gt;=$T51),$W51,IF(AND($S51&lt;&gt;"",EDATE($D51,Milestones!$AA$35)&gt;=$S51),$V51,$U51)))=Milestones!$AB$35),UPPER(TEXT(EDATE($D51,Milestones!$AA$35),"dd mmm yy"))&amp;" "&amp;Milestones!$AB$35&amp;" "&amp;Milestones!$AC$35&amp;";  ","")&amp;IF(AND(EDATE($D51,Milestones!$AA$36)&lt;=AsOfDate,IF($R51=0,$X51,IF(AND($T51&lt;&gt;"",EDATE($D51,Milestones!$AA$36)&gt;=$T51),$W51,IF(AND($S51&lt;&gt;"",EDATE($D51,Milestones!$AA$36)&gt;=$S51),$V51,$U51)))=Milestones!$AB$36),UPPER(TEXT(EDATE($D51,Milestones!$AA$36),"dd mmm yy"))&amp;" "&amp;Milestones!$AB$36&amp;" "&amp;Milestones!$AC$36&amp;";  ","")&amp;IF(AND(EDATE($D51,Milestones!$AA$37)&lt;=AsOfDate,IF($R51=0,$X51,IF(AND($T51&lt;&gt;"",EDATE($D51,Milestones!$AA$37)&gt;=$T51),$W51,IF(AND($S51&lt;&gt;"",EDATE($D51,Milestones!$AA$37)&gt;=$S51),$V51,$U51)))=Milestones!$AB$37),UPPER(TEXT(EDATE($D51,Milestones!$AA$37),"dd mmm yy"))&amp;" "&amp;Milestones!$AB$37&amp;" "&amp;Milestones!$AC$37&amp;";  ","")&amp;IF(AND(EDATE($D51,Milestones!$AA$38)&lt;=AsOfDate,IF($R51=0,$X51,IF(AND($T51&lt;&gt;"",EDATE($D51,Milestones!$AA$38)&gt;=$T51),$W51,IF(AND($S51&lt;&gt;"",EDATE($D51,Milestones!$AA$38)&gt;=$S51),$V51,$U51)))=Milestones!$AB$38),UPPER(TEXT(EDATE($D51,Milestones!$AA$38),"dd mmm yy"))&amp;" "&amp;Milestones!$AB$38&amp;" "&amp;Milestones!$AC$38&amp;";  ","")&amp;IF(AND(EDATE($D51,Milestones!$AA$39)&lt;=AsOfDate,IF($R51=0,$X51,IF(AND($T51&lt;&gt;"",EDATE($D51,Milestones!$AA$39)&gt;=$T51),$W51,IF(AND($S51&lt;&gt;"",EDATE($D51,Milestones!$AA$39)&gt;=$S51),$V51,$U51)))=Milestones!$AB$39),UPPER(TEXT(EDATE($D51,Milestones!$AA$39),"dd mmm yy"))&amp;" "&amp;Milestones!$AB$39&amp;" "&amp;Milestones!$AC$39&amp;";  ",""))</f>
        <v/>
      </c>
      <c r="J51" s="0" t="str">
        <f aca="false">IF(OR($A51="",$D51=""),"",IF(AND(EDATE($D51,Milestones!$AA$40)&lt;=AsOfDate,IF($R51=0,$X51,IF(AND($T51&lt;&gt;"",EDATE($D51,Milestones!$AA$40)&gt;=$T51),$W51,IF(AND($S51&lt;&gt;"",EDATE($D51,Milestones!$AA$40)&gt;=$S51),$V51,$U51)))=Milestones!$AB$40),UPPER(TEXT(EDATE($D51,Milestones!$AA$40),"dd mmm yy"))&amp;" "&amp;Milestones!$AB$40&amp;" "&amp;Milestones!$AC$40&amp;";  ","")&amp;IF(AND(EDATE($D51,Milestones!$AA$41)&lt;=AsOfDate,IF($R51=0,$X51,IF(AND($T51&lt;&gt;"",EDATE($D51,Milestones!$AA$41)&gt;=$T51),$W51,IF(AND($S51&lt;&gt;"",EDATE($D51,Milestones!$AA$41)&gt;=$S51),$V51,$U51)))=Milestones!$AB$41),UPPER(TEXT(EDATE($D51,Milestones!$AA$41),"dd mmm yy"))&amp;" "&amp;Milestones!$AB$41&amp;" "&amp;Milestones!$AC$41&amp;";  ","")&amp;IF(AND(EDATE($D51,Milestones!$AA$42)&lt;=AsOfDate,IF($R51=0,$X51,IF(AND($T51&lt;&gt;"",EDATE($D51,Milestones!$AA$42)&gt;=$T51),$W51,IF(AND($S51&lt;&gt;"",EDATE($D51,Milestones!$AA$42)&gt;=$S51),$V51,$U51)))=Milestones!$AB$42),UPPER(TEXT(EDATE($D51,Milestones!$AA$42),"dd mmm yy"))&amp;" "&amp;Milestones!$AB$42&amp;" "&amp;Milestones!$AC$42&amp;";  ","")&amp;IF(AND(EDATE($D51,Milestones!$AA$43)&lt;=AsOfDate,IF($R51=0,$X51,IF(AND($T51&lt;&gt;"",EDATE($D51,Milestones!$AA$43)&gt;=$T51),$W51,IF(AND($S51&lt;&gt;"",EDATE($D51,Milestones!$AA$43)&gt;=$S51),$V51,$U51)))=Milestones!$AB$43),UPPER(TEXT(EDATE($D51,Milestones!$AA$43),"dd mmm yy"))&amp;" "&amp;Milestones!$AB$43&amp;" "&amp;Milestones!$AC$43&amp;";  ","")&amp;IF(AND(EDATE($D51,Milestones!$AA$44)&lt;=AsOfDate,IF($R51=0,$X51,IF(AND($T51&lt;&gt;"",EDATE($D51,Milestones!$AA$44)&gt;=$T51),$W51,IF(AND($S51&lt;&gt;"",EDATE($D51,Milestones!$AA$44)&gt;=$S51),$V51,$U51)))=Milestones!$AB$44),UPPER(TEXT(EDATE($D51,Milestones!$AA$44),"dd mmm yy"))&amp;" "&amp;Milestones!$AB$44&amp;" "&amp;Milestones!$AC$44&amp;";  ","")&amp;IF(AND(EDATE($D51,Milestones!$AA$45)&lt;=AsOfDate,IF($R51=0,$X51,IF(AND($T51&lt;&gt;"",EDATE($D51,Milestones!$AA$45)&gt;=$T51),$W51,IF(AND($S51&lt;&gt;"",EDATE($D51,Milestones!$AA$45)&gt;=$S51),$V51,$U51)))=Milestones!$AB$45),UPPER(TEXT(EDATE($D51,Milestones!$AA$45),"dd mmm yy"))&amp;" "&amp;Milestones!$AB$45&amp;" "&amp;Milestones!$AC$45&amp;";  ","")&amp;IF(AND(EDATE($D51,Milestones!$AA$46)&lt;=AsOfDate,IF($R51=0,$X51,IF(AND($T51&lt;&gt;"",EDATE($D51,Milestones!$AA$46)&gt;=$T51),$W51,IF(AND($S51&lt;&gt;"",EDATE($D51,Milestones!$AA$46)&gt;=$S51),$V51,$U51)))=Milestones!$AB$46),UPPER(TEXT(EDATE($D51,Milestones!$AA$46),"dd mmm yy"))&amp;" "&amp;Milestones!$AB$46&amp;" "&amp;Milestones!$AC$46&amp;";  ","")&amp;IF(AND(EDATE($D51,Milestones!$AA$47)&lt;=AsOfDate,IF($R51=0,$X51,IF(AND($T51&lt;&gt;"",EDATE($D51,Milestones!$AA$47)&gt;=$T51),$W51,IF(AND($S51&lt;&gt;"",EDATE($D51,Milestones!$AA$47)&gt;=$S51),$V51,$U51)))=Milestones!$AB$47),UPPER(TEXT(EDATE($D51,Milestones!$AA$47),"dd mmm yy"))&amp;" "&amp;Milestones!$AB$47&amp;" "&amp;Milestones!$AC$47&amp;";  ","")&amp;IF(AND(EDATE($D51,Milestones!$AA$48)&lt;=AsOfDate,IF($R51=0,$X51,IF(AND($T51&lt;&gt;"",EDATE($D51,Milestones!$AA$48)&gt;=$T51),$W51,IF(AND($S51&lt;&gt;"",EDATE($D51,Milestones!$AA$48)&gt;=$S51),$V51,$U51)))=Milestones!$AB$48),UPPER(TEXT(EDATE($D51,Milestones!$AA$48),"dd mmm yy"))&amp;" "&amp;Milestones!$AB$48&amp;" "&amp;Milestones!$AC$48&amp;";  ","")&amp;IF(AND(EDATE($D51,Milestones!$AA$49)&lt;=AsOfDate,IF($R51=0,$X51,IF(AND($T51&lt;&gt;"",EDATE($D51,Milestones!$AA$49)&gt;=$T51),$W51,IF(AND($S51&lt;&gt;"",EDATE($D51,Milestones!$AA$49)&gt;=$S51),$V51,$U51)))=Milestones!$AB$49),UPPER(TEXT(EDATE($D51,Milestones!$AA$49),"dd mmm yy"))&amp;" "&amp;Milestones!$AB$49&amp;" "&amp;Milestones!$AC$49&amp;";  ","")&amp;IF(AND(EDATE($D51,Milestones!$AA$50)&lt;=AsOfDate,IF($R51=0,$X51,IF(AND($T51&lt;&gt;"",EDATE($D51,Milestones!$AA$50)&gt;=$T51),$W51,IF(AND($S51&lt;&gt;"",EDATE($D51,Milestones!$AA$50)&gt;=$S51),$V51,$U51)))=Milestones!$AB$50),UPPER(TEXT(EDATE($D51,Milestones!$AA$50),"dd mmm yy"))&amp;" "&amp;Milestones!$AB$50&amp;" "&amp;Milestones!$AC$50&amp;";  ","")&amp;IF(AND(EDATE($D51,Milestones!$AA$51)&lt;=AsOfDate,IF($R51=0,$X51,IF(AND($T51&lt;&gt;"",EDATE($D51,Milestones!$AA$51)&gt;=$T51),$W51,IF(AND($S51&lt;&gt;"",EDATE($D51,Milestones!$AA$51)&gt;=$S51),$V51,$U51)))=Milestones!$AB$51),UPPER(TEXT(EDATE($D51,Milestones!$AA$51),"dd mmm yy"))&amp;" "&amp;Milestones!$AB$51&amp;" "&amp;Milestones!$AC$51&amp;";  ","")&amp;IF(AND(EDATE($D51,Milestones!$AA$52)&lt;=AsOfDate,IF($R51=0,$X51,IF(AND($T51&lt;&gt;"",EDATE($D51,Milestones!$AA$52)&gt;=$T51),$W51,IF(AND($S51&lt;&gt;"",EDATE($D51,Milestones!$AA$52)&gt;=$S51),$V51,$U51)))=Milestones!$AB$52),UPPER(TEXT(EDATE($D51,Milestones!$AA$52),"dd mmm yy"))&amp;" "&amp;Milestones!$AB$52&amp;" "&amp;Milestones!$AC$52&amp;";  ","")&amp;IF(AND(EDATE($D51,Milestones!$AA$53)&lt;=AsOfDate,IF($R51=0,$X51,IF(AND($T51&lt;&gt;"",EDATE($D51,Milestones!$AA$53)&gt;=$T51),$W51,IF(AND($S51&lt;&gt;"",EDATE($D51,Milestones!$AA$53)&gt;=$S51),$V51,$U51)))=Milestones!$AB$53),UPPER(TEXT(EDATE($D51,Milestones!$AA$53),"dd mmm yy"))&amp;" "&amp;Milestones!$AB$53&amp;" "&amp;Milestones!$AC$53&amp;";  ","")&amp;IF(AND(EDATE($D51,Milestones!$AA$54)&lt;=AsOfDate,IF($R51=0,$X51,IF(AND($T51&lt;&gt;"",EDATE($D51,Milestones!$AA$54)&gt;=$T51),$W51,IF(AND($S51&lt;&gt;"",EDATE($D51,Milestones!$AA$54)&gt;=$S51),$V51,$U51)))=Milestones!$AB$54),UPPER(TEXT(EDATE($D51,Milestones!$AA$54),"dd mmm yy"))&amp;" "&amp;Milestones!$AB$54&amp;" "&amp;Milestones!$AC$54&amp;";  ","")&amp;IF(AND(EDATE($D51,Milestones!$AA$55)&lt;=AsOfDate,IF($R51=0,$X51,IF(AND($T51&lt;&gt;"",EDATE($D51,Milestones!$AA$55)&gt;=$T51),$W51,IF(AND($S51&lt;&gt;"",EDATE($D51,Milestones!$AA$55)&gt;=$S51),$V51,$U51)))=Milestones!$AB$55),UPPER(TEXT(EDATE($D51,Milestones!$AA$55),"dd mmm yy"))&amp;" "&amp;Milestones!$AB$55&amp;" "&amp;Milestones!$AC$55&amp;";  ","")&amp;IF(AND(EDATE($D51,Milestones!$AA$56)&lt;=AsOfDate,IF($R51=0,$X51,IF(AND($T51&lt;&gt;"",EDATE($D51,Milestones!$AA$56)&gt;=$T51),$W51,IF(AND($S51&lt;&gt;"",EDATE($D51,Milestones!$AA$56)&gt;=$S51),$V51,$U51)))=Milestones!$AB$56),UPPER(TEXT(EDATE($D51,Milestones!$AA$56),"dd mmm yy"))&amp;" "&amp;Milestones!$AB$56&amp;" "&amp;Milestones!$AC$56&amp;";  ","")&amp;IF(AND(EDATE($D51,Milestones!$AA$57)&lt;=AsOfDate,IF($R51=0,$X51,IF(AND($T51&lt;&gt;"",EDATE($D51,Milestones!$AA$57)&gt;=$T51),$W51,IF(AND($S51&lt;&gt;"",EDATE($D51,Milestones!$AA$57)&gt;=$S51),$V51,$U51)))=Milestones!$AB$57),UPPER(TEXT(EDATE($D51,Milestones!$AA$57),"dd mmm yy"))&amp;" "&amp;Milestones!$AB$57&amp;" "&amp;Milestones!$AC$57&amp;";  ","")&amp;IF(AND(EDATE($D51,Milestones!$AA$58)&lt;=AsOfDate,IF($R51=0,$X51,IF(AND($T51&lt;&gt;"",EDATE($D51,Milestones!$AA$58)&gt;=$T51),$W51,IF(AND($S51&lt;&gt;"",EDATE($D51,Milestones!$AA$58)&gt;=$S51),$V51,$U51)))=Milestones!$AB$58),UPPER(TEXT(EDATE($D51,Milestones!$AA$58),"dd mmm yy"))&amp;" "&amp;Milestones!$AB$58&amp;" "&amp;Milestones!$AC$58&amp;";  ","")&amp;IF(AND(EDATE($D51,Milestones!$AA$59)&lt;=AsOfDate,IF($R51=0,$X51,IF(AND($T51&lt;&gt;"",EDATE($D51,Milestones!$AA$59)&gt;=$T51),$W51,IF(AND($S51&lt;&gt;"",EDATE($D51,Milestones!$AA$59)&gt;=$S51),$V51,$U51)))=Milestones!$AB$59),UPPER(TEXT(EDATE($D51,Milestones!$AA$59),"dd mmm yy"))&amp;" "&amp;Milestones!$AB$59&amp;" "&amp;Milestones!$AC$59&amp;";  ",""))</f>
        <v/>
      </c>
      <c r="K51" s="0" t="str">
        <f aca="false">IF(OR($A51="",$D51=""),"",IF(AND(EDATE($D51,Milestones!$AA$60)&lt;=AsOfDate,IF($R51=0,$X51,IF(AND($T51&lt;&gt;"",EDATE($D51,Milestones!$AA$60)&gt;=$T51),$W51,IF(AND($S51&lt;&gt;"",EDATE($D51,Milestones!$AA$60)&gt;=$S51),$V51,$U51)))=Milestones!$AB$60),UPPER(TEXT(EDATE($D51,Milestones!$AA$60),"dd mmm yy"))&amp;" "&amp;Milestones!$AB$60&amp;" "&amp;Milestones!$AC$60&amp;";  ","")&amp;IF(AND(EDATE($D51,Milestones!$AA$61)&lt;=AsOfDate,IF($R51=0,$X51,IF(AND($T51&lt;&gt;"",EDATE($D51,Milestones!$AA$61)&gt;=$T51),$W51,IF(AND($S51&lt;&gt;"",EDATE($D51,Milestones!$AA$61)&gt;=$S51),$V51,$U51)))=Milestones!$AB$61),UPPER(TEXT(EDATE($D51,Milestones!$AA$61),"dd mmm yy"))&amp;" "&amp;Milestones!$AB$61&amp;" "&amp;Milestones!$AC$61&amp;";  ","")&amp;IF(AND(EDATE($D51,Milestones!$AA$62)&lt;=AsOfDate,IF($R51=0,$X51,IF(AND($T51&lt;&gt;"",EDATE($D51,Milestones!$AA$62)&gt;=$T51),$W51,IF(AND($S51&lt;&gt;"",EDATE($D51,Milestones!$AA$62)&gt;=$S51),$V51,$U51)))=Milestones!$AB$62),UPPER(TEXT(EDATE($D51,Milestones!$AA$62),"dd mmm yy"))&amp;" "&amp;Milestones!$AB$62&amp;" "&amp;Milestones!$AC$62&amp;";  ","")&amp;IF(AND(EDATE($D51,Milestones!$AA$63)&lt;=AsOfDate,IF($R51=0,$X51,IF(AND($T51&lt;&gt;"",EDATE($D51,Milestones!$AA$63)&gt;=$T51),$W51,IF(AND($S51&lt;&gt;"",EDATE($D51,Milestones!$AA$63)&gt;=$S51),$V51,$U51)))=Milestones!$AB$63),UPPER(TEXT(EDATE($D51,Milestones!$AA$63),"dd mmm yy"))&amp;" "&amp;Milestones!$AB$63&amp;" "&amp;Milestones!$AC$63&amp;";  ","")&amp;IF(AND(EDATE($D51,Milestones!$AA$64)&lt;=AsOfDate,IF($R51=0,$X51,IF(AND($T51&lt;&gt;"",EDATE($D51,Milestones!$AA$64)&gt;=$T51),$W51,IF(AND($S51&lt;&gt;"",EDATE($D51,Milestones!$AA$64)&gt;=$S51),$V51,$U51)))=Milestones!$AB$64),UPPER(TEXT(EDATE($D51,Milestones!$AA$64),"dd mmm yy"))&amp;" "&amp;Milestones!$AB$64&amp;" "&amp;Milestones!$AC$64&amp;";  ","")&amp;IF(AND(EDATE($D51,Milestones!$AA$65)&lt;=AsOfDate,IF($R51=0,$X51,IF(AND($T51&lt;&gt;"",EDATE($D51,Milestones!$AA$65)&gt;=$T51),$W51,IF(AND($S51&lt;&gt;"",EDATE($D51,Milestones!$AA$65)&gt;=$S51),$V51,$U51)))=Milestones!$AB$65),UPPER(TEXT(EDATE($D51,Milestones!$AA$65),"dd mmm yy"))&amp;" "&amp;Milestones!$AB$65&amp;" "&amp;Milestones!$AC$65&amp;";  ","")&amp;IF(AND(EDATE($D51,Milestones!$AA$66)&lt;=AsOfDate,IF($R51=0,$X51,IF(AND($T51&lt;&gt;"",EDATE($D51,Milestones!$AA$66)&gt;=$T51),$W51,IF(AND($S51&lt;&gt;"",EDATE($D51,Milestones!$AA$66)&gt;=$S51),$V51,$U51)))=Milestones!$AB$66),UPPER(TEXT(EDATE($D51,Milestones!$AA$66),"dd mmm yy"))&amp;" "&amp;Milestones!$AB$66&amp;" "&amp;Milestones!$AC$66&amp;";  ","")&amp;IF(AND(EDATE($D51,Milestones!$AA$67)&lt;=AsOfDate,IF($R51=0,$X51,IF(AND($T51&lt;&gt;"",EDATE($D51,Milestones!$AA$67)&gt;=$T51),$W51,IF(AND($S51&lt;&gt;"",EDATE($D51,Milestones!$AA$67)&gt;=$S51),$V51,$U51)))=Milestones!$AB$67),UPPER(TEXT(EDATE($D51,Milestones!$AA$67),"dd mmm yy"))&amp;" "&amp;Milestones!$AB$67&amp;" "&amp;Milestones!$AC$67&amp;";  ","")&amp;IF(AND(EDATE($D51,Milestones!$AA$68)&lt;=AsOfDate,IF($R51=0,$X51,IF(AND($T51&lt;&gt;"",EDATE($D51,Milestones!$AA$68)&gt;=$T51),$W51,IF(AND($S51&lt;&gt;"",EDATE($D51,Milestones!$AA$68)&gt;=$S51),$V51,$U51)))=Milestones!$AB$68),UPPER(TEXT(EDATE($D51,Milestones!$AA$68),"dd mmm yy"))&amp;" "&amp;Milestones!$AB$68&amp;" "&amp;Milestones!$AC$68&amp;";  ","")&amp;IF(AND(EDATE($D51,Milestones!$AA$69)&lt;=AsOfDate,IF($R51=0,$X51,IF(AND($T51&lt;&gt;"",EDATE($D51,Milestones!$AA$69)&gt;=$T51),$W51,IF(AND($S51&lt;&gt;"",EDATE($D51,Milestones!$AA$69)&gt;=$S51),$V51,$U51)))=Milestones!$AB$69),UPPER(TEXT(EDATE($D51,Milestones!$AA$69),"dd mmm yy"))&amp;" "&amp;Milestones!$AB$69&amp;" "&amp;Milestones!$AC$69&amp;";  ","")&amp;IF(AND(EDATE($D51,Milestones!$AA$70)&lt;=AsOfDate,IF($R51=0,$X51,IF(AND($T51&lt;&gt;"",EDATE($D51,Milestones!$AA$70)&gt;=$T51),$W51,IF(AND($S51&lt;&gt;"",EDATE($D51,Milestones!$AA$70)&gt;=$S51),$V51,$U51)))=Milestones!$AB$70),UPPER(TEXT(EDATE($D51,Milestones!$AA$70),"dd mmm yy"))&amp;" "&amp;Milestones!$AB$70&amp;" "&amp;Milestones!$AC$70&amp;";  ","")&amp;IF(AND(EDATE($D51,Milestones!$AA$71)&lt;=AsOfDate,IF($R51=0,$X51,IF(AND($T51&lt;&gt;"",EDATE($D51,Milestones!$AA$71)&gt;=$T51),$W51,IF(AND($S51&lt;&gt;"",EDATE($D51,Milestones!$AA$71)&gt;=$S51),$V51,$U51)))=Milestones!$AB$71),UPPER(TEXT(EDATE($D51,Milestones!$AA$71),"dd mmm yy"))&amp;" "&amp;Milestones!$AB$71&amp;" "&amp;Milestones!$AC$71&amp;";  ","")&amp;IF(AND(EDATE($D51,Milestones!$AA$72)&lt;=AsOfDate,IF($R51=0,$X51,IF(AND($T51&lt;&gt;"",EDATE($D51,Milestones!$AA$72)&gt;=$T51),$W51,IF(AND($S51&lt;&gt;"",EDATE($D51,Milestones!$AA$72)&gt;=$S51),$V51,$U51)))=Milestones!$AB$72),UPPER(TEXT(EDATE($D51,Milestones!$AA$72),"dd mmm yy"))&amp;" "&amp;Milestones!$AB$72&amp;" "&amp;Milestones!$AC$72&amp;";  ","")&amp;IF(AND(EDATE($D51,Milestones!$AA$73)&lt;=AsOfDate,IF($R51=0,$X51,IF(AND($T51&lt;&gt;"",EDATE($D51,Milestones!$AA$73)&gt;=$T51),$W51,IF(AND($S51&lt;&gt;"",EDATE($D51,Milestones!$AA$73)&gt;=$S51),$V51,$U51)))=Milestones!$AB$73),UPPER(TEXT(EDATE($D51,Milestones!$AA$73),"dd mmm yy"))&amp;" "&amp;Milestones!$AB$73&amp;" "&amp;Milestones!$AC$73&amp;";  ","")&amp;IF(AND(EDATE($D51,Milestones!$AA$74)&lt;=AsOfDate,IF($R51=0,$X51,IF(AND($T51&lt;&gt;"",EDATE($D51,Milestones!$AA$74)&gt;=$T51),$W51,IF(AND($S51&lt;&gt;"",EDATE($D51,Milestones!$AA$74)&gt;=$S51),$V51,$U51)))=Milestones!$AB$74),UPPER(TEXT(EDATE($D51,Milestones!$AA$74),"dd mmm yy"))&amp;" "&amp;Milestones!$AB$74&amp;" "&amp;Milestones!$AC$74&amp;";  ","")&amp;IF(AND(EDATE($D51,Milestones!$AA$75)&lt;=AsOfDate,IF($R51=0,$X51,IF(AND($T51&lt;&gt;"",EDATE($D51,Milestones!$AA$75)&gt;=$T51),$W51,IF(AND($S51&lt;&gt;"",EDATE($D51,Milestones!$AA$75)&gt;=$S51),$V51,$U51)))=Milestones!$AB$75),UPPER(TEXT(EDATE($D51,Milestones!$AA$75),"dd mmm yy"))&amp;" "&amp;Milestones!$AB$75&amp;" "&amp;Milestones!$AC$75&amp;";  ","")&amp;IF(AND(EDATE($D51,Milestones!$AA$76)&lt;=AsOfDate,IF($R51=0,$X51,IF(AND($T51&lt;&gt;"",EDATE($D51,Milestones!$AA$76)&gt;=$T51),$W51,IF(AND($S51&lt;&gt;"",EDATE($D51,Milestones!$AA$76)&gt;=$S51),$V51,$U51)))=Milestones!$AB$76),UPPER(TEXT(EDATE($D51,Milestones!$AA$76),"dd mmm yy"))&amp;" "&amp;Milestones!$AB$76&amp;" "&amp;Milestones!$AC$76&amp;";  ","")&amp;IF(AND(EDATE($D51,Milestones!$AA$77)&lt;=AsOfDate,IF($R51=0,$X51,IF(AND($T51&lt;&gt;"",EDATE($D51,Milestones!$AA$77)&gt;=$T51),$W51,IF(AND($S51&lt;&gt;"",EDATE($D51,Milestones!$AA$77)&gt;=$S51),$V51,$U51)))=Milestones!$AB$77),UPPER(TEXT(EDATE($D51,Milestones!$AA$77),"dd mmm yy"))&amp;" "&amp;Milestones!$AB$77&amp;" "&amp;Milestones!$AC$77&amp;";  ","")&amp;IF(AND(EDATE($D51,Milestones!$AA$78)&lt;=AsOfDate,IF($R51=0,$X51,IF(AND($T51&lt;&gt;"",EDATE($D51,Milestones!$AA$78)&gt;=$T51),$W51,IF(AND($S51&lt;&gt;"",EDATE($D51,Milestones!$AA$78)&gt;=$S51),$V51,$U51)))=Milestones!$AB$78),UPPER(TEXT(EDATE($D51,Milestones!$AA$78),"dd mmm yy"))&amp;" "&amp;Milestones!$AB$78&amp;" "&amp;Milestones!$AC$78&amp;";  ","")&amp;IF(AND(EDATE($D51,Milestones!$AA$79)&lt;=AsOfDate,IF($R51=0,$X51,IF(AND($T51&lt;&gt;"",EDATE($D51,Milestones!$AA$79)&gt;=$T51),$W51,IF(AND($S51&lt;&gt;"",EDATE($D51,Milestones!$AA$79)&gt;=$S51),$V51,$U51)))=Milestones!$AB$79),UPPER(TEXT(EDATE($D51,Milestones!$AA$79),"dd mmm yy"))&amp;" "&amp;Milestones!$AB$79&amp;" "&amp;Milestones!$AC$79&amp;";  ",""))</f>
        <v/>
      </c>
      <c r="L51" s="0" t="str">
        <f aca="false">IF(OR($A51="",$D51=""),"",IF(AND(EDATE($D51,Milestones!$AA$80)&lt;=AsOfDate,IF($R51=0,$X51,IF(AND($T51&lt;&gt;"",EDATE($D51,Milestones!$AA$80)&gt;=$T51),$W51,IF(AND($S51&lt;&gt;"",EDATE($D51,Milestones!$AA$80)&gt;=$S51),$V51,$U51)))=Milestones!$AB$80),UPPER(TEXT(EDATE($D51,Milestones!$AA$80),"dd mmm yy"))&amp;" "&amp;Milestones!$AB$80&amp;" "&amp;Milestones!$AC$80&amp;";  ","")&amp;IF(AND(EDATE($D51,Milestones!$AA$81)&lt;=AsOfDate,IF($R51=0,$X51,IF(AND($T51&lt;&gt;"",EDATE($D51,Milestones!$AA$81)&gt;=$T51),$W51,IF(AND($S51&lt;&gt;"",EDATE($D51,Milestones!$AA$81)&gt;=$S51),$V51,$U51)))=Milestones!$AB$81),UPPER(TEXT(EDATE($D51,Milestones!$AA$81),"dd mmm yy"))&amp;" "&amp;Milestones!$AB$81&amp;" "&amp;Milestones!$AC$81&amp;";  ","")&amp;IF(AND(EDATE($D51,Milestones!$AA$82)&lt;=AsOfDate,IF($R51=0,$X51,IF(AND($T51&lt;&gt;"",EDATE($D51,Milestones!$AA$82)&gt;=$T51),$W51,IF(AND($S51&lt;&gt;"",EDATE($D51,Milestones!$AA$82)&gt;=$S51),$V51,$U51)))=Milestones!$AB$82),UPPER(TEXT(EDATE($D51,Milestones!$AA$82),"dd mmm yy"))&amp;" "&amp;Milestones!$AB$82&amp;" "&amp;Milestones!$AC$82&amp;";  ","")&amp;IF(AND(EDATE($D51,Milestones!$AA$83)&lt;=AsOfDate,IF($R51=0,$X51,IF(AND($T51&lt;&gt;"",EDATE($D51,Milestones!$AA$83)&gt;=$T51),$W51,IF(AND($S51&lt;&gt;"",EDATE($D51,Milestones!$AA$83)&gt;=$S51),$V51,$U51)))=Milestones!$AB$83),UPPER(TEXT(EDATE($D51,Milestones!$AA$83),"dd mmm yy"))&amp;" "&amp;Milestones!$AB$83&amp;" "&amp;Milestones!$AC$83&amp;";  ","")&amp;IF(AND(EDATE($D51,Milestones!$AA$84)&lt;=AsOfDate,IF($R51=0,$X51,IF(AND($T51&lt;&gt;"",EDATE($D51,Milestones!$AA$84)&gt;=$T51),$W51,IF(AND($S51&lt;&gt;"",EDATE($D51,Milestones!$AA$84)&gt;=$S51),$V51,$U51)))=Milestones!$AB$84),UPPER(TEXT(EDATE($D51,Milestones!$AA$84),"dd mmm yy"))&amp;" "&amp;Milestones!$AB$84&amp;" "&amp;Milestones!$AC$84&amp;";  ","")&amp;IF(AND(EDATE($D51,Milestones!$AA$85)&lt;=AsOfDate,IF($R51=0,$X51,IF(AND($T51&lt;&gt;"",EDATE($D51,Milestones!$AA$85)&gt;=$T51),$W51,IF(AND($S51&lt;&gt;"",EDATE($D51,Milestones!$AA$85)&gt;=$S51),$V51,$U51)))=Milestones!$AB$85),UPPER(TEXT(EDATE($D51,Milestones!$AA$85),"dd mmm yy"))&amp;" "&amp;Milestones!$AB$85&amp;" "&amp;Milestones!$AC$85&amp;";  ","")&amp;IF(AND(EDATE($D51,Milestones!$AA$86)&lt;=AsOfDate,IF($R51=0,$X51,IF(AND($T51&lt;&gt;"",EDATE($D51,Milestones!$AA$86)&gt;=$T51),$W51,IF(AND($S51&lt;&gt;"",EDATE($D51,Milestones!$AA$86)&gt;=$S51),$V51,$U51)))=Milestones!$AB$86),UPPER(TEXT(EDATE($D51,Milestones!$AA$86),"dd mmm yy"))&amp;" "&amp;Milestones!$AB$86&amp;" "&amp;Milestones!$AC$86&amp;";  ","")&amp;IF(AND(EDATE($D51,Milestones!$AA$87)&lt;=AsOfDate,IF($R51=0,$X51,IF(AND($T51&lt;&gt;"",EDATE($D51,Milestones!$AA$87)&gt;=$T51),$W51,IF(AND($S51&lt;&gt;"",EDATE($D51,Milestones!$AA$87)&gt;=$S51),$V51,$U51)))=Milestones!$AB$87),UPPER(TEXT(EDATE($D51,Milestones!$AA$87),"dd mmm yy"))&amp;" "&amp;Milestones!$AB$87&amp;" "&amp;Milestones!$AC$87&amp;";  ","")&amp;IF(AND(EDATE($D51,Milestones!$AA$88)&lt;=AsOfDate,IF($R51=0,$X51,IF(AND($T51&lt;&gt;"",EDATE($D51,Milestones!$AA$88)&gt;=$T51),$W51,IF(AND($S51&lt;&gt;"",EDATE($D51,Milestones!$AA$88)&gt;=$S51),$V51,$U51)))=Milestones!$AB$88),UPPER(TEXT(EDATE($D51,Milestones!$AA$88),"dd mmm yy"))&amp;" "&amp;Milestones!$AB$88&amp;" "&amp;Milestones!$AC$88&amp;";  ","")&amp;IF(AND(EDATE($D51,Milestones!$AA$89)&lt;=AsOfDate,IF($R51=0,$X51,IF(AND($T51&lt;&gt;"",EDATE($D51,Milestones!$AA$89)&gt;=$T51),$W51,IF(AND($S51&lt;&gt;"",EDATE($D51,Milestones!$AA$89)&gt;=$S51),$V51,$U51)))=Milestones!$AB$89),UPPER(TEXT(EDATE($D51,Milestones!$AA$89),"dd mmm yy"))&amp;" "&amp;Milestones!$AB$89&amp;" "&amp;Milestones!$AC$89&amp;";  ","")&amp;IF(AND(EDATE($D51,Milestones!$AA$90)&lt;=AsOfDate,IF($R51=0,$X51,IF(AND($T51&lt;&gt;"",EDATE($D51,Milestones!$AA$90)&gt;=$T51),$W51,IF(AND($S51&lt;&gt;"",EDATE($D51,Milestones!$AA$90)&gt;=$S51),$V51,$U51)))=Milestones!$AB$90),UPPER(TEXT(EDATE($D51,Milestones!$AA$90),"dd mmm yy"))&amp;" "&amp;Milestones!$AB$90&amp;" "&amp;Milestones!$AC$90&amp;";  ","")&amp;IF(AND(EDATE($D51,Milestones!$AA$91)&lt;=AsOfDate,IF($R51=0,$X51,IF(AND($T51&lt;&gt;"",EDATE($D51,Milestones!$AA$91)&gt;=$T51),$W51,IF(AND($S51&lt;&gt;"",EDATE($D51,Milestones!$AA$91)&gt;=$S51),$V51,$U51)))=Milestones!$AB$91),UPPER(TEXT(EDATE($D51,Milestones!$AA$91),"dd mmm yy"))&amp;" "&amp;Milestones!$AB$91&amp;" "&amp;Milestones!$AC$91&amp;";  ","")&amp;IF(AND(EDATE($D51,Milestones!$AA$92)&lt;=AsOfDate,IF($R51=0,$X51,IF(AND($T51&lt;&gt;"",EDATE($D51,Milestones!$AA$92)&gt;=$T51),$W51,IF(AND($S51&lt;&gt;"",EDATE($D51,Milestones!$AA$92)&gt;=$S51),$V51,$U51)))=Milestones!$AB$92),UPPER(TEXT(EDATE($D51,Milestones!$AA$92),"dd mmm yy"))&amp;" "&amp;Milestones!$AB$92&amp;" "&amp;Milestones!$AC$92&amp;";  ","")&amp;IF(AND(EDATE($D51,Milestones!$AA$93)&lt;=AsOfDate,IF($R51=0,$X51,IF(AND($T51&lt;&gt;"",EDATE($D51,Milestones!$AA$93)&gt;=$T51),$W51,IF(AND($S51&lt;&gt;"",EDATE($D51,Milestones!$AA$93)&gt;=$S51),$V51,$U51)))=Milestones!$AB$93),UPPER(TEXT(EDATE($D51,Milestones!$AA$93),"dd mmm yy"))&amp;" "&amp;Milestones!$AB$93&amp;" "&amp;Milestones!$AC$93&amp;";  ","")&amp;IF(AND(EDATE($D51,Milestones!$AA$94)&lt;=AsOfDate,IF($R51=0,$X51,IF(AND($T51&lt;&gt;"",EDATE($D51,Milestones!$AA$94)&gt;=$T51),$W51,IF(AND($S51&lt;&gt;"",EDATE($D51,Milestones!$AA$94)&gt;=$S51),$V51,$U51)))=Milestones!$AB$94),UPPER(TEXT(EDATE($D51,Milestones!$AA$94),"dd mmm yy"))&amp;" "&amp;Milestones!$AB$94&amp;" "&amp;Milestones!$AC$94&amp;";  ","")&amp;IF(AND(EDATE($D51,Milestones!$AA$95)&lt;=AsOfDate,IF($R51=0,$X51,IF(AND($T51&lt;&gt;"",EDATE($D51,Milestones!$AA$95)&gt;=$T51),$W51,IF(AND($S51&lt;&gt;"",EDATE($D51,Milestones!$AA$95)&gt;=$S51),$V51,$U51)))=Milestones!$AB$95),UPPER(TEXT(EDATE($D51,Milestones!$AA$95),"dd mmm yy"))&amp;" "&amp;Milestones!$AB$95&amp;" "&amp;Milestones!$AC$95&amp;";  ","")&amp;IF(AND(EDATE($D51,Milestones!$AA$96)&lt;=AsOfDate,IF($R51=0,$X51,IF(AND($T51&lt;&gt;"",EDATE($D51,Milestones!$AA$96)&gt;=$T51),$W51,IF(AND($S51&lt;&gt;"",EDATE($D51,Milestones!$AA$96)&gt;=$S51),$V51,$U51)))=Milestones!$AB$96),UPPER(TEXT(EDATE($D51,Milestones!$AA$96),"dd mmm yy"))&amp;" "&amp;Milestones!$AB$96&amp;" "&amp;Milestones!$AC$96&amp;";  ","")&amp;IF(AND(EDATE($D51,Milestones!$AA$97)&lt;=AsOfDate,IF($R51=0,$X51,IF(AND($T51&lt;&gt;"",EDATE($D51,Milestones!$AA$97)&gt;=$T51),$W51,IF(AND($S51&lt;&gt;"",EDATE($D51,Milestones!$AA$97)&gt;=$S51),$V51,$U51)))=Milestones!$AB$97),UPPER(TEXT(EDATE($D51,Milestones!$AA$97),"dd mmm yy"))&amp;" "&amp;Milestones!$AB$97&amp;" "&amp;Milestones!$AC$97&amp;";  ","")&amp;IF(AND(EDATE($D51,Milestones!$AA$98)&lt;=AsOfDate,IF($R51=0,$X51,IF(AND($T51&lt;&gt;"",EDATE($D51,Milestones!$AA$98)&gt;=$T51),$W51,IF(AND($S51&lt;&gt;"",EDATE($D51,Milestones!$AA$98)&gt;=$S51),$V51,$U51)))=Milestones!$AB$98),UPPER(TEXT(EDATE($D51,Milestones!$AA$98),"dd mmm yy"))&amp;" "&amp;Milestones!$AB$98&amp;" "&amp;Milestones!$AC$98&amp;";  ","")&amp;IF(AND(EDATE($D51,Milestones!$AA$99)&lt;=AsOfDate,IF($R51=0,$X51,IF(AND($T51&lt;&gt;"",EDATE($D51,Milestones!$AA$99)&gt;=$T51),$W51,IF(AND($S51&lt;&gt;"",EDATE($D51,Milestones!$AA$99)&gt;=$S51),$V51,$U51)))=Milestones!$AB$99),UPPER(TEXT(EDATE($D51,Milestones!$AA$99),"dd mmm yy"))&amp;" "&amp;Milestones!$AB$99&amp;" "&amp;Milestones!$AC$99&amp;";  ",""))</f>
        <v/>
      </c>
      <c r="M51" s="0" t="str">
        <f aca="false">IF(OR($A51="",$D51=""),"",IF(AND(EDATE($D51,Milestones!$AA$100)&lt;=AsOfDate,IF($R51=0,$X51,IF(AND($T51&lt;&gt;"",EDATE($D51,Milestones!$AA$100)&gt;=$T51),$W51,IF(AND($S51&lt;&gt;"",EDATE($D51,Milestones!$AA$100)&gt;=$S51),$V51,$U51)))=Milestones!$AB$100),UPPER(TEXT(EDATE($D51,Milestones!$AA$100),"dd mmm yy"))&amp;" "&amp;Milestones!$AB$100&amp;" "&amp;Milestones!$AC$100&amp;";  ","")&amp;IF(AND(EDATE($D51,Milestones!$AA$101)&lt;=AsOfDate,IF($R51=0,$X51,IF(AND($T51&lt;&gt;"",EDATE($D51,Milestones!$AA$101)&gt;=$T51),$W51,IF(AND($S51&lt;&gt;"",EDATE($D51,Milestones!$AA$101)&gt;=$S51),$V51,$U51)))=Milestones!$AB$101),UPPER(TEXT(EDATE($D51,Milestones!$AA$101),"dd mmm yy"))&amp;" "&amp;Milestones!$AB$101&amp;" "&amp;Milestones!$AC$101&amp;";  ","")&amp;IF(AND(EDATE($D51,Milestones!$AA$102)&lt;=AsOfDate,IF($R51=0,$X51,IF(AND($T51&lt;&gt;"",EDATE($D51,Milestones!$AA$102)&gt;=$T51),$W51,IF(AND($S51&lt;&gt;"",EDATE($D51,Milestones!$AA$102)&gt;=$S51),$V51,$U51)))=Milestones!$AB$102),UPPER(TEXT(EDATE($D51,Milestones!$AA$102),"dd mmm yy"))&amp;" "&amp;Milestones!$AB$102&amp;" "&amp;Milestones!$AC$102&amp;";  ","")&amp;IF(AND(EDATE($D51,Milestones!$AA$103)&lt;=AsOfDate,IF($R51=0,$X51,IF(AND($T51&lt;&gt;"",EDATE($D51,Milestones!$AA$103)&gt;=$T51),$W51,IF(AND($S51&lt;&gt;"",EDATE($D51,Milestones!$AA$103)&gt;=$S51),$V51,$U51)))=Milestones!$AB$103),UPPER(TEXT(EDATE($D51,Milestones!$AA$103),"dd mmm yy"))&amp;" "&amp;Milestones!$AB$103&amp;" "&amp;Milestones!$AC$103&amp;";  ","")&amp;IF(AND(EDATE($D51,Milestones!$AA$104)&lt;=AsOfDate,IF($R51=0,$X51,IF(AND($T51&lt;&gt;"",EDATE($D51,Milestones!$AA$104)&gt;=$T51),$W51,IF(AND($S51&lt;&gt;"",EDATE($D51,Milestones!$AA$104)&gt;=$S51),$V51,$U51)))=Milestones!$AB$104),UPPER(TEXT(EDATE($D51,Milestones!$AA$104),"dd mmm yy"))&amp;" "&amp;Milestones!$AB$104&amp;" "&amp;Milestones!$AC$104&amp;";  ","")&amp;IF(AND(EDATE($D51,Milestones!$AA$105)&lt;=AsOfDate,IF($R51=0,$X51,IF(AND($T51&lt;&gt;"",EDATE($D51,Milestones!$AA$105)&gt;=$T51),$W51,IF(AND($S51&lt;&gt;"",EDATE($D51,Milestones!$AA$105)&gt;=$S51),$V51,$U51)))=Milestones!$AB$105),UPPER(TEXT(EDATE($D51,Milestones!$AA$105),"dd mmm yy"))&amp;" "&amp;Milestones!$AB$105&amp;" "&amp;Milestones!$AC$105&amp;";  ","")&amp;IF(AND(EDATE($D51,Milestones!$AA$106)&lt;=AsOfDate,IF($R51=0,$X51,IF(AND($T51&lt;&gt;"",EDATE($D51,Milestones!$AA$106)&gt;=$T51),$W51,IF(AND($S51&lt;&gt;"",EDATE($D51,Milestones!$AA$106)&gt;=$S51),$V51,$U51)))=Milestones!$AB$106),UPPER(TEXT(EDATE($D51,Milestones!$AA$106),"dd mmm yy"))&amp;" "&amp;Milestones!$AB$106&amp;" "&amp;Milestones!$AC$106&amp;";  ","")&amp;IF(AND(EDATE($D51,Milestones!$AA$107)&lt;=AsOfDate,IF($R51=0,$X51,IF(AND($T51&lt;&gt;"",EDATE($D51,Milestones!$AA$107)&gt;=$T51),$W51,IF(AND($S51&lt;&gt;"",EDATE($D51,Milestones!$AA$107)&gt;=$S51),$V51,$U51)))=Milestones!$AB$107),UPPER(TEXT(EDATE($D51,Milestones!$AA$107),"dd mmm yy"))&amp;" "&amp;Milestones!$AB$107&amp;" "&amp;Milestones!$AC$107&amp;";  ","")&amp;IF(AND(EDATE($D51,Milestones!$AA$108)&lt;=AsOfDate,IF($R51=0,$X51,IF(AND($T51&lt;&gt;"",EDATE($D51,Milestones!$AA$108)&gt;=$T51),$W51,IF(AND($S51&lt;&gt;"",EDATE($D51,Milestones!$AA$108)&gt;=$S51),$V51,$U51)))=Milestones!$AB$108),UPPER(TEXT(EDATE($D51,Milestones!$AA$108),"dd mmm yy"))&amp;" "&amp;Milestones!$AB$108&amp;" "&amp;Milestones!$AC$108&amp;";  ","")&amp;IF(AND(EDATE($D51,Milestones!$AA$109)&lt;=AsOfDate,IF($R51=0,$X51,IF(AND($T51&lt;&gt;"",EDATE($D51,Milestones!$AA$109)&gt;=$T51),$W51,IF(AND($S51&lt;&gt;"",EDATE($D51,Milestones!$AA$109)&gt;=$S51),$V51,$U51)))=Milestones!$AB$109),UPPER(TEXT(EDATE($D51,Milestones!$AA$109),"dd mmm yy"))&amp;" "&amp;Milestones!$AB$109&amp;" "&amp;Milestones!$AC$109&amp;";  ","")&amp;IF(AND(EDATE($D51,Milestones!$AA$110)&lt;=AsOfDate,IF($R51=0,$X51,IF(AND($T51&lt;&gt;"",EDATE($D51,Milestones!$AA$110)&gt;=$T51),$W51,IF(AND($S51&lt;&gt;"",EDATE($D51,Milestones!$AA$110)&gt;=$S51),$V51,$U51)))=Milestones!$AB$110),UPPER(TEXT(EDATE($D51,Milestones!$AA$110),"dd mmm yy"))&amp;" "&amp;Milestones!$AB$110&amp;" "&amp;Milestones!$AC$110&amp;";  ","")&amp;IF(AND(EDATE($D51,Milestones!$AA$111)&lt;=AsOfDate,IF($R51=0,$X51,IF(AND($T51&lt;&gt;"",EDATE($D51,Milestones!$AA$111)&gt;=$T51),$W51,IF(AND($S51&lt;&gt;"",EDATE($D51,Milestones!$AA$111)&gt;=$S51),$V51,$U51)))=Milestones!$AB$111),UPPER(TEXT(EDATE($D51,Milestones!$AA$111),"dd mmm yy"))&amp;" "&amp;Milestones!$AB$111&amp;" "&amp;Milestones!$AC$111&amp;";  ","")&amp;IF(AND(EDATE($D51,Milestones!$AA$112)&lt;=AsOfDate,IF($R51=0,$X51,IF(AND($T51&lt;&gt;"",EDATE($D51,Milestones!$AA$112)&gt;=$T51),$W51,IF(AND($S51&lt;&gt;"",EDATE($D51,Milestones!$AA$112)&gt;=$S51),$V51,$U51)))=Milestones!$AB$112),UPPER(TEXT(EDATE($D51,Milestones!$AA$112),"dd mmm yy"))&amp;" "&amp;Milestones!$AB$112&amp;" "&amp;Milestones!$AC$112&amp;";  ","")&amp;IF(AND(EDATE($D51,Milestones!$AA$113)&lt;=AsOfDate,IF($R51=0,$X51,IF(AND($T51&lt;&gt;"",EDATE($D51,Milestones!$AA$113)&gt;=$T51),$W51,IF(AND($S51&lt;&gt;"",EDATE($D51,Milestones!$AA$113)&gt;=$S51),$V51,$U51)))=Milestones!$AB$113),UPPER(TEXT(EDATE($D51,Milestones!$AA$113),"dd mmm yy"))&amp;" "&amp;Milestones!$AB$113&amp;" "&amp;Milestones!$AC$113&amp;";  ","")&amp;IF(AND(EDATE($D51,Milestones!$AA$114)&lt;=AsOfDate,IF($R51=0,$X51,IF(AND($T51&lt;&gt;"",EDATE($D51,Milestones!$AA$114)&gt;=$T51),$W51,IF(AND($S51&lt;&gt;"",EDATE($D51,Milestones!$AA$114)&gt;=$S51),$V51,$U51)))=Milestones!$AB$114),UPPER(TEXT(EDATE($D51,Milestones!$AA$114),"dd mmm yy"))&amp;" "&amp;Milestones!$AB$114&amp;" "&amp;Milestones!$AC$114&amp;";  ","")&amp;IF(AND(EDATE($D51,Milestones!$AA$115)&lt;=AsOfDate,IF($R51=0,$X51,IF(AND($T51&lt;&gt;"",EDATE($D51,Milestones!$AA$115)&gt;=$T51),$W51,IF(AND($S51&lt;&gt;"",EDATE($D51,Milestones!$AA$115)&gt;=$S51),$V51,$U51)))=Milestones!$AB$115),UPPER(TEXT(EDATE($D51,Milestones!$AA$115),"dd mmm yy"))&amp;" "&amp;Milestones!$AB$115&amp;" "&amp;Milestones!$AC$115&amp;";  ","")&amp;IF(AND(EDATE($D51,Milestones!$AA$116)&lt;=AsOfDate,IF($R51=0,$X51,IF(AND($T51&lt;&gt;"",EDATE($D51,Milestones!$AA$116)&gt;=$T51),$W51,IF(AND($S51&lt;&gt;"",EDATE($D51,Milestones!$AA$116)&gt;=$S51),$V51,$U51)))=Milestones!$AB$116),UPPER(TEXT(EDATE($D51,Milestones!$AA$116),"dd mmm yy"))&amp;" "&amp;Milestones!$AB$116&amp;" "&amp;Milestones!$AC$116&amp;";  ","")&amp;IF(AND(EDATE($D51,Milestones!$AA$117)&lt;=AsOfDate,IF($R51=0,$X51,IF(AND($T51&lt;&gt;"",EDATE($D51,Milestones!$AA$117)&gt;=$T51),$W51,IF(AND($S51&lt;&gt;"",EDATE($D51,Milestones!$AA$117)&gt;=$S51),$V51,$U51)))=Milestones!$AB$117),UPPER(TEXT(EDATE($D51,Milestones!$AA$117),"dd mmm yy"))&amp;" "&amp;Milestones!$AB$117&amp;" "&amp;Milestones!$AC$117&amp;";  ","")&amp;IF(AND(EDATE($D51,Milestones!$AA$118)&lt;=AsOfDate,IF($R51=0,$X51,IF(AND($T51&lt;&gt;"",EDATE($D51,Milestones!$AA$118)&gt;=$T51),$W51,IF(AND($S51&lt;&gt;"",EDATE($D51,Milestones!$AA$118)&gt;=$S51),$V51,$U51)))=Milestones!$AB$118),UPPER(TEXT(EDATE($D51,Milestones!$AA$118),"dd mmm yy"))&amp;" "&amp;Milestones!$AB$118&amp;" "&amp;Milestones!$AC$118&amp;";  ","")&amp;IF(AND(EDATE($D51,Milestones!$AA$119)&lt;=AsOfDate,IF($R51=0,$X51,IF(AND($T51&lt;&gt;"",EDATE($D51,Milestones!$AA$119)&gt;=$T51),$W51,IF(AND($S51&lt;&gt;"",EDATE($D51,Milestones!$AA$119)&gt;=$S51),$V51,$U51)))=Milestones!$AB$119),UPPER(TEXT(EDATE($D51,Milestones!$AA$119),"dd mmm yy"))&amp;" "&amp;Milestones!$AB$119&amp;" "&amp;Milestones!$AC$119&amp;";  ",""))</f>
        <v/>
      </c>
      <c r="N51" s="0" t="str">
        <f aca="false">IF(OR($A51="",$D51=""),"",IF(AND(EDATE($D51,Milestones!$AA$120)&lt;=AsOfDate,IF($R51=0,$X51,IF(AND($T51&lt;&gt;"",EDATE($D51,Milestones!$AA$120)&gt;=$T51),$W51,IF(AND($S51&lt;&gt;"",EDATE($D51,Milestones!$AA$120)&gt;=$S51),$V51,$U51)))=Milestones!$AB$120),UPPER(TEXT(EDATE($D51,Milestones!$AA$120),"dd mmm yy"))&amp;" "&amp;Milestones!$AB$120&amp;" "&amp;Milestones!$AC$120&amp;";  ","")&amp;IF(AND(EDATE($D51,Milestones!$AA$121)&lt;=AsOfDate,IF($R51=0,$X51,IF(AND($T51&lt;&gt;"",EDATE($D51,Milestones!$AA$121)&gt;=$T51),$W51,IF(AND($S51&lt;&gt;"",EDATE($D51,Milestones!$AA$121)&gt;=$S51),$V51,$U51)))=Milestones!$AB$121),UPPER(TEXT(EDATE($D51,Milestones!$AA$121),"dd mmm yy"))&amp;" "&amp;Milestones!$AB$121&amp;" "&amp;Milestones!$AC$121&amp;";  ","")&amp;IF(AND(EDATE($D51,Milestones!$AA$122)&lt;=AsOfDate,IF($R51=0,$X51,IF(AND($T51&lt;&gt;"",EDATE($D51,Milestones!$AA$122)&gt;=$T51),$W51,IF(AND($S51&lt;&gt;"",EDATE($D51,Milestones!$AA$122)&gt;=$S51),$V51,$U51)))=Milestones!$AB$122),UPPER(TEXT(EDATE($D51,Milestones!$AA$122),"dd mmm yy"))&amp;" "&amp;Milestones!$AB$122&amp;" "&amp;Milestones!$AC$122&amp;";  ","")&amp;IF(AND(EDATE($D51,Milestones!$AA$123)&lt;=AsOfDate,IF($R51=0,$X51,IF(AND($T51&lt;&gt;"",EDATE($D51,Milestones!$AA$123)&gt;=$T51),$W51,IF(AND($S51&lt;&gt;"",EDATE($D51,Milestones!$AA$123)&gt;=$S51),$V51,$U51)))=Milestones!$AB$123),UPPER(TEXT(EDATE($D51,Milestones!$AA$123),"dd mmm yy"))&amp;" "&amp;Milestones!$AB$123&amp;" "&amp;Milestones!$AC$123&amp;";  ","")&amp;IF(AND(EDATE($D51,Milestones!$AA$124)&lt;=AsOfDate,IF($R51=0,$X51,IF(AND($T51&lt;&gt;"",EDATE($D51,Milestones!$AA$124)&gt;=$T51),$W51,IF(AND($S51&lt;&gt;"",EDATE($D51,Milestones!$AA$124)&gt;=$S51),$V51,$U51)))=Milestones!$AB$124),UPPER(TEXT(EDATE($D51,Milestones!$AA$124),"dd mmm yy"))&amp;" "&amp;Milestones!$AB$124&amp;" "&amp;Milestones!$AC$124&amp;";  ","")&amp;IF(AND(EDATE($D51,Milestones!$AA$125)&lt;=AsOfDate,IF($R51=0,$X51,IF(AND($T51&lt;&gt;"",EDATE($D51,Milestones!$AA$125)&gt;=$T51),$W51,IF(AND($S51&lt;&gt;"",EDATE($D51,Milestones!$AA$125)&gt;=$S51),$V51,$U51)))=Milestones!$AB$125),UPPER(TEXT(EDATE($D51,Milestones!$AA$125),"dd mmm yy"))&amp;" "&amp;Milestones!$AB$125&amp;" "&amp;Milestones!$AC$125&amp;";  ","")&amp;IF(AND(EDATE($D51,Milestones!$AA$126)&lt;=AsOfDate,IF($R51=0,$X51,IF(AND($T51&lt;&gt;"",EDATE($D51,Milestones!$AA$126)&gt;=$T51),$W51,IF(AND($S51&lt;&gt;"",EDATE($D51,Milestones!$AA$126)&gt;=$S51),$V51,$U51)))=Milestones!$AB$126),UPPER(TEXT(EDATE($D51,Milestones!$AA$126),"dd mmm yy"))&amp;" "&amp;Milestones!$AB$126&amp;" "&amp;Milestones!$AC$126&amp;";  ","")&amp;IF(AND(EDATE($D51,Milestones!$AA$127)&lt;=AsOfDate,IF($R51=0,$X51,IF(AND($T51&lt;&gt;"",EDATE($D51,Milestones!$AA$127)&gt;=$T51),$W51,IF(AND($S51&lt;&gt;"",EDATE($D51,Milestones!$AA$127)&gt;=$S51),$V51,$U51)))=Milestones!$AB$127),UPPER(TEXT(EDATE($D51,Milestones!$AA$127),"dd mmm yy"))&amp;" "&amp;Milestones!$AB$127&amp;" "&amp;Milestones!$AC$127&amp;";  ","")&amp;IF(AND(EDATE($D51,Milestones!$AA$128)&lt;=AsOfDate,IF($R51=0,$X51,IF(AND($T51&lt;&gt;"",EDATE($D51,Milestones!$AA$128)&gt;=$T51),$W51,IF(AND($S51&lt;&gt;"",EDATE($D51,Milestones!$AA$128)&gt;=$S51),$V51,$U51)))=Milestones!$AB$128),UPPER(TEXT(EDATE($D51,Milestones!$AA$128),"dd mmm yy"))&amp;" "&amp;Milestones!$AB$128&amp;" "&amp;Milestones!$AC$128&amp;";  ","")&amp;IF(AND(EDATE($D51,Milestones!$AA$129)&lt;=AsOfDate,IF($R51=0,$X51,IF(AND($T51&lt;&gt;"",EDATE($D51,Milestones!$AA$129)&gt;=$T51),$W51,IF(AND($S51&lt;&gt;"",EDATE($D51,Milestones!$AA$129)&gt;=$S51),$V51,$U51)))=Milestones!$AB$129),UPPER(TEXT(EDATE($D51,Milestones!$AA$129),"dd mmm yy"))&amp;" "&amp;Milestones!$AB$129&amp;" "&amp;Milestones!$AC$129&amp;";  ","")&amp;IF(AND(EDATE($D51,Milestones!$AA$130)&lt;=AsOfDate,IF($R51=0,$X51,IF(AND($T51&lt;&gt;"",EDATE($D51,Milestones!$AA$130)&gt;=$T51),$W51,IF(AND($S51&lt;&gt;"",EDATE($D51,Milestones!$AA$130)&gt;=$S51),$V51,$U51)))=Milestones!$AB$130),UPPER(TEXT(EDATE($D51,Milestones!$AA$130),"dd mmm yy"))&amp;" "&amp;Milestones!$AB$130&amp;" "&amp;Milestones!$AC$130&amp;";  ","")&amp;IF(AND(EDATE($D51,Milestones!$AA$131)&lt;=AsOfDate,IF($R51=0,$X51,IF(AND($T51&lt;&gt;"",EDATE($D51,Milestones!$AA$131)&gt;=$T51),$W51,IF(AND($S51&lt;&gt;"",EDATE($D51,Milestones!$AA$131)&gt;=$S51),$V51,$U51)))=Milestones!$AB$131),UPPER(TEXT(EDATE($D51,Milestones!$AA$131),"dd mmm yy"))&amp;" "&amp;Milestones!$AB$131&amp;" "&amp;Milestones!$AC$131&amp;";  ","")&amp;IF(AND(EDATE($D51,Milestones!$AA$132)&lt;=AsOfDate,IF($R51=0,$X51,IF(AND($T51&lt;&gt;"",EDATE($D51,Milestones!$AA$132)&gt;=$T51),$W51,IF(AND($S51&lt;&gt;"",EDATE($D51,Milestones!$AA$132)&gt;=$S51),$V51,$U51)))=Milestones!$AB$132),UPPER(TEXT(EDATE($D51,Milestones!$AA$132),"dd mmm yy"))&amp;" "&amp;Milestones!$AB$132&amp;" "&amp;Milestones!$AC$132&amp;";  ","")&amp;IF(AND(EDATE($D51,Milestones!$AA$133)&lt;=AsOfDate,IF($R51=0,$X51,IF(AND($T51&lt;&gt;"",EDATE($D51,Milestones!$AA$133)&gt;=$T51),$W51,IF(AND($S51&lt;&gt;"",EDATE($D51,Milestones!$AA$133)&gt;=$S51),$V51,$U51)))=Milestones!$AB$133),UPPER(TEXT(EDATE($D51,Milestones!$AA$133),"dd mmm yy"))&amp;" "&amp;Milestones!$AB$133&amp;" "&amp;Milestones!$AC$133&amp;";  ","")&amp;IF(AND(EDATE($D51,Milestones!$AA$134)&lt;=AsOfDate,IF($R51=0,$X51,IF(AND($T51&lt;&gt;"",EDATE($D51,Milestones!$AA$134)&gt;=$T51),$W51,IF(AND($S51&lt;&gt;"",EDATE($D51,Milestones!$AA$134)&gt;=$S51),$V51,$U51)))=Milestones!$AB$134),UPPER(TEXT(EDATE($D51,Milestones!$AA$134),"dd mmm yy"))&amp;" "&amp;Milestones!$AB$134&amp;" "&amp;Milestones!$AC$134&amp;";  ","")&amp;IF(AND(EDATE($D51,Milestones!$AA$135)&lt;=AsOfDate,IF($R51=0,$X51,IF(AND($T51&lt;&gt;"",EDATE($D51,Milestones!$AA$135)&gt;=$T51),$W51,IF(AND($S51&lt;&gt;"",EDATE($D51,Milestones!$AA$135)&gt;=$S51),$V51,$U51)))=Milestones!$AB$135),UPPER(TEXT(EDATE($D51,Milestones!$AA$135),"dd mmm yy"))&amp;" "&amp;Milestones!$AB$135&amp;" "&amp;Milestones!$AC$135&amp;";  ","")&amp;IF(AND(EDATE($D51,Milestones!$AA$136)&lt;=AsOfDate,IF($R51=0,$X51,IF(AND($T51&lt;&gt;"",EDATE($D51,Milestones!$AA$136)&gt;=$T51),$W51,IF(AND($S51&lt;&gt;"",EDATE($D51,Milestones!$AA$136)&gt;=$S51),$V51,$U51)))=Milestones!$AB$136),UPPER(TEXT(EDATE($D51,Milestones!$AA$136),"dd mmm yy"))&amp;" "&amp;Milestones!$AB$136&amp;" "&amp;Milestones!$AC$136&amp;";  ","")&amp;IF(AND(EDATE($D51,Milestones!$AA$137)&lt;=AsOfDate,IF($R51=0,$X51,IF(AND($T51&lt;&gt;"",EDATE($D51,Milestones!$AA$137)&gt;=$T51),$W51,IF(AND($S51&lt;&gt;"",EDATE($D51,Milestones!$AA$137)&gt;=$S51),$V51,$U51)))=Milestones!$AB$137),UPPER(TEXT(EDATE($D51,Milestones!$AA$137),"dd mmm yy"))&amp;" "&amp;Milestones!$AB$137&amp;" "&amp;Milestones!$AC$137&amp;";  ","")&amp;IF(AND(EDATE($D51,Milestones!$AA$138)&lt;=AsOfDate,IF($R51=0,$X51,IF(AND($T51&lt;&gt;"",EDATE($D51,Milestones!$AA$138)&gt;=$T51),$W51,IF(AND($S51&lt;&gt;"",EDATE($D51,Milestones!$AA$138)&gt;=$S51),$V51,$U51)))=Milestones!$AB$138),UPPER(TEXT(EDATE($D51,Milestones!$AA$138),"dd mmm yy"))&amp;" "&amp;Milestones!$AB$138&amp;" "&amp;Milestones!$AC$138&amp;";  ","")&amp;IF(AND(EDATE($D51,Milestones!$AA$139)&lt;=AsOfDate,IF($R51=0,$X51,IF(AND($T51&lt;&gt;"",EDATE($D51,Milestones!$AA$139)&gt;=$T51),$W51,IF(AND($S51&lt;&gt;"",EDATE($D51,Milestones!$AA$139)&gt;=$S51),$V51,$U51)))=Milestones!$AB$139),UPPER(TEXT(EDATE($D51,Milestones!$AA$139),"dd mmm yy"))&amp;" "&amp;Milestones!$AB$139&amp;" "&amp;Milestones!$AC$139&amp;";  ",""))</f>
        <v/>
      </c>
      <c r="O51" s="0" t="str">
        <f aca="false">IF(OR($A51="",$D51=""),"",IF(AND(EDATE($D51,Milestones!$AA$140)&lt;=AsOfDate,IF($R51=0,$X51,IF(AND($T51&lt;&gt;"",EDATE($D51,Milestones!$AA$140)&gt;=$T51),$W51,IF(AND($S51&lt;&gt;"",EDATE($D51,Milestones!$AA$140)&gt;=$S51),$V51,$U51)))=Milestones!$AB$140),UPPER(TEXT(EDATE($D51,Milestones!$AA$140),"dd mmm yy"))&amp;" "&amp;Milestones!$AB$140&amp;" "&amp;Milestones!$AC$140&amp;";  ","")&amp;IF(AND(EDATE($D51,Milestones!$AA$141)&lt;=AsOfDate,IF($R51=0,$X51,IF(AND($T51&lt;&gt;"",EDATE($D51,Milestones!$AA$141)&gt;=$T51),$W51,IF(AND($S51&lt;&gt;"",EDATE($D51,Milestones!$AA$141)&gt;=$S51),$V51,$U51)))=Milestones!$AB$141),UPPER(TEXT(EDATE($D51,Milestones!$AA$141),"dd mmm yy"))&amp;" "&amp;Milestones!$AB$141&amp;" "&amp;Milestones!$AC$141&amp;";  ","")&amp;IF(AND(EDATE($D51,Milestones!$AA$142)&lt;=AsOfDate,IF($R51=0,$X51,IF(AND($T51&lt;&gt;"",EDATE($D51,Milestones!$AA$142)&gt;=$T51),$W51,IF(AND($S51&lt;&gt;"",EDATE($D51,Milestones!$AA$142)&gt;=$S51),$V51,$U51)))=Milestones!$AB$142),UPPER(TEXT(EDATE($D51,Milestones!$AA$142),"dd mmm yy"))&amp;" "&amp;Milestones!$AB$142&amp;" "&amp;Milestones!$AC$142&amp;";  ","")&amp;IF(AND(EDATE($D51,Milestones!$AA$143)&lt;=AsOfDate,IF($R51=0,$X51,IF(AND($T51&lt;&gt;"",EDATE($D51,Milestones!$AA$143)&gt;=$T51),$W51,IF(AND($S51&lt;&gt;"",EDATE($D51,Milestones!$AA$143)&gt;=$S51),$V51,$U51)))=Milestones!$AB$143),UPPER(TEXT(EDATE($D51,Milestones!$AA$143),"dd mmm yy"))&amp;" "&amp;Milestones!$AB$143&amp;" "&amp;Milestones!$AC$143&amp;";  ","")&amp;IF(AND(EDATE($D51,Milestones!$AA$144)&lt;=AsOfDate,IF($R51=0,$X51,IF(AND($T51&lt;&gt;"",EDATE($D51,Milestones!$AA$144)&gt;=$T51),$W51,IF(AND($S51&lt;&gt;"",EDATE($D51,Milestones!$AA$144)&gt;=$S51),$V51,$U51)))=Milestones!$AB$144),UPPER(TEXT(EDATE($D51,Milestones!$AA$144),"dd mmm yy"))&amp;" "&amp;Milestones!$AB$144&amp;" "&amp;Milestones!$AC$144&amp;";  ","")&amp;IF(AND(EDATE($D51,Milestones!$AA$145)&lt;=AsOfDate,IF($R51=0,$X51,IF(AND($T51&lt;&gt;"",EDATE($D51,Milestones!$AA$145)&gt;=$T51),$W51,IF(AND($S51&lt;&gt;"",EDATE($D51,Milestones!$AA$145)&gt;=$S51),$V51,$U51)))=Milestones!$AB$145),UPPER(TEXT(EDATE($D51,Milestones!$AA$145),"dd mmm yy"))&amp;" "&amp;Milestones!$AB$145&amp;" "&amp;Milestones!$AC$145&amp;";  ","")&amp;IF(AND(EDATE($D51,Milestones!$AA$146)&lt;=AsOfDate,IF($R51=0,$X51,IF(AND($T51&lt;&gt;"",EDATE($D51,Milestones!$AA$146)&gt;=$T51),$W51,IF(AND($S51&lt;&gt;"",EDATE($D51,Milestones!$AA$146)&gt;=$S51),$V51,$U51)))=Milestones!$AB$146),UPPER(TEXT(EDATE($D51,Milestones!$AA$146),"dd mmm yy"))&amp;" "&amp;Milestones!$AB$146&amp;" "&amp;Milestones!$AC$146&amp;";  ","")&amp;IF(AND(EDATE($D51,Milestones!$AA$147)&lt;=AsOfDate,IF($R51=0,$X51,IF(AND($T51&lt;&gt;"",EDATE($D51,Milestones!$AA$147)&gt;=$T51),$W51,IF(AND($S51&lt;&gt;"",EDATE($D51,Milestones!$AA$147)&gt;=$S51),$V51,$U51)))=Milestones!$AB$147),UPPER(TEXT(EDATE($D51,Milestones!$AA$147),"dd mmm yy"))&amp;" "&amp;Milestones!$AB$147&amp;" "&amp;Milestones!$AC$147&amp;";  ","")&amp;IF(AND(EDATE($D51,Milestones!$AA$148)&lt;=AsOfDate,IF($R51=0,$X51,IF(AND($T51&lt;&gt;"",EDATE($D51,Milestones!$AA$148)&gt;=$T51),$W51,IF(AND($S51&lt;&gt;"",EDATE($D51,Milestones!$AA$148)&gt;=$S51),$V51,$U51)))=Milestones!$AB$148),UPPER(TEXT(EDATE($D51,Milestones!$AA$148),"dd mmm yy"))&amp;" "&amp;Milestones!$AB$148&amp;" "&amp;Milestones!$AC$148&amp;";  ","")&amp;IF(AND(EDATE($D51,Milestones!$AA$149)&lt;=AsOfDate,IF($R51=0,$X51,IF(AND($T51&lt;&gt;"",EDATE($D51,Milestones!$AA$149)&gt;=$T51),$W51,IF(AND($S51&lt;&gt;"",EDATE($D51,Milestones!$AA$149)&gt;=$S51),$V51,$U51)))=Milestones!$AB$149),UPPER(TEXT(EDATE($D51,Milestones!$AA$149),"dd mmm yy"))&amp;" "&amp;Milestones!$AB$149&amp;" "&amp;Milestones!$AC$149&amp;";  ","")&amp;IF(AND(EDATE($D51,Milestones!$AA$150)&lt;=AsOfDate,IF($R51=0,$X51,IF(AND($T51&lt;&gt;"",EDATE($D51,Milestones!$AA$150)&gt;=$T51),$W51,IF(AND($S51&lt;&gt;"",EDATE($D51,Milestones!$AA$150)&gt;=$S51),$V51,$U51)))=Milestones!$AB$150),UPPER(TEXT(EDATE($D51,Milestones!$AA$150),"dd mmm yy"))&amp;" "&amp;Milestones!$AB$150&amp;" "&amp;Milestones!$AC$150&amp;";  ","")&amp;IF(AND(EDATE($D51,Milestones!$AA$151)&lt;=AsOfDate,IF($R51=0,$X51,IF(AND($T51&lt;&gt;"",EDATE($D51,Milestones!$AA$151)&gt;=$T51),$W51,IF(AND($S51&lt;&gt;"",EDATE($D51,Milestones!$AA$151)&gt;=$S51),$V51,$U51)))=Milestones!$AB$151),UPPER(TEXT(EDATE($D51,Milestones!$AA$151),"dd mmm yy"))&amp;" "&amp;Milestones!$AB$151&amp;" "&amp;Milestones!$AC$151&amp;";  ","")&amp;IF(AND(EDATE($D51,Milestones!$AA$152)&lt;=AsOfDate,IF($R51=0,$X51,IF(AND($T51&lt;&gt;"",EDATE($D51,Milestones!$AA$152)&gt;=$T51),$W51,IF(AND($S51&lt;&gt;"",EDATE($D51,Milestones!$AA$152)&gt;=$S51),$V51,$U51)))=Milestones!$AB$152),UPPER(TEXT(EDATE($D51,Milestones!$AA$152),"dd mmm yy"))&amp;" "&amp;Milestones!$AB$152&amp;" "&amp;Milestones!$AC$152&amp;";  ","")&amp;IF(AND(EDATE($D51,Milestones!$AA$153)&lt;=AsOfDate,IF($R51=0,$X51,IF(AND($T51&lt;&gt;"",EDATE($D51,Milestones!$AA$153)&gt;=$T51),$W51,IF(AND($S51&lt;&gt;"",EDATE($D51,Milestones!$AA$153)&gt;=$S51),$V51,$U51)))=Milestones!$AB$153),UPPER(TEXT(EDATE($D51,Milestones!$AA$153),"dd mmm yy"))&amp;" "&amp;Milestones!$AB$153&amp;" "&amp;Milestones!$AC$153&amp;";  ","")&amp;IF(AND(EDATE($D51,Milestones!$AA$154)&lt;=AsOfDate,IF($R51=0,$X51,IF(AND($T51&lt;&gt;"",EDATE($D51,Milestones!$AA$154)&gt;=$T51),$W51,IF(AND($S51&lt;&gt;"",EDATE($D51,Milestones!$AA$154)&gt;=$S51),$V51,$U51)))=Milestones!$AB$154),UPPER(TEXT(EDATE($D51,Milestones!$AA$154),"dd mmm yy"))&amp;" "&amp;Milestones!$AB$154&amp;" "&amp;Milestones!$AC$154&amp;";  ","")&amp;IF(AND(EDATE($D51,Milestones!$AA$155)&lt;=AsOfDate,IF($R51=0,$X51,IF(AND($T51&lt;&gt;"",EDATE($D51,Milestones!$AA$155)&gt;=$T51),$W51,IF(AND($S51&lt;&gt;"",EDATE($D51,Milestones!$AA$155)&gt;=$S51),$V51,$U51)))=Milestones!$AB$155),UPPER(TEXT(EDATE($D51,Milestones!$AA$155),"dd mmm yy"))&amp;" "&amp;Milestones!$AB$155&amp;" "&amp;Milestones!$AC$155&amp;";  ","")&amp;IF(AND(EDATE($D51,Milestones!$AA$156)&lt;=AsOfDate,IF($R51=0,$X51,IF(AND($T51&lt;&gt;"",EDATE($D51,Milestones!$AA$156)&gt;=$T51),$W51,IF(AND($S51&lt;&gt;"",EDATE($D51,Milestones!$AA$156)&gt;=$S51),$V51,$U51)))=Milestones!$AB$156),UPPER(TEXT(EDATE($D51,Milestones!$AA$156),"dd mmm yy"))&amp;" "&amp;Milestones!$AB$156&amp;" "&amp;Milestones!$AC$156&amp;";  ","")&amp;IF(AND(EDATE($D51,Milestones!$AA$157)&lt;=AsOfDate,IF($R51=0,$X51,IF(AND($T51&lt;&gt;"",EDATE($D51,Milestones!$AA$157)&gt;=$T51),$W51,IF(AND($S51&lt;&gt;"",EDATE($D51,Milestones!$AA$157)&gt;=$S51),$V51,$U51)))=Milestones!$AB$157),UPPER(TEXT(EDATE($D51,Milestones!$AA$157),"dd mmm yy"))&amp;" "&amp;Milestones!$AB$157&amp;" "&amp;Milestones!$AC$157&amp;";  ","")&amp;IF(AND(EDATE($D51,Milestones!$AA$158)&lt;=AsOfDate,IF($R51=0,$X51,IF(AND($T51&lt;&gt;"",EDATE($D51,Milestones!$AA$158)&gt;=$T51),$W51,IF(AND($S51&lt;&gt;"",EDATE($D51,Milestones!$AA$158)&gt;=$S51),$V51,$U51)))=Milestones!$AB$158),UPPER(TEXT(EDATE($D51,Milestones!$AA$158),"dd mmm yy"))&amp;" "&amp;Milestones!$AB$158&amp;" "&amp;Milestones!$AC$158&amp;";  ","")&amp;IF(AND(EDATE($D51,Milestones!$AA$159)&lt;=AsOfDate,IF($R51=0,$X51,IF(AND($T51&lt;&gt;"",EDATE($D51,Milestones!$AA$159)&gt;=$T51),$W51,IF(AND($S51&lt;&gt;"",EDATE($D51,Milestones!$AA$159)&gt;=$S51),$V51,$U51)))=Milestones!$AB$159),UPPER(TEXT(EDATE($D51,Milestones!$AA$159),"dd mmm yy"))&amp;" "&amp;Milestones!$AB$159&amp;" "&amp;Milestones!$AC$159&amp;";  ",""))</f>
        <v/>
      </c>
      <c r="P51" s="0" t="str">
        <f aca="false">IF(OR($A51="",$D51=""),"",IF(AND(EDATE($D51,Milestones!$AA$160)&lt;=AsOfDate,IF($R51=0,$X51,IF(AND($T51&lt;&gt;"",EDATE($D51,Milestones!$AA$160)&gt;=$T51),$W51,IF(AND($S51&lt;&gt;"",EDATE($D51,Milestones!$AA$160)&gt;=$S51),$V51,$U51)))=Milestones!$AB$160),UPPER(TEXT(EDATE($D51,Milestones!$AA$160),"dd mmm yy"))&amp;" "&amp;Milestones!$AB$160&amp;" "&amp;Milestones!$AC$160&amp;";  ","")&amp;IF(AND(EDATE($D51,Milestones!$AA$161)&lt;=AsOfDate,IF($R51=0,$X51,IF(AND($T51&lt;&gt;"",EDATE($D51,Milestones!$AA$161)&gt;=$T51),$W51,IF(AND($S51&lt;&gt;"",EDATE($D51,Milestones!$AA$161)&gt;=$S51),$V51,$U51)))=Milestones!$AB$161),UPPER(TEXT(EDATE($D51,Milestones!$AA$161),"dd mmm yy"))&amp;" "&amp;Milestones!$AB$161&amp;" "&amp;Milestones!$AC$161&amp;";  ","")&amp;IF(AND(EDATE($D51,Milestones!$AA$162)&lt;=AsOfDate,IF($R51=0,$X51,IF(AND($T51&lt;&gt;"",EDATE($D51,Milestones!$AA$162)&gt;=$T51),$W51,IF(AND($S51&lt;&gt;"",EDATE($D51,Milestones!$AA$162)&gt;=$S51),$V51,$U51)))=Milestones!$AB$162),UPPER(TEXT(EDATE($D51,Milestones!$AA$162),"dd mmm yy"))&amp;" "&amp;Milestones!$AB$162&amp;" "&amp;Milestones!$AC$162&amp;";  ","")&amp;IF(AND(EDATE($D51,Milestones!$AA$163)&lt;=AsOfDate,IF($R51=0,$X51,IF(AND($T51&lt;&gt;"",EDATE($D51,Milestones!$AA$163)&gt;=$T51),$W51,IF(AND($S51&lt;&gt;"",EDATE($D51,Milestones!$AA$163)&gt;=$S51),$V51,$U51)))=Milestones!$AB$163),UPPER(TEXT(EDATE($D51,Milestones!$AA$163),"dd mmm yy"))&amp;" "&amp;Milestones!$AB$163&amp;" "&amp;Milestones!$AC$163&amp;";  ","")&amp;IF(AND(EDATE($D51,Milestones!$AA$164)&lt;=AsOfDate,IF($R51=0,$X51,IF(AND($T51&lt;&gt;"",EDATE($D51,Milestones!$AA$164)&gt;=$T51),$W51,IF(AND($S51&lt;&gt;"",EDATE($D51,Milestones!$AA$164)&gt;=$S51),$V51,$U51)))=Milestones!$AB$164),UPPER(TEXT(EDATE($D51,Milestones!$AA$164),"dd mmm yy"))&amp;" "&amp;Milestones!$AB$164&amp;" "&amp;Milestones!$AC$164&amp;";  ","")&amp;IF(AND(EDATE($D51,Milestones!$AA$165)&lt;=AsOfDate,IF($R51=0,$X51,IF(AND($T51&lt;&gt;"",EDATE($D51,Milestones!$AA$165)&gt;=$T51),$W51,IF(AND($S51&lt;&gt;"",EDATE($D51,Milestones!$AA$165)&gt;=$S51),$V51,$U51)))=Milestones!$AB$165),UPPER(TEXT(EDATE($D51,Milestones!$AA$165),"dd mmm yy"))&amp;" "&amp;Milestones!$AB$165&amp;" "&amp;Milestones!$AC$165&amp;";  ","")&amp;IF(AND(EDATE($D51,Milestones!$AA$166)&lt;=AsOfDate,IF($R51=0,$X51,IF(AND($T51&lt;&gt;"",EDATE($D51,Milestones!$AA$166)&gt;=$T51),$W51,IF(AND($S51&lt;&gt;"",EDATE($D51,Milestones!$AA$166)&gt;=$S51),$V51,$U51)))=Milestones!$AB$166),UPPER(TEXT(EDATE($D51,Milestones!$AA$166),"dd mmm yy"))&amp;" "&amp;Milestones!$AB$166&amp;" "&amp;Milestones!$AC$166&amp;";  ","")&amp;IF(AND(EDATE($D51,Milestones!$AA$167)&lt;=AsOfDate,IF($R51=0,$X51,IF(AND($T51&lt;&gt;"",EDATE($D51,Milestones!$AA$167)&gt;=$T51),$W51,IF(AND($S51&lt;&gt;"",EDATE($D51,Milestones!$AA$167)&gt;=$S51),$V51,$U51)))=Milestones!$AB$167),UPPER(TEXT(EDATE($D51,Milestones!$AA$167),"dd mmm yy"))&amp;" "&amp;Milestones!$AB$167&amp;" "&amp;Milestones!$AC$167&amp;";  ","")&amp;IF(AND(EDATE($D51,Milestones!$AA$168)&lt;=AsOfDate,IF($R51=0,$X51,IF(AND($T51&lt;&gt;"",EDATE($D51,Milestones!$AA$168)&gt;=$T51),$W51,IF(AND($S51&lt;&gt;"",EDATE($D51,Milestones!$AA$168)&gt;=$S51),$V51,$U51)))=Milestones!$AB$168),UPPER(TEXT(EDATE($D51,Milestones!$AA$168),"dd mmm yy"))&amp;" "&amp;Milestones!$AB$168&amp;" "&amp;Milestones!$AC$168&amp;";  ","")&amp;IF(AND(EDATE($D51,Milestones!$AA$169)&lt;=AsOfDate,IF($R51=0,$X51,IF(AND($T51&lt;&gt;"",EDATE($D51,Milestones!$AA$169)&gt;=$T51),$W51,IF(AND($S51&lt;&gt;"",EDATE($D51,Milestones!$AA$169)&gt;=$S51),$V51,$U51)))=Milestones!$AB$169),UPPER(TEXT(EDATE($D51,Milestones!$AA$169),"dd mmm yy"))&amp;" "&amp;Milestones!$AB$169&amp;" "&amp;Milestones!$AC$169&amp;";  ","")&amp;IF(AND(EDATE($D51,Milestones!$AA$170)&lt;=AsOfDate,IF($R51=0,$X51,IF(AND($T51&lt;&gt;"",EDATE($D51,Milestones!$AA$170)&gt;=$T51),$W51,IF(AND($S51&lt;&gt;"",EDATE($D51,Milestones!$AA$170)&gt;=$S51),$V51,$U51)))=Milestones!$AB$170),UPPER(TEXT(EDATE($D51,Milestones!$AA$170),"dd mmm yy"))&amp;" "&amp;Milestones!$AB$170&amp;" "&amp;Milestones!$AC$170&amp;";  ","")&amp;IF(AND(EDATE($D51,Milestones!$AA$171)&lt;=AsOfDate,IF($R51=0,$X51,IF(AND($T51&lt;&gt;"",EDATE($D51,Milestones!$AA$171)&gt;=$T51),$W51,IF(AND($S51&lt;&gt;"",EDATE($D51,Milestones!$AA$171)&gt;=$S51),$V51,$U51)))=Milestones!$AB$171),UPPER(TEXT(EDATE($D51,Milestones!$AA$171),"dd mmm yy"))&amp;" "&amp;Milestones!$AB$171&amp;" "&amp;Milestones!$AC$171&amp;";  ","")&amp;IF(AND(EDATE($D51,Milestones!$AA$172)&lt;=AsOfDate,IF($R51=0,$X51,IF(AND($T51&lt;&gt;"",EDATE($D51,Milestones!$AA$172)&gt;=$T51),$W51,IF(AND($S51&lt;&gt;"",EDATE($D51,Milestones!$AA$172)&gt;=$S51),$V51,$U51)))=Milestones!$AB$172),UPPER(TEXT(EDATE($D51,Milestones!$AA$172),"dd mmm yy"))&amp;" "&amp;Milestones!$AB$172&amp;" "&amp;Milestones!$AC$172&amp;";  ","")&amp;IF(AND(EDATE($D51,Milestones!$AA$173)&lt;=AsOfDate,IF($R51=0,$X51,IF(AND($T51&lt;&gt;"",EDATE($D51,Milestones!$AA$173)&gt;=$T51),$W51,IF(AND($S51&lt;&gt;"",EDATE($D51,Milestones!$AA$173)&gt;=$S51),$V51,$U51)))=Milestones!$AB$173),UPPER(TEXT(EDATE($D51,Milestones!$AA$173),"dd mmm yy"))&amp;" "&amp;Milestones!$AB$173&amp;" "&amp;Milestones!$AC$173&amp;";  ","")&amp;IF(AND(EDATE($D51,Milestones!$AA$174)&lt;=AsOfDate,IF($R51=0,$X51,IF(AND($T51&lt;&gt;"",EDATE($D51,Milestones!$AA$174)&gt;=$T51),$W51,IF(AND($S51&lt;&gt;"",EDATE($D51,Milestones!$AA$174)&gt;=$S51),$V51,$U51)))=Milestones!$AB$174),UPPER(TEXT(EDATE($D51,Milestones!$AA$174),"dd mmm yy"))&amp;" "&amp;Milestones!$AB$174&amp;" "&amp;Milestones!$AC$174&amp;";  ","")&amp;IF(AND(EDATE($D51,Milestones!$AA$175)&lt;=AsOfDate,IF($R51=0,$X51,IF(AND($T51&lt;&gt;"",EDATE($D51,Milestones!$AA$175)&gt;=$T51),$W51,IF(AND($S51&lt;&gt;"",EDATE($D51,Milestones!$AA$175)&gt;=$S51),$V51,$U51)))=Milestones!$AB$175),UPPER(TEXT(EDATE($D51,Milestones!$AA$175),"dd mmm yy"))&amp;" "&amp;Milestones!$AB$175&amp;" "&amp;Milestones!$AC$175&amp;";  ","")&amp;IF(AND(EDATE($D51,Milestones!$AA$176)&lt;=AsOfDate,IF($R51=0,$X51,IF(AND($T51&lt;&gt;"",EDATE($D51,Milestones!$AA$176)&gt;=$T51),$W51,IF(AND($S51&lt;&gt;"",EDATE($D51,Milestones!$AA$176)&gt;=$S51),$V51,$U51)))=Milestones!$AB$176),UPPER(TEXT(EDATE($D51,Milestones!$AA$176),"dd mmm yy"))&amp;" "&amp;Milestones!$AB$176&amp;" "&amp;Milestones!$AC$176&amp;";  ","")&amp;IF(AND(EDATE($D51,Milestones!$AA$177)&lt;=AsOfDate,IF($R51=0,$X51,IF(AND($T51&lt;&gt;"",EDATE($D51,Milestones!$AA$177)&gt;=$T51),$W51,IF(AND($S51&lt;&gt;"",EDATE($D51,Milestones!$AA$177)&gt;=$S51),$V51,$U51)))=Milestones!$AB$177),UPPER(TEXT(EDATE($D51,Milestones!$AA$177),"dd mmm yy"))&amp;" "&amp;Milestones!$AB$177&amp;" "&amp;Milestones!$AC$177&amp;";  ","")&amp;IF(AND(EDATE($D51,Milestones!$AA$178)&lt;=AsOfDate,IF($R51=0,$X51,IF(AND($T51&lt;&gt;"",EDATE($D51,Milestones!$AA$178)&gt;=$T51),$W51,IF(AND($S51&lt;&gt;"",EDATE($D51,Milestones!$AA$178)&gt;=$S51),$V51,$U51)))=Milestones!$AB$178),UPPER(TEXT(EDATE($D51,Milestones!$AA$178),"dd mmm yy"))&amp;" "&amp;Milestones!$AB$178&amp;" "&amp;Milestones!$AC$178&amp;";  ","")&amp;IF(AND(EDATE($D51,Milestones!$AA$179)&lt;=AsOfDate,IF($R51=0,$X51,IF(AND($T51&lt;&gt;"",EDATE($D51,Milestones!$AA$179)&gt;=$T51),$W51,IF(AND($S51&lt;&gt;"",EDATE($D51,Milestones!$AA$179)&gt;=$S51),$V51,$U51)))=Milestones!$AB$179),UPPER(TEXT(EDATE($D51,Milestones!$AA$179),"dd mmm yy"))&amp;" "&amp;Milestones!$AB$179&amp;" "&amp;Milestones!$AC$179&amp;";  ",""))</f>
        <v/>
      </c>
      <c r="Q51" s="0" t="str">
        <f aca="false">IF(OR($A51="",$D51=""),"",IF(AND(EDATE($D51,Milestones!$AA$180)&lt;=AsOfDate,IF($R51=0,$X51,IF(AND($T51&lt;&gt;"",EDATE($D51,Milestones!$AA$180)&gt;=$T51),$W51,IF(AND($S51&lt;&gt;"",EDATE($D51,Milestones!$AA$180)&gt;=$S51),$V51,$U51)))=Milestones!$AB$180),UPPER(TEXT(EDATE($D51,Milestones!$AA$180),"dd mmm yy"))&amp;" "&amp;Milestones!$AB$180&amp;" "&amp;Milestones!$AC$180&amp;";  ","")&amp;IF(AND(EDATE($D51,Milestones!$AA$181)&lt;=AsOfDate,IF($R51=0,$X51,IF(AND($T51&lt;&gt;"",EDATE($D51,Milestones!$AA$181)&gt;=$T51),$W51,IF(AND($S51&lt;&gt;"",EDATE($D51,Milestones!$AA$181)&gt;=$S51),$V51,$U51)))=Milestones!$AB$181),UPPER(TEXT(EDATE($D51,Milestones!$AA$181),"dd mmm yy"))&amp;" "&amp;Milestones!$AB$181&amp;" "&amp;Milestones!$AC$181&amp;";  ","")&amp;IF(AND(EDATE($D51,Milestones!$AA$182)&lt;=AsOfDate,IF($R51=0,$X51,IF(AND($T51&lt;&gt;"",EDATE($D51,Milestones!$AA$182)&gt;=$T51),$W51,IF(AND($S51&lt;&gt;"",EDATE($D51,Milestones!$AA$182)&gt;=$S51),$V51,$U51)))=Milestones!$AB$182),UPPER(TEXT(EDATE($D51,Milestones!$AA$182),"dd mmm yy"))&amp;" "&amp;Milestones!$AB$182&amp;" "&amp;Milestones!$AC$182&amp;";  ","")&amp;IF(AND(EDATE($D51,Milestones!$AA$183)&lt;=AsOfDate,IF($R51=0,$X51,IF(AND($T51&lt;&gt;"",EDATE($D51,Milestones!$AA$183)&gt;=$T51),$W51,IF(AND($S51&lt;&gt;"",EDATE($D51,Milestones!$AA$183)&gt;=$S51),$V51,$U51)))=Milestones!$AB$183),UPPER(TEXT(EDATE($D51,Milestones!$AA$183),"dd mmm yy"))&amp;" "&amp;Milestones!$AB$183&amp;" "&amp;Milestones!$AC$183&amp;";  ","")&amp;IF(AND(EDATE($D51,Milestones!$AA$184)&lt;=AsOfDate,IF($R51=0,$X51,IF(AND($T51&lt;&gt;"",EDATE($D51,Milestones!$AA$184)&gt;=$T51),$W51,IF(AND($S51&lt;&gt;"",EDATE($D51,Milestones!$AA$184)&gt;=$S51),$V51,$U51)))=Milestones!$AB$184),UPPER(TEXT(EDATE($D51,Milestones!$AA$184),"dd mmm yy"))&amp;" "&amp;Milestones!$AB$184&amp;" "&amp;Milestones!$AC$184&amp;";  ","")&amp;IF(AND(EDATE($D51,Milestones!$AA$185)&lt;=AsOfDate,IF($R51=0,$X51,IF(AND($T51&lt;&gt;"",EDATE($D51,Milestones!$AA$185)&gt;=$T51),$W51,IF(AND($S51&lt;&gt;"",EDATE($D51,Milestones!$AA$185)&gt;=$S51),$V51,$U51)))=Milestones!$AB$185),UPPER(TEXT(EDATE($D51,Milestones!$AA$185),"dd mmm yy"))&amp;" "&amp;Milestones!$AB$185&amp;" "&amp;Milestones!$AC$185&amp;";  ","")&amp;IF(AND(EDATE($D51,Milestones!$AA$186)&lt;=AsOfDate,IF($R51=0,$X51,IF(AND($T51&lt;&gt;"",EDATE($D51,Milestones!$AA$186)&gt;=$T51),$W51,IF(AND($S51&lt;&gt;"",EDATE($D51,Milestones!$AA$186)&gt;=$S51),$V51,$U51)))=Milestones!$AB$186),UPPER(TEXT(EDATE($D51,Milestones!$AA$186),"dd mmm yy"))&amp;" "&amp;Milestones!$AB$186&amp;" "&amp;Milestones!$AC$186&amp;";  ","")&amp;IF(AND(EDATE($D51,Milestones!$AA$187)&lt;=AsOfDate,IF($R51=0,$X51,IF(AND($T51&lt;&gt;"",EDATE($D51,Milestones!$AA$187)&gt;=$T51),$W51,IF(AND($S51&lt;&gt;"",EDATE($D51,Milestones!$AA$187)&gt;=$S51),$V51,$U51)))=Milestones!$AB$187),UPPER(TEXT(EDATE($D51,Milestones!$AA$187),"dd mmm yy"))&amp;" "&amp;Milestones!$AB$187&amp;" "&amp;Milestones!$AC$187&amp;";  ","")&amp;IF(AND(EDATE($D51,Milestones!$AA$188)&lt;=AsOfDate,IF($R51=0,$X51,IF(AND($T51&lt;&gt;"",EDATE($D51,Milestones!$AA$188)&gt;=$T51),$W51,IF(AND($S51&lt;&gt;"",EDATE($D51,Milestones!$AA$188)&gt;=$S51),$V51,$U51)))=Milestones!$AB$188),UPPER(TEXT(EDATE($D51,Milestones!$AA$188),"dd mmm yy"))&amp;" "&amp;Milestones!$AB$188&amp;" "&amp;Milestones!$AC$188&amp;";  ","")&amp;IF(AND(EDATE($D51,Milestones!$AA$189)&lt;=AsOfDate,IF($R51=0,$X51,IF(AND($T51&lt;&gt;"",EDATE($D51,Milestones!$AA$189)&gt;=$T51),$W51,IF(AND($S51&lt;&gt;"",EDATE($D51,Milestones!$AA$189)&gt;=$S51),$V51,$U51)))=Milestones!$AB$189),UPPER(TEXT(EDATE($D51,Milestones!$AA$189),"dd mmm yy"))&amp;" "&amp;Milestones!$AB$189&amp;" "&amp;Milestones!$AC$189&amp;";  ","")&amp;IF(AND(EDATE($D51,Milestones!$AA$190)&lt;=AsOfDate,IF($R51=0,$X51,IF(AND($T51&lt;&gt;"",EDATE($D51,Milestones!$AA$190)&gt;=$T51),$W51,IF(AND($S51&lt;&gt;"",EDATE($D51,Milestones!$AA$190)&gt;=$S51),$V51,$U51)))=Milestones!$AB$190),UPPER(TEXT(EDATE($D51,Milestones!$AA$190),"dd mmm yy"))&amp;" "&amp;Milestones!$AB$190&amp;" "&amp;Milestones!$AC$190&amp;";  ","")&amp;IF(AND(EDATE($D51,Milestones!$AA$191)&lt;=AsOfDate,IF($R51=0,$X51,IF(AND($T51&lt;&gt;"",EDATE($D51,Milestones!$AA$191)&gt;=$T51),$W51,IF(AND($S51&lt;&gt;"",EDATE($D51,Milestones!$AA$191)&gt;=$S51),$V51,$U51)))=Milestones!$AB$191),UPPER(TEXT(EDATE($D51,Milestones!$AA$191),"dd mmm yy"))&amp;" "&amp;Milestones!$AB$191&amp;" "&amp;Milestones!$AC$191&amp;";  ","")&amp;IF(AND(EDATE($D51,Milestones!$AA$192)&lt;=AsOfDate,IF($R51=0,$X51,IF(AND($T51&lt;&gt;"",EDATE($D51,Milestones!$AA$192)&gt;=$T51),$W51,IF(AND($S51&lt;&gt;"",EDATE($D51,Milestones!$AA$192)&gt;=$S51),$V51,$U51)))=Milestones!$AB$192),UPPER(TEXT(EDATE($D51,Milestones!$AA$192),"dd mmm yy"))&amp;" "&amp;Milestones!$AB$192&amp;" "&amp;Milestones!$AC$192&amp;";  ","")&amp;IF(AND(EDATE($D51,Milestones!$AA$193)&lt;=AsOfDate,IF($R51=0,$X51,IF(AND($T51&lt;&gt;"",EDATE($D51,Milestones!$AA$193)&gt;=$T51),$W51,IF(AND($S51&lt;&gt;"",EDATE($D51,Milestones!$AA$193)&gt;=$S51),$V51,$U51)))=Milestones!$AB$193),UPPER(TEXT(EDATE($D51,Milestones!$AA$193),"dd mmm yy"))&amp;" "&amp;Milestones!$AB$193&amp;" "&amp;Milestones!$AC$193&amp;";  ","")&amp;IF(AND(EDATE($D51,Milestones!$AA$194)&lt;=AsOfDate,IF($R51=0,$X51,IF(AND($T51&lt;&gt;"",EDATE($D51,Milestones!$AA$194)&gt;=$T51),$W51,IF(AND($S51&lt;&gt;"",EDATE($D51,Milestones!$AA$194)&gt;=$S51),$V51,$U51)))=Milestones!$AB$194),UPPER(TEXT(EDATE($D51,Milestones!$AA$194),"dd mmm yy"))&amp;" "&amp;Milestones!$AB$194&amp;" "&amp;Milestones!$AC$194&amp;";  ","")&amp;IF(AND(EDATE($D51,Milestones!$AA$195)&lt;=AsOfDate,IF($R51=0,$X51,IF(AND($T51&lt;&gt;"",EDATE($D51,Milestones!$AA$195)&gt;=$T51),$W51,IF(AND($S51&lt;&gt;"",EDATE($D51,Milestones!$AA$195)&gt;=$S51),$V51,$U51)))=Milestones!$AB$195),UPPER(TEXT(EDATE($D51,Milestones!$AA$195),"dd mmm yy"))&amp;" "&amp;Milestones!$AB$195&amp;" "&amp;Milestones!$AC$195&amp;";  ","")&amp;IF(AND(EDATE($D51,Milestones!$AA$196)&lt;=AsOfDate,IF($R51=0,$X51,IF(AND($T51&lt;&gt;"",EDATE($D51,Milestones!$AA$196)&gt;=$T51),$W51,IF(AND($S51&lt;&gt;"",EDATE($D51,Milestones!$AA$196)&gt;=$S51),$V51,$U51)))=Milestones!$AB$196),UPPER(TEXT(EDATE($D51,Milestones!$AA$196),"dd mmm yy"))&amp;" "&amp;Milestones!$AB$196&amp;" "&amp;Milestones!$AC$196&amp;";  ","")&amp;IF(AND(EDATE($D51,Milestones!$AA$197)&lt;=AsOfDate,IF($R51=0,$X51,IF(AND($T51&lt;&gt;"",EDATE($D51,Milestones!$AA$197)&gt;=$T51),$W51,IF(AND($S51&lt;&gt;"",EDATE($D51,Milestones!$AA$197)&gt;=$S51),$V51,$U51)))=Milestones!$AB$197),UPPER(TEXT(EDATE($D51,Milestones!$AA$197),"dd mmm yy"))&amp;" "&amp;Milestones!$AB$197&amp;" "&amp;Milestones!$AC$197&amp;";  ","")&amp;IF(AND(EDATE($D51,Milestones!$AA$198)&lt;=AsOfDate,IF($R51=0,$X51,IF(AND($T51&lt;&gt;"",EDATE($D51,Milestones!$AA$198)&gt;=$T51),$W51,IF(AND($S51&lt;&gt;"",EDATE($D51,Milestones!$AA$198)&gt;=$S51),$V51,$U51)))=Milestones!$AB$198),UPPER(TEXT(EDATE($D51,Milestones!$AA$198),"dd mmm yy"))&amp;" "&amp;Milestones!$AB$198&amp;" "&amp;Milestones!$AC$198&amp;";  ","")&amp;IF(AND(EDATE($D51,Milestones!$AA$199)&lt;=AsOfDate,IF($R51=0,$X51,IF(AND($T51&lt;&gt;"",EDATE($D51,Milestones!$AA$199)&gt;=$T51),$W51,IF(AND($S51&lt;&gt;"",EDATE($D51,Milestones!$AA$199)&gt;=$S51),$V51,$U51)))=Milestones!$AB$199),UPPER(TEXT(EDATE($D51,Milestones!$AA$199),"dd mmm yy"))&amp;" "&amp;Milestones!$AB$199&amp;" "&amp;Milestones!$AC$199&amp;";  ",""))</f>
        <v/>
      </c>
      <c r="R51" s="0" t="str">
        <f aca="false">IF(Staff!$A51="","",Staff!$AI51)</f>
        <v/>
      </c>
      <c r="S51" s="0" t="str">
        <f aca="false">IF(Staff!$A51="","",Staff!$AK51)</f>
        <v/>
      </c>
      <c r="T51" s="0" t="str">
        <f aca="false">IF(Staff!$A51="","",Staff!$AL51)</f>
        <v/>
      </c>
      <c r="U51" s="0" t="str">
        <f aca="false">IF(Staff!$A51="","",Staff!$AP51)</f>
        <v/>
      </c>
      <c r="V51" s="0" t="str">
        <f aca="false">IF(Staff!$A51="","",Staff!$AQ51)</f>
        <v/>
      </c>
      <c r="W51" s="0" t="str">
        <f aca="false">IF(Staff!$A51="","",Staff!$AR51)</f>
        <v/>
      </c>
      <c r="X51" s="0" t="str">
        <f aca="false">IF(Staff!$A51="","",Staff!$AS51)</f>
        <v/>
      </c>
    </row>
    <row r="52" customFormat="false" ht="15" hidden="false" customHeight="false" outlineLevel="0" collapsed="false">
      <c r="A52" s="14" t="str">
        <f aca="false">IF(Staff!$A52="","",Staff!$A52)</f>
        <v/>
      </c>
      <c r="B52" s="14" t="str">
        <f aca="false">IF(Staff!$A52="","",Staff!$B52)</f>
        <v/>
      </c>
      <c r="C52" s="14" t="str">
        <f aca="false">IF(Staff!$A52="","",Staff!$C52)</f>
        <v/>
      </c>
      <c r="D52" s="12" t="str">
        <f aca="false">IF(Staff!$A52="","",Staff!$AH52)</f>
        <v/>
      </c>
      <c r="E52" s="14" t="str">
        <f aca="false">IF(Staff!$A52="","",Staff!$O52)</f>
        <v/>
      </c>
      <c r="F52" s="14" t="str">
        <f aca="false">IF(E52="","",E52*HoursPerDay)</f>
        <v/>
      </c>
      <c r="G52" s="14" t="str">
        <f aca="false">IF(Staff!$A52="","",Staff!$AE52)</f>
        <v/>
      </c>
      <c r="H52" s="26" t="str">
        <f aca="false">IF($A52="","",I52&amp;J52&amp;K52&amp;L52&amp;M52&amp;N52&amp;O52&amp;P52&amp;Q52)</f>
        <v/>
      </c>
      <c r="I52" s="0" t="str">
        <f aca="false">IF(OR($A52="",$D52=""),"",IF(AND(EDATE($D52,Milestones!$AA$20)&lt;=AsOfDate,IF($R52=0,$X52,IF(AND($T52&lt;&gt;"",EDATE($D52,Milestones!$AA$20)&gt;=$T52),$W52,IF(AND($S52&lt;&gt;"",EDATE($D52,Milestones!$AA$20)&gt;=$S52),$V52,$U52)))=Milestones!$AB$20),UPPER(TEXT(EDATE($D52,Milestones!$AA$20),"dd mmm yy"))&amp;" "&amp;Milestones!$AB$20&amp;" "&amp;Milestones!$AC$20&amp;";  ","")&amp;IF(AND(EDATE($D52,Milestones!$AA$21)&lt;=AsOfDate,IF($R52=0,$X52,IF(AND($T52&lt;&gt;"",EDATE($D52,Milestones!$AA$21)&gt;=$T52),$W52,IF(AND($S52&lt;&gt;"",EDATE($D52,Milestones!$AA$21)&gt;=$S52),$V52,$U52)))=Milestones!$AB$21),UPPER(TEXT(EDATE($D52,Milestones!$AA$21),"dd mmm yy"))&amp;" "&amp;Milestones!$AB$21&amp;" "&amp;Milestones!$AC$21&amp;";  ","")&amp;IF(AND(EDATE($D52,Milestones!$AA$22)&lt;=AsOfDate,IF($R52=0,$X52,IF(AND($T52&lt;&gt;"",EDATE($D52,Milestones!$AA$22)&gt;=$T52),$W52,IF(AND($S52&lt;&gt;"",EDATE($D52,Milestones!$AA$22)&gt;=$S52),$V52,$U52)))=Milestones!$AB$22),UPPER(TEXT(EDATE($D52,Milestones!$AA$22),"dd mmm yy"))&amp;" "&amp;Milestones!$AB$22&amp;" "&amp;Milestones!$AC$22&amp;";  ","")&amp;IF(AND(EDATE($D52,Milestones!$AA$23)&lt;=AsOfDate,IF($R52=0,$X52,IF(AND($T52&lt;&gt;"",EDATE($D52,Milestones!$AA$23)&gt;=$T52),$W52,IF(AND($S52&lt;&gt;"",EDATE($D52,Milestones!$AA$23)&gt;=$S52),$V52,$U52)))=Milestones!$AB$23),UPPER(TEXT(EDATE($D52,Milestones!$AA$23),"dd mmm yy"))&amp;" "&amp;Milestones!$AB$23&amp;" "&amp;Milestones!$AC$23&amp;";  ","")&amp;IF(AND(EDATE($D52,Milestones!$AA$24)&lt;=AsOfDate,IF($R52=0,$X52,IF(AND($T52&lt;&gt;"",EDATE($D52,Milestones!$AA$24)&gt;=$T52),$W52,IF(AND($S52&lt;&gt;"",EDATE($D52,Milestones!$AA$24)&gt;=$S52),$V52,$U52)))=Milestones!$AB$24),UPPER(TEXT(EDATE($D52,Milestones!$AA$24),"dd mmm yy"))&amp;" "&amp;Milestones!$AB$24&amp;" "&amp;Milestones!$AC$24&amp;";  ","")&amp;IF(AND(EDATE($D52,Milestones!$AA$25)&lt;=AsOfDate,IF($R52=0,$X52,IF(AND($T52&lt;&gt;"",EDATE($D52,Milestones!$AA$25)&gt;=$T52),$W52,IF(AND($S52&lt;&gt;"",EDATE($D52,Milestones!$AA$25)&gt;=$S52),$V52,$U52)))=Milestones!$AB$25),UPPER(TEXT(EDATE($D52,Milestones!$AA$25),"dd mmm yy"))&amp;" "&amp;Milestones!$AB$25&amp;" "&amp;Milestones!$AC$25&amp;";  ","")&amp;IF(AND(EDATE($D52,Milestones!$AA$26)&lt;=AsOfDate,IF($R52=0,$X52,IF(AND($T52&lt;&gt;"",EDATE($D52,Milestones!$AA$26)&gt;=$T52),$W52,IF(AND($S52&lt;&gt;"",EDATE($D52,Milestones!$AA$26)&gt;=$S52),$V52,$U52)))=Milestones!$AB$26),UPPER(TEXT(EDATE($D52,Milestones!$AA$26),"dd mmm yy"))&amp;" "&amp;Milestones!$AB$26&amp;" "&amp;Milestones!$AC$26&amp;";  ","")&amp;IF(AND(EDATE($D52,Milestones!$AA$27)&lt;=AsOfDate,IF($R52=0,$X52,IF(AND($T52&lt;&gt;"",EDATE($D52,Milestones!$AA$27)&gt;=$T52),$W52,IF(AND($S52&lt;&gt;"",EDATE($D52,Milestones!$AA$27)&gt;=$S52),$V52,$U52)))=Milestones!$AB$27),UPPER(TEXT(EDATE($D52,Milestones!$AA$27),"dd mmm yy"))&amp;" "&amp;Milestones!$AB$27&amp;" "&amp;Milestones!$AC$27&amp;";  ","")&amp;IF(AND(EDATE($D52,Milestones!$AA$28)&lt;=AsOfDate,IF($R52=0,$X52,IF(AND($T52&lt;&gt;"",EDATE($D52,Milestones!$AA$28)&gt;=$T52),$W52,IF(AND($S52&lt;&gt;"",EDATE($D52,Milestones!$AA$28)&gt;=$S52),$V52,$U52)))=Milestones!$AB$28),UPPER(TEXT(EDATE($D52,Milestones!$AA$28),"dd mmm yy"))&amp;" "&amp;Milestones!$AB$28&amp;" "&amp;Milestones!$AC$28&amp;";  ","")&amp;IF(AND(EDATE($D52,Milestones!$AA$29)&lt;=AsOfDate,IF($R52=0,$X52,IF(AND($T52&lt;&gt;"",EDATE($D52,Milestones!$AA$29)&gt;=$T52),$W52,IF(AND($S52&lt;&gt;"",EDATE($D52,Milestones!$AA$29)&gt;=$S52),$V52,$U52)))=Milestones!$AB$29),UPPER(TEXT(EDATE($D52,Milestones!$AA$29),"dd mmm yy"))&amp;" "&amp;Milestones!$AB$29&amp;" "&amp;Milestones!$AC$29&amp;";  ","")&amp;IF(AND(EDATE($D52,Milestones!$AA$30)&lt;=AsOfDate,IF($R52=0,$X52,IF(AND($T52&lt;&gt;"",EDATE($D52,Milestones!$AA$30)&gt;=$T52),$W52,IF(AND($S52&lt;&gt;"",EDATE($D52,Milestones!$AA$30)&gt;=$S52),$V52,$U52)))=Milestones!$AB$30),UPPER(TEXT(EDATE($D52,Milestones!$AA$30),"dd mmm yy"))&amp;" "&amp;Milestones!$AB$30&amp;" "&amp;Milestones!$AC$30&amp;";  ","")&amp;IF(AND(EDATE($D52,Milestones!$AA$31)&lt;=AsOfDate,IF($R52=0,$X52,IF(AND($T52&lt;&gt;"",EDATE($D52,Milestones!$AA$31)&gt;=$T52),$W52,IF(AND($S52&lt;&gt;"",EDATE($D52,Milestones!$AA$31)&gt;=$S52),$V52,$U52)))=Milestones!$AB$31),UPPER(TEXT(EDATE($D52,Milestones!$AA$31),"dd mmm yy"))&amp;" "&amp;Milestones!$AB$31&amp;" "&amp;Milestones!$AC$31&amp;";  ","")&amp;IF(AND(EDATE($D52,Milestones!$AA$32)&lt;=AsOfDate,IF($R52=0,$X52,IF(AND($T52&lt;&gt;"",EDATE($D52,Milestones!$AA$32)&gt;=$T52),$W52,IF(AND($S52&lt;&gt;"",EDATE($D52,Milestones!$AA$32)&gt;=$S52),$V52,$U52)))=Milestones!$AB$32),UPPER(TEXT(EDATE($D52,Milestones!$AA$32),"dd mmm yy"))&amp;" "&amp;Milestones!$AB$32&amp;" "&amp;Milestones!$AC$32&amp;";  ","")&amp;IF(AND(EDATE($D52,Milestones!$AA$33)&lt;=AsOfDate,IF($R52=0,$X52,IF(AND($T52&lt;&gt;"",EDATE($D52,Milestones!$AA$33)&gt;=$T52),$W52,IF(AND($S52&lt;&gt;"",EDATE($D52,Milestones!$AA$33)&gt;=$S52),$V52,$U52)))=Milestones!$AB$33),UPPER(TEXT(EDATE($D52,Milestones!$AA$33),"dd mmm yy"))&amp;" "&amp;Milestones!$AB$33&amp;" "&amp;Milestones!$AC$33&amp;";  ","")&amp;IF(AND(EDATE($D52,Milestones!$AA$34)&lt;=AsOfDate,IF($R52=0,$X52,IF(AND($T52&lt;&gt;"",EDATE($D52,Milestones!$AA$34)&gt;=$T52),$W52,IF(AND($S52&lt;&gt;"",EDATE($D52,Milestones!$AA$34)&gt;=$S52),$V52,$U52)))=Milestones!$AB$34),UPPER(TEXT(EDATE($D52,Milestones!$AA$34),"dd mmm yy"))&amp;" "&amp;Milestones!$AB$34&amp;" "&amp;Milestones!$AC$34&amp;";  ","")&amp;IF(AND(EDATE($D52,Milestones!$AA$35)&lt;=AsOfDate,IF($R52=0,$X52,IF(AND($T52&lt;&gt;"",EDATE($D52,Milestones!$AA$35)&gt;=$T52),$W52,IF(AND($S52&lt;&gt;"",EDATE($D52,Milestones!$AA$35)&gt;=$S52),$V52,$U52)))=Milestones!$AB$35),UPPER(TEXT(EDATE($D52,Milestones!$AA$35),"dd mmm yy"))&amp;" "&amp;Milestones!$AB$35&amp;" "&amp;Milestones!$AC$35&amp;";  ","")&amp;IF(AND(EDATE($D52,Milestones!$AA$36)&lt;=AsOfDate,IF($R52=0,$X52,IF(AND($T52&lt;&gt;"",EDATE($D52,Milestones!$AA$36)&gt;=$T52),$W52,IF(AND($S52&lt;&gt;"",EDATE($D52,Milestones!$AA$36)&gt;=$S52),$V52,$U52)))=Milestones!$AB$36),UPPER(TEXT(EDATE($D52,Milestones!$AA$36),"dd mmm yy"))&amp;" "&amp;Milestones!$AB$36&amp;" "&amp;Milestones!$AC$36&amp;";  ","")&amp;IF(AND(EDATE($D52,Milestones!$AA$37)&lt;=AsOfDate,IF($R52=0,$X52,IF(AND($T52&lt;&gt;"",EDATE($D52,Milestones!$AA$37)&gt;=$T52),$W52,IF(AND($S52&lt;&gt;"",EDATE($D52,Milestones!$AA$37)&gt;=$S52),$V52,$U52)))=Milestones!$AB$37),UPPER(TEXT(EDATE($D52,Milestones!$AA$37),"dd mmm yy"))&amp;" "&amp;Milestones!$AB$37&amp;" "&amp;Milestones!$AC$37&amp;";  ","")&amp;IF(AND(EDATE($D52,Milestones!$AA$38)&lt;=AsOfDate,IF($R52=0,$X52,IF(AND($T52&lt;&gt;"",EDATE($D52,Milestones!$AA$38)&gt;=$T52),$W52,IF(AND($S52&lt;&gt;"",EDATE($D52,Milestones!$AA$38)&gt;=$S52),$V52,$U52)))=Milestones!$AB$38),UPPER(TEXT(EDATE($D52,Milestones!$AA$38),"dd mmm yy"))&amp;" "&amp;Milestones!$AB$38&amp;" "&amp;Milestones!$AC$38&amp;";  ","")&amp;IF(AND(EDATE($D52,Milestones!$AA$39)&lt;=AsOfDate,IF($R52=0,$X52,IF(AND($T52&lt;&gt;"",EDATE($D52,Milestones!$AA$39)&gt;=$T52),$W52,IF(AND($S52&lt;&gt;"",EDATE($D52,Milestones!$AA$39)&gt;=$S52),$V52,$U52)))=Milestones!$AB$39),UPPER(TEXT(EDATE($D52,Milestones!$AA$39),"dd mmm yy"))&amp;" "&amp;Milestones!$AB$39&amp;" "&amp;Milestones!$AC$39&amp;";  ",""))</f>
        <v/>
      </c>
      <c r="J52" s="0" t="str">
        <f aca="false">IF(OR($A52="",$D52=""),"",IF(AND(EDATE($D52,Milestones!$AA$40)&lt;=AsOfDate,IF($R52=0,$X52,IF(AND($T52&lt;&gt;"",EDATE($D52,Milestones!$AA$40)&gt;=$T52),$W52,IF(AND($S52&lt;&gt;"",EDATE($D52,Milestones!$AA$40)&gt;=$S52),$V52,$U52)))=Milestones!$AB$40),UPPER(TEXT(EDATE($D52,Milestones!$AA$40),"dd mmm yy"))&amp;" "&amp;Milestones!$AB$40&amp;" "&amp;Milestones!$AC$40&amp;";  ","")&amp;IF(AND(EDATE($D52,Milestones!$AA$41)&lt;=AsOfDate,IF($R52=0,$X52,IF(AND($T52&lt;&gt;"",EDATE($D52,Milestones!$AA$41)&gt;=$T52),$W52,IF(AND($S52&lt;&gt;"",EDATE($D52,Milestones!$AA$41)&gt;=$S52),$V52,$U52)))=Milestones!$AB$41),UPPER(TEXT(EDATE($D52,Milestones!$AA$41),"dd mmm yy"))&amp;" "&amp;Milestones!$AB$41&amp;" "&amp;Milestones!$AC$41&amp;";  ","")&amp;IF(AND(EDATE($D52,Milestones!$AA$42)&lt;=AsOfDate,IF($R52=0,$X52,IF(AND($T52&lt;&gt;"",EDATE($D52,Milestones!$AA$42)&gt;=$T52),$W52,IF(AND($S52&lt;&gt;"",EDATE($D52,Milestones!$AA$42)&gt;=$S52),$V52,$U52)))=Milestones!$AB$42),UPPER(TEXT(EDATE($D52,Milestones!$AA$42),"dd mmm yy"))&amp;" "&amp;Milestones!$AB$42&amp;" "&amp;Milestones!$AC$42&amp;";  ","")&amp;IF(AND(EDATE($D52,Milestones!$AA$43)&lt;=AsOfDate,IF($R52=0,$X52,IF(AND($T52&lt;&gt;"",EDATE($D52,Milestones!$AA$43)&gt;=$T52),$W52,IF(AND($S52&lt;&gt;"",EDATE($D52,Milestones!$AA$43)&gt;=$S52),$V52,$U52)))=Milestones!$AB$43),UPPER(TEXT(EDATE($D52,Milestones!$AA$43),"dd mmm yy"))&amp;" "&amp;Milestones!$AB$43&amp;" "&amp;Milestones!$AC$43&amp;";  ","")&amp;IF(AND(EDATE($D52,Milestones!$AA$44)&lt;=AsOfDate,IF($R52=0,$X52,IF(AND($T52&lt;&gt;"",EDATE($D52,Milestones!$AA$44)&gt;=$T52),$W52,IF(AND($S52&lt;&gt;"",EDATE($D52,Milestones!$AA$44)&gt;=$S52),$V52,$U52)))=Milestones!$AB$44),UPPER(TEXT(EDATE($D52,Milestones!$AA$44),"dd mmm yy"))&amp;" "&amp;Milestones!$AB$44&amp;" "&amp;Milestones!$AC$44&amp;";  ","")&amp;IF(AND(EDATE($D52,Milestones!$AA$45)&lt;=AsOfDate,IF($R52=0,$X52,IF(AND($T52&lt;&gt;"",EDATE($D52,Milestones!$AA$45)&gt;=$T52),$W52,IF(AND($S52&lt;&gt;"",EDATE($D52,Milestones!$AA$45)&gt;=$S52),$V52,$U52)))=Milestones!$AB$45),UPPER(TEXT(EDATE($D52,Milestones!$AA$45),"dd mmm yy"))&amp;" "&amp;Milestones!$AB$45&amp;" "&amp;Milestones!$AC$45&amp;";  ","")&amp;IF(AND(EDATE($D52,Milestones!$AA$46)&lt;=AsOfDate,IF($R52=0,$X52,IF(AND($T52&lt;&gt;"",EDATE($D52,Milestones!$AA$46)&gt;=$T52),$W52,IF(AND($S52&lt;&gt;"",EDATE($D52,Milestones!$AA$46)&gt;=$S52),$V52,$U52)))=Milestones!$AB$46),UPPER(TEXT(EDATE($D52,Milestones!$AA$46),"dd mmm yy"))&amp;" "&amp;Milestones!$AB$46&amp;" "&amp;Milestones!$AC$46&amp;";  ","")&amp;IF(AND(EDATE($D52,Milestones!$AA$47)&lt;=AsOfDate,IF($R52=0,$X52,IF(AND($T52&lt;&gt;"",EDATE($D52,Milestones!$AA$47)&gt;=$T52),$W52,IF(AND($S52&lt;&gt;"",EDATE($D52,Milestones!$AA$47)&gt;=$S52),$V52,$U52)))=Milestones!$AB$47),UPPER(TEXT(EDATE($D52,Milestones!$AA$47),"dd mmm yy"))&amp;" "&amp;Milestones!$AB$47&amp;" "&amp;Milestones!$AC$47&amp;";  ","")&amp;IF(AND(EDATE($D52,Milestones!$AA$48)&lt;=AsOfDate,IF($R52=0,$X52,IF(AND($T52&lt;&gt;"",EDATE($D52,Milestones!$AA$48)&gt;=$T52),$W52,IF(AND($S52&lt;&gt;"",EDATE($D52,Milestones!$AA$48)&gt;=$S52),$V52,$U52)))=Milestones!$AB$48),UPPER(TEXT(EDATE($D52,Milestones!$AA$48),"dd mmm yy"))&amp;" "&amp;Milestones!$AB$48&amp;" "&amp;Milestones!$AC$48&amp;";  ","")&amp;IF(AND(EDATE($D52,Milestones!$AA$49)&lt;=AsOfDate,IF($R52=0,$X52,IF(AND($T52&lt;&gt;"",EDATE($D52,Milestones!$AA$49)&gt;=$T52),$W52,IF(AND($S52&lt;&gt;"",EDATE($D52,Milestones!$AA$49)&gt;=$S52),$V52,$U52)))=Milestones!$AB$49),UPPER(TEXT(EDATE($D52,Milestones!$AA$49),"dd mmm yy"))&amp;" "&amp;Milestones!$AB$49&amp;" "&amp;Milestones!$AC$49&amp;";  ","")&amp;IF(AND(EDATE($D52,Milestones!$AA$50)&lt;=AsOfDate,IF($R52=0,$X52,IF(AND($T52&lt;&gt;"",EDATE($D52,Milestones!$AA$50)&gt;=$T52),$W52,IF(AND($S52&lt;&gt;"",EDATE($D52,Milestones!$AA$50)&gt;=$S52),$V52,$U52)))=Milestones!$AB$50),UPPER(TEXT(EDATE($D52,Milestones!$AA$50),"dd mmm yy"))&amp;" "&amp;Milestones!$AB$50&amp;" "&amp;Milestones!$AC$50&amp;";  ","")&amp;IF(AND(EDATE($D52,Milestones!$AA$51)&lt;=AsOfDate,IF($R52=0,$X52,IF(AND($T52&lt;&gt;"",EDATE($D52,Milestones!$AA$51)&gt;=$T52),$W52,IF(AND($S52&lt;&gt;"",EDATE($D52,Milestones!$AA$51)&gt;=$S52),$V52,$U52)))=Milestones!$AB$51),UPPER(TEXT(EDATE($D52,Milestones!$AA$51),"dd mmm yy"))&amp;" "&amp;Milestones!$AB$51&amp;" "&amp;Milestones!$AC$51&amp;";  ","")&amp;IF(AND(EDATE($D52,Milestones!$AA$52)&lt;=AsOfDate,IF($R52=0,$X52,IF(AND($T52&lt;&gt;"",EDATE($D52,Milestones!$AA$52)&gt;=$T52),$W52,IF(AND($S52&lt;&gt;"",EDATE($D52,Milestones!$AA$52)&gt;=$S52),$V52,$U52)))=Milestones!$AB$52),UPPER(TEXT(EDATE($D52,Milestones!$AA$52),"dd mmm yy"))&amp;" "&amp;Milestones!$AB$52&amp;" "&amp;Milestones!$AC$52&amp;";  ","")&amp;IF(AND(EDATE($D52,Milestones!$AA$53)&lt;=AsOfDate,IF($R52=0,$X52,IF(AND($T52&lt;&gt;"",EDATE($D52,Milestones!$AA$53)&gt;=$T52),$W52,IF(AND($S52&lt;&gt;"",EDATE($D52,Milestones!$AA$53)&gt;=$S52),$V52,$U52)))=Milestones!$AB$53),UPPER(TEXT(EDATE($D52,Milestones!$AA$53),"dd mmm yy"))&amp;" "&amp;Milestones!$AB$53&amp;" "&amp;Milestones!$AC$53&amp;";  ","")&amp;IF(AND(EDATE($D52,Milestones!$AA$54)&lt;=AsOfDate,IF($R52=0,$X52,IF(AND($T52&lt;&gt;"",EDATE($D52,Milestones!$AA$54)&gt;=$T52),$W52,IF(AND($S52&lt;&gt;"",EDATE($D52,Milestones!$AA$54)&gt;=$S52),$V52,$U52)))=Milestones!$AB$54),UPPER(TEXT(EDATE($D52,Milestones!$AA$54),"dd mmm yy"))&amp;" "&amp;Milestones!$AB$54&amp;" "&amp;Milestones!$AC$54&amp;";  ","")&amp;IF(AND(EDATE($D52,Milestones!$AA$55)&lt;=AsOfDate,IF($R52=0,$X52,IF(AND($T52&lt;&gt;"",EDATE($D52,Milestones!$AA$55)&gt;=$T52),$W52,IF(AND($S52&lt;&gt;"",EDATE($D52,Milestones!$AA$55)&gt;=$S52),$V52,$U52)))=Milestones!$AB$55),UPPER(TEXT(EDATE($D52,Milestones!$AA$55),"dd mmm yy"))&amp;" "&amp;Milestones!$AB$55&amp;" "&amp;Milestones!$AC$55&amp;";  ","")&amp;IF(AND(EDATE($D52,Milestones!$AA$56)&lt;=AsOfDate,IF($R52=0,$X52,IF(AND($T52&lt;&gt;"",EDATE($D52,Milestones!$AA$56)&gt;=$T52),$W52,IF(AND($S52&lt;&gt;"",EDATE($D52,Milestones!$AA$56)&gt;=$S52),$V52,$U52)))=Milestones!$AB$56),UPPER(TEXT(EDATE($D52,Milestones!$AA$56),"dd mmm yy"))&amp;" "&amp;Milestones!$AB$56&amp;" "&amp;Milestones!$AC$56&amp;";  ","")&amp;IF(AND(EDATE($D52,Milestones!$AA$57)&lt;=AsOfDate,IF($R52=0,$X52,IF(AND($T52&lt;&gt;"",EDATE($D52,Milestones!$AA$57)&gt;=$T52),$W52,IF(AND($S52&lt;&gt;"",EDATE($D52,Milestones!$AA$57)&gt;=$S52),$V52,$U52)))=Milestones!$AB$57),UPPER(TEXT(EDATE($D52,Milestones!$AA$57),"dd mmm yy"))&amp;" "&amp;Milestones!$AB$57&amp;" "&amp;Milestones!$AC$57&amp;";  ","")&amp;IF(AND(EDATE($D52,Milestones!$AA$58)&lt;=AsOfDate,IF($R52=0,$X52,IF(AND($T52&lt;&gt;"",EDATE($D52,Milestones!$AA$58)&gt;=$T52),$W52,IF(AND($S52&lt;&gt;"",EDATE($D52,Milestones!$AA$58)&gt;=$S52),$V52,$U52)))=Milestones!$AB$58),UPPER(TEXT(EDATE($D52,Milestones!$AA$58),"dd mmm yy"))&amp;" "&amp;Milestones!$AB$58&amp;" "&amp;Milestones!$AC$58&amp;";  ","")&amp;IF(AND(EDATE($D52,Milestones!$AA$59)&lt;=AsOfDate,IF($R52=0,$X52,IF(AND($T52&lt;&gt;"",EDATE($D52,Milestones!$AA$59)&gt;=$T52),$W52,IF(AND($S52&lt;&gt;"",EDATE($D52,Milestones!$AA$59)&gt;=$S52),$V52,$U52)))=Milestones!$AB$59),UPPER(TEXT(EDATE($D52,Milestones!$AA$59),"dd mmm yy"))&amp;" "&amp;Milestones!$AB$59&amp;" "&amp;Milestones!$AC$59&amp;";  ",""))</f>
        <v/>
      </c>
      <c r="K52" s="0" t="str">
        <f aca="false">IF(OR($A52="",$D52=""),"",IF(AND(EDATE($D52,Milestones!$AA$60)&lt;=AsOfDate,IF($R52=0,$X52,IF(AND($T52&lt;&gt;"",EDATE($D52,Milestones!$AA$60)&gt;=$T52),$W52,IF(AND($S52&lt;&gt;"",EDATE($D52,Milestones!$AA$60)&gt;=$S52),$V52,$U52)))=Milestones!$AB$60),UPPER(TEXT(EDATE($D52,Milestones!$AA$60),"dd mmm yy"))&amp;" "&amp;Milestones!$AB$60&amp;" "&amp;Milestones!$AC$60&amp;";  ","")&amp;IF(AND(EDATE($D52,Milestones!$AA$61)&lt;=AsOfDate,IF($R52=0,$X52,IF(AND($T52&lt;&gt;"",EDATE($D52,Milestones!$AA$61)&gt;=$T52),$W52,IF(AND($S52&lt;&gt;"",EDATE($D52,Milestones!$AA$61)&gt;=$S52),$V52,$U52)))=Milestones!$AB$61),UPPER(TEXT(EDATE($D52,Milestones!$AA$61),"dd mmm yy"))&amp;" "&amp;Milestones!$AB$61&amp;" "&amp;Milestones!$AC$61&amp;";  ","")&amp;IF(AND(EDATE($D52,Milestones!$AA$62)&lt;=AsOfDate,IF($R52=0,$X52,IF(AND($T52&lt;&gt;"",EDATE($D52,Milestones!$AA$62)&gt;=$T52),$W52,IF(AND($S52&lt;&gt;"",EDATE($D52,Milestones!$AA$62)&gt;=$S52),$V52,$U52)))=Milestones!$AB$62),UPPER(TEXT(EDATE($D52,Milestones!$AA$62),"dd mmm yy"))&amp;" "&amp;Milestones!$AB$62&amp;" "&amp;Milestones!$AC$62&amp;";  ","")&amp;IF(AND(EDATE($D52,Milestones!$AA$63)&lt;=AsOfDate,IF($R52=0,$X52,IF(AND($T52&lt;&gt;"",EDATE($D52,Milestones!$AA$63)&gt;=$T52),$W52,IF(AND($S52&lt;&gt;"",EDATE($D52,Milestones!$AA$63)&gt;=$S52),$V52,$U52)))=Milestones!$AB$63),UPPER(TEXT(EDATE($D52,Milestones!$AA$63),"dd mmm yy"))&amp;" "&amp;Milestones!$AB$63&amp;" "&amp;Milestones!$AC$63&amp;";  ","")&amp;IF(AND(EDATE($D52,Milestones!$AA$64)&lt;=AsOfDate,IF($R52=0,$X52,IF(AND($T52&lt;&gt;"",EDATE($D52,Milestones!$AA$64)&gt;=$T52),$W52,IF(AND($S52&lt;&gt;"",EDATE($D52,Milestones!$AA$64)&gt;=$S52),$V52,$U52)))=Milestones!$AB$64),UPPER(TEXT(EDATE($D52,Milestones!$AA$64),"dd mmm yy"))&amp;" "&amp;Milestones!$AB$64&amp;" "&amp;Milestones!$AC$64&amp;";  ","")&amp;IF(AND(EDATE($D52,Milestones!$AA$65)&lt;=AsOfDate,IF($R52=0,$X52,IF(AND($T52&lt;&gt;"",EDATE($D52,Milestones!$AA$65)&gt;=$T52),$W52,IF(AND($S52&lt;&gt;"",EDATE($D52,Milestones!$AA$65)&gt;=$S52),$V52,$U52)))=Milestones!$AB$65),UPPER(TEXT(EDATE($D52,Milestones!$AA$65),"dd mmm yy"))&amp;" "&amp;Milestones!$AB$65&amp;" "&amp;Milestones!$AC$65&amp;";  ","")&amp;IF(AND(EDATE($D52,Milestones!$AA$66)&lt;=AsOfDate,IF($R52=0,$X52,IF(AND($T52&lt;&gt;"",EDATE($D52,Milestones!$AA$66)&gt;=$T52),$W52,IF(AND($S52&lt;&gt;"",EDATE($D52,Milestones!$AA$66)&gt;=$S52),$V52,$U52)))=Milestones!$AB$66),UPPER(TEXT(EDATE($D52,Milestones!$AA$66),"dd mmm yy"))&amp;" "&amp;Milestones!$AB$66&amp;" "&amp;Milestones!$AC$66&amp;";  ","")&amp;IF(AND(EDATE($D52,Milestones!$AA$67)&lt;=AsOfDate,IF($R52=0,$X52,IF(AND($T52&lt;&gt;"",EDATE($D52,Milestones!$AA$67)&gt;=$T52),$W52,IF(AND($S52&lt;&gt;"",EDATE($D52,Milestones!$AA$67)&gt;=$S52),$V52,$U52)))=Milestones!$AB$67),UPPER(TEXT(EDATE($D52,Milestones!$AA$67),"dd mmm yy"))&amp;" "&amp;Milestones!$AB$67&amp;" "&amp;Milestones!$AC$67&amp;";  ","")&amp;IF(AND(EDATE($D52,Milestones!$AA$68)&lt;=AsOfDate,IF($R52=0,$X52,IF(AND($T52&lt;&gt;"",EDATE($D52,Milestones!$AA$68)&gt;=$T52),$W52,IF(AND($S52&lt;&gt;"",EDATE($D52,Milestones!$AA$68)&gt;=$S52),$V52,$U52)))=Milestones!$AB$68),UPPER(TEXT(EDATE($D52,Milestones!$AA$68),"dd mmm yy"))&amp;" "&amp;Milestones!$AB$68&amp;" "&amp;Milestones!$AC$68&amp;";  ","")&amp;IF(AND(EDATE($D52,Milestones!$AA$69)&lt;=AsOfDate,IF($R52=0,$X52,IF(AND($T52&lt;&gt;"",EDATE($D52,Milestones!$AA$69)&gt;=$T52),$W52,IF(AND($S52&lt;&gt;"",EDATE($D52,Milestones!$AA$69)&gt;=$S52),$V52,$U52)))=Milestones!$AB$69),UPPER(TEXT(EDATE($D52,Milestones!$AA$69),"dd mmm yy"))&amp;" "&amp;Milestones!$AB$69&amp;" "&amp;Milestones!$AC$69&amp;";  ","")&amp;IF(AND(EDATE($D52,Milestones!$AA$70)&lt;=AsOfDate,IF($R52=0,$X52,IF(AND($T52&lt;&gt;"",EDATE($D52,Milestones!$AA$70)&gt;=$T52),$W52,IF(AND($S52&lt;&gt;"",EDATE($D52,Milestones!$AA$70)&gt;=$S52),$V52,$U52)))=Milestones!$AB$70),UPPER(TEXT(EDATE($D52,Milestones!$AA$70),"dd mmm yy"))&amp;" "&amp;Milestones!$AB$70&amp;" "&amp;Milestones!$AC$70&amp;";  ","")&amp;IF(AND(EDATE($D52,Milestones!$AA$71)&lt;=AsOfDate,IF($R52=0,$X52,IF(AND($T52&lt;&gt;"",EDATE($D52,Milestones!$AA$71)&gt;=$T52),$W52,IF(AND($S52&lt;&gt;"",EDATE($D52,Milestones!$AA$71)&gt;=$S52),$V52,$U52)))=Milestones!$AB$71),UPPER(TEXT(EDATE($D52,Milestones!$AA$71),"dd mmm yy"))&amp;" "&amp;Milestones!$AB$71&amp;" "&amp;Milestones!$AC$71&amp;";  ","")&amp;IF(AND(EDATE($D52,Milestones!$AA$72)&lt;=AsOfDate,IF($R52=0,$X52,IF(AND($T52&lt;&gt;"",EDATE($D52,Milestones!$AA$72)&gt;=$T52),$W52,IF(AND($S52&lt;&gt;"",EDATE($D52,Milestones!$AA$72)&gt;=$S52),$V52,$U52)))=Milestones!$AB$72),UPPER(TEXT(EDATE($D52,Milestones!$AA$72),"dd mmm yy"))&amp;" "&amp;Milestones!$AB$72&amp;" "&amp;Milestones!$AC$72&amp;";  ","")&amp;IF(AND(EDATE($D52,Milestones!$AA$73)&lt;=AsOfDate,IF($R52=0,$X52,IF(AND($T52&lt;&gt;"",EDATE($D52,Milestones!$AA$73)&gt;=$T52),$W52,IF(AND($S52&lt;&gt;"",EDATE($D52,Milestones!$AA$73)&gt;=$S52),$V52,$U52)))=Milestones!$AB$73),UPPER(TEXT(EDATE($D52,Milestones!$AA$73),"dd mmm yy"))&amp;" "&amp;Milestones!$AB$73&amp;" "&amp;Milestones!$AC$73&amp;";  ","")&amp;IF(AND(EDATE($D52,Milestones!$AA$74)&lt;=AsOfDate,IF($R52=0,$X52,IF(AND($T52&lt;&gt;"",EDATE($D52,Milestones!$AA$74)&gt;=$T52),$W52,IF(AND($S52&lt;&gt;"",EDATE($D52,Milestones!$AA$74)&gt;=$S52),$V52,$U52)))=Milestones!$AB$74),UPPER(TEXT(EDATE($D52,Milestones!$AA$74),"dd mmm yy"))&amp;" "&amp;Milestones!$AB$74&amp;" "&amp;Milestones!$AC$74&amp;";  ","")&amp;IF(AND(EDATE($D52,Milestones!$AA$75)&lt;=AsOfDate,IF($R52=0,$X52,IF(AND($T52&lt;&gt;"",EDATE($D52,Milestones!$AA$75)&gt;=$T52),$W52,IF(AND($S52&lt;&gt;"",EDATE($D52,Milestones!$AA$75)&gt;=$S52),$V52,$U52)))=Milestones!$AB$75),UPPER(TEXT(EDATE($D52,Milestones!$AA$75),"dd mmm yy"))&amp;" "&amp;Milestones!$AB$75&amp;" "&amp;Milestones!$AC$75&amp;";  ","")&amp;IF(AND(EDATE($D52,Milestones!$AA$76)&lt;=AsOfDate,IF($R52=0,$X52,IF(AND($T52&lt;&gt;"",EDATE($D52,Milestones!$AA$76)&gt;=$T52),$W52,IF(AND($S52&lt;&gt;"",EDATE($D52,Milestones!$AA$76)&gt;=$S52),$V52,$U52)))=Milestones!$AB$76),UPPER(TEXT(EDATE($D52,Milestones!$AA$76),"dd mmm yy"))&amp;" "&amp;Milestones!$AB$76&amp;" "&amp;Milestones!$AC$76&amp;";  ","")&amp;IF(AND(EDATE($D52,Milestones!$AA$77)&lt;=AsOfDate,IF($R52=0,$X52,IF(AND($T52&lt;&gt;"",EDATE($D52,Milestones!$AA$77)&gt;=$T52),$W52,IF(AND($S52&lt;&gt;"",EDATE($D52,Milestones!$AA$77)&gt;=$S52),$V52,$U52)))=Milestones!$AB$77),UPPER(TEXT(EDATE($D52,Milestones!$AA$77),"dd mmm yy"))&amp;" "&amp;Milestones!$AB$77&amp;" "&amp;Milestones!$AC$77&amp;";  ","")&amp;IF(AND(EDATE($D52,Milestones!$AA$78)&lt;=AsOfDate,IF($R52=0,$X52,IF(AND($T52&lt;&gt;"",EDATE($D52,Milestones!$AA$78)&gt;=$T52),$W52,IF(AND($S52&lt;&gt;"",EDATE($D52,Milestones!$AA$78)&gt;=$S52),$V52,$U52)))=Milestones!$AB$78),UPPER(TEXT(EDATE($D52,Milestones!$AA$78),"dd mmm yy"))&amp;" "&amp;Milestones!$AB$78&amp;" "&amp;Milestones!$AC$78&amp;";  ","")&amp;IF(AND(EDATE($D52,Milestones!$AA$79)&lt;=AsOfDate,IF($R52=0,$X52,IF(AND($T52&lt;&gt;"",EDATE($D52,Milestones!$AA$79)&gt;=$T52),$W52,IF(AND($S52&lt;&gt;"",EDATE($D52,Milestones!$AA$79)&gt;=$S52),$V52,$U52)))=Milestones!$AB$79),UPPER(TEXT(EDATE($D52,Milestones!$AA$79),"dd mmm yy"))&amp;" "&amp;Milestones!$AB$79&amp;" "&amp;Milestones!$AC$79&amp;";  ",""))</f>
        <v/>
      </c>
      <c r="L52" s="0" t="str">
        <f aca="false">IF(OR($A52="",$D52=""),"",IF(AND(EDATE($D52,Milestones!$AA$80)&lt;=AsOfDate,IF($R52=0,$X52,IF(AND($T52&lt;&gt;"",EDATE($D52,Milestones!$AA$80)&gt;=$T52),$W52,IF(AND($S52&lt;&gt;"",EDATE($D52,Milestones!$AA$80)&gt;=$S52),$V52,$U52)))=Milestones!$AB$80),UPPER(TEXT(EDATE($D52,Milestones!$AA$80),"dd mmm yy"))&amp;" "&amp;Milestones!$AB$80&amp;" "&amp;Milestones!$AC$80&amp;";  ","")&amp;IF(AND(EDATE($D52,Milestones!$AA$81)&lt;=AsOfDate,IF($R52=0,$X52,IF(AND($T52&lt;&gt;"",EDATE($D52,Milestones!$AA$81)&gt;=$T52),$W52,IF(AND($S52&lt;&gt;"",EDATE($D52,Milestones!$AA$81)&gt;=$S52),$V52,$U52)))=Milestones!$AB$81),UPPER(TEXT(EDATE($D52,Milestones!$AA$81),"dd mmm yy"))&amp;" "&amp;Milestones!$AB$81&amp;" "&amp;Milestones!$AC$81&amp;";  ","")&amp;IF(AND(EDATE($D52,Milestones!$AA$82)&lt;=AsOfDate,IF($R52=0,$X52,IF(AND($T52&lt;&gt;"",EDATE($D52,Milestones!$AA$82)&gt;=$T52),$W52,IF(AND($S52&lt;&gt;"",EDATE($D52,Milestones!$AA$82)&gt;=$S52),$V52,$U52)))=Milestones!$AB$82),UPPER(TEXT(EDATE($D52,Milestones!$AA$82),"dd mmm yy"))&amp;" "&amp;Milestones!$AB$82&amp;" "&amp;Milestones!$AC$82&amp;";  ","")&amp;IF(AND(EDATE($D52,Milestones!$AA$83)&lt;=AsOfDate,IF($R52=0,$X52,IF(AND($T52&lt;&gt;"",EDATE($D52,Milestones!$AA$83)&gt;=$T52),$W52,IF(AND($S52&lt;&gt;"",EDATE($D52,Milestones!$AA$83)&gt;=$S52),$V52,$U52)))=Milestones!$AB$83),UPPER(TEXT(EDATE($D52,Milestones!$AA$83),"dd mmm yy"))&amp;" "&amp;Milestones!$AB$83&amp;" "&amp;Milestones!$AC$83&amp;";  ","")&amp;IF(AND(EDATE($D52,Milestones!$AA$84)&lt;=AsOfDate,IF($R52=0,$X52,IF(AND($T52&lt;&gt;"",EDATE($D52,Milestones!$AA$84)&gt;=$T52),$W52,IF(AND($S52&lt;&gt;"",EDATE($D52,Milestones!$AA$84)&gt;=$S52),$V52,$U52)))=Milestones!$AB$84),UPPER(TEXT(EDATE($D52,Milestones!$AA$84),"dd mmm yy"))&amp;" "&amp;Milestones!$AB$84&amp;" "&amp;Milestones!$AC$84&amp;";  ","")&amp;IF(AND(EDATE($D52,Milestones!$AA$85)&lt;=AsOfDate,IF($R52=0,$X52,IF(AND($T52&lt;&gt;"",EDATE($D52,Milestones!$AA$85)&gt;=$T52),$W52,IF(AND($S52&lt;&gt;"",EDATE($D52,Milestones!$AA$85)&gt;=$S52),$V52,$U52)))=Milestones!$AB$85),UPPER(TEXT(EDATE($D52,Milestones!$AA$85),"dd mmm yy"))&amp;" "&amp;Milestones!$AB$85&amp;" "&amp;Milestones!$AC$85&amp;";  ","")&amp;IF(AND(EDATE($D52,Milestones!$AA$86)&lt;=AsOfDate,IF($R52=0,$X52,IF(AND($T52&lt;&gt;"",EDATE($D52,Milestones!$AA$86)&gt;=$T52),$W52,IF(AND($S52&lt;&gt;"",EDATE($D52,Milestones!$AA$86)&gt;=$S52),$V52,$U52)))=Milestones!$AB$86),UPPER(TEXT(EDATE($D52,Milestones!$AA$86),"dd mmm yy"))&amp;" "&amp;Milestones!$AB$86&amp;" "&amp;Milestones!$AC$86&amp;";  ","")&amp;IF(AND(EDATE($D52,Milestones!$AA$87)&lt;=AsOfDate,IF($R52=0,$X52,IF(AND($T52&lt;&gt;"",EDATE($D52,Milestones!$AA$87)&gt;=$T52),$W52,IF(AND($S52&lt;&gt;"",EDATE($D52,Milestones!$AA$87)&gt;=$S52),$V52,$U52)))=Milestones!$AB$87),UPPER(TEXT(EDATE($D52,Milestones!$AA$87),"dd mmm yy"))&amp;" "&amp;Milestones!$AB$87&amp;" "&amp;Milestones!$AC$87&amp;";  ","")&amp;IF(AND(EDATE($D52,Milestones!$AA$88)&lt;=AsOfDate,IF($R52=0,$X52,IF(AND($T52&lt;&gt;"",EDATE($D52,Milestones!$AA$88)&gt;=$T52),$W52,IF(AND($S52&lt;&gt;"",EDATE($D52,Milestones!$AA$88)&gt;=$S52),$V52,$U52)))=Milestones!$AB$88),UPPER(TEXT(EDATE($D52,Milestones!$AA$88),"dd mmm yy"))&amp;" "&amp;Milestones!$AB$88&amp;" "&amp;Milestones!$AC$88&amp;";  ","")&amp;IF(AND(EDATE($D52,Milestones!$AA$89)&lt;=AsOfDate,IF($R52=0,$X52,IF(AND($T52&lt;&gt;"",EDATE($D52,Milestones!$AA$89)&gt;=$T52),$W52,IF(AND($S52&lt;&gt;"",EDATE($D52,Milestones!$AA$89)&gt;=$S52),$V52,$U52)))=Milestones!$AB$89),UPPER(TEXT(EDATE($D52,Milestones!$AA$89),"dd mmm yy"))&amp;" "&amp;Milestones!$AB$89&amp;" "&amp;Milestones!$AC$89&amp;";  ","")&amp;IF(AND(EDATE($D52,Milestones!$AA$90)&lt;=AsOfDate,IF($R52=0,$X52,IF(AND($T52&lt;&gt;"",EDATE($D52,Milestones!$AA$90)&gt;=$T52),$W52,IF(AND($S52&lt;&gt;"",EDATE($D52,Milestones!$AA$90)&gt;=$S52),$V52,$U52)))=Milestones!$AB$90),UPPER(TEXT(EDATE($D52,Milestones!$AA$90),"dd mmm yy"))&amp;" "&amp;Milestones!$AB$90&amp;" "&amp;Milestones!$AC$90&amp;";  ","")&amp;IF(AND(EDATE($D52,Milestones!$AA$91)&lt;=AsOfDate,IF($R52=0,$X52,IF(AND($T52&lt;&gt;"",EDATE($D52,Milestones!$AA$91)&gt;=$T52),$W52,IF(AND($S52&lt;&gt;"",EDATE($D52,Milestones!$AA$91)&gt;=$S52),$V52,$U52)))=Milestones!$AB$91),UPPER(TEXT(EDATE($D52,Milestones!$AA$91),"dd mmm yy"))&amp;" "&amp;Milestones!$AB$91&amp;" "&amp;Milestones!$AC$91&amp;";  ","")&amp;IF(AND(EDATE($D52,Milestones!$AA$92)&lt;=AsOfDate,IF($R52=0,$X52,IF(AND($T52&lt;&gt;"",EDATE($D52,Milestones!$AA$92)&gt;=$T52),$W52,IF(AND($S52&lt;&gt;"",EDATE($D52,Milestones!$AA$92)&gt;=$S52),$V52,$U52)))=Milestones!$AB$92),UPPER(TEXT(EDATE($D52,Milestones!$AA$92),"dd mmm yy"))&amp;" "&amp;Milestones!$AB$92&amp;" "&amp;Milestones!$AC$92&amp;";  ","")&amp;IF(AND(EDATE($D52,Milestones!$AA$93)&lt;=AsOfDate,IF($R52=0,$X52,IF(AND($T52&lt;&gt;"",EDATE($D52,Milestones!$AA$93)&gt;=$T52),$W52,IF(AND($S52&lt;&gt;"",EDATE($D52,Milestones!$AA$93)&gt;=$S52),$V52,$U52)))=Milestones!$AB$93),UPPER(TEXT(EDATE($D52,Milestones!$AA$93),"dd mmm yy"))&amp;" "&amp;Milestones!$AB$93&amp;" "&amp;Milestones!$AC$93&amp;";  ","")&amp;IF(AND(EDATE($D52,Milestones!$AA$94)&lt;=AsOfDate,IF($R52=0,$X52,IF(AND($T52&lt;&gt;"",EDATE($D52,Milestones!$AA$94)&gt;=$T52),$W52,IF(AND($S52&lt;&gt;"",EDATE($D52,Milestones!$AA$94)&gt;=$S52),$V52,$U52)))=Milestones!$AB$94),UPPER(TEXT(EDATE($D52,Milestones!$AA$94),"dd mmm yy"))&amp;" "&amp;Milestones!$AB$94&amp;" "&amp;Milestones!$AC$94&amp;";  ","")&amp;IF(AND(EDATE($D52,Milestones!$AA$95)&lt;=AsOfDate,IF($R52=0,$X52,IF(AND($T52&lt;&gt;"",EDATE($D52,Milestones!$AA$95)&gt;=$T52),$W52,IF(AND($S52&lt;&gt;"",EDATE($D52,Milestones!$AA$95)&gt;=$S52),$V52,$U52)))=Milestones!$AB$95),UPPER(TEXT(EDATE($D52,Milestones!$AA$95),"dd mmm yy"))&amp;" "&amp;Milestones!$AB$95&amp;" "&amp;Milestones!$AC$95&amp;";  ","")&amp;IF(AND(EDATE($D52,Milestones!$AA$96)&lt;=AsOfDate,IF($R52=0,$X52,IF(AND($T52&lt;&gt;"",EDATE($D52,Milestones!$AA$96)&gt;=$T52),$W52,IF(AND($S52&lt;&gt;"",EDATE($D52,Milestones!$AA$96)&gt;=$S52),$V52,$U52)))=Milestones!$AB$96),UPPER(TEXT(EDATE($D52,Milestones!$AA$96),"dd mmm yy"))&amp;" "&amp;Milestones!$AB$96&amp;" "&amp;Milestones!$AC$96&amp;";  ","")&amp;IF(AND(EDATE($D52,Milestones!$AA$97)&lt;=AsOfDate,IF($R52=0,$X52,IF(AND($T52&lt;&gt;"",EDATE($D52,Milestones!$AA$97)&gt;=$T52),$W52,IF(AND($S52&lt;&gt;"",EDATE($D52,Milestones!$AA$97)&gt;=$S52),$V52,$U52)))=Milestones!$AB$97),UPPER(TEXT(EDATE($D52,Milestones!$AA$97),"dd mmm yy"))&amp;" "&amp;Milestones!$AB$97&amp;" "&amp;Milestones!$AC$97&amp;";  ","")&amp;IF(AND(EDATE($D52,Milestones!$AA$98)&lt;=AsOfDate,IF($R52=0,$X52,IF(AND($T52&lt;&gt;"",EDATE($D52,Milestones!$AA$98)&gt;=$T52),$W52,IF(AND($S52&lt;&gt;"",EDATE($D52,Milestones!$AA$98)&gt;=$S52),$V52,$U52)))=Milestones!$AB$98),UPPER(TEXT(EDATE($D52,Milestones!$AA$98),"dd mmm yy"))&amp;" "&amp;Milestones!$AB$98&amp;" "&amp;Milestones!$AC$98&amp;";  ","")&amp;IF(AND(EDATE($D52,Milestones!$AA$99)&lt;=AsOfDate,IF($R52=0,$X52,IF(AND($T52&lt;&gt;"",EDATE($D52,Milestones!$AA$99)&gt;=$T52),$W52,IF(AND($S52&lt;&gt;"",EDATE($D52,Milestones!$AA$99)&gt;=$S52),$V52,$U52)))=Milestones!$AB$99),UPPER(TEXT(EDATE($D52,Milestones!$AA$99),"dd mmm yy"))&amp;" "&amp;Milestones!$AB$99&amp;" "&amp;Milestones!$AC$99&amp;";  ",""))</f>
        <v/>
      </c>
      <c r="M52" s="0" t="str">
        <f aca="false">IF(OR($A52="",$D52=""),"",IF(AND(EDATE($D52,Milestones!$AA$100)&lt;=AsOfDate,IF($R52=0,$X52,IF(AND($T52&lt;&gt;"",EDATE($D52,Milestones!$AA$100)&gt;=$T52),$W52,IF(AND($S52&lt;&gt;"",EDATE($D52,Milestones!$AA$100)&gt;=$S52),$V52,$U52)))=Milestones!$AB$100),UPPER(TEXT(EDATE($D52,Milestones!$AA$100),"dd mmm yy"))&amp;" "&amp;Milestones!$AB$100&amp;" "&amp;Milestones!$AC$100&amp;";  ","")&amp;IF(AND(EDATE($D52,Milestones!$AA$101)&lt;=AsOfDate,IF($R52=0,$X52,IF(AND($T52&lt;&gt;"",EDATE($D52,Milestones!$AA$101)&gt;=$T52),$W52,IF(AND($S52&lt;&gt;"",EDATE($D52,Milestones!$AA$101)&gt;=$S52),$V52,$U52)))=Milestones!$AB$101),UPPER(TEXT(EDATE($D52,Milestones!$AA$101),"dd mmm yy"))&amp;" "&amp;Milestones!$AB$101&amp;" "&amp;Milestones!$AC$101&amp;";  ","")&amp;IF(AND(EDATE($D52,Milestones!$AA$102)&lt;=AsOfDate,IF($R52=0,$X52,IF(AND($T52&lt;&gt;"",EDATE($D52,Milestones!$AA$102)&gt;=$T52),$W52,IF(AND($S52&lt;&gt;"",EDATE($D52,Milestones!$AA$102)&gt;=$S52),$V52,$U52)))=Milestones!$AB$102),UPPER(TEXT(EDATE($D52,Milestones!$AA$102),"dd mmm yy"))&amp;" "&amp;Milestones!$AB$102&amp;" "&amp;Milestones!$AC$102&amp;";  ","")&amp;IF(AND(EDATE($D52,Milestones!$AA$103)&lt;=AsOfDate,IF($R52=0,$X52,IF(AND($T52&lt;&gt;"",EDATE($D52,Milestones!$AA$103)&gt;=$T52),$W52,IF(AND($S52&lt;&gt;"",EDATE($D52,Milestones!$AA$103)&gt;=$S52),$V52,$U52)))=Milestones!$AB$103),UPPER(TEXT(EDATE($D52,Milestones!$AA$103),"dd mmm yy"))&amp;" "&amp;Milestones!$AB$103&amp;" "&amp;Milestones!$AC$103&amp;";  ","")&amp;IF(AND(EDATE($D52,Milestones!$AA$104)&lt;=AsOfDate,IF($R52=0,$X52,IF(AND($T52&lt;&gt;"",EDATE($D52,Milestones!$AA$104)&gt;=$T52),$W52,IF(AND($S52&lt;&gt;"",EDATE($D52,Milestones!$AA$104)&gt;=$S52),$V52,$U52)))=Milestones!$AB$104),UPPER(TEXT(EDATE($D52,Milestones!$AA$104),"dd mmm yy"))&amp;" "&amp;Milestones!$AB$104&amp;" "&amp;Milestones!$AC$104&amp;";  ","")&amp;IF(AND(EDATE($D52,Milestones!$AA$105)&lt;=AsOfDate,IF($R52=0,$X52,IF(AND($T52&lt;&gt;"",EDATE($D52,Milestones!$AA$105)&gt;=$T52),$W52,IF(AND($S52&lt;&gt;"",EDATE($D52,Milestones!$AA$105)&gt;=$S52),$V52,$U52)))=Milestones!$AB$105),UPPER(TEXT(EDATE($D52,Milestones!$AA$105),"dd mmm yy"))&amp;" "&amp;Milestones!$AB$105&amp;" "&amp;Milestones!$AC$105&amp;";  ","")&amp;IF(AND(EDATE($D52,Milestones!$AA$106)&lt;=AsOfDate,IF($R52=0,$X52,IF(AND($T52&lt;&gt;"",EDATE($D52,Milestones!$AA$106)&gt;=$T52),$W52,IF(AND($S52&lt;&gt;"",EDATE($D52,Milestones!$AA$106)&gt;=$S52),$V52,$U52)))=Milestones!$AB$106),UPPER(TEXT(EDATE($D52,Milestones!$AA$106),"dd mmm yy"))&amp;" "&amp;Milestones!$AB$106&amp;" "&amp;Milestones!$AC$106&amp;";  ","")&amp;IF(AND(EDATE($D52,Milestones!$AA$107)&lt;=AsOfDate,IF($R52=0,$X52,IF(AND($T52&lt;&gt;"",EDATE($D52,Milestones!$AA$107)&gt;=$T52),$W52,IF(AND($S52&lt;&gt;"",EDATE($D52,Milestones!$AA$107)&gt;=$S52),$V52,$U52)))=Milestones!$AB$107),UPPER(TEXT(EDATE($D52,Milestones!$AA$107),"dd mmm yy"))&amp;" "&amp;Milestones!$AB$107&amp;" "&amp;Milestones!$AC$107&amp;";  ","")&amp;IF(AND(EDATE($D52,Milestones!$AA$108)&lt;=AsOfDate,IF($R52=0,$X52,IF(AND($T52&lt;&gt;"",EDATE($D52,Milestones!$AA$108)&gt;=$T52),$W52,IF(AND($S52&lt;&gt;"",EDATE($D52,Milestones!$AA$108)&gt;=$S52),$V52,$U52)))=Milestones!$AB$108),UPPER(TEXT(EDATE($D52,Milestones!$AA$108),"dd mmm yy"))&amp;" "&amp;Milestones!$AB$108&amp;" "&amp;Milestones!$AC$108&amp;";  ","")&amp;IF(AND(EDATE($D52,Milestones!$AA$109)&lt;=AsOfDate,IF($R52=0,$X52,IF(AND($T52&lt;&gt;"",EDATE($D52,Milestones!$AA$109)&gt;=$T52),$W52,IF(AND($S52&lt;&gt;"",EDATE($D52,Milestones!$AA$109)&gt;=$S52),$V52,$U52)))=Milestones!$AB$109),UPPER(TEXT(EDATE($D52,Milestones!$AA$109),"dd mmm yy"))&amp;" "&amp;Milestones!$AB$109&amp;" "&amp;Milestones!$AC$109&amp;";  ","")&amp;IF(AND(EDATE($D52,Milestones!$AA$110)&lt;=AsOfDate,IF($R52=0,$X52,IF(AND($T52&lt;&gt;"",EDATE($D52,Milestones!$AA$110)&gt;=$T52),$W52,IF(AND($S52&lt;&gt;"",EDATE($D52,Milestones!$AA$110)&gt;=$S52),$V52,$U52)))=Milestones!$AB$110),UPPER(TEXT(EDATE($D52,Milestones!$AA$110),"dd mmm yy"))&amp;" "&amp;Milestones!$AB$110&amp;" "&amp;Milestones!$AC$110&amp;";  ","")&amp;IF(AND(EDATE($D52,Milestones!$AA$111)&lt;=AsOfDate,IF($R52=0,$X52,IF(AND($T52&lt;&gt;"",EDATE($D52,Milestones!$AA$111)&gt;=$T52),$W52,IF(AND($S52&lt;&gt;"",EDATE($D52,Milestones!$AA$111)&gt;=$S52),$V52,$U52)))=Milestones!$AB$111),UPPER(TEXT(EDATE($D52,Milestones!$AA$111),"dd mmm yy"))&amp;" "&amp;Milestones!$AB$111&amp;" "&amp;Milestones!$AC$111&amp;";  ","")&amp;IF(AND(EDATE($D52,Milestones!$AA$112)&lt;=AsOfDate,IF($R52=0,$X52,IF(AND($T52&lt;&gt;"",EDATE($D52,Milestones!$AA$112)&gt;=$T52),$W52,IF(AND($S52&lt;&gt;"",EDATE($D52,Milestones!$AA$112)&gt;=$S52),$V52,$U52)))=Milestones!$AB$112),UPPER(TEXT(EDATE($D52,Milestones!$AA$112),"dd mmm yy"))&amp;" "&amp;Milestones!$AB$112&amp;" "&amp;Milestones!$AC$112&amp;";  ","")&amp;IF(AND(EDATE($D52,Milestones!$AA$113)&lt;=AsOfDate,IF($R52=0,$X52,IF(AND($T52&lt;&gt;"",EDATE($D52,Milestones!$AA$113)&gt;=$T52),$W52,IF(AND($S52&lt;&gt;"",EDATE($D52,Milestones!$AA$113)&gt;=$S52),$V52,$U52)))=Milestones!$AB$113),UPPER(TEXT(EDATE($D52,Milestones!$AA$113),"dd mmm yy"))&amp;" "&amp;Milestones!$AB$113&amp;" "&amp;Milestones!$AC$113&amp;";  ","")&amp;IF(AND(EDATE($D52,Milestones!$AA$114)&lt;=AsOfDate,IF($R52=0,$X52,IF(AND($T52&lt;&gt;"",EDATE($D52,Milestones!$AA$114)&gt;=$T52),$W52,IF(AND($S52&lt;&gt;"",EDATE($D52,Milestones!$AA$114)&gt;=$S52),$V52,$U52)))=Milestones!$AB$114),UPPER(TEXT(EDATE($D52,Milestones!$AA$114),"dd mmm yy"))&amp;" "&amp;Milestones!$AB$114&amp;" "&amp;Milestones!$AC$114&amp;";  ","")&amp;IF(AND(EDATE($D52,Milestones!$AA$115)&lt;=AsOfDate,IF($R52=0,$X52,IF(AND($T52&lt;&gt;"",EDATE($D52,Milestones!$AA$115)&gt;=$T52),$W52,IF(AND($S52&lt;&gt;"",EDATE($D52,Milestones!$AA$115)&gt;=$S52),$V52,$U52)))=Milestones!$AB$115),UPPER(TEXT(EDATE($D52,Milestones!$AA$115),"dd mmm yy"))&amp;" "&amp;Milestones!$AB$115&amp;" "&amp;Milestones!$AC$115&amp;";  ","")&amp;IF(AND(EDATE($D52,Milestones!$AA$116)&lt;=AsOfDate,IF($R52=0,$X52,IF(AND($T52&lt;&gt;"",EDATE($D52,Milestones!$AA$116)&gt;=$T52),$W52,IF(AND($S52&lt;&gt;"",EDATE($D52,Milestones!$AA$116)&gt;=$S52),$V52,$U52)))=Milestones!$AB$116),UPPER(TEXT(EDATE($D52,Milestones!$AA$116),"dd mmm yy"))&amp;" "&amp;Milestones!$AB$116&amp;" "&amp;Milestones!$AC$116&amp;";  ","")&amp;IF(AND(EDATE($D52,Milestones!$AA$117)&lt;=AsOfDate,IF($R52=0,$X52,IF(AND($T52&lt;&gt;"",EDATE($D52,Milestones!$AA$117)&gt;=$T52),$W52,IF(AND($S52&lt;&gt;"",EDATE($D52,Milestones!$AA$117)&gt;=$S52),$V52,$U52)))=Milestones!$AB$117),UPPER(TEXT(EDATE($D52,Milestones!$AA$117),"dd mmm yy"))&amp;" "&amp;Milestones!$AB$117&amp;" "&amp;Milestones!$AC$117&amp;";  ","")&amp;IF(AND(EDATE($D52,Milestones!$AA$118)&lt;=AsOfDate,IF($R52=0,$X52,IF(AND($T52&lt;&gt;"",EDATE($D52,Milestones!$AA$118)&gt;=$T52),$W52,IF(AND($S52&lt;&gt;"",EDATE($D52,Milestones!$AA$118)&gt;=$S52),$V52,$U52)))=Milestones!$AB$118),UPPER(TEXT(EDATE($D52,Milestones!$AA$118),"dd mmm yy"))&amp;" "&amp;Milestones!$AB$118&amp;" "&amp;Milestones!$AC$118&amp;";  ","")&amp;IF(AND(EDATE($D52,Milestones!$AA$119)&lt;=AsOfDate,IF($R52=0,$X52,IF(AND($T52&lt;&gt;"",EDATE($D52,Milestones!$AA$119)&gt;=$T52),$W52,IF(AND($S52&lt;&gt;"",EDATE($D52,Milestones!$AA$119)&gt;=$S52),$V52,$U52)))=Milestones!$AB$119),UPPER(TEXT(EDATE($D52,Milestones!$AA$119),"dd mmm yy"))&amp;" "&amp;Milestones!$AB$119&amp;" "&amp;Milestones!$AC$119&amp;";  ",""))</f>
        <v/>
      </c>
      <c r="N52" s="0" t="str">
        <f aca="false">IF(OR($A52="",$D52=""),"",IF(AND(EDATE($D52,Milestones!$AA$120)&lt;=AsOfDate,IF($R52=0,$X52,IF(AND($T52&lt;&gt;"",EDATE($D52,Milestones!$AA$120)&gt;=$T52),$W52,IF(AND($S52&lt;&gt;"",EDATE($D52,Milestones!$AA$120)&gt;=$S52),$V52,$U52)))=Milestones!$AB$120),UPPER(TEXT(EDATE($D52,Milestones!$AA$120),"dd mmm yy"))&amp;" "&amp;Milestones!$AB$120&amp;" "&amp;Milestones!$AC$120&amp;";  ","")&amp;IF(AND(EDATE($D52,Milestones!$AA$121)&lt;=AsOfDate,IF($R52=0,$X52,IF(AND($T52&lt;&gt;"",EDATE($D52,Milestones!$AA$121)&gt;=$T52),$W52,IF(AND($S52&lt;&gt;"",EDATE($D52,Milestones!$AA$121)&gt;=$S52),$V52,$U52)))=Milestones!$AB$121),UPPER(TEXT(EDATE($D52,Milestones!$AA$121),"dd mmm yy"))&amp;" "&amp;Milestones!$AB$121&amp;" "&amp;Milestones!$AC$121&amp;";  ","")&amp;IF(AND(EDATE($D52,Milestones!$AA$122)&lt;=AsOfDate,IF($R52=0,$X52,IF(AND($T52&lt;&gt;"",EDATE($D52,Milestones!$AA$122)&gt;=$T52),$W52,IF(AND($S52&lt;&gt;"",EDATE($D52,Milestones!$AA$122)&gt;=$S52),$V52,$U52)))=Milestones!$AB$122),UPPER(TEXT(EDATE($D52,Milestones!$AA$122),"dd mmm yy"))&amp;" "&amp;Milestones!$AB$122&amp;" "&amp;Milestones!$AC$122&amp;";  ","")&amp;IF(AND(EDATE($D52,Milestones!$AA$123)&lt;=AsOfDate,IF($R52=0,$X52,IF(AND($T52&lt;&gt;"",EDATE($D52,Milestones!$AA$123)&gt;=$T52),$W52,IF(AND($S52&lt;&gt;"",EDATE($D52,Milestones!$AA$123)&gt;=$S52),$V52,$U52)))=Milestones!$AB$123),UPPER(TEXT(EDATE($D52,Milestones!$AA$123),"dd mmm yy"))&amp;" "&amp;Milestones!$AB$123&amp;" "&amp;Milestones!$AC$123&amp;";  ","")&amp;IF(AND(EDATE($D52,Milestones!$AA$124)&lt;=AsOfDate,IF($R52=0,$X52,IF(AND($T52&lt;&gt;"",EDATE($D52,Milestones!$AA$124)&gt;=$T52),$W52,IF(AND($S52&lt;&gt;"",EDATE($D52,Milestones!$AA$124)&gt;=$S52),$V52,$U52)))=Milestones!$AB$124),UPPER(TEXT(EDATE($D52,Milestones!$AA$124),"dd mmm yy"))&amp;" "&amp;Milestones!$AB$124&amp;" "&amp;Milestones!$AC$124&amp;";  ","")&amp;IF(AND(EDATE($D52,Milestones!$AA$125)&lt;=AsOfDate,IF($R52=0,$X52,IF(AND($T52&lt;&gt;"",EDATE($D52,Milestones!$AA$125)&gt;=$T52),$W52,IF(AND($S52&lt;&gt;"",EDATE($D52,Milestones!$AA$125)&gt;=$S52),$V52,$U52)))=Milestones!$AB$125),UPPER(TEXT(EDATE($D52,Milestones!$AA$125),"dd mmm yy"))&amp;" "&amp;Milestones!$AB$125&amp;" "&amp;Milestones!$AC$125&amp;";  ","")&amp;IF(AND(EDATE($D52,Milestones!$AA$126)&lt;=AsOfDate,IF($R52=0,$X52,IF(AND($T52&lt;&gt;"",EDATE($D52,Milestones!$AA$126)&gt;=$T52),$W52,IF(AND($S52&lt;&gt;"",EDATE($D52,Milestones!$AA$126)&gt;=$S52),$V52,$U52)))=Milestones!$AB$126),UPPER(TEXT(EDATE($D52,Milestones!$AA$126),"dd mmm yy"))&amp;" "&amp;Milestones!$AB$126&amp;" "&amp;Milestones!$AC$126&amp;";  ","")&amp;IF(AND(EDATE($D52,Milestones!$AA$127)&lt;=AsOfDate,IF($R52=0,$X52,IF(AND($T52&lt;&gt;"",EDATE($D52,Milestones!$AA$127)&gt;=$T52),$W52,IF(AND($S52&lt;&gt;"",EDATE($D52,Milestones!$AA$127)&gt;=$S52),$V52,$U52)))=Milestones!$AB$127),UPPER(TEXT(EDATE($D52,Milestones!$AA$127),"dd mmm yy"))&amp;" "&amp;Milestones!$AB$127&amp;" "&amp;Milestones!$AC$127&amp;";  ","")&amp;IF(AND(EDATE($D52,Milestones!$AA$128)&lt;=AsOfDate,IF($R52=0,$X52,IF(AND($T52&lt;&gt;"",EDATE($D52,Milestones!$AA$128)&gt;=$T52),$W52,IF(AND($S52&lt;&gt;"",EDATE($D52,Milestones!$AA$128)&gt;=$S52),$V52,$U52)))=Milestones!$AB$128),UPPER(TEXT(EDATE($D52,Milestones!$AA$128),"dd mmm yy"))&amp;" "&amp;Milestones!$AB$128&amp;" "&amp;Milestones!$AC$128&amp;";  ","")&amp;IF(AND(EDATE($D52,Milestones!$AA$129)&lt;=AsOfDate,IF($R52=0,$X52,IF(AND($T52&lt;&gt;"",EDATE($D52,Milestones!$AA$129)&gt;=$T52),$W52,IF(AND($S52&lt;&gt;"",EDATE($D52,Milestones!$AA$129)&gt;=$S52),$V52,$U52)))=Milestones!$AB$129),UPPER(TEXT(EDATE($D52,Milestones!$AA$129),"dd mmm yy"))&amp;" "&amp;Milestones!$AB$129&amp;" "&amp;Milestones!$AC$129&amp;";  ","")&amp;IF(AND(EDATE($D52,Milestones!$AA$130)&lt;=AsOfDate,IF($R52=0,$X52,IF(AND($T52&lt;&gt;"",EDATE($D52,Milestones!$AA$130)&gt;=$T52),$W52,IF(AND($S52&lt;&gt;"",EDATE($D52,Milestones!$AA$130)&gt;=$S52),$V52,$U52)))=Milestones!$AB$130),UPPER(TEXT(EDATE($D52,Milestones!$AA$130),"dd mmm yy"))&amp;" "&amp;Milestones!$AB$130&amp;" "&amp;Milestones!$AC$130&amp;";  ","")&amp;IF(AND(EDATE($D52,Milestones!$AA$131)&lt;=AsOfDate,IF($R52=0,$X52,IF(AND($T52&lt;&gt;"",EDATE($D52,Milestones!$AA$131)&gt;=$T52),$W52,IF(AND($S52&lt;&gt;"",EDATE($D52,Milestones!$AA$131)&gt;=$S52),$V52,$U52)))=Milestones!$AB$131),UPPER(TEXT(EDATE($D52,Milestones!$AA$131),"dd mmm yy"))&amp;" "&amp;Milestones!$AB$131&amp;" "&amp;Milestones!$AC$131&amp;";  ","")&amp;IF(AND(EDATE($D52,Milestones!$AA$132)&lt;=AsOfDate,IF($R52=0,$X52,IF(AND($T52&lt;&gt;"",EDATE($D52,Milestones!$AA$132)&gt;=$T52),$W52,IF(AND($S52&lt;&gt;"",EDATE($D52,Milestones!$AA$132)&gt;=$S52),$V52,$U52)))=Milestones!$AB$132),UPPER(TEXT(EDATE($D52,Milestones!$AA$132),"dd mmm yy"))&amp;" "&amp;Milestones!$AB$132&amp;" "&amp;Milestones!$AC$132&amp;";  ","")&amp;IF(AND(EDATE($D52,Milestones!$AA$133)&lt;=AsOfDate,IF($R52=0,$X52,IF(AND($T52&lt;&gt;"",EDATE($D52,Milestones!$AA$133)&gt;=$T52),$W52,IF(AND($S52&lt;&gt;"",EDATE($D52,Milestones!$AA$133)&gt;=$S52),$V52,$U52)))=Milestones!$AB$133),UPPER(TEXT(EDATE($D52,Milestones!$AA$133),"dd mmm yy"))&amp;" "&amp;Milestones!$AB$133&amp;" "&amp;Milestones!$AC$133&amp;";  ","")&amp;IF(AND(EDATE($D52,Milestones!$AA$134)&lt;=AsOfDate,IF($R52=0,$X52,IF(AND($T52&lt;&gt;"",EDATE($D52,Milestones!$AA$134)&gt;=$T52),$W52,IF(AND($S52&lt;&gt;"",EDATE($D52,Milestones!$AA$134)&gt;=$S52),$V52,$U52)))=Milestones!$AB$134),UPPER(TEXT(EDATE($D52,Milestones!$AA$134),"dd mmm yy"))&amp;" "&amp;Milestones!$AB$134&amp;" "&amp;Milestones!$AC$134&amp;";  ","")&amp;IF(AND(EDATE($D52,Milestones!$AA$135)&lt;=AsOfDate,IF($R52=0,$X52,IF(AND($T52&lt;&gt;"",EDATE($D52,Milestones!$AA$135)&gt;=$T52),$W52,IF(AND($S52&lt;&gt;"",EDATE($D52,Milestones!$AA$135)&gt;=$S52),$V52,$U52)))=Milestones!$AB$135),UPPER(TEXT(EDATE($D52,Milestones!$AA$135),"dd mmm yy"))&amp;" "&amp;Milestones!$AB$135&amp;" "&amp;Milestones!$AC$135&amp;";  ","")&amp;IF(AND(EDATE($D52,Milestones!$AA$136)&lt;=AsOfDate,IF($R52=0,$X52,IF(AND($T52&lt;&gt;"",EDATE($D52,Milestones!$AA$136)&gt;=$T52),$W52,IF(AND($S52&lt;&gt;"",EDATE($D52,Milestones!$AA$136)&gt;=$S52),$V52,$U52)))=Milestones!$AB$136),UPPER(TEXT(EDATE($D52,Milestones!$AA$136),"dd mmm yy"))&amp;" "&amp;Milestones!$AB$136&amp;" "&amp;Milestones!$AC$136&amp;";  ","")&amp;IF(AND(EDATE($D52,Milestones!$AA$137)&lt;=AsOfDate,IF($R52=0,$X52,IF(AND($T52&lt;&gt;"",EDATE($D52,Milestones!$AA$137)&gt;=$T52),$W52,IF(AND($S52&lt;&gt;"",EDATE($D52,Milestones!$AA$137)&gt;=$S52),$V52,$U52)))=Milestones!$AB$137),UPPER(TEXT(EDATE($D52,Milestones!$AA$137),"dd mmm yy"))&amp;" "&amp;Milestones!$AB$137&amp;" "&amp;Milestones!$AC$137&amp;";  ","")&amp;IF(AND(EDATE($D52,Milestones!$AA$138)&lt;=AsOfDate,IF($R52=0,$X52,IF(AND($T52&lt;&gt;"",EDATE($D52,Milestones!$AA$138)&gt;=$T52),$W52,IF(AND($S52&lt;&gt;"",EDATE($D52,Milestones!$AA$138)&gt;=$S52),$V52,$U52)))=Milestones!$AB$138),UPPER(TEXT(EDATE($D52,Milestones!$AA$138),"dd mmm yy"))&amp;" "&amp;Milestones!$AB$138&amp;" "&amp;Milestones!$AC$138&amp;";  ","")&amp;IF(AND(EDATE($D52,Milestones!$AA$139)&lt;=AsOfDate,IF($R52=0,$X52,IF(AND($T52&lt;&gt;"",EDATE($D52,Milestones!$AA$139)&gt;=$T52),$W52,IF(AND($S52&lt;&gt;"",EDATE($D52,Milestones!$AA$139)&gt;=$S52),$V52,$U52)))=Milestones!$AB$139),UPPER(TEXT(EDATE($D52,Milestones!$AA$139),"dd mmm yy"))&amp;" "&amp;Milestones!$AB$139&amp;" "&amp;Milestones!$AC$139&amp;";  ",""))</f>
        <v/>
      </c>
      <c r="O52" s="0" t="str">
        <f aca="false">IF(OR($A52="",$D52=""),"",IF(AND(EDATE($D52,Milestones!$AA$140)&lt;=AsOfDate,IF($R52=0,$X52,IF(AND($T52&lt;&gt;"",EDATE($D52,Milestones!$AA$140)&gt;=$T52),$W52,IF(AND($S52&lt;&gt;"",EDATE($D52,Milestones!$AA$140)&gt;=$S52),$V52,$U52)))=Milestones!$AB$140),UPPER(TEXT(EDATE($D52,Milestones!$AA$140),"dd mmm yy"))&amp;" "&amp;Milestones!$AB$140&amp;" "&amp;Milestones!$AC$140&amp;";  ","")&amp;IF(AND(EDATE($D52,Milestones!$AA$141)&lt;=AsOfDate,IF($R52=0,$X52,IF(AND($T52&lt;&gt;"",EDATE($D52,Milestones!$AA$141)&gt;=$T52),$W52,IF(AND($S52&lt;&gt;"",EDATE($D52,Milestones!$AA$141)&gt;=$S52),$V52,$U52)))=Milestones!$AB$141),UPPER(TEXT(EDATE($D52,Milestones!$AA$141),"dd mmm yy"))&amp;" "&amp;Milestones!$AB$141&amp;" "&amp;Milestones!$AC$141&amp;";  ","")&amp;IF(AND(EDATE($D52,Milestones!$AA$142)&lt;=AsOfDate,IF($R52=0,$X52,IF(AND($T52&lt;&gt;"",EDATE($D52,Milestones!$AA$142)&gt;=$T52),$W52,IF(AND($S52&lt;&gt;"",EDATE($D52,Milestones!$AA$142)&gt;=$S52),$V52,$U52)))=Milestones!$AB$142),UPPER(TEXT(EDATE($D52,Milestones!$AA$142),"dd mmm yy"))&amp;" "&amp;Milestones!$AB$142&amp;" "&amp;Milestones!$AC$142&amp;";  ","")&amp;IF(AND(EDATE($D52,Milestones!$AA$143)&lt;=AsOfDate,IF($R52=0,$X52,IF(AND($T52&lt;&gt;"",EDATE($D52,Milestones!$AA$143)&gt;=$T52),$W52,IF(AND($S52&lt;&gt;"",EDATE($D52,Milestones!$AA$143)&gt;=$S52),$V52,$U52)))=Milestones!$AB$143),UPPER(TEXT(EDATE($D52,Milestones!$AA$143),"dd mmm yy"))&amp;" "&amp;Milestones!$AB$143&amp;" "&amp;Milestones!$AC$143&amp;";  ","")&amp;IF(AND(EDATE($D52,Milestones!$AA$144)&lt;=AsOfDate,IF($R52=0,$X52,IF(AND($T52&lt;&gt;"",EDATE($D52,Milestones!$AA$144)&gt;=$T52),$W52,IF(AND($S52&lt;&gt;"",EDATE($D52,Milestones!$AA$144)&gt;=$S52),$V52,$U52)))=Milestones!$AB$144),UPPER(TEXT(EDATE($D52,Milestones!$AA$144),"dd mmm yy"))&amp;" "&amp;Milestones!$AB$144&amp;" "&amp;Milestones!$AC$144&amp;";  ","")&amp;IF(AND(EDATE($D52,Milestones!$AA$145)&lt;=AsOfDate,IF($R52=0,$X52,IF(AND($T52&lt;&gt;"",EDATE($D52,Milestones!$AA$145)&gt;=$T52),$W52,IF(AND($S52&lt;&gt;"",EDATE($D52,Milestones!$AA$145)&gt;=$S52),$V52,$U52)))=Milestones!$AB$145),UPPER(TEXT(EDATE($D52,Milestones!$AA$145),"dd mmm yy"))&amp;" "&amp;Milestones!$AB$145&amp;" "&amp;Milestones!$AC$145&amp;";  ","")&amp;IF(AND(EDATE($D52,Milestones!$AA$146)&lt;=AsOfDate,IF($R52=0,$X52,IF(AND($T52&lt;&gt;"",EDATE($D52,Milestones!$AA$146)&gt;=$T52),$W52,IF(AND($S52&lt;&gt;"",EDATE($D52,Milestones!$AA$146)&gt;=$S52),$V52,$U52)))=Milestones!$AB$146),UPPER(TEXT(EDATE($D52,Milestones!$AA$146),"dd mmm yy"))&amp;" "&amp;Milestones!$AB$146&amp;" "&amp;Milestones!$AC$146&amp;";  ","")&amp;IF(AND(EDATE($D52,Milestones!$AA$147)&lt;=AsOfDate,IF($R52=0,$X52,IF(AND($T52&lt;&gt;"",EDATE($D52,Milestones!$AA$147)&gt;=$T52),$W52,IF(AND($S52&lt;&gt;"",EDATE($D52,Milestones!$AA$147)&gt;=$S52),$V52,$U52)))=Milestones!$AB$147),UPPER(TEXT(EDATE($D52,Milestones!$AA$147),"dd mmm yy"))&amp;" "&amp;Milestones!$AB$147&amp;" "&amp;Milestones!$AC$147&amp;";  ","")&amp;IF(AND(EDATE($D52,Milestones!$AA$148)&lt;=AsOfDate,IF($R52=0,$X52,IF(AND($T52&lt;&gt;"",EDATE($D52,Milestones!$AA$148)&gt;=$T52),$W52,IF(AND($S52&lt;&gt;"",EDATE($D52,Milestones!$AA$148)&gt;=$S52),$V52,$U52)))=Milestones!$AB$148),UPPER(TEXT(EDATE($D52,Milestones!$AA$148),"dd mmm yy"))&amp;" "&amp;Milestones!$AB$148&amp;" "&amp;Milestones!$AC$148&amp;";  ","")&amp;IF(AND(EDATE($D52,Milestones!$AA$149)&lt;=AsOfDate,IF($R52=0,$X52,IF(AND($T52&lt;&gt;"",EDATE($D52,Milestones!$AA$149)&gt;=$T52),$W52,IF(AND($S52&lt;&gt;"",EDATE($D52,Milestones!$AA$149)&gt;=$S52),$V52,$U52)))=Milestones!$AB$149),UPPER(TEXT(EDATE($D52,Milestones!$AA$149),"dd mmm yy"))&amp;" "&amp;Milestones!$AB$149&amp;" "&amp;Milestones!$AC$149&amp;";  ","")&amp;IF(AND(EDATE($D52,Milestones!$AA$150)&lt;=AsOfDate,IF($R52=0,$X52,IF(AND($T52&lt;&gt;"",EDATE($D52,Milestones!$AA$150)&gt;=$T52),$W52,IF(AND($S52&lt;&gt;"",EDATE($D52,Milestones!$AA$150)&gt;=$S52),$V52,$U52)))=Milestones!$AB$150),UPPER(TEXT(EDATE($D52,Milestones!$AA$150),"dd mmm yy"))&amp;" "&amp;Milestones!$AB$150&amp;" "&amp;Milestones!$AC$150&amp;";  ","")&amp;IF(AND(EDATE($D52,Milestones!$AA$151)&lt;=AsOfDate,IF($R52=0,$X52,IF(AND($T52&lt;&gt;"",EDATE($D52,Milestones!$AA$151)&gt;=$T52),$W52,IF(AND($S52&lt;&gt;"",EDATE($D52,Milestones!$AA$151)&gt;=$S52),$V52,$U52)))=Milestones!$AB$151),UPPER(TEXT(EDATE($D52,Milestones!$AA$151),"dd mmm yy"))&amp;" "&amp;Milestones!$AB$151&amp;" "&amp;Milestones!$AC$151&amp;";  ","")&amp;IF(AND(EDATE($D52,Milestones!$AA$152)&lt;=AsOfDate,IF($R52=0,$X52,IF(AND($T52&lt;&gt;"",EDATE($D52,Milestones!$AA$152)&gt;=$T52),$W52,IF(AND($S52&lt;&gt;"",EDATE($D52,Milestones!$AA$152)&gt;=$S52),$V52,$U52)))=Milestones!$AB$152),UPPER(TEXT(EDATE($D52,Milestones!$AA$152),"dd mmm yy"))&amp;" "&amp;Milestones!$AB$152&amp;" "&amp;Milestones!$AC$152&amp;";  ","")&amp;IF(AND(EDATE($D52,Milestones!$AA$153)&lt;=AsOfDate,IF($R52=0,$X52,IF(AND($T52&lt;&gt;"",EDATE($D52,Milestones!$AA$153)&gt;=$T52),$W52,IF(AND($S52&lt;&gt;"",EDATE($D52,Milestones!$AA$153)&gt;=$S52),$V52,$U52)))=Milestones!$AB$153),UPPER(TEXT(EDATE($D52,Milestones!$AA$153),"dd mmm yy"))&amp;" "&amp;Milestones!$AB$153&amp;" "&amp;Milestones!$AC$153&amp;";  ","")&amp;IF(AND(EDATE($D52,Milestones!$AA$154)&lt;=AsOfDate,IF($R52=0,$X52,IF(AND($T52&lt;&gt;"",EDATE($D52,Milestones!$AA$154)&gt;=$T52),$W52,IF(AND($S52&lt;&gt;"",EDATE($D52,Milestones!$AA$154)&gt;=$S52),$V52,$U52)))=Milestones!$AB$154),UPPER(TEXT(EDATE($D52,Milestones!$AA$154),"dd mmm yy"))&amp;" "&amp;Milestones!$AB$154&amp;" "&amp;Milestones!$AC$154&amp;";  ","")&amp;IF(AND(EDATE($D52,Milestones!$AA$155)&lt;=AsOfDate,IF($R52=0,$X52,IF(AND($T52&lt;&gt;"",EDATE($D52,Milestones!$AA$155)&gt;=$T52),$W52,IF(AND($S52&lt;&gt;"",EDATE($D52,Milestones!$AA$155)&gt;=$S52),$V52,$U52)))=Milestones!$AB$155),UPPER(TEXT(EDATE($D52,Milestones!$AA$155),"dd mmm yy"))&amp;" "&amp;Milestones!$AB$155&amp;" "&amp;Milestones!$AC$155&amp;";  ","")&amp;IF(AND(EDATE($D52,Milestones!$AA$156)&lt;=AsOfDate,IF($R52=0,$X52,IF(AND($T52&lt;&gt;"",EDATE($D52,Milestones!$AA$156)&gt;=$T52),$W52,IF(AND($S52&lt;&gt;"",EDATE($D52,Milestones!$AA$156)&gt;=$S52),$V52,$U52)))=Milestones!$AB$156),UPPER(TEXT(EDATE($D52,Milestones!$AA$156),"dd mmm yy"))&amp;" "&amp;Milestones!$AB$156&amp;" "&amp;Milestones!$AC$156&amp;";  ","")&amp;IF(AND(EDATE($D52,Milestones!$AA$157)&lt;=AsOfDate,IF($R52=0,$X52,IF(AND($T52&lt;&gt;"",EDATE($D52,Milestones!$AA$157)&gt;=$T52),$W52,IF(AND($S52&lt;&gt;"",EDATE($D52,Milestones!$AA$157)&gt;=$S52),$V52,$U52)))=Milestones!$AB$157),UPPER(TEXT(EDATE($D52,Milestones!$AA$157),"dd mmm yy"))&amp;" "&amp;Milestones!$AB$157&amp;" "&amp;Milestones!$AC$157&amp;";  ","")&amp;IF(AND(EDATE($D52,Milestones!$AA$158)&lt;=AsOfDate,IF($R52=0,$X52,IF(AND($T52&lt;&gt;"",EDATE($D52,Milestones!$AA$158)&gt;=$T52),$W52,IF(AND($S52&lt;&gt;"",EDATE($D52,Milestones!$AA$158)&gt;=$S52),$V52,$U52)))=Milestones!$AB$158),UPPER(TEXT(EDATE($D52,Milestones!$AA$158),"dd mmm yy"))&amp;" "&amp;Milestones!$AB$158&amp;" "&amp;Milestones!$AC$158&amp;";  ","")&amp;IF(AND(EDATE($D52,Milestones!$AA$159)&lt;=AsOfDate,IF($R52=0,$X52,IF(AND($T52&lt;&gt;"",EDATE($D52,Milestones!$AA$159)&gt;=$T52),$W52,IF(AND($S52&lt;&gt;"",EDATE($D52,Milestones!$AA$159)&gt;=$S52),$V52,$U52)))=Milestones!$AB$159),UPPER(TEXT(EDATE($D52,Milestones!$AA$159),"dd mmm yy"))&amp;" "&amp;Milestones!$AB$159&amp;" "&amp;Milestones!$AC$159&amp;";  ",""))</f>
        <v/>
      </c>
      <c r="P52" s="0" t="str">
        <f aca="false">IF(OR($A52="",$D52=""),"",IF(AND(EDATE($D52,Milestones!$AA$160)&lt;=AsOfDate,IF($R52=0,$X52,IF(AND($T52&lt;&gt;"",EDATE($D52,Milestones!$AA$160)&gt;=$T52),$W52,IF(AND($S52&lt;&gt;"",EDATE($D52,Milestones!$AA$160)&gt;=$S52),$V52,$U52)))=Milestones!$AB$160),UPPER(TEXT(EDATE($D52,Milestones!$AA$160),"dd mmm yy"))&amp;" "&amp;Milestones!$AB$160&amp;" "&amp;Milestones!$AC$160&amp;";  ","")&amp;IF(AND(EDATE($D52,Milestones!$AA$161)&lt;=AsOfDate,IF($R52=0,$X52,IF(AND($T52&lt;&gt;"",EDATE($D52,Milestones!$AA$161)&gt;=$T52),$W52,IF(AND($S52&lt;&gt;"",EDATE($D52,Milestones!$AA$161)&gt;=$S52),$V52,$U52)))=Milestones!$AB$161),UPPER(TEXT(EDATE($D52,Milestones!$AA$161),"dd mmm yy"))&amp;" "&amp;Milestones!$AB$161&amp;" "&amp;Milestones!$AC$161&amp;";  ","")&amp;IF(AND(EDATE($D52,Milestones!$AA$162)&lt;=AsOfDate,IF($R52=0,$X52,IF(AND($T52&lt;&gt;"",EDATE($D52,Milestones!$AA$162)&gt;=$T52),$W52,IF(AND($S52&lt;&gt;"",EDATE($D52,Milestones!$AA$162)&gt;=$S52),$V52,$U52)))=Milestones!$AB$162),UPPER(TEXT(EDATE($D52,Milestones!$AA$162),"dd mmm yy"))&amp;" "&amp;Milestones!$AB$162&amp;" "&amp;Milestones!$AC$162&amp;";  ","")&amp;IF(AND(EDATE($D52,Milestones!$AA$163)&lt;=AsOfDate,IF($R52=0,$X52,IF(AND($T52&lt;&gt;"",EDATE($D52,Milestones!$AA$163)&gt;=$T52),$W52,IF(AND($S52&lt;&gt;"",EDATE($D52,Milestones!$AA$163)&gt;=$S52),$V52,$U52)))=Milestones!$AB$163),UPPER(TEXT(EDATE($D52,Milestones!$AA$163),"dd mmm yy"))&amp;" "&amp;Milestones!$AB$163&amp;" "&amp;Milestones!$AC$163&amp;";  ","")&amp;IF(AND(EDATE($D52,Milestones!$AA$164)&lt;=AsOfDate,IF($R52=0,$X52,IF(AND($T52&lt;&gt;"",EDATE($D52,Milestones!$AA$164)&gt;=$T52),$W52,IF(AND($S52&lt;&gt;"",EDATE($D52,Milestones!$AA$164)&gt;=$S52),$V52,$U52)))=Milestones!$AB$164),UPPER(TEXT(EDATE($D52,Milestones!$AA$164),"dd mmm yy"))&amp;" "&amp;Milestones!$AB$164&amp;" "&amp;Milestones!$AC$164&amp;";  ","")&amp;IF(AND(EDATE($D52,Milestones!$AA$165)&lt;=AsOfDate,IF($R52=0,$X52,IF(AND($T52&lt;&gt;"",EDATE($D52,Milestones!$AA$165)&gt;=$T52),$W52,IF(AND($S52&lt;&gt;"",EDATE($D52,Milestones!$AA$165)&gt;=$S52),$V52,$U52)))=Milestones!$AB$165),UPPER(TEXT(EDATE($D52,Milestones!$AA$165),"dd mmm yy"))&amp;" "&amp;Milestones!$AB$165&amp;" "&amp;Milestones!$AC$165&amp;";  ","")&amp;IF(AND(EDATE($D52,Milestones!$AA$166)&lt;=AsOfDate,IF($R52=0,$X52,IF(AND($T52&lt;&gt;"",EDATE($D52,Milestones!$AA$166)&gt;=$T52),$W52,IF(AND($S52&lt;&gt;"",EDATE($D52,Milestones!$AA$166)&gt;=$S52),$V52,$U52)))=Milestones!$AB$166),UPPER(TEXT(EDATE($D52,Milestones!$AA$166),"dd mmm yy"))&amp;" "&amp;Milestones!$AB$166&amp;" "&amp;Milestones!$AC$166&amp;";  ","")&amp;IF(AND(EDATE($D52,Milestones!$AA$167)&lt;=AsOfDate,IF($R52=0,$X52,IF(AND($T52&lt;&gt;"",EDATE($D52,Milestones!$AA$167)&gt;=$T52),$W52,IF(AND($S52&lt;&gt;"",EDATE($D52,Milestones!$AA$167)&gt;=$S52),$V52,$U52)))=Milestones!$AB$167),UPPER(TEXT(EDATE($D52,Milestones!$AA$167),"dd mmm yy"))&amp;" "&amp;Milestones!$AB$167&amp;" "&amp;Milestones!$AC$167&amp;";  ","")&amp;IF(AND(EDATE($D52,Milestones!$AA$168)&lt;=AsOfDate,IF($R52=0,$X52,IF(AND($T52&lt;&gt;"",EDATE($D52,Milestones!$AA$168)&gt;=$T52),$W52,IF(AND($S52&lt;&gt;"",EDATE($D52,Milestones!$AA$168)&gt;=$S52),$V52,$U52)))=Milestones!$AB$168),UPPER(TEXT(EDATE($D52,Milestones!$AA$168),"dd mmm yy"))&amp;" "&amp;Milestones!$AB$168&amp;" "&amp;Milestones!$AC$168&amp;";  ","")&amp;IF(AND(EDATE($D52,Milestones!$AA$169)&lt;=AsOfDate,IF($R52=0,$X52,IF(AND($T52&lt;&gt;"",EDATE($D52,Milestones!$AA$169)&gt;=$T52),$W52,IF(AND($S52&lt;&gt;"",EDATE($D52,Milestones!$AA$169)&gt;=$S52),$V52,$U52)))=Milestones!$AB$169),UPPER(TEXT(EDATE($D52,Milestones!$AA$169),"dd mmm yy"))&amp;" "&amp;Milestones!$AB$169&amp;" "&amp;Milestones!$AC$169&amp;";  ","")&amp;IF(AND(EDATE($D52,Milestones!$AA$170)&lt;=AsOfDate,IF($R52=0,$X52,IF(AND($T52&lt;&gt;"",EDATE($D52,Milestones!$AA$170)&gt;=$T52),$W52,IF(AND($S52&lt;&gt;"",EDATE($D52,Milestones!$AA$170)&gt;=$S52),$V52,$U52)))=Milestones!$AB$170),UPPER(TEXT(EDATE($D52,Milestones!$AA$170),"dd mmm yy"))&amp;" "&amp;Milestones!$AB$170&amp;" "&amp;Milestones!$AC$170&amp;";  ","")&amp;IF(AND(EDATE($D52,Milestones!$AA$171)&lt;=AsOfDate,IF($R52=0,$X52,IF(AND($T52&lt;&gt;"",EDATE($D52,Milestones!$AA$171)&gt;=$T52),$W52,IF(AND($S52&lt;&gt;"",EDATE($D52,Milestones!$AA$171)&gt;=$S52),$V52,$U52)))=Milestones!$AB$171),UPPER(TEXT(EDATE($D52,Milestones!$AA$171),"dd mmm yy"))&amp;" "&amp;Milestones!$AB$171&amp;" "&amp;Milestones!$AC$171&amp;";  ","")&amp;IF(AND(EDATE($D52,Milestones!$AA$172)&lt;=AsOfDate,IF($R52=0,$X52,IF(AND($T52&lt;&gt;"",EDATE($D52,Milestones!$AA$172)&gt;=$T52),$W52,IF(AND($S52&lt;&gt;"",EDATE($D52,Milestones!$AA$172)&gt;=$S52),$V52,$U52)))=Milestones!$AB$172),UPPER(TEXT(EDATE($D52,Milestones!$AA$172),"dd mmm yy"))&amp;" "&amp;Milestones!$AB$172&amp;" "&amp;Milestones!$AC$172&amp;";  ","")&amp;IF(AND(EDATE($D52,Milestones!$AA$173)&lt;=AsOfDate,IF($R52=0,$X52,IF(AND($T52&lt;&gt;"",EDATE($D52,Milestones!$AA$173)&gt;=$T52),$W52,IF(AND($S52&lt;&gt;"",EDATE($D52,Milestones!$AA$173)&gt;=$S52),$V52,$U52)))=Milestones!$AB$173),UPPER(TEXT(EDATE($D52,Milestones!$AA$173),"dd mmm yy"))&amp;" "&amp;Milestones!$AB$173&amp;" "&amp;Milestones!$AC$173&amp;";  ","")&amp;IF(AND(EDATE($D52,Milestones!$AA$174)&lt;=AsOfDate,IF($R52=0,$X52,IF(AND($T52&lt;&gt;"",EDATE($D52,Milestones!$AA$174)&gt;=$T52),$W52,IF(AND($S52&lt;&gt;"",EDATE($D52,Milestones!$AA$174)&gt;=$S52),$V52,$U52)))=Milestones!$AB$174),UPPER(TEXT(EDATE($D52,Milestones!$AA$174),"dd mmm yy"))&amp;" "&amp;Milestones!$AB$174&amp;" "&amp;Milestones!$AC$174&amp;";  ","")&amp;IF(AND(EDATE($D52,Milestones!$AA$175)&lt;=AsOfDate,IF($R52=0,$X52,IF(AND($T52&lt;&gt;"",EDATE($D52,Milestones!$AA$175)&gt;=$T52),$W52,IF(AND($S52&lt;&gt;"",EDATE($D52,Milestones!$AA$175)&gt;=$S52),$V52,$U52)))=Milestones!$AB$175),UPPER(TEXT(EDATE($D52,Milestones!$AA$175),"dd mmm yy"))&amp;" "&amp;Milestones!$AB$175&amp;" "&amp;Milestones!$AC$175&amp;";  ","")&amp;IF(AND(EDATE($D52,Milestones!$AA$176)&lt;=AsOfDate,IF($R52=0,$X52,IF(AND($T52&lt;&gt;"",EDATE($D52,Milestones!$AA$176)&gt;=$T52),$W52,IF(AND($S52&lt;&gt;"",EDATE($D52,Milestones!$AA$176)&gt;=$S52),$V52,$U52)))=Milestones!$AB$176),UPPER(TEXT(EDATE($D52,Milestones!$AA$176),"dd mmm yy"))&amp;" "&amp;Milestones!$AB$176&amp;" "&amp;Milestones!$AC$176&amp;";  ","")&amp;IF(AND(EDATE($D52,Milestones!$AA$177)&lt;=AsOfDate,IF($R52=0,$X52,IF(AND($T52&lt;&gt;"",EDATE($D52,Milestones!$AA$177)&gt;=$T52),$W52,IF(AND($S52&lt;&gt;"",EDATE($D52,Milestones!$AA$177)&gt;=$S52),$V52,$U52)))=Milestones!$AB$177),UPPER(TEXT(EDATE($D52,Milestones!$AA$177),"dd mmm yy"))&amp;" "&amp;Milestones!$AB$177&amp;" "&amp;Milestones!$AC$177&amp;";  ","")&amp;IF(AND(EDATE($D52,Milestones!$AA$178)&lt;=AsOfDate,IF($R52=0,$X52,IF(AND($T52&lt;&gt;"",EDATE($D52,Milestones!$AA$178)&gt;=$T52),$W52,IF(AND($S52&lt;&gt;"",EDATE($D52,Milestones!$AA$178)&gt;=$S52),$V52,$U52)))=Milestones!$AB$178),UPPER(TEXT(EDATE($D52,Milestones!$AA$178),"dd mmm yy"))&amp;" "&amp;Milestones!$AB$178&amp;" "&amp;Milestones!$AC$178&amp;";  ","")&amp;IF(AND(EDATE($D52,Milestones!$AA$179)&lt;=AsOfDate,IF($R52=0,$X52,IF(AND($T52&lt;&gt;"",EDATE($D52,Milestones!$AA$179)&gt;=$T52),$W52,IF(AND($S52&lt;&gt;"",EDATE($D52,Milestones!$AA$179)&gt;=$S52),$V52,$U52)))=Milestones!$AB$179),UPPER(TEXT(EDATE($D52,Milestones!$AA$179),"dd mmm yy"))&amp;" "&amp;Milestones!$AB$179&amp;" "&amp;Milestones!$AC$179&amp;";  ",""))</f>
        <v/>
      </c>
      <c r="Q52" s="0" t="str">
        <f aca="false">IF(OR($A52="",$D52=""),"",IF(AND(EDATE($D52,Milestones!$AA$180)&lt;=AsOfDate,IF($R52=0,$X52,IF(AND($T52&lt;&gt;"",EDATE($D52,Milestones!$AA$180)&gt;=$T52),$W52,IF(AND($S52&lt;&gt;"",EDATE($D52,Milestones!$AA$180)&gt;=$S52),$V52,$U52)))=Milestones!$AB$180),UPPER(TEXT(EDATE($D52,Milestones!$AA$180),"dd mmm yy"))&amp;" "&amp;Milestones!$AB$180&amp;" "&amp;Milestones!$AC$180&amp;";  ","")&amp;IF(AND(EDATE($D52,Milestones!$AA$181)&lt;=AsOfDate,IF($R52=0,$X52,IF(AND($T52&lt;&gt;"",EDATE($D52,Milestones!$AA$181)&gt;=$T52),$W52,IF(AND($S52&lt;&gt;"",EDATE($D52,Milestones!$AA$181)&gt;=$S52),$V52,$U52)))=Milestones!$AB$181),UPPER(TEXT(EDATE($D52,Milestones!$AA$181),"dd mmm yy"))&amp;" "&amp;Milestones!$AB$181&amp;" "&amp;Milestones!$AC$181&amp;";  ","")&amp;IF(AND(EDATE($D52,Milestones!$AA$182)&lt;=AsOfDate,IF($R52=0,$X52,IF(AND($T52&lt;&gt;"",EDATE($D52,Milestones!$AA$182)&gt;=$T52),$W52,IF(AND($S52&lt;&gt;"",EDATE($D52,Milestones!$AA$182)&gt;=$S52),$V52,$U52)))=Milestones!$AB$182),UPPER(TEXT(EDATE($D52,Milestones!$AA$182),"dd mmm yy"))&amp;" "&amp;Milestones!$AB$182&amp;" "&amp;Milestones!$AC$182&amp;";  ","")&amp;IF(AND(EDATE($D52,Milestones!$AA$183)&lt;=AsOfDate,IF($R52=0,$X52,IF(AND($T52&lt;&gt;"",EDATE($D52,Milestones!$AA$183)&gt;=$T52),$W52,IF(AND($S52&lt;&gt;"",EDATE($D52,Milestones!$AA$183)&gt;=$S52),$V52,$U52)))=Milestones!$AB$183),UPPER(TEXT(EDATE($D52,Milestones!$AA$183),"dd mmm yy"))&amp;" "&amp;Milestones!$AB$183&amp;" "&amp;Milestones!$AC$183&amp;";  ","")&amp;IF(AND(EDATE($D52,Milestones!$AA$184)&lt;=AsOfDate,IF($R52=0,$X52,IF(AND($T52&lt;&gt;"",EDATE($D52,Milestones!$AA$184)&gt;=$T52),$W52,IF(AND($S52&lt;&gt;"",EDATE($D52,Milestones!$AA$184)&gt;=$S52),$V52,$U52)))=Milestones!$AB$184),UPPER(TEXT(EDATE($D52,Milestones!$AA$184),"dd mmm yy"))&amp;" "&amp;Milestones!$AB$184&amp;" "&amp;Milestones!$AC$184&amp;";  ","")&amp;IF(AND(EDATE($D52,Milestones!$AA$185)&lt;=AsOfDate,IF($R52=0,$X52,IF(AND($T52&lt;&gt;"",EDATE($D52,Milestones!$AA$185)&gt;=$T52),$W52,IF(AND($S52&lt;&gt;"",EDATE($D52,Milestones!$AA$185)&gt;=$S52),$V52,$U52)))=Milestones!$AB$185),UPPER(TEXT(EDATE($D52,Milestones!$AA$185),"dd mmm yy"))&amp;" "&amp;Milestones!$AB$185&amp;" "&amp;Milestones!$AC$185&amp;";  ","")&amp;IF(AND(EDATE($D52,Milestones!$AA$186)&lt;=AsOfDate,IF($R52=0,$X52,IF(AND($T52&lt;&gt;"",EDATE($D52,Milestones!$AA$186)&gt;=$T52),$W52,IF(AND($S52&lt;&gt;"",EDATE($D52,Milestones!$AA$186)&gt;=$S52),$V52,$U52)))=Milestones!$AB$186),UPPER(TEXT(EDATE($D52,Milestones!$AA$186),"dd mmm yy"))&amp;" "&amp;Milestones!$AB$186&amp;" "&amp;Milestones!$AC$186&amp;";  ","")&amp;IF(AND(EDATE($D52,Milestones!$AA$187)&lt;=AsOfDate,IF($R52=0,$X52,IF(AND($T52&lt;&gt;"",EDATE($D52,Milestones!$AA$187)&gt;=$T52),$W52,IF(AND($S52&lt;&gt;"",EDATE($D52,Milestones!$AA$187)&gt;=$S52),$V52,$U52)))=Milestones!$AB$187),UPPER(TEXT(EDATE($D52,Milestones!$AA$187),"dd mmm yy"))&amp;" "&amp;Milestones!$AB$187&amp;" "&amp;Milestones!$AC$187&amp;";  ","")&amp;IF(AND(EDATE($D52,Milestones!$AA$188)&lt;=AsOfDate,IF($R52=0,$X52,IF(AND($T52&lt;&gt;"",EDATE($D52,Milestones!$AA$188)&gt;=$T52),$W52,IF(AND($S52&lt;&gt;"",EDATE($D52,Milestones!$AA$188)&gt;=$S52),$V52,$U52)))=Milestones!$AB$188),UPPER(TEXT(EDATE($D52,Milestones!$AA$188),"dd mmm yy"))&amp;" "&amp;Milestones!$AB$188&amp;" "&amp;Milestones!$AC$188&amp;";  ","")&amp;IF(AND(EDATE($D52,Milestones!$AA$189)&lt;=AsOfDate,IF($R52=0,$X52,IF(AND($T52&lt;&gt;"",EDATE($D52,Milestones!$AA$189)&gt;=$T52),$W52,IF(AND($S52&lt;&gt;"",EDATE($D52,Milestones!$AA$189)&gt;=$S52),$V52,$U52)))=Milestones!$AB$189),UPPER(TEXT(EDATE($D52,Milestones!$AA$189),"dd mmm yy"))&amp;" "&amp;Milestones!$AB$189&amp;" "&amp;Milestones!$AC$189&amp;";  ","")&amp;IF(AND(EDATE($D52,Milestones!$AA$190)&lt;=AsOfDate,IF($R52=0,$X52,IF(AND($T52&lt;&gt;"",EDATE($D52,Milestones!$AA$190)&gt;=$T52),$W52,IF(AND($S52&lt;&gt;"",EDATE($D52,Milestones!$AA$190)&gt;=$S52),$V52,$U52)))=Milestones!$AB$190),UPPER(TEXT(EDATE($D52,Milestones!$AA$190),"dd mmm yy"))&amp;" "&amp;Milestones!$AB$190&amp;" "&amp;Milestones!$AC$190&amp;";  ","")&amp;IF(AND(EDATE($D52,Milestones!$AA$191)&lt;=AsOfDate,IF($R52=0,$X52,IF(AND($T52&lt;&gt;"",EDATE($D52,Milestones!$AA$191)&gt;=$T52),$W52,IF(AND($S52&lt;&gt;"",EDATE($D52,Milestones!$AA$191)&gt;=$S52),$V52,$U52)))=Milestones!$AB$191),UPPER(TEXT(EDATE($D52,Milestones!$AA$191),"dd mmm yy"))&amp;" "&amp;Milestones!$AB$191&amp;" "&amp;Milestones!$AC$191&amp;";  ","")&amp;IF(AND(EDATE($D52,Milestones!$AA$192)&lt;=AsOfDate,IF($R52=0,$X52,IF(AND($T52&lt;&gt;"",EDATE($D52,Milestones!$AA$192)&gt;=$T52),$W52,IF(AND($S52&lt;&gt;"",EDATE($D52,Milestones!$AA$192)&gt;=$S52),$V52,$U52)))=Milestones!$AB$192),UPPER(TEXT(EDATE($D52,Milestones!$AA$192),"dd mmm yy"))&amp;" "&amp;Milestones!$AB$192&amp;" "&amp;Milestones!$AC$192&amp;";  ","")&amp;IF(AND(EDATE($D52,Milestones!$AA$193)&lt;=AsOfDate,IF($R52=0,$X52,IF(AND($T52&lt;&gt;"",EDATE($D52,Milestones!$AA$193)&gt;=$T52),$W52,IF(AND($S52&lt;&gt;"",EDATE($D52,Milestones!$AA$193)&gt;=$S52),$V52,$U52)))=Milestones!$AB$193),UPPER(TEXT(EDATE($D52,Milestones!$AA$193),"dd mmm yy"))&amp;" "&amp;Milestones!$AB$193&amp;" "&amp;Milestones!$AC$193&amp;";  ","")&amp;IF(AND(EDATE($D52,Milestones!$AA$194)&lt;=AsOfDate,IF($R52=0,$X52,IF(AND($T52&lt;&gt;"",EDATE($D52,Milestones!$AA$194)&gt;=$T52),$W52,IF(AND($S52&lt;&gt;"",EDATE($D52,Milestones!$AA$194)&gt;=$S52),$V52,$U52)))=Milestones!$AB$194),UPPER(TEXT(EDATE($D52,Milestones!$AA$194),"dd mmm yy"))&amp;" "&amp;Milestones!$AB$194&amp;" "&amp;Milestones!$AC$194&amp;";  ","")&amp;IF(AND(EDATE($D52,Milestones!$AA$195)&lt;=AsOfDate,IF($R52=0,$X52,IF(AND($T52&lt;&gt;"",EDATE($D52,Milestones!$AA$195)&gt;=$T52),$W52,IF(AND($S52&lt;&gt;"",EDATE($D52,Milestones!$AA$195)&gt;=$S52),$V52,$U52)))=Milestones!$AB$195),UPPER(TEXT(EDATE($D52,Milestones!$AA$195),"dd mmm yy"))&amp;" "&amp;Milestones!$AB$195&amp;" "&amp;Milestones!$AC$195&amp;";  ","")&amp;IF(AND(EDATE($D52,Milestones!$AA$196)&lt;=AsOfDate,IF($R52=0,$X52,IF(AND($T52&lt;&gt;"",EDATE($D52,Milestones!$AA$196)&gt;=$T52),$W52,IF(AND($S52&lt;&gt;"",EDATE($D52,Milestones!$AA$196)&gt;=$S52),$V52,$U52)))=Milestones!$AB$196),UPPER(TEXT(EDATE($D52,Milestones!$AA$196),"dd mmm yy"))&amp;" "&amp;Milestones!$AB$196&amp;" "&amp;Milestones!$AC$196&amp;";  ","")&amp;IF(AND(EDATE($D52,Milestones!$AA$197)&lt;=AsOfDate,IF($R52=0,$X52,IF(AND($T52&lt;&gt;"",EDATE($D52,Milestones!$AA$197)&gt;=$T52),$W52,IF(AND($S52&lt;&gt;"",EDATE($D52,Milestones!$AA$197)&gt;=$S52),$V52,$U52)))=Milestones!$AB$197),UPPER(TEXT(EDATE($D52,Milestones!$AA$197),"dd mmm yy"))&amp;" "&amp;Milestones!$AB$197&amp;" "&amp;Milestones!$AC$197&amp;";  ","")&amp;IF(AND(EDATE($D52,Milestones!$AA$198)&lt;=AsOfDate,IF($R52=0,$X52,IF(AND($T52&lt;&gt;"",EDATE($D52,Milestones!$AA$198)&gt;=$T52),$W52,IF(AND($S52&lt;&gt;"",EDATE($D52,Milestones!$AA$198)&gt;=$S52),$V52,$U52)))=Milestones!$AB$198),UPPER(TEXT(EDATE($D52,Milestones!$AA$198),"dd mmm yy"))&amp;" "&amp;Milestones!$AB$198&amp;" "&amp;Milestones!$AC$198&amp;";  ","")&amp;IF(AND(EDATE($D52,Milestones!$AA$199)&lt;=AsOfDate,IF($R52=0,$X52,IF(AND($T52&lt;&gt;"",EDATE($D52,Milestones!$AA$199)&gt;=$T52),$W52,IF(AND($S52&lt;&gt;"",EDATE($D52,Milestones!$AA$199)&gt;=$S52),$V52,$U52)))=Milestones!$AB$199),UPPER(TEXT(EDATE($D52,Milestones!$AA$199),"dd mmm yy"))&amp;" "&amp;Milestones!$AB$199&amp;" "&amp;Milestones!$AC$199&amp;";  ",""))</f>
        <v/>
      </c>
      <c r="R52" s="0" t="str">
        <f aca="false">IF(Staff!$A52="","",Staff!$AI52)</f>
        <v/>
      </c>
      <c r="S52" s="0" t="str">
        <f aca="false">IF(Staff!$A52="","",Staff!$AK52)</f>
        <v/>
      </c>
      <c r="T52" s="0" t="str">
        <f aca="false">IF(Staff!$A52="","",Staff!$AL52)</f>
        <v/>
      </c>
      <c r="U52" s="0" t="str">
        <f aca="false">IF(Staff!$A52="","",Staff!$AP52)</f>
        <v/>
      </c>
      <c r="V52" s="0" t="str">
        <f aca="false">IF(Staff!$A52="","",Staff!$AQ52)</f>
        <v/>
      </c>
      <c r="W52" s="0" t="str">
        <f aca="false">IF(Staff!$A52="","",Staff!$AR52)</f>
        <v/>
      </c>
      <c r="X52" s="0" t="str">
        <f aca="false">IF(Staff!$A52="","",Staff!$AS52)</f>
        <v/>
      </c>
    </row>
    <row r="53" customFormat="false" ht="15" hidden="false" customHeight="false" outlineLevel="0" collapsed="false">
      <c r="A53" s="14" t="str">
        <f aca="false">IF(Staff!$A53="","",Staff!$A53)</f>
        <v/>
      </c>
      <c r="B53" s="14" t="str">
        <f aca="false">IF(Staff!$A53="","",Staff!$B53)</f>
        <v/>
      </c>
      <c r="C53" s="14" t="str">
        <f aca="false">IF(Staff!$A53="","",Staff!$C53)</f>
        <v/>
      </c>
      <c r="D53" s="12" t="str">
        <f aca="false">IF(Staff!$A53="","",Staff!$AH53)</f>
        <v/>
      </c>
      <c r="E53" s="14" t="str">
        <f aca="false">IF(Staff!$A53="","",Staff!$O53)</f>
        <v/>
      </c>
      <c r="F53" s="14" t="str">
        <f aca="false">IF(E53="","",E53*HoursPerDay)</f>
        <v/>
      </c>
      <c r="G53" s="14" t="str">
        <f aca="false">IF(Staff!$A53="","",Staff!$AE53)</f>
        <v/>
      </c>
      <c r="H53" s="26" t="str">
        <f aca="false">IF($A53="","",I53&amp;J53&amp;K53&amp;L53&amp;M53&amp;N53&amp;O53&amp;P53&amp;Q53)</f>
        <v/>
      </c>
      <c r="I53" s="0" t="str">
        <f aca="false">IF(OR($A53="",$D53=""),"",IF(AND(EDATE($D53,Milestones!$AA$20)&lt;=AsOfDate,IF($R53=0,$X53,IF(AND($T53&lt;&gt;"",EDATE($D53,Milestones!$AA$20)&gt;=$T53),$W53,IF(AND($S53&lt;&gt;"",EDATE($D53,Milestones!$AA$20)&gt;=$S53),$V53,$U53)))=Milestones!$AB$20),UPPER(TEXT(EDATE($D53,Milestones!$AA$20),"dd mmm yy"))&amp;" "&amp;Milestones!$AB$20&amp;" "&amp;Milestones!$AC$20&amp;";  ","")&amp;IF(AND(EDATE($D53,Milestones!$AA$21)&lt;=AsOfDate,IF($R53=0,$X53,IF(AND($T53&lt;&gt;"",EDATE($D53,Milestones!$AA$21)&gt;=$T53),$W53,IF(AND($S53&lt;&gt;"",EDATE($D53,Milestones!$AA$21)&gt;=$S53),$V53,$U53)))=Milestones!$AB$21),UPPER(TEXT(EDATE($D53,Milestones!$AA$21),"dd mmm yy"))&amp;" "&amp;Milestones!$AB$21&amp;" "&amp;Milestones!$AC$21&amp;";  ","")&amp;IF(AND(EDATE($D53,Milestones!$AA$22)&lt;=AsOfDate,IF($R53=0,$X53,IF(AND($T53&lt;&gt;"",EDATE($D53,Milestones!$AA$22)&gt;=$T53),$W53,IF(AND($S53&lt;&gt;"",EDATE($D53,Milestones!$AA$22)&gt;=$S53),$V53,$U53)))=Milestones!$AB$22),UPPER(TEXT(EDATE($D53,Milestones!$AA$22),"dd mmm yy"))&amp;" "&amp;Milestones!$AB$22&amp;" "&amp;Milestones!$AC$22&amp;";  ","")&amp;IF(AND(EDATE($D53,Milestones!$AA$23)&lt;=AsOfDate,IF($R53=0,$X53,IF(AND($T53&lt;&gt;"",EDATE($D53,Milestones!$AA$23)&gt;=$T53),$W53,IF(AND($S53&lt;&gt;"",EDATE($D53,Milestones!$AA$23)&gt;=$S53),$V53,$U53)))=Milestones!$AB$23),UPPER(TEXT(EDATE($D53,Milestones!$AA$23),"dd mmm yy"))&amp;" "&amp;Milestones!$AB$23&amp;" "&amp;Milestones!$AC$23&amp;";  ","")&amp;IF(AND(EDATE($D53,Milestones!$AA$24)&lt;=AsOfDate,IF($R53=0,$X53,IF(AND($T53&lt;&gt;"",EDATE($D53,Milestones!$AA$24)&gt;=$T53),$W53,IF(AND($S53&lt;&gt;"",EDATE($D53,Milestones!$AA$24)&gt;=$S53),$V53,$U53)))=Milestones!$AB$24),UPPER(TEXT(EDATE($D53,Milestones!$AA$24),"dd mmm yy"))&amp;" "&amp;Milestones!$AB$24&amp;" "&amp;Milestones!$AC$24&amp;";  ","")&amp;IF(AND(EDATE($D53,Milestones!$AA$25)&lt;=AsOfDate,IF($R53=0,$X53,IF(AND($T53&lt;&gt;"",EDATE($D53,Milestones!$AA$25)&gt;=$T53),$W53,IF(AND($S53&lt;&gt;"",EDATE($D53,Milestones!$AA$25)&gt;=$S53),$V53,$U53)))=Milestones!$AB$25),UPPER(TEXT(EDATE($D53,Milestones!$AA$25),"dd mmm yy"))&amp;" "&amp;Milestones!$AB$25&amp;" "&amp;Milestones!$AC$25&amp;";  ","")&amp;IF(AND(EDATE($D53,Milestones!$AA$26)&lt;=AsOfDate,IF($R53=0,$X53,IF(AND($T53&lt;&gt;"",EDATE($D53,Milestones!$AA$26)&gt;=$T53),$W53,IF(AND($S53&lt;&gt;"",EDATE($D53,Milestones!$AA$26)&gt;=$S53),$V53,$U53)))=Milestones!$AB$26),UPPER(TEXT(EDATE($D53,Milestones!$AA$26),"dd mmm yy"))&amp;" "&amp;Milestones!$AB$26&amp;" "&amp;Milestones!$AC$26&amp;";  ","")&amp;IF(AND(EDATE($D53,Milestones!$AA$27)&lt;=AsOfDate,IF($R53=0,$X53,IF(AND($T53&lt;&gt;"",EDATE($D53,Milestones!$AA$27)&gt;=$T53),$W53,IF(AND($S53&lt;&gt;"",EDATE($D53,Milestones!$AA$27)&gt;=$S53),$V53,$U53)))=Milestones!$AB$27),UPPER(TEXT(EDATE($D53,Milestones!$AA$27),"dd mmm yy"))&amp;" "&amp;Milestones!$AB$27&amp;" "&amp;Milestones!$AC$27&amp;";  ","")&amp;IF(AND(EDATE($D53,Milestones!$AA$28)&lt;=AsOfDate,IF($R53=0,$X53,IF(AND($T53&lt;&gt;"",EDATE($D53,Milestones!$AA$28)&gt;=$T53),$W53,IF(AND($S53&lt;&gt;"",EDATE($D53,Milestones!$AA$28)&gt;=$S53),$V53,$U53)))=Milestones!$AB$28),UPPER(TEXT(EDATE($D53,Milestones!$AA$28),"dd mmm yy"))&amp;" "&amp;Milestones!$AB$28&amp;" "&amp;Milestones!$AC$28&amp;";  ","")&amp;IF(AND(EDATE($D53,Milestones!$AA$29)&lt;=AsOfDate,IF($R53=0,$X53,IF(AND($T53&lt;&gt;"",EDATE($D53,Milestones!$AA$29)&gt;=$T53),$W53,IF(AND($S53&lt;&gt;"",EDATE($D53,Milestones!$AA$29)&gt;=$S53),$V53,$U53)))=Milestones!$AB$29),UPPER(TEXT(EDATE($D53,Milestones!$AA$29),"dd mmm yy"))&amp;" "&amp;Milestones!$AB$29&amp;" "&amp;Milestones!$AC$29&amp;";  ","")&amp;IF(AND(EDATE($D53,Milestones!$AA$30)&lt;=AsOfDate,IF($R53=0,$X53,IF(AND($T53&lt;&gt;"",EDATE($D53,Milestones!$AA$30)&gt;=$T53),$W53,IF(AND($S53&lt;&gt;"",EDATE($D53,Milestones!$AA$30)&gt;=$S53),$V53,$U53)))=Milestones!$AB$30),UPPER(TEXT(EDATE($D53,Milestones!$AA$30),"dd mmm yy"))&amp;" "&amp;Milestones!$AB$30&amp;" "&amp;Milestones!$AC$30&amp;";  ","")&amp;IF(AND(EDATE($D53,Milestones!$AA$31)&lt;=AsOfDate,IF($R53=0,$X53,IF(AND($T53&lt;&gt;"",EDATE($D53,Milestones!$AA$31)&gt;=$T53),$W53,IF(AND($S53&lt;&gt;"",EDATE($D53,Milestones!$AA$31)&gt;=$S53),$V53,$U53)))=Milestones!$AB$31),UPPER(TEXT(EDATE($D53,Milestones!$AA$31),"dd mmm yy"))&amp;" "&amp;Milestones!$AB$31&amp;" "&amp;Milestones!$AC$31&amp;";  ","")&amp;IF(AND(EDATE($D53,Milestones!$AA$32)&lt;=AsOfDate,IF($R53=0,$X53,IF(AND($T53&lt;&gt;"",EDATE($D53,Milestones!$AA$32)&gt;=$T53),$W53,IF(AND($S53&lt;&gt;"",EDATE($D53,Milestones!$AA$32)&gt;=$S53),$V53,$U53)))=Milestones!$AB$32),UPPER(TEXT(EDATE($D53,Milestones!$AA$32),"dd mmm yy"))&amp;" "&amp;Milestones!$AB$32&amp;" "&amp;Milestones!$AC$32&amp;";  ","")&amp;IF(AND(EDATE($D53,Milestones!$AA$33)&lt;=AsOfDate,IF($R53=0,$X53,IF(AND($T53&lt;&gt;"",EDATE($D53,Milestones!$AA$33)&gt;=$T53),$W53,IF(AND($S53&lt;&gt;"",EDATE($D53,Milestones!$AA$33)&gt;=$S53),$V53,$U53)))=Milestones!$AB$33),UPPER(TEXT(EDATE($D53,Milestones!$AA$33),"dd mmm yy"))&amp;" "&amp;Milestones!$AB$33&amp;" "&amp;Milestones!$AC$33&amp;";  ","")&amp;IF(AND(EDATE($D53,Milestones!$AA$34)&lt;=AsOfDate,IF($R53=0,$X53,IF(AND($T53&lt;&gt;"",EDATE($D53,Milestones!$AA$34)&gt;=$T53),$W53,IF(AND($S53&lt;&gt;"",EDATE($D53,Milestones!$AA$34)&gt;=$S53),$V53,$U53)))=Milestones!$AB$34),UPPER(TEXT(EDATE($D53,Milestones!$AA$34),"dd mmm yy"))&amp;" "&amp;Milestones!$AB$34&amp;" "&amp;Milestones!$AC$34&amp;";  ","")&amp;IF(AND(EDATE($D53,Milestones!$AA$35)&lt;=AsOfDate,IF($R53=0,$X53,IF(AND($T53&lt;&gt;"",EDATE($D53,Milestones!$AA$35)&gt;=$T53),$W53,IF(AND($S53&lt;&gt;"",EDATE($D53,Milestones!$AA$35)&gt;=$S53),$V53,$U53)))=Milestones!$AB$35),UPPER(TEXT(EDATE($D53,Milestones!$AA$35),"dd mmm yy"))&amp;" "&amp;Milestones!$AB$35&amp;" "&amp;Milestones!$AC$35&amp;";  ","")&amp;IF(AND(EDATE($D53,Milestones!$AA$36)&lt;=AsOfDate,IF($R53=0,$X53,IF(AND($T53&lt;&gt;"",EDATE($D53,Milestones!$AA$36)&gt;=$T53),$W53,IF(AND($S53&lt;&gt;"",EDATE($D53,Milestones!$AA$36)&gt;=$S53),$V53,$U53)))=Milestones!$AB$36),UPPER(TEXT(EDATE($D53,Milestones!$AA$36),"dd mmm yy"))&amp;" "&amp;Milestones!$AB$36&amp;" "&amp;Milestones!$AC$36&amp;";  ","")&amp;IF(AND(EDATE($D53,Milestones!$AA$37)&lt;=AsOfDate,IF($R53=0,$X53,IF(AND($T53&lt;&gt;"",EDATE($D53,Milestones!$AA$37)&gt;=$T53),$W53,IF(AND($S53&lt;&gt;"",EDATE($D53,Milestones!$AA$37)&gt;=$S53),$V53,$U53)))=Milestones!$AB$37),UPPER(TEXT(EDATE($D53,Milestones!$AA$37),"dd mmm yy"))&amp;" "&amp;Milestones!$AB$37&amp;" "&amp;Milestones!$AC$37&amp;";  ","")&amp;IF(AND(EDATE($D53,Milestones!$AA$38)&lt;=AsOfDate,IF($R53=0,$X53,IF(AND($T53&lt;&gt;"",EDATE($D53,Milestones!$AA$38)&gt;=$T53),$W53,IF(AND($S53&lt;&gt;"",EDATE($D53,Milestones!$AA$38)&gt;=$S53),$V53,$U53)))=Milestones!$AB$38),UPPER(TEXT(EDATE($D53,Milestones!$AA$38),"dd mmm yy"))&amp;" "&amp;Milestones!$AB$38&amp;" "&amp;Milestones!$AC$38&amp;";  ","")&amp;IF(AND(EDATE($D53,Milestones!$AA$39)&lt;=AsOfDate,IF($R53=0,$X53,IF(AND($T53&lt;&gt;"",EDATE($D53,Milestones!$AA$39)&gt;=$T53),$W53,IF(AND($S53&lt;&gt;"",EDATE($D53,Milestones!$AA$39)&gt;=$S53),$V53,$U53)))=Milestones!$AB$39),UPPER(TEXT(EDATE($D53,Milestones!$AA$39),"dd mmm yy"))&amp;" "&amp;Milestones!$AB$39&amp;" "&amp;Milestones!$AC$39&amp;";  ",""))</f>
        <v/>
      </c>
      <c r="J53" s="0" t="str">
        <f aca="false">IF(OR($A53="",$D53=""),"",IF(AND(EDATE($D53,Milestones!$AA$40)&lt;=AsOfDate,IF($R53=0,$X53,IF(AND($T53&lt;&gt;"",EDATE($D53,Milestones!$AA$40)&gt;=$T53),$W53,IF(AND($S53&lt;&gt;"",EDATE($D53,Milestones!$AA$40)&gt;=$S53),$V53,$U53)))=Milestones!$AB$40),UPPER(TEXT(EDATE($D53,Milestones!$AA$40),"dd mmm yy"))&amp;" "&amp;Milestones!$AB$40&amp;" "&amp;Milestones!$AC$40&amp;";  ","")&amp;IF(AND(EDATE($D53,Milestones!$AA$41)&lt;=AsOfDate,IF($R53=0,$X53,IF(AND($T53&lt;&gt;"",EDATE($D53,Milestones!$AA$41)&gt;=$T53),$W53,IF(AND($S53&lt;&gt;"",EDATE($D53,Milestones!$AA$41)&gt;=$S53),$V53,$U53)))=Milestones!$AB$41),UPPER(TEXT(EDATE($D53,Milestones!$AA$41),"dd mmm yy"))&amp;" "&amp;Milestones!$AB$41&amp;" "&amp;Milestones!$AC$41&amp;";  ","")&amp;IF(AND(EDATE($D53,Milestones!$AA$42)&lt;=AsOfDate,IF($R53=0,$X53,IF(AND($T53&lt;&gt;"",EDATE($D53,Milestones!$AA$42)&gt;=$T53),$W53,IF(AND($S53&lt;&gt;"",EDATE($D53,Milestones!$AA$42)&gt;=$S53),$V53,$U53)))=Milestones!$AB$42),UPPER(TEXT(EDATE($D53,Milestones!$AA$42),"dd mmm yy"))&amp;" "&amp;Milestones!$AB$42&amp;" "&amp;Milestones!$AC$42&amp;";  ","")&amp;IF(AND(EDATE($D53,Milestones!$AA$43)&lt;=AsOfDate,IF($R53=0,$X53,IF(AND($T53&lt;&gt;"",EDATE($D53,Milestones!$AA$43)&gt;=$T53),$W53,IF(AND($S53&lt;&gt;"",EDATE($D53,Milestones!$AA$43)&gt;=$S53),$V53,$U53)))=Milestones!$AB$43),UPPER(TEXT(EDATE($D53,Milestones!$AA$43),"dd mmm yy"))&amp;" "&amp;Milestones!$AB$43&amp;" "&amp;Milestones!$AC$43&amp;";  ","")&amp;IF(AND(EDATE($D53,Milestones!$AA$44)&lt;=AsOfDate,IF($R53=0,$X53,IF(AND($T53&lt;&gt;"",EDATE($D53,Milestones!$AA$44)&gt;=$T53),$W53,IF(AND($S53&lt;&gt;"",EDATE($D53,Milestones!$AA$44)&gt;=$S53),$V53,$U53)))=Milestones!$AB$44),UPPER(TEXT(EDATE($D53,Milestones!$AA$44),"dd mmm yy"))&amp;" "&amp;Milestones!$AB$44&amp;" "&amp;Milestones!$AC$44&amp;";  ","")&amp;IF(AND(EDATE($D53,Milestones!$AA$45)&lt;=AsOfDate,IF($R53=0,$X53,IF(AND($T53&lt;&gt;"",EDATE($D53,Milestones!$AA$45)&gt;=$T53),$W53,IF(AND($S53&lt;&gt;"",EDATE($D53,Milestones!$AA$45)&gt;=$S53),$V53,$U53)))=Milestones!$AB$45),UPPER(TEXT(EDATE($D53,Milestones!$AA$45),"dd mmm yy"))&amp;" "&amp;Milestones!$AB$45&amp;" "&amp;Milestones!$AC$45&amp;";  ","")&amp;IF(AND(EDATE($D53,Milestones!$AA$46)&lt;=AsOfDate,IF($R53=0,$X53,IF(AND($T53&lt;&gt;"",EDATE($D53,Milestones!$AA$46)&gt;=$T53),$W53,IF(AND($S53&lt;&gt;"",EDATE($D53,Milestones!$AA$46)&gt;=$S53),$V53,$U53)))=Milestones!$AB$46),UPPER(TEXT(EDATE($D53,Milestones!$AA$46),"dd mmm yy"))&amp;" "&amp;Milestones!$AB$46&amp;" "&amp;Milestones!$AC$46&amp;";  ","")&amp;IF(AND(EDATE($D53,Milestones!$AA$47)&lt;=AsOfDate,IF($R53=0,$X53,IF(AND($T53&lt;&gt;"",EDATE($D53,Milestones!$AA$47)&gt;=$T53),$W53,IF(AND($S53&lt;&gt;"",EDATE($D53,Milestones!$AA$47)&gt;=$S53),$V53,$U53)))=Milestones!$AB$47),UPPER(TEXT(EDATE($D53,Milestones!$AA$47),"dd mmm yy"))&amp;" "&amp;Milestones!$AB$47&amp;" "&amp;Milestones!$AC$47&amp;";  ","")&amp;IF(AND(EDATE($D53,Milestones!$AA$48)&lt;=AsOfDate,IF($R53=0,$X53,IF(AND($T53&lt;&gt;"",EDATE($D53,Milestones!$AA$48)&gt;=$T53),$W53,IF(AND($S53&lt;&gt;"",EDATE($D53,Milestones!$AA$48)&gt;=$S53),$V53,$U53)))=Milestones!$AB$48),UPPER(TEXT(EDATE($D53,Milestones!$AA$48),"dd mmm yy"))&amp;" "&amp;Milestones!$AB$48&amp;" "&amp;Milestones!$AC$48&amp;";  ","")&amp;IF(AND(EDATE($D53,Milestones!$AA$49)&lt;=AsOfDate,IF($R53=0,$X53,IF(AND($T53&lt;&gt;"",EDATE($D53,Milestones!$AA$49)&gt;=$T53),$W53,IF(AND($S53&lt;&gt;"",EDATE($D53,Milestones!$AA$49)&gt;=$S53),$V53,$U53)))=Milestones!$AB$49),UPPER(TEXT(EDATE($D53,Milestones!$AA$49),"dd mmm yy"))&amp;" "&amp;Milestones!$AB$49&amp;" "&amp;Milestones!$AC$49&amp;";  ","")&amp;IF(AND(EDATE($D53,Milestones!$AA$50)&lt;=AsOfDate,IF($R53=0,$X53,IF(AND($T53&lt;&gt;"",EDATE($D53,Milestones!$AA$50)&gt;=$T53),$W53,IF(AND($S53&lt;&gt;"",EDATE($D53,Milestones!$AA$50)&gt;=$S53),$V53,$U53)))=Milestones!$AB$50),UPPER(TEXT(EDATE($D53,Milestones!$AA$50),"dd mmm yy"))&amp;" "&amp;Milestones!$AB$50&amp;" "&amp;Milestones!$AC$50&amp;";  ","")&amp;IF(AND(EDATE($D53,Milestones!$AA$51)&lt;=AsOfDate,IF($R53=0,$X53,IF(AND($T53&lt;&gt;"",EDATE($D53,Milestones!$AA$51)&gt;=$T53),$W53,IF(AND($S53&lt;&gt;"",EDATE($D53,Milestones!$AA$51)&gt;=$S53),$V53,$U53)))=Milestones!$AB$51),UPPER(TEXT(EDATE($D53,Milestones!$AA$51),"dd mmm yy"))&amp;" "&amp;Milestones!$AB$51&amp;" "&amp;Milestones!$AC$51&amp;";  ","")&amp;IF(AND(EDATE($D53,Milestones!$AA$52)&lt;=AsOfDate,IF($R53=0,$X53,IF(AND($T53&lt;&gt;"",EDATE($D53,Milestones!$AA$52)&gt;=$T53),$W53,IF(AND($S53&lt;&gt;"",EDATE($D53,Milestones!$AA$52)&gt;=$S53),$V53,$U53)))=Milestones!$AB$52),UPPER(TEXT(EDATE($D53,Milestones!$AA$52),"dd mmm yy"))&amp;" "&amp;Milestones!$AB$52&amp;" "&amp;Milestones!$AC$52&amp;";  ","")&amp;IF(AND(EDATE($D53,Milestones!$AA$53)&lt;=AsOfDate,IF($R53=0,$X53,IF(AND($T53&lt;&gt;"",EDATE($D53,Milestones!$AA$53)&gt;=$T53),$W53,IF(AND($S53&lt;&gt;"",EDATE($D53,Milestones!$AA$53)&gt;=$S53),$V53,$U53)))=Milestones!$AB$53),UPPER(TEXT(EDATE($D53,Milestones!$AA$53),"dd mmm yy"))&amp;" "&amp;Milestones!$AB$53&amp;" "&amp;Milestones!$AC$53&amp;";  ","")&amp;IF(AND(EDATE($D53,Milestones!$AA$54)&lt;=AsOfDate,IF($R53=0,$X53,IF(AND($T53&lt;&gt;"",EDATE($D53,Milestones!$AA$54)&gt;=$T53),$W53,IF(AND($S53&lt;&gt;"",EDATE($D53,Milestones!$AA$54)&gt;=$S53),$V53,$U53)))=Milestones!$AB$54),UPPER(TEXT(EDATE($D53,Milestones!$AA$54),"dd mmm yy"))&amp;" "&amp;Milestones!$AB$54&amp;" "&amp;Milestones!$AC$54&amp;";  ","")&amp;IF(AND(EDATE($D53,Milestones!$AA$55)&lt;=AsOfDate,IF($R53=0,$X53,IF(AND($T53&lt;&gt;"",EDATE($D53,Milestones!$AA$55)&gt;=$T53),$W53,IF(AND($S53&lt;&gt;"",EDATE($D53,Milestones!$AA$55)&gt;=$S53),$V53,$U53)))=Milestones!$AB$55),UPPER(TEXT(EDATE($D53,Milestones!$AA$55),"dd mmm yy"))&amp;" "&amp;Milestones!$AB$55&amp;" "&amp;Milestones!$AC$55&amp;";  ","")&amp;IF(AND(EDATE($D53,Milestones!$AA$56)&lt;=AsOfDate,IF($R53=0,$X53,IF(AND($T53&lt;&gt;"",EDATE($D53,Milestones!$AA$56)&gt;=$T53),$W53,IF(AND($S53&lt;&gt;"",EDATE($D53,Milestones!$AA$56)&gt;=$S53),$V53,$U53)))=Milestones!$AB$56),UPPER(TEXT(EDATE($D53,Milestones!$AA$56),"dd mmm yy"))&amp;" "&amp;Milestones!$AB$56&amp;" "&amp;Milestones!$AC$56&amp;";  ","")&amp;IF(AND(EDATE($D53,Milestones!$AA$57)&lt;=AsOfDate,IF($R53=0,$X53,IF(AND($T53&lt;&gt;"",EDATE($D53,Milestones!$AA$57)&gt;=$T53),$W53,IF(AND($S53&lt;&gt;"",EDATE($D53,Milestones!$AA$57)&gt;=$S53),$V53,$U53)))=Milestones!$AB$57),UPPER(TEXT(EDATE($D53,Milestones!$AA$57),"dd mmm yy"))&amp;" "&amp;Milestones!$AB$57&amp;" "&amp;Milestones!$AC$57&amp;";  ","")&amp;IF(AND(EDATE($D53,Milestones!$AA$58)&lt;=AsOfDate,IF($R53=0,$X53,IF(AND($T53&lt;&gt;"",EDATE($D53,Milestones!$AA$58)&gt;=$T53),$W53,IF(AND($S53&lt;&gt;"",EDATE($D53,Milestones!$AA$58)&gt;=$S53),$V53,$U53)))=Milestones!$AB$58),UPPER(TEXT(EDATE($D53,Milestones!$AA$58),"dd mmm yy"))&amp;" "&amp;Milestones!$AB$58&amp;" "&amp;Milestones!$AC$58&amp;";  ","")&amp;IF(AND(EDATE($D53,Milestones!$AA$59)&lt;=AsOfDate,IF($R53=0,$X53,IF(AND($T53&lt;&gt;"",EDATE($D53,Milestones!$AA$59)&gt;=$T53),$W53,IF(AND($S53&lt;&gt;"",EDATE($D53,Milestones!$AA$59)&gt;=$S53),$V53,$U53)))=Milestones!$AB$59),UPPER(TEXT(EDATE($D53,Milestones!$AA$59),"dd mmm yy"))&amp;" "&amp;Milestones!$AB$59&amp;" "&amp;Milestones!$AC$59&amp;";  ",""))</f>
        <v/>
      </c>
      <c r="K53" s="0" t="str">
        <f aca="false">IF(OR($A53="",$D53=""),"",IF(AND(EDATE($D53,Milestones!$AA$60)&lt;=AsOfDate,IF($R53=0,$X53,IF(AND($T53&lt;&gt;"",EDATE($D53,Milestones!$AA$60)&gt;=$T53),$W53,IF(AND($S53&lt;&gt;"",EDATE($D53,Milestones!$AA$60)&gt;=$S53),$V53,$U53)))=Milestones!$AB$60),UPPER(TEXT(EDATE($D53,Milestones!$AA$60),"dd mmm yy"))&amp;" "&amp;Milestones!$AB$60&amp;" "&amp;Milestones!$AC$60&amp;";  ","")&amp;IF(AND(EDATE($D53,Milestones!$AA$61)&lt;=AsOfDate,IF($R53=0,$X53,IF(AND($T53&lt;&gt;"",EDATE($D53,Milestones!$AA$61)&gt;=$T53),$W53,IF(AND($S53&lt;&gt;"",EDATE($D53,Milestones!$AA$61)&gt;=$S53),$V53,$U53)))=Milestones!$AB$61),UPPER(TEXT(EDATE($D53,Milestones!$AA$61),"dd mmm yy"))&amp;" "&amp;Milestones!$AB$61&amp;" "&amp;Milestones!$AC$61&amp;";  ","")&amp;IF(AND(EDATE($D53,Milestones!$AA$62)&lt;=AsOfDate,IF($R53=0,$X53,IF(AND($T53&lt;&gt;"",EDATE($D53,Milestones!$AA$62)&gt;=$T53),$W53,IF(AND($S53&lt;&gt;"",EDATE($D53,Milestones!$AA$62)&gt;=$S53),$V53,$U53)))=Milestones!$AB$62),UPPER(TEXT(EDATE($D53,Milestones!$AA$62),"dd mmm yy"))&amp;" "&amp;Milestones!$AB$62&amp;" "&amp;Milestones!$AC$62&amp;";  ","")&amp;IF(AND(EDATE($D53,Milestones!$AA$63)&lt;=AsOfDate,IF($R53=0,$X53,IF(AND($T53&lt;&gt;"",EDATE($D53,Milestones!$AA$63)&gt;=$T53),$W53,IF(AND($S53&lt;&gt;"",EDATE($D53,Milestones!$AA$63)&gt;=$S53),$V53,$U53)))=Milestones!$AB$63),UPPER(TEXT(EDATE($D53,Milestones!$AA$63),"dd mmm yy"))&amp;" "&amp;Milestones!$AB$63&amp;" "&amp;Milestones!$AC$63&amp;";  ","")&amp;IF(AND(EDATE($D53,Milestones!$AA$64)&lt;=AsOfDate,IF($R53=0,$X53,IF(AND($T53&lt;&gt;"",EDATE($D53,Milestones!$AA$64)&gt;=$T53),$W53,IF(AND($S53&lt;&gt;"",EDATE($D53,Milestones!$AA$64)&gt;=$S53),$V53,$U53)))=Milestones!$AB$64),UPPER(TEXT(EDATE($D53,Milestones!$AA$64),"dd mmm yy"))&amp;" "&amp;Milestones!$AB$64&amp;" "&amp;Milestones!$AC$64&amp;";  ","")&amp;IF(AND(EDATE($D53,Milestones!$AA$65)&lt;=AsOfDate,IF($R53=0,$X53,IF(AND($T53&lt;&gt;"",EDATE($D53,Milestones!$AA$65)&gt;=$T53),$W53,IF(AND($S53&lt;&gt;"",EDATE($D53,Milestones!$AA$65)&gt;=$S53),$V53,$U53)))=Milestones!$AB$65),UPPER(TEXT(EDATE($D53,Milestones!$AA$65),"dd mmm yy"))&amp;" "&amp;Milestones!$AB$65&amp;" "&amp;Milestones!$AC$65&amp;";  ","")&amp;IF(AND(EDATE($D53,Milestones!$AA$66)&lt;=AsOfDate,IF($R53=0,$X53,IF(AND($T53&lt;&gt;"",EDATE($D53,Milestones!$AA$66)&gt;=$T53),$W53,IF(AND($S53&lt;&gt;"",EDATE($D53,Milestones!$AA$66)&gt;=$S53),$V53,$U53)))=Milestones!$AB$66),UPPER(TEXT(EDATE($D53,Milestones!$AA$66),"dd mmm yy"))&amp;" "&amp;Milestones!$AB$66&amp;" "&amp;Milestones!$AC$66&amp;";  ","")&amp;IF(AND(EDATE($D53,Milestones!$AA$67)&lt;=AsOfDate,IF($R53=0,$X53,IF(AND($T53&lt;&gt;"",EDATE($D53,Milestones!$AA$67)&gt;=$T53),$W53,IF(AND($S53&lt;&gt;"",EDATE($D53,Milestones!$AA$67)&gt;=$S53),$V53,$U53)))=Milestones!$AB$67),UPPER(TEXT(EDATE($D53,Milestones!$AA$67),"dd mmm yy"))&amp;" "&amp;Milestones!$AB$67&amp;" "&amp;Milestones!$AC$67&amp;";  ","")&amp;IF(AND(EDATE($D53,Milestones!$AA$68)&lt;=AsOfDate,IF($R53=0,$X53,IF(AND($T53&lt;&gt;"",EDATE($D53,Milestones!$AA$68)&gt;=$T53),$W53,IF(AND($S53&lt;&gt;"",EDATE($D53,Milestones!$AA$68)&gt;=$S53),$V53,$U53)))=Milestones!$AB$68),UPPER(TEXT(EDATE($D53,Milestones!$AA$68),"dd mmm yy"))&amp;" "&amp;Milestones!$AB$68&amp;" "&amp;Milestones!$AC$68&amp;";  ","")&amp;IF(AND(EDATE($D53,Milestones!$AA$69)&lt;=AsOfDate,IF($R53=0,$X53,IF(AND($T53&lt;&gt;"",EDATE($D53,Milestones!$AA$69)&gt;=$T53),$W53,IF(AND($S53&lt;&gt;"",EDATE($D53,Milestones!$AA$69)&gt;=$S53),$V53,$U53)))=Milestones!$AB$69),UPPER(TEXT(EDATE($D53,Milestones!$AA$69),"dd mmm yy"))&amp;" "&amp;Milestones!$AB$69&amp;" "&amp;Milestones!$AC$69&amp;";  ","")&amp;IF(AND(EDATE($D53,Milestones!$AA$70)&lt;=AsOfDate,IF($R53=0,$X53,IF(AND($T53&lt;&gt;"",EDATE($D53,Milestones!$AA$70)&gt;=$T53),$W53,IF(AND($S53&lt;&gt;"",EDATE($D53,Milestones!$AA$70)&gt;=$S53),$V53,$U53)))=Milestones!$AB$70),UPPER(TEXT(EDATE($D53,Milestones!$AA$70),"dd mmm yy"))&amp;" "&amp;Milestones!$AB$70&amp;" "&amp;Milestones!$AC$70&amp;";  ","")&amp;IF(AND(EDATE($D53,Milestones!$AA$71)&lt;=AsOfDate,IF($R53=0,$X53,IF(AND($T53&lt;&gt;"",EDATE($D53,Milestones!$AA$71)&gt;=$T53),$W53,IF(AND($S53&lt;&gt;"",EDATE($D53,Milestones!$AA$71)&gt;=$S53),$V53,$U53)))=Milestones!$AB$71),UPPER(TEXT(EDATE($D53,Milestones!$AA$71),"dd mmm yy"))&amp;" "&amp;Milestones!$AB$71&amp;" "&amp;Milestones!$AC$71&amp;";  ","")&amp;IF(AND(EDATE($D53,Milestones!$AA$72)&lt;=AsOfDate,IF($R53=0,$X53,IF(AND($T53&lt;&gt;"",EDATE($D53,Milestones!$AA$72)&gt;=$T53),$W53,IF(AND($S53&lt;&gt;"",EDATE($D53,Milestones!$AA$72)&gt;=$S53),$V53,$U53)))=Milestones!$AB$72),UPPER(TEXT(EDATE($D53,Milestones!$AA$72),"dd mmm yy"))&amp;" "&amp;Milestones!$AB$72&amp;" "&amp;Milestones!$AC$72&amp;";  ","")&amp;IF(AND(EDATE($D53,Milestones!$AA$73)&lt;=AsOfDate,IF($R53=0,$X53,IF(AND($T53&lt;&gt;"",EDATE($D53,Milestones!$AA$73)&gt;=$T53),$W53,IF(AND($S53&lt;&gt;"",EDATE($D53,Milestones!$AA$73)&gt;=$S53),$V53,$U53)))=Milestones!$AB$73),UPPER(TEXT(EDATE($D53,Milestones!$AA$73),"dd mmm yy"))&amp;" "&amp;Milestones!$AB$73&amp;" "&amp;Milestones!$AC$73&amp;";  ","")&amp;IF(AND(EDATE($D53,Milestones!$AA$74)&lt;=AsOfDate,IF($R53=0,$X53,IF(AND($T53&lt;&gt;"",EDATE($D53,Milestones!$AA$74)&gt;=$T53),$W53,IF(AND($S53&lt;&gt;"",EDATE($D53,Milestones!$AA$74)&gt;=$S53),$V53,$U53)))=Milestones!$AB$74),UPPER(TEXT(EDATE($D53,Milestones!$AA$74),"dd mmm yy"))&amp;" "&amp;Milestones!$AB$74&amp;" "&amp;Milestones!$AC$74&amp;";  ","")&amp;IF(AND(EDATE($D53,Milestones!$AA$75)&lt;=AsOfDate,IF($R53=0,$X53,IF(AND($T53&lt;&gt;"",EDATE($D53,Milestones!$AA$75)&gt;=$T53),$W53,IF(AND($S53&lt;&gt;"",EDATE($D53,Milestones!$AA$75)&gt;=$S53),$V53,$U53)))=Milestones!$AB$75),UPPER(TEXT(EDATE($D53,Milestones!$AA$75),"dd mmm yy"))&amp;" "&amp;Milestones!$AB$75&amp;" "&amp;Milestones!$AC$75&amp;";  ","")&amp;IF(AND(EDATE($D53,Milestones!$AA$76)&lt;=AsOfDate,IF($R53=0,$X53,IF(AND($T53&lt;&gt;"",EDATE($D53,Milestones!$AA$76)&gt;=$T53),$W53,IF(AND($S53&lt;&gt;"",EDATE($D53,Milestones!$AA$76)&gt;=$S53),$V53,$U53)))=Milestones!$AB$76),UPPER(TEXT(EDATE($D53,Milestones!$AA$76),"dd mmm yy"))&amp;" "&amp;Milestones!$AB$76&amp;" "&amp;Milestones!$AC$76&amp;";  ","")&amp;IF(AND(EDATE($D53,Milestones!$AA$77)&lt;=AsOfDate,IF($R53=0,$X53,IF(AND($T53&lt;&gt;"",EDATE($D53,Milestones!$AA$77)&gt;=$T53),$W53,IF(AND($S53&lt;&gt;"",EDATE($D53,Milestones!$AA$77)&gt;=$S53),$V53,$U53)))=Milestones!$AB$77),UPPER(TEXT(EDATE($D53,Milestones!$AA$77),"dd mmm yy"))&amp;" "&amp;Milestones!$AB$77&amp;" "&amp;Milestones!$AC$77&amp;";  ","")&amp;IF(AND(EDATE($D53,Milestones!$AA$78)&lt;=AsOfDate,IF($R53=0,$X53,IF(AND($T53&lt;&gt;"",EDATE($D53,Milestones!$AA$78)&gt;=$T53),$W53,IF(AND($S53&lt;&gt;"",EDATE($D53,Milestones!$AA$78)&gt;=$S53),$V53,$U53)))=Milestones!$AB$78),UPPER(TEXT(EDATE($D53,Milestones!$AA$78),"dd mmm yy"))&amp;" "&amp;Milestones!$AB$78&amp;" "&amp;Milestones!$AC$78&amp;";  ","")&amp;IF(AND(EDATE($D53,Milestones!$AA$79)&lt;=AsOfDate,IF($R53=0,$X53,IF(AND($T53&lt;&gt;"",EDATE($D53,Milestones!$AA$79)&gt;=$T53),$W53,IF(AND($S53&lt;&gt;"",EDATE($D53,Milestones!$AA$79)&gt;=$S53),$V53,$U53)))=Milestones!$AB$79),UPPER(TEXT(EDATE($D53,Milestones!$AA$79),"dd mmm yy"))&amp;" "&amp;Milestones!$AB$79&amp;" "&amp;Milestones!$AC$79&amp;";  ",""))</f>
        <v/>
      </c>
      <c r="L53" s="0" t="str">
        <f aca="false">IF(OR($A53="",$D53=""),"",IF(AND(EDATE($D53,Milestones!$AA$80)&lt;=AsOfDate,IF($R53=0,$X53,IF(AND($T53&lt;&gt;"",EDATE($D53,Milestones!$AA$80)&gt;=$T53),$W53,IF(AND($S53&lt;&gt;"",EDATE($D53,Milestones!$AA$80)&gt;=$S53),$V53,$U53)))=Milestones!$AB$80),UPPER(TEXT(EDATE($D53,Milestones!$AA$80),"dd mmm yy"))&amp;" "&amp;Milestones!$AB$80&amp;" "&amp;Milestones!$AC$80&amp;";  ","")&amp;IF(AND(EDATE($D53,Milestones!$AA$81)&lt;=AsOfDate,IF($R53=0,$X53,IF(AND($T53&lt;&gt;"",EDATE($D53,Milestones!$AA$81)&gt;=$T53),$W53,IF(AND($S53&lt;&gt;"",EDATE($D53,Milestones!$AA$81)&gt;=$S53),$V53,$U53)))=Milestones!$AB$81),UPPER(TEXT(EDATE($D53,Milestones!$AA$81),"dd mmm yy"))&amp;" "&amp;Milestones!$AB$81&amp;" "&amp;Milestones!$AC$81&amp;";  ","")&amp;IF(AND(EDATE($D53,Milestones!$AA$82)&lt;=AsOfDate,IF($R53=0,$X53,IF(AND($T53&lt;&gt;"",EDATE($D53,Milestones!$AA$82)&gt;=$T53),$W53,IF(AND($S53&lt;&gt;"",EDATE($D53,Milestones!$AA$82)&gt;=$S53),$V53,$U53)))=Milestones!$AB$82),UPPER(TEXT(EDATE($D53,Milestones!$AA$82),"dd mmm yy"))&amp;" "&amp;Milestones!$AB$82&amp;" "&amp;Milestones!$AC$82&amp;";  ","")&amp;IF(AND(EDATE($D53,Milestones!$AA$83)&lt;=AsOfDate,IF($R53=0,$X53,IF(AND($T53&lt;&gt;"",EDATE($D53,Milestones!$AA$83)&gt;=$T53),$W53,IF(AND($S53&lt;&gt;"",EDATE($D53,Milestones!$AA$83)&gt;=$S53),$V53,$U53)))=Milestones!$AB$83),UPPER(TEXT(EDATE($D53,Milestones!$AA$83),"dd mmm yy"))&amp;" "&amp;Milestones!$AB$83&amp;" "&amp;Milestones!$AC$83&amp;";  ","")&amp;IF(AND(EDATE($D53,Milestones!$AA$84)&lt;=AsOfDate,IF($R53=0,$X53,IF(AND($T53&lt;&gt;"",EDATE($D53,Milestones!$AA$84)&gt;=$T53),$W53,IF(AND($S53&lt;&gt;"",EDATE($D53,Milestones!$AA$84)&gt;=$S53),$V53,$U53)))=Milestones!$AB$84),UPPER(TEXT(EDATE($D53,Milestones!$AA$84),"dd mmm yy"))&amp;" "&amp;Milestones!$AB$84&amp;" "&amp;Milestones!$AC$84&amp;";  ","")&amp;IF(AND(EDATE($D53,Milestones!$AA$85)&lt;=AsOfDate,IF($R53=0,$X53,IF(AND($T53&lt;&gt;"",EDATE($D53,Milestones!$AA$85)&gt;=$T53),$W53,IF(AND($S53&lt;&gt;"",EDATE($D53,Milestones!$AA$85)&gt;=$S53),$V53,$U53)))=Milestones!$AB$85),UPPER(TEXT(EDATE($D53,Milestones!$AA$85),"dd mmm yy"))&amp;" "&amp;Milestones!$AB$85&amp;" "&amp;Milestones!$AC$85&amp;";  ","")&amp;IF(AND(EDATE($D53,Milestones!$AA$86)&lt;=AsOfDate,IF($R53=0,$X53,IF(AND($T53&lt;&gt;"",EDATE($D53,Milestones!$AA$86)&gt;=$T53),$W53,IF(AND($S53&lt;&gt;"",EDATE($D53,Milestones!$AA$86)&gt;=$S53),$V53,$U53)))=Milestones!$AB$86),UPPER(TEXT(EDATE($D53,Milestones!$AA$86),"dd mmm yy"))&amp;" "&amp;Milestones!$AB$86&amp;" "&amp;Milestones!$AC$86&amp;";  ","")&amp;IF(AND(EDATE($D53,Milestones!$AA$87)&lt;=AsOfDate,IF($R53=0,$X53,IF(AND($T53&lt;&gt;"",EDATE($D53,Milestones!$AA$87)&gt;=$T53),$W53,IF(AND($S53&lt;&gt;"",EDATE($D53,Milestones!$AA$87)&gt;=$S53),$V53,$U53)))=Milestones!$AB$87),UPPER(TEXT(EDATE($D53,Milestones!$AA$87),"dd mmm yy"))&amp;" "&amp;Milestones!$AB$87&amp;" "&amp;Milestones!$AC$87&amp;";  ","")&amp;IF(AND(EDATE($D53,Milestones!$AA$88)&lt;=AsOfDate,IF($R53=0,$X53,IF(AND($T53&lt;&gt;"",EDATE($D53,Milestones!$AA$88)&gt;=$T53),$W53,IF(AND($S53&lt;&gt;"",EDATE($D53,Milestones!$AA$88)&gt;=$S53),$V53,$U53)))=Milestones!$AB$88),UPPER(TEXT(EDATE($D53,Milestones!$AA$88),"dd mmm yy"))&amp;" "&amp;Milestones!$AB$88&amp;" "&amp;Milestones!$AC$88&amp;";  ","")&amp;IF(AND(EDATE($D53,Milestones!$AA$89)&lt;=AsOfDate,IF($R53=0,$X53,IF(AND($T53&lt;&gt;"",EDATE($D53,Milestones!$AA$89)&gt;=$T53),$W53,IF(AND($S53&lt;&gt;"",EDATE($D53,Milestones!$AA$89)&gt;=$S53),$V53,$U53)))=Milestones!$AB$89),UPPER(TEXT(EDATE($D53,Milestones!$AA$89),"dd mmm yy"))&amp;" "&amp;Milestones!$AB$89&amp;" "&amp;Milestones!$AC$89&amp;";  ","")&amp;IF(AND(EDATE($D53,Milestones!$AA$90)&lt;=AsOfDate,IF($R53=0,$X53,IF(AND($T53&lt;&gt;"",EDATE($D53,Milestones!$AA$90)&gt;=$T53),$W53,IF(AND($S53&lt;&gt;"",EDATE($D53,Milestones!$AA$90)&gt;=$S53),$V53,$U53)))=Milestones!$AB$90),UPPER(TEXT(EDATE($D53,Milestones!$AA$90),"dd mmm yy"))&amp;" "&amp;Milestones!$AB$90&amp;" "&amp;Milestones!$AC$90&amp;";  ","")&amp;IF(AND(EDATE($D53,Milestones!$AA$91)&lt;=AsOfDate,IF($R53=0,$X53,IF(AND($T53&lt;&gt;"",EDATE($D53,Milestones!$AA$91)&gt;=$T53),$W53,IF(AND($S53&lt;&gt;"",EDATE($D53,Milestones!$AA$91)&gt;=$S53),$V53,$U53)))=Milestones!$AB$91),UPPER(TEXT(EDATE($D53,Milestones!$AA$91),"dd mmm yy"))&amp;" "&amp;Milestones!$AB$91&amp;" "&amp;Milestones!$AC$91&amp;";  ","")&amp;IF(AND(EDATE($D53,Milestones!$AA$92)&lt;=AsOfDate,IF($R53=0,$X53,IF(AND($T53&lt;&gt;"",EDATE($D53,Milestones!$AA$92)&gt;=$T53),$W53,IF(AND($S53&lt;&gt;"",EDATE($D53,Milestones!$AA$92)&gt;=$S53),$V53,$U53)))=Milestones!$AB$92),UPPER(TEXT(EDATE($D53,Milestones!$AA$92),"dd mmm yy"))&amp;" "&amp;Milestones!$AB$92&amp;" "&amp;Milestones!$AC$92&amp;";  ","")&amp;IF(AND(EDATE($D53,Milestones!$AA$93)&lt;=AsOfDate,IF($R53=0,$X53,IF(AND($T53&lt;&gt;"",EDATE($D53,Milestones!$AA$93)&gt;=$T53),$W53,IF(AND($S53&lt;&gt;"",EDATE($D53,Milestones!$AA$93)&gt;=$S53),$V53,$U53)))=Milestones!$AB$93),UPPER(TEXT(EDATE($D53,Milestones!$AA$93),"dd mmm yy"))&amp;" "&amp;Milestones!$AB$93&amp;" "&amp;Milestones!$AC$93&amp;";  ","")&amp;IF(AND(EDATE($D53,Milestones!$AA$94)&lt;=AsOfDate,IF($R53=0,$X53,IF(AND($T53&lt;&gt;"",EDATE($D53,Milestones!$AA$94)&gt;=$T53),$W53,IF(AND($S53&lt;&gt;"",EDATE($D53,Milestones!$AA$94)&gt;=$S53),$V53,$U53)))=Milestones!$AB$94),UPPER(TEXT(EDATE($D53,Milestones!$AA$94),"dd mmm yy"))&amp;" "&amp;Milestones!$AB$94&amp;" "&amp;Milestones!$AC$94&amp;";  ","")&amp;IF(AND(EDATE($D53,Milestones!$AA$95)&lt;=AsOfDate,IF($R53=0,$X53,IF(AND($T53&lt;&gt;"",EDATE($D53,Milestones!$AA$95)&gt;=$T53),$W53,IF(AND($S53&lt;&gt;"",EDATE($D53,Milestones!$AA$95)&gt;=$S53),$V53,$U53)))=Milestones!$AB$95),UPPER(TEXT(EDATE($D53,Milestones!$AA$95),"dd mmm yy"))&amp;" "&amp;Milestones!$AB$95&amp;" "&amp;Milestones!$AC$95&amp;";  ","")&amp;IF(AND(EDATE($D53,Milestones!$AA$96)&lt;=AsOfDate,IF($R53=0,$X53,IF(AND($T53&lt;&gt;"",EDATE($D53,Milestones!$AA$96)&gt;=$T53),$W53,IF(AND($S53&lt;&gt;"",EDATE($D53,Milestones!$AA$96)&gt;=$S53),$V53,$U53)))=Milestones!$AB$96),UPPER(TEXT(EDATE($D53,Milestones!$AA$96),"dd mmm yy"))&amp;" "&amp;Milestones!$AB$96&amp;" "&amp;Milestones!$AC$96&amp;";  ","")&amp;IF(AND(EDATE($D53,Milestones!$AA$97)&lt;=AsOfDate,IF($R53=0,$X53,IF(AND($T53&lt;&gt;"",EDATE($D53,Milestones!$AA$97)&gt;=$T53),$W53,IF(AND($S53&lt;&gt;"",EDATE($D53,Milestones!$AA$97)&gt;=$S53),$V53,$U53)))=Milestones!$AB$97),UPPER(TEXT(EDATE($D53,Milestones!$AA$97),"dd mmm yy"))&amp;" "&amp;Milestones!$AB$97&amp;" "&amp;Milestones!$AC$97&amp;";  ","")&amp;IF(AND(EDATE($D53,Milestones!$AA$98)&lt;=AsOfDate,IF($R53=0,$X53,IF(AND($T53&lt;&gt;"",EDATE($D53,Milestones!$AA$98)&gt;=$T53),$W53,IF(AND($S53&lt;&gt;"",EDATE($D53,Milestones!$AA$98)&gt;=$S53),$V53,$U53)))=Milestones!$AB$98),UPPER(TEXT(EDATE($D53,Milestones!$AA$98),"dd mmm yy"))&amp;" "&amp;Milestones!$AB$98&amp;" "&amp;Milestones!$AC$98&amp;";  ","")&amp;IF(AND(EDATE($D53,Milestones!$AA$99)&lt;=AsOfDate,IF($R53=0,$X53,IF(AND($T53&lt;&gt;"",EDATE($D53,Milestones!$AA$99)&gt;=$T53),$W53,IF(AND($S53&lt;&gt;"",EDATE($D53,Milestones!$AA$99)&gt;=$S53),$V53,$U53)))=Milestones!$AB$99),UPPER(TEXT(EDATE($D53,Milestones!$AA$99),"dd mmm yy"))&amp;" "&amp;Milestones!$AB$99&amp;" "&amp;Milestones!$AC$99&amp;";  ",""))</f>
        <v/>
      </c>
      <c r="M53" s="0" t="str">
        <f aca="false">IF(OR($A53="",$D53=""),"",IF(AND(EDATE($D53,Milestones!$AA$100)&lt;=AsOfDate,IF($R53=0,$X53,IF(AND($T53&lt;&gt;"",EDATE($D53,Milestones!$AA$100)&gt;=$T53),$W53,IF(AND($S53&lt;&gt;"",EDATE($D53,Milestones!$AA$100)&gt;=$S53),$V53,$U53)))=Milestones!$AB$100),UPPER(TEXT(EDATE($D53,Milestones!$AA$100),"dd mmm yy"))&amp;" "&amp;Milestones!$AB$100&amp;" "&amp;Milestones!$AC$100&amp;";  ","")&amp;IF(AND(EDATE($D53,Milestones!$AA$101)&lt;=AsOfDate,IF($R53=0,$X53,IF(AND($T53&lt;&gt;"",EDATE($D53,Milestones!$AA$101)&gt;=$T53),$W53,IF(AND($S53&lt;&gt;"",EDATE($D53,Milestones!$AA$101)&gt;=$S53),$V53,$U53)))=Milestones!$AB$101),UPPER(TEXT(EDATE($D53,Milestones!$AA$101),"dd mmm yy"))&amp;" "&amp;Milestones!$AB$101&amp;" "&amp;Milestones!$AC$101&amp;";  ","")&amp;IF(AND(EDATE($D53,Milestones!$AA$102)&lt;=AsOfDate,IF($R53=0,$X53,IF(AND($T53&lt;&gt;"",EDATE($D53,Milestones!$AA$102)&gt;=$T53),$W53,IF(AND($S53&lt;&gt;"",EDATE($D53,Milestones!$AA$102)&gt;=$S53),$V53,$U53)))=Milestones!$AB$102),UPPER(TEXT(EDATE($D53,Milestones!$AA$102),"dd mmm yy"))&amp;" "&amp;Milestones!$AB$102&amp;" "&amp;Milestones!$AC$102&amp;";  ","")&amp;IF(AND(EDATE($D53,Milestones!$AA$103)&lt;=AsOfDate,IF($R53=0,$X53,IF(AND($T53&lt;&gt;"",EDATE($D53,Milestones!$AA$103)&gt;=$T53),$W53,IF(AND($S53&lt;&gt;"",EDATE($D53,Milestones!$AA$103)&gt;=$S53),$V53,$U53)))=Milestones!$AB$103),UPPER(TEXT(EDATE($D53,Milestones!$AA$103),"dd mmm yy"))&amp;" "&amp;Milestones!$AB$103&amp;" "&amp;Milestones!$AC$103&amp;";  ","")&amp;IF(AND(EDATE($D53,Milestones!$AA$104)&lt;=AsOfDate,IF($R53=0,$X53,IF(AND($T53&lt;&gt;"",EDATE($D53,Milestones!$AA$104)&gt;=$T53),$W53,IF(AND($S53&lt;&gt;"",EDATE($D53,Milestones!$AA$104)&gt;=$S53),$V53,$U53)))=Milestones!$AB$104),UPPER(TEXT(EDATE($D53,Milestones!$AA$104),"dd mmm yy"))&amp;" "&amp;Milestones!$AB$104&amp;" "&amp;Milestones!$AC$104&amp;";  ","")&amp;IF(AND(EDATE($D53,Milestones!$AA$105)&lt;=AsOfDate,IF($R53=0,$X53,IF(AND($T53&lt;&gt;"",EDATE($D53,Milestones!$AA$105)&gt;=$T53),$W53,IF(AND($S53&lt;&gt;"",EDATE($D53,Milestones!$AA$105)&gt;=$S53),$V53,$U53)))=Milestones!$AB$105),UPPER(TEXT(EDATE($D53,Milestones!$AA$105),"dd mmm yy"))&amp;" "&amp;Milestones!$AB$105&amp;" "&amp;Milestones!$AC$105&amp;";  ","")&amp;IF(AND(EDATE($D53,Milestones!$AA$106)&lt;=AsOfDate,IF($R53=0,$X53,IF(AND($T53&lt;&gt;"",EDATE($D53,Milestones!$AA$106)&gt;=$T53),$W53,IF(AND($S53&lt;&gt;"",EDATE($D53,Milestones!$AA$106)&gt;=$S53),$V53,$U53)))=Milestones!$AB$106),UPPER(TEXT(EDATE($D53,Milestones!$AA$106),"dd mmm yy"))&amp;" "&amp;Milestones!$AB$106&amp;" "&amp;Milestones!$AC$106&amp;";  ","")&amp;IF(AND(EDATE($D53,Milestones!$AA$107)&lt;=AsOfDate,IF($R53=0,$X53,IF(AND($T53&lt;&gt;"",EDATE($D53,Milestones!$AA$107)&gt;=$T53),$W53,IF(AND($S53&lt;&gt;"",EDATE($D53,Milestones!$AA$107)&gt;=$S53),$V53,$U53)))=Milestones!$AB$107),UPPER(TEXT(EDATE($D53,Milestones!$AA$107),"dd mmm yy"))&amp;" "&amp;Milestones!$AB$107&amp;" "&amp;Milestones!$AC$107&amp;";  ","")&amp;IF(AND(EDATE($D53,Milestones!$AA$108)&lt;=AsOfDate,IF($R53=0,$X53,IF(AND($T53&lt;&gt;"",EDATE($D53,Milestones!$AA$108)&gt;=$T53),$W53,IF(AND($S53&lt;&gt;"",EDATE($D53,Milestones!$AA$108)&gt;=$S53),$V53,$U53)))=Milestones!$AB$108),UPPER(TEXT(EDATE($D53,Milestones!$AA$108),"dd mmm yy"))&amp;" "&amp;Milestones!$AB$108&amp;" "&amp;Milestones!$AC$108&amp;";  ","")&amp;IF(AND(EDATE($D53,Milestones!$AA$109)&lt;=AsOfDate,IF($R53=0,$X53,IF(AND($T53&lt;&gt;"",EDATE($D53,Milestones!$AA$109)&gt;=$T53),$W53,IF(AND($S53&lt;&gt;"",EDATE($D53,Milestones!$AA$109)&gt;=$S53),$V53,$U53)))=Milestones!$AB$109),UPPER(TEXT(EDATE($D53,Milestones!$AA$109),"dd mmm yy"))&amp;" "&amp;Milestones!$AB$109&amp;" "&amp;Milestones!$AC$109&amp;";  ","")&amp;IF(AND(EDATE($D53,Milestones!$AA$110)&lt;=AsOfDate,IF($R53=0,$X53,IF(AND($T53&lt;&gt;"",EDATE($D53,Milestones!$AA$110)&gt;=$T53),$W53,IF(AND($S53&lt;&gt;"",EDATE($D53,Milestones!$AA$110)&gt;=$S53),$V53,$U53)))=Milestones!$AB$110),UPPER(TEXT(EDATE($D53,Milestones!$AA$110),"dd mmm yy"))&amp;" "&amp;Milestones!$AB$110&amp;" "&amp;Milestones!$AC$110&amp;";  ","")&amp;IF(AND(EDATE($D53,Milestones!$AA$111)&lt;=AsOfDate,IF($R53=0,$X53,IF(AND($T53&lt;&gt;"",EDATE($D53,Milestones!$AA$111)&gt;=$T53),$W53,IF(AND($S53&lt;&gt;"",EDATE($D53,Milestones!$AA$111)&gt;=$S53),$V53,$U53)))=Milestones!$AB$111),UPPER(TEXT(EDATE($D53,Milestones!$AA$111),"dd mmm yy"))&amp;" "&amp;Milestones!$AB$111&amp;" "&amp;Milestones!$AC$111&amp;";  ","")&amp;IF(AND(EDATE($D53,Milestones!$AA$112)&lt;=AsOfDate,IF($R53=0,$X53,IF(AND($T53&lt;&gt;"",EDATE($D53,Milestones!$AA$112)&gt;=$T53),$W53,IF(AND($S53&lt;&gt;"",EDATE($D53,Milestones!$AA$112)&gt;=$S53),$V53,$U53)))=Milestones!$AB$112),UPPER(TEXT(EDATE($D53,Milestones!$AA$112),"dd mmm yy"))&amp;" "&amp;Milestones!$AB$112&amp;" "&amp;Milestones!$AC$112&amp;";  ","")&amp;IF(AND(EDATE($D53,Milestones!$AA$113)&lt;=AsOfDate,IF($R53=0,$X53,IF(AND($T53&lt;&gt;"",EDATE($D53,Milestones!$AA$113)&gt;=$T53),$W53,IF(AND($S53&lt;&gt;"",EDATE($D53,Milestones!$AA$113)&gt;=$S53),$V53,$U53)))=Milestones!$AB$113),UPPER(TEXT(EDATE($D53,Milestones!$AA$113),"dd mmm yy"))&amp;" "&amp;Milestones!$AB$113&amp;" "&amp;Milestones!$AC$113&amp;";  ","")&amp;IF(AND(EDATE($D53,Milestones!$AA$114)&lt;=AsOfDate,IF($R53=0,$X53,IF(AND($T53&lt;&gt;"",EDATE($D53,Milestones!$AA$114)&gt;=$T53),$W53,IF(AND($S53&lt;&gt;"",EDATE($D53,Milestones!$AA$114)&gt;=$S53),$V53,$U53)))=Milestones!$AB$114),UPPER(TEXT(EDATE($D53,Milestones!$AA$114),"dd mmm yy"))&amp;" "&amp;Milestones!$AB$114&amp;" "&amp;Milestones!$AC$114&amp;";  ","")&amp;IF(AND(EDATE($D53,Milestones!$AA$115)&lt;=AsOfDate,IF($R53=0,$X53,IF(AND($T53&lt;&gt;"",EDATE($D53,Milestones!$AA$115)&gt;=$T53),$W53,IF(AND($S53&lt;&gt;"",EDATE($D53,Milestones!$AA$115)&gt;=$S53),$V53,$U53)))=Milestones!$AB$115),UPPER(TEXT(EDATE($D53,Milestones!$AA$115),"dd mmm yy"))&amp;" "&amp;Milestones!$AB$115&amp;" "&amp;Milestones!$AC$115&amp;";  ","")&amp;IF(AND(EDATE($D53,Milestones!$AA$116)&lt;=AsOfDate,IF($R53=0,$X53,IF(AND($T53&lt;&gt;"",EDATE($D53,Milestones!$AA$116)&gt;=$T53),$W53,IF(AND($S53&lt;&gt;"",EDATE($D53,Milestones!$AA$116)&gt;=$S53),$V53,$U53)))=Milestones!$AB$116),UPPER(TEXT(EDATE($D53,Milestones!$AA$116),"dd mmm yy"))&amp;" "&amp;Milestones!$AB$116&amp;" "&amp;Milestones!$AC$116&amp;";  ","")&amp;IF(AND(EDATE($D53,Milestones!$AA$117)&lt;=AsOfDate,IF($R53=0,$X53,IF(AND($T53&lt;&gt;"",EDATE($D53,Milestones!$AA$117)&gt;=$T53),$W53,IF(AND($S53&lt;&gt;"",EDATE($D53,Milestones!$AA$117)&gt;=$S53),$V53,$U53)))=Milestones!$AB$117),UPPER(TEXT(EDATE($D53,Milestones!$AA$117),"dd mmm yy"))&amp;" "&amp;Milestones!$AB$117&amp;" "&amp;Milestones!$AC$117&amp;";  ","")&amp;IF(AND(EDATE($D53,Milestones!$AA$118)&lt;=AsOfDate,IF($R53=0,$X53,IF(AND($T53&lt;&gt;"",EDATE($D53,Milestones!$AA$118)&gt;=$T53),$W53,IF(AND($S53&lt;&gt;"",EDATE($D53,Milestones!$AA$118)&gt;=$S53),$V53,$U53)))=Milestones!$AB$118),UPPER(TEXT(EDATE($D53,Milestones!$AA$118),"dd mmm yy"))&amp;" "&amp;Milestones!$AB$118&amp;" "&amp;Milestones!$AC$118&amp;";  ","")&amp;IF(AND(EDATE($D53,Milestones!$AA$119)&lt;=AsOfDate,IF($R53=0,$X53,IF(AND($T53&lt;&gt;"",EDATE($D53,Milestones!$AA$119)&gt;=$T53),$W53,IF(AND($S53&lt;&gt;"",EDATE($D53,Milestones!$AA$119)&gt;=$S53),$V53,$U53)))=Milestones!$AB$119),UPPER(TEXT(EDATE($D53,Milestones!$AA$119),"dd mmm yy"))&amp;" "&amp;Milestones!$AB$119&amp;" "&amp;Milestones!$AC$119&amp;";  ",""))</f>
        <v/>
      </c>
      <c r="N53" s="0" t="str">
        <f aca="false">IF(OR($A53="",$D53=""),"",IF(AND(EDATE($D53,Milestones!$AA$120)&lt;=AsOfDate,IF($R53=0,$X53,IF(AND($T53&lt;&gt;"",EDATE($D53,Milestones!$AA$120)&gt;=$T53),$W53,IF(AND($S53&lt;&gt;"",EDATE($D53,Milestones!$AA$120)&gt;=$S53),$V53,$U53)))=Milestones!$AB$120),UPPER(TEXT(EDATE($D53,Milestones!$AA$120),"dd mmm yy"))&amp;" "&amp;Milestones!$AB$120&amp;" "&amp;Milestones!$AC$120&amp;";  ","")&amp;IF(AND(EDATE($D53,Milestones!$AA$121)&lt;=AsOfDate,IF($R53=0,$X53,IF(AND($T53&lt;&gt;"",EDATE($D53,Milestones!$AA$121)&gt;=$T53),$W53,IF(AND($S53&lt;&gt;"",EDATE($D53,Milestones!$AA$121)&gt;=$S53),$V53,$U53)))=Milestones!$AB$121),UPPER(TEXT(EDATE($D53,Milestones!$AA$121),"dd mmm yy"))&amp;" "&amp;Milestones!$AB$121&amp;" "&amp;Milestones!$AC$121&amp;";  ","")&amp;IF(AND(EDATE($D53,Milestones!$AA$122)&lt;=AsOfDate,IF($R53=0,$X53,IF(AND($T53&lt;&gt;"",EDATE($D53,Milestones!$AA$122)&gt;=$T53),$W53,IF(AND($S53&lt;&gt;"",EDATE($D53,Milestones!$AA$122)&gt;=$S53),$V53,$U53)))=Milestones!$AB$122),UPPER(TEXT(EDATE($D53,Milestones!$AA$122),"dd mmm yy"))&amp;" "&amp;Milestones!$AB$122&amp;" "&amp;Milestones!$AC$122&amp;";  ","")&amp;IF(AND(EDATE($D53,Milestones!$AA$123)&lt;=AsOfDate,IF($R53=0,$X53,IF(AND($T53&lt;&gt;"",EDATE($D53,Milestones!$AA$123)&gt;=$T53),$W53,IF(AND($S53&lt;&gt;"",EDATE($D53,Milestones!$AA$123)&gt;=$S53),$V53,$U53)))=Milestones!$AB$123),UPPER(TEXT(EDATE($D53,Milestones!$AA$123),"dd mmm yy"))&amp;" "&amp;Milestones!$AB$123&amp;" "&amp;Milestones!$AC$123&amp;";  ","")&amp;IF(AND(EDATE($D53,Milestones!$AA$124)&lt;=AsOfDate,IF($R53=0,$X53,IF(AND($T53&lt;&gt;"",EDATE($D53,Milestones!$AA$124)&gt;=$T53),$W53,IF(AND($S53&lt;&gt;"",EDATE($D53,Milestones!$AA$124)&gt;=$S53),$V53,$U53)))=Milestones!$AB$124),UPPER(TEXT(EDATE($D53,Milestones!$AA$124),"dd mmm yy"))&amp;" "&amp;Milestones!$AB$124&amp;" "&amp;Milestones!$AC$124&amp;";  ","")&amp;IF(AND(EDATE($D53,Milestones!$AA$125)&lt;=AsOfDate,IF($R53=0,$X53,IF(AND($T53&lt;&gt;"",EDATE($D53,Milestones!$AA$125)&gt;=$T53),$W53,IF(AND($S53&lt;&gt;"",EDATE($D53,Milestones!$AA$125)&gt;=$S53),$V53,$U53)))=Milestones!$AB$125),UPPER(TEXT(EDATE($D53,Milestones!$AA$125),"dd mmm yy"))&amp;" "&amp;Milestones!$AB$125&amp;" "&amp;Milestones!$AC$125&amp;";  ","")&amp;IF(AND(EDATE($D53,Milestones!$AA$126)&lt;=AsOfDate,IF($R53=0,$X53,IF(AND($T53&lt;&gt;"",EDATE($D53,Milestones!$AA$126)&gt;=$T53),$W53,IF(AND($S53&lt;&gt;"",EDATE($D53,Milestones!$AA$126)&gt;=$S53),$V53,$U53)))=Milestones!$AB$126),UPPER(TEXT(EDATE($D53,Milestones!$AA$126),"dd mmm yy"))&amp;" "&amp;Milestones!$AB$126&amp;" "&amp;Milestones!$AC$126&amp;";  ","")&amp;IF(AND(EDATE($D53,Milestones!$AA$127)&lt;=AsOfDate,IF($R53=0,$X53,IF(AND($T53&lt;&gt;"",EDATE($D53,Milestones!$AA$127)&gt;=$T53),$W53,IF(AND($S53&lt;&gt;"",EDATE($D53,Milestones!$AA$127)&gt;=$S53),$V53,$U53)))=Milestones!$AB$127),UPPER(TEXT(EDATE($D53,Milestones!$AA$127),"dd mmm yy"))&amp;" "&amp;Milestones!$AB$127&amp;" "&amp;Milestones!$AC$127&amp;";  ","")&amp;IF(AND(EDATE($D53,Milestones!$AA$128)&lt;=AsOfDate,IF($R53=0,$X53,IF(AND($T53&lt;&gt;"",EDATE($D53,Milestones!$AA$128)&gt;=$T53),$W53,IF(AND($S53&lt;&gt;"",EDATE($D53,Milestones!$AA$128)&gt;=$S53),$V53,$U53)))=Milestones!$AB$128),UPPER(TEXT(EDATE($D53,Milestones!$AA$128),"dd mmm yy"))&amp;" "&amp;Milestones!$AB$128&amp;" "&amp;Milestones!$AC$128&amp;";  ","")&amp;IF(AND(EDATE($D53,Milestones!$AA$129)&lt;=AsOfDate,IF($R53=0,$X53,IF(AND($T53&lt;&gt;"",EDATE($D53,Milestones!$AA$129)&gt;=$T53),$W53,IF(AND($S53&lt;&gt;"",EDATE($D53,Milestones!$AA$129)&gt;=$S53),$V53,$U53)))=Milestones!$AB$129),UPPER(TEXT(EDATE($D53,Milestones!$AA$129),"dd mmm yy"))&amp;" "&amp;Milestones!$AB$129&amp;" "&amp;Milestones!$AC$129&amp;";  ","")&amp;IF(AND(EDATE($D53,Milestones!$AA$130)&lt;=AsOfDate,IF($R53=0,$X53,IF(AND($T53&lt;&gt;"",EDATE($D53,Milestones!$AA$130)&gt;=$T53),$W53,IF(AND($S53&lt;&gt;"",EDATE($D53,Milestones!$AA$130)&gt;=$S53),$V53,$U53)))=Milestones!$AB$130),UPPER(TEXT(EDATE($D53,Milestones!$AA$130),"dd mmm yy"))&amp;" "&amp;Milestones!$AB$130&amp;" "&amp;Milestones!$AC$130&amp;";  ","")&amp;IF(AND(EDATE($D53,Milestones!$AA$131)&lt;=AsOfDate,IF($R53=0,$X53,IF(AND($T53&lt;&gt;"",EDATE($D53,Milestones!$AA$131)&gt;=$T53),$W53,IF(AND($S53&lt;&gt;"",EDATE($D53,Milestones!$AA$131)&gt;=$S53),$V53,$U53)))=Milestones!$AB$131),UPPER(TEXT(EDATE($D53,Milestones!$AA$131),"dd mmm yy"))&amp;" "&amp;Milestones!$AB$131&amp;" "&amp;Milestones!$AC$131&amp;";  ","")&amp;IF(AND(EDATE($D53,Milestones!$AA$132)&lt;=AsOfDate,IF($R53=0,$X53,IF(AND($T53&lt;&gt;"",EDATE($D53,Milestones!$AA$132)&gt;=$T53),$W53,IF(AND($S53&lt;&gt;"",EDATE($D53,Milestones!$AA$132)&gt;=$S53),$V53,$U53)))=Milestones!$AB$132),UPPER(TEXT(EDATE($D53,Milestones!$AA$132),"dd mmm yy"))&amp;" "&amp;Milestones!$AB$132&amp;" "&amp;Milestones!$AC$132&amp;";  ","")&amp;IF(AND(EDATE($D53,Milestones!$AA$133)&lt;=AsOfDate,IF($R53=0,$X53,IF(AND($T53&lt;&gt;"",EDATE($D53,Milestones!$AA$133)&gt;=$T53),$W53,IF(AND($S53&lt;&gt;"",EDATE($D53,Milestones!$AA$133)&gt;=$S53),$V53,$U53)))=Milestones!$AB$133),UPPER(TEXT(EDATE($D53,Milestones!$AA$133),"dd mmm yy"))&amp;" "&amp;Milestones!$AB$133&amp;" "&amp;Milestones!$AC$133&amp;";  ","")&amp;IF(AND(EDATE($D53,Milestones!$AA$134)&lt;=AsOfDate,IF($R53=0,$X53,IF(AND($T53&lt;&gt;"",EDATE($D53,Milestones!$AA$134)&gt;=$T53),$W53,IF(AND($S53&lt;&gt;"",EDATE($D53,Milestones!$AA$134)&gt;=$S53),$V53,$U53)))=Milestones!$AB$134),UPPER(TEXT(EDATE($D53,Milestones!$AA$134),"dd mmm yy"))&amp;" "&amp;Milestones!$AB$134&amp;" "&amp;Milestones!$AC$134&amp;";  ","")&amp;IF(AND(EDATE($D53,Milestones!$AA$135)&lt;=AsOfDate,IF($R53=0,$X53,IF(AND($T53&lt;&gt;"",EDATE($D53,Milestones!$AA$135)&gt;=$T53),$W53,IF(AND($S53&lt;&gt;"",EDATE($D53,Milestones!$AA$135)&gt;=$S53),$V53,$U53)))=Milestones!$AB$135),UPPER(TEXT(EDATE($D53,Milestones!$AA$135),"dd mmm yy"))&amp;" "&amp;Milestones!$AB$135&amp;" "&amp;Milestones!$AC$135&amp;";  ","")&amp;IF(AND(EDATE($D53,Milestones!$AA$136)&lt;=AsOfDate,IF($R53=0,$X53,IF(AND($T53&lt;&gt;"",EDATE($D53,Milestones!$AA$136)&gt;=$T53),$W53,IF(AND($S53&lt;&gt;"",EDATE($D53,Milestones!$AA$136)&gt;=$S53),$V53,$U53)))=Milestones!$AB$136),UPPER(TEXT(EDATE($D53,Milestones!$AA$136),"dd mmm yy"))&amp;" "&amp;Milestones!$AB$136&amp;" "&amp;Milestones!$AC$136&amp;";  ","")&amp;IF(AND(EDATE($D53,Milestones!$AA$137)&lt;=AsOfDate,IF($R53=0,$X53,IF(AND($T53&lt;&gt;"",EDATE($D53,Milestones!$AA$137)&gt;=$T53),$W53,IF(AND($S53&lt;&gt;"",EDATE($D53,Milestones!$AA$137)&gt;=$S53),$V53,$U53)))=Milestones!$AB$137),UPPER(TEXT(EDATE($D53,Milestones!$AA$137),"dd mmm yy"))&amp;" "&amp;Milestones!$AB$137&amp;" "&amp;Milestones!$AC$137&amp;";  ","")&amp;IF(AND(EDATE($D53,Milestones!$AA$138)&lt;=AsOfDate,IF($R53=0,$X53,IF(AND($T53&lt;&gt;"",EDATE($D53,Milestones!$AA$138)&gt;=$T53),$W53,IF(AND($S53&lt;&gt;"",EDATE($D53,Milestones!$AA$138)&gt;=$S53),$V53,$U53)))=Milestones!$AB$138),UPPER(TEXT(EDATE($D53,Milestones!$AA$138),"dd mmm yy"))&amp;" "&amp;Milestones!$AB$138&amp;" "&amp;Milestones!$AC$138&amp;";  ","")&amp;IF(AND(EDATE($D53,Milestones!$AA$139)&lt;=AsOfDate,IF($R53=0,$X53,IF(AND($T53&lt;&gt;"",EDATE($D53,Milestones!$AA$139)&gt;=$T53),$W53,IF(AND($S53&lt;&gt;"",EDATE($D53,Milestones!$AA$139)&gt;=$S53),$V53,$U53)))=Milestones!$AB$139),UPPER(TEXT(EDATE($D53,Milestones!$AA$139),"dd mmm yy"))&amp;" "&amp;Milestones!$AB$139&amp;" "&amp;Milestones!$AC$139&amp;";  ",""))</f>
        <v/>
      </c>
      <c r="O53" s="0" t="str">
        <f aca="false">IF(OR($A53="",$D53=""),"",IF(AND(EDATE($D53,Milestones!$AA$140)&lt;=AsOfDate,IF($R53=0,$X53,IF(AND($T53&lt;&gt;"",EDATE($D53,Milestones!$AA$140)&gt;=$T53),$W53,IF(AND($S53&lt;&gt;"",EDATE($D53,Milestones!$AA$140)&gt;=$S53),$V53,$U53)))=Milestones!$AB$140),UPPER(TEXT(EDATE($D53,Milestones!$AA$140),"dd mmm yy"))&amp;" "&amp;Milestones!$AB$140&amp;" "&amp;Milestones!$AC$140&amp;";  ","")&amp;IF(AND(EDATE($D53,Milestones!$AA$141)&lt;=AsOfDate,IF($R53=0,$X53,IF(AND($T53&lt;&gt;"",EDATE($D53,Milestones!$AA$141)&gt;=$T53),$W53,IF(AND($S53&lt;&gt;"",EDATE($D53,Milestones!$AA$141)&gt;=$S53),$V53,$U53)))=Milestones!$AB$141),UPPER(TEXT(EDATE($D53,Milestones!$AA$141),"dd mmm yy"))&amp;" "&amp;Milestones!$AB$141&amp;" "&amp;Milestones!$AC$141&amp;";  ","")&amp;IF(AND(EDATE($D53,Milestones!$AA$142)&lt;=AsOfDate,IF($R53=0,$X53,IF(AND($T53&lt;&gt;"",EDATE($D53,Milestones!$AA$142)&gt;=$T53),$W53,IF(AND($S53&lt;&gt;"",EDATE($D53,Milestones!$AA$142)&gt;=$S53),$V53,$U53)))=Milestones!$AB$142),UPPER(TEXT(EDATE($D53,Milestones!$AA$142),"dd mmm yy"))&amp;" "&amp;Milestones!$AB$142&amp;" "&amp;Milestones!$AC$142&amp;";  ","")&amp;IF(AND(EDATE($D53,Milestones!$AA$143)&lt;=AsOfDate,IF($R53=0,$X53,IF(AND($T53&lt;&gt;"",EDATE($D53,Milestones!$AA$143)&gt;=$T53),$W53,IF(AND($S53&lt;&gt;"",EDATE($D53,Milestones!$AA$143)&gt;=$S53),$V53,$U53)))=Milestones!$AB$143),UPPER(TEXT(EDATE($D53,Milestones!$AA$143),"dd mmm yy"))&amp;" "&amp;Milestones!$AB$143&amp;" "&amp;Milestones!$AC$143&amp;";  ","")&amp;IF(AND(EDATE($D53,Milestones!$AA$144)&lt;=AsOfDate,IF($R53=0,$X53,IF(AND($T53&lt;&gt;"",EDATE($D53,Milestones!$AA$144)&gt;=$T53),$W53,IF(AND($S53&lt;&gt;"",EDATE($D53,Milestones!$AA$144)&gt;=$S53),$V53,$U53)))=Milestones!$AB$144),UPPER(TEXT(EDATE($D53,Milestones!$AA$144),"dd mmm yy"))&amp;" "&amp;Milestones!$AB$144&amp;" "&amp;Milestones!$AC$144&amp;";  ","")&amp;IF(AND(EDATE($D53,Milestones!$AA$145)&lt;=AsOfDate,IF($R53=0,$X53,IF(AND($T53&lt;&gt;"",EDATE($D53,Milestones!$AA$145)&gt;=$T53),$W53,IF(AND($S53&lt;&gt;"",EDATE($D53,Milestones!$AA$145)&gt;=$S53),$V53,$U53)))=Milestones!$AB$145),UPPER(TEXT(EDATE($D53,Milestones!$AA$145),"dd mmm yy"))&amp;" "&amp;Milestones!$AB$145&amp;" "&amp;Milestones!$AC$145&amp;";  ","")&amp;IF(AND(EDATE($D53,Milestones!$AA$146)&lt;=AsOfDate,IF($R53=0,$X53,IF(AND($T53&lt;&gt;"",EDATE($D53,Milestones!$AA$146)&gt;=$T53),$W53,IF(AND($S53&lt;&gt;"",EDATE($D53,Milestones!$AA$146)&gt;=$S53),$V53,$U53)))=Milestones!$AB$146),UPPER(TEXT(EDATE($D53,Milestones!$AA$146),"dd mmm yy"))&amp;" "&amp;Milestones!$AB$146&amp;" "&amp;Milestones!$AC$146&amp;";  ","")&amp;IF(AND(EDATE($D53,Milestones!$AA$147)&lt;=AsOfDate,IF($R53=0,$X53,IF(AND($T53&lt;&gt;"",EDATE($D53,Milestones!$AA$147)&gt;=$T53),$W53,IF(AND($S53&lt;&gt;"",EDATE($D53,Milestones!$AA$147)&gt;=$S53),$V53,$U53)))=Milestones!$AB$147),UPPER(TEXT(EDATE($D53,Milestones!$AA$147),"dd mmm yy"))&amp;" "&amp;Milestones!$AB$147&amp;" "&amp;Milestones!$AC$147&amp;";  ","")&amp;IF(AND(EDATE($D53,Milestones!$AA$148)&lt;=AsOfDate,IF($R53=0,$X53,IF(AND($T53&lt;&gt;"",EDATE($D53,Milestones!$AA$148)&gt;=$T53),$W53,IF(AND($S53&lt;&gt;"",EDATE($D53,Milestones!$AA$148)&gt;=$S53),$V53,$U53)))=Milestones!$AB$148),UPPER(TEXT(EDATE($D53,Milestones!$AA$148),"dd mmm yy"))&amp;" "&amp;Milestones!$AB$148&amp;" "&amp;Milestones!$AC$148&amp;";  ","")&amp;IF(AND(EDATE($D53,Milestones!$AA$149)&lt;=AsOfDate,IF($R53=0,$X53,IF(AND($T53&lt;&gt;"",EDATE($D53,Milestones!$AA$149)&gt;=$T53),$W53,IF(AND($S53&lt;&gt;"",EDATE($D53,Milestones!$AA$149)&gt;=$S53),$V53,$U53)))=Milestones!$AB$149),UPPER(TEXT(EDATE($D53,Milestones!$AA$149),"dd mmm yy"))&amp;" "&amp;Milestones!$AB$149&amp;" "&amp;Milestones!$AC$149&amp;";  ","")&amp;IF(AND(EDATE($D53,Milestones!$AA$150)&lt;=AsOfDate,IF($R53=0,$X53,IF(AND($T53&lt;&gt;"",EDATE($D53,Milestones!$AA$150)&gt;=$T53),$W53,IF(AND($S53&lt;&gt;"",EDATE($D53,Milestones!$AA$150)&gt;=$S53),$V53,$U53)))=Milestones!$AB$150),UPPER(TEXT(EDATE($D53,Milestones!$AA$150),"dd mmm yy"))&amp;" "&amp;Milestones!$AB$150&amp;" "&amp;Milestones!$AC$150&amp;";  ","")&amp;IF(AND(EDATE($D53,Milestones!$AA$151)&lt;=AsOfDate,IF($R53=0,$X53,IF(AND($T53&lt;&gt;"",EDATE($D53,Milestones!$AA$151)&gt;=$T53),$W53,IF(AND($S53&lt;&gt;"",EDATE($D53,Milestones!$AA$151)&gt;=$S53),$V53,$U53)))=Milestones!$AB$151),UPPER(TEXT(EDATE($D53,Milestones!$AA$151),"dd mmm yy"))&amp;" "&amp;Milestones!$AB$151&amp;" "&amp;Milestones!$AC$151&amp;";  ","")&amp;IF(AND(EDATE($D53,Milestones!$AA$152)&lt;=AsOfDate,IF($R53=0,$X53,IF(AND($T53&lt;&gt;"",EDATE($D53,Milestones!$AA$152)&gt;=$T53),$W53,IF(AND($S53&lt;&gt;"",EDATE($D53,Milestones!$AA$152)&gt;=$S53),$V53,$U53)))=Milestones!$AB$152),UPPER(TEXT(EDATE($D53,Milestones!$AA$152),"dd mmm yy"))&amp;" "&amp;Milestones!$AB$152&amp;" "&amp;Milestones!$AC$152&amp;";  ","")&amp;IF(AND(EDATE($D53,Milestones!$AA$153)&lt;=AsOfDate,IF($R53=0,$X53,IF(AND($T53&lt;&gt;"",EDATE($D53,Milestones!$AA$153)&gt;=$T53),$W53,IF(AND($S53&lt;&gt;"",EDATE($D53,Milestones!$AA$153)&gt;=$S53),$V53,$U53)))=Milestones!$AB$153),UPPER(TEXT(EDATE($D53,Milestones!$AA$153),"dd mmm yy"))&amp;" "&amp;Milestones!$AB$153&amp;" "&amp;Milestones!$AC$153&amp;";  ","")&amp;IF(AND(EDATE($D53,Milestones!$AA$154)&lt;=AsOfDate,IF($R53=0,$X53,IF(AND($T53&lt;&gt;"",EDATE($D53,Milestones!$AA$154)&gt;=$T53),$W53,IF(AND($S53&lt;&gt;"",EDATE($D53,Milestones!$AA$154)&gt;=$S53),$V53,$U53)))=Milestones!$AB$154),UPPER(TEXT(EDATE($D53,Milestones!$AA$154),"dd mmm yy"))&amp;" "&amp;Milestones!$AB$154&amp;" "&amp;Milestones!$AC$154&amp;";  ","")&amp;IF(AND(EDATE($D53,Milestones!$AA$155)&lt;=AsOfDate,IF($R53=0,$X53,IF(AND($T53&lt;&gt;"",EDATE($D53,Milestones!$AA$155)&gt;=$T53),$W53,IF(AND($S53&lt;&gt;"",EDATE($D53,Milestones!$AA$155)&gt;=$S53),$V53,$U53)))=Milestones!$AB$155),UPPER(TEXT(EDATE($D53,Milestones!$AA$155),"dd mmm yy"))&amp;" "&amp;Milestones!$AB$155&amp;" "&amp;Milestones!$AC$155&amp;";  ","")&amp;IF(AND(EDATE($D53,Milestones!$AA$156)&lt;=AsOfDate,IF($R53=0,$X53,IF(AND($T53&lt;&gt;"",EDATE($D53,Milestones!$AA$156)&gt;=$T53),$W53,IF(AND($S53&lt;&gt;"",EDATE($D53,Milestones!$AA$156)&gt;=$S53),$V53,$U53)))=Milestones!$AB$156),UPPER(TEXT(EDATE($D53,Milestones!$AA$156),"dd mmm yy"))&amp;" "&amp;Milestones!$AB$156&amp;" "&amp;Milestones!$AC$156&amp;";  ","")&amp;IF(AND(EDATE($D53,Milestones!$AA$157)&lt;=AsOfDate,IF($R53=0,$X53,IF(AND($T53&lt;&gt;"",EDATE($D53,Milestones!$AA$157)&gt;=$T53),$W53,IF(AND($S53&lt;&gt;"",EDATE($D53,Milestones!$AA$157)&gt;=$S53),$V53,$U53)))=Milestones!$AB$157),UPPER(TEXT(EDATE($D53,Milestones!$AA$157),"dd mmm yy"))&amp;" "&amp;Milestones!$AB$157&amp;" "&amp;Milestones!$AC$157&amp;";  ","")&amp;IF(AND(EDATE($D53,Milestones!$AA$158)&lt;=AsOfDate,IF($R53=0,$X53,IF(AND($T53&lt;&gt;"",EDATE($D53,Milestones!$AA$158)&gt;=$T53),$W53,IF(AND($S53&lt;&gt;"",EDATE($D53,Milestones!$AA$158)&gt;=$S53),$V53,$U53)))=Milestones!$AB$158),UPPER(TEXT(EDATE($D53,Milestones!$AA$158),"dd mmm yy"))&amp;" "&amp;Milestones!$AB$158&amp;" "&amp;Milestones!$AC$158&amp;";  ","")&amp;IF(AND(EDATE($D53,Milestones!$AA$159)&lt;=AsOfDate,IF($R53=0,$X53,IF(AND($T53&lt;&gt;"",EDATE($D53,Milestones!$AA$159)&gt;=$T53),$W53,IF(AND($S53&lt;&gt;"",EDATE($D53,Milestones!$AA$159)&gt;=$S53),$V53,$U53)))=Milestones!$AB$159),UPPER(TEXT(EDATE($D53,Milestones!$AA$159),"dd mmm yy"))&amp;" "&amp;Milestones!$AB$159&amp;" "&amp;Milestones!$AC$159&amp;";  ",""))</f>
        <v/>
      </c>
      <c r="P53" s="0" t="str">
        <f aca="false">IF(OR($A53="",$D53=""),"",IF(AND(EDATE($D53,Milestones!$AA$160)&lt;=AsOfDate,IF($R53=0,$X53,IF(AND($T53&lt;&gt;"",EDATE($D53,Milestones!$AA$160)&gt;=$T53),$W53,IF(AND($S53&lt;&gt;"",EDATE($D53,Milestones!$AA$160)&gt;=$S53),$V53,$U53)))=Milestones!$AB$160),UPPER(TEXT(EDATE($D53,Milestones!$AA$160),"dd mmm yy"))&amp;" "&amp;Milestones!$AB$160&amp;" "&amp;Milestones!$AC$160&amp;";  ","")&amp;IF(AND(EDATE($D53,Milestones!$AA$161)&lt;=AsOfDate,IF($R53=0,$X53,IF(AND($T53&lt;&gt;"",EDATE($D53,Milestones!$AA$161)&gt;=$T53),$W53,IF(AND($S53&lt;&gt;"",EDATE($D53,Milestones!$AA$161)&gt;=$S53),$V53,$U53)))=Milestones!$AB$161),UPPER(TEXT(EDATE($D53,Milestones!$AA$161),"dd mmm yy"))&amp;" "&amp;Milestones!$AB$161&amp;" "&amp;Milestones!$AC$161&amp;";  ","")&amp;IF(AND(EDATE($D53,Milestones!$AA$162)&lt;=AsOfDate,IF($R53=0,$X53,IF(AND($T53&lt;&gt;"",EDATE($D53,Milestones!$AA$162)&gt;=$T53),$W53,IF(AND($S53&lt;&gt;"",EDATE($D53,Milestones!$AA$162)&gt;=$S53),$V53,$U53)))=Milestones!$AB$162),UPPER(TEXT(EDATE($D53,Milestones!$AA$162),"dd mmm yy"))&amp;" "&amp;Milestones!$AB$162&amp;" "&amp;Milestones!$AC$162&amp;";  ","")&amp;IF(AND(EDATE($D53,Milestones!$AA$163)&lt;=AsOfDate,IF($R53=0,$X53,IF(AND($T53&lt;&gt;"",EDATE($D53,Milestones!$AA$163)&gt;=$T53),$W53,IF(AND($S53&lt;&gt;"",EDATE($D53,Milestones!$AA$163)&gt;=$S53),$V53,$U53)))=Milestones!$AB$163),UPPER(TEXT(EDATE($D53,Milestones!$AA$163),"dd mmm yy"))&amp;" "&amp;Milestones!$AB$163&amp;" "&amp;Milestones!$AC$163&amp;";  ","")&amp;IF(AND(EDATE($D53,Milestones!$AA$164)&lt;=AsOfDate,IF($R53=0,$X53,IF(AND($T53&lt;&gt;"",EDATE($D53,Milestones!$AA$164)&gt;=$T53),$W53,IF(AND($S53&lt;&gt;"",EDATE($D53,Milestones!$AA$164)&gt;=$S53),$V53,$U53)))=Milestones!$AB$164),UPPER(TEXT(EDATE($D53,Milestones!$AA$164),"dd mmm yy"))&amp;" "&amp;Milestones!$AB$164&amp;" "&amp;Milestones!$AC$164&amp;";  ","")&amp;IF(AND(EDATE($D53,Milestones!$AA$165)&lt;=AsOfDate,IF($R53=0,$X53,IF(AND($T53&lt;&gt;"",EDATE($D53,Milestones!$AA$165)&gt;=$T53),$W53,IF(AND($S53&lt;&gt;"",EDATE($D53,Milestones!$AA$165)&gt;=$S53),$V53,$U53)))=Milestones!$AB$165),UPPER(TEXT(EDATE($D53,Milestones!$AA$165),"dd mmm yy"))&amp;" "&amp;Milestones!$AB$165&amp;" "&amp;Milestones!$AC$165&amp;";  ","")&amp;IF(AND(EDATE($D53,Milestones!$AA$166)&lt;=AsOfDate,IF($R53=0,$X53,IF(AND($T53&lt;&gt;"",EDATE($D53,Milestones!$AA$166)&gt;=$T53),$W53,IF(AND($S53&lt;&gt;"",EDATE($D53,Milestones!$AA$166)&gt;=$S53),$V53,$U53)))=Milestones!$AB$166),UPPER(TEXT(EDATE($D53,Milestones!$AA$166),"dd mmm yy"))&amp;" "&amp;Milestones!$AB$166&amp;" "&amp;Milestones!$AC$166&amp;";  ","")&amp;IF(AND(EDATE($D53,Milestones!$AA$167)&lt;=AsOfDate,IF($R53=0,$X53,IF(AND($T53&lt;&gt;"",EDATE($D53,Milestones!$AA$167)&gt;=$T53),$W53,IF(AND($S53&lt;&gt;"",EDATE($D53,Milestones!$AA$167)&gt;=$S53),$V53,$U53)))=Milestones!$AB$167),UPPER(TEXT(EDATE($D53,Milestones!$AA$167),"dd mmm yy"))&amp;" "&amp;Milestones!$AB$167&amp;" "&amp;Milestones!$AC$167&amp;";  ","")&amp;IF(AND(EDATE($D53,Milestones!$AA$168)&lt;=AsOfDate,IF($R53=0,$X53,IF(AND($T53&lt;&gt;"",EDATE($D53,Milestones!$AA$168)&gt;=$T53),$W53,IF(AND($S53&lt;&gt;"",EDATE($D53,Milestones!$AA$168)&gt;=$S53),$V53,$U53)))=Milestones!$AB$168),UPPER(TEXT(EDATE($D53,Milestones!$AA$168),"dd mmm yy"))&amp;" "&amp;Milestones!$AB$168&amp;" "&amp;Milestones!$AC$168&amp;";  ","")&amp;IF(AND(EDATE($D53,Milestones!$AA$169)&lt;=AsOfDate,IF($R53=0,$X53,IF(AND($T53&lt;&gt;"",EDATE($D53,Milestones!$AA$169)&gt;=$T53),$W53,IF(AND($S53&lt;&gt;"",EDATE($D53,Milestones!$AA$169)&gt;=$S53),$V53,$U53)))=Milestones!$AB$169),UPPER(TEXT(EDATE($D53,Milestones!$AA$169),"dd mmm yy"))&amp;" "&amp;Milestones!$AB$169&amp;" "&amp;Milestones!$AC$169&amp;";  ","")&amp;IF(AND(EDATE($D53,Milestones!$AA$170)&lt;=AsOfDate,IF($R53=0,$X53,IF(AND($T53&lt;&gt;"",EDATE($D53,Milestones!$AA$170)&gt;=$T53),$W53,IF(AND($S53&lt;&gt;"",EDATE($D53,Milestones!$AA$170)&gt;=$S53),$V53,$U53)))=Milestones!$AB$170),UPPER(TEXT(EDATE($D53,Milestones!$AA$170),"dd mmm yy"))&amp;" "&amp;Milestones!$AB$170&amp;" "&amp;Milestones!$AC$170&amp;";  ","")&amp;IF(AND(EDATE($D53,Milestones!$AA$171)&lt;=AsOfDate,IF($R53=0,$X53,IF(AND($T53&lt;&gt;"",EDATE($D53,Milestones!$AA$171)&gt;=$T53),$W53,IF(AND($S53&lt;&gt;"",EDATE($D53,Milestones!$AA$171)&gt;=$S53),$V53,$U53)))=Milestones!$AB$171),UPPER(TEXT(EDATE($D53,Milestones!$AA$171),"dd mmm yy"))&amp;" "&amp;Milestones!$AB$171&amp;" "&amp;Milestones!$AC$171&amp;";  ","")&amp;IF(AND(EDATE($D53,Milestones!$AA$172)&lt;=AsOfDate,IF($R53=0,$X53,IF(AND($T53&lt;&gt;"",EDATE($D53,Milestones!$AA$172)&gt;=$T53),$W53,IF(AND($S53&lt;&gt;"",EDATE($D53,Milestones!$AA$172)&gt;=$S53),$V53,$U53)))=Milestones!$AB$172),UPPER(TEXT(EDATE($D53,Milestones!$AA$172),"dd mmm yy"))&amp;" "&amp;Milestones!$AB$172&amp;" "&amp;Milestones!$AC$172&amp;";  ","")&amp;IF(AND(EDATE($D53,Milestones!$AA$173)&lt;=AsOfDate,IF($R53=0,$X53,IF(AND($T53&lt;&gt;"",EDATE($D53,Milestones!$AA$173)&gt;=$T53),$W53,IF(AND($S53&lt;&gt;"",EDATE($D53,Milestones!$AA$173)&gt;=$S53),$V53,$U53)))=Milestones!$AB$173),UPPER(TEXT(EDATE($D53,Milestones!$AA$173),"dd mmm yy"))&amp;" "&amp;Milestones!$AB$173&amp;" "&amp;Milestones!$AC$173&amp;";  ","")&amp;IF(AND(EDATE($D53,Milestones!$AA$174)&lt;=AsOfDate,IF($R53=0,$X53,IF(AND($T53&lt;&gt;"",EDATE($D53,Milestones!$AA$174)&gt;=$T53),$W53,IF(AND($S53&lt;&gt;"",EDATE($D53,Milestones!$AA$174)&gt;=$S53),$V53,$U53)))=Milestones!$AB$174),UPPER(TEXT(EDATE($D53,Milestones!$AA$174),"dd mmm yy"))&amp;" "&amp;Milestones!$AB$174&amp;" "&amp;Milestones!$AC$174&amp;";  ","")&amp;IF(AND(EDATE($D53,Milestones!$AA$175)&lt;=AsOfDate,IF($R53=0,$X53,IF(AND($T53&lt;&gt;"",EDATE($D53,Milestones!$AA$175)&gt;=$T53),$W53,IF(AND($S53&lt;&gt;"",EDATE($D53,Milestones!$AA$175)&gt;=$S53),$V53,$U53)))=Milestones!$AB$175),UPPER(TEXT(EDATE($D53,Milestones!$AA$175),"dd mmm yy"))&amp;" "&amp;Milestones!$AB$175&amp;" "&amp;Milestones!$AC$175&amp;";  ","")&amp;IF(AND(EDATE($D53,Milestones!$AA$176)&lt;=AsOfDate,IF($R53=0,$X53,IF(AND($T53&lt;&gt;"",EDATE($D53,Milestones!$AA$176)&gt;=$T53),$W53,IF(AND($S53&lt;&gt;"",EDATE($D53,Milestones!$AA$176)&gt;=$S53),$V53,$U53)))=Milestones!$AB$176),UPPER(TEXT(EDATE($D53,Milestones!$AA$176),"dd mmm yy"))&amp;" "&amp;Milestones!$AB$176&amp;" "&amp;Milestones!$AC$176&amp;";  ","")&amp;IF(AND(EDATE($D53,Milestones!$AA$177)&lt;=AsOfDate,IF($R53=0,$X53,IF(AND($T53&lt;&gt;"",EDATE($D53,Milestones!$AA$177)&gt;=$T53),$W53,IF(AND($S53&lt;&gt;"",EDATE($D53,Milestones!$AA$177)&gt;=$S53),$V53,$U53)))=Milestones!$AB$177),UPPER(TEXT(EDATE($D53,Milestones!$AA$177),"dd mmm yy"))&amp;" "&amp;Milestones!$AB$177&amp;" "&amp;Milestones!$AC$177&amp;";  ","")&amp;IF(AND(EDATE($D53,Milestones!$AA$178)&lt;=AsOfDate,IF($R53=0,$X53,IF(AND($T53&lt;&gt;"",EDATE($D53,Milestones!$AA$178)&gt;=$T53),$W53,IF(AND($S53&lt;&gt;"",EDATE($D53,Milestones!$AA$178)&gt;=$S53),$V53,$U53)))=Milestones!$AB$178),UPPER(TEXT(EDATE($D53,Milestones!$AA$178),"dd mmm yy"))&amp;" "&amp;Milestones!$AB$178&amp;" "&amp;Milestones!$AC$178&amp;";  ","")&amp;IF(AND(EDATE($D53,Milestones!$AA$179)&lt;=AsOfDate,IF($R53=0,$X53,IF(AND($T53&lt;&gt;"",EDATE($D53,Milestones!$AA$179)&gt;=$T53),$W53,IF(AND($S53&lt;&gt;"",EDATE($D53,Milestones!$AA$179)&gt;=$S53),$V53,$U53)))=Milestones!$AB$179),UPPER(TEXT(EDATE($D53,Milestones!$AA$179),"dd mmm yy"))&amp;" "&amp;Milestones!$AB$179&amp;" "&amp;Milestones!$AC$179&amp;";  ",""))</f>
        <v/>
      </c>
      <c r="Q53" s="0" t="str">
        <f aca="false">IF(OR($A53="",$D53=""),"",IF(AND(EDATE($D53,Milestones!$AA$180)&lt;=AsOfDate,IF($R53=0,$X53,IF(AND($T53&lt;&gt;"",EDATE($D53,Milestones!$AA$180)&gt;=$T53),$W53,IF(AND($S53&lt;&gt;"",EDATE($D53,Milestones!$AA$180)&gt;=$S53),$V53,$U53)))=Milestones!$AB$180),UPPER(TEXT(EDATE($D53,Milestones!$AA$180),"dd mmm yy"))&amp;" "&amp;Milestones!$AB$180&amp;" "&amp;Milestones!$AC$180&amp;";  ","")&amp;IF(AND(EDATE($D53,Milestones!$AA$181)&lt;=AsOfDate,IF($R53=0,$X53,IF(AND($T53&lt;&gt;"",EDATE($D53,Milestones!$AA$181)&gt;=$T53),$W53,IF(AND($S53&lt;&gt;"",EDATE($D53,Milestones!$AA$181)&gt;=$S53),$V53,$U53)))=Milestones!$AB$181),UPPER(TEXT(EDATE($D53,Milestones!$AA$181),"dd mmm yy"))&amp;" "&amp;Milestones!$AB$181&amp;" "&amp;Milestones!$AC$181&amp;";  ","")&amp;IF(AND(EDATE($D53,Milestones!$AA$182)&lt;=AsOfDate,IF($R53=0,$X53,IF(AND($T53&lt;&gt;"",EDATE($D53,Milestones!$AA$182)&gt;=$T53),$W53,IF(AND($S53&lt;&gt;"",EDATE($D53,Milestones!$AA$182)&gt;=$S53),$V53,$U53)))=Milestones!$AB$182),UPPER(TEXT(EDATE($D53,Milestones!$AA$182),"dd mmm yy"))&amp;" "&amp;Milestones!$AB$182&amp;" "&amp;Milestones!$AC$182&amp;";  ","")&amp;IF(AND(EDATE($D53,Milestones!$AA$183)&lt;=AsOfDate,IF($R53=0,$X53,IF(AND($T53&lt;&gt;"",EDATE($D53,Milestones!$AA$183)&gt;=$T53),$W53,IF(AND($S53&lt;&gt;"",EDATE($D53,Milestones!$AA$183)&gt;=$S53),$V53,$U53)))=Milestones!$AB$183),UPPER(TEXT(EDATE($D53,Milestones!$AA$183),"dd mmm yy"))&amp;" "&amp;Milestones!$AB$183&amp;" "&amp;Milestones!$AC$183&amp;";  ","")&amp;IF(AND(EDATE($D53,Milestones!$AA$184)&lt;=AsOfDate,IF($R53=0,$X53,IF(AND($T53&lt;&gt;"",EDATE($D53,Milestones!$AA$184)&gt;=$T53),$W53,IF(AND($S53&lt;&gt;"",EDATE($D53,Milestones!$AA$184)&gt;=$S53),$V53,$U53)))=Milestones!$AB$184),UPPER(TEXT(EDATE($D53,Milestones!$AA$184),"dd mmm yy"))&amp;" "&amp;Milestones!$AB$184&amp;" "&amp;Milestones!$AC$184&amp;";  ","")&amp;IF(AND(EDATE($D53,Milestones!$AA$185)&lt;=AsOfDate,IF($R53=0,$X53,IF(AND($T53&lt;&gt;"",EDATE($D53,Milestones!$AA$185)&gt;=$T53),$W53,IF(AND($S53&lt;&gt;"",EDATE($D53,Milestones!$AA$185)&gt;=$S53),$V53,$U53)))=Milestones!$AB$185),UPPER(TEXT(EDATE($D53,Milestones!$AA$185),"dd mmm yy"))&amp;" "&amp;Milestones!$AB$185&amp;" "&amp;Milestones!$AC$185&amp;";  ","")&amp;IF(AND(EDATE($D53,Milestones!$AA$186)&lt;=AsOfDate,IF($R53=0,$X53,IF(AND($T53&lt;&gt;"",EDATE($D53,Milestones!$AA$186)&gt;=$T53),$W53,IF(AND($S53&lt;&gt;"",EDATE($D53,Milestones!$AA$186)&gt;=$S53),$V53,$U53)))=Milestones!$AB$186),UPPER(TEXT(EDATE($D53,Milestones!$AA$186),"dd mmm yy"))&amp;" "&amp;Milestones!$AB$186&amp;" "&amp;Milestones!$AC$186&amp;";  ","")&amp;IF(AND(EDATE($D53,Milestones!$AA$187)&lt;=AsOfDate,IF($R53=0,$X53,IF(AND($T53&lt;&gt;"",EDATE($D53,Milestones!$AA$187)&gt;=$T53),$W53,IF(AND($S53&lt;&gt;"",EDATE($D53,Milestones!$AA$187)&gt;=$S53),$V53,$U53)))=Milestones!$AB$187),UPPER(TEXT(EDATE($D53,Milestones!$AA$187),"dd mmm yy"))&amp;" "&amp;Milestones!$AB$187&amp;" "&amp;Milestones!$AC$187&amp;";  ","")&amp;IF(AND(EDATE($D53,Milestones!$AA$188)&lt;=AsOfDate,IF($R53=0,$X53,IF(AND($T53&lt;&gt;"",EDATE($D53,Milestones!$AA$188)&gt;=$T53),$W53,IF(AND($S53&lt;&gt;"",EDATE($D53,Milestones!$AA$188)&gt;=$S53),$V53,$U53)))=Milestones!$AB$188),UPPER(TEXT(EDATE($D53,Milestones!$AA$188),"dd mmm yy"))&amp;" "&amp;Milestones!$AB$188&amp;" "&amp;Milestones!$AC$188&amp;";  ","")&amp;IF(AND(EDATE($D53,Milestones!$AA$189)&lt;=AsOfDate,IF($R53=0,$X53,IF(AND($T53&lt;&gt;"",EDATE($D53,Milestones!$AA$189)&gt;=$T53),$W53,IF(AND($S53&lt;&gt;"",EDATE($D53,Milestones!$AA$189)&gt;=$S53),$V53,$U53)))=Milestones!$AB$189),UPPER(TEXT(EDATE($D53,Milestones!$AA$189),"dd mmm yy"))&amp;" "&amp;Milestones!$AB$189&amp;" "&amp;Milestones!$AC$189&amp;";  ","")&amp;IF(AND(EDATE($D53,Milestones!$AA$190)&lt;=AsOfDate,IF($R53=0,$X53,IF(AND($T53&lt;&gt;"",EDATE($D53,Milestones!$AA$190)&gt;=$T53),$W53,IF(AND($S53&lt;&gt;"",EDATE($D53,Milestones!$AA$190)&gt;=$S53),$V53,$U53)))=Milestones!$AB$190),UPPER(TEXT(EDATE($D53,Milestones!$AA$190),"dd mmm yy"))&amp;" "&amp;Milestones!$AB$190&amp;" "&amp;Milestones!$AC$190&amp;";  ","")&amp;IF(AND(EDATE($D53,Milestones!$AA$191)&lt;=AsOfDate,IF($R53=0,$X53,IF(AND($T53&lt;&gt;"",EDATE($D53,Milestones!$AA$191)&gt;=$T53),$W53,IF(AND($S53&lt;&gt;"",EDATE($D53,Milestones!$AA$191)&gt;=$S53),$V53,$U53)))=Milestones!$AB$191),UPPER(TEXT(EDATE($D53,Milestones!$AA$191),"dd mmm yy"))&amp;" "&amp;Milestones!$AB$191&amp;" "&amp;Milestones!$AC$191&amp;";  ","")&amp;IF(AND(EDATE($D53,Milestones!$AA$192)&lt;=AsOfDate,IF($R53=0,$X53,IF(AND($T53&lt;&gt;"",EDATE($D53,Milestones!$AA$192)&gt;=$T53),$W53,IF(AND($S53&lt;&gt;"",EDATE($D53,Milestones!$AA$192)&gt;=$S53),$V53,$U53)))=Milestones!$AB$192),UPPER(TEXT(EDATE($D53,Milestones!$AA$192),"dd mmm yy"))&amp;" "&amp;Milestones!$AB$192&amp;" "&amp;Milestones!$AC$192&amp;";  ","")&amp;IF(AND(EDATE($D53,Milestones!$AA$193)&lt;=AsOfDate,IF($R53=0,$X53,IF(AND($T53&lt;&gt;"",EDATE($D53,Milestones!$AA$193)&gt;=$T53),$W53,IF(AND($S53&lt;&gt;"",EDATE($D53,Milestones!$AA$193)&gt;=$S53),$V53,$U53)))=Milestones!$AB$193),UPPER(TEXT(EDATE($D53,Milestones!$AA$193),"dd mmm yy"))&amp;" "&amp;Milestones!$AB$193&amp;" "&amp;Milestones!$AC$193&amp;";  ","")&amp;IF(AND(EDATE($D53,Milestones!$AA$194)&lt;=AsOfDate,IF($R53=0,$X53,IF(AND($T53&lt;&gt;"",EDATE($D53,Milestones!$AA$194)&gt;=$T53),$W53,IF(AND($S53&lt;&gt;"",EDATE($D53,Milestones!$AA$194)&gt;=$S53),$V53,$U53)))=Milestones!$AB$194),UPPER(TEXT(EDATE($D53,Milestones!$AA$194),"dd mmm yy"))&amp;" "&amp;Milestones!$AB$194&amp;" "&amp;Milestones!$AC$194&amp;";  ","")&amp;IF(AND(EDATE($D53,Milestones!$AA$195)&lt;=AsOfDate,IF($R53=0,$X53,IF(AND($T53&lt;&gt;"",EDATE($D53,Milestones!$AA$195)&gt;=$T53),$W53,IF(AND($S53&lt;&gt;"",EDATE($D53,Milestones!$AA$195)&gt;=$S53),$V53,$U53)))=Milestones!$AB$195),UPPER(TEXT(EDATE($D53,Milestones!$AA$195),"dd mmm yy"))&amp;" "&amp;Milestones!$AB$195&amp;" "&amp;Milestones!$AC$195&amp;";  ","")&amp;IF(AND(EDATE($D53,Milestones!$AA$196)&lt;=AsOfDate,IF($R53=0,$X53,IF(AND($T53&lt;&gt;"",EDATE($D53,Milestones!$AA$196)&gt;=$T53),$W53,IF(AND($S53&lt;&gt;"",EDATE($D53,Milestones!$AA$196)&gt;=$S53),$V53,$U53)))=Milestones!$AB$196),UPPER(TEXT(EDATE($D53,Milestones!$AA$196),"dd mmm yy"))&amp;" "&amp;Milestones!$AB$196&amp;" "&amp;Milestones!$AC$196&amp;";  ","")&amp;IF(AND(EDATE($D53,Milestones!$AA$197)&lt;=AsOfDate,IF($R53=0,$X53,IF(AND($T53&lt;&gt;"",EDATE($D53,Milestones!$AA$197)&gt;=$T53),$W53,IF(AND($S53&lt;&gt;"",EDATE($D53,Milestones!$AA$197)&gt;=$S53),$V53,$U53)))=Milestones!$AB$197),UPPER(TEXT(EDATE($D53,Milestones!$AA$197),"dd mmm yy"))&amp;" "&amp;Milestones!$AB$197&amp;" "&amp;Milestones!$AC$197&amp;";  ","")&amp;IF(AND(EDATE($D53,Milestones!$AA$198)&lt;=AsOfDate,IF($R53=0,$X53,IF(AND($T53&lt;&gt;"",EDATE($D53,Milestones!$AA$198)&gt;=$T53),$W53,IF(AND($S53&lt;&gt;"",EDATE($D53,Milestones!$AA$198)&gt;=$S53),$V53,$U53)))=Milestones!$AB$198),UPPER(TEXT(EDATE($D53,Milestones!$AA$198),"dd mmm yy"))&amp;" "&amp;Milestones!$AB$198&amp;" "&amp;Milestones!$AC$198&amp;";  ","")&amp;IF(AND(EDATE($D53,Milestones!$AA$199)&lt;=AsOfDate,IF($R53=0,$X53,IF(AND($T53&lt;&gt;"",EDATE($D53,Milestones!$AA$199)&gt;=$T53),$W53,IF(AND($S53&lt;&gt;"",EDATE($D53,Milestones!$AA$199)&gt;=$S53),$V53,$U53)))=Milestones!$AB$199),UPPER(TEXT(EDATE($D53,Milestones!$AA$199),"dd mmm yy"))&amp;" "&amp;Milestones!$AB$199&amp;" "&amp;Milestones!$AC$199&amp;";  ",""))</f>
        <v/>
      </c>
      <c r="R53" s="0" t="str">
        <f aca="false">IF(Staff!$A53="","",Staff!$AI53)</f>
        <v/>
      </c>
      <c r="S53" s="0" t="str">
        <f aca="false">IF(Staff!$A53="","",Staff!$AK53)</f>
        <v/>
      </c>
      <c r="T53" s="0" t="str">
        <f aca="false">IF(Staff!$A53="","",Staff!$AL53)</f>
        <v/>
      </c>
      <c r="U53" s="0" t="str">
        <f aca="false">IF(Staff!$A53="","",Staff!$AP53)</f>
        <v/>
      </c>
      <c r="V53" s="0" t="str">
        <f aca="false">IF(Staff!$A53="","",Staff!$AQ53)</f>
        <v/>
      </c>
      <c r="W53" s="0" t="str">
        <f aca="false">IF(Staff!$A53="","",Staff!$AR53)</f>
        <v/>
      </c>
      <c r="X53" s="0" t="str">
        <f aca="false">IF(Staff!$A53="","",Staff!$AS53)</f>
        <v/>
      </c>
    </row>
    <row r="54" customFormat="false" ht="15" hidden="false" customHeight="false" outlineLevel="0" collapsed="false">
      <c r="A54" s="14" t="str">
        <f aca="false">IF(Staff!$A54="","",Staff!$A54)</f>
        <v/>
      </c>
      <c r="B54" s="14" t="str">
        <f aca="false">IF(Staff!$A54="","",Staff!$B54)</f>
        <v/>
      </c>
      <c r="C54" s="14" t="str">
        <f aca="false">IF(Staff!$A54="","",Staff!$C54)</f>
        <v/>
      </c>
      <c r="D54" s="12" t="str">
        <f aca="false">IF(Staff!$A54="","",Staff!$AH54)</f>
        <v/>
      </c>
      <c r="E54" s="14" t="str">
        <f aca="false">IF(Staff!$A54="","",Staff!$O54)</f>
        <v/>
      </c>
      <c r="F54" s="14" t="str">
        <f aca="false">IF(E54="","",E54*HoursPerDay)</f>
        <v/>
      </c>
      <c r="G54" s="14" t="str">
        <f aca="false">IF(Staff!$A54="","",Staff!$AE54)</f>
        <v/>
      </c>
      <c r="H54" s="26" t="str">
        <f aca="false">IF($A54="","",I54&amp;J54&amp;K54&amp;L54&amp;M54&amp;N54&amp;O54&amp;P54&amp;Q54)</f>
        <v/>
      </c>
      <c r="I54" s="0" t="str">
        <f aca="false">IF(OR($A54="",$D54=""),"",IF(AND(EDATE($D54,Milestones!$AA$20)&lt;=AsOfDate,IF($R54=0,$X54,IF(AND($T54&lt;&gt;"",EDATE($D54,Milestones!$AA$20)&gt;=$T54),$W54,IF(AND($S54&lt;&gt;"",EDATE($D54,Milestones!$AA$20)&gt;=$S54),$V54,$U54)))=Milestones!$AB$20),UPPER(TEXT(EDATE($D54,Milestones!$AA$20),"dd mmm yy"))&amp;" "&amp;Milestones!$AB$20&amp;" "&amp;Milestones!$AC$20&amp;";  ","")&amp;IF(AND(EDATE($D54,Milestones!$AA$21)&lt;=AsOfDate,IF($R54=0,$X54,IF(AND($T54&lt;&gt;"",EDATE($D54,Milestones!$AA$21)&gt;=$T54),$W54,IF(AND($S54&lt;&gt;"",EDATE($D54,Milestones!$AA$21)&gt;=$S54),$V54,$U54)))=Milestones!$AB$21),UPPER(TEXT(EDATE($D54,Milestones!$AA$21),"dd mmm yy"))&amp;" "&amp;Milestones!$AB$21&amp;" "&amp;Milestones!$AC$21&amp;";  ","")&amp;IF(AND(EDATE($D54,Milestones!$AA$22)&lt;=AsOfDate,IF($R54=0,$X54,IF(AND($T54&lt;&gt;"",EDATE($D54,Milestones!$AA$22)&gt;=$T54),$W54,IF(AND($S54&lt;&gt;"",EDATE($D54,Milestones!$AA$22)&gt;=$S54),$V54,$U54)))=Milestones!$AB$22),UPPER(TEXT(EDATE($D54,Milestones!$AA$22),"dd mmm yy"))&amp;" "&amp;Milestones!$AB$22&amp;" "&amp;Milestones!$AC$22&amp;";  ","")&amp;IF(AND(EDATE($D54,Milestones!$AA$23)&lt;=AsOfDate,IF($R54=0,$X54,IF(AND($T54&lt;&gt;"",EDATE($D54,Milestones!$AA$23)&gt;=$T54),$W54,IF(AND($S54&lt;&gt;"",EDATE($D54,Milestones!$AA$23)&gt;=$S54),$V54,$U54)))=Milestones!$AB$23),UPPER(TEXT(EDATE($D54,Milestones!$AA$23),"dd mmm yy"))&amp;" "&amp;Milestones!$AB$23&amp;" "&amp;Milestones!$AC$23&amp;";  ","")&amp;IF(AND(EDATE($D54,Milestones!$AA$24)&lt;=AsOfDate,IF($R54=0,$X54,IF(AND($T54&lt;&gt;"",EDATE($D54,Milestones!$AA$24)&gt;=$T54),$W54,IF(AND($S54&lt;&gt;"",EDATE($D54,Milestones!$AA$24)&gt;=$S54),$V54,$U54)))=Milestones!$AB$24),UPPER(TEXT(EDATE($D54,Milestones!$AA$24),"dd mmm yy"))&amp;" "&amp;Milestones!$AB$24&amp;" "&amp;Milestones!$AC$24&amp;";  ","")&amp;IF(AND(EDATE($D54,Milestones!$AA$25)&lt;=AsOfDate,IF($R54=0,$X54,IF(AND($T54&lt;&gt;"",EDATE($D54,Milestones!$AA$25)&gt;=$T54),$W54,IF(AND($S54&lt;&gt;"",EDATE($D54,Milestones!$AA$25)&gt;=$S54),$V54,$U54)))=Milestones!$AB$25),UPPER(TEXT(EDATE($D54,Milestones!$AA$25),"dd mmm yy"))&amp;" "&amp;Milestones!$AB$25&amp;" "&amp;Milestones!$AC$25&amp;";  ","")&amp;IF(AND(EDATE($D54,Milestones!$AA$26)&lt;=AsOfDate,IF($R54=0,$X54,IF(AND($T54&lt;&gt;"",EDATE($D54,Milestones!$AA$26)&gt;=$T54),$W54,IF(AND($S54&lt;&gt;"",EDATE($D54,Milestones!$AA$26)&gt;=$S54),$V54,$U54)))=Milestones!$AB$26),UPPER(TEXT(EDATE($D54,Milestones!$AA$26),"dd mmm yy"))&amp;" "&amp;Milestones!$AB$26&amp;" "&amp;Milestones!$AC$26&amp;";  ","")&amp;IF(AND(EDATE($D54,Milestones!$AA$27)&lt;=AsOfDate,IF($R54=0,$X54,IF(AND($T54&lt;&gt;"",EDATE($D54,Milestones!$AA$27)&gt;=$T54),$W54,IF(AND($S54&lt;&gt;"",EDATE($D54,Milestones!$AA$27)&gt;=$S54),$V54,$U54)))=Milestones!$AB$27),UPPER(TEXT(EDATE($D54,Milestones!$AA$27),"dd mmm yy"))&amp;" "&amp;Milestones!$AB$27&amp;" "&amp;Milestones!$AC$27&amp;";  ","")&amp;IF(AND(EDATE($D54,Milestones!$AA$28)&lt;=AsOfDate,IF($R54=0,$X54,IF(AND($T54&lt;&gt;"",EDATE($D54,Milestones!$AA$28)&gt;=$T54),$W54,IF(AND($S54&lt;&gt;"",EDATE($D54,Milestones!$AA$28)&gt;=$S54),$V54,$U54)))=Milestones!$AB$28),UPPER(TEXT(EDATE($D54,Milestones!$AA$28),"dd mmm yy"))&amp;" "&amp;Milestones!$AB$28&amp;" "&amp;Milestones!$AC$28&amp;";  ","")&amp;IF(AND(EDATE($D54,Milestones!$AA$29)&lt;=AsOfDate,IF($R54=0,$X54,IF(AND($T54&lt;&gt;"",EDATE($D54,Milestones!$AA$29)&gt;=$T54),$W54,IF(AND($S54&lt;&gt;"",EDATE($D54,Milestones!$AA$29)&gt;=$S54),$V54,$U54)))=Milestones!$AB$29),UPPER(TEXT(EDATE($D54,Milestones!$AA$29),"dd mmm yy"))&amp;" "&amp;Milestones!$AB$29&amp;" "&amp;Milestones!$AC$29&amp;";  ","")&amp;IF(AND(EDATE($D54,Milestones!$AA$30)&lt;=AsOfDate,IF($R54=0,$X54,IF(AND($T54&lt;&gt;"",EDATE($D54,Milestones!$AA$30)&gt;=$T54),$W54,IF(AND($S54&lt;&gt;"",EDATE($D54,Milestones!$AA$30)&gt;=$S54),$V54,$U54)))=Milestones!$AB$30),UPPER(TEXT(EDATE($D54,Milestones!$AA$30),"dd mmm yy"))&amp;" "&amp;Milestones!$AB$30&amp;" "&amp;Milestones!$AC$30&amp;";  ","")&amp;IF(AND(EDATE($D54,Milestones!$AA$31)&lt;=AsOfDate,IF($R54=0,$X54,IF(AND($T54&lt;&gt;"",EDATE($D54,Milestones!$AA$31)&gt;=$T54),$W54,IF(AND($S54&lt;&gt;"",EDATE($D54,Milestones!$AA$31)&gt;=$S54),$V54,$U54)))=Milestones!$AB$31),UPPER(TEXT(EDATE($D54,Milestones!$AA$31),"dd mmm yy"))&amp;" "&amp;Milestones!$AB$31&amp;" "&amp;Milestones!$AC$31&amp;";  ","")&amp;IF(AND(EDATE($D54,Milestones!$AA$32)&lt;=AsOfDate,IF($R54=0,$X54,IF(AND($T54&lt;&gt;"",EDATE($D54,Milestones!$AA$32)&gt;=$T54),$W54,IF(AND($S54&lt;&gt;"",EDATE($D54,Milestones!$AA$32)&gt;=$S54),$V54,$U54)))=Milestones!$AB$32),UPPER(TEXT(EDATE($D54,Milestones!$AA$32),"dd mmm yy"))&amp;" "&amp;Milestones!$AB$32&amp;" "&amp;Milestones!$AC$32&amp;";  ","")&amp;IF(AND(EDATE($D54,Milestones!$AA$33)&lt;=AsOfDate,IF($R54=0,$X54,IF(AND($T54&lt;&gt;"",EDATE($D54,Milestones!$AA$33)&gt;=$T54),$W54,IF(AND($S54&lt;&gt;"",EDATE($D54,Milestones!$AA$33)&gt;=$S54),$V54,$U54)))=Milestones!$AB$33),UPPER(TEXT(EDATE($D54,Milestones!$AA$33),"dd mmm yy"))&amp;" "&amp;Milestones!$AB$33&amp;" "&amp;Milestones!$AC$33&amp;";  ","")&amp;IF(AND(EDATE($D54,Milestones!$AA$34)&lt;=AsOfDate,IF($R54=0,$X54,IF(AND($T54&lt;&gt;"",EDATE($D54,Milestones!$AA$34)&gt;=$T54),$W54,IF(AND($S54&lt;&gt;"",EDATE($D54,Milestones!$AA$34)&gt;=$S54),$V54,$U54)))=Milestones!$AB$34),UPPER(TEXT(EDATE($D54,Milestones!$AA$34),"dd mmm yy"))&amp;" "&amp;Milestones!$AB$34&amp;" "&amp;Milestones!$AC$34&amp;";  ","")&amp;IF(AND(EDATE($D54,Milestones!$AA$35)&lt;=AsOfDate,IF($R54=0,$X54,IF(AND($T54&lt;&gt;"",EDATE($D54,Milestones!$AA$35)&gt;=$T54),$W54,IF(AND($S54&lt;&gt;"",EDATE($D54,Milestones!$AA$35)&gt;=$S54),$V54,$U54)))=Milestones!$AB$35),UPPER(TEXT(EDATE($D54,Milestones!$AA$35),"dd mmm yy"))&amp;" "&amp;Milestones!$AB$35&amp;" "&amp;Milestones!$AC$35&amp;";  ","")&amp;IF(AND(EDATE($D54,Milestones!$AA$36)&lt;=AsOfDate,IF($R54=0,$X54,IF(AND($T54&lt;&gt;"",EDATE($D54,Milestones!$AA$36)&gt;=$T54),$W54,IF(AND($S54&lt;&gt;"",EDATE($D54,Milestones!$AA$36)&gt;=$S54),$V54,$U54)))=Milestones!$AB$36),UPPER(TEXT(EDATE($D54,Milestones!$AA$36),"dd mmm yy"))&amp;" "&amp;Milestones!$AB$36&amp;" "&amp;Milestones!$AC$36&amp;";  ","")&amp;IF(AND(EDATE($D54,Milestones!$AA$37)&lt;=AsOfDate,IF($R54=0,$X54,IF(AND($T54&lt;&gt;"",EDATE($D54,Milestones!$AA$37)&gt;=$T54),$W54,IF(AND($S54&lt;&gt;"",EDATE($D54,Milestones!$AA$37)&gt;=$S54),$V54,$U54)))=Milestones!$AB$37),UPPER(TEXT(EDATE($D54,Milestones!$AA$37),"dd mmm yy"))&amp;" "&amp;Milestones!$AB$37&amp;" "&amp;Milestones!$AC$37&amp;";  ","")&amp;IF(AND(EDATE($D54,Milestones!$AA$38)&lt;=AsOfDate,IF($R54=0,$X54,IF(AND($T54&lt;&gt;"",EDATE($D54,Milestones!$AA$38)&gt;=$T54),$W54,IF(AND($S54&lt;&gt;"",EDATE($D54,Milestones!$AA$38)&gt;=$S54),$V54,$U54)))=Milestones!$AB$38),UPPER(TEXT(EDATE($D54,Milestones!$AA$38),"dd mmm yy"))&amp;" "&amp;Milestones!$AB$38&amp;" "&amp;Milestones!$AC$38&amp;";  ","")&amp;IF(AND(EDATE($D54,Milestones!$AA$39)&lt;=AsOfDate,IF($R54=0,$X54,IF(AND($T54&lt;&gt;"",EDATE($D54,Milestones!$AA$39)&gt;=$T54),$W54,IF(AND($S54&lt;&gt;"",EDATE($D54,Milestones!$AA$39)&gt;=$S54),$V54,$U54)))=Milestones!$AB$39),UPPER(TEXT(EDATE($D54,Milestones!$AA$39),"dd mmm yy"))&amp;" "&amp;Milestones!$AB$39&amp;" "&amp;Milestones!$AC$39&amp;";  ",""))</f>
        <v/>
      </c>
      <c r="J54" s="0" t="str">
        <f aca="false">IF(OR($A54="",$D54=""),"",IF(AND(EDATE($D54,Milestones!$AA$40)&lt;=AsOfDate,IF($R54=0,$X54,IF(AND($T54&lt;&gt;"",EDATE($D54,Milestones!$AA$40)&gt;=$T54),$W54,IF(AND($S54&lt;&gt;"",EDATE($D54,Milestones!$AA$40)&gt;=$S54),$V54,$U54)))=Milestones!$AB$40),UPPER(TEXT(EDATE($D54,Milestones!$AA$40),"dd mmm yy"))&amp;" "&amp;Milestones!$AB$40&amp;" "&amp;Milestones!$AC$40&amp;";  ","")&amp;IF(AND(EDATE($D54,Milestones!$AA$41)&lt;=AsOfDate,IF($R54=0,$X54,IF(AND($T54&lt;&gt;"",EDATE($D54,Milestones!$AA$41)&gt;=$T54),$W54,IF(AND($S54&lt;&gt;"",EDATE($D54,Milestones!$AA$41)&gt;=$S54),$V54,$U54)))=Milestones!$AB$41),UPPER(TEXT(EDATE($D54,Milestones!$AA$41),"dd mmm yy"))&amp;" "&amp;Milestones!$AB$41&amp;" "&amp;Milestones!$AC$41&amp;";  ","")&amp;IF(AND(EDATE($D54,Milestones!$AA$42)&lt;=AsOfDate,IF($R54=0,$X54,IF(AND($T54&lt;&gt;"",EDATE($D54,Milestones!$AA$42)&gt;=$T54),$W54,IF(AND($S54&lt;&gt;"",EDATE($D54,Milestones!$AA$42)&gt;=$S54),$V54,$U54)))=Milestones!$AB$42),UPPER(TEXT(EDATE($D54,Milestones!$AA$42),"dd mmm yy"))&amp;" "&amp;Milestones!$AB$42&amp;" "&amp;Milestones!$AC$42&amp;";  ","")&amp;IF(AND(EDATE($D54,Milestones!$AA$43)&lt;=AsOfDate,IF($R54=0,$X54,IF(AND($T54&lt;&gt;"",EDATE($D54,Milestones!$AA$43)&gt;=$T54),$W54,IF(AND($S54&lt;&gt;"",EDATE($D54,Milestones!$AA$43)&gt;=$S54),$V54,$U54)))=Milestones!$AB$43),UPPER(TEXT(EDATE($D54,Milestones!$AA$43),"dd mmm yy"))&amp;" "&amp;Milestones!$AB$43&amp;" "&amp;Milestones!$AC$43&amp;";  ","")&amp;IF(AND(EDATE($D54,Milestones!$AA$44)&lt;=AsOfDate,IF($R54=0,$X54,IF(AND($T54&lt;&gt;"",EDATE($D54,Milestones!$AA$44)&gt;=$T54),$W54,IF(AND($S54&lt;&gt;"",EDATE($D54,Milestones!$AA$44)&gt;=$S54),$V54,$U54)))=Milestones!$AB$44),UPPER(TEXT(EDATE($D54,Milestones!$AA$44),"dd mmm yy"))&amp;" "&amp;Milestones!$AB$44&amp;" "&amp;Milestones!$AC$44&amp;";  ","")&amp;IF(AND(EDATE($D54,Milestones!$AA$45)&lt;=AsOfDate,IF($R54=0,$X54,IF(AND($T54&lt;&gt;"",EDATE($D54,Milestones!$AA$45)&gt;=$T54),$W54,IF(AND($S54&lt;&gt;"",EDATE($D54,Milestones!$AA$45)&gt;=$S54),$V54,$U54)))=Milestones!$AB$45),UPPER(TEXT(EDATE($D54,Milestones!$AA$45),"dd mmm yy"))&amp;" "&amp;Milestones!$AB$45&amp;" "&amp;Milestones!$AC$45&amp;";  ","")&amp;IF(AND(EDATE($D54,Milestones!$AA$46)&lt;=AsOfDate,IF($R54=0,$X54,IF(AND($T54&lt;&gt;"",EDATE($D54,Milestones!$AA$46)&gt;=$T54),$W54,IF(AND($S54&lt;&gt;"",EDATE($D54,Milestones!$AA$46)&gt;=$S54),$V54,$U54)))=Milestones!$AB$46),UPPER(TEXT(EDATE($D54,Milestones!$AA$46),"dd mmm yy"))&amp;" "&amp;Milestones!$AB$46&amp;" "&amp;Milestones!$AC$46&amp;";  ","")&amp;IF(AND(EDATE($D54,Milestones!$AA$47)&lt;=AsOfDate,IF($R54=0,$X54,IF(AND($T54&lt;&gt;"",EDATE($D54,Milestones!$AA$47)&gt;=$T54),$W54,IF(AND($S54&lt;&gt;"",EDATE($D54,Milestones!$AA$47)&gt;=$S54),$V54,$U54)))=Milestones!$AB$47),UPPER(TEXT(EDATE($D54,Milestones!$AA$47),"dd mmm yy"))&amp;" "&amp;Milestones!$AB$47&amp;" "&amp;Milestones!$AC$47&amp;";  ","")&amp;IF(AND(EDATE($D54,Milestones!$AA$48)&lt;=AsOfDate,IF($R54=0,$X54,IF(AND($T54&lt;&gt;"",EDATE($D54,Milestones!$AA$48)&gt;=$T54),$W54,IF(AND($S54&lt;&gt;"",EDATE($D54,Milestones!$AA$48)&gt;=$S54),$V54,$U54)))=Milestones!$AB$48),UPPER(TEXT(EDATE($D54,Milestones!$AA$48),"dd mmm yy"))&amp;" "&amp;Milestones!$AB$48&amp;" "&amp;Milestones!$AC$48&amp;";  ","")&amp;IF(AND(EDATE($D54,Milestones!$AA$49)&lt;=AsOfDate,IF($R54=0,$X54,IF(AND($T54&lt;&gt;"",EDATE($D54,Milestones!$AA$49)&gt;=$T54),$W54,IF(AND($S54&lt;&gt;"",EDATE($D54,Milestones!$AA$49)&gt;=$S54),$V54,$U54)))=Milestones!$AB$49),UPPER(TEXT(EDATE($D54,Milestones!$AA$49),"dd mmm yy"))&amp;" "&amp;Milestones!$AB$49&amp;" "&amp;Milestones!$AC$49&amp;";  ","")&amp;IF(AND(EDATE($D54,Milestones!$AA$50)&lt;=AsOfDate,IF($R54=0,$X54,IF(AND($T54&lt;&gt;"",EDATE($D54,Milestones!$AA$50)&gt;=$T54),$W54,IF(AND($S54&lt;&gt;"",EDATE($D54,Milestones!$AA$50)&gt;=$S54),$V54,$U54)))=Milestones!$AB$50),UPPER(TEXT(EDATE($D54,Milestones!$AA$50),"dd mmm yy"))&amp;" "&amp;Milestones!$AB$50&amp;" "&amp;Milestones!$AC$50&amp;";  ","")&amp;IF(AND(EDATE($D54,Milestones!$AA$51)&lt;=AsOfDate,IF($R54=0,$X54,IF(AND($T54&lt;&gt;"",EDATE($D54,Milestones!$AA$51)&gt;=$T54),$W54,IF(AND($S54&lt;&gt;"",EDATE($D54,Milestones!$AA$51)&gt;=$S54),$V54,$U54)))=Milestones!$AB$51),UPPER(TEXT(EDATE($D54,Milestones!$AA$51),"dd mmm yy"))&amp;" "&amp;Milestones!$AB$51&amp;" "&amp;Milestones!$AC$51&amp;";  ","")&amp;IF(AND(EDATE($D54,Milestones!$AA$52)&lt;=AsOfDate,IF($R54=0,$X54,IF(AND($T54&lt;&gt;"",EDATE($D54,Milestones!$AA$52)&gt;=$T54),$W54,IF(AND($S54&lt;&gt;"",EDATE($D54,Milestones!$AA$52)&gt;=$S54),$V54,$U54)))=Milestones!$AB$52),UPPER(TEXT(EDATE($D54,Milestones!$AA$52),"dd mmm yy"))&amp;" "&amp;Milestones!$AB$52&amp;" "&amp;Milestones!$AC$52&amp;";  ","")&amp;IF(AND(EDATE($D54,Milestones!$AA$53)&lt;=AsOfDate,IF($R54=0,$X54,IF(AND($T54&lt;&gt;"",EDATE($D54,Milestones!$AA$53)&gt;=$T54),$W54,IF(AND($S54&lt;&gt;"",EDATE($D54,Milestones!$AA$53)&gt;=$S54),$V54,$U54)))=Milestones!$AB$53),UPPER(TEXT(EDATE($D54,Milestones!$AA$53),"dd mmm yy"))&amp;" "&amp;Milestones!$AB$53&amp;" "&amp;Milestones!$AC$53&amp;";  ","")&amp;IF(AND(EDATE($D54,Milestones!$AA$54)&lt;=AsOfDate,IF($R54=0,$X54,IF(AND($T54&lt;&gt;"",EDATE($D54,Milestones!$AA$54)&gt;=$T54),$W54,IF(AND($S54&lt;&gt;"",EDATE($D54,Milestones!$AA$54)&gt;=$S54),$V54,$U54)))=Milestones!$AB$54),UPPER(TEXT(EDATE($D54,Milestones!$AA$54),"dd mmm yy"))&amp;" "&amp;Milestones!$AB$54&amp;" "&amp;Milestones!$AC$54&amp;";  ","")&amp;IF(AND(EDATE($D54,Milestones!$AA$55)&lt;=AsOfDate,IF($R54=0,$X54,IF(AND($T54&lt;&gt;"",EDATE($D54,Milestones!$AA$55)&gt;=$T54),$W54,IF(AND($S54&lt;&gt;"",EDATE($D54,Milestones!$AA$55)&gt;=$S54),$V54,$U54)))=Milestones!$AB$55),UPPER(TEXT(EDATE($D54,Milestones!$AA$55),"dd mmm yy"))&amp;" "&amp;Milestones!$AB$55&amp;" "&amp;Milestones!$AC$55&amp;";  ","")&amp;IF(AND(EDATE($D54,Milestones!$AA$56)&lt;=AsOfDate,IF($R54=0,$X54,IF(AND($T54&lt;&gt;"",EDATE($D54,Milestones!$AA$56)&gt;=$T54),$W54,IF(AND($S54&lt;&gt;"",EDATE($D54,Milestones!$AA$56)&gt;=$S54),$V54,$U54)))=Milestones!$AB$56),UPPER(TEXT(EDATE($D54,Milestones!$AA$56),"dd mmm yy"))&amp;" "&amp;Milestones!$AB$56&amp;" "&amp;Milestones!$AC$56&amp;";  ","")&amp;IF(AND(EDATE($D54,Milestones!$AA$57)&lt;=AsOfDate,IF($R54=0,$X54,IF(AND($T54&lt;&gt;"",EDATE($D54,Milestones!$AA$57)&gt;=$T54),$W54,IF(AND($S54&lt;&gt;"",EDATE($D54,Milestones!$AA$57)&gt;=$S54),$V54,$U54)))=Milestones!$AB$57),UPPER(TEXT(EDATE($D54,Milestones!$AA$57),"dd mmm yy"))&amp;" "&amp;Milestones!$AB$57&amp;" "&amp;Milestones!$AC$57&amp;";  ","")&amp;IF(AND(EDATE($D54,Milestones!$AA$58)&lt;=AsOfDate,IF($R54=0,$X54,IF(AND($T54&lt;&gt;"",EDATE($D54,Milestones!$AA$58)&gt;=$T54),$W54,IF(AND($S54&lt;&gt;"",EDATE($D54,Milestones!$AA$58)&gt;=$S54),$V54,$U54)))=Milestones!$AB$58),UPPER(TEXT(EDATE($D54,Milestones!$AA$58),"dd mmm yy"))&amp;" "&amp;Milestones!$AB$58&amp;" "&amp;Milestones!$AC$58&amp;";  ","")&amp;IF(AND(EDATE($D54,Milestones!$AA$59)&lt;=AsOfDate,IF($R54=0,$X54,IF(AND($T54&lt;&gt;"",EDATE($D54,Milestones!$AA$59)&gt;=$T54),$W54,IF(AND($S54&lt;&gt;"",EDATE($D54,Milestones!$AA$59)&gt;=$S54),$V54,$U54)))=Milestones!$AB$59),UPPER(TEXT(EDATE($D54,Milestones!$AA$59),"dd mmm yy"))&amp;" "&amp;Milestones!$AB$59&amp;" "&amp;Milestones!$AC$59&amp;";  ",""))</f>
        <v/>
      </c>
      <c r="K54" s="0" t="str">
        <f aca="false">IF(OR($A54="",$D54=""),"",IF(AND(EDATE($D54,Milestones!$AA$60)&lt;=AsOfDate,IF($R54=0,$X54,IF(AND($T54&lt;&gt;"",EDATE($D54,Milestones!$AA$60)&gt;=$T54),$W54,IF(AND($S54&lt;&gt;"",EDATE($D54,Milestones!$AA$60)&gt;=$S54),$V54,$U54)))=Milestones!$AB$60),UPPER(TEXT(EDATE($D54,Milestones!$AA$60),"dd mmm yy"))&amp;" "&amp;Milestones!$AB$60&amp;" "&amp;Milestones!$AC$60&amp;";  ","")&amp;IF(AND(EDATE($D54,Milestones!$AA$61)&lt;=AsOfDate,IF($R54=0,$X54,IF(AND($T54&lt;&gt;"",EDATE($D54,Milestones!$AA$61)&gt;=$T54),$W54,IF(AND($S54&lt;&gt;"",EDATE($D54,Milestones!$AA$61)&gt;=$S54),$V54,$U54)))=Milestones!$AB$61),UPPER(TEXT(EDATE($D54,Milestones!$AA$61),"dd mmm yy"))&amp;" "&amp;Milestones!$AB$61&amp;" "&amp;Milestones!$AC$61&amp;";  ","")&amp;IF(AND(EDATE($D54,Milestones!$AA$62)&lt;=AsOfDate,IF($R54=0,$X54,IF(AND($T54&lt;&gt;"",EDATE($D54,Milestones!$AA$62)&gt;=$T54),$W54,IF(AND($S54&lt;&gt;"",EDATE($D54,Milestones!$AA$62)&gt;=$S54),$V54,$U54)))=Milestones!$AB$62),UPPER(TEXT(EDATE($D54,Milestones!$AA$62),"dd mmm yy"))&amp;" "&amp;Milestones!$AB$62&amp;" "&amp;Milestones!$AC$62&amp;";  ","")&amp;IF(AND(EDATE($D54,Milestones!$AA$63)&lt;=AsOfDate,IF($R54=0,$X54,IF(AND($T54&lt;&gt;"",EDATE($D54,Milestones!$AA$63)&gt;=$T54),$W54,IF(AND($S54&lt;&gt;"",EDATE($D54,Milestones!$AA$63)&gt;=$S54),$V54,$U54)))=Milestones!$AB$63),UPPER(TEXT(EDATE($D54,Milestones!$AA$63),"dd mmm yy"))&amp;" "&amp;Milestones!$AB$63&amp;" "&amp;Milestones!$AC$63&amp;";  ","")&amp;IF(AND(EDATE($D54,Milestones!$AA$64)&lt;=AsOfDate,IF($R54=0,$X54,IF(AND($T54&lt;&gt;"",EDATE($D54,Milestones!$AA$64)&gt;=$T54),$W54,IF(AND($S54&lt;&gt;"",EDATE($D54,Milestones!$AA$64)&gt;=$S54),$V54,$U54)))=Milestones!$AB$64),UPPER(TEXT(EDATE($D54,Milestones!$AA$64),"dd mmm yy"))&amp;" "&amp;Milestones!$AB$64&amp;" "&amp;Milestones!$AC$64&amp;";  ","")&amp;IF(AND(EDATE($D54,Milestones!$AA$65)&lt;=AsOfDate,IF($R54=0,$X54,IF(AND($T54&lt;&gt;"",EDATE($D54,Milestones!$AA$65)&gt;=$T54),$W54,IF(AND($S54&lt;&gt;"",EDATE($D54,Milestones!$AA$65)&gt;=$S54),$V54,$U54)))=Milestones!$AB$65),UPPER(TEXT(EDATE($D54,Milestones!$AA$65),"dd mmm yy"))&amp;" "&amp;Milestones!$AB$65&amp;" "&amp;Milestones!$AC$65&amp;";  ","")&amp;IF(AND(EDATE($D54,Milestones!$AA$66)&lt;=AsOfDate,IF($R54=0,$X54,IF(AND($T54&lt;&gt;"",EDATE($D54,Milestones!$AA$66)&gt;=$T54),$W54,IF(AND($S54&lt;&gt;"",EDATE($D54,Milestones!$AA$66)&gt;=$S54),$V54,$U54)))=Milestones!$AB$66),UPPER(TEXT(EDATE($D54,Milestones!$AA$66),"dd mmm yy"))&amp;" "&amp;Milestones!$AB$66&amp;" "&amp;Milestones!$AC$66&amp;";  ","")&amp;IF(AND(EDATE($D54,Milestones!$AA$67)&lt;=AsOfDate,IF($R54=0,$X54,IF(AND($T54&lt;&gt;"",EDATE($D54,Milestones!$AA$67)&gt;=$T54),$W54,IF(AND($S54&lt;&gt;"",EDATE($D54,Milestones!$AA$67)&gt;=$S54),$V54,$U54)))=Milestones!$AB$67),UPPER(TEXT(EDATE($D54,Milestones!$AA$67),"dd mmm yy"))&amp;" "&amp;Milestones!$AB$67&amp;" "&amp;Milestones!$AC$67&amp;";  ","")&amp;IF(AND(EDATE($D54,Milestones!$AA$68)&lt;=AsOfDate,IF($R54=0,$X54,IF(AND($T54&lt;&gt;"",EDATE($D54,Milestones!$AA$68)&gt;=$T54),$W54,IF(AND($S54&lt;&gt;"",EDATE($D54,Milestones!$AA$68)&gt;=$S54),$V54,$U54)))=Milestones!$AB$68),UPPER(TEXT(EDATE($D54,Milestones!$AA$68),"dd mmm yy"))&amp;" "&amp;Milestones!$AB$68&amp;" "&amp;Milestones!$AC$68&amp;";  ","")&amp;IF(AND(EDATE($D54,Milestones!$AA$69)&lt;=AsOfDate,IF($R54=0,$X54,IF(AND($T54&lt;&gt;"",EDATE($D54,Milestones!$AA$69)&gt;=$T54),$W54,IF(AND($S54&lt;&gt;"",EDATE($D54,Milestones!$AA$69)&gt;=$S54),$V54,$U54)))=Milestones!$AB$69),UPPER(TEXT(EDATE($D54,Milestones!$AA$69),"dd mmm yy"))&amp;" "&amp;Milestones!$AB$69&amp;" "&amp;Milestones!$AC$69&amp;";  ","")&amp;IF(AND(EDATE($D54,Milestones!$AA$70)&lt;=AsOfDate,IF($R54=0,$X54,IF(AND($T54&lt;&gt;"",EDATE($D54,Milestones!$AA$70)&gt;=$T54),$W54,IF(AND($S54&lt;&gt;"",EDATE($D54,Milestones!$AA$70)&gt;=$S54),$V54,$U54)))=Milestones!$AB$70),UPPER(TEXT(EDATE($D54,Milestones!$AA$70),"dd mmm yy"))&amp;" "&amp;Milestones!$AB$70&amp;" "&amp;Milestones!$AC$70&amp;";  ","")&amp;IF(AND(EDATE($D54,Milestones!$AA$71)&lt;=AsOfDate,IF($R54=0,$X54,IF(AND($T54&lt;&gt;"",EDATE($D54,Milestones!$AA$71)&gt;=$T54),$W54,IF(AND($S54&lt;&gt;"",EDATE($D54,Milestones!$AA$71)&gt;=$S54),$V54,$U54)))=Milestones!$AB$71),UPPER(TEXT(EDATE($D54,Milestones!$AA$71),"dd mmm yy"))&amp;" "&amp;Milestones!$AB$71&amp;" "&amp;Milestones!$AC$71&amp;";  ","")&amp;IF(AND(EDATE($D54,Milestones!$AA$72)&lt;=AsOfDate,IF($R54=0,$X54,IF(AND($T54&lt;&gt;"",EDATE($D54,Milestones!$AA$72)&gt;=$T54),$W54,IF(AND($S54&lt;&gt;"",EDATE($D54,Milestones!$AA$72)&gt;=$S54),$V54,$U54)))=Milestones!$AB$72),UPPER(TEXT(EDATE($D54,Milestones!$AA$72),"dd mmm yy"))&amp;" "&amp;Milestones!$AB$72&amp;" "&amp;Milestones!$AC$72&amp;";  ","")&amp;IF(AND(EDATE($D54,Milestones!$AA$73)&lt;=AsOfDate,IF($R54=0,$X54,IF(AND($T54&lt;&gt;"",EDATE($D54,Milestones!$AA$73)&gt;=$T54),$W54,IF(AND($S54&lt;&gt;"",EDATE($D54,Milestones!$AA$73)&gt;=$S54),$V54,$U54)))=Milestones!$AB$73),UPPER(TEXT(EDATE($D54,Milestones!$AA$73),"dd mmm yy"))&amp;" "&amp;Milestones!$AB$73&amp;" "&amp;Milestones!$AC$73&amp;";  ","")&amp;IF(AND(EDATE($D54,Milestones!$AA$74)&lt;=AsOfDate,IF($R54=0,$X54,IF(AND($T54&lt;&gt;"",EDATE($D54,Milestones!$AA$74)&gt;=$T54),$W54,IF(AND($S54&lt;&gt;"",EDATE($D54,Milestones!$AA$74)&gt;=$S54),$V54,$U54)))=Milestones!$AB$74),UPPER(TEXT(EDATE($D54,Milestones!$AA$74),"dd mmm yy"))&amp;" "&amp;Milestones!$AB$74&amp;" "&amp;Milestones!$AC$74&amp;";  ","")&amp;IF(AND(EDATE($D54,Milestones!$AA$75)&lt;=AsOfDate,IF($R54=0,$X54,IF(AND($T54&lt;&gt;"",EDATE($D54,Milestones!$AA$75)&gt;=$T54),$W54,IF(AND($S54&lt;&gt;"",EDATE($D54,Milestones!$AA$75)&gt;=$S54),$V54,$U54)))=Milestones!$AB$75),UPPER(TEXT(EDATE($D54,Milestones!$AA$75),"dd mmm yy"))&amp;" "&amp;Milestones!$AB$75&amp;" "&amp;Milestones!$AC$75&amp;";  ","")&amp;IF(AND(EDATE($D54,Milestones!$AA$76)&lt;=AsOfDate,IF($R54=0,$X54,IF(AND($T54&lt;&gt;"",EDATE($D54,Milestones!$AA$76)&gt;=$T54),$W54,IF(AND($S54&lt;&gt;"",EDATE($D54,Milestones!$AA$76)&gt;=$S54),$V54,$U54)))=Milestones!$AB$76),UPPER(TEXT(EDATE($D54,Milestones!$AA$76),"dd mmm yy"))&amp;" "&amp;Milestones!$AB$76&amp;" "&amp;Milestones!$AC$76&amp;";  ","")&amp;IF(AND(EDATE($D54,Milestones!$AA$77)&lt;=AsOfDate,IF($R54=0,$X54,IF(AND($T54&lt;&gt;"",EDATE($D54,Milestones!$AA$77)&gt;=$T54),$W54,IF(AND($S54&lt;&gt;"",EDATE($D54,Milestones!$AA$77)&gt;=$S54),$V54,$U54)))=Milestones!$AB$77),UPPER(TEXT(EDATE($D54,Milestones!$AA$77),"dd mmm yy"))&amp;" "&amp;Milestones!$AB$77&amp;" "&amp;Milestones!$AC$77&amp;";  ","")&amp;IF(AND(EDATE($D54,Milestones!$AA$78)&lt;=AsOfDate,IF($R54=0,$X54,IF(AND($T54&lt;&gt;"",EDATE($D54,Milestones!$AA$78)&gt;=$T54),$W54,IF(AND($S54&lt;&gt;"",EDATE($D54,Milestones!$AA$78)&gt;=$S54),$V54,$U54)))=Milestones!$AB$78),UPPER(TEXT(EDATE($D54,Milestones!$AA$78),"dd mmm yy"))&amp;" "&amp;Milestones!$AB$78&amp;" "&amp;Milestones!$AC$78&amp;";  ","")&amp;IF(AND(EDATE($D54,Milestones!$AA$79)&lt;=AsOfDate,IF($R54=0,$X54,IF(AND($T54&lt;&gt;"",EDATE($D54,Milestones!$AA$79)&gt;=$T54),$W54,IF(AND($S54&lt;&gt;"",EDATE($D54,Milestones!$AA$79)&gt;=$S54),$V54,$U54)))=Milestones!$AB$79),UPPER(TEXT(EDATE($D54,Milestones!$AA$79),"dd mmm yy"))&amp;" "&amp;Milestones!$AB$79&amp;" "&amp;Milestones!$AC$79&amp;";  ",""))</f>
        <v/>
      </c>
      <c r="L54" s="0" t="str">
        <f aca="false">IF(OR($A54="",$D54=""),"",IF(AND(EDATE($D54,Milestones!$AA$80)&lt;=AsOfDate,IF($R54=0,$X54,IF(AND($T54&lt;&gt;"",EDATE($D54,Milestones!$AA$80)&gt;=$T54),$W54,IF(AND($S54&lt;&gt;"",EDATE($D54,Milestones!$AA$80)&gt;=$S54),$V54,$U54)))=Milestones!$AB$80),UPPER(TEXT(EDATE($D54,Milestones!$AA$80),"dd mmm yy"))&amp;" "&amp;Milestones!$AB$80&amp;" "&amp;Milestones!$AC$80&amp;";  ","")&amp;IF(AND(EDATE($D54,Milestones!$AA$81)&lt;=AsOfDate,IF($R54=0,$X54,IF(AND($T54&lt;&gt;"",EDATE($D54,Milestones!$AA$81)&gt;=$T54),$W54,IF(AND($S54&lt;&gt;"",EDATE($D54,Milestones!$AA$81)&gt;=$S54),$V54,$U54)))=Milestones!$AB$81),UPPER(TEXT(EDATE($D54,Milestones!$AA$81),"dd mmm yy"))&amp;" "&amp;Milestones!$AB$81&amp;" "&amp;Milestones!$AC$81&amp;";  ","")&amp;IF(AND(EDATE($D54,Milestones!$AA$82)&lt;=AsOfDate,IF($R54=0,$X54,IF(AND($T54&lt;&gt;"",EDATE($D54,Milestones!$AA$82)&gt;=$T54),$W54,IF(AND($S54&lt;&gt;"",EDATE($D54,Milestones!$AA$82)&gt;=$S54),$V54,$U54)))=Milestones!$AB$82),UPPER(TEXT(EDATE($D54,Milestones!$AA$82),"dd mmm yy"))&amp;" "&amp;Milestones!$AB$82&amp;" "&amp;Milestones!$AC$82&amp;";  ","")&amp;IF(AND(EDATE($D54,Milestones!$AA$83)&lt;=AsOfDate,IF($R54=0,$X54,IF(AND($T54&lt;&gt;"",EDATE($D54,Milestones!$AA$83)&gt;=$T54),$W54,IF(AND($S54&lt;&gt;"",EDATE($D54,Milestones!$AA$83)&gt;=$S54),$V54,$U54)))=Milestones!$AB$83),UPPER(TEXT(EDATE($D54,Milestones!$AA$83),"dd mmm yy"))&amp;" "&amp;Milestones!$AB$83&amp;" "&amp;Milestones!$AC$83&amp;";  ","")&amp;IF(AND(EDATE($D54,Milestones!$AA$84)&lt;=AsOfDate,IF($R54=0,$X54,IF(AND($T54&lt;&gt;"",EDATE($D54,Milestones!$AA$84)&gt;=$T54),$W54,IF(AND($S54&lt;&gt;"",EDATE($D54,Milestones!$AA$84)&gt;=$S54),$V54,$U54)))=Milestones!$AB$84),UPPER(TEXT(EDATE($D54,Milestones!$AA$84),"dd mmm yy"))&amp;" "&amp;Milestones!$AB$84&amp;" "&amp;Milestones!$AC$84&amp;";  ","")&amp;IF(AND(EDATE($D54,Milestones!$AA$85)&lt;=AsOfDate,IF($R54=0,$X54,IF(AND($T54&lt;&gt;"",EDATE($D54,Milestones!$AA$85)&gt;=$T54),$W54,IF(AND($S54&lt;&gt;"",EDATE($D54,Milestones!$AA$85)&gt;=$S54),$V54,$U54)))=Milestones!$AB$85),UPPER(TEXT(EDATE($D54,Milestones!$AA$85),"dd mmm yy"))&amp;" "&amp;Milestones!$AB$85&amp;" "&amp;Milestones!$AC$85&amp;";  ","")&amp;IF(AND(EDATE($D54,Milestones!$AA$86)&lt;=AsOfDate,IF($R54=0,$X54,IF(AND($T54&lt;&gt;"",EDATE($D54,Milestones!$AA$86)&gt;=$T54),$W54,IF(AND($S54&lt;&gt;"",EDATE($D54,Milestones!$AA$86)&gt;=$S54),$V54,$U54)))=Milestones!$AB$86),UPPER(TEXT(EDATE($D54,Milestones!$AA$86),"dd mmm yy"))&amp;" "&amp;Milestones!$AB$86&amp;" "&amp;Milestones!$AC$86&amp;";  ","")&amp;IF(AND(EDATE($D54,Milestones!$AA$87)&lt;=AsOfDate,IF($R54=0,$X54,IF(AND($T54&lt;&gt;"",EDATE($D54,Milestones!$AA$87)&gt;=$T54),$W54,IF(AND($S54&lt;&gt;"",EDATE($D54,Milestones!$AA$87)&gt;=$S54),$V54,$U54)))=Milestones!$AB$87),UPPER(TEXT(EDATE($D54,Milestones!$AA$87),"dd mmm yy"))&amp;" "&amp;Milestones!$AB$87&amp;" "&amp;Milestones!$AC$87&amp;";  ","")&amp;IF(AND(EDATE($D54,Milestones!$AA$88)&lt;=AsOfDate,IF($R54=0,$X54,IF(AND($T54&lt;&gt;"",EDATE($D54,Milestones!$AA$88)&gt;=$T54),$W54,IF(AND($S54&lt;&gt;"",EDATE($D54,Milestones!$AA$88)&gt;=$S54),$V54,$U54)))=Milestones!$AB$88),UPPER(TEXT(EDATE($D54,Milestones!$AA$88),"dd mmm yy"))&amp;" "&amp;Milestones!$AB$88&amp;" "&amp;Milestones!$AC$88&amp;";  ","")&amp;IF(AND(EDATE($D54,Milestones!$AA$89)&lt;=AsOfDate,IF($R54=0,$X54,IF(AND($T54&lt;&gt;"",EDATE($D54,Milestones!$AA$89)&gt;=$T54),$W54,IF(AND($S54&lt;&gt;"",EDATE($D54,Milestones!$AA$89)&gt;=$S54),$V54,$U54)))=Milestones!$AB$89),UPPER(TEXT(EDATE($D54,Milestones!$AA$89),"dd mmm yy"))&amp;" "&amp;Milestones!$AB$89&amp;" "&amp;Milestones!$AC$89&amp;";  ","")&amp;IF(AND(EDATE($D54,Milestones!$AA$90)&lt;=AsOfDate,IF($R54=0,$X54,IF(AND($T54&lt;&gt;"",EDATE($D54,Milestones!$AA$90)&gt;=$T54),$W54,IF(AND($S54&lt;&gt;"",EDATE($D54,Milestones!$AA$90)&gt;=$S54),$V54,$U54)))=Milestones!$AB$90),UPPER(TEXT(EDATE($D54,Milestones!$AA$90),"dd mmm yy"))&amp;" "&amp;Milestones!$AB$90&amp;" "&amp;Milestones!$AC$90&amp;";  ","")&amp;IF(AND(EDATE($D54,Milestones!$AA$91)&lt;=AsOfDate,IF($R54=0,$X54,IF(AND($T54&lt;&gt;"",EDATE($D54,Milestones!$AA$91)&gt;=$T54),$W54,IF(AND($S54&lt;&gt;"",EDATE($D54,Milestones!$AA$91)&gt;=$S54),$V54,$U54)))=Milestones!$AB$91),UPPER(TEXT(EDATE($D54,Milestones!$AA$91),"dd mmm yy"))&amp;" "&amp;Milestones!$AB$91&amp;" "&amp;Milestones!$AC$91&amp;";  ","")&amp;IF(AND(EDATE($D54,Milestones!$AA$92)&lt;=AsOfDate,IF($R54=0,$X54,IF(AND($T54&lt;&gt;"",EDATE($D54,Milestones!$AA$92)&gt;=$T54),$W54,IF(AND($S54&lt;&gt;"",EDATE($D54,Milestones!$AA$92)&gt;=$S54),$V54,$U54)))=Milestones!$AB$92),UPPER(TEXT(EDATE($D54,Milestones!$AA$92),"dd mmm yy"))&amp;" "&amp;Milestones!$AB$92&amp;" "&amp;Milestones!$AC$92&amp;";  ","")&amp;IF(AND(EDATE($D54,Milestones!$AA$93)&lt;=AsOfDate,IF($R54=0,$X54,IF(AND($T54&lt;&gt;"",EDATE($D54,Milestones!$AA$93)&gt;=$T54),$W54,IF(AND($S54&lt;&gt;"",EDATE($D54,Milestones!$AA$93)&gt;=$S54),$V54,$U54)))=Milestones!$AB$93),UPPER(TEXT(EDATE($D54,Milestones!$AA$93),"dd mmm yy"))&amp;" "&amp;Milestones!$AB$93&amp;" "&amp;Milestones!$AC$93&amp;";  ","")&amp;IF(AND(EDATE($D54,Milestones!$AA$94)&lt;=AsOfDate,IF($R54=0,$X54,IF(AND($T54&lt;&gt;"",EDATE($D54,Milestones!$AA$94)&gt;=$T54),$W54,IF(AND($S54&lt;&gt;"",EDATE($D54,Milestones!$AA$94)&gt;=$S54),$V54,$U54)))=Milestones!$AB$94),UPPER(TEXT(EDATE($D54,Milestones!$AA$94),"dd mmm yy"))&amp;" "&amp;Milestones!$AB$94&amp;" "&amp;Milestones!$AC$94&amp;";  ","")&amp;IF(AND(EDATE($D54,Milestones!$AA$95)&lt;=AsOfDate,IF($R54=0,$X54,IF(AND($T54&lt;&gt;"",EDATE($D54,Milestones!$AA$95)&gt;=$T54),$W54,IF(AND($S54&lt;&gt;"",EDATE($D54,Milestones!$AA$95)&gt;=$S54),$V54,$U54)))=Milestones!$AB$95),UPPER(TEXT(EDATE($D54,Milestones!$AA$95),"dd mmm yy"))&amp;" "&amp;Milestones!$AB$95&amp;" "&amp;Milestones!$AC$95&amp;";  ","")&amp;IF(AND(EDATE($D54,Milestones!$AA$96)&lt;=AsOfDate,IF($R54=0,$X54,IF(AND($T54&lt;&gt;"",EDATE($D54,Milestones!$AA$96)&gt;=$T54),$W54,IF(AND($S54&lt;&gt;"",EDATE($D54,Milestones!$AA$96)&gt;=$S54),$V54,$U54)))=Milestones!$AB$96),UPPER(TEXT(EDATE($D54,Milestones!$AA$96),"dd mmm yy"))&amp;" "&amp;Milestones!$AB$96&amp;" "&amp;Milestones!$AC$96&amp;";  ","")&amp;IF(AND(EDATE($D54,Milestones!$AA$97)&lt;=AsOfDate,IF($R54=0,$X54,IF(AND($T54&lt;&gt;"",EDATE($D54,Milestones!$AA$97)&gt;=$T54),$W54,IF(AND($S54&lt;&gt;"",EDATE($D54,Milestones!$AA$97)&gt;=$S54),$V54,$U54)))=Milestones!$AB$97),UPPER(TEXT(EDATE($D54,Milestones!$AA$97),"dd mmm yy"))&amp;" "&amp;Milestones!$AB$97&amp;" "&amp;Milestones!$AC$97&amp;";  ","")&amp;IF(AND(EDATE($D54,Milestones!$AA$98)&lt;=AsOfDate,IF($R54=0,$X54,IF(AND($T54&lt;&gt;"",EDATE($D54,Milestones!$AA$98)&gt;=$T54),$W54,IF(AND($S54&lt;&gt;"",EDATE($D54,Milestones!$AA$98)&gt;=$S54),$V54,$U54)))=Milestones!$AB$98),UPPER(TEXT(EDATE($D54,Milestones!$AA$98),"dd mmm yy"))&amp;" "&amp;Milestones!$AB$98&amp;" "&amp;Milestones!$AC$98&amp;";  ","")&amp;IF(AND(EDATE($D54,Milestones!$AA$99)&lt;=AsOfDate,IF($R54=0,$X54,IF(AND($T54&lt;&gt;"",EDATE($D54,Milestones!$AA$99)&gt;=$T54),$W54,IF(AND($S54&lt;&gt;"",EDATE($D54,Milestones!$AA$99)&gt;=$S54),$V54,$U54)))=Milestones!$AB$99),UPPER(TEXT(EDATE($D54,Milestones!$AA$99),"dd mmm yy"))&amp;" "&amp;Milestones!$AB$99&amp;" "&amp;Milestones!$AC$99&amp;";  ",""))</f>
        <v/>
      </c>
      <c r="M54" s="0" t="str">
        <f aca="false">IF(OR($A54="",$D54=""),"",IF(AND(EDATE($D54,Milestones!$AA$100)&lt;=AsOfDate,IF($R54=0,$X54,IF(AND($T54&lt;&gt;"",EDATE($D54,Milestones!$AA$100)&gt;=$T54),$W54,IF(AND($S54&lt;&gt;"",EDATE($D54,Milestones!$AA$100)&gt;=$S54),$V54,$U54)))=Milestones!$AB$100),UPPER(TEXT(EDATE($D54,Milestones!$AA$100),"dd mmm yy"))&amp;" "&amp;Milestones!$AB$100&amp;" "&amp;Milestones!$AC$100&amp;";  ","")&amp;IF(AND(EDATE($D54,Milestones!$AA$101)&lt;=AsOfDate,IF($R54=0,$X54,IF(AND($T54&lt;&gt;"",EDATE($D54,Milestones!$AA$101)&gt;=$T54),$W54,IF(AND($S54&lt;&gt;"",EDATE($D54,Milestones!$AA$101)&gt;=$S54),$V54,$U54)))=Milestones!$AB$101),UPPER(TEXT(EDATE($D54,Milestones!$AA$101),"dd mmm yy"))&amp;" "&amp;Milestones!$AB$101&amp;" "&amp;Milestones!$AC$101&amp;";  ","")&amp;IF(AND(EDATE($D54,Milestones!$AA$102)&lt;=AsOfDate,IF($R54=0,$X54,IF(AND($T54&lt;&gt;"",EDATE($D54,Milestones!$AA$102)&gt;=$T54),$W54,IF(AND($S54&lt;&gt;"",EDATE($D54,Milestones!$AA$102)&gt;=$S54),$V54,$U54)))=Milestones!$AB$102),UPPER(TEXT(EDATE($D54,Milestones!$AA$102),"dd mmm yy"))&amp;" "&amp;Milestones!$AB$102&amp;" "&amp;Milestones!$AC$102&amp;";  ","")&amp;IF(AND(EDATE($D54,Milestones!$AA$103)&lt;=AsOfDate,IF($R54=0,$X54,IF(AND($T54&lt;&gt;"",EDATE($D54,Milestones!$AA$103)&gt;=$T54),$W54,IF(AND($S54&lt;&gt;"",EDATE($D54,Milestones!$AA$103)&gt;=$S54),$V54,$U54)))=Milestones!$AB$103),UPPER(TEXT(EDATE($D54,Milestones!$AA$103),"dd mmm yy"))&amp;" "&amp;Milestones!$AB$103&amp;" "&amp;Milestones!$AC$103&amp;";  ","")&amp;IF(AND(EDATE($D54,Milestones!$AA$104)&lt;=AsOfDate,IF($R54=0,$X54,IF(AND($T54&lt;&gt;"",EDATE($D54,Milestones!$AA$104)&gt;=$T54),$W54,IF(AND($S54&lt;&gt;"",EDATE($D54,Milestones!$AA$104)&gt;=$S54),$V54,$U54)))=Milestones!$AB$104),UPPER(TEXT(EDATE($D54,Milestones!$AA$104),"dd mmm yy"))&amp;" "&amp;Milestones!$AB$104&amp;" "&amp;Milestones!$AC$104&amp;";  ","")&amp;IF(AND(EDATE($D54,Milestones!$AA$105)&lt;=AsOfDate,IF($R54=0,$X54,IF(AND($T54&lt;&gt;"",EDATE($D54,Milestones!$AA$105)&gt;=$T54),$W54,IF(AND($S54&lt;&gt;"",EDATE($D54,Milestones!$AA$105)&gt;=$S54),$V54,$U54)))=Milestones!$AB$105),UPPER(TEXT(EDATE($D54,Milestones!$AA$105),"dd mmm yy"))&amp;" "&amp;Milestones!$AB$105&amp;" "&amp;Milestones!$AC$105&amp;";  ","")&amp;IF(AND(EDATE($D54,Milestones!$AA$106)&lt;=AsOfDate,IF($R54=0,$X54,IF(AND($T54&lt;&gt;"",EDATE($D54,Milestones!$AA$106)&gt;=$T54),$W54,IF(AND($S54&lt;&gt;"",EDATE($D54,Milestones!$AA$106)&gt;=$S54),$V54,$U54)))=Milestones!$AB$106),UPPER(TEXT(EDATE($D54,Milestones!$AA$106),"dd mmm yy"))&amp;" "&amp;Milestones!$AB$106&amp;" "&amp;Milestones!$AC$106&amp;";  ","")&amp;IF(AND(EDATE($D54,Milestones!$AA$107)&lt;=AsOfDate,IF($R54=0,$X54,IF(AND($T54&lt;&gt;"",EDATE($D54,Milestones!$AA$107)&gt;=$T54),$W54,IF(AND($S54&lt;&gt;"",EDATE($D54,Milestones!$AA$107)&gt;=$S54),$V54,$U54)))=Milestones!$AB$107),UPPER(TEXT(EDATE($D54,Milestones!$AA$107),"dd mmm yy"))&amp;" "&amp;Milestones!$AB$107&amp;" "&amp;Milestones!$AC$107&amp;";  ","")&amp;IF(AND(EDATE($D54,Milestones!$AA$108)&lt;=AsOfDate,IF($R54=0,$X54,IF(AND($T54&lt;&gt;"",EDATE($D54,Milestones!$AA$108)&gt;=$T54),$W54,IF(AND($S54&lt;&gt;"",EDATE($D54,Milestones!$AA$108)&gt;=$S54),$V54,$U54)))=Milestones!$AB$108),UPPER(TEXT(EDATE($D54,Milestones!$AA$108),"dd mmm yy"))&amp;" "&amp;Milestones!$AB$108&amp;" "&amp;Milestones!$AC$108&amp;";  ","")&amp;IF(AND(EDATE($D54,Milestones!$AA$109)&lt;=AsOfDate,IF($R54=0,$X54,IF(AND($T54&lt;&gt;"",EDATE($D54,Milestones!$AA$109)&gt;=$T54),$W54,IF(AND($S54&lt;&gt;"",EDATE($D54,Milestones!$AA$109)&gt;=$S54),$V54,$U54)))=Milestones!$AB$109),UPPER(TEXT(EDATE($D54,Milestones!$AA$109),"dd mmm yy"))&amp;" "&amp;Milestones!$AB$109&amp;" "&amp;Milestones!$AC$109&amp;";  ","")&amp;IF(AND(EDATE($D54,Milestones!$AA$110)&lt;=AsOfDate,IF($R54=0,$X54,IF(AND($T54&lt;&gt;"",EDATE($D54,Milestones!$AA$110)&gt;=$T54),$W54,IF(AND($S54&lt;&gt;"",EDATE($D54,Milestones!$AA$110)&gt;=$S54),$V54,$U54)))=Milestones!$AB$110),UPPER(TEXT(EDATE($D54,Milestones!$AA$110),"dd mmm yy"))&amp;" "&amp;Milestones!$AB$110&amp;" "&amp;Milestones!$AC$110&amp;";  ","")&amp;IF(AND(EDATE($D54,Milestones!$AA$111)&lt;=AsOfDate,IF($R54=0,$X54,IF(AND($T54&lt;&gt;"",EDATE($D54,Milestones!$AA$111)&gt;=$T54),$W54,IF(AND($S54&lt;&gt;"",EDATE($D54,Milestones!$AA$111)&gt;=$S54),$V54,$U54)))=Milestones!$AB$111),UPPER(TEXT(EDATE($D54,Milestones!$AA$111),"dd mmm yy"))&amp;" "&amp;Milestones!$AB$111&amp;" "&amp;Milestones!$AC$111&amp;";  ","")&amp;IF(AND(EDATE($D54,Milestones!$AA$112)&lt;=AsOfDate,IF($R54=0,$X54,IF(AND($T54&lt;&gt;"",EDATE($D54,Milestones!$AA$112)&gt;=$T54),$W54,IF(AND($S54&lt;&gt;"",EDATE($D54,Milestones!$AA$112)&gt;=$S54),$V54,$U54)))=Milestones!$AB$112),UPPER(TEXT(EDATE($D54,Milestones!$AA$112),"dd mmm yy"))&amp;" "&amp;Milestones!$AB$112&amp;" "&amp;Milestones!$AC$112&amp;";  ","")&amp;IF(AND(EDATE($D54,Milestones!$AA$113)&lt;=AsOfDate,IF($R54=0,$X54,IF(AND($T54&lt;&gt;"",EDATE($D54,Milestones!$AA$113)&gt;=$T54),$W54,IF(AND($S54&lt;&gt;"",EDATE($D54,Milestones!$AA$113)&gt;=$S54),$V54,$U54)))=Milestones!$AB$113),UPPER(TEXT(EDATE($D54,Milestones!$AA$113),"dd mmm yy"))&amp;" "&amp;Milestones!$AB$113&amp;" "&amp;Milestones!$AC$113&amp;";  ","")&amp;IF(AND(EDATE($D54,Milestones!$AA$114)&lt;=AsOfDate,IF($R54=0,$X54,IF(AND($T54&lt;&gt;"",EDATE($D54,Milestones!$AA$114)&gt;=$T54),$W54,IF(AND($S54&lt;&gt;"",EDATE($D54,Milestones!$AA$114)&gt;=$S54),$V54,$U54)))=Milestones!$AB$114),UPPER(TEXT(EDATE($D54,Milestones!$AA$114),"dd mmm yy"))&amp;" "&amp;Milestones!$AB$114&amp;" "&amp;Milestones!$AC$114&amp;";  ","")&amp;IF(AND(EDATE($D54,Milestones!$AA$115)&lt;=AsOfDate,IF($R54=0,$X54,IF(AND($T54&lt;&gt;"",EDATE($D54,Milestones!$AA$115)&gt;=$T54),$W54,IF(AND($S54&lt;&gt;"",EDATE($D54,Milestones!$AA$115)&gt;=$S54),$V54,$U54)))=Milestones!$AB$115),UPPER(TEXT(EDATE($D54,Milestones!$AA$115),"dd mmm yy"))&amp;" "&amp;Milestones!$AB$115&amp;" "&amp;Milestones!$AC$115&amp;";  ","")&amp;IF(AND(EDATE($D54,Milestones!$AA$116)&lt;=AsOfDate,IF($R54=0,$X54,IF(AND($T54&lt;&gt;"",EDATE($D54,Milestones!$AA$116)&gt;=$T54),$W54,IF(AND($S54&lt;&gt;"",EDATE($D54,Milestones!$AA$116)&gt;=$S54),$V54,$U54)))=Milestones!$AB$116),UPPER(TEXT(EDATE($D54,Milestones!$AA$116),"dd mmm yy"))&amp;" "&amp;Milestones!$AB$116&amp;" "&amp;Milestones!$AC$116&amp;";  ","")&amp;IF(AND(EDATE($D54,Milestones!$AA$117)&lt;=AsOfDate,IF($R54=0,$X54,IF(AND($T54&lt;&gt;"",EDATE($D54,Milestones!$AA$117)&gt;=$T54),$W54,IF(AND($S54&lt;&gt;"",EDATE($D54,Milestones!$AA$117)&gt;=$S54),$V54,$U54)))=Milestones!$AB$117),UPPER(TEXT(EDATE($D54,Milestones!$AA$117),"dd mmm yy"))&amp;" "&amp;Milestones!$AB$117&amp;" "&amp;Milestones!$AC$117&amp;";  ","")&amp;IF(AND(EDATE($D54,Milestones!$AA$118)&lt;=AsOfDate,IF($R54=0,$X54,IF(AND($T54&lt;&gt;"",EDATE($D54,Milestones!$AA$118)&gt;=$T54),$W54,IF(AND($S54&lt;&gt;"",EDATE($D54,Milestones!$AA$118)&gt;=$S54),$V54,$U54)))=Milestones!$AB$118),UPPER(TEXT(EDATE($D54,Milestones!$AA$118),"dd mmm yy"))&amp;" "&amp;Milestones!$AB$118&amp;" "&amp;Milestones!$AC$118&amp;";  ","")&amp;IF(AND(EDATE($D54,Milestones!$AA$119)&lt;=AsOfDate,IF($R54=0,$X54,IF(AND($T54&lt;&gt;"",EDATE($D54,Milestones!$AA$119)&gt;=$T54),$W54,IF(AND($S54&lt;&gt;"",EDATE($D54,Milestones!$AA$119)&gt;=$S54),$V54,$U54)))=Milestones!$AB$119),UPPER(TEXT(EDATE($D54,Milestones!$AA$119),"dd mmm yy"))&amp;" "&amp;Milestones!$AB$119&amp;" "&amp;Milestones!$AC$119&amp;";  ",""))</f>
        <v/>
      </c>
      <c r="N54" s="0" t="str">
        <f aca="false">IF(OR($A54="",$D54=""),"",IF(AND(EDATE($D54,Milestones!$AA$120)&lt;=AsOfDate,IF($R54=0,$X54,IF(AND($T54&lt;&gt;"",EDATE($D54,Milestones!$AA$120)&gt;=$T54),$W54,IF(AND($S54&lt;&gt;"",EDATE($D54,Milestones!$AA$120)&gt;=$S54),$V54,$U54)))=Milestones!$AB$120),UPPER(TEXT(EDATE($D54,Milestones!$AA$120),"dd mmm yy"))&amp;" "&amp;Milestones!$AB$120&amp;" "&amp;Milestones!$AC$120&amp;";  ","")&amp;IF(AND(EDATE($D54,Milestones!$AA$121)&lt;=AsOfDate,IF($R54=0,$X54,IF(AND($T54&lt;&gt;"",EDATE($D54,Milestones!$AA$121)&gt;=$T54),$W54,IF(AND($S54&lt;&gt;"",EDATE($D54,Milestones!$AA$121)&gt;=$S54),$V54,$U54)))=Milestones!$AB$121),UPPER(TEXT(EDATE($D54,Milestones!$AA$121),"dd mmm yy"))&amp;" "&amp;Milestones!$AB$121&amp;" "&amp;Milestones!$AC$121&amp;";  ","")&amp;IF(AND(EDATE($D54,Milestones!$AA$122)&lt;=AsOfDate,IF($R54=0,$X54,IF(AND($T54&lt;&gt;"",EDATE($D54,Milestones!$AA$122)&gt;=$T54),$W54,IF(AND($S54&lt;&gt;"",EDATE($D54,Milestones!$AA$122)&gt;=$S54),$V54,$U54)))=Milestones!$AB$122),UPPER(TEXT(EDATE($D54,Milestones!$AA$122),"dd mmm yy"))&amp;" "&amp;Milestones!$AB$122&amp;" "&amp;Milestones!$AC$122&amp;";  ","")&amp;IF(AND(EDATE($D54,Milestones!$AA$123)&lt;=AsOfDate,IF($R54=0,$X54,IF(AND($T54&lt;&gt;"",EDATE($D54,Milestones!$AA$123)&gt;=$T54),$W54,IF(AND($S54&lt;&gt;"",EDATE($D54,Milestones!$AA$123)&gt;=$S54),$V54,$U54)))=Milestones!$AB$123),UPPER(TEXT(EDATE($D54,Milestones!$AA$123),"dd mmm yy"))&amp;" "&amp;Milestones!$AB$123&amp;" "&amp;Milestones!$AC$123&amp;";  ","")&amp;IF(AND(EDATE($D54,Milestones!$AA$124)&lt;=AsOfDate,IF($R54=0,$X54,IF(AND($T54&lt;&gt;"",EDATE($D54,Milestones!$AA$124)&gt;=$T54),$W54,IF(AND($S54&lt;&gt;"",EDATE($D54,Milestones!$AA$124)&gt;=$S54),$V54,$U54)))=Milestones!$AB$124),UPPER(TEXT(EDATE($D54,Milestones!$AA$124),"dd mmm yy"))&amp;" "&amp;Milestones!$AB$124&amp;" "&amp;Milestones!$AC$124&amp;";  ","")&amp;IF(AND(EDATE($D54,Milestones!$AA$125)&lt;=AsOfDate,IF($R54=0,$X54,IF(AND($T54&lt;&gt;"",EDATE($D54,Milestones!$AA$125)&gt;=$T54),$W54,IF(AND($S54&lt;&gt;"",EDATE($D54,Milestones!$AA$125)&gt;=$S54),$V54,$U54)))=Milestones!$AB$125),UPPER(TEXT(EDATE($D54,Milestones!$AA$125),"dd mmm yy"))&amp;" "&amp;Milestones!$AB$125&amp;" "&amp;Milestones!$AC$125&amp;";  ","")&amp;IF(AND(EDATE($D54,Milestones!$AA$126)&lt;=AsOfDate,IF($R54=0,$X54,IF(AND($T54&lt;&gt;"",EDATE($D54,Milestones!$AA$126)&gt;=$T54),$W54,IF(AND($S54&lt;&gt;"",EDATE($D54,Milestones!$AA$126)&gt;=$S54),$V54,$U54)))=Milestones!$AB$126),UPPER(TEXT(EDATE($D54,Milestones!$AA$126),"dd mmm yy"))&amp;" "&amp;Milestones!$AB$126&amp;" "&amp;Milestones!$AC$126&amp;";  ","")&amp;IF(AND(EDATE($D54,Milestones!$AA$127)&lt;=AsOfDate,IF($R54=0,$X54,IF(AND($T54&lt;&gt;"",EDATE($D54,Milestones!$AA$127)&gt;=$T54),$W54,IF(AND($S54&lt;&gt;"",EDATE($D54,Milestones!$AA$127)&gt;=$S54),$V54,$U54)))=Milestones!$AB$127),UPPER(TEXT(EDATE($D54,Milestones!$AA$127),"dd mmm yy"))&amp;" "&amp;Milestones!$AB$127&amp;" "&amp;Milestones!$AC$127&amp;";  ","")&amp;IF(AND(EDATE($D54,Milestones!$AA$128)&lt;=AsOfDate,IF($R54=0,$X54,IF(AND($T54&lt;&gt;"",EDATE($D54,Milestones!$AA$128)&gt;=$T54),$W54,IF(AND($S54&lt;&gt;"",EDATE($D54,Milestones!$AA$128)&gt;=$S54),$V54,$U54)))=Milestones!$AB$128),UPPER(TEXT(EDATE($D54,Milestones!$AA$128),"dd mmm yy"))&amp;" "&amp;Milestones!$AB$128&amp;" "&amp;Milestones!$AC$128&amp;";  ","")&amp;IF(AND(EDATE($D54,Milestones!$AA$129)&lt;=AsOfDate,IF($R54=0,$X54,IF(AND($T54&lt;&gt;"",EDATE($D54,Milestones!$AA$129)&gt;=$T54),$W54,IF(AND($S54&lt;&gt;"",EDATE($D54,Milestones!$AA$129)&gt;=$S54),$V54,$U54)))=Milestones!$AB$129),UPPER(TEXT(EDATE($D54,Milestones!$AA$129),"dd mmm yy"))&amp;" "&amp;Milestones!$AB$129&amp;" "&amp;Milestones!$AC$129&amp;";  ","")&amp;IF(AND(EDATE($D54,Milestones!$AA$130)&lt;=AsOfDate,IF($R54=0,$X54,IF(AND($T54&lt;&gt;"",EDATE($D54,Milestones!$AA$130)&gt;=$T54),$W54,IF(AND($S54&lt;&gt;"",EDATE($D54,Milestones!$AA$130)&gt;=$S54),$V54,$U54)))=Milestones!$AB$130),UPPER(TEXT(EDATE($D54,Milestones!$AA$130),"dd mmm yy"))&amp;" "&amp;Milestones!$AB$130&amp;" "&amp;Milestones!$AC$130&amp;";  ","")&amp;IF(AND(EDATE($D54,Milestones!$AA$131)&lt;=AsOfDate,IF($R54=0,$X54,IF(AND($T54&lt;&gt;"",EDATE($D54,Milestones!$AA$131)&gt;=$T54),$W54,IF(AND($S54&lt;&gt;"",EDATE($D54,Milestones!$AA$131)&gt;=$S54),$V54,$U54)))=Milestones!$AB$131),UPPER(TEXT(EDATE($D54,Milestones!$AA$131),"dd mmm yy"))&amp;" "&amp;Milestones!$AB$131&amp;" "&amp;Milestones!$AC$131&amp;";  ","")&amp;IF(AND(EDATE($D54,Milestones!$AA$132)&lt;=AsOfDate,IF($R54=0,$X54,IF(AND($T54&lt;&gt;"",EDATE($D54,Milestones!$AA$132)&gt;=$T54),$W54,IF(AND($S54&lt;&gt;"",EDATE($D54,Milestones!$AA$132)&gt;=$S54),$V54,$U54)))=Milestones!$AB$132),UPPER(TEXT(EDATE($D54,Milestones!$AA$132),"dd mmm yy"))&amp;" "&amp;Milestones!$AB$132&amp;" "&amp;Milestones!$AC$132&amp;";  ","")&amp;IF(AND(EDATE($D54,Milestones!$AA$133)&lt;=AsOfDate,IF($R54=0,$X54,IF(AND($T54&lt;&gt;"",EDATE($D54,Milestones!$AA$133)&gt;=$T54),$W54,IF(AND($S54&lt;&gt;"",EDATE($D54,Milestones!$AA$133)&gt;=$S54),$V54,$U54)))=Milestones!$AB$133),UPPER(TEXT(EDATE($D54,Milestones!$AA$133),"dd mmm yy"))&amp;" "&amp;Milestones!$AB$133&amp;" "&amp;Milestones!$AC$133&amp;";  ","")&amp;IF(AND(EDATE($D54,Milestones!$AA$134)&lt;=AsOfDate,IF($R54=0,$X54,IF(AND($T54&lt;&gt;"",EDATE($D54,Milestones!$AA$134)&gt;=$T54),$W54,IF(AND($S54&lt;&gt;"",EDATE($D54,Milestones!$AA$134)&gt;=$S54),$V54,$U54)))=Milestones!$AB$134),UPPER(TEXT(EDATE($D54,Milestones!$AA$134),"dd mmm yy"))&amp;" "&amp;Milestones!$AB$134&amp;" "&amp;Milestones!$AC$134&amp;";  ","")&amp;IF(AND(EDATE($D54,Milestones!$AA$135)&lt;=AsOfDate,IF($R54=0,$X54,IF(AND($T54&lt;&gt;"",EDATE($D54,Milestones!$AA$135)&gt;=$T54),$W54,IF(AND($S54&lt;&gt;"",EDATE($D54,Milestones!$AA$135)&gt;=$S54),$V54,$U54)))=Milestones!$AB$135),UPPER(TEXT(EDATE($D54,Milestones!$AA$135),"dd mmm yy"))&amp;" "&amp;Milestones!$AB$135&amp;" "&amp;Milestones!$AC$135&amp;";  ","")&amp;IF(AND(EDATE($D54,Milestones!$AA$136)&lt;=AsOfDate,IF($R54=0,$X54,IF(AND($T54&lt;&gt;"",EDATE($D54,Milestones!$AA$136)&gt;=$T54),$W54,IF(AND($S54&lt;&gt;"",EDATE($D54,Milestones!$AA$136)&gt;=$S54),$V54,$U54)))=Milestones!$AB$136),UPPER(TEXT(EDATE($D54,Milestones!$AA$136),"dd mmm yy"))&amp;" "&amp;Milestones!$AB$136&amp;" "&amp;Milestones!$AC$136&amp;";  ","")&amp;IF(AND(EDATE($D54,Milestones!$AA$137)&lt;=AsOfDate,IF($R54=0,$X54,IF(AND($T54&lt;&gt;"",EDATE($D54,Milestones!$AA$137)&gt;=$T54),$W54,IF(AND($S54&lt;&gt;"",EDATE($D54,Milestones!$AA$137)&gt;=$S54),$V54,$U54)))=Milestones!$AB$137),UPPER(TEXT(EDATE($D54,Milestones!$AA$137),"dd mmm yy"))&amp;" "&amp;Milestones!$AB$137&amp;" "&amp;Milestones!$AC$137&amp;";  ","")&amp;IF(AND(EDATE($D54,Milestones!$AA$138)&lt;=AsOfDate,IF($R54=0,$X54,IF(AND($T54&lt;&gt;"",EDATE($D54,Milestones!$AA$138)&gt;=$T54),$W54,IF(AND($S54&lt;&gt;"",EDATE($D54,Milestones!$AA$138)&gt;=$S54),$V54,$U54)))=Milestones!$AB$138),UPPER(TEXT(EDATE($D54,Milestones!$AA$138),"dd mmm yy"))&amp;" "&amp;Milestones!$AB$138&amp;" "&amp;Milestones!$AC$138&amp;";  ","")&amp;IF(AND(EDATE($D54,Milestones!$AA$139)&lt;=AsOfDate,IF($R54=0,$X54,IF(AND($T54&lt;&gt;"",EDATE($D54,Milestones!$AA$139)&gt;=$T54),$W54,IF(AND($S54&lt;&gt;"",EDATE($D54,Milestones!$AA$139)&gt;=$S54),$V54,$U54)))=Milestones!$AB$139),UPPER(TEXT(EDATE($D54,Milestones!$AA$139),"dd mmm yy"))&amp;" "&amp;Milestones!$AB$139&amp;" "&amp;Milestones!$AC$139&amp;";  ",""))</f>
        <v/>
      </c>
      <c r="O54" s="0" t="str">
        <f aca="false">IF(OR($A54="",$D54=""),"",IF(AND(EDATE($D54,Milestones!$AA$140)&lt;=AsOfDate,IF($R54=0,$X54,IF(AND($T54&lt;&gt;"",EDATE($D54,Milestones!$AA$140)&gt;=$T54),$W54,IF(AND($S54&lt;&gt;"",EDATE($D54,Milestones!$AA$140)&gt;=$S54),$V54,$U54)))=Milestones!$AB$140),UPPER(TEXT(EDATE($D54,Milestones!$AA$140),"dd mmm yy"))&amp;" "&amp;Milestones!$AB$140&amp;" "&amp;Milestones!$AC$140&amp;";  ","")&amp;IF(AND(EDATE($D54,Milestones!$AA$141)&lt;=AsOfDate,IF($R54=0,$X54,IF(AND($T54&lt;&gt;"",EDATE($D54,Milestones!$AA$141)&gt;=$T54),$W54,IF(AND($S54&lt;&gt;"",EDATE($D54,Milestones!$AA$141)&gt;=$S54),$V54,$U54)))=Milestones!$AB$141),UPPER(TEXT(EDATE($D54,Milestones!$AA$141),"dd mmm yy"))&amp;" "&amp;Milestones!$AB$141&amp;" "&amp;Milestones!$AC$141&amp;";  ","")&amp;IF(AND(EDATE($D54,Milestones!$AA$142)&lt;=AsOfDate,IF($R54=0,$X54,IF(AND($T54&lt;&gt;"",EDATE($D54,Milestones!$AA$142)&gt;=$T54),$W54,IF(AND($S54&lt;&gt;"",EDATE($D54,Milestones!$AA$142)&gt;=$S54),$V54,$U54)))=Milestones!$AB$142),UPPER(TEXT(EDATE($D54,Milestones!$AA$142),"dd mmm yy"))&amp;" "&amp;Milestones!$AB$142&amp;" "&amp;Milestones!$AC$142&amp;";  ","")&amp;IF(AND(EDATE($D54,Milestones!$AA$143)&lt;=AsOfDate,IF($R54=0,$X54,IF(AND($T54&lt;&gt;"",EDATE($D54,Milestones!$AA$143)&gt;=$T54),$W54,IF(AND($S54&lt;&gt;"",EDATE($D54,Milestones!$AA$143)&gt;=$S54),$V54,$U54)))=Milestones!$AB$143),UPPER(TEXT(EDATE($D54,Milestones!$AA$143),"dd mmm yy"))&amp;" "&amp;Milestones!$AB$143&amp;" "&amp;Milestones!$AC$143&amp;";  ","")&amp;IF(AND(EDATE($D54,Milestones!$AA$144)&lt;=AsOfDate,IF($R54=0,$X54,IF(AND($T54&lt;&gt;"",EDATE($D54,Milestones!$AA$144)&gt;=$T54),$W54,IF(AND($S54&lt;&gt;"",EDATE($D54,Milestones!$AA$144)&gt;=$S54),$V54,$U54)))=Milestones!$AB$144),UPPER(TEXT(EDATE($D54,Milestones!$AA$144),"dd mmm yy"))&amp;" "&amp;Milestones!$AB$144&amp;" "&amp;Milestones!$AC$144&amp;";  ","")&amp;IF(AND(EDATE($D54,Milestones!$AA$145)&lt;=AsOfDate,IF($R54=0,$X54,IF(AND($T54&lt;&gt;"",EDATE($D54,Milestones!$AA$145)&gt;=$T54),$W54,IF(AND($S54&lt;&gt;"",EDATE($D54,Milestones!$AA$145)&gt;=$S54),$V54,$U54)))=Milestones!$AB$145),UPPER(TEXT(EDATE($D54,Milestones!$AA$145),"dd mmm yy"))&amp;" "&amp;Milestones!$AB$145&amp;" "&amp;Milestones!$AC$145&amp;";  ","")&amp;IF(AND(EDATE($D54,Milestones!$AA$146)&lt;=AsOfDate,IF($R54=0,$X54,IF(AND($T54&lt;&gt;"",EDATE($D54,Milestones!$AA$146)&gt;=$T54),$W54,IF(AND($S54&lt;&gt;"",EDATE($D54,Milestones!$AA$146)&gt;=$S54),$V54,$U54)))=Milestones!$AB$146),UPPER(TEXT(EDATE($D54,Milestones!$AA$146),"dd mmm yy"))&amp;" "&amp;Milestones!$AB$146&amp;" "&amp;Milestones!$AC$146&amp;";  ","")&amp;IF(AND(EDATE($D54,Milestones!$AA$147)&lt;=AsOfDate,IF($R54=0,$X54,IF(AND($T54&lt;&gt;"",EDATE($D54,Milestones!$AA$147)&gt;=$T54),$W54,IF(AND($S54&lt;&gt;"",EDATE($D54,Milestones!$AA$147)&gt;=$S54),$V54,$U54)))=Milestones!$AB$147),UPPER(TEXT(EDATE($D54,Milestones!$AA$147),"dd mmm yy"))&amp;" "&amp;Milestones!$AB$147&amp;" "&amp;Milestones!$AC$147&amp;";  ","")&amp;IF(AND(EDATE($D54,Milestones!$AA$148)&lt;=AsOfDate,IF($R54=0,$X54,IF(AND($T54&lt;&gt;"",EDATE($D54,Milestones!$AA$148)&gt;=$T54),$W54,IF(AND($S54&lt;&gt;"",EDATE($D54,Milestones!$AA$148)&gt;=$S54),$V54,$U54)))=Milestones!$AB$148),UPPER(TEXT(EDATE($D54,Milestones!$AA$148),"dd mmm yy"))&amp;" "&amp;Milestones!$AB$148&amp;" "&amp;Milestones!$AC$148&amp;";  ","")&amp;IF(AND(EDATE($D54,Milestones!$AA$149)&lt;=AsOfDate,IF($R54=0,$X54,IF(AND($T54&lt;&gt;"",EDATE($D54,Milestones!$AA$149)&gt;=$T54),$W54,IF(AND($S54&lt;&gt;"",EDATE($D54,Milestones!$AA$149)&gt;=$S54),$V54,$U54)))=Milestones!$AB$149),UPPER(TEXT(EDATE($D54,Milestones!$AA$149),"dd mmm yy"))&amp;" "&amp;Milestones!$AB$149&amp;" "&amp;Milestones!$AC$149&amp;";  ","")&amp;IF(AND(EDATE($D54,Milestones!$AA$150)&lt;=AsOfDate,IF($R54=0,$X54,IF(AND($T54&lt;&gt;"",EDATE($D54,Milestones!$AA$150)&gt;=$T54),$W54,IF(AND($S54&lt;&gt;"",EDATE($D54,Milestones!$AA$150)&gt;=$S54),$V54,$U54)))=Milestones!$AB$150),UPPER(TEXT(EDATE($D54,Milestones!$AA$150),"dd mmm yy"))&amp;" "&amp;Milestones!$AB$150&amp;" "&amp;Milestones!$AC$150&amp;";  ","")&amp;IF(AND(EDATE($D54,Milestones!$AA$151)&lt;=AsOfDate,IF($R54=0,$X54,IF(AND($T54&lt;&gt;"",EDATE($D54,Milestones!$AA$151)&gt;=$T54),$W54,IF(AND($S54&lt;&gt;"",EDATE($D54,Milestones!$AA$151)&gt;=$S54),$V54,$U54)))=Milestones!$AB$151),UPPER(TEXT(EDATE($D54,Milestones!$AA$151),"dd mmm yy"))&amp;" "&amp;Milestones!$AB$151&amp;" "&amp;Milestones!$AC$151&amp;";  ","")&amp;IF(AND(EDATE($D54,Milestones!$AA$152)&lt;=AsOfDate,IF($R54=0,$X54,IF(AND($T54&lt;&gt;"",EDATE($D54,Milestones!$AA$152)&gt;=$T54),$W54,IF(AND($S54&lt;&gt;"",EDATE($D54,Milestones!$AA$152)&gt;=$S54),$V54,$U54)))=Milestones!$AB$152),UPPER(TEXT(EDATE($D54,Milestones!$AA$152),"dd mmm yy"))&amp;" "&amp;Milestones!$AB$152&amp;" "&amp;Milestones!$AC$152&amp;";  ","")&amp;IF(AND(EDATE($D54,Milestones!$AA$153)&lt;=AsOfDate,IF($R54=0,$X54,IF(AND($T54&lt;&gt;"",EDATE($D54,Milestones!$AA$153)&gt;=$T54),$W54,IF(AND($S54&lt;&gt;"",EDATE($D54,Milestones!$AA$153)&gt;=$S54),$V54,$U54)))=Milestones!$AB$153),UPPER(TEXT(EDATE($D54,Milestones!$AA$153),"dd mmm yy"))&amp;" "&amp;Milestones!$AB$153&amp;" "&amp;Milestones!$AC$153&amp;";  ","")&amp;IF(AND(EDATE($D54,Milestones!$AA$154)&lt;=AsOfDate,IF($R54=0,$X54,IF(AND($T54&lt;&gt;"",EDATE($D54,Milestones!$AA$154)&gt;=$T54),$W54,IF(AND($S54&lt;&gt;"",EDATE($D54,Milestones!$AA$154)&gt;=$S54),$V54,$U54)))=Milestones!$AB$154),UPPER(TEXT(EDATE($D54,Milestones!$AA$154),"dd mmm yy"))&amp;" "&amp;Milestones!$AB$154&amp;" "&amp;Milestones!$AC$154&amp;";  ","")&amp;IF(AND(EDATE($D54,Milestones!$AA$155)&lt;=AsOfDate,IF($R54=0,$X54,IF(AND($T54&lt;&gt;"",EDATE($D54,Milestones!$AA$155)&gt;=$T54),$W54,IF(AND($S54&lt;&gt;"",EDATE($D54,Milestones!$AA$155)&gt;=$S54),$V54,$U54)))=Milestones!$AB$155),UPPER(TEXT(EDATE($D54,Milestones!$AA$155),"dd mmm yy"))&amp;" "&amp;Milestones!$AB$155&amp;" "&amp;Milestones!$AC$155&amp;";  ","")&amp;IF(AND(EDATE($D54,Milestones!$AA$156)&lt;=AsOfDate,IF($R54=0,$X54,IF(AND($T54&lt;&gt;"",EDATE($D54,Milestones!$AA$156)&gt;=$T54),$W54,IF(AND($S54&lt;&gt;"",EDATE($D54,Milestones!$AA$156)&gt;=$S54),$V54,$U54)))=Milestones!$AB$156),UPPER(TEXT(EDATE($D54,Milestones!$AA$156),"dd mmm yy"))&amp;" "&amp;Milestones!$AB$156&amp;" "&amp;Milestones!$AC$156&amp;";  ","")&amp;IF(AND(EDATE($D54,Milestones!$AA$157)&lt;=AsOfDate,IF($R54=0,$X54,IF(AND($T54&lt;&gt;"",EDATE($D54,Milestones!$AA$157)&gt;=$T54),$W54,IF(AND($S54&lt;&gt;"",EDATE($D54,Milestones!$AA$157)&gt;=$S54),$V54,$U54)))=Milestones!$AB$157),UPPER(TEXT(EDATE($D54,Milestones!$AA$157),"dd mmm yy"))&amp;" "&amp;Milestones!$AB$157&amp;" "&amp;Milestones!$AC$157&amp;";  ","")&amp;IF(AND(EDATE($D54,Milestones!$AA$158)&lt;=AsOfDate,IF($R54=0,$X54,IF(AND($T54&lt;&gt;"",EDATE($D54,Milestones!$AA$158)&gt;=$T54),$W54,IF(AND($S54&lt;&gt;"",EDATE($D54,Milestones!$AA$158)&gt;=$S54),$V54,$U54)))=Milestones!$AB$158),UPPER(TEXT(EDATE($D54,Milestones!$AA$158),"dd mmm yy"))&amp;" "&amp;Milestones!$AB$158&amp;" "&amp;Milestones!$AC$158&amp;";  ","")&amp;IF(AND(EDATE($D54,Milestones!$AA$159)&lt;=AsOfDate,IF($R54=0,$X54,IF(AND($T54&lt;&gt;"",EDATE($D54,Milestones!$AA$159)&gt;=$T54),$W54,IF(AND($S54&lt;&gt;"",EDATE($D54,Milestones!$AA$159)&gt;=$S54),$V54,$U54)))=Milestones!$AB$159),UPPER(TEXT(EDATE($D54,Milestones!$AA$159),"dd mmm yy"))&amp;" "&amp;Milestones!$AB$159&amp;" "&amp;Milestones!$AC$159&amp;";  ",""))</f>
        <v/>
      </c>
      <c r="P54" s="0" t="str">
        <f aca="false">IF(OR($A54="",$D54=""),"",IF(AND(EDATE($D54,Milestones!$AA$160)&lt;=AsOfDate,IF($R54=0,$X54,IF(AND($T54&lt;&gt;"",EDATE($D54,Milestones!$AA$160)&gt;=$T54),$W54,IF(AND($S54&lt;&gt;"",EDATE($D54,Milestones!$AA$160)&gt;=$S54),$V54,$U54)))=Milestones!$AB$160),UPPER(TEXT(EDATE($D54,Milestones!$AA$160),"dd mmm yy"))&amp;" "&amp;Milestones!$AB$160&amp;" "&amp;Milestones!$AC$160&amp;";  ","")&amp;IF(AND(EDATE($D54,Milestones!$AA$161)&lt;=AsOfDate,IF($R54=0,$X54,IF(AND($T54&lt;&gt;"",EDATE($D54,Milestones!$AA$161)&gt;=$T54),$W54,IF(AND($S54&lt;&gt;"",EDATE($D54,Milestones!$AA$161)&gt;=$S54),$V54,$U54)))=Milestones!$AB$161),UPPER(TEXT(EDATE($D54,Milestones!$AA$161),"dd mmm yy"))&amp;" "&amp;Milestones!$AB$161&amp;" "&amp;Milestones!$AC$161&amp;";  ","")&amp;IF(AND(EDATE($D54,Milestones!$AA$162)&lt;=AsOfDate,IF($R54=0,$X54,IF(AND($T54&lt;&gt;"",EDATE($D54,Milestones!$AA$162)&gt;=$T54),$W54,IF(AND($S54&lt;&gt;"",EDATE($D54,Milestones!$AA$162)&gt;=$S54),$V54,$U54)))=Milestones!$AB$162),UPPER(TEXT(EDATE($D54,Milestones!$AA$162),"dd mmm yy"))&amp;" "&amp;Milestones!$AB$162&amp;" "&amp;Milestones!$AC$162&amp;";  ","")&amp;IF(AND(EDATE($D54,Milestones!$AA$163)&lt;=AsOfDate,IF($R54=0,$X54,IF(AND($T54&lt;&gt;"",EDATE($D54,Milestones!$AA$163)&gt;=$T54),$W54,IF(AND($S54&lt;&gt;"",EDATE($D54,Milestones!$AA$163)&gt;=$S54),$V54,$U54)))=Milestones!$AB$163),UPPER(TEXT(EDATE($D54,Milestones!$AA$163),"dd mmm yy"))&amp;" "&amp;Milestones!$AB$163&amp;" "&amp;Milestones!$AC$163&amp;";  ","")&amp;IF(AND(EDATE($D54,Milestones!$AA$164)&lt;=AsOfDate,IF($R54=0,$X54,IF(AND($T54&lt;&gt;"",EDATE($D54,Milestones!$AA$164)&gt;=$T54),$W54,IF(AND($S54&lt;&gt;"",EDATE($D54,Milestones!$AA$164)&gt;=$S54),$V54,$U54)))=Milestones!$AB$164),UPPER(TEXT(EDATE($D54,Milestones!$AA$164),"dd mmm yy"))&amp;" "&amp;Milestones!$AB$164&amp;" "&amp;Milestones!$AC$164&amp;";  ","")&amp;IF(AND(EDATE($D54,Milestones!$AA$165)&lt;=AsOfDate,IF($R54=0,$X54,IF(AND($T54&lt;&gt;"",EDATE($D54,Milestones!$AA$165)&gt;=$T54),$W54,IF(AND($S54&lt;&gt;"",EDATE($D54,Milestones!$AA$165)&gt;=$S54),$V54,$U54)))=Milestones!$AB$165),UPPER(TEXT(EDATE($D54,Milestones!$AA$165),"dd mmm yy"))&amp;" "&amp;Milestones!$AB$165&amp;" "&amp;Milestones!$AC$165&amp;";  ","")&amp;IF(AND(EDATE($D54,Milestones!$AA$166)&lt;=AsOfDate,IF($R54=0,$X54,IF(AND($T54&lt;&gt;"",EDATE($D54,Milestones!$AA$166)&gt;=$T54),$W54,IF(AND($S54&lt;&gt;"",EDATE($D54,Milestones!$AA$166)&gt;=$S54),$V54,$U54)))=Milestones!$AB$166),UPPER(TEXT(EDATE($D54,Milestones!$AA$166),"dd mmm yy"))&amp;" "&amp;Milestones!$AB$166&amp;" "&amp;Milestones!$AC$166&amp;";  ","")&amp;IF(AND(EDATE($D54,Milestones!$AA$167)&lt;=AsOfDate,IF($R54=0,$X54,IF(AND($T54&lt;&gt;"",EDATE($D54,Milestones!$AA$167)&gt;=$T54),$W54,IF(AND($S54&lt;&gt;"",EDATE($D54,Milestones!$AA$167)&gt;=$S54),$V54,$U54)))=Milestones!$AB$167),UPPER(TEXT(EDATE($D54,Milestones!$AA$167),"dd mmm yy"))&amp;" "&amp;Milestones!$AB$167&amp;" "&amp;Milestones!$AC$167&amp;";  ","")&amp;IF(AND(EDATE($D54,Milestones!$AA$168)&lt;=AsOfDate,IF($R54=0,$X54,IF(AND($T54&lt;&gt;"",EDATE($D54,Milestones!$AA$168)&gt;=$T54),$W54,IF(AND($S54&lt;&gt;"",EDATE($D54,Milestones!$AA$168)&gt;=$S54),$V54,$U54)))=Milestones!$AB$168),UPPER(TEXT(EDATE($D54,Milestones!$AA$168),"dd mmm yy"))&amp;" "&amp;Milestones!$AB$168&amp;" "&amp;Milestones!$AC$168&amp;";  ","")&amp;IF(AND(EDATE($D54,Milestones!$AA$169)&lt;=AsOfDate,IF($R54=0,$X54,IF(AND($T54&lt;&gt;"",EDATE($D54,Milestones!$AA$169)&gt;=$T54),$W54,IF(AND($S54&lt;&gt;"",EDATE($D54,Milestones!$AA$169)&gt;=$S54),$V54,$U54)))=Milestones!$AB$169),UPPER(TEXT(EDATE($D54,Milestones!$AA$169),"dd mmm yy"))&amp;" "&amp;Milestones!$AB$169&amp;" "&amp;Milestones!$AC$169&amp;";  ","")&amp;IF(AND(EDATE($D54,Milestones!$AA$170)&lt;=AsOfDate,IF($R54=0,$X54,IF(AND($T54&lt;&gt;"",EDATE($D54,Milestones!$AA$170)&gt;=$T54),$W54,IF(AND($S54&lt;&gt;"",EDATE($D54,Milestones!$AA$170)&gt;=$S54),$V54,$U54)))=Milestones!$AB$170),UPPER(TEXT(EDATE($D54,Milestones!$AA$170),"dd mmm yy"))&amp;" "&amp;Milestones!$AB$170&amp;" "&amp;Milestones!$AC$170&amp;";  ","")&amp;IF(AND(EDATE($D54,Milestones!$AA$171)&lt;=AsOfDate,IF($R54=0,$X54,IF(AND($T54&lt;&gt;"",EDATE($D54,Milestones!$AA$171)&gt;=$T54),$W54,IF(AND($S54&lt;&gt;"",EDATE($D54,Milestones!$AA$171)&gt;=$S54),$V54,$U54)))=Milestones!$AB$171),UPPER(TEXT(EDATE($D54,Milestones!$AA$171),"dd mmm yy"))&amp;" "&amp;Milestones!$AB$171&amp;" "&amp;Milestones!$AC$171&amp;";  ","")&amp;IF(AND(EDATE($D54,Milestones!$AA$172)&lt;=AsOfDate,IF($R54=0,$X54,IF(AND($T54&lt;&gt;"",EDATE($D54,Milestones!$AA$172)&gt;=$T54),$W54,IF(AND($S54&lt;&gt;"",EDATE($D54,Milestones!$AA$172)&gt;=$S54),$V54,$U54)))=Milestones!$AB$172),UPPER(TEXT(EDATE($D54,Milestones!$AA$172),"dd mmm yy"))&amp;" "&amp;Milestones!$AB$172&amp;" "&amp;Milestones!$AC$172&amp;";  ","")&amp;IF(AND(EDATE($D54,Milestones!$AA$173)&lt;=AsOfDate,IF($R54=0,$X54,IF(AND($T54&lt;&gt;"",EDATE($D54,Milestones!$AA$173)&gt;=$T54),$W54,IF(AND($S54&lt;&gt;"",EDATE($D54,Milestones!$AA$173)&gt;=$S54),$V54,$U54)))=Milestones!$AB$173),UPPER(TEXT(EDATE($D54,Milestones!$AA$173),"dd mmm yy"))&amp;" "&amp;Milestones!$AB$173&amp;" "&amp;Milestones!$AC$173&amp;";  ","")&amp;IF(AND(EDATE($D54,Milestones!$AA$174)&lt;=AsOfDate,IF($R54=0,$X54,IF(AND($T54&lt;&gt;"",EDATE($D54,Milestones!$AA$174)&gt;=$T54),$W54,IF(AND($S54&lt;&gt;"",EDATE($D54,Milestones!$AA$174)&gt;=$S54),$V54,$U54)))=Milestones!$AB$174),UPPER(TEXT(EDATE($D54,Milestones!$AA$174),"dd mmm yy"))&amp;" "&amp;Milestones!$AB$174&amp;" "&amp;Milestones!$AC$174&amp;";  ","")&amp;IF(AND(EDATE($D54,Milestones!$AA$175)&lt;=AsOfDate,IF($R54=0,$X54,IF(AND($T54&lt;&gt;"",EDATE($D54,Milestones!$AA$175)&gt;=$T54),$W54,IF(AND($S54&lt;&gt;"",EDATE($D54,Milestones!$AA$175)&gt;=$S54),$V54,$U54)))=Milestones!$AB$175),UPPER(TEXT(EDATE($D54,Milestones!$AA$175),"dd mmm yy"))&amp;" "&amp;Milestones!$AB$175&amp;" "&amp;Milestones!$AC$175&amp;";  ","")&amp;IF(AND(EDATE($D54,Milestones!$AA$176)&lt;=AsOfDate,IF($R54=0,$X54,IF(AND($T54&lt;&gt;"",EDATE($D54,Milestones!$AA$176)&gt;=$T54),$W54,IF(AND($S54&lt;&gt;"",EDATE($D54,Milestones!$AA$176)&gt;=$S54),$V54,$U54)))=Milestones!$AB$176),UPPER(TEXT(EDATE($D54,Milestones!$AA$176),"dd mmm yy"))&amp;" "&amp;Milestones!$AB$176&amp;" "&amp;Milestones!$AC$176&amp;";  ","")&amp;IF(AND(EDATE($D54,Milestones!$AA$177)&lt;=AsOfDate,IF($R54=0,$X54,IF(AND($T54&lt;&gt;"",EDATE($D54,Milestones!$AA$177)&gt;=$T54),$W54,IF(AND($S54&lt;&gt;"",EDATE($D54,Milestones!$AA$177)&gt;=$S54),$V54,$U54)))=Milestones!$AB$177),UPPER(TEXT(EDATE($D54,Milestones!$AA$177),"dd mmm yy"))&amp;" "&amp;Milestones!$AB$177&amp;" "&amp;Milestones!$AC$177&amp;";  ","")&amp;IF(AND(EDATE($D54,Milestones!$AA$178)&lt;=AsOfDate,IF($R54=0,$X54,IF(AND($T54&lt;&gt;"",EDATE($D54,Milestones!$AA$178)&gt;=$T54),$W54,IF(AND($S54&lt;&gt;"",EDATE($D54,Milestones!$AA$178)&gt;=$S54),$V54,$U54)))=Milestones!$AB$178),UPPER(TEXT(EDATE($D54,Milestones!$AA$178),"dd mmm yy"))&amp;" "&amp;Milestones!$AB$178&amp;" "&amp;Milestones!$AC$178&amp;";  ","")&amp;IF(AND(EDATE($D54,Milestones!$AA$179)&lt;=AsOfDate,IF($R54=0,$X54,IF(AND($T54&lt;&gt;"",EDATE($D54,Milestones!$AA$179)&gt;=$T54),$W54,IF(AND($S54&lt;&gt;"",EDATE($D54,Milestones!$AA$179)&gt;=$S54),$V54,$U54)))=Milestones!$AB$179),UPPER(TEXT(EDATE($D54,Milestones!$AA$179),"dd mmm yy"))&amp;" "&amp;Milestones!$AB$179&amp;" "&amp;Milestones!$AC$179&amp;";  ",""))</f>
        <v/>
      </c>
      <c r="Q54" s="0" t="str">
        <f aca="false">IF(OR($A54="",$D54=""),"",IF(AND(EDATE($D54,Milestones!$AA$180)&lt;=AsOfDate,IF($R54=0,$X54,IF(AND($T54&lt;&gt;"",EDATE($D54,Milestones!$AA$180)&gt;=$T54),$W54,IF(AND($S54&lt;&gt;"",EDATE($D54,Milestones!$AA$180)&gt;=$S54),$V54,$U54)))=Milestones!$AB$180),UPPER(TEXT(EDATE($D54,Milestones!$AA$180),"dd mmm yy"))&amp;" "&amp;Milestones!$AB$180&amp;" "&amp;Milestones!$AC$180&amp;";  ","")&amp;IF(AND(EDATE($D54,Milestones!$AA$181)&lt;=AsOfDate,IF($R54=0,$X54,IF(AND($T54&lt;&gt;"",EDATE($D54,Milestones!$AA$181)&gt;=$T54),$W54,IF(AND($S54&lt;&gt;"",EDATE($D54,Milestones!$AA$181)&gt;=$S54),$V54,$U54)))=Milestones!$AB$181),UPPER(TEXT(EDATE($D54,Milestones!$AA$181),"dd mmm yy"))&amp;" "&amp;Milestones!$AB$181&amp;" "&amp;Milestones!$AC$181&amp;";  ","")&amp;IF(AND(EDATE($D54,Milestones!$AA$182)&lt;=AsOfDate,IF($R54=0,$X54,IF(AND($T54&lt;&gt;"",EDATE($D54,Milestones!$AA$182)&gt;=$T54),$W54,IF(AND($S54&lt;&gt;"",EDATE($D54,Milestones!$AA$182)&gt;=$S54),$V54,$U54)))=Milestones!$AB$182),UPPER(TEXT(EDATE($D54,Milestones!$AA$182),"dd mmm yy"))&amp;" "&amp;Milestones!$AB$182&amp;" "&amp;Milestones!$AC$182&amp;";  ","")&amp;IF(AND(EDATE($D54,Milestones!$AA$183)&lt;=AsOfDate,IF($R54=0,$X54,IF(AND($T54&lt;&gt;"",EDATE($D54,Milestones!$AA$183)&gt;=$T54),$W54,IF(AND($S54&lt;&gt;"",EDATE($D54,Milestones!$AA$183)&gt;=$S54),$V54,$U54)))=Milestones!$AB$183),UPPER(TEXT(EDATE($D54,Milestones!$AA$183),"dd mmm yy"))&amp;" "&amp;Milestones!$AB$183&amp;" "&amp;Milestones!$AC$183&amp;";  ","")&amp;IF(AND(EDATE($D54,Milestones!$AA$184)&lt;=AsOfDate,IF($R54=0,$X54,IF(AND($T54&lt;&gt;"",EDATE($D54,Milestones!$AA$184)&gt;=$T54),$W54,IF(AND($S54&lt;&gt;"",EDATE($D54,Milestones!$AA$184)&gt;=$S54),$V54,$U54)))=Milestones!$AB$184),UPPER(TEXT(EDATE($D54,Milestones!$AA$184),"dd mmm yy"))&amp;" "&amp;Milestones!$AB$184&amp;" "&amp;Milestones!$AC$184&amp;";  ","")&amp;IF(AND(EDATE($D54,Milestones!$AA$185)&lt;=AsOfDate,IF($R54=0,$X54,IF(AND($T54&lt;&gt;"",EDATE($D54,Milestones!$AA$185)&gt;=$T54),$W54,IF(AND($S54&lt;&gt;"",EDATE($D54,Milestones!$AA$185)&gt;=$S54),$V54,$U54)))=Milestones!$AB$185),UPPER(TEXT(EDATE($D54,Milestones!$AA$185),"dd mmm yy"))&amp;" "&amp;Milestones!$AB$185&amp;" "&amp;Milestones!$AC$185&amp;";  ","")&amp;IF(AND(EDATE($D54,Milestones!$AA$186)&lt;=AsOfDate,IF($R54=0,$X54,IF(AND($T54&lt;&gt;"",EDATE($D54,Milestones!$AA$186)&gt;=$T54),$W54,IF(AND($S54&lt;&gt;"",EDATE($D54,Milestones!$AA$186)&gt;=$S54),$V54,$U54)))=Milestones!$AB$186),UPPER(TEXT(EDATE($D54,Milestones!$AA$186),"dd mmm yy"))&amp;" "&amp;Milestones!$AB$186&amp;" "&amp;Milestones!$AC$186&amp;";  ","")&amp;IF(AND(EDATE($D54,Milestones!$AA$187)&lt;=AsOfDate,IF($R54=0,$X54,IF(AND($T54&lt;&gt;"",EDATE($D54,Milestones!$AA$187)&gt;=$T54),$W54,IF(AND($S54&lt;&gt;"",EDATE($D54,Milestones!$AA$187)&gt;=$S54),$V54,$U54)))=Milestones!$AB$187),UPPER(TEXT(EDATE($D54,Milestones!$AA$187),"dd mmm yy"))&amp;" "&amp;Milestones!$AB$187&amp;" "&amp;Milestones!$AC$187&amp;";  ","")&amp;IF(AND(EDATE($D54,Milestones!$AA$188)&lt;=AsOfDate,IF($R54=0,$X54,IF(AND($T54&lt;&gt;"",EDATE($D54,Milestones!$AA$188)&gt;=$T54),$W54,IF(AND($S54&lt;&gt;"",EDATE($D54,Milestones!$AA$188)&gt;=$S54),$V54,$U54)))=Milestones!$AB$188),UPPER(TEXT(EDATE($D54,Milestones!$AA$188),"dd mmm yy"))&amp;" "&amp;Milestones!$AB$188&amp;" "&amp;Milestones!$AC$188&amp;";  ","")&amp;IF(AND(EDATE($D54,Milestones!$AA$189)&lt;=AsOfDate,IF($R54=0,$X54,IF(AND($T54&lt;&gt;"",EDATE($D54,Milestones!$AA$189)&gt;=$T54),$W54,IF(AND($S54&lt;&gt;"",EDATE($D54,Milestones!$AA$189)&gt;=$S54),$V54,$U54)))=Milestones!$AB$189),UPPER(TEXT(EDATE($D54,Milestones!$AA$189),"dd mmm yy"))&amp;" "&amp;Milestones!$AB$189&amp;" "&amp;Milestones!$AC$189&amp;";  ","")&amp;IF(AND(EDATE($D54,Milestones!$AA$190)&lt;=AsOfDate,IF($R54=0,$X54,IF(AND($T54&lt;&gt;"",EDATE($D54,Milestones!$AA$190)&gt;=$T54),$W54,IF(AND($S54&lt;&gt;"",EDATE($D54,Milestones!$AA$190)&gt;=$S54),$V54,$U54)))=Milestones!$AB$190),UPPER(TEXT(EDATE($D54,Milestones!$AA$190),"dd mmm yy"))&amp;" "&amp;Milestones!$AB$190&amp;" "&amp;Milestones!$AC$190&amp;";  ","")&amp;IF(AND(EDATE($D54,Milestones!$AA$191)&lt;=AsOfDate,IF($R54=0,$X54,IF(AND($T54&lt;&gt;"",EDATE($D54,Milestones!$AA$191)&gt;=$T54),$W54,IF(AND($S54&lt;&gt;"",EDATE($D54,Milestones!$AA$191)&gt;=$S54),$V54,$U54)))=Milestones!$AB$191),UPPER(TEXT(EDATE($D54,Milestones!$AA$191),"dd mmm yy"))&amp;" "&amp;Milestones!$AB$191&amp;" "&amp;Milestones!$AC$191&amp;";  ","")&amp;IF(AND(EDATE($D54,Milestones!$AA$192)&lt;=AsOfDate,IF($R54=0,$X54,IF(AND($T54&lt;&gt;"",EDATE($D54,Milestones!$AA$192)&gt;=$T54),$W54,IF(AND($S54&lt;&gt;"",EDATE($D54,Milestones!$AA$192)&gt;=$S54),$V54,$U54)))=Milestones!$AB$192),UPPER(TEXT(EDATE($D54,Milestones!$AA$192),"dd mmm yy"))&amp;" "&amp;Milestones!$AB$192&amp;" "&amp;Milestones!$AC$192&amp;";  ","")&amp;IF(AND(EDATE($D54,Milestones!$AA$193)&lt;=AsOfDate,IF($R54=0,$X54,IF(AND($T54&lt;&gt;"",EDATE($D54,Milestones!$AA$193)&gt;=$T54),$W54,IF(AND($S54&lt;&gt;"",EDATE($D54,Milestones!$AA$193)&gt;=$S54),$V54,$U54)))=Milestones!$AB$193),UPPER(TEXT(EDATE($D54,Milestones!$AA$193),"dd mmm yy"))&amp;" "&amp;Milestones!$AB$193&amp;" "&amp;Milestones!$AC$193&amp;";  ","")&amp;IF(AND(EDATE($D54,Milestones!$AA$194)&lt;=AsOfDate,IF($R54=0,$X54,IF(AND($T54&lt;&gt;"",EDATE($D54,Milestones!$AA$194)&gt;=$T54),$W54,IF(AND($S54&lt;&gt;"",EDATE($D54,Milestones!$AA$194)&gt;=$S54),$V54,$U54)))=Milestones!$AB$194),UPPER(TEXT(EDATE($D54,Milestones!$AA$194),"dd mmm yy"))&amp;" "&amp;Milestones!$AB$194&amp;" "&amp;Milestones!$AC$194&amp;";  ","")&amp;IF(AND(EDATE($D54,Milestones!$AA$195)&lt;=AsOfDate,IF($R54=0,$X54,IF(AND($T54&lt;&gt;"",EDATE($D54,Milestones!$AA$195)&gt;=$T54),$W54,IF(AND($S54&lt;&gt;"",EDATE($D54,Milestones!$AA$195)&gt;=$S54),$V54,$U54)))=Milestones!$AB$195),UPPER(TEXT(EDATE($D54,Milestones!$AA$195),"dd mmm yy"))&amp;" "&amp;Milestones!$AB$195&amp;" "&amp;Milestones!$AC$195&amp;";  ","")&amp;IF(AND(EDATE($D54,Milestones!$AA$196)&lt;=AsOfDate,IF($R54=0,$X54,IF(AND($T54&lt;&gt;"",EDATE($D54,Milestones!$AA$196)&gt;=$T54),$W54,IF(AND($S54&lt;&gt;"",EDATE($D54,Milestones!$AA$196)&gt;=$S54),$V54,$U54)))=Milestones!$AB$196),UPPER(TEXT(EDATE($D54,Milestones!$AA$196),"dd mmm yy"))&amp;" "&amp;Milestones!$AB$196&amp;" "&amp;Milestones!$AC$196&amp;";  ","")&amp;IF(AND(EDATE($D54,Milestones!$AA$197)&lt;=AsOfDate,IF($R54=0,$X54,IF(AND($T54&lt;&gt;"",EDATE($D54,Milestones!$AA$197)&gt;=$T54),$W54,IF(AND($S54&lt;&gt;"",EDATE($D54,Milestones!$AA$197)&gt;=$S54),$V54,$U54)))=Milestones!$AB$197),UPPER(TEXT(EDATE($D54,Milestones!$AA$197),"dd mmm yy"))&amp;" "&amp;Milestones!$AB$197&amp;" "&amp;Milestones!$AC$197&amp;";  ","")&amp;IF(AND(EDATE($D54,Milestones!$AA$198)&lt;=AsOfDate,IF($R54=0,$X54,IF(AND($T54&lt;&gt;"",EDATE($D54,Milestones!$AA$198)&gt;=$T54),$W54,IF(AND($S54&lt;&gt;"",EDATE($D54,Milestones!$AA$198)&gt;=$S54),$V54,$U54)))=Milestones!$AB$198),UPPER(TEXT(EDATE($D54,Milestones!$AA$198),"dd mmm yy"))&amp;" "&amp;Milestones!$AB$198&amp;" "&amp;Milestones!$AC$198&amp;";  ","")&amp;IF(AND(EDATE($D54,Milestones!$AA$199)&lt;=AsOfDate,IF($R54=0,$X54,IF(AND($T54&lt;&gt;"",EDATE($D54,Milestones!$AA$199)&gt;=$T54),$W54,IF(AND($S54&lt;&gt;"",EDATE($D54,Milestones!$AA$199)&gt;=$S54),$V54,$U54)))=Milestones!$AB$199),UPPER(TEXT(EDATE($D54,Milestones!$AA$199),"dd mmm yy"))&amp;" "&amp;Milestones!$AB$199&amp;" "&amp;Milestones!$AC$199&amp;";  ",""))</f>
        <v/>
      </c>
      <c r="R54" s="0" t="str">
        <f aca="false">IF(Staff!$A54="","",Staff!$AI54)</f>
        <v/>
      </c>
      <c r="S54" s="0" t="str">
        <f aca="false">IF(Staff!$A54="","",Staff!$AK54)</f>
        <v/>
      </c>
      <c r="T54" s="0" t="str">
        <f aca="false">IF(Staff!$A54="","",Staff!$AL54)</f>
        <v/>
      </c>
      <c r="U54" s="0" t="str">
        <f aca="false">IF(Staff!$A54="","",Staff!$AP54)</f>
        <v/>
      </c>
      <c r="V54" s="0" t="str">
        <f aca="false">IF(Staff!$A54="","",Staff!$AQ54)</f>
        <v/>
      </c>
      <c r="W54" s="0" t="str">
        <f aca="false">IF(Staff!$A54="","",Staff!$AR54)</f>
        <v/>
      </c>
      <c r="X54" s="0" t="str">
        <f aca="false">IF(Staff!$A54="","",Staff!$AS54)</f>
        <v/>
      </c>
    </row>
    <row r="55" customFormat="false" ht="15" hidden="false" customHeight="false" outlineLevel="0" collapsed="false">
      <c r="A55" s="14" t="str">
        <f aca="false">IF(Staff!$A55="","",Staff!$A55)</f>
        <v/>
      </c>
      <c r="B55" s="14" t="str">
        <f aca="false">IF(Staff!$A55="","",Staff!$B55)</f>
        <v/>
      </c>
      <c r="C55" s="14" t="str">
        <f aca="false">IF(Staff!$A55="","",Staff!$C55)</f>
        <v/>
      </c>
      <c r="D55" s="12" t="str">
        <f aca="false">IF(Staff!$A55="","",Staff!$AH55)</f>
        <v/>
      </c>
      <c r="E55" s="14" t="str">
        <f aca="false">IF(Staff!$A55="","",Staff!$O55)</f>
        <v/>
      </c>
      <c r="F55" s="14" t="str">
        <f aca="false">IF(E55="","",E55*HoursPerDay)</f>
        <v/>
      </c>
      <c r="G55" s="14" t="str">
        <f aca="false">IF(Staff!$A55="","",Staff!$AE55)</f>
        <v/>
      </c>
      <c r="H55" s="26" t="str">
        <f aca="false">IF($A55="","",I55&amp;J55&amp;K55&amp;L55&amp;M55&amp;N55&amp;O55&amp;P55&amp;Q55)</f>
        <v/>
      </c>
      <c r="I55" s="0" t="str">
        <f aca="false">IF(OR($A55="",$D55=""),"",IF(AND(EDATE($D55,Milestones!$AA$20)&lt;=AsOfDate,IF($R55=0,$X55,IF(AND($T55&lt;&gt;"",EDATE($D55,Milestones!$AA$20)&gt;=$T55),$W55,IF(AND($S55&lt;&gt;"",EDATE($D55,Milestones!$AA$20)&gt;=$S55),$V55,$U55)))=Milestones!$AB$20),UPPER(TEXT(EDATE($D55,Milestones!$AA$20),"dd mmm yy"))&amp;" "&amp;Milestones!$AB$20&amp;" "&amp;Milestones!$AC$20&amp;";  ","")&amp;IF(AND(EDATE($D55,Milestones!$AA$21)&lt;=AsOfDate,IF($R55=0,$X55,IF(AND($T55&lt;&gt;"",EDATE($D55,Milestones!$AA$21)&gt;=$T55),$W55,IF(AND($S55&lt;&gt;"",EDATE($D55,Milestones!$AA$21)&gt;=$S55),$V55,$U55)))=Milestones!$AB$21),UPPER(TEXT(EDATE($D55,Milestones!$AA$21),"dd mmm yy"))&amp;" "&amp;Milestones!$AB$21&amp;" "&amp;Milestones!$AC$21&amp;";  ","")&amp;IF(AND(EDATE($D55,Milestones!$AA$22)&lt;=AsOfDate,IF($R55=0,$X55,IF(AND($T55&lt;&gt;"",EDATE($D55,Milestones!$AA$22)&gt;=$T55),$W55,IF(AND($S55&lt;&gt;"",EDATE($D55,Milestones!$AA$22)&gt;=$S55),$V55,$U55)))=Milestones!$AB$22),UPPER(TEXT(EDATE($D55,Milestones!$AA$22),"dd mmm yy"))&amp;" "&amp;Milestones!$AB$22&amp;" "&amp;Milestones!$AC$22&amp;";  ","")&amp;IF(AND(EDATE($D55,Milestones!$AA$23)&lt;=AsOfDate,IF($R55=0,$X55,IF(AND($T55&lt;&gt;"",EDATE($D55,Milestones!$AA$23)&gt;=$T55),$W55,IF(AND($S55&lt;&gt;"",EDATE($D55,Milestones!$AA$23)&gt;=$S55),$V55,$U55)))=Milestones!$AB$23),UPPER(TEXT(EDATE($D55,Milestones!$AA$23),"dd mmm yy"))&amp;" "&amp;Milestones!$AB$23&amp;" "&amp;Milestones!$AC$23&amp;";  ","")&amp;IF(AND(EDATE($D55,Milestones!$AA$24)&lt;=AsOfDate,IF($R55=0,$X55,IF(AND($T55&lt;&gt;"",EDATE($D55,Milestones!$AA$24)&gt;=$T55),$W55,IF(AND($S55&lt;&gt;"",EDATE($D55,Milestones!$AA$24)&gt;=$S55),$V55,$U55)))=Milestones!$AB$24),UPPER(TEXT(EDATE($D55,Milestones!$AA$24),"dd mmm yy"))&amp;" "&amp;Milestones!$AB$24&amp;" "&amp;Milestones!$AC$24&amp;";  ","")&amp;IF(AND(EDATE($D55,Milestones!$AA$25)&lt;=AsOfDate,IF($R55=0,$X55,IF(AND($T55&lt;&gt;"",EDATE($D55,Milestones!$AA$25)&gt;=$T55),$W55,IF(AND($S55&lt;&gt;"",EDATE($D55,Milestones!$AA$25)&gt;=$S55),$V55,$U55)))=Milestones!$AB$25),UPPER(TEXT(EDATE($D55,Milestones!$AA$25),"dd mmm yy"))&amp;" "&amp;Milestones!$AB$25&amp;" "&amp;Milestones!$AC$25&amp;";  ","")&amp;IF(AND(EDATE($D55,Milestones!$AA$26)&lt;=AsOfDate,IF($R55=0,$X55,IF(AND($T55&lt;&gt;"",EDATE($D55,Milestones!$AA$26)&gt;=$T55),$W55,IF(AND($S55&lt;&gt;"",EDATE($D55,Milestones!$AA$26)&gt;=$S55),$V55,$U55)))=Milestones!$AB$26),UPPER(TEXT(EDATE($D55,Milestones!$AA$26),"dd mmm yy"))&amp;" "&amp;Milestones!$AB$26&amp;" "&amp;Milestones!$AC$26&amp;";  ","")&amp;IF(AND(EDATE($D55,Milestones!$AA$27)&lt;=AsOfDate,IF($R55=0,$X55,IF(AND($T55&lt;&gt;"",EDATE($D55,Milestones!$AA$27)&gt;=$T55),$W55,IF(AND($S55&lt;&gt;"",EDATE($D55,Milestones!$AA$27)&gt;=$S55),$V55,$U55)))=Milestones!$AB$27),UPPER(TEXT(EDATE($D55,Milestones!$AA$27),"dd mmm yy"))&amp;" "&amp;Milestones!$AB$27&amp;" "&amp;Milestones!$AC$27&amp;";  ","")&amp;IF(AND(EDATE($D55,Milestones!$AA$28)&lt;=AsOfDate,IF($R55=0,$X55,IF(AND($T55&lt;&gt;"",EDATE($D55,Milestones!$AA$28)&gt;=$T55),$W55,IF(AND($S55&lt;&gt;"",EDATE($D55,Milestones!$AA$28)&gt;=$S55),$V55,$U55)))=Milestones!$AB$28),UPPER(TEXT(EDATE($D55,Milestones!$AA$28),"dd mmm yy"))&amp;" "&amp;Milestones!$AB$28&amp;" "&amp;Milestones!$AC$28&amp;";  ","")&amp;IF(AND(EDATE($D55,Milestones!$AA$29)&lt;=AsOfDate,IF($R55=0,$X55,IF(AND($T55&lt;&gt;"",EDATE($D55,Milestones!$AA$29)&gt;=$T55),$W55,IF(AND($S55&lt;&gt;"",EDATE($D55,Milestones!$AA$29)&gt;=$S55),$V55,$U55)))=Milestones!$AB$29),UPPER(TEXT(EDATE($D55,Milestones!$AA$29),"dd mmm yy"))&amp;" "&amp;Milestones!$AB$29&amp;" "&amp;Milestones!$AC$29&amp;";  ","")&amp;IF(AND(EDATE($D55,Milestones!$AA$30)&lt;=AsOfDate,IF($R55=0,$X55,IF(AND($T55&lt;&gt;"",EDATE($D55,Milestones!$AA$30)&gt;=$T55),$W55,IF(AND($S55&lt;&gt;"",EDATE($D55,Milestones!$AA$30)&gt;=$S55),$V55,$U55)))=Milestones!$AB$30),UPPER(TEXT(EDATE($D55,Milestones!$AA$30),"dd mmm yy"))&amp;" "&amp;Milestones!$AB$30&amp;" "&amp;Milestones!$AC$30&amp;";  ","")&amp;IF(AND(EDATE($D55,Milestones!$AA$31)&lt;=AsOfDate,IF($R55=0,$X55,IF(AND($T55&lt;&gt;"",EDATE($D55,Milestones!$AA$31)&gt;=$T55),$W55,IF(AND($S55&lt;&gt;"",EDATE($D55,Milestones!$AA$31)&gt;=$S55),$V55,$U55)))=Milestones!$AB$31),UPPER(TEXT(EDATE($D55,Milestones!$AA$31),"dd mmm yy"))&amp;" "&amp;Milestones!$AB$31&amp;" "&amp;Milestones!$AC$31&amp;";  ","")&amp;IF(AND(EDATE($D55,Milestones!$AA$32)&lt;=AsOfDate,IF($R55=0,$X55,IF(AND($T55&lt;&gt;"",EDATE($D55,Milestones!$AA$32)&gt;=$T55),$W55,IF(AND($S55&lt;&gt;"",EDATE($D55,Milestones!$AA$32)&gt;=$S55),$V55,$U55)))=Milestones!$AB$32),UPPER(TEXT(EDATE($D55,Milestones!$AA$32),"dd mmm yy"))&amp;" "&amp;Milestones!$AB$32&amp;" "&amp;Milestones!$AC$32&amp;";  ","")&amp;IF(AND(EDATE($D55,Milestones!$AA$33)&lt;=AsOfDate,IF($R55=0,$X55,IF(AND($T55&lt;&gt;"",EDATE($D55,Milestones!$AA$33)&gt;=$T55),$W55,IF(AND($S55&lt;&gt;"",EDATE($D55,Milestones!$AA$33)&gt;=$S55),$V55,$U55)))=Milestones!$AB$33),UPPER(TEXT(EDATE($D55,Milestones!$AA$33),"dd mmm yy"))&amp;" "&amp;Milestones!$AB$33&amp;" "&amp;Milestones!$AC$33&amp;";  ","")&amp;IF(AND(EDATE($D55,Milestones!$AA$34)&lt;=AsOfDate,IF($R55=0,$X55,IF(AND($T55&lt;&gt;"",EDATE($D55,Milestones!$AA$34)&gt;=$T55),$W55,IF(AND($S55&lt;&gt;"",EDATE($D55,Milestones!$AA$34)&gt;=$S55),$V55,$U55)))=Milestones!$AB$34),UPPER(TEXT(EDATE($D55,Milestones!$AA$34),"dd mmm yy"))&amp;" "&amp;Milestones!$AB$34&amp;" "&amp;Milestones!$AC$34&amp;";  ","")&amp;IF(AND(EDATE($D55,Milestones!$AA$35)&lt;=AsOfDate,IF($R55=0,$X55,IF(AND($T55&lt;&gt;"",EDATE($D55,Milestones!$AA$35)&gt;=$T55),$W55,IF(AND($S55&lt;&gt;"",EDATE($D55,Milestones!$AA$35)&gt;=$S55),$V55,$U55)))=Milestones!$AB$35),UPPER(TEXT(EDATE($D55,Milestones!$AA$35),"dd mmm yy"))&amp;" "&amp;Milestones!$AB$35&amp;" "&amp;Milestones!$AC$35&amp;";  ","")&amp;IF(AND(EDATE($D55,Milestones!$AA$36)&lt;=AsOfDate,IF($R55=0,$X55,IF(AND($T55&lt;&gt;"",EDATE($D55,Milestones!$AA$36)&gt;=$T55),$W55,IF(AND($S55&lt;&gt;"",EDATE($D55,Milestones!$AA$36)&gt;=$S55),$V55,$U55)))=Milestones!$AB$36),UPPER(TEXT(EDATE($D55,Milestones!$AA$36),"dd mmm yy"))&amp;" "&amp;Milestones!$AB$36&amp;" "&amp;Milestones!$AC$36&amp;";  ","")&amp;IF(AND(EDATE($D55,Milestones!$AA$37)&lt;=AsOfDate,IF($R55=0,$X55,IF(AND($T55&lt;&gt;"",EDATE($D55,Milestones!$AA$37)&gt;=$T55),$W55,IF(AND($S55&lt;&gt;"",EDATE($D55,Milestones!$AA$37)&gt;=$S55),$V55,$U55)))=Milestones!$AB$37),UPPER(TEXT(EDATE($D55,Milestones!$AA$37),"dd mmm yy"))&amp;" "&amp;Milestones!$AB$37&amp;" "&amp;Milestones!$AC$37&amp;";  ","")&amp;IF(AND(EDATE($D55,Milestones!$AA$38)&lt;=AsOfDate,IF($R55=0,$X55,IF(AND($T55&lt;&gt;"",EDATE($D55,Milestones!$AA$38)&gt;=$T55),$W55,IF(AND($S55&lt;&gt;"",EDATE($D55,Milestones!$AA$38)&gt;=$S55),$V55,$U55)))=Milestones!$AB$38),UPPER(TEXT(EDATE($D55,Milestones!$AA$38),"dd mmm yy"))&amp;" "&amp;Milestones!$AB$38&amp;" "&amp;Milestones!$AC$38&amp;";  ","")&amp;IF(AND(EDATE($D55,Milestones!$AA$39)&lt;=AsOfDate,IF($R55=0,$X55,IF(AND($T55&lt;&gt;"",EDATE($D55,Milestones!$AA$39)&gt;=$T55),$W55,IF(AND($S55&lt;&gt;"",EDATE($D55,Milestones!$AA$39)&gt;=$S55),$V55,$U55)))=Milestones!$AB$39),UPPER(TEXT(EDATE($D55,Milestones!$AA$39),"dd mmm yy"))&amp;" "&amp;Milestones!$AB$39&amp;" "&amp;Milestones!$AC$39&amp;";  ",""))</f>
        <v/>
      </c>
      <c r="J55" s="0" t="str">
        <f aca="false">IF(OR($A55="",$D55=""),"",IF(AND(EDATE($D55,Milestones!$AA$40)&lt;=AsOfDate,IF($R55=0,$X55,IF(AND($T55&lt;&gt;"",EDATE($D55,Milestones!$AA$40)&gt;=$T55),$W55,IF(AND($S55&lt;&gt;"",EDATE($D55,Milestones!$AA$40)&gt;=$S55),$V55,$U55)))=Milestones!$AB$40),UPPER(TEXT(EDATE($D55,Milestones!$AA$40),"dd mmm yy"))&amp;" "&amp;Milestones!$AB$40&amp;" "&amp;Milestones!$AC$40&amp;";  ","")&amp;IF(AND(EDATE($D55,Milestones!$AA$41)&lt;=AsOfDate,IF($R55=0,$X55,IF(AND($T55&lt;&gt;"",EDATE($D55,Milestones!$AA$41)&gt;=$T55),$W55,IF(AND($S55&lt;&gt;"",EDATE($D55,Milestones!$AA$41)&gt;=$S55),$V55,$U55)))=Milestones!$AB$41),UPPER(TEXT(EDATE($D55,Milestones!$AA$41),"dd mmm yy"))&amp;" "&amp;Milestones!$AB$41&amp;" "&amp;Milestones!$AC$41&amp;";  ","")&amp;IF(AND(EDATE($D55,Milestones!$AA$42)&lt;=AsOfDate,IF($R55=0,$X55,IF(AND($T55&lt;&gt;"",EDATE($D55,Milestones!$AA$42)&gt;=$T55),$W55,IF(AND($S55&lt;&gt;"",EDATE($D55,Milestones!$AA$42)&gt;=$S55),$V55,$U55)))=Milestones!$AB$42),UPPER(TEXT(EDATE($D55,Milestones!$AA$42),"dd mmm yy"))&amp;" "&amp;Milestones!$AB$42&amp;" "&amp;Milestones!$AC$42&amp;";  ","")&amp;IF(AND(EDATE($D55,Milestones!$AA$43)&lt;=AsOfDate,IF($R55=0,$X55,IF(AND($T55&lt;&gt;"",EDATE($D55,Milestones!$AA$43)&gt;=$T55),$W55,IF(AND($S55&lt;&gt;"",EDATE($D55,Milestones!$AA$43)&gt;=$S55),$V55,$U55)))=Milestones!$AB$43),UPPER(TEXT(EDATE($D55,Milestones!$AA$43),"dd mmm yy"))&amp;" "&amp;Milestones!$AB$43&amp;" "&amp;Milestones!$AC$43&amp;";  ","")&amp;IF(AND(EDATE($D55,Milestones!$AA$44)&lt;=AsOfDate,IF($R55=0,$X55,IF(AND($T55&lt;&gt;"",EDATE($D55,Milestones!$AA$44)&gt;=$T55),$W55,IF(AND($S55&lt;&gt;"",EDATE($D55,Milestones!$AA$44)&gt;=$S55),$V55,$U55)))=Milestones!$AB$44),UPPER(TEXT(EDATE($D55,Milestones!$AA$44),"dd mmm yy"))&amp;" "&amp;Milestones!$AB$44&amp;" "&amp;Milestones!$AC$44&amp;";  ","")&amp;IF(AND(EDATE($D55,Milestones!$AA$45)&lt;=AsOfDate,IF($R55=0,$X55,IF(AND($T55&lt;&gt;"",EDATE($D55,Milestones!$AA$45)&gt;=$T55),$W55,IF(AND($S55&lt;&gt;"",EDATE($D55,Milestones!$AA$45)&gt;=$S55),$V55,$U55)))=Milestones!$AB$45),UPPER(TEXT(EDATE($D55,Milestones!$AA$45),"dd mmm yy"))&amp;" "&amp;Milestones!$AB$45&amp;" "&amp;Milestones!$AC$45&amp;";  ","")&amp;IF(AND(EDATE($D55,Milestones!$AA$46)&lt;=AsOfDate,IF($R55=0,$X55,IF(AND($T55&lt;&gt;"",EDATE($D55,Milestones!$AA$46)&gt;=$T55),$W55,IF(AND($S55&lt;&gt;"",EDATE($D55,Milestones!$AA$46)&gt;=$S55),$V55,$U55)))=Milestones!$AB$46),UPPER(TEXT(EDATE($D55,Milestones!$AA$46),"dd mmm yy"))&amp;" "&amp;Milestones!$AB$46&amp;" "&amp;Milestones!$AC$46&amp;";  ","")&amp;IF(AND(EDATE($D55,Milestones!$AA$47)&lt;=AsOfDate,IF($R55=0,$X55,IF(AND($T55&lt;&gt;"",EDATE($D55,Milestones!$AA$47)&gt;=$T55),$W55,IF(AND($S55&lt;&gt;"",EDATE($D55,Milestones!$AA$47)&gt;=$S55),$V55,$U55)))=Milestones!$AB$47),UPPER(TEXT(EDATE($D55,Milestones!$AA$47),"dd mmm yy"))&amp;" "&amp;Milestones!$AB$47&amp;" "&amp;Milestones!$AC$47&amp;";  ","")&amp;IF(AND(EDATE($D55,Milestones!$AA$48)&lt;=AsOfDate,IF($R55=0,$X55,IF(AND($T55&lt;&gt;"",EDATE($D55,Milestones!$AA$48)&gt;=$T55),$W55,IF(AND($S55&lt;&gt;"",EDATE($D55,Milestones!$AA$48)&gt;=$S55),$V55,$U55)))=Milestones!$AB$48),UPPER(TEXT(EDATE($D55,Milestones!$AA$48),"dd mmm yy"))&amp;" "&amp;Milestones!$AB$48&amp;" "&amp;Milestones!$AC$48&amp;";  ","")&amp;IF(AND(EDATE($D55,Milestones!$AA$49)&lt;=AsOfDate,IF($R55=0,$X55,IF(AND($T55&lt;&gt;"",EDATE($D55,Milestones!$AA$49)&gt;=$T55),$W55,IF(AND($S55&lt;&gt;"",EDATE($D55,Milestones!$AA$49)&gt;=$S55),$V55,$U55)))=Milestones!$AB$49),UPPER(TEXT(EDATE($D55,Milestones!$AA$49),"dd mmm yy"))&amp;" "&amp;Milestones!$AB$49&amp;" "&amp;Milestones!$AC$49&amp;";  ","")&amp;IF(AND(EDATE($D55,Milestones!$AA$50)&lt;=AsOfDate,IF($R55=0,$X55,IF(AND($T55&lt;&gt;"",EDATE($D55,Milestones!$AA$50)&gt;=$T55),$W55,IF(AND($S55&lt;&gt;"",EDATE($D55,Milestones!$AA$50)&gt;=$S55),$V55,$U55)))=Milestones!$AB$50),UPPER(TEXT(EDATE($D55,Milestones!$AA$50),"dd mmm yy"))&amp;" "&amp;Milestones!$AB$50&amp;" "&amp;Milestones!$AC$50&amp;";  ","")&amp;IF(AND(EDATE($D55,Milestones!$AA$51)&lt;=AsOfDate,IF($R55=0,$X55,IF(AND($T55&lt;&gt;"",EDATE($D55,Milestones!$AA$51)&gt;=$T55),$W55,IF(AND($S55&lt;&gt;"",EDATE($D55,Milestones!$AA$51)&gt;=$S55),$V55,$U55)))=Milestones!$AB$51),UPPER(TEXT(EDATE($D55,Milestones!$AA$51),"dd mmm yy"))&amp;" "&amp;Milestones!$AB$51&amp;" "&amp;Milestones!$AC$51&amp;";  ","")&amp;IF(AND(EDATE($D55,Milestones!$AA$52)&lt;=AsOfDate,IF($R55=0,$X55,IF(AND($T55&lt;&gt;"",EDATE($D55,Milestones!$AA$52)&gt;=$T55),$W55,IF(AND($S55&lt;&gt;"",EDATE($D55,Milestones!$AA$52)&gt;=$S55),$V55,$U55)))=Milestones!$AB$52),UPPER(TEXT(EDATE($D55,Milestones!$AA$52),"dd mmm yy"))&amp;" "&amp;Milestones!$AB$52&amp;" "&amp;Milestones!$AC$52&amp;";  ","")&amp;IF(AND(EDATE($D55,Milestones!$AA$53)&lt;=AsOfDate,IF($R55=0,$X55,IF(AND($T55&lt;&gt;"",EDATE($D55,Milestones!$AA$53)&gt;=$T55),$W55,IF(AND($S55&lt;&gt;"",EDATE($D55,Milestones!$AA$53)&gt;=$S55),$V55,$U55)))=Milestones!$AB$53),UPPER(TEXT(EDATE($D55,Milestones!$AA$53),"dd mmm yy"))&amp;" "&amp;Milestones!$AB$53&amp;" "&amp;Milestones!$AC$53&amp;";  ","")&amp;IF(AND(EDATE($D55,Milestones!$AA$54)&lt;=AsOfDate,IF($R55=0,$X55,IF(AND($T55&lt;&gt;"",EDATE($D55,Milestones!$AA$54)&gt;=$T55),$W55,IF(AND($S55&lt;&gt;"",EDATE($D55,Milestones!$AA$54)&gt;=$S55),$V55,$U55)))=Milestones!$AB$54),UPPER(TEXT(EDATE($D55,Milestones!$AA$54),"dd mmm yy"))&amp;" "&amp;Milestones!$AB$54&amp;" "&amp;Milestones!$AC$54&amp;";  ","")&amp;IF(AND(EDATE($D55,Milestones!$AA$55)&lt;=AsOfDate,IF($R55=0,$X55,IF(AND($T55&lt;&gt;"",EDATE($D55,Milestones!$AA$55)&gt;=$T55),$W55,IF(AND($S55&lt;&gt;"",EDATE($D55,Milestones!$AA$55)&gt;=$S55),$V55,$U55)))=Milestones!$AB$55),UPPER(TEXT(EDATE($D55,Milestones!$AA$55),"dd mmm yy"))&amp;" "&amp;Milestones!$AB$55&amp;" "&amp;Milestones!$AC$55&amp;";  ","")&amp;IF(AND(EDATE($D55,Milestones!$AA$56)&lt;=AsOfDate,IF($R55=0,$X55,IF(AND($T55&lt;&gt;"",EDATE($D55,Milestones!$AA$56)&gt;=$T55),$W55,IF(AND($S55&lt;&gt;"",EDATE($D55,Milestones!$AA$56)&gt;=$S55),$V55,$U55)))=Milestones!$AB$56),UPPER(TEXT(EDATE($D55,Milestones!$AA$56),"dd mmm yy"))&amp;" "&amp;Milestones!$AB$56&amp;" "&amp;Milestones!$AC$56&amp;";  ","")&amp;IF(AND(EDATE($D55,Milestones!$AA$57)&lt;=AsOfDate,IF($R55=0,$X55,IF(AND($T55&lt;&gt;"",EDATE($D55,Milestones!$AA$57)&gt;=$T55),$W55,IF(AND($S55&lt;&gt;"",EDATE($D55,Milestones!$AA$57)&gt;=$S55),$V55,$U55)))=Milestones!$AB$57),UPPER(TEXT(EDATE($D55,Milestones!$AA$57),"dd mmm yy"))&amp;" "&amp;Milestones!$AB$57&amp;" "&amp;Milestones!$AC$57&amp;";  ","")&amp;IF(AND(EDATE($D55,Milestones!$AA$58)&lt;=AsOfDate,IF($R55=0,$X55,IF(AND($T55&lt;&gt;"",EDATE($D55,Milestones!$AA$58)&gt;=$T55),$W55,IF(AND($S55&lt;&gt;"",EDATE($D55,Milestones!$AA$58)&gt;=$S55),$V55,$U55)))=Milestones!$AB$58),UPPER(TEXT(EDATE($D55,Milestones!$AA$58),"dd mmm yy"))&amp;" "&amp;Milestones!$AB$58&amp;" "&amp;Milestones!$AC$58&amp;";  ","")&amp;IF(AND(EDATE($D55,Milestones!$AA$59)&lt;=AsOfDate,IF($R55=0,$X55,IF(AND($T55&lt;&gt;"",EDATE($D55,Milestones!$AA$59)&gt;=$T55),$W55,IF(AND($S55&lt;&gt;"",EDATE($D55,Milestones!$AA$59)&gt;=$S55),$V55,$U55)))=Milestones!$AB$59),UPPER(TEXT(EDATE($D55,Milestones!$AA$59),"dd mmm yy"))&amp;" "&amp;Milestones!$AB$59&amp;" "&amp;Milestones!$AC$59&amp;";  ",""))</f>
        <v/>
      </c>
      <c r="K55" s="0" t="str">
        <f aca="false">IF(OR($A55="",$D55=""),"",IF(AND(EDATE($D55,Milestones!$AA$60)&lt;=AsOfDate,IF($R55=0,$X55,IF(AND($T55&lt;&gt;"",EDATE($D55,Milestones!$AA$60)&gt;=$T55),$W55,IF(AND($S55&lt;&gt;"",EDATE($D55,Milestones!$AA$60)&gt;=$S55),$V55,$U55)))=Milestones!$AB$60),UPPER(TEXT(EDATE($D55,Milestones!$AA$60),"dd mmm yy"))&amp;" "&amp;Milestones!$AB$60&amp;" "&amp;Milestones!$AC$60&amp;";  ","")&amp;IF(AND(EDATE($D55,Milestones!$AA$61)&lt;=AsOfDate,IF($R55=0,$X55,IF(AND($T55&lt;&gt;"",EDATE($D55,Milestones!$AA$61)&gt;=$T55),$W55,IF(AND($S55&lt;&gt;"",EDATE($D55,Milestones!$AA$61)&gt;=$S55),$V55,$U55)))=Milestones!$AB$61),UPPER(TEXT(EDATE($D55,Milestones!$AA$61),"dd mmm yy"))&amp;" "&amp;Milestones!$AB$61&amp;" "&amp;Milestones!$AC$61&amp;";  ","")&amp;IF(AND(EDATE($D55,Milestones!$AA$62)&lt;=AsOfDate,IF($R55=0,$X55,IF(AND($T55&lt;&gt;"",EDATE($D55,Milestones!$AA$62)&gt;=$T55),$W55,IF(AND($S55&lt;&gt;"",EDATE($D55,Milestones!$AA$62)&gt;=$S55),$V55,$U55)))=Milestones!$AB$62),UPPER(TEXT(EDATE($D55,Milestones!$AA$62),"dd mmm yy"))&amp;" "&amp;Milestones!$AB$62&amp;" "&amp;Milestones!$AC$62&amp;";  ","")&amp;IF(AND(EDATE($D55,Milestones!$AA$63)&lt;=AsOfDate,IF($R55=0,$X55,IF(AND($T55&lt;&gt;"",EDATE($D55,Milestones!$AA$63)&gt;=$T55),$W55,IF(AND($S55&lt;&gt;"",EDATE($D55,Milestones!$AA$63)&gt;=$S55),$V55,$U55)))=Milestones!$AB$63),UPPER(TEXT(EDATE($D55,Milestones!$AA$63),"dd mmm yy"))&amp;" "&amp;Milestones!$AB$63&amp;" "&amp;Milestones!$AC$63&amp;";  ","")&amp;IF(AND(EDATE($D55,Milestones!$AA$64)&lt;=AsOfDate,IF($R55=0,$X55,IF(AND($T55&lt;&gt;"",EDATE($D55,Milestones!$AA$64)&gt;=$T55),$W55,IF(AND($S55&lt;&gt;"",EDATE($D55,Milestones!$AA$64)&gt;=$S55),$V55,$U55)))=Milestones!$AB$64),UPPER(TEXT(EDATE($D55,Milestones!$AA$64),"dd mmm yy"))&amp;" "&amp;Milestones!$AB$64&amp;" "&amp;Milestones!$AC$64&amp;";  ","")&amp;IF(AND(EDATE($D55,Milestones!$AA$65)&lt;=AsOfDate,IF($R55=0,$X55,IF(AND($T55&lt;&gt;"",EDATE($D55,Milestones!$AA$65)&gt;=$T55),$W55,IF(AND($S55&lt;&gt;"",EDATE($D55,Milestones!$AA$65)&gt;=$S55),$V55,$U55)))=Milestones!$AB$65),UPPER(TEXT(EDATE($D55,Milestones!$AA$65),"dd mmm yy"))&amp;" "&amp;Milestones!$AB$65&amp;" "&amp;Milestones!$AC$65&amp;";  ","")&amp;IF(AND(EDATE($D55,Milestones!$AA$66)&lt;=AsOfDate,IF($R55=0,$X55,IF(AND($T55&lt;&gt;"",EDATE($D55,Milestones!$AA$66)&gt;=$T55),$W55,IF(AND($S55&lt;&gt;"",EDATE($D55,Milestones!$AA$66)&gt;=$S55),$V55,$U55)))=Milestones!$AB$66),UPPER(TEXT(EDATE($D55,Milestones!$AA$66),"dd mmm yy"))&amp;" "&amp;Milestones!$AB$66&amp;" "&amp;Milestones!$AC$66&amp;";  ","")&amp;IF(AND(EDATE($D55,Milestones!$AA$67)&lt;=AsOfDate,IF($R55=0,$X55,IF(AND($T55&lt;&gt;"",EDATE($D55,Milestones!$AA$67)&gt;=$T55),$W55,IF(AND($S55&lt;&gt;"",EDATE($D55,Milestones!$AA$67)&gt;=$S55),$V55,$U55)))=Milestones!$AB$67),UPPER(TEXT(EDATE($D55,Milestones!$AA$67),"dd mmm yy"))&amp;" "&amp;Milestones!$AB$67&amp;" "&amp;Milestones!$AC$67&amp;";  ","")&amp;IF(AND(EDATE($D55,Milestones!$AA$68)&lt;=AsOfDate,IF($R55=0,$X55,IF(AND($T55&lt;&gt;"",EDATE($D55,Milestones!$AA$68)&gt;=$T55),$W55,IF(AND($S55&lt;&gt;"",EDATE($D55,Milestones!$AA$68)&gt;=$S55),$V55,$U55)))=Milestones!$AB$68),UPPER(TEXT(EDATE($D55,Milestones!$AA$68),"dd mmm yy"))&amp;" "&amp;Milestones!$AB$68&amp;" "&amp;Milestones!$AC$68&amp;";  ","")&amp;IF(AND(EDATE($D55,Milestones!$AA$69)&lt;=AsOfDate,IF($R55=0,$X55,IF(AND($T55&lt;&gt;"",EDATE($D55,Milestones!$AA$69)&gt;=$T55),$W55,IF(AND($S55&lt;&gt;"",EDATE($D55,Milestones!$AA$69)&gt;=$S55),$V55,$U55)))=Milestones!$AB$69),UPPER(TEXT(EDATE($D55,Milestones!$AA$69),"dd mmm yy"))&amp;" "&amp;Milestones!$AB$69&amp;" "&amp;Milestones!$AC$69&amp;";  ","")&amp;IF(AND(EDATE($D55,Milestones!$AA$70)&lt;=AsOfDate,IF($R55=0,$X55,IF(AND($T55&lt;&gt;"",EDATE($D55,Milestones!$AA$70)&gt;=$T55),$W55,IF(AND($S55&lt;&gt;"",EDATE($D55,Milestones!$AA$70)&gt;=$S55),$V55,$U55)))=Milestones!$AB$70),UPPER(TEXT(EDATE($D55,Milestones!$AA$70),"dd mmm yy"))&amp;" "&amp;Milestones!$AB$70&amp;" "&amp;Milestones!$AC$70&amp;";  ","")&amp;IF(AND(EDATE($D55,Milestones!$AA$71)&lt;=AsOfDate,IF($R55=0,$X55,IF(AND($T55&lt;&gt;"",EDATE($D55,Milestones!$AA$71)&gt;=$T55),$W55,IF(AND($S55&lt;&gt;"",EDATE($D55,Milestones!$AA$71)&gt;=$S55),$V55,$U55)))=Milestones!$AB$71),UPPER(TEXT(EDATE($D55,Milestones!$AA$71),"dd mmm yy"))&amp;" "&amp;Milestones!$AB$71&amp;" "&amp;Milestones!$AC$71&amp;";  ","")&amp;IF(AND(EDATE($D55,Milestones!$AA$72)&lt;=AsOfDate,IF($R55=0,$X55,IF(AND($T55&lt;&gt;"",EDATE($D55,Milestones!$AA$72)&gt;=$T55),$W55,IF(AND($S55&lt;&gt;"",EDATE($D55,Milestones!$AA$72)&gt;=$S55),$V55,$U55)))=Milestones!$AB$72),UPPER(TEXT(EDATE($D55,Milestones!$AA$72),"dd mmm yy"))&amp;" "&amp;Milestones!$AB$72&amp;" "&amp;Milestones!$AC$72&amp;";  ","")&amp;IF(AND(EDATE($D55,Milestones!$AA$73)&lt;=AsOfDate,IF($R55=0,$X55,IF(AND($T55&lt;&gt;"",EDATE($D55,Milestones!$AA$73)&gt;=$T55),$W55,IF(AND($S55&lt;&gt;"",EDATE($D55,Milestones!$AA$73)&gt;=$S55),$V55,$U55)))=Milestones!$AB$73),UPPER(TEXT(EDATE($D55,Milestones!$AA$73),"dd mmm yy"))&amp;" "&amp;Milestones!$AB$73&amp;" "&amp;Milestones!$AC$73&amp;";  ","")&amp;IF(AND(EDATE($D55,Milestones!$AA$74)&lt;=AsOfDate,IF($R55=0,$X55,IF(AND($T55&lt;&gt;"",EDATE($D55,Milestones!$AA$74)&gt;=$T55),$W55,IF(AND($S55&lt;&gt;"",EDATE($D55,Milestones!$AA$74)&gt;=$S55),$V55,$U55)))=Milestones!$AB$74),UPPER(TEXT(EDATE($D55,Milestones!$AA$74),"dd mmm yy"))&amp;" "&amp;Milestones!$AB$74&amp;" "&amp;Milestones!$AC$74&amp;";  ","")&amp;IF(AND(EDATE($D55,Milestones!$AA$75)&lt;=AsOfDate,IF($R55=0,$X55,IF(AND($T55&lt;&gt;"",EDATE($D55,Milestones!$AA$75)&gt;=$T55),$W55,IF(AND($S55&lt;&gt;"",EDATE($D55,Milestones!$AA$75)&gt;=$S55),$V55,$U55)))=Milestones!$AB$75),UPPER(TEXT(EDATE($D55,Milestones!$AA$75),"dd mmm yy"))&amp;" "&amp;Milestones!$AB$75&amp;" "&amp;Milestones!$AC$75&amp;";  ","")&amp;IF(AND(EDATE($D55,Milestones!$AA$76)&lt;=AsOfDate,IF($R55=0,$X55,IF(AND($T55&lt;&gt;"",EDATE($D55,Milestones!$AA$76)&gt;=$T55),$W55,IF(AND($S55&lt;&gt;"",EDATE($D55,Milestones!$AA$76)&gt;=$S55),$V55,$U55)))=Milestones!$AB$76),UPPER(TEXT(EDATE($D55,Milestones!$AA$76),"dd mmm yy"))&amp;" "&amp;Milestones!$AB$76&amp;" "&amp;Milestones!$AC$76&amp;";  ","")&amp;IF(AND(EDATE($D55,Milestones!$AA$77)&lt;=AsOfDate,IF($R55=0,$X55,IF(AND($T55&lt;&gt;"",EDATE($D55,Milestones!$AA$77)&gt;=$T55),$W55,IF(AND($S55&lt;&gt;"",EDATE($D55,Milestones!$AA$77)&gt;=$S55),$V55,$U55)))=Milestones!$AB$77),UPPER(TEXT(EDATE($D55,Milestones!$AA$77),"dd mmm yy"))&amp;" "&amp;Milestones!$AB$77&amp;" "&amp;Milestones!$AC$77&amp;";  ","")&amp;IF(AND(EDATE($D55,Milestones!$AA$78)&lt;=AsOfDate,IF($R55=0,$X55,IF(AND($T55&lt;&gt;"",EDATE($D55,Milestones!$AA$78)&gt;=$T55),$W55,IF(AND($S55&lt;&gt;"",EDATE($D55,Milestones!$AA$78)&gt;=$S55),$V55,$U55)))=Milestones!$AB$78),UPPER(TEXT(EDATE($D55,Milestones!$AA$78),"dd mmm yy"))&amp;" "&amp;Milestones!$AB$78&amp;" "&amp;Milestones!$AC$78&amp;";  ","")&amp;IF(AND(EDATE($D55,Milestones!$AA$79)&lt;=AsOfDate,IF($R55=0,$X55,IF(AND($T55&lt;&gt;"",EDATE($D55,Milestones!$AA$79)&gt;=$T55),$W55,IF(AND($S55&lt;&gt;"",EDATE($D55,Milestones!$AA$79)&gt;=$S55),$V55,$U55)))=Milestones!$AB$79),UPPER(TEXT(EDATE($D55,Milestones!$AA$79),"dd mmm yy"))&amp;" "&amp;Milestones!$AB$79&amp;" "&amp;Milestones!$AC$79&amp;";  ",""))</f>
        <v/>
      </c>
      <c r="L55" s="0" t="str">
        <f aca="false">IF(OR($A55="",$D55=""),"",IF(AND(EDATE($D55,Milestones!$AA$80)&lt;=AsOfDate,IF($R55=0,$X55,IF(AND($T55&lt;&gt;"",EDATE($D55,Milestones!$AA$80)&gt;=$T55),$W55,IF(AND($S55&lt;&gt;"",EDATE($D55,Milestones!$AA$80)&gt;=$S55),$V55,$U55)))=Milestones!$AB$80),UPPER(TEXT(EDATE($D55,Milestones!$AA$80),"dd mmm yy"))&amp;" "&amp;Milestones!$AB$80&amp;" "&amp;Milestones!$AC$80&amp;";  ","")&amp;IF(AND(EDATE($D55,Milestones!$AA$81)&lt;=AsOfDate,IF($R55=0,$X55,IF(AND($T55&lt;&gt;"",EDATE($D55,Milestones!$AA$81)&gt;=$T55),$W55,IF(AND($S55&lt;&gt;"",EDATE($D55,Milestones!$AA$81)&gt;=$S55),$V55,$U55)))=Milestones!$AB$81),UPPER(TEXT(EDATE($D55,Milestones!$AA$81),"dd mmm yy"))&amp;" "&amp;Milestones!$AB$81&amp;" "&amp;Milestones!$AC$81&amp;";  ","")&amp;IF(AND(EDATE($D55,Milestones!$AA$82)&lt;=AsOfDate,IF($R55=0,$X55,IF(AND($T55&lt;&gt;"",EDATE($D55,Milestones!$AA$82)&gt;=$T55),$W55,IF(AND($S55&lt;&gt;"",EDATE($D55,Milestones!$AA$82)&gt;=$S55),$V55,$U55)))=Milestones!$AB$82),UPPER(TEXT(EDATE($D55,Milestones!$AA$82),"dd mmm yy"))&amp;" "&amp;Milestones!$AB$82&amp;" "&amp;Milestones!$AC$82&amp;";  ","")&amp;IF(AND(EDATE($D55,Milestones!$AA$83)&lt;=AsOfDate,IF($R55=0,$X55,IF(AND($T55&lt;&gt;"",EDATE($D55,Milestones!$AA$83)&gt;=$T55),$W55,IF(AND($S55&lt;&gt;"",EDATE($D55,Milestones!$AA$83)&gt;=$S55),$V55,$U55)))=Milestones!$AB$83),UPPER(TEXT(EDATE($D55,Milestones!$AA$83),"dd mmm yy"))&amp;" "&amp;Milestones!$AB$83&amp;" "&amp;Milestones!$AC$83&amp;";  ","")&amp;IF(AND(EDATE($D55,Milestones!$AA$84)&lt;=AsOfDate,IF($R55=0,$X55,IF(AND($T55&lt;&gt;"",EDATE($D55,Milestones!$AA$84)&gt;=$T55),$W55,IF(AND($S55&lt;&gt;"",EDATE($D55,Milestones!$AA$84)&gt;=$S55),$V55,$U55)))=Milestones!$AB$84),UPPER(TEXT(EDATE($D55,Milestones!$AA$84),"dd mmm yy"))&amp;" "&amp;Milestones!$AB$84&amp;" "&amp;Milestones!$AC$84&amp;";  ","")&amp;IF(AND(EDATE($D55,Milestones!$AA$85)&lt;=AsOfDate,IF($R55=0,$X55,IF(AND($T55&lt;&gt;"",EDATE($D55,Milestones!$AA$85)&gt;=$T55),$W55,IF(AND($S55&lt;&gt;"",EDATE($D55,Milestones!$AA$85)&gt;=$S55),$V55,$U55)))=Milestones!$AB$85),UPPER(TEXT(EDATE($D55,Milestones!$AA$85),"dd mmm yy"))&amp;" "&amp;Milestones!$AB$85&amp;" "&amp;Milestones!$AC$85&amp;";  ","")&amp;IF(AND(EDATE($D55,Milestones!$AA$86)&lt;=AsOfDate,IF($R55=0,$X55,IF(AND($T55&lt;&gt;"",EDATE($D55,Milestones!$AA$86)&gt;=$T55),$W55,IF(AND($S55&lt;&gt;"",EDATE($D55,Milestones!$AA$86)&gt;=$S55),$V55,$U55)))=Milestones!$AB$86),UPPER(TEXT(EDATE($D55,Milestones!$AA$86),"dd mmm yy"))&amp;" "&amp;Milestones!$AB$86&amp;" "&amp;Milestones!$AC$86&amp;";  ","")&amp;IF(AND(EDATE($D55,Milestones!$AA$87)&lt;=AsOfDate,IF($R55=0,$X55,IF(AND($T55&lt;&gt;"",EDATE($D55,Milestones!$AA$87)&gt;=$T55),$W55,IF(AND($S55&lt;&gt;"",EDATE($D55,Milestones!$AA$87)&gt;=$S55),$V55,$U55)))=Milestones!$AB$87),UPPER(TEXT(EDATE($D55,Milestones!$AA$87),"dd mmm yy"))&amp;" "&amp;Milestones!$AB$87&amp;" "&amp;Milestones!$AC$87&amp;";  ","")&amp;IF(AND(EDATE($D55,Milestones!$AA$88)&lt;=AsOfDate,IF($R55=0,$X55,IF(AND($T55&lt;&gt;"",EDATE($D55,Milestones!$AA$88)&gt;=$T55),$W55,IF(AND($S55&lt;&gt;"",EDATE($D55,Milestones!$AA$88)&gt;=$S55),$V55,$U55)))=Milestones!$AB$88),UPPER(TEXT(EDATE($D55,Milestones!$AA$88),"dd mmm yy"))&amp;" "&amp;Milestones!$AB$88&amp;" "&amp;Milestones!$AC$88&amp;";  ","")&amp;IF(AND(EDATE($D55,Milestones!$AA$89)&lt;=AsOfDate,IF($R55=0,$X55,IF(AND($T55&lt;&gt;"",EDATE($D55,Milestones!$AA$89)&gt;=$T55),$W55,IF(AND($S55&lt;&gt;"",EDATE($D55,Milestones!$AA$89)&gt;=$S55),$V55,$U55)))=Milestones!$AB$89),UPPER(TEXT(EDATE($D55,Milestones!$AA$89),"dd mmm yy"))&amp;" "&amp;Milestones!$AB$89&amp;" "&amp;Milestones!$AC$89&amp;";  ","")&amp;IF(AND(EDATE($D55,Milestones!$AA$90)&lt;=AsOfDate,IF($R55=0,$X55,IF(AND($T55&lt;&gt;"",EDATE($D55,Milestones!$AA$90)&gt;=$T55),$W55,IF(AND($S55&lt;&gt;"",EDATE($D55,Milestones!$AA$90)&gt;=$S55),$V55,$U55)))=Milestones!$AB$90),UPPER(TEXT(EDATE($D55,Milestones!$AA$90),"dd mmm yy"))&amp;" "&amp;Milestones!$AB$90&amp;" "&amp;Milestones!$AC$90&amp;";  ","")&amp;IF(AND(EDATE($D55,Milestones!$AA$91)&lt;=AsOfDate,IF($R55=0,$X55,IF(AND($T55&lt;&gt;"",EDATE($D55,Milestones!$AA$91)&gt;=$T55),$W55,IF(AND($S55&lt;&gt;"",EDATE($D55,Milestones!$AA$91)&gt;=$S55),$V55,$U55)))=Milestones!$AB$91),UPPER(TEXT(EDATE($D55,Milestones!$AA$91),"dd mmm yy"))&amp;" "&amp;Milestones!$AB$91&amp;" "&amp;Milestones!$AC$91&amp;";  ","")&amp;IF(AND(EDATE($D55,Milestones!$AA$92)&lt;=AsOfDate,IF($R55=0,$X55,IF(AND($T55&lt;&gt;"",EDATE($D55,Milestones!$AA$92)&gt;=$T55),$W55,IF(AND($S55&lt;&gt;"",EDATE($D55,Milestones!$AA$92)&gt;=$S55),$V55,$U55)))=Milestones!$AB$92),UPPER(TEXT(EDATE($D55,Milestones!$AA$92),"dd mmm yy"))&amp;" "&amp;Milestones!$AB$92&amp;" "&amp;Milestones!$AC$92&amp;";  ","")&amp;IF(AND(EDATE($D55,Milestones!$AA$93)&lt;=AsOfDate,IF($R55=0,$X55,IF(AND($T55&lt;&gt;"",EDATE($D55,Milestones!$AA$93)&gt;=$T55),$W55,IF(AND($S55&lt;&gt;"",EDATE($D55,Milestones!$AA$93)&gt;=$S55),$V55,$U55)))=Milestones!$AB$93),UPPER(TEXT(EDATE($D55,Milestones!$AA$93),"dd mmm yy"))&amp;" "&amp;Milestones!$AB$93&amp;" "&amp;Milestones!$AC$93&amp;";  ","")&amp;IF(AND(EDATE($D55,Milestones!$AA$94)&lt;=AsOfDate,IF($R55=0,$X55,IF(AND($T55&lt;&gt;"",EDATE($D55,Milestones!$AA$94)&gt;=$T55),$W55,IF(AND($S55&lt;&gt;"",EDATE($D55,Milestones!$AA$94)&gt;=$S55),$V55,$U55)))=Milestones!$AB$94),UPPER(TEXT(EDATE($D55,Milestones!$AA$94),"dd mmm yy"))&amp;" "&amp;Milestones!$AB$94&amp;" "&amp;Milestones!$AC$94&amp;";  ","")&amp;IF(AND(EDATE($D55,Milestones!$AA$95)&lt;=AsOfDate,IF($R55=0,$X55,IF(AND($T55&lt;&gt;"",EDATE($D55,Milestones!$AA$95)&gt;=$T55),$W55,IF(AND($S55&lt;&gt;"",EDATE($D55,Milestones!$AA$95)&gt;=$S55),$V55,$U55)))=Milestones!$AB$95),UPPER(TEXT(EDATE($D55,Milestones!$AA$95),"dd mmm yy"))&amp;" "&amp;Milestones!$AB$95&amp;" "&amp;Milestones!$AC$95&amp;";  ","")&amp;IF(AND(EDATE($D55,Milestones!$AA$96)&lt;=AsOfDate,IF($R55=0,$X55,IF(AND($T55&lt;&gt;"",EDATE($D55,Milestones!$AA$96)&gt;=$T55),$W55,IF(AND($S55&lt;&gt;"",EDATE($D55,Milestones!$AA$96)&gt;=$S55),$V55,$U55)))=Milestones!$AB$96),UPPER(TEXT(EDATE($D55,Milestones!$AA$96),"dd mmm yy"))&amp;" "&amp;Milestones!$AB$96&amp;" "&amp;Milestones!$AC$96&amp;";  ","")&amp;IF(AND(EDATE($D55,Milestones!$AA$97)&lt;=AsOfDate,IF($R55=0,$X55,IF(AND($T55&lt;&gt;"",EDATE($D55,Milestones!$AA$97)&gt;=$T55),$W55,IF(AND($S55&lt;&gt;"",EDATE($D55,Milestones!$AA$97)&gt;=$S55),$V55,$U55)))=Milestones!$AB$97),UPPER(TEXT(EDATE($D55,Milestones!$AA$97),"dd mmm yy"))&amp;" "&amp;Milestones!$AB$97&amp;" "&amp;Milestones!$AC$97&amp;";  ","")&amp;IF(AND(EDATE($D55,Milestones!$AA$98)&lt;=AsOfDate,IF($R55=0,$X55,IF(AND($T55&lt;&gt;"",EDATE($D55,Milestones!$AA$98)&gt;=$T55),$W55,IF(AND($S55&lt;&gt;"",EDATE($D55,Milestones!$AA$98)&gt;=$S55),$V55,$U55)))=Milestones!$AB$98),UPPER(TEXT(EDATE($D55,Milestones!$AA$98),"dd mmm yy"))&amp;" "&amp;Milestones!$AB$98&amp;" "&amp;Milestones!$AC$98&amp;";  ","")&amp;IF(AND(EDATE($D55,Milestones!$AA$99)&lt;=AsOfDate,IF($R55=0,$X55,IF(AND($T55&lt;&gt;"",EDATE($D55,Milestones!$AA$99)&gt;=$T55),$W55,IF(AND($S55&lt;&gt;"",EDATE($D55,Milestones!$AA$99)&gt;=$S55),$V55,$U55)))=Milestones!$AB$99),UPPER(TEXT(EDATE($D55,Milestones!$AA$99),"dd mmm yy"))&amp;" "&amp;Milestones!$AB$99&amp;" "&amp;Milestones!$AC$99&amp;";  ",""))</f>
        <v/>
      </c>
      <c r="M55" s="0" t="str">
        <f aca="false">IF(OR($A55="",$D55=""),"",IF(AND(EDATE($D55,Milestones!$AA$100)&lt;=AsOfDate,IF($R55=0,$X55,IF(AND($T55&lt;&gt;"",EDATE($D55,Milestones!$AA$100)&gt;=$T55),$W55,IF(AND($S55&lt;&gt;"",EDATE($D55,Milestones!$AA$100)&gt;=$S55),$V55,$U55)))=Milestones!$AB$100),UPPER(TEXT(EDATE($D55,Milestones!$AA$100),"dd mmm yy"))&amp;" "&amp;Milestones!$AB$100&amp;" "&amp;Milestones!$AC$100&amp;";  ","")&amp;IF(AND(EDATE($D55,Milestones!$AA$101)&lt;=AsOfDate,IF($R55=0,$X55,IF(AND($T55&lt;&gt;"",EDATE($D55,Milestones!$AA$101)&gt;=$T55),$W55,IF(AND($S55&lt;&gt;"",EDATE($D55,Milestones!$AA$101)&gt;=$S55),$V55,$U55)))=Milestones!$AB$101),UPPER(TEXT(EDATE($D55,Milestones!$AA$101),"dd mmm yy"))&amp;" "&amp;Milestones!$AB$101&amp;" "&amp;Milestones!$AC$101&amp;";  ","")&amp;IF(AND(EDATE($D55,Milestones!$AA$102)&lt;=AsOfDate,IF($R55=0,$X55,IF(AND($T55&lt;&gt;"",EDATE($D55,Milestones!$AA$102)&gt;=$T55),$W55,IF(AND($S55&lt;&gt;"",EDATE($D55,Milestones!$AA$102)&gt;=$S55),$V55,$U55)))=Milestones!$AB$102),UPPER(TEXT(EDATE($D55,Milestones!$AA$102),"dd mmm yy"))&amp;" "&amp;Milestones!$AB$102&amp;" "&amp;Milestones!$AC$102&amp;";  ","")&amp;IF(AND(EDATE($D55,Milestones!$AA$103)&lt;=AsOfDate,IF($R55=0,$X55,IF(AND($T55&lt;&gt;"",EDATE($D55,Milestones!$AA$103)&gt;=$T55),$W55,IF(AND($S55&lt;&gt;"",EDATE($D55,Milestones!$AA$103)&gt;=$S55),$V55,$U55)))=Milestones!$AB$103),UPPER(TEXT(EDATE($D55,Milestones!$AA$103),"dd mmm yy"))&amp;" "&amp;Milestones!$AB$103&amp;" "&amp;Milestones!$AC$103&amp;";  ","")&amp;IF(AND(EDATE($D55,Milestones!$AA$104)&lt;=AsOfDate,IF($R55=0,$X55,IF(AND($T55&lt;&gt;"",EDATE($D55,Milestones!$AA$104)&gt;=$T55),$W55,IF(AND($S55&lt;&gt;"",EDATE($D55,Milestones!$AA$104)&gt;=$S55),$V55,$U55)))=Milestones!$AB$104),UPPER(TEXT(EDATE($D55,Milestones!$AA$104),"dd mmm yy"))&amp;" "&amp;Milestones!$AB$104&amp;" "&amp;Milestones!$AC$104&amp;";  ","")&amp;IF(AND(EDATE($D55,Milestones!$AA$105)&lt;=AsOfDate,IF($R55=0,$X55,IF(AND($T55&lt;&gt;"",EDATE($D55,Milestones!$AA$105)&gt;=$T55),$W55,IF(AND($S55&lt;&gt;"",EDATE($D55,Milestones!$AA$105)&gt;=$S55),$V55,$U55)))=Milestones!$AB$105),UPPER(TEXT(EDATE($D55,Milestones!$AA$105),"dd mmm yy"))&amp;" "&amp;Milestones!$AB$105&amp;" "&amp;Milestones!$AC$105&amp;";  ","")&amp;IF(AND(EDATE($D55,Milestones!$AA$106)&lt;=AsOfDate,IF($R55=0,$X55,IF(AND($T55&lt;&gt;"",EDATE($D55,Milestones!$AA$106)&gt;=$T55),$W55,IF(AND($S55&lt;&gt;"",EDATE($D55,Milestones!$AA$106)&gt;=$S55),$V55,$U55)))=Milestones!$AB$106),UPPER(TEXT(EDATE($D55,Milestones!$AA$106),"dd mmm yy"))&amp;" "&amp;Milestones!$AB$106&amp;" "&amp;Milestones!$AC$106&amp;";  ","")&amp;IF(AND(EDATE($D55,Milestones!$AA$107)&lt;=AsOfDate,IF($R55=0,$X55,IF(AND($T55&lt;&gt;"",EDATE($D55,Milestones!$AA$107)&gt;=$T55),$W55,IF(AND($S55&lt;&gt;"",EDATE($D55,Milestones!$AA$107)&gt;=$S55),$V55,$U55)))=Milestones!$AB$107),UPPER(TEXT(EDATE($D55,Milestones!$AA$107),"dd mmm yy"))&amp;" "&amp;Milestones!$AB$107&amp;" "&amp;Milestones!$AC$107&amp;";  ","")&amp;IF(AND(EDATE($D55,Milestones!$AA$108)&lt;=AsOfDate,IF($R55=0,$X55,IF(AND($T55&lt;&gt;"",EDATE($D55,Milestones!$AA$108)&gt;=$T55),$W55,IF(AND($S55&lt;&gt;"",EDATE($D55,Milestones!$AA$108)&gt;=$S55),$V55,$U55)))=Milestones!$AB$108),UPPER(TEXT(EDATE($D55,Milestones!$AA$108),"dd mmm yy"))&amp;" "&amp;Milestones!$AB$108&amp;" "&amp;Milestones!$AC$108&amp;";  ","")&amp;IF(AND(EDATE($D55,Milestones!$AA$109)&lt;=AsOfDate,IF($R55=0,$X55,IF(AND($T55&lt;&gt;"",EDATE($D55,Milestones!$AA$109)&gt;=$T55),$W55,IF(AND($S55&lt;&gt;"",EDATE($D55,Milestones!$AA$109)&gt;=$S55),$V55,$U55)))=Milestones!$AB$109),UPPER(TEXT(EDATE($D55,Milestones!$AA$109),"dd mmm yy"))&amp;" "&amp;Milestones!$AB$109&amp;" "&amp;Milestones!$AC$109&amp;";  ","")&amp;IF(AND(EDATE($D55,Milestones!$AA$110)&lt;=AsOfDate,IF($R55=0,$X55,IF(AND($T55&lt;&gt;"",EDATE($D55,Milestones!$AA$110)&gt;=$T55),$W55,IF(AND($S55&lt;&gt;"",EDATE($D55,Milestones!$AA$110)&gt;=$S55),$V55,$U55)))=Milestones!$AB$110),UPPER(TEXT(EDATE($D55,Milestones!$AA$110),"dd mmm yy"))&amp;" "&amp;Milestones!$AB$110&amp;" "&amp;Milestones!$AC$110&amp;";  ","")&amp;IF(AND(EDATE($D55,Milestones!$AA$111)&lt;=AsOfDate,IF($R55=0,$X55,IF(AND($T55&lt;&gt;"",EDATE($D55,Milestones!$AA$111)&gt;=$T55),$W55,IF(AND($S55&lt;&gt;"",EDATE($D55,Milestones!$AA$111)&gt;=$S55),$V55,$U55)))=Milestones!$AB$111),UPPER(TEXT(EDATE($D55,Milestones!$AA$111),"dd mmm yy"))&amp;" "&amp;Milestones!$AB$111&amp;" "&amp;Milestones!$AC$111&amp;";  ","")&amp;IF(AND(EDATE($D55,Milestones!$AA$112)&lt;=AsOfDate,IF($R55=0,$X55,IF(AND($T55&lt;&gt;"",EDATE($D55,Milestones!$AA$112)&gt;=$T55),$W55,IF(AND($S55&lt;&gt;"",EDATE($D55,Milestones!$AA$112)&gt;=$S55),$V55,$U55)))=Milestones!$AB$112),UPPER(TEXT(EDATE($D55,Milestones!$AA$112),"dd mmm yy"))&amp;" "&amp;Milestones!$AB$112&amp;" "&amp;Milestones!$AC$112&amp;";  ","")&amp;IF(AND(EDATE($D55,Milestones!$AA$113)&lt;=AsOfDate,IF($R55=0,$X55,IF(AND($T55&lt;&gt;"",EDATE($D55,Milestones!$AA$113)&gt;=$T55),$W55,IF(AND($S55&lt;&gt;"",EDATE($D55,Milestones!$AA$113)&gt;=$S55),$V55,$U55)))=Milestones!$AB$113),UPPER(TEXT(EDATE($D55,Milestones!$AA$113),"dd mmm yy"))&amp;" "&amp;Milestones!$AB$113&amp;" "&amp;Milestones!$AC$113&amp;";  ","")&amp;IF(AND(EDATE($D55,Milestones!$AA$114)&lt;=AsOfDate,IF($R55=0,$X55,IF(AND($T55&lt;&gt;"",EDATE($D55,Milestones!$AA$114)&gt;=$T55),$W55,IF(AND($S55&lt;&gt;"",EDATE($D55,Milestones!$AA$114)&gt;=$S55),$V55,$U55)))=Milestones!$AB$114),UPPER(TEXT(EDATE($D55,Milestones!$AA$114),"dd mmm yy"))&amp;" "&amp;Milestones!$AB$114&amp;" "&amp;Milestones!$AC$114&amp;";  ","")&amp;IF(AND(EDATE($D55,Milestones!$AA$115)&lt;=AsOfDate,IF($R55=0,$X55,IF(AND($T55&lt;&gt;"",EDATE($D55,Milestones!$AA$115)&gt;=$T55),$W55,IF(AND($S55&lt;&gt;"",EDATE($D55,Milestones!$AA$115)&gt;=$S55),$V55,$U55)))=Milestones!$AB$115),UPPER(TEXT(EDATE($D55,Milestones!$AA$115),"dd mmm yy"))&amp;" "&amp;Milestones!$AB$115&amp;" "&amp;Milestones!$AC$115&amp;";  ","")&amp;IF(AND(EDATE($D55,Milestones!$AA$116)&lt;=AsOfDate,IF($R55=0,$X55,IF(AND($T55&lt;&gt;"",EDATE($D55,Milestones!$AA$116)&gt;=$T55),$W55,IF(AND($S55&lt;&gt;"",EDATE($D55,Milestones!$AA$116)&gt;=$S55),$V55,$U55)))=Milestones!$AB$116),UPPER(TEXT(EDATE($D55,Milestones!$AA$116),"dd mmm yy"))&amp;" "&amp;Milestones!$AB$116&amp;" "&amp;Milestones!$AC$116&amp;";  ","")&amp;IF(AND(EDATE($D55,Milestones!$AA$117)&lt;=AsOfDate,IF($R55=0,$X55,IF(AND($T55&lt;&gt;"",EDATE($D55,Milestones!$AA$117)&gt;=$T55),$W55,IF(AND($S55&lt;&gt;"",EDATE($D55,Milestones!$AA$117)&gt;=$S55),$V55,$U55)))=Milestones!$AB$117),UPPER(TEXT(EDATE($D55,Milestones!$AA$117),"dd mmm yy"))&amp;" "&amp;Milestones!$AB$117&amp;" "&amp;Milestones!$AC$117&amp;";  ","")&amp;IF(AND(EDATE($D55,Milestones!$AA$118)&lt;=AsOfDate,IF($R55=0,$X55,IF(AND($T55&lt;&gt;"",EDATE($D55,Milestones!$AA$118)&gt;=$T55),$W55,IF(AND($S55&lt;&gt;"",EDATE($D55,Milestones!$AA$118)&gt;=$S55),$V55,$U55)))=Milestones!$AB$118),UPPER(TEXT(EDATE($D55,Milestones!$AA$118),"dd mmm yy"))&amp;" "&amp;Milestones!$AB$118&amp;" "&amp;Milestones!$AC$118&amp;";  ","")&amp;IF(AND(EDATE($D55,Milestones!$AA$119)&lt;=AsOfDate,IF($R55=0,$X55,IF(AND($T55&lt;&gt;"",EDATE($D55,Milestones!$AA$119)&gt;=$T55),$W55,IF(AND($S55&lt;&gt;"",EDATE($D55,Milestones!$AA$119)&gt;=$S55),$V55,$U55)))=Milestones!$AB$119),UPPER(TEXT(EDATE($D55,Milestones!$AA$119),"dd mmm yy"))&amp;" "&amp;Milestones!$AB$119&amp;" "&amp;Milestones!$AC$119&amp;";  ",""))</f>
        <v/>
      </c>
      <c r="N55" s="0" t="str">
        <f aca="false">IF(OR($A55="",$D55=""),"",IF(AND(EDATE($D55,Milestones!$AA$120)&lt;=AsOfDate,IF($R55=0,$X55,IF(AND($T55&lt;&gt;"",EDATE($D55,Milestones!$AA$120)&gt;=$T55),$W55,IF(AND($S55&lt;&gt;"",EDATE($D55,Milestones!$AA$120)&gt;=$S55),$V55,$U55)))=Milestones!$AB$120),UPPER(TEXT(EDATE($D55,Milestones!$AA$120),"dd mmm yy"))&amp;" "&amp;Milestones!$AB$120&amp;" "&amp;Milestones!$AC$120&amp;";  ","")&amp;IF(AND(EDATE($D55,Milestones!$AA$121)&lt;=AsOfDate,IF($R55=0,$X55,IF(AND($T55&lt;&gt;"",EDATE($D55,Milestones!$AA$121)&gt;=$T55),$W55,IF(AND($S55&lt;&gt;"",EDATE($D55,Milestones!$AA$121)&gt;=$S55),$V55,$U55)))=Milestones!$AB$121),UPPER(TEXT(EDATE($D55,Milestones!$AA$121),"dd mmm yy"))&amp;" "&amp;Milestones!$AB$121&amp;" "&amp;Milestones!$AC$121&amp;";  ","")&amp;IF(AND(EDATE($D55,Milestones!$AA$122)&lt;=AsOfDate,IF($R55=0,$X55,IF(AND($T55&lt;&gt;"",EDATE($D55,Milestones!$AA$122)&gt;=$T55),$W55,IF(AND($S55&lt;&gt;"",EDATE($D55,Milestones!$AA$122)&gt;=$S55),$V55,$U55)))=Milestones!$AB$122),UPPER(TEXT(EDATE($D55,Milestones!$AA$122),"dd mmm yy"))&amp;" "&amp;Milestones!$AB$122&amp;" "&amp;Milestones!$AC$122&amp;";  ","")&amp;IF(AND(EDATE($D55,Milestones!$AA$123)&lt;=AsOfDate,IF($R55=0,$X55,IF(AND($T55&lt;&gt;"",EDATE($D55,Milestones!$AA$123)&gt;=$T55),$W55,IF(AND($S55&lt;&gt;"",EDATE($D55,Milestones!$AA$123)&gt;=$S55),$V55,$U55)))=Milestones!$AB$123),UPPER(TEXT(EDATE($D55,Milestones!$AA$123),"dd mmm yy"))&amp;" "&amp;Milestones!$AB$123&amp;" "&amp;Milestones!$AC$123&amp;";  ","")&amp;IF(AND(EDATE($D55,Milestones!$AA$124)&lt;=AsOfDate,IF($R55=0,$X55,IF(AND($T55&lt;&gt;"",EDATE($D55,Milestones!$AA$124)&gt;=$T55),$W55,IF(AND($S55&lt;&gt;"",EDATE($D55,Milestones!$AA$124)&gt;=$S55),$V55,$U55)))=Milestones!$AB$124),UPPER(TEXT(EDATE($D55,Milestones!$AA$124),"dd mmm yy"))&amp;" "&amp;Milestones!$AB$124&amp;" "&amp;Milestones!$AC$124&amp;";  ","")&amp;IF(AND(EDATE($D55,Milestones!$AA$125)&lt;=AsOfDate,IF($R55=0,$X55,IF(AND($T55&lt;&gt;"",EDATE($D55,Milestones!$AA$125)&gt;=$T55),$W55,IF(AND($S55&lt;&gt;"",EDATE($D55,Milestones!$AA$125)&gt;=$S55),$V55,$U55)))=Milestones!$AB$125),UPPER(TEXT(EDATE($D55,Milestones!$AA$125),"dd mmm yy"))&amp;" "&amp;Milestones!$AB$125&amp;" "&amp;Milestones!$AC$125&amp;";  ","")&amp;IF(AND(EDATE($D55,Milestones!$AA$126)&lt;=AsOfDate,IF($R55=0,$X55,IF(AND($T55&lt;&gt;"",EDATE($D55,Milestones!$AA$126)&gt;=$T55),$W55,IF(AND($S55&lt;&gt;"",EDATE($D55,Milestones!$AA$126)&gt;=$S55),$V55,$U55)))=Milestones!$AB$126),UPPER(TEXT(EDATE($D55,Milestones!$AA$126),"dd mmm yy"))&amp;" "&amp;Milestones!$AB$126&amp;" "&amp;Milestones!$AC$126&amp;";  ","")&amp;IF(AND(EDATE($D55,Milestones!$AA$127)&lt;=AsOfDate,IF($R55=0,$X55,IF(AND($T55&lt;&gt;"",EDATE($D55,Milestones!$AA$127)&gt;=$T55),$W55,IF(AND($S55&lt;&gt;"",EDATE($D55,Milestones!$AA$127)&gt;=$S55),$V55,$U55)))=Milestones!$AB$127),UPPER(TEXT(EDATE($D55,Milestones!$AA$127),"dd mmm yy"))&amp;" "&amp;Milestones!$AB$127&amp;" "&amp;Milestones!$AC$127&amp;";  ","")&amp;IF(AND(EDATE($D55,Milestones!$AA$128)&lt;=AsOfDate,IF($R55=0,$X55,IF(AND($T55&lt;&gt;"",EDATE($D55,Milestones!$AA$128)&gt;=$T55),$W55,IF(AND($S55&lt;&gt;"",EDATE($D55,Milestones!$AA$128)&gt;=$S55),$V55,$U55)))=Milestones!$AB$128),UPPER(TEXT(EDATE($D55,Milestones!$AA$128),"dd mmm yy"))&amp;" "&amp;Milestones!$AB$128&amp;" "&amp;Milestones!$AC$128&amp;";  ","")&amp;IF(AND(EDATE($D55,Milestones!$AA$129)&lt;=AsOfDate,IF($R55=0,$X55,IF(AND($T55&lt;&gt;"",EDATE($D55,Milestones!$AA$129)&gt;=$T55),$W55,IF(AND($S55&lt;&gt;"",EDATE($D55,Milestones!$AA$129)&gt;=$S55),$V55,$U55)))=Milestones!$AB$129),UPPER(TEXT(EDATE($D55,Milestones!$AA$129),"dd mmm yy"))&amp;" "&amp;Milestones!$AB$129&amp;" "&amp;Milestones!$AC$129&amp;";  ","")&amp;IF(AND(EDATE($D55,Milestones!$AA$130)&lt;=AsOfDate,IF($R55=0,$X55,IF(AND($T55&lt;&gt;"",EDATE($D55,Milestones!$AA$130)&gt;=$T55),$W55,IF(AND($S55&lt;&gt;"",EDATE($D55,Milestones!$AA$130)&gt;=$S55),$V55,$U55)))=Milestones!$AB$130),UPPER(TEXT(EDATE($D55,Milestones!$AA$130),"dd mmm yy"))&amp;" "&amp;Milestones!$AB$130&amp;" "&amp;Milestones!$AC$130&amp;";  ","")&amp;IF(AND(EDATE($D55,Milestones!$AA$131)&lt;=AsOfDate,IF($R55=0,$X55,IF(AND($T55&lt;&gt;"",EDATE($D55,Milestones!$AA$131)&gt;=$T55),$W55,IF(AND($S55&lt;&gt;"",EDATE($D55,Milestones!$AA$131)&gt;=$S55),$V55,$U55)))=Milestones!$AB$131),UPPER(TEXT(EDATE($D55,Milestones!$AA$131),"dd mmm yy"))&amp;" "&amp;Milestones!$AB$131&amp;" "&amp;Milestones!$AC$131&amp;";  ","")&amp;IF(AND(EDATE($D55,Milestones!$AA$132)&lt;=AsOfDate,IF($R55=0,$X55,IF(AND($T55&lt;&gt;"",EDATE($D55,Milestones!$AA$132)&gt;=$T55),$W55,IF(AND($S55&lt;&gt;"",EDATE($D55,Milestones!$AA$132)&gt;=$S55),$V55,$U55)))=Milestones!$AB$132),UPPER(TEXT(EDATE($D55,Milestones!$AA$132),"dd mmm yy"))&amp;" "&amp;Milestones!$AB$132&amp;" "&amp;Milestones!$AC$132&amp;";  ","")&amp;IF(AND(EDATE($D55,Milestones!$AA$133)&lt;=AsOfDate,IF($R55=0,$X55,IF(AND($T55&lt;&gt;"",EDATE($D55,Milestones!$AA$133)&gt;=$T55),$W55,IF(AND($S55&lt;&gt;"",EDATE($D55,Milestones!$AA$133)&gt;=$S55),$V55,$U55)))=Milestones!$AB$133),UPPER(TEXT(EDATE($D55,Milestones!$AA$133),"dd mmm yy"))&amp;" "&amp;Milestones!$AB$133&amp;" "&amp;Milestones!$AC$133&amp;";  ","")&amp;IF(AND(EDATE($D55,Milestones!$AA$134)&lt;=AsOfDate,IF($R55=0,$X55,IF(AND($T55&lt;&gt;"",EDATE($D55,Milestones!$AA$134)&gt;=$T55),$W55,IF(AND($S55&lt;&gt;"",EDATE($D55,Milestones!$AA$134)&gt;=$S55),$V55,$U55)))=Milestones!$AB$134),UPPER(TEXT(EDATE($D55,Milestones!$AA$134),"dd mmm yy"))&amp;" "&amp;Milestones!$AB$134&amp;" "&amp;Milestones!$AC$134&amp;";  ","")&amp;IF(AND(EDATE($D55,Milestones!$AA$135)&lt;=AsOfDate,IF($R55=0,$X55,IF(AND($T55&lt;&gt;"",EDATE($D55,Milestones!$AA$135)&gt;=$T55),$W55,IF(AND($S55&lt;&gt;"",EDATE($D55,Milestones!$AA$135)&gt;=$S55),$V55,$U55)))=Milestones!$AB$135),UPPER(TEXT(EDATE($D55,Milestones!$AA$135),"dd mmm yy"))&amp;" "&amp;Milestones!$AB$135&amp;" "&amp;Milestones!$AC$135&amp;";  ","")&amp;IF(AND(EDATE($D55,Milestones!$AA$136)&lt;=AsOfDate,IF($R55=0,$X55,IF(AND($T55&lt;&gt;"",EDATE($D55,Milestones!$AA$136)&gt;=$T55),$W55,IF(AND($S55&lt;&gt;"",EDATE($D55,Milestones!$AA$136)&gt;=$S55),$V55,$U55)))=Milestones!$AB$136),UPPER(TEXT(EDATE($D55,Milestones!$AA$136),"dd mmm yy"))&amp;" "&amp;Milestones!$AB$136&amp;" "&amp;Milestones!$AC$136&amp;";  ","")&amp;IF(AND(EDATE($D55,Milestones!$AA$137)&lt;=AsOfDate,IF($R55=0,$X55,IF(AND($T55&lt;&gt;"",EDATE($D55,Milestones!$AA$137)&gt;=$T55),$W55,IF(AND($S55&lt;&gt;"",EDATE($D55,Milestones!$AA$137)&gt;=$S55),$V55,$U55)))=Milestones!$AB$137),UPPER(TEXT(EDATE($D55,Milestones!$AA$137),"dd mmm yy"))&amp;" "&amp;Milestones!$AB$137&amp;" "&amp;Milestones!$AC$137&amp;";  ","")&amp;IF(AND(EDATE($D55,Milestones!$AA$138)&lt;=AsOfDate,IF($R55=0,$X55,IF(AND($T55&lt;&gt;"",EDATE($D55,Milestones!$AA$138)&gt;=$T55),$W55,IF(AND($S55&lt;&gt;"",EDATE($D55,Milestones!$AA$138)&gt;=$S55),$V55,$U55)))=Milestones!$AB$138),UPPER(TEXT(EDATE($D55,Milestones!$AA$138),"dd mmm yy"))&amp;" "&amp;Milestones!$AB$138&amp;" "&amp;Milestones!$AC$138&amp;";  ","")&amp;IF(AND(EDATE($D55,Milestones!$AA$139)&lt;=AsOfDate,IF($R55=0,$X55,IF(AND($T55&lt;&gt;"",EDATE($D55,Milestones!$AA$139)&gt;=$T55),$W55,IF(AND($S55&lt;&gt;"",EDATE($D55,Milestones!$AA$139)&gt;=$S55),$V55,$U55)))=Milestones!$AB$139),UPPER(TEXT(EDATE($D55,Milestones!$AA$139),"dd mmm yy"))&amp;" "&amp;Milestones!$AB$139&amp;" "&amp;Milestones!$AC$139&amp;";  ",""))</f>
        <v/>
      </c>
      <c r="O55" s="0" t="str">
        <f aca="false">IF(OR($A55="",$D55=""),"",IF(AND(EDATE($D55,Milestones!$AA$140)&lt;=AsOfDate,IF($R55=0,$X55,IF(AND($T55&lt;&gt;"",EDATE($D55,Milestones!$AA$140)&gt;=$T55),$W55,IF(AND($S55&lt;&gt;"",EDATE($D55,Milestones!$AA$140)&gt;=$S55),$V55,$U55)))=Milestones!$AB$140),UPPER(TEXT(EDATE($D55,Milestones!$AA$140),"dd mmm yy"))&amp;" "&amp;Milestones!$AB$140&amp;" "&amp;Milestones!$AC$140&amp;";  ","")&amp;IF(AND(EDATE($D55,Milestones!$AA$141)&lt;=AsOfDate,IF($R55=0,$X55,IF(AND($T55&lt;&gt;"",EDATE($D55,Milestones!$AA$141)&gt;=$T55),$W55,IF(AND($S55&lt;&gt;"",EDATE($D55,Milestones!$AA$141)&gt;=$S55),$V55,$U55)))=Milestones!$AB$141),UPPER(TEXT(EDATE($D55,Milestones!$AA$141),"dd mmm yy"))&amp;" "&amp;Milestones!$AB$141&amp;" "&amp;Milestones!$AC$141&amp;";  ","")&amp;IF(AND(EDATE($D55,Milestones!$AA$142)&lt;=AsOfDate,IF($R55=0,$X55,IF(AND($T55&lt;&gt;"",EDATE($D55,Milestones!$AA$142)&gt;=$T55),$W55,IF(AND($S55&lt;&gt;"",EDATE($D55,Milestones!$AA$142)&gt;=$S55),$V55,$U55)))=Milestones!$AB$142),UPPER(TEXT(EDATE($D55,Milestones!$AA$142),"dd mmm yy"))&amp;" "&amp;Milestones!$AB$142&amp;" "&amp;Milestones!$AC$142&amp;";  ","")&amp;IF(AND(EDATE($D55,Milestones!$AA$143)&lt;=AsOfDate,IF($R55=0,$X55,IF(AND($T55&lt;&gt;"",EDATE($D55,Milestones!$AA$143)&gt;=$T55),$W55,IF(AND($S55&lt;&gt;"",EDATE($D55,Milestones!$AA$143)&gt;=$S55),$V55,$U55)))=Milestones!$AB$143),UPPER(TEXT(EDATE($D55,Milestones!$AA$143),"dd mmm yy"))&amp;" "&amp;Milestones!$AB$143&amp;" "&amp;Milestones!$AC$143&amp;";  ","")&amp;IF(AND(EDATE($D55,Milestones!$AA$144)&lt;=AsOfDate,IF($R55=0,$X55,IF(AND($T55&lt;&gt;"",EDATE($D55,Milestones!$AA$144)&gt;=$T55),$W55,IF(AND($S55&lt;&gt;"",EDATE($D55,Milestones!$AA$144)&gt;=$S55),$V55,$U55)))=Milestones!$AB$144),UPPER(TEXT(EDATE($D55,Milestones!$AA$144),"dd mmm yy"))&amp;" "&amp;Milestones!$AB$144&amp;" "&amp;Milestones!$AC$144&amp;";  ","")&amp;IF(AND(EDATE($D55,Milestones!$AA$145)&lt;=AsOfDate,IF($R55=0,$X55,IF(AND($T55&lt;&gt;"",EDATE($D55,Milestones!$AA$145)&gt;=$T55),$W55,IF(AND($S55&lt;&gt;"",EDATE($D55,Milestones!$AA$145)&gt;=$S55),$V55,$U55)))=Milestones!$AB$145),UPPER(TEXT(EDATE($D55,Milestones!$AA$145),"dd mmm yy"))&amp;" "&amp;Milestones!$AB$145&amp;" "&amp;Milestones!$AC$145&amp;";  ","")&amp;IF(AND(EDATE($D55,Milestones!$AA$146)&lt;=AsOfDate,IF($R55=0,$X55,IF(AND($T55&lt;&gt;"",EDATE($D55,Milestones!$AA$146)&gt;=$T55),$W55,IF(AND($S55&lt;&gt;"",EDATE($D55,Milestones!$AA$146)&gt;=$S55),$V55,$U55)))=Milestones!$AB$146),UPPER(TEXT(EDATE($D55,Milestones!$AA$146),"dd mmm yy"))&amp;" "&amp;Milestones!$AB$146&amp;" "&amp;Milestones!$AC$146&amp;";  ","")&amp;IF(AND(EDATE($D55,Milestones!$AA$147)&lt;=AsOfDate,IF($R55=0,$X55,IF(AND($T55&lt;&gt;"",EDATE($D55,Milestones!$AA$147)&gt;=$T55),$W55,IF(AND($S55&lt;&gt;"",EDATE($D55,Milestones!$AA$147)&gt;=$S55),$V55,$U55)))=Milestones!$AB$147),UPPER(TEXT(EDATE($D55,Milestones!$AA$147),"dd mmm yy"))&amp;" "&amp;Milestones!$AB$147&amp;" "&amp;Milestones!$AC$147&amp;";  ","")&amp;IF(AND(EDATE($D55,Milestones!$AA$148)&lt;=AsOfDate,IF($R55=0,$X55,IF(AND($T55&lt;&gt;"",EDATE($D55,Milestones!$AA$148)&gt;=$T55),$W55,IF(AND($S55&lt;&gt;"",EDATE($D55,Milestones!$AA$148)&gt;=$S55),$V55,$U55)))=Milestones!$AB$148),UPPER(TEXT(EDATE($D55,Milestones!$AA$148),"dd mmm yy"))&amp;" "&amp;Milestones!$AB$148&amp;" "&amp;Milestones!$AC$148&amp;";  ","")&amp;IF(AND(EDATE($D55,Milestones!$AA$149)&lt;=AsOfDate,IF($R55=0,$X55,IF(AND($T55&lt;&gt;"",EDATE($D55,Milestones!$AA$149)&gt;=$T55),$W55,IF(AND($S55&lt;&gt;"",EDATE($D55,Milestones!$AA$149)&gt;=$S55),$V55,$U55)))=Milestones!$AB$149),UPPER(TEXT(EDATE($D55,Milestones!$AA$149),"dd mmm yy"))&amp;" "&amp;Milestones!$AB$149&amp;" "&amp;Milestones!$AC$149&amp;";  ","")&amp;IF(AND(EDATE($D55,Milestones!$AA$150)&lt;=AsOfDate,IF($R55=0,$X55,IF(AND($T55&lt;&gt;"",EDATE($D55,Milestones!$AA$150)&gt;=$T55),$W55,IF(AND($S55&lt;&gt;"",EDATE($D55,Milestones!$AA$150)&gt;=$S55),$V55,$U55)))=Milestones!$AB$150),UPPER(TEXT(EDATE($D55,Milestones!$AA$150),"dd mmm yy"))&amp;" "&amp;Milestones!$AB$150&amp;" "&amp;Milestones!$AC$150&amp;";  ","")&amp;IF(AND(EDATE($D55,Milestones!$AA$151)&lt;=AsOfDate,IF($R55=0,$X55,IF(AND($T55&lt;&gt;"",EDATE($D55,Milestones!$AA$151)&gt;=$T55),$W55,IF(AND($S55&lt;&gt;"",EDATE($D55,Milestones!$AA$151)&gt;=$S55),$V55,$U55)))=Milestones!$AB$151),UPPER(TEXT(EDATE($D55,Milestones!$AA$151),"dd mmm yy"))&amp;" "&amp;Milestones!$AB$151&amp;" "&amp;Milestones!$AC$151&amp;";  ","")&amp;IF(AND(EDATE($D55,Milestones!$AA$152)&lt;=AsOfDate,IF($R55=0,$X55,IF(AND($T55&lt;&gt;"",EDATE($D55,Milestones!$AA$152)&gt;=$T55),$W55,IF(AND($S55&lt;&gt;"",EDATE($D55,Milestones!$AA$152)&gt;=$S55),$V55,$U55)))=Milestones!$AB$152),UPPER(TEXT(EDATE($D55,Milestones!$AA$152),"dd mmm yy"))&amp;" "&amp;Milestones!$AB$152&amp;" "&amp;Milestones!$AC$152&amp;";  ","")&amp;IF(AND(EDATE($D55,Milestones!$AA$153)&lt;=AsOfDate,IF($R55=0,$X55,IF(AND($T55&lt;&gt;"",EDATE($D55,Milestones!$AA$153)&gt;=$T55),$W55,IF(AND($S55&lt;&gt;"",EDATE($D55,Milestones!$AA$153)&gt;=$S55),$V55,$U55)))=Milestones!$AB$153),UPPER(TEXT(EDATE($D55,Milestones!$AA$153),"dd mmm yy"))&amp;" "&amp;Milestones!$AB$153&amp;" "&amp;Milestones!$AC$153&amp;";  ","")&amp;IF(AND(EDATE($D55,Milestones!$AA$154)&lt;=AsOfDate,IF($R55=0,$X55,IF(AND($T55&lt;&gt;"",EDATE($D55,Milestones!$AA$154)&gt;=$T55),$W55,IF(AND($S55&lt;&gt;"",EDATE($D55,Milestones!$AA$154)&gt;=$S55),$V55,$U55)))=Milestones!$AB$154),UPPER(TEXT(EDATE($D55,Milestones!$AA$154),"dd mmm yy"))&amp;" "&amp;Milestones!$AB$154&amp;" "&amp;Milestones!$AC$154&amp;";  ","")&amp;IF(AND(EDATE($D55,Milestones!$AA$155)&lt;=AsOfDate,IF($R55=0,$X55,IF(AND($T55&lt;&gt;"",EDATE($D55,Milestones!$AA$155)&gt;=$T55),$W55,IF(AND($S55&lt;&gt;"",EDATE($D55,Milestones!$AA$155)&gt;=$S55),$V55,$U55)))=Milestones!$AB$155),UPPER(TEXT(EDATE($D55,Milestones!$AA$155),"dd mmm yy"))&amp;" "&amp;Milestones!$AB$155&amp;" "&amp;Milestones!$AC$155&amp;";  ","")&amp;IF(AND(EDATE($D55,Milestones!$AA$156)&lt;=AsOfDate,IF($R55=0,$X55,IF(AND($T55&lt;&gt;"",EDATE($D55,Milestones!$AA$156)&gt;=$T55),$W55,IF(AND($S55&lt;&gt;"",EDATE($D55,Milestones!$AA$156)&gt;=$S55),$V55,$U55)))=Milestones!$AB$156),UPPER(TEXT(EDATE($D55,Milestones!$AA$156),"dd mmm yy"))&amp;" "&amp;Milestones!$AB$156&amp;" "&amp;Milestones!$AC$156&amp;";  ","")&amp;IF(AND(EDATE($D55,Milestones!$AA$157)&lt;=AsOfDate,IF($R55=0,$X55,IF(AND($T55&lt;&gt;"",EDATE($D55,Milestones!$AA$157)&gt;=$T55),$W55,IF(AND($S55&lt;&gt;"",EDATE($D55,Milestones!$AA$157)&gt;=$S55),$V55,$U55)))=Milestones!$AB$157),UPPER(TEXT(EDATE($D55,Milestones!$AA$157),"dd mmm yy"))&amp;" "&amp;Milestones!$AB$157&amp;" "&amp;Milestones!$AC$157&amp;";  ","")&amp;IF(AND(EDATE($D55,Milestones!$AA$158)&lt;=AsOfDate,IF($R55=0,$X55,IF(AND($T55&lt;&gt;"",EDATE($D55,Milestones!$AA$158)&gt;=$T55),$W55,IF(AND($S55&lt;&gt;"",EDATE($D55,Milestones!$AA$158)&gt;=$S55),$V55,$U55)))=Milestones!$AB$158),UPPER(TEXT(EDATE($D55,Milestones!$AA$158),"dd mmm yy"))&amp;" "&amp;Milestones!$AB$158&amp;" "&amp;Milestones!$AC$158&amp;";  ","")&amp;IF(AND(EDATE($D55,Milestones!$AA$159)&lt;=AsOfDate,IF($R55=0,$X55,IF(AND($T55&lt;&gt;"",EDATE($D55,Milestones!$AA$159)&gt;=$T55),$W55,IF(AND($S55&lt;&gt;"",EDATE($D55,Milestones!$AA$159)&gt;=$S55),$V55,$U55)))=Milestones!$AB$159),UPPER(TEXT(EDATE($D55,Milestones!$AA$159),"dd mmm yy"))&amp;" "&amp;Milestones!$AB$159&amp;" "&amp;Milestones!$AC$159&amp;";  ",""))</f>
        <v/>
      </c>
      <c r="P55" s="0" t="str">
        <f aca="false">IF(OR($A55="",$D55=""),"",IF(AND(EDATE($D55,Milestones!$AA$160)&lt;=AsOfDate,IF($R55=0,$X55,IF(AND($T55&lt;&gt;"",EDATE($D55,Milestones!$AA$160)&gt;=$T55),$W55,IF(AND($S55&lt;&gt;"",EDATE($D55,Milestones!$AA$160)&gt;=$S55),$V55,$U55)))=Milestones!$AB$160),UPPER(TEXT(EDATE($D55,Milestones!$AA$160),"dd mmm yy"))&amp;" "&amp;Milestones!$AB$160&amp;" "&amp;Milestones!$AC$160&amp;";  ","")&amp;IF(AND(EDATE($D55,Milestones!$AA$161)&lt;=AsOfDate,IF($R55=0,$X55,IF(AND($T55&lt;&gt;"",EDATE($D55,Milestones!$AA$161)&gt;=$T55),$W55,IF(AND($S55&lt;&gt;"",EDATE($D55,Milestones!$AA$161)&gt;=$S55),$V55,$U55)))=Milestones!$AB$161),UPPER(TEXT(EDATE($D55,Milestones!$AA$161),"dd mmm yy"))&amp;" "&amp;Milestones!$AB$161&amp;" "&amp;Milestones!$AC$161&amp;";  ","")&amp;IF(AND(EDATE($D55,Milestones!$AA$162)&lt;=AsOfDate,IF($R55=0,$X55,IF(AND($T55&lt;&gt;"",EDATE($D55,Milestones!$AA$162)&gt;=$T55),$W55,IF(AND($S55&lt;&gt;"",EDATE($D55,Milestones!$AA$162)&gt;=$S55),$V55,$U55)))=Milestones!$AB$162),UPPER(TEXT(EDATE($D55,Milestones!$AA$162),"dd mmm yy"))&amp;" "&amp;Milestones!$AB$162&amp;" "&amp;Milestones!$AC$162&amp;";  ","")&amp;IF(AND(EDATE($D55,Milestones!$AA$163)&lt;=AsOfDate,IF($R55=0,$X55,IF(AND($T55&lt;&gt;"",EDATE($D55,Milestones!$AA$163)&gt;=$T55),$W55,IF(AND($S55&lt;&gt;"",EDATE($D55,Milestones!$AA$163)&gt;=$S55),$V55,$U55)))=Milestones!$AB$163),UPPER(TEXT(EDATE($D55,Milestones!$AA$163),"dd mmm yy"))&amp;" "&amp;Milestones!$AB$163&amp;" "&amp;Milestones!$AC$163&amp;";  ","")&amp;IF(AND(EDATE($D55,Milestones!$AA$164)&lt;=AsOfDate,IF($R55=0,$X55,IF(AND($T55&lt;&gt;"",EDATE($D55,Milestones!$AA$164)&gt;=$T55),$W55,IF(AND($S55&lt;&gt;"",EDATE($D55,Milestones!$AA$164)&gt;=$S55),$V55,$U55)))=Milestones!$AB$164),UPPER(TEXT(EDATE($D55,Milestones!$AA$164),"dd mmm yy"))&amp;" "&amp;Milestones!$AB$164&amp;" "&amp;Milestones!$AC$164&amp;";  ","")&amp;IF(AND(EDATE($D55,Milestones!$AA$165)&lt;=AsOfDate,IF($R55=0,$X55,IF(AND($T55&lt;&gt;"",EDATE($D55,Milestones!$AA$165)&gt;=$T55),$W55,IF(AND($S55&lt;&gt;"",EDATE($D55,Milestones!$AA$165)&gt;=$S55),$V55,$U55)))=Milestones!$AB$165),UPPER(TEXT(EDATE($D55,Milestones!$AA$165),"dd mmm yy"))&amp;" "&amp;Milestones!$AB$165&amp;" "&amp;Milestones!$AC$165&amp;";  ","")&amp;IF(AND(EDATE($D55,Milestones!$AA$166)&lt;=AsOfDate,IF($R55=0,$X55,IF(AND($T55&lt;&gt;"",EDATE($D55,Milestones!$AA$166)&gt;=$T55),$W55,IF(AND($S55&lt;&gt;"",EDATE($D55,Milestones!$AA$166)&gt;=$S55),$V55,$U55)))=Milestones!$AB$166),UPPER(TEXT(EDATE($D55,Milestones!$AA$166),"dd mmm yy"))&amp;" "&amp;Milestones!$AB$166&amp;" "&amp;Milestones!$AC$166&amp;";  ","")&amp;IF(AND(EDATE($D55,Milestones!$AA$167)&lt;=AsOfDate,IF($R55=0,$X55,IF(AND($T55&lt;&gt;"",EDATE($D55,Milestones!$AA$167)&gt;=$T55),$W55,IF(AND($S55&lt;&gt;"",EDATE($D55,Milestones!$AA$167)&gt;=$S55),$V55,$U55)))=Milestones!$AB$167),UPPER(TEXT(EDATE($D55,Milestones!$AA$167),"dd mmm yy"))&amp;" "&amp;Milestones!$AB$167&amp;" "&amp;Milestones!$AC$167&amp;";  ","")&amp;IF(AND(EDATE($D55,Milestones!$AA$168)&lt;=AsOfDate,IF($R55=0,$X55,IF(AND($T55&lt;&gt;"",EDATE($D55,Milestones!$AA$168)&gt;=$T55),$W55,IF(AND($S55&lt;&gt;"",EDATE($D55,Milestones!$AA$168)&gt;=$S55),$V55,$U55)))=Milestones!$AB$168),UPPER(TEXT(EDATE($D55,Milestones!$AA$168),"dd mmm yy"))&amp;" "&amp;Milestones!$AB$168&amp;" "&amp;Milestones!$AC$168&amp;";  ","")&amp;IF(AND(EDATE($D55,Milestones!$AA$169)&lt;=AsOfDate,IF($R55=0,$X55,IF(AND($T55&lt;&gt;"",EDATE($D55,Milestones!$AA$169)&gt;=$T55),$W55,IF(AND($S55&lt;&gt;"",EDATE($D55,Milestones!$AA$169)&gt;=$S55),$V55,$U55)))=Milestones!$AB$169),UPPER(TEXT(EDATE($D55,Milestones!$AA$169),"dd mmm yy"))&amp;" "&amp;Milestones!$AB$169&amp;" "&amp;Milestones!$AC$169&amp;";  ","")&amp;IF(AND(EDATE($D55,Milestones!$AA$170)&lt;=AsOfDate,IF($R55=0,$X55,IF(AND($T55&lt;&gt;"",EDATE($D55,Milestones!$AA$170)&gt;=$T55),$W55,IF(AND($S55&lt;&gt;"",EDATE($D55,Milestones!$AA$170)&gt;=$S55),$V55,$U55)))=Milestones!$AB$170),UPPER(TEXT(EDATE($D55,Milestones!$AA$170),"dd mmm yy"))&amp;" "&amp;Milestones!$AB$170&amp;" "&amp;Milestones!$AC$170&amp;";  ","")&amp;IF(AND(EDATE($D55,Milestones!$AA$171)&lt;=AsOfDate,IF($R55=0,$X55,IF(AND($T55&lt;&gt;"",EDATE($D55,Milestones!$AA$171)&gt;=$T55),$W55,IF(AND($S55&lt;&gt;"",EDATE($D55,Milestones!$AA$171)&gt;=$S55),$V55,$U55)))=Milestones!$AB$171),UPPER(TEXT(EDATE($D55,Milestones!$AA$171),"dd mmm yy"))&amp;" "&amp;Milestones!$AB$171&amp;" "&amp;Milestones!$AC$171&amp;";  ","")&amp;IF(AND(EDATE($D55,Milestones!$AA$172)&lt;=AsOfDate,IF($R55=0,$X55,IF(AND($T55&lt;&gt;"",EDATE($D55,Milestones!$AA$172)&gt;=$T55),$W55,IF(AND($S55&lt;&gt;"",EDATE($D55,Milestones!$AA$172)&gt;=$S55),$V55,$U55)))=Milestones!$AB$172),UPPER(TEXT(EDATE($D55,Milestones!$AA$172),"dd mmm yy"))&amp;" "&amp;Milestones!$AB$172&amp;" "&amp;Milestones!$AC$172&amp;";  ","")&amp;IF(AND(EDATE($D55,Milestones!$AA$173)&lt;=AsOfDate,IF($R55=0,$X55,IF(AND($T55&lt;&gt;"",EDATE($D55,Milestones!$AA$173)&gt;=$T55),$W55,IF(AND($S55&lt;&gt;"",EDATE($D55,Milestones!$AA$173)&gt;=$S55),$V55,$U55)))=Milestones!$AB$173),UPPER(TEXT(EDATE($D55,Milestones!$AA$173),"dd mmm yy"))&amp;" "&amp;Milestones!$AB$173&amp;" "&amp;Milestones!$AC$173&amp;";  ","")&amp;IF(AND(EDATE($D55,Milestones!$AA$174)&lt;=AsOfDate,IF($R55=0,$X55,IF(AND($T55&lt;&gt;"",EDATE($D55,Milestones!$AA$174)&gt;=$T55),$W55,IF(AND($S55&lt;&gt;"",EDATE($D55,Milestones!$AA$174)&gt;=$S55),$V55,$U55)))=Milestones!$AB$174),UPPER(TEXT(EDATE($D55,Milestones!$AA$174),"dd mmm yy"))&amp;" "&amp;Milestones!$AB$174&amp;" "&amp;Milestones!$AC$174&amp;";  ","")&amp;IF(AND(EDATE($D55,Milestones!$AA$175)&lt;=AsOfDate,IF($R55=0,$X55,IF(AND($T55&lt;&gt;"",EDATE($D55,Milestones!$AA$175)&gt;=$T55),$W55,IF(AND($S55&lt;&gt;"",EDATE($D55,Milestones!$AA$175)&gt;=$S55),$V55,$U55)))=Milestones!$AB$175),UPPER(TEXT(EDATE($D55,Milestones!$AA$175),"dd mmm yy"))&amp;" "&amp;Milestones!$AB$175&amp;" "&amp;Milestones!$AC$175&amp;";  ","")&amp;IF(AND(EDATE($D55,Milestones!$AA$176)&lt;=AsOfDate,IF($R55=0,$X55,IF(AND($T55&lt;&gt;"",EDATE($D55,Milestones!$AA$176)&gt;=$T55),$W55,IF(AND($S55&lt;&gt;"",EDATE($D55,Milestones!$AA$176)&gt;=$S55),$V55,$U55)))=Milestones!$AB$176),UPPER(TEXT(EDATE($D55,Milestones!$AA$176),"dd mmm yy"))&amp;" "&amp;Milestones!$AB$176&amp;" "&amp;Milestones!$AC$176&amp;";  ","")&amp;IF(AND(EDATE($D55,Milestones!$AA$177)&lt;=AsOfDate,IF($R55=0,$X55,IF(AND($T55&lt;&gt;"",EDATE($D55,Milestones!$AA$177)&gt;=$T55),$W55,IF(AND($S55&lt;&gt;"",EDATE($D55,Milestones!$AA$177)&gt;=$S55),$V55,$U55)))=Milestones!$AB$177),UPPER(TEXT(EDATE($D55,Milestones!$AA$177),"dd mmm yy"))&amp;" "&amp;Milestones!$AB$177&amp;" "&amp;Milestones!$AC$177&amp;";  ","")&amp;IF(AND(EDATE($D55,Milestones!$AA$178)&lt;=AsOfDate,IF($R55=0,$X55,IF(AND($T55&lt;&gt;"",EDATE($D55,Milestones!$AA$178)&gt;=$T55),$W55,IF(AND($S55&lt;&gt;"",EDATE($D55,Milestones!$AA$178)&gt;=$S55),$V55,$U55)))=Milestones!$AB$178),UPPER(TEXT(EDATE($D55,Milestones!$AA$178),"dd mmm yy"))&amp;" "&amp;Milestones!$AB$178&amp;" "&amp;Milestones!$AC$178&amp;";  ","")&amp;IF(AND(EDATE($D55,Milestones!$AA$179)&lt;=AsOfDate,IF($R55=0,$X55,IF(AND($T55&lt;&gt;"",EDATE($D55,Milestones!$AA$179)&gt;=$T55),$W55,IF(AND($S55&lt;&gt;"",EDATE($D55,Milestones!$AA$179)&gt;=$S55),$V55,$U55)))=Milestones!$AB$179),UPPER(TEXT(EDATE($D55,Milestones!$AA$179),"dd mmm yy"))&amp;" "&amp;Milestones!$AB$179&amp;" "&amp;Milestones!$AC$179&amp;";  ",""))</f>
        <v/>
      </c>
      <c r="Q55" s="0" t="str">
        <f aca="false">IF(OR($A55="",$D55=""),"",IF(AND(EDATE($D55,Milestones!$AA$180)&lt;=AsOfDate,IF($R55=0,$X55,IF(AND($T55&lt;&gt;"",EDATE($D55,Milestones!$AA$180)&gt;=$T55),$W55,IF(AND($S55&lt;&gt;"",EDATE($D55,Milestones!$AA$180)&gt;=$S55),$V55,$U55)))=Milestones!$AB$180),UPPER(TEXT(EDATE($D55,Milestones!$AA$180),"dd mmm yy"))&amp;" "&amp;Milestones!$AB$180&amp;" "&amp;Milestones!$AC$180&amp;";  ","")&amp;IF(AND(EDATE($D55,Milestones!$AA$181)&lt;=AsOfDate,IF($R55=0,$X55,IF(AND($T55&lt;&gt;"",EDATE($D55,Milestones!$AA$181)&gt;=$T55),$W55,IF(AND($S55&lt;&gt;"",EDATE($D55,Milestones!$AA$181)&gt;=$S55),$V55,$U55)))=Milestones!$AB$181),UPPER(TEXT(EDATE($D55,Milestones!$AA$181),"dd mmm yy"))&amp;" "&amp;Milestones!$AB$181&amp;" "&amp;Milestones!$AC$181&amp;";  ","")&amp;IF(AND(EDATE($D55,Milestones!$AA$182)&lt;=AsOfDate,IF($R55=0,$X55,IF(AND($T55&lt;&gt;"",EDATE($D55,Milestones!$AA$182)&gt;=$T55),$W55,IF(AND($S55&lt;&gt;"",EDATE($D55,Milestones!$AA$182)&gt;=$S55),$V55,$U55)))=Milestones!$AB$182),UPPER(TEXT(EDATE($D55,Milestones!$AA$182),"dd mmm yy"))&amp;" "&amp;Milestones!$AB$182&amp;" "&amp;Milestones!$AC$182&amp;";  ","")&amp;IF(AND(EDATE($D55,Milestones!$AA$183)&lt;=AsOfDate,IF($R55=0,$X55,IF(AND($T55&lt;&gt;"",EDATE($D55,Milestones!$AA$183)&gt;=$T55),$W55,IF(AND($S55&lt;&gt;"",EDATE($D55,Milestones!$AA$183)&gt;=$S55),$V55,$U55)))=Milestones!$AB$183),UPPER(TEXT(EDATE($D55,Milestones!$AA$183),"dd mmm yy"))&amp;" "&amp;Milestones!$AB$183&amp;" "&amp;Milestones!$AC$183&amp;";  ","")&amp;IF(AND(EDATE($D55,Milestones!$AA$184)&lt;=AsOfDate,IF($R55=0,$X55,IF(AND($T55&lt;&gt;"",EDATE($D55,Milestones!$AA$184)&gt;=$T55),$W55,IF(AND($S55&lt;&gt;"",EDATE($D55,Milestones!$AA$184)&gt;=$S55),$V55,$U55)))=Milestones!$AB$184),UPPER(TEXT(EDATE($D55,Milestones!$AA$184),"dd mmm yy"))&amp;" "&amp;Milestones!$AB$184&amp;" "&amp;Milestones!$AC$184&amp;";  ","")&amp;IF(AND(EDATE($D55,Milestones!$AA$185)&lt;=AsOfDate,IF($R55=0,$X55,IF(AND($T55&lt;&gt;"",EDATE($D55,Milestones!$AA$185)&gt;=$T55),$W55,IF(AND($S55&lt;&gt;"",EDATE($D55,Milestones!$AA$185)&gt;=$S55),$V55,$U55)))=Milestones!$AB$185),UPPER(TEXT(EDATE($D55,Milestones!$AA$185),"dd mmm yy"))&amp;" "&amp;Milestones!$AB$185&amp;" "&amp;Milestones!$AC$185&amp;";  ","")&amp;IF(AND(EDATE($D55,Milestones!$AA$186)&lt;=AsOfDate,IF($R55=0,$X55,IF(AND($T55&lt;&gt;"",EDATE($D55,Milestones!$AA$186)&gt;=$T55),$W55,IF(AND($S55&lt;&gt;"",EDATE($D55,Milestones!$AA$186)&gt;=$S55),$V55,$U55)))=Milestones!$AB$186),UPPER(TEXT(EDATE($D55,Milestones!$AA$186),"dd mmm yy"))&amp;" "&amp;Milestones!$AB$186&amp;" "&amp;Milestones!$AC$186&amp;";  ","")&amp;IF(AND(EDATE($D55,Milestones!$AA$187)&lt;=AsOfDate,IF($R55=0,$X55,IF(AND($T55&lt;&gt;"",EDATE($D55,Milestones!$AA$187)&gt;=$T55),$W55,IF(AND($S55&lt;&gt;"",EDATE($D55,Milestones!$AA$187)&gt;=$S55),$V55,$U55)))=Milestones!$AB$187),UPPER(TEXT(EDATE($D55,Milestones!$AA$187),"dd mmm yy"))&amp;" "&amp;Milestones!$AB$187&amp;" "&amp;Milestones!$AC$187&amp;";  ","")&amp;IF(AND(EDATE($D55,Milestones!$AA$188)&lt;=AsOfDate,IF($R55=0,$X55,IF(AND($T55&lt;&gt;"",EDATE($D55,Milestones!$AA$188)&gt;=$T55),$W55,IF(AND($S55&lt;&gt;"",EDATE($D55,Milestones!$AA$188)&gt;=$S55),$V55,$U55)))=Milestones!$AB$188),UPPER(TEXT(EDATE($D55,Milestones!$AA$188),"dd mmm yy"))&amp;" "&amp;Milestones!$AB$188&amp;" "&amp;Milestones!$AC$188&amp;";  ","")&amp;IF(AND(EDATE($D55,Milestones!$AA$189)&lt;=AsOfDate,IF($R55=0,$X55,IF(AND($T55&lt;&gt;"",EDATE($D55,Milestones!$AA$189)&gt;=$T55),$W55,IF(AND($S55&lt;&gt;"",EDATE($D55,Milestones!$AA$189)&gt;=$S55),$V55,$U55)))=Milestones!$AB$189),UPPER(TEXT(EDATE($D55,Milestones!$AA$189),"dd mmm yy"))&amp;" "&amp;Milestones!$AB$189&amp;" "&amp;Milestones!$AC$189&amp;";  ","")&amp;IF(AND(EDATE($D55,Milestones!$AA$190)&lt;=AsOfDate,IF($R55=0,$X55,IF(AND($T55&lt;&gt;"",EDATE($D55,Milestones!$AA$190)&gt;=$T55),$W55,IF(AND($S55&lt;&gt;"",EDATE($D55,Milestones!$AA$190)&gt;=$S55),$V55,$U55)))=Milestones!$AB$190),UPPER(TEXT(EDATE($D55,Milestones!$AA$190),"dd mmm yy"))&amp;" "&amp;Milestones!$AB$190&amp;" "&amp;Milestones!$AC$190&amp;";  ","")&amp;IF(AND(EDATE($D55,Milestones!$AA$191)&lt;=AsOfDate,IF($R55=0,$X55,IF(AND($T55&lt;&gt;"",EDATE($D55,Milestones!$AA$191)&gt;=$T55),$W55,IF(AND($S55&lt;&gt;"",EDATE($D55,Milestones!$AA$191)&gt;=$S55),$V55,$U55)))=Milestones!$AB$191),UPPER(TEXT(EDATE($D55,Milestones!$AA$191),"dd mmm yy"))&amp;" "&amp;Milestones!$AB$191&amp;" "&amp;Milestones!$AC$191&amp;";  ","")&amp;IF(AND(EDATE($D55,Milestones!$AA$192)&lt;=AsOfDate,IF($R55=0,$X55,IF(AND($T55&lt;&gt;"",EDATE($D55,Milestones!$AA$192)&gt;=$T55),$W55,IF(AND($S55&lt;&gt;"",EDATE($D55,Milestones!$AA$192)&gt;=$S55),$V55,$U55)))=Milestones!$AB$192),UPPER(TEXT(EDATE($D55,Milestones!$AA$192),"dd mmm yy"))&amp;" "&amp;Milestones!$AB$192&amp;" "&amp;Milestones!$AC$192&amp;";  ","")&amp;IF(AND(EDATE($D55,Milestones!$AA$193)&lt;=AsOfDate,IF($R55=0,$X55,IF(AND($T55&lt;&gt;"",EDATE($D55,Milestones!$AA$193)&gt;=$T55),$W55,IF(AND($S55&lt;&gt;"",EDATE($D55,Milestones!$AA$193)&gt;=$S55),$V55,$U55)))=Milestones!$AB$193),UPPER(TEXT(EDATE($D55,Milestones!$AA$193),"dd mmm yy"))&amp;" "&amp;Milestones!$AB$193&amp;" "&amp;Milestones!$AC$193&amp;";  ","")&amp;IF(AND(EDATE($D55,Milestones!$AA$194)&lt;=AsOfDate,IF($R55=0,$X55,IF(AND($T55&lt;&gt;"",EDATE($D55,Milestones!$AA$194)&gt;=$T55),$W55,IF(AND($S55&lt;&gt;"",EDATE($D55,Milestones!$AA$194)&gt;=$S55),$V55,$U55)))=Milestones!$AB$194),UPPER(TEXT(EDATE($D55,Milestones!$AA$194),"dd mmm yy"))&amp;" "&amp;Milestones!$AB$194&amp;" "&amp;Milestones!$AC$194&amp;";  ","")&amp;IF(AND(EDATE($D55,Milestones!$AA$195)&lt;=AsOfDate,IF($R55=0,$X55,IF(AND($T55&lt;&gt;"",EDATE($D55,Milestones!$AA$195)&gt;=$T55),$W55,IF(AND($S55&lt;&gt;"",EDATE($D55,Milestones!$AA$195)&gt;=$S55),$V55,$U55)))=Milestones!$AB$195),UPPER(TEXT(EDATE($D55,Milestones!$AA$195),"dd mmm yy"))&amp;" "&amp;Milestones!$AB$195&amp;" "&amp;Milestones!$AC$195&amp;";  ","")&amp;IF(AND(EDATE($D55,Milestones!$AA$196)&lt;=AsOfDate,IF($R55=0,$X55,IF(AND($T55&lt;&gt;"",EDATE($D55,Milestones!$AA$196)&gt;=$T55),$W55,IF(AND($S55&lt;&gt;"",EDATE($D55,Milestones!$AA$196)&gt;=$S55),$V55,$U55)))=Milestones!$AB$196),UPPER(TEXT(EDATE($D55,Milestones!$AA$196),"dd mmm yy"))&amp;" "&amp;Milestones!$AB$196&amp;" "&amp;Milestones!$AC$196&amp;";  ","")&amp;IF(AND(EDATE($D55,Milestones!$AA$197)&lt;=AsOfDate,IF($R55=0,$X55,IF(AND($T55&lt;&gt;"",EDATE($D55,Milestones!$AA$197)&gt;=$T55),$W55,IF(AND($S55&lt;&gt;"",EDATE($D55,Milestones!$AA$197)&gt;=$S55),$V55,$U55)))=Milestones!$AB$197),UPPER(TEXT(EDATE($D55,Milestones!$AA$197),"dd mmm yy"))&amp;" "&amp;Milestones!$AB$197&amp;" "&amp;Milestones!$AC$197&amp;";  ","")&amp;IF(AND(EDATE($D55,Milestones!$AA$198)&lt;=AsOfDate,IF($R55=0,$X55,IF(AND($T55&lt;&gt;"",EDATE($D55,Milestones!$AA$198)&gt;=$T55),$W55,IF(AND($S55&lt;&gt;"",EDATE($D55,Milestones!$AA$198)&gt;=$S55),$V55,$U55)))=Milestones!$AB$198),UPPER(TEXT(EDATE($D55,Milestones!$AA$198),"dd mmm yy"))&amp;" "&amp;Milestones!$AB$198&amp;" "&amp;Milestones!$AC$198&amp;";  ","")&amp;IF(AND(EDATE($D55,Milestones!$AA$199)&lt;=AsOfDate,IF($R55=0,$X55,IF(AND($T55&lt;&gt;"",EDATE($D55,Milestones!$AA$199)&gt;=$T55),$W55,IF(AND($S55&lt;&gt;"",EDATE($D55,Milestones!$AA$199)&gt;=$S55),$V55,$U55)))=Milestones!$AB$199),UPPER(TEXT(EDATE($D55,Milestones!$AA$199),"dd mmm yy"))&amp;" "&amp;Milestones!$AB$199&amp;" "&amp;Milestones!$AC$199&amp;";  ",""))</f>
        <v/>
      </c>
      <c r="R55" s="0" t="str">
        <f aca="false">IF(Staff!$A55="","",Staff!$AI55)</f>
        <v/>
      </c>
      <c r="S55" s="0" t="str">
        <f aca="false">IF(Staff!$A55="","",Staff!$AK55)</f>
        <v/>
      </c>
      <c r="T55" s="0" t="str">
        <f aca="false">IF(Staff!$A55="","",Staff!$AL55)</f>
        <v/>
      </c>
      <c r="U55" s="0" t="str">
        <f aca="false">IF(Staff!$A55="","",Staff!$AP55)</f>
        <v/>
      </c>
      <c r="V55" s="0" t="str">
        <f aca="false">IF(Staff!$A55="","",Staff!$AQ55)</f>
        <v/>
      </c>
      <c r="W55" s="0" t="str">
        <f aca="false">IF(Staff!$A55="","",Staff!$AR55)</f>
        <v/>
      </c>
      <c r="X55" s="0" t="str">
        <f aca="false">IF(Staff!$A55="","",Staff!$AS55)</f>
        <v/>
      </c>
    </row>
    <row r="56" customFormat="false" ht="15" hidden="false" customHeight="false" outlineLevel="0" collapsed="false">
      <c r="A56" s="14" t="str">
        <f aca="false">IF(Staff!$A56="","",Staff!$A56)</f>
        <v/>
      </c>
      <c r="B56" s="14" t="str">
        <f aca="false">IF(Staff!$A56="","",Staff!$B56)</f>
        <v/>
      </c>
      <c r="C56" s="14" t="str">
        <f aca="false">IF(Staff!$A56="","",Staff!$C56)</f>
        <v/>
      </c>
      <c r="D56" s="12" t="str">
        <f aca="false">IF(Staff!$A56="","",Staff!$AH56)</f>
        <v/>
      </c>
      <c r="E56" s="14" t="str">
        <f aca="false">IF(Staff!$A56="","",Staff!$O56)</f>
        <v/>
      </c>
      <c r="F56" s="14" t="str">
        <f aca="false">IF(E56="","",E56*HoursPerDay)</f>
        <v/>
      </c>
      <c r="G56" s="14" t="str">
        <f aca="false">IF(Staff!$A56="","",Staff!$AE56)</f>
        <v/>
      </c>
      <c r="H56" s="26" t="str">
        <f aca="false">IF($A56="","",I56&amp;J56&amp;K56&amp;L56&amp;M56&amp;N56&amp;O56&amp;P56&amp;Q56)</f>
        <v/>
      </c>
      <c r="I56" s="0" t="str">
        <f aca="false">IF(OR($A56="",$D56=""),"",IF(AND(EDATE($D56,Milestones!$AA$20)&lt;=AsOfDate,IF($R56=0,$X56,IF(AND($T56&lt;&gt;"",EDATE($D56,Milestones!$AA$20)&gt;=$T56),$W56,IF(AND($S56&lt;&gt;"",EDATE($D56,Milestones!$AA$20)&gt;=$S56),$V56,$U56)))=Milestones!$AB$20),UPPER(TEXT(EDATE($D56,Milestones!$AA$20),"dd mmm yy"))&amp;" "&amp;Milestones!$AB$20&amp;" "&amp;Milestones!$AC$20&amp;";  ","")&amp;IF(AND(EDATE($D56,Milestones!$AA$21)&lt;=AsOfDate,IF($R56=0,$X56,IF(AND($T56&lt;&gt;"",EDATE($D56,Milestones!$AA$21)&gt;=$T56),$W56,IF(AND($S56&lt;&gt;"",EDATE($D56,Milestones!$AA$21)&gt;=$S56),$V56,$U56)))=Milestones!$AB$21),UPPER(TEXT(EDATE($D56,Milestones!$AA$21),"dd mmm yy"))&amp;" "&amp;Milestones!$AB$21&amp;" "&amp;Milestones!$AC$21&amp;";  ","")&amp;IF(AND(EDATE($D56,Milestones!$AA$22)&lt;=AsOfDate,IF($R56=0,$X56,IF(AND($T56&lt;&gt;"",EDATE($D56,Milestones!$AA$22)&gt;=$T56),$W56,IF(AND($S56&lt;&gt;"",EDATE($D56,Milestones!$AA$22)&gt;=$S56),$V56,$U56)))=Milestones!$AB$22),UPPER(TEXT(EDATE($D56,Milestones!$AA$22),"dd mmm yy"))&amp;" "&amp;Milestones!$AB$22&amp;" "&amp;Milestones!$AC$22&amp;";  ","")&amp;IF(AND(EDATE($D56,Milestones!$AA$23)&lt;=AsOfDate,IF($R56=0,$X56,IF(AND($T56&lt;&gt;"",EDATE($D56,Milestones!$AA$23)&gt;=$T56),$W56,IF(AND($S56&lt;&gt;"",EDATE($D56,Milestones!$AA$23)&gt;=$S56),$V56,$U56)))=Milestones!$AB$23),UPPER(TEXT(EDATE($D56,Milestones!$AA$23),"dd mmm yy"))&amp;" "&amp;Milestones!$AB$23&amp;" "&amp;Milestones!$AC$23&amp;";  ","")&amp;IF(AND(EDATE($D56,Milestones!$AA$24)&lt;=AsOfDate,IF($R56=0,$X56,IF(AND($T56&lt;&gt;"",EDATE($D56,Milestones!$AA$24)&gt;=$T56),$W56,IF(AND($S56&lt;&gt;"",EDATE($D56,Milestones!$AA$24)&gt;=$S56),$V56,$U56)))=Milestones!$AB$24),UPPER(TEXT(EDATE($D56,Milestones!$AA$24),"dd mmm yy"))&amp;" "&amp;Milestones!$AB$24&amp;" "&amp;Milestones!$AC$24&amp;";  ","")&amp;IF(AND(EDATE($D56,Milestones!$AA$25)&lt;=AsOfDate,IF($R56=0,$X56,IF(AND($T56&lt;&gt;"",EDATE($D56,Milestones!$AA$25)&gt;=$T56),$W56,IF(AND($S56&lt;&gt;"",EDATE($D56,Milestones!$AA$25)&gt;=$S56),$V56,$U56)))=Milestones!$AB$25),UPPER(TEXT(EDATE($D56,Milestones!$AA$25),"dd mmm yy"))&amp;" "&amp;Milestones!$AB$25&amp;" "&amp;Milestones!$AC$25&amp;";  ","")&amp;IF(AND(EDATE($D56,Milestones!$AA$26)&lt;=AsOfDate,IF($R56=0,$X56,IF(AND($T56&lt;&gt;"",EDATE($D56,Milestones!$AA$26)&gt;=$T56),$W56,IF(AND($S56&lt;&gt;"",EDATE($D56,Milestones!$AA$26)&gt;=$S56),$V56,$U56)))=Milestones!$AB$26),UPPER(TEXT(EDATE($D56,Milestones!$AA$26),"dd mmm yy"))&amp;" "&amp;Milestones!$AB$26&amp;" "&amp;Milestones!$AC$26&amp;";  ","")&amp;IF(AND(EDATE($D56,Milestones!$AA$27)&lt;=AsOfDate,IF($R56=0,$X56,IF(AND($T56&lt;&gt;"",EDATE($D56,Milestones!$AA$27)&gt;=$T56),$W56,IF(AND($S56&lt;&gt;"",EDATE($D56,Milestones!$AA$27)&gt;=$S56),$V56,$U56)))=Milestones!$AB$27),UPPER(TEXT(EDATE($D56,Milestones!$AA$27),"dd mmm yy"))&amp;" "&amp;Milestones!$AB$27&amp;" "&amp;Milestones!$AC$27&amp;";  ","")&amp;IF(AND(EDATE($D56,Milestones!$AA$28)&lt;=AsOfDate,IF($R56=0,$X56,IF(AND($T56&lt;&gt;"",EDATE($D56,Milestones!$AA$28)&gt;=$T56),$W56,IF(AND($S56&lt;&gt;"",EDATE($D56,Milestones!$AA$28)&gt;=$S56),$V56,$U56)))=Milestones!$AB$28),UPPER(TEXT(EDATE($D56,Milestones!$AA$28),"dd mmm yy"))&amp;" "&amp;Milestones!$AB$28&amp;" "&amp;Milestones!$AC$28&amp;";  ","")&amp;IF(AND(EDATE($D56,Milestones!$AA$29)&lt;=AsOfDate,IF($R56=0,$X56,IF(AND($T56&lt;&gt;"",EDATE($D56,Milestones!$AA$29)&gt;=$T56),$W56,IF(AND($S56&lt;&gt;"",EDATE($D56,Milestones!$AA$29)&gt;=$S56),$V56,$U56)))=Milestones!$AB$29),UPPER(TEXT(EDATE($D56,Milestones!$AA$29),"dd mmm yy"))&amp;" "&amp;Milestones!$AB$29&amp;" "&amp;Milestones!$AC$29&amp;";  ","")&amp;IF(AND(EDATE($D56,Milestones!$AA$30)&lt;=AsOfDate,IF($R56=0,$X56,IF(AND($T56&lt;&gt;"",EDATE($D56,Milestones!$AA$30)&gt;=$T56),$W56,IF(AND($S56&lt;&gt;"",EDATE($D56,Milestones!$AA$30)&gt;=$S56),$V56,$U56)))=Milestones!$AB$30),UPPER(TEXT(EDATE($D56,Milestones!$AA$30),"dd mmm yy"))&amp;" "&amp;Milestones!$AB$30&amp;" "&amp;Milestones!$AC$30&amp;";  ","")&amp;IF(AND(EDATE($D56,Milestones!$AA$31)&lt;=AsOfDate,IF($R56=0,$X56,IF(AND($T56&lt;&gt;"",EDATE($D56,Milestones!$AA$31)&gt;=$T56),$W56,IF(AND($S56&lt;&gt;"",EDATE($D56,Milestones!$AA$31)&gt;=$S56),$V56,$U56)))=Milestones!$AB$31),UPPER(TEXT(EDATE($D56,Milestones!$AA$31),"dd mmm yy"))&amp;" "&amp;Milestones!$AB$31&amp;" "&amp;Milestones!$AC$31&amp;";  ","")&amp;IF(AND(EDATE($D56,Milestones!$AA$32)&lt;=AsOfDate,IF($R56=0,$X56,IF(AND($T56&lt;&gt;"",EDATE($D56,Milestones!$AA$32)&gt;=$T56),$W56,IF(AND($S56&lt;&gt;"",EDATE($D56,Milestones!$AA$32)&gt;=$S56),$V56,$U56)))=Milestones!$AB$32),UPPER(TEXT(EDATE($D56,Milestones!$AA$32),"dd mmm yy"))&amp;" "&amp;Milestones!$AB$32&amp;" "&amp;Milestones!$AC$32&amp;";  ","")&amp;IF(AND(EDATE($D56,Milestones!$AA$33)&lt;=AsOfDate,IF($R56=0,$X56,IF(AND($T56&lt;&gt;"",EDATE($D56,Milestones!$AA$33)&gt;=$T56),$W56,IF(AND($S56&lt;&gt;"",EDATE($D56,Milestones!$AA$33)&gt;=$S56),$V56,$U56)))=Milestones!$AB$33),UPPER(TEXT(EDATE($D56,Milestones!$AA$33),"dd mmm yy"))&amp;" "&amp;Milestones!$AB$33&amp;" "&amp;Milestones!$AC$33&amp;";  ","")&amp;IF(AND(EDATE($D56,Milestones!$AA$34)&lt;=AsOfDate,IF($R56=0,$X56,IF(AND($T56&lt;&gt;"",EDATE($D56,Milestones!$AA$34)&gt;=$T56),$W56,IF(AND($S56&lt;&gt;"",EDATE($D56,Milestones!$AA$34)&gt;=$S56),$V56,$U56)))=Milestones!$AB$34),UPPER(TEXT(EDATE($D56,Milestones!$AA$34),"dd mmm yy"))&amp;" "&amp;Milestones!$AB$34&amp;" "&amp;Milestones!$AC$34&amp;";  ","")&amp;IF(AND(EDATE($D56,Milestones!$AA$35)&lt;=AsOfDate,IF($R56=0,$X56,IF(AND($T56&lt;&gt;"",EDATE($D56,Milestones!$AA$35)&gt;=$T56),$W56,IF(AND($S56&lt;&gt;"",EDATE($D56,Milestones!$AA$35)&gt;=$S56),$V56,$U56)))=Milestones!$AB$35),UPPER(TEXT(EDATE($D56,Milestones!$AA$35),"dd mmm yy"))&amp;" "&amp;Milestones!$AB$35&amp;" "&amp;Milestones!$AC$35&amp;";  ","")&amp;IF(AND(EDATE($D56,Milestones!$AA$36)&lt;=AsOfDate,IF($R56=0,$X56,IF(AND($T56&lt;&gt;"",EDATE($D56,Milestones!$AA$36)&gt;=$T56),$W56,IF(AND($S56&lt;&gt;"",EDATE($D56,Milestones!$AA$36)&gt;=$S56),$V56,$U56)))=Milestones!$AB$36),UPPER(TEXT(EDATE($D56,Milestones!$AA$36),"dd mmm yy"))&amp;" "&amp;Milestones!$AB$36&amp;" "&amp;Milestones!$AC$36&amp;";  ","")&amp;IF(AND(EDATE($D56,Milestones!$AA$37)&lt;=AsOfDate,IF($R56=0,$X56,IF(AND($T56&lt;&gt;"",EDATE($D56,Milestones!$AA$37)&gt;=$T56),$W56,IF(AND($S56&lt;&gt;"",EDATE($D56,Milestones!$AA$37)&gt;=$S56),$V56,$U56)))=Milestones!$AB$37),UPPER(TEXT(EDATE($D56,Milestones!$AA$37),"dd mmm yy"))&amp;" "&amp;Milestones!$AB$37&amp;" "&amp;Milestones!$AC$37&amp;";  ","")&amp;IF(AND(EDATE($D56,Milestones!$AA$38)&lt;=AsOfDate,IF($R56=0,$X56,IF(AND($T56&lt;&gt;"",EDATE($D56,Milestones!$AA$38)&gt;=$T56),$W56,IF(AND($S56&lt;&gt;"",EDATE($D56,Milestones!$AA$38)&gt;=$S56),$V56,$U56)))=Milestones!$AB$38),UPPER(TEXT(EDATE($D56,Milestones!$AA$38),"dd mmm yy"))&amp;" "&amp;Milestones!$AB$38&amp;" "&amp;Milestones!$AC$38&amp;";  ","")&amp;IF(AND(EDATE($D56,Milestones!$AA$39)&lt;=AsOfDate,IF($R56=0,$X56,IF(AND($T56&lt;&gt;"",EDATE($D56,Milestones!$AA$39)&gt;=$T56),$W56,IF(AND($S56&lt;&gt;"",EDATE($D56,Milestones!$AA$39)&gt;=$S56),$V56,$U56)))=Milestones!$AB$39),UPPER(TEXT(EDATE($D56,Milestones!$AA$39),"dd mmm yy"))&amp;" "&amp;Milestones!$AB$39&amp;" "&amp;Milestones!$AC$39&amp;";  ",""))</f>
        <v/>
      </c>
      <c r="J56" s="0" t="str">
        <f aca="false">IF(OR($A56="",$D56=""),"",IF(AND(EDATE($D56,Milestones!$AA$40)&lt;=AsOfDate,IF($R56=0,$X56,IF(AND($T56&lt;&gt;"",EDATE($D56,Milestones!$AA$40)&gt;=$T56),$W56,IF(AND($S56&lt;&gt;"",EDATE($D56,Milestones!$AA$40)&gt;=$S56),$V56,$U56)))=Milestones!$AB$40),UPPER(TEXT(EDATE($D56,Milestones!$AA$40),"dd mmm yy"))&amp;" "&amp;Milestones!$AB$40&amp;" "&amp;Milestones!$AC$40&amp;";  ","")&amp;IF(AND(EDATE($D56,Milestones!$AA$41)&lt;=AsOfDate,IF($R56=0,$X56,IF(AND($T56&lt;&gt;"",EDATE($D56,Milestones!$AA$41)&gt;=$T56),$W56,IF(AND($S56&lt;&gt;"",EDATE($D56,Milestones!$AA$41)&gt;=$S56),$V56,$U56)))=Milestones!$AB$41),UPPER(TEXT(EDATE($D56,Milestones!$AA$41),"dd mmm yy"))&amp;" "&amp;Milestones!$AB$41&amp;" "&amp;Milestones!$AC$41&amp;";  ","")&amp;IF(AND(EDATE($D56,Milestones!$AA$42)&lt;=AsOfDate,IF($R56=0,$X56,IF(AND($T56&lt;&gt;"",EDATE($D56,Milestones!$AA$42)&gt;=$T56),$W56,IF(AND($S56&lt;&gt;"",EDATE($D56,Milestones!$AA$42)&gt;=$S56),$V56,$U56)))=Milestones!$AB$42),UPPER(TEXT(EDATE($D56,Milestones!$AA$42),"dd mmm yy"))&amp;" "&amp;Milestones!$AB$42&amp;" "&amp;Milestones!$AC$42&amp;";  ","")&amp;IF(AND(EDATE($D56,Milestones!$AA$43)&lt;=AsOfDate,IF($R56=0,$X56,IF(AND($T56&lt;&gt;"",EDATE($D56,Milestones!$AA$43)&gt;=$T56),$W56,IF(AND($S56&lt;&gt;"",EDATE($D56,Milestones!$AA$43)&gt;=$S56),$V56,$U56)))=Milestones!$AB$43),UPPER(TEXT(EDATE($D56,Milestones!$AA$43),"dd mmm yy"))&amp;" "&amp;Milestones!$AB$43&amp;" "&amp;Milestones!$AC$43&amp;";  ","")&amp;IF(AND(EDATE($D56,Milestones!$AA$44)&lt;=AsOfDate,IF($R56=0,$X56,IF(AND($T56&lt;&gt;"",EDATE($D56,Milestones!$AA$44)&gt;=$T56),$W56,IF(AND($S56&lt;&gt;"",EDATE($D56,Milestones!$AA$44)&gt;=$S56),$V56,$U56)))=Milestones!$AB$44),UPPER(TEXT(EDATE($D56,Milestones!$AA$44),"dd mmm yy"))&amp;" "&amp;Milestones!$AB$44&amp;" "&amp;Milestones!$AC$44&amp;";  ","")&amp;IF(AND(EDATE($D56,Milestones!$AA$45)&lt;=AsOfDate,IF($R56=0,$X56,IF(AND($T56&lt;&gt;"",EDATE($D56,Milestones!$AA$45)&gt;=$T56),$W56,IF(AND($S56&lt;&gt;"",EDATE($D56,Milestones!$AA$45)&gt;=$S56),$V56,$U56)))=Milestones!$AB$45),UPPER(TEXT(EDATE($D56,Milestones!$AA$45),"dd mmm yy"))&amp;" "&amp;Milestones!$AB$45&amp;" "&amp;Milestones!$AC$45&amp;";  ","")&amp;IF(AND(EDATE($D56,Milestones!$AA$46)&lt;=AsOfDate,IF($R56=0,$X56,IF(AND($T56&lt;&gt;"",EDATE($D56,Milestones!$AA$46)&gt;=$T56),$W56,IF(AND($S56&lt;&gt;"",EDATE($D56,Milestones!$AA$46)&gt;=$S56),$V56,$U56)))=Milestones!$AB$46),UPPER(TEXT(EDATE($D56,Milestones!$AA$46),"dd mmm yy"))&amp;" "&amp;Milestones!$AB$46&amp;" "&amp;Milestones!$AC$46&amp;";  ","")&amp;IF(AND(EDATE($D56,Milestones!$AA$47)&lt;=AsOfDate,IF($R56=0,$X56,IF(AND($T56&lt;&gt;"",EDATE($D56,Milestones!$AA$47)&gt;=$T56),$W56,IF(AND($S56&lt;&gt;"",EDATE($D56,Milestones!$AA$47)&gt;=$S56),$V56,$U56)))=Milestones!$AB$47),UPPER(TEXT(EDATE($D56,Milestones!$AA$47),"dd mmm yy"))&amp;" "&amp;Milestones!$AB$47&amp;" "&amp;Milestones!$AC$47&amp;";  ","")&amp;IF(AND(EDATE($D56,Milestones!$AA$48)&lt;=AsOfDate,IF($R56=0,$X56,IF(AND($T56&lt;&gt;"",EDATE($D56,Milestones!$AA$48)&gt;=$T56),$W56,IF(AND($S56&lt;&gt;"",EDATE($D56,Milestones!$AA$48)&gt;=$S56),$V56,$U56)))=Milestones!$AB$48),UPPER(TEXT(EDATE($D56,Milestones!$AA$48),"dd mmm yy"))&amp;" "&amp;Milestones!$AB$48&amp;" "&amp;Milestones!$AC$48&amp;";  ","")&amp;IF(AND(EDATE($D56,Milestones!$AA$49)&lt;=AsOfDate,IF($R56=0,$X56,IF(AND($T56&lt;&gt;"",EDATE($D56,Milestones!$AA$49)&gt;=$T56),$W56,IF(AND($S56&lt;&gt;"",EDATE($D56,Milestones!$AA$49)&gt;=$S56),$V56,$U56)))=Milestones!$AB$49),UPPER(TEXT(EDATE($D56,Milestones!$AA$49),"dd mmm yy"))&amp;" "&amp;Milestones!$AB$49&amp;" "&amp;Milestones!$AC$49&amp;";  ","")&amp;IF(AND(EDATE($D56,Milestones!$AA$50)&lt;=AsOfDate,IF($R56=0,$X56,IF(AND($T56&lt;&gt;"",EDATE($D56,Milestones!$AA$50)&gt;=$T56),$W56,IF(AND($S56&lt;&gt;"",EDATE($D56,Milestones!$AA$50)&gt;=$S56),$V56,$U56)))=Milestones!$AB$50),UPPER(TEXT(EDATE($D56,Milestones!$AA$50),"dd mmm yy"))&amp;" "&amp;Milestones!$AB$50&amp;" "&amp;Milestones!$AC$50&amp;";  ","")&amp;IF(AND(EDATE($D56,Milestones!$AA$51)&lt;=AsOfDate,IF($R56=0,$X56,IF(AND($T56&lt;&gt;"",EDATE($D56,Milestones!$AA$51)&gt;=$T56),$W56,IF(AND($S56&lt;&gt;"",EDATE($D56,Milestones!$AA$51)&gt;=$S56),$V56,$U56)))=Milestones!$AB$51),UPPER(TEXT(EDATE($D56,Milestones!$AA$51),"dd mmm yy"))&amp;" "&amp;Milestones!$AB$51&amp;" "&amp;Milestones!$AC$51&amp;";  ","")&amp;IF(AND(EDATE($D56,Milestones!$AA$52)&lt;=AsOfDate,IF($R56=0,$X56,IF(AND($T56&lt;&gt;"",EDATE($D56,Milestones!$AA$52)&gt;=$T56),$W56,IF(AND($S56&lt;&gt;"",EDATE($D56,Milestones!$AA$52)&gt;=$S56),$V56,$U56)))=Milestones!$AB$52),UPPER(TEXT(EDATE($D56,Milestones!$AA$52),"dd mmm yy"))&amp;" "&amp;Milestones!$AB$52&amp;" "&amp;Milestones!$AC$52&amp;";  ","")&amp;IF(AND(EDATE($D56,Milestones!$AA$53)&lt;=AsOfDate,IF($R56=0,$X56,IF(AND($T56&lt;&gt;"",EDATE($D56,Milestones!$AA$53)&gt;=$T56),$W56,IF(AND($S56&lt;&gt;"",EDATE($D56,Milestones!$AA$53)&gt;=$S56),$V56,$U56)))=Milestones!$AB$53),UPPER(TEXT(EDATE($D56,Milestones!$AA$53),"dd mmm yy"))&amp;" "&amp;Milestones!$AB$53&amp;" "&amp;Milestones!$AC$53&amp;";  ","")&amp;IF(AND(EDATE($D56,Milestones!$AA$54)&lt;=AsOfDate,IF($R56=0,$X56,IF(AND($T56&lt;&gt;"",EDATE($D56,Milestones!$AA$54)&gt;=$T56),$W56,IF(AND($S56&lt;&gt;"",EDATE($D56,Milestones!$AA$54)&gt;=$S56),$V56,$U56)))=Milestones!$AB$54),UPPER(TEXT(EDATE($D56,Milestones!$AA$54),"dd mmm yy"))&amp;" "&amp;Milestones!$AB$54&amp;" "&amp;Milestones!$AC$54&amp;";  ","")&amp;IF(AND(EDATE($D56,Milestones!$AA$55)&lt;=AsOfDate,IF($R56=0,$X56,IF(AND($T56&lt;&gt;"",EDATE($D56,Milestones!$AA$55)&gt;=$T56),$W56,IF(AND($S56&lt;&gt;"",EDATE($D56,Milestones!$AA$55)&gt;=$S56),$V56,$U56)))=Milestones!$AB$55),UPPER(TEXT(EDATE($D56,Milestones!$AA$55),"dd mmm yy"))&amp;" "&amp;Milestones!$AB$55&amp;" "&amp;Milestones!$AC$55&amp;";  ","")&amp;IF(AND(EDATE($D56,Milestones!$AA$56)&lt;=AsOfDate,IF($R56=0,$X56,IF(AND($T56&lt;&gt;"",EDATE($D56,Milestones!$AA$56)&gt;=$T56),$W56,IF(AND($S56&lt;&gt;"",EDATE($D56,Milestones!$AA$56)&gt;=$S56),$V56,$U56)))=Milestones!$AB$56),UPPER(TEXT(EDATE($D56,Milestones!$AA$56),"dd mmm yy"))&amp;" "&amp;Milestones!$AB$56&amp;" "&amp;Milestones!$AC$56&amp;";  ","")&amp;IF(AND(EDATE($D56,Milestones!$AA$57)&lt;=AsOfDate,IF($R56=0,$X56,IF(AND($T56&lt;&gt;"",EDATE($D56,Milestones!$AA$57)&gt;=$T56),$W56,IF(AND($S56&lt;&gt;"",EDATE($D56,Milestones!$AA$57)&gt;=$S56),$V56,$U56)))=Milestones!$AB$57),UPPER(TEXT(EDATE($D56,Milestones!$AA$57),"dd mmm yy"))&amp;" "&amp;Milestones!$AB$57&amp;" "&amp;Milestones!$AC$57&amp;";  ","")&amp;IF(AND(EDATE($D56,Milestones!$AA$58)&lt;=AsOfDate,IF($R56=0,$X56,IF(AND($T56&lt;&gt;"",EDATE($D56,Milestones!$AA$58)&gt;=$T56),$W56,IF(AND($S56&lt;&gt;"",EDATE($D56,Milestones!$AA$58)&gt;=$S56),$V56,$U56)))=Milestones!$AB$58),UPPER(TEXT(EDATE($D56,Milestones!$AA$58),"dd mmm yy"))&amp;" "&amp;Milestones!$AB$58&amp;" "&amp;Milestones!$AC$58&amp;";  ","")&amp;IF(AND(EDATE($D56,Milestones!$AA$59)&lt;=AsOfDate,IF($R56=0,$X56,IF(AND($T56&lt;&gt;"",EDATE($D56,Milestones!$AA$59)&gt;=$T56),$W56,IF(AND($S56&lt;&gt;"",EDATE($D56,Milestones!$AA$59)&gt;=$S56),$V56,$U56)))=Milestones!$AB$59),UPPER(TEXT(EDATE($D56,Milestones!$AA$59),"dd mmm yy"))&amp;" "&amp;Milestones!$AB$59&amp;" "&amp;Milestones!$AC$59&amp;";  ",""))</f>
        <v/>
      </c>
      <c r="K56" s="0" t="str">
        <f aca="false">IF(OR($A56="",$D56=""),"",IF(AND(EDATE($D56,Milestones!$AA$60)&lt;=AsOfDate,IF($R56=0,$X56,IF(AND($T56&lt;&gt;"",EDATE($D56,Milestones!$AA$60)&gt;=$T56),$W56,IF(AND($S56&lt;&gt;"",EDATE($D56,Milestones!$AA$60)&gt;=$S56),$V56,$U56)))=Milestones!$AB$60),UPPER(TEXT(EDATE($D56,Milestones!$AA$60),"dd mmm yy"))&amp;" "&amp;Milestones!$AB$60&amp;" "&amp;Milestones!$AC$60&amp;";  ","")&amp;IF(AND(EDATE($D56,Milestones!$AA$61)&lt;=AsOfDate,IF($R56=0,$X56,IF(AND($T56&lt;&gt;"",EDATE($D56,Milestones!$AA$61)&gt;=$T56),$W56,IF(AND($S56&lt;&gt;"",EDATE($D56,Milestones!$AA$61)&gt;=$S56),$V56,$U56)))=Milestones!$AB$61),UPPER(TEXT(EDATE($D56,Milestones!$AA$61),"dd mmm yy"))&amp;" "&amp;Milestones!$AB$61&amp;" "&amp;Milestones!$AC$61&amp;";  ","")&amp;IF(AND(EDATE($D56,Milestones!$AA$62)&lt;=AsOfDate,IF($R56=0,$X56,IF(AND($T56&lt;&gt;"",EDATE($D56,Milestones!$AA$62)&gt;=$T56),$W56,IF(AND($S56&lt;&gt;"",EDATE($D56,Milestones!$AA$62)&gt;=$S56),$V56,$U56)))=Milestones!$AB$62),UPPER(TEXT(EDATE($D56,Milestones!$AA$62),"dd mmm yy"))&amp;" "&amp;Milestones!$AB$62&amp;" "&amp;Milestones!$AC$62&amp;";  ","")&amp;IF(AND(EDATE($D56,Milestones!$AA$63)&lt;=AsOfDate,IF($R56=0,$X56,IF(AND($T56&lt;&gt;"",EDATE($D56,Milestones!$AA$63)&gt;=$T56),$W56,IF(AND($S56&lt;&gt;"",EDATE($D56,Milestones!$AA$63)&gt;=$S56),$V56,$U56)))=Milestones!$AB$63),UPPER(TEXT(EDATE($D56,Milestones!$AA$63),"dd mmm yy"))&amp;" "&amp;Milestones!$AB$63&amp;" "&amp;Milestones!$AC$63&amp;";  ","")&amp;IF(AND(EDATE($D56,Milestones!$AA$64)&lt;=AsOfDate,IF($R56=0,$X56,IF(AND($T56&lt;&gt;"",EDATE($D56,Milestones!$AA$64)&gt;=$T56),$W56,IF(AND($S56&lt;&gt;"",EDATE($D56,Milestones!$AA$64)&gt;=$S56),$V56,$U56)))=Milestones!$AB$64),UPPER(TEXT(EDATE($D56,Milestones!$AA$64),"dd mmm yy"))&amp;" "&amp;Milestones!$AB$64&amp;" "&amp;Milestones!$AC$64&amp;";  ","")&amp;IF(AND(EDATE($D56,Milestones!$AA$65)&lt;=AsOfDate,IF($R56=0,$X56,IF(AND($T56&lt;&gt;"",EDATE($D56,Milestones!$AA$65)&gt;=$T56),$W56,IF(AND($S56&lt;&gt;"",EDATE($D56,Milestones!$AA$65)&gt;=$S56),$V56,$U56)))=Milestones!$AB$65),UPPER(TEXT(EDATE($D56,Milestones!$AA$65),"dd mmm yy"))&amp;" "&amp;Milestones!$AB$65&amp;" "&amp;Milestones!$AC$65&amp;";  ","")&amp;IF(AND(EDATE($D56,Milestones!$AA$66)&lt;=AsOfDate,IF($R56=0,$X56,IF(AND($T56&lt;&gt;"",EDATE($D56,Milestones!$AA$66)&gt;=$T56),$W56,IF(AND($S56&lt;&gt;"",EDATE($D56,Milestones!$AA$66)&gt;=$S56),$V56,$U56)))=Milestones!$AB$66),UPPER(TEXT(EDATE($D56,Milestones!$AA$66),"dd mmm yy"))&amp;" "&amp;Milestones!$AB$66&amp;" "&amp;Milestones!$AC$66&amp;";  ","")&amp;IF(AND(EDATE($D56,Milestones!$AA$67)&lt;=AsOfDate,IF($R56=0,$X56,IF(AND($T56&lt;&gt;"",EDATE($D56,Milestones!$AA$67)&gt;=$T56),$W56,IF(AND($S56&lt;&gt;"",EDATE($D56,Milestones!$AA$67)&gt;=$S56),$V56,$U56)))=Milestones!$AB$67),UPPER(TEXT(EDATE($D56,Milestones!$AA$67),"dd mmm yy"))&amp;" "&amp;Milestones!$AB$67&amp;" "&amp;Milestones!$AC$67&amp;";  ","")&amp;IF(AND(EDATE($D56,Milestones!$AA$68)&lt;=AsOfDate,IF($R56=0,$X56,IF(AND($T56&lt;&gt;"",EDATE($D56,Milestones!$AA$68)&gt;=$T56),$W56,IF(AND($S56&lt;&gt;"",EDATE($D56,Milestones!$AA$68)&gt;=$S56),$V56,$U56)))=Milestones!$AB$68),UPPER(TEXT(EDATE($D56,Milestones!$AA$68),"dd mmm yy"))&amp;" "&amp;Milestones!$AB$68&amp;" "&amp;Milestones!$AC$68&amp;";  ","")&amp;IF(AND(EDATE($D56,Milestones!$AA$69)&lt;=AsOfDate,IF($R56=0,$X56,IF(AND($T56&lt;&gt;"",EDATE($D56,Milestones!$AA$69)&gt;=$T56),$W56,IF(AND($S56&lt;&gt;"",EDATE($D56,Milestones!$AA$69)&gt;=$S56),$V56,$U56)))=Milestones!$AB$69),UPPER(TEXT(EDATE($D56,Milestones!$AA$69),"dd mmm yy"))&amp;" "&amp;Milestones!$AB$69&amp;" "&amp;Milestones!$AC$69&amp;";  ","")&amp;IF(AND(EDATE($D56,Milestones!$AA$70)&lt;=AsOfDate,IF($R56=0,$X56,IF(AND($T56&lt;&gt;"",EDATE($D56,Milestones!$AA$70)&gt;=$T56),$W56,IF(AND($S56&lt;&gt;"",EDATE($D56,Milestones!$AA$70)&gt;=$S56),$V56,$U56)))=Milestones!$AB$70),UPPER(TEXT(EDATE($D56,Milestones!$AA$70),"dd mmm yy"))&amp;" "&amp;Milestones!$AB$70&amp;" "&amp;Milestones!$AC$70&amp;";  ","")&amp;IF(AND(EDATE($D56,Milestones!$AA$71)&lt;=AsOfDate,IF($R56=0,$X56,IF(AND($T56&lt;&gt;"",EDATE($D56,Milestones!$AA$71)&gt;=$T56),$W56,IF(AND($S56&lt;&gt;"",EDATE($D56,Milestones!$AA$71)&gt;=$S56),$V56,$U56)))=Milestones!$AB$71),UPPER(TEXT(EDATE($D56,Milestones!$AA$71),"dd mmm yy"))&amp;" "&amp;Milestones!$AB$71&amp;" "&amp;Milestones!$AC$71&amp;";  ","")&amp;IF(AND(EDATE($D56,Milestones!$AA$72)&lt;=AsOfDate,IF($R56=0,$X56,IF(AND($T56&lt;&gt;"",EDATE($D56,Milestones!$AA$72)&gt;=$T56),$W56,IF(AND($S56&lt;&gt;"",EDATE($D56,Milestones!$AA$72)&gt;=$S56),$V56,$U56)))=Milestones!$AB$72),UPPER(TEXT(EDATE($D56,Milestones!$AA$72),"dd mmm yy"))&amp;" "&amp;Milestones!$AB$72&amp;" "&amp;Milestones!$AC$72&amp;";  ","")&amp;IF(AND(EDATE($D56,Milestones!$AA$73)&lt;=AsOfDate,IF($R56=0,$X56,IF(AND($T56&lt;&gt;"",EDATE($D56,Milestones!$AA$73)&gt;=$T56),$W56,IF(AND($S56&lt;&gt;"",EDATE($D56,Milestones!$AA$73)&gt;=$S56),$V56,$U56)))=Milestones!$AB$73),UPPER(TEXT(EDATE($D56,Milestones!$AA$73),"dd mmm yy"))&amp;" "&amp;Milestones!$AB$73&amp;" "&amp;Milestones!$AC$73&amp;";  ","")&amp;IF(AND(EDATE($D56,Milestones!$AA$74)&lt;=AsOfDate,IF($R56=0,$X56,IF(AND($T56&lt;&gt;"",EDATE($D56,Milestones!$AA$74)&gt;=$T56),$W56,IF(AND($S56&lt;&gt;"",EDATE($D56,Milestones!$AA$74)&gt;=$S56),$V56,$U56)))=Milestones!$AB$74),UPPER(TEXT(EDATE($D56,Milestones!$AA$74),"dd mmm yy"))&amp;" "&amp;Milestones!$AB$74&amp;" "&amp;Milestones!$AC$74&amp;";  ","")&amp;IF(AND(EDATE($D56,Milestones!$AA$75)&lt;=AsOfDate,IF($R56=0,$X56,IF(AND($T56&lt;&gt;"",EDATE($D56,Milestones!$AA$75)&gt;=$T56),$W56,IF(AND($S56&lt;&gt;"",EDATE($D56,Milestones!$AA$75)&gt;=$S56),$V56,$U56)))=Milestones!$AB$75),UPPER(TEXT(EDATE($D56,Milestones!$AA$75),"dd mmm yy"))&amp;" "&amp;Milestones!$AB$75&amp;" "&amp;Milestones!$AC$75&amp;";  ","")&amp;IF(AND(EDATE($D56,Milestones!$AA$76)&lt;=AsOfDate,IF($R56=0,$X56,IF(AND($T56&lt;&gt;"",EDATE($D56,Milestones!$AA$76)&gt;=$T56),$W56,IF(AND($S56&lt;&gt;"",EDATE($D56,Milestones!$AA$76)&gt;=$S56),$V56,$U56)))=Milestones!$AB$76),UPPER(TEXT(EDATE($D56,Milestones!$AA$76),"dd mmm yy"))&amp;" "&amp;Milestones!$AB$76&amp;" "&amp;Milestones!$AC$76&amp;";  ","")&amp;IF(AND(EDATE($D56,Milestones!$AA$77)&lt;=AsOfDate,IF($R56=0,$X56,IF(AND($T56&lt;&gt;"",EDATE($D56,Milestones!$AA$77)&gt;=$T56),$W56,IF(AND($S56&lt;&gt;"",EDATE($D56,Milestones!$AA$77)&gt;=$S56),$V56,$U56)))=Milestones!$AB$77),UPPER(TEXT(EDATE($D56,Milestones!$AA$77),"dd mmm yy"))&amp;" "&amp;Milestones!$AB$77&amp;" "&amp;Milestones!$AC$77&amp;";  ","")&amp;IF(AND(EDATE($D56,Milestones!$AA$78)&lt;=AsOfDate,IF($R56=0,$X56,IF(AND($T56&lt;&gt;"",EDATE($D56,Milestones!$AA$78)&gt;=$T56),$W56,IF(AND($S56&lt;&gt;"",EDATE($D56,Milestones!$AA$78)&gt;=$S56),$V56,$U56)))=Milestones!$AB$78),UPPER(TEXT(EDATE($D56,Milestones!$AA$78),"dd mmm yy"))&amp;" "&amp;Milestones!$AB$78&amp;" "&amp;Milestones!$AC$78&amp;";  ","")&amp;IF(AND(EDATE($D56,Milestones!$AA$79)&lt;=AsOfDate,IF($R56=0,$X56,IF(AND($T56&lt;&gt;"",EDATE($D56,Milestones!$AA$79)&gt;=$T56),$W56,IF(AND($S56&lt;&gt;"",EDATE($D56,Milestones!$AA$79)&gt;=$S56),$V56,$U56)))=Milestones!$AB$79),UPPER(TEXT(EDATE($D56,Milestones!$AA$79),"dd mmm yy"))&amp;" "&amp;Milestones!$AB$79&amp;" "&amp;Milestones!$AC$79&amp;";  ",""))</f>
        <v/>
      </c>
      <c r="L56" s="0" t="str">
        <f aca="false">IF(OR($A56="",$D56=""),"",IF(AND(EDATE($D56,Milestones!$AA$80)&lt;=AsOfDate,IF($R56=0,$X56,IF(AND($T56&lt;&gt;"",EDATE($D56,Milestones!$AA$80)&gt;=$T56),$W56,IF(AND($S56&lt;&gt;"",EDATE($D56,Milestones!$AA$80)&gt;=$S56),$V56,$U56)))=Milestones!$AB$80),UPPER(TEXT(EDATE($D56,Milestones!$AA$80),"dd mmm yy"))&amp;" "&amp;Milestones!$AB$80&amp;" "&amp;Milestones!$AC$80&amp;";  ","")&amp;IF(AND(EDATE($D56,Milestones!$AA$81)&lt;=AsOfDate,IF($R56=0,$X56,IF(AND($T56&lt;&gt;"",EDATE($D56,Milestones!$AA$81)&gt;=$T56),$W56,IF(AND($S56&lt;&gt;"",EDATE($D56,Milestones!$AA$81)&gt;=$S56),$V56,$U56)))=Milestones!$AB$81),UPPER(TEXT(EDATE($D56,Milestones!$AA$81),"dd mmm yy"))&amp;" "&amp;Milestones!$AB$81&amp;" "&amp;Milestones!$AC$81&amp;";  ","")&amp;IF(AND(EDATE($D56,Milestones!$AA$82)&lt;=AsOfDate,IF($R56=0,$X56,IF(AND($T56&lt;&gt;"",EDATE($D56,Milestones!$AA$82)&gt;=$T56),$W56,IF(AND($S56&lt;&gt;"",EDATE($D56,Milestones!$AA$82)&gt;=$S56),$V56,$U56)))=Milestones!$AB$82),UPPER(TEXT(EDATE($D56,Milestones!$AA$82),"dd mmm yy"))&amp;" "&amp;Milestones!$AB$82&amp;" "&amp;Milestones!$AC$82&amp;";  ","")&amp;IF(AND(EDATE($D56,Milestones!$AA$83)&lt;=AsOfDate,IF($R56=0,$X56,IF(AND($T56&lt;&gt;"",EDATE($D56,Milestones!$AA$83)&gt;=$T56),$W56,IF(AND($S56&lt;&gt;"",EDATE($D56,Milestones!$AA$83)&gt;=$S56),$V56,$U56)))=Milestones!$AB$83),UPPER(TEXT(EDATE($D56,Milestones!$AA$83),"dd mmm yy"))&amp;" "&amp;Milestones!$AB$83&amp;" "&amp;Milestones!$AC$83&amp;";  ","")&amp;IF(AND(EDATE($D56,Milestones!$AA$84)&lt;=AsOfDate,IF($R56=0,$X56,IF(AND($T56&lt;&gt;"",EDATE($D56,Milestones!$AA$84)&gt;=$T56),$W56,IF(AND($S56&lt;&gt;"",EDATE($D56,Milestones!$AA$84)&gt;=$S56),$V56,$U56)))=Milestones!$AB$84),UPPER(TEXT(EDATE($D56,Milestones!$AA$84),"dd mmm yy"))&amp;" "&amp;Milestones!$AB$84&amp;" "&amp;Milestones!$AC$84&amp;";  ","")&amp;IF(AND(EDATE($D56,Milestones!$AA$85)&lt;=AsOfDate,IF($R56=0,$X56,IF(AND($T56&lt;&gt;"",EDATE($D56,Milestones!$AA$85)&gt;=$T56),$W56,IF(AND($S56&lt;&gt;"",EDATE($D56,Milestones!$AA$85)&gt;=$S56),$V56,$U56)))=Milestones!$AB$85),UPPER(TEXT(EDATE($D56,Milestones!$AA$85),"dd mmm yy"))&amp;" "&amp;Milestones!$AB$85&amp;" "&amp;Milestones!$AC$85&amp;";  ","")&amp;IF(AND(EDATE($D56,Milestones!$AA$86)&lt;=AsOfDate,IF($R56=0,$X56,IF(AND($T56&lt;&gt;"",EDATE($D56,Milestones!$AA$86)&gt;=$T56),$W56,IF(AND($S56&lt;&gt;"",EDATE($D56,Milestones!$AA$86)&gt;=$S56),$V56,$U56)))=Milestones!$AB$86),UPPER(TEXT(EDATE($D56,Milestones!$AA$86),"dd mmm yy"))&amp;" "&amp;Milestones!$AB$86&amp;" "&amp;Milestones!$AC$86&amp;";  ","")&amp;IF(AND(EDATE($D56,Milestones!$AA$87)&lt;=AsOfDate,IF($R56=0,$X56,IF(AND($T56&lt;&gt;"",EDATE($D56,Milestones!$AA$87)&gt;=$T56),$W56,IF(AND($S56&lt;&gt;"",EDATE($D56,Milestones!$AA$87)&gt;=$S56),$V56,$U56)))=Milestones!$AB$87),UPPER(TEXT(EDATE($D56,Milestones!$AA$87),"dd mmm yy"))&amp;" "&amp;Milestones!$AB$87&amp;" "&amp;Milestones!$AC$87&amp;";  ","")&amp;IF(AND(EDATE($D56,Milestones!$AA$88)&lt;=AsOfDate,IF($R56=0,$X56,IF(AND($T56&lt;&gt;"",EDATE($D56,Milestones!$AA$88)&gt;=$T56),$W56,IF(AND($S56&lt;&gt;"",EDATE($D56,Milestones!$AA$88)&gt;=$S56),$V56,$U56)))=Milestones!$AB$88),UPPER(TEXT(EDATE($D56,Milestones!$AA$88),"dd mmm yy"))&amp;" "&amp;Milestones!$AB$88&amp;" "&amp;Milestones!$AC$88&amp;";  ","")&amp;IF(AND(EDATE($D56,Milestones!$AA$89)&lt;=AsOfDate,IF($R56=0,$X56,IF(AND($T56&lt;&gt;"",EDATE($D56,Milestones!$AA$89)&gt;=$T56),$W56,IF(AND($S56&lt;&gt;"",EDATE($D56,Milestones!$AA$89)&gt;=$S56),$V56,$U56)))=Milestones!$AB$89),UPPER(TEXT(EDATE($D56,Milestones!$AA$89),"dd mmm yy"))&amp;" "&amp;Milestones!$AB$89&amp;" "&amp;Milestones!$AC$89&amp;";  ","")&amp;IF(AND(EDATE($D56,Milestones!$AA$90)&lt;=AsOfDate,IF($R56=0,$X56,IF(AND($T56&lt;&gt;"",EDATE($D56,Milestones!$AA$90)&gt;=$T56),$W56,IF(AND($S56&lt;&gt;"",EDATE($D56,Milestones!$AA$90)&gt;=$S56),$V56,$U56)))=Milestones!$AB$90),UPPER(TEXT(EDATE($D56,Milestones!$AA$90),"dd mmm yy"))&amp;" "&amp;Milestones!$AB$90&amp;" "&amp;Milestones!$AC$90&amp;";  ","")&amp;IF(AND(EDATE($D56,Milestones!$AA$91)&lt;=AsOfDate,IF($R56=0,$X56,IF(AND($T56&lt;&gt;"",EDATE($D56,Milestones!$AA$91)&gt;=$T56),$W56,IF(AND($S56&lt;&gt;"",EDATE($D56,Milestones!$AA$91)&gt;=$S56),$V56,$U56)))=Milestones!$AB$91),UPPER(TEXT(EDATE($D56,Milestones!$AA$91),"dd mmm yy"))&amp;" "&amp;Milestones!$AB$91&amp;" "&amp;Milestones!$AC$91&amp;";  ","")&amp;IF(AND(EDATE($D56,Milestones!$AA$92)&lt;=AsOfDate,IF($R56=0,$X56,IF(AND($T56&lt;&gt;"",EDATE($D56,Milestones!$AA$92)&gt;=$T56),$W56,IF(AND($S56&lt;&gt;"",EDATE($D56,Milestones!$AA$92)&gt;=$S56),$V56,$U56)))=Milestones!$AB$92),UPPER(TEXT(EDATE($D56,Milestones!$AA$92),"dd mmm yy"))&amp;" "&amp;Milestones!$AB$92&amp;" "&amp;Milestones!$AC$92&amp;";  ","")&amp;IF(AND(EDATE($D56,Milestones!$AA$93)&lt;=AsOfDate,IF($R56=0,$X56,IF(AND($T56&lt;&gt;"",EDATE($D56,Milestones!$AA$93)&gt;=$T56),$W56,IF(AND($S56&lt;&gt;"",EDATE($D56,Milestones!$AA$93)&gt;=$S56),$V56,$U56)))=Milestones!$AB$93),UPPER(TEXT(EDATE($D56,Milestones!$AA$93),"dd mmm yy"))&amp;" "&amp;Milestones!$AB$93&amp;" "&amp;Milestones!$AC$93&amp;";  ","")&amp;IF(AND(EDATE($D56,Milestones!$AA$94)&lt;=AsOfDate,IF($R56=0,$X56,IF(AND($T56&lt;&gt;"",EDATE($D56,Milestones!$AA$94)&gt;=$T56),$W56,IF(AND($S56&lt;&gt;"",EDATE($D56,Milestones!$AA$94)&gt;=$S56),$V56,$U56)))=Milestones!$AB$94),UPPER(TEXT(EDATE($D56,Milestones!$AA$94),"dd mmm yy"))&amp;" "&amp;Milestones!$AB$94&amp;" "&amp;Milestones!$AC$94&amp;";  ","")&amp;IF(AND(EDATE($D56,Milestones!$AA$95)&lt;=AsOfDate,IF($R56=0,$X56,IF(AND($T56&lt;&gt;"",EDATE($D56,Milestones!$AA$95)&gt;=$T56),$W56,IF(AND($S56&lt;&gt;"",EDATE($D56,Milestones!$AA$95)&gt;=$S56),$V56,$U56)))=Milestones!$AB$95),UPPER(TEXT(EDATE($D56,Milestones!$AA$95),"dd mmm yy"))&amp;" "&amp;Milestones!$AB$95&amp;" "&amp;Milestones!$AC$95&amp;";  ","")&amp;IF(AND(EDATE($D56,Milestones!$AA$96)&lt;=AsOfDate,IF($R56=0,$X56,IF(AND($T56&lt;&gt;"",EDATE($D56,Milestones!$AA$96)&gt;=$T56),$W56,IF(AND($S56&lt;&gt;"",EDATE($D56,Milestones!$AA$96)&gt;=$S56),$V56,$U56)))=Milestones!$AB$96),UPPER(TEXT(EDATE($D56,Milestones!$AA$96),"dd mmm yy"))&amp;" "&amp;Milestones!$AB$96&amp;" "&amp;Milestones!$AC$96&amp;";  ","")&amp;IF(AND(EDATE($D56,Milestones!$AA$97)&lt;=AsOfDate,IF($R56=0,$X56,IF(AND($T56&lt;&gt;"",EDATE($D56,Milestones!$AA$97)&gt;=$T56),$W56,IF(AND($S56&lt;&gt;"",EDATE($D56,Milestones!$AA$97)&gt;=$S56),$V56,$U56)))=Milestones!$AB$97),UPPER(TEXT(EDATE($D56,Milestones!$AA$97),"dd mmm yy"))&amp;" "&amp;Milestones!$AB$97&amp;" "&amp;Milestones!$AC$97&amp;";  ","")&amp;IF(AND(EDATE($D56,Milestones!$AA$98)&lt;=AsOfDate,IF($R56=0,$X56,IF(AND($T56&lt;&gt;"",EDATE($D56,Milestones!$AA$98)&gt;=$T56),$W56,IF(AND($S56&lt;&gt;"",EDATE($D56,Milestones!$AA$98)&gt;=$S56),$V56,$U56)))=Milestones!$AB$98),UPPER(TEXT(EDATE($D56,Milestones!$AA$98),"dd mmm yy"))&amp;" "&amp;Milestones!$AB$98&amp;" "&amp;Milestones!$AC$98&amp;";  ","")&amp;IF(AND(EDATE($D56,Milestones!$AA$99)&lt;=AsOfDate,IF($R56=0,$X56,IF(AND($T56&lt;&gt;"",EDATE($D56,Milestones!$AA$99)&gt;=$T56),$W56,IF(AND($S56&lt;&gt;"",EDATE($D56,Milestones!$AA$99)&gt;=$S56),$V56,$U56)))=Milestones!$AB$99),UPPER(TEXT(EDATE($D56,Milestones!$AA$99),"dd mmm yy"))&amp;" "&amp;Milestones!$AB$99&amp;" "&amp;Milestones!$AC$99&amp;";  ",""))</f>
        <v/>
      </c>
      <c r="M56" s="0" t="str">
        <f aca="false">IF(OR($A56="",$D56=""),"",IF(AND(EDATE($D56,Milestones!$AA$100)&lt;=AsOfDate,IF($R56=0,$X56,IF(AND($T56&lt;&gt;"",EDATE($D56,Milestones!$AA$100)&gt;=$T56),$W56,IF(AND($S56&lt;&gt;"",EDATE($D56,Milestones!$AA$100)&gt;=$S56),$V56,$U56)))=Milestones!$AB$100),UPPER(TEXT(EDATE($D56,Milestones!$AA$100),"dd mmm yy"))&amp;" "&amp;Milestones!$AB$100&amp;" "&amp;Milestones!$AC$100&amp;";  ","")&amp;IF(AND(EDATE($D56,Milestones!$AA$101)&lt;=AsOfDate,IF($R56=0,$X56,IF(AND($T56&lt;&gt;"",EDATE($D56,Milestones!$AA$101)&gt;=$T56),$W56,IF(AND($S56&lt;&gt;"",EDATE($D56,Milestones!$AA$101)&gt;=$S56),$V56,$U56)))=Milestones!$AB$101),UPPER(TEXT(EDATE($D56,Milestones!$AA$101),"dd mmm yy"))&amp;" "&amp;Milestones!$AB$101&amp;" "&amp;Milestones!$AC$101&amp;";  ","")&amp;IF(AND(EDATE($D56,Milestones!$AA$102)&lt;=AsOfDate,IF($R56=0,$X56,IF(AND($T56&lt;&gt;"",EDATE($D56,Milestones!$AA$102)&gt;=$T56),$W56,IF(AND($S56&lt;&gt;"",EDATE($D56,Milestones!$AA$102)&gt;=$S56),$V56,$U56)))=Milestones!$AB$102),UPPER(TEXT(EDATE($D56,Milestones!$AA$102),"dd mmm yy"))&amp;" "&amp;Milestones!$AB$102&amp;" "&amp;Milestones!$AC$102&amp;";  ","")&amp;IF(AND(EDATE($D56,Milestones!$AA$103)&lt;=AsOfDate,IF($R56=0,$X56,IF(AND($T56&lt;&gt;"",EDATE($D56,Milestones!$AA$103)&gt;=$T56),$W56,IF(AND($S56&lt;&gt;"",EDATE($D56,Milestones!$AA$103)&gt;=$S56),$V56,$U56)))=Milestones!$AB$103),UPPER(TEXT(EDATE($D56,Milestones!$AA$103),"dd mmm yy"))&amp;" "&amp;Milestones!$AB$103&amp;" "&amp;Milestones!$AC$103&amp;";  ","")&amp;IF(AND(EDATE($D56,Milestones!$AA$104)&lt;=AsOfDate,IF($R56=0,$X56,IF(AND($T56&lt;&gt;"",EDATE($D56,Milestones!$AA$104)&gt;=$T56),$W56,IF(AND($S56&lt;&gt;"",EDATE($D56,Milestones!$AA$104)&gt;=$S56),$V56,$U56)))=Milestones!$AB$104),UPPER(TEXT(EDATE($D56,Milestones!$AA$104),"dd mmm yy"))&amp;" "&amp;Milestones!$AB$104&amp;" "&amp;Milestones!$AC$104&amp;";  ","")&amp;IF(AND(EDATE($D56,Milestones!$AA$105)&lt;=AsOfDate,IF($R56=0,$X56,IF(AND($T56&lt;&gt;"",EDATE($D56,Milestones!$AA$105)&gt;=$T56),$W56,IF(AND($S56&lt;&gt;"",EDATE($D56,Milestones!$AA$105)&gt;=$S56),$V56,$U56)))=Milestones!$AB$105),UPPER(TEXT(EDATE($D56,Milestones!$AA$105),"dd mmm yy"))&amp;" "&amp;Milestones!$AB$105&amp;" "&amp;Milestones!$AC$105&amp;";  ","")&amp;IF(AND(EDATE($D56,Milestones!$AA$106)&lt;=AsOfDate,IF($R56=0,$X56,IF(AND($T56&lt;&gt;"",EDATE($D56,Milestones!$AA$106)&gt;=$T56),$W56,IF(AND($S56&lt;&gt;"",EDATE($D56,Milestones!$AA$106)&gt;=$S56),$V56,$U56)))=Milestones!$AB$106),UPPER(TEXT(EDATE($D56,Milestones!$AA$106),"dd mmm yy"))&amp;" "&amp;Milestones!$AB$106&amp;" "&amp;Milestones!$AC$106&amp;";  ","")&amp;IF(AND(EDATE($D56,Milestones!$AA$107)&lt;=AsOfDate,IF($R56=0,$X56,IF(AND($T56&lt;&gt;"",EDATE($D56,Milestones!$AA$107)&gt;=$T56),$W56,IF(AND($S56&lt;&gt;"",EDATE($D56,Milestones!$AA$107)&gt;=$S56),$V56,$U56)))=Milestones!$AB$107),UPPER(TEXT(EDATE($D56,Milestones!$AA$107),"dd mmm yy"))&amp;" "&amp;Milestones!$AB$107&amp;" "&amp;Milestones!$AC$107&amp;";  ","")&amp;IF(AND(EDATE($D56,Milestones!$AA$108)&lt;=AsOfDate,IF($R56=0,$X56,IF(AND($T56&lt;&gt;"",EDATE($D56,Milestones!$AA$108)&gt;=$T56),$W56,IF(AND($S56&lt;&gt;"",EDATE($D56,Milestones!$AA$108)&gt;=$S56),$V56,$U56)))=Milestones!$AB$108),UPPER(TEXT(EDATE($D56,Milestones!$AA$108),"dd mmm yy"))&amp;" "&amp;Milestones!$AB$108&amp;" "&amp;Milestones!$AC$108&amp;";  ","")&amp;IF(AND(EDATE($D56,Milestones!$AA$109)&lt;=AsOfDate,IF($R56=0,$X56,IF(AND($T56&lt;&gt;"",EDATE($D56,Milestones!$AA$109)&gt;=$T56),$W56,IF(AND($S56&lt;&gt;"",EDATE($D56,Milestones!$AA$109)&gt;=$S56),$V56,$U56)))=Milestones!$AB$109),UPPER(TEXT(EDATE($D56,Milestones!$AA$109),"dd mmm yy"))&amp;" "&amp;Milestones!$AB$109&amp;" "&amp;Milestones!$AC$109&amp;";  ","")&amp;IF(AND(EDATE($D56,Milestones!$AA$110)&lt;=AsOfDate,IF($R56=0,$X56,IF(AND($T56&lt;&gt;"",EDATE($D56,Milestones!$AA$110)&gt;=$T56),$W56,IF(AND($S56&lt;&gt;"",EDATE($D56,Milestones!$AA$110)&gt;=$S56),$V56,$U56)))=Milestones!$AB$110),UPPER(TEXT(EDATE($D56,Milestones!$AA$110),"dd mmm yy"))&amp;" "&amp;Milestones!$AB$110&amp;" "&amp;Milestones!$AC$110&amp;";  ","")&amp;IF(AND(EDATE($D56,Milestones!$AA$111)&lt;=AsOfDate,IF($R56=0,$X56,IF(AND($T56&lt;&gt;"",EDATE($D56,Milestones!$AA$111)&gt;=$T56),$W56,IF(AND($S56&lt;&gt;"",EDATE($D56,Milestones!$AA$111)&gt;=$S56),$V56,$U56)))=Milestones!$AB$111),UPPER(TEXT(EDATE($D56,Milestones!$AA$111),"dd mmm yy"))&amp;" "&amp;Milestones!$AB$111&amp;" "&amp;Milestones!$AC$111&amp;";  ","")&amp;IF(AND(EDATE($D56,Milestones!$AA$112)&lt;=AsOfDate,IF($R56=0,$X56,IF(AND($T56&lt;&gt;"",EDATE($D56,Milestones!$AA$112)&gt;=$T56),$W56,IF(AND($S56&lt;&gt;"",EDATE($D56,Milestones!$AA$112)&gt;=$S56),$V56,$U56)))=Milestones!$AB$112),UPPER(TEXT(EDATE($D56,Milestones!$AA$112),"dd mmm yy"))&amp;" "&amp;Milestones!$AB$112&amp;" "&amp;Milestones!$AC$112&amp;";  ","")&amp;IF(AND(EDATE($D56,Milestones!$AA$113)&lt;=AsOfDate,IF($R56=0,$X56,IF(AND($T56&lt;&gt;"",EDATE($D56,Milestones!$AA$113)&gt;=$T56),$W56,IF(AND($S56&lt;&gt;"",EDATE($D56,Milestones!$AA$113)&gt;=$S56),$V56,$U56)))=Milestones!$AB$113),UPPER(TEXT(EDATE($D56,Milestones!$AA$113),"dd mmm yy"))&amp;" "&amp;Milestones!$AB$113&amp;" "&amp;Milestones!$AC$113&amp;";  ","")&amp;IF(AND(EDATE($D56,Milestones!$AA$114)&lt;=AsOfDate,IF($R56=0,$X56,IF(AND($T56&lt;&gt;"",EDATE($D56,Milestones!$AA$114)&gt;=$T56),$W56,IF(AND($S56&lt;&gt;"",EDATE($D56,Milestones!$AA$114)&gt;=$S56),$V56,$U56)))=Milestones!$AB$114),UPPER(TEXT(EDATE($D56,Milestones!$AA$114),"dd mmm yy"))&amp;" "&amp;Milestones!$AB$114&amp;" "&amp;Milestones!$AC$114&amp;";  ","")&amp;IF(AND(EDATE($D56,Milestones!$AA$115)&lt;=AsOfDate,IF($R56=0,$X56,IF(AND($T56&lt;&gt;"",EDATE($D56,Milestones!$AA$115)&gt;=$T56),$W56,IF(AND($S56&lt;&gt;"",EDATE($D56,Milestones!$AA$115)&gt;=$S56),$V56,$U56)))=Milestones!$AB$115),UPPER(TEXT(EDATE($D56,Milestones!$AA$115),"dd mmm yy"))&amp;" "&amp;Milestones!$AB$115&amp;" "&amp;Milestones!$AC$115&amp;";  ","")&amp;IF(AND(EDATE($D56,Milestones!$AA$116)&lt;=AsOfDate,IF($R56=0,$X56,IF(AND($T56&lt;&gt;"",EDATE($D56,Milestones!$AA$116)&gt;=$T56),$W56,IF(AND($S56&lt;&gt;"",EDATE($D56,Milestones!$AA$116)&gt;=$S56),$V56,$U56)))=Milestones!$AB$116),UPPER(TEXT(EDATE($D56,Milestones!$AA$116),"dd mmm yy"))&amp;" "&amp;Milestones!$AB$116&amp;" "&amp;Milestones!$AC$116&amp;";  ","")&amp;IF(AND(EDATE($D56,Milestones!$AA$117)&lt;=AsOfDate,IF($R56=0,$X56,IF(AND($T56&lt;&gt;"",EDATE($D56,Milestones!$AA$117)&gt;=$T56),$W56,IF(AND($S56&lt;&gt;"",EDATE($D56,Milestones!$AA$117)&gt;=$S56),$V56,$U56)))=Milestones!$AB$117),UPPER(TEXT(EDATE($D56,Milestones!$AA$117),"dd mmm yy"))&amp;" "&amp;Milestones!$AB$117&amp;" "&amp;Milestones!$AC$117&amp;";  ","")&amp;IF(AND(EDATE($D56,Milestones!$AA$118)&lt;=AsOfDate,IF($R56=0,$X56,IF(AND($T56&lt;&gt;"",EDATE($D56,Milestones!$AA$118)&gt;=$T56),$W56,IF(AND($S56&lt;&gt;"",EDATE($D56,Milestones!$AA$118)&gt;=$S56),$V56,$U56)))=Milestones!$AB$118),UPPER(TEXT(EDATE($D56,Milestones!$AA$118),"dd mmm yy"))&amp;" "&amp;Milestones!$AB$118&amp;" "&amp;Milestones!$AC$118&amp;";  ","")&amp;IF(AND(EDATE($D56,Milestones!$AA$119)&lt;=AsOfDate,IF($R56=0,$X56,IF(AND($T56&lt;&gt;"",EDATE($D56,Milestones!$AA$119)&gt;=$T56),$W56,IF(AND($S56&lt;&gt;"",EDATE($D56,Milestones!$AA$119)&gt;=$S56),$V56,$U56)))=Milestones!$AB$119),UPPER(TEXT(EDATE($D56,Milestones!$AA$119),"dd mmm yy"))&amp;" "&amp;Milestones!$AB$119&amp;" "&amp;Milestones!$AC$119&amp;";  ",""))</f>
        <v/>
      </c>
      <c r="N56" s="0" t="str">
        <f aca="false">IF(OR($A56="",$D56=""),"",IF(AND(EDATE($D56,Milestones!$AA$120)&lt;=AsOfDate,IF($R56=0,$X56,IF(AND($T56&lt;&gt;"",EDATE($D56,Milestones!$AA$120)&gt;=$T56),$W56,IF(AND($S56&lt;&gt;"",EDATE($D56,Milestones!$AA$120)&gt;=$S56),$V56,$U56)))=Milestones!$AB$120),UPPER(TEXT(EDATE($D56,Milestones!$AA$120),"dd mmm yy"))&amp;" "&amp;Milestones!$AB$120&amp;" "&amp;Milestones!$AC$120&amp;";  ","")&amp;IF(AND(EDATE($D56,Milestones!$AA$121)&lt;=AsOfDate,IF($R56=0,$X56,IF(AND($T56&lt;&gt;"",EDATE($D56,Milestones!$AA$121)&gt;=$T56),$W56,IF(AND($S56&lt;&gt;"",EDATE($D56,Milestones!$AA$121)&gt;=$S56),$V56,$U56)))=Milestones!$AB$121),UPPER(TEXT(EDATE($D56,Milestones!$AA$121),"dd mmm yy"))&amp;" "&amp;Milestones!$AB$121&amp;" "&amp;Milestones!$AC$121&amp;";  ","")&amp;IF(AND(EDATE($D56,Milestones!$AA$122)&lt;=AsOfDate,IF($R56=0,$X56,IF(AND($T56&lt;&gt;"",EDATE($D56,Milestones!$AA$122)&gt;=$T56),$W56,IF(AND($S56&lt;&gt;"",EDATE($D56,Milestones!$AA$122)&gt;=$S56),$V56,$U56)))=Milestones!$AB$122),UPPER(TEXT(EDATE($D56,Milestones!$AA$122),"dd mmm yy"))&amp;" "&amp;Milestones!$AB$122&amp;" "&amp;Milestones!$AC$122&amp;";  ","")&amp;IF(AND(EDATE($D56,Milestones!$AA$123)&lt;=AsOfDate,IF($R56=0,$X56,IF(AND($T56&lt;&gt;"",EDATE($D56,Milestones!$AA$123)&gt;=$T56),$W56,IF(AND($S56&lt;&gt;"",EDATE($D56,Milestones!$AA$123)&gt;=$S56),$V56,$U56)))=Milestones!$AB$123),UPPER(TEXT(EDATE($D56,Milestones!$AA$123),"dd mmm yy"))&amp;" "&amp;Milestones!$AB$123&amp;" "&amp;Milestones!$AC$123&amp;";  ","")&amp;IF(AND(EDATE($D56,Milestones!$AA$124)&lt;=AsOfDate,IF($R56=0,$X56,IF(AND($T56&lt;&gt;"",EDATE($D56,Milestones!$AA$124)&gt;=$T56),$W56,IF(AND($S56&lt;&gt;"",EDATE($D56,Milestones!$AA$124)&gt;=$S56),$V56,$U56)))=Milestones!$AB$124),UPPER(TEXT(EDATE($D56,Milestones!$AA$124),"dd mmm yy"))&amp;" "&amp;Milestones!$AB$124&amp;" "&amp;Milestones!$AC$124&amp;";  ","")&amp;IF(AND(EDATE($D56,Milestones!$AA$125)&lt;=AsOfDate,IF($R56=0,$X56,IF(AND($T56&lt;&gt;"",EDATE($D56,Milestones!$AA$125)&gt;=$T56),$W56,IF(AND($S56&lt;&gt;"",EDATE($D56,Milestones!$AA$125)&gt;=$S56),$V56,$U56)))=Milestones!$AB$125),UPPER(TEXT(EDATE($D56,Milestones!$AA$125),"dd mmm yy"))&amp;" "&amp;Milestones!$AB$125&amp;" "&amp;Milestones!$AC$125&amp;";  ","")&amp;IF(AND(EDATE($D56,Milestones!$AA$126)&lt;=AsOfDate,IF($R56=0,$X56,IF(AND($T56&lt;&gt;"",EDATE($D56,Milestones!$AA$126)&gt;=$T56),$W56,IF(AND($S56&lt;&gt;"",EDATE($D56,Milestones!$AA$126)&gt;=$S56),$V56,$U56)))=Milestones!$AB$126),UPPER(TEXT(EDATE($D56,Milestones!$AA$126),"dd mmm yy"))&amp;" "&amp;Milestones!$AB$126&amp;" "&amp;Milestones!$AC$126&amp;";  ","")&amp;IF(AND(EDATE($D56,Milestones!$AA$127)&lt;=AsOfDate,IF($R56=0,$X56,IF(AND($T56&lt;&gt;"",EDATE($D56,Milestones!$AA$127)&gt;=$T56),$W56,IF(AND($S56&lt;&gt;"",EDATE($D56,Milestones!$AA$127)&gt;=$S56),$V56,$U56)))=Milestones!$AB$127),UPPER(TEXT(EDATE($D56,Milestones!$AA$127),"dd mmm yy"))&amp;" "&amp;Milestones!$AB$127&amp;" "&amp;Milestones!$AC$127&amp;";  ","")&amp;IF(AND(EDATE($D56,Milestones!$AA$128)&lt;=AsOfDate,IF($R56=0,$X56,IF(AND($T56&lt;&gt;"",EDATE($D56,Milestones!$AA$128)&gt;=$T56),$W56,IF(AND($S56&lt;&gt;"",EDATE($D56,Milestones!$AA$128)&gt;=$S56),$V56,$U56)))=Milestones!$AB$128),UPPER(TEXT(EDATE($D56,Milestones!$AA$128),"dd mmm yy"))&amp;" "&amp;Milestones!$AB$128&amp;" "&amp;Milestones!$AC$128&amp;";  ","")&amp;IF(AND(EDATE($D56,Milestones!$AA$129)&lt;=AsOfDate,IF($R56=0,$X56,IF(AND($T56&lt;&gt;"",EDATE($D56,Milestones!$AA$129)&gt;=$T56),$W56,IF(AND($S56&lt;&gt;"",EDATE($D56,Milestones!$AA$129)&gt;=$S56),$V56,$U56)))=Milestones!$AB$129),UPPER(TEXT(EDATE($D56,Milestones!$AA$129),"dd mmm yy"))&amp;" "&amp;Milestones!$AB$129&amp;" "&amp;Milestones!$AC$129&amp;";  ","")&amp;IF(AND(EDATE($D56,Milestones!$AA$130)&lt;=AsOfDate,IF($R56=0,$X56,IF(AND($T56&lt;&gt;"",EDATE($D56,Milestones!$AA$130)&gt;=$T56),$W56,IF(AND($S56&lt;&gt;"",EDATE($D56,Milestones!$AA$130)&gt;=$S56),$V56,$U56)))=Milestones!$AB$130),UPPER(TEXT(EDATE($D56,Milestones!$AA$130),"dd mmm yy"))&amp;" "&amp;Milestones!$AB$130&amp;" "&amp;Milestones!$AC$130&amp;";  ","")&amp;IF(AND(EDATE($D56,Milestones!$AA$131)&lt;=AsOfDate,IF($R56=0,$X56,IF(AND($T56&lt;&gt;"",EDATE($D56,Milestones!$AA$131)&gt;=$T56),$W56,IF(AND($S56&lt;&gt;"",EDATE($D56,Milestones!$AA$131)&gt;=$S56),$V56,$U56)))=Milestones!$AB$131),UPPER(TEXT(EDATE($D56,Milestones!$AA$131),"dd mmm yy"))&amp;" "&amp;Milestones!$AB$131&amp;" "&amp;Milestones!$AC$131&amp;";  ","")&amp;IF(AND(EDATE($D56,Milestones!$AA$132)&lt;=AsOfDate,IF($R56=0,$X56,IF(AND($T56&lt;&gt;"",EDATE($D56,Milestones!$AA$132)&gt;=$T56),$W56,IF(AND($S56&lt;&gt;"",EDATE($D56,Milestones!$AA$132)&gt;=$S56),$V56,$U56)))=Milestones!$AB$132),UPPER(TEXT(EDATE($D56,Milestones!$AA$132),"dd mmm yy"))&amp;" "&amp;Milestones!$AB$132&amp;" "&amp;Milestones!$AC$132&amp;";  ","")&amp;IF(AND(EDATE($D56,Milestones!$AA$133)&lt;=AsOfDate,IF($R56=0,$X56,IF(AND($T56&lt;&gt;"",EDATE($D56,Milestones!$AA$133)&gt;=$T56),$W56,IF(AND($S56&lt;&gt;"",EDATE($D56,Milestones!$AA$133)&gt;=$S56),$V56,$U56)))=Milestones!$AB$133),UPPER(TEXT(EDATE($D56,Milestones!$AA$133),"dd mmm yy"))&amp;" "&amp;Milestones!$AB$133&amp;" "&amp;Milestones!$AC$133&amp;";  ","")&amp;IF(AND(EDATE($D56,Milestones!$AA$134)&lt;=AsOfDate,IF($R56=0,$X56,IF(AND($T56&lt;&gt;"",EDATE($D56,Milestones!$AA$134)&gt;=$T56),$W56,IF(AND($S56&lt;&gt;"",EDATE($D56,Milestones!$AA$134)&gt;=$S56),$V56,$U56)))=Milestones!$AB$134),UPPER(TEXT(EDATE($D56,Milestones!$AA$134),"dd mmm yy"))&amp;" "&amp;Milestones!$AB$134&amp;" "&amp;Milestones!$AC$134&amp;";  ","")&amp;IF(AND(EDATE($D56,Milestones!$AA$135)&lt;=AsOfDate,IF($R56=0,$X56,IF(AND($T56&lt;&gt;"",EDATE($D56,Milestones!$AA$135)&gt;=$T56),$W56,IF(AND($S56&lt;&gt;"",EDATE($D56,Milestones!$AA$135)&gt;=$S56),$V56,$U56)))=Milestones!$AB$135),UPPER(TEXT(EDATE($D56,Milestones!$AA$135),"dd mmm yy"))&amp;" "&amp;Milestones!$AB$135&amp;" "&amp;Milestones!$AC$135&amp;";  ","")&amp;IF(AND(EDATE($D56,Milestones!$AA$136)&lt;=AsOfDate,IF($R56=0,$X56,IF(AND($T56&lt;&gt;"",EDATE($D56,Milestones!$AA$136)&gt;=$T56),$W56,IF(AND($S56&lt;&gt;"",EDATE($D56,Milestones!$AA$136)&gt;=$S56),$V56,$U56)))=Milestones!$AB$136),UPPER(TEXT(EDATE($D56,Milestones!$AA$136),"dd mmm yy"))&amp;" "&amp;Milestones!$AB$136&amp;" "&amp;Milestones!$AC$136&amp;";  ","")&amp;IF(AND(EDATE($D56,Milestones!$AA$137)&lt;=AsOfDate,IF($R56=0,$X56,IF(AND($T56&lt;&gt;"",EDATE($D56,Milestones!$AA$137)&gt;=$T56),$W56,IF(AND($S56&lt;&gt;"",EDATE($D56,Milestones!$AA$137)&gt;=$S56),$V56,$U56)))=Milestones!$AB$137),UPPER(TEXT(EDATE($D56,Milestones!$AA$137),"dd mmm yy"))&amp;" "&amp;Milestones!$AB$137&amp;" "&amp;Milestones!$AC$137&amp;";  ","")&amp;IF(AND(EDATE($D56,Milestones!$AA$138)&lt;=AsOfDate,IF($R56=0,$X56,IF(AND($T56&lt;&gt;"",EDATE($D56,Milestones!$AA$138)&gt;=$T56),$W56,IF(AND($S56&lt;&gt;"",EDATE($D56,Milestones!$AA$138)&gt;=$S56),$V56,$U56)))=Milestones!$AB$138),UPPER(TEXT(EDATE($D56,Milestones!$AA$138),"dd mmm yy"))&amp;" "&amp;Milestones!$AB$138&amp;" "&amp;Milestones!$AC$138&amp;";  ","")&amp;IF(AND(EDATE($D56,Milestones!$AA$139)&lt;=AsOfDate,IF($R56=0,$X56,IF(AND($T56&lt;&gt;"",EDATE($D56,Milestones!$AA$139)&gt;=$T56),$W56,IF(AND($S56&lt;&gt;"",EDATE($D56,Milestones!$AA$139)&gt;=$S56),$V56,$U56)))=Milestones!$AB$139),UPPER(TEXT(EDATE($D56,Milestones!$AA$139),"dd mmm yy"))&amp;" "&amp;Milestones!$AB$139&amp;" "&amp;Milestones!$AC$139&amp;";  ",""))</f>
        <v/>
      </c>
      <c r="O56" s="0" t="str">
        <f aca="false">IF(OR($A56="",$D56=""),"",IF(AND(EDATE($D56,Milestones!$AA$140)&lt;=AsOfDate,IF($R56=0,$X56,IF(AND($T56&lt;&gt;"",EDATE($D56,Milestones!$AA$140)&gt;=$T56),$W56,IF(AND($S56&lt;&gt;"",EDATE($D56,Milestones!$AA$140)&gt;=$S56),$V56,$U56)))=Milestones!$AB$140),UPPER(TEXT(EDATE($D56,Milestones!$AA$140),"dd mmm yy"))&amp;" "&amp;Milestones!$AB$140&amp;" "&amp;Milestones!$AC$140&amp;";  ","")&amp;IF(AND(EDATE($D56,Milestones!$AA$141)&lt;=AsOfDate,IF($R56=0,$X56,IF(AND($T56&lt;&gt;"",EDATE($D56,Milestones!$AA$141)&gt;=$T56),$W56,IF(AND($S56&lt;&gt;"",EDATE($D56,Milestones!$AA$141)&gt;=$S56),$V56,$U56)))=Milestones!$AB$141),UPPER(TEXT(EDATE($D56,Milestones!$AA$141),"dd mmm yy"))&amp;" "&amp;Milestones!$AB$141&amp;" "&amp;Milestones!$AC$141&amp;";  ","")&amp;IF(AND(EDATE($D56,Milestones!$AA$142)&lt;=AsOfDate,IF($R56=0,$X56,IF(AND($T56&lt;&gt;"",EDATE($D56,Milestones!$AA$142)&gt;=$T56),$W56,IF(AND($S56&lt;&gt;"",EDATE($D56,Milestones!$AA$142)&gt;=$S56),$V56,$U56)))=Milestones!$AB$142),UPPER(TEXT(EDATE($D56,Milestones!$AA$142),"dd mmm yy"))&amp;" "&amp;Milestones!$AB$142&amp;" "&amp;Milestones!$AC$142&amp;";  ","")&amp;IF(AND(EDATE($D56,Milestones!$AA$143)&lt;=AsOfDate,IF($R56=0,$X56,IF(AND($T56&lt;&gt;"",EDATE($D56,Milestones!$AA$143)&gt;=$T56),$W56,IF(AND($S56&lt;&gt;"",EDATE($D56,Milestones!$AA$143)&gt;=$S56),$V56,$U56)))=Milestones!$AB$143),UPPER(TEXT(EDATE($D56,Milestones!$AA$143),"dd mmm yy"))&amp;" "&amp;Milestones!$AB$143&amp;" "&amp;Milestones!$AC$143&amp;";  ","")&amp;IF(AND(EDATE($D56,Milestones!$AA$144)&lt;=AsOfDate,IF($R56=0,$X56,IF(AND($T56&lt;&gt;"",EDATE($D56,Milestones!$AA$144)&gt;=$T56),$W56,IF(AND($S56&lt;&gt;"",EDATE($D56,Milestones!$AA$144)&gt;=$S56),$V56,$U56)))=Milestones!$AB$144),UPPER(TEXT(EDATE($D56,Milestones!$AA$144),"dd mmm yy"))&amp;" "&amp;Milestones!$AB$144&amp;" "&amp;Milestones!$AC$144&amp;";  ","")&amp;IF(AND(EDATE($D56,Milestones!$AA$145)&lt;=AsOfDate,IF($R56=0,$X56,IF(AND($T56&lt;&gt;"",EDATE($D56,Milestones!$AA$145)&gt;=$T56),$W56,IF(AND($S56&lt;&gt;"",EDATE($D56,Milestones!$AA$145)&gt;=$S56),$V56,$U56)))=Milestones!$AB$145),UPPER(TEXT(EDATE($D56,Milestones!$AA$145),"dd mmm yy"))&amp;" "&amp;Milestones!$AB$145&amp;" "&amp;Milestones!$AC$145&amp;";  ","")&amp;IF(AND(EDATE($D56,Milestones!$AA$146)&lt;=AsOfDate,IF($R56=0,$X56,IF(AND($T56&lt;&gt;"",EDATE($D56,Milestones!$AA$146)&gt;=$T56),$W56,IF(AND($S56&lt;&gt;"",EDATE($D56,Milestones!$AA$146)&gt;=$S56),$V56,$U56)))=Milestones!$AB$146),UPPER(TEXT(EDATE($D56,Milestones!$AA$146),"dd mmm yy"))&amp;" "&amp;Milestones!$AB$146&amp;" "&amp;Milestones!$AC$146&amp;";  ","")&amp;IF(AND(EDATE($D56,Milestones!$AA$147)&lt;=AsOfDate,IF($R56=0,$X56,IF(AND($T56&lt;&gt;"",EDATE($D56,Milestones!$AA$147)&gt;=$T56),$W56,IF(AND($S56&lt;&gt;"",EDATE($D56,Milestones!$AA$147)&gt;=$S56),$V56,$U56)))=Milestones!$AB$147),UPPER(TEXT(EDATE($D56,Milestones!$AA$147),"dd mmm yy"))&amp;" "&amp;Milestones!$AB$147&amp;" "&amp;Milestones!$AC$147&amp;";  ","")&amp;IF(AND(EDATE($D56,Milestones!$AA$148)&lt;=AsOfDate,IF($R56=0,$X56,IF(AND($T56&lt;&gt;"",EDATE($D56,Milestones!$AA$148)&gt;=$T56),$W56,IF(AND($S56&lt;&gt;"",EDATE($D56,Milestones!$AA$148)&gt;=$S56),$V56,$U56)))=Milestones!$AB$148),UPPER(TEXT(EDATE($D56,Milestones!$AA$148),"dd mmm yy"))&amp;" "&amp;Milestones!$AB$148&amp;" "&amp;Milestones!$AC$148&amp;";  ","")&amp;IF(AND(EDATE($D56,Milestones!$AA$149)&lt;=AsOfDate,IF($R56=0,$X56,IF(AND($T56&lt;&gt;"",EDATE($D56,Milestones!$AA$149)&gt;=$T56),$W56,IF(AND($S56&lt;&gt;"",EDATE($D56,Milestones!$AA$149)&gt;=$S56),$V56,$U56)))=Milestones!$AB$149),UPPER(TEXT(EDATE($D56,Milestones!$AA$149),"dd mmm yy"))&amp;" "&amp;Milestones!$AB$149&amp;" "&amp;Milestones!$AC$149&amp;";  ","")&amp;IF(AND(EDATE($D56,Milestones!$AA$150)&lt;=AsOfDate,IF($R56=0,$X56,IF(AND($T56&lt;&gt;"",EDATE($D56,Milestones!$AA$150)&gt;=$T56),$W56,IF(AND($S56&lt;&gt;"",EDATE($D56,Milestones!$AA$150)&gt;=$S56),$V56,$U56)))=Milestones!$AB$150),UPPER(TEXT(EDATE($D56,Milestones!$AA$150),"dd mmm yy"))&amp;" "&amp;Milestones!$AB$150&amp;" "&amp;Milestones!$AC$150&amp;";  ","")&amp;IF(AND(EDATE($D56,Milestones!$AA$151)&lt;=AsOfDate,IF($R56=0,$X56,IF(AND($T56&lt;&gt;"",EDATE($D56,Milestones!$AA$151)&gt;=$T56),$W56,IF(AND($S56&lt;&gt;"",EDATE($D56,Milestones!$AA$151)&gt;=$S56),$V56,$U56)))=Milestones!$AB$151),UPPER(TEXT(EDATE($D56,Milestones!$AA$151),"dd mmm yy"))&amp;" "&amp;Milestones!$AB$151&amp;" "&amp;Milestones!$AC$151&amp;";  ","")&amp;IF(AND(EDATE($D56,Milestones!$AA$152)&lt;=AsOfDate,IF($R56=0,$X56,IF(AND($T56&lt;&gt;"",EDATE($D56,Milestones!$AA$152)&gt;=$T56),$W56,IF(AND($S56&lt;&gt;"",EDATE($D56,Milestones!$AA$152)&gt;=$S56),$V56,$U56)))=Milestones!$AB$152),UPPER(TEXT(EDATE($D56,Milestones!$AA$152),"dd mmm yy"))&amp;" "&amp;Milestones!$AB$152&amp;" "&amp;Milestones!$AC$152&amp;";  ","")&amp;IF(AND(EDATE($D56,Milestones!$AA$153)&lt;=AsOfDate,IF($R56=0,$X56,IF(AND($T56&lt;&gt;"",EDATE($D56,Milestones!$AA$153)&gt;=$T56),$W56,IF(AND($S56&lt;&gt;"",EDATE($D56,Milestones!$AA$153)&gt;=$S56),$V56,$U56)))=Milestones!$AB$153),UPPER(TEXT(EDATE($D56,Milestones!$AA$153),"dd mmm yy"))&amp;" "&amp;Milestones!$AB$153&amp;" "&amp;Milestones!$AC$153&amp;";  ","")&amp;IF(AND(EDATE($D56,Milestones!$AA$154)&lt;=AsOfDate,IF($R56=0,$X56,IF(AND($T56&lt;&gt;"",EDATE($D56,Milestones!$AA$154)&gt;=$T56),$W56,IF(AND($S56&lt;&gt;"",EDATE($D56,Milestones!$AA$154)&gt;=$S56),$V56,$U56)))=Milestones!$AB$154),UPPER(TEXT(EDATE($D56,Milestones!$AA$154),"dd mmm yy"))&amp;" "&amp;Milestones!$AB$154&amp;" "&amp;Milestones!$AC$154&amp;";  ","")&amp;IF(AND(EDATE($D56,Milestones!$AA$155)&lt;=AsOfDate,IF($R56=0,$X56,IF(AND($T56&lt;&gt;"",EDATE($D56,Milestones!$AA$155)&gt;=$T56),$W56,IF(AND($S56&lt;&gt;"",EDATE($D56,Milestones!$AA$155)&gt;=$S56),$V56,$U56)))=Milestones!$AB$155),UPPER(TEXT(EDATE($D56,Milestones!$AA$155),"dd mmm yy"))&amp;" "&amp;Milestones!$AB$155&amp;" "&amp;Milestones!$AC$155&amp;";  ","")&amp;IF(AND(EDATE($D56,Milestones!$AA$156)&lt;=AsOfDate,IF($R56=0,$X56,IF(AND($T56&lt;&gt;"",EDATE($D56,Milestones!$AA$156)&gt;=$T56),$W56,IF(AND($S56&lt;&gt;"",EDATE($D56,Milestones!$AA$156)&gt;=$S56),$V56,$U56)))=Milestones!$AB$156),UPPER(TEXT(EDATE($D56,Milestones!$AA$156),"dd mmm yy"))&amp;" "&amp;Milestones!$AB$156&amp;" "&amp;Milestones!$AC$156&amp;";  ","")&amp;IF(AND(EDATE($D56,Milestones!$AA$157)&lt;=AsOfDate,IF($R56=0,$X56,IF(AND($T56&lt;&gt;"",EDATE($D56,Milestones!$AA$157)&gt;=$T56),$W56,IF(AND($S56&lt;&gt;"",EDATE($D56,Milestones!$AA$157)&gt;=$S56),$V56,$U56)))=Milestones!$AB$157),UPPER(TEXT(EDATE($D56,Milestones!$AA$157),"dd mmm yy"))&amp;" "&amp;Milestones!$AB$157&amp;" "&amp;Milestones!$AC$157&amp;";  ","")&amp;IF(AND(EDATE($D56,Milestones!$AA$158)&lt;=AsOfDate,IF($R56=0,$X56,IF(AND($T56&lt;&gt;"",EDATE($D56,Milestones!$AA$158)&gt;=$T56),$W56,IF(AND($S56&lt;&gt;"",EDATE($D56,Milestones!$AA$158)&gt;=$S56),$V56,$U56)))=Milestones!$AB$158),UPPER(TEXT(EDATE($D56,Milestones!$AA$158),"dd mmm yy"))&amp;" "&amp;Milestones!$AB$158&amp;" "&amp;Milestones!$AC$158&amp;";  ","")&amp;IF(AND(EDATE($D56,Milestones!$AA$159)&lt;=AsOfDate,IF($R56=0,$X56,IF(AND($T56&lt;&gt;"",EDATE($D56,Milestones!$AA$159)&gt;=$T56),$W56,IF(AND($S56&lt;&gt;"",EDATE($D56,Milestones!$AA$159)&gt;=$S56),$V56,$U56)))=Milestones!$AB$159),UPPER(TEXT(EDATE($D56,Milestones!$AA$159),"dd mmm yy"))&amp;" "&amp;Milestones!$AB$159&amp;" "&amp;Milestones!$AC$159&amp;";  ",""))</f>
        <v/>
      </c>
      <c r="P56" s="0" t="str">
        <f aca="false">IF(OR($A56="",$D56=""),"",IF(AND(EDATE($D56,Milestones!$AA$160)&lt;=AsOfDate,IF($R56=0,$X56,IF(AND($T56&lt;&gt;"",EDATE($D56,Milestones!$AA$160)&gt;=$T56),$W56,IF(AND($S56&lt;&gt;"",EDATE($D56,Milestones!$AA$160)&gt;=$S56),$V56,$U56)))=Milestones!$AB$160),UPPER(TEXT(EDATE($D56,Milestones!$AA$160),"dd mmm yy"))&amp;" "&amp;Milestones!$AB$160&amp;" "&amp;Milestones!$AC$160&amp;";  ","")&amp;IF(AND(EDATE($D56,Milestones!$AA$161)&lt;=AsOfDate,IF($R56=0,$X56,IF(AND($T56&lt;&gt;"",EDATE($D56,Milestones!$AA$161)&gt;=$T56),$W56,IF(AND($S56&lt;&gt;"",EDATE($D56,Milestones!$AA$161)&gt;=$S56),$V56,$U56)))=Milestones!$AB$161),UPPER(TEXT(EDATE($D56,Milestones!$AA$161),"dd mmm yy"))&amp;" "&amp;Milestones!$AB$161&amp;" "&amp;Milestones!$AC$161&amp;";  ","")&amp;IF(AND(EDATE($D56,Milestones!$AA$162)&lt;=AsOfDate,IF($R56=0,$X56,IF(AND($T56&lt;&gt;"",EDATE($D56,Milestones!$AA$162)&gt;=$T56),$W56,IF(AND($S56&lt;&gt;"",EDATE($D56,Milestones!$AA$162)&gt;=$S56),$V56,$U56)))=Milestones!$AB$162),UPPER(TEXT(EDATE($D56,Milestones!$AA$162),"dd mmm yy"))&amp;" "&amp;Milestones!$AB$162&amp;" "&amp;Milestones!$AC$162&amp;";  ","")&amp;IF(AND(EDATE($D56,Milestones!$AA$163)&lt;=AsOfDate,IF($R56=0,$X56,IF(AND($T56&lt;&gt;"",EDATE($D56,Milestones!$AA$163)&gt;=$T56),$W56,IF(AND($S56&lt;&gt;"",EDATE($D56,Milestones!$AA$163)&gt;=$S56),$V56,$U56)))=Milestones!$AB$163),UPPER(TEXT(EDATE($D56,Milestones!$AA$163),"dd mmm yy"))&amp;" "&amp;Milestones!$AB$163&amp;" "&amp;Milestones!$AC$163&amp;";  ","")&amp;IF(AND(EDATE($D56,Milestones!$AA$164)&lt;=AsOfDate,IF($R56=0,$X56,IF(AND($T56&lt;&gt;"",EDATE($D56,Milestones!$AA$164)&gt;=$T56),$W56,IF(AND($S56&lt;&gt;"",EDATE($D56,Milestones!$AA$164)&gt;=$S56),$V56,$U56)))=Milestones!$AB$164),UPPER(TEXT(EDATE($D56,Milestones!$AA$164),"dd mmm yy"))&amp;" "&amp;Milestones!$AB$164&amp;" "&amp;Milestones!$AC$164&amp;";  ","")&amp;IF(AND(EDATE($D56,Milestones!$AA$165)&lt;=AsOfDate,IF($R56=0,$X56,IF(AND($T56&lt;&gt;"",EDATE($D56,Milestones!$AA$165)&gt;=$T56),$W56,IF(AND($S56&lt;&gt;"",EDATE($D56,Milestones!$AA$165)&gt;=$S56),$V56,$U56)))=Milestones!$AB$165),UPPER(TEXT(EDATE($D56,Milestones!$AA$165),"dd mmm yy"))&amp;" "&amp;Milestones!$AB$165&amp;" "&amp;Milestones!$AC$165&amp;";  ","")&amp;IF(AND(EDATE($D56,Milestones!$AA$166)&lt;=AsOfDate,IF($R56=0,$X56,IF(AND($T56&lt;&gt;"",EDATE($D56,Milestones!$AA$166)&gt;=$T56),$W56,IF(AND($S56&lt;&gt;"",EDATE($D56,Milestones!$AA$166)&gt;=$S56),$V56,$U56)))=Milestones!$AB$166),UPPER(TEXT(EDATE($D56,Milestones!$AA$166),"dd mmm yy"))&amp;" "&amp;Milestones!$AB$166&amp;" "&amp;Milestones!$AC$166&amp;";  ","")&amp;IF(AND(EDATE($D56,Milestones!$AA$167)&lt;=AsOfDate,IF($R56=0,$X56,IF(AND($T56&lt;&gt;"",EDATE($D56,Milestones!$AA$167)&gt;=$T56),$W56,IF(AND($S56&lt;&gt;"",EDATE($D56,Milestones!$AA$167)&gt;=$S56),$V56,$U56)))=Milestones!$AB$167),UPPER(TEXT(EDATE($D56,Milestones!$AA$167),"dd mmm yy"))&amp;" "&amp;Milestones!$AB$167&amp;" "&amp;Milestones!$AC$167&amp;";  ","")&amp;IF(AND(EDATE($D56,Milestones!$AA$168)&lt;=AsOfDate,IF($R56=0,$X56,IF(AND($T56&lt;&gt;"",EDATE($D56,Milestones!$AA$168)&gt;=$T56),$W56,IF(AND($S56&lt;&gt;"",EDATE($D56,Milestones!$AA$168)&gt;=$S56),$V56,$U56)))=Milestones!$AB$168),UPPER(TEXT(EDATE($D56,Milestones!$AA$168),"dd mmm yy"))&amp;" "&amp;Milestones!$AB$168&amp;" "&amp;Milestones!$AC$168&amp;";  ","")&amp;IF(AND(EDATE($D56,Milestones!$AA$169)&lt;=AsOfDate,IF($R56=0,$X56,IF(AND($T56&lt;&gt;"",EDATE($D56,Milestones!$AA$169)&gt;=$T56),$W56,IF(AND($S56&lt;&gt;"",EDATE($D56,Milestones!$AA$169)&gt;=$S56),$V56,$U56)))=Milestones!$AB$169),UPPER(TEXT(EDATE($D56,Milestones!$AA$169),"dd mmm yy"))&amp;" "&amp;Milestones!$AB$169&amp;" "&amp;Milestones!$AC$169&amp;";  ","")&amp;IF(AND(EDATE($D56,Milestones!$AA$170)&lt;=AsOfDate,IF($R56=0,$X56,IF(AND($T56&lt;&gt;"",EDATE($D56,Milestones!$AA$170)&gt;=$T56),$W56,IF(AND($S56&lt;&gt;"",EDATE($D56,Milestones!$AA$170)&gt;=$S56),$V56,$U56)))=Milestones!$AB$170),UPPER(TEXT(EDATE($D56,Milestones!$AA$170),"dd mmm yy"))&amp;" "&amp;Milestones!$AB$170&amp;" "&amp;Milestones!$AC$170&amp;";  ","")&amp;IF(AND(EDATE($D56,Milestones!$AA$171)&lt;=AsOfDate,IF($R56=0,$X56,IF(AND($T56&lt;&gt;"",EDATE($D56,Milestones!$AA$171)&gt;=$T56),$W56,IF(AND($S56&lt;&gt;"",EDATE($D56,Milestones!$AA$171)&gt;=$S56),$V56,$U56)))=Milestones!$AB$171),UPPER(TEXT(EDATE($D56,Milestones!$AA$171),"dd mmm yy"))&amp;" "&amp;Milestones!$AB$171&amp;" "&amp;Milestones!$AC$171&amp;";  ","")&amp;IF(AND(EDATE($D56,Milestones!$AA$172)&lt;=AsOfDate,IF($R56=0,$X56,IF(AND($T56&lt;&gt;"",EDATE($D56,Milestones!$AA$172)&gt;=$T56),$W56,IF(AND($S56&lt;&gt;"",EDATE($D56,Milestones!$AA$172)&gt;=$S56),$V56,$U56)))=Milestones!$AB$172),UPPER(TEXT(EDATE($D56,Milestones!$AA$172),"dd mmm yy"))&amp;" "&amp;Milestones!$AB$172&amp;" "&amp;Milestones!$AC$172&amp;";  ","")&amp;IF(AND(EDATE($D56,Milestones!$AA$173)&lt;=AsOfDate,IF($R56=0,$X56,IF(AND($T56&lt;&gt;"",EDATE($D56,Milestones!$AA$173)&gt;=$T56),$W56,IF(AND($S56&lt;&gt;"",EDATE($D56,Milestones!$AA$173)&gt;=$S56),$V56,$U56)))=Milestones!$AB$173),UPPER(TEXT(EDATE($D56,Milestones!$AA$173),"dd mmm yy"))&amp;" "&amp;Milestones!$AB$173&amp;" "&amp;Milestones!$AC$173&amp;";  ","")&amp;IF(AND(EDATE($D56,Milestones!$AA$174)&lt;=AsOfDate,IF($R56=0,$X56,IF(AND($T56&lt;&gt;"",EDATE($D56,Milestones!$AA$174)&gt;=$T56),$W56,IF(AND($S56&lt;&gt;"",EDATE($D56,Milestones!$AA$174)&gt;=$S56),$V56,$U56)))=Milestones!$AB$174),UPPER(TEXT(EDATE($D56,Milestones!$AA$174),"dd mmm yy"))&amp;" "&amp;Milestones!$AB$174&amp;" "&amp;Milestones!$AC$174&amp;";  ","")&amp;IF(AND(EDATE($D56,Milestones!$AA$175)&lt;=AsOfDate,IF($R56=0,$X56,IF(AND($T56&lt;&gt;"",EDATE($D56,Milestones!$AA$175)&gt;=$T56),$W56,IF(AND($S56&lt;&gt;"",EDATE($D56,Milestones!$AA$175)&gt;=$S56),$V56,$U56)))=Milestones!$AB$175),UPPER(TEXT(EDATE($D56,Milestones!$AA$175),"dd mmm yy"))&amp;" "&amp;Milestones!$AB$175&amp;" "&amp;Milestones!$AC$175&amp;";  ","")&amp;IF(AND(EDATE($D56,Milestones!$AA$176)&lt;=AsOfDate,IF($R56=0,$X56,IF(AND($T56&lt;&gt;"",EDATE($D56,Milestones!$AA$176)&gt;=$T56),$W56,IF(AND($S56&lt;&gt;"",EDATE($D56,Milestones!$AA$176)&gt;=$S56),$V56,$U56)))=Milestones!$AB$176),UPPER(TEXT(EDATE($D56,Milestones!$AA$176),"dd mmm yy"))&amp;" "&amp;Milestones!$AB$176&amp;" "&amp;Milestones!$AC$176&amp;";  ","")&amp;IF(AND(EDATE($D56,Milestones!$AA$177)&lt;=AsOfDate,IF($R56=0,$X56,IF(AND($T56&lt;&gt;"",EDATE($D56,Milestones!$AA$177)&gt;=$T56),$W56,IF(AND($S56&lt;&gt;"",EDATE($D56,Milestones!$AA$177)&gt;=$S56),$V56,$U56)))=Milestones!$AB$177),UPPER(TEXT(EDATE($D56,Milestones!$AA$177),"dd mmm yy"))&amp;" "&amp;Milestones!$AB$177&amp;" "&amp;Milestones!$AC$177&amp;";  ","")&amp;IF(AND(EDATE($D56,Milestones!$AA$178)&lt;=AsOfDate,IF($R56=0,$X56,IF(AND($T56&lt;&gt;"",EDATE($D56,Milestones!$AA$178)&gt;=$T56),$W56,IF(AND($S56&lt;&gt;"",EDATE($D56,Milestones!$AA$178)&gt;=$S56),$V56,$U56)))=Milestones!$AB$178),UPPER(TEXT(EDATE($D56,Milestones!$AA$178),"dd mmm yy"))&amp;" "&amp;Milestones!$AB$178&amp;" "&amp;Milestones!$AC$178&amp;";  ","")&amp;IF(AND(EDATE($D56,Milestones!$AA$179)&lt;=AsOfDate,IF($R56=0,$X56,IF(AND($T56&lt;&gt;"",EDATE($D56,Milestones!$AA$179)&gt;=$T56),$W56,IF(AND($S56&lt;&gt;"",EDATE($D56,Milestones!$AA$179)&gt;=$S56),$V56,$U56)))=Milestones!$AB$179),UPPER(TEXT(EDATE($D56,Milestones!$AA$179),"dd mmm yy"))&amp;" "&amp;Milestones!$AB$179&amp;" "&amp;Milestones!$AC$179&amp;";  ",""))</f>
        <v/>
      </c>
      <c r="Q56" s="0" t="str">
        <f aca="false">IF(OR($A56="",$D56=""),"",IF(AND(EDATE($D56,Milestones!$AA$180)&lt;=AsOfDate,IF($R56=0,$X56,IF(AND($T56&lt;&gt;"",EDATE($D56,Milestones!$AA$180)&gt;=$T56),$W56,IF(AND($S56&lt;&gt;"",EDATE($D56,Milestones!$AA$180)&gt;=$S56),$V56,$U56)))=Milestones!$AB$180),UPPER(TEXT(EDATE($D56,Milestones!$AA$180),"dd mmm yy"))&amp;" "&amp;Milestones!$AB$180&amp;" "&amp;Milestones!$AC$180&amp;";  ","")&amp;IF(AND(EDATE($D56,Milestones!$AA$181)&lt;=AsOfDate,IF($R56=0,$X56,IF(AND($T56&lt;&gt;"",EDATE($D56,Milestones!$AA$181)&gt;=$T56),$W56,IF(AND($S56&lt;&gt;"",EDATE($D56,Milestones!$AA$181)&gt;=$S56),$V56,$U56)))=Milestones!$AB$181),UPPER(TEXT(EDATE($D56,Milestones!$AA$181),"dd mmm yy"))&amp;" "&amp;Milestones!$AB$181&amp;" "&amp;Milestones!$AC$181&amp;";  ","")&amp;IF(AND(EDATE($D56,Milestones!$AA$182)&lt;=AsOfDate,IF($R56=0,$X56,IF(AND($T56&lt;&gt;"",EDATE($D56,Milestones!$AA$182)&gt;=$T56),$W56,IF(AND($S56&lt;&gt;"",EDATE($D56,Milestones!$AA$182)&gt;=$S56),$V56,$U56)))=Milestones!$AB$182),UPPER(TEXT(EDATE($D56,Milestones!$AA$182),"dd mmm yy"))&amp;" "&amp;Milestones!$AB$182&amp;" "&amp;Milestones!$AC$182&amp;";  ","")&amp;IF(AND(EDATE($D56,Milestones!$AA$183)&lt;=AsOfDate,IF($R56=0,$X56,IF(AND($T56&lt;&gt;"",EDATE($D56,Milestones!$AA$183)&gt;=$T56),$W56,IF(AND($S56&lt;&gt;"",EDATE($D56,Milestones!$AA$183)&gt;=$S56),$V56,$U56)))=Milestones!$AB$183),UPPER(TEXT(EDATE($D56,Milestones!$AA$183),"dd mmm yy"))&amp;" "&amp;Milestones!$AB$183&amp;" "&amp;Milestones!$AC$183&amp;";  ","")&amp;IF(AND(EDATE($D56,Milestones!$AA$184)&lt;=AsOfDate,IF($R56=0,$X56,IF(AND($T56&lt;&gt;"",EDATE($D56,Milestones!$AA$184)&gt;=$T56),$W56,IF(AND($S56&lt;&gt;"",EDATE($D56,Milestones!$AA$184)&gt;=$S56),$V56,$U56)))=Milestones!$AB$184),UPPER(TEXT(EDATE($D56,Milestones!$AA$184),"dd mmm yy"))&amp;" "&amp;Milestones!$AB$184&amp;" "&amp;Milestones!$AC$184&amp;";  ","")&amp;IF(AND(EDATE($D56,Milestones!$AA$185)&lt;=AsOfDate,IF($R56=0,$X56,IF(AND($T56&lt;&gt;"",EDATE($D56,Milestones!$AA$185)&gt;=$T56),$W56,IF(AND($S56&lt;&gt;"",EDATE($D56,Milestones!$AA$185)&gt;=$S56),$V56,$U56)))=Milestones!$AB$185),UPPER(TEXT(EDATE($D56,Milestones!$AA$185),"dd mmm yy"))&amp;" "&amp;Milestones!$AB$185&amp;" "&amp;Milestones!$AC$185&amp;";  ","")&amp;IF(AND(EDATE($D56,Milestones!$AA$186)&lt;=AsOfDate,IF($R56=0,$X56,IF(AND($T56&lt;&gt;"",EDATE($D56,Milestones!$AA$186)&gt;=$T56),$W56,IF(AND($S56&lt;&gt;"",EDATE($D56,Milestones!$AA$186)&gt;=$S56),$V56,$U56)))=Milestones!$AB$186),UPPER(TEXT(EDATE($D56,Milestones!$AA$186),"dd mmm yy"))&amp;" "&amp;Milestones!$AB$186&amp;" "&amp;Milestones!$AC$186&amp;";  ","")&amp;IF(AND(EDATE($D56,Milestones!$AA$187)&lt;=AsOfDate,IF($R56=0,$X56,IF(AND($T56&lt;&gt;"",EDATE($D56,Milestones!$AA$187)&gt;=$T56),$W56,IF(AND($S56&lt;&gt;"",EDATE($D56,Milestones!$AA$187)&gt;=$S56),$V56,$U56)))=Milestones!$AB$187),UPPER(TEXT(EDATE($D56,Milestones!$AA$187),"dd mmm yy"))&amp;" "&amp;Milestones!$AB$187&amp;" "&amp;Milestones!$AC$187&amp;";  ","")&amp;IF(AND(EDATE($D56,Milestones!$AA$188)&lt;=AsOfDate,IF($R56=0,$X56,IF(AND($T56&lt;&gt;"",EDATE($D56,Milestones!$AA$188)&gt;=$T56),$W56,IF(AND($S56&lt;&gt;"",EDATE($D56,Milestones!$AA$188)&gt;=$S56),$V56,$U56)))=Milestones!$AB$188),UPPER(TEXT(EDATE($D56,Milestones!$AA$188),"dd mmm yy"))&amp;" "&amp;Milestones!$AB$188&amp;" "&amp;Milestones!$AC$188&amp;";  ","")&amp;IF(AND(EDATE($D56,Milestones!$AA$189)&lt;=AsOfDate,IF($R56=0,$X56,IF(AND($T56&lt;&gt;"",EDATE($D56,Milestones!$AA$189)&gt;=$T56),$W56,IF(AND($S56&lt;&gt;"",EDATE($D56,Milestones!$AA$189)&gt;=$S56),$V56,$U56)))=Milestones!$AB$189),UPPER(TEXT(EDATE($D56,Milestones!$AA$189),"dd mmm yy"))&amp;" "&amp;Milestones!$AB$189&amp;" "&amp;Milestones!$AC$189&amp;";  ","")&amp;IF(AND(EDATE($D56,Milestones!$AA$190)&lt;=AsOfDate,IF($R56=0,$X56,IF(AND($T56&lt;&gt;"",EDATE($D56,Milestones!$AA$190)&gt;=$T56),$W56,IF(AND($S56&lt;&gt;"",EDATE($D56,Milestones!$AA$190)&gt;=$S56),$V56,$U56)))=Milestones!$AB$190),UPPER(TEXT(EDATE($D56,Milestones!$AA$190),"dd mmm yy"))&amp;" "&amp;Milestones!$AB$190&amp;" "&amp;Milestones!$AC$190&amp;";  ","")&amp;IF(AND(EDATE($D56,Milestones!$AA$191)&lt;=AsOfDate,IF($R56=0,$X56,IF(AND($T56&lt;&gt;"",EDATE($D56,Milestones!$AA$191)&gt;=$T56),$W56,IF(AND($S56&lt;&gt;"",EDATE($D56,Milestones!$AA$191)&gt;=$S56),$V56,$U56)))=Milestones!$AB$191),UPPER(TEXT(EDATE($D56,Milestones!$AA$191),"dd mmm yy"))&amp;" "&amp;Milestones!$AB$191&amp;" "&amp;Milestones!$AC$191&amp;";  ","")&amp;IF(AND(EDATE($D56,Milestones!$AA$192)&lt;=AsOfDate,IF($R56=0,$X56,IF(AND($T56&lt;&gt;"",EDATE($D56,Milestones!$AA$192)&gt;=$T56),$W56,IF(AND($S56&lt;&gt;"",EDATE($D56,Milestones!$AA$192)&gt;=$S56),$V56,$U56)))=Milestones!$AB$192),UPPER(TEXT(EDATE($D56,Milestones!$AA$192),"dd mmm yy"))&amp;" "&amp;Milestones!$AB$192&amp;" "&amp;Milestones!$AC$192&amp;";  ","")&amp;IF(AND(EDATE($D56,Milestones!$AA$193)&lt;=AsOfDate,IF($R56=0,$X56,IF(AND($T56&lt;&gt;"",EDATE($D56,Milestones!$AA$193)&gt;=$T56),$W56,IF(AND($S56&lt;&gt;"",EDATE($D56,Milestones!$AA$193)&gt;=$S56),$V56,$U56)))=Milestones!$AB$193),UPPER(TEXT(EDATE($D56,Milestones!$AA$193),"dd mmm yy"))&amp;" "&amp;Milestones!$AB$193&amp;" "&amp;Milestones!$AC$193&amp;";  ","")&amp;IF(AND(EDATE($D56,Milestones!$AA$194)&lt;=AsOfDate,IF($R56=0,$X56,IF(AND($T56&lt;&gt;"",EDATE($D56,Milestones!$AA$194)&gt;=$T56),$W56,IF(AND($S56&lt;&gt;"",EDATE($D56,Milestones!$AA$194)&gt;=$S56),$V56,$U56)))=Milestones!$AB$194),UPPER(TEXT(EDATE($D56,Milestones!$AA$194),"dd mmm yy"))&amp;" "&amp;Milestones!$AB$194&amp;" "&amp;Milestones!$AC$194&amp;";  ","")&amp;IF(AND(EDATE($D56,Milestones!$AA$195)&lt;=AsOfDate,IF($R56=0,$X56,IF(AND($T56&lt;&gt;"",EDATE($D56,Milestones!$AA$195)&gt;=$T56),$W56,IF(AND($S56&lt;&gt;"",EDATE($D56,Milestones!$AA$195)&gt;=$S56),$V56,$U56)))=Milestones!$AB$195),UPPER(TEXT(EDATE($D56,Milestones!$AA$195),"dd mmm yy"))&amp;" "&amp;Milestones!$AB$195&amp;" "&amp;Milestones!$AC$195&amp;";  ","")&amp;IF(AND(EDATE($D56,Milestones!$AA$196)&lt;=AsOfDate,IF($R56=0,$X56,IF(AND($T56&lt;&gt;"",EDATE($D56,Milestones!$AA$196)&gt;=$T56),$W56,IF(AND($S56&lt;&gt;"",EDATE($D56,Milestones!$AA$196)&gt;=$S56),$V56,$U56)))=Milestones!$AB$196),UPPER(TEXT(EDATE($D56,Milestones!$AA$196),"dd mmm yy"))&amp;" "&amp;Milestones!$AB$196&amp;" "&amp;Milestones!$AC$196&amp;";  ","")&amp;IF(AND(EDATE($D56,Milestones!$AA$197)&lt;=AsOfDate,IF($R56=0,$X56,IF(AND($T56&lt;&gt;"",EDATE($D56,Milestones!$AA$197)&gt;=$T56),$W56,IF(AND($S56&lt;&gt;"",EDATE($D56,Milestones!$AA$197)&gt;=$S56),$V56,$U56)))=Milestones!$AB$197),UPPER(TEXT(EDATE($D56,Milestones!$AA$197),"dd mmm yy"))&amp;" "&amp;Milestones!$AB$197&amp;" "&amp;Milestones!$AC$197&amp;";  ","")&amp;IF(AND(EDATE($D56,Milestones!$AA$198)&lt;=AsOfDate,IF($R56=0,$X56,IF(AND($T56&lt;&gt;"",EDATE($D56,Milestones!$AA$198)&gt;=$T56),$W56,IF(AND($S56&lt;&gt;"",EDATE($D56,Milestones!$AA$198)&gt;=$S56),$V56,$U56)))=Milestones!$AB$198),UPPER(TEXT(EDATE($D56,Milestones!$AA$198),"dd mmm yy"))&amp;" "&amp;Milestones!$AB$198&amp;" "&amp;Milestones!$AC$198&amp;";  ","")&amp;IF(AND(EDATE($D56,Milestones!$AA$199)&lt;=AsOfDate,IF($R56=0,$X56,IF(AND($T56&lt;&gt;"",EDATE($D56,Milestones!$AA$199)&gt;=$T56),$W56,IF(AND($S56&lt;&gt;"",EDATE($D56,Milestones!$AA$199)&gt;=$S56),$V56,$U56)))=Milestones!$AB$199),UPPER(TEXT(EDATE($D56,Milestones!$AA$199),"dd mmm yy"))&amp;" "&amp;Milestones!$AB$199&amp;" "&amp;Milestones!$AC$199&amp;";  ",""))</f>
        <v/>
      </c>
      <c r="R56" s="0" t="str">
        <f aca="false">IF(Staff!$A56="","",Staff!$AI56)</f>
        <v/>
      </c>
      <c r="S56" s="0" t="str">
        <f aca="false">IF(Staff!$A56="","",Staff!$AK56)</f>
        <v/>
      </c>
      <c r="T56" s="0" t="str">
        <f aca="false">IF(Staff!$A56="","",Staff!$AL56)</f>
        <v/>
      </c>
      <c r="U56" s="0" t="str">
        <f aca="false">IF(Staff!$A56="","",Staff!$AP56)</f>
        <v/>
      </c>
      <c r="V56" s="0" t="str">
        <f aca="false">IF(Staff!$A56="","",Staff!$AQ56)</f>
        <v/>
      </c>
      <c r="W56" s="0" t="str">
        <f aca="false">IF(Staff!$A56="","",Staff!$AR56)</f>
        <v/>
      </c>
      <c r="X56" s="0" t="str">
        <f aca="false">IF(Staff!$A56="","",Staff!$AS56)</f>
        <v/>
      </c>
    </row>
    <row r="57" customFormat="false" ht="15" hidden="false" customHeight="false" outlineLevel="0" collapsed="false">
      <c r="A57" s="14" t="str">
        <f aca="false">IF(Staff!$A57="","",Staff!$A57)</f>
        <v/>
      </c>
      <c r="B57" s="14" t="str">
        <f aca="false">IF(Staff!$A57="","",Staff!$B57)</f>
        <v/>
      </c>
      <c r="C57" s="14" t="str">
        <f aca="false">IF(Staff!$A57="","",Staff!$C57)</f>
        <v/>
      </c>
      <c r="D57" s="12" t="str">
        <f aca="false">IF(Staff!$A57="","",Staff!$AH57)</f>
        <v/>
      </c>
      <c r="E57" s="14" t="str">
        <f aca="false">IF(Staff!$A57="","",Staff!$O57)</f>
        <v/>
      </c>
      <c r="F57" s="14" t="str">
        <f aca="false">IF(E57="","",E57*HoursPerDay)</f>
        <v/>
      </c>
      <c r="G57" s="14" t="str">
        <f aca="false">IF(Staff!$A57="","",Staff!$AE57)</f>
        <v/>
      </c>
      <c r="H57" s="26" t="str">
        <f aca="false">IF($A57="","",I57&amp;J57&amp;K57&amp;L57&amp;M57&amp;N57&amp;O57&amp;P57&amp;Q57)</f>
        <v/>
      </c>
      <c r="I57" s="0" t="str">
        <f aca="false">IF(OR($A57="",$D57=""),"",IF(AND(EDATE($D57,Milestones!$AA$20)&lt;=AsOfDate,IF($R57=0,$X57,IF(AND($T57&lt;&gt;"",EDATE($D57,Milestones!$AA$20)&gt;=$T57),$W57,IF(AND($S57&lt;&gt;"",EDATE($D57,Milestones!$AA$20)&gt;=$S57),$V57,$U57)))=Milestones!$AB$20),UPPER(TEXT(EDATE($D57,Milestones!$AA$20),"dd mmm yy"))&amp;" "&amp;Milestones!$AB$20&amp;" "&amp;Milestones!$AC$20&amp;";  ","")&amp;IF(AND(EDATE($D57,Milestones!$AA$21)&lt;=AsOfDate,IF($R57=0,$X57,IF(AND($T57&lt;&gt;"",EDATE($D57,Milestones!$AA$21)&gt;=$T57),$W57,IF(AND($S57&lt;&gt;"",EDATE($D57,Milestones!$AA$21)&gt;=$S57),$V57,$U57)))=Milestones!$AB$21),UPPER(TEXT(EDATE($D57,Milestones!$AA$21),"dd mmm yy"))&amp;" "&amp;Milestones!$AB$21&amp;" "&amp;Milestones!$AC$21&amp;";  ","")&amp;IF(AND(EDATE($D57,Milestones!$AA$22)&lt;=AsOfDate,IF($R57=0,$X57,IF(AND($T57&lt;&gt;"",EDATE($D57,Milestones!$AA$22)&gt;=$T57),$W57,IF(AND($S57&lt;&gt;"",EDATE($D57,Milestones!$AA$22)&gt;=$S57),$V57,$U57)))=Milestones!$AB$22),UPPER(TEXT(EDATE($D57,Milestones!$AA$22),"dd mmm yy"))&amp;" "&amp;Milestones!$AB$22&amp;" "&amp;Milestones!$AC$22&amp;";  ","")&amp;IF(AND(EDATE($D57,Milestones!$AA$23)&lt;=AsOfDate,IF($R57=0,$X57,IF(AND($T57&lt;&gt;"",EDATE($D57,Milestones!$AA$23)&gt;=$T57),$W57,IF(AND($S57&lt;&gt;"",EDATE($D57,Milestones!$AA$23)&gt;=$S57),$V57,$U57)))=Milestones!$AB$23),UPPER(TEXT(EDATE($D57,Milestones!$AA$23),"dd mmm yy"))&amp;" "&amp;Milestones!$AB$23&amp;" "&amp;Milestones!$AC$23&amp;";  ","")&amp;IF(AND(EDATE($D57,Milestones!$AA$24)&lt;=AsOfDate,IF($R57=0,$X57,IF(AND($T57&lt;&gt;"",EDATE($D57,Milestones!$AA$24)&gt;=$T57),$W57,IF(AND($S57&lt;&gt;"",EDATE($D57,Milestones!$AA$24)&gt;=$S57),$V57,$U57)))=Milestones!$AB$24),UPPER(TEXT(EDATE($D57,Milestones!$AA$24),"dd mmm yy"))&amp;" "&amp;Milestones!$AB$24&amp;" "&amp;Milestones!$AC$24&amp;";  ","")&amp;IF(AND(EDATE($D57,Milestones!$AA$25)&lt;=AsOfDate,IF($R57=0,$X57,IF(AND($T57&lt;&gt;"",EDATE($D57,Milestones!$AA$25)&gt;=$T57),$W57,IF(AND($S57&lt;&gt;"",EDATE($D57,Milestones!$AA$25)&gt;=$S57),$V57,$U57)))=Milestones!$AB$25),UPPER(TEXT(EDATE($D57,Milestones!$AA$25),"dd mmm yy"))&amp;" "&amp;Milestones!$AB$25&amp;" "&amp;Milestones!$AC$25&amp;";  ","")&amp;IF(AND(EDATE($D57,Milestones!$AA$26)&lt;=AsOfDate,IF($R57=0,$X57,IF(AND($T57&lt;&gt;"",EDATE($D57,Milestones!$AA$26)&gt;=$T57),$W57,IF(AND($S57&lt;&gt;"",EDATE($D57,Milestones!$AA$26)&gt;=$S57),$V57,$U57)))=Milestones!$AB$26),UPPER(TEXT(EDATE($D57,Milestones!$AA$26),"dd mmm yy"))&amp;" "&amp;Milestones!$AB$26&amp;" "&amp;Milestones!$AC$26&amp;";  ","")&amp;IF(AND(EDATE($D57,Milestones!$AA$27)&lt;=AsOfDate,IF($R57=0,$X57,IF(AND($T57&lt;&gt;"",EDATE($D57,Milestones!$AA$27)&gt;=$T57),$W57,IF(AND($S57&lt;&gt;"",EDATE($D57,Milestones!$AA$27)&gt;=$S57),$V57,$U57)))=Milestones!$AB$27),UPPER(TEXT(EDATE($D57,Milestones!$AA$27),"dd mmm yy"))&amp;" "&amp;Milestones!$AB$27&amp;" "&amp;Milestones!$AC$27&amp;";  ","")&amp;IF(AND(EDATE($D57,Milestones!$AA$28)&lt;=AsOfDate,IF($R57=0,$X57,IF(AND($T57&lt;&gt;"",EDATE($D57,Milestones!$AA$28)&gt;=$T57),$W57,IF(AND($S57&lt;&gt;"",EDATE($D57,Milestones!$AA$28)&gt;=$S57),$V57,$U57)))=Milestones!$AB$28),UPPER(TEXT(EDATE($D57,Milestones!$AA$28),"dd mmm yy"))&amp;" "&amp;Milestones!$AB$28&amp;" "&amp;Milestones!$AC$28&amp;";  ","")&amp;IF(AND(EDATE($D57,Milestones!$AA$29)&lt;=AsOfDate,IF($R57=0,$X57,IF(AND($T57&lt;&gt;"",EDATE($D57,Milestones!$AA$29)&gt;=$T57),$W57,IF(AND($S57&lt;&gt;"",EDATE($D57,Milestones!$AA$29)&gt;=$S57),$V57,$U57)))=Milestones!$AB$29),UPPER(TEXT(EDATE($D57,Milestones!$AA$29),"dd mmm yy"))&amp;" "&amp;Milestones!$AB$29&amp;" "&amp;Milestones!$AC$29&amp;";  ","")&amp;IF(AND(EDATE($D57,Milestones!$AA$30)&lt;=AsOfDate,IF($R57=0,$X57,IF(AND($T57&lt;&gt;"",EDATE($D57,Milestones!$AA$30)&gt;=$T57),$W57,IF(AND($S57&lt;&gt;"",EDATE($D57,Milestones!$AA$30)&gt;=$S57),$V57,$U57)))=Milestones!$AB$30),UPPER(TEXT(EDATE($D57,Milestones!$AA$30),"dd mmm yy"))&amp;" "&amp;Milestones!$AB$30&amp;" "&amp;Milestones!$AC$30&amp;";  ","")&amp;IF(AND(EDATE($D57,Milestones!$AA$31)&lt;=AsOfDate,IF($R57=0,$X57,IF(AND($T57&lt;&gt;"",EDATE($D57,Milestones!$AA$31)&gt;=$T57),$W57,IF(AND($S57&lt;&gt;"",EDATE($D57,Milestones!$AA$31)&gt;=$S57),$V57,$U57)))=Milestones!$AB$31),UPPER(TEXT(EDATE($D57,Milestones!$AA$31),"dd mmm yy"))&amp;" "&amp;Milestones!$AB$31&amp;" "&amp;Milestones!$AC$31&amp;";  ","")&amp;IF(AND(EDATE($D57,Milestones!$AA$32)&lt;=AsOfDate,IF($R57=0,$X57,IF(AND($T57&lt;&gt;"",EDATE($D57,Milestones!$AA$32)&gt;=$T57),$W57,IF(AND($S57&lt;&gt;"",EDATE($D57,Milestones!$AA$32)&gt;=$S57),$V57,$U57)))=Milestones!$AB$32),UPPER(TEXT(EDATE($D57,Milestones!$AA$32),"dd mmm yy"))&amp;" "&amp;Milestones!$AB$32&amp;" "&amp;Milestones!$AC$32&amp;";  ","")&amp;IF(AND(EDATE($D57,Milestones!$AA$33)&lt;=AsOfDate,IF($R57=0,$X57,IF(AND($T57&lt;&gt;"",EDATE($D57,Milestones!$AA$33)&gt;=$T57),$W57,IF(AND($S57&lt;&gt;"",EDATE($D57,Milestones!$AA$33)&gt;=$S57),$V57,$U57)))=Milestones!$AB$33),UPPER(TEXT(EDATE($D57,Milestones!$AA$33),"dd mmm yy"))&amp;" "&amp;Milestones!$AB$33&amp;" "&amp;Milestones!$AC$33&amp;";  ","")&amp;IF(AND(EDATE($D57,Milestones!$AA$34)&lt;=AsOfDate,IF($R57=0,$X57,IF(AND($T57&lt;&gt;"",EDATE($D57,Milestones!$AA$34)&gt;=$T57),$W57,IF(AND($S57&lt;&gt;"",EDATE($D57,Milestones!$AA$34)&gt;=$S57),$V57,$U57)))=Milestones!$AB$34),UPPER(TEXT(EDATE($D57,Milestones!$AA$34),"dd mmm yy"))&amp;" "&amp;Milestones!$AB$34&amp;" "&amp;Milestones!$AC$34&amp;";  ","")&amp;IF(AND(EDATE($D57,Milestones!$AA$35)&lt;=AsOfDate,IF($R57=0,$X57,IF(AND($T57&lt;&gt;"",EDATE($D57,Milestones!$AA$35)&gt;=$T57),$W57,IF(AND($S57&lt;&gt;"",EDATE($D57,Milestones!$AA$35)&gt;=$S57),$V57,$U57)))=Milestones!$AB$35),UPPER(TEXT(EDATE($D57,Milestones!$AA$35),"dd mmm yy"))&amp;" "&amp;Milestones!$AB$35&amp;" "&amp;Milestones!$AC$35&amp;";  ","")&amp;IF(AND(EDATE($D57,Milestones!$AA$36)&lt;=AsOfDate,IF($R57=0,$X57,IF(AND($T57&lt;&gt;"",EDATE($D57,Milestones!$AA$36)&gt;=$T57),$W57,IF(AND($S57&lt;&gt;"",EDATE($D57,Milestones!$AA$36)&gt;=$S57),$V57,$U57)))=Milestones!$AB$36),UPPER(TEXT(EDATE($D57,Milestones!$AA$36),"dd mmm yy"))&amp;" "&amp;Milestones!$AB$36&amp;" "&amp;Milestones!$AC$36&amp;";  ","")&amp;IF(AND(EDATE($D57,Milestones!$AA$37)&lt;=AsOfDate,IF($R57=0,$X57,IF(AND($T57&lt;&gt;"",EDATE($D57,Milestones!$AA$37)&gt;=$T57),$W57,IF(AND($S57&lt;&gt;"",EDATE($D57,Milestones!$AA$37)&gt;=$S57),$V57,$U57)))=Milestones!$AB$37),UPPER(TEXT(EDATE($D57,Milestones!$AA$37),"dd mmm yy"))&amp;" "&amp;Milestones!$AB$37&amp;" "&amp;Milestones!$AC$37&amp;";  ","")&amp;IF(AND(EDATE($D57,Milestones!$AA$38)&lt;=AsOfDate,IF($R57=0,$X57,IF(AND($T57&lt;&gt;"",EDATE($D57,Milestones!$AA$38)&gt;=$T57),$W57,IF(AND($S57&lt;&gt;"",EDATE($D57,Milestones!$AA$38)&gt;=$S57),$V57,$U57)))=Milestones!$AB$38),UPPER(TEXT(EDATE($D57,Milestones!$AA$38),"dd mmm yy"))&amp;" "&amp;Milestones!$AB$38&amp;" "&amp;Milestones!$AC$38&amp;";  ","")&amp;IF(AND(EDATE($D57,Milestones!$AA$39)&lt;=AsOfDate,IF($R57=0,$X57,IF(AND($T57&lt;&gt;"",EDATE($D57,Milestones!$AA$39)&gt;=$T57),$W57,IF(AND($S57&lt;&gt;"",EDATE($D57,Milestones!$AA$39)&gt;=$S57),$V57,$U57)))=Milestones!$AB$39),UPPER(TEXT(EDATE($D57,Milestones!$AA$39),"dd mmm yy"))&amp;" "&amp;Milestones!$AB$39&amp;" "&amp;Milestones!$AC$39&amp;";  ",""))</f>
        <v/>
      </c>
      <c r="J57" s="0" t="str">
        <f aca="false">IF(OR($A57="",$D57=""),"",IF(AND(EDATE($D57,Milestones!$AA$40)&lt;=AsOfDate,IF($R57=0,$X57,IF(AND($T57&lt;&gt;"",EDATE($D57,Milestones!$AA$40)&gt;=$T57),$W57,IF(AND($S57&lt;&gt;"",EDATE($D57,Milestones!$AA$40)&gt;=$S57),$V57,$U57)))=Milestones!$AB$40),UPPER(TEXT(EDATE($D57,Milestones!$AA$40),"dd mmm yy"))&amp;" "&amp;Milestones!$AB$40&amp;" "&amp;Milestones!$AC$40&amp;";  ","")&amp;IF(AND(EDATE($D57,Milestones!$AA$41)&lt;=AsOfDate,IF($R57=0,$X57,IF(AND($T57&lt;&gt;"",EDATE($D57,Milestones!$AA$41)&gt;=$T57),$W57,IF(AND($S57&lt;&gt;"",EDATE($D57,Milestones!$AA$41)&gt;=$S57),$V57,$U57)))=Milestones!$AB$41),UPPER(TEXT(EDATE($D57,Milestones!$AA$41),"dd mmm yy"))&amp;" "&amp;Milestones!$AB$41&amp;" "&amp;Milestones!$AC$41&amp;";  ","")&amp;IF(AND(EDATE($D57,Milestones!$AA$42)&lt;=AsOfDate,IF($R57=0,$X57,IF(AND($T57&lt;&gt;"",EDATE($D57,Milestones!$AA$42)&gt;=$T57),$W57,IF(AND($S57&lt;&gt;"",EDATE($D57,Milestones!$AA$42)&gt;=$S57),$V57,$U57)))=Milestones!$AB$42),UPPER(TEXT(EDATE($D57,Milestones!$AA$42),"dd mmm yy"))&amp;" "&amp;Milestones!$AB$42&amp;" "&amp;Milestones!$AC$42&amp;";  ","")&amp;IF(AND(EDATE($D57,Milestones!$AA$43)&lt;=AsOfDate,IF($R57=0,$X57,IF(AND($T57&lt;&gt;"",EDATE($D57,Milestones!$AA$43)&gt;=$T57),$W57,IF(AND($S57&lt;&gt;"",EDATE($D57,Milestones!$AA$43)&gt;=$S57),$V57,$U57)))=Milestones!$AB$43),UPPER(TEXT(EDATE($D57,Milestones!$AA$43),"dd mmm yy"))&amp;" "&amp;Milestones!$AB$43&amp;" "&amp;Milestones!$AC$43&amp;";  ","")&amp;IF(AND(EDATE($D57,Milestones!$AA$44)&lt;=AsOfDate,IF($R57=0,$X57,IF(AND($T57&lt;&gt;"",EDATE($D57,Milestones!$AA$44)&gt;=$T57),$W57,IF(AND($S57&lt;&gt;"",EDATE($D57,Milestones!$AA$44)&gt;=$S57),$V57,$U57)))=Milestones!$AB$44),UPPER(TEXT(EDATE($D57,Milestones!$AA$44),"dd mmm yy"))&amp;" "&amp;Milestones!$AB$44&amp;" "&amp;Milestones!$AC$44&amp;";  ","")&amp;IF(AND(EDATE($D57,Milestones!$AA$45)&lt;=AsOfDate,IF($R57=0,$X57,IF(AND($T57&lt;&gt;"",EDATE($D57,Milestones!$AA$45)&gt;=$T57),$W57,IF(AND($S57&lt;&gt;"",EDATE($D57,Milestones!$AA$45)&gt;=$S57),$V57,$U57)))=Milestones!$AB$45),UPPER(TEXT(EDATE($D57,Milestones!$AA$45),"dd mmm yy"))&amp;" "&amp;Milestones!$AB$45&amp;" "&amp;Milestones!$AC$45&amp;";  ","")&amp;IF(AND(EDATE($D57,Milestones!$AA$46)&lt;=AsOfDate,IF($R57=0,$X57,IF(AND($T57&lt;&gt;"",EDATE($D57,Milestones!$AA$46)&gt;=$T57),$W57,IF(AND($S57&lt;&gt;"",EDATE($D57,Milestones!$AA$46)&gt;=$S57),$V57,$U57)))=Milestones!$AB$46),UPPER(TEXT(EDATE($D57,Milestones!$AA$46),"dd mmm yy"))&amp;" "&amp;Milestones!$AB$46&amp;" "&amp;Milestones!$AC$46&amp;";  ","")&amp;IF(AND(EDATE($D57,Milestones!$AA$47)&lt;=AsOfDate,IF($R57=0,$X57,IF(AND($T57&lt;&gt;"",EDATE($D57,Milestones!$AA$47)&gt;=$T57),$W57,IF(AND($S57&lt;&gt;"",EDATE($D57,Milestones!$AA$47)&gt;=$S57),$V57,$U57)))=Milestones!$AB$47),UPPER(TEXT(EDATE($D57,Milestones!$AA$47),"dd mmm yy"))&amp;" "&amp;Milestones!$AB$47&amp;" "&amp;Milestones!$AC$47&amp;";  ","")&amp;IF(AND(EDATE($D57,Milestones!$AA$48)&lt;=AsOfDate,IF($R57=0,$X57,IF(AND($T57&lt;&gt;"",EDATE($D57,Milestones!$AA$48)&gt;=$T57),$W57,IF(AND($S57&lt;&gt;"",EDATE($D57,Milestones!$AA$48)&gt;=$S57),$V57,$U57)))=Milestones!$AB$48),UPPER(TEXT(EDATE($D57,Milestones!$AA$48),"dd mmm yy"))&amp;" "&amp;Milestones!$AB$48&amp;" "&amp;Milestones!$AC$48&amp;";  ","")&amp;IF(AND(EDATE($D57,Milestones!$AA$49)&lt;=AsOfDate,IF($R57=0,$X57,IF(AND($T57&lt;&gt;"",EDATE($D57,Milestones!$AA$49)&gt;=$T57),$W57,IF(AND($S57&lt;&gt;"",EDATE($D57,Milestones!$AA$49)&gt;=$S57),$V57,$U57)))=Milestones!$AB$49),UPPER(TEXT(EDATE($D57,Milestones!$AA$49),"dd mmm yy"))&amp;" "&amp;Milestones!$AB$49&amp;" "&amp;Milestones!$AC$49&amp;";  ","")&amp;IF(AND(EDATE($D57,Milestones!$AA$50)&lt;=AsOfDate,IF($R57=0,$X57,IF(AND($T57&lt;&gt;"",EDATE($D57,Milestones!$AA$50)&gt;=$T57),$W57,IF(AND($S57&lt;&gt;"",EDATE($D57,Milestones!$AA$50)&gt;=$S57),$V57,$U57)))=Milestones!$AB$50),UPPER(TEXT(EDATE($D57,Milestones!$AA$50),"dd mmm yy"))&amp;" "&amp;Milestones!$AB$50&amp;" "&amp;Milestones!$AC$50&amp;";  ","")&amp;IF(AND(EDATE($D57,Milestones!$AA$51)&lt;=AsOfDate,IF($R57=0,$X57,IF(AND($T57&lt;&gt;"",EDATE($D57,Milestones!$AA$51)&gt;=$T57),$W57,IF(AND($S57&lt;&gt;"",EDATE($D57,Milestones!$AA$51)&gt;=$S57),$V57,$U57)))=Milestones!$AB$51),UPPER(TEXT(EDATE($D57,Milestones!$AA$51),"dd mmm yy"))&amp;" "&amp;Milestones!$AB$51&amp;" "&amp;Milestones!$AC$51&amp;";  ","")&amp;IF(AND(EDATE($D57,Milestones!$AA$52)&lt;=AsOfDate,IF($R57=0,$X57,IF(AND($T57&lt;&gt;"",EDATE($D57,Milestones!$AA$52)&gt;=$T57),$W57,IF(AND($S57&lt;&gt;"",EDATE($D57,Milestones!$AA$52)&gt;=$S57),$V57,$U57)))=Milestones!$AB$52),UPPER(TEXT(EDATE($D57,Milestones!$AA$52),"dd mmm yy"))&amp;" "&amp;Milestones!$AB$52&amp;" "&amp;Milestones!$AC$52&amp;";  ","")&amp;IF(AND(EDATE($D57,Milestones!$AA$53)&lt;=AsOfDate,IF($R57=0,$X57,IF(AND($T57&lt;&gt;"",EDATE($D57,Milestones!$AA$53)&gt;=$T57),$W57,IF(AND($S57&lt;&gt;"",EDATE($D57,Milestones!$AA$53)&gt;=$S57),$V57,$U57)))=Milestones!$AB$53),UPPER(TEXT(EDATE($D57,Milestones!$AA$53),"dd mmm yy"))&amp;" "&amp;Milestones!$AB$53&amp;" "&amp;Milestones!$AC$53&amp;";  ","")&amp;IF(AND(EDATE($D57,Milestones!$AA$54)&lt;=AsOfDate,IF($R57=0,$X57,IF(AND($T57&lt;&gt;"",EDATE($D57,Milestones!$AA$54)&gt;=$T57),$W57,IF(AND($S57&lt;&gt;"",EDATE($D57,Milestones!$AA$54)&gt;=$S57),$V57,$U57)))=Milestones!$AB$54),UPPER(TEXT(EDATE($D57,Milestones!$AA$54),"dd mmm yy"))&amp;" "&amp;Milestones!$AB$54&amp;" "&amp;Milestones!$AC$54&amp;";  ","")&amp;IF(AND(EDATE($D57,Milestones!$AA$55)&lt;=AsOfDate,IF($R57=0,$X57,IF(AND($T57&lt;&gt;"",EDATE($D57,Milestones!$AA$55)&gt;=$T57),$W57,IF(AND($S57&lt;&gt;"",EDATE($D57,Milestones!$AA$55)&gt;=$S57),$V57,$U57)))=Milestones!$AB$55),UPPER(TEXT(EDATE($D57,Milestones!$AA$55),"dd mmm yy"))&amp;" "&amp;Milestones!$AB$55&amp;" "&amp;Milestones!$AC$55&amp;";  ","")&amp;IF(AND(EDATE($D57,Milestones!$AA$56)&lt;=AsOfDate,IF($R57=0,$X57,IF(AND($T57&lt;&gt;"",EDATE($D57,Milestones!$AA$56)&gt;=$T57),$W57,IF(AND($S57&lt;&gt;"",EDATE($D57,Milestones!$AA$56)&gt;=$S57),$V57,$U57)))=Milestones!$AB$56),UPPER(TEXT(EDATE($D57,Milestones!$AA$56),"dd mmm yy"))&amp;" "&amp;Milestones!$AB$56&amp;" "&amp;Milestones!$AC$56&amp;";  ","")&amp;IF(AND(EDATE($D57,Milestones!$AA$57)&lt;=AsOfDate,IF($R57=0,$X57,IF(AND($T57&lt;&gt;"",EDATE($D57,Milestones!$AA$57)&gt;=$T57),$W57,IF(AND($S57&lt;&gt;"",EDATE($D57,Milestones!$AA$57)&gt;=$S57),$V57,$U57)))=Milestones!$AB$57),UPPER(TEXT(EDATE($D57,Milestones!$AA$57),"dd mmm yy"))&amp;" "&amp;Milestones!$AB$57&amp;" "&amp;Milestones!$AC$57&amp;";  ","")&amp;IF(AND(EDATE($D57,Milestones!$AA$58)&lt;=AsOfDate,IF($R57=0,$X57,IF(AND($T57&lt;&gt;"",EDATE($D57,Milestones!$AA$58)&gt;=$T57),$W57,IF(AND($S57&lt;&gt;"",EDATE($D57,Milestones!$AA$58)&gt;=$S57),$V57,$U57)))=Milestones!$AB$58),UPPER(TEXT(EDATE($D57,Milestones!$AA$58),"dd mmm yy"))&amp;" "&amp;Milestones!$AB$58&amp;" "&amp;Milestones!$AC$58&amp;";  ","")&amp;IF(AND(EDATE($D57,Milestones!$AA$59)&lt;=AsOfDate,IF($R57=0,$X57,IF(AND($T57&lt;&gt;"",EDATE($D57,Milestones!$AA$59)&gt;=$T57),$W57,IF(AND($S57&lt;&gt;"",EDATE($D57,Milestones!$AA$59)&gt;=$S57),$V57,$U57)))=Milestones!$AB$59),UPPER(TEXT(EDATE($D57,Milestones!$AA$59),"dd mmm yy"))&amp;" "&amp;Milestones!$AB$59&amp;" "&amp;Milestones!$AC$59&amp;";  ",""))</f>
        <v/>
      </c>
      <c r="K57" s="0" t="str">
        <f aca="false">IF(OR($A57="",$D57=""),"",IF(AND(EDATE($D57,Milestones!$AA$60)&lt;=AsOfDate,IF($R57=0,$X57,IF(AND($T57&lt;&gt;"",EDATE($D57,Milestones!$AA$60)&gt;=$T57),$W57,IF(AND($S57&lt;&gt;"",EDATE($D57,Milestones!$AA$60)&gt;=$S57),$V57,$U57)))=Milestones!$AB$60),UPPER(TEXT(EDATE($D57,Milestones!$AA$60),"dd mmm yy"))&amp;" "&amp;Milestones!$AB$60&amp;" "&amp;Milestones!$AC$60&amp;";  ","")&amp;IF(AND(EDATE($D57,Milestones!$AA$61)&lt;=AsOfDate,IF($R57=0,$X57,IF(AND($T57&lt;&gt;"",EDATE($D57,Milestones!$AA$61)&gt;=$T57),$W57,IF(AND($S57&lt;&gt;"",EDATE($D57,Milestones!$AA$61)&gt;=$S57),$V57,$U57)))=Milestones!$AB$61),UPPER(TEXT(EDATE($D57,Milestones!$AA$61),"dd mmm yy"))&amp;" "&amp;Milestones!$AB$61&amp;" "&amp;Milestones!$AC$61&amp;";  ","")&amp;IF(AND(EDATE($D57,Milestones!$AA$62)&lt;=AsOfDate,IF($R57=0,$X57,IF(AND($T57&lt;&gt;"",EDATE($D57,Milestones!$AA$62)&gt;=$T57),$W57,IF(AND($S57&lt;&gt;"",EDATE($D57,Milestones!$AA$62)&gt;=$S57),$V57,$U57)))=Milestones!$AB$62),UPPER(TEXT(EDATE($D57,Milestones!$AA$62),"dd mmm yy"))&amp;" "&amp;Milestones!$AB$62&amp;" "&amp;Milestones!$AC$62&amp;";  ","")&amp;IF(AND(EDATE($D57,Milestones!$AA$63)&lt;=AsOfDate,IF($R57=0,$X57,IF(AND($T57&lt;&gt;"",EDATE($D57,Milestones!$AA$63)&gt;=$T57),$W57,IF(AND($S57&lt;&gt;"",EDATE($D57,Milestones!$AA$63)&gt;=$S57),$V57,$U57)))=Milestones!$AB$63),UPPER(TEXT(EDATE($D57,Milestones!$AA$63),"dd mmm yy"))&amp;" "&amp;Milestones!$AB$63&amp;" "&amp;Milestones!$AC$63&amp;";  ","")&amp;IF(AND(EDATE($D57,Milestones!$AA$64)&lt;=AsOfDate,IF($R57=0,$X57,IF(AND($T57&lt;&gt;"",EDATE($D57,Milestones!$AA$64)&gt;=$T57),$W57,IF(AND($S57&lt;&gt;"",EDATE($D57,Milestones!$AA$64)&gt;=$S57),$V57,$U57)))=Milestones!$AB$64),UPPER(TEXT(EDATE($D57,Milestones!$AA$64),"dd mmm yy"))&amp;" "&amp;Milestones!$AB$64&amp;" "&amp;Milestones!$AC$64&amp;";  ","")&amp;IF(AND(EDATE($D57,Milestones!$AA$65)&lt;=AsOfDate,IF($R57=0,$X57,IF(AND($T57&lt;&gt;"",EDATE($D57,Milestones!$AA$65)&gt;=$T57),$W57,IF(AND($S57&lt;&gt;"",EDATE($D57,Milestones!$AA$65)&gt;=$S57),$V57,$U57)))=Milestones!$AB$65),UPPER(TEXT(EDATE($D57,Milestones!$AA$65),"dd mmm yy"))&amp;" "&amp;Milestones!$AB$65&amp;" "&amp;Milestones!$AC$65&amp;";  ","")&amp;IF(AND(EDATE($D57,Milestones!$AA$66)&lt;=AsOfDate,IF($R57=0,$X57,IF(AND($T57&lt;&gt;"",EDATE($D57,Milestones!$AA$66)&gt;=$T57),$W57,IF(AND($S57&lt;&gt;"",EDATE($D57,Milestones!$AA$66)&gt;=$S57),$V57,$U57)))=Milestones!$AB$66),UPPER(TEXT(EDATE($D57,Milestones!$AA$66),"dd mmm yy"))&amp;" "&amp;Milestones!$AB$66&amp;" "&amp;Milestones!$AC$66&amp;";  ","")&amp;IF(AND(EDATE($D57,Milestones!$AA$67)&lt;=AsOfDate,IF($R57=0,$X57,IF(AND($T57&lt;&gt;"",EDATE($D57,Milestones!$AA$67)&gt;=$T57),$W57,IF(AND($S57&lt;&gt;"",EDATE($D57,Milestones!$AA$67)&gt;=$S57),$V57,$U57)))=Milestones!$AB$67),UPPER(TEXT(EDATE($D57,Milestones!$AA$67),"dd mmm yy"))&amp;" "&amp;Milestones!$AB$67&amp;" "&amp;Milestones!$AC$67&amp;";  ","")&amp;IF(AND(EDATE($D57,Milestones!$AA$68)&lt;=AsOfDate,IF($R57=0,$X57,IF(AND($T57&lt;&gt;"",EDATE($D57,Milestones!$AA$68)&gt;=$T57),$W57,IF(AND($S57&lt;&gt;"",EDATE($D57,Milestones!$AA$68)&gt;=$S57),$V57,$U57)))=Milestones!$AB$68),UPPER(TEXT(EDATE($D57,Milestones!$AA$68),"dd mmm yy"))&amp;" "&amp;Milestones!$AB$68&amp;" "&amp;Milestones!$AC$68&amp;";  ","")&amp;IF(AND(EDATE($D57,Milestones!$AA$69)&lt;=AsOfDate,IF($R57=0,$X57,IF(AND($T57&lt;&gt;"",EDATE($D57,Milestones!$AA$69)&gt;=$T57),$W57,IF(AND($S57&lt;&gt;"",EDATE($D57,Milestones!$AA$69)&gt;=$S57),$V57,$U57)))=Milestones!$AB$69),UPPER(TEXT(EDATE($D57,Milestones!$AA$69),"dd mmm yy"))&amp;" "&amp;Milestones!$AB$69&amp;" "&amp;Milestones!$AC$69&amp;";  ","")&amp;IF(AND(EDATE($D57,Milestones!$AA$70)&lt;=AsOfDate,IF($R57=0,$X57,IF(AND($T57&lt;&gt;"",EDATE($D57,Milestones!$AA$70)&gt;=$T57),$W57,IF(AND($S57&lt;&gt;"",EDATE($D57,Milestones!$AA$70)&gt;=$S57),$V57,$U57)))=Milestones!$AB$70),UPPER(TEXT(EDATE($D57,Milestones!$AA$70),"dd mmm yy"))&amp;" "&amp;Milestones!$AB$70&amp;" "&amp;Milestones!$AC$70&amp;";  ","")&amp;IF(AND(EDATE($D57,Milestones!$AA$71)&lt;=AsOfDate,IF($R57=0,$X57,IF(AND($T57&lt;&gt;"",EDATE($D57,Milestones!$AA$71)&gt;=$T57),$W57,IF(AND($S57&lt;&gt;"",EDATE($D57,Milestones!$AA$71)&gt;=$S57),$V57,$U57)))=Milestones!$AB$71),UPPER(TEXT(EDATE($D57,Milestones!$AA$71),"dd mmm yy"))&amp;" "&amp;Milestones!$AB$71&amp;" "&amp;Milestones!$AC$71&amp;";  ","")&amp;IF(AND(EDATE($D57,Milestones!$AA$72)&lt;=AsOfDate,IF($R57=0,$X57,IF(AND($T57&lt;&gt;"",EDATE($D57,Milestones!$AA$72)&gt;=$T57),$W57,IF(AND($S57&lt;&gt;"",EDATE($D57,Milestones!$AA$72)&gt;=$S57),$V57,$U57)))=Milestones!$AB$72),UPPER(TEXT(EDATE($D57,Milestones!$AA$72),"dd mmm yy"))&amp;" "&amp;Milestones!$AB$72&amp;" "&amp;Milestones!$AC$72&amp;";  ","")&amp;IF(AND(EDATE($D57,Milestones!$AA$73)&lt;=AsOfDate,IF($R57=0,$X57,IF(AND($T57&lt;&gt;"",EDATE($D57,Milestones!$AA$73)&gt;=$T57),$W57,IF(AND($S57&lt;&gt;"",EDATE($D57,Milestones!$AA$73)&gt;=$S57),$V57,$U57)))=Milestones!$AB$73),UPPER(TEXT(EDATE($D57,Milestones!$AA$73),"dd mmm yy"))&amp;" "&amp;Milestones!$AB$73&amp;" "&amp;Milestones!$AC$73&amp;";  ","")&amp;IF(AND(EDATE($D57,Milestones!$AA$74)&lt;=AsOfDate,IF($R57=0,$X57,IF(AND($T57&lt;&gt;"",EDATE($D57,Milestones!$AA$74)&gt;=$T57),$W57,IF(AND($S57&lt;&gt;"",EDATE($D57,Milestones!$AA$74)&gt;=$S57),$V57,$U57)))=Milestones!$AB$74),UPPER(TEXT(EDATE($D57,Milestones!$AA$74),"dd mmm yy"))&amp;" "&amp;Milestones!$AB$74&amp;" "&amp;Milestones!$AC$74&amp;";  ","")&amp;IF(AND(EDATE($D57,Milestones!$AA$75)&lt;=AsOfDate,IF($R57=0,$X57,IF(AND($T57&lt;&gt;"",EDATE($D57,Milestones!$AA$75)&gt;=$T57),$W57,IF(AND($S57&lt;&gt;"",EDATE($D57,Milestones!$AA$75)&gt;=$S57),$V57,$U57)))=Milestones!$AB$75),UPPER(TEXT(EDATE($D57,Milestones!$AA$75),"dd mmm yy"))&amp;" "&amp;Milestones!$AB$75&amp;" "&amp;Milestones!$AC$75&amp;";  ","")&amp;IF(AND(EDATE($D57,Milestones!$AA$76)&lt;=AsOfDate,IF($R57=0,$X57,IF(AND($T57&lt;&gt;"",EDATE($D57,Milestones!$AA$76)&gt;=$T57),$W57,IF(AND($S57&lt;&gt;"",EDATE($D57,Milestones!$AA$76)&gt;=$S57),$V57,$U57)))=Milestones!$AB$76),UPPER(TEXT(EDATE($D57,Milestones!$AA$76),"dd mmm yy"))&amp;" "&amp;Milestones!$AB$76&amp;" "&amp;Milestones!$AC$76&amp;";  ","")&amp;IF(AND(EDATE($D57,Milestones!$AA$77)&lt;=AsOfDate,IF($R57=0,$X57,IF(AND($T57&lt;&gt;"",EDATE($D57,Milestones!$AA$77)&gt;=$T57),$W57,IF(AND($S57&lt;&gt;"",EDATE($D57,Milestones!$AA$77)&gt;=$S57),$V57,$U57)))=Milestones!$AB$77),UPPER(TEXT(EDATE($D57,Milestones!$AA$77),"dd mmm yy"))&amp;" "&amp;Milestones!$AB$77&amp;" "&amp;Milestones!$AC$77&amp;";  ","")&amp;IF(AND(EDATE($D57,Milestones!$AA$78)&lt;=AsOfDate,IF($R57=0,$X57,IF(AND($T57&lt;&gt;"",EDATE($D57,Milestones!$AA$78)&gt;=$T57),$W57,IF(AND($S57&lt;&gt;"",EDATE($D57,Milestones!$AA$78)&gt;=$S57),$V57,$U57)))=Milestones!$AB$78),UPPER(TEXT(EDATE($D57,Milestones!$AA$78),"dd mmm yy"))&amp;" "&amp;Milestones!$AB$78&amp;" "&amp;Milestones!$AC$78&amp;";  ","")&amp;IF(AND(EDATE($D57,Milestones!$AA$79)&lt;=AsOfDate,IF($R57=0,$X57,IF(AND($T57&lt;&gt;"",EDATE($D57,Milestones!$AA$79)&gt;=$T57),$W57,IF(AND($S57&lt;&gt;"",EDATE($D57,Milestones!$AA$79)&gt;=$S57),$V57,$U57)))=Milestones!$AB$79),UPPER(TEXT(EDATE($D57,Milestones!$AA$79),"dd mmm yy"))&amp;" "&amp;Milestones!$AB$79&amp;" "&amp;Milestones!$AC$79&amp;";  ",""))</f>
        <v/>
      </c>
      <c r="L57" s="0" t="str">
        <f aca="false">IF(OR($A57="",$D57=""),"",IF(AND(EDATE($D57,Milestones!$AA$80)&lt;=AsOfDate,IF($R57=0,$X57,IF(AND($T57&lt;&gt;"",EDATE($D57,Milestones!$AA$80)&gt;=$T57),$W57,IF(AND($S57&lt;&gt;"",EDATE($D57,Milestones!$AA$80)&gt;=$S57),$V57,$U57)))=Milestones!$AB$80),UPPER(TEXT(EDATE($D57,Milestones!$AA$80),"dd mmm yy"))&amp;" "&amp;Milestones!$AB$80&amp;" "&amp;Milestones!$AC$80&amp;";  ","")&amp;IF(AND(EDATE($D57,Milestones!$AA$81)&lt;=AsOfDate,IF($R57=0,$X57,IF(AND($T57&lt;&gt;"",EDATE($D57,Milestones!$AA$81)&gt;=$T57),$W57,IF(AND($S57&lt;&gt;"",EDATE($D57,Milestones!$AA$81)&gt;=$S57),$V57,$U57)))=Milestones!$AB$81),UPPER(TEXT(EDATE($D57,Milestones!$AA$81),"dd mmm yy"))&amp;" "&amp;Milestones!$AB$81&amp;" "&amp;Milestones!$AC$81&amp;";  ","")&amp;IF(AND(EDATE($D57,Milestones!$AA$82)&lt;=AsOfDate,IF($R57=0,$X57,IF(AND($T57&lt;&gt;"",EDATE($D57,Milestones!$AA$82)&gt;=$T57),$W57,IF(AND($S57&lt;&gt;"",EDATE($D57,Milestones!$AA$82)&gt;=$S57),$V57,$U57)))=Milestones!$AB$82),UPPER(TEXT(EDATE($D57,Milestones!$AA$82),"dd mmm yy"))&amp;" "&amp;Milestones!$AB$82&amp;" "&amp;Milestones!$AC$82&amp;";  ","")&amp;IF(AND(EDATE($D57,Milestones!$AA$83)&lt;=AsOfDate,IF($R57=0,$X57,IF(AND($T57&lt;&gt;"",EDATE($D57,Milestones!$AA$83)&gt;=$T57),$W57,IF(AND($S57&lt;&gt;"",EDATE($D57,Milestones!$AA$83)&gt;=$S57),$V57,$U57)))=Milestones!$AB$83),UPPER(TEXT(EDATE($D57,Milestones!$AA$83),"dd mmm yy"))&amp;" "&amp;Milestones!$AB$83&amp;" "&amp;Milestones!$AC$83&amp;";  ","")&amp;IF(AND(EDATE($D57,Milestones!$AA$84)&lt;=AsOfDate,IF($R57=0,$X57,IF(AND($T57&lt;&gt;"",EDATE($D57,Milestones!$AA$84)&gt;=$T57),$W57,IF(AND($S57&lt;&gt;"",EDATE($D57,Milestones!$AA$84)&gt;=$S57),$V57,$U57)))=Milestones!$AB$84),UPPER(TEXT(EDATE($D57,Milestones!$AA$84),"dd mmm yy"))&amp;" "&amp;Milestones!$AB$84&amp;" "&amp;Milestones!$AC$84&amp;";  ","")&amp;IF(AND(EDATE($D57,Milestones!$AA$85)&lt;=AsOfDate,IF($R57=0,$X57,IF(AND($T57&lt;&gt;"",EDATE($D57,Milestones!$AA$85)&gt;=$T57),$W57,IF(AND($S57&lt;&gt;"",EDATE($D57,Milestones!$AA$85)&gt;=$S57),$V57,$U57)))=Milestones!$AB$85),UPPER(TEXT(EDATE($D57,Milestones!$AA$85),"dd mmm yy"))&amp;" "&amp;Milestones!$AB$85&amp;" "&amp;Milestones!$AC$85&amp;";  ","")&amp;IF(AND(EDATE($D57,Milestones!$AA$86)&lt;=AsOfDate,IF($R57=0,$X57,IF(AND($T57&lt;&gt;"",EDATE($D57,Milestones!$AA$86)&gt;=$T57),$W57,IF(AND($S57&lt;&gt;"",EDATE($D57,Milestones!$AA$86)&gt;=$S57),$V57,$U57)))=Milestones!$AB$86),UPPER(TEXT(EDATE($D57,Milestones!$AA$86),"dd mmm yy"))&amp;" "&amp;Milestones!$AB$86&amp;" "&amp;Milestones!$AC$86&amp;";  ","")&amp;IF(AND(EDATE($D57,Milestones!$AA$87)&lt;=AsOfDate,IF($R57=0,$X57,IF(AND($T57&lt;&gt;"",EDATE($D57,Milestones!$AA$87)&gt;=$T57),$W57,IF(AND($S57&lt;&gt;"",EDATE($D57,Milestones!$AA$87)&gt;=$S57),$V57,$U57)))=Milestones!$AB$87),UPPER(TEXT(EDATE($D57,Milestones!$AA$87),"dd mmm yy"))&amp;" "&amp;Milestones!$AB$87&amp;" "&amp;Milestones!$AC$87&amp;";  ","")&amp;IF(AND(EDATE($D57,Milestones!$AA$88)&lt;=AsOfDate,IF($R57=0,$X57,IF(AND($T57&lt;&gt;"",EDATE($D57,Milestones!$AA$88)&gt;=$T57),$W57,IF(AND($S57&lt;&gt;"",EDATE($D57,Milestones!$AA$88)&gt;=$S57),$V57,$U57)))=Milestones!$AB$88),UPPER(TEXT(EDATE($D57,Milestones!$AA$88),"dd mmm yy"))&amp;" "&amp;Milestones!$AB$88&amp;" "&amp;Milestones!$AC$88&amp;";  ","")&amp;IF(AND(EDATE($D57,Milestones!$AA$89)&lt;=AsOfDate,IF($R57=0,$X57,IF(AND($T57&lt;&gt;"",EDATE($D57,Milestones!$AA$89)&gt;=$T57),$W57,IF(AND($S57&lt;&gt;"",EDATE($D57,Milestones!$AA$89)&gt;=$S57),$V57,$U57)))=Milestones!$AB$89),UPPER(TEXT(EDATE($D57,Milestones!$AA$89),"dd mmm yy"))&amp;" "&amp;Milestones!$AB$89&amp;" "&amp;Milestones!$AC$89&amp;";  ","")&amp;IF(AND(EDATE($D57,Milestones!$AA$90)&lt;=AsOfDate,IF($R57=0,$X57,IF(AND($T57&lt;&gt;"",EDATE($D57,Milestones!$AA$90)&gt;=$T57),$W57,IF(AND($S57&lt;&gt;"",EDATE($D57,Milestones!$AA$90)&gt;=$S57),$V57,$U57)))=Milestones!$AB$90),UPPER(TEXT(EDATE($D57,Milestones!$AA$90),"dd mmm yy"))&amp;" "&amp;Milestones!$AB$90&amp;" "&amp;Milestones!$AC$90&amp;";  ","")&amp;IF(AND(EDATE($D57,Milestones!$AA$91)&lt;=AsOfDate,IF($R57=0,$X57,IF(AND($T57&lt;&gt;"",EDATE($D57,Milestones!$AA$91)&gt;=$T57),$W57,IF(AND($S57&lt;&gt;"",EDATE($D57,Milestones!$AA$91)&gt;=$S57),$V57,$U57)))=Milestones!$AB$91),UPPER(TEXT(EDATE($D57,Milestones!$AA$91),"dd mmm yy"))&amp;" "&amp;Milestones!$AB$91&amp;" "&amp;Milestones!$AC$91&amp;";  ","")&amp;IF(AND(EDATE($D57,Milestones!$AA$92)&lt;=AsOfDate,IF($R57=0,$X57,IF(AND($T57&lt;&gt;"",EDATE($D57,Milestones!$AA$92)&gt;=$T57),$W57,IF(AND($S57&lt;&gt;"",EDATE($D57,Milestones!$AA$92)&gt;=$S57),$V57,$U57)))=Milestones!$AB$92),UPPER(TEXT(EDATE($D57,Milestones!$AA$92),"dd mmm yy"))&amp;" "&amp;Milestones!$AB$92&amp;" "&amp;Milestones!$AC$92&amp;";  ","")&amp;IF(AND(EDATE($D57,Milestones!$AA$93)&lt;=AsOfDate,IF($R57=0,$X57,IF(AND($T57&lt;&gt;"",EDATE($D57,Milestones!$AA$93)&gt;=$T57),$W57,IF(AND($S57&lt;&gt;"",EDATE($D57,Milestones!$AA$93)&gt;=$S57),$V57,$U57)))=Milestones!$AB$93),UPPER(TEXT(EDATE($D57,Milestones!$AA$93),"dd mmm yy"))&amp;" "&amp;Milestones!$AB$93&amp;" "&amp;Milestones!$AC$93&amp;";  ","")&amp;IF(AND(EDATE($D57,Milestones!$AA$94)&lt;=AsOfDate,IF($R57=0,$X57,IF(AND($T57&lt;&gt;"",EDATE($D57,Milestones!$AA$94)&gt;=$T57),$W57,IF(AND($S57&lt;&gt;"",EDATE($D57,Milestones!$AA$94)&gt;=$S57),$V57,$U57)))=Milestones!$AB$94),UPPER(TEXT(EDATE($D57,Milestones!$AA$94),"dd mmm yy"))&amp;" "&amp;Milestones!$AB$94&amp;" "&amp;Milestones!$AC$94&amp;";  ","")&amp;IF(AND(EDATE($D57,Milestones!$AA$95)&lt;=AsOfDate,IF($R57=0,$X57,IF(AND($T57&lt;&gt;"",EDATE($D57,Milestones!$AA$95)&gt;=$T57),$W57,IF(AND($S57&lt;&gt;"",EDATE($D57,Milestones!$AA$95)&gt;=$S57),$V57,$U57)))=Milestones!$AB$95),UPPER(TEXT(EDATE($D57,Milestones!$AA$95),"dd mmm yy"))&amp;" "&amp;Milestones!$AB$95&amp;" "&amp;Milestones!$AC$95&amp;";  ","")&amp;IF(AND(EDATE($D57,Milestones!$AA$96)&lt;=AsOfDate,IF($R57=0,$X57,IF(AND($T57&lt;&gt;"",EDATE($D57,Milestones!$AA$96)&gt;=$T57),$W57,IF(AND($S57&lt;&gt;"",EDATE($D57,Milestones!$AA$96)&gt;=$S57),$V57,$U57)))=Milestones!$AB$96),UPPER(TEXT(EDATE($D57,Milestones!$AA$96),"dd mmm yy"))&amp;" "&amp;Milestones!$AB$96&amp;" "&amp;Milestones!$AC$96&amp;";  ","")&amp;IF(AND(EDATE($D57,Milestones!$AA$97)&lt;=AsOfDate,IF($R57=0,$X57,IF(AND($T57&lt;&gt;"",EDATE($D57,Milestones!$AA$97)&gt;=$T57),$W57,IF(AND($S57&lt;&gt;"",EDATE($D57,Milestones!$AA$97)&gt;=$S57),$V57,$U57)))=Milestones!$AB$97),UPPER(TEXT(EDATE($D57,Milestones!$AA$97),"dd mmm yy"))&amp;" "&amp;Milestones!$AB$97&amp;" "&amp;Milestones!$AC$97&amp;";  ","")&amp;IF(AND(EDATE($D57,Milestones!$AA$98)&lt;=AsOfDate,IF($R57=0,$X57,IF(AND($T57&lt;&gt;"",EDATE($D57,Milestones!$AA$98)&gt;=$T57),$W57,IF(AND($S57&lt;&gt;"",EDATE($D57,Milestones!$AA$98)&gt;=$S57),$V57,$U57)))=Milestones!$AB$98),UPPER(TEXT(EDATE($D57,Milestones!$AA$98),"dd mmm yy"))&amp;" "&amp;Milestones!$AB$98&amp;" "&amp;Milestones!$AC$98&amp;";  ","")&amp;IF(AND(EDATE($D57,Milestones!$AA$99)&lt;=AsOfDate,IF($R57=0,$X57,IF(AND($T57&lt;&gt;"",EDATE($D57,Milestones!$AA$99)&gt;=$T57),$W57,IF(AND($S57&lt;&gt;"",EDATE($D57,Milestones!$AA$99)&gt;=$S57),$V57,$U57)))=Milestones!$AB$99),UPPER(TEXT(EDATE($D57,Milestones!$AA$99),"dd mmm yy"))&amp;" "&amp;Milestones!$AB$99&amp;" "&amp;Milestones!$AC$99&amp;";  ",""))</f>
        <v/>
      </c>
      <c r="M57" s="0" t="str">
        <f aca="false">IF(OR($A57="",$D57=""),"",IF(AND(EDATE($D57,Milestones!$AA$100)&lt;=AsOfDate,IF($R57=0,$X57,IF(AND($T57&lt;&gt;"",EDATE($D57,Milestones!$AA$100)&gt;=$T57),$W57,IF(AND($S57&lt;&gt;"",EDATE($D57,Milestones!$AA$100)&gt;=$S57),$V57,$U57)))=Milestones!$AB$100),UPPER(TEXT(EDATE($D57,Milestones!$AA$100),"dd mmm yy"))&amp;" "&amp;Milestones!$AB$100&amp;" "&amp;Milestones!$AC$100&amp;";  ","")&amp;IF(AND(EDATE($D57,Milestones!$AA$101)&lt;=AsOfDate,IF($R57=0,$X57,IF(AND($T57&lt;&gt;"",EDATE($D57,Milestones!$AA$101)&gt;=$T57),$W57,IF(AND($S57&lt;&gt;"",EDATE($D57,Milestones!$AA$101)&gt;=$S57),$V57,$U57)))=Milestones!$AB$101),UPPER(TEXT(EDATE($D57,Milestones!$AA$101),"dd mmm yy"))&amp;" "&amp;Milestones!$AB$101&amp;" "&amp;Milestones!$AC$101&amp;";  ","")&amp;IF(AND(EDATE($D57,Milestones!$AA$102)&lt;=AsOfDate,IF($R57=0,$X57,IF(AND($T57&lt;&gt;"",EDATE($D57,Milestones!$AA$102)&gt;=$T57),$W57,IF(AND($S57&lt;&gt;"",EDATE($D57,Milestones!$AA$102)&gt;=$S57),$V57,$U57)))=Milestones!$AB$102),UPPER(TEXT(EDATE($D57,Milestones!$AA$102),"dd mmm yy"))&amp;" "&amp;Milestones!$AB$102&amp;" "&amp;Milestones!$AC$102&amp;";  ","")&amp;IF(AND(EDATE($D57,Milestones!$AA$103)&lt;=AsOfDate,IF($R57=0,$X57,IF(AND($T57&lt;&gt;"",EDATE($D57,Milestones!$AA$103)&gt;=$T57),$W57,IF(AND($S57&lt;&gt;"",EDATE($D57,Milestones!$AA$103)&gt;=$S57),$V57,$U57)))=Milestones!$AB$103),UPPER(TEXT(EDATE($D57,Milestones!$AA$103),"dd mmm yy"))&amp;" "&amp;Milestones!$AB$103&amp;" "&amp;Milestones!$AC$103&amp;";  ","")&amp;IF(AND(EDATE($D57,Milestones!$AA$104)&lt;=AsOfDate,IF($R57=0,$X57,IF(AND($T57&lt;&gt;"",EDATE($D57,Milestones!$AA$104)&gt;=$T57),$W57,IF(AND($S57&lt;&gt;"",EDATE($D57,Milestones!$AA$104)&gt;=$S57),$V57,$U57)))=Milestones!$AB$104),UPPER(TEXT(EDATE($D57,Milestones!$AA$104),"dd mmm yy"))&amp;" "&amp;Milestones!$AB$104&amp;" "&amp;Milestones!$AC$104&amp;";  ","")&amp;IF(AND(EDATE($D57,Milestones!$AA$105)&lt;=AsOfDate,IF($R57=0,$X57,IF(AND($T57&lt;&gt;"",EDATE($D57,Milestones!$AA$105)&gt;=$T57),$W57,IF(AND($S57&lt;&gt;"",EDATE($D57,Milestones!$AA$105)&gt;=$S57),$V57,$U57)))=Milestones!$AB$105),UPPER(TEXT(EDATE($D57,Milestones!$AA$105),"dd mmm yy"))&amp;" "&amp;Milestones!$AB$105&amp;" "&amp;Milestones!$AC$105&amp;";  ","")&amp;IF(AND(EDATE($D57,Milestones!$AA$106)&lt;=AsOfDate,IF($R57=0,$X57,IF(AND($T57&lt;&gt;"",EDATE($D57,Milestones!$AA$106)&gt;=$T57),$W57,IF(AND($S57&lt;&gt;"",EDATE($D57,Milestones!$AA$106)&gt;=$S57),$V57,$U57)))=Milestones!$AB$106),UPPER(TEXT(EDATE($D57,Milestones!$AA$106),"dd mmm yy"))&amp;" "&amp;Milestones!$AB$106&amp;" "&amp;Milestones!$AC$106&amp;";  ","")&amp;IF(AND(EDATE($D57,Milestones!$AA$107)&lt;=AsOfDate,IF($R57=0,$X57,IF(AND($T57&lt;&gt;"",EDATE($D57,Milestones!$AA$107)&gt;=$T57),$W57,IF(AND($S57&lt;&gt;"",EDATE($D57,Milestones!$AA$107)&gt;=$S57),$V57,$U57)))=Milestones!$AB$107),UPPER(TEXT(EDATE($D57,Milestones!$AA$107),"dd mmm yy"))&amp;" "&amp;Milestones!$AB$107&amp;" "&amp;Milestones!$AC$107&amp;";  ","")&amp;IF(AND(EDATE($D57,Milestones!$AA$108)&lt;=AsOfDate,IF($R57=0,$X57,IF(AND($T57&lt;&gt;"",EDATE($D57,Milestones!$AA$108)&gt;=$T57),$W57,IF(AND($S57&lt;&gt;"",EDATE($D57,Milestones!$AA$108)&gt;=$S57),$V57,$U57)))=Milestones!$AB$108),UPPER(TEXT(EDATE($D57,Milestones!$AA$108),"dd mmm yy"))&amp;" "&amp;Milestones!$AB$108&amp;" "&amp;Milestones!$AC$108&amp;";  ","")&amp;IF(AND(EDATE($D57,Milestones!$AA$109)&lt;=AsOfDate,IF($R57=0,$X57,IF(AND($T57&lt;&gt;"",EDATE($D57,Milestones!$AA$109)&gt;=$T57),$W57,IF(AND($S57&lt;&gt;"",EDATE($D57,Milestones!$AA$109)&gt;=$S57),$V57,$U57)))=Milestones!$AB$109),UPPER(TEXT(EDATE($D57,Milestones!$AA$109),"dd mmm yy"))&amp;" "&amp;Milestones!$AB$109&amp;" "&amp;Milestones!$AC$109&amp;";  ","")&amp;IF(AND(EDATE($D57,Milestones!$AA$110)&lt;=AsOfDate,IF($R57=0,$X57,IF(AND($T57&lt;&gt;"",EDATE($D57,Milestones!$AA$110)&gt;=$T57),$W57,IF(AND($S57&lt;&gt;"",EDATE($D57,Milestones!$AA$110)&gt;=$S57),$V57,$U57)))=Milestones!$AB$110),UPPER(TEXT(EDATE($D57,Milestones!$AA$110),"dd mmm yy"))&amp;" "&amp;Milestones!$AB$110&amp;" "&amp;Milestones!$AC$110&amp;";  ","")&amp;IF(AND(EDATE($D57,Milestones!$AA$111)&lt;=AsOfDate,IF($R57=0,$X57,IF(AND($T57&lt;&gt;"",EDATE($D57,Milestones!$AA$111)&gt;=$T57),$W57,IF(AND($S57&lt;&gt;"",EDATE($D57,Milestones!$AA$111)&gt;=$S57),$V57,$U57)))=Milestones!$AB$111),UPPER(TEXT(EDATE($D57,Milestones!$AA$111),"dd mmm yy"))&amp;" "&amp;Milestones!$AB$111&amp;" "&amp;Milestones!$AC$111&amp;";  ","")&amp;IF(AND(EDATE($D57,Milestones!$AA$112)&lt;=AsOfDate,IF($R57=0,$X57,IF(AND($T57&lt;&gt;"",EDATE($D57,Milestones!$AA$112)&gt;=$T57),$W57,IF(AND($S57&lt;&gt;"",EDATE($D57,Milestones!$AA$112)&gt;=$S57),$V57,$U57)))=Milestones!$AB$112),UPPER(TEXT(EDATE($D57,Milestones!$AA$112),"dd mmm yy"))&amp;" "&amp;Milestones!$AB$112&amp;" "&amp;Milestones!$AC$112&amp;";  ","")&amp;IF(AND(EDATE($D57,Milestones!$AA$113)&lt;=AsOfDate,IF($R57=0,$X57,IF(AND($T57&lt;&gt;"",EDATE($D57,Milestones!$AA$113)&gt;=$T57),$W57,IF(AND($S57&lt;&gt;"",EDATE($D57,Milestones!$AA$113)&gt;=$S57),$V57,$U57)))=Milestones!$AB$113),UPPER(TEXT(EDATE($D57,Milestones!$AA$113),"dd mmm yy"))&amp;" "&amp;Milestones!$AB$113&amp;" "&amp;Milestones!$AC$113&amp;";  ","")&amp;IF(AND(EDATE($D57,Milestones!$AA$114)&lt;=AsOfDate,IF($R57=0,$X57,IF(AND($T57&lt;&gt;"",EDATE($D57,Milestones!$AA$114)&gt;=$T57),$W57,IF(AND($S57&lt;&gt;"",EDATE($D57,Milestones!$AA$114)&gt;=$S57),$V57,$U57)))=Milestones!$AB$114),UPPER(TEXT(EDATE($D57,Milestones!$AA$114),"dd mmm yy"))&amp;" "&amp;Milestones!$AB$114&amp;" "&amp;Milestones!$AC$114&amp;";  ","")&amp;IF(AND(EDATE($D57,Milestones!$AA$115)&lt;=AsOfDate,IF($R57=0,$X57,IF(AND($T57&lt;&gt;"",EDATE($D57,Milestones!$AA$115)&gt;=$T57),$W57,IF(AND($S57&lt;&gt;"",EDATE($D57,Milestones!$AA$115)&gt;=$S57),$V57,$U57)))=Milestones!$AB$115),UPPER(TEXT(EDATE($D57,Milestones!$AA$115),"dd mmm yy"))&amp;" "&amp;Milestones!$AB$115&amp;" "&amp;Milestones!$AC$115&amp;";  ","")&amp;IF(AND(EDATE($D57,Milestones!$AA$116)&lt;=AsOfDate,IF($R57=0,$X57,IF(AND($T57&lt;&gt;"",EDATE($D57,Milestones!$AA$116)&gt;=$T57),$W57,IF(AND($S57&lt;&gt;"",EDATE($D57,Milestones!$AA$116)&gt;=$S57),$V57,$U57)))=Milestones!$AB$116),UPPER(TEXT(EDATE($D57,Milestones!$AA$116),"dd mmm yy"))&amp;" "&amp;Milestones!$AB$116&amp;" "&amp;Milestones!$AC$116&amp;";  ","")&amp;IF(AND(EDATE($D57,Milestones!$AA$117)&lt;=AsOfDate,IF($R57=0,$X57,IF(AND($T57&lt;&gt;"",EDATE($D57,Milestones!$AA$117)&gt;=$T57),$W57,IF(AND($S57&lt;&gt;"",EDATE($D57,Milestones!$AA$117)&gt;=$S57),$V57,$U57)))=Milestones!$AB$117),UPPER(TEXT(EDATE($D57,Milestones!$AA$117),"dd mmm yy"))&amp;" "&amp;Milestones!$AB$117&amp;" "&amp;Milestones!$AC$117&amp;";  ","")&amp;IF(AND(EDATE($D57,Milestones!$AA$118)&lt;=AsOfDate,IF($R57=0,$X57,IF(AND($T57&lt;&gt;"",EDATE($D57,Milestones!$AA$118)&gt;=$T57),$W57,IF(AND($S57&lt;&gt;"",EDATE($D57,Milestones!$AA$118)&gt;=$S57),$V57,$U57)))=Milestones!$AB$118),UPPER(TEXT(EDATE($D57,Milestones!$AA$118),"dd mmm yy"))&amp;" "&amp;Milestones!$AB$118&amp;" "&amp;Milestones!$AC$118&amp;";  ","")&amp;IF(AND(EDATE($D57,Milestones!$AA$119)&lt;=AsOfDate,IF($R57=0,$X57,IF(AND($T57&lt;&gt;"",EDATE($D57,Milestones!$AA$119)&gt;=$T57),$W57,IF(AND($S57&lt;&gt;"",EDATE($D57,Milestones!$AA$119)&gt;=$S57),$V57,$U57)))=Milestones!$AB$119),UPPER(TEXT(EDATE($D57,Milestones!$AA$119),"dd mmm yy"))&amp;" "&amp;Milestones!$AB$119&amp;" "&amp;Milestones!$AC$119&amp;";  ",""))</f>
        <v/>
      </c>
      <c r="N57" s="0" t="str">
        <f aca="false">IF(OR($A57="",$D57=""),"",IF(AND(EDATE($D57,Milestones!$AA$120)&lt;=AsOfDate,IF($R57=0,$X57,IF(AND($T57&lt;&gt;"",EDATE($D57,Milestones!$AA$120)&gt;=$T57),$W57,IF(AND($S57&lt;&gt;"",EDATE($D57,Milestones!$AA$120)&gt;=$S57),$V57,$U57)))=Milestones!$AB$120),UPPER(TEXT(EDATE($D57,Milestones!$AA$120),"dd mmm yy"))&amp;" "&amp;Milestones!$AB$120&amp;" "&amp;Milestones!$AC$120&amp;";  ","")&amp;IF(AND(EDATE($D57,Milestones!$AA$121)&lt;=AsOfDate,IF($R57=0,$X57,IF(AND($T57&lt;&gt;"",EDATE($D57,Milestones!$AA$121)&gt;=$T57),$W57,IF(AND($S57&lt;&gt;"",EDATE($D57,Milestones!$AA$121)&gt;=$S57),$V57,$U57)))=Milestones!$AB$121),UPPER(TEXT(EDATE($D57,Milestones!$AA$121),"dd mmm yy"))&amp;" "&amp;Milestones!$AB$121&amp;" "&amp;Milestones!$AC$121&amp;";  ","")&amp;IF(AND(EDATE($D57,Milestones!$AA$122)&lt;=AsOfDate,IF($R57=0,$X57,IF(AND($T57&lt;&gt;"",EDATE($D57,Milestones!$AA$122)&gt;=$T57),$W57,IF(AND($S57&lt;&gt;"",EDATE($D57,Milestones!$AA$122)&gt;=$S57),$V57,$U57)))=Milestones!$AB$122),UPPER(TEXT(EDATE($D57,Milestones!$AA$122),"dd mmm yy"))&amp;" "&amp;Milestones!$AB$122&amp;" "&amp;Milestones!$AC$122&amp;";  ","")&amp;IF(AND(EDATE($D57,Milestones!$AA$123)&lt;=AsOfDate,IF($R57=0,$X57,IF(AND($T57&lt;&gt;"",EDATE($D57,Milestones!$AA$123)&gt;=$T57),$W57,IF(AND($S57&lt;&gt;"",EDATE($D57,Milestones!$AA$123)&gt;=$S57),$V57,$U57)))=Milestones!$AB$123),UPPER(TEXT(EDATE($D57,Milestones!$AA$123),"dd mmm yy"))&amp;" "&amp;Milestones!$AB$123&amp;" "&amp;Milestones!$AC$123&amp;";  ","")&amp;IF(AND(EDATE($D57,Milestones!$AA$124)&lt;=AsOfDate,IF($R57=0,$X57,IF(AND($T57&lt;&gt;"",EDATE($D57,Milestones!$AA$124)&gt;=$T57),$W57,IF(AND($S57&lt;&gt;"",EDATE($D57,Milestones!$AA$124)&gt;=$S57),$V57,$U57)))=Milestones!$AB$124),UPPER(TEXT(EDATE($D57,Milestones!$AA$124),"dd mmm yy"))&amp;" "&amp;Milestones!$AB$124&amp;" "&amp;Milestones!$AC$124&amp;";  ","")&amp;IF(AND(EDATE($D57,Milestones!$AA$125)&lt;=AsOfDate,IF($R57=0,$X57,IF(AND($T57&lt;&gt;"",EDATE($D57,Milestones!$AA$125)&gt;=$T57),$W57,IF(AND($S57&lt;&gt;"",EDATE($D57,Milestones!$AA$125)&gt;=$S57),$V57,$U57)))=Milestones!$AB$125),UPPER(TEXT(EDATE($D57,Milestones!$AA$125),"dd mmm yy"))&amp;" "&amp;Milestones!$AB$125&amp;" "&amp;Milestones!$AC$125&amp;";  ","")&amp;IF(AND(EDATE($D57,Milestones!$AA$126)&lt;=AsOfDate,IF($R57=0,$X57,IF(AND($T57&lt;&gt;"",EDATE($D57,Milestones!$AA$126)&gt;=$T57),$W57,IF(AND($S57&lt;&gt;"",EDATE($D57,Milestones!$AA$126)&gt;=$S57),$V57,$U57)))=Milestones!$AB$126),UPPER(TEXT(EDATE($D57,Milestones!$AA$126),"dd mmm yy"))&amp;" "&amp;Milestones!$AB$126&amp;" "&amp;Milestones!$AC$126&amp;";  ","")&amp;IF(AND(EDATE($D57,Milestones!$AA$127)&lt;=AsOfDate,IF($R57=0,$X57,IF(AND($T57&lt;&gt;"",EDATE($D57,Milestones!$AA$127)&gt;=$T57),$W57,IF(AND($S57&lt;&gt;"",EDATE($D57,Milestones!$AA$127)&gt;=$S57),$V57,$U57)))=Milestones!$AB$127),UPPER(TEXT(EDATE($D57,Milestones!$AA$127),"dd mmm yy"))&amp;" "&amp;Milestones!$AB$127&amp;" "&amp;Milestones!$AC$127&amp;";  ","")&amp;IF(AND(EDATE($D57,Milestones!$AA$128)&lt;=AsOfDate,IF($R57=0,$X57,IF(AND($T57&lt;&gt;"",EDATE($D57,Milestones!$AA$128)&gt;=$T57),$W57,IF(AND($S57&lt;&gt;"",EDATE($D57,Milestones!$AA$128)&gt;=$S57),$V57,$U57)))=Milestones!$AB$128),UPPER(TEXT(EDATE($D57,Milestones!$AA$128),"dd mmm yy"))&amp;" "&amp;Milestones!$AB$128&amp;" "&amp;Milestones!$AC$128&amp;";  ","")&amp;IF(AND(EDATE($D57,Milestones!$AA$129)&lt;=AsOfDate,IF($R57=0,$X57,IF(AND($T57&lt;&gt;"",EDATE($D57,Milestones!$AA$129)&gt;=$T57),$W57,IF(AND($S57&lt;&gt;"",EDATE($D57,Milestones!$AA$129)&gt;=$S57),$V57,$U57)))=Milestones!$AB$129),UPPER(TEXT(EDATE($D57,Milestones!$AA$129),"dd mmm yy"))&amp;" "&amp;Milestones!$AB$129&amp;" "&amp;Milestones!$AC$129&amp;";  ","")&amp;IF(AND(EDATE($D57,Milestones!$AA$130)&lt;=AsOfDate,IF($R57=0,$X57,IF(AND($T57&lt;&gt;"",EDATE($D57,Milestones!$AA$130)&gt;=$T57),$W57,IF(AND($S57&lt;&gt;"",EDATE($D57,Milestones!$AA$130)&gt;=$S57),$V57,$U57)))=Milestones!$AB$130),UPPER(TEXT(EDATE($D57,Milestones!$AA$130),"dd mmm yy"))&amp;" "&amp;Milestones!$AB$130&amp;" "&amp;Milestones!$AC$130&amp;";  ","")&amp;IF(AND(EDATE($D57,Milestones!$AA$131)&lt;=AsOfDate,IF($R57=0,$X57,IF(AND($T57&lt;&gt;"",EDATE($D57,Milestones!$AA$131)&gt;=$T57),$W57,IF(AND($S57&lt;&gt;"",EDATE($D57,Milestones!$AA$131)&gt;=$S57),$V57,$U57)))=Milestones!$AB$131),UPPER(TEXT(EDATE($D57,Milestones!$AA$131),"dd mmm yy"))&amp;" "&amp;Milestones!$AB$131&amp;" "&amp;Milestones!$AC$131&amp;";  ","")&amp;IF(AND(EDATE($D57,Milestones!$AA$132)&lt;=AsOfDate,IF($R57=0,$X57,IF(AND($T57&lt;&gt;"",EDATE($D57,Milestones!$AA$132)&gt;=$T57),$W57,IF(AND($S57&lt;&gt;"",EDATE($D57,Milestones!$AA$132)&gt;=$S57),$V57,$U57)))=Milestones!$AB$132),UPPER(TEXT(EDATE($D57,Milestones!$AA$132),"dd mmm yy"))&amp;" "&amp;Milestones!$AB$132&amp;" "&amp;Milestones!$AC$132&amp;";  ","")&amp;IF(AND(EDATE($D57,Milestones!$AA$133)&lt;=AsOfDate,IF($R57=0,$X57,IF(AND($T57&lt;&gt;"",EDATE($D57,Milestones!$AA$133)&gt;=$T57),$W57,IF(AND($S57&lt;&gt;"",EDATE($D57,Milestones!$AA$133)&gt;=$S57),$V57,$U57)))=Milestones!$AB$133),UPPER(TEXT(EDATE($D57,Milestones!$AA$133),"dd mmm yy"))&amp;" "&amp;Milestones!$AB$133&amp;" "&amp;Milestones!$AC$133&amp;";  ","")&amp;IF(AND(EDATE($D57,Milestones!$AA$134)&lt;=AsOfDate,IF($R57=0,$X57,IF(AND($T57&lt;&gt;"",EDATE($D57,Milestones!$AA$134)&gt;=$T57),$W57,IF(AND($S57&lt;&gt;"",EDATE($D57,Milestones!$AA$134)&gt;=$S57),$V57,$U57)))=Milestones!$AB$134),UPPER(TEXT(EDATE($D57,Milestones!$AA$134),"dd mmm yy"))&amp;" "&amp;Milestones!$AB$134&amp;" "&amp;Milestones!$AC$134&amp;";  ","")&amp;IF(AND(EDATE($D57,Milestones!$AA$135)&lt;=AsOfDate,IF($R57=0,$X57,IF(AND($T57&lt;&gt;"",EDATE($D57,Milestones!$AA$135)&gt;=$T57),$W57,IF(AND($S57&lt;&gt;"",EDATE($D57,Milestones!$AA$135)&gt;=$S57),$V57,$U57)))=Milestones!$AB$135),UPPER(TEXT(EDATE($D57,Milestones!$AA$135),"dd mmm yy"))&amp;" "&amp;Milestones!$AB$135&amp;" "&amp;Milestones!$AC$135&amp;";  ","")&amp;IF(AND(EDATE($D57,Milestones!$AA$136)&lt;=AsOfDate,IF($R57=0,$X57,IF(AND($T57&lt;&gt;"",EDATE($D57,Milestones!$AA$136)&gt;=$T57),$W57,IF(AND($S57&lt;&gt;"",EDATE($D57,Milestones!$AA$136)&gt;=$S57),$V57,$U57)))=Milestones!$AB$136),UPPER(TEXT(EDATE($D57,Milestones!$AA$136),"dd mmm yy"))&amp;" "&amp;Milestones!$AB$136&amp;" "&amp;Milestones!$AC$136&amp;";  ","")&amp;IF(AND(EDATE($D57,Milestones!$AA$137)&lt;=AsOfDate,IF($R57=0,$X57,IF(AND($T57&lt;&gt;"",EDATE($D57,Milestones!$AA$137)&gt;=$T57),$W57,IF(AND($S57&lt;&gt;"",EDATE($D57,Milestones!$AA$137)&gt;=$S57),$V57,$U57)))=Milestones!$AB$137),UPPER(TEXT(EDATE($D57,Milestones!$AA$137),"dd mmm yy"))&amp;" "&amp;Milestones!$AB$137&amp;" "&amp;Milestones!$AC$137&amp;";  ","")&amp;IF(AND(EDATE($D57,Milestones!$AA$138)&lt;=AsOfDate,IF($R57=0,$X57,IF(AND($T57&lt;&gt;"",EDATE($D57,Milestones!$AA$138)&gt;=$T57),$W57,IF(AND($S57&lt;&gt;"",EDATE($D57,Milestones!$AA$138)&gt;=$S57),$V57,$U57)))=Milestones!$AB$138),UPPER(TEXT(EDATE($D57,Milestones!$AA$138),"dd mmm yy"))&amp;" "&amp;Milestones!$AB$138&amp;" "&amp;Milestones!$AC$138&amp;";  ","")&amp;IF(AND(EDATE($D57,Milestones!$AA$139)&lt;=AsOfDate,IF($R57=0,$X57,IF(AND($T57&lt;&gt;"",EDATE($D57,Milestones!$AA$139)&gt;=$T57),$W57,IF(AND($S57&lt;&gt;"",EDATE($D57,Milestones!$AA$139)&gt;=$S57),$V57,$U57)))=Milestones!$AB$139),UPPER(TEXT(EDATE($D57,Milestones!$AA$139),"dd mmm yy"))&amp;" "&amp;Milestones!$AB$139&amp;" "&amp;Milestones!$AC$139&amp;";  ",""))</f>
        <v/>
      </c>
      <c r="O57" s="0" t="str">
        <f aca="false">IF(OR($A57="",$D57=""),"",IF(AND(EDATE($D57,Milestones!$AA$140)&lt;=AsOfDate,IF($R57=0,$X57,IF(AND($T57&lt;&gt;"",EDATE($D57,Milestones!$AA$140)&gt;=$T57),$W57,IF(AND($S57&lt;&gt;"",EDATE($D57,Milestones!$AA$140)&gt;=$S57),$V57,$U57)))=Milestones!$AB$140),UPPER(TEXT(EDATE($D57,Milestones!$AA$140),"dd mmm yy"))&amp;" "&amp;Milestones!$AB$140&amp;" "&amp;Milestones!$AC$140&amp;";  ","")&amp;IF(AND(EDATE($D57,Milestones!$AA$141)&lt;=AsOfDate,IF($R57=0,$X57,IF(AND($T57&lt;&gt;"",EDATE($D57,Milestones!$AA$141)&gt;=$T57),$W57,IF(AND($S57&lt;&gt;"",EDATE($D57,Milestones!$AA$141)&gt;=$S57),$V57,$U57)))=Milestones!$AB$141),UPPER(TEXT(EDATE($D57,Milestones!$AA$141),"dd mmm yy"))&amp;" "&amp;Milestones!$AB$141&amp;" "&amp;Milestones!$AC$141&amp;";  ","")&amp;IF(AND(EDATE($D57,Milestones!$AA$142)&lt;=AsOfDate,IF($R57=0,$X57,IF(AND($T57&lt;&gt;"",EDATE($D57,Milestones!$AA$142)&gt;=$T57),$W57,IF(AND($S57&lt;&gt;"",EDATE($D57,Milestones!$AA$142)&gt;=$S57),$V57,$U57)))=Milestones!$AB$142),UPPER(TEXT(EDATE($D57,Milestones!$AA$142),"dd mmm yy"))&amp;" "&amp;Milestones!$AB$142&amp;" "&amp;Milestones!$AC$142&amp;";  ","")&amp;IF(AND(EDATE($D57,Milestones!$AA$143)&lt;=AsOfDate,IF($R57=0,$X57,IF(AND($T57&lt;&gt;"",EDATE($D57,Milestones!$AA$143)&gt;=$T57),$W57,IF(AND($S57&lt;&gt;"",EDATE($D57,Milestones!$AA$143)&gt;=$S57),$V57,$U57)))=Milestones!$AB$143),UPPER(TEXT(EDATE($D57,Milestones!$AA$143),"dd mmm yy"))&amp;" "&amp;Milestones!$AB$143&amp;" "&amp;Milestones!$AC$143&amp;";  ","")&amp;IF(AND(EDATE($D57,Milestones!$AA$144)&lt;=AsOfDate,IF($R57=0,$X57,IF(AND($T57&lt;&gt;"",EDATE($D57,Milestones!$AA$144)&gt;=$T57),$W57,IF(AND($S57&lt;&gt;"",EDATE($D57,Milestones!$AA$144)&gt;=$S57),$V57,$U57)))=Milestones!$AB$144),UPPER(TEXT(EDATE($D57,Milestones!$AA$144),"dd mmm yy"))&amp;" "&amp;Milestones!$AB$144&amp;" "&amp;Milestones!$AC$144&amp;";  ","")&amp;IF(AND(EDATE($D57,Milestones!$AA$145)&lt;=AsOfDate,IF($R57=0,$X57,IF(AND($T57&lt;&gt;"",EDATE($D57,Milestones!$AA$145)&gt;=$T57),$W57,IF(AND($S57&lt;&gt;"",EDATE($D57,Milestones!$AA$145)&gt;=$S57),$V57,$U57)))=Milestones!$AB$145),UPPER(TEXT(EDATE($D57,Milestones!$AA$145),"dd mmm yy"))&amp;" "&amp;Milestones!$AB$145&amp;" "&amp;Milestones!$AC$145&amp;";  ","")&amp;IF(AND(EDATE($D57,Milestones!$AA$146)&lt;=AsOfDate,IF($R57=0,$X57,IF(AND($T57&lt;&gt;"",EDATE($D57,Milestones!$AA$146)&gt;=$T57),$W57,IF(AND($S57&lt;&gt;"",EDATE($D57,Milestones!$AA$146)&gt;=$S57),$V57,$U57)))=Milestones!$AB$146),UPPER(TEXT(EDATE($D57,Milestones!$AA$146),"dd mmm yy"))&amp;" "&amp;Milestones!$AB$146&amp;" "&amp;Milestones!$AC$146&amp;";  ","")&amp;IF(AND(EDATE($D57,Milestones!$AA$147)&lt;=AsOfDate,IF($R57=0,$X57,IF(AND($T57&lt;&gt;"",EDATE($D57,Milestones!$AA$147)&gt;=$T57),$W57,IF(AND($S57&lt;&gt;"",EDATE($D57,Milestones!$AA$147)&gt;=$S57),$V57,$U57)))=Milestones!$AB$147),UPPER(TEXT(EDATE($D57,Milestones!$AA$147),"dd mmm yy"))&amp;" "&amp;Milestones!$AB$147&amp;" "&amp;Milestones!$AC$147&amp;";  ","")&amp;IF(AND(EDATE($D57,Milestones!$AA$148)&lt;=AsOfDate,IF($R57=0,$X57,IF(AND($T57&lt;&gt;"",EDATE($D57,Milestones!$AA$148)&gt;=$T57),$W57,IF(AND($S57&lt;&gt;"",EDATE($D57,Milestones!$AA$148)&gt;=$S57),$V57,$U57)))=Milestones!$AB$148),UPPER(TEXT(EDATE($D57,Milestones!$AA$148),"dd mmm yy"))&amp;" "&amp;Milestones!$AB$148&amp;" "&amp;Milestones!$AC$148&amp;";  ","")&amp;IF(AND(EDATE($D57,Milestones!$AA$149)&lt;=AsOfDate,IF($R57=0,$X57,IF(AND($T57&lt;&gt;"",EDATE($D57,Milestones!$AA$149)&gt;=$T57),$W57,IF(AND($S57&lt;&gt;"",EDATE($D57,Milestones!$AA$149)&gt;=$S57),$V57,$U57)))=Milestones!$AB$149),UPPER(TEXT(EDATE($D57,Milestones!$AA$149),"dd mmm yy"))&amp;" "&amp;Milestones!$AB$149&amp;" "&amp;Milestones!$AC$149&amp;";  ","")&amp;IF(AND(EDATE($D57,Milestones!$AA$150)&lt;=AsOfDate,IF($R57=0,$X57,IF(AND($T57&lt;&gt;"",EDATE($D57,Milestones!$AA$150)&gt;=$T57),$W57,IF(AND($S57&lt;&gt;"",EDATE($D57,Milestones!$AA$150)&gt;=$S57),$V57,$U57)))=Milestones!$AB$150),UPPER(TEXT(EDATE($D57,Milestones!$AA$150),"dd mmm yy"))&amp;" "&amp;Milestones!$AB$150&amp;" "&amp;Milestones!$AC$150&amp;";  ","")&amp;IF(AND(EDATE($D57,Milestones!$AA$151)&lt;=AsOfDate,IF($R57=0,$X57,IF(AND($T57&lt;&gt;"",EDATE($D57,Milestones!$AA$151)&gt;=$T57),$W57,IF(AND($S57&lt;&gt;"",EDATE($D57,Milestones!$AA$151)&gt;=$S57),$V57,$U57)))=Milestones!$AB$151),UPPER(TEXT(EDATE($D57,Milestones!$AA$151),"dd mmm yy"))&amp;" "&amp;Milestones!$AB$151&amp;" "&amp;Milestones!$AC$151&amp;";  ","")&amp;IF(AND(EDATE($D57,Milestones!$AA$152)&lt;=AsOfDate,IF($R57=0,$X57,IF(AND($T57&lt;&gt;"",EDATE($D57,Milestones!$AA$152)&gt;=$T57),$W57,IF(AND($S57&lt;&gt;"",EDATE($D57,Milestones!$AA$152)&gt;=$S57),$V57,$U57)))=Milestones!$AB$152),UPPER(TEXT(EDATE($D57,Milestones!$AA$152),"dd mmm yy"))&amp;" "&amp;Milestones!$AB$152&amp;" "&amp;Milestones!$AC$152&amp;";  ","")&amp;IF(AND(EDATE($D57,Milestones!$AA$153)&lt;=AsOfDate,IF($R57=0,$X57,IF(AND($T57&lt;&gt;"",EDATE($D57,Milestones!$AA$153)&gt;=$T57),$W57,IF(AND($S57&lt;&gt;"",EDATE($D57,Milestones!$AA$153)&gt;=$S57),$V57,$U57)))=Milestones!$AB$153),UPPER(TEXT(EDATE($D57,Milestones!$AA$153),"dd mmm yy"))&amp;" "&amp;Milestones!$AB$153&amp;" "&amp;Milestones!$AC$153&amp;";  ","")&amp;IF(AND(EDATE($D57,Milestones!$AA$154)&lt;=AsOfDate,IF($R57=0,$X57,IF(AND($T57&lt;&gt;"",EDATE($D57,Milestones!$AA$154)&gt;=$T57),$W57,IF(AND($S57&lt;&gt;"",EDATE($D57,Milestones!$AA$154)&gt;=$S57),$V57,$U57)))=Milestones!$AB$154),UPPER(TEXT(EDATE($D57,Milestones!$AA$154),"dd mmm yy"))&amp;" "&amp;Milestones!$AB$154&amp;" "&amp;Milestones!$AC$154&amp;";  ","")&amp;IF(AND(EDATE($D57,Milestones!$AA$155)&lt;=AsOfDate,IF($R57=0,$X57,IF(AND($T57&lt;&gt;"",EDATE($D57,Milestones!$AA$155)&gt;=$T57),$W57,IF(AND($S57&lt;&gt;"",EDATE($D57,Milestones!$AA$155)&gt;=$S57),$V57,$U57)))=Milestones!$AB$155),UPPER(TEXT(EDATE($D57,Milestones!$AA$155),"dd mmm yy"))&amp;" "&amp;Milestones!$AB$155&amp;" "&amp;Milestones!$AC$155&amp;";  ","")&amp;IF(AND(EDATE($D57,Milestones!$AA$156)&lt;=AsOfDate,IF($R57=0,$X57,IF(AND($T57&lt;&gt;"",EDATE($D57,Milestones!$AA$156)&gt;=$T57),$W57,IF(AND($S57&lt;&gt;"",EDATE($D57,Milestones!$AA$156)&gt;=$S57),$V57,$U57)))=Milestones!$AB$156),UPPER(TEXT(EDATE($D57,Milestones!$AA$156),"dd mmm yy"))&amp;" "&amp;Milestones!$AB$156&amp;" "&amp;Milestones!$AC$156&amp;";  ","")&amp;IF(AND(EDATE($D57,Milestones!$AA$157)&lt;=AsOfDate,IF($R57=0,$X57,IF(AND($T57&lt;&gt;"",EDATE($D57,Milestones!$AA$157)&gt;=$T57),$W57,IF(AND($S57&lt;&gt;"",EDATE($D57,Milestones!$AA$157)&gt;=$S57),$V57,$U57)))=Milestones!$AB$157),UPPER(TEXT(EDATE($D57,Milestones!$AA$157),"dd mmm yy"))&amp;" "&amp;Milestones!$AB$157&amp;" "&amp;Milestones!$AC$157&amp;";  ","")&amp;IF(AND(EDATE($D57,Milestones!$AA$158)&lt;=AsOfDate,IF($R57=0,$X57,IF(AND($T57&lt;&gt;"",EDATE($D57,Milestones!$AA$158)&gt;=$T57),$W57,IF(AND($S57&lt;&gt;"",EDATE($D57,Milestones!$AA$158)&gt;=$S57),$V57,$U57)))=Milestones!$AB$158),UPPER(TEXT(EDATE($D57,Milestones!$AA$158),"dd mmm yy"))&amp;" "&amp;Milestones!$AB$158&amp;" "&amp;Milestones!$AC$158&amp;";  ","")&amp;IF(AND(EDATE($D57,Milestones!$AA$159)&lt;=AsOfDate,IF($R57=0,$X57,IF(AND($T57&lt;&gt;"",EDATE($D57,Milestones!$AA$159)&gt;=$T57),$W57,IF(AND($S57&lt;&gt;"",EDATE($D57,Milestones!$AA$159)&gt;=$S57),$V57,$U57)))=Milestones!$AB$159),UPPER(TEXT(EDATE($D57,Milestones!$AA$159),"dd mmm yy"))&amp;" "&amp;Milestones!$AB$159&amp;" "&amp;Milestones!$AC$159&amp;";  ",""))</f>
        <v/>
      </c>
      <c r="P57" s="0" t="str">
        <f aca="false">IF(OR($A57="",$D57=""),"",IF(AND(EDATE($D57,Milestones!$AA$160)&lt;=AsOfDate,IF($R57=0,$X57,IF(AND($T57&lt;&gt;"",EDATE($D57,Milestones!$AA$160)&gt;=$T57),$W57,IF(AND($S57&lt;&gt;"",EDATE($D57,Milestones!$AA$160)&gt;=$S57),$V57,$U57)))=Milestones!$AB$160),UPPER(TEXT(EDATE($D57,Milestones!$AA$160),"dd mmm yy"))&amp;" "&amp;Milestones!$AB$160&amp;" "&amp;Milestones!$AC$160&amp;";  ","")&amp;IF(AND(EDATE($D57,Milestones!$AA$161)&lt;=AsOfDate,IF($R57=0,$X57,IF(AND($T57&lt;&gt;"",EDATE($D57,Milestones!$AA$161)&gt;=$T57),$W57,IF(AND($S57&lt;&gt;"",EDATE($D57,Milestones!$AA$161)&gt;=$S57),$V57,$U57)))=Milestones!$AB$161),UPPER(TEXT(EDATE($D57,Milestones!$AA$161),"dd mmm yy"))&amp;" "&amp;Milestones!$AB$161&amp;" "&amp;Milestones!$AC$161&amp;";  ","")&amp;IF(AND(EDATE($D57,Milestones!$AA$162)&lt;=AsOfDate,IF($R57=0,$X57,IF(AND($T57&lt;&gt;"",EDATE($D57,Milestones!$AA$162)&gt;=$T57),$W57,IF(AND($S57&lt;&gt;"",EDATE($D57,Milestones!$AA$162)&gt;=$S57),$V57,$U57)))=Milestones!$AB$162),UPPER(TEXT(EDATE($D57,Milestones!$AA$162),"dd mmm yy"))&amp;" "&amp;Milestones!$AB$162&amp;" "&amp;Milestones!$AC$162&amp;";  ","")&amp;IF(AND(EDATE($D57,Milestones!$AA$163)&lt;=AsOfDate,IF($R57=0,$X57,IF(AND($T57&lt;&gt;"",EDATE($D57,Milestones!$AA$163)&gt;=$T57),$W57,IF(AND($S57&lt;&gt;"",EDATE($D57,Milestones!$AA$163)&gt;=$S57),$V57,$U57)))=Milestones!$AB$163),UPPER(TEXT(EDATE($D57,Milestones!$AA$163),"dd mmm yy"))&amp;" "&amp;Milestones!$AB$163&amp;" "&amp;Milestones!$AC$163&amp;";  ","")&amp;IF(AND(EDATE($D57,Milestones!$AA$164)&lt;=AsOfDate,IF($R57=0,$X57,IF(AND($T57&lt;&gt;"",EDATE($D57,Milestones!$AA$164)&gt;=$T57),$W57,IF(AND($S57&lt;&gt;"",EDATE($D57,Milestones!$AA$164)&gt;=$S57),$V57,$U57)))=Milestones!$AB$164),UPPER(TEXT(EDATE($D57,Milestones!$AA$164),"dd mmm yy"))&amp;" "&amp;Milestones!$AB$164&amp;" "&amp;Milestones!$AC$164&amp;";  ","")&amp;IF(AND(EDATE($D57,Milestones!$AA$165)&lt;=AsOfDate,IF($R57=0,$X57,IF(AND($T57&lt;&gt;"",EDATE($D57,Milestones!$AA$165)&gt;=$T57),$W57,IF(AND($S57&lt;&gt;"",EDATE($D57,Milestones!$AA$165)&gt;=$S57),$V57,$U57)))=Milestones!$AB$165),UPPER(TEXT(EDATE($D57,Milestones!$AA$165),"dd mmm yy"))&amp;" "&amp;Milestones!$AB$165&amp;" "&amp;Milestones!$AC$165&amp;";  ","")&amp;IF(AND(EDATE($D57,Milestones!$AA$166)&lt;=AsOfDate,IF($R57=0,$X57,IF(AND($T57&lt;&gt;"",EDATE($D57,Milestones!$AA$166)&gt;=$T57),$W57,IF(AND($S57&lt;&gt;"",EDATE($D57,Milestones!$AA$166)&gt;=$S57),$V57,$U57)))=Milestones!$AB$166),UPPER(TEXT(EDATE($D57,Milestones!$AA$166),"dd mmm yy"))&amp;" "&amp;Milestones!$AB$166&amp;" "&amp;Milestones!$AC$166&amp;";  ","")&amp;IF(AND(EDATE($D57,Milestones!$AA$167)&lt;=AsOfDate,IF($R57=0,$X57,IF(AND($T57&lt;&gt;"",EDATE($D57,Milestones!$AA$167)&gt;=$T57),$W57,IF(AND($S57&lt;&gt;"",EDATE($D57,Milestones!$AA$167)&gt;=$S57),$V57,$U57)))=Milestones!$AB$167),UPPER(TEXT(EDATE($D57,Milestones!$AA$167),"dd mmm yy"))&amp;" "&amp;Milestones!$AB$167&amp;" "&amp;Milestones!$AC$167&amp;";  ","")&amp;IF(AND(EDATE($D57,Milestones!$AA$168)&lt;=AsOfDate,IF($R57=0,$X57,IF(AND($T57&lt;&gt;"",EDATE($D57,Milestones!$AA$168)&gt;=$T57),$W57,IF(AND($S57&lt;&gt;"",EDATE($D57,Milestones!$AA$168)&gt;=$S57),$V57,$U57)))=Milestones!$AB$168),UPPER(TEXT(EDATE($D57,Milestones!$AA$168),"dd mmm yy"))&amp;" "&amp;Milestones!$AB$168&amp;" "&amp;Milestones!$AC$168&amp;";  ","")&amp;IF(AND(EDATE($D57,Milestones!$AA$169)&lt;=AsOfDate,IF($R57=0,$X57,IF(AND($T57&lt;&gt;"",EDATE($D57,Milestones!$AA$169)&gt;=$T57),$W57,IF(AND($S57&lt;&gt;"",EDATE($D57,Milestones!$AA$169)&gt;=$S57),$V57,$U57)))=Milestones!$AB$169),UPPER(TEXT(EDATE($D57,Milestones!$AA$169),"dd mmm yy"))&amp;" "&amp;Milestones!$AB$169&amp;" "&amp;Milestones!$AC$169&amp;";  ","")&amp;IF(AND(EDATE($D57,Milestones!$AA$170)&lt;=AsOfDate,IF($R57=0,$X57,IF(AND($T57&lt;&gt;"",EDATE($D57,Milestones!$AA$170)&gt;=$T57),$W57,IF(AND($S57&lt;&gt;"",EDATE($D57,Milestones!$AA$170)&gt;=$S57),$V57,$U57)))=Milestones!$AB$170),UPPER(TEXT(EDATE($D57,Milestones!$AA$170),"dd mmm yy"))&amp;" "&amp;Milestones!$AB$170&amp;" "&amp;Milestones!$AC$170&amp;";  ","")&amp;IF(AND(EDATE($D57,Milestones!$AA$171)&lt;=AsOfDate,IF($R57=0,$X57,IF(AND($T57&lt;&gt;"",EDATE($D57,Milestones!$AA$171)&gt;=$T57),$W57,IF(AND($S57&lt;&gt;"",EDATE($D57,Milestones!$AA$171)&gt;=$S57),$V57,$U57)))=Milestones!$AB$171),UPPER(TEXT(EDATE($D57,Milestones!$AA$171),"dd mmm yy"))&amp;" "&amp;Milestones!$AB$171&amp;" "&amp;Milestones!$AC$171&amp;";  ","")&amp;IF(AND(EDATE($D57,Milestones!$AA$172)&lt;=AsOfDate,IF($R57=0,$X57,IF(AND($T57&lt;&gt;"",EDATE($D57,Milestones!$AA$172)&gt;=$T57),$W57,IF(AND($S57&lt;&gt;"",EDATE($D57,Milestones!$AA$172)&gt;=$S57),$V57,$U57)))=Milestones!$AB$172),UPPER(TEXT(EDATE($D57,Milestones!$AA$172),"dd mmm yy"))&amp;" "&amp;Milestones!$AB$172&amp;" "&amp;Milestones!$AC$172&amp;";  ","")&amp;IF(AND(EDATE($D57,Milestones!$AA$173)&lt;=AsOfDate,IF($R57=0,$X57,IF(AND($T57&lt;&gt;"",EDATE($D57,Milestones!$AA$173)&gt;=$T57),$W57,IF(AND($S57&lt;&gt;"",EDATE($D57,Milestones!$AA$173)&gt;=$S57),$V57,$U57)))=Milestones!$AB$173),UPPER(TEXT(EDATE($D57,Milestones!$AA$173),"dd mmm yy"))&amp;" "&amp;Milestones!$AB$173&amp;" "&amp;Milestones!$AC$173&amp;";  ","")&amp;IF(AND(EDATE($D57,Milestones!$AA$174)&lt;=AsOfDate,IF($R57=0,$X57,IF(AND($T57&lt;&gt;"",EDATE($D57,Milestones!$AA$174)&gt;=$T57),$W57,IF(AND($S57&lt;&gt;"",EDATE($D57,Milestones!$AA$174)&gt;=$S57),$V57,$U57)))=Milestones!$AB$174),UPPER(TEXT(EDATE($D57,Milestones!$AA$174),"dd mmm yy"))&amp;" "&amp;Milestones!$AB$174&amp;" "&amp;Milestones!$AC$174&amp;";  ","")&amp;IF(AND(EDATE($D57,Milestones!$AA$175)&lt;=AsOfDate,IF($R57=0,$X57,IF(AND($T57&lt;&gt;"",EDATE($D57,Milestones!$AA$175)&gt;=$T57),$W57,IF(AND($S57&lt;&gt;"",EDATE($D57,Milestones!$AA$175)&gt;=$S57),$V57,$U57)))=Milestones!$AB$175),UPPER(TEXT(EDATE($D57,Milestones!$AA$175),"dd mmm yy"))&amp;" "&amp;Milestones!$AB$175&amp;" "&amp;Milestones!$AC$175&amp;";  ","")&amp;IF(AND(EDATE($D57,Milestones!$AA$176)&lt;=AsOfDate,IF($R57=0,$X57,IF(AND($T57&lt;&gt;"",EDATE($D57,Milestones!$AA$176)&gt;=$T57),$W57,IF(AND($S57&lt;&gt;"",EDATE($D57,Milestones!$AA$176)&gt;=$S57),$V57,$U57)))=Milestones!$AB$176),UPPER(TEXT(EDATE($D57,Milestones!$AA$176),"dd mmm yy"))&amp;" "&amp;Milestones!$AB$176&amp;" "&amp;Milestones!$AC$176&amp;";  ","")&amp;IF(AND(EDATE($D57,Milestones!$AA$177)&lt;=AsOfDate,IF($R57=0,$X57,IF(AND($T57&lt;&gt;"",EDATE($D57,Milestones!$AA$177)&gt;=$T57),$W57,IF(AND($S57&lt;&gt;"",EDATE($D57,Milestones!$AA$177)&gt;=$S57),$V57,$U57)))=Milestones!$AB$177),UPPER(TEXT(EDATE($D57,Milestones!$AA$177),"dd mmm yy"))&amp;" "&amp;Milestones!$AB$177&amp;" "&amp;Milestones!$AC$177&amp;";  ","")&amp;IF(AND(EDATE($D57,Milestones!$AA$178)&lt;=AsOfDate,IF($R57=0,$X57,IF(AND($T57&lt;&gt;"",EDATE($D57,Milestones!$AA$178)&gt;=$T57),$W57,IF(AND($S57&lt;&gt;"",EDATE($D57,Milestones!$AA$178)&gt;=$S57),$V57,$U57)))=Milestones!$AB$178),UPPER(TEXT(EDATE($D57,Milestones!$AA$178),"dd mmm yy"))&amp;" "&amp;Milestones!$AB$178&amp;" "&amp;Milestones!$AC$178&amp;";  ","")&amp;IF(AND(EDATE($D57,Milestones!$AA$179)&lt;=AsOfDate,IF($R57=0,$X57,IF(AND($T57&lt;&gt;"",EDATE($D57,Milestones!$AA$179)&gt;=$T57),$W57,IF(AND($S57&lt;&gt;"",EDATE($D57,Milestones!$AA$179)&gt;=$S57),$V57,$U57)))=Milestones!$AB$179),UPPER(TEXT(EDATE($D57,Milestones!$AA$179),"dd mmm yy"))&amp;" "&amp;Milestones!$AB$179&amp;" "&amp;Milestones!$AC$179&amp;";  ",""))</f>
        <v/>
      </c>
      <c r="Q57" s="0" t="str">
        <f aca="false">IF(OR($A57="",$D57=""),"",IF(AND(EDATE($D57,Milestones!$AA$180)&lt;=AsOfDate,IF($R57=0,$X57,IF(AND($T57&lt;&gt;"",EDATE($D57,Milestones!$AA$180)&gt;=$T57),$W57,IF(AND($S57&lt;&gt;"",EDATE($D57,Milestones!$AA$180)&gt;=$S57),$V57,$U57)))=Milestones!$AB$180),UPPER(TEXT(EDATE($D57,Milestones!$AA$180),"dd mmm yy"))&amp;" "&amp;Milestones!$AB$180&amp;" "&amp;Milestones!$AC$180&amp;";  ","")&amp;IF(AND(EDATE($D57,Milestones!$AA$181)&lt;=AsOfDate,IF($R57=0,$X57,IF(AND($T57&lt;&gt;"",EDATE($D57,Milestones!$AA$181)&gt;=$T57),$W57,IF(AND($S57&lt;&gt;"",EDATE($D57,Milestones!$AA$181)&gt;=$S57),$V57,$U57)))=Milestones!$AB$181),UPPER(TEXT(EDATE($D57,Milestones!$AA$181),"dd mmm yy"))&amp;" "&amp;Milestones!$AB$181&amp;" "&amp;Milestones!$AC$181&amp;";  ","")&amp;IF(AND(EDATE($D57,Milestones!$AA$182)&lt;=AsOfDate,IF($R57=0,$X57,IF(AND($T57&lt;&gt;"",EDATE($D57,Milestones!$AA$182)&gt;=$T57),$W57,IF(AND($S57&lt;&gt;"",EDATE($D57,Milestones!$AA$182)&gt;=$S57),$V57,$U57)))=Milestones!$AB$182),UPPER(TEXT(EDATE($D57,Milestones!$AA$182),"dd mmm yy"))&amp;" "&amp;Milestones!$AB$182&amp;" "&amp;Milestones!$AC$182&amp;";  ","")&amp;IF(AND(EDATE($D57,Milestones!$AA$183)&lt;=AsOfDate,IF($R57=0,$X57,IF(AND($T57&lt;&gt;"",EDATE($D57,Milestones!$AA$183)&gt;=$T57),$W57,IF(AND($S57&lt;&gt;"",EDATE($D57,Milestones!$AA$183)&gt;=$S57),$V57,$U57)))=Milestones!$AB$183),UPPER(TEXT(EDATE($D57,Milestones!$AA$183),"dd mmm yy"))&amp;" "&amp;Milestones!$AB$183&amp;" "&amp;Milestones!$AC$183&amp;";  ","")&amp;IF(AND(EDATE($D57,Milestones!$AA$184)&lt;=AsOfDate,IF($R57=0,$X57,IF(AND($T57&lt;&gt;"",EDATE($D57,Milestones!$AA$184)&gt;=$T57),$W57,IF(AND($S57&lt;&gt;"",EDATE($D57,Milestones!$AA$184)&gt;=$S57),$V57,$U57)))=Milestones!$AB$184),UPPER(TEXT(EDATE($D57,Milestones!$AA$184),"dd mmm yy"))&amp;" "&amp;Milestones!$AB$184&amp;" "&amp;Milestones!$AC$184&amp;";  ","")&amp;IF(AND(EDATE($D57,Milestones!$AA$185)&lt;=AsOfDate,IF($R57=0,$X57,IF(AND($T57&lt;&gt;"",EDATE($D57,Milestones!$AA$185)&gt;=$T57),$W57,IF(AND($S57&lt;&gt;"",EDATE($D57,Milestones!$AA$185)&gt;=$S57),$V57,$U57)))=Milestones!$AB$185),UPPER(TEXT(EDATE($D57,Milestones!$AA$185),"dd mmm yy"))&amp;" "&amp;Milestones!$AB$185&amp;" "&amp;Milestones!$AC$185&amp;";  ","")&amp;IF(AND(EDATE($D57,Milestones!$AA$186)&lt;=AsOfDate,IF($R57=0,$X57,IF(AND($T57&lt;&gt;"",EDATE($D57,Milestones!$AA$186)&gt;=$T57),$W57,IF(AND($S57&lt;&gt;"",EDATE($D57,Milestones!$AA$186)&gt;=$S57),$V57,$U57)))=Milestones!$AB$186),UPPER(TEXT(EDATE($D57,Milestones!$AA$186),"dd mmm yy"))&amp;" "&amp;Milestones!$AB$186&amp;" "&amp;Milestones!$AC$186&amp;";  ","")&amp;IF(AND(EDATE($D57,Milestones!$AA$187)&lt;=AsOfDate,IF($R57=0,$X57,IF(AND($T57&lt;&gt;"",EDATE($D57,Milestones!$AA$187)&gt;=$T57),$W57,IF(AND($S57&lt;&gt;"",EDATE($D57,Milestones!$AA$187)&gt;=$S57),$V57,$U57)))=Milestones!$AB$187),UPPER(TEXT(EDATE($D57,Milestones!$AA$187),"dd mmm yy"))&amp;" "&amp;Milestones!$AB$187&amp;" "&amp;Milestones!$AC$187&amp;";  ","")&amp;IF(AND(EDATE($D57,Milestones!$AA$188)&lt;=AsOfDate,IF($R57=0,$X57,IF(AND($T57&lt;&gt;"",EDATE($D57,Milestones!$AA$188)&gt;=$T57),$W57,IF(AND($S57&lt;&gt;"",EDATE($D57,Milestones!$AA$188)&gt;=$S57),$V57,$U57)))=Milestones!$AB$188),UPPER(TEXT(EDATE($D57,Milestones!$AA$188),"dd mmm yy"))&amp;" "&amp;Milestones!$AB$188&amp;" "&amp;Milestones!$AC$188&amp;";  ","")&amp;IF(AND(EDATE($D57,Milestones!$AA$189)&lt;=AsOfDate,IF($R57=0,$X57,IF(AND($T57&lt;&gt;"",EDATE($D57,Milestones!$AA$189)&gt;=$T57),$W57,IF(AND($S57&lt;&gt;"",EDATE($D57,Milestones!$AA$189)&gt;=$S57),$V57,$U57)))=Milestones!$AB$189),UPPER(TEXT(EDATE($D57,Milestones!$AA$189),"dd mmm yy"))&amp;" "&amp;Milestones!$AB$189&amp;" "&amp;Milestones!$AC$189&amp;";  ","")&amp;IF(AND(EDATE($D57,Milestones!$AA$190)&lt;=AsOfDate,IF($R57=0,$X57,IF(AND($T57&lt;&gt;"",EDATE($D57,Milestones!$AA$190)&gt;=$T57),$W57,IF(AND($S57&lt;&gt;"",EDATE($D57,Milestones!$AA$190)&gt;=$S57),$V57,$U57)))=Milestones!$AB$190),UPPER(TEXT(EDATE($D57,Milestones!$AA$190),"dd mmm yy"))&amp;" "&amp;Milestones!$AB$190&amp;" "&amp;Milestones!$AC$190&amp;";  ","")&amp;IF(AND(EDATE($D57,Milestones!$AA$191)&lt;=AsOfDate,IF($R57=0,$X57,IF(AND($T57&lt;&gt;"",EDATE($D57,Milestones!$AA$191)&gt;=$T57),$W57,IF(AND($S57&lt;&gt;"",EDATE($D57,Milestones!$AA$191)&gt;=$S57),$V57,$U57)))=Milestones!$AB$191),UPPER(TEXT(EDATE($D57,Milestones!$AA$191),"dd mmm yy"))&amp;" "&amp;Milestones!$AB$191&amp;" "&amp;Milestones!$AC$191&amp;";  ","")&amp;IF(AND(EDATE($D57,Milestones!$AA$192)&lt;=AsOfDate,IF($R57=0,$X57,IF(AND($T57&lt;&gt;"",EDATE($D57,Milestones!$AA$192)&gt;=$T57),$W57,IF(AND($S57&lt;&gt;"",EDATE($D57,Milestones!$AA$192)&gt;=$S57),$V57,$U57)))=Milestones!$AB$192),UPPER(TEXT(EDATE($D57,Milestones!$AA$192),"dd mmm yy"))&amp;" "&amp;Milestones!$AB$192&amp;" "&amp;Milestones!$AC$192&amp;";  ","")&amp;IF(AND(EDATE($D57,Milestones!$AA$193)&lt;=AsOfDate,IF($R57=0,$X57,IF(AND($T57&lt;&gt;"",EDATE($D57,Milestones!$AA$193)&gt;=$T57),$W57,IF(AND($S57&lt;&gt;"",EDATE($D57,Milestones!$AA$193)&gt;=$S57),$V57,$U57)))=Milestones!$AB$193),UPPER(TEXT(EDATE($D57,Milestones!$AA$193),"dd mmm yy"))&amp;" "&amp;Milestones!$AB$193&amp;" "&amp;Milestones!$AC$193&amp;";  ","")&amp;IF(AND(EDATE($D57,Milestones!$AA$194)&lt;=AsOfDate,IF($R57=0,$X57,IF(AND($T57&lt;&gt;"",EDATE($D57,Milestones!$AA$194)&gt;=$T57),$W57,IF(AND($S57&lt;&gt;"",EDATE($D57,Milestones!$AA$194)&gt;=$S57),$V57,$U57)))=Milestones!$AB$194),UPPER(TEXT(EDATE($D57,Milestones!$AA$194),"dd mmm yy"))&amp;" "&amp;Milestones!$AB$194&amp;" "&amp;Milestones!$AC$194&amp;";  ","")&amp;IF(AND(EDATE($D57,Milestones!$AA$195)&lt;=AsOfDate,IF($R57=0,$X57,IF(AND($T57&lt;&gt;"",EDATE($D57,Milestones!$AA$195)&gt;=$T57),$W57,IF(AND($S57&lt;&gt;"",EDATE($D57,Milestones!$AA$195)&gt;=$S57),$V57,$U57)))=Milestones!$AB$195),UPPER(TEXT(EDATE($D57,Milestones!$AA$195),"dd mmm yy"))&amp;" "&amp;Milestones!$AB$195&amp;" "&amp;Milestones!$AC$195&amp;";  ","")&amp;IF(AND(EDATE($D57,Milestones!$AA$196)&lt;=AsOfDate,IF($R57=0,$X57,IF(AND($T57&lt;&gt;"",EDATE($D57,Milestones!$AA$196)&gt;=$T57),$W57,IF(AND($S57&lt;&gt;"",EDATE($D57,Milestones!$AA$196)&gt;=$S57),$V57,$U57)))=Milestones!$AB$196),UPPER(TEXT(EDATE($D57,Milestones!$AA$196),"dd mmm yy"))&amp;" "&amp;Milestones!$AB$196&amp;" "&amp;Milestones!$AC$196&amp;";  ","")&amp;IF(AND(EDATE($D57,Milestones!$AA$197)&lt;=AsOfDate,IF($R57=0,$X57,IF(AND($T57&lt;&gt;"",EDATE($D57,Milestones!$AA$197)&gt;=$T57),$W57,IF(AND($S57&lt;&gt;"",EDATE($D57,Milestones!$AA$197)&gt;=$S57),$V57,$U57)))=Milestones!$AB$197),UPPER(TEXT(EDATE($D57,Milestones!$AA$197),"dd mmm yy"))&amp;" "&amp;Milestones!$AB$197&amp;" "&amp;Milestones!$AC$197&amp;";  ","")&amp;IF(AND(EDATE($D57,Milestones!$AA$198)&lt;=AsOfDate,IF($R57=0,$X57,IF(AND($T57&lt;&gt;"",EDATE($D57,Milestones!$AA$198)&gt;=$T57),$W57,IF(AND($S57&lt;&gt;"",EDATE($D57,Milestones!$AA$198)&gt;=$S57),$V57,$U57)))=Milestones!$AB$198),UPPER(TEXT(EDATE($D57,Milestones!$AA$198),"dd mmm yy"))&amp;" "&amp;Milestones!$AB$198&amp;" "&amp;Milestones!$AC$198&amp;";  ","")&amp;IF(AND(EDATE($D57,Milestones!$AA$199)&lt;=AsOfDate,IF($R57=0,$X57,IF(AND($T57&lt;&gt;"",EDATE($D57,Milestones!$AA$199)&gt;=$T57),$W57,IF(AND($S57&lt;&gt;"",EDATE($D57,Milestones!$AA$199)&gt;=$S57),$V57,$U57)))=Milestones!$AB$199),UPPER(TEXT(EDATE($D57,Milestones!$AA$199),"dd mmm yy"))&amp;" "&amp;Milestones!$AB$199&amp;" "&amp;Milestones!$AC$199&amp;";  ",""))</f>
        <v/>
      </c>
      <c r="R57" s="0" t="str">
        <f aca="false">IF(Staff!$A57="","",Staff!$AI57)</f>
        <v/>
      </c>
      <c r="S57" s="0" t="str">
        <f aca="false">IF(Staff!$A57="","",Staff!$AK57)</f>
        <v/>
      </c>
      <c r="T57" s="0" t="str">
        <f aca="false">IF(Staff!$A57="","",Staff!$AL57)</f>
        <v/>
      </c>
      <c r="U57" s="0" t="str">
        <f aca="false">IF(Staff!$A57="","",Staff!$AP57)</f>
        <v/>
      </c>
      <c r="V57" s="0" t="str">
        <f aca="false">IF(Staff!$A57="","",Staff!$AQ57)</f>
        <v/>
      </c>
      <c r="W57" s="0" t="str">
        <f aca="false">IF(Staff!$A57="","",Staff!$AR57)</f>
        <v/>
      </c>
      <c r="X57" s="0" t="str">
        <f aca="false">IF(Staff!$A57="","",Staff!$AS57)</f>
        <v/>
      </c>
    </row>
    <row r="58" customFormat="false" ht="15" hidden="false" customHeight="false" outlineLevel="0" collapsed="false">
      <c r="A58" s="14" t="str">
        <f aca="false">IF(Staff!$A58="","",Staff!$A58)</f>
        <v/>
      </c>
      <c r="B58" s="14" t="str">
        <f aca="false">IF(Staff!$A58="","",Staff!$B58)</f>
        <v/>
      </c>
      <c r="C58" s="14" t="str">
        <f aca="false">IF(Staff!$A58="","",Staff!$C58)</f>
        <v/>
      </c>
      <c r="D58" s="12" t="str">
        <f aca="false">IF(Staff!$A58="","",Staff!$AH58)</f>
        <v/>
      </c>
      <c r="E58" s="14" t="str">
        <f aca="false">IF(Staff!$A58="","",Staff!$O58)</f>
        <v/>
      </c>
      <c r="F58" s="14" t="str">
        <f aca="false">IF(E58="","",E58*HoursPerDay)</f>
        <v/>
      </c>
      <c r="G58" s="14" t="str">
        <f aca="false">IF(Staff!$A58="","",Staff!$AE58)</f>
        <v/>
      </c>
      <c r="H58" s="26" t="str">
        <f aca="false">IF($A58="","",I58&amp;J58&amp;K58&amp;L58&amp;M58&amp;N58&amp;O58&amp;P58&amp;Q58)</f>
        <v/>
      </c>
      <c r="I58" s="0" t="str">
        <f aca="false">IF(OR($A58="",$D58=""),"",IF(AND(EDATE($D58,Milestones!$AA$20)&lt;=AsOfDate,IF($R58=0,$X58,IF(AND($T58&lt;&gt;"",EDATE($D58,Milestones!$AA$20)&gt;=$T58),$W58,IF(AND($S58&lt;&gt;"",EDATE($D58,Milestones!$AA$20)&gt;=$S58),$V58,$U58)))=Milestones!$AB$20),UPPER(TEXT(EDATE($D58,Milestones!$AA$20),"dd mmm yy"))&amp;" "&amp;Milestones!$AB$20&amp;" "&amp;Milestones!$AC$20&amp;";  ","")&amp;IF(AND(EDATE($D58,Milestones!$AA$21)&lt;=AsOfDate,IF($R58=0,$X58,IF(AND($T58&lt;&gt;"",EDATE($D58,Milestones!$AA$21)&gt;=$T58),$W58,IF(AND($S58&lt;&gt;"",EDATE($D58,Milestones!$AA$21)&gt;=$S58),$V58,$U58)))=Milestones!$AB$21),UPPER(TEXT(EDATE($D58,Milestones!$AA$21),"dd mmm yy"))&amp;" "&amp;Milestones!$AB$21&amp;" "&amp;Milestones!$AC$21&amp;";  ","")&amp;IF(AND(EDATE($D58,Milestones!$AA$22)&lt;=AsOfDate,IF($R58=0,$X58,IF(AND($T58&lt;&gt;"",EDATE($D58,Milestones!$AA$22)&gt;=$T58),$W58,IF(AND($S58&lt;&gt;"",EDATE($D58,Milestones!$AA$22)&gt;=$S58),$V58,$U58)))=Milestones!$AB$22),UPPER(TEXT(EDATE($D58,Milestones!$AA$22),"dd mmm yy"))&amp;" "&amp;Milestones!$AB$22&amp;" "&amp;Milestones!$AC$22&amp;";  ","")&amp;IF(AND(EDATE($D58,Milestones!$AA$23)&lt;=AsOfDate,IF($R58=0,$X58,IF(AND($T58&lt;&gt;"",EDATE($D58,Milestones!$AA$23)&gt;=$T58),$W58,IF(AND($S58&lt;&gt;"",EDATE($D58,Milestones!$AA$23)&gt;=$S58),$V58,$U58)))=Milestones!$AB$23),UPPER(TEXT(EDATE($D58,Milestones!$AA$23),"dd mmm yy"))&amp;" "&amp;Milestones!$AB$23&amp;" "&amp;Milestones!$AC$23&amp;";  ","")&amp;IF(AND(EDATE($D58,Milestones!$AA$24)&lt;=AsOfDate,IF($R58=0,$X58,IF(AND($T58&lt;&gt;"",EDATE($D58,Milestones!$AA$24)&gt;=$T58),$W58,IF(AND($S58&lt;&gt;"",EDATE($D58,Milestones!$AA$24)&gt;=$S58),$V58,$U58)))=Milestones!$AB$24),UPPER(TEXT(EDATE($D58,Milestones!$AA$24),"dd mmm yy"))&amp;" "&amp;Milestones!$AB$24&amp;" "&amp;Milestones!$AC$24&amp;";  ","")&amp;IF(AND(EDATE($D58,Milestones!$AA$25)&lt;=AsOfDate,IF($R58=0,$X58,IF(AND($T58&lt;&gt;"",EDATE($D58,Milestones!$AA$25)&gt;=$T58),$W58,IF(AND($S58&lt;&gt;"",EDATE($D58,Milestones!$AA$25)&gt;=$S58),$V58,$U58)))=Milestones!$AB$25),UPPER(TEXT(EDATE($D58,Milestones!$AA$25),"dd mmm yy"))&amp;" "&amp;Milestones!$AB$25&amp;" "&amp;Milestones!$AC$25&amp;";  ","")&amp;IF(AND(EDATE($D58,Milestones!$AA$26)&lt;=AsOfDate,IF($R58=0,$X58,IF(AND($T58&lt;&gt;"",EDATE($D58,Milestones!$AA$26)&gt;=$T58),$W58,IF(AND($S58&lt;&gt;"",EDATE($D58,Milestones!$AA$26)&gt;=$S58),$V58,$U58)))=Milestones!$AB$26),UPPER(TEXT(EDATE($D58,Milestones!$AA$26),"dd mmm yy"))&amp;" "&amp;Milestones!$AB$26&amp;" "&amp;Milestones!$AC$26&amp;";  ","")&amp;IF(AND(EDATE($D58,Milestones!$AA$27)&lt;=AsOfDate,IF($R58=0,$X58,IF(AND($T58&lt;&gt;"",EDATE($D58,Milestones!$AA$27)&gt;=$T58),$W58,IF(AND($S58&lt;&gt;"",EDATE($D58,Milestones!$AA$27)&gt;=$S58),$V58,$U58)))=Milestones!$AB$27),UPPER(TEXT(EDATE($D58,Milestones!$AA$27),"dd mmm yy"))&amp;" "&amp;Milestones!$AB$27&amp;" "&amp;Milestones!$AC$27&amp;";  ","")&amp;IF(AND(EDATE($D58,Milestones!$AA$28)&lt;=AsOfDate,IF($R58=0,$X58,IF(AND($T58&lt;&gt;"",EDATE($D58,Milestones!$AA$28)&gt;=$T58),$W58,IF(AND($S58&lt;&gt;"",EDATE($D58,Milestones!$AA$28)&gt;=$S58),$V58,$U58)))=Milestones!$AB$28),UPPER(TEXT(EDATE($D58,Milestones!$AA$28),"dd mmm yy"))&amp;" "&amp;Milestones!$AB$28&amp;" "&amp;Milestones!$AC$28&amp;";  ","")&amp;IF(AND(EDATE($D58,Milestones!$AA$29)&lt;=AsOfDate,IF($R58=0,$X58,IF(AND($T58&lt;&gt;"",EDATE($D58,Milestones!$AA$29)&gt;=$T58),$W58,IF(AND($S58&lt;&gt;"",EDATE($D58,Milestones!$AA$29)&gt;=$S58),$V58,$U58)))=Milestones!$AB$29),UPPER(TEXT(EDATE($D58,Milestones!$AA$29),"dd mmm yy"))&amp;" "&amp;Milestones!$AB$29&amp;" "&amp;Milestones!$AC$29&amp;";  ","")&amp;IF(AND(EDATE($D58,Milestones!$AA$30)&lt;=AsOfDate,IF($R58=0,$X58,IF(AND($T58&lt;&gt;"",EDATE($D58,Milestones!$AA$30)&gt;=$T58),$W58,IF(AND($S58&lt;&gt;"",EDATE($D58,Milestones!$AA$30)&gt;=$S58),$V58,$U58)))=Milestones!$AB$30),UPPER(TEXT(EDATE($D58,Milestones!$AA$30),"dd mmm yy"))&amp;" "&amp;Milestones!$AB$30&amp;" "&amp;Milestones!$AC$30&amp;";  ","")&amp;IF(AND(EDATE($D58,Milestones!$AA$31)&lt;=AsOfDate,IF($R58=0,$X58,IF(AND($T58&lt;&gt;"",EDATE($D58,Milestones!$AA$31)&gt;=$T58),$W58,IF(AND($S58&lt;&gt;"",EDATE($D58,Milestones!$AA$31)&gt;=$S58),$V58,$U58)))=Milestones!$AB$31),UPPER(TEXT(EDATE($D58,Milestones!$AA$31),"dd mmm yy"))&amp;" "&amp;Milestones!$AB$31&amp;" "&amp;Milestones!$AC$31&amp;";  ","")&amp;IF(AND(EDATE($D58,Milestones!$AA$32)&lt;=AsOfDate,IF($R58=0,$X58,IF(AND($T58&lt;&gt;"",EDATE($D58,Milestones!$AA$32)&gt;=$T58),$W58,IF(AND($S58&lt;&gt;"",EDATE($D58,Milestones!$AA$32)&gt;=$S58),$V58,$U58)))=Milestones!$AB$32),UPPER(TEXT(EDATE($D58,Milestones!$AA$32),"dd mmm yy"))&amp;" "&amp;Milestones!$AB$32&amp;" "&amp;Milestones!$AC$32&amp;";  ","")&amp;IF(AND(EDATE($D58,Milestones!$AA$33)&lt;=AsOfDate,IF($R58=0,$X58,IF(AND($T58&lt;&gt;"",EDATE($D58,Milestones!$AA$33)&gt;=$T58),$W58,IF(AND($S58&lt;&gt;"",EDATE($D58,Milestones!$AA$33)&gt;=$S58),$V58,$U58)))=Milestones!$AB$33),UPPER(TEXT(EDATE($D58,Milestones!$AA$33),"dd mmm yy"))&amp;" "&amp;Milestones!$AB$33&amp;" "&amp;Milestones!$AC$33&amp;";  ","")&amp;IF(AND(EDATE($D58,Milestones!$AA$34)&lt;=AsOfDate,IF($R58=0,$X58,IF(AND($T58&lt;&gt;"",EDATE($D58,Milestones!$AA$34)&gt;=$T58),$W58,IF(AND($S58&lt;&gt;"",EDATE($D58,Milestones!$AA$34)&gt;=$S58),$V58,$U58)))=Milestones!$AB$34),UPPER(TEXT(EDATE($D58,Milestones!$AA$34),"dd mmm yy"))&amp;" "&amp;Milestones!$AB$34&amp;" "&amp;Milestones!$AC$34&amp;";  ","")&amp;IF(AND(EDATE($D58,Milestones!$AA$35)&lt;=AsOfDate,IF($R58=0,$X58,IF(AND($T58&lt;&gt;"",EDATE($D58,Milestones!$AA$35)&gt;=$T58),$W58,IF(AND($S58&lt;&gt;"",EDATE($D58,Milestones!$AA$35)&gt;=$S58),$V58,$U58)))=Milestones!$AB$35),UPPER(TEXT(EDATE($D58,Milestones!$AA$35),"dd mmm yy"))&amp;" "&amp;Milestones!$AB$35&amp;" "&amp;Milestones!$AC$35&amp;";  ","")&amp;IF(AND(EDATE($D58,Milestones!$AA$36)&lt;=AsOfDate,IF($R58=0,$X58,IF(AND($T58&lt;&gt;"",EDATE($D58,Milestones!$AA$36)&gt;=$T58),$W58,IF(AND($S58&lt;&gt;"",EDATE($D58,Milestones!$AA$36)&gt;=$S58),$V58,$U58)))=Milestones!$AB$36),UPPER(TEXT(EDATE($D58,Milestones!$AA$36),"dd mmm yy"))&amp;" "&amp;Milestones!$AB$36&amp;" "&amp;Milestones!$AC$36&amp;";  ","")&amp;IF(AND(EDATE($D58,Milestones!$AA$37)&lt;=AsOfDate,IF($R58=0,$X58,IF(AND($T58&lt;&gt;"",EDATE($D58,Milestones!$AA$37)&gt;=$T58),$W58,IF(AND($S58&lt;&gt;"",EDATE($D58,Milestones!$AA$37)&gt;=$S58),$V58,$U58)))=Milestones!$AB$37),UPPER(TEXT(EDATE($D58,Milestones!$AA$37),"dd mmm yy"))&amp;" "&amp;Milestones!$AB$37&amp;" "&amp;Milestones!$AC$37&amp;";  ","")&amp;IF(AND(EDATE($D58,Milestones!$AA$38)&lt;=AsOfDate,IF($R58=0,$X58,IF(AND($T58&lt;&gt;"",EDATE($D58,Milestones!$AA$38)&gt;=$T58),$W58,IF(AND($S58&lt;&gt;"",EDATE($D58,Milestones!$AA$38)&gt;=$S58),$V58,$U58)))=Milestones!$AB$38),UPPER(TEXT(EDATE($D58,Milestones!$AA$38),"dd mmm yy"))&amp;" "&amp;Milestones!$AB$38&amp;" "&amp;Milestones!$AC$38&amp;";  ","")&amp;IF(AND(EDATE($D58,Milestones!$AA$39)&lt;=AsOfDate,IF($R58=0,$X58,IF(AND($T58&lt;&gt;"",EDATE($D58,Milestones!$AA$39)&gt;=$T58),$W58,IF(AND($S58&lt;&gt;"",EDATE($D58,Milestones!$AA$39)&gt;=$S58),$V58,$U58)))=Milestones!$AB$39),UPPER(TEXT(EDATE($D58,Milestones!$AA$39),"dd mmm yy"))&amp;" "&amp;Milestones!$AB$39&amp;" "&amp;Milestones!$AC$39&amp;";  ",""))</f>
        <v/>
      </c>
      <c r="J58" s="0" t="str">
        <f aca="false">IF(OR($A58="",$D58=""),"",IF(AND(EDATE($D58,Milestones!$AA$40)&lt;=AsOfDate,IF($R58=0,$X58,IF(AND($T58&lt;&gt;"",EDATE($D58,Milestones!$AA$40)&gt;=$T58),$W58,IF(AND($S58&lt;&gt;"",EDATE($D58,Milestones!$AA$40)&gt;=$S58),$V58,$U58)))=Milestones!$AB$40),UPPER(TEXT(EDATE($D58,Milestones!$AA$40),"dd mmm yy"))&amp;" "&amp;Milestones!$AB$40&amp;" "&amp;Milestones!$AC$40&amp;";  ","")&amp;IF(AND(EDATE($D58,Milestones!$AA$41)&lt;=AsOfDate,IF($R58=0,$X58,IF(AND($T58&lt;&gt;"",EDATE($D58,Milestones!$AA$41)&gt;=$T58),$W58,IF(AND($S58&lt;&gt;"",EDATE($D58,Milestones!$AA$41)&gt;=$S58),$V58,$U58)))=Milestones!$AB$41),UPPER(TEXT(EDATE($D58,Milestones!$AA$41),"dd mmm yy"))&amp;" "&amp;Milestones!$AB$41&amp;" "&amp;Milestones!$AC$41&amp;";  ","")&amp;IF(AND(EDATE($D58,Milestones!$AA$42)&lt;=AsOfDate,IF($R58=0,$X58,IF(AND($T58&lt;&gt;"",EDATE($D58,Milestones!$AA$42)&gt;=$T58),$W58,IF(AND($S58&lt;&gt;"",EDATE($D58,Milestones!$AA$42)&gt;=$S58),$V58,$U58)))=Milestones!$AB$42),UPPER(TEXT(EDATE($D58,Milestones!$AA$42),"dd mmm yy"))&amp;" "&amp;Milestones!$AB$42&amp;" "&amp;Milestones!$AC$42&amp;";  ","")&amp;IF(AND(EDATE($D58,Milestones!$AA$43)&lt;=AsOfDate,IF($R58=0,$X58,IF(AND($T58&lt;&gt;"",EDATE($D58,Milestones!$AA$43)&gt;=$T58),$W58,IF(AND($S58&lt;&gt;"",EDATE($D58,Milestones!$AA$43)&gt;=$S58),$V58,$U58)))=Milestones!$AB$43),UPPER(TEXT(EDATE($D58,Milestones!$AA$43),"dd mmm yy"))&amp;" "&amp;Milestones!$AB$43&amp;" "&amp;Milestones!$AC$43&amp;";  ","")&amp;IF(AND(EDATE($D58,Milestones!$AA$44)&lt;=AsOfDate,IF($R58=0,$X58,IF(AND($T58&lt;&gt;"",EDATE($D58,Milestones!$AA$44)&gt;=$T58),$W58,IF(AND($S58&lt;&gt;"",EDATE($D58,Milestones!$AA$44)&gt;=$S58),$V58,$U58)))=Milestones!$AB$44),UPPER(TEXT(EDATE($D58,Milestones!$AA$44),"dd mmm yy"))&amp;" "&amp;Milestones!$AB$44&amp;" "&amp;Milestones!$AC$44&amp;";  ","")&amp;IF(AND(EDATE($D58,Milestones!$AA$45)&lt;=AsOfDate,IF($R58=0,$X58,IF(AND($T58&lt;&gt;"",EDATE($D58,Milestones!$AA$45)&gt;=$T58),$W58,IF(AND($S58&lt;&gt;"",EDATE($D58,Milestones!$AA$45)&gt;=$S58),$V58,$U58)))=Milestones!$AB$45),UPPER(TEXT(EDATE($D58,Milestones!$AA$45),"dd mmm yy"))&amp;" "&amp;Milestones!$AB$45&amp;" "&amp;Milestones!$AC$45&amp;";  ","")&amp;IF(AND(EDATE($D58,Milestones!$AA$46)&lt;=AsOfDate,IF($R58=0,$X58,IF(AND($T58&lt;&gt;"",EDATE($D58,Milestones!$AA$46)&gt;=$T58),$W58,IF(AND($S58&lt;&gt;"",EDATE($D58,Milestones!$AA$46)&gt;=$S58),$V58,$U58)))=Milestones!$AB$46),UPPER(TEXT(EDATE($D58,Milestones!$AA$46),"dd mmm yy"))&amp;" "&amp;Milestones!$AB$46&amp;" "&amp;Milestones!$AC$46&amp;";  ","")&amp;IF(AND(EDATE($D58,Milestones!$AA$47)&lt;=AsOfDate,IF($R58=0,$X58,IF(AND($T58&lt;&gt;"",EDATE($D58,Milestones!$AA$47)&gt;=$T58),$W58,IF(AND($S58&lt;&gt;"",EDATE($D58,Milestones!$AA$47)&gt;=$S58),$V58,$U58)))=Milestones!$AB$47),UPPER(TEXT(EDATE($D58,Milestones!$AA$47),"dd mmm yy"))&amp;" "&amp;Milestones!$AB$47&amp;" "&amp;Milestones!$AC$47&amp;";  ","")&amp;IF(AND(EDATE($D58,Milestones!$AA$48)&lt;=AsOfDate,IF($R58=0,$X58,IF(AND($T58&lt;&gt;"",EDATE($D58,Milestones!$AA$48)&gt;=$T58),$W58,IF(AND($S58&lt;&gt;"",EDATE($D58,Milestones!$AA$48)&gt;=$S58),$V58,$U58)))=Milestones!$AB$48),UPPER(TEXT(EDATE($D58,Milestones!$AA$48),"dd mmm yy"))&amp;" "&amp;Milestones!$AB$48&amp;" "&amp;Milestones!$AC$48&amp;";  ","")&amp;IF(AND(EDATE($D58,Milestones!$AA$49)&lt;=AsOfDate,IF($R58=0,$X58,IF(AND($T58&lt;&gt;"",EDATE($D58,Milestones!$AA$49)&gt;=$T58),$W58,IF(AND($S58&lt;&gt;"",EDATE($D58,Milestones!$AA$49)&gt;=$S58),$V58,$U58)))=Milestones!$AB$49),UPPER(TEXT(EDATE($D58,Milestones!$AA$49),"dd mmm yy"))&amp;" "&amp;Milestones!$AB$49&amp;" "&amp;Milestones!$AC$49&amp;";  ","")&amp;IF(AND(EDATE($D58,Milestones!$AA$50)&lt;=AsOfDate,IF($R58=0,$X58,IF(AND($T58&lt;&gt;"",EDATE($D58,Milestones!$AA$50)&gt;=$T58),$W58,IF(AND($S58&lt;&gt;"",EDATE($D58,Milestones!$AA$50)&gt;=$S58),$V58,$U58)))=Milestones!$AB$50),UPPER(TEXT(EDATE($D58,Milestones!$AA$50),"dd mmm yy"))&amp;" "&amp;Milestones!$AB$50&amp;" "&amp;Milestones!$AC$50&amp;";  ","")&amp;IF(AND(EDATE($D58,Milestones!$AA$51)&lt;=AsOfDate,IF($R58=0,$X58,IF(AND($T58&lt;&gt;"",EDATE($D58,Milestones!$AA$51)&gt;=$T58),$W58,IF(AND($S58&lt;&gt;"",EDATE($D58,Milestones!$AA$51)&gt;=$S58),$V58,$U58)))=Milestones!$AB$51),UPPER(TEXT(EDATE($D58,Milestones!$AA$51),"dd mmm yy"))&amp;" "&amp;Milestones!$AB$51&amp;" "&amp;Milestones!$AC$51&amp;";  ","")&amp;IF(AND(EDATE($D58,Milestones!$AA$52)&lt;=AsOfDate,IF($R58=0,$X58,IF(AND($T58&lt;&gt;"",EDATE($D58,Milestones!$AA$52)&gt;=$T58),$W58,IF(AND($S58&lt;&gt;"",EDATE($D58,Milestones!$AA$52)&gt;=$S58),$V58,$U58)))=Milestones!$AB$52),UPPER(TEXT(EDATE($D58,Milestones!$AA$52),"dd mmm yy"))&amp;" "&amp;Milestones!$AB$52&amp;" "&amp;Milestones!$AC$52&amp;";  ","")&amp;IF(AND(EDATE($D58,Milestones!$AA$53)&lt;=AsOfDate,IF($R58=0,$X58,IF(AND($T58&lt;&gt;"",EDATE($D58,Milestones!$AA$53)&gt;=$T58),$W58,IF(AND($S58&lt;&gt;"",EDATE($D58,Milestones!$AA$53)&gt;=$S58),$V58,$U58)))=Milestones!$AB$53),UPPER(TEXT(EDATE($D58,Milestones!$AA$53),"dd mmm yy"))&amp;" "&amp;Milestones!$AB$53&amp;" "&amp;Milestones!$AC$53&amp;";  ","")&amp;IF(AND(EDATE($D58,Milestones!$AA$54)&lt;=AsOfDate,IF($R58=0,$X58,IF(AND($T58&lt;&gt;"",EDATE($D58,Milestones!$AA$54)&gt;=$T58),$W58,IF(AND($S58&lt;&gt;"",EDATE($D58,Milestones!$AA$54)&gt;=$S58),$V58,$U58)))=Milestones!$AB$54),UPPER(TEXT(EDATE($D58,Milestones!$AA$54),"dd mmm yy"))&amp;" "&amp;Milestones!$AB$54&amp;" "&amp;Milestones!$AC$54&amp;";  ","")&amp;IF(AND(EDATE($D58,Milestones!$AA$55)&lt;=AsOfDate,IF($R58=0,$X58,IF(AND($T58&lt;&gt;"",EDATE($D58,Milestones!$AA$55)&gt;=$T58),$W58,IF(AND($S58&lt;&gt;"",EDATE($D58,Milestones!$AA$55)&gt;=$S58),$V58,$U58)))=Milestones!$AB$55),UPPER(TEXT(EDATE($D58,Milestones!$AA$55),"dd mmm yy"))&amp;" "&amp;Milestones!$AB$55&amp;" "&amp;Milestones!$AC$55&amp;";  ","")&amp;IF(AND(EDATE($D58,Milestones!$AA$56)&lt;=AsOfDate,IF($R58=0,$X58,IF(AND($T58&lt;&gt;"",EDATE($D58,Milestones!$AA$56)&gt;=$T58),$W58,IF(AND($S58&lt;&gt;"",EDATE($D58,Milestones!$AA$56)&gt;=$S58),$V58,$U58)))=Milestones!$AB$56),UPPER(TEXT(EDATE($D58,Milestones!$AA$56),"dd mmm yy"))&amp;" "&amp;Milestones!$AB$56&amp;" "&amp;Milestones!$AC$56&amp;";  ","")&amp;IF(AND(EDATE($D58,Milestones!$AA$57)&lt;=AsOfDate,IF($R58=0,$X58,IF(AND($T58&lt;&gt;"",EDATE($D58,Milestones!$AA$57)&gt;=$T58),$W58,IF(AND($S58&lt;&gt;"",EDATE($D58,Milestones!$AA$57)&gt;=$S58),$V58,$U58)))=Milestones!$AB$57),UPPER(TEXT(EDATE($D58,Milestones!$AA$57),"dd mmm yy"))&amp;" "&amp;Milestones!$AB$57&amp;" "&amp;Milestones!$AC$57&amp;";  ","")&amp;IF(AND(EDATE($D58,Milestones!$AA$58)&lt;=AsOfDate,IF($R58=0,$X58,IF(AND($T58&lt;&gt;"",EDATE($D58,Milestones!$AA$58)&gt;=$T58),$W58,IF(AND($S58&lt;&gt;"",EDATE($D58,Milestones!$AA$58)&gt;=$S58),$V58,$U58)))=Milestones!$AB$58),UPPER(TEXT(EDATE($D58,Milestones!$AA$58),"dd mmm yy"))&amp;" "&amp;Milestones!$AB$58&amp;" "&amp;Milestones!$AC$58&amp;";  ","")&amp;IF(AND(EDATE($D58,Milestones!$AA$59)&lt;=AsOfDate,IF($R58=0,$X58,IF(AND($T58&lt;&gt;"",EDATE($D58,Milestones!$AA$59)&gt;=$T58),$W58,IF(AND($S58&lt;&gt;"",EDATE($D58,Milestones!$AA$59)&gt;=$S58),$V58,$U58)))=Milestones!$AB$59),UPPER(TEXT(EDATE($D58,Milestones!$AA$59),"dd mmm yy"))&amp;" "&amp;Milestones!$AB$59&amp;" "&amp;Milestones!$AC$59&amp;";  ",""))</f>
        <v/>
      </c>
      <c r="K58" s="0" t="str">
        <f aca="false">IF(OR($A58="",$D58=""),"",IF(AND(EDATE($D58,Milestones!$AA$60)&lt;=AsOfDate,IF($R58=0,$X58,IF(AND($T58&lt;&gt;"",EDATE($D58,Milestones!$AA$60)&gt;=$T58),$W58,IF(AND($S58&lt;&gt;"",EDATE($D58,Milestones!$AA$60)&gt;=$S58),$V58,$U58)))=Milestones!$AB$60),UPPER(TEXT(EDATE($D58,Milestones!$AA$60),"dd mmm yy"))&amp;" "&amp;Milestones!$AB$60&amp;" "&amp;Milestones!$AC$60&amp;";  ","")&amp;IF(AND(EDATE($D58,Milestones!$AA$61)&lt;=AsOfDate,IF($R58=0,$X58,IF(AND($T58&lt;&gt;"",EDATE($D58,Milestones!$AA$61)&gt;=$T58),$W58,IF(AND($S58&lt;&gt;"",EDATE($D58,Milestones!$AA$61)&gt;=$S58),$V58,$U58)))=Milestones!$AB$61),UPPER(TEXT(EDATE($D58,Milestones!$AA$61),"dd mmm yy"))&amp;" "&amp;Milestones!$AB$61&amp;" "&amp;Milestones!$AC$61&amp;";  ","")&amp;IF(AND(EDATE($D58,Milestones!$AA$62)&lt;=AsOfDate,IF($R58=0,$X58,IF(AND($T58&lt;&gt;"",EDATE($D58,Milestones!$AA$62)&gt;=$T58),$W58,IF(AND($S58&lt;&gt;"",EDATE($D58,Milestones!$AA$62)&gt;=$S58),$V58,$U58)))=Milestones!$AB$62),UPPER(TEXT(EDATE($D58,Milestones!$AA$62),"dd mmm yy"))&amp;" "&amp;Milestones!$AB$62&amp;" "&amp;Milestones!$AC$62&amp;";  ","")&amp;IF(AND(EDATE($D58,Milestones!$AA$63)&lt;=AsOfDate,IF($R58=0,$X58,IF(AND($T58&lt;&gt;"",EDATE($D58,Milestones!$AA$63)&gt;=$T58),$W58,IF(AND($S58&lt;&gt;"",EDATE($D58,Milestones!$AA$63)&gt;=$S58),$V58,$U58)))=Milestones!$AB$63),UPPER(TEXT(EDATE($D58,Milestones!$AA$63),"dd mmm yy"))&amp;" "&amp;Milestones!$AB$63&amp;" "&amp;Milestones!$AC$63&amp;";  ","")&amp;IF(AND(EDATE($D58,Milestones!$AA$64)&lt;=AsOfDate,IF($R58=0,$X58,IF(AND($T58&lt;&gt;"",EDATE($D58,Milestones!$AA$64)&gt;=$T58),$W58,IF(AND($S58&lt;&gt;"",EDATE($D58,Milestones!$AA$64)&gt;=$S58),$V58,$U58)))=Milestones!$AB$64),UPPER(TEXT(EDATE($D58,Milestones!$AA$64),"dd mmm yy"))&amp;" "&amp;Milestones!$AB$64&amp;" "&amp;Milestones!$AC$64&amp;";  ","")&amp;IF(AND(EDATE($D58,Milestones!$AA$65)&lt;=AsOfDate,IF($R58=0,$X58,IF(AND($T58&lt;&gt;"",EDATE($D58,Milestones!$AA$65)&gt;=$T58),$W58,IF(AND($S58&lt;&gt;"",EDATE($D58,Milestones!$AA$65)&gt;=$S58),$V58,$U58)))=Milestones!$AB$65),UPPER(TEXT(EDATE($D58,Milestones!$AA$65),"dd mmm yy"))&amp;" "&amp;Milestones!$AB$65&amp;" "&amp;Milestones!$AC$65&amp;";  ","")&amp;IF(AND(EDATE($D58,Milestones!$AA$66)&lt;=AsOfDate,IF($R58=0,$X58,IF(AND($T58&lt;&gt;"",EDATE($D58,Milestones!$AA$66)&gt;=$T58),$W58,IF(AND($S58&lt;&gt;"",EDATE($D58,Milestones!$AA$66)&gt;=$S58),$V58,$U58)))=Milestones!$AB$66),UPPER(TEXT(EDATE($D58,Milestones!$AA$66),"dd mmm yy"))&amp;" "&amp;Milestones!$AB$66&amp;" "&amp;Milestones!$AC$66&amp;";  ","")&amp;IF(AND(EDATE($D58,Milestones!$AA$67)&lt;=AsOfDate,IF($R58=0,$X58,IF(AND($T58&lt;&gt;"",EDATE($D58,Milestones!$AA$67)&gt;=$T58),$W58,IF(AND($S58&lt;&gt;"",EDATE($D58,Milestones!$AA$67)&gt;=$S58),$V58,$U58)))=Milestones!$AB$67),UPPER(TEXT(EDATE($D58,Milestones!$AA$67),"dd mmm yy"))&amp;" "&amp;Milestones!$AB$67&amp;" "&amp;Milestones!$AC$67&amp;";  ","")&amp;IF(AND(EDATE($D58,Milestones!$AA$68)&lt;=AsOfDate,IF($R58=0,$X58,IF(AND($T58&lt;&gt;"",EDATE($D58,Milestones!$AA$68)&gt;=$T58),$W58,IF(AND($S58&lt;&gt;"",EDATE($D58,Milestones!$AA$68)&gt;=$S58),$V58,$U58)))=Milestones!$AB$68),UPPER(TEXT(EDATE($D58,Milestones!$AA$68),"dd mmm yy"))&amp;" "&amp;Milestones!$AB$68&amp;" "&amp;Milestones!$AC$68&amp;";  ","")&amp;IF(AND(EDATE($D58,Milestones!$AA$69)&lt;=AsOfDate,IF($R58=0,$X58,IF(AND($T58&lt;&gt;"",EDATE($D58,Milestones!$AA$69)&gt;=$T58),$W58,IF(AND($S58&lt;&gt;"",EDATE($D58,Milestones!$AA$69)&gt;=$S58),$V58,$U58)))=Milestones!$AB$69),UPPER(TEXT(EDATE($D58,Milestones!$AA$69),"dd mmm yy"))&amp;" "&amp;Milestones!$AB$69&amp;" "&amp;Milestones!$AC$69&amp;";  ","")&amp;IF(AND(EDATE($D58,Milestones!$AA$70)&lt;=AsOfDate,IF($R58=0,$X58,IF(AND($T58&lt;&gt;"",EDATE($D58,Milestones!$AA$70)&gt;=$T58),$W58,IF(AND($S58&lt;&gt;"",EDATE($D58,Milestones!$AA$70)&gt;=$S58),$V58,$U58)))=Milestones!$AB$70),UPPER(TEXT(EDATE($D58,Milestones!$AA$70),"dd mmm yy"))&amp;" "&amp;Milestones!$AB$70&amp;" "&amp;Milestones!$AC$70&amp;";  ","")&amp;IF(AND(EDATE($D58,Milestones!$AA$71)&lt;=AsOfDate,IF($R58=0,$X58,IF(AND($T58&lt;&gt;"",EDATE($D58,Milestones!$AA$71)&gt;=$T58),$W58,IF(AND($S58&lt;&gt;"",EDATE($D58,Milestones!$AA$71)&gt;=$S58),$V58,$U58)))=Milestones!$AB$71),UPPER(TEXT(EDATE($D58,Milestones!$AA$71),"dd mmm yy"))&amp;" "&amp;Milestones!$AB$71&amp;" "&amp;Milestones!$AC$71&amp;";  ","")&amp;IF(AND(EDATE($D58,Milestones!$AA$72)&lt;=AsOfDate,IF($R58=0,$X58,IF(AND($T58&lt;&gt;"",EDATE($D58,Milestones!$AA$72)&gt;=$T58),$W58,IF(AND($S58&lt;&gt;"",EDATE($D58,Milestones!$AA$72)&gt;=$S58),$V58,$U58)))=Milestones!$AB$72),UPPER(TEXT(EDATE($D58,Milestones!$AA$72),"dd mmm yy"))&amp;" "&amp;Milestones!$AB$72&amp;" "&amp;Milestones!$AC$72&amp;";  ","")&amp;IF(AND(EDATE($D58,Milestones!$AA$73)&lt;=AsOfDate,IF($R58=0,$X58,IF(AND($T58&lt;&gt;"",EDATE($D58,Milestones!$AA$73)&gt;=$T58),$W58,IF(AND($S58&lt;&gt;"",EDATE($D58,Milestones!$AA$73)&gt;=$S58),$V58,$U58)))=Milestones!$AB$73),UPPER(TEXT(EDATE($D58,Milestones!$AA$73),"dd mmm yy"))&amp;" "&amp;Milestones!$AB$73&amp;" "&amp;Milestones!$AC$73&amp;";  ","")&amp;IF(AND(EDATE($D58,Milestones!$AA$74)&lt;=AsOfDate,IF($R58=0,$X58,IF(AND($T58&lt;&gt;"",EDATE($D58,Milestones!$AA$74)&gt;=$T58),$W58,IF(AND($S58&lt;&gt;"",EDATE($D58,Milestones!$AA$74)&gt;=$S58),$V58,$U58)))=Milestones!$AB$74),UPPER(TEXT(EDATE($D58,Milestones!$AA$74),"dd mmm yy"))&amp;" "&amp;Milestones!$AB$74&amp;" "&amp;Milestones!$AC$74&amp;";  ","")&amp;IF(AND(EDATE($D58,Milestones!$AA$75)&lt;=AsOfDate,IF($R58=0,$X58,IF(AND($T58&lt;&gt;"",EDATE($D58,Milestones!$AA$75)&gt;=$T58),$W58,IF(AND($S58&lt;&gt;"",EDATE($D58,Milestones!$AA$75)&gt;=$S58),$V58,$U58)))=Milestones!$AB$75),UPPER(TEXT(EDATE($D58,Milestones!$AA$75),"dd mmm yy"))&amp;" "&amp;Milestones!$AB$75&amp;" "&amp;Milestones!$AC$75&amp;";  ","")&amp;IF(AND(EDATE($D58,Milestones!$AA$76)&lt;=AsOfDate,IF($R58=0,$X58,IF(AND($T58&lt;&gt;"",EDATE($D58,Milestones!$AA$76)&gt;=$T58),$W58,IF(AND($S58&lt;&gt;"",EDATE($D58,Milestones!$AA$76)&gt;=$S58),$V58,$U58)))=Milestones!$AB$76),UPPER(TEXT(EDATE($D58,Milestones!$AA$76),"dd mmm yy"))&amp;" "&amp;Milestones!$AB$76&amp;" "&amp;Milestones!$AC$76&amp;";  ","")&amp;IF(AND(EDATE($D58,Milestones!$AA$77)&lt;=AsOfDate,IF($R58=0,$X58,IF(AND($T58&lt;&gt;"",EDATE($D58,Milestones!$AA$77)&gt;=$T58),$W58,IF(AND($S58&lt;&gt;"",EDATE($D58,Milestones!$AA$77)&gt;=$S58),$V58,$U58)))=Milestones!$AB$77),UPPER(TEXT(EDATE($D58,Milestones!$AA$77),"dd mmm yy"))&amp;" "&amp;Milestones!$AB$77&amp;" "&amp;Milestones!$AC$77&amp;";  ","")&amp;IF(AND(EDATE($D58,Milestones!$AA$78)&lt;=AsOfDate,IF($R58=0,$X58,IF(AND($T58&lt;&gt;"",EDATE($D58,Milestones!$AA$78)&gt;=$T58),$W58,IF(AND($S58&lt;&gt;"",EDATE($D58,Milestones!$AA$78)&gt;=$S58),$V58,$U58)))=Milestones!$AB$78),UPPER(TEXT(EDATE($D58,Milestones!$AA$78),"dd mmm yy"))&amp;" "&amp;Milestones!$AB$78&amp;" "&amp;Milestones!$AC$78&amp;";  ","")&amp;IF(AND(EDATE($D58,Milestones!$AA$79)&lt;=AsOfDate,IF($R58=0,$X58,IF(AND($T58&lt;&gt;"",EDATE($D58,Milestones!$AA$79)&gt;=$T58),$W58,IF(AND($S58&lt;&gt;"",EDATE($D58,Milestones!$AA$79)&gt;=$S58),$V58,$U58)))=Milestones!$AB$79),UPPER(TEXT(EDATE($D58,Milestones!$AA$79),"dd mmm yy"))&amp;" "&amp;Milestones!$AB$79&amp;" "&amp;Milestones!$AC$79&amp;";  ",""))</f>
        <v/>
      </c>
      <c r="L58" s="0" t="str">
        <f aca="false">IF(OR($A58="",$D58=""),"",IF(AND(EDATE($D58,Milestones!$AA$80)&lt;=AsOfDate,IF($R58=0,$X58,IF(AND($T58&lt;&gt;"",EDATE($D58,Milestones!$AA$80)&gt;=$T58),$W58,IF(AND($S58&lt;&gt;"",EDATE($D58,Milestones!$AA$80)&gt;=$S58),$V58,$U58)))=Milestones!$AB$80),UPPER(TEXT(EDATE($D58,Milestones!$AA$80),"dd mmm yy"))&amp;" "&amp;Milestones!$AB$80&amp;" "&amp;Milestones!$AC$80&amp;";  ","")&amp;IF(AND(EDATE($D58,Milestones!$AA$81)&lt;=AsOfDate,IF($R58=0,$X58,IF(AND($T58&lt;&gt;"",EDATE($D58,Milestones!$AA$81)&gt;=$T58),$W58,IF(AND($S58&lt;&gt;"",EDATE($D58,Milestones!$AA$81)&gt;=$S58),$V58,$U58)))=Milestones!$AB$81),UPPER(TEXT(EDATE($D58,Milestones!$AA$81),"dd mmm yy"))&amp;" "&amp;Milestones!$AB$81&amp;" "&amp;Milestones!$AC$81&amp;";  ","")&amp;IF(AND(EDATE($D58,Milestones!$AA$82)&lt;=AsOfDate,IF($R58=0,$X58,IF(AND($T58&lt;&gt;"",EDATE($D58,Milestones!$AA$82)&gt;=$T58),$W58,IF(AND($S58&lt;&gt;"",EDATE($D58,Milestones!$AA$82)&gt;=$S58),$V58,$U58)))=Milestones!$AB$82),UPPER(TEXT(EDATE($D58,Milestones!$AA$82),"dd mmm yy"))&amp;" "&amp;Milestones!$AB$82&amp;" "&amp;Milestones!$AC$82&amp;";  ","")&amp;IF(AND(EDATE($D58,Milestones!$AA$83)&lt;=AsOfDate,IF($R58=0,$X58,IF(AND($T58&lt;&gt;"",EDATE($D58,Milestones!$AA$83)&gt;=$T58),$W58,IF(AND($S58&lt;&gt;"",EDATE($D58,Milestones!$AA$83)&gt;=$S58),$V58,$U58)))=Milestones!$AB$83),UPPER(TEXT(EDATE($D58,Milestones!$AA$83),"dd mmm yy"))&amp;" "&amp;Milestones!$AB$83&amp;" "&amp;Milestones!$AC$83&amp;";  ","")&amp;IF(AND(EDATE($D58,Milestones!$AA$84)&lt;=AsOfDate,IF($R58=0,$X58,IF(AND($T58&lt;&gt;"",EDATE($D58,Milestones!$AA$84)&gt;=$T58),$W58,IF(AND($S58&lt;&gt;"",EDATE($D58,Milestones!$AA$84)&gt;=$S58),$V58,$U58)))=Milestones!$AB$84),UPPER(TEXT(EDATE($D58,Milestones!$AA$84),"dd mmm yy"))&amp;" "&amp;Milestones!$AB$84&amp;" "&amp;Milestones!$AC$84&amp;";  ","")&amp;IF(AND(EDATE($D58,Milestones!$AA$85)&lt;=AsOfDate,IF($R58=0,$X58,IF(AND($T58&lt;&gt;"",EDATE($D58,Milestones!$AA$85)&gt;=$T58),$W58,IF(AND($S58&lt;&gt;"",EDATE($D58,Milestones!$AA$85)&gt;=$S58),$V58,$U58)))=Milestones!$AB$85),UPPER(TEXT(EDATE($D58,Milestones!$AA$85),"dd mmm yy"))&amp;" "&amp;Milestones!$AB$85&amp;" "&amp;Milestones!$AC$85&amp;";  ","")&amp;IF(AND(EDATE($D58,Milestones!$AA$86)&lt;=AsOfDate,IF($R58=0,$X58,IF(AND($T58&lt;&gt;"",EDATE($D58,Milestones!$AA$86)&gt;=$T58),$W58,IF(AND($S58&lt;&gt;"",EDATE($D58,Milestones!$AA$86)&gt;=$S58),$V58,$U58)))=Milestones!$AB$86),UPPER(TEXT(EDATE($D58,Milestones!$AA$86),"dd mmm yy"))&amp;" "&amp;Milestones!$AB$86&amp;" "&amp;Milestones!$AC$86&amp;";  ","")&amp;IF(AND(EDATE($D58,Milestones!$AA$87)&lt;=AsOfDate,IF($R58=0,$X58,IF(AND($T58&lt;&gt;"",EDATE($D58,Milestones!$AA$87)&gt;=$T58),$W58,IF(AND($S58&lt;&gt;"",EDATE($D58,Milestones!$AA$87)&gt;=$S58),$V58,$U58)))=Milestones!$AB$87),UPPER(TEXT(EDATE($D58,Milestones!$AA$87),"dd mmm yy"))&amp;" "&amp;Milestones!$AB$87&amp;" "&amp;Milestones!$AC$87&amp;";  ","")&amp;IF(AND(EDATE($D58,Milestones!$AA$88)&lt;=AsOfDate,IF($R58=0,$X58,IF(AND($T58&lt;&gt;"",EDATE($D58,Milestones!$AA$88)&gt;=$T58),$W58,IF(AND($S58&lt;&gt;"",EDATE($D58,Milestones!$AA$88)&gt;=$S58),$V58,$U58)))=Milestones!$AB$88),UPPER(TEXT(EDATE($D58,Milestones!$AA$88),"dd mmm yy"))&amp;" "&amp;Milestones!$AB$88&amp;" "&amp;Milestones!$AC$88&amp;";  ","")&amp;IF(AND(EDATE($D58,Milestones!$AA$89)&lt;=AsOfDate,IF($R58=0,$X58,IF(AND($T58&lt;&gt;"",EDATE($D58,Milestones!$AA$89)&gt;=$T58),$W58,IF(AND($S58&lt;&gt;"",EDATE($D58,Milestones!$AA$89)&gt;=$S58),$V58,$U58)))=Milestones!$AB$89),UPPER(TEXT(EDATE($D58,Milestones!$AA$89),"dd mmm yy"))&amp;" "&amp;Milestones!$AB$89&amp;" "&amp;Milestones!$AC$89&amp;";  ","")&amp;IF(AND(EDATE($D58,Milestones!$AA$90)&lt;=AsOfDate,IF($R58=0,$X58,IF(AND($T58&lt;&gt;"",EDATE($D58,Milestones!$AA$90)&gt;=$T58),$W58,IF(AND($S58&lt;&gt;"",EDATE($D58,Milestones!$AA$90)&gt;=$S58),$V58,$U58)))=Milestones!$AB$90),UPPER(TEXT(EDATE($D58,Milestones!$AA$90),"dd mmm yy"))&amp;" "&amp;Milestones!$AB$90&amp;" "&amp;Milestones!$AC$90&amp;";  ","")&amp;IF(AND(EDATE($D58,Milestones!$AA$91)&lt;=AsOfDate,IF($R58=0,$X58,IF(AND($T58&lt;&gt;"",EDATE($D58,Milestones!$AA$91)&gt;=$T58),$W58,IF(AND($S58&lt;&gt;"",EDATE($D58,Milestones!$AA$91)&gt;=$S58),$V58,$U58)))=Milestones!$AB$91),UPPER(TEXT(EDATE($D58,Milestones!$AA$91),"dd mmm yy"))&amp;" "&amp;Milestones!$AB$91&amp;" "&amp;Milestones!$AC$91&amp;";  ","")&amp;IF(AND(EDATE($D58,Milestones!$AA$92)&lt;=AsOfDate,IF($R58=0,$X58,IF(AND($T58&lt;&gt;"",EDATE($D58,Milestones!$AA$92)&gt;=$T58),$W58,IF(AND($S58&lt;&gt;"",EDATE($D58,Milestones!$AA$92)&gt;=$S58),$V58,$U58)))=Milestones!$AB$92),UPPER(TEXT(EDATE($D58,Milestones!$AA$92),"dd mmm yy"))&amp;" "&amp;Milestones!$AB$92&amp;" "&amp;Milestones!$AC$92&amp;";  ","")&amp;IF(AND(EDATE($D58,Milestones!$AA$93)&lt;=AsOfDate,IF($R58=0,$X58,IF(AND($T58&lt;&gt;"",EDATE($D58,Milestones!$AA$93)&gt;=$T58),$W58,IF(AND($S58&lt;&gt;"",EDATE($D58,Milestones!$AA$93)&gt;=$S58),$V58,$U58)))=Milestones!$AB$93),UPPER(TEXT(EDATE($D58,Milestones!$AA$93),"dd mmm yy"))&amp;" "&amp;Milestones!$AB$93&amp;" "&amp;Milestones!$AC$93&amp;";  ","")&amp;IF(AND(EDATE($D58,Milestones!$AA$94)&lt;=AsOfDate,IF($R58=0,$X58,IF(AND($T58&lt;&gt;"",EDATE($D58,Milestones!$AA$94)&gt;=$T58),$W58,IF(AND($S58&lt;&gt;"",EDATE($D58,Milestones!$AA$94)&gt;=$S58),$V58,$U58)))=Milestones!$AB$94),UPPER(TEXT(EDATE($D58,Milestones!$AA$94),"dd mmm yy"))&amp;" "&amp;Milestones!$AB$94&amp;" "&amp;Milestones!$AC$94&amp;";  ","")&amp;IF(AND(EDATE($D58,Milestones!$AA$95)&lt;=AsOfDate,IF($R58=0,$X58,IF(AND($T58&lt;&gt;"",EDATE($D58,Milestones!$AA$95)&gt;=$T58),$W58,IF(AND($S58&lt;&gt;"",EDATE($D58,Milestones!$AA$95)&gt;=$S58),$V58,$U58)))=Milestones!$AB$95),UPPER(TEXT(EDATE($D58,Milestones!$AA$95),"dd mmm yy"))&amp;" "&amp;Milestones!$AB$95&amp;" "&amp;Milestones!$AC$95&amp;";  ","")&amp;IF(AND(EDATE($D58,Milestones!$AA$96)&lt;=AsOfDate,IF($R58=0,$X58,IF(AND($T58&lt;&gt;"",EDATE($D58,Milestones!$AA$96)&gt;=$T58),$W58,IF(AND($S58&lt;&gt;"",EDATE($D58,Milestones!$AA$96)&gt;=$S58),$V58,$U58)))=Milestones!$AB$96),UPPER(TEXT(EDATE($D58,Milestones!$AA$96),"dd mmm yy"))&amp;" "&amp;Milestones!$AB$96&amp;" "&amp;Milestones!$AC$96&amp;";  ","")&amp;IF(AND(EDATE($D58,Milestones!$AA$97)&lt;=AsOfDate,IF($R58=0,$X58,IF(AND($T58&lt;&gt;"",EDATE($D58,Milestones!$AA$97)&gt;=$T58),$W58,IF(AND($S58&lt;&gt;"",EDATE($D58,Milestones!$AA$97)&gt;=$S58),$V58,$U58)))=Milestones!$AB$97),UPPER(TEXT(EDATE($D58,Milestones!$AA$97),"dd mmm yy"))&amp;" "&amp;Milestones!$AB$97&amp;" "&amp;Milestones!$AC$97&amp;";  ","")&amp;IF(AND(EDATE($D58,Milestones!$AA$98)&lt;=AsOfDate,IF($R58=0,$X58,IF(AND($T58&lt;&gt;"",EDATE($D58,Milestones!$AA$98)&gt;=$T58),$W58,IF(AND($S58&lt;&gt;"",EDATE($D58,Milestones!$AA$98)&gt;=$S58),$V58,$U58)))=Milestones!$AB$98),UPPER(TEXT(EDATE($D58,Milestones!$AA$98),"dd mmm yy"))&amp;" "&amp;Milestones!$AB$98&amp;" "&amp;Milestones!$AC$98&amp;";  ","")&amp;IF(AND(EDATE($D58,Milestones!$AA$99)&lt;=AsOfDate,IF($R58=0,$X58,IF(AND($T58&lt;&gt;"",EDATE($D58,Milestones!$AA$99)&gt;=$T58),$W58,IF(AND($S58&lt;&gt;"",EDATE($D58,Milestones!$AA$99)&gt;=$S58),$V58,$U58)))=Milestones!$AB$99),UPPER(TEXT(EDATE($D58,Milestones!$AA$99),"dd mmm yy"))&amp;" "&amp;Milestones!$AB$99&amp;" "&amp;Milestones!$AC$99&amp;";  ",""))</f>
        <v/>
      </c>
      <c r="M58" s="0" t="str">
        <f aca="false">IF(OR($A58="",$D58=""),"",IF(AND(EDATE($D58,Milestones!$AA$100)&lt;=AsOfDate,IF($R58=0,$X58,IF(AND($T58&lt;&gt;"",EDATE($D58,Milestones!$AA$100)&gt;=$T58),$W58,IF(AND($S58&lt;&gt;"",EDATE($D58,Milestones!$AA$100)&gt;=$S58),$V58,$U58)))=Milestones!$AB$100),UPPER(TEXT(EDATE($D58,Milestones!$AA$100),"dd mmm yy"))&amp;" "&amp;Milestones!$AB$100&amp;" "&amp;Milestones!$AC$100&amp;";  ","")&amp;IF(AND(EDATE($D58,Milestones!$AA$101)&lt;=AsOfDate,IF($R58=0,$X58,IF(AND($T58&lt;&gt;"",EDATE($D58,Milestones!$AA$101)&gt;=$T58),$W58,IF(AND($S58&lt;&gt;"",EDATE($D58,Milestones!$AA$101)&gt;=$S58),$V58,$U58)))=Milestones!$AB$101),UPPER(TEXT(EDATE($D58,Milestones!$AA$101),"dd mmm yy"))&amp;" "&amp;Milestones!$AB$101&amp;" "&amp;Milestones!$AC$101&amp;";  ","")&amp;IF(AND(EDATE($D58,Milestones!$AA$102)&lt;=AsOfDate,IF($R58=0,$X58,IF(AND($T58&lt;&gt;"",EDATE($D58,Milestones!$AA$102)&gt;=$T58),$W58,IF(AND($S58&lt;&gt;"",EDATE($D58,Milestones!$AA$102)&gt;=$S58),$V58,$U58)))=Milestones!$AB$102),UPPER(TEXT(EDATE($D58,Milestones!$AA$102),"dd mmm yy"))&amp;" "&amp;Milestones!$AB$102&amp;" "&amp;Milestones!$AC$102&amp;";  ","")&amp;IF(AND(EDATE($D58,Milestones!$AA$103)&lt;=AsOfDate,IF($R58=0,$X58,IF(AND($T58&lt;&gt;"",EDATE($D58,Milestones!$AA$103)&gt;=$T58),$W58,IF(AND($S58&lt;&gt;"",EDATE($D58,Milestones!$AA$103)&gt;=$S58),$V58,$U58)))=Milestones!$AB$103),UPPER(TEXT(EDATE($D58,Milestones!$AA$103),"dd mmm yy"))&amp;" "&amp;Milestones!$AB$103&amp;" "&amp;Milestones!$AC$103&amp;";  ","")&amp;IF(AND(EDATE($D58,Milestones!$AA$104)&lt;=AsOfDate,IF($R58=0,$X58,IF(AND($T58&lt;&gt;"",EDATE($D58,Milestones!$AA$104)&gt;=$T58),$W58,IF(AND($S58&lt;&gt;"",EDATE($D58,Milestones!$AA$104)&gt;=$S58),$V58,$U58)))=Milestones!$AB$104),UPPER(TEXT(EDATE($D58,Milestones!$AA$104),"dd mmm yy"))&amp;" "&amp;Milestones!$AB$104&amp;" "&amp;Milestones!$AC$104&amp;";  ","")&amp;IF(AND(EDATE($D58,Milestones!$AA$105)&lt;=AsOfDate,IF($R58=0,$X58,IF(AND($T58&lt;&gt;"",EDATE($D58,Milestones!$AA$105)&gt;=$T58),$W58,IF(AND($S58&lt;&gt;"",EDATE($D58,Milestones!$AA$105)&gt;=$S58),$V58,$U58)))=Milestones!$AB$105),UPPER(TEXT(EDATE($D58,Milestones!$AA$105),"dd mmm yy"))&amp;" "&amp;Milestones!$AB$105&amp;" "&amp;Milestones!$AC$105&amp;";  ","")&amp;IF(AND(EDATE($D58,Milestones!$AA$106)&lt;=AsOfDate,IF($R58=0,$X58,IF(AND($T58&lt;&gt;"",EDATE($D58,Milestones!$AA$106)&gt;=$T58),$W58,IF(AND($S58&lt;&gt;"",EDATE($D58,Milestones!$AA$106)&gt;=$S58),$V58,$U58)))=Milestones!$AB$106),UPPER(TEXT(EDATE($D58,Milestones!$AA$106),"dd mmm yy"))&amp;" "&amp;Milestones!$AB$106&amp;" "&amp;Milestones!$AC$106&amp;";  ","")&amp;IF(AND(EDATE($D58,Milestones!$AA$107)&lt;=AsOfDate,IF($R58=0,$X58,IF(AND($T58&lt;&gt;"",EDATE($D58,Milestones!$AA$107)&gt;=$T58),$W58,IF(AND($S58&lt;&gt;"",EDATE($D58,Milestones!$AA$107)&gt;=$S58),$V58,$U58)))=Milestones!$AB$107),UPPER(TEXT(EDATE($D58,Milestones!$AA$107),"dd mmm yy"))&amp;" "&amp;Milestones!$AB$107&amp;" "&amp;Milestones!$AC$107&amp;";  ","")&amp;IF(AND(EDATE($D58,Milestones!$AA$108)&lt;=AsOfDate,IF($R58=0,$X58,IF(AND($T58&lt;&gt;"",EDATE($D58,Milestones!$AA$108)&gt;=$T58),$W58,IF(AND($S58&lt;&gt;"",EDATE($D58,Milestones!$AA$108)&gt;=$S58),$V58,$U58)))=Milestones!$AB$108),UPPER(TEXT(EDATE($D58,Milestones!$AA$108),"dd mmm yy"))&amp;" "&amp;Milestones!$AB$108&amp;" "&amp;Milestones!$AC$108&amp;";  ","")&amp;IF(AND(EDATE($D58,Milestones!$AA$109)&lt;=AsOfDate,IF($R58=0,$X58,IF(AND($T58&lt;&gt;"",EDATE($D58,Milestones!$AA$109)&gt;=$T58),$W58,IF(AND($S58&lt;&gt;"",EDATE($D58,Milestones!$AA$109)&gt;=$S58),$V58,$U58)))=Milestones!$AB$109),UPPER(TEXT(EDATE($D58,Milestones!$AA$109),"dd mmm yy"))&amp;" "&amp;Milestones!$AB$109&amp;" "&amp;Milestones!$AC$109&amp;";  ","")&amp;IF(AND(EDATE($D58,Milestones!$AA$110)&lt;=AsOfDate,IF($R58=0,$X58,IF(AND($T58&lt;&gt;"",EDATE($D58,Milestones!$AA$110)&gt;=$T58),$W58,IF(AND($S58&lt;&gt;"",EDATE($D58,Milestones!$AA$110)&gt;=$S58),$V58,$U58)))=Milestones!$AB$110),UPPER(TEXT(EDATE($D58,Milestones!$AA$110),"dd mmm yy"))&amp;" "&amp;Milestones!$AB$110&amp;" "&amp;Milestones!$AC$110&amp;";  ","")&amp;IF(AND(EDATE($D58,Milestones!$AA$111)&lt;=AsOfDate,IF($R58=0,$X58,IF(AND($T58&lt;&gt;"",EDATE($D58,Milestones!$AA$111)&gt;=$T58),$W58,IF(AND($S58&lt;&gt;"",EDATE($D58,Milestones!$AA$111)&gt;=$S58),$V58,$U58)))=Milestones!$AB$111),UPPER(TEXT(EDATE($D58,Milestones!$AA$111),"dd mmm yy"))&amp;" "&amp;Milestones!$AB$111&amp;" "&amp;Milestones!$AC$111&amp;";  ","")&amp;IF(AND(EDATE($D58,Milestones!$AA$112)&lt;=AsOfDate,IF($R58=0,$X58,IF(AND($T58&lt;&gt;"",EDATE($D58,Milestones!$AA$112)&gt;=$T58),$W58,IF(AND($S58&lt;&gt;"",EDATE($D58,Milestones!$AA$112)&gt;=$S58),$V58,$U58)))=Milestones!$AB$112),UPPER(TEXT(EDATE($D58,Milestones!$AA$112),"dd mmm yy"))&amp;" "&amp;Milestones!$AB$112&amp;" "&amp;Milestones!$AC$112&amp;";  ","")&amp;IF(AND(EDATE($D58,Milestones!$AA$113)&lt;=AsOfDate,IF($R58=0,$X58,IF(AND($T58&lt;&gt;"",EDATE($D58,Milestones!$AA$113)&gt;=$T58),$W58,IF(AND($S58&lt;&gt;"",EDATE($D58,Milestones!$AA$113)&gt;=$S58),$V58,$U58)))=Milestones!$AB$113),UPPER(TEXT(EDATE($D58,Milestones!$AA$113),"dd mmm yy"))&amp;" "&amp;Milestones!$AB$113&amp;" "&amp;Milestones!$AC$113&amp;";  ","")&amp;IF(AND(EDATE($D58,Milestones!$AA$114)&lt;=AsOfDate,IF($R58=0,$X58,IF(AND($T58&lt;&gt;"",EDATE($D58,Milestones!$AA$114)&gt;=$T58),$W58,IF(AND($S58&lt;&gt;"",EDATE($D58,Milestones!$AA$114)&gt;=$S58),$V58,$U58)))=Milestones!$AB$114),UPPER(TEXT(EDATE($D58,Milestones!$AA$114),"dd mmm yy"))&amp;" "&amp;Milestones!$AB$114&amp;" "&amp;Milestones!$AC$114&amp;";  ","")&amp;IF(AND(EDATE($D58,Milestones!$AA$115)&lt;=AsOfDate,IF($R58=0,$X58,IF(AND($T58&lt;&gt;"",EDATE($D58,Milestones!$AA$115)&gt;=$T58),$W58,IF(AND($S58&lt;&gt;"",EDATE($D58,Milestones!$AA$115)&gt;=$S58),$V58,$U58)))=Milestones!$AB$115),UPPER(TEXT(EDATE($D58,Milestones!$AA$115),"dd mmm yy"))&amp;" "&amp;Milestones!$AB$115&amp;" "&amp;Milestones!$AC$115&amp;";  ","")&amp;IF(AND(EDATE($D58,Milestones!$AA$116)&lt;=AsOfDate,IF($R58=0,$X58,IF(AND($T58&lt;&gt;"",EDATE($D58,Milestones!$AA$116)&gt;=$T58),$W58,IF(AND($S58&lt;&gt;"",EDATE($D58,Milestones!$AA$116)&gt;=$S58),$V58,$U58)))=Milestones!$AB$116),UPPER(TEXT(EDATE($D58,Milestones!$AA$116),"dd mmm yy"))&amp;" "&amp;Milestones!$AB$116&amp;" "&amp;Milestones!$AC$116&amp;";  ","")&amp;IF(AND(EDATE($D58,Milestones!$AA$117)&lt;=AsOfDate,IF($R58=0,$X58,IF(AND($T58&lt;&gt;"",EDATE($D58,Milestones!$AA$117)&gt;=$T58),$W58,IF(AND($S58&lt;&gt;"",EDATE($D58,Milestones!$AA$117)&gt;=$S58),$V58,$U58)))=Milestones!$AB$117),UPPER(TEXT(EDATE($D58,Milestones!$AA$117),"dd mmm yy"))&amp;" "&amp;Milestones!$AB$117&amp;" "&amp;Milestones!$AC$117&amp;";  ","")&amp;IF(AND(EDATE($D58,Milestones!$AA$118)&lt;=AsOfDate,IF($R58=0,$X58,IF(AND($T58&lt;&gt;"",EDATE($D58,Milestones!$AA$118)&gt;=$T58),$W58,IF(AND($S58&lt;&gt;"",EDATE($D58,Milestones!$AA$118)&gt;=$S58),$V58,$U58)))=Milestones!$AB$118),UPPER(TEXT(EDATE($D58,Milestones!$AA$118),"dd mmm yy"))&amp;" "&amp;Milestones!$AB$118&amp;" "&amp;Milestones!$AC$118&amp;";  ","")&amp;IF(AND(EDATE($D58,Milestones!$AA$119)&lt;=AsOfDate,IF($R58=0,$X58,IF(AND($T58&lt;&gt;"",EDATE($D58,Milestones!$AA$119)&gt;=$T58),$W58,IF(AND($S58&lt;&gt;"",EDATE($D58,Milestones!$AA$119)&gt;=$S58),$V58,$U58)))=Milestones!$AB$119),UPPER(TEXT(EDATE($D58,Milestones!$AA$119),"dd mmm yy"))&amp;" "&amp;Milestones!$AB$119&amp;" "&amp;Milestones!$AC$119&amp;";  ",""))</f>
        <v/>
      </c>
      <c r="N58" s="0" t="str">
        <f aca="false">IF(OR($A58="",$D58=""),"",IF(AND(EDATE($D58,Milestones!$AA$120)&lt;=AsOfDate,IF($R58=0,$X58,IF(AND($T58&lt;&gt;"",EDATE($D58,Milestones!$AA$120)&gt;=$T58),$W58,IF(AND($S58&lt;&gt;"",EDATE($D58,Milestones!$AA$120)&gt;=$S58),$V58,$U58)))=Milestones!$AB$120),UPPER(TEXT(EDATE($D58,Milestones!$AA$120),"dd mmm yy"))&amp;" "&amp;Milestones!$AB$120&amp;" "&amp;Milestones!$AC$120&amp;";  ","")&amp;IF(AND(EDATE($D58,Milestones!$AA$121)&lt;=AsOfDate,IF($R58=0,$X58,IF(AND($T58&lt;&gt;"",EDATE($D58,Milestones!$AA$121)&gt;=$T58),$W58,IF(AND($S58&lt;&gt;"",EDATE($D58,Milestones!$AA$121)&gt;=$S58),$V58,$U58)))=Milestones!$AB$121),UPPER(TEXT(EDATE($D58,Milestones!$AA$121),"dd mmm yy"))&amp;" "&amp;Milestones!$AB$121&amp;" "&amp;Milestones!$AC$121&amp;";  ","")&amp;IF(AND(EDATE($D58,Milestones!$AA$122)&lt;=AsOfDate,IF($R58=0,$X58,IF(AND($T58&lt;&gt;"",EDATE($D58,Milestones!$AA$122)&gt;=$T58),$W58,IF(AND($S58&lt;&gt;"",EDATE($D58,Milestones!$AA$122)&gt;=$S58),$V58,$U58)))=Milestones!$AB$122),UPPER(TEXT(EDATE($D58,Milestones!$AA$122),"dd mmm yy"))&amp;" "&amp;Milestones!$AB$122&amp;" "&amp;Milestones!$AC$122&amp;";  ","")&amp;IF(AND(EDATE($D58,Milestones!$AA$123)&lt;=AsOfDate,IF($R58=0,$X58,IF(AND($T58&lt;&gt;"",EDATE($D58,Milestones!$AA$123)&gt;=$T58),$W58,IF(AND($S58&lt;&gt;"",EDATE($D58,Milestones!$AA$123)&gt;=$S58),$V58,$U58)))=Milestones!$AB$123),UPPER(TEXT(EDATE($D58,Milestones!$AA$123),"dd mmm yy"))&amp;" "&amp;Milestones!$AB$123&amp;" "&amp;Milestones!$AC$123&amp;";  ","")&amp;IF(AND(EDATE($D58,Milestones!$AA$124)&lt;=AsOfDate,IF($R58=0,$X58,IF(AND($T58&lt;&gt;"",EDATE($D58,Milestones!$AA$124)&gt;=$T58),$W58,IF(AND($S58&lt;&gt;"",EDATE($D58,Milestones!$AA$124)&gt;=$S58),$V58,$U58)))=Milestones!$AB$124),UPPER(TEXT(EDATE($D58,Milestones!$AA$124),"dd mmm yy"))&amp;" "&amp;Milestones!$AB$124&amp;" "&amp;Milestones!$AC$124&amp;";  ","")&amp;IF(AND(EDATE($D58,Milestones!$AA$125)&lt;=AsOfDate,IF($R58=0,$X58,IF(AND($T58&lt;&gt;"",EDATE($D58,Milestones!$AA$125)&gt;=$T58),$W58,IF(AND($S58&lt;&gt;"",EDATE($D58,Milestones!$AA$125)&gt;=$S58),$V58,$U58)))=Milestones!$AB$125),UPPER(TEXT(EDATE($D58,Milestones!$AA$125),"dd mmm yy"))&amp;" "&amp;Milestones!$AB$125&amp;" "&amp;Milestones!$AC$125&amp;";  ","")&amp;IF(AND(EDATE($D58,Milestones!$AA$126)&lt;=AsOfDate,IF($R58=0,$X58,IF(AND($T58&lt;&gt;"",EDATE($D58,Milestones!$AA$126)&gt;=$T58),$W58,IF(AND($S58&lt;&gt;"",EDATE($D58,Milestones!$AA$126)&gt;=$S58),$V58,$U58)))=Milestones!$AB$126),UPPER(TEXT(EDATE($D58,Milestones!$AA$126),"dd mmm yy"))&amp;" "&amp;Milestones!$AB$126&amp;" "&amp;Milestones!$AC$126&amp;";  ","")&amp;IF(AND(EDATE($D58,Milestones!$AA$127)&lt;=AsOfDate,IF($R58=0,$X58,IF(AND($T58&lt;&gt;"",EDATE($D58,Milestones!$AA$127)&gt;=$T58),$W58,IF(AND($S58&lt;&gt;"",EDATE($D58,Milestones!$AA$127)&gt;=$S58),$V58,$U58)))=Milestones!$AB$127),UPPER(TEXT(EDATE($D58,Milestones!$AA$127),"dd mmm yy"))&amp;" "&amp;Milestones!$AB$127&amp;" "&amp;Milestones!$AC$127&amp;";  ","")&amp;IF(AND(EDATE($D58,Milestones!$AA$128)&lt;=AsOfDate,IF($R58=0,$X58,IF(AND($T58&lt;&gt;"",EDATE($D58,Milestones!$AA$128)&gt;=$T58),$W58,IF(AND($S58&lt;&gt;"",EDATE($D58,Milestones!$AA$128)&gt;=$S58),$V58,$U58)))=Milestones!$AB$128),UPPER(TEXT(EDATE($D58,Milestones!$AA$128),"dd mmm yy"))&amp;" "&amp;Milestones!$AB$128&amp;" "&amp;Milestones!$AC$128&amp;";  ","")&amp;IF(AND(EDATE($D58,Milestones!$AA$129)&lt;=AsOfDate,IF($R58=0,$X58,IF(AND($T58&lt;&gt;"",EDATE($D58,Milestones!$AA$129)&gt;=$T58),$W58,IF(AND($S58&lt;&gt;"",EDATE($D58,Milestones!$AA$129)&gt;=$S58),$V58,$U58)))=Milestones!$AB$129),UPPER(TEXT(EDATE($D58,Milestones!$AA$129),"dd mmm yy"))&amp;" "&amp;Milestones!$AB$129&amp;" "&amp;Milestones!$AC$129&amp;";  ","")&amp;IF(AND(EDATE($D58,Milestones!$AA$130)&lt;=AsOfDate,IF($R58=0,$X58,IF(AND($T58&lt;&gt;"",EDATE($D58,Milestones!$AA$130)&gt;=$T58),$W58,IF(AND($S58&lt;&gt;"",EDATE($D58,Milestones!$AA$130)&gt;=$S58),$V58,$U58)))=Milestones!$AB$130),UPPER(TEXT(EDATE($D58,Milestones!$AA$130),"dd mmm yy"))&amp;" "&amp;Milestones!$AB$130&amp;" "&amp;Milestones!$AC$130&amp;";  ","")&amp;IF(AND(EDATE($D58,Milestones!$AA$131)&lt;=AsOfDate,IF($R58=0,$X58,IF(AND($T58&lt;&gt;"",EDATE($D58,Milestones!$AA$131)&gt;=$T58),$W58,IF(AND($S58&lt;&gt;"",EDATE($D58,Milestones!$AA$131)&gt;=$S58),$V58,$U58)))=Milestones!$AB$131),UPPER(TEXT(EDATE($D58,Milestones!$AA$131),"dd mmm yy"))&amp;" "&amp;Milestones!$AB$131&amp;" "&amp;Milestones!$AC$131&amp;";  ","")&amp;IF(AND(EDATE($D58,Milestones!$AA$132)&lt;=AsOfDate,IF($R58=0,$X58,IF(AND($T58&lt;&gt;"",EDATE($D58,Milestones!$AA$132)&gt;=$T58),$W58,IF(AND($S58&lt;&gt;"",EDATE($D58,Milestones!$AA$132)&gt;=$S58),$V58,$U58)))=Milestones!$AB$132),UPPER(TEXT(EDATE($D58,Milestones!$AA$132),"dd mmm yy"))&amp;" "&amp;Milestones!$AB$132&amp;" "&amp;Milestones!$AC$132&amp;";  ","")&amp;IF(AND(EDATE($D58,Milestones!$AA$133)&lt;=AsOfDate,IF($R58=0,$X58,IF(AND($T58&lt;&gt;"",EDATE($D58,Milestones!$AA$133)&gt;=$T58),$W58,IF(AND($S58&lt;&gt;"",EDATE($D58,Milestones!$AA$133)&gt;=$S58),$V58,$U58)))=Milestones!$AB$133),UPPER(TEXT(EDATE($D58,Milestones!$AA$133),"dd mmm yy"))&amp;" "&amp;Milestones!$AB$133&amp;" "&amp;Milestones!$AC$133&amp;";  ","")&amp;IF(AND(EDATE($D58,Milestones!$AA$134)&lt;=AsOfDate,IF($R58=0,$X58,IF(AND($T58&lt;&gt;"",EDATE($D58,Milestones!$AA$134)&gt;=$T58),$W58,IF(AND($S58&lt;&gt;"",EDATE($D58,Milestones!$AA$134)&gt;=$S58),$V58,$U58)))=Milestones!$AB$134),UPPER(TEXT(EDATE($D58,Milestones!$AA$134),"dd mmm yy"))&amp;" "&amp;Milestones!$AB$134&amp;" "&amp;Milestones!$AC$134&amp;";  ","")&amp;IF(AND(EDATE($D58,Milestones!$AA$135)&lt;=AsOfDate,IF($R58=0,$X58,IF(AND($T58&lt;&gt;"",EDATE($D58,Milestones!$AA$135)&gt;=$T58),$W58,IF(AND($S58&lt;&gt;"",EDATE($D58,Milestones!$AA$135)&gt;=$S58),$V58,$U58)))=Milestones!$AB$135),UPPER(TEXT(EDATE($D58,Milestones!$AA$135),"dd mmm yy"))&amp;" "&amp;Milestones!$AB$135&amp;" "&amp;Milestones!$AC$135&amp;";  ","")&amp;IF(AND(EDATE($D58,Milestones!$AA$136)&lt;=AsOfDate,IF($R58=0,$X58,IF(AND($T58&lt;&gt;"",EDATE($D58,Milestones!$AA$136)&gt;=$T58),$W58,IF(AND($S58&lt;&gt;"",EDATE($D58,Milestones!$AA$136)&gt;=$S58),$V58,$U58)))=Milestones!$AB$136),UPPER(TEXT(EDATE($D58,Milestones!$AA$136),"dd mmm yy"))&amp;" "&amp;Milestones!$AB$136&amp;" "&amp;Milestones!$AC$136&amp;";  ","")&amp;IF(AND(EDATE($D58,Milestones!$AA$137)&lt;=AsOfDate,IF($R58=0,$X58,IF(AND($T58&lt;&gt;"",EDATE($D58,Milestones!$AA$137)&gt;=$T58),$W58,IF(AND($S58&lt;&gt;"",EDATE($D58,Milestones!$AA$137)&gt;=$S58),$V58,$U58)))=Milestones!$AB$137),UPPER(TEXT(EDATE($D58,Milestones!$AA$137),"dd mmm yy"))&amp;" "&amp;Milestones!$AB$137&amp;" "&amp;Milestones!$AC$137&amp;";  ","")&amp;IF(AND(EDATE($D58,Milestones!$AA$138)&lt;=AsOfDate,IF($R58=0,$X58,IF(AND($T58&lt;&gt;"",EDATE($D58,Milestones!$AA$138)&gt;=$T58),$W58,IF(AND($S58&lt;&gt;"",EDATE($D58,Milestones!$AA$138)&gt;=$S58),$V58,$U58)))=Milestones!$AB$138),UPPER(TEXT(EDATE($D58,Milestones!$AA$138),"dd mmm yy"))&amp;" "&amp;Milestones!$AB$138&amp;" "&amp;Milestones!$AC$138&amp;";  ","")&amp;IF(AND(EDATE($D58,Milestones!$AA$139)&lt;=AsOfDate,IF($R58=0,$X58,IF(AND($T58&lt;&gt;"",EDATE($D58,Milestones!$AA$139)&gt;=$T58),$W58,IF(AND($S58&lt;&gt;"",EDATE($D58,Milestones!$AA$139)&gt;=$S58),$V58,$U58)))=Milestones!$AB$139),UPPER(TEXT(EDATE($D58,Milestones!$AA$139),"dd mmm yy"))&amp;" "&amp;Milestones!$AB$139&amp;" "&amp;Milestones!$AC$139&amp;";  ",""))</f>
        <v/>
      </c>
      <c r="O58" s="0" t="str">
        <f aca="false">IF(OR($A58="",$D58=""),"",IF(AND(EDATE($D58,Milestones!$AA$140)&lt;=AsOfDate,IF($R58=0,$X58,IF(AND($T58&lt;&gt;"",EDATE($D58,Milestones!$AA$140)&gt;=$T58),$W58,IF(AND($S58&lt;&gt;"",EDATE($D58,Milestones!$AA$140)&gt;=$S58),$V58,$U58)))=Milestones!$AB$140),UPPER(TEXT(EDATE($D58,Milestones!$AA$140),"dd mmm yy"))&amp;" "&amp;Milestones!$AB$140&amp;" "&amp;Milestones!$AC$140&amp;";  ","")&amp;IF(AND(EDATE($D58,Milestones!$AA$141)&lt;=AsOfDate,IF($R58=0,$X58,IF(AND($T58&lt;&gt;"",EDATE($D58,Milestones!$AA$141)&gt;=$T58),$W58,IF(AND($S58&lt;&gt;"",EDATE($D58,Milestones!$AA$141)&gt;=$S58),$V58,$U58)))=Milestones!$AB$141),UPPER(TEXT(EDATE($D58,Milestones!$AA$141),"dd mmm yy"))&amp;" "&amp;Milestones!$AB$141&amp;" "&amp;Milestones!$AC$141&amp;";  ","")&amp;IF(AND(EDATE($D58,Milestones!$AA$142)&lt;=AsOfDate,IF($R58=0,$X58,IF(AND($T58&lt;&gt;"",EDATE($D58,Milestones!$AA$142)&gt;=$T58),$W58,IF(AND($S58&lt;&gt;"",EDATE($D58,Milestones!$AA$142)&gt;=$S58),$V58,$U58)))=Milestones!$AB$142),UPPER(TEXT(EDATE($D58,Milestones!$AA$142),"dd mmm yy"))&amp;" "&amp;Milestones!$AB$142&amp;" "&amp;Milestones!$AC$142&amp;";  ","")&amp;IF(AND(EDATE($D58,Milestones!$AA$143)&lt;=AsOfDate,IF($R58=0,$X58,IF(AND($T58&lt;&gt;"",EDATE($D58,Milestones!$AA$143)&gt;=$T58),$W58,IF(AND($S58&lt;&gt;"",EDATE($D58,Milestones!$AA$143)&gt;=$S58),$V58,$U58)))=Milestones!$AB$143),UPPER(TEXT(EDATE($D58,Milestones!$AA$143),"dd mmm yy"))&amp;" "&amp;Milestones!$AB$143&amp;" "&amp;Milestones!$AC$143&amp;";  ","")&amp;IF(AND(EDATE($D58,Milestones!$AA$144)&lt;=AsOfDate,IF($R58=0,$X58,IF(AND($T58&lt;&gt;"",EDATE($D58,Milestones!$AA$144)&gt;=$T58),$W58,IF(AND($S58&lt;&gt;"",EDATE($D58,Milestones!$AA$144)&gt;=$S58),$V58,$U58)))=Milestones!$AB$144),UPPER(TEXT(EDATE($D58,Milestones!$AA$144),"dd mmm yy"))&amp;" "&amp;Milestones!$AB$144&amp;" "&amp;Milestones!$AC$144&amp;";  ","")&amp;IF(AND(EDATE($D58,Milestones!$AA$145)&lt;=AsOfDate,IF($R58=0,$X58,IF(AND($T58&lt;&gt;"",EDATE($D58,Milestones!$AA$145)&gt;=$T58),$W58,IF(AND($S58&lt;&gt;"",EDATE($D58,Milestones!$AA$145)&gt;=$S58),$V58,$U58)))=Milestones!$AB$145),UPPER(TEXT(EDATE($D58,Milestones!$AA$145),"dd mmm yy"))&amp;" "&amp;Milestones!$AB$145&amp;" "&amp;Milestones!$AC$145&amp;";  ","")&amp;IF(AND(EDATE($D58,Milestones!$AA$146)&lt;=AsOfDate,IF($R58=0,$X58,IF(AND($T58&lt;&gt;"",EDATE($D58,Milestones!$AA$146)&gt;=$T58),$W58,IF(AND($S58&lt;&gt;"",EDATE($D58,Milestones!$AA$146)&gt;=$S58),$V58,$U58)))=Milestones!$AB$146),UPPER(TEXT(EDATE($D58,Milestones!$AA$146),"dd mmm yy"))&amp;" "&amp;Milestones!$AB$146&amp;" "&amp;Milestones!$AC$146&amp;";  ","")&amp;IF(AND(EDATE($D58,Milestones!$AA$147)&lt;=AsOfDate,IF($R58=0,$X58,IF(AND($T58&lt;&gt;"",EDATE($D58,Milestones!$AA$147)&gt;=$T58),$W58,IF(AND($S58&lt;&gt;"",EDATE($D58,Milestones!$AA$147)&gt;=$S58),$V58,$U58)))=Milestones!$AB$147),UPPER(TEXT(EDATE($D58,Milestones!$AA$147),"dd mmm yy"))&amp;" "&amp;Milestones!$AB$147&amp;" "&amp;Milestones!$AC$147&amp;";  ","")&amp;IF(AND(EDATE($D58,Milestones!$AA$148)&lt;=AsOfDate,IF($R58=0,$X58,IF(AND($T58&lt;&gt;"",EDATE($D58,Milestones!$AA$148)&gt;=$T58),$W58,IF(AND($S58&lt;&gt;"",EDATE($D58,Milestones!$AA$148)&gt;=$S58),$V58,$U58)))=Milestones!$AB$148),UPPER(TEXT(EDATE($D58,Milestones!$AA$148),"dd mmm yy"))&amp;" "&amp;Milestones!$AB$148&amp;" "&amp;Milestones!$AC$148&amp;";  ","")&amp;IF(AND(EDATE($D58,Milestones!$AA$149)&lt;=AsOfDate,IF($R58=0,$X58,IF(AND($T58&lt;&gt;"",EDATE($D58,Milestones!$AA$149)&gt;=$T58),$W58,IF(AND($S58&lt;&gt;"",EDATE($D58,Milestones!$AA$149)&gt;=$S58),$V58,$U58)))=Milestones!$AB$149),UPPER(TEXT(EDATE($D58,Milestones!$AA$149),"dd mmm yy"))&amp;" "&amp;Milestones!$AB$149&amp;" "&amp;Milestones!$AC$149&amp;";  ","")&amp;IF(AND(EDATE($D58,Milestones!$AA$150)&lt;=AsOfDate,IF($R58=0,$X58,IF(AND($T58&lt;&gt;"",EDATE($D58,Milestones!$AA$150)&gt;=$T58),$W58,IF(AND($S58&lt;&gt;"",EDATE($D58,Milestones!$AA$150)&gt;=$S58),$V58,$U58)))=Milestones!$AB$150),UPPER(TEXT(EDATE($D58,Milestones!$AA$150),"dd mmm yy"))&amp;" "&amp;Milestones!$AB$150&amp;" "&amp;Milestones!$AC$150&amp;";  ","")&amp;IF(AND(EDATE($D58,Milestones!$AA$151)&lt;=AsOfDate,IF($R58=0,$X58,IF(AND($T58&lt;&gt;"",EDATE($D58,Milestones!$AA$151)&gt;=$T58),$W58,IF(AND($S58&lt;&gt;"",EDATE($D58,Milestones!$AA$151)&gt;=$S58),$V58,$U58)))=Milestones!$AB$151),UPPER(TEXT(EDATE($D58,Milestones!$AA$151),"dd mmm yy"))&amp;" "&amp;Milestones!$AB$151&amp;" "&amp;Milestones!$AC$151&amp;";  ","")&amp;IF(AND(EDATE($D58,Milestones!$AA$152)&lt;=AsOfDate,IF($R58=0,$X58,IF(AND($T58&lt;&gt;"",EDATE($D58,Milestones!$AA$152)&gt;=$T58),$W58,IF(AND($S58&lt;&gt;"",EDATE($D58,Milestones!$AA$152)&gt;=$S58),$V58,$U58)))=Milestones!$AB$152),UPPER(TEXT(EDATE($D58,Milestones!$AA$152),"dd mmm yy"))&amp;" "&amp;Milestones!$AB$152&amp;" "&amp;Milestones!$AC$152&amp;";  ","")&amp;IF(AND(EDATE($D58,Milestones!$AA$153)&lt;=AsOfDate,IF($R58=0,$X58,IF(AND($T58&lt;&gt;"",EDATE($D58,Milestones!$AA$153)&gt;=$T58),$W58,IF(AND($S58&lt;&gt;"",EDATE($D58,Milestones!$AA$153)&gt;=$S58),$V58,$U58)))=Milestones!$AB$153),UPPER(TEXT(EDATE($D58,Milestones!$AA$153),"dd mmm yy"))&amp;" "&amp;Milestones!$AB$153&amp;" "&amp;Milestones!$AC$153&amp;";  ","")&amp;IF(AND(EDATE($D58,Milestones!$AA$154)&lt;=AsOfDate,IF($R58=0,$X58,IF(AND($T58&lt;&gt;"",EDATE($D58,Milestones!$AA$154)&gt;=$T58),$W58,IF(AND($S58&lt;&gt;"",EDATE($D58,Milestones!$AA$154)&gt;=$S58),$V58,$U58)))=Milestones!$AB$154),UPPER(TEXT(EDATE($D58,Milestones!$AA$154),"dd mmm yy"))&amp;" "&amp;Milestones!$AB$154&amp;" "&amp;Milestones!$AC$154&amp;";  ","")&amp;IF(AND(EDATE($D58,Milestones!$AA$155)&lt;=AsOfDate,IF($R58=0,$X58,IF(AND($T58&lt;&gt;"",EDATE($D58,Milestones!$AA$155)&gt;=$T58),$W58,IF(AND($S58&lt;&gt;"",EDATE($D58,Milestones!$AA$155)&gt;=$S58),$V58,$U58)))=Milestones!$AB$155),UPPER(TEXT(EDATE($D58,Milestones!$AA$155),"dd mmm yy"))&amp;" "&amp;Milestones!$AB$155&amp;" "&amp;Milestones!$AC$155&amp;";  ","")&amp;IF(AND(EDATE($D58,Milestones!$AA$156)&lt;=AsOfDate,IF($R58=0,$X58,IF(AND($T58&lt;&gt;"",EDATE($D58,Milestones!$AA$156)&gt;=$T58),$W58,IF(AND($S58&lt;&gt;"",EDATE($D58,Milestones!$AA$156)&gt;=$S58),$V58,$U58)))=Milestones!$AB$156),UPPER(TEXT(EDATE($D58,Milestones!$AA$156),"dd mmm yy"))&amp;" "&amp;Milestones!$AB$156&amp;" "&amp;Milestones!$AC$156&amp;";  ","")&amp;IF(AND(EDATE($D58,Milestones!$AA$157)&lt;=AsOfDate,IF($R58=0,$X58,IF(AND($T58&lt;&gt;"",EDATE($D58,Milestones!$AA$157)&gt;=$T58),$W58,IF(AND($S58&lt;&gt;"",EDATE($D58,Milestones!$AA$157)&gt;=$S58),$V58,$U58)))=Milestones!$AB$157),UPPER(TEXT(EDATE($D58,Milestones!$AA$157),"dd mmm yy"))&amp;" "&amp;Milestones!$AB$157&amp;" "&amp;Milestones!$AC$157&amp;";  ","")&amp;IF(AND(EDATE($D58,Milestones!$AA$158)&lt;=AsOfDate,IF($R58=0,$X58,IF(AND($T58&lt;&gt;"",EDATE($D58,Milestones!$AA$158)&gt;=$T58),$W58,IF(AND($S58&lt;&gt;"",EDATE($D58,Milestones!$AA$158)&gt;=$S58),$V58,$U58)))=Milestones!$AB$158),UPPER(TEXT(EDATE($D58,Milestones!$AA$158),"dd mmm yy"))&amp;" "&amp;Milestones!$AB$158&amp;" "&amp;Milestones!$AC$158&amp;";  ","")&amp;IF(AND(EDATE($D58,Milestones!$AA$159)&lt;=AsOfDate,IF($R58=0,$X58,IF(AND($T58&lt;&gt;"",EDATE($D58,Milestones!$AA$159)&gt;=$T58),$W58,IF(AND($S58&lt;&gt;"",EDATE($D58,Milestones!$AA$159)&gt;=$S58),$V58,$U58)))=Milestones!$AB$159),UPPER(TEXT(EDATE($D58,Milestones!$AA$159),"dd mmm yy"))&amp;" "&amp;Milestones!$AB$159&amp;" "&amp;Milestones!$AC$159&amp;";  ",""))</f>
        <v/>
      </c>
      <c r="P58" s="0" t="str">
        <f aca="false">IF(OR($A58="",$D58=""),"",IF(AND(EDATE($D58,Milestones!$AA$160)&lt;=AsOfDate,IF($R58=0,$X58,IF(AND($T58&lt;&gt;"",EDATE($D58,Milestones!$AA$160)&gt;=$T58),$W58,IF(AND($S58&lt;&gt;"",EDATE($D58,Milestones!$AA$160)&gt;=$S58),$V58,$U58)))=Milestones!$AB$160),UPPER(TEXT(EDATE($D58,Milestones!$AA$160),"dd mmm yy"))&amp;" "&amp;Milestones!$AB$160&amp;" "&amp;Milestones!$AC$160&amp;";  ","")&amp;IF(AND(EDATE($D58,Milestones!$AA$161)&lt;=AsOfDate,IF($R58=0,$X58,IF(AND($T58&lt;&gt;"",EDATE($D58,Milestones!$AA$161)&gt;=$T58),$W58,IF(AND($S58&lt;&gt;"",EDATE($D58,Milestones!$AA$161)&gt;=$S58),$V58,$U58)))=Milestones!$AB$161),UPPER(TEXT(EDATE($D58,Milestones!$AA$161),"dd mmm yy"))&amp;" "&amp;Milestones!$AB$161&amp;" "&amp;Milestones!$AC$161&amp;";  ","")&amp;IF(AND(EDATE($D58,Milestones!$AA$162)&lt;=AsOfDate,IF($R58=0,$X58,IF(AND($T58&lt;&gt;"",EDATE($D58,Milestones!$AA$162)&gt;=$T58),$W58,IF(AND($S58&lt;&gt;"",EDATE($D58,Milestones!$AA$162)&gt;=$S58),$V58,$U58)))=Milestones!$AB$162),UPPER(TEXT(EDATE($D58,Milestones!$AA$162),"dd mmm yy"))&amp;" "&amp;Milestones!$AB$162&amp;" "&amp;Milestones!$AC$162&amp;";  ","")&amp;IF(AND(EDATE($D58,Milestones!$AA$163)&lt;=AsOfDate,IF($R58=0,$X58,IF(AND($T58&lt;&gt;"",EDATE($D58,Milestones!$AA$163)&gt;=$T58),$W58,IF(AND($S58&lt;&gt;"",EDATE($D58,Milestones!$AA$163)&gt;=$S58),$V58,$U58)))=Milestones!$AB$163),UPPER(TEXT(EDATE($D58,Milestones!$AA$163),"dd mmm yy"))&amp;" "&amp;Milestones!$AB$163&amp;" "&amp;Milestones!$AC$163&amp;";  ","")&amp;IF(AND(EDATE($D58,Milestones!$AA$164)&lt;=AsOfDate,IF($R58=0,$X58,IF(AND($T58&lt;&gt;"",EDATE($D58,Milestones!$AA$164)&gt;=$T58),$W58,IF(AND($S58&lt;&gt;"",EDATE($D58,Milestones!$AA$164)&gt;=$S58),$V58,$U58)))=Milestones!$AB$164),UPPER(TEXT(EDATE($D58,Milestones!$AA$164),"dd mmm yy"))&amp;" "&amp;Milestones!$AB$164&amp;" "&amp;Milestones!$AC$164&amp;";  ","")&amp;IF(AND(EDATE($D58,Milestones!$AA$165)&lt;=AsOfDate,IF($R58=0,$X58,IF(AND($T58&lt;&gt;"",EDATE($D58,Milestones!$AA$165)&gt;=$T58),$W58,IF(AND($S58&lt;&gt;"",EDATE($D58,Milestones!$AA$165)&gt;=$S58),$V58,$U58)))=Milestones!$AB$165),UPPER(TEXT(EDATE($D58,Milestones!$AA$165),"dd mmm yy"))&amp;" "&amp;Milestones!$AB$165&amp;" "&amp;Milestones!$AC$165&amp;";  ","")&amp;IF(AND(EDATE($D58,Milestones!$AA$166)&lt;=AsOfDate,IF($R58=0,$X58,IF(AND($T58&lt;&gt;"",EDATE($D58,Milestones!$AA$166)&gt;=$T58),$W58,IF(AND($S58&lt;&gt;"",EDATE($D58,Milestones!$AA$166)&gt;=$S58),$V58,$U58)))=Milestones!$AB$166),UPPER(TEXT(EDATE($D58,Milestones!$AA$166),"dd mmm yy"))&amp;" "&amp;Milestones!$AB$166&amp;" "&amp;Milestones!$AC$166&amp;";  ","")&amp;IF(AND(EDATE($D58,Milestones!$AA$167)&lt;=AsOfDate,IF($R58=0,$X58,IF(AND($T58&lt;&gt;"",EDATE($D58,Milestones!$AA$167)&gt;=$T58),$W58,IF(AND($S58&lt;&gt;"",EDATE($D58,Milestones!$AA$167)&gt;=$S58),$V58,$U58)))=Milestones!$AB$167),UPPER(TEXT(EDATE($D58,Milestones!$AA$167),"dd mmm yy"))&amp;" "&amp;Milestones!$AB$167&amp;" "&amp;Milestones!$AC$167&amp;";  ","")&amp;IF(AND(EDATE($D58,Milestones!$AA$168)&lt;=AsOfDate,IF($R58=0,$X58,IF(AND($T58&lt;&gt;"",EDATE($D58,Milestones!$AA$168)&gt;=$T58),$W58,IF(AND($S58&lt;&gt;"",EDATE($D58,Milestones!$AA$168)&gt;=$S58),$V58,$U58)))=Milestones!$AB$168),UPPER(TEXT(EDATE($D58,Milestones!$AA$168),"dd mmm yy"))&amp;" "&amp;Milestones!$AB$168&amp;" "&amp;Milestones!$AC$168&amp;";  ","")&amp;IF(AND(EDATE($D58,Milestones!$AA$169)&lt;=AsOfDate,IF($R58=0,$X58,IF(AND($T58&lt;&gt;"",EDATE($D58,Milestones!$AA$169)&gt;=$T58),$W58,IF(AND($S58&lt;&gt;"",EDATE($D58,Milestones!$AA$169)&gt;=$S58),$V58,$U58)))=Milestones!$AB$169),UPPER(TEXT(EDATE($D58,Milestones!$AA$169),"dd mmm yy"))&amp;" "&amp;Milestones!$AB$169&amp;" "&amp;Milestones!$AC$169&amp;";  ","")&amp;IF(AND(EDATE($D58,Milestones!$AA$170)&lt;=AsOfDate,IF($R58=0,$X58,IF(AND($T58&lt;&gt;"",EDATE($D58,Milestones!$AA$170)&gt;=$T58),$W58,IF(AND($S58&lt;&gt;"",EDATE($D58,Milestones!$AA$170)&gt;=$S58),$V58,$U58)))=Milestones!$AB$170),UPPER(TEXT(EDATE($D58,Milestones!$AA$170),"dd mmm yy"))&amp;" "&amp;Milestones!$AB$170&amp;" "&amp;Milestones!$AC$170&amp;";  ","")&amp;IF(AND(EDATE($D58,Milestones!$AA$171)&lt;=AsOfDate,IF($R58=0,$X58,IF(AND($T58&lt;&gt;"",EDATE($D58,Milestones!$AA$171)&gt;=$T58),$W58,IF(AND($S58&lt;&gt;"",EDATE($D58,Milestones!$AA$171)&gt;=$S58),$V58,$U58)))=Milestones!$AB$171),UPPER(TEXT(EDATE($D58,Milestones!$AA$171),"dd mmm yy"))&amp;" "&amp;Milestones!$AB$171&amp;" "&amp;Milestones!$AC$171&amp;";  ","")&amp;IF(AND(EDATE($D58,Milestones!$AA$172)&lt;=AsOfDate,IF($R58=0,$X58,IF(AND($T58&lt;&gt;"",EDATE($D58,Milestones!$AA$172)&gt;=$T58),$W58,IF(AND($S58&lt;&gt;"",EDATE($D58,Milestones!$AA$172)&gt;=$S58),$V58,$U58)))=Milestones!$AB$172),UPPER(TEXT(EDATE($D58,Milestones!$AA$172),"dd mmm yy"))&amp;" "&amp;Milestones!$AB$172&amp;" "&amp;Milestones!$AC$172&amp;";  ","")&amp;IF(AND(EDATE($D58,Milestones!$AA$173)&lt;=AsOfDate,IF($R58=0,$X58,IF(AND($T58&lt;&gt;"",EDATE($D58,Milestones!$AA$173)&gt;=$T58),$W58,IF(AND($S58&lt;&gt;"",EDATE($D58,Milestones!$AA$173)&gt;=$S58),$V58,$U58)))=Milestones!$AB$173),UPPER(TEXT(EDATE($D58,Milestones!$AA$173),"dd mmm yy"))&amp;" "&amp;Milestones!$AB$173&amp;" "&amp;Milestones!$AC$173&amp;";  ","")&amp;IF(AND(EDATE($D58,Milestones!$AA$174)&lt;=AsOfDate,IF($R58=0,$X58,IF(AND($T58&lt;&gt;"",EDATE($D58,Milestones!$AA$174)&gt;=$T58),$W58,IF(AND($S58&lt;&gt;"",EDATE($D58,Milestones!$AA$174)&gt;=$S58),$V58,$U58)))=Milestones!$AB$174),UPPER(TEXT(EDATE($D58,Milestones!$AA$174),"dd mmm yy"))&amp;" "&amp;Milestones!$AB$174&amp;" "&amp;Milestones!$AC$174&amp;";  ","")&amp;IF(AND(EDATE($D58,Milestones!$AA$175)&lt;=AsOfDate,IF($R58=0,$X58,IF(AND($T58&lt;&gt;"",EDATE($D58,Milestones!$AA$175)&gt;=$T58),$W58,IF(AND($S58&lt;&gt;"",EDATE($D58,Milestones!$AA$175)&gt;=$S58),$V58,$U58)))=Milestones!$AB$175),UPPER(TEXT(EDATE($D58,Milestones!$AA$175),"dd mmm yy"))&amp;" "&amp;Milestones!$AB$175&amp;" "&amp;Milestones!$AC$175&amp;";  ","")&amp;IF(AND(EDATE($D58,Milestones!$AA$176)&lt;=AsOfDate,IF($R58=0,$X58,IF(AND($T58&lt;&gt;"",EDATE($D58,Milestones!$AA$176)&gt;=$T58),$W58,IF(AND($S58&lt;&gt;"",EDATE($D58,Milestones!$AA$176)&gt;=$S58),$V58,$U58)))=Milestones!$AB$176),UPPER(TEXT(EDATE($D58,Milestones!$AA$176),"dd mmm yy"))&amp;" "&amp;Milestones!$AB$176&amp;" "&amp;Milestones!$AC$176&amp;";  ","")&amp;IF(AND(EDATE($D58,Milestones!$AA$177)&lt;=AsOfDate,IF($R58=0,$X58,IF(AND($T58&lt;&gt;"",EDATE($D58,Milestones!$AA$177)&gt;=$T58),$W58,IF(AND($S58&lt;&gt;"",EDATE($D58,Milestones!$AA$177)&gt;=$S58),$V58,$U58)))=Milestones!$AB$177),UPPER(TEXT(EDATE($D58,Milestones!$AA$177),"dd mmm yy"))&amp;" "&amp;Milestones!$AB$177&amp;" "&amp;Milestones!$AC$177&amp;";  ","")&amp;IF(AND(EDATE($D58,Milestones!$AA$178)&lt;=AsOfDate,IF($R58=0,$X58,IF(AND($T58&lt;&gt;"",EDATE($D58,Milestones!$AA$178)&gt;=$T58),$W58,IF(AND($S58&lt;&gt;"",EDATE($D58,Milestones!$AA$178)&gt;=$S58),$V58,$U58)))=Milestones!$AB$178),UPPER(TEXT(EDATE($D58,Milestones!$AA$178),"dd mmm yy"))&amp;" "&amp;Milestones!$AB$178&amp;" "&amp;Milestones!$AC$178&amp;";  ","")&amp;IF(AND(EDATE($D58,Milestones!$AA$179)&lt;=AsOfDate,IF($R58=0,$X58,IF(AND($T58&lt;&gt;"",EDATE($D58,Milestones!$AA$179)&gt;=$T58),$W58,IF(AND($S58&lt;&gt;"",EDATE($D58,Milestones!$AA$179)&gt;=$S58),$V58,$U58)))=Milestones!$AB$179),UPPER(TEXT(EDATE($D58,Milestones!$AA$179),"dd mmm yy"))&amp;" "&amp;Milestones!$AB$179&amp;" "&amp;Milestones!$AC$179&amp;";  ",""))</f>
        <v/>
      </c>
      <c r="Q58" s="0" t="str">
        <f aca="false">IF(OR($A58="",$D58=""),"",IF(AND(EDATE($D58,Milestones!$AA$180)&lt;=AsOfDate,IF($R58=0,$X58,IF(AND($T58&lt;&gt;"",EDATE($D58,Milestones!$AA$180)&gt;=$T58),$W58,IF(AND($S58&lt;&gt;"",EDATE($D58,Milestones!$AA$180)&gt;=$S58),$V58,$U58)))=Milestones!$AB$180),UPPER(TEXT(EDATE($D58,Milestones!$AA$180),"dd mmm yy"))&amp;" "&amp;Milestones!$AB$180&amp;" "&amp;Milestones!$AC$180&amp;";  ","")&amp;IF(AND(EDATE($D58,Milestones!$AA$181)&lt;=AsOfDate,IF($R58=0,$X58,IF(AND($T58&lt;&gt;"",EDATE($D58,Milestones!$AA$181)&gt;=$T58),$W58,IF(AND($S58&lt;&gt;"",EDATE($D58,Milestones!$AA$181)&gt;=$S58),$V58,$U58)))=Milestones!$AB$181),UPPER(TEXT(EDATE($D58,Milestones!$AA$181),"dd mmm yy"))&amp;" "&amp;Milestones!$AB$181&amp;" "&amp;Milestones!$AC$181&amp;";  ","")&amp;IF(AND(EDATE($D58,Milestones!$AA$182)&lt;=AsOfDate,IF($R58=0,$X58,IF(AND($T58&lt;&gt;"",EDATE($D58,Milestones!$AA$182)&gt;=$T58),$W58,IF(AND($S58&lt;&gt;"",EDATE($D58,Milestones!$AA$182)&gt;=$S58),$V58,$U58)))=Milestones!$AB$182),UPPER(TEXT(EDATE($D58,Milestones!$AA$182),"dd mmm yy"))&amp;" "&amp;Milestones!$AB$182&amp;" "&amp;Milestones!$AC$182&amp;";  ","")&amp;IF(AND(EDATE($D58,Milestones!$AA$183)&lt;=AsOfDate,IF($R58=0,$X58,IF(AND($T58&lt;&gt;"",EDATE($D58,Milestones!$AA$183)&gt;=$T58),$W58,IF(AND($S58&lt;&gt;"",EDATE($D58,Milestones!$AA$183)&gt;=$S58),$V58,$U58)))=Milestones!$AB$183),UPPER(TEXT(EDATE($D58,Milestones!$AA$183),"dd mmm yy"))&amp;" "&amp;Milestones!$AB$183&amp;" "&amp;Milestones!$AC$183&amp;";  ","")&amp;IF(AND(EDATE($D58,Milestones!$AA$184)&lt;=AsOfDate,IF($R58=0,$X58,IF(AND($T58&lt;&gt;"",EDATE($D58,Milestones!$AA$184)&gt;=$T58),$W58,IF(AND($S58&lt;&gt;"",EDATE($D58,Milestones!$AA$184)&gt;=$S58),$V58,$U58)))=Milestones!$AB$184),UPPER(TEXT(EDATE($D58,Milestones!$AA$184),"dd mmm yy"))&amp;" "&amp;Milestones!$AB$184&amp;" "&amp;Milestones!$AC$184&amp;";  ","")&amp;IF(AND(EDATE($D58,Milestones!$AA$185)&lt;=AsOfDate,IF($R58=0,$X58,IF(AND($T58&lt;&gt;"",EDATE($D58,Milestones!$AA$185)&gt;=$T58),$W58,IF(AND($S58&lt;&gt;"",EDATE($D58,Milestones!$AA$185)&gt;=$S58),$V58,$U58)))=Milestones!$AB$185),UPPER(TEXT(EDATE($D58,Milestones!$AA$185),"dd mmm yy"))&amp;" "&amp;Milestones!$AB$185&amp;" "&amp;Milestones!$AC$185&amp;";  ","")&amp;IF(AND(EDATE($D58,Milestones!$AA$186)&lt;=AsOfDate,IF($R58=0,$X58,IF(AND($T58&lt;&gt;"",EDATE($D58,Milestones!$AA$186)&gt;=$T58),$W58,IF(AND($S58&lt;&gt;"",EDATE($D58,Milestones!$AA$186)&gt;=$S58),$V58,$U58)))=Milestones!$AB$186),UPPER(TEXT(EDATE($D58,Milestones!$AA$186),"dd mmm yy"))&amp;" "&amp;Milestones!$AB$186&amp;" "&amp;Milestones!$AC$186&amp;";  ","")&amp;IF(AND(EDATE($D58,Milestones!$AA$187)&lt;=AsOfDate,IF($R58=0,$X58,IF(AND($T58&lt;&gt;"",EDATE($D58,Milestones!$AA$187)&gt;=$T58),$W58,IF(AND($S58&lt;&gt;"",EDATE($D58,Milestones!$AA$187)&gt;=$S58),$V58,$U58)))=Milestones!$AB$187),UPPER(TEXT(EDATE($D58,Milestones!$AA$187),"dd mmm yy"))&amp;" "&amp;Milestones!$AB$187&amp;" "&amp;Milestones!$AC$187&amp;";  ","")&amp;IF(AND(EDATE($D58,Milestones!$AA$188)&lt;=AsOfDate,IF($R58=0,$X58,IF(AND($T58&lt;&gt;"",EDATE($D58,Milestones!$AA$188)&gt;=$T58),$W58,IF(AND($S58&lt;&gt;"",EDATE($D58,Milestones!$AA$188)&gt;=$S58),$V58,$U58)))=Milestones!$AB$188),UPPER(TEXT(EDATE($D58,Milestones!$AA$188),"dd mmm yy"))&amp;" "&amp;Milestones!$AB$188&amp;" "&amp;Milestones!$AC$188&amp;";  ","")&amp;IF(AND(EDATE($D58,Milestones!$AA$189)&lt;=AsOfDate,IF($R58=0,$X58,IF(AND($T58&lt;&gt;"",EDATE($D58,Milestones!$AA$189)&gt;=$T58),$W58,IF(AND($S58&lt;&gt;"",EDATE($D58,Milestones!$AA$189)&gt;=$S58),$V58,$U58)))=Milestones!$AB$189),UPPER(TEXT(EDATE($D58,Milestones!$AA$189),"dd mmm yy"))&amp;" "&amp;Milestones!$AB$189&amp;" "&amp;Milestones!$AC$189&amp;";  ","")&amp;IF(AND(EDATE($D58,Milestones!$AA$190)&lt;=AsOfDate,IF($R58=0,$X58,IF(AND($T58&lt;&gt;"",EDATE($D58,Milestones!$AA$190)&gt;=$T58),$W58,IF(AND($S58&lt;&gt;"",EDATE($D58,Milestones!$AA$190)&gt;=$S58),$V58,$U58)))=Milestones!$AB$190),UPPER(TEXT(EDATE($D58,Milestones!$AA$190),"dd mmm yy"))&amp;" "&amp;Milestones!$AB$190&amp;" "&amp;Milestones!$AC$190&amp;";  ","")&amp;IF(AND(EDATE($D58,Milestones!$AA$191)&lt;=AsOfDate,IF($R58=0,$X58,IF(AND($T58&lt;&gt;"",EDATE($D58,Milestones!$AA$191)&gt;=$T58),$W58,IF(AND($S58&lt;&gt;"",EDATE($D58,Milestones!$AA$191)&gt;=$S58),$V58,$U58)))=Milestones!$AB$191),UPPER(TEXT(EDATE($D58,Milestones!$AA$191),"dd mmm yy"))&amp;" "&amp;Milestones!$AB$191&amp;" "&amp;Milestones!$AC$191&amp;";  ","")&amp;IF(AND(EDATE($D58,Milestones!$AA$192)&lt;=AsOfDate,IF($R58=0,$X58,IF(AND($T58&lt;&gt;"",EDATE($D58,Milestones!$AA$192)&gt;=$T58),$W58,IF(AND($S58&lt;&gt;"",EDATE($D58,Milestones!$AA$192)&gt;=$S58),$V58,$U58)))=Milestones!$AB$192),UPPER(TEXT(EDATE($D58,Milestones!$AA$192),"dd mmm yy"))&amp;" "&amp;Milestones!$AB$192&amp;" "&amp;Milestones!$AC$192&amp;";  ","")&amp;IF(AND(EDATE($D58,Milestones!$AA$193)&lt;=AsOfDate,IF($R58=0,$X58,IF(AND($T58&lt;&gt;"",EDATE($D58,Milestones!$AA$193)&gt;=$T58),$W58,IF(AND($S58&lt;&gt;"",EDATE($D58,Milestones!$AA$193)&gt;=$S58),$V58,$U58)))=Milestones!$AB$193),UPPER(TEXT(EDATE($D58,Milestones!$AA$193),"dd mmm yy"))&amp;" "&amp;Milestones!$AB$193&amp;" "&amp;Milestones!$AC$193&amp;";  ","")&amp;IF(AND(EDATE($D58,Milestones!$AA$194)&lt;=AsOfDate,IF($R58=0,$X58,IF(AND($T58&lt;&gt;"",EDATE($D58,Milestones!$AA$194)&gt;=$T58),$W58,IF(AND($S58&lt;&gt;"",EDATE($D58,Milestones!$AA$194)&gt;=$S58),$V58,$U58)))=Milestones!$AB$194),UPPER(TEXT(EDATE($D58,Milestones!$AA$194),"dd mmm yy"))&amp;" "&amp;Milestones!$AB$194&amp;" "&amp;Milestones!$AC$194&amp;";  ","")&amp;IF(AND(EDATE($D58,Milestones!$AA$195)&lt;=AsOfDate,IF($R58=0,$X58,IF(AND($T58&lt;&gt;"",EDATE($D58,Milestones!$AA$195)&gt;=$T58),$W58,IF(AND($S58&lt;&gt;"",EDATE($D58,Milestones!$AA$195)&gt;=$S58),$V58,$U58)))=Milestones!$AB$195),UPPER(TEXT(EDATE($D58,Milestones!$AA$195),"dd mmm yy"))&amp;" "&amp;Milestones!$AB$195&amp;" "&amp;Milestones!$AC$195&amp;";  ","")&amp;IF(AND(EDATE($D58,Milestones!$AA$196)&lt;=AsOfDate,IF($R58=0,$X58,IF(AND($T58&lt;&gt;"",EDATE($D58,Milestones!$AA$196)&gt;=$T58),$W58,IF(AND($S58&lt;&gt;"",EDATE($D58,Milestones!$AA$196)&gt;=$S58),$V58,$U58)))=Milestones!$AB$196),UPPER(TEXT(EDATE($D58,Milestones!$AA$196),"dd mmm yy"))&amp;" "&amp;Milestones!$AB$196&amp;" "&amp;Milestones!$AC$196&amp;";  ","")&amp;IF(AND(EDATE($D58,Milestones!$AA$197)&lt;=AsOfDate,IF($R58=0,$X58,IF(AND($T58&lt;&gt;"",EDATE($D58,Milestones!$AA$197)&gt;=$T58),$W58,IF(AND($S58&lt;&gt;"",EDATE($D58,Milestones!$AA$197)&gt;=$S58),$V58,$U58)))=Milestones!$AB$197),UPPER(TEXT(EDATE($D58,Milestones!$AA$197),"dd mmm yy"))&amp;" "&amp;Milestones!$AB$197&amp;" "&amp;Milestones!$AC$197&amp;";  ","")&amp;IF(AND(EDATE($D58,Milestones!$AA$198)&lt;=AsOfDate,IF($R58=0,$X58,IF(AND($T58&lt;&gt;"",EDATE($D58,Milestones!$AA$198)&gt;=$T58),$W58,IF(AND($S58&lt;&gt;"",EDATE($D58,Milestones!$AA$198)&gt;=$S58),$V58,$U58)))=Milestones!$AB$198),UPPER(TEXT(EDATE($D58,Milestones!$AA$198),"dd mmm yy"))&amp;" "&amp;Milestones!$AB$198&amp;" "&amp;Milestones!$AC$198&amp;";  ","")&amp;IF(AND(EDATE($D58,Milestones!$AA$199)&lt;=AsOfDate,IF($R58=0,$X58,IF(AND($T58&lt;&gt;"",EDATE($D58,Milestones!$AA$199)&gt;=$T58),$W58,IF(AND($S58&lt;&gt;"",EDATE($D58,Milestones!$AA$199)&gt;=$S58),$V58,$U58)))=Milestones!$AB$199),UPPER(TEXT(EDATE($D58,Milestones!$AA$199),"dd mmm yy"))&amp;" "&amp;Milestones!$AB$199&amp;" "&amp;Milestones!$AC$199&amp;";  ",""))</f>
        <v/>
      </c>
      <c r="R58" s="0" t="str">
        <f aca="false">IF(Staff!$A58="","",Staff!$AI58)</f>
        <v/>
      </c>
      <c r="S58" s="0" t="str">
        <f aca="false">IF(Staff!$A58="","",Staff!$AK58)</f>
        <v/>
      </c>
      <c r="T58" s="0" t="str">
        <f aca="false">IF(Staff!$A58="","",Staff!$AL58)</f>
        <v/>
      </c>
      <c r="U58" s="0" t="str">
        <f aca="false">IF(Staff!$A58="","",Staff!$AP58)</f>
        <v/>
      </c>
      <c r="V58" s="0" t="str">
        <f aca="false">IF(Staff!$A58="","",Staff!$AQ58)</f>
        <v/>
      </c>
      <c r="W58" s="0" t="str">
        <f aca="false">IF(Staff!$A58="","",Staff!$AR58)</f>
        <v/>
      </c>
      <c r="X58" s="0" t="str">
        <f aca="false">IF(Staff!$A58="","",Staff!$AS58)</f>
        <v/>
      </c>
    </row>
    <row r="59" customFormat="false" ht="15" hidden="false" customHeight="false" outlineLevel="0" collapsed="false">
      <c r="A59" s="14" t="str">
        <f aca="false">IF(Staff!$A59="","",Staff!$A59)</f>
        <v/>
      </c>
      <c r="B59" s="14" t="str">
        <f aca="false">IF(Staff!$A59="","",Staff!$B59)</f>
        <v/>
      </c>
      <c r="C59" s="14" t="str">
        <f aca="false">IF(Staff!$A59="","",Staff!$C59)</f>
        <v/>
      </c>
      <c r="D59" s="12" t="str">
        <f aca="false">IF(Staff!$A59="","",Staff!$AH59)</f>
        <v/>
      </c>
      <c r="E59" s="14" t="str">
        <f aca="false">IF(Staff!$A59="","",Staff!$O59)</f>
        <v/>
      </c>
      <c r="F59" s="14" t="str">
        <f aca="false">IF(E59="","",E59*HoursPerDay)</f>
        <v/>
      </c>
      <c r="G59" s="14" t="str">
        <f aca="false">IF(Staff!$A59="","",Staff!$AE59)</f>
        <v/>
      </c>
      <c r="H59" s="26" t="str">
        <f aca="false">IF($A59="","",I59&amp;J59&amp;K59&amp;L59&amp;M59&amp;N59&amp;O59&amp;P59&amp;Q59)</f>
        <v/>
      </c>
      <c r="I59" s="0" t="str">
        <f aca="false">IF(OR($A59="",$D59=""),"",IF(AND(EDATE($D59,Milestones!$AA$20)&lt;=AsOfDate,IF($R59=0,$X59,IF(AND($T59&lt;&gt;"",EDATE($D59,Milestones!$AA$20)&gt;=$T59),$W59,IF(AND($S59&lt;&gt;"",EDATE($D59,Milestones!$AA$20)&gt;=$S59),$V59,$U59)))=Milestones!$AB$20),UPPER(TEXT(EDATE($D59,Milestones!$AA$20),"dd mmm yy"))&amp;" "&amp;Milestones!$AB$20&amp;" "&amp;Milestones!$AC$20&amp;";  ","")&amp;IF(AND(EDATE($D59,Milestones!$AA$21)&lt;=AsOfDate,IF($R59=0,$X59,IF(AND($T59&lt;&gt;"",EDATE($D59,Milestones!$AA$21)&gt;=$T59),$W59,IF(AND($S59&lt;&gt;"",EDATE($D59,Milestones!$AA$21)&gt;=$S59),$V59,$U59)))=Milestones!$AB$21),UPPER(TEXT(EDATE($D59,Milestones!$AA$21),"dd mmm yy"))&amp;" "&amp;Milestones!$AB$21&amp;" "&amp;Milestones!$AC$21&amp;";  ","")&amp;IF(AND(EDATE($D59,Milestones!$AA$22)&lt;=AsOfDate,IF($R59=0,$X59,IF(AND($T59&lt;&gt;"",EDATE($D59,Milestones!$AA$22)&gt;=$T59),$W59,IF(AND($S59&lt;&gt;"",EDATE($D59,Milestones!$AA$22)&gt;=$S59),$V59,$U59)))=Milestones!$AB$22),UPPER(TEXT(EDATE($D59,Milestones!$AA$22),"dd mmm yy"))&amp;" "&amp;Milestones!$AB$22&amp;" "&amp;Milestones!$AC$22&amp;";  ","")&amp;IF(AND(EDATE($D59,Milestones!$AA$23)&lt;=AsOfDate,IF($R59=0,$X59,IF(AND($T59&lt;&gt;"",EDATE($D59,Milestones!$AA$23)&gt;=$T59),$W59,IF(AND($S59&lt;&gt;"",EDATE($D59,Milestones!$AA$23)&gt;=$S59),$V59,$U59)))=Milestones!$AB$23),UPPER(TEXT(EDATE($D59,Milestones!$AA$23),"dd mmm yy"))&amp;" "&amp;Milestones!$AB$23&amp;" "&amp;Milestones!$AC$23&amp;";  ","")&amp;IF(AND(EDATE($D59,Milestones!$AA$24)&lt;=AsOfDate,IF($R59=0,$X59,IF(AND($T59&lt;&gt;"",EDATE($D59,Milestones!$AA$24)&gt;=$T59),$W59,IF(AND($S59&lt;&gt;"",EDATE($D59,Milestones!$AA$24)&gt;=$S59),$V59,$U59)))=Milestones!$AB$24),UPPER(TEXT(EDATE($D59,Milestones!$AA$24),"dd mmm yy"))&amp;" "&amp;Milestones!$AB$24&amp;" "&amp;Milestones!$AC$24&amp;";  ","")&amp;IF(AND(EDATE($D59,Milestones!$AA$25)&lt;=AsOfDate,IF($R59=0,$X59,IF(AND($T59&lt;&gt;"",EDATE($D59,Milestones!$AA$25)&gt;=$T59),$W59,IF(AND($S59&lt;&gt;"",EDATE($D59,Milestones!$AA$25)&gt;=$S59),$V59,$U59)))=Milestones!$AB$25),UPPER(TEXT(EDATE($D59,Milestones!$AA$25),"dd mmm yy"))&amp;" "&amp;Milestones!$AB$25&amp;" "&amp;Milestones!$AC$25&amp;";  ","")&amp;IF(AND(EDATE($D59,Milestones!$AA$26)&lt;=AsOfDate,IF($R59=0,$X59,IF(AND($T59&lt;&gt;"",EDATE($D59,Milestones!$AA$26)&gt;=$T59),$W59,IF(AND($S59&lt;&gt;"",EDATE($D59,Milestones!$AA$26)&gt;=$S59),$V59,$U59)))=Milestones!$AB$26),UPPER(TEXT(EDATE($D59,Milestones!$AA$26),"dd mmm yy"))&amp;" "&amp;Milestones!$AB$26&amp;" "&amp;Milestones!$AC$26&amp;";  ","")&amp;IF(AND(EDATE($D59,Milestones!$AA$27)&lt;=AsOfDate,IF($R59=0,$X59,IF(AND($T59&lt;&gt;"",EDATE($D59,Milestones!$AA$27)&gt;=$T59),$W59,IF(AND($S59&lt;&gt;"",EDATE($D59,Milestones!$AA$27)&gt;=$S59),$V59,$U59)))=Milestones!$AB$27),UPPER(TEXT(EDATE($D59,Milestones!$AA$27),"dd mmm yy"))&amp;" "&amp;Milestones!$AB$27&amp;" "&amp;Milestones!$AC$27&amp;";  ","")&amp;IF(AND(EDATE($D59,Milestones!$AA$28)&lt;=AsOfDate,IF($R59=0,$X59,IF(AND($T59&lt;&gt;"",EDATE($D59,Milestones!$AA$28)&gt;=$T59),$W59,IF(AND($S59&lt;&gt;"",EDATE($D59,Milestones!$AA$28)&gt;=$S59),$V59,$U59)))=Milestones!$AB$28),UPPER(TEXT(EDATE($D59,Milestones!$AA$28),"dd mmm yy"))&amp;" "&amp;Milestones!$AB$28&amp;" "&amp;Milestones!$AC$28&amp;";  ","")&amp;IF(AND(EDATE($D59,Milestones!$AA$29)&lt;=AsOfDate,IF($R59=0,$X59,IF(AND($T59&lt;&gt;"",EDATE($D59,Milestones!$AA$29)&gt;=$T59),$W59,IF(AND($S59&lt;&gt;"",EDATE($D59,Milestones!$AA$29)&gt;=$S59),$V59,$U59)))=Milestones!$AB$29),UPPER(TEXT(EDATE($D59,Milestones!$AA$29),"dd mmm yy"))&amp;" "&amp;Milestones!$AB$29&amp;" "&amp;Milestones!$AC$29&amp;";  ","")&amp;IF(AND(EDATE($D59,Milestones!$AA$30)&lt;=AsOfDate,IF($R59=0,$X59,IF(AND($T59&lt;&gt;"",EDATE($D59,Milestones!$AA$30)&gt;=$T59),$W59,IF(AND($S59&lt;&gt;"",EDATE($D59,Milestones!$AA$30)&gt;=$S59),$V59,$U59)))=Milestones!$AB$30),UPPER(TEXT(EDATE($D59,Milestones!$AA$30),"dd mmm yy"))&amp;" "&amp;Milestones!$AB$30&amp;" "&amp;Milestones!$AC$30&amp;";  ","")&amp;IF(AND(EDATE($D59,Milestones!$AA$31)&lt;=AsOfDate,IF($R59=0,$X59,IF(AND($T59&lt;&gt;"",EDATE($D59,Milestones!$AA$31)&gt;=$T59),$W59,IF(AND($S59&lt;&gt;"",EDATE($D59,Milestones!$AA$31)&gt;=$S59),$V59,$U59)))=Milestones!$AB$31),UPPER(TEXT(EDATE($D59,Milestones!$AA$31),"dd mmm yy"))&amp;" "&amp;Milestones!$AB$31&amp;" "&amp;Milestones!$AC$31&amp;";  ","")&amp;IF(AND(EDATE($D59,Milestones!$AA$32)&lt;=AsOfDate,IF($R59=0,$X59,IF(AND($T59&lt;&gt;"",EDATE($D59,Milestones!$AA$32)&gt;=$T59),$W59,IF(AND($S59&lt;&gt;"",EDATE($D59,Milestones!$AA$32)&gt;=$S59),$V59,$U59)))=Milestones!$AB$32),UPPER(TEXT(EDATE($D59,Milestones!$AA$32),"dd mmm yy"))&amp;" "&amp;Milestones!$AB$32&amp;" "&amp;Milestones!$AC$32&amp;";  ","")&amp;IF(AND(EDATE($D59,Milestones!$AA$33)&lt;=AsOfDate,IF($R59=0,$X59,IF(AND($T59&lt;&gt;"",EDATE($D59,Milestones!$AA$33)&gt;=$T59),$W59,IF(AND($S59&lt;&gt;"",EDATE($D59,Milestones!$AA$33)&gt;=$S59),$V59,$U59)))=Milestones!$AB$33),UPPER(TEXT(EDATE($D59,Milestones!$AA$33),"dd mmm yy"))&amp;" "&amp;Milestones!$AB$33&amp;" "&amp;Milestones!$AC$33&amp;";  ","")&amp;IF(AND(EDATE($D59,Milestones!$AA$34)&lt;=AsOfDate,IF($R59=0,$X59,IF(AND($T59&lt;&gt;"",EDATE($D59,Milestones!$AA$34)&gt;=$T59),$W59,IF(AND($S59&lt;&gt;"",EDATE($D59,Milestones!$AA$34)&gt;=$S59),$V59,$U59)))=Milestones!$AB$34),UPPER(TEXT(EDATE($D59,Milestones!$AA$34),"dd mmm yy"))&amp;" "&amp;Milestones!$AB$34&amp;" "&amp;Milestones!$AC$34&amp;";  ","")&amp;IF(AND(EDATE($D59,Milestones!$AA$35)&lt;=AsOfDate,IF($R59=0,$X59,IF(AND($T59&lt;&gt;"",EDATE($D59,Milestones!$AA$35)&gt;=$T59),$W59,IF(AND($S59&lt;&gt;"",EDATE($D59,Milestones!$AA$35)&gt;=$S59),$V59,$U59)))=Milestones!$AB$35),UPPER(TEXT(EDATE($D59,Milestones!$AA$35),"dd mmm yy"))&amp;" "&amp;Milestones!$AB$35&amp;" "&amp;Milestones!$AC$35&amp;";  ","")&amp;IF(AND(EDATE($D59,Milestones!$AA$36)&lt;=AsOfDate,IF($R59=0,$X59,IF(AND($T59&lt;&gt;"",EDATE($D59,Milestones!$AA$36)&gt;=$T59),$W59,IF(AND($S59&lt;&gt;"",EDATE($D59,Milestones!$AA$36)&gt;=$S59),$V59,$U59)))=Milestones!$AB$36),UPPER(TEXT(EDATE($D59,Milestones!$AA$36),"dd mmm yy"))&amp;" "&amp;Milestones!$AB$36&amp;" "&amp;Milestones!$AC$36&amp;";  ","")&amp;IF(AND(EDATE($D59,Milestones!$AA$37)&lt;=AsOfDate,IF($R59=0,$X59,IF(AND($T59&lt;&gt;"",EDATE($D59,Milestones!$AA$37)&gt;=$T59),$W59,IF(AND($S59&lt;&gt;"",EDATE($D59,Milestones!$AA$37)&gt;=$S59),$V59,$U59)))=Milestones!$AB$37),UPPER(TEXT(EDATE($D59,Milestones!$AA$37),"dd mmm yy"))&amp;" "&amp;Milestones!$AB$37&amp;" "&amp;Milestones!$AC$37&amp;";  ","")&amp;IF(AND(EDATE($D59,Milestones!$AA$38)&lt;=AsOfDate,IF($R59=0,$X59,IF(AND($T59&lt;&gt;"",EDATE($D59,Milestones!$AA$38)&gt;=$T59),$W59,IF(AND($S59&lt;&gt;"",EDATE($D59,Milestones!$AA$38)&gt;=$S59),$V59,$U59)))=Milestones!$AB$38),UPPER(TEXT(EDATE($D59,Milestones!$AA$38),"dd mmm yy"))&amp;" "&amp;Milestones!$AB$38&amp;" "&amp;Milestones!$AC$38&amp;";  ","")&amp;IF(AND(EDATE($D59,Milestones!$AA$39)&lt;=AsOfDate,IF($R59=0,$X59,IF(AND($T59&lt;&gt;"",EDATE($D59,Milestones!$AA$39)&gt;=$T59),$W59,IF(AND($S59&lt;&gt;"",EDATE($D59,Milestones!$AA$39)&gt;=$S59),$V59,$U59)))=Milestones!$AB$39),UPPER(TEXT(EDATE($D59,Milestones!$AA$39),"dd mmm yy"))&amp;" "&amp;Milestones!$AB$39&amp;" "&amp;Milestones!$AC$39&amp;";  ",""))</f>
        <v/>
      </c>
      <c r="J59" s="0" t="str">
        <f aca="false">IF(OR($A59="",$D59=""),"",IF(AND(EDATE($D59,Milestones!$AA$40)&lt;=AsOfDate,IF($R59=0,$X59,IF(AND($T59&lt;&gt;"",EDATE($D59,Milestones!$AA$40)&gt;=$T59),$W59,IF(AND($S59&lt;&gt;"",EDATE($D59,Milestones!$AA$40)&gt;=$S59),$V59,$U59)))=Milestones!$AB$40),UPPER(TEXT(EDATE($D59,Milestones!$AA$40),"dd mmm yy"))&amp;" "&amp;Milestones!$AB$40&amp;" "&amp;Milestones!$AC$40&amp;";  ","")&amp;IF(AND(EDATE($D59,Milestones!$AA$41)&lt;=AsOfDate,IF($R59=0,$X59,IF(AND($T59&lt;&gt;"",EDATE($D59,Milestones!$AA$41)&gt;=$T59),$W59,IF(AND($S59&lt;&gt;"",EDATE($D59,Milestones!$AA$41)&gt;=$S59),$V59,$U59)))=Milestones!$AB$41),UPPER(TEXT(EDATE($D59,Milestones!$AA$41),"dd mmm yy"))&amp;" "&amp;Milestones!$AB$41&amp;" "&amp;Milestones!$AC$41&amp;";  ","")&amp;IF(AND(EDATE($D59,Milestones!$AA$42)&lt;=AsOfDate,IF($R59=0,$X59,IF(AND($T59&lt;&gt;"",EDATE($D59,Milestones!$AA$42)&gt;=$T59),$W59,IF(AND($S59&lt;&gt;"",EDATE($D59,Milestones!$AA$42)&gt;=$S59),$V59,$U59)))=Milestones!$AB$42),UPPER(TEXT(EDATE($D59,Milestones!$AA$42),"dd mmm yy"))&amp;" "&amp;Milestones!$AB$42&amp;" "&amp;Milestones!$AC$42&amp;";  ","")&amp;IF(AND(EDATE($D59,Milestones!$AA$43)&lt;=AsOfDate,IF($R59=0,$X59,IF(AND($T59&lt;&gt;"",EDATE($D59,Milestones!$AA$43)&gt;=$T59),$W59,IF(AND($S59&lt;&gt;"",EDATE($D59,Milestones!$AA$43)&gt;=$S59),$V59,$U59)))=Milestones!$AB$43),UPPER(TEXT(EDATE($D59,Milestones!$AA$43),"dd mmm yy"))&amp;" "&amp;Milestones!$AB$43&amp;" "&amp;Milestones!$AC$43&amp;";  ","")&amp;IF(AND(EDATE($D59,Milestones!$AA$44)&lt;=AsOfDate,IF($R59=0,$X59,IF(AND($T59&lt;&gt;"",EDATE($D59,Milestones!$AA$44)&gt;=$T59),$W59,IF(AND($S59&lt;&gt;"",EDATE($D59,Milestones!$AA$44)&gt;=$S59),$V59,$U59)))=Milestones!$AB$44),UPPER(TEXT(EDATE($D59,Milestones!$AA$44),"dd mmm yy"))&amp;" "&amp;Milestones!$AB$44&amp;" "&amp;Milestones!$AC$44&amp;";  ","")&amp;IF(AND(EDATE($D59,Milestones!$AA$45)&lt;=AsOfDate,IF($R59=0,$X59,IF(AND($T59&lt;&gt;"",EDATE($D59,Milestones!$AA$45)&gt;=$T59),$W59,IF(AND($S59&lt;&gt;"",EDATE($D59,Milestones!$AA$45)&gt;=$S59),$V59,$U59)))=Milestones!$AB$45),UPPER(TEXT(EDATE($D59,Milestones!$AA$45),"dd mmm yy"))&amp;" "&amp;Milestones!$AB$45&amp;" "&amp;Milestones!$AC$45&amp;";  ","")&amp;IF(AND(EDATE($D59,Milestones!$AA$46)&lt;=AsOfDate,IF($R59=0,$X59,IF(AND($T59&lt;&gt;"",EDATE($D59,Milestones!$AA$46)&gt;=$T59),$W59,IF(AND($S59&lt;&gt;"",EDATE($D59,Milestones!$AA$46)&gt;=$S59),$V59,$U59)))=Milestones!$AB$46),UPPER(TEXT(EDATE($D59,Milestones!$AA$46),"dd mmm yy"))&amp;" "&amp;Milestones!$AB$46&amp;" "&amp;Milestones!$AC$46&amp;";  ","")&amp;IF(AND(EDATE($D59,Milestones!$AA$47)&lt;=AsOfDate,IF($R59=0,$X59,IF(AND($T59&lt;&gt;"",EDATE($D59,Milestones!$AA$47)&gt;=$T59),$W59,IF(AND($S59&lt;&gt;"",EDATE($D59,Milestones!$AA$47)&gt;=$S59),$V59,$U59)))=Milestones!$AB$47),UPPER(TEXT(EDATE($D59,Milestones!$AA$47),"dd mmm yy"))&amp;" "&amp;Milestones!$AB$47&amp;" "&amp;Milestones!$AC$47&amp;";  ","")&amp;IF(AND(EDATE($D59,Milestones!$AA$48)&lt;=AsOfDate,IF($R59=0,$X59,IF(AND($T59&lt;&gt;"",EDATE($D59,Milestones!$AA$48)&gt;=$T59),$W59,IF(AND($S59&lt;&gt;"",EDATE($D59,Milestones!$AA$48)&gt;=$S59),$V59,$U59)))=Milestones!$AB$48),UPPER(TEXT(EDATE($D59,Milestones!$AA$48),"dd mmm yy"))&amp;" "&amp;Milestones!$AB$48&amp;" "&amp;Milestones!$AC$48&amp;";  ","")&amp;IF(AND(EDATE($D59,Milestones!$AA$49)&lt;=AsOfDate,IF($R59=0,$X59,IF(AND($T59&lt;&gt;"",EDATE($D59,Milestones!$AA$49)&gt;=$T59),$W59,IF(AND($S59&lt;&gt;"",EDATE($D59,Milestones!$AA$49)&gt;=$S59),$V59,$U59)))=Milestones!$AB$49),UPPER(TEXT(EDATE($D59,Milestones!$AA$49),"dd mmm yy"))&amp;" "&amp;Milestones!$AB$49&amp;" "&amp;Milestones!$AC$49&amp;";  ","")&amp;IF(AND(EDATE($D59,Milestones!$AA$50)&lt;=AsOfDate,IF($R59=0,$X59,IF(AND($T59&lt;&gt;"",EDATE($D59,Milestones!$AA$50)&gt;=$T59),$W59,IF(AND($S59&lt;&gt;"",EDATE($D59,Milestones!$AA$50)&gt;=$S59),$V59,$U59)))=Milestones!$AB$50),UPPER(TEXT(EDATE($D59,Milestones!$AA$50),"dd mmm yy"))&amp;" "&amp;Milestones!$AB$50&amp;" "&amp;Milestones!$AC$50&amp;";  ","")&amp;IF(AND(EDATE($D59,Milestones!$AA$51)&lt;=AsOfDate,IF($R59=0,$X59,IF(AND($T59&lt;&gt;"",EDATE($D59,Milestones!$AA$51)&gt;=$T59),$W59,IF(AND($S59&lt;&gt;"",EDATE($D59,Milestones!$AA$51)&gt;=$S59),$V59,$U59)))=Milestones!$AB$51),UPPER(TEXT(EDATE($D59,Milestones!$AA$51),"dd mmm yy"))&amp;" "&amp;Milestones!$AB$51&amp;" "&amp;Milestones!$AC$51&amp;";  ","")&amp;IF(AND(EDATE($D59,Milestones!$AA$52)&lt;=AsOfDate,IF($R59=0,$X59,IF(AND($T59&lt;&gt;"",EDATE($D59,Milestones!$AA$52)&gt;=$T59),$W59,IF(AND($S59&lt;&gt;"",EDATE($D59,Milestones!$AA$52)&gt;=$S59),$V59,$U59)))=Milestones!$AB$52),UPPER(TEXT(EDATE($D59,Milestones!$AA$52),"dd mmm yy"))&amp;" "&amp;Milestones!$AB$52&amp;" "&amp;Milestones!$AC$52&amp;";  ","")&amp;IF(AND(EDATE($D59,Milestones!$AA$53)&lt;=AsOfDate,IF($R59=0,$X59,IF(AND($T59&lt;&gt;"",EDATE($D59,Milestones!$AA$53)&gt;=$T59),$W59,IF(AND($S59&lt;&gt;"",EDATE($D59,Milestones!$AA$53)&gt;=$S59),$V59,$U59)))=Milestones!$AB$53),UPPER(TEXT(EDATE($D59,Milestones!$AA$53),"dd mmm yy"))&amp;" "&amp;Milestones!$AB$53&amp;" "&amp;Milestones!$AC$53&amp;";  ","")&amp;IF(AND(EDATE($D59,Milestones!$AA$54)&lt;=AsOfDate,IF($R59=0,$X59,IF(AND($T59&lt;&gt;"",EDATE($D59,Milestones!$AA$54)&gt;=$T59),$W59,IF(AND($S59&lt;&gt;"",EDATE($D59,Milestones!$AA$54)&gt;=$S59),$V59,$U59)))=Milestones!$AB$54),UPPER(TEXT(EDATE($D59,Milestones!$AA$54),"dd mmm yy"))&amp;" "&amp;Milestones!$AB$54&amp;" "&amp;Milestones!$AC$54&amp;";  ","")&amp;IF(AND(EDATE($D59,Milestones!$AA$55)&lt;=AsOfDate,IF($R59=0,$X59,IF(AND($T59&lt;&gt;"",EDATE($D59,Milestones!$AA$55)&gt;=$T59),$W59,IF(AND($S59&lt;&gt;"",EDATE($D59,Milestones!$AA$55)&gt;=$S59),$V59,$U59)))=Milestones!$AB$55),UPPER(TEXT(EDATE($D59,Milestones!$AA$55),"dd mmm yy"))&amp;" "&amp;Milestones!$AB$55&amp;" "&amp;Milestones!$AC$55&amp;";  ","")&amp;IF(AND(EDATE($D59,Milestones!$AA$56)&lt;=AsOfDate,IF($R59=0,$X59,IF(AND($T59&lt;&gt;"",EDATE($D59,Milestones!$AA$56)&gt;=$T59),$W59,IF(AND($S59&lt;&gt;"",EDATE($D59,Milestones!$AA$56)&gt;=$S59),$V59,$U59)))=Milestones!$AB$56),UPPER(TEXT(EDATE($D59,Milestones!$AA$56),"dd mmm yy"))&amp;" "&amp;Milestones!$AB$56&amp;" "&amp;Milestones!$AC$56&amp;";  ","")&amp;IF(AND(EDATE($D59,Milestones!$AA$57)&lt;=AsOfDate,IF($R59=0,$X59,IF(AND($T59&lt;&gt;"",EDATE($D59,Milestones!$AA$57)&gt;=$T59),$W59,IF(AND($S59&lt;&gt;"",EDATE($D59,Milestones!$AA$57)&gt;=$S59),$V59,$U59)))=Milestones!$AB$57),UPPER(TEXT(EDATE($D59,Milestones!$AA$57),"dd mmm yy"))&amp;" "&amp;Milestones!$AB$57&amp;" "&amp;Milestones!$AC$57&amp;";  ","")&amp;IF(AND(EDATE($D59,Milestones!$AA$58)&lt;=AsOfDate,IF($R59=0,$X59,IF(AND($T59&lt;&gt;"",EDATE($D59,Milestones!$AA$58)&gt;=$T59),$W59,IF(AND($S59&lt;&gt;"",EDATE($D59,Milestones!$AA$58)&gt;=$S59),$V59,$U59)))=Milestones!$AB$58),UPPER(TEXT(EDATE($D59,Milestones!$AA$58),"dd mmm yy"))&amp;" "&amp;Milestones!$AB$58&amp;" "&amp;Milestones!$AC$58&amp;";  ","")&amp;IF(AND(EDATE($D59,Milestones!$AA$59)&lt;=AsOfDate,IF($R59=0,$X59,IF(AND($T59&lt;&gt;"",EDATE($D59,Milestones!$AA$59)&gt;=$T59),$W59,IF(AND($S59&lt;&gt;"",EDATE($D59,Milestones!$AA$59)&gt;=$S59),$V59,$U59)))=Milestones!$AB$59),UPPER(TEXT(EDATE($D59,Milestones!$AA$59),"dd mmm yy"))&amp;" "&amp;Milestones!$AB$59&amp;" "&amp;Milestones!$AC$59&amp;";  ",""))</f>
        <v/>
      </c>
      <c r="K59" s="0" t="str">
        <f aca="false">IF(OR($A59="",$D59=""),"",IF(AND(EDATE($D59,Milestones!$AA$60)&lt;=AsOfDate,IF($R59=0,$X59,IF(AND($T59&lt;&gt;"",EDATE($D59,Milestones!$AA$60)&gt;=$T59),$W59,IF(AND($S59&lt;&gt;"",EDATE($D59,Milestones!$AA$60)&gt;=$S59),$V59,$U59)))=Milestones!$AB$60),UPPER(TEXT(EDATE($D59,Milestones!$AA$60),"dd mmm yy"))&amp;" "&amp;Milestones!$AB$60&amp;" "&amp;Milestones!$AC$60&amp;";  ","")&amp;IF(AND(EDATE($D59,Milestones!$AA$61)&lt;=AsOfDate,IF($R59=0,$X59,IF(AND($T59&lt;&gt;"",EDATE($D59,Milestones!$AA$61)&gt;=$T59),$W59,IF(AND($S59&lt;&gt;"",EDATE($D59,Milestones!$AA$61)&gt;=$S59),$V59,$U59)))=Milestones!$AB$61),UPPER(TEXT(EDATE($D59,Milestones!$AA$61),"dd mmm yy"))&amp;" "&amp;Milestones!$AB$61&amp;" "&amp;Milestones!$AC$61&amp;";  ","")&amp;IF(AND(EDATE($D59,Milestones!$AA$62)&lt;=AsOfDate,IF($R59=0,$X59,IF(AND($T59&lt;&gt;"",EDATE($D59,Milestones!$AA$62)&gt;=$T59),$W59,IF(AND($S59&lt;&gt;"",EDATE($D59,Milestones!$AA$62)&gt;=$S59),$V59,$U59)))=Milestones!$AB$62),UPPER(TEXT(EDATE($D59,Milestones!$AA$62),"dd mmm yy"))&amp;" "&amp;Milestones!$AB$62&amp;" "&amp;Milestones!$AC$62&amp;";  ","")&amp;IF(AND(EDATE($D59,Milestones!$AA$63)&lt;=AsOfDate,IF($R59=0,$X59,IF(AND($T59&lt;&gt;"",EDATE($D59,Milestones!$AA$63)&gt;=$T59),$W59,IF(AND($S59&lt;&gt;"",EDATE($D59,Milestones!$AA$63)&gt;=$S59),$V59,$U59)))=Milestones!$AB$63),UPPER(TEXT(EDATE($D59,Milestones!$AA$63),"dd mmm yy"))&amp;" "&amp;Milestones!$AB$63&amp;" "&amp;Milestones!$AC$63&amp;";  ","")&amp;IF(AND(EDATE($D59,Milestones!$AA$64)&lt;=AsOfDate,IF($R59=0,$X59,IF(AND($T59&lt;&gt;"",EDATE($D59,Milestones!$AA$64)&gt;=$T59),$W59,IF(AND($S59&lt;&gt;"",EDATE($D59,Milestones!$AA$64)&gt;=$S59),$V59,$U59)))=Milestones!$AB$64),UPPER(TEXT(EDATE($D59,Milestones!$AA$64),"dd mmm yy"))&amp;" "&amp;Milestones!$AB$64&amp;" "&amp;Milestones!$AC$64&amp;";  ","")&amp;IF(AND(EDATE($D59,Milestones!$AA$65)&lt;=AsOfDate,IF($R59=0,$X59,IF(AND($T59&lt;&gt;"",EDATE($D59,Milestones!$AA$65)&gt;=$T59),$W59,IF(AND($S59&lt;&gt;"",EDATE($D59,Milestones!$AA$65)&gt;=$S59),$V59,$U59)))=Milestones!$AB$65),UPPER(TEXT(EDATE($D59,Milestones!$AA$65),"dd mmm yy"))&amp;" "&amp;Milestones!$AB$65&amp;" "&amp;Milestones!$AC$65&amp;";  ","")&amp;IF(AND(EDATE($D59,Milestones!$AA$66)&lt;=AsOfDate,IF($R59=0,$X59,IF(AND($T59&lt;&gt;"",EDATE($D59,Milestones!$AA$66)&gt;=$T59),$W59,IF(AND($S59&lt;&gt;"",EDATE($D59,Milestones!$AA$66)&gt;=$S59),$V59,$U59)))=Milestones!$AB$66),UPPER(TEXT(EDATE($D59,Milestones!$AA$66),"dd mmm yy"))&amp;" "&amp;Milestones!$AB$66&amp;" "&amp;Milestones!$AC$66&amp;";  ","")&amp;IF(AND(EDATE($D59,Milestones!$AA$67)&lt;=AsOfDate,IF($R59=0,$X59,IF(AND($T59&lt;&gt;"",EDATE($D59,Milestones!$AA$67)&gt;=$T59),$W59,IF(AND($S59&lt;&gt;"",EDATE($D59,Milestones!$AA$67)&gt;=$S59),$V59,$U59)))=Milestones!$AB$67),UPPER(TEXT(EDATE($D59,Milestones!$AA$67),"dd mmm yy"))&amp;" "&amp;Milestones!$AB$67&amp;" "&amp;Milestones!$AC$67&amp;";  ","")&amp;IF(AND(EDATE($D59,Milestones!$AA$68)&lt;=AsOfDate,IF($R59=0,$X59,IF(AND($T59&lt;&gt;"",EDATE($D59,Milestones!$AA$68)&gt;=$T59),$W59,IF(AND($S59&lt;&gt;"",EDATE($D59,Milestones!$AA$68)&gt;=$S59),$V59,$U59)))=Milestones!$AB$68),UPPER(TEXT(EDATE($D59,Milestones!$AA$68),"dd mmm yy"))&amp;" "&amp;Milestones!$AB$68&amp;" "&amp;Milestones!$AC$68&amp;";  ","")&amp;IF(AND(EDATE($D59,Milestones!$AA$69)&lt;=AsOfDate,IF($R59=0,$X59,IF(AND($T59&lt;&gt;"",EDATE($D59,Milestones!$AA$69)&gt;=$T59),$W59,IF(AND($S59&lt;&gt;"",EDATE($D59,Milestones!$AA$69)&gt;=$S59),$V59,$U59)))=Milestones!$AB$69),UPPER(TEXT(EDATE($D59,Milestones!$AA$69),"dd mmm yy"))&amp;" "&amp;Milestones!$AB$69&amp;" "&amp;Milestones!$AC$69&amp;";  ","")&amp;IF(AND(EDATE($D59,Milestones!$AA$70)&lt;=AsOfDate,IF($R59=0,$X59,IF(AND($T59&lt;&gt;"",EDATE($D59,Milestones!$AA$70)&gt;=$T59),$W59,IF(AND($S59&lt;&gt;"",EDATE($D59,Milestones!$AA$70)&gt;=$S59),$V59,$U59)))=Milestones!$AB$70),UPPER(TEXT(EDATE($D59,Milestones!$AA$70),"dd mmm yy"))&amp;" "&amp;Milestones!$AB$70&amp;" "&amp;Milestones!$AC$70&amp;";  ","")&amp;IF(AND(EDATE($D59,Milestones!$AA$71)&lt;=AsOfDate,IF($R59=0,$X59,IF(AND($T59&lt;&gt;"",EDATE($D59,Milestones!$AA$71)&gt;=$T59),$W59,IF(AND($S59&lt;&gt;"",EDATE($D59,Milestones!$AA$71)&gt;=$S59),$V59,$U59)))=Milestones!$AB$71),UPPER(TEXT(EDATE($D59,Milestones!$AA$71),"dd mmm yy"))&amp;" "&amp;Milestones!$AB$71&amp;" "&amp;Milestones!$AC$71&amp;";  ","")&amp;IF(AND(EDATE($D59,Milestones!$AA$72)&lt;=AsOfDate,IF($R59=0,$X59,IF(AND($T59&lt;&gt;"",EDATE($D59,Milestones!$AA$72)&gt;=$T59),$W59,IF(AND($S59&lt;&gt;"",EDATE($D59,Milestones!$AA$72)&gt;=$S59),$V59,$U59)))=Milestones!$AB$72),UPPER(TEXT(EDATE($D59,Milestones!$AA$72),"dd mmm yy"))&amp;" "&amp;Milestones!$AB$72&amp;" "&amp;Milestones!$AC$72&amp;";  ","")&amp;IF(AND(EDATE($D59,Milestones!$AA$73)&lt;=AsOfDate,IF($R59=0,$X59,IF(AND($T59&lt;&gt;"",EDATE($D59,Milestones!$AA$73)&gt;=$T59),$W59,IF(AND($S59&lt;&gt;"",EDATE($D59,Milestones!$AA$73)&gt;=$S59),$V59,$U59)))=Milestones!$AB$73),UPPER(TEXT(EDATE($D59,Milestones!$AA$73),"dd mmm yy"))&amp;" "&amp;Milestones!$AB$73&amp;" "&amp;Milestones!$AC$73&amp;";  ","")&amp;IF(AND(EDATE($D59,Milestones!$AA$74)&lt;=AsOfDate,IF($R59=0,$X59,IF(AND($T59&lt;&gt;"",EDATE($D59,Milestones!$AA$74)&gt;=$T59),$W59,IF(AND($S59&lt;&gt;"",EDATE($D59,Milestones!$AA$74)&gt;=$S59),$V59,$U59)))=Milestones!$AB$74),UPPER(TEXT(EDATE($D59,Milestones!$AA$74),"dd mmm yy"))&amp;" "&amp;Milestones!$AB$74&amp;" "&amp;Milestones!$AC$74&amp;";  ","")&amp;IF(AND(EDATE($D59,Milestones!$AA$75)&lt;=AsOfDate,IF($R59=0,$X59,IF(AND($T59&lt;&gt;"",EDATE($D59,Milestones!$AA$75)&gt;=$T59),$W59,IF(AND($S59&lt;&gt;"",EDATE($D59,Milestones!$AA$75)&gt;=$S59),$V59,$U59)))=Milestones!$AB$75),UPPER(TEXT(EDATE($D59,Milestones!$AA$75),"dd mmm yy"))&amp;" "&amp;Milestones!$AB$75&amp;" "&amp;Milestones!$AC$75&amp;";  ","")&amp;IF(AND(EDATE($D59,Milestones!$AA$76)&lt;=AsOfDate,IF($R59=0,$X59,IF(AND($T59&lt;&gt;"",EDATE($D59,Milestones!$AA$76)&gt;=$T59),$W59,IF(AND($S59&lt;&gt;"",EDATE($D59,Milestones!$AA$76)&gt;=$S59),$V59,$U59)))=Milestones!$AB$76),UPPER(TEXT(EDATE($D59,Milestones!$AA$76),"dd mmm yy"))&amp;" "&amp;Milestones!$AB$76&amp;" "&amp;Milestones!$AC$76&amp;";  ","")&amp;IF(AND(EDATE($D59,Milestones!$AA$77)&lt;=AsOfDate,IF($R59=0,$X59,IF(AND($T59&lt;&gt;"",EDATE($D59,Milestones!$AA$77)&gt;=$T59),$W59,IF(AND($S59&lt;&gt;"",EDATE($D59,Milestones!$AA$77)&gt;=$S59),$V59,$U59)))=Milestones!$AB$77),UPPER(TEXT(EDATE($D59,Milestones!$AA$77),"dd mmm yy"))&amp;" "&amp;Milestones!$AB$77&amp;" "&amp;Milestones!$AC$77&amp;";  ","")&amp;IF(AND(EDATE($D59,Milestones!$AA$78)&lt;=AsOfDate,IF($R59=0,$X59,IF(AND($T59&lt;&gt;"",EDATE($D59,Milestones!$AA$78)&gt;=$T59),$W59,IF(AND($S59&lt;&gt;"",EDATE($D59,Milestones!$AA$78)&gt;=$S59),$V59,$U59)))=Milestones!$AB$78),UPPER(TEXT(EDATE($D59,Milestones!$AA$78),"dd mmm yy"))&amp;" "&amp;Milestones!$AB$78&amp;" "&amp;Milestones!$AC$78&amp;";  ","")&amp;IF(AND(EDATE($D59,Milestones!$AA$79)&lt;=AsOfDate,IF($R59=0,$X59,IF(AND($T59&lt;&gt;"",EDATE($D59,Milestones!$AA$79)&gt;=$T59),$W59,IF(AND($S59&lt;&gt;"",EDATE($D59,Milestones!$AA$79)&gt;=$S59),$V59,$U59)))=Milestones!$AB$79),UPPER(TEXT(EDATE($D59,Milestones!$AA$79),"dd mmm yy"))&amp;" "&amp;Milestones!$AB$79&amp;" "&amp;Milestones!$AC$79&amp;";  ",""))</f>
        <v/>
      </c>
      <c r="L59" s="0" t="str">
        <f aca="false">IF(OR($A59="",$D59=""),"",IF(AND(EDATE($D59,Milestones!$AA$80)&lt;=AsOfDate,IF($R59=0,$X59,IF(AND($T59&lt;&gt;"",EDATE($D59,Milestones!$AA$80)&gt;=$T59),$W59,IF(AND($S59&lt;&gt;"",EDATE($D59,Milestones!$AA$80)&gt;=$S59),$V59,$U59)))=Milestones!$AB$80),UPPER(TEXT(EDATE($D59,Milestones!$AA$80),"dd mmm yy"))&amp;" "&amp;Milestones!$AB$80&amp;" "&amp;Milestones!$AC$80&amp;";  ","")&amp;IF(AND(EDATE($D59,Milestones!$AA$81)&lt;=AsOfDate,IF($R59=0,$X59,IF(AND($T59&lt;&gt;"",EDATE($D59,Milestones!$AA$81)&gt;=$T59),$W59,IF(AND($S59&lt;&gt;"",EDATE($D59,Milestones!$AA$81)&gt;=$S59),$V59,$U59)))=Milestones!$AB$81),UPPER(TEXT(EDATE($D59,Milestones!$AA$81),"dd mmm yy"))&amp;" "&amp;Milestones!$AB$81&amp;" "&amp;Milestones!$AC$81&amp;";  ","")&amp;IF(AND(EDATE($D59,Milestones!$AA$82)&lt;=AsOfDate,IF($R59=0,$X59,IF(AND($T59&lt;&gt;"",EDATE($D59,Milestones!$AA$82)&gt;=$T59),$W59,IF(AND($S59&lt;&gt;"",EDATE($D59,Milestones!$AA$82)&gt;=$S59),$V59,$U59)))=Milestones!$AB$82),UPPER(TEXT(EDATE($D59,Milestones!$AA$82),"dd mmm yy"))&amp;" "&amp;Milestones!$AB$82&amp;" "&amp;Milestones!$AC$82&amp;";  ","")&amp;IF(AND(EDATE($D59,Milestones!$AA$83)&lt;=AsOfDate,IF($R59=0,$X59,IF(AND($T59&lt;&gt;"",EDATE($D59,Milestones!$AA$83)&gt;=$T59),$W59,IF(AND($S59&lt;&gt;"",EDATE($D59,Milestones!$AA$83)&gt;=$S59),$V59,$U59)))=Milestones!$AB$83),UPPER(TEXT(EDATE($D59,Milestones!$AA$83),"dd mmm yy"))&amp;" "&amp;Milestones!$AB$83&amp;" "&amp;Milestones!$AC$83&amp;";  ","")&amp;IF(AND(EDATE($D59,Milestones!$AA$84)&lt;=AsOfDate,IF($R59=0,$X59,IF(AND($T59&lt;&gt;"",EDATE($D59,Milestones!$AA$84)&gt;=$T59),$W59,IF(AND($S59&lt;&gt;"",EDATE($D59,Milestones!$AA$84)&gt;=$S59),$V59,$U59)))=Milestones!$AB$84),UPPER(TEXT(EDATE($D59,Milestones!$AA$84),"dd mmm yy"))&amp;" "&amp;Milestones!$AB$84&amp;" "&amp;Milestones!$AC$84&amp;";  ","")&amp;IF(AND(EDATE($D59,Milestones!$AA$85)&lt;=AsOfDate,IF($R59=0,$X59,IF(AND($T59&lt;&gt;"",EDATE($D59,Milestones!$AA$85)&gt;=$T59),$W59,IF(AND($S59&lt;&gt;"",EDATE($D59,Milestones!$AA$85)&gt;=$S59),$V59,$U59)))=Milestones!$AB$85),UPPER(TEXT(EDATE($D59,Milestones!$AA$85),"dd mmm yy"))&amp;" "&amp;Milestones!$AB$85&amp;" "&amp;Milestones!$AC$85&amp;";  ","")&amp;IF(AND(EDATE($D59,Milestones!$AA$86)&lt;=AsOfDate,IF($R59=0,$X59,IF(AND($T59&lt;&gt;"",EDATE($D59,Milestones!$AA$86)&gt;=$T59),$W59,IF(AND($S59&lt;&gt;"",EDATE($D59,Milestones!$AA$86)&gt;=$S59),$V59,$U59)))=Milestones!$AB$86),UPPER(TEXT(EDATE($D59,Milestones!$AA$86),"dd mmm yy"))&amp;" "&amp;Milestones!$AB$86&amp;" "&amp;Milestones!$AC$86&amp;";  ","")&amp;IF(AND(EDATE($D59,Milestones!$AA$87)&lt;=AsOfDate,IF($R59=0,$X59,IF(AND($T59&lt;&gt;"",EDATE($D59,Milestones!$AA$87)&gt;=$T59),$W59,IF(AND($S59&lt;&gt;"",EDATE($D59,Milestones!$AA$87)&gt;=$S59),$V59,$U59)))=Milestones!$AB$87),UPPER(TEXT(EDATE($D59,Milestones!$AA$87),"dd mmm yy"))&amp;" "&amp;Milestones!$AB$87&amp;" "&amp;Milestones!$AC$87&amp;";  ","")&amp;IF(AND(EDATE($D59,Milestones!$AA$88)&lt;=AsOfDate,IF($R59=0,$X59,IF(AND($T59&lt;&gt;"",EDATE($D59,Milestones!$AA$88)&gt;=$T59),$W59,IF(AND($S59&lt;&gt;"",EDATE($D59,Milestones!$AA$88)&gt;=$S59),$V59,$U59)))=Milestones!$AB$88),UPPER(TEXT(EDATE($D59,Milestones!$AA$88),"dd mmm yy"))&amp;" "&amp;Milestones!$AB$88&amp;" "&amp;Milestones!$AC$88&amp;";  ","")&amp;IF(AND(EDATE($D59,Milestones!$AA$89)&lt;=AsOfDate,IF($R59=0,$X59,IF(AND($T59&lt;&gt;"",EDATE($D59,Milestones!$AA$89)&gt;=$T59),$W59,IF(AND($S59&lt;&gt;"",EDATE($D59,Milestones!$AA$89)&gt;=$S59),$V59,$U59)))=Milestones!$AB$89),UPPER(TEXT(EDATE($D59,Milestones!$AA$89),"dd mmm yy"))&amp;" "&amp;Milestones!$AB$89&amp;" "&amp;Milestones!$AC$89&amp;";  ","")&amp;IF(AND(EDATE($D59,Milestones!$AA$90)&lt;=AsOfDate,IF($R59=0,$X59,IF(AND($T59&lt;&gt;"",EDATE($D59,Milestones!$AA$90)&gt;=$T59),$W59,IF(AND($S59&lt;&gt;"",EDATE($D59,Milestones!$AA$90)&gt;=$S59),$V59,$U59)))=Milestones!$AB$90),UPPER(TEXT(EDATE($D59,Milestones!$AA$90),"dd mmm yy"))&amp;" "&amp;Milestones!$AB$90&amp;" "&amp;Milestones!$AC$90&amp;";  ","")&amp;IF(AND(EDATE($D59,Milestones!$AA$91)&lt;=AsOfDate,IF($R59=0,$X59,IF(AND($T59&lt;&gt;"",EDATE($D59,Milestones!$AA$91)&gt;=$T59),$W59,IF(AND($S59&lt;&gt;"",EDATE($D59,Milestones!$AA$91)&gt;=$S59),$V59,$U59)))=Milestones!$AB$91),UPPER(TEXT(EDATE($D59,Milestones!$AA$91),"dd mmm yy"))&amp;" "&amp;Milestones!$AB$91&amp;" "&amp;Milestones!$AC$91&amp;";  ","")&amp;IF(AND(EDATE($D59,Milestones!$AA$92)&lt;=AsOfDate,IF($R59=0,$X59,IF(AND($T59&lt;&gt;"",EDATE($D59,Milestones!$AA$92)&gt;=$T59),$W59,IF(AND($S59&lt;&gt;"",EDATE($D59,Milestones!$AA$92)&gt;=$S59),$V59,$U59)))=Milestones!$AB$92),UPPER(TEXT(EDATE($D59,Milestones!$AA$92),"dd mmm yy"))&amp;" "&amp;Milestones!$AB$92&amp;" "&amp;Milestones!$AC$92&amp;";  ","")&amp;IF(AND(EDATE($D59,Milestones!$AA$93)&lt;=AsOfDate,IF($R59=0,$X59,IF(AND($T59&lt;&gt;"",EDATE($D59,Milestones!$AA$93)&gt;=$T59),$W59,IF(AND($S59&lt;&gt;"",EDATE($D59,Milestones!$AA$93)&gt;=$S59),$V59,$U59)))=Milestones!$AB$93),UPPER(TEXT(EDATE($D59,Milestones!$AA$93),"dd mmm yy"))&amp;" "&amp;Milestones!$AB$93&amp;" "&amp;Milestones!$AC$93&amp;";  ","")&amp;IF(AND(EDATE($D59,Milestones!$AA$94)&lt;=AsOfDate,IF($R59=0,$X59,IF(AND($T59&lt;&gt;"",EDATE($D59,Milestones!$AA$94)&gt;=$T59),$W59,IF(AND($S59&lt;&gt;"",EDATE($D59,Milestones!$AA$94)&gt;=$S59),$V59,$U59)))=Milestones!$AB$94),UPPER(TEXT(EDATE($D59,Milestones!$AA$94),"dd mmm yy"))&amp;" "&amp;Milestones!$AB$94&amp;" "&amp;Milestones!$AC$94&amp;";  ","")&amp;IF(AND(EDATE($D59,Milestones!$AA$95)&lt;=AsOfDate,IF($R59=0,$X59,IF(AND($T59&lt;&gt;"",EDATE($D59,Milestones!$AA$95)&gt;=$T59),$W59,IF(AND($S59&lt;&gt;"",EDATE($D59,Milestones!$AA$95)&gt;=$S59),$V59,$U59)))=Milestones!$AB$95),UPPER(TEXT(EDATE($D59,Milestones!$AA$95),"dd mmm yy"))&amp;" "&amp;Milestones!$AB$95&amp;" "&amp;Milestones!$AC$95&amp;";  ","")&amp;IF(AND(EDATE($D59,Milestones!$AA$96)&lt;=AsOfDate,IF($R59=0,$X59,IF(AND($T59&lt;&gt;"",EDATE($D59,Milestones!$AA$96)&gt;=$T59),$W59,IF(AND($S59&lt;&gt;"",EDATE($D59,Milestones!$AA$96)&gt;=$S59),$V59,$U59)))=Milestones!$AB$96),UPPER(TEXT(EDATE($D59,Milestones!$AA$96),"dd mmm yy"))&amp;" "&amp;Milestones!$AB$96&amp;" "&amp;Milestones!$AC$96&amp;";  ","")&amp;IF(AND(EDATE($D59,Milestones!$AA$97)&lt;=AsOfDate,IF($R59=0,$X59,IF(AND($T59&lt;&gt;"",EDATE($D59,Milestones!$AA$97)&gt;=$T59),$W59,IF(AND($S59&lt;&gt;"",EDATE($D59,Milestones!$AA$97)&gt;=$S59),$V59,$U59)))=Milestones!$AB$97),UPPER(TEXT(EDATE($D59,Milestones!$AA$97),"dd mmm yy"))&amp;" "&amp;Milestones!$AB$97&amp;" "&amp;Milestones!$AC$97&amp;";  ","")&amp;IF(AND(EDATE($D59,Milestones!$AA$98)&lt;=AsOfDate,IF($R59=0,$X59,IF(AND($T59&lt;&gt;"",EDATE($D59,Milestones!$AA$98)&gt;=$T59),$W59,IF(AND($S59&lt;&gt;"",EDATE($D59,Milestones!$AA$98)&gt;=$S59),$V59,$U59)))=Milestones!$AB$98),UPPER(TEXT(EDATE($D59,Milestones!$AA$98),"dd mmm yy"))&amp;" "&amp;Milestones!$AB$98&amp;" "&amp;Milestones!$AC$98&amp;";  ","")&amp;IF(AND(EDATE($D59,Milestones!$AA$99)&lt;=AsOfDate,IF($R59=0,$X59,IF(AND($T59&lt;&gt;"",EDATE($D59,Milestones!$AA$99)&gt;=$T59),$W59,IF(AND($S59&lt;&gt;"",EDATE($D59,Milestones!$AA$99)&gt;=$S59),$V59,$U59)))=Milestones!$AB$99),UPPER(TEXT(EDATE($D59,Milestones!$AA$99),"dd mmm yy"))&amp;" "&amp;Milestones!$AB$99&amp;" "&amp;Milestones!$AC$99&amp;";  ",""))</f>
        <v/>
      </c>
      <c r="M59" s="0" t="str">
        <f aca="false">IF(OR($A59="",$D59=""),"",IF(AND(EDATE($D59,Milestones!$AA$100)&lt;=AsOfDate,IF($R59=0,$X59,IF(AND($T59&lt;&gt;"",EDATE($D59,Milestones!$AA$100)&gt;=$T59),$W59,IF(AND($S59&lt;&gt;"",EDATE($D59,Milestones!$AA$100)&gt;=$S59),$V59,$U59)))=Milestones!$AB$100),UPPER(TEXT(EDATE($D59,Milestones!$AA$100),"dd mmm yy"))&amp;" "&amp;Milestones!$AB$100&amp;" "&amp;Milestones!$AC$100&amp;";  ","")&amp;IF(AND(EDATE($D59,Milestones!$AA$101)&lt;=AsOfDate,IF($R59=0,$X59,IF(AND($T59&lt;&gt;"",EDATE($D59,Milestones!$AA$101)&gt;=$T59),$W59,IF(AND($S59&lt;&gt;"",EDATE($D59,Milestones!$AA$101)&gt;=$S59),$V59,$U59)))=Milestones!$AB$101),UPPER(TEXT(EDATE($D59,Milestones!$AA$101),"dd mmm yy"))&amp;" "&amp;Milestones!$AB$101&amp;" "&amp;Milestones!$AC$101&amp;";  ","")&amp;IF(AND(EDATE($D59,Milestones!$AA$102)&lt;=AsOfDate,IF($R59=0,$X59,IF(AND($T59&lt;&gt;"",EDATE($D59,Milestones!$AA$102)&gt;=$T59),$W59,IF(AND($S59&lt;&gt;"",EDATE($D59,Milestones!$AA$102)&gt;=$S59),$V59,$U59)))=Milestones!$AB$102),UPPER(TEXT(EDATE($D59,Milestones!$AA$102),"dd mmm yy"))&amp;" "&amp;Milestones!$AB$102&amp;" "&amp;Milestones!$AC$102&amp;";  ","")&amp;IF(AND(EDATE($D59,Milestones!$AA$103)&lt;=AsOfDate,IF($R59=0,$X59,IF(AND($T59&lt;&gt;"",EDATE($D59,Milestones!$AA$103)&gt;=$T59),$W59,IF(AND($S59&lt;&gt;"",EDATE($D59,Milestones!$AA$103)&gt;=$S59),$V59,$U59)))=Milestones!$AB$103),UPPER(TEXT(EDATE($D59,Milestones!$AA$103),"dd mmm yy"))&amp;" "&amp;Milestones!$AB$103&amp;" "&amp;Milestones!$AC$103&amp;";  ","")&amp;IF(AND(EDATE($D59,Milestones!$AA$104)&lt;=AsOfDate,IF($R59=0,$X59,IF(AND($T59&lt;&gt;"",EDATE($D59,Milestones!$AA$104)&gt;=$T59),$W59,IF(AND($S59&lt;&gt;"",EDATE($D59,Milestones!$AA$104)&gt;=$S59),$V59,$U59)))=Milestones!$AB$104),UPPER(TEXT(EDATE($D59,Milestones!$AA$104),"dd mmm yy"))&amp;" "&amp;Milestones!$AB$104&amp;" "&amp;Milestones!$AC$104&amp;";  ","")&amp;IF(AND(EDATE($D59,Milestones!$AA$105)&lt;=AsOfDate,IF($R59=0,$X59,IF(AND($T59&lt;&gt;"",EDATE($D59,Milestones!$AA$105)&gt;=$T59),$W59,IF(AND($S59&lt;&gt;"",EDATE($D59,Milestones!$AA$105)&gt;=$S59),$V59,$U59)))=Milestones!$AB$105),UPPER(TEXT(EDATE($D59,Milestones!$AA$105),"dd mmm yy"))&amp;" "&amp;Milestones!$AB$105&amp;" "&amp;Milestones!$AC$105&amp;";  ","")&amp;IF(AND(EDATE($D59,Milestones!$AA$106)&lt;=AsOfDate,IF($R59=0,$X59,IF(AND($T59&lt;&gt;"",EDATE($D59,Milestones!$AA$106)&gt;=$T59),$W59,IF(AND($S59&lt;&gt;"",EDATE($D59,Milestones!$AA$106)&gt;=$S59),$V59,$U59)))=Milestones!$AB$106),UPPER(TEXT(EDATE($D59,Milestones!$AA$106),"dd mmm yy"))&amp;" "&amp;Milestones!$AB$106&amp;" "&amp;Milestones!$AC$106&amp;";  ","")&amp;IF(AND(EDATE($D59,Milestones!$AA$107)&lt;=AsOfDate,IF($R59=0,$X59,IF(AND($T59&lt;&gt;"",EDATE($D59,Milestones!$AA$107)&gt;=$T59),$W59,IF(AND($S59&lt;&gt;"",EDATE($D59,Milestones!$AA$107)&gt;=$S59),$V59,$U59)))=Milestones!$AB$107),UPPER(TEXT(EDATE($D59,Milestones!$AA$107),"dd mmm yy"))&amp;" "&amp;Milestones!$AB$107&amp;" "&amp;Milestones!$AC$107&amp;";  ","")&amp;IF(AND(EDATE($D59,Milestones!$AA$108)&lt;=AsOfDate,IF($R59=0,$X59,IF(AND($T59&lt;&gt;"",EDATE($D59,Milestones!$AA$108)&gt;=$T59),$W59,IF(AND($S59&lt;&gt;"",EDATE($D59,Milestones!$AA$108)&gt;=$S59),$V59,$U59)))=Milestones!$AB$108),UPPER(TEXT(EDATE($D59,Milestones!$AA$108),"dd mmm yy"))&amp;" "&amp;Milestones!$AB$108&amp;" "&amp;Milestones!$AC$108&amp;";  ","")&amp;IF(AND(EDATE($D59,Milestones!$AA$109)&lt;=AsOfDate,IF($R59=0,$X59,IF(AND($T59&lt;&gt;"",EDATE($D59,Milestones!$AA$109)&gt;=$T59),$W59,IF(AND($S59&lt;&gt;"",EDATE($D59,Milestones!$AA$109)&gt;=$S59),$V59,$U59)))=Milestones!$AB$109),UPPER(TEXT(EDATE($D59,Milestones!$AA$109),"dd mmm yy"))&amp;" "&amp;Milestones!$AB$109&amp;" "&amp;Milestones!$AC$109&amp;";  ","")&amp;IF(AND(EDATE($D59,Milestones!$AA$110)&lt;=AsOfDate,IF($R59=0,$X59,IF(AND($T59&lt;&gt;"",EDATE($D59,Milestones!$AA$110)&gt;=$T59),$W59,IF(AND($S59&lt;&gt;"",EDATE($D59,Milestones!$AA$110)&gt;=$S59),$V59,$U59)))=Milestones!$AB$110),UPPER(TEXT(EDATE($D59,Milestones!$AA$110),"dd mmm yy"))&amp;" "&amp;Milestones!$AB$110&amp;" "&amp;Milestones!$AC$110&amp;";  ","")&amp;IF(AND(EDATE($D59,Milestones!$AA$111)&lt;=AsOfDate,IF($R59=0,$X59,IF(AND($T59&lt;&gt;"",EDATE($D59,Milestones!$AA$111)&gt;=$T59),$W59,IF(AND($S59&lt;&gt;"",EDATE($D59,Milestones!$AA$111)&gt;=$S59),$V59,$U59)))=Milestones!$AB$111),UPPER(TEXT(EDATE($D59,Milestones!$AA$111),"dd mmm yy"))&amp;" "&amp;Milestones!$AB$111&amp;" "&amp;Milestones!$AC$111&amp;";  ","")&amp;IF(AND(EDATE($D59,Milestones!$AA$112)&lt;=AsOfDate,IF($R59=0,$X59,IF(AND($T59&lt;&gt;"",EDATE($D59,Milestones!$AA$112)&gt;=$T59),$W59,IF(AND($S59&lt;&gt;"",EDATE($D59,Milestones!$AA$112)&gt;=$S59),$V59,$U59)))=Milestones!$AB$112),UPPER(TEXT(EDATE($D59,Milestones!$AA$112),"dd mmm yy"))&amp;" "&amp;Milestones!$AB$112&amp;" "&amp;Milestones!$AC$112&amp;";  ","")&amp;IF(AND(EDATE($D59,Milestones!$AA$113)&lt;=AsOfDate,IF($R59=0,$X59,IF(AND($T59&lt;&gt;"",EDATE($D59,Milestones!$AA$113)&gt;=$T59),$W59,IF(AND($S59&lt;&gt;"",EDATE($D59,Milestones!$AA$113)&gt;=$S59),$V59,$U59)))=Milestones!$AB$113),UPPER(TEXT(EDATE($D59,Milestones!$AA$113),"dd mmm yy"))&amp;" "&amp;Milestones!$AB$113&amp;" "&amp;Milestones!$AC$113&amp;";  ","")&amp;IF(AND(EDATE($D59,Milestones!$AA$114)&lt;=AsOfDate,IF($R59=0,$X59,IF(AND($T59&lt;&gt;"",EDATE($D59,Milestones!$AA$114)&gt;=$T59),$W59,IF(AND($S59&lt;&gt;"",EDATE($D59,Milestones!$AA$114)&gt;=$S59),$V59,$U59)))=Milestones!$AB$114),UPPER(TEXT(EDATE($D59,Milestones!$AA$114),"dd mmm yy"))&amp;" "&amp;Milestones!$AB$114&amp;" "&amp;Milestones!$AC$114&amp;";  ","")&amp;IF(AND(EDATE($D59,Milestones!$AA$115)&lt;=AsOfDate,IF($R59=0,$X59,IF(AND($T59&lt;&gt;"",EDATE($D59,Milestones!$AA$115)&gt;=$T59),$W59,IF(AND($S59&lt;&gt;"",EDATE($D59,Milestones!$AA$115)&gt;=$S59),$V59,$U59)))=Milestones!$AB$115),UPPER(TEXT(EDATE($D59,Milestones!$AA$115),"dd mmm yy"))&amp;" "&amp;Milestones!$AB$115&amp;" "&amp;Milestones!$AC$115&amp;";  ","")&amp;IF(AND(EDATE($D59,Milestones!$AA$116)&lt;=AsOfDate,IF($R59=0,$X59,IF(AND($T59&lt;&gt;"",EDATE($D59,Milestones!$AA$116)&gt;=$T59),$W59,IF(AND($S59&lt;&gt;"",EDATE($D59,Milestones!$AA$116)&gt;=$S59),$V59,$U59)))=Milestones!$AB$116),UPPER(TEXT(EDATE($D59,Milestones!$AA$116),"dd mmm yy"))&amp;" "&amp;Milestones!$AB$116&amp;" "&amp;Milestones!$AC$116&amp;";  ","")&amp;IF(AND(EDATE($D59,Milestones!$AA$117)&lt;=AsOfDate,IF($R59=0,$X59,IF(AND($T59&lt;&gt;"",EDATE($D59,Milestones!$AA$117)&gt;=$T59),$W59,IF(AND($S59&lt;&gt;"",EDATE($D59,Milestones!$AA$117)&gt;=$S59),$V59,$U59)))=Milestones!$AB$117),UPPER(TEXT(EDATE($D59,Milestones!$AA$117),"dd mmm yy"))&amp;" "&amp;Milestones!$AB$117&amp;" "&amp;Milestones!$AC$117&amp;";  ","")&amp;IF(AND(EDATE($D59,Milestones!$AA$118)&lt;=AsOfDate,IF($R59=0,$X59,IF(AND($T59&lt;&gt;"",EDATE($D59,Milestones!$AA$118)&gt;=$T59),$W59,IF(AND($S59&lt;&gt;"",EDATE($D59,Milestones!$AA$118)&gt;=$S59),$V59,$U59)))=Milestones!$AB$118),UPPER(TEXT(EDATE($D59,Milestones!$AA$118),"dd mmm yy"))&amp;" "&amp;Milestones!$AB$118&amp;" "&amp;Milestones!$AC$118&amp;";  ","")&amp;IF(AND(EDATE($D59,Milestones!$AA$119)&lt;=AsOfDate,IF($R59=0,$X59,IF(AND($T59&lt;&gt;"",EDATE($D59,Milestones!$AA$119)&gt;=$T59),$W59,IF(AND($S59&lt;&gt;"",EDATE($D59,Milestones!$AA$119)&gt;=$S59),$V59,$U59)))=Milestones!$AB$119),UPPER(TEXT(EDATE($D59,Milestones!$AA$119),"dd mmm yy"))&amp;" "&amp;Milestones!$AB$119&amp;" "&amp;Milestones!$AC$119&amp;";  ",""))</f>
        <v/>
      </c>
      <c r="N59" s="0" t="str">
        <f aca="false">IF(OR($A59="",$D59=""),"",IF(AND(EDATE($D59,Milestones!$AA$120)&lt;=AsOfDate,IF($R59=0,$X59,IF(AND($T59&lt;&gt;"",EDATE($D59,Milestones!$AA$120)&gt;=$T59),$W59,IF(AND($S59&lt;&gt;"",EDATE($D59,Milestones!$AA$120)&gt;=$S59),$V59,$U59)))=Milestones!$AB$120),UPPER(TEXT(EDATE($D59,Milestones!$AA$120),"dd mmm yy"))&amp;" "&amp;Milestones!$AB$120&amp;" "&amp;Milestones!$AC$120&amp;";  ","")&amp;IF(AND(EDATE($D59,Milestones!$AA$121)&lt;=AsOfDate,IF($R59=0,$X59,IF(AND($T59&lt;&gt;"",EDATE($D59,Milestones!$AA$121)&gt;=$T59),$W59,IF(AND($S59&lt;&gt;"",EDATE($D59,Milestones!$AA$121)&gt;=$S59),$V59,$U59)))=Milestones!$AB$121),UPPER(TEXT(EDATE($D59,Milestones!$AA$121),"dd mmm yy"))&amp;" "&amp;Milestones!$AB$121&amp;" "&amp;Milestones!$AC$121&amp;";  ","")&amp;IF(AND(EDATE($D59,Milestones!$AA$122)&lt;=AsOfDate,IF($R59=0,$X59,IF(AND($T59&lt;&gt;"",EDATE($D59,Milestones!$AA$122)&gt;=$T59),$W59,IF(AND($S59&lt;&gt;"",EDATE($D59,Milestones!$AA$122)&gt;=$S59),$V59,$U59)))=Milestones!$AB$122),UPPER(TEXT(EDATE($D59,Milestones!$AA$122),"dd mmm yy"))&amp;" "&amp;Milestones!$AB$122&amp;" "&amp;Milestones!$AC$122&amp;";  ","")&amp;IF(AND(EDATE($D59,Milestones!$AA$123)&lt;=AsOfDate,IF($R59=0,$X59,IF(AND($T59&lt;&gt;"",EDATE($D59,Milestones!$AA$123)&gt;=$T59),$W59,IF(AND($S59&lt;&gt;"",EDATE($D59,Milestones!$AA$123)&gt;=$S59),$V59,$U59)))=Milestones!$AB$123),UPPER(TEXT(EDATE($D59,Milestones!$AA$123),"dd mmm yy"))&amp;" "&amp;Milestones!$AB$123&amp;" "&amp;Milestones!$AC$123&amp;";  ","")&amp;IF(AND(EDATE($D59,Milestones!$AA$124)&lt;=AsOfDate,IF($R59=0,$X59,IF(AND($T59&lt;&gt;"",EDATE($D59,Milestones!$AA$124)&gt;=$T59),$W59,IF(AND($S59&lt;&gt;"",EDATE($D59,Milestones!$AA$124)&gt;=$S59),$V59,$U59)))=Milestones!$AB$124),UPPER(TEXT(EDATE($D59,Milestones!$AA$124),"dd mmm yy"))&amp;" "&amp;Milestones!$AB$124&amp;" "&amp;Milestones!$AC$124&amp;";  ","")&amp;IF(AND(EDATE($D59,Milestones!$AA$125)&lt;=AsOfDate,IF($R59=0,$X59,IF(AND($T59&lt;&gt;"",EDATE($D59,Milestones!$AA$125)&gt;=$T59),$W59,IF(AND($S59&lt;&gt;"",EDATE($D59,Milestones!$AA$125)&gt;=$S59),$V59,$U59)))=Milestones!$AB$125),UPPER(TEXT(EDATE($D59,Milestones!$AA$125),"dd mmm yy"))&amp;" "&amp;Milestones!$AB$125&amp;" "&amp;Milestones!$AC$125&amp;";  ","")&amp;IF(AND(EDATE($D59,Milestones!$AA$126)&lt;=AsOfDate,IF($R59=0,$X59,IF(AND($T59&lt;&gt;"",EDATE($D59,Milestones!$AA$126)&gt;=$T59),$W59,IF(AND($S59&lt;&gt;"",EDATE($D59,Milestones!$AA$126)&gt;=$S59),$V59,$U59)))=Milestones!$AB$126),UPPER(TEXT(EDATE($D59,Milestones!$AA$126),"dd mmm yy"))&amp;" "&amp;Milestones!$AB$126&amp;" "&amp;Milestones!$AC$126&amp;";  ","")&amp;IF(AND(EDATE($D59,Milestones!$AA$127)&lt;=AsOfDate,IF($R59=0,$X59,IF(AND($T59&lt;&gt;"",EDATE($D59,Milestones!$AA$127)&gt;=$T59),$W59,IF(AND($S59&lt;&gt;"",EDATE($D59,Milestones!$AA$127)&gt;=$S59),$V59,$U59)))=Milestones!$AB$127),UPPER(TEXT(EDATE($D59,Milestones!$AA$127),"dd mmm yy"))&amp;" "&amp;Milestones!$AB$127&amp;" "&amp;Milestones!$AC$127&amp;";  ","")&amp;IF(AND(EDATE($D59,Milestones!$AA$128)&lt;=AsOfDate,IF($R59=0,$X59,IF(AND($T59&lt;&gt;"",EDATE($D59,Milestones!$AA$128)&gt;=$T59),$W59,IF(AND($S59&lt;&gt;"",EDATE($D59,Milestones!$AA$128)&gt;=$S59),$V59,$U59)))=Milestones!$AB$128),UPPER(TEXT(EDATE($D59,Milestones!$AA$128),"dd mmm yy"))&amp;" "&amp;Milestones!$AB$128&amp;" "&amp;Milestones!$AC$128&amp;";  ","")&amp;IF(AND(EDATE($D59,Milestones!$AA$129)&lt;=AsOfDate,IF($R59=0,$X59,IF(AND($T59&lt;&gt;"",EDATE($D59,Milestones!$AA$129)&gt;=$T59),$W59,IF(AND($S59&lt;&gt;"",EDATE($D59,Milestones!$AA$129)&gt;=$S59),$V59,$U59)))=Milestones!$AB$129),UPPER(TEXT(EDATE($D59,Milestones!$AA$129),"dd mmm yy"))&amp;" "&amp;Milestones!$AB$129&amp;" "&amp;Milestones!$AC$129&amp;";  ","")&amp;IF(AND(EDATE($D59,Milestones!$AA$130)&lt;=AsOfDate,IF($R59=0,$X59,IF(AND($T59&lt;&gt;"",EDATE($D59,Milestones!$AA$130)&gt;=$T59),$W59,IF(AND($S59&lt;&gt;"",EDATE($D59,Milestones!$AA$130)&gt;=$S59),$V59,$U59)))=Milestones!$AB$130),UPPER(TEXT(EDATE($D59,Milestones!$AA$130),"dd mmm yy"))&amp;" "&amp;Milestones!$AB$130&amp;" "&amp;Milestones!$AC$130&amp;";  ","")&amp;IF(AND(EDATE($D59,Milestones!$AA$131)&lt;=AsOfDate,IF($R59=0,$X59,IF(AND($T59&lt;&gt;"",EDATE($D59,Milestones!$AA$131)&gt;=$T59),$W59,IF(AND($S59&lt;&gt;"",EDATE($D59,Milestones!$AA$131)&gt;=$S59),$V59,$U59)))=Milestones!$AB$131),UPPER(TEXT(EDATE($D59,Milestones!$AA$131),"dd mmm yy"))&amp;" "&amp;Milestones!$AB$131&amp;" "&amp;Milestones!$AC$131&amp;";  ","")&amp;IF(AND(EDATE($D59,Milestones!$AA$132)&lt;=AsOfDate,IF($R59=0,$X59,IF(AND($T59&lt;&gt;"",EDATE($D59,Milestones!$AA$132)&gt;=$T59),$W59,IF(AND($S59&lt;&gt;"",EDATE($D59,Milestones!$AA$132)&gt;=$S59),$V59,$U59)))=Milestones!$AB$132),UPPER(TEXT(EDATE($D59,Milestones!$AA$132),"dd mmm yy"))&amp;" "&amp;Milestones!$AB$132&amp;" "&amp;Milestones!$AC$132&amp;";  ","")&amp;IF(AND(EDATE($D59,Milestones!$AA$133)&lt;=AsOfDate,IF($R59=0,$X59,IF(AND($T59&lt;&gt;"",EDATE($D59,Milestones!$AA$133)&gt;=$T59),$W59,IF(AND($S59&lt;&gt;"",EDATE($D59,Milestones!$AA$133)&gt;=$S59),$V59,$U59)))=Milestones!$AB$133),UPPER(TEXT(EDATE($D59,Milestones!$AA$133),"dd mmm yy"))&amp;" "&amp;Milestones!$AB$133&amp;" "&amp;Milestones!$AC$133&amp;";  ","")&amp;IF(AND(EDATE($D59,Milestones!$AA$134)&lt;=AsOfDate,IF($R59=0,$X59,IF(AND($T59&lt;&gt;"",EDATE($D59,Milestones!$AA$134)&gt;=$T59),$W59,IF(AND($S59&lt;&gt;"",EDATE($D59,Milestones!$AA$134)&gt;=$S59),$V59,$U59)))=Milestones!$AB$134),UPPER(TEXT(EDATE($D59,Milestones!$AA$134),"dd mmm yy"))&amp;" "&amp;Milestones!$AB$134&amp;" "&amp;Milestones!$AC$134&amp;";  ","")&amp;IF(AND(EDATE($D59,Milestones!$AA$135)&lt;=AsOfDate,IF($R59=0,$X59,IF(AND($T59&lt;&gt;"",EDATE($D59,Milestones!$AA$135)&gt;=$T59),$W59,IF(AND($S59&lt;&gt;"",EDATE($D59,Milestones!$AA$135)&gt;=$S59),$V59,$U59)))=Milestones!$AB$135),UPPER(TEXT(EDATE($D59,Milestones!$AA$135),"dd mmm yy"))&amp;" "&amp;Milestones!$AB$135&amp;" "&amp;Milestones!$AC$135&amp;";  ","")&amp;IF(AND(EDATE($D59,Milestones!$AA$136)&lt;=AsOfDate,IF($R59=0,$X59,IF(AND($T59&lt;&gt;"",EDATE($D59,Milestones!$AA$136)&gt;=$T59),$W59,IF(AND($S59&lt;&gt;"",EDATE($D59,Milestones!$AA$136)&gt;=$S59),$V59,$U59)))=Milestones!$AB$136),UPPER(TEXT(EDATE($D59,Milestones!$AA$136),"dd mmm yy"))&amp;" "&amp;Milestones!$AB$136&amp;" "&amp;Milestones!$AC$136&amp;";  ","")&amp;IF(AND(EDATE($D59,Milestones!$AA$137)&lt;=AsOfDate,IF($R59=0,$X59,IF(AND($T59&lt;&gt;"",EDATE($D59,Milestones!$AA$137)&gt;=$T59),$W59,IF(AND($S59&lt;&gt;"",EDATE($D59,Milestones!$AA$137)&gt;=$S59),$V59,$U59)))=Milestones!$AB$137),UPPER(TEXT(EDATE($D59,Milestones!$AA$137),"dd mmm yy"))&amp;" "&amp;Milestones!$AB$137&amp;" "&amp;Milestones!$AC$137&amp;";  ","")&amp;IF(AND(EDATE($D59,Milestones!$AA$138)&lt;=AsOfDate,IF($R59=0,$X59,IF(AND($T59&lt;&gt;"",EDATE($D59,Milestones!$AA$138)&gt;=$T59),$W59,IF(AND($S59&lt;&gt;"",EDATE($D59,Milestones!$AA$138)&gt;=$S59),$V59,$U59)))=Milestones!$AB$138),UPPER(TEXT(EDATE($D59,Milestones!$AA$138),"dd mmm yy"))&amp;" "&amp;Milestones!$AB$138&amp;" "&amp;Milestones!$AC$138&amp;";  ","")&amp;IF(AND(EDATE($D59,Milestones!$AA$139)&lt;=AsOfDate,IF($R59=0,$X59,IF(AND($T59&lt;&gt;"",EDATE($D59,Milestones!$AA$139)&gt;=$T59),$W59,IF(AND($S59&lt;&gt;"",EDATE($D59,Milestones!$AA$139)&gt;=$S59),$V59,$U59)))=Milestones!$AB$139),UPPER(TEXT(EDATE($D59,Milestones!$AA$139),"dd mmm yy"))&amp;" "&amp;Milestones!$AB$139&amp;" "&amp;Milestones!$AC$139&amp;";  ",""))</f>
        <v/>
      </c>
      <c r="O59" s="0" t="str">
        <f aca="false">IF(OR($A59="",$D59=""),"",IF(AND(EDATE($D59,Milestones!$AA$140)&lt;=AsOfDate,IF($R59=0,$X59,IF(AND($T59&lt;&gt;"",EDATE($D59,Milestones!$AA$140)&gt;=$T59),$W59,IF(AND($S59&lt;&gt;"",EDATE($D59,Milestones!$AA$140)&gt;=$S59),$V59,$U59)))=Milestones!$AB$140),UPPER(TEXT(EDATE($D59,Milestones!$AA$140),"dd mmm yy"))&amp;" "&amp;Milestones!$AB$140&amp;" "&amp;Milestones!$AC$140&amp;";  ","")&amp;IF(AND(EDATE($D59,Milestones!$AA$141)&lt;=AsOfDate,IF($R59=0,$X59,IF(AND($T59&lt;&gt;"",EDATE($D59,Milestones!$AA$141)&gt;=$T59),$W59,IF(AND($S59&lt;&gt;"",EDATE($D59,Milestones!$AA$141)&gt;=$S59),$V59,$U59)))=Milestones!$AB$141),UPPER(TEXT(EDATE($D59,Milestones!$AA$141),"dd mmm yy"))&amp;" "&amp;Milestones!$AB$141&amp;" "&amp;Milestones!$AC$141&amp;";  ","")&amp;IF(AND(EDATE($D59,Milestones!$AA$142)&lt;=AsOfDate,IF($R59=0,$X59,IF(AND($T59&lt;&gt;"",EDATE($D59,Milestones!$AA$142)&gt;=$T59),$W59,IF(AND($S59&lt;&gt;"",EDATE($D59,Milestones!$AA$142)&gt;=$S59),$V59,$U59)))=Milestones!$AB$142),UPPER(TEXT(EDATE($D59,Milestones!$AA$142),"dd mmm yy"))&amp;" "&amp;Milestones!$AB$142&amp;" "&amp;Milestones!$AC$142&amp;";  ","")&amp;IF(AND(EDATE($D59,Milestones!$AA$143)&lt;=AsOfDate,IF($R59=0,$X59,IF(AND($T59&lt;&gt;"",EDATE($D59,Milestones!$AA$143)&gt;=$T59),$W59,IF(AND($S59&lt;&gt;"",EDATE($D59,Milestones!$AA$143)&gt;=$S59),$V59,$U59)))=Milestones!$AB$143),UPPER(TEXT(EDATE($D59,Milestones!$AA$143),"dd mmm yy"))&amp;" "&amp;Milestones!$AB$143&amp;" "&amp;Milestones!$AC$143&amp;";  ","")&amp;IF(AND(EDATE($D59,Milestones!$AA$144)&lt;=AsOfDate,IF($R59=0,$X59,IF(AND($T59&lt;&gt;"",EDATE($D59,Milestones!$AA$144)&gt;=$T59),$W59,IF(AND($S59&lt;&gt;"",EDATE($D59,Milestones!$AA$144)&gt;=$S59),$V59,$U59)))=Milestones!$AB$144),UPPER(TEXT(EDATE($D59,Milestones!$AA$144),"dd mmm yy"))&amp;" "&amp;Milestones!$AB$144&amp;" "&amp;Milestones!$AC$144&amp;";  ","")&amp;IF(AND(EDATE($D59,Milestones!$AA$145)&lt;=AsOfDate,IF($R59=0,$X59,IF(AND($T59&lt;&gt;"",EDATE($D59,Milestones!$AA$145)&gt;=$T59),$W59,IF(AND($S59&lt;&gt;"",EDATE($D59,Milestones!$AA$145)&gt;=$S59),$V59,$U59)))=Milestones!$AB$145),UPPER(TEXT(EDATE($D59,Milestones!$AA$145),"dd mmm yy"))&amp;" "&amp;Milestones!$AB$145&amp;" "&amp;Milestones!$AC$145&amp;";  ","")&amp;IF(AND(EDATE($D59,Milestones!$AA$146)&lt;=AsOfDate,IF($R59=0,$X59,IF(AND($T59&lt;&gt;"",EDATE($D59,Milestones!$AA$146)&gt;=$T59),$W59,IF(AND($S59&lt;&gt;"",EDATE($D59,Milestones!$AA$146)&gt;=$S59),$V59,$U59)))=Milestones!$AB$146),UPPER(TEXT(EDATE($D59,Milestones!$AA$146),"dd mmm yy"))&amp;" "&amp;Milestones!$AB$146&amp;" "&amp;Milestones!$AC$146&amp;";  ","")&amp;IF(AND(EDATE($D59,Milestones!$AA$147)&lt;=AsOfDate,IF($R59=0,$X59,IF(AND($T59&lt;&gt;"",EDATE($D59,Milestones!$AA$147)&gt;=$T59),$W59,IF(AND($S59&lt;&gt;"",EDATE($D59,Milestones!$AA$147)&gt;=$S59),$V59,$U59)))=Milestones!$AB$147),UPPER(TEXT(EDATE($D59,Milestones!$AA$147),"dd mmm yy"))&amp;" "&amp;Milestones!$AB$147&amp;" "&amp;Milestones!$AC$147&amp;";  ","")&amp;IF(AND(EDATE($D59,Milestones!$AA$148)&lt;=AsOfDate,IF($R59=0,$X59,IF(AND($T59&lt;&gt;"",EDATE($D59,Milestones!$AA$148)&gt;=$T59),$W59,IF(AND($S59&lt;&gt;"",EDATE($D59,Milestones!$AA$148)&gt;=$S59),$V59,$U59)))=Milestones!$AB$148),UPPER(TEXT(EDATE($D59,Milestones!$AA$148),"dd mmm yy"))&amp;" "&amp;Milestones!$AB$148&amp;" "&amp;Milestones!$AC$148&amp;";  ","")&amp;IF(AND(EDATE($D59,Milestones!$AA$149)&lt;=AsOfDate,IF($R59=0,$X59,IF(AND($T59&lt;&gt;"",EDATE($D59,Milestones!$AA$149)&gt;=$T59),$W59,IF(AND($S59&lt;&gt;"",EDATE($D59,Milestones!$AA$149)&gt;=$S59),$V59,$U59)))=Milestones!$AB$149),UPPER(TEXT(EDATE($D59,Milestones!$AA$149),"dd mmm yy"))&amp;" "&amp;Milestones!$AB$149&amp;" "&amp;Milestones!$AC$149&amp;";  ","")&amp;IF(AND(EDATE($D59,Milestones!$AA$150)&lt;=AsOfDate,IF($R59=0,$X59,IF(AND($T59&lt;&gt;"",EDATE($D59,Milestones!$AA$150)&gt;=$T59),$W59,IF(AND($S59&lt;&gt;"",EDATE($D59,Milestones!$AA$150)&gt;=$S59),$V59,$U59)))=Milestones!$AB$150),UPPER(TEXT(EDATE($D59,Milestones!$AA$150),"dd mmm yy"))&amp;" "&amp;Milestones!$AB$150&amp;" "&amp;Milestones!$AC$150&amp;";  ","")&amp;IF(AND(EDATE($D59,Milestones!$AA$151)&lt;=AsOfDate,IF($R59=0,$X59,IF(AND($T59&lt;&gt;"",EDATE($D59,Milestones!$AA$151)&gt;=$T59),$W59,IF(AND($S59&lt;&gt;"",EDATE($D59,Milestones!$AA$151)&gt;=$S59),$V59,$U59)))=Milestones!$AB$151),UPPER(TEXT(EDATE($D59,Milestones!$AA$151),"dd mmm yy"))&amp;" "&amp;Milestones!$AB$151&amp;" "&amp;Milestones!$AC$151&amp;";  ","")&amp;IF(AND(EDATE($D59,Milestones!$AA$152)&lt;=AsOfDate,IF($R59=0,$X59,IF(AND($T59&lt;&gt;"",EDATE($D59,Milestones!$AA$152)&gt;=$T59),$W59,IF(AND($S59&lt;&gt;"",EDATE($D59,Milestones!$AA$152)&gt;=$S59),$V59,$U59)))=Milestones!$AB$152),UPPER(TEXT(EDATE($D59,Milestones!$AA$152),"dd mmm yy"))&amp;" "&amp;Milestones!$AB$152&amp;" "&amp;Milestones!$AC$152&amp;";  ","")&amp;IF(AND(EDATE($D59,Milestones!$AA$153)&lt;=AsOfDate,IF($R59=0,$X59,IF(AND($T59&lt;&gt;"",EDATE($D59,Milestones!$AA$153)&gt;=$T59),$W59,IF(AND($S59&lt;&gt;"",EDATE($D59,Milestones!$AA$153)&gt;=$S59),$V59,$U59)))=Milestones!$AB$153),UPPER(TEXT(EDATE($D59,Milestones!$AA$153),"dd mmm yy"))&amp;" "&amp;Milestones!$AB$153&amp;" "&amp;Milestones!$AC$153&amp;";  ","")&amp;IF(AND(EDATE($D59,Milestones!$AA$154)&lt;=AsOfDate,IF($R59=0,$X59,IF(AND($T59&lt;&gt;"",EDATE($D59,Milestones!$AA$154)&gt;=$T59),$W59,IF(AND($S59&lt;&gt;"",EDATE($D59,Milestones!$AA$154)&gt;=$S59),$V59,$U59)))=Milestones!$AB$154),UPPER(TEXT(EDATE($D59,Milestones!$AA$154),"dd mmm yy"))&amp;" "&amp;Milestones!$AB$154&amp;" "&amp;Milestones!$AC$154&amp;";  ","")&amp;IF(AND(EDATE($D59,Milestones!$AA$155)&lt;=AsOfDate,IF($R59=0,$X59,IF(AND($T59&lt;&gt;"",EDATE($D59,Milestones!$AA$155)&gt;=$T59),$W59,IF(AND($S59&lt;&gt;"",EDATE($D59,Milestones!$AA$155)&gt;=$S59),$V59,$U59)))=Milestones!$AB$155),UPPER(TEXT(EDATE($D59,Milestones!$AA$155),"dd mmm yy"))&amp;" "&amp;Milestones!$AB$155&amp;" "&amp;Milestones!$AC$155&amp;";  ","")&amp;IF(AND(EDATE($D59,Milestones!$AA$156)&lt;=AsOfDate,IF($R59=0,$X59,IF(AND($T59&lt;&gt;"",EDATE($D59,Milestones!$AA$156)&gt;=$T59),$W59,IF(AND($S59&lt;&gt;"",EDATE($D59,Milestones!$AA$156)&gt;=$S59),$V59,$U59)))=Milestones!$AB$156),UPPER(TEXT(EDATE($D59,Milestones!$AA$156),"dd mmm yy"))&amp;" "&amp;Milestones!$AB$156&amp;" "&amp;Milestones!$AC$156&amp;";  ","")&amp;IF(AND(EDATE($D59,Milestones!$AA$157)&lt;=AsOfDate,IF($R59=0,$X59,IF(AND($T59&lt;&gt;"",EDATE($D59,Milestones!$AA$157)&gt;=$T59),$W59,IF(AND($S59&lt;&gt;"",EDATE($D59,Milestones!$AA$157)&gt;=$S59),$V59,$U59)))=Milestones!$AB$157),UPPER(TEXT(EDATE($D59,Milestones!$AA$157),"dd mmm yy"))&amp;" "&amp;Milestones!$AB$157&amp;" "&amp;Milestones!$AC$157&amp;";  ","")&amp;IF(AND(EDATE($D59,Milestones!$AA$158)&lt;=AsOfDate,IF($R59=0,$X59,IF(AND($T59&lt;&gt;"",EDATE($D59,Milestones!$AA$158)&gt;=$T59),$W59,IF(AND($S59&lt;&gt;"",EDATE($D59,Milestones!$AA$158)&gt;=$S59),$V59,$U59)))=Milestones!$AB$158),UPPER(TEXT(EDATE($D59,Milestones!$AA$158),"dd mmm yy"))&amp;" "&amp;Milestones!$AB$158&amp;" "&amp;Milestones!$AC$158&amp;";  ","")&amp;IF(AND(EDATE($D59,Milestones!$AA$159)&lt;=AsOfDate,IF($R59=0,$X59,IF(AND($T59&lt;&gt;"",EDATE($D59,Milestones!$AA$159)&gt;=$T59),$W59,IF(AND($S59&lt;&gt;"",EDATE($D59,Milestones!$AA$159)&gt;=$S59),$V59,$U59)))=Milestones!$AB$159),UPPER(TEXT(EDATE($D59,Milestones!$AA$159),"dd mmm yy"))&amp;" "&amp;Milestones!$AB$159&amp;" "&amp;Milestones!$AC$159&amp;";  ",""))</f>
        <v/>
      </c>
      <c r="P59" s="0" t="str">
        <f aca="false">IF(OR($A59="",$D59=""),"",IF(AND(EDATE($D59,Milestones!$AA$160)&lt;=AsOfDate,IF($R59=0,$X59,IF(AND($T59&lt;&gt;"",EDATE($D59,Milestones!$AA$160)&gt;=$T59),$W59,IF(AND($S59&lt;&gt;"",EDATE($D59,Milestones!$AA$160)&gt;=$S59),$V59,$U59)))=Milestones!$AB$160),UPPER(TEXT(EDATE($D59,Milestones!$AA$160),"dd mmm yy"))&amp;" "&amp;Milestones!$AB$160&amp;" "&amp;Milestones!$AC$160&amp;";  ","")&amp;IF(AND(EDATE($D59,Milestones!$AA$161)&lt;=AsOfDate,IF($R59=0,$X59,IF(AND($T59&lt;&gt;"",EDATE($D59,Milestones!$AA$161)&gt;=$T59),$W59,IF(AND($S59&lt;&gt;"",EDATE($D59,Milestones!$AA$161)&gt;=$S59),$V59,$U59)))=Milestones!$AB$161),UPPER(TEXT(EDATE($D59,Milestones!$AA$161),"dd mmm yy"))&amp;" "&amp;Milestones!$AB$161&amp;" "&amp;Milestones!$AC$161&amp;";  ","")&amp;IF(AND(EDATE($D59,Milestones!$AA$162)&lt;=AsOfDate,IF($R59=0,$X59,IF(AND($T59&lt;&gt;"",EDATE($D59,Milestones!$AA$162)&gt;=$T59),$W59,IF(AND($S59&lt;&gt;"",EDATE($D59,Milestones!$AA$162)&gt;=$S59),$V59,$U59)))=Milestones!$AB$162),UPPER(TEXT(EDATE($D59,Milestones!$AA$162),"dd mmm yy"))&amp;" "&amp;Milestones!$AB$162&amp;" "&amp;Milestones!$AC$162&amp;";  ","")&amp;IF(AND(EDATE($D59,Milestones!$AA$163)&lt;=AsOfDate,IF($R59=0,$X59,IF(AND($T59&lt;&gt;"",EDATE($D59,Milestones!$AA$163)&gt;=$T59),$W59,IF(AND($S59&lt;&gt;"",EDATE($D59,Milestones!$AA$163)&gt;=$S59),$V59,$U59)))=Milestones!$AB$163),UPPER(TEXT(EDATE($D59,Milestones!$AA$163),"dd mmm yy"))&amp;" "&amp;Milestones!$AB$163&amp;" "&amp;Milestones!$AC$163&amp;";  ","")&amp;IF(AND(EDATE($D59,Milestones!$AA$164)&lt;=AsOfDate,IF($R59=0,$X59,IF(AND($T59&lt;&gt;"",EDATE($D59,Milestones!$AA$164)&gt;=$T59),$W59,IF(AND($S59&lt;&gt;"",EDATE($D59,Milestones!$AA$164)&gt;=$S59),$V59,$U59)))=Milestones!$AB$164),UPPER(TEXT(EDATE($D59,Milestones!$AA$164),"dd mmm yy"))&amp;" "&amp;Milestones!$AB$164&amp;" "&amp;Milestones!$AC$164&amp;";  ","")&amp;IF(AND(EDATE($D59,Milestones!$AA$165)&lt;=AsOfDate,IF($R59=0,$X59,IF(AND($T59&lt;&gt;"",EDATE($D59,Milestones!$AA$165)&gt;=$T59),$W59,IF(AND($S59&lt;&gt;"",EDATE($D59,Milestones!$AA$165)&gt;=$S59),$V59,$U59)))=Milestones!$AB$165),UPPER(TEXT(EDATE($D59,Milestones!$AA$165),"dd mmm yy"))&amp;" "&amp;Milestones!$AB$165&amp;" "&amp;Milestones!$AC$165&amp;";  ","")&amp;IF(AND(EDATE($D59,Milestones!$AA$166)&lt;=AsOfDate,IF($R59=0,$X59,IF(AND($T59&lt;&gt;"",EDATE($D59,Milestones!$AA$166)&gt;=$T59),$W59,IF(AND($S59&lt;&gt;"",EDATE($D59,Milestones!$AA$166)&gt;=$S59),$V59,$U59)))=Milestones!$AB$166),UPPER(TEXT(EDATE($D59,Milestones!$AA$166),"dd mmm yy"))&amp;" "&amp;Milestones!$AB$166&amp;" "&amp;Milestones!$AC$166&amp;";  ","")&amp;IF(AND(EDATE($D59,Milestones!$AA$167)&lt;=AsOfDate,IF($R59=0,$X59,IF(AND($T59&lt;&gt;"",EDATE($D59,Milestones!$AA$167)&gt;=$T59),$W59,IF(AND($S59&lt;&gt;"",EDATE($D59,Milestones!$AA$167)&gt;=$S59),$V59,$U59)))=Milestones!$AB$167),UPPER(TEXT(EDATE($D59,Milestones!$AA$167),"dd mmm yy"))&amp;" "&amp;Milestones!$AB$167&amp;" "&amp;Milestones!$AC$167&amp;";  ","")&amp;IF(AND(EDATE($D59,Milestones!$AA$168)&lt;=AsOfDate,IF($R59=0,$X59,IF(AND($T59&lt;&gt;"",EDATE($D59,Milestones!$AA$168)&gt;=$T59),$W59,IF(AND($S59&lt;&gt;"",EDATE($D59,Milestones!$AA$168)&gt;=$S59),$V59,$U59)))=Milestones!$AB$168),UPPER(TEXT(EDATE($D59,Milestones!$AA$168),"dd mmm yy"))&amp;" "&amp;Milestones!$AB$168&amp;" "&amp;Milestones!$AC$168&amp;";  ","")&amp;IF(AND(EDATE($D59,Milestones!$AA$169)&lt;=AsOfDate,IF($R59=0,$X59,IF(AND($T59&lt;&gt;"",EDATE($D59,Milestones!$AA$169)&gt;=$T59),$W59,IF(AND($S59&lt;&gt;"",EDATE($D59,Milestones!$AA$169)&gt;=$S59),$V59,$U59)))=Milestones!$AB$169),UPPER(TEXT(EDATE($D59,Milestones!$AA$169),"dd mmm yy"))&amp;" "&amp;Milestones!$AB$169&amp;" "&amp;Milestones!$AC$169&amp;";  ","")&amp;IF(AND(EDATE($D59,Milestones!$AA$170)&lt;=AsOfDate,IF($R59=0,$X59,IF(AND($T59&lt;&gt;"",EDATE($D59,Milestones!$AA$170)&gt;=$T59),$W59,IF(AND($S59&lt;&gt;"",EDATE($D59,Milestones!$AA$170)&gt;=$S59),$V59,$U59)))=Milestones!$AB$170),UPPER(TEXT(EDATE($D59,Milestones!$AA$170),"dd mmm yy"))&amp;" "&amp;Milestones!$AB$170&amp;" "&amp;Milestones!$AC$170&amp;";  ","")&amp;IF(AND(EDATE($D59,Milestones!$AA$171)&lt;=AsOfDate,IF($R59=0,$X59,IF(AND($T59&lt;&gt;"",EDATE($D59,Milestones!$AA$171)&gt;=$T59),$W59,IF(AND($S59&lt;&gt;"",EDATE($D59,Milestones!$AA$171)&gt;=$S59),$V59,$U59)))=Milestones!$AB$171),UPPER(TEXT(EDATE($D59,Milestones!$AA$171),"dd mmm yy"))&amp;" "&amp;Milestones!$AB$171&amp;" "&amp;Milestones!$AC$171&amp;";  ","")&amp;IF(AND(EDATE($D59,Milestones!$AA$172)&lt;=AsOfDate,IF($R59=0,$X59,IF(AND($T59&lt;&gt;"",EDATE($D59,Milestones!$AA$172)&gt;=$T59),$W59,IF(AND($S59&lt;&gt;"",EDATE($D59,Milestones!$AA$172)&gt;=$S59),$V59,$U59)))=Milestones!$AB$172),UPPER(TEXT(EDATE($D59,Milestones!$AA$172),"dd mmm yy"))&amp;" "&amp;Milestones!$AB$172&amp;" "&amp;Milestones!$AC$172&amp;";  ","")&amp;IF(AND(EDATE($D59,Milestones!$AA$173)&lt;=AsOfDate,IF($R59=0,$X59,IF(AND($T59&lt;&gt;"",EDATE($D59,Milestones!$AA$173)&gt;=$T59),$W59,IF(AND($S59&lt;&gt;"",EDATE($D59,Milestones!$AA$173)&gt;=$S59),$V59,$U59)))=Milestones!$AB$173),UPPER(TEXT(EDATE($D59,Milestones!$AA$173),"dd mmm yy"))&amp;" "&amp;Milestones!$AB$173&amp;" "&amp;Milestones!$AC$173&amp;";  ","")&amp;IF(AND(EDATE($D59,Milestones!$AA$174)&lt;=AsOfDate,IF($R59=0,$X59,IF(AND($T59&lt;&gt;"",EDATE($D59,Milestones!$AA$174)&gt;=$T59),$W59,IF(AND($S59&lt;&gt;"",EDATE($D59,Milestones!$AA$174)&gt;=$S59),$V59,$U59)))=Milestones!$AB$174),UPPER(TEXT(EDATE($D59,Milestones!$AA$174),"dd mmm yy"))&amp;" "&amp;Milestones!$AB$174&amp;" "&amp;Milestones!$AC$174&amp;";  ","")&amp;IF(AND(EDATE($D59,Milestones!$AA$175)&lt;=AsOfDate,IF($R59=0,$X59,IF(AND($T59&lt;&gt;"",EDATE($D59,Milestones!$AA$175)&gt;=$T59),$W59,IF(AND($S59&lt;&gt;"",EDATE($D59,Milestones!$AA$175)&gt;=$S59),$V59,$U59)))=Milestones!$AB$175),UPPER(TEXT(EDATE($D59,Milestones!$AA$175),"dd mmm yy"))&amp;" "&amp;Milestones!$AB$175&amp;" "&amp;Milestones!$AC$175&amp;";  ","")&amp;IF(AND(EDATE($D59,Milestones!$AA$176)&lt;=AsOfDate,IF($R59=0,$X59,IF(AND($T59&lt;&gt;"",EDATE($D59,Milestones!$AA$176)&gt;=$T59),$W59,IF(AND($S59&lt;&gt;"",EDATE($D59,Milestones!$AA$176)&gt;=$S59),$V59,$U59)))=Milestones!$AB$176),UPPER(TEXT(EDATE($D59,Milestones!$AA$176),"dd mmm yy"))&amp;" "&amp;Milestones!$AB$176&amp;" "&amp;Milestones!$AC$176&amp;";  ","")&amp;IF(AND(EDATE($D59,Milestones!$AA$177)&lt;=AsOfDate,IF($R59=0,$X59,IF(AND($T59&lt;&gt;"",EDATE($D59,Milestones!$AA$177)&gt;=$T59),$W59,IF(AND($S59&lt;&gt;"",EDATE($D59,Milestones!$AA$177)&gt;=$S59),$V59,$U59)))=Milestones!$AB$177),UPPER(TEXT(EDATE($D59,Milestones!$AA$177),"dd mmm yy"))&amp;" "&amp;Milestones!$AB$177&amp;" "&amp;Milestones!$AC$177&amp;";  ","")&amp;IF(AND(EDATE($D59,Milestones!$AA$178)&lt;=AsOfDate,IF($R59=0,$X59,IF(AND($T59&lt;&gt;"",EDATE($D59,Milestones!$AA$178)&gt;=$T59),$W59,IF(AND($S59&lt;&gt;"",EDATE($D59,Milestones!$AA$178)&gt;=$S59),$V59,$U59)))=Milestones!$AB$178),UPPER(TEXT(EDATE($D59,Milestones!$AA$178),"dd mmm yy"))&amp;" "&amp;Milestones!$AB$178&amp;" "&amp;Milestones!$AC$178&amp;";  ","")&amp;IF(AND(EDATE($D59,Milestones!$AA$179)&lt;=AsOfDate,IF($R59=0,$X59,IF(AND($T59&lt;&gt;"",EDATE($D59,Milestones!$AA$179)&gt;=$T59),$W59,IF(AND($S59&lt;&gt;"",EDATE($D59,Milestones!$AA$179)&gt;=$S59),$V59,$U59)))=Milestones!$AB$179),UPPER(TEXT(EDATE($D59,Milestones!$AA$179),"dd mmm yy"))&amp;" "&amp;Milestones!$AB$179&amp;" "&amp;Milestones!$AC$179&amp;";  ",""))</f>
        <v/>
      </c>
      <c r="Q59" s="0" t="str">
        <f aca="false">IF(OR($A59="",$D59=""),"",IF(AND(EDATE($D59,Milestones!$AA$180)&lt;=AsOfDate,IF($R59=0,$X59,IF(AND($T59&lt;&gt;"",EDATE($D59,Milestones!$AA$180)&gt;=$T59),$W59,IF(AND($S59&lt;&gt;"",EDATE($D59,Milestones!$AA$180)&gt;=$S59),$V59,$U59)))=Milestones!$AB$180),UPPER(TEXT(EDATE($D59,Milestones!$AA$180),"dd mmm yy"))&amp;" "&amp;Milestones!$AB$180&amp;" "&amp;Milestones!$AC$180&amp;";  ","")&amp;IF(AND(EDATE($D59,Milestones!$AA$181)&lt;=AsOfDate,IF($R59=0,$X59,IF(AND($T59&lt;&gt;"",EDATE($D59,Milestones!$AA$181)&gt;=$T59),$W59,IF(AND($S59&lt;&gt;"",EDATE($D59,Milestones!$AA$181)&gt;=$S59),$V59,$U59)))=Milestones!$AB$181),UPPER(TEXT(EDATE($D59,Milestones!$AA$181),"dd mmm yy"))&amp;" "&amp;Milestones!$AB$181&amp;" "&amp;Milestones!$AC$181&amp;";  ","")&amp;IF(AND(EDATE($D59,Milestones!$AA$182)&lt;=AsOfDate,IF($R59=0,$X59,IF(AND($T59&lt;&gt;"",EDATE($D59,Milestones!$AA$182)&gt;=$T59),$W59,IF(AND($S59&lt;&gt;"",EDATE($D59,Milestones!$AA$182)&gt;=$S59),$V59,$U59)))=Milestones!$AB$182),UPPER(TEXT(EDATE($D59,Milestones!$AA$182),"dd mmm yy"))&amp;" "&amp;Milestones!$AB$182&amp;" "&amp;Milestones!$AC$182&amp;";  ","")&amp;IF(AND(EDATE($D59,Milestones!$AA$183)&lt;=AsOfDate,IF($R59=0,$X59,IF(AND($T59&lt;&gt;"",EDATE($D59,Milestones!$AA$183)&gt;=$T59),$W59,IF(AND($S59&lt;&gt;"",EDATE($D59,Milestones!$AA$183)&gt;=$S59),$V59,$U59)))=Milestones!$AB$183),UPPER(TEXT(EDATE($D59,Milestones!$AA$183),"dd mmm yy"))&amp;" "&amp;Milestones!$AB$183&amp;" "&amp;Milestones!$AC$183&amp;";  ","")&amp;IF(AND(EDATE($D59,Milestones!$AA$184)&lt;=AsOfDate,IF($R59=0,$X59,IF(AND($T59&lt;&gt;"",EDATE($D59,Milestones!$AA$184)&gt;=$T59),$W59,IF(AND($S59&lt;&gt;"",EDATE($D59,Milestones!$AA$184)&gt;=$S59),$V59,$U59)))=Milestones!$AB$184),UPPER(TEXT(EDATE($D59,Milestones!$AA$184),"dd mmm yy"))&amp;" "&amp;Milestones!$AB$184&amp;" "&amp;Milestones!$AC$184&amp;";  ","")&amp;IF(AND(EDATE($D59,Milestones!$AA$185)&lt;=AsOfDate,IF($R59=0,$X59,IF(AND($T59&lt;&gt;"",EDATE($D59,Milestones!$AA$185)&gt;=$T59),$W59,IF(AND($S59&lt;&gt;"",EDATE($D59,Milestones!$AA$185)&gt;=$S59),$V59,$U59)))=Milestones!$AB$185),UPPER(TEXT(EDATE($D59,Milestones!$AA$185),"dd mmm yy"))&amp;" "&amp;Milestones!$AB$185&amp;" "&amp;Milestones!$AC$185&amp;";  ","")&amp;IF(AND(EDATE($D59,Milestones!$AA$186)&lt;=AsOfDate,IF($R59=0,$X59,IF(AND($T59&lt;&gt;"",EDATE($D59,Milestones!$AA$186)&gt;=$T59),$W59,IF(AND($S59&lt;&gt;"",EDATE($D59,Milestones!$AA$186)&gt;=$S59),$V59,$U59)))=Milestones!$AB$186),UPPER(TEXT(EDATE($D59,Milestones!$AA$186),"dd mmm yy"))&amp;" "&amp;Milestones!$AB$186&amp;" "&amp;Milestones!$AC$186&amp;";  ","")&amp;IF(AND(EDATE($D59,Milestones!$AA$187)&lt;=AsOfDate,IF($R59=0,$X59,IF(AND($T59&lt;&gt;"",EDATE($D59,Milestones!$AA$187)&gt;=$T59),$W59,IF(AND($S59&lt;&gt;"",EDATE($D59,Milestones!$AA$187)&gt;=$S59),$V59,$U59)))=Milestones!$AB$187),UPPER(TEXT(EDATE($D59,Milestones!$AA$187),"dd mmm yy"))&amp;" "&amp;Milestones!$AB$187&amp;" "&amp;Milestones!$AC$187&amp;";  ","")&amp;IF(AND(EDATE($D59,Milestones!$AA$188)&lt;=AsOfDate,IF($R59=0,$X59,IF(AND($T59&lt;&gt;"",EDATE($D59,Milestones!$AA$188)&gt;=$T59),$W59,IF(AND($S59&lt;&gt;"",EDATE($D59,Milestones!$AA$188)&gt;=$S59),$V59,$U59)))=Milestones!$AB$188),UPPER(TEXT(EDATE($D59,Milestones!$AA$188),"dd mmm yy"))&amp;" "&amp;Milestones!$AB$188&amp;" "&amp;Milestones!$AC$188&amp;";  ","")&amp;IF(AND(EDATE($D59,Milestones!$AA$189)&lt;=AsOfDate,IF($R59=0,$X59,IF(AND($T59&lt;&gt;"",EDATE($D59,Milestones!$AA$189)&gt;=$T59),$W59,IF(AND($S59&lt;&gt;"",EDATE($D59,Milestones!$AA$189)&gt;=$S59),$V59,$U59)))=Milestones!$AB$189),UPPER(TEXT(EDATE($D59,Milestones!$AA$189),"dd mmm yy"))&amp;" "&amp;Milestones!$AB$189&amp;" "&amp;Milestones!$AC$189&amp;";  ","")&amp;IF(AND(EDATE($D59,Milestones!$AA$190)&lt;=AsOfDate,IF($R59=0,$X59,IF(AND($T59&lt;&gt;"",EDATE($D59,Milestones!$AA$190)&gt;=$T59),$W59,IF(AND($S59&lt;&gt;"",EDATE($D59,Milestones!$AA$190)&gt;=$S59),$V59,$U59)))=Milestones!$AB$190),UPPER(TEXT(EDATE($D59,Milestones!$AA$190),"dd mmm yy"))&amp;" "&amp;Milestones!$AB$190&amp;" "&amp;Milestones!$AC$190&amp;";  ","")&amp;IF(AND(EDATE($D59,Milestones!$AA$191)&lt;=AsOfDate,IF($R59=0,$X59,IF(AND($T59&lt;&gt;"",EDATE($D59,Milestones!$AA$191)&gt;=$T59),$W59,IF(AND($S59&lt;&gt;"",EDATE($D59,Milestones!$AA$191)&gt;=$S59),$V59,$U59)))=Milestones!$AB$191),UPPER(TEXT(EDATE($D59,Milestones!$AA$191),"dd mmm yy"))&amp;" "&amp;Milestones!$AB$191&amp;" "&amp;Milestones!$AC$191&amp;";  ","")&amp;IF(AND(EDATE($D59,Milestones!$AA$192)&lt;=AsOfDate,IF($R59=0,$X59,IF(AND($T59&lt;&gt;"",EDATE($D59,Milestones!$AA$192)&gt;=$T59),$W59,IF(AND($S59&lt;&gt;"",EDATE($D59,Milestones!$AA$192)&gt;=$S59),$V59,$U59)))=Milestones!$AB$192),UPPER(TEXT(EDATE($D59,Milestones!$AA$192),"dd mmm yy"))&amp;" "&amp;Milestones!$AB$192&amp;" "&amp;Milestones!$AC$192&amp;";  ","")&amp;IF(AND(EDATE($D59,Milestones!$AA$193)&lt;=AsOfDate,IF($R59=0,$X59,IF(AND($T59&lt;&gt;"",EDATE($D59,Milestones!$AA$193)&gt;=$T59),$W59,IF(AND($S59&lt;&gt;"",EDATE($D59,Milestones!$AA$193)&gt;=$S59),$V59,$U59)))=Milestones!$AB$193),UPPER(TEXT(EDATE($D59,Milestones!$AA$193),"dd mmm yy"))&amp;" "&amp;Milestones!$AB$193&amp;" "&amp;Milestones!$AC$193&amp;";  ","")&amp;IF(AND(EDATE($D59,Milestones!$AA$194)&lt;=AsOfDate,IF($R59=0,$X59,IF(AND($T59&lt;&gt;"",EDATE($D59,Milestones!$AA$194)&gt;=$T59),$W59,IF(AND($S59&lt;&gt;"",EDATE($D59,Milestones!$AA$194)&gt;=$S59),$V59,$U59)))=Milestones!$AB$194),UPPER(TEXT(EDATE($D59,Milestones!$AA$194),"dd mmm yy"))&amp;" "&amp;Milestones!$AB$194&amp;" "&amp;Milestones!$AC$194&amp;";  ","")&amp;IF(AND(EDATE($D59,Milestones!$AA$195)&lt;=AsOfDate,IF($R59=0,$X59,IF(AND($T59&lt;&gt;"",EDATE($D59,Milestones!$AA$195)&gt;=$T59),$W59,IF(AND($S59&lt;&gt;"",EDATE($D59,Milestones!$AA$195)&gt;=$S59),$V59,$U59)))=Milestones!$AB$195),UPPER(TEXT(EDATE($D59,Milestones!$AA$195),"dd mmm yy"))&amp;" "&amp;Milestones!$AB$195&amp;" "&amp;Milestones!$AC$195&amp;";  ","")&amp;IF(AND(EDATE($D59,Milestones!$AA$196)&lt;=AsOfDate,IF($R59=0,$X59,IF(AND($T59&lt;&gt;"",EDATE($D59,Milestones!$AA$196)&gt;=$T59),$W59,IF(AND($S59&lt;&gt;"",EDATE($D59,Milestones!$AA$196)&gt;=$S59),$V59,$U59)))=Milestones!$AB$196),UPPER(TEXT(EDATE($D59,Milestones!$AA$196),"dd mmm yy"))&amp;" "&amp;Milestones!$AB$196&amp;" "&amp;Milestones!$AC$196&amp;";  ","")&amp;IF(AND(EDATE($D59,Milestones!$AA$197)&lt;=AsOfDate,IF($R59=0,$X59,IF(AND($T59&lt;&gt;"",EDATE($D59,Milestones!$AA$197)&gt;=$T59),$W59,IF(AND($S59&lt;&gt;"",EDATE($D59,Milestones!$AA$197)&gt;=$S59),$V59,$U59)))=Milestones!$AB$197),UPPER(TEXT(EDATE($D59,Milestones!$AA$197),"dd mmm yy"))&amp;" "&amp;Milestones!$AB$197&amp;" "&amp;Milestones!$AC$197&amp;";  ","")&amp;IF(AND(EDATE($D59,Milestones!$AA$198)&lt;=AsOfDate,IF($R59=0,$X59,IF(AND($T59&lt;&gt;"",EDATE($D59,Milestones!$AA$198)&gt;=$T59),$W59,IF(AND($S59&lt;&gt;"",EDATE($D59,Milestones!$AA$198)&gt;=$S59),$V59,$U59)))=Milestones!$AB$198),UPPER(TEXT(EDATE($D59,Milestones!$AA$198),"dd mmm yy"))&amp;" "&amp;Milestones!$AB$198&amp;" "&amp;Milestones!$AC$198&amp;";  ","")&amp;IF(AND(EDATE($D59,Milestones!$AA$199)&lt;=AsOfDate,IF($R59=0,$X59,IF(AND($T59&lt;&gt;"",EDATE($D59,Milestones!$AA$199)&gt;=$T59),$W59,IF(AND($S59&lt;&gt;"",EDATE($D59,Milestones!$AA$199)&gt;=$S59),$V59,$U59)))=Milestones!$AB$199),UPPER(TEXT(EDATE($D59,Milestones!$AA$199),"dd mmm yy"))&amp;" "&amp;Milestones!$AB$199&amp;" "&amp;Milestones!$AC$199&amp;";  ",""))</f>
        <v/>
      </c>
      <c r="R59" s="0" t="str">
        <f aca="false">IF(Staff!$A59="","",Staff!$AI59)</f>
        <v/>
      </c>
      <c r="S59" s="0" t="str">
        <f aca="false">IF(Staff!$A59="","",Staff!$AK59)</f>
        <v/>
      </c>
      <c r="T59" s="0" t="str">
        <f aca="false">IF(Staff!$A59="","",Staff!$AL59)</f>
        <v/>
      </c>
      <c r="U59" s="0" t="str">
        <f aca="false">IF(Staff!$A59="","",Staff!$AP59)</f>
        <v/>
      </c>
      <c r="V59" s="0" t="str">
        <f aca="false">IF(Staff!$A59="","",Staff!$AQ59)</f>
        <v/>
      </c>
      <c r="W59" s="0" t="str">
        <f aca="false">IF(Staff!$A59="","",Staff!$AR59)</f>
        <v/>
      </c>
      <c r="X59" s="0" t="str">
        <f aca="false">IF(Staff!$A59="","",Staff!$AS59)</f>
        <v/>
      </c>
    </row>
    <row r="60" customFormat="false" ht="15" hidden="false" customHeight="false" outlineLevel="0" collapsed="false">
      <c r="A60" s="14" t="str">
        <f aca="false">IF(Staff!$A60="","",Staff!$A60)</f>
        <v/>
      </c>
      <c r="B60" s="14" t="str">
        <f aca="false">IF(Staff!$A60="","",Staff!$B60)</f>
        <v/>
      </c>
      <c r="C60" s="14" t="str">
        <f aca="false">IF(Staff!$A60="","",Staff!$C60)</f>
        <v/>
      </c>
      <c r="D60" s="12" t="str">
        <f aca="false">IF(Staff!$A60="","",Staff!$AH60)</f>
        <v/>
      </c>
      <c r="E60" s="14" t="str">
        <f aca="false">IF(Staff!$A60="","",Staff!$O60)</f>
        <v/>
      </c>
      <c r="F60" s="14" t="str">
        <f aca="false">IF(E60="","",E60*HoursPerDay)</f>
        <v/>
      </c>
      <c r="G60" s="14" t="str">
        <f aca="false">IF(Staff!$A60="","",Staff!$AE60)</f>
        <v/>
      </c>
      <c r="H60" s="26" t="str">
        <f aca="false">IF($A60="","",I60&amp;J60&amp;K60&amp;L60&amp;M60&amp;N60&amp;O60&amp;P60&amp;Q60)</f>
        <v/>
      </c>
      <c r="I60" s="0" t="str">
        <f aca="false">IF(OR($A60="",$D60=""),"",IF(AND(EDATE($D60,Milestones!$AA$20)&lt;=AsOfDate,IF($R60=0,$X60,IF(AND($T60&lt;&gt;"",EDATE($D60,Milestones!$AA$20)&gt;=$T60),$W60,IF(AND($S60&lt;&gt;"",EDATE($D60,Milestones!$AA$20)&gt;=$S60),$V60,$U60)))=Milestones!$AB$20),UPPER(TEXT(EDATE($D60,Milestones!$AA$20),"dd mmm yy"))&amp;" "&amp;Milestones!$AB$20&amp;" "&amp;Milestones!$AC$20&amp;";  ","")&amp;IF(AND(EDATE($D60,Milestones!$AA$21)&lt;=AsOfDate,IF($R60=0,$X60,IF(AND($T60&lt;&gt;"",EDATE($D60,Milestones!$AA$21)&gt;=$T60),$W60,IF(AND($S60&lt;&gt;"",EDATE($D60,Milestones!$AA$21)&gt;=$S60),$V60,$U60)))=Milestones!$AB$21),UPPER(TEXT(EDATE($D60,Milestones!$AA$21),"dd mmm yy"))&amp;" "&amp;Milestones!$AB$21&amp;" "&amp;Milestones!$AC$21&amp;";  ","")&amp;IF(AND(EDATE($D60,Milestones!$AA$22)&lt;=AsOfDate,IF($R60=0,$X60,IF(AND($T60&lt;&gt;"",EDATE($D60,Milestones!$AA$22)&gt;=$T60),$W60,IF(AND($S60&lt;&gt;"",EDATE($D60,Milestones!$AA$22)&gt;=$S60),$V60,$U60)))=Milestones!$AB$22),UPPER(TEXT(EDATE($D60,Milestones!$AA$22),"dd mmm yy"))&amp;" "&amp;Milestones!$AB$22&amp;" "&amp;Milestones!$AC$22&amp;";  ","")&amp;IF(AND(EDATE($D60,Milestones!$AA$23)&lt;=AsOfDate,IF($R60=0,$X60,IF(AND($T60&lt;&gt;"",EDATE($D60,Milestones!$AA$23)&gt;=$T60),$W60,IF(AND($S60&lt;&gt;"",EDATE($D60,Milestones!$AA$23)&gt;=$S60),$V60,$U60)))=Milestones!$AB$23),UPPER(TEXT(EDATE($D60,Milestones!$AA$23),"dd mmm yy"))&amp;" "&amp;Milestones!$AB$23&amp;" "&amp;Milestones!$AC$23&amp;";  ","")&amp;IF(AND(EDATE($D60,Milestones!$AA$24)&lt;=AsOfDate,IF($R60=0,$X60,IF(AND($T60&lt;&gt;"",EDATE($D60,Milestones!$AA$24)&gt;=$T60),$W60,IF(AND($S60&lt;&gt;"",EDATE($D60,Milestones!$AA$24)&gt;=$S60),$V60,$U60)))=Milestones!$AB$24),UPPER(TEXT(EDATE($D60,Milestones!$AA$24),"dd mmm yy"))&amp;" "&amp;Milestones!$AB$24&amp;" "&amp;Milestones!$AC$24&amp;";  ","")&amp;IF(AND(EDATE($D60,Milestones!$AA$25)&lt;=AsOfDate,IF($R60=0,$X60,IF(AND($T60&lt;&gt;"",EDATE($D60,Milestones!$AA$25)&gt;=$T60),$W60,IF(AND($S60&lt;&gt;"",EDATE($D60,Milestones!$AA$25)&gt;=$S60),$V60,$U60)))=Milestones!$AB$25),UPPER(TEXT(EDATE($D60,Milestones!$AA$25),"dd mmm yy"))&amp;" "&amp;Milestones!$AB$25&amp;" "&amp;Milestones!$AC$25&amp;";  ","")&amp;IF(AND(EDATE($D60,Milestones!$AA$26)&lt;=AsOfDate,IF($R60=0,$X60,IF(AND($T60&lt;&gt;"",EDATE($D60,Milestones!$AA$26)&gt;=$T60),$W60,IF(AND($S60&lt;&gt;"",EDATE($D60,Milestones!$AA$26)&gt;=$S60),$V60,$U60)))=Milestones!$AB$26),UPPER(TEXT(EDATE($D60,Milestones!$AA$26),"dd mmm yy"))&amp;" "&amp;Milestones!$AB$26&amp;" "&amp;Milestones!$AC$26&amp;";  ","")&amp;IF(AND(EDATE($D60,Milestones!$AA$27)&lt;=AsOfDate,IF($R60=0,$X60,IF(AND($T60&lt;&gt;"",EDATE($D60,Milestones!$AA$27)&gt;=$T60),$W60,IF(AND($S60&lt;&gt;"",EDATE($D60,Milestones!$AA$27)&gt;=$S60),$V60,$U60)))=Milestones!$AB$27),UPPER(TEXT(EDATE($D60,Milestones!$AA$27),"dd mmm yy"))&amp;" "&amp;Milestones!$AB$27&amp;" "&amp;Milestones!$AC$27&amp;";  ","")&amp;IF(AND(EDATE($D60,Milestones!$AA$28)&lt;=AsOfDate,IF($R60=0,$X60,IF(AND($T60&lt;&gt;"",EDATE($D60,Milestones!$AA$28)&gt;=$T60),$W60,IF(AND($S60&lt;&gt;"",EDATE($D60,Milestones!$AA$28)&gt;=$S60),$V60,$U60)))=Milestones!$AB$28),UPPER(TEXT(EDATE($D60,Milestones!$AA$28),"dd mmm yy"))&amp;" "&amp;Milestones!$AB$28&amp;" "&amp;Milestones!$AC$28&amp;";  ","")&amp;IF(AND(EDATE($D60,Milestones!$AA$29)&lt;=AsOfDate,IF($R60=0,$X60,IF(AND($T60&lt;&gt;"",EDATE($D60,Milestones!$AA$29)&gt;=$T60),$W60,IF(AND($S60&lt;&gt;"",EDATE($D60,Milestones!$AA$29)&gt;=$S60),$V60,$U60)))=Milestones!$AB$29),UPPER(TEXT(EDATE($D60,Milestones!$AA$29),"dd mmm yy"))&amp;" "&amp;Milestones!$AB$29&amp;" "&amp;Milestones!$AC$29&amp;";  ","")&amp;IF(AND(EDATE($D60,Milestones!$AA$30)&lt;=AsOfDate,IF($R60=0,$X60,IF(AND($T60&lt;&gt;"",EDATE($D60,Milestones!$AA$30)&gt;=$T60),$W60,IF(AND($S60&lt;&gt;"",EDATE($D60,Milestones!$AA$30)&gt;=$S60),$V60,$U60)))=Milestones!$AB$30),UPPER(TEXT(EDATE($D60,Milestones!$AA$30),"dd mmm yy"))&amp;" "&amp;Milestones!$AB$30&amp;" "&amp;Milestones!$AC$30&amp;";  ","")&amp;IF(AND(EDATE($D60,Milestones!$AA$31)&lt;=AsOfDate,IF($R60=0,$X60,IF(AND($T60&lt;&gt;"",EDATE($D60,Milestones!$AA$31)&gt;=$T60),$W60,IF(AND($S60&lt;&gt;"",EDATE($D60,Milestones!$AA$31)&gt;=$S60),$V60,$U60)))=Milestones!$AB$31),UPPER(TEXT(EDATE($D60,Milestones!$AA$31),"dd mmm yy"))&amp;" "&amp;Milestones!$AB$31&amp;" "&amp;Milestones!$AC$31&amp;";  ","")&amp;IF(AND(EDATE($D60,Milestones!$AA$32)&lt;=AsOfDate,IF($R60=0,$X60,IF(AND($T60&lt;&gt;"",EDATE($D60,Milestones!$AA$32)&gt;=$T60),$W60,IF(AND($S60&lt;&gt;"",EDATE($D60,Milestones!$AA$32)&gt;=$S60),$V60,$U60)))=Milestones!$AB$32),UPPER(TEXT(EDATE($D60,Milestones!$AA$32),"dd mmm yy"))&amp;" "&amp;Milestones!$AB$32&amp;" "&amp;Milestones!$AC$32&amp;";  ","")&amp;IF(AND(EDATE($D60,Milestones!$AA$33)&lt;=AsOfDate,IF($R60=0,$X60,IF(AND($T60&lt;&gt;"",EDATE($D60,Milestones!$AA$33)&gt;=$T60),$W60,IF(AND($S60&lt;&gt;"",EDATE($D60,Milestones!$AA$33)&gt;=$S60),$V60,$U60)))=Milestones!$AB$33),UPPER(TEXT(EDATE($D60,Milestones!$AA$33),"dd mmm yy"))&amp;" "&amp;Milestones!$AB$33&amp;" "&amp;Milestones!$AC$33&amp;";  ","")&amp;IF(AND(EDATE($D60,Milestones!$AA$34)&lt;=AsOfDate,IF($R60=0,$X60,IF(AND($T60&lt;&gt;"",EDATE($D60,Milestones!$AA$34)&gt;=$T60),$W60,IF(AND($S60&lt;&gt;"",EDATE($D60,Milestones!$AA$34)&gt;=$S60),$V60,$U60)))=Milestones!$AB$34),UPPER(TEXT(EDATE($D60,Milestones!$AA$34),"dd mmm yy"))&amp;" "&amp;Milestones!$AB$34&amp;" "&amp;Milestones!$AC$34&amp;";  ","")&amp;IF(AND(EDATE($D60,Milestones!$AA$35)&lt;=AsOfDate,IF($R60=0,$X60,IF(AND($T60&lt;&gt;"",EDATE($D60,Milestones!$AA$35)&gt;=$T60),$W60,IF(AND($S60&lt;&gt;"",EDATE($D60,Milestones!$AA$35)&gt;=$S60),$V60,$U60)))=Milestones!$AB$35),UPPER(TEXT(EDATE($D60,Milestones!$AA$35),"dd mmm yy"))&amp;" "&amp;Milestones!$AB$35&amp;" "&amp;Milestones!$AC$35&amp;";  ","")&amp;IF(AND(EDATE($D60,Milestones!$AA$36)&lt;=AsOfDate,IF($R60=0,$X60,IF(AND($T60&lt;&gt;"",EDATE($D60,Milestones!$AA$36)&gt;=$T60),$W60,IF(AND($S60&lt;&gt;"",EDATE($D60,Milestones!$AA$36)&gt;=$S60),$V60,$U60)))=Milestones!$AB$36),UPPER(TEXT(EDATE($D60,Milestones!$AA$36),"dd mmm yy"))&amp;" "&amp;Milestones!$AB$36&amp;" "&amp;Milestones!$AC$36&amp;";  ","")&amp;IF(AND(EDATE($D60,Milestones!$AA$37)&lt;=AsOfDate,IF($R60=0,$X60,IF(AND($T60&lt;&gt;"",EDATE($D60,Milestones!$AA$37)&gt;=$T60),$W60,IF(AND($S60&lt;&gt;"",EDATE($D60,Milestones!$AA$37)&gt;=$S60),$V60,$U60)))=Milestones!$AB$37),UPPER(TEXT(EDATE($D60,Milestones!$AA$37),"dd mmm yy"))&amp;" "&amp;Milestones!$AB$37&amp;" "&amp;Milestones!$AC$37&amp;";  ","")&amp;IF(AND(EDATE($D60,Milestones!$AA$38)&lt;=AsOfDate,IF($R60=0,$X60,IF(AND($T60&lt;&gt;"",EDATE($D60,Milestones!$AA$38)&gt;=$T60),$W60,IF(AND($S60&lt;&gt;"",EDATE($D60,Milestones!$AA$38)&gt;=$S60),$V60,$U60)))=Milestones!$AB$38),UPPER(TEXT(EDATE($D60,Milestones!$AA$38),"dd mmm yy"))&amp;" "&amp;Milestones!$AB$38&amp;" "&amp;Milestones!$AC$38&amp;";  ","")&amp;IF(AND(EDATE($D60,Milestones!$AA$39)&lt;=AsOfDate,IF($R60=0,$X60,IF(AND($T60&lt;&gt;"",EDATE($D60,Milestones!$AA$39)&gt;=$T60),$W60,IF(AND($S60&lt;&gt;"",EDATE($D60,Milestones!$AA$39)&gt;=$S60),$V60,$U60)))=Milestones!$AB$39),UPPER(TEXT(EDATE($D60,Milestones!$AA$39),"dd mmm yy"))&amp;" "&amp;Milestones!$AB$39&amp;" "&amp;Milestones!$AC$39&amp;";  ",""))</f>
        <v/>
      </c>
      <c r="J60" s="0" t="str">
        <f aca="false">IF(OR($A60="",$D60=""),"",IF(AND(EDATE($D60,Milestones!$AA$40)&lt;=AsOfDate,IF($R60=0,$X60,IF(AND($T60&lt;&gt;"",EDATE($D60,Milestones!$AA$40)&gt;=$T60),$W60,IF(AND($S60&lt;&gt;"",EDATE($D60,Milestones!$AA$40)&gt;=$S60),$V60,$U60)))=Milestones!$AB$40),UPPER(TEXT(EDATE($D60,Milestones!$AA$40),"dd mmm yy"))&amp;" "&amp;Milestones!$AB$40&amp;" "&amp;Milestones!$AC$40&amp;";  ","")&amp;IF(AND(EDATE($D60,Milestones!$AA$41)&lt;=AsOfDate,IF($R60=0,$X60,IF(AND($T60&lt;&gt;"",EDATE($D60,Milestones!$AA$41)&gt;=$T60),$W60,IF(AND($S60&lt;&gt;"",EDATE($D60,Milestones!$AA$41)&gt;=$S60),$V60,$U60)))=Milestones!$AB$41),UPPER(TEXT(EDATE($D60,Milestones!$AA$41),"dd mmm yy"))&amp;" "&amp;Milestones!$AB$41&amp;" "&amp;Milestones!$AC$41&amp;";  ","")&amp;IF(AND(EDATE($D60,Milestones!$AA$42)&lt;=AsOfDate,IF($R60=0,$X60,IF(AND($T60&lt;&gt;"",EDATE($D60,Milestones!$AA$42)&gt;=$T60),$W60,IF(AND($S60&lt;&gt;"",EDATE($D60,Milestones!$AA$42)&gt;=$S60),$V60,$U60)))=Milestones!$AB$42),UPPER(TEXT(EDATE($D60,Milestones!$AA$42),"dd mmm yy"))&amp;" "&amp;Milestones!$AB$42&amp;" "&amp;Milestones!$AC$42&amp;";  ","")&amp;IF(AND(EDATE($D60,Milestones!$AA$43)&lt;=AsOfDate,IF($R60=0,$X60,IF(AND($T60&lt;&gt;"",EDATE($D60,Milestones!$AA$43)&gt;=$T60),$W60,IF(AND($S60&lt;&gt;"",EDATE($D60,Milestones!$AA$43)&gt;=$S60),$V60,$U60)))=Milestones!$AB$43),UPPER(TEXT(EDATE($D60,Milestones!$AA$43),"dd mmm yy"))&amp;" "&amp;Milestones!$AB$43&amp;" "&amp;Milestones!$AC$43&amp;";  ","")&amp;IF(AND(EDATE($D60,Milestones!$AA$44)&lt;=AsOfDate,IF($R60=0,$X60,IF(AND($T60&lt;&gt;"",EDATE($D60,Milestones!$AA$44)&gt;=$T60),$W60,IF(AND($S60&lt;&gt;"",EDATE($D60,Milestones!$AA$44)&gt;=$S60),$V60,$U60)))=Milestones!$AB$44),UPPER(TEXT(EDATE($D60,Milestones!$AA$44),"dd mmm yy"))&amp;" "&amp;Milestones!$AB$44&amp;" "&amp;Milestones!$AC$44&amp;";  ","")&amp;IF(AND(EDATE($D60,Milestones!$AA$45)&lt;=AsOfDate,IF($R60=0,$X60,IF(AND($T60&lt;&gt;"",EDATE($D60,Milestones!$AA$45)&gt;=$T60),$W60,IF(AND($S60&lt;&gt;"",EDATE($D60,Milestones!$AA$45)&gt;=$S60),$V60,$U60)))=Milestones!$AB$45),UPPER(TEXT(EDATE($D60,Milestones!$AA$45),"dd mmm yy"))&amp;" "&amp;Milestones!$AB$45&amp;" "&amp;Milestones!$AC$45&amp;";  ","")&amp;IF(AND(EDATE($D60,Milestones!$AA$46)&lt;=AsOfDate,IF($R60=0,$X60,IF(AND($T60&lt;&gt;"",EDATE($D60,Milestones!$AA$46)&gt;=$T60),$W60,IF(AND($S60&lt;&gt;"",EDATE($D60,Milestones!$AA$46)&gt;=$S60),$V60,$U60)))=Milestones!$AB$46),UPPER(TEXT(EDATE($D60,Milestones!$AA$46),"dd mmm yy"))&amp;" "&amp;Milestones!$AB$46&amp;" "&amp;Milestones!$AC$46&amp;";  ","")&amp;IF(AND(EDATE($D60,Milestones!$AA$47)&lt;=AsOfDate,IF($R60=0,$X60,IF(AND($T60&lt;&gt;"",EDATE($D60,Milestones!$AA$47)&gt;=$T60),$W60,IF(AND($S60&lt;&gt;"",EDATE($D60,Milestones!$AA$47)&gt;=$S60),$V60,$U60)))=Milestones!$AB$47),UPPER(TEXT(EDATE($D60,Milestones!$AA$47),"dd mmm yy"))&amp;" "&amp;Milestones!$AB$47&amp;" "&amp;Milestones!$AC$47&amp;";  ","")&amp;IF(AND(EDATE($D60,Milestones!$AA$48)&lt;=AsOfDate,IF($R60=0,$X60,IF(AND($T60&lt;&gt;"",EDATE($D60,Milestones!$AA$48)&gt;=$T60),$W60,IF(AND($S60&lt;&gt;"",EDATE($D60,Milestones!$AA$48)&gt;=$S60),$V60,$U60)))=Milestones!$AB$48),UPPER(TEXT(EDATE($D60,Milestones!$AA$48),"dd mmm yy"))&amp;" "&amp;Milestones!$AB$48&amp;" "&amp;Milestones!$AC$48&amp;";  ","")&amp;IF(AND(EDATE($D60,Milestones!$AA$49)&lt;=AsOfDate,IF($R60=0,$X60,IF(AND($T60&lt;&gt;"",EDATE($D60,Milestones!$AA$49)&gt;=$T60),$W60,IF(AND($S60&lt;&gt;"",EDATE($D60,Milestones!$AA$49)&gt;=$S60),$V60,$U60)))=Milestones!$AB$49),UPPER(TEXT(EDATE($D60,Milestones!$AA$49),"dd mmm yy"))&amp;" "&amp;Milestones!$AB$49&amp;" "&amp;Milestones!$AC$49&amp;";  ","")&amp;IF(AND(EDATE($D60,Milestones!$AA$50)&lt;=AsOfDate,IF($R60=0,$X60,IF(AND($T60&lt;&gt;"",EDATE($D60,Milestones!$AA$50)&gt;=$T60),$W60,IF(AND($S60&lt;&gt;"",EDATE($D60,Milestones!$AA$50)&gt;=$S60),$V60,$U60)))=Milestones!$AB$50),UPPER(TEXT(EDATE($D60,Milestones!$AA$50),"dd mmm yy"))&amp;" "&amp;Milestones!$AB$50&amp;" "&amp;Milestones!$AC$50&amp;";  ","")&amp;IF(AND(EDATE($D60,Milestones!$AA$51)&lt;=AsOfDate,IF($R60=0,$X60,IF(AND($T60&lt;&gt;"",EDATE($D60,Milestones!$AA$51)&gt;=$T60),$W60,IF(AND($S60&lt;&gt;"",EDATE($D60,Milestones!$AA$51)&gt;=$S60),$V60,$U60)))=Milestones!$AB$51),UPPER(TEXT(EDATE($D60,Milestones!$AA$51),"dd mmm yy"))&amp;" "&amp;Milestones!$AB$51&amp;" "&amp;Milestones!$AC$51&amp;";  ","")&amp;IF(AND(EDATE($D60,Milestones!$AA$52)&lt;=AsOfDate,IF($R60=0,$X60,IF(AND($T60&lt;&gt;"",EDATE($D60,Milestones!$AA$52)&gt;=$T60),$W60,IF(AND($S60&lt;&gt;"",EDATE($D60,Milestones!$AA$52)&gt;=$S60),$V60,$U60)))=Milestones!$AB$52),UPPER(TEXT(EDATE($D60,Milestones!$AA$52),"dd mmm yy"))&amp;" "&amp;Milestones!$AB$52&amp;" "&amp;Milestones!$AC$52&amp;";  ","")&amp;IF(AND(EDATE($D60,Milestones!$AA$53)&lt;=AsOfDate,IF($R60=0,$X60,IF(AND($T60&lt;&gt;"",EDATE($D60,Milestones!$AA$53)&gt;=$T60),$W60,IF(AND($S60&lt;&gt;"",EDATE($D60,Milestones!$AA$53)&gt;=$S60),$V60,$U60)))=Milestones!$AB$53),UPPER(TEXT(EDATE($D60,Milestones!$AA$53),"dd mmm yy"))&amp;" "&amp;Milestones!$AB$53&amp;" "&amp;Milestones!$AC$53&amp;";  ","")&amp;IF(AND(EDATE($D60,Milestones!$AA$54)&lt;=AsOfDate,IF($R60=0,$X60,IF(AND($T60&lt;&gt;"",EDATE($D60,Milestones!$AA$54)&gt;=$T60),$W60,IF(AND($S60&lt;&gt;"",EDATE($D60,Milestones!$AA$54)&gt;=$S60),$V60,$U60)))=Milestones!$AB$54),UPPER(TEXT(EDATE($D60,Milestones!$AA$54),"dd mmm yy"))&amp;" "&amp;Milestones!$AB$54&amp;" "&amp;Milestones!$AC$54&amp;";  ","")&amp;IF(AND(EDATE($D60,Milestones!$AA$55)&lt;=AsOfDate,IF($R60=0,$X60,IF(AND($T60&lt;&gt;"",EDATE($D60,Milestones!$AA$55)&gt;=$T60),$W60,IF(AND($S60&lt;&gt;"",EDATE($D60,Milestones!$AA$55)&gt;=$S60),$V60,$U60)))=Milestones!$AB$55),UPPER(TEXT(EDATE($D60,Milestones!$AA$55),"dd mmm yy"))&amp;" "&amp;Milestones!$AB$55&amp;" "&amp;Milestones!$AC$55&amp;";  ","")&amp;IF(AND(EDATE($D60,Milestones!$AA$56)&lt;=AsOfDate,IF($R60=0,$X60,IF(AND($T60&lt;&gt;"",EDATE($D60,Milestones!$AA$56)&gt;=$T60),$W60,IF(AND($S60&lt;&gt;"",EDATE($D60,Milestones!$AA$56)&gt;=$S60),$V60,$U60)))=Milestones!$AB$56),UPPER(TEXT(EDATE($D60,Milestones!$AA$56),"dd mmm yy"))&amp;" "&amp;Milestones!$AB$56&amp;" "&amp;Milestones!$AC$56&amp;";  ","")&amp;IF(AND(EDATE($D60,Milestones!$AA$57)&lt;=AsOfDate,IF($R60=0,$X60,IF(AND($T60&lt;&gt;"",EDATE($D60,Milestones!$AA$57)&gt;=$T60),$W60,IF(AND($S60&lt;&gt;"",EDATE($D60,Milestones!$AA$57)&gt;=$S60),$V60,$U60)))=Milestones!$AB$57),UPPER(TEXT(EDATE($D60,Milestones!$AA$57),"dd mmm yy"))&amp;" "&amp;Milestones!$AB$57&amp;" "&amp;Milestones!$AC$57&amp;";  ","")&amp;IF(AND(EDATE($D60,Milestones!$AA$58)&lt;=AsOfDate,IF($R60=0,$X60,IF(AND($T60&lt;&gt;"",EDATE($D60,Milestones!$AA$58)&gt;=$T60),$W60,IF(AND($S60&lt;&gt;"",EDATE($D60,Milestones!$AA$58)&gt;=$S60),$V60,$U60)))=Milestones!$AB$58),UPPER(TEXT(EDATE($D60,Milestones!$AA$58),"dd mmm yy"))&amp;" "&amp;Milestones!$AB$58&amp;" "&amp;Milestones!$AC$58&amp;";  ","")&amp;IF(AND(EDATE($D60,Milestones!$AA$59)&lt;=AsOfDate,IF($R60=0,$X60,IF(AND($T60&lt;&gt;"",EDATE($D60,Milestones!$AA$59)&gt;=$T60),$W60,IF(AND($S60&lt;&gt;"",EDATE($D60,Milestones!$AA$59)&gt;=$S60),$V60,$U60)))=Milestones!$AB$59),UPPER(TEXT(EDATE($D60,Milestones!$AA$59),"dd mmm yy"))&amp;" "&amp;Milestones!$AB$59&amp;" "&amp;Milestones!$AC$59&amp;";  ",""))</f>
        <v/>
      </c>
      <c r="K60" s="0" t="str">
        <f aca="false">IF(OR($A60="",$D60=""),"",IF(AND(EDATE($D60,Milestones!$AA$60)&lt;=AsOfDate,IF($R60=0,$X60,IF(AND($T60&lt;&gt;"",EDATE($D60,Milestones!$AA$60)&gt;=$T60),$W60,IF(AND($S60&lt;&gt;"",EDATE($D60,Milestones!$AA$60)&gt;=$S60),$V60,$U60)))=Milestones!$AB$60),UPPER(TEXT(EDATE($D60,Milestones!$AA$60),"dd mmm yy"))&amp;" "&amp;Milestones!$AB$60&amp;" "&amp;Milestones!$AC$60&amp;";  ","")&amp;IF(AND(EDATE($D60,Milestones!$AA$61)&lt;=AsOfDate,IF($R60=0,$X60,IF(AND($T60&lt;&gt;"",EDATE($D60,Milestones!$AA$61)&gt;=$T60),$W60,IF(AND($S60&lt;&gt;"",EDATE($D60,Milestones!$AA$61)&gt;=$S60),$V60,$U60)))=Milestones!$AB$61),UPPER(TEXT(EDATE($D60,Milestones!$AA$61),"dd mmm yy"))&amp;" "&amp;Milestones!$AB$61&amp;" "&amp;Milestones!$AC$61&amp;";  ","")&amp;IF(AND(EDATE($D60,Milestones!$AA$62)&lt;=AsOfDate,IF($R60=0,$X60,IF(AND($T60&lt;&gt;"",EDATE($D60,Milestones!$AA$62)&gt;=$T60),$W60,IF(AND($S60&lt;&gt;"",EDATE($D60,Milestones!$AA$62)&gt;=$S60),$V60,$U60)))=Milestones!$AB$62),UPPER(TEXT(EDATE($D60,Milestones!$AA$62),"dd mmm yy"))&amp;" "&amp;Milestones!$AB$62&amp;" "&amp;Milestones!$AC$62&amp;";  ","")&amp;IF(AND(EDATE($D60,Milestones!$AA$63)&lt;=AsOfDate,IF($R60=0,$X60,IF(AND($T60&lt;&gt;"",EDATE($D60,Milestones!$AA$63)&gt;=$T60),$W60,IF(AND($S60&lt;&gt;"",EDATE($D60,Milestones!$AA$63)&gt;=$S60),$V60,$U60)))=Milestones!$AB$63),UPPER(TEXT(EDATE($D60,Milestones!$AA$63),"dd mmm yy"))&amp;" "&amp;Milestones!$AB$63&amp;" "&amp;Milestones!$AC$63&amp;";  ","")&amp;IF(AND(EDATE($D60,Milestones!$AA$64)&lt;=AsOfDate,IF($R60=0,$X60,IF(AND($T60&lt;&gt;"",EDATE($D60,Milestones!$AA$64)&gt;=$T60),$W60,IF(AND($S60&lt;&gt;"",EDATE($D60,Milestones!$AA$64)&gt;=$S60),$V60,$U60)))=Milestones!$AB$64),UPPER(TEXT(EDATE($D60,Milestones!$AA$64),"dd mmm yy"))&amp;" "&amp;Milestones!$AB$64&amp;" "&amp;Milestones!$AC$64&amp;";  ","")&amp;IF(AND(EDATE($D60,Milestones!$AA$65)&lt;=AsOfDate,IF($R60=0,$X60,IF(AND($T60&lt;&gt;"",EDATE($D60,Milestones!$AA$65)&gt;=$T60),$W60,IF(AND($S60&lt;&gt;"",EDATE($D60,Milestones!$AA$65)&gt;=$S60),$V60,$U60)))=Milestones!$AB$65),UPPER(TEXT(EDATE($D60,Milestones!$AA$65),"dd mmm yy"))&amp;" "&amp;Milestones!$AB$65&amp;" "&amp;Milestones!$AC$65&amp;";  ","")&amp;IF(AND(EDATE($D60,Milestones!$AA$66)&lt;=AsOfDate,IF($R60=0,$X60,IF(AND($T60&lt;&gt;"",EDATE($D60,Milestones!$AA$66)&gt;=$T60),$W60,IF(AND($S60&lt;&gt;"",EDATE($D60,Milestones!$AA$66)&gt;=$S60),$V60,$U60)))=Milestones!$AB$66),UPPER(TEXT(EDATE($D60,Milestones!$AA$66),"dd mmm yy"))&amp;" "&amp;Milestones!$AB$66&amp;" "&amp;Milestones!$AC$66&amp;";  ","")&amp;IF(AND(EDATE($D60,Milestones!$AA$67)&lt;=AsOfDate,IF($R60=0,$X60,IF(AND($T60&lt;&gt;"",EDATE($D60,Milestones!$AA$67)&gt;=$T60),$W60,IF(AND($S60&lt;&gt;"",EDATE($D60,Milestones!$AA$67)&gt;=$S60),$V60,$U60)))=Milestones!$AB$67),UPPER(TEXT(EDATE($D60,Milestones!$AA$67),"dd mmm yy"))&amp;" "&amp;Milestones!$AB$67&amp;" "&amp;Milestones!$AC$67&amp;";  ","")&amp;IF(AND(EDATE($D60,Milestones!$AA$68)&lt;=AsOfDate,IF($R60=0,$X60,IF(AND($T60&lt;&gt;"",EDATE($D60,Milestones!$AA$68)&gt;=$T60),$W60,IF(AND($S60&lt;&gt;"",EDATE($D60,Milestones!$AA$68)&gt;=$S60),$V60,$U60)))=Milestones!$AB$68),UPPER(TEXT(EDATE($D60,Milestones!$AA$68),"dd mmm yy"))&amp;" "&amp;Milestones!$AB$68&amp;" "&amp;Milestones!$AC$68&amp;";  ","")&amp;IF(AND(EDATE($D60,Milestones!$AA$69)&lt;=AsOfDate,IF($R60=0,$X60,IF(AND($T60&lt;&gt;"",EDATE($D60,Milestones!$AA$69)&gt;=$T60),$W60,IF(AND($S60&lt;&gt;"",EDATE($D60,Milestones!$AA$69)&gt;=$S60),$V60,$U60)))=Milestones!$AB$69),UPPER(TEXT(EDATE($D60,Milestones!$AA$69),"dd mmm yy"))&amp;" "&amp;Milestones!$AB$69&amp;" "&amp;Milestones!$AC$69&amp;";  ","")&amp;IF(AND(EDATE($D60,Milestones!$AA$70)&lt;=AsOfDate,IF($R60=0,$X60,IF(AND($T60&lt;&gt;"",EDATE($D60,Milestones!$AA$70)&gt;=$T60),$W60,IF(AND($S60&lt;&gt;"",EDATE($D60,Milestones!$AA$70)&gt;=$S60),$V60,$U60)))=Milestones!$AB$70),UPPER(TEXT(EDATE($D60,Milestones!$AA$70),"dd mmm yy"))&amp;" "&amp;Milestones!$AB$70&amp;" "&amp;Milestones!$AC$70&amp;";  ","")&amp;IF(AND(EDATE($D60,Milestones!$AA$71)&lt;=AsOfDate,IF($R60=0,$X60,IF(AND($T60&lt;&gt;"",EDATE($D60,Milestones!$AA$71)&gt;=$T60),$W60,IF(AND($S60&lt;&gt;"",EDATE($D60,Milestones!$AA$71)&gt;=$S60),$V60,$U60)))=Milestones!$AB$71),UPPER(TEXT(EDATE($D60,Milestones!$AA$71),"dd mmm yy"))&amp;" "&amp;Milestones!$AB$71&amp;" "&amp;Milestones!$AC$71&amp;";  ","")&amp;IF(AND(EDATE($D60,Milestones!$AA$72)&lt;=AsOfDate,IF($R60=0,$X60,IF(AND($T60&lt;&gt;"",EDATE($D60,Milestones!$AA$72)&gt;=$T60),$W60,IF(AND($S60&lt;&gt;"",EDATE($D60,Milestones!$AA$72)&gt;=$S60),$V60,$U60)))=Milestones!$AB$72),UPPER(TEXT(EDATE($D60,Milestones!$AA$72),"dd mmm yy"))&amp;" "&amp;Milestones!$AB$72&amp;" "&amp;Milestones!$AC$72&amp;";  ","")&amp;IF(AND(EDATE($D60,Milestones!$AA$73)&lt;=AsOfDate,IF($R60=0,$X60,IF(AND($T60&lt;&gt;"",EDATE($D60,Milestones!$AA$73)&gt;=$T60),$W60,IF(AND($S60&lt;&gt;"",EDATE($D60,Milestones!$AA$73)&gt;=$S60),$V60,$U60)))=Milestones!$AB$73),UPPER(TEXT(EDATE($D60,Milestones!$AA$73),"dd mmm yy"))&amp;" "&amp;Milestones!$AB$73&amp;" "&amp;Milestones!$AC$73&amp;";  ","")&amp;IF(AND(EDATE($D60,Milestones!$AA$74)&lt;=AsOfDate,IF($R60=0,$X60,IF(AND($T60&lt;&gt;"",EDATE($D60,Milestones!$AA$74)&gt;=$T60),$W60,IF(AND($S60&lt;&gt;"",EDATE($D60,Milestones!$AA$74)&gt;=$S60),$V60,$U60)))=Milestones!$AB$74),UPPER(TEXT(EDATE($D60,Milestones!$AA$74),"dd mmm yy"))&amp;" "&amp;Milestones!$AB$74&amp;" "&amp;Milestones!$AC$74&amp;";  ","")&amp;IF(AND(EDATE($D60,Milestones!$AA$75)&lt;=AsOfDate,IF($R60=0,$X60,IF(AND($T60&lt;&gt;"",EDATE($D60,Milestones!$AA$75)&gt;=$T60),$W60,IF(AND($S60&lt;&gt;"",EDATE($D60,Milestones!$AA$75)&gt;=$S60),$V60,$U60)))=Milestones!$AB$75),UPPER(TEXT(EDATE($D60,Milestones!$AA$75),"dd mmm yy"))&amp;" "&amp;Milestones!$AB$75&amp;" "&amp;Milestones!$AC$75&amp;";  ","")&amp;IF(AND(EDATE($D60,Milestones!$AA$76)&lt;=AsOfDate,IF($R60=0,$X60,IF(AND($T60&lt;&gt;"",EDATE($D60,Milestones!$AA$76)&gt;=$T60),$W60,IF(AND($S60&lt;&gt;"",EDATE($D60,Milestones!$AA$76)&gt;=$S60),$V60,$U60)))=Milestones!$AB$76),UPPER(TEXT(EDATE($D60,Milestones!$AA$76),"dd mmm yy"))&amp;" "&amp;Milestones!$AB$76&amp;" "&amp;Milestones!$AC$76&amp;";  ","")&amp;IF(AND(EDATE($D60,Milestones!$AA$77)&lt;=AsOfDate,IF($R60=0,$X60,IF(AND($T60&lt;&gt;"",EDATE($D60,Milestones!$AA$77)&gt;=$T60),$W60,IF(AND($S60&lt;&gt;"",EDATE($D60,Milestones!$AA$77)&gt;=$S60),$V60,$U60)))=Milestones!$AB$77),UPPER(TEXT(EDATE($D60,Milestones!$AA$77),"dd mmm yy"))&amp;" "&amp;Milestones!$AB$77&amp;" "&amp;Milestones!$AC$77&amp;";  ","")&amp;IF(AND(EDATE($D60,Milestones!$AA$78)&lt;=AsOfDate,IF($R60=0,$X60,IF(AND($T60&lt;&gt;"",EDATE($D60,Milestones!$AA$78)&gt;=$T60),$W60,IF(AND($S60&lt;&gt;"",EDATE($D60,Milestones!$AA$78)&gt;=$S60),$V60,$U60)))=Milestones!$AB$78),UPPER(TEXT(EDATE($D60,Milestones!$AA$78),"dd mmm yy"))&amp;" "&amp;Milestones!$AB$78&amp;" "&amp;Milestones!$AC$78&amp;";  ","")&amp;IF(AND(EDATE($D60,Milestones!$AA$79)&lt;=AsOfDate,IF($R60=0,$X60,IF(AND($T60&lt;&gt;"",EDATE($D60,Milestones!$AA$79)&gt;=$T60),$W60,IF(AND($S60&lt;&gt;"",EDATE($D60,Milestones!$AA$79)&gt;=$S60),$V60,$U60)))=Milestones!$AB$79),UPPER(TEXT(EDATE($D60,Milestones!$AA$79),"dd mmm yy"))&amp;" "&amp;Milestones!$AB$79&amp;" "&amp;Milestones!$AC$79&amp;";  ",""))</f>
        <v/>
      </c>
      <c r="L60" s="0" t="str">
        <f aca="false">IF(OR($A60="",$D60=""),"",IF(AND(EDATE($D60,Milestones!$AA$80)&lt;=AsOfDate,IF($R60=0,$X60,IF(AND($T60&lt;&gt;"",EDATE($D60,Milestones!$AA$80)&gt;=$T60),$W60,IF(AND($S60&lt;&gt;"",EDATE($D60,Milestones!$AA$80)&gt;=$S60),$V60,$U60)))=Milestones!$AB$80),UPPER(TEXT(EDATE($D60,Milestones!$AA$80),"dd mmm yy"))&amp;" "&amp;Milestones!$AB$80&amp;" "&amp;Milestones!$AC$80&amp;";  ","")&amp;IF(AND(EDATE($D60,Milestones!$AA$81)&lt;=AsOfDate,IF($R60=0,$X60,IF(AND($T60&lt;&gt;"",EDATE($D60,Milestones!$AA$81)&gt;=$T60),$W60,IF(AND($S60&lt;&gt;"",EDATE($D60,Milestones!$AA$81)&gt;=$S60),$V60,$U60)))=Milestones!$AB$81),UPPER(TEXT(EDATE($D60,Milestones!$AA$81),"dd mmm yy"))&amp;" "&amp;Milestones!$AB$81&amp;" "&amp;Milestones!$AC$81&amp;";  ","")&amp;IF(AND(EDATE($D60,Milestones!$AA$82)&lt;=AsOfDate,IF($R60=0,$X60,IF(AND($T60&lt;&gt;"",EDATE($D60,Milestones!$AA$82)&gt;=$T60),$W60,IF(AND($S60&lt;&gt;"",EDATE($D60,Milestones!$AA$82)&gt;=$S60),$V60,$U60)))=Milestones!$AB$82),UPPER(TEXT(EDATE($D60,Milestones!$AA$82),"dd mmm yy"))&amp;" "&amp;Milestones!$AB$82&amp;" "&amp;Milestones!$AC$82&amp;";  ","")&amp;IF(AND(EDATE($D60,Milestones!$AA$83)&lt;=AsOfDate,IF($R60=0,$X60,IF(AND($T60&lt;&gt;"",EDATE($D60,Milestones!$AA$83)&gt;=$T60),$W60,IF(AND($S60&lt;&gt;"",EDATE($D60,Milestones!$AA$83)&gt;=$S60),$V60,$U60)))=Milestones!$AB$83),UPPER(TEXT(EDATE($D60,Milestones!$AA$83),"dd mmm yy"))&amp;" "&amp;Milestones!$AB$83&amp;" "&amp;Milestones!$AC$83&amp;";  ","")&amp;IF(AND(EDATE($D60,Milestones!$AA$84)&lt;=AsOfDate,IF($R60=0,$X60,IF(AND($T60&lt;&gt;"",EDATE($D60,Milestones!$AA$84)&gt;=$T60),$W60,IF(AND($S60&lt;&gt;"",EDATE($D60,Milestones!$AA$84)&gt;=$S60),$V60,$U60)))=Milestones!$AB$84),UPPER(TEXT(EDATE($D60,Milestones!$AA$84),"dd mmm yy"))&amp;" "&amp;Milestones!$AB$84&amp;" "&amp;Milestones!$AC$84&amp;";  ","")&amp;IF(AND(EDATE($D60,Milestones!$AA$85)&lt;=AsOfDate,IF($R60=0,$X60,IF(AND($T60&lt;&gt;"",EDATE($D60,Milestones!$AA$85)&gt;=$T60),$W60,IF(AND($S60&lt;&gt;"",EDATE($D60,Milestones!$AA$85)&gt;=$S60),$V60,$U60)))=Milestones!$AB$85),UPPER(TEXT(EDATE($D60,Milestones!$AA$85),"dd mmm yy"))&amp;" "&amp;Milestones!$AB$85&amp;" "&amp;Milestones!$AC$85&amp;";  ","")&amp;IF(AND(EDATE($D60,Milestones!$AA$86)&lt;=AsOfDate,IF($R60=0,$X60,IF(AND($T60&lt;&gt;"",EDATE($D60,Milestones!$AA$86)&gt;=$T60),$W60,IF(AND($S60&lt;&gt;"",EDATE($D60,Milestones!$AA$86)&gt;=$S60),$V60,$U60)))=Milestones!$AB$86),UPPER(TEXT(EDATE($D60,Milestones!$AA$86),"dd mmm yy"))&amp;" "&amp;Milestones!$AB$86&amp;" "&amp;Milestones!$AC$86&amp;";  ","")&amp;IF(AND(EDATE($D60,Milestones!$AA$87)&lt;=AsOfDate,IF($R60=0,$X60,IF(AND($T60&lt;&gt;"",EDATE($D60,Milestones!$AA$87)&gt;=$T60),$W60,IF(AND($S60&lt;&gt;"",EDATE($D60,Milestones!$AA$87)&gt;=$S60),$V60,$U60)))=Milestones!$AB$87),UPPER(TEXT(EDATE($D60,Milestones!$AA$87),"dd mmm yy"))&amp;" "&amp;Milestones!$AB$87&amp;" "&amp;Milestones!$AC$87&amp;";  ","")&amp;IF(AND(EDATE($D60,Milestones!$AA$88)&lt;=AsOfDate,IF($R60=0,$X60,IF(AND($T60&lt;&gt;"",EDATE($D60,Milestones!$AA$88)&gt;=$T60),$W60,IF(AND($S60&lt;&gt;"",EDATE($D60,Milestones!$AA$88)&gt;=$S60),$V60,$U60)))=Milestones!$AB$88),UPPER(TEXT(EDATE($D60,Milestones!$AA$88),"dd mmm yy"))&amp;" "&amp;Milestones!$AB$88&amp;" "&amp;Milestones!$AC$88&amp;";  ","")&amp;IF(AND(EDATE($D60,Milestones!$AA$89)&lt;=AsOfDate,IF($R60=0,$X60,IF(AND($T60&lt;&gt;"",EDATE($D60,Milestones!$AA$89)&gt;=$T60),$W60,IF(AND($S60&lt;&gt;"",EDATE($D60,Milestones!$AA$89)&gt;=$S60),$V60,$U60)))=Milestones!$AB$89),UPPER(TEXT(EDATE($D60,Milestones!$AA$89),"dd mmm yy"))&amp;" "&amp;Milestones!$AB$89&amp;" "&amp;Milestones!$AC$89&amp;";  ","")&amp;IF(AND(EDATE($D60,Milestones!$AA$90)&lt;=AsOfDate,IF($R60=0,$X60,IF(AND($T60&lt;&gt;"",EDATE($D60,Milestones!$AA$90)&gt;=$T60),$W60,IF(AND($S60&lt;&gt;"",EDATE($D60,Milestones!$AA$90)&gt;=$S60),$V60,$U60)))=Milestones!$AB$90),UPPER(TEXT(EDATE($D60,Milestones!$AA$90),"dd mmm yy"))&amp;" "&amp;Milestones!$AB$90&amp;" "&amp;Milestones!$AC$90&amp;";  ","")&amp;IF(AND(EDATE($D60,Milestones!$AA$91)&lt;=AsOfDate,IF($R60=0,$X60,IF(AND($T60&lt;&gt;"",EDATE($D60,Milestones!$AA$91)&gt;=$T60),$W60,IF(AND($S60&lt;&gt;"",EDATE($D60,Milestones!$AA$91)&gt;=$S60),$V60,$U60)))=Milestones!$AB$91),UPPER(TEXT(EDATE($D60,Milestones!$AA$91),"dd mmm yy"))&amp;" "&amp;Milestones!$AB$91&amp;" "&amp;Milestones!$AC$91&amp;";  ","")&amp;IF(AND(EDATE($D60,Milestones!$AA$92)&lt;=AsOfDate,IF($R60=0,$X60,IF(AND($T60&lt;&gt;"",EDATE($D60,Milestones!$AA$92)&gt;=$T60),$W60,IF(AND($S60&lt;&gt;"",EDATE($D60,Milestones!$AA$92)&gt;=$S60),$V60,$U60)))=Milestones!$AB$92),UPPER(TEXT(EDATE($D60,Milestones!$AA$92),"dd mmm yy"))&amp;" "&amp;Milestones!$AB$92&amp;" "&amp;Milestones!$AC$92&amp;";  ","")&amp;IF(AND(EDATE($D60,Milestones!$AA$93)&lt;=AsOfDate,IF($R60=0,$X60,IF(AND($T60&lt;&gt;"",EDATE($D60,Milestones!$AA$93)&gt;=$T60),$W60,IF(AND($S60&lt;&gt;"",EDATE($D60,Milestones!$AA$93)&gt;=$S60),$V60,$U60)))=Milestones!$AB$93),UPPER(TEXT(EDATE($D60,Milestones!$AA$93),"dd mmm yy"))&amp;" "&amp;Milestones!$AB$93&amp;" "&amp;Milestones!$AC$93&amp;";  ","")&amp;IF(AND(EDATE($D60,Milestones!$AA$94)&lt;=AsOfDate,IF($R60=0,$X60,IF(AND($T60&lt;&gt;"",EDATE($D60,Milestones!$AA$94)&gt;=$T60),$W60,IF(AND($S60&lt;&gt;"",EDATE($D60,Milestones!$AA$94)&gt;=$S60),$V60,$U60)))=Milestones!$AB$94),UPPER(TEXT(EDATE($D60,Milestones!$AA$94),"dd mmm yy"))&amp;" "&amp;Milestones!$AB$94&amp;" "&amp;Milestones!$AC$94&amp;";  ","")&amp;IF(AND(EDATE($D60,Milestones!$AA$95)&lt;=AsOfDate,IF($R60=0,$X60,IF(AND($T60&lt;&gt;"",EDATE($D60,Milestones!$AA$95)&gt;=$T60),$W60,IF(AND($S60&lt;&gt;"",EDATE($D60,Milestones!$AA$95)&gt;=$S60),$V60,$U60)))=Milestones!$AB$95),UPPER(TEXT(EDATE($D60,Milestones!$AA$95),"dd mmm yy"))&amp;" "&amp;Milestones!$AB$95&amp;" "&amp;Milestones!$AC$95&amp;";  ","")&amp;IF(AND(EDATE($D60,Milestones!$AA$96)&lt;=AsOfDate,IF($R60=0,$X60,IF(AND($T60&lt;&gt;"",EDATE($D60,Milestones!$AA$96)&gt;=$T60),$W60,IF(AND($S60&lt;&gt;"",EDATE($D60,Milestones!$AA$96)&gt;=$S60),$V60,$U60)))=Milestones!$AB$96),UPPER(TEXT(EDATE($D60,Milestones!$AA$96),"dd mmm yy"))&amp;" "&amp;Milestones!$AB$96&amp;" "&amp;Milestones!$AC$96&amp;";  ","")&amp;IF(AND(EDATE($D60,Milestones!$AA$97)&lt;=AsOfDate,IF($R60=0,$X60,IF(AND($T60&lt;&gt;"",EDATE($D60,Milestones!$AA$97)&gt;=$T60),$W60,IF(AND($S60&lt;&gt;"",EDATE($D60,Milestones!$AA$97)&gt;=$S60),$V60,$U60)))=Milestones!$AB$97),UPPER(TEXT(EDATE($D60,Milestones!$AA$97),"dd mmm yy"))&amp;" "&amp;Milestones!$AB$97&amp;" "&amp;Milestones!$AC$97&amp;";  ","")&amp;IF(AND(EDATE($D60,Milestones!$AA$98)&lt;=AsOfDate,IF($R60=0,$X60,IF(AND($T60&lt;&gt;"",EDATE($D60,Milestones!$AA$98)&gt;=$T60),$W60,IF(AND($S60&lt;&gt;"",EDATE($D60,Milestones!$AA$98)&gt;=$S60),$V60,$U60)))=Milestones!$AB$98),UPPER(TEXT(EDATE($D60,Milestones!$AA$98),"dd mmm yy"))&amp;" "&amp;Milestones!$AB$98&amp;" "&amp;Milestones!$AC$98&amp;";  ","")&amp;IF(AND(EDATE($D60,Milestones!$AA$99)&lt;=AsOfDate,IF($R60=0,$X60,IF(AND($T60&lt;&gt;"",EDATE($D60,Milestones!$AA$99)&gt;=$T60),$W60,IF(AND($S60&lt;&gt;"",EDATE($D60,Milestones!$AA$99)&gt;=$S60),$V60,$U60)))=Milestones!$AB$99),UPPER(TEXT(EDATE($D60,Milestones!$AA$99),"dd mmm yy"))&amp;" "&amp;Milestones!$AB$99&amp;" "&amp;Milestones!$AC$99&amp;";  ",""))</f>
        <v/>
      </c>
      <c r="M60" s="0" t="str">
        <f aca="false">IF(OR($A60="",$D60=""),"",IF(AND(EDATE($D60,Milestones!$AA$100)&lt;=AsOfDate,IF($R60=0,$X60,IF(AND($T60&lt;&gt;"",EDATE($D60,Milestones!$AA$100)&gt;=$T60),$W60,IF(AND($S60&lt;&gt;"",EDATE($D60,Milestones!$AA$100)&gt;=$S60),$V60,$U60)))=Milestones!$AB$100),UPPER(TEXT(EDATE($D60,Milestones!$AA$100),"dd mmm yy"))&amp;" "&amp;Milestones!$AB$100&amp;" "&amp;Milestones!$AC$100&amp;";  ","")&amp;IF(AND(EDATE($D60,Milestones!$AA$101)&lt;=AsOfDate,IF($R60=0,$X60,IF(AND($T60&lt;&gt;"",EDATE($D60,Milestones!$AA$101)&gt;=$T60),$W60,IF(AND($S60&lt;&gt;"",EDATE($D60,Milestones!$AA$101)&gt;=$S60),$V60,$U60)))=Milestones!$AB$101),UPPER(TEXT(EDATE($D60,Milestones!$AA$101),"dd mmm yy"))&amp;" "&amp;Milestones!$AB$101&amp;" "&amp;Milestones!$AC$101&amp;";  ","")&amp;IF(AND(EDATE($D60,Milestones!$AA$102)&lt;=AsOfDate,IF($R60=0,$X60,IF(AND($T60&lt;&gt;"",EDATE($D60,Milestones!$AA$102)&gt;=$T60),$W60,IF(AND($S60&lt;&gt;"",EDATE($D60,Milestones!$AA$102)&gt;=$S60),$V60,$U60)))=Milestones!$AB$102),UPPER(TEXT(EDATE($D60,Milestones!$AA$102),"dd mmm yy"))&amp;" "&amp;Milestones!$AB$102&amp;" "&amp;Milestones!$AC$102&amp;";  ","")&amp;IF(AND(EDATE($D60,Milestones!$AA$103)&lt;=AsOfDate,IF($R60=0,$X60,IF(AND($T60&lt;&gt;"",EDATE($D60,Milestones!$AA$103)&gt;=$T60),$W60,IF(AND($S60&lt;&gt;"",EDATE($D60,Milestones!$AA$103)&gt;=$S60),$V60,$U60)))=Milestones!$AB$103),UPPER(TEXT(EDATE($D60,Milestones!$AA$103),"dd mmm yy"))&amp;" "&amp;Milestones!$AB$103&amp;" "&amp;Milestones!$AC$103&amp;";  ","")&amp;IF(AND(EDATE($D60,Milestones!$AA$104)&lt;=AsOfDate,IF($R60=0,$X60,IF(AND($T60&lt;&gt;"",EDATE($D60,Milestones!$AA$104)&gt;=$T60),$W60,IF(AND($S60&lt;&gt;"",EDATE($D60,Milestones!$AA$104)&gt;=$S60),$V60,$U60)))=Milestones!$AB$104),UPPER(TEXT(EDATE($D60,Milestones!$AA$104),"dd mmm yy"))&amp;" "&amp;Milestones!$AB$104&amp;" "&amp;Milestones!$AC$104&amp;";  ","")&amp;IF(AND(EDATE($D60,Milestones!$AA$105)&lt;=AsOfDate,IF($R60=0,$X60,IF(AND($T60&lt;&gt;"",EDATE($D60,Milestones!$AA$105)&gt;=$T60),$W60,IF(AND($S60&lt;&gt;"",EDATE($D60,Milestones!$AA$105)&gt;=$S60),$V60,$U60)))=Milestones!$AB$105),UPPER(TEXT(EDATE($D60,Milestones!$AA$105),"dd mmm yy"))&amp;" "&amp;Milestones!$AB$105&amp;" "&amp;Milestones!$AC$105&amp;";  ","")&amp;IF(AND(EDATE($D60,Milestones!$AA$106)&lt;=AsOfDate,IF($R60=0,$X60,IF(AND($T60&lt;&gt;"",EDATE($D60,Milestones!$AA$106)&gt;=$T60),$W60,IF(AND($S60&lt;&gt;"",EDATE($D60,Milestones!$AA$106)&gt;=$S60),$V60,$U60)))=Milestones!$AB$106),UPPER(TEXT(EDATE($D60,Milestones!$AA$106),"dd mmm yy"))&amp;" "&amp;Milestones!$AB$106&amp;" "&amp;Milestones!$AC$106&amp;";  ","")&amp;IF(AND(EDATE($D60,Milestones!$AA$107)&lt;=AsOfDate,IF($R60=0,$X60,IF(AND($T60&lt;&gt;"",EDATE($D60,Milestones!$AA$107)&gt;=$T60),$W60,IF(AND($S60&lt;&gt;"",EDATE($D60,Milestones!$AA$107)&gt;=$S60),$V60,$U60)))=Milestones!$AB$107),UPPER(TEXT(EDATE($D60,Milestones!$AA$107),"dd mmm yy"))&amp;" "&amp;Milestones!$AB$107&amp;" "&amp;Milestones!$AC$107&amp;";  ","")&amp;IF(AND(EDATE($D60,Milestones!$AA$108)&lt;=AsOfDate,IF($R60=0,$X60,IF(AND($T60&lt;&gt;"",EDATE($D60,Milestones!$AA$108)&gt;=$T60),$W60,IF(AND($S60&lt;&gt;"",EDATE($D60,Milestones!$AA$108)&gt;=$S60),$V60,$U60)))=Milestones!$AB$108),UPPER(TEXT(EDATE($D60,Milestones!$AA$108),"dd mmm yy"))&amp;" "&amp;Milestones!$AB$108&amp;" "&amp;Milestones!$AC$108&amp;";  ","")&amp;IF(AND(EDATE($D60,Milestones!$AA$109)&lt;=AsOfDate,IF($R60=0,$X60,IF(AND($T60&lt;&gt;"",EDATE($D60,Milestones!$AA$109)&gt;=$T60),$W60,IF(AND($S60&lt;&gt;"",EDATE($D60,Milestones!$AA$109)&gt;=$S60),$V60,$U60)))=Milestones!$AB$109),UPPER(TEXT(EDATE($D60,Milestones!$AA$109),"dd mmm yy"))&amp;" "&amp;Milestones!$AB$109&amp;" "&amp;Milestones!$AC$109&amp;";  ","")&amp;IF(AND(EDATE($D60,Milestones!$AA$110)&lt;=AsOfDate,IF($R60=0,$X60,IF(AND($T60&lt;&gt;"",EDATE($D60,Milestones!$AA$110)&gt;=$T60),$W60,IF(AND($S60&lt;&gt;"",EDATE($D60,Milestones!$AA$110)&gt;=$S60),$V60,$U60)))=Milestones!$AB$110),UPPER(TEXT(EDATE($D60,Milestones!$AA$110),"dd mmm yy"))&amp;" "&amp;Milestones!$AB$110&amp;" "&amp;Milestones!$AC$110&amp;";  ","")&amp;IF(AND(EDATE($D60,Milestones!$AA$111)&lt;=AsOfDate,IF($R60=0,$X60,IF(AND($T60&lt;&gt;"",EDATE($D60,Milestones!$AA$111)&gt;=$T60),$W60,IF(AND($S60&lt;&gt;"",EDATE($D60,Milestones!$AA$111)&gt;=$S60),$V60,$U60)))=Milestones!$AB$111),UPPER(TEXT(EDATE($D60,Milestones!$AA$111),"dd mmm yy"))&amp;" "&amp;Milestones!$AB$111&amp;" "&amp;Milestones!$AC$111&amp;";  ","")&amp;IF(AND(EDATE($D60,Milestones!$AA$112)&lt;=AsOfDate,IF($R60=0,$X60,IF(AND($T60&lt;&gt;"",EDATE($D60,Milestones!$AA$112)&gt;=$T60),$W60,IF(AND($S60&lt;&gt;"",EDATE($D60,Milestones!$AA$112)&gt;=$S60),$V60,$U60)))=Milestones!$AB$112),UPPER(TEXT(EDATE($D60,Milestones!$AA$112),"dd mmm yy"))&amp;" "&amp;Milestones!$AB$112&amp;" "&amp;Milestones!$AC$112&amp;";  ","")&amp;IF(AND(EDATE($D60,Milestones!$AA$113)&lt;=AsOfDate,IF($R60=0,$X60,IF(AND($T60&lt;&gt;"",EDATE($D60,Milestones!$AA$113)&gt;=$T60),$W60,IF(AND($S60&lt;&gt;"",EDATE($D60,Milestones!$AA$113)&gt;=$S60),$V60,$U60)))=Milestones!$AB$113),UPPER(TEXT(EDATE($D60,Milestones!$AA$113),"dd mmm yy"))&amp;" "&amp;Milestones!$AB$113&amp;" "&amp;Milestones!$AC$113&amp;";  ","")&amp;IF(AND(EDATE($D60,Milestones!$AA$114)&lt;=AsOfDate,IF($R60=0,$X60,IF(AND($T60&lt;&gt;"",EDATE($D60,Milestones!$AA$114)&gt;=$T60),$W60,IF(AND($S60&lt;&gt;"",EDATE($D60,Milestones!$AA$114)&gt;=$S60),$V60,$U60)))=Milestones!$AB$114),UPPER(TEXT(EDATE($D60,Milestones!$AA$114),"dd mmm yy"))&amp;" "&amp;Milestones!$AB$114&amp;" "&amp;Milestones!$AC$114&amp;";  ","")&amp;IF(AND(EDATE($D60,Milestones!$AA$115)&lt;=AsOfDate,IF($R60=0,$X60,IF(AND($T60&lt;&gt;"",EDATE($D60,Milestones!$AA$115)&gt;=$T60),$W60,IF(AND($S60&lt;&gt;"",EDATE($D60,Milestones!$AA$115)&gt;=$S60),$V60,$U60)))=Milestones!$AB$115),UPPER(TEXT(EDATE($D60,Milestones!$AA$115),"dd mmm yy"))&amp;" "&amp;Milestones!$AB$115&amp;" "&amp;Milestones!$AC$115&amp;";  ","")&amp;IF(AND(EDATE($D60,Milestones!$AA$116)&lt;=AsOfDate,IF($R60=0,$X60,IF(AND($T60&lt;&gt;"",EDATE($D60,Milestones!$AA$116)&gt;=$T60),$W60,IF(AND($S60&lt;&gt;"",EDATE($D60,Milestones!$AA$116)&gt;=$S60),$V60,$U60)))=Milestones!$AB$116),UPPER(TEXT(EDATE($D60,Milestones!$AA$116),"dd mmm yy"))&amp;" "&amp;Milestones!$AB$116&amp;" "&amp;Milestones!$AC$116&amp;";  ","")&amp;IF(AND(EDATE($D60,Milestones!$AA$117)&lt;=AsOfDate,IF($R60=0,$X60,IF(AND($T60&lt;&gt;"",EDATE($D60,Milestones!$AA$117)&gt;=$T60),$W60,IF(AND($S60&lt;&gt;"",EDATE($D60,Milestones!$AA$117)&gt;=$S60),$V60,$U60)))=Milestones!$AB$117),UPPER(TEXT(EDATE($D60,Milestones!$AA$117),"dd mmm yy"))&amp;" "&amp;Milestones!$AB$117&amp;" "&amp;Milestones!$AC$117&amp;";  ","")&amp;IF(AND(EDATE($D60,Milestones!$AA$118)&lt;=AsOfDate,IF($R60=0,$X60,IF(AND($T60&lt;&gt;"",EDATE($D60,Milestones!$AA$118)&gt;=$T60),$W60,IF(AND($S60&lt;&gt;"",EDATE($D60,Milestones!$AA$118)&gt;=$S60),$V60,$U60)))=Milestones!$AB$118),UPPER(TEXT(EDATE($D60,Milestones!$AA$118),"dd mmm yy"))&amp;" "&amp;Milestones!$AB$118&amp;" "&amp;Milestones!$AC$118&amp;";  ","")&amp;IF(AND(EDATE($D60,Milestones!$AA$119)&lt;=AsOfDate,IF($R60=0,$X60,IF(AND($T60&lt;&gt;"",EDATE($D60,Milestones!$AA$119)&gt;=$T60),$W60,IF(AND($S60&lt;&gt;"",EDATE($D60,Milestones!$AA$119)&gt;=$S60),$V60,$U60)))=Milestones!$AB$119),UPPER(TEXT(EDATE($D60,Milestones!$AA$119),"dd mmm yy"))&amp;" "&amp;Milestones!$AB$119&amp;" "&amp;Milestones!$AC$119&amp;";  ",""))</f>
        <v/>
      </c>
      <c r="N60" s="0" t="str">
        <f aca="false">IF(OR($A60="",$D60=""),"",IF(AND(EDATE($D60,Milestones!$AA$120)&lt;=AsOfDate,IF($R60=0,$X60,IF(AND($T60&lt;&gt;"",EDATE($D60,Milestones!$AA$120)&gt;=$T60),$W60,IF(AND($S60&lt;&gt;"",EDATE($D60,Milestones!$AA$120)&gt;=$S60),$V60,$U60)))=Milestones!$AB$120),UPPER(TEXT(EDATE($D60,Milestones!$AA$120),"dd mmm yy"))&amp;" "&amp;Milestones!$AB$120&amp;" "&amp;Milestones!$AC$120&amp;";  ","")&amp;IF(AND(EDATE($D60,Milestones!$AA$121)&lt;=AsOfDate,IF($R60=0,$X60,IF(AND($T60&lt;&gt;"",EDATE($D60,Milestones!$AA$121)&gt;=$T60),$W60,IF(AND($S60&lt;&gt;"",EDATE($D60,Milestones!$AA$121)&gt;=$S60),$V60,$U60)))=Milestones!$AB$121),UPPER(TEXT(EDATE($D60,Milestones!$AA$121),"dd mmm yy"))&amp;" "&amp;Milestones!$AB$121&amp;" "&amp;Milestones!$AC$121&amp;";  ","")&amp;IF(AND(EDATE($D60,Milestones!$AA$122)&lt;=AsOfDate,IF($R60=0,$X60,IF(AND($T60&lt;&gt;"",EDATE($D60,Milestones!$AA$122)&gt;=$T60),$W60,IF(AND($S60&lt;&gt;"",EDATE($D60,Milestones!$AA$122)&gt;=$S60),$V60,$U60)))=Milestones!$AB$122),UPPER(TEXT(EDATE($D60,Milestones!$AA$122),"dd mmm yy"))&amp;" "&amp;Milestones!$AB$122&amp;" "&amp;Milestones!$AC$122&amp;";  ","")&amp;IF(AND(EDATE($D60,Milestones!$AA$123)&lt;=AsOfDate,IF($R60=0,$X60,IF(AND($T60&lt;&gt;"",EDATE($D60,Milestones!$AA$123)&gt;=$T60),$W60,IF(AND($S60&lt;&gt;"",EDATE($D60,Milestones!$AA$123)&gt;=$S60),$V60,$U60)))=Milestones!$AB$123),UPPER(TEXT(EDATE($D60,Milestones!$AA$123),"dd mmm yy"))&amp;" "&amp;Milestones!$AB$123&amp;" "&amp;Milestones!$AC$123&amp;";  ","")&amp;IF(AND(EDATE($D60,Milestones!$AA$124)&lt;=AsOfDate,IF($R60=0,$X60,IF(AND($T60&lt;&gt;"",EDATE($D60,Milestones!$AA$124)&gt;=$T60),$W60,IF(AND($S60&lt;&gt;"",EDATE($D60,Milestones!$AA$124)&gt;=$S60),$V60,$U60)))=Milestones!$AB$124),UPPER(TEXT(EDATE($D60,Milestones!$AA$124),"dd mmm yy"))&amp;" "&amp;Milestones!$AB$124&amp;" "&amp;Milestones!$AC$124&amp;";  ","")&amp;IF(AND(EDATE($D60,Milestones!$AA$125)&lt;=AsOfDate,IF($R60=0,$X60,IF(AND($T60&lt;&gt;"",EDATE($D60,Milestones!$AA$125)&gt;=$T60),$W60,IF(AND($S60&lt;&gt;"",EDATE($D60,Milestones!$AA$125)&gt;=$S60),$V60,$U60)))=Milestones!$AB$125),UPPER(TEXT(EDATE($D60,Milestones!$AA$125),"dd mmm yy"))&amp;" "&amp;Milestones!$AB$125&amp;" "&amp;Milestones!$AC$125&amp;";  ","")&amp;IF(AND(EDATE($D60,Milestones!$AA$126)&lt;=AsOfDate,IF($R60=0,$X60,IF(AND($T60&lt;&gt;"",EDATE($D60,Milestones!$AA$126)&gt;=$T60),$W60,IF(AND($S60&lt;&gt;"",EDATE($D60,Milestones!$AA$126)&gt;=$S60),$V60,$U60)))=Milestones!$AB$126),UPPER(TEXT(EDATE($D60,Milestones!$AA$126),"dd mmm yy"))&amp;" "&amp;Milestones!$AB$126&amp;" "&amp;Milestones!$AC$126&amp;";  ","")&amp;IF(AND(EDATE($D60,Milestones!$AA$127)&lt;=AsOfDate,IF($R60=0,$X60,IF(AND($T60&lt;&gt;"",EDATE($D60,Milestones!$AA$127)&gt;=$T60),$W60,IF(AND($S60&lt;&gt;"",EDATE($D60,Milestones!$AA$127)&gt;=$S60),$V60,$U60)))=Milestones!$AB$127),UPPER(TEXT(EDATE($D60,Milestones!$AA$127),"dd mmm yy"))&amp;" "&amp;Milestones!$AB$127&amp;" "&amp;Milestones!$AC$127&amp;";  ","")&amp;IF(AND(EDATE($D60,Milestones!$AA$128)&lt;=AsOfDate,IF($R60=0,$X60,IF(AND($T60&lt;&gt;"",EDATE($D60,Milestones!$AA$128)&gt;=$T60),$W60,IF(AND($S60&lt;&gt;"",EDATE($D60,Milestones!$AA$128)&gt;=$S60),$V60,$U60)))=Milestones!$AB$128),UPPER(TEXT(EDATE($D60,Milestones!$AA$128),"dd mmm yy"))&amp;" "&amp;Milestones!$AB$128&amp;" "&amp;Milestones!$AC$128&amp;";  ","")&amp;IF(AND(EDATE($D60,Milestones!$AA$129)&lt;=AsOfDate,IF($R60=0,$X60,IF(AND($T60&lt;&gt;"",EDATE($D60,Milestones!$AA$129)&gt;=$T60),$W60,IF(AND($S60&lt;&gt;"",EDATE($D60,Milestones!$AA$129)&gt;=$S60),$V60,$U60)))=Milestones!$AB$129),UPPER(TEXT(EDATE($D60,Milestones!$AA$129),"dd mmm yy"))&amp;" "&amp;Milestones!$AB$129&amp;" "&amp;Milestones!$AC$129&amp;";  ","")&amp;IF(AND(EDATE($D60,Milestones!$AA$130)&lt;=AsOfDate,IF($R60=0,$X60,IF(AND($T60&lt;&gt;"",EDATE($D60,Milestones!$AA$130)&gt;=$T60),$W60,IF(AND($S60&lt;&gt;"",EDATE($D60,Milestones!$AA$130)&gt;=$S60),$V60,$U60)))=Milestones!$AB$130),UPPER(TEXT(EDATE($D60,Milestones!$AA$130),"dd mmm yy"))&amp;" "&amp;Milestones!$AB$130&amp;" "&amp;Milestones!$AC$130&amp;";  ","")&amp;IF(AND(EDATE($D60,Milestones!$AA$131)&lt;=AsOfDate,IF($R60=0,$X60,IF(AND($T60&lt;&gt;"",EDATE($D60,Milestones!$AA$131)&gt;=$T60),$W60,IF(AND($S60&lt;&gt;"",EDATE($D60,Milestones!$AA$131)&gt;=$S60),$V60,$U60)))=Milestones!$AB$131),UPPER(TEXT(EDATE($D60,Milestones!$AA$131),"dd mmm yy"))&amp;" "&amp;Milestones!$AB$131&amp;" "&amp;Milestones!$AC$131&amp;";  ","")&amp;IF(AND(EDATE($D60,Milestones!$AA$132)&lt;=AsOfDate,IF($R60=0,$X60,IF(AND($T60&lt;&gt;"",EDATE($D60,Milestones!$AA$132)&gt;=$T60),$W60,IF(AND($S60&lt;&gt;"",EDATE($D60,Milestones!$AA$132)&gt;=$S60),$V60,$U60)))=Milestones!$AB$132),UPPER(TEXT(EDATE($D60,Milestones!$AA$132),"dd mmm yy"))&amp;" "&amp;Milestones!$AB$132&amp;" "&amp;Milestones!$AC$132&amp;";  ","")&amp;IF(AND(EDATE($D60,Milestones!$AA$133)&lt;=AsOfDate,IF($R60=0,$X60,IF(AND($T60&lt;&gt;"",EDATE($D60,Milestones!$AA$133)&gt;=$T60),$W60,IF(AND($S60&lt;&gt;"",EDATE($D60,Milestones!$AA$133)&gt;=$S60),$V60,$U60)))=Milestones!$AB$133),UPPER(TEXT(EDATE($D60,Milestones!$AA$133),"dd mmm yy"))&amp;" "&amp;Milestones!$AB$133&amp;" "&amp;Milestones!$AC$133&amp;";  ","")&amp;IF(AND(EDATE($D60,Milestones!$AA$134)&lt;=AsOfDate,IF($R60=0,$X60,IF(AND($T60&lt;&gt;"",EDATE($D60,Milestones!$AA$134)&gt;=$T60),$W60,IF(AND($S60&lt;&gt;"",EDATE($D60,Milestones!$AA$134)&gt;=$S60),$V60,$U60)))=Milestones!$AB$134),UPPER(TEXT(EDATE($D60,Milestones!$AA$134),"dd mmm yy"))&amp;" "&amp;Milestones!$AB$134&amp;" "&amp;Milestones!$AC$134&amp;";  ","")&amp;IF(AND(EDATE($D60,Milestones!$AA$135)&lt;=AsOfDate,IF($R60=0,$X60,IF(AND($T60&lt;&gt;"",EDATE($D60,Milestones!$AA$135)&gt;=$T60),$W60,IF(AND($S60&lt;&gt;"",EDATE($D60,Milestones!$AA$135)&gt;=$S60),$V60,$U60)))=Milestones!$AB$135),UPPER(TEXT(EDATE($D60,Milestones!$AA$135),"dd mmm yy"))&amp;" "&amp;Milestones!$AB$135&amp;" "&amp;Milestones!$AC$135&amp;";  ","")&amp;IF(AND(EDATE($D60,Milestones!$AA$136)&lt;=AsOfDate,IF($R60=0,$X60,IF(AND($T60&lt;&gt;"",EDATE($D60,Milestones!$AA$136)&gt;=$T60),$W60,IF(AND($S60&lt;&gt;"",EDATE($D60,Milestones!$AA$136)&gt;=$S60),$V60,$U60)))=Milestones!$AB$136),UPPER(TEXT(EDATE($D60,Milestones!$AA$136),"dd mmm yy"))&amp;" "&amp;Milestones!$AB$136&amp;" "&amp;Milestones!$AC$136&amp;";  ","")&amp;IF(AND(EDATE($D60,Milestones!$AA$137)&lt;=AsOfDate,IF($R60=0,$X60,IF(AND($T60&lt;&gt;"",EDATE($D60,Milestones!$AA$137)&gt;=$T60),$W60,IF(AND($S60&lt;&gt;"",EDATE($D60,Milestones!$AA$137)&gt;=$S60),$V60,$U60)))=Milestones!$AB$137),UPPER(TEXT(EDATE($D60,Milestones!$AA$137),"dd mmm yy"))&amp;" "&amp;Milestones!$AB$137&amp;" "&amp;Milestones!$AC$137&amp;";  ","")&amp;IF(AND(EDATE($D60,Milestones!$AA$138)&lt;=AsOfDate,IF($R60=0,$X60,IF(AND($T60&lt;&gt;"",EDATE($D60,Milestones!$AA$138)&gt;=$T60),$W60,IF(AND($S60&lt;&gt;"",EDATE($D60,Milestones!$AA$138)&gt;=$S60),$V60,$U60)))=Milestones!$AB$138),UPPER(TEXT(EDATE($D60,Milestones!$AA$138),"dd mmm yy"))&amp;" "&amp;Milestones!$AB$138&amp;" "&amp;Milestones!$AC$138&amp;";  ","")&amp;IF(AND(EDATE($D60,Milestones!$AA$139)&lt;=AsOfDate,IF($R60=0,$X60,IF(AND($T60&lt;&gt;"",EDATE($D60,Milestones!$AA$139)&gt;=$T60),$W60,IF(AND($S60&lt;&gt;"",EDATE($D60,Milestones!$AA$139)&gt;=$S60),$V60,$U60)))=Milestones!$AB$139),UPPER(TEXT(EDATE($D60,Milestones!$AA$139),"dd mmm yy"))&amp;" "&amp;Milestones!$AB$139&amp;" "&amp;Milestones!$AC$139&amp;";  ",""))</f>
        <v/>
      </c>
      <c r="O60" s="0" t="str">
        <f aca="false">IF(OR($A60="",$D60=""),"",IF(AND(EDATE($D60,Milestones!$AA$140)&lt;=AsOfDate,IF($R60=0,$X60,IF(AND($T60&lt;&gt;"",EDATE($D60,Milestones!$AA$140)&gt;=$T60),$W60,IF(AND($S60&lt;&gt;"",EDATE($D60,Milestones!$AA$140)&gt;=$S60),$V60,$U60)))=Milestones!$AB$140),UPPER(TEXT(EDATE($D60,Milestones!$AA$140),"dd mmm yy"))&amp;" "&amp;Milestones!$AB$140&amp;" "&amp;Milestones!$AC$140&amp;";  ","")&amp;IF(AND(EDATE($D60,Milestones!$AA$141)&lt;=AsOfDate,IF($R60=0,$X60,IF(AND($T60&lt;&gt;"",EDATE($D60,Milestones!$AA$141)&gt;=$T60),$W60,IF(AND($S60&lt;&gt;"",EDATE($D60,Milestones!$AA$141)&gt;=$S60),$V60,$U60)))=Milestones!$AB$141),UPPER(TEXT(EDATE($D60,Milestones!$AA$141),"dd mmm yy"))&amp;" "&amp;Milestones!$AB$141&amp;" "&amp;Milestones!$AC$141&amp;";  ","")&amp;IF(AND(EDATE($D60,Milestones!$AA$142)&lt;=AsOfDate,IF($R60=0,$X60,IF(AND($T60&lt;&gt;"",EDATE($D60,Milestones!$AA$142)&gt;=$T60),$W60,IF(AND($S60&lt;&gt;"",EDATE($D60,Milestones!$AA$142)&gt;=$S60),$V60,$U60)))=Milestones!$AB$142),UPPER(TEXT(EDATE($D60,Milestones!$AA$142),"dd mmm yy"))&amp;" "&amp;Milestones!$AB$142&amp;" "&amp;Milestones!$AC$142&amp;";  ","")&amp;IF(AND(EDATE($D60,Milestones!$AA$143)&lt;=AsOfDate,IF($R60=0,$X60,IF(AND($T60&lt;&gt;"",EDATE($D60,Milestones!$AA$143)&gt;=$T60),$W60,IF(AND($S60&lt;&gt;"",EDATE($D60,Milestones!$AA$143)&gt;=$S60),$V60,$U60)))=Milestones!$AB$143),UPPER(TEXT(EDATE($D60,Milestones!$AA$143),"dd mmm yy"))&amp;" "&amp;Milestones!$AB$143&amp;" "&amp;Milestones!$AC$143&amp;";  ","")&amp;IF(AND(EDATE($D60,Milestones!$AA$144)&lt;=AsOfDate,IF($R60=0,$X60,IF(AND($T60&lt;&gt;"",EDATE($D60,Milestones!$AA$144)&gt;=$T60),$W60,IF(AND($S60&lt;&gt;"",EDATE($D60,Milestones!$AA$144)&gt;=$S60),$V60,$U60)))=Milestones!$AB$144),UPPER(TEXT(EDATE($D60,Milestones!$AA$144),"dd mmm yy"))&amp;" "&amp;Milestones!$AB$144&amp;" "&amp;Milestones!$AC$144&amp;";  ","")&amp;IF(AND(EDATE($D60,Milestones!$AA$145)&lt;=AsOfDate,IF($R60=0,$X60,IF(AND($T60&lt;&gt;"",EDATE($D60,Milestones!$AA$145)&gt;=$T60),$W60,IF(AND($S60&lt;&gt;"",EDATE($D60,Milestones!$AA$145)&gt;=$S60),$V60,$U60)))=Milestones!$AB$145),UPPER(TEXT(EDATE($D60,Milestones!$AA$145),"dd mmm yy"))&amp;" "&amp;Milestones!$AB$145&amp;" "&amp;Milestones!$AC$145&amp;";  ","")&amp;IF(AND(EDATE($D60,Milestones!$AA$146)&lt;=AsOfDate,IF($R60=0,$X60,IF(AND($T60&lt;&gt;"",EDATE($D60,Milestones!$AA$146)&gt;=$T60),$W60,IF(AND($S60&lt;&gt;"",EDATE($D60,Milestones!$AA$146)&gt;=$S60),$V60,$U60)))=Milestones!$AB$146),UPPER(TEXT(EDATE($D60,Milestones!$AA$146),"dd mmm yy"))&amp;" "&amp;Milestones!$AB$146&amp;" "&amp;Milestones!$AC$146&amp;";  ","")&amp;IF(AND(EDATE($D60,Milestones!$AA$147)&lt;=AsOfDate,IF($R60=0,$X60,IF(AND($T60&lt;&gt;"",EDATE($D60,Milestones!$AA$147)&gt;=$T60),$W60,IF(AND($S60&lt;&gt;"",EDATE($D60,Milestones!$AA$147)&gt;=$S60),$V60,$U60)))=Milestones!$AB$147),UPPER(TEXT(EDATE($D60,Milestones!$AA$147),"dd mmm yy"))&amp;" "&amp;Milestones!$AB$147&amp;" "&amp;Milestones!$AC$147&amp;";  ","")&amp;IF(AND(EDATE($D60,Milestones!$AA$148)&lt;=AsOfDate,IF($R60=0,$X60,IF(AND($T60&lt;&gt;"",EDATE($D60,Milestones!$AA$148)&gt;=$T60),$W60,IF(AND($S60&lt;&gt;"",EDATE($D60,Milestones!$AA$148)&gt;=$S60),$V60,$U60)))=Milestones!$AB$148),UPPER(TEXT(EDATE($D60,Milestones!$AA$148),"dd mmm yy"))&amp;" "&amp;Milestones!$AB$148&amp;" "&amp;Milestones!$AC$148&amp;";  ","")&amp;IF(AND(EDATE($D60,Milestones!$AA$149)&lt;=AsOfDate,IF($R60=0,$X60,IF(AND($T60&lt;&gt;"",EDATE($D60,Milestones!$AA$149)&gt;=$T60),$W60,IF(AND($S60&lt;&gt;"",EDATE($D60,Milestones!$AA$149)&gt;=$S60),$V60,$U60)))=Milestones!$AB$149),UPPER(TEXT(EDATE($D60,Milestones!$AA$149),"dd mmm yy"))&amp;" "&amp;Milestones!$AB$149&amp;" "&amp;Milestones!$AC$149&amp;";  ","")&amp;IF(AND(EDATE($D60,Milestones!$AA$150)&lt;=AsOfDate,IF($R60=0,$X60,IF(AND($T60&lt;&gt;"",EDATE($D60,Milestones!$AA$150)&gt;=$T60),$W60,IF(AND($S60&lt;&gt;"",EDATE($D60,Milestones!$AA$150)&gt;=$S60),$V60,$U60)))=Milestones!$AB$150),UPPER(TEXT(EDATE($D60,Milestones!$AA$150),"dd mmm yy"))&amp;" "&amp;Milestones!$AB$150&amp;" "&amp;Milestones!$AC$150&amp;";  ","")&amp;IF(AND(EDATE($D60,Milestones!$AA$151)&lt;=AsOfDate,IF($R60=0,$X60,IF(AND($T60&lt;&gt;"",EDATE($D60,Milestones!$AA$151)&gt;=$T60),$W60,IF(AND($S60&lt;&gt;"",EDATE($D60,Milestones!$AA$151)&gt;=$S60),$V60,$U60)))=Milestones!$AB$151),UPPER(TEXT(EDATE($D60,Milestones!$AA$151),"dd mmm yy"))&amp;" "&amp;Milestones!$AB$151&amp;" "&amp;Milestones!$AC$151&amp;";  ","")&amp;IF(AND(EDATE($D60,Milestones!$AA$152)&lt;=AsOfDate,IF($R60=0,$X60,IF(AND($T60&lt;&gt;"",EDATE($D60,Milestones!$AA$152)&gt;=$T60),$W60,IF(AND($S60&lt;&gt;"",EDATE($D60,Milestones!$AA$152)&gt;=$S60),$V60,$U60)))=Milestones!$AB$152),UPPER(TEXT(EDATE($D60,Milestones!$AA$152),"dd mmm yy"))&amp;" "&amp;Milestones!$AB$152&amp;" "&amp;Milestones!$AC$152&amp;";  ","")&amp;IF(AND(EDATE($D60,Milestones!$AA$153)&lt;=AsOfDate,IF($R60=0,$X60,IF(AND($T60&lt;&gt;"",EDATE($D60,Milestones!$AA$153)&gt;=$T60),$W60,IF(AND($S60&lt;&gt;"",EDATE($D60,Milestones!$AA$153)&gt;=$S60),$V60,$U60)))=Milestones!$AB$153),UPPER(TEXT(EDATE($D60,Milestones!$AA$153),"dd mmm yy"))&amp;" "&amp;Milestones!$AB$153&amp;" "&amp;Milestones!$AC$153&amp;";  ","")&amp;IF(AND(EDATE($D60,Milestones!$AA$154)&lt;=AsOfDate,IF($R60=0,$X60,IF(AND($T60&lt;&gt;"",EDATE($D60,Milestones!$AA$154)&gt;=$T60),$W60,IF(AND($S60&lt;&gt;"",EDATE($D60,Milestones!$AA$154)&gt;=$S60),$V60,$U60)))=Milestones!$AB$154),UPPER(TEXT(EDATE($D60,Milestones!$AA$154),"dd mmm yy"))&amp;" "&amp;Milestones!$AB$154&amp;" "&amp;Milestones!$AC$154&amp;";  ","")&amp;IF(AND(EDATE($D60,Milestones!$AA$155)&lt;=AsOfDate,IF($R60=0,$X60,IF(AND($T60&lt;&gt;"",EDATE($D60,Milestones!$AA$155)&gt;=$T60),$W60,IF(AND($S60&lt;&gt;"",EDATE($D60,Milestones!$AA$155)&gt;=$S60),$V60,$U60)))=Milestones!$AB$155),UPPER(TEXT(EDATE($D60,Milestones!$AA$155),"dd mmm yy"))&amp;" "&amp;Milestones!$AB$155&amp;" "&amp;Milestones!$AC$155&amp;";  ","")&amp;IF(AND(EDATE($D60,Milestones!$AA$156)&lt;=AsOfDate,IF($R60=0,$X60,IF(AND($T60&lt;&gt;"",EDATE($D60,Milestones!$AA$156)&gt;=$T60),$W60,IF(AND($S60&lt;&gt;"",EDATE($D60,Milestones!$AA$156)&gt;=$S60),$V60,$U60)))=Milestones!$AB$156),UPPER(TEXT(EDATE($D60,Milestones!$AA$156),"dd mmm yy"))&amp;" "&amp;Milestones!$AB$156&amp;" "&amp;Milestones!$AC$156&amp;";  ","")&amp;IF(AND(EDATE($D60,Milestones!$AA$157)&lt;=AsOfDate,IF($R60=0,$X60,IF(AND($T60&lt;&gt;"",EDATE($D60,Milestones!$AA$157)&gt;=$T60),$W60,IF(AND($S60&lt;&gt;"",EDATE($D60,Milestones!$AA$157)&gt;=$S60),$V60,$U60)))=Milestones!$AB$157),UPPER(TEXT(EDATE($D60,Milestones!$AA$157),"dd mmm yy"))&amp;" "&amp;Milestones!$AB$157&amp;" "&amp;Milestones!$AC$157&amp;";  ","")&amp;IF(AND(EDATE($D60,Milestones!$AA$158)&lt;=AsOfDate,IF($R60=0,$X60,IF(AND($T60&lt;&gt;"",EDATE($D60,Milestones!$AA$158)&gt;=$T60),$W60,IF(AND($S60&lt;&gt;"",EDATE($D60,Milestones!$AA$158)&gt;=$S60),$V60,$U60)))=Milestones!$AB$158),UPPER(TEXT(EDATE($D60,Milestones!$AA$158),"dd mmm yy"))&amp;" "&amp;Milestones!$AB$158&amp;" "&amp;Milestones!$AC$158&amp;";  ","")&amp;IF(AND(EDATE($D60,Milestones!$AA$159)&lt;=AsOfDate,IF($R60=0,$X60,IF(AND($T60&lt;&gt;"",EDATE($D60,Milestones!$AA$159)&gt;=$T60),$W60,IF(AND($S60&lt;&gt;"",EDATE($D60,Milestones!$AA$159)&gt;=$S60),$V60,$U60)))=Milestones!$AB$159),UPPER(TEXT(EDATE($D60,Milestones!$AA$159),"dd mmm yy"))&amp;" "&amp;Milestones!$AB$159&amp;" "&amp;Milestones!$AC$159&amp;";  ",""))</f>
        <v/>
      </c>
      <c r="P60" s="0" t="str">
        <f aca="false">IF(OR($A60="",$D60=""),"",IF(AND(EDATE($D60,Milestones!$AA$160)&lt;=AsOfDate,IF($R60=0,$X60,IF(AND($T60&lt;&gt;"",EDATE($D60,Milestones!$AA$160)&gt;=$T60),$W60,IF(AND($S60&lt;&gt;"",EDATE($D60,Milestones!$AA$160)&gt;=$S60),$V60,$U60)))=Milestones!$AB$160),UPPER(TEXT(EDATE($D60,Milestones!$AA$160),"dd mmm yy"))&amp;" "&amp;Milestones!$AB$160&amp;" "&amp;Milestones!$AC$160&amp;";  ","")&amp;IF(AND(EDATE($D60,Milestones!$AA$161)&lt;=AsOfDate,IF($R60=0,$X60,IF(AND($T60&lt;&gt;"",EDATE($D60,Milestones!$AA$161)&gt;=$T60),$W60,IF(AND($S60&lt;&gt;"",EDATE($D60,Milestones!$AA$161)&gt;=$S60),$V60,$U60)))=Milestones!$AB$161),UPPER(TEXT(EDATE($D60,Milestones!$AA$161),"dd mmm yy"))&amp;" "&amp;Milestones!$AB$161&amp;" "&amp;Milestones!$AC$161&amp;";  ","")&amp;IF(AND(EDATE($D60,Milestones!$AA$162)&lt;=AsOfDate,IF($R60=0,$X60,IF(AND($T60&lt;&gt;"",EDATE($D60,Milestones!$AA$162)&gt;=$T60),$W60,IF(AND($S60&lt;&gt;"",EDATE($D60,Milestones!$AA$162)&gt;=$S60),$V60,$U60)))=Milestones!$AB$162),UPPER(TEXT(EDATE($D60,Milestones!$AA$162),"dd mmm yy"))&amp;" "&amp;Milestones!$AB$162&amp;" "&amp;Milestones!$AC$162&amp;";  ","")&amp;IF(AND(EDATE($D60,Milestones!$AA$163)&lt;=AsOfDate,IF($R60=0,$X60,IF(AND($T60&lt;&gt;"",EDATE($D60,Milestones!$AA$163)&gt;=$T60),$W60,IF(AND($S60&lt;&gt;"",EDATE($D60,Milestones!$AA$163)&gt;=$S60),$V60,$U60)))=Milestones!$AB$163),UPPER(TEXT(EDATE($D60,Milestones!$AA$163),"dd mmm yy"))&amp;" "&amp;Milestones!$AB$163&amp;" "&amp;Milestones!$AC$163&amp;";  ","")&amp;IF(AND(EDATE($D60,Milestones!$AA$164)&lt;=AsOfDate,IF($R60=0,$X60,IF(AND($T60&lt;&gt;"",EDATE($D60,Milestones!$AA$164)&gt;=$T60),$W60,IF(AND($S60&lt;&gt;"",EDATE($D60,Milestones!$AA$164)&gt;=$S60),$V60,$U60)))=Milestones!$AB$164),UPPER(TEXT(EDATE($D60,Milestones!$AA$164),"dd mmm yy"))&amp;" "&amp;Milestones!$AB$164&amp;" "&amp;Milestones!$AC$164&amp;";  ","")&amp;IF(AND(EDATE($D60,Milestones!$AA$165)&lt;=AsOfDate,IF($R60=0,$X60,IF(AND($T60&lt;&gt;"",EDATE($D60,Milestones!$AA$165)&gt;=$T60),$W60,IF(AND($S60&lt;&gt;"",EDATE($D60,Milestones!$AA$165)&gt;=$S60),$V60,$U60)))=Milestones!$AB$165),UPPER(TEXT(EDATE($D60,Milestones!$AA$165),"dd mmm yy"))&amp;" "&amp;Milestones!$AB$165&amp;" "&amp;Milestones!$AC$165&amp;";  ","")&amp;IF(AND(EDATE($D60,Milestones!$AA$166)&lt;=AsOfDate,IF($R60=0,$X60,IF(AND($T60&lt;&gt;"",EDATE($D60,Milestones!$AA$166)&gt;=$T60),$W60,IF(AND($S60&lt;&gt;"",EDATE($D60,Milestones!$AA$166)&gt;=$S60),$V60,$U60)))=Milestones!$AB$166),UPPER(TEXT(EDATE($D60,Milestones!$AA$166),"dd mmm yy"))&amp;" "&amp;Milestones!$AB$166&amp;" "&amp;Milestones!$AC$166&amp;";  ","")&amp;IF(AND(EDATE($D60,Milestones!$AA$167)&lt;=AsOfDate,IF($R60=0,$X60,IF(AND($T60&lt;&gt;"",EDATE($D60,Milestones!$AA$167)&gt;=$T60),$W60,IF(AND($S60&lt;&gt;"",EDATE($D60,Milestones!$AA$167)&gt;=$S60),$V60,$U60)))=Milestones!$AB$167),UPPER(TEXT(EDATE($D60,Milestones!$AA$167),"dd mmm yy"))&amp;" "&amp;Milestones!$AB$167&amp;" "&amp;Milestones!$AC$167&amp;";  ","")&amp;IF(AND(EDATE($D60,Milestones!$AA$168)&lt;=AsOfDate,IF($R60=0,$X60,IF(AND($T60&lt;&gt;"",EDATE($D60,Milestones!$AA$168)&gt;=$T60),$W60,IF(AND($S60&lt;&gt;"",EDATE($D60,Milestones!$AA$168)&gt;=$S60),$V60,$U60)))=Milestones!$AB$168),UPPER(TEXT(EDATE($D60,Milestones!$AA$168),"dd mmm yy"))&amp;" "&amp;Milestones!$AB$168&amp;" "&amp;Milestones!$AC$168&amp;";  ","")&amp;IF(AND(EDATE($D60,Milestones!$AA$169)&lt;=AsOfDate,IF($R60=0,$X60,IF(AND($T60&lt;&gt;"",EDATE($D60,Milestones!$AA$169)&gt;=$T60),$W60,IF(AND($S60&lt;&gt;"",EDATE($D60,Milestones!$AA$169)&gt;=$S60),$V60,$U60)))=Milestones!$AB$169),UPPER(TEXT(EDATE($D60,Milestones!$AA$169),"dd mmm yy"))&amp;" "&amp;Milestones!$AB$169&amp;" "&amp;Milestones!$AC$169&amp;";  ","")&amp;IF(AND(EDATE($D60,Milestones!$AA$170)&lt;=AsOfDate,IF($R60=0,$X60,IF(AND($T60&lt;&gt;"",EDATE($D60,Milestones!$AA$170)&gt;=$T60),$W60,IF(AND($S60&lt;&gt;"",EDATE($D60,Milestones!$AA$170)&gt;=$S60),$V60,$U60)))=Milestones!$AB$170),UPPER(TEXT(EDATE($D60,Milestones!$AA$170),"dd mmm yy"))&amp;" "&amp;Milestones!$AB$170&amp;" "&amp;Milestones!$AC$170&amp;";  ","")&amp;IF(AND(EDATE($D60,Milestones!$AA$171)&lt;=AsOfDate,IF($R60=0,$X60,IF(AND($T60&lt;&gt;"",EDATE($D60,Milestones!$AA$171)&gt;=$T60),$W60,IF(AND($S60&lt;&gt;"",EDATE($D60,Milestones!$AA$171)&gt;=$S60),$V60,$U60)))=Milestones!$AB$171),UPPER(TEXT(EDATE($D60,Milestones!$AA$171),"dd mmm yy"))&amp;" "&amp;Milestones!$AB$171&amp;" "&amp;Milestones!$AC$171&amp;";  ","")&amp;IF(AND(EDATE($D60,Milestones!$AA$172)&lt;=AsOfDate,IF($R60=0,$X60,IF(AND($T60&lt;&gt;"",EDATE($D60,Milestones!$AA$172)&gt;=$T60),$W60,IF(AND($S60&lt;&gt;"",EDATE($D60,Milestones!$AA$172)&gt;=$S60),$V60,$U60)))=Milestones!$AB$172),UPPER(TEXT(EDATE($D60,Milestones!$AA$172),"dd mmm yy"))&amp;" "&amp;Milestones!$AB$172&amp;" "&amp;Milestones!$AC$172&amp;";  ","")&amp;IF(AND(EDATE($D60,Milestones!$AA$173)&lt;=AsOfDate,IF($R60=0,$X60,IF(AND($T60&lt;&gt;"",EDATE($D60,Milestones!$AA$173)&gt;=$T60),$W60,IF(AND($S60&lt;&gt;"",EDATE($D60,Milestones!$AA$173)&gt;=$S60),$V60,$U60)))=Milestones!$AB$173),UPPER(TEXT(EDATE($D60,Milestones!$AA$173),"dd mmm yy"))&amp;" "&amp;Milestones!$AB$173&amp;" "&amp;Milestones!$AC$173&amp;";  ","")&amp;IF(AND(EDATE($D60,Milestones!$AA$174)&lt;=AsOfDate,IF($R60=0,$X60,IF(AND($T60&lt;&gt;"",EDATE($D60,Milestones!$AA$174)&gt;=$T60),$W60,IF(AND($S60&lt;&gt;"",EDATE($D60,Milestones!$AA$174)&gt;=$S60),$V60,$U60)))=Milestones!$AB$174),UPPER(TEXT(EDATE($D60,Milestones!$AA$174),"dd mmm yy"))&amp;" "&amp;Milestones!$AB$174&amp;" "&amp;Milestones!$AC$174&amp;";  ","")&amp;IF(AND(EDATE($D60,Milestones!$AA$175)&lt;=AsOfDate,IF($R60=0,$X60,IF(AND($T60&lt;&gt;"",EDATE($D60,Milestones!$AA$175)&gt;=$T60),$W60,IF(AND($S60&lt;&gt;"",EDATE($D60,Milestones!$AA$175)&gt;=$S60),$V60,$U60)))=Milestones!$AB$175),UPPER(TEXT(EDATE($D60,Milestones!$AA$175),"dd mmm yy"))&amp;" "&amp;Milestones!$AB$175&amp;" "&amp;Milestones!$AC$175&amp;";  ","")&amp;IF(AND(EDATE($D60,Milestones!$AA$176)&lt;=AsOfDate,IF($R60=0,$X60,IF(AND($T60&lt;&gt;"",EDATE($D60,Milestones!$AA$176)&gt;=$T60),$W60,IF(AND($S60&lt;&gt;"",EDATE($D60,Milestones!$AA$176)&gt;=$S60),$V60,$U60)))=Milestones!$AB$176),UPPER(TEXT(EDATE($D60,Milestones!$AA$176),"dd mmm yy"))&amp;" "&amp;Milestones!$AB$176&amp;" "&amp;Milestones!$AC$176&amp;";  ","")&amp;IF(AND(EDATE($D60,Milestones!$AA$177)&lt;=AsOfDate,IF($R60=0,$X60,IF(AND($T60&lt;&gt;"",EDATE($D60,Milestones!$AA$177)&gt;=$T60),$W60,IF(AND($S60&lt;&gt;"",EDATE($D60,Milestones!$AA$177)&gt;=$S60),$V60,$U60)))=Milestones!$AB$177),UPPER(TEXT(EDATE($D60,Milestones!$AA$177),"dd mmm yy"))&amp;" "&amp;Milestones!$AB$177&amp;" "&amp;Milestones!$AC$177&amp;";  ","")&amp;IF(AND(EDATE($D60,Milestones!$AA$178)&lt;=AsOfDate,IF($R60=0,$X60,IF(AND($T60&lt;&gt;"",EDATE($D60,Milestones!$AA$178)&gt;=$T60),$W60,IF(AND($S60&lt;&gt;"",EDATE($D60,Milestones!$AA$178)&gt;=$S60),$V60,$U60)))=Milestones!$AB$178),UPPER(TEXT(EDATE($D60,Milestones!$AA$178),"dd mmm yy"))&amp;" "&amp;Milestones!$AB$178&amp;" "&amp;Milestones!$AC$178&amp;";  ","")&amp;IF(AND(EDATE($D60,Milestones!$AA$179)&lt;=AsOfDate,IF($R60=0,$X60,IF(AND($T60&lt;&gt;"",EDATE($D60,Milestones!$AA$179)&gt;=$T60),$W60,IF(AND($S60&lt;&gt;"",EDATE($D60,Milestones!$AA$179)&gt;=$S60),$V60,$U60)))=Milestones!$AB$179),UPPER(TEXT(EDATE($D60,Milestones!$AA$179),"dd mmm yy"))&amp;" "&amp;Milestones!$AB$179&amp;" "&amp;Milestones!$AC$179&amp;";  ",""))</f>
        <v/>
      </c>
      <c r="Q60" s="0" t="str">
        <f aca="false">IF(OR($A60="",$D60=""),"",IF(AND(EDATE($D60,Milestones!$AA$180)&lt;=AsOfDate,IF($R60=0,$X60,IF(AND($T60&lt;&gt;"",EDATE($D60,Milestones!$AA$180)&gt;=$T60),$W60,IF(AND($S60&lt;&gt;"",EDATE($D60,Milestones!$AA$180)&gt;=$S60),$V60,$U60)))=Milestones!$AB$180),UPPER(TEXT(EDATE($D60,Milestones!$AA$180),"dd mmm yy"))&amp;" "&amp;Milestones!$AB$180&amp;" "&amp;Milestones!$AC$180&amp;";  ","")&amp;IF(AND(EDATE($D60,Milestones!$AA$181)&lt;=AsOfDate,IF($R60=0,$X60,IF(AND($T60&lt;&gt;"",EDATE($D60,Milestones!$AA$181)&gt;=$T60),$W60,IF(AND($S60&lt;&gt;"",EDATE($D60,Milestones!$AA$181)&gt;=$S60),$V60,$U60)))=Milestones!$AB$181),UPPER(TEXT(EDATE($D60,Milestones!$AA$181),"dd mmm yy"))&amp;" "&amp;Milestones!$AB$181&amp;" "&amp;Milestones!$AC$181&amp;";  ","")&amp;IF(AND(EDATE($D60,Milestones!$AA$182)&lt;=AsOfDate,IF($R60=0,$X60,IF(AND($T60&lt;&gt;"",EDATE($D60,Milestones!$AA$182)&gt;=$T60),$W60,IF(AND($S60&lt;&gt;"",EDATE($D60,Milestones!$AA$182)&gt;=$S60),$V60,$U60)))=Milestones!$AB$182),UPPER(TEXT(EDATE($D60,Milestones!$AA$182),"dd mmm yy"))&amp;" "&amp;Milestones!$AB$182&amp;" "&amp;Milestones!$AC$182&amp;";  ","")&amp;IF(AND(EDATE($D60,Milestones!$AA$183)&lt;=AsOfDate,IF($R60=0,$X60,IF(AND($T60&lt;&gt;"",EDATE($D60,Milestones!$AA$183)&gt;=$T60),$W60,IF(AND($S60&lt;&gt;"",EDATE($D60,Milestones!$AA$183)&gt;=$S60),$V60,$U60)))=Milestones!$AB$183),UPPER(TEXT(EDATE($D60,Milestones!$AA$183),"dd mmm yy"))&amp;" "&amp;Milestones!$AB$183&amp;" "&amp;Milestones!$AC$183&amp;";  ","")&amp;IF(AND(EDATE($D60,Milestones!$AA$184)&lt;=AsOfDate,IF($R60=0,$X60,IF(AND($T60&lt;&gt;"",EDATE($D60,Milestones!$AA$184)&gt;=$T60),$W60,IF(AND($S60&lt;&gt;"",EDATE($D60,Milestones!$AA$184)&gt;=$S60),$V60,$U60)))=Milestones!$AB$184),UPPER(TEXT(EDATE($D60,Milestones!$AA$184),"dd mmm yy"))&amp;" "&amp;Milestones!$AB$184&amp;" "&amp;Milestones!$AC$184&amp;";  ","")&amp;IF(AND(EDATE($D60,Milestones!$AA$185)&lt;=AsOfDate,IF($R60=0,$X60,IF(AND($T60&lt;&gt;"",EDATE($D60,Milestones!$AA$185)&gt;=$T60),$W60,IF(AND($S60&lt;&gt;"",EDATE($D60,Milestones!$AA$185)&gt;=$S60),$V60,$U60)))=Milestones!$AB$185),UPPER(TEXT(EDATE($D60,Milestones!$AA$185),"dd mmm yy"))&amp;" "&amp;Milestones!$AB$185&amp;" "&amp;Milestones!$AC$185&amp;";  ","")&amp;IF(AND(EDATE($D60,Milestones!$AA$186)&lt;=AsOfDate,IF($R60=0,$X60,IF(AND($T60&lt;&gt;"",EDATE($D60,Milestones!$AA$186)&gt;=$T60),$W60,IF(AND($S60&lt;&gt;"",EDATE($D60,Milestones!$AA$186)&gt;=$S60),$V60,$U60)))=Milestones!$AB$186),UPPER(TEXT(EDATE($D60,Milestones!$AA$186),"dd mmm yy"))&amp;" "&amp;Milestones!$AB$186&amp;" "&amp;Milestones!$AC$186&amp;";  ","")&amp;IF(AND(EDATE($D60,Milestones!$AA$187)&lt;=AsOfDate,IF($R60=0,$X60,IF(AND($T60&lt;&gt;"",EDATE($D60,Milestones!$AA$187)&gt;=$T60),$W60,IF(AND($S60&lt;&gt;"",EDATE($D60,Milestones!$AA$187)&gt;=$S60),$V60,$U60)))=Milestones!$AB$187),UPPER(TEXT(EDATE($D60,Milestones!$AA$187),"dd mmm yy"))&amp;" "&amp;Milestones!$AB$187&amp;" "&amp;Milestones!$AC$187&amp;";  ","")&amp;IF(AND(EDATE($D60,Milestones!$AA$188)&lt;=AsOfDate,IF($R60=0,$X60,IF(AND($T60&lt;&gt;"",EDATE($D60,Milestones!$AA$188)&gt;=$T60),$W60,IF(AND($S60&lt;&gt;"",EDATE($D60,Milestones!$AA$188)&gt;=$S60),$V60,$U60)))=Milestones!$AB$188),UPPER(TEXT(EDATE($D60,Milestones!$AA$188),"dd mmm yy"))&amp;" "&amp;Milestones!$AB$188&amp;" "&amp;Milestones!$AC$188&amp;";  ","")&amp;IF(AND(EDATE($D60,Milestones!$AA$189)&lt;=AsOfDate,IF($R60=0,$X60,IF(AND($T60&lt;&gt;"",EDATE($D60,Milestones!$AA$189)&gt;=$T60),$W60,IF(AND($S60&lt;&gt;"",EDATE($D60,Milestones!$AA$189)&gt;=$S60),$V60,$U60)))=Milestones!$AB$189),UPPER(TEXT(EDATE($D60,Milestones!$AA$189),"dd mmm yy"))&amp;" "&amp;Milestones!$AB$189&amp;" "&amp;Milestones!$AC$189&amp;";  ","")&amp;IF(AND(EDATE($D60,Milestones!$AA$190)&lt;=AsOfDate,IF($R60=0,$X60,IF(AND($T60&lt;&gt;"",EDATE($D60,Milestones!$AA$190)&gt;=$T60),$W60,IF(AND($S60&lt;&gt;"",EDATE($D60,Milestones!$AA$190)&gt;=$S60),$V60,$U60)))=Milestones!$AB$190),UPPER(TEXT(EDATE($D60,Milestones!$AA$190),"dd mmm yy"))&amp;" "&amp;Milestones!$AB$190&amp;" "&amp;Milestones!$AC$190&amp;";  ","")&amp;IF(AND(EDATE($D60,Milestones!$AA$191)&lt;=AsOfDate,IF($R60=0,$X60,IF(AND($T60&lt;&gt;"",EDATE($D60,Milestones!$AA$191)&gt;=$T60),$W60,IF(AND($S60&lt;&gt;"",EDATE($D60,Milestones!$AA$191)&gt;=$S60),$V60,$U60)))=Milestones!$AB$191),UPPER(TEXT(EDATE($D60,Milestones!$AA$191),"dd mmm yy"))&amp;" "&amp;Milestones!$AB$191&amp;" "&amp;Milestones!$AC$191&amp;";  ","")&amp;IF(AND(EDATE($D60,Milestones!$AA$192)&lt;=AsOfDate,IF($R60=0,$X60,IF(AND($T60&lt;&gt;"",EDATE($D60,Milestones!$AA$192)&gt;=$T60),$W60,IF(AND($S60&lt;&gt;"",EDATE($D60,Milestones!$AA$192)&gt;=$S60),$V60,$U60)))=Milestones!$AB$192),UPPER(TEXT(EDATE($D60,Milestones!$AA$192),"dd mmm yy"))&amp;" "&amp;Milestones!$AB$192&amp;" "&amp;Milestones!$AC$192&amp;";  ","")&amp;IF(AND(EDATE($D60,Milestones!$AA$193)&lt;=AsOfDate,IF($R60=0,$X60,IF(AND($T60&lt;&gt;"",EDATE($D60,Milestones!$AA$193)&gt;=$T60),$W60,IF(AND($S60&lt;&gt;"",EDATE($D60,Milestones!$AA$193)&gt;=$S60),$V60,$U60)))=Milestones!$AB$193),UPPER(TEXT(EDATE($D60,Milestones!$AA$193),"dd mmm yy"))&amp;" "&amp;Milestones!$AB$193&amp;" "&amp;Milestones!$AC$193&amp;";  ","")&amp;IF(AND(EDATE($D60,Milestones!$AA$194)&lt;=AsOfDate,IF($R60=0,$X60,IF(AND($T60&lt;&gt;"",EDATE($D60,Milestones!$AA$194)&gt;=$T60),$W60,IF(AND($S60&lt;&gt;"",EDATE($D60,Milestones!$AA$194)&gt;=$S60),$V60,$U60)))=Milestones!$AB$194),UPPER(TEXT(EDATE($D60,Milestones!$AA$194),"dd mmm yy"))&amp;" "&amp;Milestones!$AB$194&amp;" "&amp;Milestones!$AC$194&amp;";  ","")&amp;IF(AND(EDATE($D60,Milestones!$AA$195)&lt;=AsOfDate,IF($R60=0,$X60,IF(AND($T60&lt;&gt;"",EDATE($D60,Milestones!$AA$195)&gt;=$T60),$W60,IF(AND($S60&lt;&gt;"",EDATE($D60,Milestones!$AA$195)&gt;=$S60),$V60,$U60)))=Milestones!$AB$195),UPPER(TEXT(EDATE($D60,Milestones!$AA$195),"dd mmm yy"))&amp;" "&amp;Milestones!$AB$195&amp;" "&amp;Milestones!$AC$195&amp;";  ","")&amp;IF(AND(EDATE($D60,Milestones!$AA$196)&lt;=AsOfDate,IF($R60=0,$X60,IF(AND($T60&lt;&gt;"",EDATE($D60,Milestones!$AA$196)&gt;=$T60),$W60,IF(AND($S60&lt;&gt;"",EDATE($D60,Milestones!$AA$196)&gt;=$S60),$V60,$U60)))=Milestones!$AB$196),UPPER(TEXT(EDATE($D60,Milestones!$AA$196),"dd mmm yy"))&amp;" "&amp;Milestones!$AB$196&amp;" "&amp;Milestones!$AC$196&amp;";  ","")&amp;IF(AND(EDATE($D60,Milestones!$AA$197)&lt;=AsOfDate,IF($R60=0,$X60,IF(AND($T60&lt;&gt;"",EDATE($D60,Milestones!$AA$197)&gt;=$T60),$W60,IF(AND($S60&lt;&gt;"",EDATE($D60,Milestones!$AA$197)&gt;=$S60),$V60,$U60)))=Milestones!$AB$197),UPPER(TEXT(EDATE($D60,Milestones!$AA$197),"dd mmm yy"))&amp;" "&amp;Milestones!$AB$197&amp;" "&amp;Milestones!$AC$197&amp;";  ","")&amp;IF(AND(EDATE($D60,Milestones!$AA$198)&lt;=AsOfDate,IF($R60=0,$X60,IF(AND($T60&lt;&gt;"",EDATE($D60,Milestones!$AA$198)&gt;=$T60),$W60,IF(AND($S60&lt;&gt;"",EDATE($D60,Milestones!$AA$198)&gt;=$S60),$V60,$U60)))=Milestones!$AB$198),UPPER(TEXT(EDATE($D60,Milestones!$AA$198),"dd mmm yy"))&amp;" "&amp;Milestones!$AB$198&amp;" "&amp;Milestones!$AC$198&amp;";  ","")&amp;IF(AND(EDATE($D60,Milestones!$AA$199)&lt;=AsOfDate,IF($R60=0,$X60,IF(AND($T60&lt;&gt;"",EDATE($D60,Milestones!$AA$199)&gt;=$T60),$W60,IF(AND($S60&lt;&gt;"",EDATE($D60,Milestones!$AA$199)&gt;=$S60),$V60,$U60)))=Milestones!$AB$199),UPPER(TEXT(EDATE($D60,Milestones!$AA$199),"dd mmm yy"))&amp;" "&amp;Milestones!$AB$199&amp;" "&amp;Milestones!$AC$199&amp;";  ",""))</f>
        <v/>
      </c>
      <c r="R60" s="0" t="str">
        <f aca="false">IF(Staff!$A60="","",Staff!$AI60)</f>
        <v/>
      </c>
      <c r="S60" s="0" t="str">
        <f aca="false">IF(Staff!$A60="","",Staff!$AK60)</f>
        <v/>
      </c>
      <c r="T60" s="0" t="str">
        <f aca="false">IF(Staff!$A60="","",Staff!$AL60)</f>
        <v/>
      </c>
      <c r="U60" s="0" t="str">
        <f aca="false">IF(Staff!$A60="","",Staff!$AP60)</f>
        <v/>
      </c>
      <c r="V60" s="0" t="str">
        <f aca="false">IF(Staff!$A60="","",Staff!$AQ60)</f>
        <v/>
      </c>
      <c r="W60" s="0" t="str">
        <f aca="false">IF(Staff!$A60="","",Staff!$AR60)</f>
        <v/>
      </c>
      <c r="X60" s="0" t="str">
        <f aca="false">IF(Staff!$A60="","",Staff!$AS60)</f>
        <v/>
      </c>
    </row>
    <row r="61" customFormat="false" ht="15" hidden="false" customHeight="false" outlineLevel="0" collapsed="false">
      <c r="A61" s="14" t="str">
        <f aca="false">IF(Staff!$A61="","",Staff!$A61)</f>
        <v/>
      </c>
      <c r="B61" s="14" t="str">
        <f aca="false">IF(Staff!$A61="","",Staff!$B61)</f>
        <v/>
      </c>
      <c r="C61" s="14" t="str">
        <f aca="false">IF(Staff!$A61="","",Staff!$C61)</f>
        <v/>
      </c>
      <c r="D61" s="12" t="str">
        <f aca="false">IF(Staff!$A61="","",Staff!$AH61)</f>
        <v/>
      </c>
      <c r="E61" s="14" t="str">
        <f aca="false">IF(Staff!$A61="","",Staff!$O61)</f>
        <v/>
      </c>
      <c r="F61" s="14" t="str">
        <f aca="false">IF(E61="","",E61*HoursPerDay)</f>
        <v/>
      </c>
      <c r="G61" s="14" t="str">
        <f aca="false">IF(Staff!$A61="","",Staff!$AE61)</f>
        <v/>
      </c>
      <c r="H61" s="26" t="str">
        <f aca="false">IF($A61="","",I61&amp;J61&amp;K61&amp;L61&amp;M61&amp;N61&amp;O61&amp;P61&amp;Q61)</f>
        <v/>
      </c>
      <c r="I61" s="0" t="str">
        <f aca="false">IF(OR($A61="",$D61=""),"",IF(AND(EDATE($D61,Milestones!$AA$20)&lt;=AsOfDate,IF($R61=0,$X61,IF(AND($T61&lt;&gt;"",EDATE($D61,Milestones!$AA$20)&gt;=$T61),$W61,IF(AND($S61&lt;&gt;"",EDATE($D61,Milestones!$AA$20)&gt;=$S61),$V61,$U61)))=Milestones!$AB$20),UPPER(TEXT(EDATE($D61,Milestones!$AA$20),"dd mmm yy"))&amp;" "&amp;Milestones!$AB$20&amp;" "&amp;Milestones!$AC$20&amp;";  ","")&amp;IF(AND(EDATE($D61,Milestones!$AA$21)&lt;=AsOfDate,IF($R61=0,$X61,IF(AND($T61&lt;&gt;"",EDATE($D61,Milestones!$AA$21)&gt;=$T61),$W61,IF(AND($S61&lt;&gt;"",EDATE($D61,Milestones!$AA$21)&gt;=$S61),$V61,$U61)))=Milestones!$AB$21),UPPER(TEXT(EDATE($D61,Milestones!$AA$21),"dd mmm yy"))&amp;" "&amp;Milestones!$AB$21&amp;" "&amp;Milestones!$AC$21&amp;";  ","")&amp;IF(AND(EDATE($D61,Milestones!$AA$22)&lt;=AsOfDate,IF($R61=0,$X61,IF(AND($T61&lt;&gt;"",EDATE($D61,Milestones!$AA$22)&gt;=$T61),$W61,IF(AND($S61&lt;&gt;"",EDATE($D61,Milestones!$AA$22)&gt;=$S61),$V61,$U61)))=Milestones!$AB$22),UPPER(TEXT(EDATE($D61,Milestones!$AA$22),"dd mmm yy"))&amp;" "&amp;Milestones!$AB$22&amp;" "&amp;Milestones!$AC$22&amp;";  ","")&amp;IF(AND(EDATE($D61,Milestones!$AA$23)&lt;=AsOfDate,IF($R61=0,$X61,IF(AND($T61&lt;&gt;"",EDATE($D61,Milestones!$AA$23)&gt;=$T61),$W61,IF(AND($S61&lt;&gt;"",EDATE($D61,Milestones!$AA$23)&gt;=$S61),$V61,$U61)))=Milestones!$AB$23),UPPER(TEXT(EDATE($D61,Milestones!$AA$23),"dd mmm yy"))&amp;" "&amp;Milestones!$AB$23&amp;" "&amp;Milestones!$AC$23&amp;";  ","")&amp;IF(AND(EDATE($D61,Milestones!$AA$24)&lt;=AsOfDate,IF($R61=0,$X61,IF(AND($T61&lt;&gt;"",EDATE($D61,Milestones!$AA$24)&gt;=$T61),$W61,IF(AND($S61&lt;&gt;"",EDATE($D61,Milestones!$AA$24)&gt;=$S61),$V61,$U61)))=Milestones!$AB$24),UPPER(TEXT(EDATE($D61,Milestones!$AA$24),"dd mmm yy"))&amp;" "&amp;Milestones!$AB$24&amp;" "&amp;Milestones!$AC$24&amp;";  ","")&amp;IF(AND(EDATE($D61,Milestones!$AA$25)&lt;=AsOfDate,IF($R61=0,$X61,IF(AND($T61&lt;&gt;"",EDATE($D61,Milestones!$AA$25)&gt;=$T61),$W61,IF(AND($S61&lt;&gt;"",EDATE($D61,Milestones!$AA$25)&gt;=$S61),$V61,$U61)))=Milestones!$AB$25),UPPER(TEXT(EDATE($D61,Milestones!$AA$25),"dd mmm yy"))&amp;" "&amp;Milestones!$AB$25&amp;" "&amp;Milestones!$AC$25&amp;";  ","")&amp;IF(AND(EDATE($D61,Milestones!$AA$26)&lt;=AsOfDate,IF($R61=0,$X61,IF(AND($T61&lt;&gt;"",EDATE($D61,Milestones!$AA$26)&gt;=$T61),$W61,IF(AND($S61&lt;&gt;"",EDATE($D61,Milestones!$AA$26)&gt;=$S61),$V61,$U61)))=Milestones!$AB$26),UPPER(TEXT(EDATE($D61,Milestones!$AA$26),"dd mmm yy"))&amp;" "&amp;Milestones!$AB$26&amp;" "&amp;Milestones!$AC$26&amp;";  ","")&amp;IF(AND(EDATE($D61,Milestones!$AA$27)&lt;=AsOfDate,IF($R61=0,$X61,IF(AND($T61&lt;&gt;"",EDATE($D61,Milestones!$AA$27)&gt;=$T61),$W61,IF(AND($S61&lt;&gt;"",EDATE($D61,Milestones!$AA$27)&gt;=$S61),$V61,$U61)))=Milestones!$AB$27),UPPER(TEXT(EDATE($D61,Milestones!$AA$27),"dd mmm yy"))&amp;" "&amp;Milestones!$AB$27&amp;" "&amp;Milestones!$AC$27&amp;";  ","")&amp;IF(AND(EDATE($D61,Milestones!$AA$28)&lt;=AsOfDate,IF($R61=0,$X61,IF(AND($T61&lt;&gt;"",EDATE($D61,Milestones!$AA$28)&gt;=$T61),$W61,IF(AND($S61&lt;&gt;"",EDATE($D61,Milestones!$AA$28)&gt;=$S61),$V61,$U61)))=Milestones!$AB$28),UPPER(TEXT(EDATE($D61,Milestones!$AA$28),"dd mmm yy"))&amp;" "&amp;Milestones!$AB$28&amp;" "&amp;Milestones!$AC$28&amp;";  ","")&amp;IF(AND(EDATE($D61,Milestones!$AA$29)&lt;=AsOfDate,IF($R61=0,$X61,IF(AND($T61&lt;&gt;"",EDATE($D61,Milestones!$AA$29)&gt;=$T61),$W61,IF(AND($S61&lt;&gt;"",EDATE($D61,Milestones!$AA$29)&gt;=$S61),$V61,$U61)))=Milestones!$AB$29),UPPER(TEXT(EDATE($D61,Milestones!$AA$29),"dd mmm yy"))&amp;" "&amp;Milestones!$AB$29&amp;" "&amp;Milestones!$AC$29&amp;";  ","")&amp;IF(AND(EDATE($D61,Milestones!$AA$30)&lt;=AsOfDate,IF($R61=0,$X61,IF(AND($T61&lt;&gt;"",EDATE($D61,Milestones!$AA$30)&gt;=$T61),$W61,IF(AND($S61&lt;&gt;"",EDATE($D61,Milestones!$AA$30)&gt;=$S61),$V61,$U61)))=Milestones!$AB$30),UPPER(TEXT(EDATE($D61,Milestones!$AA$30),"dd mmm yy"))&amp;" "&amp;Milestones!$AB$30&amp;" "&amp;Milestones!$AC$30&amp;";  ","")&amp;IF(AND(EDATE($D61,Milestones!$AA$31)&lt;=AsOfDate,IF($R61=0,$X61,IF(AND($T61&lt;&gt;"",EDATE($D61,Milestones!$AA$31)&gt;=$T61),$W61,IF(AND($S61&lt;&gt;"",EDATE($D61,Milestones!$AA$31)&gt;=$S61),$V61,$U61)))=Milestones!$AB$31),UPPER(TEXT(EDATE($D61,Milestones!$AA$31),"dd mmm yy"))&amp;" "&amp;Milestones!$AB$31&amp;" "&amp;Milestones!$AC$31&amp;";  ","")&amp;IF(AND(EDATE($D61,Milestones!$AA$32)&lt;=AsOfDate,IF($R61=0,$X61,IF(AND($T61&lt;&gt;"",EDATE($D61,Milestones!$AA$32)&gt;=$T61),$W61,IF(AND($S61&lt;&gt;"",EDATE($D61,Milestones!$AA$32)&gt;=$S61),$V61,$U61)))=Milestones!$AB$32),UPPER(TEXT(EDATE($D61,Milestones!$AA$32),"dd mmm yy"))&amp;" "&amp;Milestones!$AB$32&amp;" "&amp;Milestones!$AC$32&amp;";  ","")&amp;IF(AND(EDATE($D61,Milestones!$AA$33)&lt;=AsOfDate,IF($R61=0,$X61,IF(AND($T61&lt;&gt;"",EDATE($D61,Milestones!$AA$33)&gt;=$T61),$W61,IF(AND($S61&lt;&gt;"",EDATE($D61,Milestones!$AA$33)&gt;=$S61),$V61,$U61)))=Milestones!$AB$33),UPPER(TEXT(EDATE($D61,Milestones!$AA$33),"dd mmm yy"))&amp;" "&amp;Milestones!$AB$33&amp;" "&amp;Milestones!$AC$33&amp;";  ","")&amp;IF(AND(EDATE($D61,Milestones!$AA$34)&lt;=AsOfDate,IF($R61=0,$X61,IF(AND($T61&lt;&gt;"",EDATE($D61,Milestones!$AA$34)&gt;=$T61),$W61,IF(AND($S61&lt;&gt;"",EDATE($D61,Milestones!$AA$34)&gt;=$S61),$V61,$U61)))=Milestones!$AB$34),UPPER(TEXT(EDATE($D61,Milestones!$AA$34),"dd mmm yy"))&amp;" "&amp;Milestones!$AB$34&amp;" "&amp;Milestones!$AC$34&amp;";  ","")&amp;IF(AND(EDATE($D61,Milestones!$AA$35)&lt;=AsOfDate,IF($R61=0,$X61,IF(AND($T61&lt;&gt;"",EDATE($D61,Milestones!$AA$35)&gt;=$T61),$W61,IF(AND($S61&lt;&gt;"",EDATE($D61,Milestones!$AA$35)&gt;=$S61),$V61,$U61)))=Milestones!$AB$35),UPPER(TEXT(EDATE($D61,Milestones!$AA$35),"dd mmm yy"))&amp;" "&amp;Milestones!$AB$35&amp;" "&amp;Milestones!$AC$35&amp;";  ","")&amp;IF(AND(EDATE($D61,Milestones!$AA$36)&lt;=AsOfDate,IF($R61=0,$X61,IF(AND($T61&lt;&gt;"",EDATE($D61,Milestones!$AA$36)&gt;=$T61),$W61,IF(AND($S61&lt;&gt;"",EDATE($D61,Milestones!$AA$36)&gt;=$S61),$V61,$U61)))=Milestones!$AB$36),UPPER(TEXT(EDATE($D61,Milestones!$AA$36),"dd mmm yy"))&amp;" "&amp;Milestones!$AB$36&amp;" "&amp;Milestones!$AC$36&amp;";  ","")&amp;IF(AND(EDATE($D61,Milestones!$AA$37)&lt;=AsOfDate,IF($R61=0,$X61,IF(AND($T61&lt;&gt;"",EDATE($D61,Milestones!$AA$37)&gt;=$T61),$W61,IF(AND($S61&lt;&gt;"",EDATE($D61,Milestones!$AA$37)&gt;=$S61),$V61,$U61)))=Milestones!$AB$37),UPPER(TEXT(EDATE($D61,Milestones!$AA$37),"dd mmm yy"))&amp;" "&amp;Milestones!$AB$37&amp;" "&amp;Milestones!$AC$37&amp;";  ","")&amp;IF(AND(EDATE($D61,Milestones!$AA$38)&lt;=AsOfDate,IF($R61=0,$X61,IF(AND($T61&lt;&gt;"",EDATE($D61,Milestones!$AA$38)&gt;=$T61),$W61,IF(AND($S61&lt;&gt;"",EDATE($D61,Milestones!$AA$38)&gt;=$S61),$V61,$U61)))=Milestones!$AB$38),UPPER(TEXT(EDATE($D61,Milestones!$AA$38),"dd mmm yy"))&amp;" "&amp;Milestones!$AB$38&amp;" "&amp;Milestones!$AC$38&amp;";  ","")&amp;IF(AND(EDATE($D61,Milestones!$AA$39)&lt;=AsOfDate,IF($R61=0,$X61,IF(AND($T61&lt;&gt;"",EDATE($D61,Milestones!$AA$39)&gt;=$T61),$W61,IF(AND($S61&lt;&gt;"",EDATE($D61,Milestones!$AA$39)&gt;=$S61),$V61,$U61)))=Milestones!$AB$39),UPPER(TEXT(EDATE($D61,Milestones!$AA$39),"dd mmm yy"))&amp;" "&amp;Milestones!$AB$39&amp;" "&amp;Milestones!$AC$39&amp;";  ",""))</f>
        <v/>
      </c>
      <c r="J61" s="0" t="str">
        <f aca="false">IF(OR($A61="",$D61=""),"",IF(AND(EDATE($D61,Milestones!$AA$40)&lt;=AsOfDate,IF($R61=0,$X61,IF(AND($T61&lt;&gt;"",EDATE($D61,Milestones!$AA$40)&gt;=$T61),$W61,IF(AND($S61&lt;&gt;"",EDATE($D61,Milestones!$AA$40)&gt;=$S61),$V61,$U61)))=Milestones!$AB$40),UPPER(TEXT(EDATE($D61,Milestones!$AA$40),"dd mmm yy"))&amp;" "&amp;Milestones!$AB$40&amp;" "&amp;Milestones!$AC$40&amp;";  ","")&amp;IF(AND(EDATE($D61,Milestones!$AA$41)&lt;=AsOfDate,IF($R61=0,$X61,IF(AND($T61&lt;&gt;"",EDATE($D61,Milestones!$AA$41)&gt;=$T61),$W61,IF(AND($S61&lt;&gt;"",EDATE($D61,Milestones!$AA$41)&gt;=$S61),$V61,$U61)))=Milestones!$AB$41),UPPER(TEXT(EDATE($D61,Milestones!$AA$41),"dd mmm yy"))&amp;" "&amp;Milestones!$AB$41&amp;" "&amp;Milestones!$AC$41&amp;";  ","")&amp;IF(AND(EDATE($D61,Milestones!$AA$42)&lt;=AsOfDate,IF($R61=0,$X61,IF(AND($T61&lt;&gt;"",EDATE($D61,Milestones!$AA$42)&gt;=$T61),$W61,IF(AND($S61&lt;&gt;"",EDATE($D61,Milestones!$AA$42)&gt;=$S61),$V61,$U61)))=Milestones!$AB$42),UPPER(TEXT(EDATE($D61,Milestones!$AA$42),"dd mmm yy"))&amp;" "&amp;Milestones!$AB$42&amp;" "&amp;Milestones!$AC$42&amp;";  ","")&amp;IF(AND(EDATE($D61,Milestones!$AA$43)&lt;=AsOfDate,IF($R61=0,$X61,IF(AND($T61&lt;&gt;"",EDATE($D61,Milestones!$AA$43)&gt;=$T61),$W61,IF(AND($S61&lt;&gt;"",EDATE($D61,Milestones!$AA$43)&gt;=$S61),$V61,$U61)))=Milestones!$AB$43),UPPER(TEXT(EDATE($D61,Milestones!$AA$43),"dd mmm yy"))&amp;" "&amp;Milestones!$AB$43&amp;" "&amp;Milestones!$AC$43&amp;";  ","")&amp;IF(AND(EDATE($D61,Milestones!$AA$44)&lt;=AsOfDate,IF($R61=0,$X61,IF(AND($T61&lt;&gt;"",EDATE($D61,Milestones!$AA$44)&gt;=$T61),$W61,IF(AND($S61&lt;&gt;"",EDATE($D61,Milestones!$AA$44)&gt;=$S61),$V61,$U61)))=Milestones!$AB$44),UPPER(TEXT(EDATE($D61,Milestones!$AA$44),"dd mmm yy"))&amp;" "&amp;Milestones!$AB$44&amp;" "&amp;Milestones!$AC$44&amp;";  ","")&amp;IF(AND(EDATE($D61,Milestones!$AA$45)&lt;=AsOfDate,IF($R61=0,$X61,IF(AND($T61&lt;&gt;"",EDATE($D61,Milestones!$AA$45)&gt;=$T61),$W61,IF(AND($S61&lt;&gt;"",EDATE($D61,Milestones!$AA$45)&gt;=$S61),$V61,$U61)))=Milestones!$AB$45),UPPER(TEXT(EDATE($D61,Milestones!$AA$45),"dd mmm yy"))&amp;" "&amp;Milestones!$AB$45&amp;" "&amp;Milestones!$AC$45&amp;";  ","")&amp;IF(AND(EDATE($D61,Milestones!$AA$46)&lt;=AsOfDate,IF($R61=0,$X61,IF(AND($T61&lt;&gt;"",EDATE($D61,Milestones!$AA$46)&gt;=$T61),$W61,IF(AND($S61&lt;&gt;"",EDATE($D61,Milestones!$AA$46)&gt;=$S61),$V61,$U61)))=Milestones!$AB$46),UPPER(TEXT(EDATE($D61,Milestones!$AA$46),"dd mmm yy"))&amp;" "&amp;Milestones!$AB$46&amp;" "&amp;Milestones!$AC$46&amp;";  ","")&amp;IF(AND(EDATE($D61,Milestones!$AA$47)&lt;=AsOfDate,IF($R61=0,$X61,IF(AND($T61&lt;&gt;"",EDATE($D61,Milestones!$AA$47)&gt;=$T61),$W61,IF(AND($S61&lt;&gt;"",EDATE($D61,Milestones!$AA$47)&gt;=$S61),$V61,$U61)))=Milestones!$AB$47),UPPER(TEXT(EDATE($D61,Milestones!$AA$47),"dd mmm yy"))&amp;" "&amp;Milestones!$AB$47&amp;" "&amp;Milestones!$AC$47&amp;";  ","")&amp;IF(AND(EDATE($D61,Milestones!$AA$48)&lt;=AsOfDate,IF($R61=0,$X61,IF(AND($T61&lt;&gt;"",EDATE($D61,Milestones!$AA$48)&gt;=$T61),$W61,IF(AND($S61&lt;&gt;"",EDATE($D61,Milestones!$AA$48)&gt;=$S61),$V61,$U61)))=Milestones!$AB$48),UPPER(TEXT(EDATE($D61,Milestones!$AA$48),"dd mmm yy"))&amp;" "&amp;Milestones!$AB$48&amp;" "&amp;Milestones!$AC$48&amp;";  ","")&amp;IF(AND(EDATE($D61,Milestones!$AA$49)&lt;=AsOfDate,IF($R61=0,$X61,IF(AND($T61&lt;&gt;"",EDATE($D61,Milestones!$AA$49)&gt;=$T61),$W61,IF(AND($S61&lt;&gt;"",EDATE($D61,Milestones!$AA$49)&gt;=$S61),$V61,$U61)))=Milestones!$AB$49),UPPER(TEXT(EDATE($D61,Milestones!$AA$49),"dd mmm yy"))&amp;" "&amp;Milestones!$AB$49&amp;" "&amp;Milestones!$AC$49&amp;";  ","")&amp;IF(AND(EDATE($D61,Milestones!$AA$50)&lt;=AsOfDate,IF($R61=0,$X61,IF(AND($T61&lt;&gt;"",EDATE($D61,Milestones!$AA$50)&gt;=$T61),$W61,IF(AND($S61&lt;&gt;"",EDATE($D61,Milestones!$AA$50)&gt;=$S61),$V61,$U61)))=Milestones!$AB$50),UPPER(TEXT(EDATE($D61,Milestones!$AA$50),"dd mmm yy"))&amp;" "&amp;Milestones!$AB$50&amp;" "&amp;Milestones!$AC$50&amp;";  ","")&amp;IF(AND(EDATE($D61,Milestones!$AA$51)&lt;=AsOfDate,IF($R61=0,$X61,IF(AND($T61&lt;&gt;"",EDATE($D61,Milestones!$AA$51)&gt;=$T61),$W61,IF(AND($S61&lt;&gt;"",EDATE($D61,Milestones!$AA$51)&gt;=$S61),$V61,$U61)))=Milestones!$AB$51),UPPER(TEXT(EDATE($D61,Milestones!$AA$51),"dd mmm yy"))&amp;" "&amp;Milestones!$AB$51&amp;" "&amp;Milestones!$AC$51&amp;";  ","")&amp;IF(AND(EDATE($D61,Milestones!$AA$52)&lt;=AsOfDate,IF($R61=0,$X61,IF(AND($T61&lt;&gt;"",EDATE($D61,Milestones!$AA$52)&gt;=$T61),$W61,IF(AND($S61&lt;&gt;"",EDATE($D61,Milestones!$AA$52)&gt;=$S61),$V61,$U61)))=Milestones!$AB$52),UPPER(TEXT(EDATE($D61,Milestones!$AA$52),"dd mmm yy"))&amp;" "&amp;Milestones!$AB$52&amp;" "&amp;Milestones!$AC$52&amp;";  ","")&amp;IF(AND(EDATE($D61,Milestones!$AA$53)&lt;=AsOfDate,IF($R61=0,$X61,IF(AND($T61&lt;&gt;"",EDATE($D61,Milestones!$AA$53)&gt;=$T61),$W61,IF(AND($S61&lt;&gt;"",EDATE($D61,Milestones!$AA$53)&gt;=$S61),$V61,$U61)))=Milestones!$AB$53),UPPER(TEXT(EDATE($D61,Milestones!$AA$53),"dd mmm yy"))&amp;" "&amp;Milestones!$AB$53&amp;" "&amp;Milestones!$AC$53&amp;";  ","")&amp;IF(AND(EDATE($D61,Milestones!$AA$54)&lt;=AsOfDate,IF($R61=0,$X61,IF(AND($T61&lt;&gt;"",EDATE($D61,Milestones!$AA$54)&gt;=$T61),$W61,IF(AND($S61&lt;&gt;"",EDATE($D61,Milestones!$AA$54)&gt;=$S61),$V61,$U61)))=Milestones!$AB$54),UPPER(TEXT(EDATE($D61,Milestones!$AA$54),"dd mmm yy"))&amp;" "&amp;Milestones!$AB$54&amp;" "&amp;Milestones!$AC$54&amp;";  ","")&amp;IF(AND(EDATE($D61,Milestones!$AA$55)&lt;=AsOfDate,IF($R61=0,$X61,IF(AND($T61&lt;&gt;"",EDATE($D61,Milestones!$AA$55)&gt;=$T61),$W61,IF(AND($S61&lt;&gt;"",EDATE($D61,Milestones!$AA$55)&gt;=$S61),$V61,$U61)))=Milestones!$AB$55),UPPER(TEXT(EDATE($D61,Milestones!$AA$55),"dd mmm yy"))&amp;" "&amp;Milestones!$AB$55&amp;" "&amp;Milestones!$AC$55&amp;";  ","")&amp;IF(AND(EDATE($D61,Milestones!$AA$56)&lt;=AsOfDate,IF($R61=0,$X61,IF(AND($T61&lt;&gt;"",EDATE($D61,Milestones!$AA$56)&gt;=$T61),$W61,IF(AND($S61&lt;&gt;"",EDATE($D61,Milestones!$AA$56)&gt;=$S61),$V61,$U61)))=Milestones!$AB$56),UPPER(TEXT(EDATE($D61,Milestones!$AA$56),"dd mmm yy"))&amp;" "&amp;Milestones!$AB$56&amp;" "&amp;Milestones!$AC$56&amp;";  ","")&amp;IF(AND(EDATE($D61,Milestones!$AA$57)&lt;=AsOfDate,IF($R61=0,$X61,IF(AND($T61&lt;&gt;"",EDATE($D61,Milestones!$AA$57)&gt;=$T61),$W61,IF(AND($S61&lt;&gt;"",EDATE($D61,Milestones!$AA$57)&gt;=$S61),$V61,$U61)))=Milestones!$AB$57),UPPER(TEXT(EDATE($D61,Milestones!$AA$57),"dd mmm yy"))&amp;" "&amp;Milestones!$AB$57&amp;" "&amp;Milestones!$AC$57&amp;";  ","")&amp;IF(AND(EDATE($D61,Milestones!$AA$58)&lt;=AsOfDate,IF($R61=0,$X61,IF(AND($T61&lt;&gt;"",EDATE($D61,Milestones!$AA$58)&gt;=$T61),$W61,IF(AND($S61&lt;&gt;"",EDATE($D61,Milestones!$AA$58)&gt;=$S61),$V61,$U61)))=Milestones!$AB$58),UPPER(TEXT(EDATE($D61,Milestones!$AA$58),"dd mmm yy"))&amp;" "&amp;Milestones!$AB$58&amp;" "&amp;Milestones!$AC$58&amp;";  ","")&amp;IF(AND(EDATE($D61,Milestones!$AA$59)&lt;=AsOfDate,IF($R61=0,$X61,IF(AND($T61&lt;&gt;"",EDATE($D61,Milestones!$AA$59)&gt;=$T61),$W61,IF(AND($S61&lt;&gt;"",EDATE($D61,Milestones!$AA$59)&gt;=$S61),$V61,$U61)))=Milestones!$AB$59),UPPER(TEXT(EDATE($D61,Milestones!$AA$59),"dd mmm yy"))&amp;" "&amp;Milestones!$AB$59&amp;" "&amp;Milestones!$AC$59&amp;";  ",""))</f>
        <v/>
      </c>
      <c r="K61" s="0" t="str">
        <f aca="false">IF(OR($A61="",$D61=""),"",IF(AND(EDATE($D61,Milestones!$AA$60)&lt;=AsOfDate,IF($R61=0,$X61,IF(AND($T61&lt;&gt;"",EDATE($D61,Milestones!$AA$60)&gt;=$T61),$W61,IF(AND($S61&lt;&gt;"",EDATE($D61,Milestones!$AA$60)&gt;=$S61),$V61,$U61)))=Milestones!$AB$60),UPPER(TEXT(EDATE($D61,Milestones!$AA$60),"dd mmm yy"))&amp;" "&amp;Milestones!$AB$60&amp;" "&amp;Milestones!$AC$60&amp;";  ","")&amp;IF(AND(EDATE($D61,Milestones!$AA$61)&lt;=AsOfDate,IF($R61=0,$X61,IF(AND($T61&lt;&gt;"",EDATE($D61,Milestones!$AA$61)&gt;=$T61),$W61,IF(AND($S61&lt;&gt;"",EDATE($D61,Milestones!$AA$61)&gt;=$S61),$V61,$U61)))=Milestones!$AB$61),UPPER(TEXT(EDATE($D61,Milestones!$AA$61),"dd mmm yy"))&amp;" "&amp;Milestones!$AB$61&amp;" "&amp;Milestones!$AC$61&amp;";  ","")&amp;IF(AND(EDATE($D61,Milestones!$AA$62)&lt;=AsOfDate,IF($R61=0,$X61,IF(AND($T61&lt;&gt;"",EDATE($D61,Milestones!$AA$62)&gt;=$T61),$W61,IF(AND($S61&lt;&gt;"",EDATE($D61,Milestones!$AA$62)&gt;=$S61),$V61,$U61)))=Milestones!$AB$62),UPPER(TEXT(EDATE($D61,Milestones!$AA$62),"dd mmm yy"))&amp;" "&amp;Milestones!$AB$62&amp;" "&amp;Milestones!$AC$62&amp;";  ","")&amp;IF(AND(EDATE($D61,Milestones!$AA$63)&lt;=AsOfDate,IF($R61=0,$X61,IF(AND($T61&lt;&gt;"",EDATE($D61,Milestones!$AA$63)&gt;=$T61),$W61,IF(AND($S61&lt;&gt;"",EDATE($D61,Milestones!$AA$63)&gt;=$S61),$V61,$U61)))=Milestones!$AB$63),UPPER(TEXT(EDATE($D61,Milestones!$AA$63),"dd mmm yy"))&amp;" "&amp;Milestones!$AB$63&amp;" "&amp;Milestones!$AC$63&amp;";  ","")&amp;IF(AND(EDATE($D61,Milestones!$AA$64)&lt;=AsOfDate,IF($R61=0,$X61,IF(AND($T61&lt;&gt;"",EDATE($D61,Milestones!$AA$64)&gt;=$T61),$W61,IF(AND($S61&lt;&gt;"",EDATE($D61,Milestones!$AA$64)&gt;=$S61),$V61,$U61)))=Milestones!$AB$64),UPPER(TEXT(EDATE($D61,Milestones!$AA$64),"dd mmm yy"))&amp;" "&amp;Milestones!$AB$64&amp;" "&amp;Milestones!$AC$64&amp;";  ","")&amp;IF(AND(EDATE($D61,Milestones!$AA$65)&lt;=AsOfDate,IF($R61=0,$X61,IF(AND($T61&lt;&gt;"",EDATE($D61,Milestones!$AA$65)&gt;=$T61),$W61,IF(AND($S61&lt;&gt;"",EDATE($D61,Milestones!$AA$65)&gt;=$S61),$V61,$U61)))=Milestones!$AB$65),UPPER(TEXT(EDATE($D61,Milestones!$AA$65),"dd mmm yy"))&amp;" "&amp;Milestones!$AB$65&amp;" "&amp;Milestones!$AC$65&amp;";  ","")&amp;IF(AND(EDATE($D61,Milestones!$AA$66)&lt;=AsOfDate,IF($R61=0,$X61,IF(AND($T61&lt;&gt;"",EDATE($D61,Milestones!$AA$66)&gt;=$T61),$W61,IF(AND($S61&lt;&gt;"",EDATE($D61,Milestones!$AA$66)&gt;=$S61),$V61,$U61)))=Milestones!$AB$66),UPPER(TEXT(EDATE($D61,Milestones!$AA$66),"dd mmm yy"))&amp;" "&amp;Milestones!$AB$66&amp;" "&amp;Milestones!$AC$66&amp;";  ","")&amp;IF(AND(EDATE($D61,Milestones!$AA$67)&lt;=AsOfDate,IF($R61=0,$X61,IF(AND($T61&lt;&gt;"",EDATE($D61,Milestones!$AA$67)&gt;=$T61),$W61,IF(AND($S61&lt;&gt;"",EDATE($D61,Milestones!$AA$67)&gt;=$S61),$V61,$U61)))=Milestones!$AB$67),UPPER(TEXT(EDATE($D61,Milestones!$AA$67),"dd mmm yy"))&amp;" "&amp;Milestones!$AB$67&amp;" "&amp;Milestones!$AC$67&amp;";  ","")&amp;IF(AND(EDATE($D61,Milestones!$AA$68)&lt;=AsOfDate,IF($R61=0,$X61,IF(AND($T61&lt;&gt;"",EDATE($D61,Milestones!$AA$68)&gt;=$T61),$W61,IF(AND($S61&lt;&gt;"",EDATE($D61,Milestones!$AA$68)&gt;=$S61),$V61,$U61)))=Milestones!$AB$68),UPPER(TEXT(EDATE($D61,Milestones!$AA$68),"dd mmm yy"))&amp;" "&amp;Milestones!$AB$68&amp;" "&amp;Milestones!$AC$68&amp;";  ","")&amp;IF(AND(EDATE($D61,Milestones!$AA$69)&lt;=AsOfDate,IF($R61=0,$X61,IF(AND($T61&lt;&gt;"",EDATE($D61,Milestones!$AA$69)&gt;=$T61),$W61,IF(AND($S61&lt;&gt;"",EDATE($D61,Milestones!$AA$69)&gt;=$S61),$V61,$U61)))=Milestones!$AB$69),UPPER(TEXT(EDATE($D61,Milestones!$AA$69),"dd mmm yy"))&amp;" "&amp;Milestones!$AB$69&amp;" "&amp;Milestones!$AC$69&amp;";  ","")&amp;IF(AND(EDATE($D61,Milestones!$AA$70)&lt;=AsOfDate,IF($R61=0,$X61,IF(AND($T61&lt;&gt;"",EDATE($D61,Milestones!$AA$70)&gt;=$T61),$W61,IF(AND($S61&lt;&gt;"",EDATE($D61,Milestones!$AA$70)&gt;=$S61),$V61,$U61)))=Milestones!$AB$70),UPPER(TEXT(EDATE($D61,Milestones!$AA$70),"dd mmm yy"))&amp;" "&amp;Milestones!$AB$70&amp;" "&amp;Milestones!$AC$70&amp;";  ","")&amp;IF(AND(EDATE($D61,Milestones!$AA$71)&lt;=AsOfDate,IF($R61=0,$X61,IF(AND($T61&lt;&gt;"",EDATE($D61,Milestones!$AA$71)&gt;=$T61),$W61,IF(AND($S61&lt;&gt;"",EDATE($D61,Milestones!$AA$71)&gt;=$S61),$V61,$U61)))=Milestones!$AB$71),UPPER(TEXT(EDATE($D61,Milestones!$AA$71),"dd mmm yy"))&amp;" "&amp;Milestones!$AB$71&amp;" "&amp;Milestones!$AC$71&amp;";  ","")&amp;IF(AND(EDATE($D61,Milestones!$AA$72)&lt;=AsOfDate,IF($R61=0,$X61,IF(AND($T61&lt;&gt;"",EDATE($D61,Milestones!$AA$72)&gt;=$T61),$W61,IF(AND($S61&lt;&gt;"",EDATE($D61,Milestones!$AA$72)&gt;=$S61),$V61,$U61)))=Milestones!$AB$72),UPPER(TEXT(EDATE($D61,Milestones!$AA$72),"dd mmm yy"))&amp;" "&amp;Milestones!$AB$72&amp;" "&amp;Milestones!$AC$72&amp;";  ","")&amp;IF(AND(EDATE($D61,Milestones!$AA$73)&lt;=AsOfDate,IF($R61=0,$X61,IF(AND($T61&lt;&gt;"",EDATE($D61,Milestones!$AA$73)&gt;=$T61),$W61,IF(AND($S61&lt;&gt;"",EDATE($D61,Milestones!$AA$73)&gt;=$S61),$V61,$U61)))=Milestones!$AB$73),UPPER(TEXT(EDATE($D61,Milestones!$AA$73),"dd mmm yy"))&amp;" "&amp;Milestones!$AB$73&amp;" "&amp;Milestones!$AC$73&amp;";  ","")&amp;IF(AND(EDATE($D61,Milestones!$AA$74)&lt;=AsOfDate,IF($R61=0,$X61,IF(AND($T61&lt;&gt;"",EDATE($D61,Milestones!$AA$74)&gt;=$T61),$W61,IF(AND($S61&lt;&gt;"",EDATE($D61,Milestones!$AA$74)&gt;=$S61),$V61,$U61)))=Milestones!$AB$74),UPPER(TEXT(EDATE($D61,Milestones!$AA$74),"dd mmm yy"))&amp;" "&amp;Milestones!$AB$74&amp;" "&amp;Milestones!$AC$74&amp;";  ","")&amp;IF(AND(EDATE($D61,Milestones!$AA$75)&lt;=AsOfDate,IF($R61=0,$X61,IF(AND($T61&lt;&gt;"",EDATE($D61,Milestones!$AA$75)&gt;=$T61),$W61,IF(AND($S61&lt;&gt;"",EDATE($D61,Milestones!$AA$75)&gt;=$S61),$V61,$U61)))=Milestones!$AB$75),UPPER(TEXT(EDATE($D61,Milestones!$AA$75),"dd mmm yy"))&amp;" "&amp;Milestones!$AB$75&amp;" "&amp;Milestones!$AC$75&amp;";  ","")&amp;IF(AND(EDATE($D61,Milestones!$AA$76)&lt;=AsOfDate,IF($R61=0,$X61,IF(AND($T61&lt;&gt;"",EDATE($D61,Milestones!$AA$76)&gt;=$T61),$W61,IF(AND($S61&lt;&gt;"",EDATE($D61,Milestones!$AA$76)&gt;=$S61),$V61,$U61)))=Milestones!$AB$76),UPPER(TEXT(EDATE($D61,Milestones!$AA$76),"dd mmm yy"))&amp;" "&amp;Milestones!$AB$76&amp;" "&amp;Milestones!$AC$76&amp;";  ","")&amp;IF(AND(EDATE($D61,Milestones!$AA$77)&lt;=AsOfDate,IF($R61=0,$X61,IF(AND($T61&lt;&gt;"",EDATE($D61,Milestones!$AA$77)&gt;=$T61),$W61,IF(AND($S61&lt;&gt;"",EDATE($D61,Milestones!$AA$77)&gt;=$S61),$V61,$U61)))=Milestones!$AB$77),UPPER(TEXT(EDATE($D61,Milestones!$AA$77),"dd mmm yy"))&amp;" "&amp;Milestones!$AB$77&amp;" "&amp;Milestones!$AC$77&amp;";  ","")&amp;IF(AND(EDATE($D61,Milestones!$AA$78)&lt;=AsOfDate,IF($R61=0,$X61,IF(AND($T61&lt;&gt;"",EDATE($D61,Milestones!$AA$78)&gt;=$T61),$W61,IF(AND($S61&lt;&gt;"",EDATE($D61,Milestones!$AA$78)&gt;=$S61),$V61,$U61)))=Milestones!$AB$78),UPPER(TEXT(EDATE($D61,Milestones!$AA$78),"dd mmm yy"))&amp;" "&amp;Milestones!$AB$78&amp;" "&amp;Milestones!$AC$78&amp;";  ","")&amp;IF(AND(EDATE($D61,Milestones!$AA$79)&lt;=AsOfDate,IF($R61=0,$X61,IF(AND($T61&lt;&gt;"",EDATE($D61,Milestones!$AA$79)&gt;=$T61),$W61,IF(AND($S61&lt;&gt;"",EDATE($D61,Milestones!$AA$79)&gt;=$S61),$V61,$U61)))=Milestones!$AB$79),UPPER(TEXT(EDATE($D61,Milestones!$AA$79),"dd mmm yy"))&amp;" "&amp;Milestones!$AB$79&amp;" "&amp;Milestones!$AC$79&amp;";  ",""))</f>
        <v/>
      </c>
      <c r="L61" s="0" t="str">
        <f aca="false">IF(OR($A61="",$D61=""),"",IF(AND(EDATE($D61,Milestones!$AA$80)&lt;=AsOfDate,IF($R61=0,$X61,IF(AND($T61&lt;&gt;"",EDATE($D61,Milestones!$AA$80)&gt;=$T61),$W61,IF(AND($S61&lt;&gt;"",EDATE($D61,Milestones!$AA$80)&gt;=$S61),$V61,$U61)))=Milestones!$AB$80),UPPER(TEXT(EDATE($D61,Milestones!$AA$80),"dd mmm yy"))&amp;" "&amp;Milestones!$AB$80&amp;" "&amp;Milestones!$AC$80&amp;";  ","")&amp;IF(AND(EDATE($D61,Milestones!$AA$81)&lt;=AsOfDate,IF($R61=0,$X61,IF(AND($T61&lt;&gt;"",EDATE($D61,Milestones!$AA$81)&gt;=$T61),$W61,IF(AND($S61&lt;&gt;"",EDATE($D61,Milestones!$AA$81)&gt;=$S61),$V61,$U61)))=Milestones!$AB$81),UPPER(TEXT(EDATE($D61,Milestones!$AA$81),"dd mmm yy"))&amp;" "&amp;Milestones!$AB$81&amp;" "&amp;Milestones!$AC$81&amp;";  ","")&amp;IF(AND(EDATE($D61,Milestones!$AA$82)&lt;=AsOfDate,IF($R61=0,$X61,IF(AND($T61&lt;&gt;"",EDATE($D61,Milestones!$AA$82)&gt;=$T61),$W61,IF(AND($S61&lt;&gt;"",EDATE($D61,Milestones!$AA$82)&gt;=$S61),$V61,$U61)))=Milestones!$AB$82),UPPER(TEXT(EDATE($D61,Milestones!$AA$82),"dd mmm yy"))&amp;" "&amp;Milestones!$AB$82&amp;" "&amp;Milestones!$AC$82&amp;";  ","")&amp;IF(AND(EDATE($D61,Milestones!$AA$83)&lt;=AsOfDate,IF($R61=0,$X61,IF(AND($T61&lt;&gt;"",EDATE($D61,Milestones!$AA$83)&gt;=$T61),$W61,IF(AND($S61&lt;&gt;"",EDATE($D61,Milestones!$AA$83)&gt;=$S61),$V61,$U61)))=Milestones!$AB$83),UPPER(TEXT(EDATE($D61,Milestones!$AA$83),"dd mmm yy"))&amp;" "&amp;Milestones!$AB$83&amp;" "&amp;Milestones!$AC$83&amp;";  ","")&amp;IF(AND(EDATE($D61,Milestones!$AA$84)&lt;=AsOfDate,IF($R61=0,$X61,IF(AND($T61&lt;&gt;"",EDATE($D61,Milestones!$AA$84)&gt;=$T61),$W61,IF(AND($S61&lt;&gt;"",EDATE($D61,Milestones!$AA$84)&gt;=$S61),$V61,$U61)))=Milestones!$AB$84),UPPER(TEXT(EDATE($D61,Milestones!$AA$84),"dd mmm yy"))&amp;" "&amp;Milestones!$AB$84&amp;" "&amp;Milestones!$AC$84&amp;";  ","")&amp;IF(AND(EDATE($D61,Milestones!$AA$85)&lt;=AsOfDate,IF($R61=0,$X61,IF(AND($T61&lt;&gt;"",EDATE($D61,Milestones!$AA$85)&gt;=$T61),$W61,IF(AND($S61&lt;&gt;"",EDATE($D61,Milestones!$AA$85)&gt;=$S61),$V61,$U61)))=Milestones!$AB$85),UPPER(TEXT(EDATE($D61,Milestones!$AA$85),"dd mmm yy"))&amp;" "&amp;Milestones!$AB$85&amp;" "&amp;Milestones!$AC$85&amp;";  ","")&amp;IF(AND(EDATE($D61,Milestones!$AA$86)&lt;=AsOfDate,IF($R61=0,$X61,IF(AND($T61&lt;&gt;"",EDATE($D61,Milestones!$AA$86)&gt;=$T61),$W61,IF(AND($S61&lt;&gt;"",EDATE($D61,Milestones!$AA$86)&gt;=$S61),$V61,$U61)))=Milestones!$AB$86),UPPER(TEXT(EDATE($D61,Milestones!$AA$86),"dd mmm yy"))&amp;" "&amp;Milestones!$AB$86&amp;" "&amp;Milestones!$AC$86&amp;";  ","")&amp;IF(AND(EDATE($D61,Milestones!$AA$87)&lt;=AsOfDate,IF($R61=0,$X61,IF(AND($T61&lt;&gt;"",EDATE($D61,Milestones!$AA$87)&gt;=$T61),$W61,IF(AND($S61&lt;&gt;"",EDATE($D61,Milestones!$AA$87)&gt;=$S61),$V61,$U61)))=Milestones!$AB$87),UPPER(TEXT(EDATE($D61,Milestones!$AA$87),"dd mmm yy"))&amp;" "&amp;Milestones!$AB$87&amp;" "&amp;Milestones!$AC$87&amp;";  ","")&amp;IF(AND(EDATE($D61,Milestones!$AA$88)&lt;=AsOfDate,IF($R61=0,$X61,IF(AND($T61&lt;&gt;"",EDATE($D61,Milestones!$AA$88)&gt;=$T61),$W61,IF(AND($S61&lt;&gt;"",EDATE($D61,Milestones!$AA$88)&gt;=$S61),$V61,$U61)))=Milestones!$AB$88),UPPER(TEXT(EDATE($D61,Milestones!$AA$88),"dd mmm yy"))&amp;" "&amp;Milestones!$AB$88&amp;" "&amp;Milestones!$AC$88&amp;";  ","")&amp;IF(AND(EDATE($D61,Milestones!$AA$89)&lt;=AsOfDate,IF($R61=0,$X61,IF(AND($T61&lt;&gt;"",EDATE($D61,Milestones!$AA$89)&gt;=$T61),$W61,IF(AND($S61&lt;&gt;"",EDATE($D61,Milestones!$AA$89)&gt;=$S61),$V61,$U61)))=Milestones!$AB$89),UPPER(TEXT(EDATE($D61,Milestones!$AA$89),"dd mmm yy"))&amp;" "&amp;Milestones!$AB$89&amp;" "&amp;Milestones!$AC$89&amp;";  ","")&amp;IF(AND(EDATE($D61,Milestones!$AA$90)&lt;=AsOfDate,IF($R61=0,$X61,IF(AND($T61&lt;&gt;"",EDATE($D61,Milestones!$AA$90)&gt;=$T61),$W61,IF(AND($S61&lt;&gt;"",EDATE($D61,Milestones!$AA$90)&gt;=$S61),$V61,$U61)))=Milestones!$AB$90),UPPER(TEXT(EDATE($D61,Milestones!$AA$90),"dd mmm yy"))&amp;" "&amp;Milestones!$AB$90&amp;" "&amp;Milestones!$AC$90&amp;";  ","")&amp;IF(AND(EDATE($D61,Milestones!$AA$91)&lt;=AsOfDate,IF($R61=0,$X61,IF(AND($T61&lt;&gt;"",EDATE($D61,Milestones!$AA$91)&gt;=$T61),$W61,IF(AND($S61&lt;&gt;"",EDATE($D61,Milestones!$AA$91)&gt;=$S61),$V61,$U61)))=Milestones!$AB$91),UPPER(TEXT(EDATE($D61,Milestones!$AA$91),"dd mmm yy"))&amp;" "&amp;Milestones!$AB$91&amp;" "&amp;Milestones!$AC$91&amp;";  ","")&amp;IF(AND(EDATE($D61,Milestones!$AA$92)&lt;=AsOfDate,IF($R61=0,$X61,IF(AND($T61&lt;&gt;"",EDATE($D61,Milestones!$AA$92)&gt;=$T61),$W61,IF(AND($S61&lt;&gt;"",EDATE($D61,Milestones!$AA$92)&gt;=$S61),$V61,$U61)))=Milestones!$AB$92),UPPER(TEXT(EDATE($D61,Milestones!$AA$92),"dd mmm yy"))&amp;" "&amp;Milestones!$AB$92&amp;" "&amp;Milestones!$AC$92&amp;";  ","")&amp;IF(AND(EDATE($D61,Milestones!$AA$93)&lt;=AsOfDate,IF($R61=0,$X61,IF(AND($T61&lt;&gt;"",EDATE($D61,Milestones!$AA$93)&gt;=$T61),$W61,IF(AND($S61&lt;&gt;"",EDATE($D61,Milestones!$AA$93)&gt;=$S61),$V61,$U61)))=Milestones!$AB$93),UPPER(TEXT(EDATE($D61,Milestones!$AA$93),"dd mmm yy"))&amp;" "&amp;Milestones!$AB$93&amp;" "&amp;Milestones!$AC$93&amp;";  ","")&amp;IF(AND(EDATE($D61,Milestones!$AA$94)&lt;=AsOfDate,IF($R61=0,$X61,IF(AND($T61&lt;&gt;"",EDATE($D61,Milestones!$AA$94)&gt;=$T61),$W61,IF(AND($S61&lt;&gt;"",EDATE($D61,Milestones!$AA$94)&gt;=$S61),$V61,$U61)))=Milestones!$AB$94),UPPER(TEXT(EDATE($D61,Milestones!$AA$94),"dd mmm yy"))&amp;" "&amp;Milestones!$AB$94&amp;" "&amp;Milestones!$AC$94&amp;";  ","")&amp;IF(AND(EDATE($D61,Milestones!$AA$95)&lt;=AsOfDate,IF($R61=0,$X61,IF(AND($T61&lt;&gt;"",EDATE($D61,Milestones!$AA$95)&gt;=$T61),$W61,IF(AND($S61&lt;&gt;"",EDATE($D61,Milestones!$AA$95)&gt;=$S61),$V61,$U61)))=Milestones!$AB$95),UPPER(TEXT(EDATE($D61,Milestones!$AA$95),"dd mmm yy"))&amp;" "&amp;Milestones!$AB$95&amp;" "&amp;Milestones!$AC$95&amp;";  ","")&amp;IF(AND(EDATE($D61,Milestones!$AA$96)&lt;=AsOfDate,IF($R61=0,$X61,IF(AND($T61&lt;&gt;"",EDATE($D61,Milestones!$AA$96)&gt;=$T61),$W61,IF(AND($S61&lt;&gt;"",EDATE($D61,Milestones!$AA$96)&gt;=$S61),$V61,$U61)))=Milestones!$AB$96),UPPER(TEXT(EDATE($D61,Milestones!$AA$96),"dd mmm yy"))&amp;" "&amp;Milestones!$AB$96&amp;" "&amp;Milestones!$AC$96&amp;";  ","")&amp;IF(AND(EDATE($D61,Milestones!$AA$97)&lt;=AsOfDate,IF($R61=0,$X61,IF(AND($T61&lt;&gt;"",EDATE($D61,Milestones!$AA$97)&gt;=$T61),$W61,IF(AND($S61&lt;&gt;"",EDATE($D61,Milestones!$AA$97)&gt;=$S61),$V61,$U61)))=Milestones!$AB$97),UPPER(TEXT(EDATE($D61,Milestones!$AA$97),"dd mmm yy"))&amp;" "&amp;Milestones!$AB$97&amp;" "&amp;Milestones!$AC$97&amp;";  ","")&amp;IF(AND(EDATE($D61,Milestones!$AA$98)&lt;=AsOfDate,IF($R61=0,$X61,IF(AND($T61&lt;&gt;"",EDATE($D61,Milestones!$AA$98)&gt;=$T61),$W61,IF(AND($S61&lt;&gt;"",EDATE($D61,Milestones!$AA$98)&gt;=$S61),$V61,$U61)))=Milestones!$AB$98),UPPER(TEXT(EDATE($D61,Milestones!$AA$98),"dd mmm yy"))&amp;" "&amp;Milestones!$AB$98&amp;" "&amp;Milestones!$AC$98&amp;";  ","")&amp;IF(AND(EDATE($D61,Milestones!$AA$99)&lt;=AsOfDate,IF($R61=0,$X61,IF(AND($T61&lt;&gt;"",EDATE($D61,Milestones!$AA$99)&gt;=$T61),$W61,IF(AND($S61&lt;&gt;"",EDATE($D61,Milestones!$AA$99)&gt;=$S61),$V61,$U61)))=Milestones!$AB$99),UPPER(TEXT(EDATE($D61,Milestones!$AA$99),"dd mmm yy"))&amp;" "&amp;Milestones!$AB$99&amp;" "&amp;Milestones!$AC$99&amp;";  ",""))</f>
        <v/>
      </c>
      <c r="M61" s="0" t="str">
        <f aca="false">IF(OR($A61="",$D61=""),"",IF(AND(EDATE($D61,Milestones!$AA$100)&lt;=AsOfDate,IF($R61=0,$X61,IF(AND($T61&lt;&gt;"",EDATE($D61,Milestones!$AA$100)&gt;=$T61),$W61,IF(AND($S61&lt;&gt;"",EDATE($D61,Milestones!$AA$100)&gt;=$S61),$V61,$U61)))=Milestones!$AB$100),UPPER(TEXT(EDATE($D61,Milestones!$AA$100),"dd mmm yy"))&amp;" "&amp;Milestones!$AB$100&amp;" "&amp;Milestones!$AC$100&amp;";  ","")&amp;IF(AND(EDATE($D61,Milestones!$AA$101)&lt;=AsOfDate,IF($R61=0,$X61,IF(AND($T61&lt;&gt;"",EDATE($D61,Milestones!$AA$101)&gt;=$T61),$W61,IF(AND($S61&lt;&gt;"",EDATE($D61,Milestones!$AA$101)&gt;=$S61),$V61,$U61)))=Milestones!$AB$101),UPPER(TEXT(EDATE($D61,Milestones!$AA$101),"dd mmm yy"))&amp;" "&amp;Milestones!$AB$101&amp;" "&amp;Milestones!$AC$101&amp;";  ","")&amp;IF(AND(EDATE($D61,Milestones!$AA$102)&lt;=AsOfDate,IF($R61=0,$X61,IF(AND($T61&lt;&gt;"",EDATE($D61,Milestones!$AA$102)&gt;=$T61),$W61,IF(AND($S61&lt;&gt;"",EDATE($D61,Milestones!$AA$102)&gt;=$S61),$V61,$U61)))=Milestones!$AB$102),UPPER(TEXT(EDATE($D61,Milestones!$AA$102),"dd mmm yy"))&amp;" "&amp;Milestones!$AB$102&amp;" "&amp;Milestones!$AC$102&amp;";  ","")&amp;IF(AND(EDATE($D61,Milestones!$AA$103)&lt;=AsOfDate,IF($R61=0,$X61,IF(AND($T61&lt;&gt;"",EDATE($D61,Milestones!$AA$103)&gt;=$T61),$W61,IF(AND($S61&lt;&gt;"",EDATE($D61,Milestones!$AA$103)&gt;=$S61),$V61,$U61)))=Milestones!$AB$103),UPPER(TEXT(EDATE($D61,Milestones!$AA$103),"dd mmm yy"))&amp;" "&amp;Milestones!$AB$103&amp;" "&amp;Milestones!$AC$103&amp;";  ","")&amp;IF(AND(EDATE($D61,Milestones!$AA$104)&lt;=AsOfDate,IF($R61=0,$X61,IF(AND($T61&lt;&gt;"",EDATE($D61,Milestones!$AA$104)&gt;=$T61),$W61,IF(AND($S61&lt;&gt;"",EDATE($D61,Milestones!$AA$104)&gt;=$S61),$V61,$U61)))=Milestones!$AB$104),UPPER(TEXT(EDATE($D61,Milestones!$AA$104),"dd mmm yy"))&amp;" "&amp;Milestones!$AB$104&amp;" "&amp;Milestones!$AC$104&amp;";  ","")&amp;IF(AND(EDATE($D61,Milestones!$AA$105)&lt;=AsOfDate,IF($R61=0,$X61,IF(AND($T61&lt;&gt;"",EDATE($D61,Milestones!$AA$105)&gt;=$T61),$W61,IF(AND($S61&lt;&gt;"",EDATE($D61,Milestones!$AA$105)&gt;=$S61),$V61,$U61)))=Milestones!$AB$105),UPPER(TEXT(EDATE($D61,Milestones!$AA$105),"dd mmm yy"))&amp;" "&amp;Milestones!$AB$105&amp;" "&amp;Milestones!$AC$105&amp;";  ","")&amp;IF(AND(EDATE($D61,Milestones!$AA$106)&lt;=AsOfDate,IF($R61=0,$X61,IF(AND($T61&lt;&gt;"",EDATE($D61,Milestones!$AA$106)&gt;=$T61),$W61,IF(AND($S61&lt;&gt;"",EDATE($D61,Milestones!$AA$106)&gt;=$S61),$V61,$U61)))=Milestones!$AB$106),UPPER(TEXT(EDATE($D61,Milestones!$AA$106),"dd mmm yy"))&amp;" "&amp;Milestones!$AB$106&amp;" "&amp;Milestones!$AC$106&amp;";  ","")&amp;IF(AND(EDATE($D61,Milestones!$AA$107)&lt;=AsOfDate,IF($R61=0,$X61,IF(AND($T61&lt;&gt;"",EDATE($D61,Milestones!$AA$107)&gt;=$T61),$W61,IF(AND($S61&lt;&gt;"",EDATE($D61,Milestones!$AA$107)&gt;=$S61),$V61,$U61)))=Milestones!$AB$107),UPPER(TEXT(EDATE($D61,Milestones!$AA$107),"dd mmm yy"))&amp;" "&amp;Milestones!$AB$107&amp;" "&amp;Milestones!$AC$107&amp;";  ","")&amp;IF(AND(EDATE($D61,Milestones!$AA$108)&lt;=AsOfDate,IF($R61=0,$X61,IF(AND($T61&lt;&gt;"",EDATE($D61,Milestones!$AA$108)&gt;=$T61),$W61,IF(AND($S61&lt;&gt;"",EDATE($D61,Milestones!$AA$108)&gt;=$S61),$V61,$U61)))=Milestones!$AB$108),UPPER(TEXT(EDATE($D61,Milestones!$AA$108),"dd mmm yy"))&amp;" "&amp;Milestones!$AB$108&amp;" "&amp;Milestones!$AC$108&amp;";  ","")&amp;IF(AND(EDATE($D61,Milestones!$AA$109)&lt;=AsOfDate,IF($R61=0,$X61,IF(AND($T61&lt;&gt;"",EDATE($D61,Milestones!$AA$109)&gt;=$T61),$W61,IF(AND($S61&lt;&gt;"",EDATE($D61,Milestones!$AA$109)&gt;=$S61),$V61,$U61)))=Milestones!$AB$109),UPPER(TEXT(EDATE($D61,Milestones!$AA$109),"dd mmm yy"))&amp;" "&amp;Milestones!$AB$109&amp;" "&amp;Milestones!$AC$109&amp;";  ","")&amp;IF(AND(EDATE($D61,Milestones!$AA$110)&lt;=AsOfDate,IF($R61=0,$X61,IF(AND($T61&lt;&gt;"",EDATE($D61,Milestones!$AA$110)&gt;=$T61),$W61,IF(AND($S61&lt;&gt;"",EDATE($D61,Milestones!$AA$110)&gt;=$S61),$V61,$U61)))=Milestones!$AB$110),UPPER(TEXT(EDATE($D61,Milestones!$AA$110),"dd mmm yy"))&amp;" "&amp;Milestones!$AB$110&amp;" "&amp;Milestones!$AC$110&amp;";  ","")&amp;IF(AND(EDATE($D61,Milestones!$AA$111)&lt;=AsOfDate,IF($R61=0,$X61,IF(AND($T61&lt;&gt;"",EDATE($D61,Milestones!$AA$111)&gt;=$T61),$W61,IF(AND($S61&lt;&gt;"",EDATE($D61,Milestones!$AA$111)&gt;=$S61),$V61,$U61)))=Milestones!$AB$111),UPPER(TEXT(EDATE($D61,Milestones!$AA$111),"dd mmm yy"))&amp;" "&amp;Milestones!$AB$111&amp;" "&amp;Milestones!$AC$111&amp;";  ","")&amp;IF(AND(EDATE($D61,Milestones!$AA$112)&lt;=AsOfDate,IF($R61=0,$X61,IF(AND($T61&lt;&gt;"",EDATE($D61,Milestones!$AA$112)&gt;=$T61),$W61,IF(AND($S61&lt;&gt;"",EDATE($D61,Milestones!$AA$112)&gt;=$S61),$V61,$U61)))=Milestones!$AB$112),UPPER(TEXT(EDATE($D61,Milestones!$AA$112),"dd mmm yy"))&amp;" "&amp;Milestones!$AB$112&amp;" "&amp;Milestones!$AC$112&amp;";  ","")&amp;IF(AND(EDATE($D61,Milestones!$AA$113)&lt;=AsOfDate,IF($R61=0,$X61,IF(AND($T61&lt;&gt;"",EDATE($D61,Milestones!$AA$113)&gt;=$T61),$W61,IF(AND($S61&lt;&gt;"",EDATE($D61,Milestones!$AA$113)&gt;=$S61),$V61,$U61)))=Milestones!$AB$113),UPPER(TEXT(EDATE($D61,Milestones!$AA$113),"dd mmm yy"))&amp;" "&amp;Milestones!$AB$113&amp;" "&amp;Milestones!$AC$113&amp;";  ","")&amp;IF(AND(EDATE($D61,Milestones!$AA$114)&lt;=AsOfDate,IF($R61=0,$X61,IF(AND($T61&lt;&gt;"",EDATE($D61,Milestones!$AA$114)&gt;=$T61),$W61,IF(AND($S61&lt;&gt;"",EDATE($D61,Milestones!$AA$114)&gt;=$S61),$V61,$U61)))=Milestones!$AB$114),UPPER(TEXT(EDATE($D61,Milestones!$AA$114),"dd mmm yy"))&amp;" "&amp;Milestones!$AB$114&amp;" "&amp;Milestones!$AC$114&amp;";  ","")&amp;IF(AND(EDATE($D61,Milestones!$AA$115)&lt;=AsOfDate,IF($R61=0,$X61,IF(AND($T61&lt;&gt;"",EDATE($D61,Milestones!$AA$115)&gt;=$T61),$W61,IF(AND($S61&lt;&gt;"",EDATE($D61,Milestones!$AA$115)&gt;=$S61),$V61,$U61)))=Milestones!$AB$115),UPPER(TEXT(EDATE($D61,Milestones!$AA$115),"dd mmm yy"))&amp;" "&amp;Milestones!$AB$115&amp;" "&amp;Milestones!$AC$115&amp;";  ","")&amp;IF(AND(EDATE($D61,Milestones!$AA$116)&lt;=AsOfDate,IF($R61=0,$X61,IF(AND($T61&lt;&gt;"",EDATE($D61,Milestones!$AA$116)&gt;=$T61),$W61,IF(AND($S61&lt;&gt;"",EDATE($D61,Milestones!$AA$116)&gt;=$S61),$V61,$U61)))=Milestones!$AB$116),UPPER(TEXT(EDATE($D61,Milestones!$AA$116),"dd mmm yy"))&amp;" "&amp;Milestones!$AB$116&amp;" "&amp;Milestones!$AC$116&amp;";  ","")&amp;IF(AND(EDATE($D61,Milestones!$AA$117)&lt;=AsOfDate,IF($R61=0,$X61,IF(AND($T61&lt;&gt;"",EDATE($D61,Milestones!$AA$117)&gt;=$T61),$W61,IF(AND($S61&lt;&gt;"",EDATE($D61,Milestones!$AA$117)&gt;=$S61),$V61,$U61)))=Milestones!$AB$117),UPPER(TEXT(EDATE($D61,Milestones!$AA$117),"dd mmm yy"))&amp;" "&amp;Milestones!$AB$117&amp;" "&amp;Milestones!$AC$117&amp;";  ","")&amp;IF(AND(EDATE($D61,Milestones!$AA$118)&lt;=AsOfDate,IF($R61=0,$X61,IF(AND($T61&lt;&gt;"",EDATE($D61,Milestones!$AA$118)&gt;=$T61),$W61,IF(AND($S61&lt;&gt;"",EDATE($D61,Milestones!$AA$118)&gt;=$S61),$V61,$U61)))=Milestones!$AB$118),UPPER(TEXT(EDATE($D61,Milestones!$AA$118),"dd mmm yy"))&amp;" "&amp;Milestones!$AB$118&amp;" "&amp;Milestones!$AC$118&amp;";  ","")&amp;IF(AND(EDATE($D61,Milestones!$AA$119)&lt;=AsOfDate,IF($R61=0,$X61,IF(AND($T61&lt;&gt;"",EDATE($D61,Milestones!$AA$119)&gt;=$T61),$W61,IF(AND($S61&lt;&gt;"",EDATE($D61,Milestones!$AA$119)&gt;=$S61),$V61,$U61)))=Milestones!$AB$119),UPPER(TEXT(EDATE($D61,Milestones!$AA$119),"dd mmm yy"))&amp;" "&amp;Milestones!$AB$119&amp;" "&amp;Milestones!$AC$119&amp;";  ",""))</f>
        <v/>
      </c>
      <c r="N61" s="0" t="str">
        <f aca="false">IF(OR($A61="",$D61=""),"",IF(AND(EDATE($D61,Milestones!$AA$120)&lt;=AsOfDate,IF($R61=0,$X61,IF(AND($T61&lt;&gt;"",EDATE($D61,Milestones!$AA$120)&gt;=$T61),$W61,IF(AND($S61&lt;&gt;"",EDATE($D61,Milestones!$AA$120)&gt;=$S61),$V61,$U61)))=Milestones!$AB$120),UPPER(TEXT(EDATE($D61,Milestones!$AA$120),"dd mmm yy"))&amp;" "&amp;Milestones!$AB$120&amp;" "&amp;Milestones!$AC$120&amp;";  ","")&amp;IF(AND(EDATE($D61,Milestones!$AA$121)&lt;=AsOfDate,IF($R61=0,$X61,IF(AND($T61&lt;&gt;"",EDATE($D61,Milestones!$AA$121)&gt;=$T61),$W61,IF(AND($S61&lt;&gt;"",EDATE($D61,Milestones!$AA$121)&gt;=$S61),$V61,$U61)))=Milestones!$AB$121),UPPER(TEXT(EDATE($D61,Milestones!$AA$121),"dd mmm yy"))&amp;" "&amp;Milestones!$AB$121&amp;" "&amp;Milestones!$AC$121&amp;";  ","")&amp;IF(AND(EDATE($D61,Milestones!$AA$122)&lt;=AsOfDate,IF($R61=0,$X61,IF(AND($T61&lt;&gt;"",EDATE($D61,Milestones!$AA$122)&gt;=$T61),$W61,IF(AND($S61&lt;&gt;"",EDATE($D61,Milestones!$AA$122)&gt;=$S61),$V61,$U61)))=Milestones!$AB$122),UPPER(TEXT(EDATE($D61,Milestones!$AA$122),"dd mmm yy"))&amp;" "&amp;Milestones!$AB$122&amp;" "&amp;Milestones!$AC$122&amp;";  ","")&amp;IF(AND(EDATE($D61,Milestones!$AA$123)&lt;=AsOfDate,IF($R61=0,$X61,IF(AND($T61&lt;&gt;"",EDATE($D61,Milestones!$AA$123)&gt;=$T61),$W61,IF(AND($S61&lt;&gt;"",EDATE($D61,Milestones!$AA$123)&gt;=$S61),$V61,$U61)))=Milestones!$AB$123),UPPER(TEXT(EDATE($D61,Milestones!$AA$123),"dd mmm yy"))&amp;" "&amp;Milestones!$AB$123&amp;" "&amp;Milestones!$AC$123&amp;";  ","")&amp;IF(AND(EDATE($D61,Milestones!$AA$124)&lt;=AsOfDate,IF($R61=0,$X61,IF(AND($T61&lt;&gt;"",EDATE($D61,Milestones!$AA$124)&gt;=$T61),$W61,IF(AND($S61&lt;&gt;"",EDATE($D61,Milestones!$AA$124)&gt;=$S61),$V61,$U61)))=Milestones!$AB$124),UPPER(TEXT(EDATE($D61,Milestones!$AA$124),"dd mmm yy"))&amp;" "&amp;Milestones!$AB$124&amp;" "&amp;Milestones!$AC$124&amp;";  ","")&amp;IF(AND(EDATE($D61,Milestones!$AA$125)&lt;=AsOfDate,IF($R61=0,$X61,IF(AND($T61&lt;&gt;"",EDATE($D61,Milestones!$AA$125)&gt;=$T61),$W61,IF(AND($S61&lt;&gt;"",EDATE($D61,Milestones!$AA$125)&gt;=$S61),$V61,$U61)))=Milestones!$AB$125),UPPER(TEXT(EDATE($D61,Milestones!$AA$125),"dd mmm yy"))&amp;" "&amp;Milestones!$AB$125&amp;" "&amp;Milestones!$AC$125&amp;";  ","")&amp;IF(AND(EDATE($D61,Milestones!$AA$126)&lt;=AsOfDate,IF($R61=0,$X61,IF(AND($T61&lt;&gt;"",EDATE($D61,Milestones!$AA$126)&gt;=$T61),$W61,IF(AND($S61&lt;&gt;"",EDATE($D61,Milestones!$AA$126)&gt;=$S61),$V61,$U61)))=Milestones!$AB$126),UPPER(TEXT(EDATE($D61,Milestones!$AA$126),"dd mmm yy"))&amp;" "&amp;Milestones!$AB$126&amp;" "&amp;Milestones!$AC$126&amp;";  ","")&amp;IF(AND(EDATE($D61,Milestones!$AA$127)&lt;=AsOfDate,IF($R61=0,$X61,IF(AND($T61&lt;&gt;"",EDATE($D61,Milestones!$AA$127)&gt;=$T61),$W61,IF(AND($S61&lt;&gt;"",EDATE($D61,Milestones!$AA$127)&gt;=$S61),$V61,$U61)))=Milestones!$AB$127),UPPER(TEXT(EDATE($D61,Milestones!$AA$127),"dd mmm yy"))&amp;" "&amp;Milestones!$AB$127&amp;" "&amp;Milestones!$AC$127&amp;";  ","")&amp;IF(AND(EDATE($D61,Milestones!$AA$128)&lt;=AsOfDate,IF($R61=0,$X61,IF(AND($T61&lt;&gt;"",EDATE($D61,Milestones!$AA$128)&gt;=$T61),$W61,IF(AND($S61&lt;&gt;"",EDATE($D61,Milestones!$AA$128)&gt;=$S61),$V61,$U61)))=Milestones!$AB$128),UPPER(TEXT(EDATE($D61,Milestones!$AA$128),"dd mmm yy"))&amp;" "&amp;Milestones!$AB$128&amp;" "&amp;Milestones!$AC$128&amp;";  ","")&amp;IF(AND(EDATE($D61,Milestones!$AA$129)&lt;=AsOfDate,IF($R61=0,$X61,IF(AND($T61&lt;&gt;"",EDATE($D61,Milestones!$AA$129)&gt;=$T61),$W61,IF(AND($S61&lt;&gt;"",EDATE($D61,Milestones!$AA$129)&gt;=$S61),$V61,$U61)))=Milestones!$AB$129),UPPER(TEXT(EDATE($D61,Milestones!$AA$129),"dd mmm yy"))&amp;" "&amp;Milestones!$AB$129&amp;" "&amp;Milestones!$AC$129&amp;";  ","")&amp;IF(AND(EDATE($D61,Milestones!$AA$130)&lt;=AsOfDate,IF($R61=0,$X61,IF(AND($T61&lt;&gt;"",EDATE($D61,Milestones!$AA$130)&gt;=$T61),$W61,IF(AND($S61&lt;&gt;"",EDATE($D61,Milestones!$AA$130)&gt;=$S61),$V61,$U61)))=Milestones!$AB$130),UPPER(TEXT(EDATE($D61,Milestones!$AA$130),"dd mmm yy"))&amp;" "&amp;Milestones!$AB$130&amp;" "&amp;Milestones!$AC$130&amp;";  ","")&amp;IF(AND(EDATE($D61,Milestones!$AA$131)&lt;=AsOfDate,IF($R61=0,$X61,IF(AND($T61&lt;&gt;"",EDATE($D61,Milestones!$AA$131)&gt;=$T61),$W61,IF(AND($S61&lt;&gt;"",EDATE($D61,Milestones!$AA$131)&gt;=$S61),$V61,$U61)))=Milestones!$AB$131),UPPER(TEXT(EDATE($D61,Milestones!$AA$131),"dd mmm yy"))&amp;" "&amp;Milestones!$AB$131&amp;" "&amp;Milestones!$AC$131&amp;";  ","")&amp;IF(AND(EDATE($D61,Milestones!$AA$132)&lt;=AsOfDate,IF($R61=0,$X61,IF(AND($T61&lt;&gt;"",EDATE($D61,Milestones!$AA$132)&gt;=$T61),$W61,IF(AND($S61&lt;&gt;"",EDATE($D61,Milestones!$AA$132)&gt;=$S61),$V61,$U61)))=Milestones!$AB$132),UPPER(TEXT(EDATE($D61,Milestones!$AA$132),"dd mmm yy"))&amp;" "&amp;Milestones!$AB$132&amp;" "&amp;Milestones!$AC$132&amp;";  ","")&amp;IF(AND(EDATE($D61,Milestones!$AA$133)&lt;=AsOfDate,IF($R61=0,$X61,IF(AND($T61&lt;&gt;"",EDATE($D61,Milestones!$AA$133)&gt;=$T61),$W61,IF(AND($S61&lt;&gt;"",EDATE($D61,Milestones!$AA$133)&gt;=$S61),$V61,$U61)))=Milestones!$AB$133),UPPER(TEXT(EDATE($D61,Milestones!$AA$133),"dd mmm yy"))&amp;" "&amp;Milestones!$AB$133&amp;" "&amp;Milestones!$AC$133&amp;";  ","")&amp;IF(AND(EDATE($D61,Milestones!$AA$134)&lt;=AsOfDate,IF($R61=0,$X61,IF(AND($T61&lt;&gt;"",EDATE($D61,Milestones!$AA$134)&gt;=$T61),$W61,IF(AND($S61&lt;&gt;"",EDATE($D61,Milestones!$AA$134)&gt;=$S61),$V61,$U61)))=Milestones!$AB$134),UPPER(TEXT(EDATE($D61,Milestones!$AA$134),"dd mmm yy"))&amp;" "&amp;Milestones!$AB$134&amp;" "&amp;Milestones!$AC$134&amp;";  ","")&amp;IF(AND(EDATE($D61,Milestones!$AA$135)&lt;=AsOfDate,IF($R61=0,$X61,IF(AND($T61&lt;&gt;"",EDATE($D61,Milestones!$AA$135)&gt;=$T61),$W61,IF(AND($S61&lt;&gt;"",EDATE($D61,Milestones!$AA$135)&gt;=$S61),$V61,$U61)))=Milestones!$AB$135),UPPER(TEXT(EDATE($D61,Milestones!$AA$135),"dd mmm yy"))&amp;" "&amp;Milestones!$AB$135&amp;" "&amp;Milestones!$AC$135&amp;";  ","")&amp;IF(AND(EDATE($D61,Milestones!$AA$136)&lt;=AsOfDate,IF($R61=0,$X61,IF(AND($T61&lt;&gt;"",EDATE($D61,Milestones!$AA$136)&gt;=$T61),$W61,IF(AND($S61&lt;&gt;"",EDATE($D61,Milestones!$AA$136)&gt;=$S61),$V61,$U61)))=Milestones!$AB$136),UPPER(TEXT(EDATE($D61,Milestones!$AA$136),"dd mmm yy"))&amp;" "&amp;Milestones!$AB$136&amp;" "&amp;Milestones!$AC$136&amp;";  ","")&amp;IF(AND(EDATE($D61,Milestones!$AA$137)&lt;=AsOfDate,IF($R61=0,$X61,IF(AND($T61&lt;&gt;"",EDATE($D61,Milestones!$AA$137)&gt;=$T61),$W61,IF(AND($S61&lt;&gt;"",EDATE($D61,Milestones!$AA$137)&gt;=$S61),$V61,$U61)))=Milestones!$AB$137),UPPER(TEXT(EDATE($D61,Milestones!$AA$137),"dd mmm yy"))&amp;" "&amp;Milestones!$AB$137&amp;" "&amp;Milestones!$AC$137&amp;";  ","")&amp;IF(AND(EDATE($D61,Milestones!$AA$138)&lt;=AsOfDate,IF($R61=0,$X61,IF(AND($T61&lt;&gt;"",EDATE($D61,Milestones!$AA$138)&gt;=$T61),$W61,IF(AND($S61&lt;&gt;"",EDATE($D61,Milestones!$AA$138)&gt;=$S61),$V61,$U61)))=Milestones!$AB$138),UPPER(TEXT(EDATE($D61,Milestones!$AA$138),"dd mmm yy"))&amp;" "&amp;Milestones!$AB$138&amp;" "&amp;Milestones!$AC$138&amp;";  ","")&amp;IF(AND(EDATE($D61,Milestones!$AA$139)&lt;=AsOfDate,IF($R61=0,$X61,IF(AND($T61&lt;&gt;"",EDATE($D61,Milestones!$AA$139)&gt;=$T61),$W61,IF(AND($S61&lt;&gt;"",EDATE($D61,Milestones!$AA$139)&gt;=$S61),$V61,$U61)))=Milestones!$AB$139),UPPER(TEXT(EDATE($D61,Milestones!$AA$139),"dd mmm yy"))&amp;" "&amp;Milestones!$AB$139&amp;" "&amp;Milestones!$AC$139&amp;";  ",""))</f>
        <v/>
      </c>
      <c r="O61" s="0" t="str">
        <f aca="false">IF(OR($A61="",$D61=""),"",IF(AND(EDATE($D61,Milestones!$AA$140)&lt;=AsOfDate,IF($R61=0,$X61,IF(AND($T61&lt;&gt;"",EDATE($D61,Milestones!$AA$140)&gt;=$T61),$W61,IF(AND($S61&lt;&gt;"",EDATE($D61,Milestones!$AA$140)&gt;=$S61),$V61,$U61)))=Milestones!$AB$140),UPPER(TEXT(EDATE($D61,Milestones!$AA$140),"dd mmm yy"))&amp;" "&amp;Milestones!$AB$140&amp;" "&amp;Milestones!$AC$140&amp;";  ","")&amp;IF(AND(EDATE($D61,Milestones!$AA$141)&lt;=AsOfDate,IF($R61=0,$X61,IF(AND($T61&lt;&gt;"",EDATE($D61,Milestones!$AA$141)&gt;=$T61),$W61,IF(AND($S61&lt;&gt;"",EDATE($D61,Milestones!$AA$141)&gt;=$S61),$V61,$U61)))=Milestones!$AB$141),UPPER(TEXT(EDATE($D61,Milestones!$AA$141),"dd mmm yy"))&amp;" "&amp;Milestones!$AB$141&amp;" "&amp;Milestones!$AC$141&amp;";  ","")&amp;IF(AND(EDATE($D61,Milestones!$AA$142)&lt;=AsOfDate,IF($R61=0,$X61,IF(AND($T61&lt;&gt;"",EDATE($D61,Milestones!$AA$142)&gt;=$T61),$W61,IF(AND($S61&lt;&gt;"",EDATE($D61,Milestones!$AA$142)&gt;=$S61),$V61,$U61)))=Milestones!$AB$142),UPPER(TEXT(EDATE($D61,Milestones!$AA$142),"dd mmm yy"))&amp;" "&amp;Milestones!$AB$142&amp;" "&amp;Milestones!$AC$142&amp;";  ","")&amp;IF(AND(EDATE($D61,Milestones!$AA$143)&lt;=AsOfDate,IF($R61=0,$X61,IF(AND($T61&lt;&gt;"",EDATE($D61,Milestones!$AA$143)&gt;=$T61),$W61,IF(AND($S61&lt;&gt;"",EDATE($D61,Milestones!$AA$143)&gt;=$S61),$V61,$U61)))=Milestones!$AB$143),UPPER(TEXT(EDATE($D61,Milestones!$AA$143),"dd mmm yy"))&amp;" "&amp;Milestones!$AB$143&amp;" "&amp;Milestones!$AC$143&amp;";  ","")&amp;IF(AND(EDATE($D61,Milestones!$AA$144)&lt;=AsOfDate,IF($R61=0,$X61,IF(AND($T61&lt;&gt;"",EDATE($D61,Milestones!$AA$144)&gt;=$T61),$W61,IF(AND($S61&lt;&gt;"",EDATE($D61,Milestones!$AA$144)&gt;=$S61),$V61,$U61)))=Milestones!$AB$144),UPPER(TEXT(EDATE($D61,Milestones!$AA$144),"dd mmm yy"))&amp;" "&amp;Milestones!$AB$144&amp;" "&amp;Milestones!$AC$144&amp;";  ","")&amp;IF(AND(EDATE($D61,Milestones!$AA$145)&lt;=AsOfDate,IF($R61=0,$X61,IF(AND($T61&lt;&gt;"",EDATE($D61,Milestones!$AA$145)&gt;=$T61),$W61,IF(AND($S61&lt;&gt;"",EDATE($D61,Milestones!$AA$145)&gt;=$S61),$V61,$U61)))=Milestones!$AB$145),UPPER(TEXT(EDATE($D61,Milestones!$AA$145),"dd mmm yy"))&amp;" "&amp;Milestones!$AB$145&amp;" "&amp;Milestones!$AC$145&amp;";  ","")&amp;IF(AND(EDATE($D61,Milestones!$AA$146)&lt;=AsOfDate,IF($R61=0,$X61,IF(AND($T61&lt;&gt;"",EDATE($D61,Milestones!$AA$146)&gt;=$T61),$W61,IF(AND($S61&lt;&gt;"",EDATE($D61,Milestones!$AA$146)&gt;=$S61),$V61,$U61)))=Milestones!$AB$146),UPPER(TEXT(EDATE($D61,Milestones!$AA$146),"dd mmm yy"))&amp;" "&amp;Milestones!$AB$146&amp;" "&amp;Milestones!$AC$146&amp;";  ","")&amp;IF(AND(EDATE($D61,Milestones!$AA$147)&lt;=AsOfDate,IF($R61=0,$X61,IF(AND($T61&lt;&gt;"",EDATE($D61,Milestones!$AA$147)&gt;=$T61),$W61,IF(AND($S61&lt;&gt;"",EDATE($D61,Milestones!$AA$147)&gt;=$S61),$V61,$U61)))=Milestones!$AB$147),UPPER(TEXT(EDATE($D61,Milestones!$AA$147),"dd mmm yy"))&amp;" "&amp;Milestones!$AB$147&amp;" "&amp;Milestones!$AC$147&amp;";  ","")&amp;IF(AND(EDATE($D61,Milestones!$AA$148)&lt;=AsOfDate,IF($R61=0,$X61,IF(AND($T61&lt;&gt;"",EDATE($D61,Milestones!$AA$148)&gt;=$T61),$W61,IF(AND($S61&lt;&gt;"",EDATE($D61,Milestones!$AA$148)&gt;=$S61),$V61,$U61)))=Milestones!$AB$148),UPPER(TEXT(EDATE($D61,Milestones!$AA$148),"dd mmm yy"))&amp;" "&amp;Milestones!$AB$148&amp;" "&amp;Milestones!$AC$148&amp;";  ","")&amp;IF(AND(EDATE($D61,Milestones!$AA$149)&lt;=AsOfDate,IF($R61=0,$X61,IF(AND($T61&lt;&gt;"",EDATE($D61,Milestones!$AA$149)&gt;=$T61),$W61,IF(AND($S61&lt;&gt;"",EDATE($D61,Milestones!$AA$149)&gt;=$S61),$V61,$U61)))=Milestones!$AB$149),UPPER(TEXT(EDATE($D61,Milestones!$AA$149),"dd mmm yy"))&amp;" "&amp;Milestones!$AB$149&amp;" "&amp;Milestones!$AC$149&amp;";  ","")&amp;IF(AND(EDATE($D61,Milestones!$AA$150)&lt;=AsOfDate,IF($R61=0,$X61,IF(AND($T61&lt;&gt;"",EDATE($D61,Milestones!$AA$150)&gt;=$T61),$W61,IF(AND($S61&lt;&gt;"",EDATE($D61,Milestones!$AA$150)&gt;=$S61),$V61,$U61)))=Milestones!$AB$150),UPPER(TEXT(EDATE($D61,Milestones!$AA$150),"dd mmm yy"))&amp;" "&amp;Milestones!$AB$150&amp;" "&amp;Milestones!$AC$150&amp;";  ","")&amp;IF(AND(EDATE($D61,Milestones!$AA$151)&lt;=AsOfDate,IF($R61=0,$X61,IF(AND($T61&lt;&gt;"",EDATE($D61,Milestones!$AA$151)&gt;=$T61),$W61,IF(AND($S61&lt;&gt;"",EDATE($D61,Milestones!$AA$151)&gt;=$S61),$V61,$U61)))=Milestones!$AB$151),UPPER(TEXT(EDATE($D61,Milestones!$AA$151),"dd mmm yy"))&amp;" "&amp;Milestones!$AB$151&amp;" "&amp;Milestones!$AC$151&amp;";  ","")&amp;IF(AND(EDATE($D61,Milestones!$AA$152)&lt;=AsOfDate,IF($R61=0,$X61,IF(AND($T61&lt;&gt;"",EDATE($D61,Milestones!$AA$152)&gt;=$T61),$W61,IF(AND($S61&lt;&gt;"",EDATE($D61,Milestones!$AA$152)&gt;=$S61),$V61,$U61)))=Milestones!$AB$152),UPPER(TEXT(EDATE($D61,Milestones!$AA$152),"dd mmm yy"))&amp;" "&amp;Milestones!$AB$152&amp;" "&amp;Milestones!$AC$152&amp;";  ","")&amp;IF(AND(EDATE($D61,Milestones!$AA$153)&lt;=AsOfDate,IF($R61=0,$X61,IF(AND($T61&lt;&gt;"",EDATE($D61,Milestones!$AA$153)&gt;=$T61),$W61,IF(AND($S61&lt;&gt;"",EDATE($D61,Milestones!$AA$153)&gt;=$S61),$V61,$U61)))=Milestones!$AB$153),UPPER(TEXT(EDATE($D61,Milestones!$AA$153),"dd mmm yy"))&amp;" "&amp;Milestones!$AB$153&amp;" "&amp;Milestones!$AC$153&amp;";  ","")&amp;IF(AND(EDATE($D61,Milestones!$AA$154)&lt;=AsOfDate,IF($R61=0,$X61,IF(AND($T61&lt;&gt;"",EDATE($D61,Milestones!$AA$154)&gt;=$T61),$W61,IF(AND($S61&lt;&gt;"",EDATE($D61,Milestones!$AA$154)&gt;=$S61),$V61,$U61)))=Milestones!$AB$154),UPPER(TEXT(EDATE($D61,Milestones!$AA$154),"dd mmm yy"))&amp;" "&amp;Milestones!$AB$154&amp;" "&amp;Milestones!$AC$154&amp;";  ","")&amp;IF(AND(EDATE($D61,Milestones!$AA$155)&lt;=AsOfDate,IF($R61=0,$X61,IF(AND($T61&lt;&gt;"",EDATE($D61,Milestones!$AA$155)&gt;=$T61),$W61,IF(AND($S61&lt;&gt;"",EDATE($D61,Milestones!$AA$155)&gt;=$S61),$V61,$U61)))=Milestones!$AB$155),UPPER(TEXT(EDATE($D61,Milestones!$AA$155),"dd mmm yy"))&amp;" "&amp;Milestones!$AB$155&amp;" "&amp;Milestones!$AC$155&amp;";  ","")&amp;IF(AND(EDATE($D61,Milestones!$AA$156)&lt;=AsOfDate,IF($R61=0,$X61,IF(AND($T61&lt;&gt;"",EDATE($D61,Milestones!$AA$156)&gt;=$T61),$W61,IF(AND($S61&lt;&gt;"",EDATE($D61,Milestones!$AA$156)&gt;=$S61),$V61,$U61)))=Milestones!$AB$156),UPPER(TEXT(EDATE($D61,Milestones!$AA$156),"dd mmm yy"))&amp;" "&amp;Milestones!$AB$156&amp;" "&amp;Milestones!$AC$156&amp;";  ","")&amp;IF(AND(EDATE($D61,Milestones!$AA$157)&lt;=AsOfDate,IF($R61=0,$X61,IF(AND($T61&lt;&gt;"",EDATE($D61,Milestones!$AA$157)&gt;=$T61),$W61,IF(AND($S61&lt;&gt;"",EDATE($D61,Milestones!$AA$157)&gt;=$S61),$V61,$U61)))=Milestones!$AB$157),UPPER(TEXT(EDATE($D61,Milestones!$AA$157),"dd mmm yy"))&amp;" "&amp;Milestones!$AB$157&amp;" "&amp;Milestones!$AC$157&amp;";  ","")&amp;IF(AND(EDATE($D61,Milestones!$AA$158)&lt;=AsOfDate,IF($R61=0,$X61,IF(AND($T61&lt;&gt;"",EDATE($D61,Milestones!$AA$158)&gt;=$T61),$W61,IF(AND($S61&lt;&gt;"",EDATE($D61,Milestones!$AA$158)&gt;=$S61),$V61,$U61)))=Milestones!$AB$158),UPPER(TEXT(EDATE($D61,Milestones!$AA$158),"dd mmm yy"))&amp;" "&amp;Milestones!$AB$158&amp;" "&amp;Milestones!$AC$158&amp;";  ","")&amp;IF(AND(EDATE($D61,Milestones!$AA$159)&lt;=AsOfDate,IF($R61=0,$X61,IF(AND($T61&lt;&gt;"",EDATE($D61,Milestones!$AA$159)&gt;=$T61),$W61,IF(AND($S61&lt;&gt;"",EDATE($D61,Milestones!$AA$159)&gt;=$S61),$V61,$U61)))=Milestones!$AB$159),UPPER(TEXT(EDATE($D61,Milestones!$AA$159),"dd mmm yy"))&amp;" "&amp;Milestones!$AB$159&amp;" "&amp;Milestones!$AC$159&amp;";  ",""))</f>
        <v/>
      </c>
      <c r="P61" s="0" t="str">
        <f aca="false">IF(OR($A61="",$D61=""),"",IF(AND(EDATE($D61,Milestones!$AA$160)&lt;=AsOfDate,IF($R61=0,$X61,IF(AND($T61&lt;&gt;"",EDATE($D61,Milestones!$AA$160)&gt;=$T61),$W61,IF(AND($S61&lt;&gt;"",EDATE($D61,Milestones!$AA$160)&gt;=$S61),$V61,$U61)))=Milestones!$AB$160),UPPER(TEXT(EDATE($D61,Milestones!$AA$160),"dd mmm yy"))&amp;" "&amp;Milestones!$AB$160&amp;" "&amp;Milestones!$AC$160&amp;";  ","")&amp;IF(AND(EDATE($D61,Milestones!$AA$161)&lt;=AsOfDate,IF($R61=0,$X61,IF(AND($T61&lt;&gt;"",EDATE($D61,Milestones!$AA$161)&gt;=$T61),$W61,IF(AND($S61&lt;&gt;"",EDATE($D61,Milestones!$AA$161)&gt;=$S61),$V61,$U61)))=Milestones!$AB$161),UPPER(TEXT(EDATE($D61,Milestones!$AA$161),"dd mmm yy"))&amp;" "&amp;Milestones!$AB$161&amp;" "&amp;Milestones!$AC$161&amp;";  ","")&amp;IF(AND(EDATE($D61,Milestones!$AA$162)&lt;=AsOfDate,IF($R61=0,$X61,IF(AND($T61&lt;&gt;"",EDATE($D61,Milestones!$AA$162)&gt;=$T61),$W61,IF(AND($S61&lt;&gt;"",EDATE($D61,Milestones!$AA$162)&gt;=$S61),$V61,$U61)))=Milestones!$AB$162),UPPER(TEXT(EDATE($D61,Milestones!$AA$162),"dd mmm yy"))&amp;" "&amp;Milestones!$AB$162&amp;" "&amp;Milestones!$AC$162&amp;";  ","")&amp;IF(AND(EDATE($D61,Milestones!$AA$163)&lt;=AsOfDate,IF($R61=0,$X61,IF(AND($T61&lt;&gt;"",EDATE($D61,Milestones!$AA$163)&gt;=$T61),$W61,IF(AND($S61&lt;&gt;"",EDATE($D61,Milestones!$AA$163)&gt;=$S61),$V61,$U61)))=Milestones!$AB$163),UPPER(TEXT(EDATE($D61,Milestones!$AA$163),"dd mmm yy"))&amp;" "&amp;Milestones!$AB$163&amp;" "&amp;Milestones!$AC$163&amp;";  ","")&amp;IF(AND(EDATE($D61,Milestones!$AA$164)&lt;=AsOfDate,IF($R61=0,$X61,IF(AND($T61&lt;&gt;"",EDATE($D61,Milestones!$AA$164)&gt;=$T61),$W61,IF(AND($S61&lt;&gt;"",EDATE($D61,Milestones!$AA$164)&gt;=$S61),$V61,$U61)))=Milestones!$AB$164),UPPER(TEXT(EDATE($D61,Milestones!$AA$164),"dd mmm yy"))&amp;" "&amp;Milestones!$AB$164&amp;" "&amp;Milestones!$AC$164&amp;";  ","")&amp;IF(AND(EDATE($D61,Milestones!$AA$165)&lt;=AsOfDate,IF($R61=0,$X61,IF(AND($T61&lt;&gt;"",EDATE($D61,Milestones!$AA$165)&gt;=$T61),$W61,IF(AND($S61&lt;&gt;"",EDATE($D61,Milestones!$AA$165)&gt;=$S61),$V61,$U61)))=Milestones!$AB$165),UPPER(TEXT(EDATE($D61,Milestones!$AA$165),"dd mmm yy"))&amp;" "&amp;Milestones!$AB$165&amp;" "&amp;Milestones!$AC$165&amp;";  ","")&amp;IF(AND(EDATE($D61,Milestones!$AA$166)&lt;=AsOfDate,IF($R61=0,$X61,IF(AND($T61&lt;&gt;"",EDATE($D61,Milestones!$AA$166)&gt;=$T61),$W61,IF(AND($S61&lt;&gt;"",EDATE($D61,Milestones!$AA$166)&gt;=$S61),$V61,$U61)))=Milestones!$AB$166),UPPER(TEXT(EDATE($D61,Milestones!$AA$166),"dd mmm yy"))&amp;" "&amp;Milestones!$AB$166&amp;" "&amp;Milestones!$AC$166&amp;";  ","")&amp;IF(AND(EDATE($D61,Milestones!$AA$167)&lt;=AsOfDate,IF($R61=0,$X61,IF(AND($T61&lt;&gt;"",EDATE($D61,Milestones!$AA$167)&gt;=$T61),$W61,IF(AND($S61&lt;&gt;"",EDATE($D61,Milestones!$AA$167)&gt;=$S61),$V61,$U61)))=Milestones!$AB$167),UPPER(TEXT(EDATE($D61,Milestones!$AA$167),"dd mmm yy"))&amp;" "&amp;Milestones!$AB$167&amp;" "&amp;Milestones!$AC$167&amp;";  ","")&amp;IF(AND(EDATE($D61,Milestones!$AA$168)&lt;=AsOfDate,IF($R61=0,$X61,IF(AND($T61&lt;&gt;"",EDATE($D61,Milestones!$AA$168)&gt;=$T61),$W61,IF(AND($S61&lt;&gt;"",EDATE($D61,Milestones!$AA$168)&gt;=$S61),$V61,$U61)))=Milestones!$AB$168),UPPER(TEXT(EDATE($D61,Milestones!$AA$168),"dd mmm yy"))&amp;" "&amp;Milestones!$AB$168&amp;" "&amp;Milestones!$AC$168&amp;";  ","")&amp;IF(AND(EDATE($D61,Milestones!$AA$169)&lt;=AsOfDate,IF($R61=0,$X61,IF(AND($T61&lt;&gt;"",EDATE($D61,Milestones!$AA$169)&gt;=$T61),$W61,IF(AND($S61&lt;&gt;"",EDATE($D61,Milestones!$AA$169)&gt;=$S61),$V61,$U61)))=Milestones!$AB$169),UPPER(TEXT(EDATE($D61,Milestones!$AA$169),"dd mmm yy"))&amp;" "&amp;Milestones!$AB$169&amp;" "&amp;Milestones!$AC$169&amp;";  ","")&amp;IF(AND(EDATE($D61,Milestones!$AA$170)&lt;=AsOfDate,IF($R61=0,$X61,IF(AND($T61&lt;&gt;"",EDATE($D61,Milestones!$AA$170)&gt;=$T61),$W61,IF(AND($S61&lt;&gt;"",EDATE($D61,Milestones!$AA$170)&gt;=$S61),$V61,$U61)))=Milestones!$AB$170),UPPER(TEXT(EDATE($D61,Milestones!$AA$170),"dd mmm yy"))&amp;" "&amp;Milestones!$AB$170&amp;" "&amp;Milestones!$AC$170&amp;";  ","")&amp;IF(AND(EDATE($D61,Milestones!$AA$171)&lt;=AsOfDate,IF($R61=0,$X61,IF(AND($T61&lt;&gt;"",EDATE($D61,Milestones!$AA$171)&gt;=$T61),$W61,IF(AND($S61&lt;&gt;"",EDATE($D61,Milestones!$AA$171)&gt;=$S61),$V61,$U61)))=Milestones!$AB$171),UPPER(TEXT(EDATE($D61,Milestones!$AA$171),"dd mmm yy"))&amp;" "&amp;Milestones!$AB$171&amp;" "&amp;Milestones!$AC$171&amp;";  ","")&amp;IF(AND(EDATE($D61,Milestones!$AA$172)&lt;=AsOfDate,IF($R61=0,$X61,IF(AND($T61&lt;&gt;"",EDATE($D61,Milestones!$AA$172)&gt;=$T61),$W61,IF(AND($S61&lt;&gt;"",EDATE($D61,Milestones!$AA$172)&gt;=$S61),$V61,$U61)))=Milestones!$AB$172),UPPER(TEXT(EDATE($D61,Milestones!$AA$172),"dd mmm yy"))&amp;" "&amp;Milestones!$AB$172&amp;" "&amp;Milestones!$AC$172&amp;";  ","")&amp;IF(AND(EDATE($D61,Milestones!$AA$173)&lt;=AsOfDate,IF($R61=0,$X61,IF(AND($T61&lt;&gt;"",EDATE($D61,Milestones!$AA$173)&gt;=$T61),$W61,IF(AND($S61&lt;&gt;"",EDATE($D61,Milestones!$AA$173)&gt;=$S61),$V61,$U61)))=Milestones!$AB$173),UPPER(TEXT(EDATE($D61,Milestones!$AA$173),"dd mmm yy"))&amp;" "&amp;Milestones!$AB$173&amp;" "&amp;Milestones!$AC$173&amp;";  ","")&amp;IF(AND(EDATE($D61,Milestones!$AA$174)&lt;=AsOfDate,IF($R61=0,$X61,IF(AND($T61&lt;&gt;"",EDATE($D61,Milestones!$AA$174)&gt;=$T61),$W61,IF(AND($S61&lt;&gt;"",EDATE($D61,Milestones!$AA$174)&gt;=$S61),$V61,$U61)))=Milestones!$AB$174),UPPER(TEXT(EDATE($D61,Milestones!$AA$174),"dd mmm yy"))&amp;" "&amp;Milestones!$AB$174&amp;" "&amp;Milestones!$AC$174&amp;";  ","")&amp;IF(AND(EDATE($D61,Milestones!$AA$175)&lt;=AsOfDate,IF($R61=0,$X61,IF(AND($T61&lt;&gt;"",EDATE($D61,Milestones!$AA$175)&gt;=$T61),$W61,IF(AND($S61&lt;&gt;"",EDATE($D61,Milestones!$AA$175)&gt;=$S61),$V61,$U61)))=Milestones!$AB$175),UPPER(TEXT(EDATE($D61,Milestones!$AA$175),"dd mmm yy"))&amp;" "&amp;Milestones!$AB$175&amp;" "&amp;Milestones!$AC$175&amp;";  ","")&amp;IF(AND(EDATE($D61,Milestones!$AA$176)&lt;=AsOfDate,IF($R61=0,$X61,IF(AND($T61&lt;&gt;"",EDATE($D61,Milestones!$AA$176)&gt;=$T61),$W61,IF(AND($S61&lt;&gt;"",EDATE($D61,Milestones!$AA$176)&gt;=$S61),$V61,$U61)))=Milestones!$AB$176),UPPER(TEXT(EDATE($D61,Milestones!$AA$176),"dd mmm yy"))&amp;" "&amp;Milestones!$AB$176&amp;" "&amp;Milestones!$AC$176&amp;";  ","")&amp;IF(AND(EDATE($D61,Milestones!$AA$177)&lt;=AsOfDate,IF($R61=0,$X61,IF(AND($T61&lt;&gt;"",EDATE($D61,Milestones!$AA$177)&gt;=$T61),$W61,IF(AND($S61&lt;&gt;"",EDATE($D61,Milestones!$AA$177)&gt;=$S61),$V61,$U61)))=Milestones!$AB$177),UPPER(TEXT(EDATE($D61,Milestones!$AA$177),"dd mmm yy"))&amp;" "&amp;Milestones!$AB$177&amp;" "&amp;Milestones!$AC$177&amp;";  ","")&amp;IF(AND(EDATE($D61,Milestones!$AA$178)&lt;=AsOfDate,IF($R61=0,$X61,IF(AND($T61&lt;&gt;"",EDATE($D61,Milestones!$AA$178)&gt;=$T61),$W61,IF(AND($S61&lt;&gt;"",EDATE($D61,Milestones!$AA$178)&gt;=$S61),$V61,$U61)))=Milestones!$AB$178),UPPER(TEXT(EDATE($D61,Milestones!$AA$178),"dd mmm yy"))&amp;" "&amp;Milestones!$AB$178&amp;" "&amp;Milestones!$AC$178&amp;";  ","")&amp;IF(AND(EDATE($D61,Milestones!$AA$179)&lt;=AsOfDate,IF($R61=0,$X61,IF(AND($T61&lt;&gt;"",EDATE($D61,Milestones!$AA$179)&gt;=$T61),$W61,IF(AND($S61&lt;&gt;"",EDATE($D61,Milestones!$AA$179)&gt;=$S61),$V61,$U61)))=Milestones!$AB$179),UPPER(TEXT(EDATE($D61,Milestones!$AA$179),"dd mmm yy"))&amp;" "&amp;Milestones!$AB$179&amp;" "&amp;Milestones!$AC$179&amp;";  ",""))</f>
        <v/>
      </c>
      <c r="Q61" s="0" t="str">
        <f aca="false">IF(OR($A61="",$D61=""),"",IF(AND(EDATE($D61,Milestones!$AA$180)&lt;=AsOfDate,IF($R61=0,$X61,IF(AND($T61&lt;&gt;"",EDATE($D61,Milestones!$AA$180)&gt;=$T61),$W61,IF(AND($S61&lt;&gt;"",EDATE($D61,Milestones!$AA$180)&gt;=$S61),$V61,$U61)))=Milestones!$AB$180),UPPER(TEXT(EDATE($D61,Milestones!$AA$180),"dd mmm yy"))&amp;" "&amp;Milestones!$AB$180&amp;" "&amp;Milestones!$AC$180&amp;";  ","")&amp;IF(AND(EDATE($D61,Milestones!$AA$181)&lt;=AsOfDate,IF($R61=0,$X61,IF(AND($T61&lt;&gt;"",EDATE($D61,Milestones!$AA$181)&gt;=$T61),$W61,IF(AND($S61&lt;&gt;"",EDATE($D61,Milestones!$AA$181)&gt;=$S61),$V61,$U61)))=Milestones!$AB$181),UPPER(TEXT(EDATE($D61,Milestones!$AA$181),"dd mmm yy"))&amp;" "&amp;Milestones!$AB$181&amp;" "&amp;Milestones!$AC$181&amp;";  ","")&amp;IF(AND(EDATE($D61,Milestones!$AA$182)&lt;=AsOfDate,IF($R61=0,$X61,IF(AND($T61&lt;&gt;"",EDATE($D61,Milestones!$AA$182)&gt;=$T61),$W61,IF(AND($S61&lt;&gt;"",EDATE($D61,Milestones!$AA$182)&gt;=$S61),$V61,$U61)))=Milestones!$AB$182),UPPER(TEXT(EDATE($D61,Milestones!$AA$182),"dd mmm yy"))&amp;" "&amp;Milestones!$AB$182&amp;" "&amp;Milestones!$AC$182&amp;";  ","")&amp;IF(AND(EDATE($D61,Milestones!$AA$183)&lt;=AsOfDate,IF($R61=0,$X61,IF(AND($T61&lt;&gt;"",EDATE($D61,Milestones!$AA$183)&gt;=$T61),$W61,IF(AND($S61&lt;&gt;"",EDATE($D61,Milestones!$AA$183)&gt;=$S61),$V61,$U61)))=Milestones!$AB$183),UPPER(TEXT(EDATE($D61,Milestones!$AA$183),"dd mmm yy"))&amp;" "&amp;Milestones!$AB$183&amp;" "&amp;Milestones!$AC$183&amp;";  ","")&amp;IF(AND(EDATE($D61,Milestones!$AA$184)&lt;=AsOfDate,IF($R61=0,$X61,IF(AND($T61&lt;&gt;"",EDATE($D61,Milestones!$AA$184)&gt;=$T61),$W61,IF(AND($S61&lt;&gt;"",EDATE($D61,Milestones!$AA$184)&gt;=$S61),$V61,$U61)))=Milestones!$AB$184),UPPER(TEXT(EDATE($D61,Milestones!$AA$184),"dd mmm yy"))&amp;" "&amp;Milestones!$AB$184&amp;" "&amp;Milestones!$AC$184&amp;";  ","")&amp;IF(AND(EDATE($D61,Milestones!$AA$185)&lt;=AsOfDate,IF($R61=0,$X61,IF(AND($T61&lt;&gt;"",EDATE($D61,Milestones!$AA$185)&gt;=$T61),$W61,IF(AND($S61&lt;&gt;"",EDATE($D61,Milestones!$AA$185)&gt;=$S61),$V61,$U61)))=Milestones!$AB$185),UPPER(TEXT(EDATE($D61,Milestones!$AA$185),"dd mmm yy"))&amp;" "&amp;Milestones!$AB$185&amp;" "&amp;Milestones!$AC$185&amp;";  ","")&amp;IF(AND(EDATE($D61,Milestones!$AA$186)&lt;=AsOfDate,IF($R61=0,$X61,IF(AND($T61&lt;&gt;"",EDATE($D61,Milestones!$AA$186)&gt;=$T61),$W61,IF(AND($S61&lt;&gt;"",EDATE($D61,Milestones!$AA$186)&gt;=$S61),$V61,$U61)))=Milestones!$AB$186),UPPER(TEXT(EDATE($D61,Milestones!$AA$186),"dd mmm yy"))&amp;" "&amp;Milestones!$AB$186&amp;" "&amp;Milestones!$AC$186&amp;";  ","")&amp;IF(AND(EDATE($D61,Milestones!$AA$187)&lt;=AsOfDate,IF($R61=0,$X61,IF(AND($T61&lt;&gt;"",EDATE($D61,Milestones!$AA$187)&gt;=$T61),$W61,IF(AND($S61&lt;&gt;"",EDATE($D61,Milestones!$AA$187)&gt;=$S61),$V61,$U61)))=Milestones!$AB$187),UPPER(TEXT(EDATE($D61,Milestones!$AA$187),"dd mmm yy"))&amp;" "&amp;Milestones!$AB$187&amp;" "&amp;Milestones!$AC$187&amp;";  ","")&amp;IF(AND(EDATE($D61,Milestones!$AA$188)&lt;=AsOfDate,IF($R61=0,$X61,IF(AND($T61&lt;&gt;"",EDATE($D61,Milestones!$AA$188)&gt;=$T61),$W61,IF(AND($S61&lt;&gt;"",EDATE($D61,Milestones!$AA$188)&gt;=$S61),$V61,$U61)))=Milestones!$AB$188),UPPER(TEXT(EDATE($D61,Milestones!$AA$188),"dd mmm yy"))&amp;" "&amp;Milestones!$AB$188&amp;" "&amp;Milestones!$AC$188&amp;";  ","")&amp;IF(AND(EDATE($D61,Milestones!$AA$189)&lt;=AsOfDate,IF($R61=0,$X61,IF(AND($T61&lt;&gt;"",EDATE($D61,Milestones!$AA$189)&gt;=$T61),$W61,IF(AND($S61&lt;&gt;"",EDATE($D61,Milestones!$AA$189)&gt;=$S61),$V61,$U61)))=Milestones!$AB$189),UPPER(TEXT(EDATE($D61,Milestones!$AA$189),"dd mmm yy"))&amp;" "&amp;Milestones!$AB$189&amp;" "&amp;Milestones!$AC$189&amp;";  ","")&amp;IF(AND(EDATE($D61,Milestones!$AA$190)&lt;=AsOfDate,IF($R61=0,$X61,IF(AND($T61&lt;&gt;"",EDATE($D61,Milestones!$AA$190)&gt;=$T61),$W61,IF(AND($S61&lt;&gt;"",EDATE($D61,Milestones!$AA$190)&gt;=$S61),$V61,$U61)))=Milestones!$AB$190),UPPER(TEXT(EDATE($D61,Milestones!$AA$190),"dd mmm yy"))&amp;" "&amp;Milestones!$AB$190&amp;" "&amp;Milestones!$AC$190&amp;";  ","")&amp;IF(AND(EDATE($D61,Milestones!$AA$191)&lt;=AsOfDate,IF($R61=0,$X61,IF(AND($T61&lt;&gt;"",EDATE($D61,Milestones!$AA$191)&gt;=$T61),$W61,IF(AND($S61&lt;&gt;"",EDATE($D61,Milestones!$AA$191)&gt;=$S61),$V61,$U61)))=Milestones!$AB$191),UPPER(TEXT(EDATE($D61,Milestones!$AA$191),"dd mmm yy"))&amp;" "&amp;Milestones!$AB$191&amp;" "&amp;Milestones!$AC$191&amp;";  ","")&amp;IF(AND(EDATE($D61,Milestones!$AA$192)&lt;=AsOfDate,IF($R61=0,$X61,IF(AND($T61&lt;&gt;"",EDATE($D61,Milestones!$AA$192)&gt;=$T61),$W61,IF(AND($S61&lt;&gt;"",EDATE($D61,Milestones!$AA$192)&gt;=$S61),$V61,$U61)))=Milestones!$AB$192),UPPER(TEXT(EDATE($D61,Milestones!$AA$192),"dd mmm yy"))&amp;" "&amp;Milestones!$AB$192&amp;" "&amp;Milestones!$AC$192&amp;";  ","")&amp;IF(AND(EDATE($D61,Milestones!$AA$193)&lt;=AsOfDate,IF($R61=0,$X61,IF(AND($T61&lt;&gt;"",EDATE($D61,Milestones!$AA$193)&gt;=$T61),$W61,IF(AND($S61&lt;&gt;"",EDATE($D61,Milestones!$AA$193)&gt;=$S61),$V61,$U61)))=Milestones!$AB$193),UPPER(TEXT(EDATE($D61,Milestones!$AA$193),"dd mmm yy"))&amp;" "&amp;Milestones!$AB$193&amp;" "&amp;Milestones!$AC$193&amp;";  ","")&amp;IF(AND(EDATE($D61,Milestones!$AA$194)&lt;=AsOfDate,IF($R61=0,$X61,IF(AND($T61&lt;&gt;"",EDATE($D61,Milestones!$AA$194)&gt;=$T61),$W61,IF(AND($S61&lt;&gt;"",EDATE($D61,Milestones!$AA$194)&gt;=$S61),$V61,$U61)))=Milestones!$AB$194),UPPER(TEXT(EDATE($D61,Milestones!$AA$194),"dd mmm yy"))&amp;" "&amp;Milestones!$AB$194&amp;" "&amp;Milestones!$AC$194&amp;";  ","")&amp;IF(AND(EDATE($D61,Milestones!$AA$195)&lt;=AsOfDate,IF($R61=0,$X61,IF(AND($T61&lt;&gt;"",EDATE($D61,Milestones!$AA$195)&gt;=$T61),$W61,IF(AND($S61&lt;&gt;"",EDATE($D61,Milestones!$AA$195)&gt;=$S61),$V61,$U61)))=Milestones!$AB$195),UPPER(TEXT(EDATE($D61,Milestones!$AA$195),"dd mmm yy"))&amp;" "&amp;Milestones!$AB$195&amp;" "&amp;Milestones!$AC$195&amp;";  ","")&amp;IF(AND(EDATE($D61,Milestones!$AA$196)&lt;=AsOfDate,IF($R61=0,$X61,IF(AND($T61&lt;&gt;"",EDATE($D61,Milestones!$AA$196)&gt;=$T61),$W61,IF(AND($S61&lt;&gt;"",EDATE($D61,Milestones!$AA$196)&gt;=$S61),$V61,$U61)))=Milestones!$AB$196),UPPER(TEXT(EDATE($D61,Milestones!$AA$196),"dd mmm yy"))&amp;" "&amp;Milestones!$AB$196&amp;" "&amp;Milestones!$AC$196&amp;";  ","")&amp;IF(AND(EDATE($D61,Milestones!$AA$197)&lt;=AsOfDate,IF($R61=0,$X61,IF(AND($T61&lt;&gt;"",EDATE($D61,Milestones!$AA$197)&gt;=$T61),$W61,IF(AND($S61&lt;&gt;"",EDATE($D61,Milestones!$AA$197)&gt;=$S61),$V61,$U61)))=Milestones!$AB$197),UPPER(TEXT(EDATE($D61,Milestones!$AA$197),"dd mmm yy"))&amp;" "&amp;Milestones!$AB$197&amp;" "&amp;Milestones!$AC$197&amp;";  ","")&amp;IF(AND(EDATE($D61,Milestones!$AA$198)&lt;=AsOfDate,IF($R61=0,$X61,IF(AND($T61&lt;&gt;"",EDATE($D61,Milestones!$AA$198)&gt;=$T61),$W61,IF(AND($S61&lt;&gt;"",EDATE($D61,Milestones!$AA$198)&gt;=$S61),$V61,$U61)))=Milestones!$AB$198),UPPER(TEXT(EDATE($D61,Milestones!$AA$198),"dd mmm yy"))&amp;" "&amp;Milestones!$AB$198&amp;" "&amp;Milestones!$AC$198&amp;";  ","")&amp;IF(AND(EDATE($D61,Milestones!$AA$199)&lt;=AsOfDate,IF($R61=0,$X61,IF(AND($T61&lt;&gt;"",EDATE($D61,Milestones!$AA$199)&gt;=$T61),$W61,IF(AND($S61&lt;&gt;"",EDATE($D61,Milestones!$AA$199)&gt;=$S61),$V61,$U61)))=Milestones!$AB$199),UPPER(TEXT(EDATE($D61,Milestones!$AA$199),"dd mmm yy"))&amp;" "&amp;Milestones!$AB$199&amp;" "&amp;Milestones!$AC$199&amp;";  ",""))</f>
        <v/>
      </c>
      <c r="R61" s="0" t="str">
        <f aca="false">IF(Staff!$A61="","",Staff!$AI61)</f>
        <v/>
      </c>
      <c r="S61" s="0" t="str">
        <f aca="false">IF(Staff!$A61="","",Staff!$AK61)</f>
        <v/>
      </c>
      <c r="T61" s="0" t="str">
        <f aca="false">IF(Staff!$A61="","",Staff!$AL61)</f>
        <v/>
      </c>
      <c r="U61" s="0" t="str">
        <f aca="false">IF(Staff!$A61="","",Staff!$AP61)</f>
        <v/>
      </c>
      <c r="V61" s="0" t="str">
        <f aca="false">IF(Staff!$A61="","",Staff!$AQ61)</f>
        <v/>
      </c>
      <c r="W61" s="0" t="str">
        <f aca="false">IF(Staff!$A61="","",Staff!$AR61)</f>
        <v/>
      </c>
      <c r="X61" s="0" t="str">
        <f aca="false">IF(Staff!$A61="","",Staff!$AS61)</f>
        <v/>
      </c>
    </row>
    <row r="62" customFormat="false" ht="15" hidden="false" customHeight="false" outlineLevel="0" collapsed="false">
      <c r="A62" s="14" t="str">
        <f aca="false">IF(Staff!$A62="","",Staff!$A62)</f>
        <v/>
      </c>
      <c r="B62" s="14" t="str">
        <f aca="false">IF(Staff!$A62="","",Staff!$B62)</f>
        <v/>
      </c>
      <c r="C62" s="14" t="str">
        <f aca="false">IF(Staff!$A62="","",Staff!$C62)</f>
        <v/>
      </c>
      <c r="D62" s="12" t="str">
        <f aca="false">IF(Staff!$A62="","",Staff!$AH62)</f>
        <v/>
      </c>
      <c r="E62" s="14" t="str">
        <f aca="false">IF(Staff!$A62="","",Staff!$O62)</f>
        <v/>
      </c>
      <c r="F62" s="14" t="str">
        <f aca="false">IF(E62="","",E62*HoursPerDay)</f>
        <v/>
      </c>
      <c r="G62" s="14" t="str">
        <f aca="false">IF(Staff!$A62="","",Staff!$AE62)</f>
        <v/>
      </c>
      <c r="H62" s="26" t="str">
        <f aca="false">IF($A62="","",I62&amp;J62&amp;K62&amp;L62&amp;M62&amp;N62&amp;O62&amp;P62&amp;Q62)</f>
        <v/>
      </c>
      <c r="I62" s="0" t="str">
        <f aca="false">IF(OR($A62="",$D62=""),"",IF(AND(EDATE($D62,Milestones!$AA$20)&lt;=AsOfDate,IF($R62=0,$X62,IF(AND($T62&lt;&gt;"",EDATE($D62,Milestones!$AA$20)&gt;=$T62),$W62,IF(AND($S62&lt;&gt;"",EDATE($D62,Milestones!$AA$20)&gt;=$S62),$V62,$U62)))=Milestones!$AB$20),UPPER(TEXT(EDATE($D62,Milestones!$AA$20),"dd mmm yy"))&amp;" "&amp;Milestones!$AB$20&amp;" "&amp;Milestones!$AC$20&amp;";  ","")&amp;IF(AND(EDATE($D62,Milestones!$AA$21)&lt;=AsOfDate,IF($R62=0,$X62,IF(AND($T62&lt;&gt;"",EDATE($D62,Milestones!$AA$21)&gt;=$T62),$W62,IF(AND($S62&lt;&gt;"",EDATE($D62,Milestones!$AA$21)&gt;=$S62),$V62,$U62)))=Milestones!$AB$21),UPPER(TEXT(EDATE($D62,Milestones!$AA$21),"dd mmm yy"))&amp;" "&amp;Milestones!$AB$21&amp;" "&amp;Milestones!$AC$21&amp;";  ","")&amp;IF(AND(EDATE($D62,Milestones!$AA$22)&lt;=AsOfDate,IF($R62=0,$X62,IF(AND($T62&lt;&gt;"",EDATE($D62,Milestones!$AA$22)&gt;=$T62),$W62,IF(AND($S62&lt;&gt;"",EDATE($D62,Milestones!$AA$22)&gt;=$S62),$V62,$U62)))=Milestones!$AB$22),UPPER(TEXT(EDATE($D62,Milestones!$AA$22),"dd mmm yy"))&amp;" "&amp;Milestones!$AB$22&amp;" "&amp;Milestones!$AC$22&amp;";  ","")&amp;IF(AND(EDATE($D62,Milestones!$AA$23)&lt;=AsOfDate,IF($R62=0,$X62,IF(AND($T62&lt;&gt;"",EDATE($D62,Milestones!$AA$23)&gt;=$T62),$W62,IF(AND($S62&lt;&gt;"",EDATE($D62,Milestones!$AA$23)&gt;=$S62),$V62,$U62)))=Milestones!$AB$23),UPPER(TEXT(EDATE($D62,Milestones!$AA$23),"dd mmm yy"))&amp;" "&amp;Milestones!$AB$23&amp;" "&amp;Milestones!$AC$23&amp;";  ","")&amp;IF(AND(EDATE($D62,Milestones!$AA$24)&lt;=AsOfDate,IF($R62=0,$X62,IF(AND($T62&lt;&gt;"",EDATE($D62,Milestones!$AA$24)&gt;=$T62),$W62,IF(AND($S62&lt;&gt;"",EDATE($D62,Milestones!$AA$24)&gt;=$S62),$V62,$U62)))=Milestones!$AB$24),UPPER(TEXT(EDATE($D62,Milestones!$AA$24),"dd mmm yy"))&amp;" "&amp;Milestones!$AB$24&amp;" "&amp;Milestones!$AC$24&amp;";  ","")&amp;IF(AND(EDATE($D62,Milestones!$AA$25)&lt;=AsOfDate,IF($R62=0,$X62,IF(AND($T62&lt;&gt;"",EDATE($D62,Milestones!$AA$25)&gt;=$T62),$W62,IF(AND($S62&lt;&gt;"",EDATE($D62,Milestones!$AA$25)&gt;=$S62),$V62,$U62)))=Milestones!$AB$25),UPPER(TEXT(EDATE($D62,Milestones!$AA$25),"dd mmm yy"))&amp;" "&amp;Milestones!$AB$25&amp;" "&amp;Milestones!$AC$25&amp;";  ","")&amp;IF(AND(EDATE($D62,Milestones!$AA$26)&lt;=AsOfDate,IF($R62=0,$X62,IF(AND($T62&lt;&gt;"",EDATE($D62,Milestones!$AA$26)&gt;=$T62),$W62,IF(AND($S62&lt;&gt;"",EDATE($D62,Milestones!$AA$26)&gt;=$S62),$V62,$U62)))=Milestones!$AB$26),UPPER(TEXT(EDATE($D62,Milestones!$AA$26),"dd mmm yy"))&amp;" "&amp;Milestones!$AB$26&amp;" "&amp;Milestones!$AC$26&amp;";  ","")&amp;IF(AND(EDATE($D62,Milestones!$AA$27)&lt;=AsOfDate,IF($R62=0,$X62,IF(AND($T62&lt;&gt;"",EDATE($D62,Milestones!$AA$27)&gt;=$T62),$W62,IF(AND($S62&lt;&gt;"",EDATE($D62,Milestones!$AA$27)&gt;=$S62),$V62,$U62)))=Milestones!$AB$27),UPPER(TEXT(EDATE($D62,Milestones!$AA$27),"dd mmm yy"))&amp;" "&amp;Milestones!$AB$27&amp;" "&amp;Milestones!$AC$27&amp;";  ","")&amp;IF(AND(EDATE($D62,Milestones!$AA$28)&lt;=AsOfDate,IF($R62=0,$X62,IF(AND($T62&lt;&gt;"",EDATE($D62,Milestones!$AA$28)&gt;=$T62),$W62,IF(AND($S62&lt;&gt;"",EDATE($D62,Milestones!$AA$28)&gt;=$S62),$V62,$U62)))=Milestones!$AB$28),UPPER(TEXT(EDATE($D62,Milestones!$AA$28),"dd mmm yy"))&amp;" "&amp;Milestones!$AB$28&amp;" "&amp;Milestones!$AC$28&amp;";  ","")&amp;IF(AND(EDATE($D62,Milestones!$AA$29)&lt;=AsOfDate,IF($R62=0,$X62,IF(AND($T62&lt;&gt;"",EDATE($D62,Milestones!$AA$29)&gt;=$T62),$W62,IF(AND($S62&lt;&gt;"",EDATE($D62,Milestones!$AA$29)&gt;=$S62),$V62,$U62)))=Milestones!$AB$29),UPPER(TEXT(EDATE($D62,Milestones!$AA$29),"dd mmm yy"))&amp;" "&amp;Milestones!$AB$29&amp;" "&amp;Milestones!$AC$29&amp;";  ","")&amp;IF(AND(EDATE($D62,Milestones!$AA$30)&lt;=AsOfDate,IF($R62=0,$X62,IF(AND($T62&lt;&gt;"",EDATE($D62,Milestones!$AA$30)&gt;=$T62),$W62,IF(AND($S62&lt;&gt;"",EDATE($D62,Milestones!$AA$30)&gt;=$S62),$V62,$U62)))=Milestones!$AB$30),UPPER(TEXT(EDATE($D62,Milestones!$AA$30),"dd mmm yy"))&amp;" "&amp;Milestones!$AB$30&amp;" "&amp;Milestones!$AC$30&amp;";  ","")&amp;IF(AND(EDATE($D62,Milestones!$AA$31)&lt;=AsOfDate,IF($R62=0,$X62,IF(AND($T62&lt;&gt;"",EDATE($D62,Milestones!$AA$31)&gt;=$T62),$W62,IF(AND($S62&lt;&gt;"",EDATE($D62,Milestones!$AA$31)&gt;=$S62),$V62,$U62)))=Milestones!$AB$31),UPPER(TEXT(EDATE($D62,Milestones!$AA$31),"dd mmm yy"))&amp;" "&amp;Milestones!$AB$31&amp;" "&amp;Milestones!$AC$31&amp;";  ","")&amp;IF(AND(EDATE($D62,Milestones!$AA$32)&lt;=AsOfDate,IF($R62=0,$X62,IF(AND($T62&lt;&gt;"",EDATE($D62,Milestones!$AA$32)&gt;=$T62),$W62,IF(AND($S62&lt;&gt;"",EDATE($D62,Milestones!$AA$32)&gt;=$S62),$V62,$U62)))=Milestones!$AB$32),UPPER(TEXT(EDATE($D62,Milestones!$AA$32),"dd mmm yy"))&amp;" "&amp;Milestones!$AB$32&amp;" "&amp;Milestones!$AC$32&amp;";  ","")&amp;IF(AND(EDATE($D62,Milestones!$AA$33)&lt;=AsOfDate,IF($R62=0,$X62,IF(AND($T62&lt;&gt;"",EDATE($D62,Milestones!$AA$33)&gt;=$T62),$W62,IF(AND($S62&lt;&gt;"",EDATE($D62,Milestones!$AA$33)&gt;=$S62),$V62,$U62)))=Milestones!$AB$33),UPPER(TEXT(EDATE($D62,Milestones!$AA$33),"dd mmm yy"))&amp;" "&amp;Milestones!$AB$33&amp;" "&amp;Milestones!$AC$33&amp;";  ","")&amp;IF(AND(EDATE($D62,Milestones!$AA$34)&lt;=AsOfDate,IF($R62=0,$X62,IF(AND($T62&lt;&gt;"",EDATE($D62,Milestones!$AA$34)&gt;=$T62),$W62,IF(AND($S62&lt;&gt;"",EDATE($D62,Milestones!$AA$34)&gt;=$S62),$V62,$U62)))=Milestones!$AB$34),UPPER(TEXT(EDATE($D62,Milestones!$AA$34),"dd mmm yy"))&amp;" "&amp;Milestones!$AB$34&amp;" "&amp;Milestones!$AC$34&amp;";  ","")&amp;IF(AND(EDATE($D62,Milestones!$AA$35)&lt;=AsOfDate,IF($R62=0,$X62,IF(AND($T62&lt;&gt;"",EDATE($D62,Milestones!$AA$35)&gt;=$T62),$W62,IF(AND($S62&lt;&gt;"",EDATE($D62,Milestones!$AA$35)&gt;=$S62),$V62,$U62)))=Milestones!$AB$35),UPPER(TEXT(EDATE($D62,Milestones!$AA$35),"dd mmm yy"))&amp;" "&amp;Milestones!$AB$35&amp;" "&amp;Milestones!$AC$35&amp;";  ","")&amp;IF(AND(EDATE($D62,Milestones!$AA$36)&lt;=AsOfDate,IF($R62=0,$X62,IF(AND($T62&lt;&gt;"",EDATE($D62,Milestones!$AA$36)&gt;=$T62),$W62,IF(AND($S62&lt;&gt;"",EDATE($D62,Milestones!$AA$36)&gt;=$S62),$V62,$U62)))=Milestones!$AB$36),UPPER(TEXT(EDATE($D62,Milestones!$AA$36),"dd mmm yy"))&amp;" "&amp;Milestones!$AB$36&amp;" "&amp;Milestones!$AC$36&amp;";  ","")&amp;IF(AND(EDATE($D62,Milestones!$AA$37)&lt;=AsOfDate,IF($R62=0,$X62,IF(AND($T62&lt;&gt;"",EDATE($D62,Milestones!$AA$37)&gt;=$T62),$W62,IF(AND($S62&lt;&gt;"",EDATE($D62,Milestones!$AA$37)&gt;=$S62),$V62,$U62)))=Milestones!$AB$37),UPPER(TEXT(EDATE($D62,Milestones!$AA$37),"dd mmm yy"))&amp;" "&amp;Milestones!$AB$37&amp;" "&amp;Milestones!$AC$37&amp;";  ","")&amp;IF(AND(EDATE($D62,Milestones!$AA$38)&lt;=AsOfDate,IF($R62=0,$X62,IF(AND($T62&lt;&gt;"",EDATE($D62,Milestones!$AA$38)&gt;=$T62),$W62,IF(AND($S62&lt;&gt;"",EDATE($D62,Milestones!$AA$38)&gt;=$S62),$V62,$U62)))=Milestones!$AB$38),UPPER(TEXT(EDATE($D62,Milestones!$AA$38),"dd mmm yy"))&amp;" "&amp;Milestones!$AB$38&amp;" "&amp;Milestones!$AC$38&amp;";  ","")&amp;IF(AND(EDATE($D62,Milestones!$AA$39)&lt;=AsOfDate,IF($R62=0,$X62,IF(AND($T62&lt;&gt;"",EDATE($D62,Milestones!$AA$39)&gt;=$T62),$W62,IF(AND($S62&lt;&gt;"",EDATE($D62,Milestones!$AA$39)&gt;=$S62),$V62,$U62)))=Milestones!$AB$39),UPPER(TEXT(EDATE($D62,Milestones!$AA$39),"dd mmm yy"))&amp;" "&amp;Milestones!$AB$39&amp;" "&amp;Milestones!$AC$39&amp;";  ",""))</f>
        <v/>
      </c>
      <c r="J62" s="0" t="str">
        <f aca="false">IF(OR($A62="",$D62=""),"",IF(AND(EDATE($D62,Milestones!$AA$40)&lt;=AsOfDate,IF($R62=0,$X62,IF(AND($T62&lt;&gt;"",EDATE($D62,Milestones!$AA$40)&gt;=$T62),$W62,IF(AND($S62&lt;&gt;"",EDATE($D62,Milestones!$AA$40)&gt;=$S62),$V62,$U62)))=Milestones!$AB$40),UPPER(TEXT(EDATE($D62,Milestones!$AA$40),"dd mmm yy"))&amp;" "&amp;Milestones!$AB$40&amp;" "&amp;Milestones!$AC$40&amp;";  ","")&amp;IF(AND(EDATE($D62,Milestones!$AA$41)&lt;=AsOfDate,IF($R62=0,$X62,IF(AND($T62&lt;&gt;"",EDATE($D62,Milestones!$AA$41)&gt;=$T62),$W62,IF(AND($S62&lt;&gt;"",EDATE($D62,Milestones!$AA$41)&gt;=$S62),$V62,$U62)))=Milestones!$AB$41),UPPER(TEXT(EDATE($D62,Milestones!$AA$41),"dd mmm yy"))&amp;" "&amp;Milestones!$AB$41&amp;" "&amp;Milestones!$AC$41&amp;";  ","")&amp;IF(AND(EDATE($D62,Milestones!$AA$42)&lt;=AsOfDate,IF($R62=0,$X62,IF(AND($T62&lt;&gt;"",EDATE($D62,Milestones!$AA$42)&gt;=$T62),$W62,IF(AND($S62&lt;&gt;"",EDATE($D62,Milestones!$AA$42)&gt;=$S62),$V62,$U62)))=Milestones!$AB$42),UPPER(TEXT(EDATE($D62,Milestones!$AA$42),"dd mmm yy"))&amp;" "&amp;Milestones!$AB$42&amp;" "&amp;Milestones!$AC$42&amp;";  ","")&amp;IF(AND(EDATE($D62,Milestones!$AA$43)&lt;=AsOfDate,IF($R62=0,$X62,IF(AND($T62&lt;&gt;"",EDATE($D62,Milestones!$AA$43)&gt;=$T62),$W62,IF(AND($S62&lt;&gt;"",EDATE($D62,Milestones!$AA$43)&gt;=$S62),$V62,$U62)))=Milestones!$AB$43),UPPER(TEXT(EDATE($D62,Milestones!$AA$43),"dd mmm yy"))&amp;" "&amp;Milestones!$AB$43&amp;" "&amp;Milestones!$AC$43&amp;";  ","")&amp;IF(AND(EDATE($D62,Milestones!$AA$44)&lt;=AsOfDate,IF($R62=0,$X62,IF(AND($T62&lt;&gt;"",EDATE($D62,Milestones!$AA$44)&gt;=$T62),$W62,IF(AND($S62&lt;&gt;"",EDATE($D62,Milestones!$AA$44)&gt;=$S62),$V62,$U62)))=Milestones!$AB$44),UPPER(TEXT(EDATE($D62,Milestones!$AA$44),"dd mmm yy"))&amp;" "&amp;Milestones!$AB$44&amp;" "&amp;Milestones!$AC$44&amp;";  ","")&amp;IF(AND(EDATE($D62,Milestones!$AA$45)&lt;=AsOfDate,IF($R62=0,$X62,IF(AND($T62&lt;&gt;"",EDATE($D62,Milestones!$AA$45)&gt;=$T62),$W62,IF(AND($S62&lt;&gt;"",EDATE($D62,Milestones!$AA$45)&gt;=$S62),$V62,$U62)))=Milestones!$AB$45),UPPER(TEXT(EDATE($D62,Milestones!$AA$45),"dd mmm yy"))&amp;" "&amp;Milestones!$AB$45&amp;" "&amp;Milestones!$AC$45&amp;";  ","")&amp;IF(AND(EDATE($D62,Milestones!$AA$46)&lt;=AsOfDate,IF($R62=0,$X62,IF(AND($T62&lt;&gt;"",EDATE($D62,Milestones!$AA$46)&gt;=$T62),$W62,IF(AND($S62&lt;&gt;"",EDATE($D62,Milestones!$AA$46)&gt;=$S62),$V62,$U62)))=Milestones!$AB$46),UPPER(TEXT(EDATE($D62,Milestones!$AA$46),"dd mmm yy"))&amp;" "&amp;Milestones!$AB$46&amp;" "&amp;Milestones!$AC$46&amp;";  ","")&amp;IF(AND(EDATE($D62,Milestones!$AA$47)&lt;=AsOfDate,IF($R62=0,$X62,IF(AND($T62&lt;&gt;"",EDATE($D62,Milestones!$AA$47)&gt;=$T62),$W62,IF(AND($S62&lt;&gt;"",EDATE($D62,Milestones!$AA$47)&gt;=$S62),$V62,$U62)))=Milestones!$AB$47),UPPER(TEXT(EDATE($D62,Milestones!$AA$47),"dd mmm yy"))&amp;" "&amp;Milestones!$AB$47&amp;" "&amp;Milestones!$AC$47&amp;";  ","")&amp;IF(AND(EDATE($D62,Milestones!$AA$48)&lt;=AsOfDate,IF($R62=0,$X62,IF(AND($T62&lt;&gt;"",EDATE($D62,Milestones!$AA$48)&gt;=$T62),$W62,IF(AND($S62&lt;&gt;"",EDATE($D62,Milestones!$AA$48)&gt;=$S62),$V62,$U62)))=Milestones!$AB$48),UPPER(TEXT(EDATE($D62,Milestones!$AA$48),"dd mmm yy"))&amp;" "&amp;Milestones!$AB$48&amp;" "&amp;Milestones!$AC$48&amp;";  ","")&amp;IF(AND(EDATE($D62,Milestones!$AA$49)&lt;=AsOfDate,IF($R62=0,$X62,IF(AND($T62&lt;&gt;"",EDATE($D62,Milestones!$AA$49)&gt;=$T62),$W62,IF(AND($S62&lt;&gt;"",EDATE($D62,Milestones!$AA$49)&gt;=$S62),$V62,$U62)))=Milestones!$AB$49),UPPER(TEXT(EDATE($D62,Milestones!$AA$49),"dd mmm yy"))&amp;" "&amp;Milestones!$AB$49&amp;" "&amp;Milestones!$AC$49&amp;";  ","")&amp;IF(AND(EDATE($D62,Milestones!$AA$50)&lt;=AsOfDate,IF($R62=0,$X62,IF(AND($T62&lt;&gt;"",EDATE($D62,Milestones!$AA$50)&gt;=$T62),$W62,IF(AND($S62&lt;&gt;"",EDATE($D62,Milestones!$AA$50)&gt;=$S62),$V62,$U62)))=Milestones!$AB$50),UPPER(TEXT(EDATE($D62,Milestones!$AA$50),"dd mmm yy"))&amp;" "&amp;Milestones!$AB$50&amp;" "&amp;Milestones!$AC$50&amp;";  ","")&amp;IF(AND(EDATE($D62,Milestones!$AA$51)&lt;=AsOfDate,IF($R62=0,$X62,IF(AND($T62&lt;&gt;"",EDATE($D62,Milestones!$AA$51)&gt;=$T62),$W62,IF(AND($S62&lt;&gt;"",EDATE($D62,Milestones!$AA$51)&gt;=$S62),$V62,$U62)))=Milestones!$AB$51),UPPER(TEXT(EDATE($D62,Milestones!$AA$51),"dd mmm yy"))&amp;" "&amp;Milestones!$AB$51&amp;" "&amp;Milestones!$AC$51&amp;";  ","")&amp;IF(AND(EDATE($D62,Milestones!$AA$52)&lt;=AsOfDate,IF($R62=0,$X62,IF(AND($T62&lt;&gt;"",EDATE($D62,Milestones!$AA$52)&gt;=$T62),$W62,IF(AND($S62&lt;&gt;"",EDATE($D62,Milestones!$AA$52)&gt;=$S62),$V62,$U62)))=Milestones!$AB$52),UPPER(TEXT(EDATE($D62,Milestones!$AA$52),"dd mmm yy"))&amp;" "&amp;Milestones!$AB$52&amp;" "&amp;Milestones!$AC$52&amp;";  ","")&amp;IF(AND(EDATE($D62,Milestones!$AA$53)&lt;=AsOfDate,IF($R62=0,$X62,IF(AND($T62&lt;&gt;"",EDATE($D62,Milestones!$AA$53)&gt;=$T62),$W62,IF(AND($S62&lt;&gt;"",EDATE($D62,Milestones!$AA$53)&gt;=$S62),$V62,$U62)))=Milestones!$AB$53),UPPER(TEXT(EDATE($D62,Milestones!$AA$53),"dd mmm yy"))&amp;" "&amp;Milestones!$AB$53&amp;" "&amp;Milestones!$AC$53&amp;";  ","")&amp;IF(AND(EDATE($D62,Milestones!$AA$54)&lt;=AsOfDate,IF($R62=0,$X62,IF(AND($T62&lt;&gt;"",EDATE($D62,Milestones!$AA$54)&gt;=$T62),$W62,IF(AND($S62&lt;&gt;"",EDATE($D62,Milestones!$AA$54)&gt;=$S62),$V62,$U62)))=Milestones!$AB$54),UPPER(TEXT(EDATE($D62,Milestones!$AA$54),"dd mmm yy"))&amp;" "&amp;Milestones!$AB$54&amp;" "&amp;Milestones!$AC$54&amp;";  ","")&amp;IF(AND(EDATE($D62,Milestones!$AA$55)&lt;=AsOfDate,IF($R62=0,$X62,IF(AND($T62&lt;&gt;"",EDATE($D62,Milestones!$AA$55)&gt;=$T62),$W62,IF(AND($S62&lt;&gt;"",EDATE($D62,Milestones!$AA$55)&gt;=$S62),$V62,$U62)))=Milestones!$AB$55),UPPER(TEXT(EDATE($D62,Milestones!$AA$55),"dd mmm yy"))&amp;" "&amp;Milestones!$AB$55&amp;" "&amp;Milestones!$AC$55&amp;";  ","")&amp;IF(AND(EDATE($D62,Milestones!$AA$56)&lt;=AsOfDate,IF($R62=0,$X62,IF(AND($T62&lt;&gt;"",EDATE($D62,Milestones!$AA$56)&gt;=$T62),$W62,IF(AND($S62&lt;&gt;"",EDATE($D62,Milestones!$AA$56)&gt;=$S62),$V62,$U62)))=Milestones!$AB$56),UPPER(TEXT(EDATE($D62,Milestones!$AA$56),"dd mmm yy"))&amp;" "&amp;Milestones!$AB$56&amp;" "&amp;Milestones!$AC$56&amp;";  ","")&amp;IF(AND(EDATE($D62,Milestones!$AA$57)&lt;=AsOfDate,IF($R62=0,$X62,IF(AND($T62&lt;&gt;"",EDATE($D62,Milestones!$AA$57)&gt;=$T62),$W62,IF(AND($S62&lt;&gt;"",EDATE($D62,Milestones!$AA$57)&gt;=$S62),$V62,$U62)))=Milestones!$AB$57),UPPER(TEXT(EDATE($D62,Milestones!$AA$57),"dd mmm yy"))&amp;" "&amp;Milestones!$AB$57&amp;" "&amp;Milestones!$AC$57&amp;";  ","")&amp;IF(AND(EDATE($D62,Milestones!$AA$58)&lt;=AsOfDate,IF($R62=0,$X62,IF(AND($T62&lt;&gt;"",EDATE($D62,Milestones!$AA$58)&gt;=$T62),$W62,IF(AND($S62&lt;&gt;"",EDATE($D62,Milestones!$AA$58)&gt;=$S62),$V62,$U62)))=Milestones!$AB$58),UPPER(TEXT(EDATE($D62,Milestones!$AA$58),"dd mmm yy"))&amp;" "&amp;Milestones!$AB$58&amp;" "&amp;Milestones!$AC$58&amp;";  ","")&amp;IF(AND(EDATE($D62,Milestones!$AA$59)&lt;=AsOfDate,IF($R62=0,$X62,IF(AND($T62&lt;&gt;"",EDATE($D62,Milestones!$AA$59)&gt;=$T62),$W62,IF(AND($S62&lt;&gt;"",EDATE($D62,Milestones!$AA$59)&gt;=$S62),$V62,$U62)))=Milestones!$AB$59),UPPER(TEXT(EDATE($D62,Milestones!$AA$59),"dd mmm yy"))&amp;" "&amp;Milestones!$AB$59&amp;" "&amp;Milestones!$AC$59&amp;";  ",""))</f>
        <v/>
      </c>
      <c r="K62" s="0" t="str">
        <f aca="false">IF(OR($A62="",$D62=""),"",IF(AND(EDATE($D62,Milestones!$AA$60)&lt;=AsOfDate,IF($R62=0,$X62,IF(AND($T62&lt;&gt;"",EDATE($D62,Milestones!$AA$60)&gt;=$T62),$W62,IF(AND($S62&lt;&gt;"",EDATE($D62,Milestones!$AA$60)&gt;=$S62),$V62,$U62)))=Milestones!$AB$60),UPPER(TEXT(EDATE($D62,Milestones!$AA$60),"dd mmm yy"))&amp;" "&amp;Milestones!$AB$60&amp;" "&amp;Milestones!$AC$60&amp;";  ","")&amp;IF(AND(EDATE($D62,Milestones!$AA$61)&lt;=AsOfDate,IF($R62=0,$X62,IF(AND($T62&lt;&gt;"",EDATE($D62,Milestones!$AA$61)&gt;=$T62),$W62,IF(AND($S62&lt;&gt;"",EDATE($D62,Milestones!$AA$61)&gt;=$S62),$V62,$U62)))=Milestones!$AB$61),UPPER(TEXT(EDATE($D62,Milestones!$AA$61),"dd mmm yy"))&amp;" "&amp;Milestones!$AB$61&amp;" "&amp;Milestones!$AC$61&amp;";  ","")&amp;IF(AND(EDATE($D62,Milestones!$AA$62)&lt;=AsOfDate,IF($R62=0,$X62,IF(AND($T62&lt;&gt;"",EDATE($D62,Milestones!$AA$62)&gt;=$T62),$W62,IF(AND($S62&lt;&gt;"",EDATE($D62,Milestones!$AA$62)&gt;=$S62),$V62,$U62)))=Milestones!$AB$62),UPPER(TEXT(EDATE($D62,Milestones!$AA$62),"dd mmm yy"))&amp;" "&amp;Milestones!$AB$62&amp;" "&amp;Milestones!$AC$62&amp;";  ","")&amp;IF(AND(EDATE($D62,Milestones!$AA$63)&lt;=AsOfDate,IF($R62=0,$X62,IF(AND($T62&lt;&gt;"",EDATE($D62,Milestones!$AA$63)&gt;=$T62),$W62,IF(AND($S62&lt;&gt;"",EDATE($D62,Milestones!$AA$63)&gt;=$S62),$V62,$U62)))=Milestones!$AB$63),UPPER(TEXT(EDATE($D62,Milestones!$AA$63),"dd mmm yy"))&amp;" "&amp;Milestones!$AB$63&amp;" "&amp;Milestones!$AC$63&amp;";  ","")&amp;IF(AND(EDATE($D62,Milestones!$AA$64)&lt;=AsOfDate,IF($R62=0,$X62,IF(AND($T62&lt;&gt;"",EDATE($D62,Milestones!$AA$64)&gt;=$T62),$W62,IF(AND($S62&lt;&gt;"",EDATE($D62,Milestones!$AA$64)&gt;=$S62),$V62,$U62)))=Milestones!$AB$64),UPPER(TEXT(EDATE($D62,Milestones!$AA$64),"dd mmm yy"))&amp;" "&amp;Milestones!$AB$64&amp;" "&amp;Milestones!$AC$64&amp;";  ","")&amp;IF(AND(EDATE($D62,Milestones!$AA$65)&lt;=AsOfDate,IF($R62=0,$X62,IF(AND($T62&lt;&gt;"",EDATE($D62,Milestones!$AA$65)&gt;=$T62),$W62,IF(AND($S62&lt;&gt;"",EDATE($D62,Milestones!$AA$65)&gt;=$S62),$V62,$U62)))=Milestones!$AB$65),UPPER(TEXT(EDATE($D62,Milestones!$AA$65),"dd mmm yy"))&amp;" "&amp;Milestones!$AB$65&amp;" "&amp;Milestones!$AC$65&amp;";  ","")&amp;IF(AND(EDATE($D62,Milestones!$AA$66)&lt;=AsOfDate,IF($R62=0,$X62,IF(AND($T62&lt;&gt;"",EDATE($D62,Milestones!$AA$66)&gt;=$T62),$W62,IF(AND($S62&lt;&gt;"",EDATE($D62,Milestones!$AA$66)&gt;=$S62),$V62,$U62)))=Milestones!$AB$66),UPPER(TEXT(EDATE($D62,Milestones!$AA$66),"dd mmm yy"))&amp;" "&amp;Milestones!$AB$66&amp;" "&amp;Milestones!$AC$66&amp;";  ","")&amp;IF(AND(EDATE($D62,Milestones!$AA$67)&lt;=AsOfDate,IF($R62=0,$X62,IF(AND($T62&lt;&gt;"",EDATE($D62,Milestones!$AA$67)&gt;=$T62),$W62,IF(AND($S62&lt;&gt;"",EDATE($D62,Milestones!$AA$67)&gt;=$S62),$V62,$U62)))=Milestones!$AB$67),UPPER(TEXT(EDATE($D62,Milestones!$AA$67),"dd mmm yy"))&amp;" "&amp;Milestones!$AB$67&amp;" "&amp;Milestones!$AC$67&amp;";  ","")&amp;IF(AND(EDATE($D62,Milestones!$AA$68)&lt;=AsOfDate,IF($R62=0,$X62,IF(AND($T62&lt;&gt;"",EDATE($D62,Milestones!$AA$68)&gt;=$T62),$W62,IF(AND($S62&lt;&gt;"",EDATE($D62,Milestones!$AA$68)&gt;=$S62),$V62,$U62)))=Milestones!$AB$68),UPPER(TEXT(EDATE($D62,Milestones!$AA$68),"dd mmm yy"))&amp;" "&amp;Milestones!$AB$68&amp;" "&amp;Milestones!$AC$68&amp;";  ","")&amp;IF(AND(EDATE($D62,Milestones!$AA$69)&lt;=AsOfDate,IF($R62=0,$X62,IF(AND($T62&lt;&gt;"",EDATE($D62,Milestones!$AA$69)&gt;=$T62),$W62,IF(AND($S62&lt;&gt;"",EDATE($D62,Milestones!$AA$69)&gt;=$S62),$V62,$U62)))=Milestones!$AB$69),UPPER(TEXT(EDATE($D62,Milestones!$AA$69),"dd mmm yy"))&amp;" "&amp;Milestones!$AB$69&amp;" "&amp;Milestones!$AC$69&amp;";  ","")&amp;IF(AND(EDATE($D62,Milestones!$AA$70)&lt;=AsOfDate,IF($R62=0,$X62,IF(AND($T62&lt;&gt;"",EDATE($D62,Milestones!$AA$70)&gt;=$T62),$W62,IF(AND($S62&lt;&gt;"",EDATE($D62,Milestones!$AA$70)&gt;=$S62),$V62,$U62)))=Milestones!$AB$70),UPPER(TEXT(EDATE($D62,Milestones!$AA$70),"dd mmm yy"))&amp;" "&amp;Milestones!$AB$70&amp;" "&amp;Milestones!$AC$70&amp;";  ","")&amp;IF(AND(EDATE($D62,Milestones!$AA$71)&lt;=AsOfDate,IF($R62=0,$X62,IF(AND($T62&lt;&gt;"",EDATE($D62,Milestones!$AA$71)&gt;=$T62),$W62,IF(AND($S62&lt;&gt;"",EDATE($D62,Milestones!$AA$71)&gt;=$S62),$V62,$U62)))=Milestones!$AB$71),UPPER(TEXT(EDATE($D62,Milestones!$AA$71),"dd mmm yy"))&amp;" "&amp;Milestones!$AB$71&amp;" "&amp;Milestones!$AC$71&amp;";  ","")&amp;IF(AND(EDATE($D62,Milestones!$AA$72)&lt;=AsOfDate,IF($R62=0,$X62,IF(AND($T62&lt;&gt;"",EDATE($D62,Milestones!$AA$72)&gt;=$T62),$W62,IF(AND($S62&lt;&gt;"",EDATE($D62,Milestones!$AA$72)&gt;=$S62),$V62,$U62)))=Milestones!$AB$72),UPPER(TEXT(EDATE($D62,Milestones!$AA$72),"dd mmm yy"))&amp;" "&amp;Milestones!$AB$72&amp;" "&amp;Milestones!$AC$72&amp;";  ","")&amp;IF(AND(EDATE($D62,Milestones!$AA$73)&lt;=AsOfDate,IF($R62=0,$X62,IF(AND($T62&lt;&gt;"",EDATE($D62,Milestones!$AA$73)&gt;=$T62),$W62,IF(AND($S62&lt;&gt;"",EDATE($D62,Milestones!$AA$73)&gt;=$S62),$V62,$U62)))=Milestones!$AB$73),UPPER(TEXT(EDATE($D62,Milestones!$AA$73),"dd mmm yy"))&amp;" "&amp;Milestones!$AB$73&amp;" "&amp;Milestones!$AC$73&amp;";  ","")&amp;IF(AND(EDATE($D62,Milestones!$AA$74)&lt;=AsOfDate,IF($R62=0,$X62,IF(AND($T62&lt;&gt;"",EDATE($D62,Milestones!$AA$74)&gt;=$T62),$W62,IF(AND($S62&lt;&gt;"",EDATE($D62,Milestones!$AA$74)&gt;=$S62),$V62,$U62)))=Milestones!$AB$74),UPPER(TEXT(EDATE($D62,Milestones!$AA$74),"dd mmm yy"))&amp;" "&amp;Milestones!$AB$74&amp;" "&amp;Milestones!$AC$74&amp;";  ","")&amp;IF(AND(EDATE($D62,Milestones!$AA$75)&lt;=AsOfDate,IF($R62=0,$X62,IF(AND($T62&lt;&gt;"",EDATE($D62,Milestones!$AA$75)&gt;=$T62),$W62,IF(AND($S62&lt;&gt;"",EDATE($D62,Milestones!$AA$75)&gt;=$S62),$V62,$U62)))=Milestones!$AB$75),UPPER(TEXT(EDATE($D62,Milestones!$AA$75),"dd mmm yy"))&amp;" "&amp;Milestones!$AB$75&amp;" "&amp;Milestones!$AC$75&amp;";  ","")&amp;IF(AND(EDATE($D62,Milestones!$AA$76)&lt;=AsOfDate,IF($R62=0,$X62,IF(AND($T62&lt;&gt;"",EDATE($D62,Milestones!$AA$76)&gt;=$T62),$W62,IF(AND($S62&lt;&gt;"",EDATE($D62,Milestones!$AA$76)&gt;=$S62),$V62,$U62)))=Milestones!$AB$76),UPPER(TEXT(EDATE($D62,Milestones!$AA$76),"dd mmm yy"))&amp;" "&amp;Milestones!$AB$76&amp;" "&amp;Milestones!$AC$76&amp;";  ","")&amp;IF(AND(EDATE($D62,Milestones!$AA$77)&lt;=AsOfDate,IF($R62=0,$X62,IF(AND($T62&lt;&gt;"",EDATE($D62,Milestones!$AA$77)&gt;=$T62),$W62,IF(AND($S62&lt;&gt;"",EDATE($D62,Milestones!$AA$77)&gt;=$S62),$V62,$U62)))=Milestones!$AB$77),UPPER(TEXT(EDATE($D62,Milestones!$AA$77),"dd mmm yy"))&amp;" "&amp;Milestones!$AB$77&amp;" "&amp;Milestones!$AC$77&amp;";  ","")&amp;IF(AND(EDATE($D62,Milestones!$AA$78)&lt;=AsOfDate,IF($R62=0,$X62,IF(AND($T62&lt;&gt;"",EDATE($D62,Milestones!$AA$78)&gt;=$T62),$W62,IF(AND($S62&lt;&gt;"",EDATE($D62,Milestones!$AA$78)&gt;=$S62),$V62,$U62)))=Milestones!$AB$78),UPPER(TEXT(EDATE($D62,Milestones!$AA$78),"dd mmm yy"))&amp;" "&amp;Milestones!$AB$78&amp;" "&amp;Milestones!$AC$78&amp;";  ","")&amp;IF(AND(EDATE($D62,Milestones!$AA$79)&lt;=AsOfDate,IF($R62=0,$X62,IF(AND($T62&lt;&gt;"",EDATE($D62,Milestones!$AA$79)&gt;=$T62),$W62,IF(AND($S62&lt;&gt;"",EDATE($D62,Milestones!$AA$79)&gt;=$S62),$V62,$U62)))=Milestones!$AB$79),UPPER(TEXT(EDATE($D62,Milestones!$AA$79),"dd mmm yy"))&amp;" "&amp;Milestones!$AB$79&amp;" "&amp;Milestones!$AC$79&amp;";  ",""))</f>
        <v/>
      </c>
      <c r="L62" s="0" t="str">
        <f aca="false">IF(OR($A62="",$D62=""),"",IF(AND(EDATE($D62,Milestones!$AA$80)&lt;=AsOfDate,IF($R62=0,$X62,IF(AND($T62&lt;&gt;"",EDATE($D62,Milestones!$AA$80)&gt;=$T62),$W62,IF(AND($S62&lt;&gt;"",EDATE($D62,Milestones!$AA$80)&gt;=$S62),$V62,$U62)))=Milestones!$AB$80),UPPER(TEXT(EDATE($D62,Milestones!$AA$80),"dd mmm yy"))&amp;" "&amp;Milestones!$AB$80&amp;" "&amp;Milestones!$AC$80&amp;";  ","")&amp;IF(AND(EDATE($D62,Milestones!$AA$81)&lt;=AsOfDate,IF($R62=0,$X62,IF(AND($T62&lt;&gt;"",EDATE($D62,Milestones!$AA$81)&gt;=$T62),$W62,IF(AND($S62&lt;&gt;"",EDATE($D62,Milestones!$AA$81)&gt;=$S62),$V62,$U62)))=Milestones!$AB$81),UPPER(TEXT(EDATE($D62,Milestones!$AA$81),"dd mmm yy"))&amp;" "&amp;Milestones!$AB$81&amp;" "&amp;Milestones!$AC$81&amp;";  ","")&amp;IF(AND(EDATE($D62,Milestones!$AA$82)&lt;=AsOfDate,IF($R62=0,$X62,IF(AND($T62&lt;&gt;"",EDATE($D62,Milestones!$AA$82)&gt;=$T62),$W62,IF(AND($S62&lt;&gt;"",EDATE($D62,Milestones!$AA$82)&gt;=$S62),$V62,$U62)))=Milestones!$AB$82),UPPER(TEXT(EDATE($D62,Milestones!$AA$82),"dd mmm yy"))&amp;" "&amp;Milestones!$AB$82&amp;" "&amp;Milestones!$AC$82&amp;";  ","")&amp;IF(AND(EDATE($D62,Milestones!$AA$83)&lt;=AsOfDate,IF($R62=0,$X62,IF(AND($T62&lt;&gt;"",EDATE($D62,Milestones!$AA$83)&gt;=$T62),$W62,IF(AND($S62&lt;&gt;"",EDATE($D62,Milestones!$AA$83)&gt;=$S62),$V62,$U62)))=Milestones!$AB$83),UPPER(TEXT(EDATE($D62,Milestones!$AA$83),"dd mmm yy"))&amp;" "&amp;Milestones!$AB$83&amp;" "&amp;Milestones!$AC$83&amp;";  ","")&amp;IF(AND(EDATE($D62,Milestones!$AA$84)&lt;=AsOfDate,IF($R62=0,$X62,IF(AND($T62&lt;&gt;"",EDATE($D62,Milestones!$AA$84)&gt;=$T62),$W62,IF(AND($S62&lt;&gt;"",EDATE($D62,Milestones!$AA$84)&gt;=$S62),$V62,$U62)))=Milestones!$AB$84),UPPER(TEXT(EDATE($D62,Milestones!$AA$84),"dd mmm yy"))&amp;" "&amp;Milestones!$AB$84&amp;" "&amp;Milestones!$AC$84&amp;";  ","")&amp;IF(AND(EDATE($D62,Milestones!$AA$85)&lt;=AsOfDate,IF($R62=0,$X62,IF(AND($T62&lt;&gt;"",EDATE($D62,Milestones!$AA$85)&gt;=$T62),$W62,IF(AND($S62&lt;&gt;"",EDATE($D62,Milestones!$AA$85)&gt;=$S62),$V62,$U62)))=Milestones!$AB$85),UPPER(TEXT(EDATE($D62,Milestones!$AA$85),"dd mmm yy"))&amp;" "&amp;Milestones!$AB$85&amp;" "&amp;Milestones!$AC$85&amp;";  ","")&amp;IF(AND(EDATE($D62,Milestones!$AA$86)&lt;=AsOfDate,IF($R62=0,$X62,IF(AND($T62&lt;&gt;"",EDATE($D62,Milestones!$AA$86)&gt;=$T62),$W62,IF(AND($S62&lt;&gt;"",EDATE($D62,Milestones!$AA$86)&gt;=$S62),$V62,$U62)))=Milestones!$AB$86),UPPER(TEXT(EDATE($D62,Milestones!$AA$86),"dd mmm yy"))&amp;" "&amp;Milestones!$AB$86&amp;" "&amp;Milestones!$AC$86&amp;";  ","")&amp;IF(AND(EDATE($D62,Milestones!$AA$87)&lt;=AsOfDate,IF($R62=0,$X62,IF(AND($T62&lt;&gt;"",EDATE($D62,Milestones!$AA$87)&gt;=$T62),$W62,IF(AND($S62&lt;&gt;"",EDATE($D62,Milestones!$AA$87)&gt;=$S62),$V62,$U62)))=Milestones!$AB$87),UPPER(TEXT(EDATE($D62,Milestones!$AA$87),"dd mmm yy"))&amp;" "&amp;Milestones!$AB$87&amp;" "&amp;Milestones!$AC$87&amp;";  ","")&amp;IF(AND(EDATE($D62,Milestones!$AA$88)&lt;=AsOfDate,IF($R62=0,$X62,IF(AND($T62&lt;&gt;"",EDATE($D62,Milestones!$AA$88)&gt;=$T62),$W62,IF(AND($S62&lt;&gt;"",EDATE($D62,Milestones!$AA$88)&gt;=$S62),$V62,$U62)))=Milestones!$AB$88),UPPER(TEXT(EDATE($D62,Milestones!$AA$88),"dd mmm yy"))&amp;" "&amp;Milestones!$AB$88&amp;" "&amp;Milestones!$AC$88&amp;";  ","")&amp;IF(AND(EDATE($D62,Milestones!$AA$89)&lt;=AsOfDate,IF($R62=0,$X62,IF(AND($T62&lt;&gt;"",EDATE($D62,Milestones!$AA$89)&gt;=$T62),$W62,IF(AND($S62&lt;&gt;"",EDATE($D62,Milestones!$AA$89)&gt;=$S62),$V62,$U62)))=Milestones!$AB$89),UPPER(TEXT(EDATE($D62,Milestones!$AA$89),"dd mmm yy"))&amp;" "&amp;Milestones!$AB$89&amp;" "&amp;Milestones!$AC$89&amp;";  ","")&amp;IF(AND(EDATE($D62,Milestones!$AA$90)&lt;=AsOfDate,IF($R62=0,$X62,IF(AND($T62&lt;&gt;"",EDATE($D62,Milestones!$AA$90)&gt;=$T62),$W62,IF(AND($S62&lt;&gt;"",EDATE($D62,Milestones!$AA$90)&gt;=$S62),$V62,$U62)))=Milestones!$AB$90),UPPER(TEXT(EDATE($D62,Milestones!$AA$90),"dd mmm yy"))&amp;" "&amp;Milestones!$AB$90&amp;" "&amp;Milestones!$AC$90&amp;";  ","")&amp;IF(AND(EDATE($D62,Milestones!$AA$91)&lt;=AsOfDate,IF($R62=0,$X62,IF(AND($T62&lt;&gt;"",EDATE($D62,Milestones!$AA$91)&gt;=$T62),$W62,IF(AND($S62&lt;&gt;"",EDATE($D62,Milestones!$AA$91)&gt;=$S62),$V62,$U62)))=Milestones!$AB$91),UPPER(TEXT(EDATE($D62,Milestones!$AA$91),"dd mmm yy"))&amp;" "&amp;Milestones!$AB$91&amp;" "&amp;Milestones!$AC$91&amp;";  ","")&amp;IF(AND(EDATE($D62,Milestones!$AA$92)&lt;=AsOfDate,IF($R62=0,$X62,IF(AND($T62&lt;&gt;"",EDATE($D62,Milestones!$AA$92)&gt;=$T62),$W62,IF(AND($S62&lt;&gt;"",EDATE($D62,Milestones!$AA$92)&gt;=$S62),$V62,$U62)))=Milestones!$AB$92),UPPER(TEXT(EDATE($D62,Milestones!$AA$92),"dd mmm yy"))&amp;" "&amp;Milestones!$AB$92&amp;" "&amp;Milestones!$AC$92&amp;";  ","")&amp;IF(AND(EDATE($D62,Milestones!$AA$93)&lt;=AsOfDate,IF($R62=0,$X62,IF(AND($T62&lt;&gt;"",EDATE($D62,Milestones!$AA$93)&gt;=$T62),$W62,IF(AND($S62&lt;&gt;"",EDATE($D62,Milestones!$AA$93)&gt;=$S62),$V62,$U62)))=Milestones!$AB$93),UPPER(TEXT(EDATE($D62,Milestones!$AA$93),"dd mmm yy"))&amp;" "&amp;Milestones!$AB$93&amp;" "&amp;Milestones!$AC$93&amp;";  ","")&amp;IF(AND(EDATE($D62,Milestones!$AA$94)&lt;=AsOfDate,IF($R62=0,$X62,IF(AND($T62&lt;&gt;"",EDATE($D62,Milestones!$AA$94)&gt;=$T62),$W62,IF(AND($S62&lt;&gt;"",EDATE($D62,Milestones!$AA$94)&gt;=$S62),$V62,$U62)))=Milestones!$AB$94),UPPER(TEXT(EDATE($D62,Milestones!$AA$94),"dd mmm yy"))&amp;" "&amp;Milestones!$AB$94&amp;" "&amp;Milestones!$AC$94&amp;";  ","")&amp;IF(AND(EDATE($D62,Milestones!$AA$95)&lt;=AsOfDate,IF($R62=0,$X62,IF(AND($T62&lt;&gt;"",EDATE($D62,Milestones!$AA$95)&gt;=$T62),$W62,IF(AND($S62&lt;&gt;"",EDATE($D62,Milestones!$AA$95)&gt;=$S62),$V62,$U62)))=Milestones!$AB$95),UPPER(TEXT(EDATE($D62,Milestones!$AA$95),"dd mmm yy"))&amp;" "&amp;Milestones!$AB$95&amp;" "&amp;Milestones!$AC$95&amp;";  ","")&amp;IF(AND(EDATE($D62,Milestones!$AA$96)&lt;=AsOfDate,IF($R62=0,$X62,IF(AND($T62&lt;&gt;"",EDATE($D62,Milestones!$AA$96)&gt;=$T62),$W62,IF(AND($S62&lt;&gt;"",EDATE($D62,Milestones!$AA$96)&gt;=$S62),$V62,$U62)))=Milestones!$AB$96),UPPER(TEXT(EDATE($D62,Milestones!$AA$96),"dd mmm yy"))&amp;" "&amp;Milestones!$AB$96&amp;" "&amp;Milestones!$AC$96&amp;";  ","")&amp;IF(AND(EDATE($D62,Milestones!$AA$97)&lt;=AsOfDate,IF($R62=0,$X62,IF(AND($T62&lt;&gt;"",EDATE($D62,Milestones!$AA$97)&gt;=$T62),$W62,IF(AND($S62&lt;&gt;"",EDATE($D62,Milestones!$AA$97)&gt;=$S62),$V62,$U62)))=Milestones!$AB$97),UPPER(TEXT(EDATE($D62,Milestones!$AA$97),"dd mmm yy"))&amp;" "&amp;Milestones!$AB$97&amp;" "&amp;Milestones!$AC$97&amp;";  ","")&amp;IF(AND(EDATE($D62,Milestones!$AA$98)&lt;=AsOfDate,IF($R62=0,$X62,IF(AND($T62&lt;&gt;"",EDATE($D62,Milestones!$AA$98)&gt;=$T62),$W62,IF(AND($S62&lt;&gt;"",EDATE($D62,Milestones!$AA$98)&gt;=$S62),$V62,$U62)))=Milestones!$AB$98),UPPER(TEXT(EDATE($D62,Milestones!$AA$98),"dd mmm yy"))&amp;" "&amp;Milestones!$AB$98&amp;" "&amp;Milestones!$AC$98&amp;";  ","")&amp;IF(AND(EDATE($D62,Milestones!$AA$99)&lt;=AsOfDate,IF($R62=0,$X62,IF(AND($T62&lt;&gt;"",EDATE($D62,Milestones!$AA$99)&gt;=$T62),$W62,IF(AND($S62&lt;&gt;"",EDATE($D62,Milestones!$AA$99)&gt;=$S62),$V62,$U62)))=Milestones!$AB$99),UPPER(TEXT(EDATE($D62,Milestones!$AA$99),"dd mmm yy"))&amp;" "&amp;Milestones!$AB$99&amp;" "&amp;Milestones!$AC$99&amp;";  ",""))</f>
        <v/>
      </c>
      <c r="M62" s="0" t="str">
        <f aca="false">IF(OR($A62="",$D62=""),"",IF(AND(EDATE($D62,Milestones!$AA$100)&lt;=AsOfDate,IF($R62=0,$X62,IF(AND($T62&lt;&gt;"",EDATE($D62,Milestones!$AA$100)&gt;=$T62),$W62,IF(AND($S62&lt;&gt;"",EDATE($D62,Milestones!$AA$100)&gt;=$S62),$V62,$U62)))=Milestones!$AB$100),UPPER(TEXT(EDATE($D62,Milestones!$AA$100),"dd mmm yy"))&amp;" "&amp;Milestones!$AB$100&amp;" "&amp;Milestones!$AC$100&amp;";  ","")&amp;IF(AND(EDATE($D62,Milestones!$AA$101)&lt;=AsOfDate,IF($R62=0,$X62,IF(AND($T62&lt;&gt;"",EDATE($D62,Milestones!$AA$101)&gt;=$T62),$W62,IF(AND($S62&lt;&gt;"",EDATE($D62,Milestones!$AA$101)&gt;=$S62),$V62,$U62)))=Milestones!$AB$101),UPPER(TEXT(EDATE($D62,Milestones!$AA$101),"dd mmm yy"))&amp;" "&amp;Milestones!$AB$101&amp;" "&amp;Milestones!$AC$101&amp;";  ","")&amp;IF(AND(EDATE($D62,Milestones!$AA$102)&lt;=AsOfDate,IF($R62=0,$X62,IF(AND($T62&lt;&gt;"",EDATE($D62,Milestones!$AA$102)&gt;=$T62),$W62,IF(AND($S62&lt;&gt;"",EDATE($D62,Milestones!$AA$102)&gt;=$S62),$V62,$U62)))=Milestones!$AB$102),UPPER(TEXT(EDATE($D62,Milestones!$AA$102),"dd mmm yy"))&amp;" "&amp;Milestones!$AB$102&amp;" "&amp;Milestones!$AC$102&amp;";  ","")&amp;IF(AND(EDATE($D62,Milestones!$AA$103)&lt;=AsOfDate,IF($R62=0,$X62,IF(AND($T62&lt;&gt;"",EDATE($D62,Milestones!$AA$103)&gt;=$T62),$W62,IF(AND($S62&lt;&gt;"",EDATE($D62,Milestones!$AA$103)&gt;=$S62),$V62,$U62)))=Milestones!$AB$103),UPPER(TEXT(EDATE($D62,Milestones!$AA$103),"dd mmm yy"))&amp;" "&amp;Milestones!$AB$103&amp;" "&amp;Milestones!$AC$103&amp;";  ","")&amp;IF(AND(EDATE($D62,Milestones!$AA$104)&lt;=AsOfDate,IF($R62=0,$X62,IF(AND($T62&lt;&gt;"",EDATE($D62,Milestones!$AA$104)&gt;=$T62),$W62,IF(AND($S62&lt;&gt;"",EDATE($D62,Milestones!$AA$104)&gt;=$S62),$V62,$U62)))=Milestones!$AB$104),UPPER(TEXT(EDATE($D62,Milestones!$AA$104),"dd mmm yy"))&amp;" "&amp;Milestones!$AB$104&amp;" "&amp;Milestones!$AC$104&amp;";  ","")&amp;IF(AND(EDATE($D62,Milestones!$AA$105)&lt;=AsOfDate,IF($R62=0,$X62,IF(AND($T62&lt;&gt;"",EDATE($D62,Milestones!$AA$105)&gt;=$T62),$W62,IF(AND($S62&lt;&gt;"",EDATE($D62,Milestones!$AA$105)&gt;=$S62),$V62,$U62)))=Milestones!$AB$105),UPPER(TEXT(EDATE($D62,Milestones!$AA$105),"dd mmm yy"))&amp;" "&amp;Milestones!$AB$105&amp;" "&amp;Milestones!$AC$105&amp;";  ","")&amp;IF(AND(EDATE($D62,Milestones!$AA$106)&lt;=AsOfDate,IF($R62=0,$X62,IF(AND($T62&lt;&gt;"",EDATE($D62,Milestones!$AA$106)&gt;=$T62),$W62,IF(AND($S62&lt;&gt;"",EDATE($D62,Milestones!$AA$106)&gt;=$S62),$V62,$U62)))=Milestones!$AB$106),UPPER(TEXT(EDATE($D62,Milestones!$AA$106),"dd mmm yy"))&amp;" "&amp;Milestones!$AB$106&amp;" "&amp;Milestones!$AC$106&amp;";  ","")&amp;IF(AND(EDATE($D62,Milestones!$AA$107)&lt;=AsOfDate,IF($R62=0,$X62,IF(AND($T62&lt;&gt;"",EDATE($D62,Milestones!$AA$107)&gt;=$T62),$W62,IF(AND($S62&lt;&gt;"",EDATE($D62,Milestones!$AA$107)&gt;=$S62),$V62,$U62)))=Milestones!$AB$107),UPPER(TEXT(EDATE($D62,Milestones!$AA$107),"dd mmm yy"))&amp;" "&amp;Milestones!$AB$107&amp;" "&amp;Milestones!$AC$107&amp;";  ","")&amp;IF(AND(EDATE($D62,Milestones!$AA$108)&lt;=AsOfDate,IF($R62=0,$X62,IF(AND($T62&lt;&gt;"",EDATE($D62,Milestones!$AA$108)&gt;=$T62),$W62,IF(AND($S62&lt;&gt;"",EDATE($D62,Milestones!$AA$108)&gt;=$S62),$V62,$U62)))=Milestones!$AB$108),UPPER(TEXT(EDATE($D62,Milestones!$AA$108),"dd mmm yy"))&amp;" "&amp;Milestones!$AB$108&amp;" "&amp;Milestones!$AC$108&amp;";  ","")&amp;IF(AND(EDATE($D62,Milestones!$AA$109)&lt;=AsOfDate,IF($R62=0,$X62,IF(AND($T62&lt;&gt;"",EDATE($D62,Milestones!$AA$109)&gt;=$T62),$W62,IF(AND($S62&lt;&gt;"",EDATE($D62,Milestones!$AA$109)&gt;=$S62),$V62,$U62)))=Milestones!$AB$109),UPPER(TEXT(EDATE($D62,Milestones!$AA$109),"dd mmm yy"))&amp;" "&amp;Milestones!$AB$109&amp;" "&amp;Milestones!$AC$109&amp;";  ","")&amp;IF(AND(EDATE($D62,Milestones!$AA$110)&lt;=AsOfDate,IF($R62=0,$X62,IF(AND($T62&lt;&gt;"",EDATE($D62,Milestones!$AA$110)&gt;=$T62),$W62,IF(AND($S62&lt;&gt;"",EDATE($D62,Milestones!$AA$110)&gt;=$S62),$V62,$U62)))=Milestones!$AB$110),UPPER(TEXT(EDATE($D62,Milestones!$AA$110),"dd mmm yy"))&amp;" "&amp;Milestones!$AB$110&amp;" "&amp;Milestones!$AC$110&amp;";  ","")&amp;IF(AND(EDATE($D62,Milestones!$AA$111)&lt;=AsOfDate,IF($R62=0,$X62,IF(AND($T62&lt;&gt;"",EDATE($D62,Milestones!$AA$111)&gt;=$T62),$W62,IF(AND($S62&lt;&gt;"",EDATE($D62,Milestones!$AA$111)&gt;=$S62),$V62,$U62)))=Milestones!$AB$111),UPPER(TEXT(EDATE($D62,Milestones!$AA$111),"dd mmm yy"))&amp;" "&amp;Milestones!$AB$111&amp;" "&amp;Milestones!$AC$111&amp;";  ","")&amp;IF(AND(EDATE($D62,Milestones!$AA$112)&lt;=AsOfDate,IF($R62=0,$X62,IF(AND($T62&lt;&gt;"",EDATE($D62,Milestones!$AA$112)&gt;=$T62),$W62,IF(AND($S62&lt;&gt;"",EDATE($D62,Milestones!$AA$112)&gt;=$S62),$V62,$U62)))=Milestones!$AB$112),UPPER(TEXT(EDATE($D62,Milestones!$AA$112),"dd mmm yy"))&amp;" "&amp;Milestones!$AB$112&amp;" "&amp;Milestones!$AC$112&amp;";  ","")&amp;IF(AND(EDATE($D62,Milestones!$AA$113)&lt;=AsOfDate,IF($R62=0,$X62,IF(AND($T62&lt;&gt;"",EDATE($D62,Milestones!$AA$113)&gt;=$T62),$W62,IF(AND($S62&lt;&gt;"",EDATE($D62,Milestones!$AA$113)&gt;=$S62),$V62,$U62)))=Milestones!$AB$113),UPPER(TEXT(EDATE($D62,Milestones!$AA$113),"dd mmm yy"))&amp;" "&amp;Milestones!$AB$113&amp;" "&amp;Milestones!$AC$113&amp;";  ","")&amp;IF(AND(EDATE($D62,Milestones!$AA$114)&lt;=AsOfDate,IF($R62=0,$X62,IF(AND($T62&lt;&gt;"",EDATE($D62,Milestones!$AA$114)&gt;=$T62),$W62,IF(AND($S62&lt;&gt;"",EDATE($D62,Milestones!$AA$114)&gt;=$S62),$V62,$U62)))=Milestones!$AB$114),UPPER(TEXT(EDATE($D62,Milestones!$AA$114),"dd mmm yy"))&amp;" "&amp;Milestones!$AB$114&amp;" "&amp;Milestones!$AC$114&amp;";  ","")&amp;IF(AND(EDATE($D62,Milestones!$AA$115)&lt;=AsOfDate,IF($R62=0,$X62,IF(AND($T62&lt;&gt;"",EDATE($D62,Milestones!$AA$115)&gt;=$T62),$W62,IF(AND($S62&lt;&gt;"",EDATE($D62,Milestones!$AA$115)&gt;=$S62),$V62,$U62)))=Milestones!$AB$115),UPPER(TEXT(EDATE($D62,Milestones!$AA$115),"dd mmm yy"))&amp;" "&amp;Milestones!$AB$115&amp;" "&amp;Milestones!$AC$115&amp;";  ","")&amp;IF(AND(EDATE($D62,Milestones!$AA$116)&lt;=AsOfDate,IF($R62=0,$X62,IF(AND($T62&lt;&gt;"",EDATE($D62,Milestones!$AA$116)&gt;=$T62),$W62,IF(AND($S62&lt;&gt;"",EDATE($D62,Milestones!$AA$116)&gt;=$S62),$V62,$U62)))=Milestones!$AB$116),UPPER(TEXT(EDATE($D62,Milestones!$AA$116),"dd mmm yy"))&amp;" "&amp;Milestones!$AB$116&amp;" "&amp;Milestones!$AC$116&amp;";  ","")&amp;IF(AND(EDATE($D62,Milestones!$AA$117)&lt;=AsOfDate,IF($R62=0,$X62,IF(AND($T62&lt;&gt;"",EDATE($D62,Milestones!$AA$117)&gt;=$T62),$W62,IF(AND($S62&lt;&gt;"",EDATE($D62,Milestones!$AA$117)&gt;=$S62),$V62,$U62)))=Milestones!$AB$117),UPPER(TEXT(EDATE($D62,Milestones!$AA$117),"dd mmm yy"))&amp;" "&amp;Milestones!$AB$117&amp;" "&amp;Milestones!$AC$117&amp;";  ","")&amp;IF(AND(EDATE($D62,Milestones!$AA$118)&lt;=AsOfDate,IF($R62=0,$X62,IF(AND($T62&lt;&gt;"",EDATE($D62,Milestones!$AA$118)&gt;=$T62),$W62,IF(AND($S62&lt;&gt;"",EDATE($D62,Milestones!$AA$118)&gt;=$S62),$V62,$U62)))=Milestones!$AB$118),UPPER(TEXT(EDATE($D62,Milestones!$AA$118),"dd mmm yy"))&amp;" "&amp;Milestones!$AB$118&amp;" "&amp;Milestones!$AC$118&amp;";  ","")&amp;IF(AND(EDATE($D62,Milestones!$AA$119)&lt;=AsOfDate,IF($R62=0,$X62,IF(AND($T62&lt;&gt;"",EDATE($D62,Milestones!$AA$119)&gt;=$T62),$W62,IF(AND($S62&lt;&gt;"",EDATE($D62,Milestones!$AA$119)&gt;=$S62),$V62,$U62)))=Milestones!$AB$119),UPPER(TEXT(EDATE($D62,Milestones!$AA$119),"dd mmm yy"))&amp;" "&amp;Milestones!$AB$119&amp;" "&amp;Milestones!$AC$119&amp;";  ",""))</f>
        <v/>
      </c>
      <c r="N62" s="0" t="str">
        <f aca="false">IF(OR($A62="",$D62=""),"",IF(AND(EDATE($D62,Milestones!$AA$120)&lt;=AsOfDate,IF($R62=0,$X62,IF(AND($T62&lt;&gt;"",EDATE($D62,Milestones!$AA$120)&gt;=$T62),$W62,IF(AND($S62&lt;&gt;"",EDATE($D62,Milestones!$AA$120)&gt;=$S62),$V62,$U62)))=Milestones!$AB$120),UPPER(TEXT(EDATE($D62,Milestones!$AA$120),"dd mmm yy"))&amp;" "&amp;Milestones!$AB$120&amp;" "&amp;Milestones!$AC$120&amp;";  ","")&amp;IF(AND(EDATE($D62,Milestones!$AA$121)&lt;=AsOfDate,IF($R62=0,$X62,IF(AND($T62&lt;&gt;"",EDATE($D62,Milestones!$AA$121)&gt;=$T62),$W62,IF(AND($S62&lt;&gt;"",EDATE($D62,Milestones!$AA$121)&gt;=$S62),$V62,$U62)))=Milestones!$AB$121),UPPER(TEXT(EDATE($D62,Milestones!$AA$121),"dd mmm yy"))&amp;" "&amp;Milestones!$AB$121&amp;" "&amp;Milestones!$AC$121&amp;";  ","")&amp;IF(AND(EDATE($D62,Milestones!$AA$122)&lt;=AsOfDate,IF($R62=0,$X62,IF(AND($T62&lt;&gt;"",EDATE($D62,Milestones!$AA$122)&gt;=$T62),$W62,IF(AND($S62&lt;&gt;"",EDATE($D62,Milestones!$AA$122)&gt;=$S62),$V62,$U62)))=Milestones!$AB$122),UPPER(TEXT(EDATE($D62,Milestones!$AA$122),"dd mmm yy"))&amp;" "&amp;Milestones!$AB$122&amp;" "&amp;Milestones!$AC$122&amp;";  ","")&amp;IF(AND(EDATE($D62,Milestones!$AA$123)&lt;=AsOfDate,IF($R62=0,$X62,IF(AND($T62&lt;&gt;"",EDATE($D62,Milestones!$AA$123)&gt;=$T62),$W62,IF(AND($S62&lt;&gt;"",EDATE($D62,Milestones!$AA$123)&gt;=$S62),$V62,$U62)))=Milestones!$AB$123),UPPER(TEXT(EDATE($D62,Milestones!$AA$123),"dd mmm yy"))&amp;" "&amp;Milestones!$AB$123&amp;" "&amp;Milestones!$AC$123&amp;";  ","")&amp;IF(AND(EDATE($D62,Milestones!$AA$124)&lt;=AsOfDate,IF($R62=0,$X62,IF(AND($T62&lt;&gt;"",EDATE($D62,Milestones!$AA$124)&gt;=$T62),$W62,IF(AND($S62&lt;&gt;"",EDATE($D62,Milestones!$AA$124)&gt;=$S62),$V62,$U62)))=Milestones!$AB$124),UPPER(TEXT(EDATE($D62,Milestones!$AA$124),"dd mmm yy"))&amp;" "&amp;Milestones!$AB$124&amp;" "&amp;Milestones!$AC$124&amp;";  ","")&amp;IF(AND(EDATE($D62,Milestones!$AA$125)&lt;=AsOfDate,IF($R62=0,$X62,IF(AND($T62&lt;&gt;"",EDATE($D62,Milestones!$AA$125)&gt;=$T62),$W62,IF(AND($S62&lt;&gt;"",EDATE($D62,Milestones!$AA$125)&gt;=$S62),$V62,$U62)))=Milestones!$AB$125),UPPER(TEXT(EDATE($D62,Milestones!$AA$125),"dd mmm yy"))&amp;" "&amp;Milestones!$AB$125&amp;" "&amp;Milestones!$AC$125&amp;";  ","")&amp;IF(AND(EDATE($D62,Milestones!$AA$126)&lt;=AsOfDate,IF($R62=0,$X62,IF(AND($T62&lt;&gt;"",EDATE($D62,Milestones!$AA$126)&gt;=$T62),$W62,IF(AND($S62&lt;&gt;"",EDATE($D62,Milestones!$AA$126)&gt;=$S62),$V62,$U62)))=Milestones!$AB$126),UPPER(TEXT(EDATE($D62,Milestones!$AA$126),"dd mmm yy"))&amp;" "&amp;Milestones!$AB$126&amp;" "&amp;Milestones!$AC$126&amp;";  ","")&amp;IF(AND(EDATE($D62,Milestones!$AA$127)&lt;=AsOfDate,IF($R62=0,$X62,IF(AND($T62&lt;&gt;"",EDATE($D62,Milestones!$AA$127)&gt;=$T62),$W62,IF(AND($S62&lt;&gt;"",EDATE($D62,Milestones!$AA$127)&gt;=$S62),$V62,$U62)))=Milestones!$AB$127),UPPER(TEXT(EDATE($D62,Milestones!$AA$127),"dd mmm yy"))&amp;" "&amp;Milestones!$AB$127&amp;" "&amp;Milestones!$AC$127&amp;";  ","")&amp;IF(AND(EDATE($D62,Milestones!$AA$128)&lt;=AsOfDate,IF($R62=0,$X62,IF(AND($T62&lt;&gt;"",EDATE($D62,Milestones!$AA$128)&gt;=$T62),$W62,IF(AND($S62&lt;&gt;"",EDATE($D62,Milestones!$AA$128)&gt;=$S62),$V62,$U62)))=Milestones!$AB$128),UPPER(TEXT(EDATE($D62,Milestones!$AA$128),"dd mmm yy"))&amp;" "&amp;Milestones!$AB$128&amp;" "&amp;Milestones!$AC$128&amp;";  ","")&amp;IF(AND(EDATE($D62,Milestones!$AA$129)&lt;=AsOfDate,IF($R62=0,$X62,IF(AND($T62&lt;&gt;"",EDATE($D62,Milestones!$AA$129)&gt;=$T62),$W62,IF(AND($S62&lt;&gt;"",EDATE($D62,Milestones!$AA$129)&gt;=$S62),$V62,$U62)))=Milestones!$AB$129),UPPER(TEXT(EDATE($D62,Milestones!$AA$129),"dd mmm yy"))&amp;" "&amp;Milestones!$AB$129&amp;" "&amp;Milestones!$AC$129&amp;";  ","")&amp;IF(AND(EDATE($D62,Milestones!$AA$130)&lt;=AsOfDate,IF($R62=0,$X62,IF(AND($T62&lt;&gt;"",EDATE($D62,Milestones!$AA$130)&gt;=$T62),$W62,IF(AND($S62&lt;&gt;"",EDATE($D62,Milestones!$AA$130)&gt;=$S62),$V62,$U62)))=Milestones!$AB$130),UPPER(TEXT(EDATE($D62,Milestones!$AA$130),"dd mmm yy"))&amp;" "&amp;Milestones!$AB$130&amp;" "&amp;Milestones!$AC$130&amp;";  ","")&amp;IF(AND(EDATE($D62,Milestones!$AA$131)&lt;=AsOfDate,IF($R62=0,$X62,IF(AND($T62&lt;&gt;"",EDATE($D62,Milestones!$AA$131)&gt;=$T62),$W62,IF(AND($S62&lt;&gt;"",EDATE($D62,Milestones!$AA$131)&gt;=$S62),$V62,$U62)))=Milestones!$AB$131),UPPER(TEXT(EDATE($D62,Milestones!$AA$131),"dd mmm yy"))&amp;" "&amp;Milestones!$AB$131&amp;" "&amp;Milestones!$AC$131&amp;";  ","")&amp;IF(AND(EDATE($D62,Milestones!$AA$132)&lt;=AsOfDate,IF($R62=0,$X62,IF(AND($T62&lt;&gt;"",EDATE($D62,Milestones!$AA$132)&gt;=$T62),$W62,IF(AND($S62&lt;&gt;"",EDATE($D62,Milestones!$AA$132)&gt;=$S62),$V62,$U62)))=Milestones!$AB$132),UPPER(TEXT(EDATE($D62,Milestones!$AA$132),"dd mmm yy"))&amp;" "&amp;Milestones!$AB$132&amp;" "&amp;Milestones!$AC$132&amp;";  ","")&amp;IF(AND(EDATE($D62,Milestones!$AA$133)&lt;=AsOfDate,IF($R62=0,$X62,IF(AND($T62&lt;&gt;"",EDATE($D62,Milestones!$AA$133)&gt;=$T62),$W62,IF(AND($S62&lt;&gt;"",EDATE($D62,Milestones!$AA$133)&gt;=$S62),$V62,$U62)))=Milestones!$AB$133),UPPER(TEXT(EDATE($D62,Milestones!$AA$133),"dd mmm yy"))&amp;" "&amp;Milestones!$AB$133&amp;" "&amp;Milestones!$AC$133&amp;";  ","")&amp;IF(AND(EDATE($D62,Milestones!$AA$134)&lt;=AsOfDate,IF($R62=0,$X62,IF(AND($T62&lt;&gt;"",EDATE($D62,Milestones!$AA$134)&gt;=$T62),$W62,IF(AND($S62&lt;&gt;"",EDATE($D62,Milestones!$AA$134)&gt;=$S62),$V62,$U62)))=Milestones!$AB$134),UPPER(TEXT(EDATE($D62,Milestones!$AA$134),"dd mmm yy"))&amp;" "&amp;Milestones!$AB$134&amp;" "&amp;Milestones!$AC$134&amp;";  ","")&amp;IF(AND(EDATE($D62,Milestones!$AA$135)&lt;=AsOfDate,IF($R62=0,$X62,IF(AND($T62&lt;&gt;"",EDATE($D62,Milestones!$AA$135)&gt;=$T62),$W62,IF(AND($S62&lt;&gt;"",EDATE($D62,Milestones!$AA$135)&gt;=$S62),$V62,$U62)))=Milestones!$AB$135),UPPER(TEXT(EDATE($D62,Milestones!$AA$135),"dd mmm yy"))&amp;" "&amp;Milestones!$AB$135&amp;" "&amp;Milestones!$AC$135&amp;";  ","")&amp;IF(AND(EDATE($D62,Milestones!$AA$136)&lt;=AsOfDate,IF($R62=0,$X62,IF(AND($T62&lt;&gt;"",EDATE($D62,Milestones!$AA$136)&gt;=$T62),$W62,IF(AND($S62&lt;&gt;"",EDATE($D62,Milestones!$AA$136)&gt;=$S62),$V62,$U62)))=Milestones!$AB$136),UPPER(TEXT(EDATE($D62,Milestones!$AA$136),"dd mmm yy"))&amp;" "&amp;Milestones!$AB$136&amp;" "&amp;Milestones!$AC$136&amp;";  ","")&amp;IF(AND(EDATE($D62,Milestones!$AA$137)&lt;=AsOfDate,IF($R62=0,$X62,IF(AND($T62&lt;&gt;"",EDATE($D62,Milestones!$AA$137)&gt;=$T62),$W62,IF(AND($S62&lt;&gt;"",EDATE($D62,Milestones!$AA$137)&gt;=$S62),$V62,$U62)))=Milestones!$AB$137),UPPER(TEXT(EDATE($D62,Milestones!$AA$137),"dd mmm yy"))&amp;" "&amp;Milestones!$AB$137&amp;" "&amp;Milestones!$AC$137&amp;";  ","")&amp;IF(AND(EDATE($D62,Milestones!$AA$138)&lt;=AsOfDate,IF($R62=0,$X62,IF(AND($T62&lt;&gt;"",EDATE($D62,Milestones!$AA$138)&gt;=$T62),$W62,IF(AND($S62&lt;&gt;"",EDATE($D62,Milestones!$AA$138)&gt;=$S62),$V62,$U62)))=Milestones!$AB$138),UPPER(TEXT(EDATE($D62,Milestones!$AA$138),"dd mmm yy"))&amp;" "&amp;Milestones!$AB$138&amp;" "&amp;Milestones!$AC$138&amp;";  ","")&amp;IF(AND(EDATE($D62,Milestones!$AA$139)&lt;=AsOfDate,IF($R62=0,$X62,IF(AND($T62&lt;&gt;"",EDATE($D62,Milestones!$AA$139)&gt;=$T62),$W62,IF(AND($S62&lt;&gt;"",EDATE($D62,Milestones!$AA$139)&gt;=$S62),$V62,$U62)))=Milestones!$AB$139),UPPER(TEXT(EDATE($D62,Milestones!$AA$139),"dd mmm yy"))&amp;" "&amp;Milestones!$AB$139&amp;" "&amp;Milestones!$AC$139&amp;";  ",""))</f>
        <v/>
      </c>
      <c r="O62" s="0" t="str">
        <f aca="false">IF(OR($A62="",$D62=""),"",IF(AND(EDATE($D62,Milestones!$AA$140)&lt;=AsOfDate,IF($R62=0,$X62,IF(AND($T62&lt;&gt;"",EDATE($D62,Milestones!$AA$140)&gt;=$T62),$W62,IF(AND($S62&lt;&gt;"",EDATE($D62,Milestones!$AA$140)&gt;=$S62),$V62,$U62)))=Milestones!$AB$140),UPPER(TEXT(EDATE($D62,Milestones!$AA$140),"dd mmm yy"))&amp;" "&amp;Milestones!$AB$140&amp;" "&amp;Milestones!$AC$140&amp;";  ","")&amp;IF(AND(EDATE($D62,Milestones!$AA$141)&lt;=AsOfDate,IF($R62=0,$X62,IF(AND($T62&lt;&gt;"",EDATE($D62,Milestones!$AA$141)&gt;=$T62),$W62,IF(AND($S62&lt;&gt;"",EDATE($D62,Milestones!$AA$141)&gt;=$S62),$V62,$U62)))=Milestones!$AB$141),UPPER(TEXT(EDATE($D62,Milestones!$AA$141),"dd mmm yy"))&amp;" "&amp;Milestones!$AB$141&amp;" "&amp;Milestones!$AC$141&amp;";  ","")&amp;IF(AND(EDATE($D62,Milestones!$AA$142)&lt;=AsOfDate,IF($R62=0,$X62,IF(AND($T62&lt;&gt;"",EDATE($D62,Milestones!$AA$142)&gt;=$T62),$W62,IF(AND($S62&lt;&gt;"",EDATE($D62,Milestones!$AA$142)&gt;=$S62),$V62,$U62)))=Milestones!$AB$142),UPPER(TEXT(EDATE($D62,Milestones!$AA$142),"dd mmm yy"))&amp;" "&amp;Milestones!$AB$142&amp;" "&amp;Milestones!$AC$142&amp;";  ","")&amp;IF(AND(EDATE($D62,Milestones!$AA$143)&lt;=AsOfDate,IF($R62=0,$X62,IF(AND($T62&lt;&gt;"",EDATE($D62,Milestones!$AA$143)&gt;=$T62),$W62,IF(AND($S62&lt;&gt;"",EDATE($D62,Milestones!$AA$143)&gt;=$S62),$V62,$U62)))=Milestones!$AB$143),UPPER(TEXT(EDATE($D62,Milestones!$AA$143),"dd mmm yy"))&amp;" "&amp;Milestones!$AB$143&amp;" "&amp;Milestones!$AC$143&amp;";  ","")&amp;IF(AND(EDATE($D62,Milestones!$AA$144)&lt;=AsOfDate,IF($R62=0,$X62,IF(AND($T62&lt;&gt;"",EDATE($D62,Milestones!$AA$144)&gt;=$T62),$W62,IF(AND($S62&lt;&gt;"",EDATE($D62,Milestones!$AA$144)&gt;=$S62),$V62,$U62)))=Milestones!$AB$144),UPPER(TEXT(EDATE($D62,Milestones!$AA$144),"dd mmm yy"))&amp;" "&amp;Milestones!$AB$144&amp;" "&amp;Milestones!$AC$144&amp;";  ","")&amp;IF(AND(EDATE($D62,Milestones!$AA$145)&lt;=AsOfDate,IF($R62=0,$X62,IF(AND($T62&lt;&gt;"",EDATE($D62,Milestones!$AA$145)&gt;=$T62),$W62,IF(AND($S62&lt;&gt;"",EDATE($D62,Milestones!$AA$145)&gt;=$S62),$V62,$U62)))=Milestones!$AB$145),UPPER(TEXT(EDATE($D62,Milestones!$AA$145),"dd mmm yy"))&amp;" "&amp;Milestones!$AB$145&amp;" "&amp;Milestones!$AC$145&amp;";  ","")&amp;IF(AND(EDATE($D62,Milestones!$AA$146)&lt;=AsOfDate,IF($R62=0,$X62,IF(AND($T62&lt;&gt;"",EDATE($D62,Milestones!$AA$146)&gt;=$T62),$W62,IF(AND($S62&lt;&gt;"",EDATE($D62,Milestones!$AA$146)&gt;=$S62),$V62,$U62)))=Milestones!$AB$146),UPPER(TEXT(EDATE($D62,Milestones!$AA$146),"dd mmm yy"))&amp;" "&amp;Milestones!$AB$146&amp;" "&amp;Milestones!$AC$146&amp;";  ","")&amp;IF(AND(EDATE($D62,Milestones!$AA$147)&lt;=AsOfDate,IF($R62=0,$X62,IF(AND($T62&lt;&gt;"",EDATE($D62,Milestones!$AA$147)&gt;=$T62),$W62,IF(AND($S62&lt;&gt;"",EDATE($D62,Milestones!$AA$147)&gt;=$S62),$V62,$U62)))=Milestones!$AB$147),UPPER(TEXT(EDATE($D62,Milestones!$AA$147),"dd mmm yy"))&amp;" "&amp;Milestones!$AB$147&amp;" "&amp;Milestones!$AC$147&amp;";  ","")&amp;IF(AND(EDATE($D62,Milestones!$AA$148)&lt;=AsOfDate,IF($R62=0,$X62,IF(AND($T62&lt;&gt;"",EDATE($D62,Milestones!$AA$148)&gt;=$T62),$W62,IF(AND($S62&lt;&gt;"",EDATE($D62,Milestones!$AA$148)&gt;=$S62),$V62,$U62)))=Milestones!$AB$148),UPPER(TEXT(EDATE($D62,Milestones!$AA$148),"dd mmm yy"))&amp;" "&amp;Milestones!$AB$148&amp;" "&amp;Milestones!$AC$148&amp;";  ","")&amp;IF(AND(EDATE($D62,Milestones!$AA$149)&lt;=AsOfDate,IF($R62=0,$X62,IF(AND($T62&lt;&gt;"",EDATE($D62,Milestones!$AA$149)&gt;=$T62),$W62,IF(AND($S62&lt;&gt;"",EDATE($D62,Milestones!$AA$149)&gt;=$S62),$V62,$U62)))=Milestones!$AB$149),UPPER(TEXT(EDATE($D62,Milestones!$AA$149),"dd mmm yy"))&amp;" "&amp;Milestones!$AB$149&amp;" "&amp;Milestones!$AC$149&amp;";  ","")&amp;IF(AND(EDATE($D62,Milestones!$AA$150)&lt;=AsOfDate,IF($R62=0,$X62,IF(AND($T62&lt;&gt;"",EDATE($D62,Milestones!$AA$150)&gt;=$T62),$W62,IF(AND($S62&lt;&gt;"",EDATE($D62,Milestones!$AA$150)&gt;=$S62),$V62,$U62)))=Milestones!$AB$150),UPPER(TEXT(EDATE($D62,Milestones!$AA$150),"dd mmm yy"))&amp;" "&amp;Milestones!$AB$150&amp;" "&amp;Milestones!$AC$150&amp;";  ","")&amp;IF(AND(EDATE($D62,Milestones!$AA$151)&lt;=AsOfDate,IF($R62=0,$X62,IF(AND($T62&lt;&gt;"",EDATE($D62,Milestones!$AA$151)&gt;=$T62),$W62,IF(AND($S62&lt;&gt;"",EDATE($D62,Milestones!$AA$151)&gt;=$S62),$V62,$U62)))=Milestones!$AB$151),UPPER(TEXT(EDATE($D62,Milestones!$AA$151),"dd mmm yy"))&amp;" "&amp;Milestones!$AB$151&amp;" "&amp;Milestones!$AC$151&amp;";  ","")&amp;IF(AND(EDATE($D62,Milestones!$AA$152)&lt;=AsOfDate,IF($R62=0,$X62,IF(AND($T62&lt;&gt;"",EDATE($D62,Milestones!$AA$152)&gt;=$T62),$W62,IF(AND($S62&lt;&gt;"",EDATE($D62,Milestones!$AA$152)&gt;=$S62),$V62,$U62)))=Milestones!$AB$152),UPPER(TEXT(EDATE($D62,Milestones!$AA$152),"dd mmm yy"))&amp;" "&amp;Milestones!$AB$152&amp;" "&amp;Milestones!$AC$152&amp;";  ","")&amp;IF(AND(EDATE($D62,Milestones!$AA$153)&lt;=AsOfDate,IF($R62=0,$X62,IF(AND($T62&lt;&gt;"",EDATE($D62,Milestones!$AA$153)&gt;=$T62),$W62,IF(AND($S62&lt;&gt;"",EDATE($D62,Milestones!$AA$153)&gt;=$S62),$V62,$U62)))=Milestones!$AB$153),UPPER(TEXT(EDATE($D62,Milestones!$AA$153),"dd mmm yy"))&amp;" "&amp;Milestones!$AB$153&amp;" "&amp;Milestones!$AC$153&amp;";  ","")&amp;IF(AND(EDATE($D62,Milestones!$AA$154)&lt;=AsOfDate,IF($R62=0,$X62,IF(AND($T62&lt;&gt;"",EDATE($D62,Milestones!$AA$154)&gt;=$T62),$W62,IF(AND($S62&lt;&gt;"",EDATE($D62,Milestones!$AA$154)&gt;=$S62),$V62,$U62)))=Milestones!$AB$154),UPPER(TEXT(EDATE($D62,Milestones!$AA$154),"dd mmm yy"))&amp;" "&amp;Milestones!$AB$154&amp;" "&amp;Milestones!$AC$154&amp;";  ","")&amp;IF(AND(EDATE($D62,Milestones!$AA$155)&lt;=AsOfDate,IF($R62=0,$X62,IF(AND($T62&lt;&gt;"",EDATE($D62,Milestones!$AA$155)&gt;=$T62),$W62,IF(AND($S62&lt;&gt;"",EDATE($D62,Milestones!$AA$155)&gt;=$S62),$V62,$U62)))=Milestones!$AB$155),UPPER(TEXT(EDATE($D62,Milestones!$AA$155),"dd mmm yy"))&amp;" "&amp;Milestones!$AB$155&amp;" "&amp;Milestones!$AC$155&amp;";  ","")&amp;IF(AND(EDATE($D62,Milestones!$AA$156)&lt;=AsOfDate,IF($R62=0,$X62,IF(AND($T62&lt;&gt;"",EDATE($D62,Milestones!$AA$156)&gt;=$T62),$W62,IF(AND($S62&lt;&gt;"",EDATE($D62,Milestones!$AA$156)&gt;=$S62),$V62,$U62)))=Milestones!$AB$156),UPPER(TEXT(EDATE($D62,Milestones!$AA$156),"dd mmm yy"))&amp;" "&amp;Milestones!$AB$156&amp;" "&amp;Milestones!$AC$156&amp;";  ","")&amp;IF(AND(EDATE($D62,Milestones!$AA$157)&lt;=AsOfDate,IF($R62=0,$X62,IF(AND($T62&lt;&gt;"",EDATE($D62,Milestones!$AA$157)&gt;=$T62),$W62,IF(AND($S62&lt;&gt;"",EDATE($D62,Milestones!$AA$157)&gt;=$S62),$V62,$U62)))=Milestones!$AB$157),UPPER(TEXT(EDATE($D62,Milestones!$AA$157),"dd mmm yy"))&amp;" "&amp;Milestones!$AB$157&amp;" "&amp;Milestones!$AC$157&amp;";  ","")&amp;IF(AND(EDATE($D62,Milestones!$AA$158)&lt;=AsOfDate,IF($R62=0,$X62,IF(AND($T62&lt;&gt;"",EDATE($D62,Milestones!$AA$158)&gt;=$T62),$W62,IF(AND($S62&lt;&gt;"",EDATE($D62,Milestones!$AA$158)&gt;=$S62),$V62,$U62)))=Milestones!$AB$158),UPPER(TEXT(EDATE($D62,Milestones!$AA$158),"dd mmm yy"))&amp;" "&amp;Milestones!$AB$158&amp;" "&amp;Milestones!$AC$158&amp;";  ","")&amp;IF(AND(EDATE($D62,Milestones!$AA$159)&lt;=AsOfDate,IF($R62=0,$X62,IF(AND($T62&lt;&gt;"",EDATE($D62,Milestones!$AA$159)&gt;=$T62),$W62,IF(AND($S62&lt;&gt;"",EDATE($D62,Milestones!$AA$159)&gt;=$S62),$V62,$U62)))=Milestones!$AB$159),UPPER(TEXT(EDATE($D62,Milestones!$AA$159),"dd mmm yy"))&amp;" "&amp;Milestones!$AB$159&amp;" "&amp;Milestones!$AC$159&amp;";  ",""))</f>
        <v/>
      </c>
      <c r="P62" s="0" t="str">
        <f aca="false">IF(OR($A62="",$D62=""),"",IF(AND(EDATE($D62,Milestones!$AA$160)&lt;=AsOfDate,IF($R62=0,$X62,IF(AND($T62&lt;&gt;"",EDATE($D62,Milestones!$AA$160)&gt;=$T62),$W62,IF(AND($S62&lt;&gt;"",EDATE($D62,Milestones!$AA$160)&gt;=$S62),$V62,$U62)))=Milestones!$AB$160),UPPER(TEXT(EDATE($D62,Milestones!$AA$160),"dd mmm yy"))&amp;" "&amp;Milestones!$AB$160&amp;" "&amp;Milestones!$AC$160&amp;";  ","")&amp;IF(AND(EDATE($D62,Milestones!$AA$161)&lt;=AsOfDate,IF($R62=0,$X62,IF(AND($T62&lt;&gt;"",EDATE($D62,Milestones!$AA$161)&gt;=$T62),$W62,IF(AND($S62&lt;&gt;"",EDATE($D62,Milestones!$AA$161)&gt;=$S62),$V62,$U62)))=Milestones!$AB$161),UPPER(TEXT(EDATE($D62,Milestones!$AA$161),"dd mmm yy"))&amp;" "&amp;Milestones!$AB$161&amp;" "&amp;Milestones!$AC$161&amp;";  ","")&amp;IF(AND(EDATE($D62,Milestones!$AA$162)&lt;=AsOfDate,IF($R62=0,$X62,IF(AND($T62&lt;&gt;"",EDATE($D62,Milestones!$AA$162)&gt;=$T62),$W62,IF(AND($S62&lt;&gt;"",EDATE($D62,Milestones!$AA$162)&gt;=$S62),$V62,$U62)))=Milestones!$AB$162),UPPER(TEXT(EDATE($D62,Milestones!$AA$162),"dd mmm yy"))&amp;" "&amp;Milestones!$AB$162&amp;" "&amp;Milestones!$AC$162&amp;";  ","")&amp;IF(AND(EDATE($D62,Milestones!$AA$163)&lt;=AsOfDate,IF($R62=0,$X62,IF(AND($T62&lt;&gt;"",EDATE($D62,Milestones!$AA$163)&gt;=$T62),$W62,IF(AND($S62&lt;&gt;"",EDATE($D62,Milestones!$AA$163)&gt;=$S62),$V62,$U62)))=Milestones!$AB$163),UPPER(TEXT(EDATE($D62,Milestones!$AA$163),"dd mmm yy"))&amp;" "&amp;Milestones!$AB$163&amp;" "&amp;Milestones!$AC$163&amp;";  ","")&amp;IF(AND(EDATE($D62,Milestones!$AA$164)&lt;=AsOfDate,IF($R62=0,$X62,IF(AND($T62&lt;&gt;"",EDATE($D62,Milestones!$AA$164)&gt;=$T62),$W62,IF(AND($S62&lt;&gt;"",EDATE($D62,Milestones!$AA$164)&gt;=$S62),$V62,$U62)))=Milestones!$AB$164),UPPER(TEXT(EDATE($D62,Milestones!$AA$164),"dd mmm yy"))&amp;" "&amp;Milestones!$AB$164&amp;" "&amp;Milestones!$AC$164&amp;";  ","")&amp;IF(AND(EDATE($D62,Milestones!$AA$165)&lt;=AsOfDate,IF($R62=0,$X62,IF(AND($T62&lt;&gt;"",EDATE($D62,Milestones!$AA$165)&gt;=$T62),$W62,IF(AND($S62&lt;&gt;"",EDATE($D62,Milestones!$AA$165)&gt;=$S62),$V62,$U62)))=Milestones!$AB$165),UPPER(TEXT(EDATE($D62,Milestones!$AA$165),"dd mmm yy"))&amp;" "&amp;Milestones!$AB$165&amp;" "&amp;Milestones!$AC$165&amp;";  ","")&amp;IF(AND(EDATE($D62,Milestones!$AA$166)&lt;=AsOfDate,IF($R62=0,$X62,IF(AND($T62&lt;&gt;"",EDATE($D62,Milestones!$AA$166)&gt;=$T62),$W62,IF(AND($S62&lt;&gt;"",EDATE($D62,Milestones!$AA$166)&gt;=$S62),$V62,$U62)))=Milestones!$AB$166),UPPER(TEXT(EDATE($D62,Milestones!$AA$166),"dd mmm yy"))&amp;" "&amp;Milestones!$AB$166&amp;" "&amp;Milestones!$AC$166&amp;";  ","")&amp;IF(AND(EDATE($D62,Milestones!$AA$167)&lt;=AsOfDate,IF($R62=0,$X62,IF(AND($T62&lt;&gt;"",EDATE($D62,Milestones!$AA$167)&gt;=$T62),$W62,IF(AND($S62&lt;&gt;"",EDATE($D62,Milestones!$AA$167)&gt;=$S62),$V62,$U62)))=Milestones!$AB$167),UPPER(TEXT(EDATE($D62,Milestones!$AA$167),"dd mmm yy"))&amp;" "&amp;Milestones!$AB$167&amp;" "&amp;Milestones!$AC$167&amp;";  ","")&amp;IF(AND(EDATE($D62,Milestones!$AA$168)&lt;=AsOfDate,IF($R62=0,$X62,IF(AND($T62&lt;&gt;"",EDATE($D62,Milestones!$AA$168)&gt;=$T62),$W62,IF(AND($S62&lt;&gt;"",EDATE($D62,Milestones!$AA$168)&gt;=$S62),$V62,$U62)))=Milestones!$AB$168),UPPER(TEXT(EDATE($D62,Milestones!$AA$168),"dd mmm yy"))&amp;" "&amp;Milestones!$AB$168&amp;" "&amp;Milestones!$AC$168&amp;";  ","")&amp;IF(AND(EDATE($D62,Milestones!$AA$169)&lt;=AsOfDate,IF($R62=0,$X62,IF(AND($T62&lt;&gt;"",EDATE($D62,Milestones!$AA$169)&gt;=$T62),$W62,IF(AND($S62&lt;&gt;"",EDATE($D62,Milestones!$AA$169)&gt;=$S62),$V62,$U62)))=Milestones!$AB$169),UPPER(TEXT(EDATE($D62,Milestones!$AA$169),"dd mmm yy"))&amp;" "&amp;Milestones!$AB$169&amp;" "&amp;Milestones!$AC$169&amp;";  ","")&amp;IF(AND(EDATE($D62,Milestones!$AA$170)&lt;=AsOfDate,IF($R62=0,$X62,IF(AND($T62&lt;&gt;"",EDATE($D62,Milestones!$AA$170)&gt;=$T62),$W62,IF(AND($S62&lt;&gt;"",EDATE($D62,Milestones!$AA$170)&gt;=$S62),$V62,$U62)))=Milestones!$AB$170),UPPER(TEXT(EDATE($D62,Milestones!$AA$170),"dd mmm yy"))&amp;" "&amp;Milestones!$AB$170&amp;" "&amp;Milestones!$AC$170&amp;";  ","")&amp;IF(AND(EDATE($D62,Milestones!$AA$171)&lt;=AsOfDate,IF($R62=0,$X62,IF(AND($T62&lt;&gt;"",EDATE($D62,Milestones!$AA$171)&gt;=$T62),$W62,IF(AND($S62&lt;&gt;"",EDATE($D62,Milestones!$AA$171)&gt;=$S62),$V62,$U62)))=Milestones!$AB$171),UPPER(TEXT(EDATE($D62,Milestones!$AA$171),"dd mmm yy"))&amp;" "&amp;Milestones!$AB$171&amp;" "&amp;Milestones!$AC$171&amp;";  ","")&amp;IF(AND(EDATE($D62,Milestones!$AA$172)&lt;=AsOfDate,IF($R62=0,$X62,IF(AND($T62&lt;&gt;"",EDATE($D62,Milestones!$AA$172)&gt;=$T62),$W62,IF(AND($S62&lt;&gt;"",EDATE($D62,Milestones!$AA$172)&gt;=$S62),$V62,$U62)))=Milestones!$AB$172),UPPER(TEXT(EDATE($D62,Milestones!$AA$172),"dd mmm yy"))&amp;" "&amp;Milestones!$AB$172&amp;" "&amp;Milestones!$AC$172&amp;";  ","")&amp;IF(AND(EDATE($D62,Milestones!$AA$173)&lt;=AsOfDate,IF($R62=0,$X62,IF(AND($T62&lt;&gt;"",EDATE($D62,Milestones!$AA$173)&gt;=$T62),$W62,IF(AND($S62&lt;&gt;"",EDATE($D62,Milestones!$AA$173)&gt;=$S62),$V62,$U62)))=Milestones!$AB$173),UPPER(TEXT(EDATE($D62,Milestones!$AA$173),"dd mmm yy"))&amp;" "&amp;Milestones!$AB$173&amp;" "&amp;Milestones!$AC$173&amp;";  ","")&amp;IF(AND(EDATE($D62,Milestones!$AA$174)&lt;=AsOfDate,IF($R62=0,$X62,IF(AND($T62&lt;&gt;"",EDATE($D62,Milestones!$AA$174)&gt;=$T62),$W62,IF(AND($S62&lt;&gt;"",EDATE($D62,Milestones!$AA$174)&gt;=$S62),$V62,$U62)))=Milestones!$AB$174),UPPER(TEXT(EDATE($D62,Milestones!$AA$174),"dd mmm yy"))&amp;" "&amp;Milestones!$AB$174&amp;" "&amp;Milestones!$AC$174&amp;";  ","")&amp;IF(AND(EDATE($D62,Milestones!$AA$175)&lt;=AsOfDate,IF($R62=0,$X62,IF(AND($T62&lt;&gt;"",EDATE($D62,Milestones!$AA$175)&gt;=$T62),$W62,IF(AND($S62&lt;&gt;"",EDATE($D62,Milestones!$AA$175)&gt;=$S62),$V62,$U62)))=Milestones!$AB$175),UPPER(TEXT(EDATE($D62,Milestones!$AA$175),"dd mmm yy"))&amp;" "&amp;Milestones!$AB$175&amp;" "&amp;Milestones!$AC$175&amp;";  ","")&amp;IF(AND(EDATE($D62,Milestones!$AA$176)&lt;=AsOfDate,IF($R62=0,$X62,IF(AND($T62&lt;&gt;"",EDATE($D62,Milestones!$AA$176)&gt;=$T62),$W62,IF(AND($S62&lt;&gt;"",EDATE($D62,Milestones!$AA$176)&gt;=$S62),$V62,$U62)))=Milestones!$AB$176),UPPER(TEXT(EDATE($D62,Milestones!$AA$176),"dd mmm yy"))&amp;" "&amp;Milestones!$AB$176&amp;" "&amp;Milestones!$AC$176&amp;";  ","")&amp;IF(AND(EDATE($D62,Milestones!$AA$177)&lt;=AsOfDate,IF($R62=0,$X62,IF(AND($T62&lt;&gt;"",EDATE($D62,Milestones!$AA$177)&gt;=$T62),$W62,IF(AND($S62&lt;&gt;"",EDATE($D62,Milestones!$AA$177)&gt;=$S62),$V62,$U62)))=Milestones!$AB$177),UPPER(TEXT(EDATE($D62,Milestones!$AA$177),"dd mmm yy"))&amp;" "&amp;Milestones!$AB$177&amp;" "&amp;Milestones!$AC$177&amp;";  ","")&amp;IF(AND(EDATE($D62,Milestones!$AA$178)&lt;=AsOfDate,IF($R62=0,$X62,IF(AND($T62&lt;&gt;"",EDATE($D62,Milestones!$AA$178)&gt;=$T62),$W62,IF(AND($S62&lt;&gt;"",EDATE($D62,Milestones!$AA$178)&gt;=$S62),$V62,$U62)))=Milestones!$AB$178),UPPER(TEXT(EDATE($D62,Milestones!$AA$178),"dd mmm yy"))&amp;" "&amp;Milestones!$AB$178&amp;" "&amp;Milestones!$AC$178&amp;";  ","")&amp;IF(AND(EDATE($D62,Milestones!$AA$179)&lt;=AsOfDate,IF($R62=0,$X62,IF(AND($T62&lt;&gt;"",EDATE($D62,Milestones!$AA$179)&gt;=$T62),$W62,IF(AND($S62&lt;&gt;"",EDATE($D62,Milestones!$AA$179)&gt;=$S62),$V62,$U62)))=Milestones!$AB$179),UPPER(TEXT(EDATE($D62,Milestones!$AA$179),"dd mmm yy"))&amp;" "&amp;Milestones!$AB$179&amp;" "&amp;Milestones!$AC$179&amp;";  ",""))</f>
        <v/>
      </c>
      <c r="Q62" s="0" t="str">
        <f aca="false">IF(OR($A62="",$D62=""),"",IF(AND(EDATE($D62,Milestones!$AA$180)&lt;=AsOfDate,IF($R62=0,$X62,IF(AND($T62&lt;&gt;"",EDATE($D62,Milestones!$AA$180)&gt;=$T62),$W62,IF(AND($S62&lt;&gt;"",EDATE($D62,Milestones!$AA$180)&gt;=$S62),$V62,$U62)))=Milestones!$AB$180),UPPER(TEXT(EDATE($D62,Milestones!$AA$180),"dd mmm yy"))&amp;" "&amp;Milestones!$AB$180&amp;" "&amp;Milestones!$AC$180&amp;";  ","")&amp;IF(AND(EDATE($D62,Milestones!$AA$181)&lt;=AsOfDate,IF($R62=0,$X62,IF(AND($T62&lt;&gt;"",EDATE($D62,Milestones!$AA$181)&gt;=$T62),$W62,IF(AND($S62&lt;&gt;"",EDATE($D62,Milestones!$AA$181)&gt;=$S62),$V62,$U62)))=Milestones!$AB$181),UPPER(TEXT(EDATE($D62,Milestones!$AA$181),"dd mmm yy"))&amp;" "&amp;Milestones!$AB$181&amp;" "&amp;Milestones!$AC$181&amp;";  ","")&amp;IF(AND(EDATE($D62,Milestones!$AA$182)&lt;=AsOfDate,IF($R62=0,$X62,IF(AND($T62&lt;&gt;"",EDATE($D62,Milestones!$AA$182)&gt;=$T62),$W62,IF(AND($S62&lt;&gt;"",EDATE($D62,Milestones!$AA$182)&gt;=$S62),$V62,$U62)))=Milestones!$AB$182),UPPER(TEXT(EDATE($D62,Milestones!$AA$182),"dd mmm yy"))&amp;" "&amp;Milestones!$AB$182&amp;" "&amp;Milestones!$AC$182&amp;";  ","")&amp;IF(AND(EDATE($D62,Milestones!$AA$183)&lt;=AsOfDate,IF($R62=0,$X62,IF(AND($T62&lt;&gt;"",EDATE($D62,Milestones!$AA$183)&gt;=$T62),$W62,IF(AND($S62&lt;&gt;"",EDATE($D62,Milestones!$AA$183)&gt;=$S62),$V62,$U62)))=Milestones!$AB$183),UPPER(TEXT(EDATE($D62,Milestones!$AA$183),"dd mmm yy"))&amp;" "&amp;Milestones!$AB$183&amp;" "&amp;Milestones!$AC$183&amp;";  ","")&amp;IF(AND(EDATE($D62,Milestones!$AA$184)&lt;=AsOfDate,IF($R62=0,$X62,IF(AND($T62&lt;&gt;"",EDATE($D62,Milestones!$AA$184)&gt;=$T62),$W62,IF(AND($S62&lt;&gt;"",EDATE($D62,Milestones!$AA$184)&gt;=$S62),$V62,$U62)))=Milestones!$AB$184),UPPER(TEXT(EDATE($D62,Milestones!$AA$184),"dd mmm yy"))&amp;" "&amp;Milestones!$AB$184&amp;" "&amp;Milestones!$AC$184&amp;";  ","")&amp;IF(AND(EDATE($D62,Milestones!$AA$185)&lt;=AsOfDate,IF($R62=0,$X62,IF(AND($T62&lt;&gt;"",EDATE($D62,Milestones!$AA$185)&gt;=$T62),$W62,IF(AND($S62&lt;&gt;"",EDATE($D62,Milestones!$AA$185)&gt;=$S62),$V62,$U62)))=Milestones!$AB$185),UPPER(TEXT(EDATE($D62,Milestones!$AA$185),"dd mmm yy"))&amp;" "&amp;Milestones!$AB$185&amp;" "&amp;Milestones!$AC$185&amp;";  ","")&amp;IF(AND(EDATE($D62,Milestones!$AA$186)&lt;=AsOfDate,IF($R62=0,$X62,IF(AND($T62&lt;&gt;"",EDATE($D62,Milestones!$AA$186)&gt;=$T62),$W62,IF(AND($S62&lt;&gt;"",EDATE($D62,Milestones!$AA$186)&gt;=$S62),$V62,$U62)))=Milestones!$AB$186),UPPER(TEXT(EDATE($D62,Milestones!$AA$186),"dd mmm yy"))&amp;" "&amp;Milestones!$AB$186&amp;" "&amp;Milestones!$AC$186&amp;";  ","")&amp;IF(AND(EDATE($D62,Milestones!$AA$187)&lt;=AsOfDate,IF($R62=0,$X62,IF(AND($T62&lt;&gt;"",EDATE($D62,Milestones!$AA$187)&gt;=$T62),$W62,IF(AND($S62&lt;&gt;"",EDATE($D62,Milestones!$AA$187)&gt;=$S62),$V62,$U62)))=Milestones!$AB$187),UPPER(TEXT(EDATE($D62,Milestones!$AA$187),"dd mmm yy"))&amp;" "&amp;Milestones!$AB$187&amp;" "&amp;Milestones!$AC$187&amp;";  ","")&amp;IF(AND(EDATE($D62,Milestones!$AA$188)&lt;=AsOfDate,IF($R62=0,$X62,IF(AND($T62&lt;&gt;"",EDATE($D62,Milestones!$AA$188)&gt;=$T62),$W62,IF(AND($S62&lt;&gt;"",EDATE($D62,Milestones!$AA$188)&gt;=$S62),$V62,$U62)))=Milestones!$AB$188),UPPER(TEXT(EDATE($D62,Milestones!$AA$188),"dd mmm yy"))&amp;" "&amp;Milestones!$AB$188&amp;" "&amp;Milestones!$AC$188&amp;";  ","")&amp;IF(AND(EDATE($D62,Milestones!$AA$189)&lt;=AsOfDate,IF($R62=0,$X62,IF(AND($T62&lt;&gt;"",EDATE($D62,Milestones!$AA$189)&gt;=$T62),$W62,IF(AND($S62&lt;&gt;"",EDATE($D62,Milestones!$AA$189)&gt;=$S62),$V62,$U62)))=Milestones!$AB$189),UPPER(TEXT(EDATE($D62,Milestones!$AA$189),"dd mmm yy"))&amp;" "&amp;Milestones!$AB$189&amp;" "&amp;Milestones!$AC$189&amp;";  ","")&amp;IF(AND(EDATE($D62,Milestones!$AA$190)&lt;=AsOfDate,IF($R62=0,$X62,IF(AND($T62&lt;&gt;"",EDATE($D62,Milestones!$AA$190)&gt;=$T62),$W62,IF(AND($S62&lt;&gt;"",EDATE($D62,Milestones!$AA$190)&gt;=$S62),$V62,$U62)))=Milestones!$AB$190),UPPER(TEXT(EDATE($D62,Milestones!$AA$190),"dd mmm yy"))&amp;" "&amp;Milestones!$AB$190&amp;" "&amp;Milestones!$AC$190&amp;";  ","")&amp;IF(AND(EDATE($D62,Milestones!$AA$191)&lt;=AsOfDate,IF($R62=0,$X62,IF(AND($T62&lt;&gt;"",EDATE($D62,Milestones!$AA$191)&gt;=$T62),$W62,IF(AND($S62&lt;&gt;"",EDATE($D62,Milestones!$AA$191)&gt;=$S62),$V62,$U62)))=Milestones!$AB$191),UPPER(TEXT(EDATE($D62,Milestones!$AA$191),"dd mmm yy"))&amp;" "&amp;Milestones!$AB$191&amp;" "&amp;Milestones!$AC$191&amp;";  ","")&amp;IF(AND(EDATE($D62,Milestones!$AA$192)&lt;=AsOfDate,IF($R62=0,$X62,IF(AND($T62&lt;&gt;"",EDATE($D62,Milestones!$AA$192)&gt;=$T62),$W62,IF(AND($S62&lt;&gt;"",EDATE($D62,Milestones!$AA$192)&gt;=$S62),$V62,$U62)))=Milestones!$AB$192),UPPER(TEXT(EDATE($D62,Milestones!$AA$192),"dd mmm yy"))&amp;" "&amp;Milestones!$AB$192&amp;" "&amp;Milestones!$AC$192&amp;";  ","")&amp;IF(AND(EDATE($D62,Milestones!$AA$193)&lt;=AsOfDate,IF($R62=0,$X62,IF(AND($T62&lt;&gt;"",EDATE($D62,Milestones!$AA$193)&gt;=$T62),$W62,IF(AND($S62&lt;&gt;"",EDATE($D62,Milestones!$AA$193)&gt;=$S62),$V62,$U62)))=Milestones!$AB$193),UPPER(TEXT(EDATE($D62,Milestones!$AA$193),"dd mmm yy"))&amp;" "&amp;Milestones!$AB$193&amp;" "&amp;Milestones!$AC$193&amp;";  ","")&amp;IF(AND(EDATE($D62,Milestones!$AA$194)&lt;=AsOfDate,IF($R62=0,$X62,IF(AND($T62&lt;&gt;"",EDATE($D62,Milestones!$AA$194)&gt;=$T62),$W62,IF(AND($S62&lt;&gt;"",EDATE($D62,Milestones!$AA$194)&gt;=$S62),$V62,$U62)))=Milestones!$AB$194),UPPER(TEXT(EDATE($D62,Milestones!$AA$194),"dd mmm yy"))&amp;" "&amp;Milestones!$AB$194&amp;" "&amp;Milestones!$AC$194&amp;";  ","")&amp;IF(AND(EDATE($D62,Milestones!$AA$195)&lt;=AsOfDate,IF($R62=0,$X62,IF(AND($T62&lt;&gt;"",EDATE($D62,Milestones!$AA$195)&gt;=$T62),$W62,IF(AND($S62&lt;&gt;"",EDATE($D62,Milestones!$AA$195)&gt;=$S62),$V62,$U62)))=Milestones!$AB$195),UPPER(TEXT(EDATE($D62,Milestones!$AA$195),"dd mmm yy"))&amp;" "&amp;Milestones!$AB$195&amp;" "&amp;Milestones!$AC$195&amp;";  ","")&amp;IF(AND(EDATE($D62,Milestones!$AA$196)&lt;=AsOfDate,IF($R62=0,$X62,IF(AND($T62&lt;&gt;"",EDATE($D62,Milestones!$AA$196)&gt;=$T62),$W62,IF(AND($S62&lt;&gt;"",EDATE($D62,Milestones!$AA$196)&gt;=$S62),$V62,$U62)))=Milestones!$AB$196),UPPER(TEXT(EDATE($D62,Milestones!$AA$196),"dd mmm yy"))&amp;" "&amp;Milestones!$AB$196&amp;" "&amp;Milestones!$AC$196&amp;";  ","")&amp;IF(AND(EDATE($D62,Milestones!$AA$197)&lt;=AsOfDate,IF($R62=0,$X62,IF(AND($T62&lt;&gt;"",EDATE($D62,Milestones!$AA$197)&gt;=$T62),$W62,IF(AND($S62&lt;&gt;"",EDATE($D62,Milestones!$AA$197)&gt;=$S62),$V62,$U62)))=Milestones!$AB$197),UPPER(TEXT(EDATE($D62,Milestones!$AA$197),"dd mmm yy"))&amp;" "&amp;Milestones!$AB$197&amp;" "&amp;Milestones!$AC$197&amp;";  ","")&amp;IF(AND(EDATE($D62,Milestones!$AA$198)&lt;=AsOfDate,IF($R62=0,$X62,IF(AND($T62&lt;&gt;"",EDATE($D62,Milestones!$AA$198)&gt;=$T62),$W62,IF(AND($S62&lt;&gt;"",EDATE($D62,Milestones!$AA$198)&gt;=$S62),$V62,$U62)))=Milestones!$AB$198),UPPER(TEXT(EDATE($D62,Milestones!$AA$198),"dd mmm yy"))&amp;" "&amp;Milestones!$AB$198&amp;" "&amp;Milestones!$AC$198&amp;";  ","")&amp;IF(AND(EDATE($D62,Milestones!$AA$199)&lt;=AsOfDate,IF($R62=0,$X62,IF(AND($T62&lt;&gt;"",EDATE($D62,Milestones!$AA$199)&gt;=$T62),$W62,IF(AND($S62&lt;&gt;"",EDATE($D62,Milestones!$AA$199)&gt;=$S62),$V62,$U62)))=Milestones!$AB$199),UPPER(TEXT(EDATE($D62,Milestones!$AA$199),"dd mmm yy"))&amp;" "&amp;Milestones!$AB$199&amp;" "&amp;Milestones!$AC$199&amp;";  ",""))</f>
        <v/>
      </c>
      <c r="R62" s="0" t="str">
        <f aca="false">IF(Staff!$A62="","",Staff!$AI62)</f>
        <v/>
      </c>
      <c r="S62" s="0" t="str">
        <f aca="false">IF(Staff!$A62="","",Staff!$AK62)</f>
        <v/>
      </c>
      <c r="T62" s="0" t="str">
        <f aca="false">IF(Staff!$A62="","",Staff!$AL62)</f>
        <v/>
      </c>
      <c r="U62" s="0" t="str">
        <f aca="false">IF(Staff!$A62="","",Staff!$AP62)</f>
        <v/>
      </c>
      <c r="V62" s="0" t="str">
        <f aca="false">IF(Staff!$A62="","",Staff!$AQ62)</f>
        <v/>
      </c>
      <c r="W62" s="0" t="str">
        <f aca="false">IF(Staff!$A62="","",Staff!$AR62)</f>
        <v/>
      </c>
      <c r="X62" s="0" t="str">
        <f aca="false">IF(Staff!$A62="","",Staff!$AS62)</f>
        <v/>
      </c>
    </row>
    <row r="63" customFormat="false" ht="15" hidden="false" customHeight="false" outlineLevel="0" collapsed="false">
      <c r="A63" s="14" t="str">
        <f aca="false">IF(Staff!$A63="","",Staff!$A63)</f>
        <v/>
      </c>
      <c r="B63" s="14" t="str">
        <f aca="false">IF(Staff!$A63="","",Staff!$B63)</f>
        <v/>
      </c>
      <c r="C63" s="14" t="str">
        <f aca="false">IF(Staff!$A63="","",Staff!$C63)</f>
        <v/>
      </c>
      <c r="D63" s="12" t="str">
        <f aca="false">IF(Staff!$A63="","",Staff!$AH63)</f>
        <v/>
      </c>
      <c r="E63" s="14" t="str">
        <f aca="false">IF(Staff!$A63="","",Staff!$O63)</f>
        <v/>
      </c>
      <c r="F63" s="14" t="str">
        <f aca="false">IF(E63="","",E63*HoursPerDay)</f>
        <v/>
      </c>
      <c r="G63" s="14" t="str">
        <f aca="false">IF(Staff!$A63="","",Staff!$AE63)</f>
        <v/>
      </c>
      <c r="H63" s="26" t="str">
        <f aca="false">IF($A63="","",I63&amp;J63&amp;K63&amp;L63&amp;M63&amp;N63&amp;O63&amp;P63&amp;Q63)</f>
        <v/>
      </c>
      <c r="I63" s="0" t="str">
        <f aca="false">IF(OR($A63="",$D63=""),"",IF(AND(EDATE($D63,Milestones!$AA$20)&lt;=AsOfDate,IF($R63=0,$X63,IF(AND($T63&lt;&gt;"",EDATE($D63,Milestones!$AA$20)&gt;=$T63),$W63,IF(AND($S63&lt;&gt;"",EDATE($D63,Milestones!$AA$20)&gt;=$S63),$V63,$U63)))=Milestones!$AB$20),UPPER(TEXT(EDATE($D63,Milestones!$AA$20),"dd mmm yy"))&amp;" "&amp;Milestones!$AB$20&amp;" "&amp;Milestones!$AC$20&amp;";  ","")&amp;IF(AND(EDATE($D63,Milestones!$AA$21)&lt;=AsOfDate,IF($R63=0,$X63,IF(AND($T63&lt;&gt;"",EDATE($D63,Milestones!$AA$21)&gt;=$T63),$W63,IF(AND($S63&lt;&gt;"",EDATE($D63,Milestones!$AA$21)&gt;=$S63),$V63,$U63)))=Milestones!$AB$21),UPPER(TEXT(EDATE($D63,Milestones!$AA$21),"dd mmm yy"))&amp;" "&amp;Milestones!$AB$21&amp;" "&amp;Milestones!$AC$21&amp;";  ","")&amp;IF(AND(EDATE($D63,Milestones!$AA$22)&lt;=AsOfDate,IF($R63=0,$X63,IF(AND($T63&lt;&gt;"",EDATE($D63,Milestones!$AA$22)&gt;=$T63),$W63,IF(AND($S63&lt;&gt;"",EDATE($D63,Milestones!$AA$22)&gt;=$S63),$V63,$U63)))=Milestones!$AB$22),UPPER(TEXT(EDATE($D63,Milestones!$AA$22),"dd mmm yy"))&amp;" "&amp;Milestones!$AB$22&amp;" "&amp;Milestones!$AC$22&amp;";  ","")&amp;IF(AND(EDATE($D63,Milestones!$AA$23)&lt;=AsOfDate,IF($R63=0,$X63,IF(AND($T63&lt;&gt;"",EDATE($D63,Milestones!$AA$23)&gt;=$T63),$W63,IF(AND($S63&lt;&gt;"",EDATE($D63,Milestones!$AA$23)&gt;=$S63),$V63,$U63)))=Milestones!$AB$23),UPPER(TEXT(EDATE($D63,Milestones!$AA$23),"dd mmm yy"))&amp;" "&amp;Milestones!$AB$23&amp;" "&amp;Milestones!$AC$23&amp;";  ","")&amp;IF(AND(EDATE($D63,Milestones!$AA$24)&lt;=AsOfDate,IF($R63=0,$X63,IF(AND($T63&lt;&gt;"",EDATE($D63,Milestones!$AA$24)&gt;=$T63),$W63,IF(AND($S63&lt;&gt;"",EDATE($D63,Milestones!$AA$24)&gt;=$S63),$V63,$U63)))=Milestones!$AB$24),UPPER(TEXT(EDATE($D63,Milestones!$AA$24),"dd mmm yy"))&amp;" "&amp;Milestones!$AB$24&amp;" "&amp;Milestones!$AC$24&amp;";  ","")&amp;IF(AND(EDATE($D63,Milestones!$AA$25)&lt;=AsOfDate,IF($R63=0,$X63,IF(AND($T63&lt;&gt;"",EDATE($D63,Milestones!$AA$25)&gt;=$T63),$W63,IF(AND($S63&lt;&gt;"",EDATE($D63,Milestones!$AA$25)&gt;=$S63),$V63,$U63)))=Milestones!$AB$25),UPPER(TEXT(EDATE($D63,Milestones!$AA$25),"dd mmm yy"))&amp;" "&amp;Milestones!$AB$25&amp;" "&amp;Milestones!$AC$25&amp;";  ","")&amp;IF(AND(EDATE($D63,Milestones!$AA$26)&lt;=AsOfDate,IF($R63=0,$X63,IF(AND($T63&lt;&gt;"",EDATE($D63,Milestones!$AA$26)&gt;=$T63),$W63,IF(AND($S63&lt;&gt;"",EDATE($D63,Milestones!$AA$26)&gt;=$S63),$V63,$U63)))=Milestones!$AB$26),UPPER(TEXT(EDATE($D63,Milestones!$AA$26),"dd mmm yy"))&amp;" "&amp;Milestones!$AB$26&amp;" "&amp;Milestones!$AC$26&amp;";  ","")&amp;IF(AND(EDATE($D63,Milestones!$AA$27)&lt;=AsOfDate,IF($R63=0,$X63,IF(AND($T63&lt;&gt;"",EDATE($D63,Milestones!$AA$27)&gt;=$T63),$W63,IF(AND($S63&lt;&gt;"",EDATE($D63,Milestones!$AA$27)&gt;=$S63),$V63,$U63)))=Milestones!$AB$27),UPPER(TEXT(EDATE($D63,Milestones!$AA$27),"dd mmm yy"))&amp;" "&amp;Milestones!$AB$27&amp;" "&amp;Milestones!$AC$27&amp;";  ","")&amp;IF(AND(EDATE($D63,Milestones!$AA$28)&lt;=AsOfDate,IF($R63=0,$X63,IF(AND($T63&lt;&gt;"",EDATE($D63,Milestones!$AA$28)&gt;=$T63),$W63,IF(AND($S63&lt;&gt;"",EDATE($D63,Milestones!$AA$28)&gt;=$S63),$V63,$U63)))=Milestones!$AB$28),UPPER(TEXT(EDATE($D63,Milestones!$AA$28),"dd mmm yy"))&amp;" "&amp;Milestones!$AB$28&amp;" "&amp;Milestones!$AC$28&amp;";  ","")&amp;IF(AND(EDATE($D63,Milestones!$AA$29)&lt;=AsOfDate,IF($R63=0,$X63,IF(AND($T63&lt;&gt;"",EDATE($D63,Milestones!$AA$29)&gt;=$T63),$W63,IF(AND($S63&lt;&gt;"",EDATE($D63,Milestones!$AA$29)&gt;=$S63),$V63,$U63)))=Milestones!$AB$29),UPPER(TEXT(EDATE($D63,Milestones!$AA$29),"dd mmm yy"))&amp;" "&amp;Milestones!$AB$29&amp;" "&amp;Milestones!$AC$29&amp;";  ","")&amp;IF(AND(EDATE($D63,Milestones!$AA$30)&lt;=AsOfDate,IF($R63=0,$X63,IF(AND($T63&lt;&gt;"",EDATE($D63,Milestones!$AA$30)&gt;=$T63),$W63,IF(AND($S63&lt;&gt;"",EDATE($D63,Milestones!$AA$30)&gt;=$S63),$V63,$U63)))=Milestones!$AB$30),UPPER(TEXT(EDATE($D63,Milestones!$AA$30),"dd mmm yy"))&amp;" "&amp;Milestones!$AB$30&amp;" "&amp;Milestones!$AC$30&amp;";  ","")&amp;IF(AND(EDATE($D63,Milestones!$AA$31)&lt;=AsOfDate,IF($R63=0,$X63,IF(AND($T63&lt;&gt;"",EDATE($D63,Milestones!$AA$31)&gt;=$T63),$W63,IF(AND($S63&lt;&gt;"",EDATE($D63,Milestones!$AA$31)&gt;=$S63),$V63,$U63)))=Milestones!$AB$31),UPPER(TEXT(EDATE($D63,Milestones!$AA$31),"dd mmm yy"))&amp;" "&amp;Milestones!$AB$31&amp;" "&amp;Milestones!$AC$31&amp;";  ","")&amp;IF(AND(EDATE($D63,Milestones!$AA$32)&lt;=AsOfDate,IF($R63=0,$X63,IF(AND($T63&lt;&gt;"",EDATE($D63,Milestones!$AA$32)&gt;=$T63),$W63,IF(AND($S63&lt;&gt;"",EDATE($D63,Milestones!$AA$32)&gt;=$S63),$V63,$U63)))=Milestones!$AB$32),UPPER(TEXT(EDATE($D63,Milestones!$AA$32),"dd mmm yy"))&amp;" "&amp;Milestones!$AB$32&amp;" "&amp;Milestones!$AC$32&amp;";  ","")&amp;IF(AND(EDATE($D63,Milestones!$AA$33)&lt;=AsOfDate,IF($R63=0,$X63,IF(AND($T63&lt;&gt;"",EDATE($D63,Milestones!$AA$33)&gt;=$T63),$W63,IF(AND($S63&lt;&gt;"",EDATE($D63,Milestones!$AA$33)&gt;=$S63),$V63,$U63)))=Milestones!$AB$33),UPPER(TEXT(EDATE($D63,Milestones!$AA$33),"dd mmm yy"))&amp;" "&amp;Milestones!$AB$33&amp;" "&amp;Milestones!$AC$33&amp;";  ","")&amp;IF(AND(EDATE($D63,Milestones!$AA$34)&lt;=AsOfDate,IF($R63=0,$X63,IF(AND($T63&lt;&gt;"",EDATE($D63,Milestones!$AA$34)&gt;=$T63),$W63,IF(AND($S63&lt;&gt;"",EDATE($D63,Milestones!$AA$34)&gt;=$S63),$V63,$U63)))=Milestones!$AB$34),UPPER(TEXT(EDATE($D63,Milestones!$AA$34),"dd mmm yy"))&amp;" "&amp;Milestones!$AB$34&amp;" "&amp;Milestones!$AC$34&amp;";  ","")&amp;IF(AND(EDATE($D63,Milestones!$AA$35)&lt;=AsOfDate,IF($R63=0,$X63,IF(AND($T63&lt;&gt;"",EDATE($D63,Milestones!$AA$35)&gt;=$T63),$W63,IF(AND($S63&lt;&gt;"",EDATE($D63,Milestones!$AA$35)&gt;=$S63),$V63,$U63)))=Milestones!$AB$35),UPPER(TEXT(EDATE($D63,Milestones!$AA$35),"dd mmm yy"))&amp;" "&amp;Milestones!$AB$35&amp;" "&amp;Milestones!$AC$35&amp;";  ","")&amp;IF(AND(EDATE($D63,Milestones!$AA$36)&lt;=AsOfDate,IF($R63=0,$X63,IF(AND($T63&lt;&gt;"",EDATE($D63,Milestones!$AA$36)&gt;=$T63),$W63,IF(AND($S63&lt;&gt;"",EDATE($D63,Milestones!$AA$36)&gt;=$S63),$V63,$U63)))=Milestones!$AB$36),UPPER(TEXT(EDATE($D63,Milestones!$AA$36),"dd mmm yy"))&amp;" "&amp;Milestones!$AB$36&amp;" "&amp;Milestones!$AC$36&amp;";  ","")&amp;IF(AND(EDATE($D63,Milestones!$AA$37)&lt;=AsOfDate,IF($R63=0,$X63,IF(AND($T63&lt;&gt;"",EDATE($D63,Milestones!$AA$37)&gt;=$T63),$W63,IF(AND($S63&lt;&gt;"",EDATE($D63,Milestones!$AA$37)&gt;=$S63),$V63,$U63)))=Milestones!$AB$37),UPPER(TEXT(EDATE($D63,Milestones!$AA$37),"dd mmm yy"))&amp;" "&amp;Milestones!$AB$37&amp;" "&amp;Milestones!$AC$37&amp;";  ","")&amp;IF(AND(EDATE($D63,Milestones!$AA$38)&lt;=AsOfDate,IF($R63=0,$X63,IF(AND($T63&lt;&gt;"",EDATE($D63,Milestones!$AA$38)&gt;=$T63),$W63,IF(AND($S63&lt;&gt;"",EDATE($D63,Milestones!$AA$38)&gt;=$S63),$V63,$U63)))=Milestones!$AB$38),UPPER(TEXT(EDATE($D63,Milestones!$AA$38),"dd mmm yy"))&amp;" "&amp;Milestones!$AB$38&amp;" "&amp;Milestones!$AC$38&amp;";  ","")&amp;IF(AND(EDATE($D63,Milestones!$AA$39)&lt;=AsOfDate,IF($R63=0,$X63,IF(AND($T63&lt;&gt;"",EDATE($D63,Milestones!$AA$39)&gt;=$T63),$W63,IF(AND($S63&lt;&gt;"",EDATE($D63,Milestones!$AA$39)&gt;=$S63),$V63,$U63)))=Milestones!$AB$39),UPPER(TEXT(EDATE($D63,Milestones!$AA$39),"dd mmm yy"))&amp;" "&amp;Milestones!$AB$39&amp;" "&amp;Milestones!$AC$39&amp;";  ",""))</f>
        <v/>
      </c>
      <c r="J63" s="0" t="str">
        <f aca="false">IF(OR($A63="",$D63=""),"",IF(AND(EDATE($D63,Milestones!$AA$40)&lt;=AsOfDate,IF($R63=0,$X63,IF(AND($T63&lt;&gt;"",EDATE($D63,Milestones!$AA$40)&gt;=$T63),$W63,IF(AND($S63&lt;&gt;"",EDATE($D63,Milestones!$AA$40)&gt;=$S63),$V63,$U63)))=Milestones!$AB$40),UPPER(TEXT(EDATE($D63,Milestones!$AA$40),"dd mmm yy"))&amp;" "&amp;Milestones!$AB$40&amp;" "&amp;Milestones!$AC$40&amp;";  ","")&amp;IF(AND(EDATE($D63,Milestones!$AA$41)&lt;=AsOfDate,IF($R63=0,$X63,IF(AND($T63&lt;&gt;"",EDATE($D63,Milestones!$AA$41)&gt;=$T63),$W63,IF(AND($S63&lt;&gt;"",EDATE($D63,Milestones!$AA$41)&gt;=$S63),$V63,$U63)))=Milestones!$AB$41),UPPER(TEXT(EDATE($D63,Milestones!$AA$41),"dd mmm yy"))&amp;" "&amp;Milestones!$AB$41&amp;" "&amp;Milestones!$AC$41&amp;";  ","")&amp;IF(AND(EDATE($D63,Milestones!$AA$42)&lt;=AsOfDate,IF($R63=0,$X63,IF(AND($T63&lt;&gt;"",EDATE($D63,Milestones!$AA$42)&gt;=$T63),$W63,IF(AND($S63&lt;&gt;"",EDATE($D63,Milestones!$AA$42)&gt;=$S63),$V63,$U63)))=Milestones!$AB$42),UPPER(TEXT(EDATE($D63,Milestones!$AA$42),"dd mmm yy"))&amp;" "&amp;Milestones!$AB$42&amp;" "&amp;Milestones!$AC$42&amp;";  ","")&amp;IF(AND(EDATE($D63,Milestones!$AA$43)&lt;=AsOfDate,IF($R63=0,$X63,IF(AND($T63&lt;&gt;"",EDATE($D63,Milestones!$AA$43)&gt;=$T63),$W63,IF(AND($S63&lt;&gt;"",EDATE($D63,Milestones!$AA$43)&gt;=$S63),$V63,$U63)))=Milestones!$AB$43),UPPER(TEXT(EDATE($D63,Milestones!$AA$43),"dd mmm yy"))&amp;" "&amp;Milestones!$AB$43&amp;" "&amp;Milestones!$AC$43&amp;";  ","")&amp;IF(AND(EDATE($D63,Milestones!$AA$44)&lt;=AsOfDate,IF($R63=0,$X63,IF(AND($T63&lt;&gt;"",EDATE($D63,Milestones!$AA$44)&gt;=$T63),$W63,IF(AND($S63&lt;&gt;"",EDATE($D63,Milestones!$AA$44)&gt;=$S63),$V63,$U63)))=Milestones!$AB$44),UPPER(TEXT(EDATE($D63,Milestones!$AA$44),"dd mmm yy"))&amp;" "&amp;Milestones!$AB$44&amp;" "&amp;Milestones!$AC$44&amp;";  ","")&amp;IF(AND(EDATE($D63,Milestones!$AA$45)&lt;=AsOfDate,IF($R63=0,$X63,IF(AND($T63&lt;&gt;"",EDATE($D63,Milestones!$AA$45)&gt;=$T63),$W63,IF(AND($S63&lt;&gt;"",EDATE($D63,Milestones!$AA$45)&gt;=$S63),$V63,$U63)))=Milestones!$AB$45),UPPER(TEXT(EDATE($D63,Milestones!$AA$45),"dd mmm yy"))&amp;" "&amp;Milestones!$AB$45&amp;" "&amp;Milestones!$AC$45&amp;";  ","")&amp;IF(AND(EDATE($D63,Milestones!$AA$46)&lt;=AsOfDate,IF($R63=0,$X63,IF(AND($T63&lt;&gt;"",EDATE($D63,Milestones!$AA$46)&gt;=$T63),$W63,IF(AND($S63&lt;&gt;"",EDATE($D63,Milestones!$AA$46)&gt;=$S63),$V63,$U63)))=Milestones!$AB$46),UPPER(TEXT(EDATE($D63,Milestones!$AA$46),"dd mmm yy"))&amp;" "&amp;Milestones!$AB$46&amp;" "&amp;Milestones!$AC$46&amp;";  ","")&amp;IF(AND(EDATE($D63,Milestones!$AA$47)&lt;=AsOfDate,IF($R63=0,$X63,IF(AND($T63&lt;&gt;"",EDATE($D63,Milestones!$AA$47)&gt;=$T63),$W63,IF(AND($S63&lt;&gt;"",EDATE($D63,Milestones!$AA$47)&gt;=$S63),$V63,$U63)))=Milestones!$AB$47),UPPER(TEXT(EDATE($D63,Milestones!$AA$47),"dd mmm yy"))&amp;" "&amp;Milestones!$AB$47&amp;" "&amp;Milestones!$AC$47&amp;";  ","")&amp;IF(AND(EDATE($D63,Milestones!$AA$48)&lt;=AsOfDate,IF($R63=0,$X63,IF(AND($T63&lt;&gt;"",EDATE($D63,Milestones!$AA$48)&gt;=$T63),$W63,IF(AND($S63&lt;&gt;"",EDATE($D63,Milestones!$AA$48)&gt;=$S63),$V63,$U63)))=Milestones!$AB$48),UPPER(TEXT(EDATE($D63,Milestones!$AA$48),"dd mmm yy"))&amp;" "&amp;Milestones!$AB$48&amp;" "&amp;Milestones!$AC$48&amp;";  ","")&amp;IF(AND(EDATE($D63,Milestones!$AA$49)&lt;=AsOfDate,IF($R63=0,$X63,IF(AND($T63&lt;&gt;"",EDATE($D63,Milestones!$AA$49)&gt;=$T63),$W63,IF(AND($S63&lt;&gt;"",EDATE($D63,Milestones!$AA$49)&gt;=$S63),$V63,$U63)))=Milestones!$AB$49),UPPER(TEXT(EDATE($D63,Milestones!$AA$49),"dd mmm yy"))&amp;" "&amp;Milestones!$AB$49&amp;" "&amp;Milestones!$AC$49&amp;";  ","")&amp;IF(AND(EDATE($D63,Milestones!$AA$50)&lt;=AsOfDate,IF($R63=0,$X63,IF(AND($T63&lt;&gt;"",EDATE($D63,Milestones!$AA$50)&gt;=$T63),$W63,IF(AND($S63&lt;&gt;"",EDATE($D63,Milestones!$AA$50)&gt;=$S63),$V63,$U63)))=Milestones!$AB$50),UPPER(TEXT(EDATE($D63,Milestones!$AA$50),"dd mmm yy"))&amp;" "&amp;Milestones!$AB$50&amp;" "&amp;Milestones!$AC$50&amp;";  ","")&amp;IF(AND(EDATE($D63,Milestones!$AA$51)&lt;=AsOfDate,IF($R63=0,$X63,IF(AND($T63&lt;&gt;"",EDATE($D63,Milestones!$AA$51)&gt;=$T63),$W63,IF(AND($S63&lt;&gt;"",EDATE($D63,Milestones!$AA$51)&gt;=$S63),$V63,$U63)))=Milestones!$AB$51),UPPER(TEXT(EDATE($D63,Milestones!$AA$51),"dd mmm yy"))&amp;" "&amp;Milestones!$AB$51&amp;" "&amp;Milestones!$AC$51&amp;";  ","")&amp;IF(AND(EDATE($D63,Milestones!$AA$52)&lt;=AsOfDate,IF($R63=0,$X63,IF(AND($T63&lt;&gt;"",EDATE($D63,Milestones!$AA$52)&gt;=$T63),$W63,IF(AND($S63&lt;&gt;"",EDATE($D63,Milestones!$AA$52)&gt;=$S63),$V63,$U63)))=Milestones!$AB$52),UPPER(TEXT(EDATE($D63,Milestones!$AA$52),"dd mmm yy"))&amp;" "&amp;Milestones!$AB$52&amp;" "&amp;Milestones!$AC$52&amp;";  ","")&amp;IF(AND(EDATE($D63,Milestones!$AA$53)&lt;=AsOfDate,IF($R63=0,$X63,IF(AND($T63&lt;&gt;"",EDATE($D63,Milestones!$AA$53)&gt;=$T63),$W63,IF(AND($S63&lt;&gt;"",EDATE($D63,Milestones!$AA$53)&gt;=$S63),$V63,$U63)))=Milestones!$AB$53),UPPER(TEXT(EDATE($D63,Milestones!$AA$53),"dd mmm yy"))&amp;" "&amp;Milestones!$AB$53&amp;" "&amp;Milestones!$AC$53&amp;";  ","")&amp;IF(AND(EDATE($D63,Milestones!$AA$54)&lt;=AsOfDate,IF($R63=0,$X63,IF(AND($T63&lt;&gt;"",EDATE($D63,Milestones!$AA$54)&gt;=$T63),$W63,IF(AND($S63&lt;&gt;"",EDATE($D63,Milestones!$AA$54)&gt;=$S63),$V63,$U63)))=Milestones!$AB$54),UPPER(TEXT(EDATE($D63,Milestones!$AA$54),"dd mmm yy"))&amp;" "&amp;Milestones!$AB$54&amp;" "&amp;Milestones!$AC$54&amp;";  ","")&amp;IF(AND(EDATE($D63,Milestones!$AA$55)&lt;=AsOfDate,IF($R63=0,$X63,IF(AND($T63&lt;&gt;"",EDATE($D63,Milestones!$AA$55)&gt;=$T63),$W63,IF(AND($S63&lt;&gt;"",EDATE($D63,Milestones!$AA$55)&gt;=$S63),$V63,$U63)))=Milestones!$AB$55),UPPER(TEXT(EDATE($D63,Milestones!$AA$55),"dd mmm yy"))&amp;" "&amp;Milestones!$AB$55&amp;" "&amp;Milestones!$AC$55&amp;";  ","")&amp;IF(AND(EDATE($D63,Milestones!$AA$56)&lt;=AsOfDate,IF($R63=0,$X63,IF(AND($T63&lt;&gt;"",EDATE($D63,Milestones!$AA$56)&gt;=$T63),$W63,IF(AND($S63&lt;&gt;"",EDATE($D63,Milestones!$AA$56)&gt;=$S63),$V63,$U63)))=Milestones!$AB$56),UPPER(TEXT(EDATE($D63,Milestones!$AA$56),"dd mmm yy"))&amp;" "&amp;Milestones!$AB$56&amp;" "&amp;Milestones!$AC$56&amp;";  ","")&amp;IF(AND(EDATE($D63,Milestones!$AA$57)&lt;=AsOfDate,IF($R63=0,$X63,IF(AND($T63&lt;&gt;"",EDATE($D63,Milestones!$AA$57)&gt;=$T63),$W63,IF(AND($S63&lt;&gt;"",EDATE($D63,Milestones!$AA$57)&gt;=$S63),$V63,$U63)))=Milestones!$AB$57),UPPER(TEXT(EDATE($D63,Milestones!$AA$57),"dd mmm yy"))&amp;" "&amp;Milestones!$AB$57&amp;" "&amp;Milestones!$AC$57&amp;";  ","")&amp;IF(AND(EDATE($D63,Milestones!$AA$58)&lt;=AsOfDate,IF($R63=0,$X63,IF(AND($T63&lt;&gt;"",EDATE($D63,Milestones!$AA$58)&gt;=$T63),$W63,IF(AND($S63&lt;&gt;"",EDATE($D63,Milestones!$AA$58)&gt;=$S63),$V63,$U63)))=Milestones!$AB$58),UPPER(TEXT(EDATE($D63,Milestones!$AA$58),"dd mmm yy"))&amp;" "&amp;Milestones!$AB$58&amp;" "&amp;Milestones!$AC$58&amp;";  ","")&amp;IF(AND(EDATE($D63,Milestones!$AA$59)&lt;=AsOfDate,IF($R63=0,$X63,IF(AND($T63&lt;&gt;"",EDATE($D63,Milestones!$AA$59)&gt;=$T63),$W63,IF(AND($S63&lt;&gt;"",EDATE($D63,Milestones!$AA$59)&gt;=$S63),$V63,$U63)))=Milestones!$AB$59),UPPER(TEXT(EDATE($D63,Milestones!$AA$59),"dd mmm yy"))&amp;" "&amp;Milestones!$AB$59&amp;" "&amp;Milestones!$AC$59&amp;";  ",""))</f>
        <v/>
      </c>
      <c r="K63" s="0" t="str">
        <f aca="false">IF(OR($A63="",$D63=""),"",IF(AND(EDATE($D63,Milestones!$AA$60)&lt;=AsOfDate,IF($R63=0,$X63,IF(AND($T63&lt;&gt;"",EDATE($D63,Milestones!$AA$60)&gt;=$T63),$W63,IF(AND($S63&lt;&gt;"",EDATE($D63,Milestones!$AA$60)&gt;=$S63),$V63,$U63)))=Milestones!$AB$60),UPPER(TEXT(EDATE($D63,Milestones!$AA$60),"dd mmm yy"))&amp;" "&amp;Milestones!$AB$60&amp;" "&amp;Milestones!$AC$60&amp;";  ","")&amp;IF(AND(EDATE($D63,Milestones!$AA$61)&lt;=AsOfDate,IF($R63=0,$X63,IF(AND($T63&lt;&gt;"",EDATE($D63,Milestones!$AA$61)&gt;=$T63),$W63,IF(AND($S63&lt;&gt;"",EDATE($D63,Milestones!$AA$61)&gt;=$S63),$V63,$U63)))=Milestones!$AB$61),UPPER(TEXT(EDATE($D63,Milestones!$AA$61),"dd mmm yy"))&amp;" "&amp;Milestones!$AB$61&amp;" "&amp;Milestones!$AC$61&amp;";  ","")&amp;IF(AND(EDATE($D63,Milestones!$AA$62)&lt;=AsOfDate,IF($R63=0,$X63,IF(AND($T63&lt;&gt;"",EDATE($D63,Milestones!$AA$62)&gt;=$T63),$W63,IF(AND($S63&lt;&gt;"",EDATE($D63,Milestones!$AA$62)&gt;=$S63),$V63,$U63)))=Milestones!$AB$62),UPPER(TEXT(EDATE($D63,Milestones!$AA$62),"dd mmm yy"))&amp;" "&amp;Milestones!$AB$62&amp;" "&amp;Milestones!$AC$62&amp;";  ","")&amp;IF(AND(EDATE($D63,Milestones!$AA$63)&lt;=AsOfDate,IF($R63=0,$X63,IF(AND($T63&lt;&gt;"",EDATE($D63,Milestones!$AA$63)&gt;=$T63),$W63,IF(AND($S63&lt;&gt;"",EDATE($D63,Milestones!$AA$63)&gt;=$S63),$V63,$U63)))=Milestones!$AB$63),UPPER(TEXT(EDATE($D63,Milestones!$AA$63),"dd mmm yy"))&amp;" "&amp;Milestones!$AB$63&amp;" "&amp;Milestones!$AC$63&amp;";  ","")&amp;IF(AND(EDATE($D63,Milestones!$AA$64)&lt;=AsOfDate,IF($R63=0,$X63,IF(AND($T63&lt;&gt;"",EDATE($D63,Milestones!$AA$64)&gt;=$T63),$W63,IF(AND($S63&lt;&gt;"",EDATE($D63,Milestones!$AA$64)&gt;=$S63),$V63,$U63)))=Milestones!$AB$64),UPPER(TEXT(EDATE($D63,Milestones!$AA$64),"dd mmm yy"))&amp;" "&amp;Milestones!$AB$64&amp;" "&amp;Milestones!$AC$64&amp;";  ","")&amp;IF(AND(EDATE($D63,Milestones!$AA$65)&lt;=AsOfDate,IF($R63=0,$X63,IF(AND($T63&lt;&gt;"",EDATE($D63,Milestones!$AA$65)&gt;=$T63),$W63,IF(AND($S63&lt;&gt;"",EDATE($D63,Milestones!$AA$65)&gt;=$S63),$V63,$U63)))=Milestones!$AB$65),UPPER(TEXT(EDATE($D63,Milestones!$AA$65),"dd mmm yy"))&amp;" "&amp;Milestones!$AB$65&amp;" "&amp;Milestones!$AC$65&amp;";  ","")&amp;IF(AND(EDATE($D63,Milestones!$AA$66)&lt;=AsOfDate,IF($R63=0,$X63,IF(AND($T63&lt;&gt;"",EDATE($D63,Milestones!$AA$66)&gt;=$T63),$W63,IF(AND($S63&lt;&gt;"",EDATE($D63,Milestones!$AA$66)&gt;=$S63),$V63,$U63)))=Milestones!$AB$66),UPPER(TEXT(EDATE($D63,Milestones!$AA$66),"dd mmm yy"))&amp;" "&amp;Milestones!$AB$66&amp;" "&amp;Milestones!$AC$66&amp;";  ","")&amp;IF(AND(EDATE($D63,Milestones!$AA$67)&lt;=AsOfDate,IF($R63=0,$X63,IF(AND($T63&lt;&gt;"",EDATE($D63,Milestones!$AA$67)&gt;=$T63),$W63,IF(AND($S63&lt;&gt;"",EDATE($D63,Milestones!$AA$67)&gt;=$S63),$V63,$U63)))=Milestones!$AB$67),UPPER(TEXT(EDATE($D63,Milestones!$AA$67),"dd mmm yy"))&amp;" "&amp;Milestones!$AB$67&amp;" "&amp;Milestones!$AC$67&amp;";  ","")&amp;IF(AND(EDATE($D63,Milestones!$AA$68)&lt;=AsOfDate,IF($R63=0,$X63,IF(AND($T63&lt;&gt;"",EDATE($D63,Milestones!$AA$68)&gt;=$T63),$W63,IF(AND($S63&lt;&gt;"",EDATE($D63,Milestones!$AA$68)&gt;=$S63),$V63,$U63)))=Milestones!$AB$68),UPPER(TEXT(EDATE($D63,Milestones!$AA$68),"dd mmm yy"))&amp;" "&amp;Milestones!$AB$68&amp;" "&amp;Milestones!$AC$68&amp;";  ","")&amp;IF(AND(EDATE($D63,Milestones!$AA$69)&lt;=AsOfDate,IF($R63=0,$X63,IF(AND($T63&lt;&gt;"",EDATE($D63,Milestones!$AA$69)&gt;=$T63),$W63,IF(AND($S63&lt;&gt;"",EDATE($D63,Milestones!$AA$69)&gt;=$S63),$V63,$U63)))=Milestones!$AB$69),UPPER(TEXT(EDATE($D63,Milestones!$AA$69),"dd mmm yy"))&amp;" "&amp;Milestones!$AB$69&amp;" "&amp;Milestones!$AC$69&amp;";  ","")&amp;IF(AND(EDATE($D63,Milestones!$AA$70)&lt;=AsOfDate,IF($R63=0,$X63,IF(AND($T63&lt;&gt;"",EDATE($D63,Milestones!$AA$70)&gt;=$T63),$W63,IF(AND($S63&lt;&gt;"",EDATE($D63,Milestones!$AA$70)&gt;=$S63),$V63,$U63)))=Milestones!$AB$70),UPPER(TEXT(EDATE($D63,Milestones!$AA$70),"dd mmm yy"))&amp;" "&amp;Milestones!$AB$70&amp;" "&amp;Milestones!$AC$70&amp;";  ","")&amp;IF(AND(EDATE($D63,Milestones!$AA$71)&lt;=AsOfDate,IF($R63=0,$X63,IF(AND($T63&lt;&gt;"",EDATE($D63,Milestones!$AA$71)&gt;=$T63),$W63,IF(AND($S63&lt;&gt;"",EDATE($D63,Milestones!$AA$71)&gt;=$S63),$V63,$U63)))=Milestones!$AB$71),UPPER(TEXT(EDATE($D63,Milestones!$AA$71),"dd mmm yy"))&amp;" "&amp;Milestones!$AB$71&amp;" "&amp;Milestones!$AC$71&amp;";  ","")&amp;IF(AND(EDATE($D63,Milestones!$AA$72)&lt;=AsOfDate,IF($R63=0,$X63,IF(AND($T63&lt;&gt;"",EDATE($D63,Milestones!$AA$72)&gt;=$T63),$W63,IF(AND($S63&lt;&gt;"",EDATE($D63,Milestones!$AA$72)&gt;=$S63),$V63,$U63)))=Milestones!$AB$72),UPPER(TEXT(EDATE($D63,Milestones!$AA$72),"dd mmm yy"))&amp;" "&amp;Milestones!$AB$72&amp;" "&amp;Milestones!$AC$72&amp;";  ","")&amp;IF(AND(EDATE($D63,Milestones!$AA$73)&lt;=AsOfDate,IF($R63=0,$X63,IF(AND($T63&lt;&gt;"",EDATE($D63,Milestones!$AA$73)&gt;=$T63),$W63,IF(AND($S63&lt;&gt;"",EDATE($D63,Milestones!$AA$73)&gt;=$S63),$V63,$U63)))=Milestones!$AB$73),UPPER(TEXT(EDATE($D63,Milestones!$AA$73),"dd mmm yy"))&amp;" "&amp;Milestones!$AB$73&amp;" "&amp;Milestones!$AC$73&amp;";  ","")&amp;IF(AND(EDATE($D63,Milestones!$AA$74)&lt;=AsOfDate,IF($R63=0,$X63,IF(AND($T63&lt;&gt;"",EDATE($D63,Milestones!$AA$74)&gt;=$T63),$W63,IF(AND($S63&lt;&gt;"",EDATE($D63,Milestones!$AA$74)&gt;=$S63),$V63,$U63)))=Milestones!$AB$74),UPPER(TEXT(EDATE($D63,Milestones!$AA$74),"dd mmm yy"))&amp;" "&amp;Milestones!$AB$74&amp;" "&amp;Milestones!$AC$74&amp;";  ","")&amp;IF(AND(EDATE($D63,Milestones!$AA$75)&lt;=AsOfDate,IF($R63=0,$X63,IF(AND($T63&lt;&gt;"",EDATE($D63,Milestones!$AA$75)&gt;=$T63),$W63,IF(AND($S63&lt;&gt;"",EDATE($D63,Milestones!$AA$75)&gt;=$S63),$V63,$U63)))=Milestones!$AB$75),UPPER(TEXT(EDATE($D63,Milestones!$AA$75),"dd mmm yy"))&amp;" "&amp;Milestones!$AB$75&amp;" "&amp;Milestones!$AC$75&amp;";  ","")&amp;IF(AND(EDATE($D63,Milestones!$AA$76)&lt;=AsOfDate,IF($R63=0,$X63,IF(AND($T63&lt;&gt;"",EDATE($D63,Milestones!$AA$76)&gt;=$T63),$W63,IF(AND($S63&lt;&gt;"",EDATE($D63,Milestones!$AA$76)&gt;=$S63),$V63,$U63)))=Milestones!$AB$76),UPPER(TEXT(EDATE($D63,Milestones!$AA$76),"dd mmm yy"))&amp;" "&amp;Milestones!$AB$76&amp;" "&amp;Milestones!$AC$76&amp;";  ","")&amp;IF(AND(EDATE($D63,Milestones!$AA$77)&lt;=AsOfDate,IF($R63=0,$X63,IF(AND($T63&lt;&gt;"",EDATE($D63,Milestones!$AA$77)&gt;=$T63),$W63,IF(AND($S63&lt;&gt;"",EDATE($D63,Milestones!$AA$77)&gt;=$S63),$V63,$U63)))=Milestones!$AB$77),UPPER(TEXT(EDATE($D63,Milestones!$AA$77),"dd mmm yy"))&amp;" "&amp;Milestones!$AB$77&amp;" "&amp;Milestones!$AC$77&amp;";  ","")&amp;IF(AND(EDATE($D63,Milestones!$AA$78)&lt;=AsOfDate,IF($R63=0,$X63,IF(AND($T63&lt;&gt;"",EDATE($D63,Milestones!$AA$78)&gt;=$T63),$W63,IF(AND($S63&lt;&gt;"",EDATE($D63,Milestones!$AA$78)&gt;=$S63),$V63,$U63)))=Milestones!$AB$78),UPPER(TEXT(EDATE($D63,Milestones!$AA$78),"dd mmm yy"))&amp;" "&amp;Milestones!$AB$78&amp;" "&amp;Milestones!$AC$78&amp;";  ","")&amp;IF(AND(EDATE($D63,Milestones!$AA$79)&lt;=AsOfDate,IF($R63=0,$X63,IF(AND($T63&lt;&gt;"",EDATE($D63,Milestones!$AA$79)&gt;=$T63),$W63,IF(AND($S63&lt;&gt;"",EDATE($D63,Milestones!$AA$79)&gt;=$S63),$V63,$U63)))=Milestones!$AB$79),UPPER(TEXT(EDATE($D63,Milestones!$AA$79),"dd mmm yy"))&amp;" "&amp;Milestones!$AB$79&amp;" "&amp;Milestones!$AC$79&amp;";  ",""))</f>
        <v/>
      </c>
      <c r="L63" s="0" t="str">
        <f aca="false">IF(OR($A63="",$D63=""),"",IF(AND(EDATE($D63,Milestones!$AA$80)&lt;=AsOfDate,IF($R63=0,$X63,IF(AND($T63&lt;&gt;"",EDATE($D63,Milestones!$AA$80)&gt;=$T63),$W63,IF(AND($S63&lt;&gt;"",EDATE($D63,Milestones!$AA$80)&gt;=$S63),$V63,$U63)))=Milestones!$AB$80),UPPER(TEXT(EDATE($D63,Milestones!$AA$80),"dd mmm yy"))&amp;" "&amp;Milestones!$AB$80&amp;" "&amp;Milestones!$AC$80&amp;";  ","")&amp;IF(AND(EDATE($D63,Milestones!$AA$81)&lt;=AsOfDate,IF($R63=0,$X63,IF(AND($T63&lt;&gt;"",EDATE($D63,Milestones!$AA$81)&gt;=$T63),$W63,IF(AND($S63&lt;&gt;"",EDATE($D63,Milestones!$AA$81)&gt;=$S63),$V63,$U63)))=Milestones!$AB$81),UPPER(TEXT(EDATE($D63,Milestones!$AA$81),"dd mmm yy"))&amp;" "&amp;Milestones!$AB$81&amp;" "&amp;Milestones!$AC$81&amp;";  ","")&amp;IF(AND(EDATE($D63,Milestones!$AA$82)&lt;=AsOfDate,IF($R63=0,$X63,IF(AND($T63&lt;&gt;"",EDATE($D63,Milestones!$AA$82)&gt;=$T63),$W63,IF(AND($S63&lt;&gt;"",EDATE($D63,Milestones!$AA$82)&gt;=$S63),$V63,$U63)))=Milestones!$AB$82),UPPER(TEXT(EDATE($D63,Milestones!$AA$82),"dd mmm yy"))&amp;" "&amp;Milestones!$AB$82&amp;" "&amp;Milestones!$AC$82&amp;";  ","")&amp;IF(AND(EDATE($D63,Milestones!$AA$83)&lt;=AsOfDate,IF($R63=0,$X63,IF(AND($T63&lt;&gt;"",EDATE($D63,Milestones!$AA$83)&gt;=$T63),$W63,IF(AND($S63&lt;&gt;"",EDATE($D63,Milestones!$AA$83)&gt;=$S63),$V63,$U63)))=Milestones!$AB$83),UPPER(TEXT(EDATE($D63,Milestones!$AA$83),"dd mmm yy"))&amp;" "&amp;Milestones!$AB$83&amp;" "&amp;Milestones!$AC$83&amp;";  ","")&amp;IF(AND(EDATE($D63,Milestones!$AA$84)&lt;=AsOfDate,IF($R63=0,$X63,IF(AND($T63&lt;&gt;"",EDATE($D63,Milestones!$AA$84)&gt;=$T63),$W63,IF(AND($S63&lt;&gt;"",EDATE($D63,Milestones!$AA$84)&gt;=$S63),$V63,$U63)))=Milestones!$AB$84),UPPER(TEXT(EDATE($D63,Milestones!$AA$84),"dd mmm yy"))&amp;" "&amp;Milestones!$AB$84&amp;" "&amp;Milestones!$AC$84&amp;";  ","")&amp;IF(AND(EDATE($D63,Milestones!$AA$85)&lt;=AsOfDate,IF($R63=0,$X63,IF(AND($T63&lt;&gt;"",EDATE($D63,Milestones!$AA$85)&gt;=$T63),$W63,IF(AND($S63&lt;&gt;"",EDATE($D63,Milestones!$AA$85)&gt;=$S63),$V63,$U63)))=Milestones!$AB$85),UPPER(TEXT(EDATE($D63,Milestones!$AA$85),"dd mmm yy"))&amp;" "&amp;Milestones!$AB$85&amp;" "&amp;Milestones!$AC$85&amp;";  ","")&amp;IF(AND(EDATE($D63,Milestones!$AA$86)&lt;=AsOfDate,IF($R63=0,$X63,IF(AND($T63&lt;&gt;"",EDATE($D63,Milestones!$AA$86)&gt;=$T63),$W63,IF(AND($S63&lt;&gt;"",EDATE($D63,Milestones!$AA$86)&gt;=$S63),$V63,$U63)))=Milestones!$AB$86),UPPER(TEXT(EDATE($D63,Milestones!$AA$86),"dd mmm yy"))&amp;" "&amp;Milestones!$AB$86&amp;" "&amp;Milestones!$AC$86&amp;";  ","")&amp;IF(AND(EDATE($D63,Milestones!$AA$87)&lt;=AsOfDate,IF($R63=0,$X63,IF(AND($T63&lt;&gt;"",EDATE($D63,Milestones!$AA$87)&gt;=$T63),$W63,IF(AND($S63&lt;&gt;"",EDATE($D63,Milestones!$AA$87)&gt;=$S63),$V63,$U63)))=Milestones!$AB$87),UPPER(TEXT(EDATE($D63,Milestones!$AA$87),"dd mmm yy"))&amp;" "&amp;Milestones!$AB$87&amp;" "&amp;Milestones!$AC$87&amp;";  ","")&amp;IF(AND(EDATE($D63,Milestones!$AA$88)&lt;=AsOfDate,IF($R63=0,$X63,IF(AND($T63&lt;&gt;"",EDATE($D63,Milestones!$AA$88)&gt;=$T63),$W63,IF(AND($S63&lt;&gt;"",EDATE($D63,Milestones!$AA$88)&gt;=$S63),$V63,$U63)))=Milestones!$AB$88),UPPER(TEXT(EDATE($D63,Milestones!$AA$88),"dd mmm yy"))&amp;" "&amp;Milestones!$AB$88&amp;" "&amp;Milestones!$AC$88&amp;";  ","")&amp;IF(AND(EDATE($D63,Milestones!$AA$89)&lt;=AsOfDate,IF($R63=0,$X63,IF(AND($T63&lt;&gt;"",EDATE($D63,Milestones!$AA$89)&gt;=$T63),$W63,IF(AND($S63&lt;&gt;"",EDATE($D63,Milestones!$AA$89)&gt;=$S63),$V63,$U63)))=Milestones!$AB$89),UPPER(TEXT(EDATE($D63,Milestones!$AA$89),"dd mmm yy"))&amp;" "&amp;Milestones!$AB$89&amp;" "&amp;Milestones!$AC$89&amp;";  ","")&amp;IF(AND(EDATE($D63,Milestones!$AA$90)&lt;=AsOfDate,IF($R63=0,$X63,IF(AND($T63&lt;&gt;"",EDATE($D63,Milestones!$AA$90)&gt;=$T63),$W63,IF(AND($S63&lt;&gt;"",EDATE($D63,Milestones!$AA$90)&gt;=$S63),$V63,$U63)))=Milestones!$AB$90),UPPER(TEXT(EDATE($D63,Milestones!$AA$90),"dd mmm yy"))&amp;" "&amp;Milestones!$AB$90&amp;" "&amp;Milestones!$AC$90&amp;";  ","")&amp;IF(AND(EDATE($D63,Milestones!$AA$91)&lt;=AsOfDate,IF($R63=0,$X63,IF(AND($T63&lt;&gt;"",EDATE($D63,Milestones!$AA$91)&gt;=$T63),$W63,IF(AND($S63&lt;&gt;"",EDATE($D63,Milestones!$AA$91)&gt;=$S63),$V63,$U63)))=Milestones!$AB$91),UPPER(TEXT(EDATE($D63,Milestones!$AA$91),"dd mmm yy"))&amp;" "&amp;Milestones!$AB$91&amp;" "&amp;Milestones!$AC$91&amp;";  ","")&amp;IF(AND(EDATE($D63,Milestones!$AA$92)&lt;=AsOfDate,IF($R63=0,$X63,IF(AND($T63&lt;&gt;"",EDATE($D63,Milestones!$AA$92)&gt;=$T63),$W63,IF(AND($S63&lt;&gt;"",EDATE($D63,Milestones!$AA$92)&gt;=$S63),$V63,$U63)))=Milestones!$AB$92),UPPER(TEXT(EDATE($D63,Milestones!$AA$92),"dd mmm yy"))&amp;" "&amp;Milestones!$AB$92&amp;" "&amp;Milestones!$AC$92&amp;";  ","")&amp;IF(AND(EDATE($D63,Milestones!$AA$93)&lt;=AsOfDate,IF($R63=0,$X63,IF(AND($T63&lt;&gt;"",EDATE($D63,Milestones!$AA$93)&gt;=$T63),$W63,IF(AND($S63&lt;&gt;"",EDATE($D63,Milestones!$AA$93)&gt;=$S63),$V63,$U63)))=Milestones!$AB$93),UPPER(TEXT(EDATE($D63,Milestones!$AA$93),"dd mmm yy"))&amp;" "&amp;Milestones!$AB$93&amp;" "&amp;Milestones!$AC$93&amp;";  ","")&amp;IF(AND(EDATE($D63,Milestones!$AA$94)&lt;=AsOfDate,IF($R63=0,$X63,IF(AND($T63&lt;&gt;"",EDATE($D63,Milestones!$AA$94)&gt;=$T63),$W63,IF(AND($S63&lt;&gt;"",EDATE($D63,Milestones!$AA$94)&gt;=$S63),$V63,$U63)))=Milestones!$AB$94),UPPER(TEXT(EDATE($D63,Milestones!$AA$94),"dd mmm yy"))&amp;" "&amp;Milestones!$AB$94&amp;" "&amp;Milestones!$AC$94&amp;";  ","")&amp;IF(AND(EDATE($D63,Milestones!$AA$95)&lt;=AsOfDate,IF($R63=0,$X63,IF(AND($T63&lt;&gt;"",EDATE($D63,Milestones!$AA$95)&gt;=$T63),$W63,IF(AND($S63&lt;&gt;"",EDATE($D63,Milestones!$AA$95)&gt;=$S63),$V63,$U63)))=Milestones!$AB$95),UPPER(TEXT(EDATE($D63,Milestones!$AA$95),"dd mmm yy"))&amp;" "&amp;Milestones!$AB$95&amp;" "&amp;Milestones!$AC$95&amp;";  ","")&amp;IF(AND(EDATE($D63,Milestones!$AA$96)&lt;=AsOfDate,IF($R63=0,$X63,IF(AND($T63&lt;&gt;"",EDATE($D63,Milestones!$AA$96)&gt;=$T63),$W63,IF(AND($S63&lt;&gt;"",EDATE($D63,Milestones!$AA$96)&gt;=$S63),$V63,$U63)))=Milestones!$AB$96),UPPER(TEXT(EDATE($D63,Milestones!$AA$96),"dd mmm yy"))&amp;" "&amp;Milestones!$AB$96&amp;" "&amp;Milestones!$AC$96&amp;";  ","")&amp;IF(AND(EDATE($D63,Milestones!$AA$97)&lt;=AsOfDate,IF($R63=0,$X63,IF(AND($T63&lt;&gt;"",EDATE($D63,Milestones!$AA$97)&gt;=$T63),$W63,IF(AND($S63&lt;&gt;"",EDATE($D63,Milestones!$AA$97)&gt;=$S63),$V63,$U63)))=Milestones!$AB$97),UPPER(TEXT(EDATE($D63,Milestones!$AA$97),"dd mmm yy"))&amp;" "&amp;Milestones!$AB$97&amp;" "&amp;Milestones!$AC$97&amp;";  ","")&amp;IF(AND(EDATE($D63,Milestones!$AA$98)&lt;=AsOfDate,IF($R63=0,$X63,IF(AND($T63&lt;&gt;"",EDATE($D63,Milestones!$AA$98)&gt;=$T63),$W63,IF(AND($S63&lt;&gt;"",EDATE($D63,Milestones!$AA$98)&gt;=$S63),$V63,$U63)))=Milestones!$AB$98),UPPER(TEXT(EDATE($D63,Milestones!$AA$98),"dd mmm yy"))&amp;" "&amp;Milestones!$AB$98&amp;" "&amp;Milestones!$AC$98&amp;";  ","")&amp;IF(AND(EDATE($D63,Milestones!$AA$99)&lt;=AsOfDate,IF($R63=0,$X63,IF(AND($T63&lt;&gt;"",EDATE($D63,Milestones!$AA$99)&gt;=$T63),$W63,IF(AND($S63&lt;&gt;"",EDATE($D63,Milestones!$AA$99)&gt;=$S63),$V63,$U63)))=Milestones!$AB$99),UPPER(TEXT(EDATE($D63,Milestones!$AA$99),"dd mmm yy"))&amp;" "&amp;Milestones!$AB$99&amp;" "&amp;Milestones!$AC$99&amp;";  ",""))</f>
        <v/>
      </c>
      <c r="M63" s="0" t="str">
        <f aca="false">IF(OR($A63="",$D63=""),"",IF(AND(EDATE($D63,Milestones!$AA$100)&lt;=AsOfDate,IF($R63=0,$X63,IF(AND($T63&lt;&gt;"",EDATE($D63,Milestones!$AA$100)&gt;=$T63),$W63,IF(AND($S63&lt;&gt;"",EDATE($D63,Milestones!$AA$100)&gt;=$S63),$V63,$U63)))=Milestones!$AB$100),UPPER(TEXT(EDATE($D63,Milestones!$AA$100),"dd mmm yy"))&amp;" "&amp;Milestones!$AB$100&amp;" "&amp;Milestones!$AC$100&amp;";  ","")&amp;IF(AND(EDATE($D63,Milestones!$AA$101)&lt;=AsOfDate,IF($R63=0,$X63,IF(AND($T63&lt;&gt;"",EDATE($D63,Milestones!$AA$101)&gt;=$T63),$W63,IF(AND($S63&lt;&gt;"",EDATE($D63,Milestones!$AA$101)&gt;=$S63),$V63,$U63)))=Milestones!$AB$101),UPPER(TEXT(EDATE($D63,Milestones!$AA$101),"dd mmm yy"))&amp;" "&amp;Milestones!$AB$101&amp;" "&amp;Milestones!$AC$101&amp;";  ","")&amp;IF(AND(EDATE($D63,Milestones!$AA$102)&lt;=AsOfDate,IF($R63=0,$X63,IF(AND($T63&lt;&gt;"",EDATE($D63,Milestones!$AA$102)&gt;=$T63),$W63,IF(AND($S63&lt;&gt;"",EDATE($D63,Milestones!$AA$102)&gt;=$S63),$V63,$U63)))=Milestones!$AB$102),UPPER(TEXT(EDATE($D63,Milestones!$AA$102),"dd mmm yy"))&amp;" "&amp;Milestones!$AB$102&amp;" "&amp;Milestones!$AC$102&amp;";  ","")&amp;IF(AND(EDATE($D63,Milestones!$AA$103)&lt;=AsOfDate,IF($R63=0,$X63,IF(AND($T63&lt;&gt;"",EDATE($D63,Milestones!$AA$103)&gt;=$T63),$W63,IF(AND($S63&lt;&gt;"",EDATE($D63,Milestones!$AA$103)&gt;=$S63),$V63,$U63)))=Milestones!$AB$103),UPPER(TEXT(EDATE($D63,Milestones!$AA$103),"dd mmm yy"))&amp;" "&amp;Milestones!$AB$103&amp;" "&amp;Milestones!$AC$103&amp;";  ","")&amp;IF(AND(EDATE($D63,Milestones!$AA$104)&lt;=AsOfDate,IF($R63=0,$X63,IF(AND($T63&lt;&gt;"",EDATE($D63,Milestones!$AA$104)&gt;=$T63),$W63,IF(AND($S63&lt;&gt;"",EDATE($D63,Milestones!$AA$104)&gt;=$S63),$V63,$U63)))=Milestones!$AB$104),UPPER(TEXT(EDATE($D63,Milestones!$AA$104),"dd mmm yy"))&amp;" "&amp;Milestones!$AB$104&amp;" "&amp;Milestones!$AC$104&amp;";  ","")&amp;IF(AND(EDATE($D63,Milestones!$AA$105)&lt;=AsOfDate,IF($R63=0,$X63,IF(AND($T63&lt;&gt;"",EDATE($D63,Milestones!$AA$105)&gt;=$T63),$W63,IF(AND($S63&lt;&gt;"",EDATE($D63,Milestones!$AA$105)&gt;=$S63),$V63,$U63)))=Milestones!$AB$105),UPPER(TEXT(EDATE($D63,Milestones!$AA$105),"dd mmm yy"))&amp;" "&amp;Milestones!$AB$105&amp;" "&amp;Milestones!$AC$105&amp;";  ","")&amp;IF(AND(EDATE($D63,Milestones!$AA$106)&lt;=AsOfDate,IF($R63=0,$X63,IF(AND($T63&lt;&gt;"",EDATE($D63,Milestones!$AA$106)&gt;=$T63),$W63,IF(AND($S63&lt;&gt;"",EDATE($D63,Milestones!$AA$106)&gt;=$S63),$V63,$U63)))=Milestones!$AB$106),UPPER(TEXT(EDATE($D63,Milestones!$AA$106),"dd mmm yy"))&amp;" "&amp;Milestones!$AB$106&amp;" "&amp;Milestones!$AC$106&amp;";  ","")&amp;IF(AND(EDATE($D63,Milestones!$AA$107)&lt;=AsOfDate,IF($R63=0,$X63,IF(AND($T63&lt;&gt;"",EDATE($D63,Milestones!$AA$107)&gt;=$T63),$W63,IF(AND($S63&lt;&gt;"",EDATE($D63,Milestones!$AA$107)&gt;=$S63),$V63,$U63)))=Milestones!$AB$107),UPPER(TEXT(EDATE($D63,Milestones!$AA$107),"dd mmm yy"))&amp;" "&amp;Milestones!$AB$107&amp;" "&amp;Milestones!$AC$107&amp;";  ","")&amp;IF(AND(EDATE($D63,Milestones!$AA$108)&lt;=AsOfDate,IF($R63=0,$X63,IF(AND($T63&lt;&gt;"",EDATE($D63,Milestones!$AA$108)&gt;=$T63),$W63,IF(AND($S63&lt;&gt;"",EDATE($D63,Milestones!$AA$108)&gt;=$S63),$V63,$U63)))=Milestones!$AB$108),UPPER(TEXT(EDATE($D63,Milestones!$AA$108),"dd mmm yy"))&amp;" "&amp;Milestones!$AB$108&amp;" "&amp;Milestones!$AC$108&amp;";  ","")&amp;IF(AND(EDATE($D63,Milestones!$AA$109)&lt;=AsOfDate,IF($R63=0,$X63,IF(AND($T63&lt;&gt;"",EDATE($D63,Milestones!$AA$109)&gt;=$T63),$W63,IF(AND($S63&lt;&gt;"",EDATE($D63,Milestones!$AA$109)&gt;=$S63),$V63,$U63)))=Milestones!$AB$109),UPPER(TEXT(EDATE($D63,Milestones!$AA$109),"dd mmm yy"))&amp;" "&amp;Milestones!$AB$109&amp;" "&amp;Milestones!$AC$109&amp;";  ","")&amp;IF(AND(EDATE($D63,Milestones!$AA$110)&lt;=AsOfDate,IF($R63=0,$X63,IF(AND($T63&lt;&gt;"",EDATE($D63,Milestones!$AA$110)&gt;=$T63),$W63,IF(AND($S63&lt;&gt;"",EDATE($D63,Milestones!$AA$110)&gt;=$S63),$V63,$U63)))=Milestones!$AB$110),UPPER(TEXT(EDATE($D63,Milestones!$AA$110),"dd mmm yy"))&amp;" "&amp;Milestones!$AB$110&amp;" "&amp;Milestones!$AC$110&amp;";  ","")&amp;IF(AND(EDATE($D63,Milestones!$AA$111)&lt;=AsOfDate,IF($R63=0,$X63,IF(AND($T63&lt;&gt;"",EDATE($D63,Milestones!$AA$111)&gt;=$T63),$W63,IF(AND($S63&lt;&gt;"",EDATE($D63,Milestones!$AA$111)&gt;=$S63),$V63,$U63)))=Milestones!$AB$111),UPPER(TEXT(EDATE($D63,Milestones!$AA$111),"dd mmm yy"))&amp;" "&amp;Milestones!$AB$111&amp;" "&amp;Milestones!$AC$111&amp;";  ","")&amp;IF(AND(EDATE($D63,Milestones!$AA$112)&lt;=AsOfDate,IF($R63=0,$X63,IF(AND($T63&lt;&gt;"",EDATE($D63,Milestones!$AA$112)&gt;=$T63),$W63,IF(AND($S63&lt;&gt;"",EDATE($D63,Milestones!$AA$112)&gt;=$S63),$V63,$U63)))=Milestones!$AB$112),UPPER(TEXT(EDATE($D63,Milestones!$AA$112),"dd mmm yy"))&amp;" "&amp;Milestones!$AB$112&amp;" "&amp;Milestones!$AC$112&amp;";  ","")&amp;IF(AND(EDATE($D63,Milestones!$AA$113)&lt;=AsOfDate,IF($R63=0,$X63,IF(AND($T63&lt;&gt;"",EDATE($D63,Milestones!$AA$113)&gt;=$T63),$W63,IF(AND($S63&lt;&gt;"",EDATE($D63,Milestones!$AA$113)&gt;=$S63),$V63,$U63)))=Milestones!$AB$113),UPPER(TEXT(EDATE($D63,Milestones!$AA$113),"dd mmm yy"))&amp;" "&amp;Milestones!$AB$113&amp;" "&amp;Milestones!$AC$113&amp;";  ","")&amp;IF(AND(EDATE($D63,Milestones!$AA$114)&lt;=AsOfDate,IF($R63=0,$X63,IF(AND($T63&lt;&gt;"",EDATE($D63,Milestones!$AA$114)&gt;=$T63),$W63,IF(AND($S63&lt;&gt;"",EDATE($D63,Milestones!$AA$114)&gt;=$S63),$V63,$U63)))=Milestones!$AB$114),UPPER(TEXT(EDATE($D63,Milestones!$AA$114),"dd mmm yy"))&amp;" "&amp;Milestones!$AB$114&amp;" "&amp;Milestones!$AC$114&amp;";  ","")&amp;IF(AND(EDATE($D63,Milestones!$AA$115)&lt;=AsOfDate,IF($R63=0,$X63,IF(AND($T63&lt;&gt;"",EDATE($D63,Milestones!$AA$115)&gt;=$T63),$W63,IF(AND($S63&lt;&gt;"",EDATE($D63,Milestones!$AA$115)&gt;=$S63),$V63,$U63)))=Milestones!$AB$115),UPPER(TEXT(EDATE($D63,Milestones!$AA$115),"dd mmm yy"))&amp;" "&amp;Milestones!$AB$115&amp;" "&amp;Milestones!$AC$115&amp;";  ","")&amp;IF(AND(EDATE($D63,Milestones!$AA$116)&lt;=AsOfDate,IF($R63=0,$X63,IF(AND($T63&lt;&gt;"",EDATE($D63,Milestones!$AA$116)&gt;=$T63),$W63,IF(AND($S63&lt;&gt;"",EDATE($D63,Milestones!$AA$116)&gt;=$S63),$V63,$U63)))=Milestones!$AB$116),UPPER(TEXT(EDATE($D63,Milestones!$AA$116),"dd mmm yy"))&amp;" "&amp;Milestones!$AB$116&amp;" "&amp;Milestones!$AC$116&amp;";  ","")&amp;IF(AND(EDATE($D63,Milestones!$AA$117)&lt;=AsOfDate,IF($R63=0,$X63,IF(AND($T63&lt;&gt;"",EDATE($D63,Milestones!$AA$117)&gt;=$T63),$W63,IF(AND($S63&lt;&gt;"",EDATE($D63,Milestones!$AA$117)&gt;=$S63),$V63,$U63)))=Milestones!$AB$117),UPPER(TEXT(EDATE($D63,Milestones!$AA$117),"dd mmm yy"))&amp;" "&amp;Milestones!$AB$117&amp;" "&amp;Milestones!$AC$117&amp;";  ","")&amp;IF(AND(EDATE($D63,Milestones!$AA$118)&lt;=AsOfDate,IF($R63=0,$X63,IF(AND($T63&lt;&gt;"",EDATE($D63,Milestones!$AA$118)&gt;=$T63),$W63,IF(AND($S63&lt;&gt;"",EDATE($D63,Milestones!$AA$118)&gt;=$S63),$V63,$U63)))=Milestones!$AB$118),UPPER(TEXT(EDATE($D63,Milestones!$AA$118),"dd mmm yy"))&amp;" "&amp;Milestones!$AB$118&amp;" "&amp;Milestones!$AC$118&amp;";  ","")&amp;IF(AND(EDATE($D63,Milestones!$AA$119)&lt;=AsOfDate,IF($R63=0,$X63,IF(AND($T63&lt;&gt;"",EDATE($D63,Milestones!$AA$119)&gt;=$T63),$W63,IF(AND($S63&lt;&gt;"",EDATE($D63,Milestones!$AA$119)&gt;=$S63),$V63,$U63)))=Milestones!$AB$119),UPPER(TEXT(EDATE($D63,Milestones!$AA$119),"dd mmm yy"))&amp;" "&amp;Milestones!$AB$119&amp;" "&amp;Milestones!$AC$119&amp;";  ",""))</f>
        <v/>
      </c>
      <c r="N63" s="0" t="str">
        <f aca="false">IF(OR($A63="",$D63=""),"",IF(AND(EDATE($D63,Milestones!$AA$120)&lt;=AsOfDate,IF($R63=0,$X63,IF(AND($T63&lt;&gt;"",EDATE($D63,Milestones!$AA$120)&gt;=$T63),$W63,IF(AND($S63&lt;&gt;"",EDATE($D63,Milestones!$AA$120)&gt;=$S63),$V63,$U63)))=Milestones!$AB$120),UPPER(TEXT(EDATE($D63,Milestones!$AA$120),"dd mmm yy"))&amp;" "&amp;Milestones!$AB$120&amp;" "&amp;Milestones!$AC$120&amp;";  ","")&amp;IF(AND(EDATE($D63,Milestones!$AA$121)&lt;=AsOfDate,IF($R63=0,$X63,IF(AND($T63&lt;&gt;"",EDATE($D63,Milestones!$AA$121)&gt;=$T63),$W63,IF(AND($S63&lt;&gt;"",EDATE($D63,Milestones!$AA$121)&gt;=$S63),$V63,$U63)))=Milestones!$AB$121),UPPER(TEXT(EDATE($D63,Milestones!$AA$121),"dd mmm yy"))&amp;" "&amp;Milestones!$AB$121&amp;" "&amp;Milestones!$AC$121&amp;";  ","")&amp;IF(AND(EDATE($D63,Milestones!$AA$122)&lt;=AsOfDate,IF($R63=0,$X63,IF(AND($T63&lt;&gt;"",EDATE($D63,Milestones!$AA$122)&gt;=$T63),$W63,IF(AND($S63&lt;&gt;"",EDATE($D63,Milestones!$AA$122)&gt;=$S63),$V63,$U63)))=Milestones!$AB$122),UPPER(TEXT(EDATE($D63,Milestones!$AA$122),"dd mmm yy"))&amp;" "&amp;Milestones!$AB$122&amp;" "&amp;Milestones!$AC$122&amp;";  ","")&amp;IF(AND(EDATE($D63,Milestones!$AA$123)&lt;=AsOfDate,IF($R63=0,$X63,IF(AND($T63&lt;&gt;"",EDATE($D63,Milestones!$AA$123)&gt;=$T63),$W63,IF(AND($S63&lt;&gt;"",EDATE($D63,Milestones!$AA$123)&gt;=$S63),$V63,$U63)))=Milestones!$AB$123),UPPER(TEXT(EDATE($D63,Milestones!$AA$123),"dd mmm yy"))&amp;" "&amp;Milestones!$AB$123&amp;" "&amp;Milestones!$AC$123&amp;";  ","")&amp;IF(AND(EDATE($D63,Milestones!$AA$124)&lt;=AsOfDate,IF($R63=0,$X63,IF(AND($T63&lt;&gt;"",EDATE($D63,Milestones!$AA$124)&gt;=$T63),$W63,IF(AND($S63&lt;&gt;"",EDATE($D63,Milestones!$AA$124)&gt;=$S63),$V63,$U63)))=Milestones!$AB$124),UPPER(TEXT(EDATE($D63,Milestones!$AA$124),"dd mmm yy"))&amp;" "&amp;Milestones!$AB$124&amp;" "&amp;Milestones!$AC$124&amp;";  ","")&amp;IF(AND(EDATE($D63,Milestones!$AA$125)&lt;=AsOfDate,IF($R63=0,$X63,IF(AND($T63&lt;&gt;"",EDATE($D63,Milestones!$AA$125)&gt;=$T63),$W63,IF(AND($S63&lt;&gt;"",EDATE($D63,Milestones!$AA$125)&gt;=$S63),$V63,$U63)))=Milestones!$AB$125),UPPER(TEXT(EDATE($D63,Milestones!$AA$125),"dd mmm yy"))&amp;" "&amp;Milestones!$AB$125&amp;" "&amp;Milestones!$AC$125&amp;";  ","")&amp;IF(AND(EDATE($D63,Milestones!$AA$126)&lt;=AsOfDate,IF($R63=0,$X63,IF(AND($T63&lt;&gt;"",EDATE($D63,Milestones!$AA$126)&gt;=$T63),$W63,IF(AND($S63&lt;&gt;"",EDATE($D63,Milestones!$AA$126)&gt;=$S63),$V63,$U63)))=Milestones!$AB$126),UPPER(TEXT(EDATE($D63,Milestones!$AA$126),"dd mmm yy"))&amp;" "&amp;Milestones!$AB$126&amp;" "&amp;Milestones!$AC$126&amp;";  ","")&amp;IF(AND(EDATE($D63,Milestones!$AA$127)&lt;=AsOfDate,IF($R63=0,$X63,IF(AND($T63&lt;&gt;"",EDATE($D63,Milestones!$AA$127)&gt;=$T63),$W63,IF(AND($S63&lt;&gt;"",EDATE($D63,Milestones!$AA$127)&gt;=$S63),$V63,$U63)))=Milestones!$AB$127),UPPER(TEXT(EDATE($D63,Milestones!$AA$127),"dd mmm yy"))&amp;" "&amp;Milestones!$AB$127&amp;" "&amp;Milestones!$AC$127&amp;";  ","")&amp;IF(AND(EDATE($D63,Milestones!$AA$128)&lt;=AsOfDate,IF($R63=0,$X63,IF(AND($T63&lt;&gt;"",EDATE($D63,Milestones!$AA$128)&gt;=$T63),$W63,IF(AND($S63&lt;&gt;"",EDATE($D63,Milestones!$AA$128)&gt;=$S63),$V63,$U63)))=Milestones!$AB$128),UPPER(TEXT(EDATE($D63,Milestones!$AA$128),"dd mmm yy"))&amp;" "&amp;Milestones!$AB$128&amp;" "&amp;Milestones!$AC$128&amp;";  ","")&amp;IF(AND(EDATE($D63,Milestones!$AA$129)&lt;=AsOfDate,IF($R63=0,$X63,IF(AND($T63&lt;&gt;"",EDATE($D63,Milestones!$AA$129)&gt;=$T63),$W63,IF(AND($S63&lt;&gt;"",EDATE($D63,Milestones!$AA$129)&gt;=$S63),$V63,$U63)))=Milestones!$AB$129),UPPER(TEXT(EDATE($D63,Milestones!$AA$129),"dd mmm yy"))&amp;" "&amp;Milestones!$AB$129&amp;" "&amp;Milestones!$AC$129&amp;";  ","")&amp;IF(AND(EDATE($D63,Milestones!$AA$130)&lt;=AsOfDate,IF($R63=0,$X63,IF(AND($T63&lt;&gt;"",EDATE($D63,Milestones!$AA$130)&gt;=$T63),$W63,IF(AND($S63&lt;&gt;"",EDATE($D63,Milestones!$AA$130)&gt;=$S63),$V63,$U63)))=Milestones!$AB$130),UPPER(TEXT(EDATE($D63,Milestones!$AA$130),"dd mmm yy"))&amp;" "&amp;Milestones!$AB$130&amp;" "&amp;Milestones!$AC$130&amp;";  ","")&amp;IF(AND(EDATE($D63,Milestones!$AA$131)&lt;=AsOfDate,IF($R63=0,$X63,IF(AND($T63&lt;&gt;"",EDATE($D63,Milestones!$AA$131)&gt;=$T63),$W63,IF(AND($S63&lt;&gt;"",EDATE($D63,Milestones!$AA$131)&gt;=$S63),$V63,$U63)))=Milestones!$AB$131),UPPER(TEXT(EDATE($D63,Milestones!$AA$131),"dd mmm yy"))&amp;" "&amp;Milestones!$AB$131&amp;" "&amp;Milestones!$AC$131&amp;";  ","")&amp;IF(AND(EDATE($D63,Milestones!$AA$132)&lt;=AsOfDate,IF($R63=0,$X63,IF(AND($T63&lt;&gt;"",EDATE($D63,Milestones!$AA$132)&gt;=$T63),$W63,IF(AND($S63&lt;&gt;"",EDATE($D63,Milestones!$AA$132)&gt;=$S63),$V63,$U63)))=Milestones!$AB$132),UPPER(TEXT(EDATE($D63,Milestones!$AA$132),"dd mmm yy"))&amp;" "&amp;Milestones!$AB$132&amp;" "&amp;Milestones!$AC$132&amp;";  ","")&amp;IF(AND(EDATE($D63,Milestones!$AA$133)&lt;=AsOfDate,IF($R63=0,$X63,IF(AND($T63&lt;&gt;"",EDATE($D63,Milestones!$AA$133)&gt;=$T63),$W63,IF(AND($S63&lt;&gt;"",EDATE($D63,Milestones!$AA$133)&gt;=$S63),$V63,$U63)))=Milestones!$AB$133),UPPER(TEXT(EDATE($D63,Milestones!$AA$133),"dd mmm yy"))&amp;" "&amp;Milestones!$AB$133&amp;" "&amp;Milestones!$AC$133&amp;";  ","")&amp;IF(AND(EDATE($D63,Milestones!$AA$134)&lt;=AsOfDate,IF($R63=0,$X63,IF(AND($T63&lt;&gt;"",EDATE($D63,Milestones!$AA$134)&gt;=$T63),$W63,IF(AND($S63&lt;&gt;"",EDATE($D63,Milestones!$AA$134)&gt;=$S63),$V63,$U63)))=Milestones!$AB$134),UPPER(TEXT(EDATE($D63,Milestones!$AA$134),"dd mmm yy"))&amp;" "&amp;Milestones!$AB$134&amp;" "&amp;Milestones!$AC$134&amp;";  ","")&amp;IF(AND(EDATE($D63,Milestones!$AA$135)&lt;=AsOfDate,IF($R63=0,$X63,IF(AND($T63&lt;&gt;"",EDATE($D63,Milestones!$AA$135)&gt;=$T63),$W63,IF(AND($S63&lt;&gt;"",EDATE($D63,Milestones!$AA$135)&gt;=$S63),$V63,$U63)))=Milestones!$AB$135),UPPER(TEXT(EDATE($D63,Milestones!$AA$135),"dd mmm yy"))&amp;" "&amp;Milestones!$AB$135&amp;" "&amp;Milestones!$AC$135&amp;";  ","")&amp;IF(AND(EDATE($D63,Milestones!$AA$136)&lt;=AsOfDate,IF($R63=0,$X63,IF(AND($T63&lt;&gt;"",EDATE($D63,Milestones!$AA$136)&gt;=$T63),$W63,IF(AND($S63&lt;&gt;"",EDATE($D63,Milestones!$AA$136)&gt;=$S63),$V63,$U63)))=Milestones!$AB$136),UPPER(TEXT(EDATE($D63,Milestones!$AA$136),"dd mmm yy"))&amp;" "&amp;Milestones!$AB$136&amp;" "&amp;Milestones!$AC$136&amp;";  ","")&amp;IF(AND(EDATE($D63,Milestones!$AA$137)&lt;=AsOfDate,IF($R63=0,$X63,IF(AND($T63&lt;&gt;"",EDATE($D63,Milestones!$AA$137)&gt;=$T63),$W63,IF(AND($S63&lt;&gt;"",EDATE($D63,Milestones!$AA$137)&gt;=$S63),$V63,$U63)))=Milestones!$AB$137),UPPER(TEXT(EDATE($D63,Milestones!$AA$137),"dd mmm yy"))&amp;" "&amp;Milestones!$AB$137&amp;" "&amp;Milestones!$AC$137&amp;";  ","")&amp;IF(AND(EDATE($D63,Milestones!$AA$138)&lt;=AsOfDate,IF($R63=0,$X63,IF(AND($T63&lt;&gt;"",EDATE($D63,Milestones!$AA$138)&gt;=$T63),$W63,IF(AND($S63&lt;&gt;"",EDATE($D63,Milestones!$AA$138)&gt;=$S63),$V63,$U63)))=Milestones!$AB$138),UPPER(TEXT(EDATE($D63,Milestones!$AA$138),"dd mmm yy"))&amp;" "&amp;Milestones!$AB$138&amp;" "&amp;Milestones!$AC$138&amp;";  ","")&amp;IF(AND(EDATE($D63,Milestones!$AA$139)&lt;=AsOfDate,IF($R63=0,$X63,IF(AND($T63&lt;&gt;"",EDATE($D63,Milestones!$AA$139)&gt;=$T63),$W63,IF(AND($S63&lt;&gt;"",EDATE($D63,Milestones!$AA$139)&gt;=$S63),$V63,$U63)))=Milestones!$AB$139),UPPER(TEXT(EDATE($D63,Milestones!$AA$139),"dd mmm yy"))&amp;" "&amp;Milestones!$AB$139&amp;" "&amp;Milestones!$AC$139&amp;";  ",""))</f>
        <v/>
      </c>
      <c r="O63" s="0" t="str">
        <f aca="false">IF(OR($A63="",$D63=""),"",IF(AND(EDATE($D63,Milestones!$AA$140)&lt;=AsOfDate,IF($R63=0,$X63,IF(AND($T63&lt;&gt;"",EDATE($D63,Milestones!$AA$140)&gt;=$T63),$W63,IF(AND($S63&lt;&gt;"",EDATE($D63,Milestones!$AA$140)&gt;=$S63),$V63,$U63)))=Milestones!$AB$140),UPPER(TEXT(EDATE($D63,Milestones!$AA$140),"dd mmm yy"))&amp;" "&amp;Milestones!$AB$140&amp;" "&amp;Milestones!$AC$140&amp;";  ","")&amp;IF(AND(EDATE($D63,Milestones!$AA$141)&lt;=AsOfDate,IF($R63=0,$X63,IF(AND($T63&lt;&gt;"",EDATE($D63,Milestones!$AA$141)&gt;=$T63),$W63,IF(AND($S63&lt;&gt;"",EDATE($D63,Milestones!$AA$141)&gt;=$S63),$V63,$U63)))=Milestones!$AB$141),UPPER(TEXT(EDATE($D63,Milestones!$AA$141),"dd mmm yy"))&amp;" "&amp;Milestones!$AB$141&amp;" "&amp;Milestones!$AC$141&amp;";  ","")&amp;IF(AND(EDATE($D63,Milestones!$AA$142)&lt;=AsOfDate,IF($R63=0,$X63,IF(AND($T63&lt;&gt;"",EDATE($D63,Milestones!$AA$142)&gt;=$T63),$W63,IF(AND($S63&lt;&gt;"",EDATE($D63,Milestones!$AA$142)&gt;=$S63),$V63,$U63)))=Milestones!$AB$142),UPPER(TEXT(EDATE($D63,Milestones!$AA$142),"dd mmm yy"))&amp;" "&amp;Milestones!$AB$142&amp;" "&amp;Milestones!$AC$142&amp;";  ","")&amp;IF(AND(EDATE($D63,Milestones!$AA$143)&lt;=AsOfDate,IF($R63=0,$X63,IF(AND($T63&lt;&gt;"",EDATE($D63,Milestones!$AA$143)&gt;=$T63),$W63,IF(AND($S63&lt;&gt;"",EDATE($D63,Milestones!$AA$143)&gt;=$S63),$V63,$U63)))=Milestones!$AB$143),UPPER(TEXT(EDATE($D63,Milestones!$AA$143),"dd mmm yy"))&amp;" "&amp;Milestones!$AB$143&amp;" "&amp;Milestones!$AC$143&amp;";  ","")&amp;IF(AND(EDATE($D63,Milestones!$AA$144)&lt;=AsOfDate,IF($R63=0,$X63,IF(AND($T63&lt;&gt;"",EDATE($D63,Milestones!$AA$144)&gt;=$T63),$W63,IF(AND($S63&lt;&gt;"",EDATE($D63,Milestones!$AA$144)&gt;=$S63),$V63,$U63)))=Milestones!$AB$144),UPPER(TEXT(EDATE($D63,Milestones!$AA$144),"dd mmm yy"))&amp;" "&amp;Milestones!$AB$144&amp;" "&amp;Milestones!$AC$144&amp;";  ","")&amp;IF(AND(EDATE($D63,Milestones!$AA$145)&lt;=AsOfDate,IF($R63=0,$X63,IF(AND($T63&lt;&gt;"",EDATE($D63,Milestones!$AA$145)&gt;=$T63),$W63,IF(AND($S63&lt;&gt;"",EDATE($D63,Milestones!$AA$145)&gt;=$S63),$V63,$U63)))=Milestones!$AB$145),UPPER(TEXT(EDATE($D63,Milestones!$AA$145),"dd mmm yy"))&amp;" "&amp;Milestones!$AB$145&amp;" "&amp;Milestones!$AC$145&amp;";  ","")&amp;IF(AND(EDATE($D63,Milestones!$AA$146)&lt;=AsOfDate,IF($R63=0,$X63,IF(AND($T63&lt;&gt;"",EDATE($D63,Milestones!$AA$146)&gt;=$T63),$W63,IF(AND($S63&lt;&gt;"",EDATE($D63,Milestones!$AA$146)&gt;=$S63),$V63,$U63)))=Milestones!$AB$146),UPPER(TEXT(EDATE($D63,Milestones!$AA$146),"dd mmm yy"))&amp;" "&amp;Milestones!$AB$146&amp;" "&amp;Milestones!$AC$146&amp;";  ","")&amp;IF(AND(EDATE($D63,Milestones!$AA$147)&lt;=AsOfDate,IF($R63=0,$X63,IF(AND($T63&lt;&gt;"",EDATE($D63,Milestones!$AA$147)&gt;=$T63),$W63,IF(AND($S63&lt;&gt;"",EDATE($D63,Milestones!$AA$147)&gt;=$S63),$V63,$U63)))=Milestones!$AB$147),UPPER(TEXT(EDATE($D63,Milestones!$AA$147),"dd mmm yy"))&amp;" "&amp;Milestones!$AB$147&amp;" "&amp;Milestones!$AC$147&amp;";  ","")&amp;IF(AND(EDATE($D63,Milestones!$AA$148)&lt;=AsOfDate,IF($R63=0,$X63,IF(AND($T63&lt;&gt;"",EDATE($D63,Milestones!$AA$148)&gt;=$T63),$W63,IF(AND($S63&lt;&gt;"",EDATE($D63,Milestones!$AA$148)&gt;=$S63),$V63,$U63)))=Milestones!$AB$148),UPPER(TEXT(EDATE($D63,Milestones!$AA$148),"dd mmm yy"))&amp;" "&amp;Milestones!$AB$148&amp;" "&amp;Milestones!$AC$148&amp;";  ","")&amp;IF(AND(EDATE($D63,Milestones!$AA$149)&lt;=AsOfDate,IF($R63=0,$X63,IF(AND($T63&lt;&gt;"",EDATE($D63,Milestones!$AA$149)&gt;=$T63),$W63,IF(AND($S63&lt;&gt;"",EDATE($D63,Milestones!$AA$149)&gt;=$S63),$V63,$U63)))=Milestones!$AB$149),UPPER(TEXT(EDATE($D63,Milestones!$AA$149),"dd mmm yy"))&amp;" "&amp;Milestones!$AB$149&amp;" "&amp;Milestones!$AC$149&amp;";  ","")&amp;IF(AND(EDATE($D63,Milestones!$AA$150)&lt;=AsOfDate,IF($R63=0,$X63,IF(AND($T63&lt;&gt;"",EDATE($D63,Milestones!$AA$150)&gt;=$T63),$W63,IF(AND($S63&lt;&gt;"",EDATE($D63,Milestones!$AA$150)&gt;=$S63),$V63,$U63)))=Milestones!$AB$150),UPPER(TEXT(EDATE($D63,Milestones!$AA$150),"dd mmm yy"))&amp;" "&amp;Milestones!$AB$150&amp;" "&amp;Milestones!$AC$150&amp;";  ","")&amp;IF(AND(EDATE($D63,Milestones!$AA$151)&lt;=AsOfDate,IF($R63=0,$X63,IF(AND($T63&lt;&gt;"",EDATE($D63,Milestones!$AA$151)&gt;=$T63),$W63,IF(AND($S63&lt;&gt;"",EDATE($D63,Milestones!$AA$151)&gt;=$S63),$V63,$U63)))=Milestones!$AB$151),UPPER(TEXT(EDATE($D63,Milestones!$AA$151),"dd mmm yy"))&amp;" "&amp;Milestones!$AB$151&amp;" "&amp;Milestones!$AC$151&amp;";  ","")&amp;IF(AND(EDATE($D63,Milestones!$AA$152)&lt;=AsOfDate,IF($R63=0,$X63,IF(AND($T63&lt;&gt;"",EDATE($D63,Milestones!$AA$152)&gt;=$T63),$W63,IF(AND($S63&lt;&gt;"",EDATE($D63,Milestones!$AA$152)&gt;=$S63),$V63,$U63)))=Milestones!$AB$152),UPPER(TEXT(EDATE($D63,Milestones!$AA$152),"dd mmm yy"))&amp;" "&amp;Milestones!$AB$152&amp;" "&amp;Milestones!$AC$152&amp;";  ","")&amp;IF(AND(EDATE($D63,Milestones!$AA$153)&lt;=AsOfDate,IF($R63=0,$X63,IF(AND($T63&lt;&gt;"",EDATE($D63,Milestones!$AA$153)&gt;=$T63),$W63,IF(AND($S63&lt;&gt;"",EDATE($D63,Milestones!$AA$153)&gt;=$S63),$V63,$U63)))=Milestones!$AB$153),UPPER(TEXT(EDATE($D63,Milestones!$AA$153),"dd mmm yy"))&amp;" "&amp;Milestones!$AB$153&amp;" "&amp;Milestones!$AC$153&amp;";  ","")&amp;IF(AND(EDATE($D63,Milestones!$AA$154)&lt;=AsOfDate,IF($R63=0,$X63,IF(AND($T63&lt;&gt;"",EDATE($D63,Milestones!$AA$154)&gt;=$T63),$W63,IF(AND($S63&lt;&gt;"",EDATE($D63,Milestones!$AA$154)&gt;=$S63),$V63,$U63)))=Milestones!$AB$154),UPPER(TEXT(EDATE($D63,Milestones!$AA$154),"dd mmm yy"))&amp;" "&amp;Milestones!$AB$154&amp;" "&amp;Milestones!$AC$154&amp;";  ","")&amp;IF(AND(EDATE($D63,Milestones!$AA$155)&lt;=AsOfDate,IF($R63=0,$X63,IF(AND($T63&lt;&gt;"",EDATE($D63,Milestones!$AA$155)&gt;=$T63),$W63,IF(AND($S63&lt;&gt;"",EDATE($D63,Milestones!$AA$155)&gt;=$S63),$V63,$U63)))=Milestones!$AB$155),UPPER(TEXT(EDATE($D63,Milestones!$AA$155),"dd mmm yy"))&amp;" "&amp;Milestones!$AB$155&amp;" "&amp;Milestones!$AC$155&amp;";  ","")&amp;IF(AND(EDATE($D63,Milestones!$AA$156)&lt;=AsOfDate,IF($R63=0,$X63,IF(AND($T63&lt;&gt;"",EDATE($D63,Milestones!$AA$156)&gt;=$T63),$W63,IF(AND($S63&lt;&gt;"",EDATE($D63,Milestones!$AA$156)&gt;=$S63),$V63,$U63)))=Milestones!$AB$156),UPPER(TEXT(EDATE($D63,Milestones!$AA$156),"dd mmm yy"))&amp;" "&amp;Milestones!$AB$156&amp;" "&amp;Milestones!$AC$156&amp;";  ","")&amp;IF(AND(EDATE($D63,Milestones!$AA$157)&lt;=AsOfDate,IF($R63=0,$X63,IF(AND($T63&lt;&gt;"",EDATE($D63,Milestones!$AA$157)&gt;=$T63),$W63,IF(AND($S63&lt;&gt;"",EDATE($D63,Milestones!$AA$157)&gt;=$S63),$V63,$U63)))=Milestones!$AB$157),UPPER(TEXT(EDATE($D63,Milestones!$AA$157),"dd mmm yy"))&amp;" "&amp;Milestones!$AB$157&amp;" "&amp;Milestones!$AC$157&amp;";  ","")&amp;IF(AND(EDATE($D63,Milestones!$AA$158)&lt;=AsOfDate,IF($R63=0,$X63,IF(AND($T63&lt;&gt;"",EDATE($D63,Milestones!$AA$158)&gt;=$T63),$W63,IF(AND($S63&lt;&gt;"",EDATE($D63,Milestones!$AA$158)&gt;=$S63),$V63,$U63)))=Milestones!$AB$158),UPPER(TEXT(EDATE($D63,Milestones!$AA$158),"dd mmm yy"))&amp;" "&amp;Milestones!$AB$158&amp;" "&amp;Milestones!$AC$158&amp;";  ","")&amp;IF(AND(EDATE($D63,Milestones!$AA$159)&lt;=AsOfDate,IF($R63=0,$X63,IF(AND($T63&lt;&gt;"",EDATE($D63,Milestones!$AA$159)&gt;=$T63),$W63,IF(AND($S63&lt;&gt;"",EDATE($D63,Milestones!$AA$159)&gt;=$S63),$V63,$U63)))=Milestones!$AB$159),UPPER(TEXT(EDATE($D63,Milestones!$AA$159),"dd mmm yy"))&amp;" "&amp;Milestones!$AB$159&amp;" "&amp;Milestones!$AC$159&amp;";  ",""))</f>
        <v/>
      </c>
      <c r="P63" s="0" t="str">
        <f aca="false">IF(OR($A63="",$D63=""),"",IF(AND(EDATE($D63,Milestones!$AA$160)&lt;=AsOfDate,IF($R63=0,$X63,IF(AND($T63&lt;&gt;"",EDATE($D63,Milestones!$AA$160)&gt;=$T63),$W63,IF(AND($S63&lt;&gt;"",EDATE($D63,Milestones!$AA$160)&gt;=$S63),$V63,$U63)))=Milestones!$AB$160),UPPER(TEXT(EDATE($D63,Milestones!$AA$160),"dd mmm yy"))&amp;" "&amp;Milestones!$AB$160&amp;" "&amp;Milestones!$AC$160&amp;";  ","")&amp;IF(AND(EDATE($D63,Milestones!$AA$161)&lt;=AsOfDate,IF($R63=0,$X63,IF(AND($T63&lt;&gt;"",EDATE($D63,Milestones!$AA$161)&gt;=$T63),$W63,IF(AND($S63&lt;&gt;"",EDATE($D63,Milestones!$AA$161)&gt;=$S63),$V63,$U63)))=Milestones!$AB$161),UPPER(TEXT(EDATE($D63,Milestones!$AA$161),"dd mmm yy"))&amp;" "&amp;Milestones!$AB$161&amp;" "&amp;Milestones!$AC$161&amp;";  ","")&amp;IF(AND(EDATE($D63,Milestones!$AA$162)&lt;=AsOfDate,IF($R63=0,$X63,IF(AND($T63&lt;&gt;"",EDATE($D63,Milestones!$AA$162)&gt;=$T63),$W63,IF(AND($S63&lt;&gt;"",EDATE($D63,Milestones!$AA$162)&gt;=$S63),$V63,$U63)))=Milestones!$AB$162),UPPER(TEXT(EDATE($D63,Milestones!$AA$162),"dd mmm yy"))&amp;" "&amp;Milestones!$AB$162&amp;" "&amp;Milestones!$AC$162&amp;";  ","")&amp;IF(AND(EDATE($D63,Milestones!$AA$163)&lt;=AsOfDate,IF($R63=0,$X63,IF(AND($T63&lt;&gt;"",EDATE($D63,Milestones!$AA$163)&gt;=$T63),$W63,IF(AND($S63&lt;&gt;"",EDATE($D63,Milestones!$AA$163)&gt;=$S63),$V63,$U63)))=Milestones!$AB$163),UPPER(TEXT(EDATE($D63,Milestones!$AA$163),"dd mmm yy"))&amp;" "&amp;Milestones!$AB$163&amp;" "&amp;Milestones!$AC$163&amp;";  ","")&amp;IF(AND(EDATE($D63,Milestones!$AA$164)&lt;=AsOfDate,IF($R63=0,$X63,IF(AND($T63&lt;&gt;"",EDATE($D63,Milestones!$AA$164)&gt;=$T63),$W63,IF(AND($S63&lt;&gt;"",EDATE($D63,Milestones!$AA$164)&gt;=$S63),$V63,$U63)))=Milestones!$AB$164),UPPER(TEXT(EDATE($D63,Milestones!$AA$164),"dd mmm yy"))&amp;" "&amp;Milestones!$AB$164&amp;" "&amp;Milestones!$AC$164&amp;";  ","")&amp;IF(AND(EDATE($D63,Milestones!$AA$165)&lt;=AsOfDate,IF($R63=0,$X63,IF(AND($T63&lt;&gt;"",EDATE($D63,Milestones!$AA$165)&gt;=$T63),$W63,IF(AND($S63&lt;&gt;"",EDATE($D63,Milestones!$AA$165)&gt;=$S63),$V63,$U63)))=Milestones!$AB$165),UPPER(TEXT(EDATE($D63,Milestones!$AA$165),"dd mmm yy"))&amp;" "&amp;Milestones!$AB$165&amp;" "&amp;Milestones!$AC$165&amp;";  ","")&amp;IF(AND(EDATE($D63,Milestones!$AA$166)&lt;=AsOfDate,IF($R63=0,$X63,IF(AND($T63&lt;&gt;"",EDATE($D63,Milestones!$AA$166)&gt;=$T63),$W63,IF(AND($S63&lt;&gt;"",EDATE($D63,Milestones!$AA$166)&gt;=$S63),$V63,$U63)))=Milestones!$AB$166),UPPER(TEXT(EDATE($D63,Milestones!$AA$166),"dd mmm yy"))&amp;" "&amp;Milestones!$AB$166&amp;" "&amp;Milestones!$AC$166&amp;";  ","")&amp;IF(AND(EDATE($D63,Milestones!$AA$167)&lt;=AsOfDate,IF($R63=0,$X63,IF(AND($T63&lt;&gt;"",EDATE($D63,Milestones!$AA$167)&gt;=$T63),$W63,IF(AND($S63&lt;&gt;"",EDATE($D63,Milestones!$AA$167)&gt;=$S63),$V63,$U63)))=Milestones!$AB$167),UPPER(TEXT(EDATE($D63,Milestones!$AA$167),"dd mmm yy"))&amp;" "&amp;Milestones!$AB$167&amp;" "&amp;Milestones!$AC$167&amp;";  ","")&amp;IF(AND(EDATE($D63,Milestones!$AA$168)&lt;=AsOfDate,IF($R63=0,$X63,IF(AND($T63&lt;&gt;"",EDATE($D63,Milestones!$AA$168)&gt;=$T63),$W63,IF(AND($S63&lt;&gt;"",EDATE($D63,Milestones!$AA$168)&gt;=$S63),$V63,$U63)))=Milestones!$AB$168),UPPER(TEXT(EDATE($D63,Milestones!$AA$168),"dd mmm yy"))&amp;" "&amp;Milestones!$AB$168&amp;" "&amp;Milestones!$AC$168&amp;";  ","")&amp;IF(AND(EDATE($D63,Milestones!$AA$169)&lt;=AsOfDate,IF($R63=0,$X63,IF(AND($T63&lt;&gt;"",EDATE($D63,Milestones!$AA$169)&gt;=$T63),$W63,IF(AND($S63&lt;&gt;"",EDATE($D63,Milestones!$AA$169)&gt;=$S63),$V63,$U63)))=Milestones!$AB$169),UPPER(TEXT(EDATE($D63,Milestones!$AA$169),"dd mmm yy"))&amp;" "&amp;Milestones!$AB$169&amp;" "&amp;Milestones!$AC$169&amp;";  ","")&amp;IF(AND(EDATE($D63,Milestones!$AA$170)&lt;=AsOfDate,IF($R63=0,$X63,IF(AND($T63&lt;&gt;"",EDATE($D63,Milestones!$AA$170)&gt;=$T63),$W63,IF(AND($S63&lt;&gt;"",EDATE($D63,Milestones!$AA$170)&gt;=$S63),$V63,$U63)))=Milestones!$AB$170),UPPER(TEXT(EDATE($D63,Milestones!$AA$170),"dd mmm yy"))&amp;" "&amp;Milestones!$AB$170&amp;" "&amp;Milestones!$AC$170&amp;";  ","")&amp;IF(AND(EDATE($D63,Milestones!$AA$171)&lt;=AsOfDate,IF($R63=0,$X63,IF(AND($T63&lt;&gt;"",EDATE($D63,Milestones!$AA$171)&gt;=$T63),$W63,IF(AND($S63&lt;&gt;"",EDATE($D63,Milestones!$AA$171)&gt;=$S63),$V63,$U63)))=Milestones!$AB$171),UPPER(TEXT(EDATE($D63,Milestones!$AA$171),"dd mmm yy"))&amp;" "&amp;Milestones!$AB$171&amp;" "&amp;Milestones!$AC$171&amp;";  ","")&amp;IF(AND(EDATE($D63,Milestones!$AA$172)&lt;=AsOfDate,IF($R63=0,$X63,IF(AND($T63&lt;&gt;"",EDATE($D63,Milestones!$AA$172)&gt;=$T63),$W63,IF(AND($S63&lt;&gt;"",EDATE($D63,Milestones!$AA$172)&gt;=$S63),$V63,$U63)))=Milestones!$AB$172),UPPER(TEXT(EDATE($D63,Milestones!$AA$172),"dd mmm yy"))&amp;" "&amp;Milestones!$AB$172&amp;" "&amp;Milestones!$AC$172&amp;";  ","")&amp;IF(AND(EDATE($D63,Milestones!$AA$173)&lt;=AsOfDate,IF($R63=0,$X63,IF(AND($T63&lt;&gt;"",EDATE($D63,Milestones!$AA$173)&gt;=$T63),$W63,IF(AND($S63&lt;&gt;"",EDATE($D63,Milestones!$AA$173)&gt;=$S63),$V63,$U63)))=Milestones!$AB$173),UPPER(TEXT(EDATE($D63,Milestones!$AA$173),"dd mmm yy"))&amp;" "&amp;Milestones!$AB$173&amp;" "&amp;Milestones!$AC$173&amp;";  ","")&amp;IF(AND(EDATE($D63,Milestones!$AA$174)&lt;=AsOfDate,IF($R63=0,$X63,IF(AND($T63&lt;&gt;"",EDATE($D63,Milestones!$AA$174)&gt;=$T63),$W63,IF(AND($S63&lt;&gt;"",EDATE($D63,Milestones!$AA$174)&gt;=$S63),$V63,$U63)))=Milestones!$AB$174),UPPER(TEXT(EDATE($D63,Milestones!$AA$174),"dd mmm yy"))&amp;" "&amp;Milestones!$AB$174&amp;" "&amp;Milestones!$AC$174&amp;";  ","")&amp;IF(AND(EDATE($D63,Milestones!$AA$175)&lt;=AsOfDate,IF($R63=0,$X63,IF(AND($T63&lt;&gt;"",EDATE($D63,Milestones!$AA$175)&gt;=$T63),$W63,IF(AND($S63&lt;&gt;"",EDATE($D63,Milestones!$AA$175)&gt;=$S63),$V63,$U63)))=Milestones!$AB$175),UPPER(TEXT(EDATE($D63,Milestones!$AA$175),"dd mmm yy"))&amp;" "&amp;Milestones!$AB$175&amp;" "&amp;Milestones!$AC$175&amp;";  ","")&amp;IF(AND(EDATE($D63,Milestones!$AA$176)&lt;=AsOfDate,IF($R63=0,$X63,IF(AND($T63&lt;&gt;"",EDATE($D63,Milestones!$AA$176)&gt;=$T63),$W63,IF(AND($S63&lt;&gt;"",EDATE($D63,Milestones!$AA$176)&gt;=$S63),$V63,$U63)))=Milestones!$AB$176),UPPER(TEXT(EDATE($D63,Milestones!$AA$176),"dd mmm yy"))&amp;" "&amp;Milestones!$AB$176&amp;" "&amp;Milestones!$AC$176&amp;";  ","")&amp;IF(AND(EDATE($D63,Milestones!$AA$177)&lt;=AsOfDate,IF($R63=0,$X63,IF(AND($T63&lt;&gt;"",EDATE($D63,Milestones!$AA$177)&gt;=$T63),$W63,IF(AND($S63&lt;&gt;"",EDATE($D63,Milestones!$AA$177)&gt;=$S63),$V63,$U63)))=Milestones!$AB$177),UPPER(TEXT(EDATE($D63,Milestones!$AA$177),"dd mmm yy"))&amp;" "&amp;Milestones!$AB$177&amp;" "&amp;Milestones!$AC$177&amp;";  ","")&amp;IF(AND(EDATE($D63,Milestones!$AA$178)&lt;=AsOfDate,IF($R63=0,$X63,IF(AND($T63&lt;&gt;"",EDATE($D63,Milestones!$AA$178)&gt;=$T63),$W63,IF(AND($S63&lt;&gt;"",EDATE($D63,Milestones!$AA$178)&gt;=$S63),$V63,$U63)))=Milestones!$AB$178),UPPER(TEXT(EDATE($D63,Milestones!$AA$178),"dd mmm yy"))&amp;" "&amp;Milestones!$AB$178&amp;" "&amp;Milestones!$AC$178&amp;";  ","")&amp;IF(AND(EDATE($D63,Milestones!$AA$179)&lt;=AsOfDate,IF($R63=0,$X63,IF(AND($T63&lt;&gt;"",EDATE($D63,Milestones!$AA$179)&gt;=$T63),$W63,IF(AND($S63&lt;&gt;"",EDATE($D63,Milestones!$AA$179)&gt;=$S63),$V63,$U63)))=Milestones!$AB$179),UPPER(TEXT(EDATE($D63,Milestones!$AA$179),"dd mmm yy"))&amp;" "&amp;Milestones!$AB$179&amp;" "&amp;Milestones!$AC$179&amp;";  ",""))</f>
        <v/>
      </c>
      <c r="Q63" s="0" t="str">
        <f aca="false">IF(OR($A63="",$D63=""),"",IF(AND(EDATE($D63,Milestones!$AA$180)&lt;=AsOfDate,IF($R63=0,$X63,IF(AND($T63&lt;&gt;"",EDATE($D63,Milestones!$AA$180)&gt;=$T63),$W63,IF(AND($S63&lt;&gt;"",EDATE($D63,Milestones!$AA$180)&gt;=$S63),$V63,$U63)))=Milestones!$AB$180),UPPER(TEXT(EDATE($D63,Milestones!$AA$180),"dd mmm yy"))&amp;" "&amp;Milestones!$AB$180&amp;" "&amp;Milestones!$AC$180&amp;";  ","")&amp;IF(AND(EDATE($D63,Milestones!$AA$181)&lt;=AsOfDate,IF($R63=0,$X63,IF(AND($T63&lt;&gt;"",EDATE($D63,Milestones!$AA$181)&gt;=$T63),$W63,IF(AND($S63&lt;&gt;"",EDATE($D63,Milestones!$AA$181)&gt;=$S63),$V63,$U63)))=Milestones!$AB$181),UPPER(TEXT(EDATE($D63,Milestones!$AA$181),"dd mmm yy"))&amp;" "&amp;Milestones!$AB$181&amp;" "&amp;Milestones!$AC$181&amp;";  ","")&amp;IF(AND(EDATE($D63,Milestones!$AA$182)&lt;=AsOfDate,IF($R63=0,$X63,IF(AND($T63&lt;&gt;"",EDATE($D63,Milestones!$AA$182)&gt;=$T63),$W63,IF(AND($S63&lt;&gt;"",EDATE($D63,Milestones!$AA$182)&gt;=$S63),$V63,$U63)))=Milestones!$AB$182),UPPER(TEXT(EDATE($D63,Milestones!$AA$182),"dd mmm yy"))&amp;" "&amp;Milestones!$AB$182&amp;" "&amp;Milestones!$AC$182&amp;";  ","")&amp;IF(AND(EDATE($D63,Milestones!$AA$183)&lt;=AsOfDate,IF($R63=0,$X63,IF(AND($T63&lt;&gt;"",EDATE($D63,Milestones!$AA$183)&gt;=$T63),$W63,IF(AND($S63&lt;&gt;"",EDATE($D63,Milestones!$AA$183)&gt;=$S63),$V63,$U63)))=Milestones!$AB$183),UPPER(TEXT(EDATE($D63,Milestones!$AA$183),"dd mmm yy"))&amp;" "&amp;Milestones!$AB$183&amp;" "&amp;Milestones!$AC$183&amp;";  ","")&amp;IF(AND(EDATE($D63,Milestones!$AA$184)&lt;=AsOfDate,IF($R63=0,$X63,IF(AND($T63&lt;&gt;"",EDATE($D63,Milestones!$AA$184)&gt;=$T63),$W63,IF(AND($S63&lt;&gt;"",EDATE($D63,Milestones!$AA$184)&gt;=$S63),$V63,$U63)))=Milestones!$AB$184),UPPER(TEXT(EDATE($D63,Milestones!$AA$184),"dd mmm yy"))&amp;" "&amp;Milestones!$AB$184&amp;" "&amp;Milestones!$AC$184&amp;";  ","")&amp;IF(AND(EDATE($D63,Milestones!$AA$185)&lt;=AsOfDate,IF($R63=0,$X63,IF(AND($T63&lt;&gt;"",EDATE($D63,Milestones!$AA$185)&gt;=$T63),$W63,IF(AND($S63&lt;&gt;"",EDATE($D63,Milestones!$AA$185)&gt;=$S63),$V63,$U63)))=Milestones!$AB$185),UPPER(TEXT(EDATE($D63,Milestones!$AA$185),"dd mmm yy"))&amp;" "&amp;Milestones!$AB$185&amp;" "&amp;Milestones!$AC$185&amp;";  ","")&amp;IF(AND(EDATE($D63,Milestones!$AA$186)&lt;=AsOfDate,IF($R63=0,$X63,IF(AND($T63&lt;&gt;"",EDATE($D63,Milestones!$AA$186)&gt;=$T63),$W63,IF(AND($S63&lt;&gt;"",EDATE($D63,Milestones!$AA$186)&gt;=$S63),$V63,$U63)))=Milestones!$AB$186),UPPER(TEXT(EDATE($D63,Milestones!$AA$186),"dd mmm yy"))&amp;" "&amp;Milestones!$AB$186&amp;" "&amp;Milestones!$AC$186&amp;";  ","")&amp;IF(AND(EDATE($D63,Milestones!$AA$187)&lt;=AsOfDate,IF($R63=0,$X63,IF(AND($T63&lt;&gt;"",EDATE($D63,Milestones!$AA$187)&gt;=$T63),$W63,IF(AND($S63&lt;&gt;"",EDATE($D63,Milestones!$AA$187)&gt;=$S63),$V63,$U63)))=Milestones!$AB$187),UPPER(TEXT(EDATE($D63,Milestones!$AA$187),"dd mmm yy"))&amp;" "&amp;Milestones!$AB$187&amp;" "&amp;Milestones!$AC$187&amp;";  ","")&amp;IF(AND(EDATE($D63,Milestones!$AA$188)&lt;=AsOfDate,IF($R63=0,$X63,IF(AND($T63&lt;&gt;"",EDATE($D63,Milestones!$AA$188)&gt;=$T63),$W63,IF(AND($S63&lt;&gt;"",EDATE($D63,Milestones!$AA$188)&gt;=$S63),$V63,$U63)))=Milestones!$AB$188),UPPER(TEXT(EDATE($D63,Milestones!$AA$188),"dd mmm yy"))&amp;" "&amp;Milestones!$AB$188&amp;" "&amp;Milestones!$AC$188&amp;";  ","")&amp;IF(AND(EDATE($D63,Milestones!$AA$189)&lt;=AsOfDate,IF($R63=0,$X63,IF(AND($T63&lt;&gt;"",EDATE($D63,Milestones!$AA$189)&gt;=$T63),$W63,IF(AND($S63&lt;&gt;"",EDATE($D63,Milestones!$AA$189)&gt;=$S63),$V63,$U63)))=Milestones!$AB$189),UPPER(TEXT(EDATE($D63,Milestones!$AA$189),"dd mmm yy"))&amp;" "&amp;Milestones!$AB$189&amp;" "&amp;Milestones!$AC$189&amp;";  ","")&amp;IF(AND(EDATE($D63,Milestones!$AA$190)&lt;=AsOfDate,IF($R63=0,$X63,IF(AND($T63&lt;&gt;"",EDATE($D63,Milestones!$AA$190)&gt;=$T63),$W63,IF(AND($S63&lt;&gt;"",EDATE($D63,Milestones!$AA$190)&gt;=$S63),$V63,$U63)))=Milestones!$AB$190),UPPER(TEXT(EDATE($D63,Milestones!$AA$190),"dd mmm yy"))&amp;" "&amp;Milestones!$AB$190&amp;" "&amp;Milestones!$AC$190&amp;";  ","")&amp;IF(AND(EDATE($D63,Milestones!$AA$191)&lt;=AsOfDate,IF($R63=0,$X63,IF(AND($T63&lt;&gt;"",EDATE($D63,Milestones!$AA$191)&gt;=$T63),$W63,IF(AND($S63&lt;&gt;"",EDATE($D63,Milestones!$AA$191)&gt;=$S63),$V63,$U63)))=Milestones!$AB$191),UPPER(TEXT(EDATE($D63,Milestones!$AA$191),"dd mmm yy"))&amp;" "&amp;Milestones!$AB$191&amp;" "&amp;Milestones!$AC$191&amp;";  ","")&amp;IF(AND(EDATE($D63,Milestones!$AA$192)&lt;=AsOfDate,IF($R63=0,$X63,IF(AND($T63&lt;&gt;"",EDATE($D63,Milestones!$AA$192)&gt;=$T63),$W63,IF(AND($S63&lt;&gt;"",EDATE($D63,Milestones!$AA$192)&gt;=$S63),$V63,$U63)))=Milestones!$AB$192),UPPER(TEXT(EDATE($D63,Milestones!$AA$192),"dd mmm yy"))&amp;" "&amp;Milestones!$AB$192&amp;" "&amp;Milestones!$AC$192&amp;";  ","")&amp;IF(AND(EDATE($D63,Milestones!$AA$193)&lt;=AsOfDate,IF($R63=0,$X63,IF(AND($T63&lt;&gt;"",EDATE($D63,Milestones!$AA$193)&gt;=$T63),$W63,IF(AND($S63&lt;&gt;"",EDATE($D63,Milestones!$AA$193)&gt;=$S63),$V63,$U63)))=Milestones!$AB$193),UPPER(TEXT(EDATE($D63,Milestones!$AA$193),"dd mmm yy"))&amp;" "&amp;Milestones!$AB$193&amp;" "&amp;Milestones!$AC$193&amp;";  ","")&amp;IF(AND(EDATE($D63,Milestones!$AA$194)&lt;=AsOfDate,IF($R63=0,$X63,IF(AND($T63&lt;&gt;"",EDATE($D63,Milestones!$AA$194)&gt;=$T63),$W63,IF(AND($S63&lt;&gt;"",EDATE($D63,Milestones!$AA$194)&gt;=$S63),$V63,$U63)))=Milestones!$AB$194),UPPER(TEXT(EDATE($D63,Milestones!$AA$194),"dd mmm yy"))&amp;" "&amp;Milestones!$AB$194&amp;" "&amp;Milestones!$AC$194&amp;";  ","")&amp;IF(AND(EDATE($D63,Milestones!$AA$195)&lt;=AsOfDate,IF($R63=0,$X63,IF(AND($T63&lt;&gt;"",EDATE($D63,Milestones!$AA$195)&gt;=$T63),$W63,IF(AND($S63&lt;&gt;"",EDATE($D63,Milestones!$AA$195)&gt;=$S63),$V63,$U63)))=Milestones!$AB$195),UPPER(TEXT(EDATE($D63,Milestones!$AA$195),"dd mmm yy"))&amp;" "&amp;Milestones!$AB$195&amp;" "&amp;Milestones!$AC$195&amp;";  ","")&amp;IF(AND(EDATE($D63,Milestones!$AA$196)&lt;=AsOfDate,IF($R63=0,$X63,IF(AND($T63&lt;&gt;"",EDATE($D63,Milestones!$AA$196)&gt;=$T63),$W63,IF(AND($S63&lt;&gt;"",EDATE($D63,Milestones!$AA$196)&gt;=$S63),$V63,$U63)))=Milestones!$AB$196),UPPER(TEXT(EDATE($D63,Milestones!$AA$196),"dd mmm yy"))&amp;" "&amp;Milestones!$AB$196&amp;" "&amp;Milestones!$AC$196&amp;";  ","")&amp;IF(AND(EDATE($D63,Milestones!$AA$197)&lt;=AsOfDate,IF($R63=0,$X63,IF(AND($T63&lt;&gt;"",EDATE($D63,Milestones!$AA$197)&gt;=$T63),$W63,IF(AND($S63&lt;&gt;"",EDATE($D63,Milestones!$AA$197)&gt;=$S63),$V63,$U63)))=Milestones!$AB$197),UPPER(TEXT(EDATE($D63,Milestones!$AA$197),"dd mmm yy"))&amp;" "&amp;Milestones!$AB$197&amp;" "&amp;Milestones!$AC$197&amp;";  ","")&amp;IF(AND(EDATE($D63,Milestones!$AA$198)&lt;=AsOfDate,IF($R63=0,$X63,IF(AND($T63&lt;&gt;"",EDATE($D63,Milestones!$AA$198)&gt;=$T63),$W63,IF(AND($S63&lt;&gt;"",EDATE($D63,Milestones!$AA$198)&gt;=$S63),$V63,$U63)))=Milestones!$AB$198),UPPER(TEXT(EDATE($D63,Milestones!$AA$198),"dd mmm yy"))&amp;" "&amp;Milestones!$AB$198&amp;" "&amp;Milestones!$AC$198&amp;";  ","")&amp;IF(AND(EDATE($D63,Milestones!$AA$199)&lt;=AsOfDate,IF($R63=0,$X63,IF(AND($T63&lt;&gt;"",EDATE($D63,Milestones!$AA$199)&gt;=$T63),$W63,IF(AND($S63&lt;&gt;"",EDATE($D63,Milestones!$AA$199)&gt;=$S63),$V63,$U63)))=Milestones!$AB$199),UPPER(TEXT(EDATE($D63,Milestones!$AA$199),"dd mmm yy"))&amp;" "&amp;Milestones!$AB$199&amp;" "&amp;Milestones!$AC$199&amp;";  ",""))</f>
        <v/>
      </c>
      <c r="R63" s="0" t="str">
        <f aca="false">IF(Staff!$A63="","",Staff!$AI63)</f>
        <v/>
      </c>
      <c r="S63" s="0" t="str">
        <f aca="false">IF(Staff!$A63="","",Staff!$AK63)</f>
        <v/>
      </c>
      <c r="T63" s="0" t="str">
        <f aca="false">IF(Staff!$A63="","",Staff!$AL63)</f>
        <v/>
      </c>
      <c r="U63" s="0" t="str">
        <f aca="false">IF(Staff!$A63="","",Staff!$AP63)</f>
        <v/>
      </c>
      <c r="V63" s="0" t="str">
        <f aca="false">IF(Staff!$A63="","",Staff!$AQ63)</f>
        <v/>
      </c>
      <c r="W63" s="0" t="str">
        <f aca="false">IF(Staff!$A63="","",Staff!$AR63)</f>
        <v/>
      </c>
      <c r="X63" s="0" t="str">
        <f aca="false">IF(Staff!$A63="","",Staff!$AS63)</f>
        <v/>
      </c>
    </row>
    <row r="64" customFormat="false" ht="15" hidden="false" customHeight="false" outlineLevel="0" collapsed="false">
      <c r="A64" s="14" t="str">
        <f aca="false">IF(Staff!$A64="","",Staff!$A64)</f>
        <v/>
      </c>
      <c r="B64" s="14" t="str">
        <f aca="false">IF(Staff!$A64="","",Staff!$B64)</f>
        <v/>
      </c>
      <c r="C64" s="14" t="str">
        <f aca="false">IF(Staff!$A64="","",Staff!$C64)</f>
        <v/>
      </c>
      <c r="D64" s="12" t="str">
        <f aca="false">IF(Staff!$A64="","",Staff!$AH64)</f>
        <v/>
      </c>
      <c r="E64" s="14" t="str">
        <f aca="false">IF(Staff!$A64="","",Staff!$O64)</f>
        <v/>
      </c>
      <c r="F64" s="14" t="str">
        <f aca="false">IF(E64="","",E64*HoursPerDay)</f>
        <v/>
      </c>
      <c r="G64" s="14" t="str">
        <f aca="false">IF(Staff!$A64="","",Staff!$AE64)</f>
        <v/>
      </c>
      <c r="H64" s="26" t="str">
        <f aca="false">IF($A64="","",I64&amp;J64&amp;K64&amp;L64&amp;M64&amp;N64&amp;O64&amp;P64&amp;Q64)</f>
        <v/>
      </c>
      <c r="I64" s="0" t="str">
        <f aca="false">IF(OR($A64="",$D64=""),"",IF(AND(EDATE($D64,Milestones!$AA$20)&lt;=AsOfDate,IF($R64=0,$X64,IF(AND($T64&lt;&gt;"",EDATE($D64,Milestones!$AA$20)&gt;=$T64),$W64,IF(AND($S64&lt;&gt;"",EDATE($D64,Milestones!$AA$20)&gt;=$S64),$V64,$U64)))=Milestones!$AB$20),UPPER(TEXT(EDATE($D64,Milestones!$AA$20),"dd mmm yy"))&amp;" "&amp;Milestones!$AB$20&amp;" "&amp;Milestones!$AC$20&amp;";  ","")&amp;IF(AND(EDATE($D64,Milestones!$AA$21)&lt;=AsOfDate,IF($R64=0,$X64,IF(AND($T64&lt;&gt;"",EDATE($D64,Milestones!$AA$21)&gt;=$T64),$W64,IF(AND($S64&lt;&gt;"",EDATE($D64,Milestones!$AA$21)&gt;=$S64),$V64,$U64)))=Milestones!$AB$21),UPPER(TEXT(EDATE($D64,Milestones!$AA$21),"dd mmm yy"))&amp;" "&amp;Milestones!$AB$21&amp;" "&amp;Milestones!$AC$21&amp;";  ","")&amp;IF(AND(EDATE($D64,Milestones!$AA$22)&lt;=AsOfDate,IF($R64=0,$X64,IF(AND($T64&lt;&gt;"",EDATE($D64,Milestones!$AA$22)&gt;=$T64),$W64,IF(AND($S64&lt;&gt;"",EDATE($D64,Milestones!$AA$22)&gt;=$S64),$V64,$U64)))=Milestones!$AB$22),UPPER(TEXT(EDATE($D64,Milestones!$AA$22),"dd mmm yy"))&amp;" "&amp;Milestones!$AB$22&amp;" "&amp;Milestones!$AC$22&amp;";  ","")&amp;IF(AND(EDATE($D64,Milestones!$AA$23)&lt;=AsOfDate,IF($R64=0,$X64,IF(AND($T64&lt;&gt;"",EDATE($D64,Milestones!$AA$23)&gt;=$T64),$W64,IF(AND($S64&lt;&gt;"",EDATE($D64,Milestones!$AA$23)&gt;=$S64),$V64,$U64)))=Milestones!$AB$23),UPPER(TEXT(EDATE($D64,Milestones!$AA$23),"dd mmm yy"))&amp;" "&amp;Milestones!$AB$23&amp;" "&amp;Milestones!$AC$23&amp;";  ","")&amp;IF(AND(EDATE($D64,Milestones!$AA$24)&lt;=AsOfDate,IF($R64=0,$X64,IF(AND($T64&lt;&gt;"",EDATE($D64,Milestones!$AA$24)&gt;=$T64),$W64,IF(AND($S64&lt;&gt;"",EDATE($D64,Milestones!$AA$24)&gt;=$S64),$V64,$U64)))=Milestones!$AB$24),UPPER(TEXT(EDATE($D64,Milestones!$AA$24),"dd mmm yy"))&amp;" "&amp;Milestones!$AB$24&amp;" "&amp;Milestones!$AC$24&amp;";  ","")&amp;IF(AND(EDATE($D64,Milestones!$AA$25)&lt;=AsOfDate,IF($R64=0,$X64,IF(AND($T64&lt;&gt;"",EDATE($D64,Milestones!$AA$25)&gt;=$T64),$W64,IF(AND($S64&lt;&gt;"",EDATE($D64,Milestones!$AA$25)&gt;=$S64),$V64,$U64)))=Milestones!$AB$25),UPPER(TEXT(EDATE($D64,Milestones!$AA$25),"dd mmm yy"))&amp;" "&amp;Milestones!$AB$25&amp;" "&amp;Milestones!$AC$25&amp;";  ","")&amp;IF(AND(EDATE($D64,Milestones!$AA$26)&lt;=AsOfDate,IF($R64=0,$X64,IF(AND($T64&lt;&gt;"",EDATE($D64,Milestones!$AA$26)&gt;=$T64),$W64,IF(AND($S64&lt;&gt;"",EDATE($D64,Milestones!$AA$26)&gt;=$S64),$V64,$U64)))=Milestones!$AB$26),UPPER(TEXT(EDATE($D64,Milestones!$AA$26),"dd mmm yy"))&amp;" "&amp;Milestones!$AB$26&amp;" "&amp;Milestones!$AC$26&amp;";  ","")&amp;IF(AND(EDATE($D64,Milestones!$AA$27)&lt;=AsOfDate,IF($R64=0,$X64,IF(AND($T64&lt;&gt;"",EDATE($D64,Milestones!$AA$27)&gt;=$T64),$W64,IF(AND($S64&lt;&gt;"",EDATE($D64,Milestones!$AA$27)&gt;=$S64),$V64,$U64)))=Milestones!$AB$27),UPPER(TEXT(EDATE($D64,Milestones!$AA$27),"dd mmm yy"))&amp;" "&amp;Milestones!$AB$27&amp;" "&amp;Milestones!$AC$27&amp;";  ","")&amp;IF(AND(EDATE($D64,Milestones!$AA$28)&lt;=AsOfDate,IF($R64=0,$X64,IF(AND($T64&lt;&gt;"",EDATE($D64,Milestones!$AA$28)&gt;=$T64),$W64,IF(AND($S64&lt;&gt;"",EDATE($D64,Milestones!$AA$28)&gt;=$S64),$V64,$U64)))=Milestones!$AB$28),UPPER(TEXT(EDATE($D64,Milestones!$AA$28),"dd mmm yy"))&amp;" "&amp;Milestones!$AB$28&amp;" "&amp;Milestones!$AC$28&amp;";  ","")&amp;IF(AND(EDATE($D64,Milestones!$AA$29)&lt;=AsOfDate,IF($R64=0,$X64,IF(AND($T64&lt;&gt;"",EDATE($D64,Milestones!$AA$29)&gt;=$T64),$W64,IF(AND($S64&lt;&gt;"",EDATE($D64,Milestones!$AA$29)&gt;=$S64),$V64,$U64)))=Milestones!$AB$29),UPPER(TEXT(EDATE($D64,Milestones!$AA$29),"dd mmm yy"))&amp;" "&amp;Milestones!$AB$29&amp;" "&amp;Milestones!$AC$29&amp;";  ","")&amp;IF(AND(EDATE($D64,Milestones!$AA$30)&lt;=AsOfDate,IF($R64=0,$X64,IF(AND($T64&lt;&gt;"",EDATE($D64,Milestones!$AA$30)&gt;=$T64),$W64,IF(AND($S64&lt;&gt;"",EDATE($D64,Milestones!$AA$30)&gt;=$S64),$V64,$U64)))=Milestones!$AB$30),UPPER(TEXT(EDATE($D64,Milestones!$AA$30),"dd mmm yy"))&amp;" "&amp;Milestones!$AB$30&amp;" "&amp;Milestones!$AC$30&amp;";  ","")&amp;IF(AND(EDATE($D64,Milestones!$AA$31)&lt;=AsOfDate,IF($R64=0,$X64,IF(AND($T64&lt;&gt;"",EDATE($D64,Milestones!$AA$31)&gt;=$T64),$W64,IF(AND($S64&lt;&gt;"",EDATE($D64,Milestones!$AA$31)&gt;=$S64),$V64,$U64)))=Milestones!$AB$31),UPPER(TEXT(EDATE($D64,Milestones!$AA$31),"dd mmm yy"))&amp;" "&amp;Milestones!$AB$31&amp;" "&amp;Milestones!$AC$31&amp;";  ","")&amp;IF(AND(EDATE($D64,Milestones!$AA$32)&lt;=AsOfDate,IF($R64=0,$X64,IF(AND($T64&lt;&gt;"",EDATE($D64,Milestones!$AA$32)&gt;=$T64),$W64,IF(AND($S64&lt;&gt;"",EDATE($D64,Milestones!$AA$32)&gt;=$S64),$V64,$U64)))=Milestones!$AB$32),UPPER(TEXT(EDATE($D64,Milestones!$AA$32),"dd mmm yy"))&amp;" "&amp;Milestones!$AB$32&amp;" "&amp;Milestones!$AC$32&amp;";  ","")&amp;IF(AND(EDATE($D64,Milestones!$AA$33)&lt;=AsOfDate,IF($R64=0,$X64,IF(AND($T64&lt;&gt;"",EDATE($D64,Milestones!$AA$33)&gt;=$T64),$W64,IF(AND($S64&lt;&gt;"",EDATE($D64,Milestones!$AA$33)&gt;=$S64),$V64,$U64)))=Milestones!$AB$33),UPPER(TEXT(EDATE($D64,Milestones!$AA$33),"dd mmm yy"))&amp;" "&amp;Milestones!$AB$33&amp;" "&amp;Milestones!$AC$33&amp;";  ","")&amp;IF(AND(EDATE($D64,Milestones!$AA$34)&lt;=AsOfDate,IF($R64=0,$X64,IF(AND($T64&lt;&gt;"",EDATE($D64,Milestones!$AA$34)&gt;=$T64),$W64,IF(AND($S64&lt;&gt;"",EDATE($D64,Milestones!$AA$34)&gt;=$S64),$V64,$U64)))=Milestones!$AB$34),UPPER(TEXT(EDATE($D64,Milestones!$AA$34),"dd mmm yy"))&amp;" "&amp;Milestones!$AB$34&amp;" "&amp;Milestones!$AC$34&amp;";  ","")&amp;IF(AND(EDATE($D64,Milestones!$AA$35)&lt;=AsOfDate,IF($R64=0,$X64,IF(AND($T64&lt;&gt;"",EDATE($D64,Milestones!$AA$35)&gt;=$T64),$W64,IF(AND($S64&lt;&gt;"",EDATE($D64,Milestones!$AA$35)&gt;=$S64),$V64,$U64)))=Milestones!$AB$35),UPPER(TEXT(EDATE($D64,Milestones!$AA$35),"dd mmm yy"))&amp;" "&amp;Milestones!$AB$35&amp;" "&amp;Milestones!$AC$35&amp;";  ","")&amp;IF(AND(EDATE($D64,Milestones!$AA$36)&lt;=AsOfDate,IF($R64=0,$X64,IF(AND($T64&lt;&gt;"",EDATE($D64,Milestones!$AA$36)&gt;=$T64),$W64,IF(AND($S64&lt;&gt;"",EDATE($D64,Milestones!$AA$36)&gt;=$S64),$V64,$U64)))=Milestones!$AB$36),UPPER(TEXT(EDATE($D64,Milestones!$AA$36),"dd mmm yy"))&amp;" "&amp;Milestones!$AB$36&amp;" "&amp;Milestones!$AC$36&amp;";  ","")&amp;IF(AND(EDATE($D64,Milestones!$AA$37)&lt;=AsOfDate,IF($R64=0,$X64,IF(AND($T64&lt;&gt;"",EDATE($D64,Milestones!$AA$37)&gt;=$T64),$W64,IF(AND($S64&lt;&gt;"",EDATE($D64,Milestones!$AA$37)&gt;=$S64),$V64,$U64)))=Milestones!$AB$37),UPPER(TEXT(EDATE($D64,Milestones!$AA$37),"dd mmm yy"))&amp;" "&amp;Milestones!$AB$37&amp;" "&amp;Milestones!$AC$37&amp;";  ","")&amp;IF(AND(EDATE($D64,Milestones!$AA$38)&lt;=AsOfDate,IF($R64=0,$X64,IF(AND($T64&lt;&gt;"",EDATE($D64,Milestones!$AA$38)&gt;=$T64),$W64,IF(AND($S64&lt;&gt;"",EDATE($D64,Milestones!$AA$38)&gt;=$S64),$V64,$U64)))=Milestones!$AB$38),UPPER(TEXT(EDATE($D64,Milestones!$AA$38),"dd mmm yy"))&amp;" "&amp;Milestones!$AB$38&amp;" "&amp;Milestones!$AC$38&amp;";  ","")&amp;IF(AND(EDATE($D64,Milestones!$AA$39)&lt;=AsOfDate,IF($R64=0,$X64,IF(AND($T64&lt;&gt;"",EDATE($D64,Milestones!$AA$39)&gt;=$T64),$W64,IF(AND($S64&lt;&gt;"",EDATE($D64,Milestones!$AA$39)&gt;=$S64),$V64,$U64)))=Milestones!$AB$39),UPPER(TEXT(EDATE($D64,Milestones!$AA$39),"dd mmm yy"))&amp;" "&amp;Milestones!$AB$39&amp;" "&amp;Milestones!$AC$39&amp;";  ",""))</f>
        <v/>
      </c>
      <c r="J64" s="0" t="str">
        <f aca="false">IF(OR($A64="",$D64=""),"",IF(AND(EDATE($D64,Milestones!$AA$40)&lt;=AsOfDate,IF($R64=0,$X64,IF(AND($T64&lt;&gt;"",EDATE($D64,Milestones!$AA$40)&gt;=$T64),$W64,IF(AND($S64&lt;&gt;"",EDATE($D64,Milestones!$AA$40)&gt;=$S64),$V64,$U64)))=Milestones!$AB$40),UPPER(TEXT(EDATE($D64,Milestones!$AA$40),"dd mmm yy"))&amp;" "&amp;Milestones!$AB$40&amp;" "&amp;Milestones!$AC$40&amp;";  ","")&amp;IF(AND(EDATE($D64,Milestones!$AA$41)&lt;=AsOfDate,IF($R64=0,$X64,IF(AND($T64&lt;&gt;"",EDATE($D64,Milestones!$AA$41)&gt;=$T64),$W64,IF(AND($S64&lt;&gt;"",EDATE($D64,Milestones!$AA$41)&gt;=$S64),$V64,$U64)))=Milestones!$AB$41),UPPER(TEXT(EDATE($D64,Milestones!$AA$41),"dd mmm yy"))&amp;" "&amp;Milestones!$AB$41&amp;" "&amp;Milestones!$AC$41&amp;";  ","")&amp;IF(AND(EDATE($D64,Milestones!$AA$42)&lt;=AsOfDate,IF($R64=0,$X64,IF(AND($T64&lt;&gt;"",EDATE($D64,Milestones!$AA$42)&gt;=$T64),$W64,IF(AND($S64&lt;&gt;"",EDATE($D64,Milestones!$AA$42)&gt;=$S64),$V64,$U64)))=Milestones!$AB$42),UPPER(TEXT(EDATE($D64,Milestones!$AA$42),"dd mmm yy"))&amp;" "&amp;Milestones!$AB$42&amp;" "&amp;Milestones!$AC$42&amp;";  ","")&amp;IF(AND(EDATE($D64,Milestones!$AA$43)&lt;=AsOfDate,IF($R64=0,$X64,IF(AND($T64&lt;&gt;"",EDATE($D64,Milestones!$AA$43)&gt;=$T64),$W64,IF(AND($S64&lt;&gt;"",EDATE($D64,Milestones!$AA$43)&gt;=$S64),$V64,$U64)))=Milestones!$AB$43),UPPER(TEXT(EDATE($D64,Milestones!$AA$43),"dd mmm yy"))&amp;" "&amp;Milestones!$AB$43&amp;" "&amp;Milestones!$AC$43&amp;";  ","")&amp;IF(AND(EDATE($D64,Milestones!$AA$44)&lt;=AsOfDate,IF($R64=0,$X64,IF(AND($T64&lt;&gt;"",EDATE($D64,Milestones!$AA$44)&gt;=$T64),$W64,IF(AND($S64&lt;&gt;"",EDATE($D64,Milestones!$AA$44)&gt;=$S64),$V64,$U64)))=Milestones!$AB$44),UPPER(TEXT(EDATE($D64,Milestones!$AA$44),"dd mmm yy"))&amp;" "&amp;Milestones!$AB$44&amp;" "&amp;Milestones!$AC$44&amp;";  ","")&amp;IF(AND(EDATE($D64,Milestones!$AA$45)&lt;=AsOfDate,IF($R64=0,$X64,IF(AND($T64&lt;&gt;"",EDATE($D64,Milestones!$AA$45)&gt;=$T64),$W64,IF(AND($S64&lt;&gt;"",EDATE($D64,Milestones!$AA$45)&gt;=$S64),$V64,$U64)))=Milestones!$AB$45),UPPER(TEXT(EDATE($D64,Milestones!$AA$45),"dd mmm yy"))&amp;" "&amp;Milestones!$AB$45&amp;" "&amp;Milestones!$AC$45&amp;";  ","")&amp;IF(AND(EDATE($D64,Milestones!$AA$46)&lt;=AsOfDate,IF($R64=0,$X64,IF(AND($T64&lt;&gt;"",EDATE($D64,Milestones!$AA$46)&gt;=$T64),$W64,IF(AND($S64&lt;&gt;"",EDATE($D64,Milestones!$AA$46)&gt;=$S64),$V64,$U64)))=Milestones!$AB$46),UPPER(TEXT(EDATE($D64,Milestones!$AA$46),"dd mmm yy"))&amp;" "&amp;Milestones!$AB$46&amp;" "&amp;Milestones!$AC$46&amp;";  ","")&amp;IF(AND(EDATE($D64,Milestones!$AA$47)&lt;=AsOfDate,IF($R64=0,$X64,IF(AND($T64&lt;&gt;"",EDATE($D64,Milestones!$AA$47)&gt;=$T64),$W64,IF(AND($S64&lt;&gt;"",EDATE($D64,Milestones!$AA$47)&gt;=$S64),$V64,$U64)))=Milestones!$AB$47),UPPER(TEXT(EDATE($D64,Milestones!$AA$47),"dd mmm yy"))&amp;" "&amp;Milestones!$AB$47&amp;" "&amp;Milestones!$AC$47&amp;";  ","")&amp;IF(AND(EDATE($D64,Milestones!$AA$48)&lt;=AsOfDate,IF($R64=0,$X64,IF(AND($T64&lt;&gt;"",EDATE($D64,Milestones!$AA$48)&gt;=$T64),$W64,IF(AND($S64&lt;&gt;"",EDATE($D64,Milestones!$AA$48)&gt;=$S64),$V64,$U64)))=Milestones!$AB$48),UPPER(TEXT(EDATE($D64,Milestones!$AA$48),"dd mmm yy"))&amp;" "&amp;Milestones!$AB$48&amp;" "&amp;Milestones!$AC$48&amp;";  ","")&amp;IF(AND(EDATE($D64,Milestones!$AA$49)&lt;=AsOfDate,IF($R64=0,$X64,IF(AND($T64&lt;&gt;"",EDATE($D64,Milestones!$AA$49)&gt;=$T64),$W64,IF(AND($S64&lt;&gt;"",EDATE($D64,Milestones!$AA$49)&gt;=$S64),$V64,$U64)))=Milestones!$AB$49),UPPER(TEXT(EDATE($D64,Milestones!$AA$49),"dd mmm yy"))&amp;" "&amp;Milestones!$AB$49&amp;" "&amp;Milestones!$AC$49&amp;";  ","")&amp;IF(AND(EDATE($D64,Milestones!$AA$50)&lt;=AsOfDate,IF($R64=0,$X64,IF(AND($T64&lt;&gt;"",EDATE($D64,Milestones!$AA$50)&gt;=$T64),$W64,IF(AND($S64&lt;&gt;"",EDATE($D64,Milestones!$AA$50)&gt;=$S64),$V64,$U64)))=Milestones!$AB$50),UPPER(TEXT(EDATE($D64,Milestones!$AA$50),"dd mmm yy"))&amp;" "&amp;Milestones!$AB$50&amp;" "&amp;Milestones!$AC$50&amp;";  ","")&amp;IF(AND(EDATE($D64,Milestones!$AA$51)&lt;=AsOfDate,IF($R64=0,$X64,IF(AND($T64&lt;&gt;"",EDATE($D64,Milestones!$AA$51)&gt;=$T64),$W64,IF(AND($S64&lt;&gt;"",EDATE($D64,Milestones!$AA$51)&gt;=$S64),$V64,$U64)))=Milestones!$AB$51),UPPER(TEXT(EDATE($D64,Milestones!$AA$51),"dd mmm yy"))&amp;" "&amp;Milestones!$AB$51&amp;" "&amp;Milestones!$AC$51&amp;";  ","")&amp;IF(AND(EDATE($D64,Milestones!$AA$52)&lt;=AsOfDate,IF($R64=0,$X64,IF(AND($T64&lt;&gt;"",EDATE($D64,Milestones!$AA$52)&gt;=$T64),$W64,IF(AND($S64&lt;&gt;"",EDATE($D64,Milestones!$AA$52)&gt;=$S64),$V64,$U64)))=Milestones!$AB$52),UPPER(TEXT(EDATE($D64,Milestones!$AA$52),"dd mmm yy"))&amp;" "&amp;Milestones!$AB$52&amp;" "&amp;Milestones!$AC$52&amp;";  ","")&amp;IF(AND(EDATE($D64,Milestones!$AA$53)&lt;=AsOfDate,IF($R64=0,$X64,IF(AND($T64&lt;&gt;"",EDATE($D64,Milestones!$AA$53)&gt;=$T64),$W64,IF(AND($S64&lt;&gt;"",EDATE($D64,Milestones!$AA$53)&gt;=$S64),$V64,$U64)))=Milestones!$AB$53),UPPER(TEXT(EDATE($D64,Milestones!$AA$53),"dd mmm yy"))&amp;" "&amp;Milestones!$AB$53&amp;" "&amp;Milestones!$AC$53&amp;";  ","")&amp;IF(AND(EDATE($D64,Milestones!$AA$54)&lt;=AsOfDate,IF($R64=0,$X64,IF(AND($T64&lt;&gt;"",EDATE($D64,Milestones!$AA$54)&gt;=$T64),$W64,IF(AND($S64&lt;&gt;"",EDATE($D64,Milestones!$AA$54)&gt;=$S64),$V64,$U64)))=Milestones!$AB$54),UPPER(TEXT(EDATE($D64,Milestones!$AA$54),"dd mmm yy"))&amp;" "&amp;Milestones!$AB$54&amp;" "&amp;Milestones!$AC$54&amp;";  ","")&amp;IF(AND(EDATE($D64,Milestones!$AA$55)&lt;=AsOfDate,IF($R64=0,$X64,IF(AND($T64&lt;&gt;"",EDATE($D64,Milestones!$AA$55)&gt;=$T64),$W64,IF(AND($S64&lt;&gt;"",EDATE($D64,Milestones!$AA$55)&gt;=$S64),$V64,$U64)))=Milestones!$AB$55),UPPER(TEXT(EDATE($D64,Milestones!$AA$55),"dd mmm yy"))&amp;" "&amp;Milestones!$AB$55&amp;" "&amp;Milestones!$AC$55&amp;";  ","")&amp;IF(AND(EDATE($D64,Milestones!$AA$56)&lt;=AsOfDate,IF($R64=0,$X64,IF(AND($T64&lt;&gt;"",EDATE($D64,Milestones!$AA$56)&gt;=$T64),$W64,IF(AND($S64&lt;&gt;"",EDATE($D64,Milestones!$AA$56)&gt;=$S64),$V64,$U64)))=Milestones!$AB$56),UPPER(TEXT(EDATE($D64,Milestones!$AA$56),"dd mmm yy"))&amp;" "&amp;Milestones!$AB$56&amp;" "&amp;Milestones!$AC$56&amp;";  ","")&amp;IF(AND(EDATE($D64,Milestones!$AA$57)&lt;=AsOfDate,IF($R64=0,$X64,IF(AND($T64&lt;&gt;"",EDATE($D64,Milestones!$AA$57)&gt;=$T64),$W64,IF(AND($S64&lt;&gt;"",EDATE($D64,Milestones!$AA$57)&gt;=$S64),$V64,$U64)))=Milestones!$AB$57),UPPER(TEXT(EDATE($D64,Milestones!$AA$57),"dd mmm yy"))&amp;" "&amp;Milestones!$AB$57&amp;" "&amp;Milestones!$AC$57&amp;";  ","")&amp;IF(AND(EDATE($D64,Milestones!$AA$58)&lt;=AsOfDate,IF($R64=0,$X64,IF(AND($T64&lt;&gt;"",EDATE($D64,Milestones!$AA$58)&gt;=$T64),$W64,IF(AND($S64&lt;&gt;"",EDATE($D64,Milestones!$AA$58)&gt;=$S64),$V64,$U64)))=Milestones!$AB$58),UPPER(TEXT(EDATE($D64,Milestones!$AA$58),"dd mmm yy"))&amp;" "&amp;Milestones!$AB$58&amp;" "&amp;Milestones!$AC$58&amp;";  ","")&amp;IF(AND(EDATE($D64,Milestones!$AA$59)&lt;=AsOfDate,IF($R64=0,$X64,IF(AND($T64&lt;&gt;"",EDATE($D64,Milestones!$AA$59)&gt;=$T64),$W64,IF(AND($S64&lt;&gt;"",EDATE($D64,Milestones!$AA$59)&gt;=$S64),$V64,$U64)))=Milestones!$AB$59),UPPER(TEXT(EDATE($D64,Milestones!$AA$59),"dd mmm yy"))&amp;" "&amp;Milestones!$AB$59&amp;" "&amp;Milestones!$AC$59&amp;";  ",""))</f>
        <v/>
      </c>
      <c r="K64" s="0" t="str">
        <f aca="false">IF(OR($A64="",$D64=""),"",IF(AND(EDATE($D64,Milestones!$AA$60)&lt;=AsOfDate,IF($R64=0,$X64,IF(AND($T64&lt;&gt;"",EDATE($D64,Milestones!$AA$60)&gt;=$T64),$W64,IF(AND($S64&lt;&gt;"",EDATE($D64,Milestones!$AA$60)&gt;=$S64),$V64,$U64)))=Milestones!$AB$60),UPPER(TEXT(EDATE($D64,Milestones!$AA$60),"dd mmm yy"))&amp;" "&amp;Milestones!$AB$60&amp;" "&amp;Milestones!$AC$60&amp;";  ","")&amp;IF(AND(EDATE($D64,Milestones!$AA$61)&lt;=AsOfDate,IF($R64=0,$X64,IF(AND($T64&lt;&gt;"",EDATE($D64,Milestones!$AA$61)&gt;=$T64),$W64,IF(AND($S64&lt;&gt;"",EDATE($D64,Milestones!$AA$61)&gt;=$S64),$V64,$U64)))=Milestones!$AB$61),UPPER(TEXT(EDATE($D64,Milestones!$AA$61),"dd mmm yy"))&amp;" "&amp;Milestones!$AB$61&amp;" "&amp;Milestones!$AC$61&amp;";  ","")&amp;IF(AND(EDATE($D64,Milestones!$AA$62)&lt;=AsOfDate,IF($R64=0,$X64,IF(AND($T64&lt;&gt;"",EDATE($D64,Milestones!$AA$62)&gt;=$T64),$W64,IF(AND($S64&lt;&gt;"",EDATE($D64,Milestones!$AA$62)&gt;=$S64),$V64,$U64)))=Milestones!$AB$62),UPPER(TEXT(EDATE($D64,Milestones!$AA$62),"dd mmm yy"))&amp;" "&amp;Milestones!$AB$62&amp;" "&amp;Milestones!$AC$62&amp;";  ","")&amp;IF(AND(EDATE($D64,Milestones!$AA$63)&lt;=AsOfDate,IF($R64=0,$X64,IF(AND($T64&lt;&gt;"",EDATE($D64,Milestones!$AA$63)&gt;=$T64),$W64,IF(AND($S64&lt;&gt;"",EDATE($D64,Milestones!$AA$63)&gt;=$S64),$V64,$U64)))=Milestones!$AB$63),UPPER(TEXT(EDATE($D64,Milestones!$AA$63),"dd mmm yy"))&amp;" "&amp;Milestones!$AB$63&amp;" "&amp;Milestones!$AC$63&amp;";  ","")&amp;IF(AND(EDATE($D64,Milestones!$AA$64)&lt;=AsOfDate,IF($R64=0,$X64,IF(AND($T64&lt;&gt;"",EDATE($D64,Milestones!$AA$64)&gt;=$T64),$W64,IF(AND($S64&lt;&gt;"",EDATE($D64,Milestones!$AA$64)&gt;=$S64),$V64,$U64)))=Milestones!$AB$64),UPPER(TEXT(EDATE($D64,Milestones!$AA$64),"dd mmm yy"))&amp;" "&amp;Milestones!$AB$64&amp;" "&amp;Milestones!$AC$64&amp;";  ","")&amp;IF(AND(EDATE($D64,Milestones!$AA$65)&lt;=AsOfDate,IF($R64=0,$X64,IF(AND($T64&lt;&gt;"",EDATE($D64,Milestones!$AA$65)&gt;=$T64),$W64,IF(AND($S64&lt;&gt;"",EDATE($D64,Milestones!$AA$65)&gt;=$S64),$V64,$U64)))=Milestones!$AB$65),UPPER(TEXT(EDATE($D64,Milestones!$AA$65),"dd mmm yy"))&amp;" "&amp;Milestones!$AB$65&amp;" "&amp;Milestones!$AC$65&amp;";  ","")&amp;IF(AND(EDATE($D64,Milestones!$AA$66)&lt;=AsOfDate,IF($R64=0,$X64,IF(AND($T64&lt;&gt;"",EDATE($D64,Milestones!$AA$66)&gt;=$T64),$W64,IF(AND($S64&lt;&gt;"",EDATE($D64,Milestones!$AA$66)&gt;=$S64),$V64,$U64)))=Milestones!$AB$66),UPPER(TEXT(EDATE($D64,Milestones!$AA$66),"dd mmm yy"))&amp;" "&amp;Milestones!$AB$66&amp;" "&amp;Milestones!$AC$66&amp;";  ","")&amp;IF(AND(EDATE($D64,Milestones!$AA$67)&lt;=AsOfDate,IF($R64=0,$X64,IF(AND($T64&lt;&gt;"",EDATE($D64,Milestones!$AA$67)&gt;=$T64),$W64,IF(AND($S64&lt;&gt;"",EDATE($D64,Milestones!$AA$67)&gt;=$S64),$V64,$U64)))=Milestones!$AB$67),UPPER(TEXT(EDATE($D64,Milestones!$AA$67),"dd mmm yy"))&amp;" "&amp;Milestones!$AB$67&amp;" "&amp;Milestones!$AC$67&amp;";  ","")&amp;IF(AND(EDATE($D64,Milestones!$AA$68)&lt;=AsOfDate,IF($R64=0,$X64,IF(AND($T64&lt;&gt;"",EDATE($D64,Milestones!$AA$68)&gt;=$T64),$W64,IF(AND($S64&lt;&gt;"",EDATE($D64,Milestones!$AA$68)&gt;=$S64),$V64,$U64)))=Milestones!$AB$68),UPPER(TEXT(EDATE($D64,Milestones!$AA$68),"dd mmm yy"))&amp;" "&amp;Milestones!$AB$68&amp;" "&amp;Milestones!$AC$68&amp;";  ","")&amp;IF(AND(EDATE($D64,Milestones!$AA$69)&lt;=AsOfDate,IF($R64=0,$X64,IF(AND($T64&lt;&gt;"",EDATE($D64,Milestones!$AA$69)&gt;=$T64),$W64,IF(AND($S64&lt;&gt;"",EDATE($D64,Milestones!$AA$69)&gt;=$S64),$V64,$U64)))=Milestones!$AB$69),UPPER(TEXT(EDATE($D64,Milestones!$AA$69),"dd mmm yy"))&amp;" "&amp;Milestones!$AB$69&amp;" "&amp;Milestones!$AC$69&amp;";  ","")&amp;IF(AND(EDATE($D64,Milestones!$AA$70)&lt;=AsOfDate,IF($R64=0,$X64,IF(AND($T64&lt;&gt;"",EDATE($D64,Milestones!$AA$70)&gt;=$T64),$W64,IF(AND($S64&lt;&gt;"",EDATE($D64,Milestones!$AA$70)&gt;=$S64),$V64,$U64)))=Milestones!$AB$70),UPPER(TEXT(EDATE($D64,Milestones!$AA$70),"dd mmm yy"))&amp;" "&amp;Milestones!$AB$70&amp;" "&amp;Milestones!$AC$70&amp;";  ","")&amp;IF(AND(EDATE($D64,Milestones!$AA$71)&lt;=AsOfDate,IF($R64=0,$X64,IF(AND($T64&lt;&gt;"",EDATE($D64,Milestones!$AA$71)&gt;=$T64),$W64,IF(AND($S64&lt;&gt;"",EDATE($D64,Milestones!$AA$71)&gt;=$S64),$V64,$U64)))=Milestones!$AB$71),UPPER(TEXT(EDATE($D64,Milestones!$AA$71),"dd mmm yy"))&amp;" "&amp;Milestones!$AB$71&amp;" "&amp;Milestones!$AC$71&amp;";  ","")&amp;IF(AND(EDATE($D64,Milestones!$AA$72)&lt;=AsOfDate,IF($R64=0,$X64,IF(AND($T64&lt;&gt;"",EDATE($D64,Milestones!$AA$72)&gt;=$T64),$W64,IF(AND($S64&lt;&gt;"",EDATE($D64,Milestones!$AA$72)&gt;=$S64),$V64,$U64)))=Milestones!$AB$72),UPPER(TEXT(EDATE($D64,Milestones!$AA$72),"dd mmm yy"))&amp;" "&amp;Milestones!$AB$72&amp;" "&amp;Milestones!$AC$72&amp;";  ","")&amp;IF(AND(EDATE($D64,Milestones!$AA$73)&lt;=AsOfDate,IF($R64=0,$X64,IF(AND($T64&lt;&gt;"",EDATE($D64,Milestones!$AA$73)&gt;=$T64),$W64,IF(AND($S64&lt;&gt;"",EDATE($D64,Milestones!$AA$73)&gt;=$S64),$V64,$U64)))=Milestones!$AB$73),UPPER(TEXT(EDATE($D64,Milestones!$AA$73),"dd mmm yy"))&amp;" "&amp;Milestones!$AB$73&amp;" "&amp;Milestones!$AC$73&amp;";  ","")&amp;IF(AND(EDATE($D64,Milestones!$AA$74)&lt;=AsOfDate,IF($R64=0,$X64,IF(AND($T64&lt;&gt;"",EDATE($D64,Milestones!$AA$74)&gt;=$T64),$W64,IF(AND($S64&lt;&gt;"",EDATE($D64,Milestones!$AA$74)&gt;=$S64),$V64,$U64)))=Milestones!$AB$74),UPPER(TEXT(EDATE($D64,Milestones!$AA$74),"dd mmm yy"))&amp;" "&amp;Milestones!$AB$74&amp;" "&amp;Milestones!$AC$74&amp;";  ","")&amp;IF(AND(EDATE($D64,Milestones!$AA$75)&lt;=AsOfDate,IF($R64=0,$X64,IF(AND($T64&lt;&gt;"",EDATE($D64,Milestones!$AA$75)&gt;=$T64),$W64,IF(AND($S64&lt;&gt;"",EDATE($D64,Milestones!$AA$75)&gt;=$S64),$V64,$U64)))=Milestones!$AB$75),UPPER(TEXT(EDATE($D64,Milestones!$AA$75),"dd mmm yy"))&amp;" "&amp;Milestones!$AB$75&amp;" "&amp;Milestones!$AC$75&amp;";  ","")&amp;IF(AND(EDATE($D64,Milestones!$AA$76)&lt;=AsOfDate,IF($R64=0,$X64,IF(AND($T64&lt;&gt;"",EDATE($D64,Milestones!$AA$76)&gt;=$T64),$W64,IF(AND($S64&lt;&gt;"",EDATE($D64,Milestones!$AA$76)&gt;=$S64),$V64,$U64)))=Milestones!$AB$76),UPPER(TEXT(EDATE($D64,Milestones!$AA$76),"dd mmm yy"))&amp;" "&amp;Milestones!$AB$76&amp;" "&amp;Milestones!$AC$76&amp;";  ","")&amp;IF(AND(EDATE($D64,Milestones!$AA$77)&lt;=AsOfDate,IF($R64=0,$X64,IF(AND($T64&lt;&gt;"",EDATE($D64,Milestones!$AA$77)&gt;=$T64),$W64,IF(AND($S64&lt;&gt;"",EDATE($D64,Milestones!$AA$77)&gt;=$S64),$V64,$U64)))=Milestones!$AB$77),UPPER(TEXT(EDATE($D64,Milestones!$AA$77),"dd mmm yy"))&amp;" "&amp;Milestones!$AB$77&amp;" "&amp;Milestones!$AC$77&amp;";  ","")&amp;IF(AND(EDATE($D64,Milestones!$AA$78)&lt;=AsOfDate,IF($R64=0,$X64,IF(AND($T64&lt;&gt;"",EDATE($D64,Milestones!$AA$78)&gt;=$T64),$W64,IF(AND($S64&lt;&gt;"",EDATE($D64,Milestones!$AA$78)&gt;=$S64),$V64,$U64)))=Milestones!$AB$78),UPPER(TEXT(EDATE($D64,Milestones!$AA$78),"dd mmm yy"))&amp;" "&amp;Milestones!$AB$78&amp;" "&amp;Milestones!$AC$78&amp;";  ","")&amp;IF(AND(EDATE($D64,Milestones!$AA$79)&lt;=AsOfDate,IF($R64=0,$X64,IF(AND($T64&lt;&gt;"",EDATE($D64,Milestones!$AA$79)&gt;=$T64),$W64,IF(AND($S64&lt;&gt;"",EDATE($D64,Milestones!$AA$79)&gt;=$S64),$V64,$U64)))=Milestones!$AB$79),UPPER(TEXT(EDATE($D64,Milestones!$AA$79),"dd mmm yy"))&amp;" "&amp;Milestones!$AB$79&amp;" "&amp;Milestones!$AC$79&amp;";  ",""))</f>
        <v/>
      </c>
      <c r="L64" s="0" t="str">
        <f aca="false">IF(OR($A64="",$D64=""),"",IF(AND(EDATE($D64,Milestones!$AA$80)&lt;=AsOfDate,IF($R64=0,$X64,IF(AND($T64&lt;&gt;"",EDATE($D64,Milestones!$AA$80)&gt;=$T64),$W64,IF(AND($S64&lt;&gt;"",EDATE($D64,Milestones!$AA$80)&gt;=$S64),$V64,$U64)))=Milestones!$AB$80),UPPER(TEXT(EDATE($D64,Milestones!$AA$80),"dd mmm yy"))&amp;" "&amp;Milestones!$AB$80&amp;" "&amp;Milestones!$AC$80&amp;";  ","")&amp;IF(AND(EDATE($D64,Milestones!$AA$81)&lt;=AsOfDate,IF($R64=0,$X64,IF(AND($T64&lt;&gt;"",EDATE($D64,Milestones!$AA$81)&gt;=$T64),$W64,IF(AND($S64&lt;&gt;"",EDATE($D64,Milestones!$AA$81)&gt;=$S64),$V64,$U64)))=Milestones!$AB$81),UPPER(TEXT(EDATE($D64,Milestones!$AA$81),"dd mmm yy"))&amp;" "&amp;Milestones!$AB$81&amp;" "&amp;Milestones!$AC$81&amp;";  ","")&amp;IF(AND(EDATE($D64,Milestones!$AA$82)&lt;=AsOfDate,IF($R64=0,$X64,IF(AND($T64&lt;&gt;"",EDATE($D64,Milestones!$AA$82)&gt;=$T64),$W64,IF(AND($S64&lt;&gt;"",EDATE($D64,Milestones!$AA$82)&gt;=$S64),$V64,$U64)))=Milestones!$AB$82),UPPER(TEXT(EDATE($D64,Milestones!$AA$82),"dd mmm yy"))&amp;" "&amp;Milestones!$AB$82&amp;" "&amp;Milestones!$AC$82&amp;";  ","")&amp;IF(AND(EDATE($D64,Milestones!$AA$83)&lt;=AsOfDate,IF($R64=0,$X64,IF(AND($T64&lt;&gt;"",EDATE($D64,Milestones!$AA$83)&gt;=$T64),$W64,IF(AND($S64&lt;&gt;"",EDATE($D64,Milestones!$AA$83)&gt;=$S64),$V64,$U64)))=Milestones!$AB$83),UPPER(TEXT(EDATE($D64,Milestones!$AA$83),"dd mmm yy"))&amp;" "&amp;Milestones!$AB$83&amp;" "&amp;Milestones!$AC$83&amp;";  ","")&amp;IF(AND(EDATE($D64,Milestones!$AA$84)&lt;=AsOfDate,IF($R64=0,$X64,IF(AND($T64&lt;&gt;"",EDATE($D64,Milestones!$AA$84)&gt;=$T64),$W64,IF(AND($S64&lt;&gt;"",EDATE($D64,Milestones!$AA$84)&gt;=$S64),$V64,$U64)))=Milestones!$AB$84),UPPER(TEXT(EDATE($D64,Milestones!$AA$84),"dd mmm yy"))&amp;" "&amp;Milestones!$AB$84&amp;" "&amp;Milestones!$AC$84&amp;";  ","")&amp;IF(AND(EDATE($D64,Milestones!$AA$85)&lt;=AsOfDate,IF($R64=0,$X64,IF(AND($T64&lt;&gt;"",EDATE($D64,Milestones!$AA$85)&gt;=$T64),$W64,IF(AND($S64&lt;&gt;"",EDATE($D64,Milestones!$AA$85)&gt;=$S64),$V64,$U64)))=Milestones!$AB$85),UPPER(TEXT(EDATE($D64,Milestones!$AA$85),"dd mmm yy"))&amp;" "&amp;Milestones!$AB$85&amp;" "&amp;Milestones!$AC$85&amp;";  ","")&amp;IF(AND(EDATE($D64,Milestones!$AA$86)&lt;=AsOfDate,IF($R64=0,$X64,IF(AND($T64&lt;&gt;"",EDATE($D64,Milestones!$AA$86)&gt;=$T64),$W64,IF(AND($S64&lt;&gt;"",EDATE($D64,Milestones!$AA$86)&gt;=$S64),$V64,$U64)))=Milestones!$AB$86),UPPER(TEXT(EDATE($D64,Milestones!$AA$86),"dd mmm yy"))&amp;" "&amp;Milestones!$AB$86&amp;" "&amp;Milestones!$AC$86&amp;";  ","")&amp;IF(AND(EDATE($D64,Milestones!$AA$87)&lt;=AsOfDate,IF($R64=0,$X64,IF(AND($T64&lt;&gt;"",EDATE($D64,Milestones!$AA$87)&gt;=$T64),$W64,IF(AND($S64&lt;&gt;"",EDATE($D64,Milestones!$AA$87)&gt;=$S64),$V64,$U64)))=Milestones!$AB$87),UPPER(TEXT(EDATE($D64,Milestones!$AA$87),"dd mmm yy"))&amp;" "&amp;Milestones!$AB$87&amp;" "&amp;Milestones!$AC$87&amp;";  ","")&amp;IF(AND(EDATE($D64,Milestones!$AA$88)&lt;=AsOfDate,IF($R64=0,$X64,IF(AND($T64&lt;&gt;"",EDATE($D64,Milestones!$AA$88)&gt;=$T64),$W64,IF(AND($S64&lt;&gt;"",EDATE($D64,Milestones!$AA$88)&gt;=$S64),$V64,$U64)))=Milestones!$AB$88),UPPER(TEXT(EDATE($D64,Milestones!$AA$88),"dd mmm yy"))&amp;" "&amp;Milestones!$AB$88&amp;" "&amp;Milestones!$AC$88&amp;";  ","")&amp;IF(AND(EDATE($D64,Milestones!$AA$89)&lt;=AsOfDate,IF($R64=0,$X64,IF(AND($T64&lt;&gt;"",EDATE($D64,Milestones!$AA$89)&gt;=$T64),$W64,IF(AND($S64&lt;&gt;"",EDATE($D64,Milestones!$AA$89)&gt;=$S64),$V64,$U64)))=Milestones!$AB$89),UPPER(TEXT(EDATE($D64,Milestones!$AA$89),"dd mmm yy"))&amp;" "&amp;Milestones!$AB$89&amp;" "&amp;Milestones!$AC$89&amp;";  ","")&amp;IF(AND(EDATE($D64,Milestones!$AA$90)&lt;=AsOfDate,IF($R64=0,$X64,IF(AND($T64&lt;&gt;"",EDATE($D64,Milestones!$AA$90)&gt;=$T64),$W64,IF(AND($S64&lt;&gt;"",EDATE($D64,Milestones!$AA$90)&gt;=$S64),$V64,$U64)))=Milestones!$AB$90),UPPER(TEXT(EDATE($D64,Milestones!$AA$90),"dd mmm yy"))&amp;" "&amp;Milestones!$AB$90&amp;" "&amp;Milestones!$AC$90&amp;";  ","")&amp;IF(AND(EDATE($D64,Milestones!$AA$91)&lt;=AsOfDate,IF($R64=0,$X64,IF(AND($T64&lt;&gt;"",EDATE($D64,Milestones!$AA$91)&gt;=$T64),$W64,IF(AND($S64&lt;&gt;"",EDATE($D64,Milestones!$AA$91)&gt;=$S64),$V64,$U64)))=Milestones!$AB$91),UPPER(TEXT(EDATE($D64,Milestones!$AA$91),"dd mmm yy"))&amp;" "&amp;Milestones!$AB$91&amp;" "&amp;Milestones!$AC$91&amp;";  ","")&amp;IF(AND(EDATE($D64,Milestones!$AA$92)&lt;=AsOfDate,IF($R64=0,$X64,IF(AND($T64&lt;&gt;"",EDATE($D64,Milestones!$AA$92)&gt;=$T64),$W64,IF(AND($S64&lt;&gt;"",EDATE($D64,Milestones!$AA$92)&gt;=$S64),$V64,$U64)))=Milestones!$AB$92),UPPER(TEXT(EDATE($D64,Milestones!$AA$92),"dd mmm yy"))&amp;" "&amp;Milestones!$AB$92&amp;" "&amp;Milestones!$AC$92&amp;";  ","")&amp;IF(AND(EDATE($D64,Milestones!$AA$93)&lt;=AsOfDate,IF($R64=0,$X64,IF(AND($T64&lt;&gt;"",EDATE($D64,Milestones!$AA$93)&gt;=$T64),$W64,IF(AND($S64&lt;&gt;"",EDATE($D64,Milestones!$AA$93)&gt;=$S64),$V64,$U64)))=Milestones!$AB$93),UPPER(TEXT(EDATE($D64,Milestones!$AA$93),"dd mmm yy"))&amp;" "&amp;Milestones!$AB$93&amp;" "&amp;Milestones!$AC$93&amp;";  ","")&amp;IF(AND(EDATE($D64,Milestones!$AA$94)&lt;=AsOfDate,IF($R64=0,$X64,IF(AND($T64&lt;&gt;"",EDATE($D64,Milestones!$AA$94)&gt;=$T64),$W64,IF(AND($S64&lt;&gt;"",EDATE($D64,Milestones!$AA$94)&gt;=$S64),$V64,$U64)))=Milestones!$AB$94),UPPER(TEXT(EDATE($D64,Milestones!$AA$94),"dd mmm yy"))&amp;" "&amp;Milestones!$AB$94&amp;" "&amp;Milestones!$AC$94&amp;";  ","")&amp;IF(AND(EDATE($D64,Milestones!$AA$95)&lt;=AsOfDate,IF($R64=0,$X64,IF(AND($T64&lt;&gt;"",EDATE($D64,Milestones!$AA$95)&gt;=$T64),$W64,IF(AND($S64&lt;&gt;"",EDATE($D64,Milestones!$AA$95)&gt;=$S64),$V64,$U64)))=Milestones!$AB$95),UPPER(TEXT(EDATE($D64,Milestones!$AA$95),"dd mmm yy"))&amp;" "&amp;Milestones!$AB$95&amp;" "&amp;Milestones!$AC$95&amp;";  ","")&amp;IF(AND(EDATE($D64,Milestones!$AA$96)&lt;=AsOfDate,IF($R64=0,$X64,IF(AND($T64&lt;&gt;"",EDATE($D64,Milestones!$AA$96)&gt;=$T64),$W64,IF(AND($S64&lt;&gt;"",EDATE($D64,Milestones!$AA$96)&gt;=$S64),$V64,$U64)))=Milestones!$AB$96),UPPER(TEXT(EDATE($D64,Milestones!$AA$96),"dd mmm yy"))&amp;" "&amp;Milestones!$AB$96&amp;" "&amp;Milestones!$AC$96&amp;";  ","")&amp;IF(AND(EDATE($D64,Milestones!$AA$97)&lt;=AsOfDate,IF($R64=0,$X64,IF(AND($T64&lt;&gt;"",EDATE($D64,Milestones!$AA$97)&gt;=$T64),$W64,IF(AND($S64&lt;&gt;"",EDATE($D64,Milestones!$AA$97)&gt;=$S64),$V64,$U64)))=Milestones!$AB$97),UPPER(TEXT(EDATE($D64,Milestones!$AA$97),"dd mmm yy"))&amp;" "&amp;Milestones!$AB$97&amp;" "&amp;Milestones!$AC$97&amp;";  ","")&amp;IF(AND(EDATE($D64,Milestones!$AA$98)&lt;=AsOfDate,IF($R64=0,$X64,IF(AND($T64&lt;&gt;"",EDATE($D64,Milestones!$AA$98)&gt;=$T64),$W64,IF(AND($S64&lt;&gt;"",EDATE($D64,Milestones!$AA$98)&gt;=$S64),$V64,$U64)))=Milestones!$AB$98),UPPER(TEXT(EDATE($D64,Milestones!$AA$98),"dd mmm yy"))&amp;" "&amp;Milestones!$AB$98&amp;" "&amp;Milestones!$AC$98&amp;";  ","")&amp;IF(AND(EDATE($D64,Milestones!$AA$99)&lt;=AsOfDate,IF($R64=0,$X64,IF(AND($T64&lt;&gt;"",EDATE($D64,Milestones!$AA$99)&gt;=$T64),$W64,IF(AND($S64&lt;&gt;"",EDATE($D64,Milestones!$AA$99)&gt;=$S64),$V64,$U64)))=Milestones!$AB$99),UPPER(TEXT(EDATE($D64,Milestones!$AA$99),"dd mmm yy"))&amp;" "&amp;Milestones!$AB$99&amp;" "&amp;Milestones!$AC$99&amp;";  ",""))</f>
        <v/>
      </c>
      <c r="M64" s="0" t="str">
        <f aca="false">IF(OR($A64="",$D64=""),"",IF(AND(EDATE($D64,Milestones!$AA$100)&lt;=AsOfDate,IF($R64=0,$X64,IF(AND($T64&lt;&gt;"",EDATE($D64,Milestones!$AA$100)&gt;=$T64),$W64,IF(AND($S64&lt;&gt;"",EDATE($D64,Milestones!$AA$100)&gt;=$S64),$V64,$U64)))=Milestones!$AB$100),UPPER(TEXT(EDATE($D64,Milestones!$AA$100),"dd mmm yy"))&amp;" "&amp;Milestones!$AB$100&amp;" "&amp;Milestones!$AC$100&amp;";  ","")&amp;IF(AND(EDATE($D64,Milestones!$AA$101)&lt;=AsOfDate,IF($R64=0,$X64,IF(AND($T64&lt;&gt;"",EDATE($D64,Milestones!$AA$101)&gt;=$T64),$W64,IF(AND($S64&lt;&gt;"",EDATE($D64,Milestones!$AA$101)&gt;=$S64),$V64,$U64)))=Milestones!$AB$101),UPPER(TEXT(EDATE($D64,Milestones!$AA$101),"dd mmm yy"))&amp;" "&amp;Milestones!$AB$101&amp;" "&amp;Milestones!$AC$101&amp;";  ","")&amp;IF(AND(EDATE($D64,Milestones!$AA$102)&lt;=AsOfDate,IF($R64=0,$X64,IF(AND($T64&lt;&gt;"",EDATE($D64,Milestones!$AA$102)&gt;=$T64),$W64,IF(AND($S64&lt;&gt;"",EDATE($D64,Milestones!$AA$102)&gt;=$S64),$V64,$U64)))=Milestones!$AB$102),UPPER(TEXT(EDATE($D64,Milestones!$AA$102),"dd mmm yy"))&amp;" "&amp;Milestones!$AB$102&amp;" "&amp;Milestones!$AC$102&amp;";  ","")&amp;IF(AND(EDATE($D64,Milestones!$AA$103)&lt;=AsOfDate,IF($R64=0,$X64,IF(AND($T64&lt;&gt;"",EDATE($D64,Milestones!$AA$103)&gt;=$T64),$W64,IF(AND($S64&lt;&gt;"",EDATE($D64,Milestones!$AA$103)&gt;=$S64),$V64,$U64)))=Milestones!$AB$103),UPPER(TEXT(EDATE($D64,Milestones!$AA$103),"dd mmm yy"))&amp;" "&amp;Milestones!$AB$103&amp;" "&amp;Milestones!$AC$103&amp;";  ","")&amp;IF(AND(EDATE($D64,Milestones!$AA$104)&lt;=AsOfDate,IF($R64=0,$X64,IF(AND($T64&lt;&gt;"",EDATE($D64,Milestones!$AA$104)&gt;=$T64),$W64,IF(AND($S64&lt;&gt;"",EDATE($D64,Milestones!$AA$104)&gt;=$S64),$V64,$U64)))=Milestones!$AB$104),UPPER(TEXT(EDATE($D64,Milestones!$AA$104),"dd mmm yy"))&amp;" "&amp;Milestones!$AB$104&amp;" "&amp;Milestones!$AC$104&amp;";  ","")&amp;IF(AND(EDATE($D64,Milestones!$AA$105)&lt;=AsOfDate,IF($R64=0,$X64,IF(AND($T64&lt;&gt;"",EDATE($D64,Milestones!$AA$105)&gt;=$T64),$W64,IF(AND($S64&lt;&gt;"",EDATE($D64,Milestones!$AA$105)&gt;=$S64),$V64,$U64)))=Milestones!$AB$105),UPPER(TEXT(EDATE($D64,Milestones!$AA$105),"dd mmm yy"))&amp;" "&amp;Milestones!$AB$105&amp;" "&amp;Milestones!$AC$105&amp;";  ","")&amp;IF(AND(EDATE($D64,Milestones!$AA$106)&lt;=AsOfDate,IF($R64=0,$X64,IF(AND($T64&lt;&gt;"",EDATE($D64,Milestones!$AA$106)&gt;=$T64),$W64,IF(AND($S64&lt;&gt;"",EDATE($D64,Milestones!$AA$106)&gt;=$S64),$V64,$U64)))=Milestones!$AB$106),UPPER(TEXT(EDATE($D64,Milestones!$AA$106),"dd mmm yy"))&amp;" "&amp;Milestones!$AB$106&amp;" "&amp;Milestones!$AC$106&amp;";  ","")&amp;IF(AND(EDATE($D64,Milestones!$AA$107)&lt;=AsOfDate,IF($R64=0,$X64,IF(AND($T64&lt;&gt;"",EDATE($D64,Milestones!$AA$107)&gt;=$T64),$W64,IF(AND($S64&lt;&gt;"",EDATE($D64,Milestones!$AA$107)&gt;=$S64),$V64,$U64)))=Milestones!$AB$107),UPPER(TEXT(EDATE($D64,Milestones!$AA$107),"dd mmm yy"))&amp;" "&amp;Milestones!$AB$107&amp;" "&amp;Milestones!$AC$107&amp;";  ","")&amp;IF(AND(EDATE($D64,Milestones!$AA$108)&lt;=AsOfDate,IF($R64=0,$X64,IF(AND($T64&lt;&gt;"",EDATE($D64,Milestones!$AA$108)&gt;=$T64),$W64,IF(AND($S64&lt;&gt;"",EDATE($D64,Milestones!$AA$108)&gt;=$S64),$V64,$U64)))=Milestones!$AB$108),UPPER(TEXT(EDATE($D64,Milestones!$AA$108),"dd mmm yy"))&amp;" "&amp;Milestones!$AB$108&amp;" "&amp;Milestones!$AC$108&amp;";  ","")&amp;IF(AND(EDATE($D64,Milestones!$AA$109)&lt;=AsOfDate,IF($R64=0,$X64,IF(AND($T64&lt;&gt;"",EDATE($D64,Milestones!$AA$109)&gt;=$T64),$W64,IF(AND($S64&lt;&gt;"",EDATE($D64,Milestones!$AA$109)&gt;=$S64),$V64,$U64)))=Milestones!$AB$109),UPPER(TEXT(EDATE($D64,Milestones!$AA$109),"dd mmm yy"))&amp;" "&amp;Milestones!$AB$109&amp;" "&amp;Milestones!$AC$109&amp;";  ","")&amp;IF(AND(EDATE($D64,Milestones!$AA$110)&lt;=AsOfDate,IF($R64=0,$X64,IF(AND($T64&lt;&gt;"",EDATE($D64,Milestones!$AA$110)&gt;=$T64),$W64,IF(AND($S64&lt;&gt;"",EDATE($D64,Milestones!$AA$110)&gt;=$S64),$V64,$U64)))=Milestones!$AB$110),UPPER(TEXT(EDATE($D64,Milestones!$AA$110),"dd mmm yy"))&amp;" "&amp;Milestones!$AB$110&amp;" "&amp;Milestones!$AC$110&amp;";  ","")&amp;IF(AND(EDATE($D64,Milestones!$AA$111)&lt;=AsOfDate,IF($R64=0,$X64,IF(AND($T64&lt;&gt;"",EDATE($D64,Milestones!$AA$111)&gt;=$T64),$W64,IF(AND($S64&lt;&gt;"",EDATE($D64,Milestones!$AA$111)&gt;=$S64),$V64,$U64)))=Milestones!$AB$111),UPPER(TEXT(EDATE($D64,Milestones!$AA$111),"dd mmm yy"))&amp;" "&amp;Milestones!$AB$111&amp;" "&amp;Milestones!$AC$111&amp;";  ","")&amp;IF(AND(EDATE($D64,Milestones!$AA$112)&lt;=AsOfDate,IF($R64=0,$X64,IF(AND($T64&lt;&gt;"",EDATE($D64,Milestones!$AA$112)&gt;=$T64),$W64,IF(AND($S64&lt;&gt;"",EDATE($D64,Milestones!$AA$112)&gt;=$S64),$V64,$U64)))=Milestones!$AB$112),UPPER(TEXT(EDATE($D64,Milestones!$AA$112),"dd mmm yy"))&amp;" "&amp;Milestones!$AB$112&amp;" "&amp;Milestones!$AC$112&amp;";  ","")&amp;IF(AND(EDATE($D64,Milestones!$AA$113)&lt;=AsOfDate,IF($R64=0,$X64,IF(AND($T64&lt;&gt;"",EDATE($D64,Milestones!$AA$113)&gt;=$T64),$W64,IF(AND($S64&lt;&gt;"",EDATE($D64,Milestones!$AA$113)&gt;=$S64),$V64,$U64)))=Milestones!$AB$113),UPPER(TEXT(EDATE($D64,Milestones!$AA$113),"dd mmm yy"))&amp;" "&amp;Milestones!$AB$113&amp;" "&amp;Milestones!$AC$113&amp;";  ","")&amp;IF(AND(EDATE($D64,Milestones!$AA$114)&lt;=AsOfDate,IF($R64=0,$X64,IF(AND($T64&lt;&gt;"",EDATE($D64,Milestones!$AA$114)&gt;=$T64),$W64,IF(AND($S64&lt;&gt;"",EDATE($D64,Milestones!$AA$114)&gt;=$S64),$V64,$U64)))=Milestones!$AB$114),UPPER(TEXT(EDATE($D64,Milestones!$AA$114),"dd mmm yy"))&amp;" "&amp;Milestones!$AB$114&amp;" "&amp;Milestones!$AC$114&amp;";  ","")&amp;IF(AND(EDATE($D64,Milestones!$AA$115)&lt;=AsOfDate,IF($R64=0,$X64,IF(AND($T64&lt;&gt;"",EDATE($D64,Milestones!$AA$115)&gt;=$T64),$W64,IF(AND($S64&lt;&gt;"",EDATE($D64,Milestones!$AA$115)&gt;=$S64),$V64,$U64)))=Milestones!$AB$115),UPPER(TEXT(EDATE($D64,Milestones!$AA$115),"dd mmm yy"))&amp;" "&amp;Milestones!$AB$115&amp;" "&amp;Milestones!$AC$115&amp;";  ","")&amp;IF(AND(EDATE($D64,Milestones!$AA$116)&lt;=AsOfDate,IF($R64=0,$X64,IF(AND($T64&lt;&gt;"",EDATE($D64,Milestones!$AA$116)&gt;=$T64),$W64,IF(AND($S64&lt;&gt;"",EDATE($D64,Milestones!$AA$116)&gt;=$S64),$V64,$U64)))=Milestones!$AB$116),UPPER(TEXT(EDATE($D64,Milestones!$AA$116),"dd mmm yy"))&amp;" "&amp;Milestones!$AB$116&amp;" "&amp;Milestones!$AC$116&amp;";  ","")&amp;IF(AND(EDATE($D64,Milestones!$AA$117)&lt;=AsOfDate,IF($R64=0,$X64,IF(AND($T64&lt;&gt;"",EDATE($D64,Milestones!$AA$117)&gt;=$T64),$W64,IF(AND($S64&lt;&gt;"",EDATE($D64,Milestones!$AA$117)&gt;=$S64),$V64,$U64)))=Milestones!$AB$117),UPPER(TEXT(EDATE($D64,Milestones!$AA$117),"dd mmm yy"))&amp;" "&amp;Milestones!$AB$117&amp;" "&amp;Milestones!$AC$117&amp;";  ","")&amp;IF(AND(EDATE($D64,Milestones!$AA$118)&lt;=AsOfDate,IF($R64=0,$X64,IF(AND($T64&lt;&gt;"",EDATE($D64,Milestones!$AA$118)&gt;=$T64),$W64,IF(AND($S64&lt;&gt;"",EDATE($D64,Milestones!$AA$118)&gt;=$S64),$V64,$U64)))=Milestones!$AB$118),UPPER(TEXT(EDATE($D64,Milestones!$AA$118),"dd mmm yy"))&amp;" "&amp;Milestones!$AB$118&amp;" "&amp;Milestones!$AC$118&amp;";  ","")&amp;IF(AND(EDATE($D64,Milestones!$AA$119)&lt;=AsOfDate,IF($R64=0,$X64,IF(AND($T64&lt;&gt;"",EDATE($D64,Milestones!$AA$119)&gt;=$T64),$W64,IF(AND($S64&lt;&gt;"",EDATE($D64,Milestones!$AA$119)&gt;=$S64),$V64,$U64)))=Milestones!$AB$119),UPPER(TEXT(EDATE($D64,Milestones!$AA$119),"dd mmm yy"))&amp;" "&amp;Milestones!$AB$119&amp;" "&amp;Milestones!$AC$119&amp;";  ",""))</f>
        <v/>
      </c>
      <c r="N64" s="0" t="str">
        <f aca="false">IF(OR($A64="",$D64=""),"",IF(AND(EDATE($D64,Milestones!$AA$120)&lt;=AsOfDate,IF($R64=0,$X64,IF(AND($T64&lt;&gt;"",EDATE($D64,Milestones!$AA$120)&gt;=$T64),$W64,IF(AND($S64&lt;&gt;"",EDATE($D64,Milestones!$AA$120)&gt;=$S64),$V64,$U64)))=Milestones!$AB$120),UPPER(TEXT(EDATE($D64,Milestones!$AA$120),"dd mmm yy"))&amp;" "&amp;Milestones!$AB$120&amp;" "&amp;Milestones!$AC$120&amp;";  ","")&amp;IF(AND(EDATE($D64,Milestones!$AA$121)&lt;=AsOfDate,IF($R64=0,$X64,IF(AND($T64&lt;&gt;"",EDATE($D64,Milestones!$AA$121)&gt;=$T64),$W64,IF(AND($S64&lt;&gt;"",EDATE($D64,Milestones!$AA$121)&gt;=$S64),$V64,$U64)))=Milestones!$AB$121),UPPER(TEXT(EDATE($D64,Milestones!$AA$121),"dd mmm yy"))&amp;" "&amp;Milestones!$AB$121&amp;" "&amp;Milestones!$AC$121&amp;";  ","")&amp;IF(AND(EDATE($D64,Milestones!$AA$122)&lt;=AsOfDate,IF($R64=0,$X64,IF(AND($T64&lt;&gt;"",EDATE($D64,Milestones!$AA$122)&gt;=$T64),$W64,IF(AND($S64&lt;&gt;"",EDATE($D64,Milestones!$AA$122)&gt;=$S64),$V64,$U64)))=Milestones!$AB$122),UPPER(TEXT(EDATE($D64,Milestones!$AA$122),"dd mmm yy"))&amp;" "&amp;Milestones!$AB$122&amp;" "&amp;Milestones!$AC$122&amp;";  ","")&amp;IF(AND(EDATE($D64,Milestones!$AA$123)&lt;=AsOfDate,IF($R64=0,$X64,IF(AND($T64&lt;&gt;"",EDATE($D64,Milestones!$AA$123)&gt;=$T64),$W64,IF(AND($S64&lt;&gt;"",EDATE($D64,Milestones!$AA$123)&gt;=$S64),$V64,$U64)))=Milestones!$AB$123),UPPER(TEXT(EDATE($D64,Milestones!$AA$123),"dd mmm yy"))&amp;" "&amp;Milestones!$AB$123&amp;" "&amp;Milestones!$AC$123&amp;";  ","")&amp;IF(AND(EDATE($D64,Milestones!$AA$124)&lt;=AsOfDate,IF($R64=0,$X64,IF(AND($T64&lt;&gt;"",EDATE($D64,Milestones!$AA$124)&gt;=$T64),$W64,IF(AND($S64&lt;&gt;"",EDATE($D64,Milestones!$AA$124)&gt;=$S64),$V64,$U64)))=Milestones!$AB$124),UPPER(TEXT(EDATE($D64,Milestones!$AA$124),"dd mmm yy"))&amp;" "&amp;Milestones!$AB$124&amp;" "&amp;Milestones!$AC$124&amp;";  ","")&amp;IF(AND(EDATE($D64,Milestones!$AA$125)&lt;=AsOfDate,IF($R64=0,$X64,IF(AND($T64&lt;&gt;"",EDATE($D64,Milestones!$AA$125)&gt;=$T64),$W64,IF(AND($S64&lt;&gt;"",EDATE($D64,Milestones!$AA$125)&gt;=$S64),$V64,$U64)))=Milestones!$AB$125),UPPER(TEXT(EDATE($D64,Milestones!$AA$125),"dd mmm yy"))&amp;" "&amp;Milestones!$AB$125&amp;" "&amp;Milestones!$AC$125&amp;";  ","")&amp;IF(AND(EDATE($D64,Milestones!$AA$126)&lt;=AsOfDate,IF($R64=0,$X64,IF(AND($T64&lt;&gt;"",EDATE($D64,Milestones!$AA$126)&gt;=$T64),$W64,IF(AND($S64&lt;&gt;"",EDATE($D64,Milestones!$AA$126)&gt;=$S64),$V64,$U64)))=Milestones!$AB$126),UPPER(TEXT(EDATE($D64,Milestones!$AA$126),"dd mmm yy"))&amp;" "&amp;Milestones!$AB$126&amp;" "&amp;Milestones!$AC$126&amp;";  ","")&amp;IF(AND(EDATE($D64,Milestones!$AA$127)&lt;=AsOfDate,IF($R64=0,$X64,IF(AND($T64&lt;&gt;"",EDATE($D64,Milestones!$AA$127)&gt;=$T64),$W64,IF(AND($S64&lt;&gt;"",EDATE($D64,Milestones!$AA$127)&gt;=$S64),$V64,$U64)))=Milestones!$AB$127),UPPER(TEXT(EDATE($D64,Milestones!$AA$127),"dd mmm yy"))&amp;" "&amp;Milestones!$AB$127&amp;" "&amp;Milestones!$AC$127&amp;";  ","")&amp;IF(AND(EDATE($D64,Milestones!$AA$128)&lt;=AsOfDate,IF($R64=0,$X64,IF(AND($T64&lt;&gt;"",EDATE($D64,Milestones!$AA$128)&gt;=$T64),$W64,IF(AND($S64&lt;&gt;"",EDATE($D64,Milestones!$AA$128)&gt;=$S64),$V64,$U64)))=Milestones!$AB$128),UPPER(TEXT(EDATE($D64,Milestones!$AA$128),"dd mmm yy"))&amp;" "&amp;Milestones!$AB$128&amp;" "&amp;Milestones!$AC$128&amp;";  ","")&amp;IF(AND(EDATE($D64,Milestones!$AA$129)&lt;=AsOfDate,IF($R64=0,$X64,IF(AND($T64&lt;&gt;"",EDATE($D64,Milestones!$AA$129)&gt;=$T64),$W64,IF(AND($S64&lt;&gt;"",EDATE($D64,Milestones!$AA$129)&gt;=$S64),$V64,$U64)))=Milestones!$AB$129),UPPER(TEXT(EDATE($D64,Milestones!$AA$129),"dd mmm yy"))&amp;" "&amp;Milestones!$AB$129&amp;" "&amp;Milestones!$AC$129&amp;";  ","")&amp;IF(AND(EDATE($D64,Milestones!$AA$130)&lt;=AsOfDate,IF($R64=0,$X64,IF(AND($T64&lt;&gt;"",EDATE($D64,Milestones!$AA$130)&gt;=$T64),$W64,IF(AND($S64&lt;&gt;"",EDATE($D64,Milestones!$AA$130)&gt;=$S64),$V64,$U64)))=Milestones!$AB$130),UPPER(TEXT(EDATE($D64,Milestones!$AA$130),"dd mmm yy"))&amp;" "&amp;Milestones!$AB$130&amp;" "&amp;Milestones!$AC$130&amp;";  ","")&amp;IF(AND(EDATE($D64,Milestones!$AA$131)&lt;=AsOfDate,IF($R64=0,$X64,IF(AND($T64&lt;&gt;"",EDATE($D64,Milestones!$AA$131)&gt;=$T64),$W64,IF(AND($S64&lt;&gt;"",EDATE($D64,Milestones!$AA$131)&gt;=$S64),$V64,$U64)))=Milestones!$AB$131),UPPER(TEXT(EDATE($D64,Milestones!$AA$131),"dd mmm yy"))&amp;" "&amp;Milestones!$AB$131&amp;" "&amp;Milestones!$AC$131&amp;";  ","")&amp;IF(AND(EDATE($D64,Milestones!$AA$132)&lt;=AsOfDate,IF($R64=0,$X64,IF(AND($T64&lt;&gt;"",EDATE($D64,Milestones!$AA$132)&gt;=$T64),$W64,IF(AND($S64&lt;&gt;"",EDATE($D64,Milestones!$AA$132)&gt;=$S64),$V64,$U64)))=Milestones!$AB$132),UPPER(TEXT(EDATE($D64,Milestones!$AA$132),"dd mmm yy"))&amp;" "&amp;Milestones!$AB$132&amp;" "&amp;Milestones!$AC$132&amp;";  ","")&amp;IF(AND(EDATE($D64,Milestones!$AA$133)&lt;=AsOfDate,IF($R64=0,$X64,IF(AND($T64&lt;&gt;"",EDATE($D64,Milestones!$AA$133)&gt;=$T64),$W64,IF(AND($S64&lt;&gt;"",EDATE($D64,Milestones!$AA$133)&gt;=$S64),$V64,$U64)))=Milestones!$AB$133),UPPER(TEXT(EDATE($D64,Milestones!$AA$133),"dd mmm yy"))&amp;" "&amp;Milestones!$AB$133&amp;" "&amp;Milestones!$AC$133&amp;";  ","")&amp;IF(AND(EDATE($D64,Milestones!$AA$134)&lt;=AsOfDate,IF($R64=0,$X64,IF(AND($T64&lt;&gt;"",EDATE($D64,Milestones!$AA$134)&gt;=$T64),$W64,IF(AND($S64&lt;&gt;"",EDATE($D64,Milestones!$AA$134)&gt;=$S64),$V64,$U64)))=Milestones!$AB$134),UPPER(TEXT(EDATE($D64,Milestones!$AA$134),"dd mmm yy"))&amp;" "&amp;Milestones!$AB$134&amp;" "&amp;Milestones!$AC$134&amp;";  ","")&amp;IF(AND(EDATE($D64,Milestones!$AA$135)&lt;=AsOfDate,IF($R64=0,$X64,IF(AND($T64&lt;&gt;"",EDATE($D64,Milestones!$AA$135)&gt;=$T64),$W64,IF(AND($S64&lt;&gt;"",EDATE($D64,Milestones!$AA$135)&gt;=$S64),$V64,$U64)))=Milestones!$AB$135),UPPER(TEXT(EDATE($D64,Milestones!$AA$135),"dd mmm yy"))&amp;" "&amp;Milestones!$AB$135&amp;" "&amp;Milestones!$AC$135&amp;";  ","")&amp;IF(AND(EDATE($D64,Milestones!$AA$136)&lt;=AsOfDate,IF($R64=0,$X64,IF(AND($T64&lt;&gt;"",EDATE($D64,Milestones!$AA$136)&gt;=$T64),$W64,IF(AND($S64&lt;&gt;"",EDATE($D64,Milestones!$AA$136)&gt;=$S64),$V64,$U64)))=Milestones!$AB$136),UPPER(TEXT(EDATE($D64,Milestones!$AA$136),"dd mmm yy"))&amp;" "&amp;Milestones!$AB$136&amp;" "&amp;Milestones!$AC$136&amp;";  ","")&amp;IF(AND(EDATE($D64,Milestones!$AA$137)&lt;=AsOfDate,IF($R64=0,$X64,IF(AND($T64&lt;&gt;"",EDATE($D64,Milestones!$AA$137)&gt;=$T64),$W64,IF(AND($S64&lt;&gt;"",EDATE($D64,Milestones!$AA$137)&gt;=$S64),$V64,$U64)))=Milestones!$AB$137),UPPER(TEXT(EDATE($D64,Milestones!$AA$137),"dd mmm yy"))&amp;" "&amp;Milestones!$AB$137&amp;" "&amp;Milestones!$AC$137&amp;";  ","")&amp;IF(AND(EDATE($D64,Milestones!$AA$138)&lt;=AsOfDate,IF($R64=0,$X64,IF(AND($T64&lt;&gt;"",EDATE($D64,Milestones!$AA$138)&gt;=$T64),$W64,IF(AND($S64&lt;&gt;"",EDATE($D64,Milestones!$AA$138)&gt;=$S64),$V64,$U64)))=Milestones!$AB$138),UPPER(TEXT(EDATE($D64,Milestones!$AA$138),"dd mmm yy"))&amp;" "&amp;Milestones!$AB$138&amp;" "&amp;Milestones!$AC$138&amp;";  ","")&amp;IF(AND(EDATE($D64,Milestones!$AA$139)&lt;=AsOfDate,IF($R64=0,$X64,IF(AND($T64&lt;&gt;"",EDATE($D64,Milestones!$AA$139)&gt;=$T64),$W64,IF(AND($S64&lt;&gt;"",EDATE($D64,Milestones!$AA$139)&gt;=$S64),$V64,$U64)))=Milestones!$AB$139),UPPER(TEXT(EDATE($D64,Milestones!$AA$139),"dd mmm yy"))&amp;" "&amp;Milestones!$AB$139&amp;" "&amp;Milestones!$AC$139&amp;";  ",""))</f>
        <v/>
      </c>
      <c r="O64" s="0" t="str">
        <f aca="false">IF(OR($A64="",$D64=""),"",IF(AND(EDATE($D64,Milestones!$AA$140)&lt;=AsOfDate,IF($R64=0,$X64,IF(AND($T64&lt;&gt;"",EDATE($D64,Milestones!$AA$140)&gt;=$T64),$W64,IF(AND($S64&lt;&gt;"",EDATE($D64,Milestones!$AA$140)&gt;=$S64),$V64,$U64)))=Milestones!$AB$140),UPPER(TEXT(EDATE($D64,Milestones!$AA$140),"dd mmm yy"))&amp;" "&amp;Milestones!$AB$140&amp;" "&amp;Milestones!$AC$140&amp;";  ","")&amp;IF(AND(EDATE($D64,Milestones!$AA$141)&lt;=AsOfDate,IF($R64=0,$X64,IF(AND($T64&lt;&gt;"",EDATE($D64,Milestones!$AA$141)&gt;=$T64),$W64,IF(AND($S64&lt;&gt;"",EDATE($D64,Milestones!$AA$141)&gt;=$S64),$V64,$U64)))=Milestones!$AB$141),UPPER(TEXT(EDATE($D64,Milestones!$AA$141),"dd mmm yy"))&amp;" "&amp;Milestones!$AB$141&amp;" "&amp;Milestones!$AC$141&amp;";  ","")&amp;IF(AND(EDATE($D64,Milestones!$AA$142)&lt;=AsOfDate,IF($R64=0,$X64,IF(AND($T64&lt;&gt;"",EDATE($D64,Milestones!$AA$142)&gt;=$T64),$W64,IF(AND($S64&lt;&gt;"",EDATE($D64,Milestones!$AA$142)&gt;=$S64),$V64,$U64)))=Milestones!$AB$142),UPPER(TEXT(EDATE($D64,Milestones!$AA$142),"dd mmm yy"))&amp;" "&amp;Milestones!$AB$142&amp;" "&amp;Milestones!$AC$142&amp;";  ","")&amp;IF(AND(EDATE($D64,Milestones!$AA$143)&lt;=AsOfDate,IF($R64=0,$X64,IF(AND($T64&lt;&gt;"",EDATE($D64,Milestones!$AA$143)&gt;=$T64),$W64,IF(AND($S64&lt;&gt;"",EDATE($D64,Milestones!$AA$143)&gt;=$S64),$V64,$U64)))=Milestones!$AB$143),UPPER(TEXT(EDATE($D64,Milestones!$AA$143),"dd mmm yy"))&amp;" "&amp;Milestones!$AB$143&amp;" "&amp;Milestones!$AC$143&amp;";  ","")&amp;IF(AND(EDATE($D64,Milestones!$AA$144)&lt;=AsOfDate,IF($R64=0,$X64,IF(AND($T64&lt;&gt;"",EDATE($D64,Milestones!$AA$144)&gt;=$T64),$W64,IF(AND($S64&lt;&gt;"",EDATE($D64,Milestones!$AA$144)&gt;=$S64),$V64,$U64)))=Milestones!$AB$144),UPPER(TEXT(EDATE($D64,Milestones!$AA$144),"dd mmm yy"))&amp;" "&amp;Milestones!$AB$144&amp;" "&amp;Milestones!$AC$144&amp;";  ","")&amp;IF(AND(EDATE($D64,Milestones!$AA$145)&lt;=AsOfDate,IF($R64=0,$X64,IF(AND($T64&lt;&gt;"",EDATE($D64,Milestones!$AA$145)&gt;=$T64),$W64,IF(AND($S64&lt;&gt;"",EDATE($D64,Milestones!$AA$145)&gt;=$S64),$V64,$U64)))=Milestones!$AB$145),UPPER(TEXT(EDATE($D64,Milestones!$AA$145),"dd mmm yy"))&amp;" "&amp;Milestones!$AB$145&amp;" "&amp;Milestones!$AC$145&amp;";  ","")&amp;IF(AND(EDATE($D64,Milestones!$AA$146)&lt;=AsOfDate,IF($R64=0,$X64,IF(AND($T64&lt;&gt;"",EDATE($D64,Milestones!$AA$146)&gt;=$T64),$W64,IF(AND($S64&lt;&gt;"",EDATE($D64,Milestones!$AA$146)&gt;=$S64),$V64,$U64)))=Milestones!$AB$146),UPPER(TEXT(EDATE($D64,Milestones!$AA$146),"dd mmm yy"))&amp;" "&amp;Milestones!$AB$146&amp;" "&amp;Milestones!$AC$146&amp;";  ","")&amp;IF(AND(EDATE($D64,Milestones!$AA$147)&lt;=AsOfDate,IF($R64=0,$X64,IF(AND($T64&lt;&gt;"",EDATE($D64,Milestones!$AA$147)&gt;=$T64),$W64,IF(AND($S64&lt;&gt;"",EDATE($D64,Milestones!$AA$147)&gt;=$S64),$V64,$U64)))=Milestones!$AB$147),UPPER(TEXT(EDATE($D64,Milestones!$AA$147),"dd mmm yy"))&amp;" "&amp;Milestones!$AB$147&amp;" "&amp;Milestones!$AC$147&amp;";  ","")&amp;IF(AND(EDATE($D64,Milestones!$AA$148)&lt;=AsOfDate,IF($R64=0,$X64,IF(AND($T64&lt;&gt;"",EDATE($D64,Milestones!$AA$148)&gt;=$T64),$W64,IF(AND($S64&lt;&gt;"",EDATE($D64,Milestones!$AA$148)&gt;=$S64),$V64,$U64)))=Milestones!$AB$148),UPPER(TEXT(EDATE($D64,Milestones!$AA$148),"dd mmm yy"))&amp;" "&amp;Milestones!$AB$148&amp;" "&amp;Milestones!$AC$148&amp;";  ","")&amp;IF(AND(EDATE($D64,Milestones!$AA$149)&lt;=AsOfDate,IF($R64=0,$X64,IF(AND($T64&lt;&gt;"",EDATE($D64,Milestones!$AA$149)&gt;=$T64),$W64,IF(AND($S64&lt;&gt;"",EDATE($D64,Milestones!$AA$149)&gt;=$S64),$V64,$U64)))=Milestones!$AB$149),UPPER(TEXT(EDATE($D64,Milestones!$AA$149),"dd mmm yy"))&amp;" "&amp;Milestones!$AB$149&amp;" "&amp;Milestones!$AC$149&amp;";  ","")&amp;IF(AND(EDATE($D64,Milestones!$AA$150)&lt;=AsOfDate,IF($R64=0,$X64,IF(AND($T64&lt;&gt;"",EDATE($D64,Milestones!$AA$150)&gt;=$T64),$W64,IF(AND($S64&lt;&gt;"",EDATE($D64,Milestones!$AA$150)&gt;=$S64),$V64,$U64)))=Milestones!$AB$150),UPPER(TEXT(EDATE($D64,Milestones!$AA$150),"dd mmm yy"))&amp;" "&amp;Milestones!$AB$150&amp;" "&amp;Milestones!$AC$150&amp;";  ","")&amp;IF(AND(EDATE($D64,Milestones!$AA$151)&lt;=AsOfDate,IF($R64=0,$X64,IF(AND($T64&lt;&gt;"",EDATE($D64,Milestones!$AA$151)&gt;=$T64),$W64,IF(AND($S64&lt;&gt;"",EDATE($D64,Milestones!$AA$151)&gt;=$S64),$V64,$U64)))=Milestones!$AB$151),UPPER(TEXT(EDATE($D64,Milestones!$AA$151),"dd mmm yy"))&amp;" "&amp;Milestones!$AB$151&amp;" "&amp;Milestones!$AC$151&amp;";  ","")&amp;IF(AND(EDATE($D64,Milestones!$AA$152)&lt;=AsOfDate,IF($R64=0,$X64,IF(AND($T64&lt;&gt;"",EDATE($D64,Milestones!$AA$152)&gt;=$T64),$W64,IF(AND($S64&lt;&gt;"",EDATE($D64,Milestones!$AA$152)&gt;=$S64),$V64,$U64)))=Milestones!$AB$152),UPPER(TEXT(EDATE($D64,Milestones!$AA$152),"dd mmm yy"))&amp;" "&amp;Milestones!$AB$152&amp;" "&amp;Milestones!$AC$152&amp;";  ","")&amp;IF(AND(EDATE($D64,Milestones!$AA$153)&lt;=AsOfDate,IF($R64=0,$X64,IF(AND($T64&lt;&gt;"",EDATE($D64,Milestones!$AA$153)&gt;=$T64),$W64,IF(AND($S64&lt;&gt;"",EDATE($D64,Milestones!$AA$153)&gt;=$S64),$V64,$U64)))=Milestones!$AB$153),UPPER(TEXT(EDATE($D64,Milestones!$AA$153),"dd mmm yy"))&amp;" "&amp;Milestones!$AB$153&amp;" "&amp;Milestones!$AC$153&amp;";  ","")&amp;IF(AND(EDATE($D64,Milestones!$AA$154)&lt;=AsOfDate,IF($R64=0,$X64,IF(AND($T64&lt;&gt;"",EDATE($D64,Milestones!$AA$154)&gt;=$T64),$W64,IF(AND($S64&lt;&gt;"",EDATE($D64,Milestones!$AA$154)&gt;=$S64),$V64,$U64)))=Milestones!$AB$154),UPPER(TEXT(EDATE($D64,Milestones!$AA$154),"dd mmm yy"))&amp;" "&amp;Milestones!$AB$154&amp;" "&amp;Milestones!$AC$154&amp;";  ","")&amp;IF(AND(EDATE($D64,Milestones!$AA$155)&lt;=AsOfDate,IF($R64=0,$X64,IF(AND($T64&lt;&gt;"",EDATE($D64,Milestones!$AA$155)&gt;=$T64),$W64,IF(AND($S64&lt;&gt;"",EDATE($D64,Milestones!$AA$155)&gt;=$S64),$V64,$U64)))=Milestones!$AB$155),UPPER(TEXT(EDATE($D64,Milestones!$AA$155),"dd mmm yy"))&amp;" "&amp;Milestones!$AB$155&amp;" "&amp;Milestones!$AC$155&amp;";  ","")&amp;IF(AND(EDATE($D64,Milestones!$AA$156)&lt;=AsOfDate,IF($R64=0,$X64,IF(AND($T64&lt;&gt;"",EDATE($D64,Milestones!$AA$156)&gt;=$T64),$W64,IF(AND($S64&lt;&gt;"",EDATE($D64,Milestones!$AA$156)&gt;=$S64),$V64,$U64)))=Milestones!$AB$156),UPPER(TEXT(EDATE($D64,Milestones!$AA$156),"dd mmm yy"))&amp;" "&amp;Milestones!$AB$156&amp;" "&amp;Milestones!$AC$156&amp;";  ","")&amp;IF(AND(EDATE($D64,Milestones!$AA$157)&lt;=AsOfDate,IF($R64=0,$X64,IF(AND($T64&lt;&gt;"",EDATE($D64,Milestones!$AA$157)&gt;=$T64),$W64,IF(AND($S64&lt;&gt;"",EDATE($D64,Milestones!$AA$157)&gt;=$S64),$V64,$U64)))=Milestones!$AB$157),UPPER(TEXT(EDATE($D64,Milestones!$AA$157),"dd mmm yy"))&amp;" "&amp;Milestones!$AB$157&amp;" "&amp;Milestones!$AC$157&amp;";  ","")&amp;IF(AND(EDATE($D64,Milestones!$AA$158)&lt;=AsOfDate,IF($R64=0,$X64,IF(AND($T64&lt;&gt;"",EDATE($D64,Milestones!$AA$158)&gt;=$T64),$W64,IF(AND($S64&lt;&gt;"",EDATE($D64,Milestones!$AA$158)&gt;=$S64),$V64,$U64)))=Milestones!$AB$158),UPPER(TEXT(EDATE($D64,Milestones!$AA$158),"dd mmm yy"))&amp;" "&amp;Milestones!$AB$158&amp;" "&amp;Milestones!$AC$158&amp;";  ","")&amp;IF(AND(EDATE($D64,Milestones!$AA$159)&lt;=AsOfDate,IF($R64=0,$X64,IF(AND($T64&lt;&gt;"",EDATE($D64,Milestones!$AA$159)&gt;=$T64),$W64,IF(AND($S64&lt;&gt;"",EDATE($D64,Milestones!$AA$159)&gt;=$S64),$V64,$U64)))=Milestones!$AB$159),UPPER(TEXT(EDATE($D64,Milestones!$AA$159),"dd mmm yy"))&amp;" "&amp;Milestones!$AB$159&amp;" "&amp;Milestones!$AC$159&amp;";  ",""))</f>
        <v/>
      </c>
      <c r="P64" s="0" t="str">
        <f aca="false">IF(OR($A64="",$D64=""),"",IF(AND(EDATE($D64,Milestones!$AA$160)&lt;=AsOfDate,IF($R64=0,$X64,IF(AND($T64&lt;&gt;"",EDATE($D64,Milestones!$AA$160)&gt;=$T64),$W64,IF(AND($S64&lt;&gt;"",EDATE($D64,Milestones!$AA$160)&gt;=$S64),$V64,$U64)))=Milestones!$AB$160),UPPER(TEXT(EDATE($D64,Milestones!$AA$160),"dd mmm yy"))&amp;" "&amp;Milestones!$AB$160&amp;" "&amp;Milestones!$AC$160&amp;";  ","")&amp;IF(AND(EDATE($D64,Milestones!$AA$161)&lt;=AsOfDate,IF($R64=0,$X64,IF(AND($T64&lt;&gt;"",EDATE($D64,Milestones!$AA$161)&gt;=$T64),$W64,IF(AND($S64&lt;&gt;"",EDATE($D64,Milestones!$AA$161)&gt;=$S64),$V64,$U64)))=Milestones!$AB$161),UPPER(TEXT(EDATE($D64,Milestones!$AA$161),"dd mmm yy"))&amp;" "&amp;Milestones!$AB$161&amp;" "&amp;Milestones!$AC$161&amp;";  ","")&amp;IF(AND(EDATE($D64,Milestones!$AA$162)&lt;=AsOfDate,IF($R64=0,$X64,IF(AND($T64&lt;&gt;"",EDATE($D64,Milestones!$AA$162)&gt;=$T64),$W64,IF(AND($S64&lt;&gt;"",EDATE($D64,Milestones!$AA$162)&gt;=$S64),$V64,$U64)))=Milestones!$AB$162),UPPER(TEXT(EDATE($D64,Milestones!$AA$162),"dd mmm yy"))&amp;" "&amp;Milestones!$AB$162&amp;" "&amp;Milestones!$AC$162&amp;";  ","")&amp;IF(AND(EDATE($D64,Milestones!$AA$163)&lt;=AsOfDate,IF($R64=0,$X64,IF(AND($T64&lt;&gt;"",EDATE($D64,Milestones!$AA$163)&gt;=$T64),$W64,IF(AND($S64&lt;&gt;"",EDATE($D64,Milestones!$AA$163)&gt;=$S64),$V64,$U64)))=Milestones!$AB$163),UPPER(TEXT(EDATE($D64,Milestones!$AA$163),"dd mmm yy"))&amp;" "&amp;Milestones!$AB$163&amp;" "&amp;Milestones!$AC$163&amp;";  ","")&amp;IF(AND(EDATE($D64,Milestones!$AA$164)&lt;=AsOfDate,IF($R64=0,$X64,IF(AND($T64&lt;&gt;"",EDATE($D64,Milestones!$AA$164)&gt;=$T64),$W64,IF(AND($S64&lt;&gt;"",EDATE($D64,Milestones!$AA$164)&gt;=$S64),$V64,$U64)))=Milestones!$AB$164),UPPER(TEXT(EDATE($D64,Milestones!$AA$164),"dd mmm yy"))&amp;" "&amp;Milestones!$AB$164&amp;" "&amp;Milestones!$AC$164&amp;";  ","")&amp;IF(AND(EDATE($D64,Milestones!$AA$165)&lt;=AsOfDate,IF($R64=0,$X64,IF(AND($T64&lt;&gt;"",EDATE($D64,Milestones!$AA$165)&gt;=$T64),$W64,IF(AND($S64&lt;&gt;"",EDATE($D64,Milestones!$AA$165)&gt;=$S64),$V64,$U64)))=Milestones!$AB$165),UPPER(TEXT(EDATE($D64,Milestones!$AA$165),"dd mmm yy"))&amp;" "&amp;Milestones!$AB$165&amp;" "&amp;Milestones!$AC$165&amp;";  ","")&amp;IF(AND(EDATE($D64,Milestones!$AA$166)&lt;=AsOfDate,IF($R64=0,$X64,IF(AND($T64&lt;&gt;"",EDATE($D64,Milestones!$AA$166)&gt;=$T64),$W64,IF(AND($S64&lt;&gt;"",EDATE($D64,Milestones!$AA$166)&gt;=$S64),$V64,$U64)))=Milestones!$AB$166),UPPER(TEXT(EDATE($D64,Milestones!$AA$166),"dd mmm yy"))&amp;" "&amp;Milestones!$AB$166&amp;" "&amp;Milestones!$AC$166&amp;";  ","")&amp;IF(AND(EDATE($D64,Milestones!$AA$167)&lt;=AsOfDate,IF($R64=0,$X64,IF(AND($T64&lt;&gt;"",EDATE($D64,Milestones!$AA$167)&gt;=$T64),$W64,IF(AND($S64&lt;&gt;"",EDATE($D64,Milestones!$AA$167)&gt;=$S64),$V64,$U64)))=Milestones!$AB$167),UPPER(TEXT(EDATE($D64,Milestones!$AA$167),"dd mmm yy"))&amp;" "&amp;Milestones!$AB$167&amp;" "&amp;Milestones!$AC$167&amp;";  ","")&amp;IF(AND(EDATE($D64,Milestones!$AA$168)&lt;=AsOfDate,IF($R64=0,$X64,IF(AND($T64&lt;&gt;"",EDATE($D64,Milestones!$AA$168)&gt;=$T64),$W64,IF(AND($S64&lt;&gt;"",EDATE($D64,Milestones!$AA$168)&gt;=$S64),$V64,$U64)))=Milestones!$AB$168),UPPER(TEXT(EDATE($D64,Milestones!$AA$168),"dd mmm yy"))&amp;" "&amp;Milestones!$AB$168&amp;" "&amp;Milestones!$AC$168&amp;";  ","")&amp;IF(AND(EDATE($D64,Milestones!$AA$169)&lt;=AsOfDate,IF($R64=0,$X64,IF(AND($T64&lt;&gt;"",EDATE($D64,Milestones!$AA$169)&gt;=$T64),$W64,IF(AND($S64&lt;&gt;"",EDATE($D64,Milestones!$AA$169)&gt;=$S64),$V64,$U64)))=Milestones!$AB$169),UPPER(TEXT(EDATE($D64,Milestones!$AA$169),"dd mmm yy"))&amp;" "&amp;Milestones!$AB$169&amp;" "&amp;Milestones!$AC$169&amp;";  ","")&amp;IF(AND(EDATE($D64,Milestones!$AA$170)&lt;=AsOfDate,IF($R64=0,$X64,IF(AND($T64&lt;&gt;"",EDATE($D64,Milestones!$AA$170)&gt;=$T64),$W64,IF(AND($S64&lt;&gt;"",EDATE($D64,Milestones!$AA$170)&gt;=$S64),$V64,$U64)))=Milestones!$AB$170),UPPER(TEXT(EDATE($D64,Milestones!$AA$170),"dd mmm yy"))&amp;" "&amp;Milestones!$AB$170&amp;" "&amp;Milestones!$AC$170&amp;";  ","")&amp;IF(AND(EDATE($D64,Milestones!$AA$171)&lt;=AsOfDate,IF($R64=0,$X64,IF(AND($T64&lt;&gt;"",EDATE($D64,Milestones!$AA$171)&gt;=$T64),$W64,IF(AND($S64&lt;&gt;"",EDATE($D64,Milestones!$AA$171)&gt;=$S64),$V64,$U64)))=Milestones!$AB$171),UPPER(TEXT(EDATE($D64,Milestones!$AA$171),"dd mmm yy"))&amp;" "&amp;Milestones!$AB$171&amp;" "&amp;Milestones!$AC$171&amp;";  ","")&amp;IF(AND(EDATE($D64,Milestones!$AA$172)&lt;=AsOfDate,IF($R64=0,$X64,IF(AND($T64&lt;&gt;"",EDATE($D64,Milestones!$AA$172)&gt;=$T64),$W64,IF(AND($S64&lt;&gt;"",EDATE($D64,Milestones!$AA$172)&gt;=$S64),$V64,$U64)))=Milestones!$AB$172),UPPER(TEXT(EDATE($D64,Milestones!$AA$172),"dd mmm yy"))&amp;" "&amp;Milestones!$AB$172&amp;" "&amp;Milestones!$AC$172&amp;";  ","")&amp;IF(AND(EDATE($D64,Milestones!$AA$173)&lt;=AsOfDate,IF($R64=0,$X64,IF(AND($T64&lt;&gt;"",EDATE($D64,Milestones!$AA$173)&gt;=$T64),$W64,IF(AND($S64&lt;&gt;"",EDATE($D64,Milestones!$AA$173)&gt;=$S64),$V64,$U64)))=Milestones!$AB$173),UPPER(TEXT(EDATE($D64,Milestones!$AA$173),"dd mmm yy"))&amp;" "&amp;Milestones!$AB$173&amp;" "&amp;Milestones!$AC$173&amp;";  ","")&amp;IF(AND(EDATE($D64,Milestones!$AA$174)&lt;=AsOfDate,IF($R64=0,$X64,IF(AND($T64&lt;&gt;"",EDATE($D64,Milestones!$AA$174)&gt;=$T64),$W64,IF(AND($S64&lt;&gt;"",EDATE($D64,Milestones!$AA$174)&gt;=$S64),$V64,$U64)))=Milestones!$AB$174),UPPER(TEXT(EDATE($D64,Milestones!$AA$174),"dd mmm yy"))&amp;" "&amp;Milestones!$AB$174&amp;" "&amp;Milestones!$AC$174&amp;";  ","")&amp;IF(AND(EDATE($D64,Milestones!$AA$175)&lt;=AsOfDate,IF($R64=0,$X64,IF(AND($T64&lt;&gt;"",EDATE($D64,Milestones!$AA$175)&gt;=$T64),$W64,IF(AND($S64&lt;&gt;"",EDATE($D64,Milestones!$AA$175)&gt;=$S64),$V64,$U64)))=Milestones!$AB$175),UPPER(TEXT(EDATE($D64,Milestones!$AA$175),"dd mmm yy"))&amp;" "&amp;Milestones!$AB$175&amp;" "&amp;Milestones!$AC$175&amp;";  ","")&amp;IF(AND(EDATE($D64,Milestones!$AA$176)&lt;=AsOfDate,IF($R64=0,$X64,IF(AND($T64&lt;&gt;"",EDATE($D64,Milestones!$AA$176)&gt;=$T64),$W64,IF(AND($S64&lt;&gt;"",EDATE($D64,Milestones!$AA$176)&gt;=$S64),$V64,$U64)))=Milestones!$AB$176),UPPER(TEXT(EDATE($D64,Milestones!$AA$176),"dd mmm yy"))&amp;" "&amp;Milestones!$AB$176&amp;" "&amp;Milestones!$AC$176&amp;";  ","")&amp;IF(AND(EDATE($D64,Milestones!$AA$177)&lt;=AsOfDate,IF($R64=0,$X64,IF(AND($T64&lt;&gt;"",EDATE($D64,Milestones!$AA$177)&gt;=$T64),$W64,IF(AND($S64&lt;&gt;"",EDATE($D64,Milestones!$AA$177)&gt;=$S64),$V64,$U64)))=Milestones!$AB$177),UPPER(TEXT(EDATE($D64,Milestones!$AA$177),"dd mmm yy"))&amp;" "&amp;Milestones!$AB$177&amp;" "&amp;Milestones!$AC$177&amp;";  ","")&amp;IF(AND(EDATE($D64,Milestones!$AA$178)&lt;=AsOfDate,IF($R64=0,$X64,IF(AND($T64&lt;&gt;"",EDATE($D64,Milestones!$AA$178)&gt;=$T64),$W64,IF(AND($S64&lt;&gt;"",EDATE($D64,Milestones!$AA$178)&gt;=$S64),$V64,$U64)))=Milestones!$AB$178),UPPER(TEXT(EDATE($D64,Milestones!$AA$178),"dd mmm yy"))&amp;" "&amp;Milestones!$AB$178&amp;" "&amp;Milestones!$AC$178&amp;";  ","")&amp;IF(AND(EDATE($D64,Milestones!$AA$179)&lt;=AsOfDate,IF($R64=0,$X64,IF(AND($T64&lt;&gt;"",EDATE($D64,Milestones!$AA$179)&gt;=$T64),$W64,IF(AND($S64&lt;&gt;"",EDATE($D64,Milestones!$AA$179)&gt;=$S64),$V64,$U64)))=Milestones!$AB$179),UPPER(TEXT(EDATE($D64,Milestones!$AA$179),"dd mmm yy"))&amp;" "&amp;Milestones!$AB$179&amp;" "&amp;Milestones!$AC$179&amp;";  ",""))</f>
        <v/>
      </c>
      <c r="Q64" s="0" t="str">
        <f aca="false">IF(OR($A64="",$D64=""),"",IF(AND(EDATE($D64,Milestones!$AA$180)&lt;=AsOfDate,IF($R64=0,$X64,IF(AND($T64&lt;&gt;"",EDATE($D64,Milestones!$AA$180)&gt;=$T64),$W64,IF(AND($S64&lt;&gt;"",EDATE($D64,Milestones!$AA$180)&gt;=$S64),$V64,$U64)))=Milestones!$AB$180),UPPER(TEXT(EDATE($D64,Milestones!$AA$180),"dd mmm yy"))&amp;" "&amp;Milestones!$AB$180&amp;" "&amp;Milestones!$AC$180&amp;";  ","")&amp;IF(AND(EDATE($D64,Milestones!$AA$181)&lt;=AsOfDate,IF($R64=0,$X64,IF(AND($T64&lt;&gt;"",EDATE($D64,Milestones!$AA$181)&gt;=$T64),$W64,IF(AND($S64&lt;&gt;"",EDATE($D64,Milestones!$AA$181)&gt;=$S64),$V64,$U64)))=Milestones!$AB$181),UPPER(TEXT(EDATE($D64,Milestones!$AA$181),"dd mmm yy"))&amp;" "&amp;Milestones!$AB$181&amp;" "&amp;Milestones!$AC$181&amp;";  ","")&amp;IF(AND(EDATE($D64,Milestones!$AA$182)&lt;=AsOfDate,IF($R64=0,$X64,IF(AND($T64&lt;&gt;"",EDATE($D64,Milestones!$AA$182)&gt;=$T64),$W64,IF(AND($S64&lt;&gt;"",EDATE($D64,Milestones!$AA$182)&gt;=$S64),$V64,$U64)))=Milestones!$AB$182),UPPER(TEXT(EDATE($D64,Milestones!$AA$182),"dd mmm yy"))&amp;" "&amp;Milestones!$AB$182&amp;" "&amp;Milestones!$AC$182&amp;";  ","")&amp;IF(AND(EDATE($D64,Milestones!$AA$183)&lt;=AsOfDate,IF($R64=0,$X64,IF(AND($T64&lt;&gt;"",EDATE($D64,Milestones!$AA$183)&gt;=$T64),$W64,IF(AND($S64&lt;&gt;"",EDATE($D64,Milestones!$AA$183)&gt;=$S64),$V64,$U64)))=Milestones!$AB$183),UPPER(TEXT(EDATE($D64,Milestones!$AA$183),"dd mmm yy"))&amp;" "&amp;Milestones!$AB$183&amp;" "&amp;Milestones!$AC$183&amp;";  ","")&amp;IF(AND(EDATE($D64,Milestones!$AA$184)&lt;=AsOfDate,IF($R64=0,$X64,IF(AND($T64&lt;&gt;"",EDATE($D64,Milestones!$AA$184)&gt;=$T64),$W64,IF(AND($S64&lt;&gt;"",EDATE($D64,Milestones!$AA$184)&gt;=$S64),$V64,$U64)))=Milestones!$AB$184),UPPER(TEXT(EDATE($D64,Milestones!$AA$184),"dd mmm yy"))&amp;" "&amp;Milestones!$AB$184&amp;" "&amp;Milestones!$AC$184&amp;";  ","")&amp;IF(AND(EDATE($D64,Milestones!$AA$185)&lt;=AsOfDate,IF($R64=0,$X64,IF(AND($T64&lt;&gt;"",EDATE($D64,Milestones!$AA$185)&gt;=$T64),$W64,IF(AND($S64&lt;&gt;"",EDATE($D64,Milestones!$AA$185)&gt;=$S64),$V64,$U64)))=Milestones!$AB$185),UPPER(TEXT(EDATE($D64,Milestones!$AA$185),"dd mmm yy"))&amp;" "&amp;Milestones!$AB$185&amp;" "&amp;Milestones!$AC$185&amp;";  ","")&amp;IF(AND(EDATE($D64,Milestones!$AA$186)&lt;=AsOfDate,IF($R64=0,$X64,IF(AND($T64&lt;&gt;"",EDATE($D64,Milestones!$AA$186)&gt;=$T64),$W64,IF(AND($S64&lt;&gt;"",EDATE($D64,Milestones!$AA$186)&gt;=$S64),$V64,$U64)))=Milestones!$AB$186),UPPER(TEXT(EDATE($D64,Milestones!$AA$186),"dd mmm yy"))&amp;" "&amp;Milestones!$AB$186&amp;" "&amp;Milestones!$AC$186&amp;";  ","")&amp;IF(AND(EDATE($D64,Milestones!$AA$187)&lt;=AsOfDate,IF($R64=0,$X64,IF(AND($T64&lt;&gt;"",EDATE($D64,Milestones!$AA$187)&gt;=$T64),$W64,IF(AND($S64&lt;&gt;"",EDATE($D64,Milestones!$AA$187)&gt;=$S64),$V64,$U64)))=Milestones!$AB$187),UPPER(TEXT(EDATE($D64,Milestones!$AA$187),"dd mmm yy"))&amp;" "&amp;Milestones!$AB$187&amp;" "&amp;Milestones!$AC$187&amp;";  ","")&amp;IF(AND(EDATE($D64,Milestones!$AA$188)&lt;=AsOfDate,IF($R64=0,$X64,IF(AND($T64&lt;&gt;"",EDATE($D64,Milestones!$AA$188)&gt;=$T64),$W64,IF(AND($S64&lt;&gt;"",EDATE($D64,Milestones!$AA$188)&gt;=$S64),$V64,$U64)))=Milestones!$AB$188),UPPER(TEXT(EDATE($D64,Milestones!$AA$188),"dd mmm yy"))&amp;" "&amp;Milestones!$AB$188&amp;" "&amp;Milestones!$AC$188&amp;";  ","")&amp;IF(AND(EDATE($D64,Milestones!$AA$189)&lt;=AsOfDate,IF($R64=0,$X64,IF(AND($T64&lt;&gt;"",EDATE($D64,Milestones!$AA$189)&gt;=$T64),$W64,IF(AND($S64&lt;&gt;"",EDATE($D64,Milestones!$AA$189)&gt;=$S64),$V64,$U64)))=Milestones!$AB$189),UPPER(TEXT(EDATE($D64,Milestones!$AA$189),"dd mmm yy"))&amp;" "&amp;Milestones!$AB$189&amp;" "&amp;Milestones!$AC$189&amp;";  ","")&amp;IF(AND(EDATE($D64,Milestones!$AA$190)&lt;=AsOfDate,IF($R64=0,$X64,IF(AND($T64&lt;&gt;"",EDATE($D64,Milestones!$AA$190)&gt;=$T64),$W64,IF(AND($S64&lt;&gt;"",EDATE($D64,Milestones!$AA$190)&gt;=$S64),$V64,$U64)))=Milestones!$AB$190),UPPER(TEXT(EDATE($D64,Milestones!$AA$190),"dd mmm yy"))&amp;" "&amp;Milestones!$AB$190&amp;" "&amp;Milestones!$AC$190&amp;";  ","")&amp;IF(AND(EDATE($D64,Milestones!$AA$191)&lt;=AsOfDate,IF($R64=0,$X64,IF(AND($T64&lt;&gt;"",EDATE($D64,Milestones!$AA$191)&gt;=$T64),$W64,IF(AND($S64&lt;&gt;"",EDATE($D64,Milestones!$AA$191)&gt;=$S64),$V64,$U64)))=Milestones!$AB$191),UPPER(TEXT(EDATE($D64,Milestones!$AA$191),"dd mmm yy"))&amp;" "&amp;Milestones!$AB$191&amp;" "&amp;Milestones!$AC$191&amp;";  ","")&amp;IF(AND(EDATE($D64,Milestones!$AA$192)&lt;=AsOfDate,IF($R64=0,$X64,IF(AND($T64&lt;&gt;"",EDATE($D64,Milestones!$AA$192)&gt;=$T64),$W64,IF(AND($S64&lt;&gt;"",EDATE($D64,Milestones!$AA$192)&gt;=$S64),$V64,$U64)))=Milestones!$AB$192),UPPER(TEXT(EDATE($D64,Milestones!$AA$192),"dd mmm yy"))&amp;" "&amp;Milestones!$AB$192&amp;" "&amp;Milestones!$AC$192&amp;";  ","")&amp;IF(AND(EDATE($D64,Milestones!$AA$193)&lt;=AsOfDate,IF($R64=0,$X64,IF(AND($T64&lt;&gt;"",EDATE($D64,Milestones!$AA$193)&gt;=$T64),$W64,IF(AND($S64&lt;&gt;"",EDATE($D64,Milestones!$AA$193)&gt;=$S64),$V64,$U64)))=Milestones!$AB$193),UPPER(TEXT(EDATE($D64,Milestones!$AA$193),"dd mmm yy"))&amp;" "&amp;Milestones!$AB$193&amp;" "&amp;Milestones!$AC$193&amp;";  ","")&amp;IF(AND(EDATE($D64,Milestones!$AA$194)&lt;=AsOfDate,IF($R64=0,$X64,IF(AND($T64&lt;&gt;"",EDATE($D64,Milestones!$AA$194)&gt;=$T64),$W64,IF(AND($S64&lt;&gt;"",EDATE($D64,Milestones!$AA$194)&gt;=$S64),$V64,$U64)))=Milestones!$AB$194),UPPER(TEXT(EDATE($D64,Milestones!$AA$194),"dd mmm yy"))&amp;" "&amp;Milestones!$AB$194&amp;" "&amp;Milestones!$AC$194&amp;";  ","")&amp;IF(AND(EDATE($D64,Milestones!$AA$195)&lt;=AsOfDate,IF($R64=0,$X64,IF(AND($T64&lt;&gt;"",EDATE($D64,Milestones!$AA$195)&gt;=$T64),$W64,IF(AND($S64&lt;&gt;"",EDATE($D64,Milestones!$AA$195)&gt;=$S64),$V64,$U64)))=Milestones!$AB$195),UPPER(TEXT(EDATE($D64,Milestones!$AA$195),"dd mmm yy"))&amp;" "&amp;Milestones!$AB$195&amp;" "&amp;Milestones!$AC$195&amp;";  ","")&amp;IF(AND(EDATE($D64,Milestones!$AA$196)&lt;=AsOfDate,IF($R64=0,$X64,IF(AND($T64&lt;&gt;"",EDATE($D64,Milestones!$AA$196)&gt;=$T64),$W64,IF(AND($S64&lt;&gt;"",EDATE($D64,Milestones!$AA$196)&gt;=$S64),$V64,$U64)))=Milestones!$AB$196),UPPER(TEXT(EDATE($D64,Milestones!$AA$196),"dd mmm yy"))&amp;" "&amp;Milestones!$AB$196&amp;" "&amp;Milestones!$AC$196&amp;";  ","")&amp;IF(AND(EDATE($D64,Milestones!$AA$197)&lt;=AsOfDate,IF($R64=0,$X64,IF(AND($T64&lt;&gt;"",EDATE($D64,Milestones!$AA$197)&gt;=$T64),$W64,IF(AND($S64&lt;&gt;"",EDATE($D64,Milestones!$AA$197)&gt;=$S64),$V64,$U64)))=Milestones!$AB$197),UPPER(TEXT(EDATE($D64,Milestones!$AA$197),"dd mmm yy"))&amp;" "&amp;Milestones!$AB$197&amp;" "&amp;Milestones!$AC$197&amp;";  ","")&amp;IF(AND(EDATE($D64,Milestones!$AA$198)&lt;=AsOfDate,IF($R64=0,$X64,IF(AND($T64&lt;&gt;"",EDATE($D64,Milestones!$AA$198)&gt;=$T64),$W64,IF(AND($S64&lt;&gt;"",EDATE($D64,Milestones!$AA$198)&gt;=$S64),$V64,$U64)))=Milestones!$AB$198),UPPER(TEXT(EDATE($D64,Milestones!$AA$198),"dd mmm yy"))&amp;" "&amp;Milestones!$AB$198&amp;" "&amp;Milestones!$AC$198&amp;";  ","")&amp;IF(AND(EDATE($D64,Milestones!$AA$199)&lt;=AsOfDate,IF($R64=0,$X64,IF(AND($T64&lt;&gt;"",EDATE($D64,Milestones!$AA$199)&gt;=$T64),$W64,IF(AND($S64&lt;&gt;"",EDATE($D64,Milestones!$AA$199)&gt;=$S64),$V64,$U64)))=Milestones!$AB$199),UPPER(TEXT(EDATE($D64,Milestones!$AA$199),"dd mmm yy"))&amp;" "&amp;Milestones!$AB$199&amp;" "&amp;Milestones!$AC$199&amp;";  ",""))</f>
        <v/>
      </c>
      <c r="R64" s="0" t="str">
        <f aca="false">IF(Staff!$A64="","",Staff!$AI64)</f>
        <v/>
      </c>
      <c r="S64" s="0" t="str">
        <f aca="false">IF(Staff!$A64="","",Staff!$AK64)</f>
        <v/>
      </c>
      <c r="T64" s="0" t="str">
        <f aca="false">IF(Staff!$A64="","",Staff!$AL64)</f>
        <v/>
      </c>
      <c r="U64" s="0" t="str">
        <f aca="false">IF(Staff!$A64="","",Staff!$AP64)</f>
        <v/>
      </c>
      <c r="V64" s="0" t="str">
        <f aca="false">IF(Staff!$A64="","",Staff!$AQ64)</f>
        <v/>
      </c>
      <c r="W64" s="0" t="str">
        <f aca="false">IF(Staff!$A64="","",Staff!$AR64)</f>
        <v/>
      </c>
      <c r="X64" s="0" t="str">
        <f aca="false">IF(Staff!$A64="","",Staff!$AS64)</f>
        <v/>
      </c>
    </row>
    <row r="65" customFormat="false" ht="15" hidden="false" customHeight="false" outlineLevel="0" collapsed="false">
      <c r="A65" s="14" t="str">
        <f aca="false">IF(Staff!$A65="","",Staff!$A65)</f>
        <v/>
      </c>
      <c r="B65" s="14" t="str">
        <f aca="false">IF(Staff!$A65="","",Staff!$B65)</f>
        <v/>
      </c>
      <c r="C65" s="14" t="str">
        <f aca="false">IF(Staff!$A65="","",Staff!$C65)</f>
        <v/>
      </c>
      <c r="D65" s="12" t="str">
        <f aca="false">IF(Staff!$A65="","",Staff!$AH65)</f>
        <v/>
      </c>
      <c r="E65" s="14" t="str">
        <f aca="false">IF(Staff!$A65="","",Staff!$O65)</f>
        <v/>
      </c>
      <c r="F65" s="14" t="str">
        <f aca="false">IF(E65="","",E65*HoursPerDay)</f>
        <v/>
      </c>
      <c r="G65" s="14" t="str">
        <f aca="false">IF(Staff!$A65="","",Staff!$AE65)</f>
        <v/>
      </c>
      <c r="H65" s="26" t="str">
        <f aca="false">IF($A65="","",I65&amp;J65&amp;K65&amp;L65&amp;M65&amp;N65&amp;O65&amp;P65&amp;Q65)</f>
        <v/>
      </c>
      <c r="I65" s="0" t="str">
        <f aca="false">IF(OR($A65="",$D65=""),"",IF(AND(EDATE($D65,Milestones!$AA$20)&lt;=AsOfDate,IF($R65=0,$X65,IF(AND($T65&lt;&gt;"",EDATE($D65,Milestones!$AA$20)&gt;=$T65),$W65,IF(AND($S65&lt;&gt;"",EDATE($D65,Milestones!$AA$20)&gt;=$S65),$V65,$U65)))=Milestones!$AB$20),UPPER(TEXT(EDATE($D65,Milestones!$AA$20),"dd mmm yy"))&amp;" "&amp;Milestones!$AB$20&amp;" "&amp;Milestones!$AC$20&amp;";  ","")&amp;IF(AND(EDATE($D65,Milestones!$AA$21)&lt;=AsOfDate,IF($R65=0,$X65,IF(AND($T65&lt;&gt;"",EDATE($D65,Milestones!$AA$21)&gt;=$T65),$W65,IF(AND($S65&lt;&gt;"",EDATE($D65,Milestones!$AA$21)&gt;=$S65),$V65,$U65)))=Milestones!$AB$21),UPPER(TEXT(EDATE($D65,Milestones!$AA$21),"dd mmm yy"))&amp;" "&amp;Milestones!$AB$21&amp;" "&amp;Milestones!$AC$21&amp;";  ","")&amp;IF(AND(EDATE($D65,Milestones!$AA$22)&lt;=AsOfDate,IF($R65=0,$X65,IF(AND($T65&lt;&gt;"",EDATE($D65,Milestones!$AA$22)&gt;=$T65),$W65,IF(AND($S65&lt;&gt;"",EDATE($D65,Milestones!$AA$22)&gt;=$S65),$V65,$U65)))=Milestones!$AB$22),UPPER(TEXT(EDATE($D65,Milestones!$AA$22),"dd mmm yy"))&amp;" "&amp;Milestones!$AB$22&amp;" "&amp;Milestones!$AC$22&amp;";  ","")&amp;IF(AND(EDATE($D65,Milestones!$AA$23)&lt;=AsOfDate,IF($R65=0,$X65,IF(AND($T65&lt;&gt;"",EDATE($D65,Milestones!$AA$23)&gt;=$T65),$W65,IF(AND($S65&lt;&gt;"",EDATE($D65,Milestones!$AA$23)&gt;=$S65),$V65,$U65)))=Milestones!$AB$23),UPPER(TEXT(EDATE($D65,Milestones!$AA$23),"dd mmm yy"))&amp;" "&amp;Milestones!$AB$23&amp;" "&amp;Milestones!$AC$23&amp;";  ","")&amp;IF(AND(EDATE($D65,Milestones!$AA$24)&lt;=AsOfDate,IF($R65=0,$X65,IF(AND($T65&lt;&gt;"",EDATE($D65,Milestones!$AA$24)&gt;=$T65),$W65,IF(AND($S65&lt;&gt;"",EDATE($D65,Milestones!$AA$24)&gt;=$S65),$V65,$U65)))=Milestones!$AB$24),UPPER(TEXT(EDATE($D65,Milestones!$AA$24),"dd mmm yy"))&amp;" "&amp;Milestones!$AB$24&amp;" "&amp;Milestones!$AC$24&amp;";  ","")&amp;IF(AND(EDATE($D65,Milestones!$AA$25)&lt;=AsOfDate,IF($R65=0,$X65,IF(AND($T65&lt;&gt;"",EDATE($D65,Milestones!$AA$25)&gt;=$T65),$W65,IF(AND($S65&lt;&gt;"",EDATE($D65,Milestones!$AA$25)&gt;=$S65),$V65,$U65)))=Milestones!$AB$25),UPPER(TEXT(EDATE($D65,Milestones!$AA$25),"dd mmm yy"))&amp;" "&amp;Milestones!$AB$25&amp;" "&amp;Milestones!$AC$25&amp;";  ","")&amp;IF(AND(EDATE($D65,Milestones!$AA$26)&lt;=AsOfDate,IF($R65=0,$X65,IF(AND($T65&lt;&gt;"",EDATE($D65,Milestones!$AA$26)&gt;=$T65),$W65,IF(AND($S65&lt;&gt;"",EDATE($D65,Milestones!$AA$26)&gt;=$S65),$V65,$U65)))=Milestones!$AB$26),UPPER(TEXT(EDATE($D65,Milestones!$AA$26),"dd mmm yy"))&amp;" "&amp;Milestones!$AB$26&amp;" "&amp;Milestones!$AC$26&amp;";  ","")&amp;IF(AND(EDATE($D65,Milestones!$AA$27)&lt;=AsOfDate,IF($R65=0,$X65,IF(AND($T65&lt;&gt;"",EDATE($D65,Milestones!$AA$27)&gt;=$T65),$W65,IF(AND($S65&lt;&gt;"",EDATE($D65,Milestones!$AA$27)&gt;=$S65),$V65,$U65)))=Milestones!$AB$27),UPPER(TEXT(EDATE($D65,Milestones!$AA$27),"dd mmm yy"))&amp;" "&amp;Milestones!$AB$27&amp;" "&amp;Milestones!$AC$27&amp;";  ","")&amp;IF(AND(EDATE($D65,Milestones!$AA$28)&lt;=AsOfDate,IF($R65=0,$X65,IF(AND($T65&lt;&gt;"",EDATE($D65,Milestones!$AA$28)&gt;=$T65),$W65,IF(AND($S65&lt;&gt;"",EDATE($D65,Milestones!$AA$28)&gt;=$S65),$V65,$U65)))=Milestones!$AB$28),UPPER(TEXT(EDATE($D65,Milestones!$AA$28),"dd mmm yy"))&amp;" "&amp;Milestones!$AB$28&amp;" "&amp;Milestones!$AC$28&amp;";  ","")&amp;IF(AND(EDATE($D65,Milestones!$AA$29)&lt;=AsOfDate,IF($R65=0,$X65,IF(AND($T65&lt;&gt;"",EDATE($D65,Milestones!$AA$29)&gt;=$T65),$W65,IF(AND($S65&lt;&gt;"",EDATE($D65,Milestones!$AA$29)&gt;=$S65),$V65,$U65)))=Milestones!$AB$29),UPPER(TEXT(EDATE($D65,Milestones!$AA$29),"dd mmm yy"))&amp;" "&amp;Milestones!$AB$29&amp;" "&amp;Milestones!$AC$29&amp;";  ","")&amp;IF(AND(EDATE($D65,Milestones!$AA$30)&lt;=AsOfDate,IF($R65=0,$X65,IF(AND($T65&lt;&gt;"",EDATE($D65,Milestones!$AA$30)&gt;=$T65),$W65,IF(AND($S65&lt;&gt;"",EDATE($D65,Milestones!$AA$30)&gt;=$S65),$V65,$U65)))=Milestones!$AB$30),UPPER(TEXT(EDATE($D65,Milestones!$AA$30),"dd mmm yy"))&amp;" "&amp;Milestones!$AB$30&amp;" "&amp;Milestones!$AC$30&amp;";  ","")&amp;IF(AND(EDATE($D65,Milestones!$AA$31)&lt;=AsOfDate,IF($R65=0,$X65,IF(AND($T65&lt;&gt;"",EDATE($D65,Milestones!$AA$31)&gt;=$T65),$W65,IF(AND($S65&lt;&gt;"",EDATE($D65,Milestones!$AA$31)&gt;=$S65),$V65,$U65)))=Milestones!$AB$31),UPPER(TEXT(EDATE($D65,Milestones!$AA$31),"dd mmm yy"))&amp;" "&amp;Milestones!$AB$31&amp;" "&amp;Milestones!$AC$31&amp;";  ","")&amp;IF(AND(EDATE($D65,Milestones!$AA$32)&lt;=AsOfDate,IF($R65=0,$X65,IF(AND($T65&lt;&gt;"",EDATE($D65,Milestones!$AA$32)&gt;=$T65),$W65,IF(AND($S65&lt;&gt;"",EDATE($D65,Milestones!$AA$32)&gt;=$S65),$V65,$U65)))=Milestones!$AB$32),UPPER(TEXT(EDATE($D65,Milestones!$AA$32),"dd mmm yy"))&amp;" "&amp;Milestones!$AB$32&amp;" "&amp;Milestones!$AC$32&amp;";  ","")&amp;IF(AND(EDATE($D65,Milestones!$AA$33)&lt;=AsOfDate,IF($R65=0,$X65,IF(AND($T65&lt;&gt;"",EDATE($D65,Milestones!$AA$33)&gt;=$T65),$W65,IF(AND($S65&lt;&gt;"",EDATE($D65,Milestones!$AA$33)&gt;=$S65),$V65,$U65)))=Milestones!$AB$33),UPPER(TEXT(EDATE($D65,Milestones!$AA$33),"dd mmm yy"))&amp;" "&amp;Milestones!$AB$33&amp;" "&amp;Milestones!$AC$33&amp;";  ","")&amp;IF(AND(EDATE($D65,Milestones!$AA$34)&lt;=AsOfDate,IF($R65=0,$X65,IF(AND($T65&lt;&gt;"",EDATE($D65,Milestones!$AA$34)&gt;=$T65),$W65,IF(AND($S65&lt;&gt;"",EDATE($D65,Milestones!$AA$34)&gt;=$S65),$V65,$U65)))=Milestones!$AB$34),UPPER(TEXT(EDATE($D65,Milestones!$AA$34),"dd mmm yy"))&amp;" "&amp;Milestones!$AB$34&amp;" "&amp;Milestones!$AC$34&amp;";  ","")&amp;IF(AND(EDATE($D65,Milestones!$AA$35)&lt;=AsOfDate,IF($R65=0,$X65,IF(AND($T65&lt;&gt;"",EDATE($D65,Milestones!$AA$35)&gt;=$T65),$W65,IF(AND($S65&lt;&gt;"",EDATE($D65,Milestones!$AA$35)&gt;=$S65),$V65,$U65)))=Milestones!$AB$35),UPPER(TEXT(EDATE($D65,Milestones!$AA$35),"dd mmm yy"))&amp;" "&amp;Milestones!$AB$35&amp;" "&amp;Milestones!$AC$35&amp;";  ","")&amp;IF(AND(EDATE($D65,Milestones!$AA$36)&lt;=AsOfDate,IF($R65=0,$X65,IF(AND($T65&lt;&gt;"",EDATE($D65,Milestones!$AA$36)&gt;=$T65),$W65,IF(AND($S65&lt;&gt;"",EDATE($D65,Milestones!$AA$36)&gt;=$S65),$V65,$U65)))=Milestones!$AB$36),UPPER(TEXT(EDATE($D65,Milestones!$AA$36),"dd mmm yy"))&amp;" "&amp;Milestones!$AB$36&amp;" "&amp;Milestones!$AC$36&amp;";  ","")&amp;IF(AND(EDATE($D65,Milestones!$AA$37)&lt;=AsOfDate,IF($R65=0,$X65,IF(AND($T65&lt;&gt;"",EDATE($D65,Milestones!$AA$37)&gt;=$T65),$W65,IF(AND($S65&lt;&gt;"",EDATE($D65,Milestones!$AA$37)&gt;=$S65),$V65,$U65)))=Milestones!$AB$37),UPPER(TEXT(EDATE($D65,Milestones!$AA$37),"dd mmm yy"))&amp;" "&amp;Milestones!$AB$37&amp;" "&amp;Milestones!$AC$37&amp;";  ","")&amp;IF(AND(EDATE($D65,Milestones!$AA$38)&lt;=AsOfDate,IF($R65=0,$X65,IF(AND($T65&lt;&gt;"",EDATE($D65,Milestones!$AA$38)&gt;=$T65),$W65,IF(AND($S65&lt;&gt;"",EDATE($D65,Milestones!$AA$38)&gt;=$S65),$V65,$U65)))=Milestones!$AB$38),UPPER(TEXT(EDATE($D65,Milestones!$AA$38),"dd mmm yy"))&amp;" "&amp;Milestones!$AB$38&amp;" "&amp;Milestones!$AC$38&amp;";  ","")&amp;IF(AND(EDATE($D65,Milestones!$AA$39)&lt;=AsOfDate,IF($R65=0,$X65,IF(AND($T65&lt;&gt;"",EDATE($D65,Milestones!$AA$39)&gt;=$T65),$W65,IF(AND($S65&lt;&gt;"",EDATE($D65,Milestones!$AA$39)&gt;=$S65),$V65,$U65)))=Milestones!$AB$39),UPPER(TEXT(EDATE($D65,Milestones!$AA$39),"dd mmm yy"))&amp;" "&amp;Milestones!$AB$39&amp;" "&amp;Milestones!$AC$39&amp;";  ",""))</f>
        <v/>
      </c>
      <c r="J65" s="0" t="str">
        <f aca="false">IF(OR($A65="",$D65=""),"",IF(AND(EDATE($D65,Milestones!$AA$40)&lt;=AsOfDate,IF($R65=0,$X65,IF(AND($T65&lt;&gt;"",EDATE($D65,Milestones!$AA$40)&gt;=$T65),$W65,IF(AND($S65&lt;&gt;"",EDATE($D65,Milestones!$AA$40)&gt;=$S65),$V65,$U65)))=Milestones!$AB$40),UPPER(TEXT(EDATE($D65,Milestones!$AA$40),"dd mmm yy"))&amp;" "&amp;Milestones!$AB$40&amp;" "&amp;Milestones!$AC$40&amp;";  ","")&amp;IF(AND(EDATE($D65,Milestones!$AA$41)&lt;=AsOfDate,IF($R65=0,$X65,IF(AND($T65&lt;&gt;"",EDATE($D65,Milestones!$AA$41)&gt;=$T65),$W65,IF(AND($S65&lt;&gt;"",EDATE($D65,Milestones!$AA$41)&gt;=$S65),$V65,$U65)))=Milestones!$AB$41),UPPER(TEXT(EDATE($D65,Milestones!$AA$41),"dd mmm yy"))&amp;" "&amp;Milestones!$AB$41&amp;" "&amp;Milestones!$AC$41&amp;";  ","")&amp;IF(AND(EDATE($D65,Milestones!$AA$42)&lt;=AsOfDate,IF($R65=0,$X65,IF(AND($T65&lt;&gt;"",EDATE($D65,Milestones!$AA$42)&gt;=$T65),$W65,IF(AND($S65&lt;&gt;"",EDATE($D65,Milestones!$AA$42)&gt;=$S65),$V65,$U65)))=Milestones!$AB$42),UPPER(TEXT(EDATE($D65,Milestones!$AA$42),"dd mmm yy"))&amp;" "&amp;Milestones!$AB$42&amp;" "&amp;Milestones!$AC$42&amp;";  ","")&amp;IF(AND(EDATE($D65,Milestones!$AA$43)&lt;=AsOfDate,IF($R65=0,$X65,IF(AND($T65&lt;&gt;"",EDATE($D65,Milestones!$AA$43)&gt;=$T65),$W65,IF(AND($S65&lt;&gt;"",EDATE($D65,Milestones!$AA$43)&gt;=$S65),$V65,$U65)))=Milestones!$AB$43),UPPER(TEXT(EDATE($D65,Milestones!$AA$43),"dd mmm yy"))&amp;" "&amp;Milestones!$AB$43&amp;" "&amp;Milestones!$AC$43&amp;";  ","")&amp;IF(AND(EDATE($D65,Milestones!$AA$44)&lt;=AsOfDate,IF($R65=0,$X65,IF(AND($T65&lt;&gt;"",EDATE($D65,Milestones!$AA$44)&gt;=$T65),$W65,IF(AND($S65&lt;&gt;"",EDATE($D65,Milestones!$AA$44)&gt;=$S65),$V65,$U65)))=Milestones!$AB$44),UPPER(TEXT(EDATE($D65,Milestones!$AA$44),"dd mmm yy"))&amp;" "&amp;Milestones!$AB$44&amp;" "&amp;Milestones!$AC$44&amp;";  ","")&amp;IF(AND(EDATE($D65,Milestones!$AA$45)&lt;=AsOfDate,IF($R65=0,$X65,IF(AND($T65&lt;&gt;"",EDATE($D65,Milestones!$AA$45)&gt;=$T65),$W65,IF(AND($S65&lt;&gt;"",EDATE($D65,Milestones!$AA$45)&gt;=$S65),$V65,$U65)))=Milestones!$AB$45),UPPER(TEXT(EDATE($D65,Milestones!$AA$45),"dd mmm yy"))&amp;" "&amp;Milestones!$AB$45&amp;" "&amp;Milestones!$AC$45&amp;";  ","")&amp;IF(AND(EDATE($D65,Milestones!$AA$46)&lt;=AsOfDate,IF($R65=0,$X65,IF(AND($T65&lt;&gt;"",EDATE($D65,Milestones!$AA$46)&gt;=$T65),$W65,IF(AND($S65&lt;&gt;"",EDATE($D65,Milestones!$AA$46)&gt;=$S65),$V65,$U65)))=Milestones!$AB$46),UPPER(TEXT(EDATE($D65,Milestones!$AA$46),"dd mmm yy"))&amp;" "&amp;Milestones!$AB$46&amp;" "&amp;Milestones!$AC$46&amp;";  ","")&amp;IF(AND(EDATE($D65,Milestones!$AA$47)&lt;=AsOfDate,IF($R65=0,$X65,IF(AND($T65&lt;&gt;"",EDATE($D65,Milestones!$AA$47)&gt;=$T65),$W65,IF(AND($S65&lt;&gt;"",EDATE($D65,Milestones!$AA$47)&gt;=$S65),$V65,$U65)))=Milestones!$AB$47),UPPER(TEXT(EDATE($D65,Milestones!$AA$47),"dd mmm yy"))&amp;" "&amp;Milestones!$AB$47&amp;" "&amp;Milestones!$AC$47&amp;";  ","")&amp;IF(AND(EDATE($D65,Milestones!$AA$48)&lt;=AsOfDate,IF($R65=0,$X65,IF(AND($T65&lt;&gt;"",EDATE($D65,Milestones!$AA$48)&gt;=$T65),$W65,IF(AND($S65&lt;&gt;"",EDATE($D65,Milestones!$AA$48)&gt;=$S65),$V65,$U65)))=Milestones!$AB$48),UPPER(TEXT(EDATE($D65,Milestones!$AA$48),"dd mmm yy"))&amp;" "&amp;Milestones!$AB$48&amp;" "&amp;Milestones!$AC$48&amp;";  ","")&amp;IF(AND(EDATE($D65,Milestones!$AA$49)&lt;=AsOfDate,IF($R65=0,$X65,IF(AND($T65&lt;&gt;"",EDATE($D65,Milestones!$AA$49)&gt;=$T65),$W65,IF(AND($S65&lt;&gt;"",EDATE($D65,Milestones!$AA$49)&gt;=$S65),$V65,$U65)))=Milestones!$AB$49),UPPER(TEXT(EDATE($D65,Milestones!$AA$49),"dd mmm yy"))&amp;" "&amp;Milestones!$AB$49&amp;" "&amp;Milestones!$AC$49&amp;";  ","")&amp;IF(AND(EDATE($D65,Milestones!$AA$50)&lt;=AsOfDate,IF($R65=0,$X65,IF(AND($T65&lt;&gt;"",EDATE($D65,Milestones!$AA$50)&gt;=$T65),$W65,IF(AND($S65&lt;&gt;"",EDATE($D65,Milestones!$AA$50)&gt;=$S65),$V65,$U65)))=Milestones!$AB$50),UPPER(TEXT(EDATE($D65,Milestones!$AA$50),"dd mmm yy"))&amp;" "&amp;Milestones!$AB$50&amp;" "&amp;Milestones!$AC$50&amp;";  ","")&amp;IF(AND(EDATE($D65,Milestones!$AA$51)&lt;=AsOfDate,IF($R65=0,$X65,IF(AND($T65&lt;&gt;"",EDATE($D65,Milestones!$AA$51)&gt;=$T65),$W65,IF(AND($S65&lt;&gt;"",EDATE($D65,Milestones!$AA$51)&gt;=$S65),$V65,$U65)))=Milestones!$AB$51),UPPER(TEXT(EDATE($D65,Milestones!$AA$51),"dd mmm yy"))&amp;" "&amp;Milestones!$AB$51&amp;" "&amp;Milestones!$AC$51&amp;";  ","")&amp;IF(AND(EDATE($D65,Milestones!$AA$52)&lt;=AsOfDate,IF($R65=0,$X65,IF(AND($T65&lt;&gt;"",EDATE($D65,Milestones!$AA$52)&gt;=$T65),$W65,IF(AND($S65&lt;&gt;"",EDATE($D65,Milestones!$AA$52)&gt;=$S65),$V65,$U65)))=Milestones!$AB$52),UPPER(TEXT(EDATE($D65,Milestones!$AA$52),"dd mmm yy"))&amp;" "&amp;Milestones!$AB$52&amp;" "&amp;Milestones!$AC$52&amp;";  ","")&amp;IF(AND(EDATE($D65,Milestones!$AA$53)&lt;=AsOfDate,IF($R65=0,$X65,IF(AND($T65&lt;&gt;"",EDATE($D65,Milestones!$AA$53)&gt;=$T65),$W65,IF(AND($S65&lt;&gt;"",EDATE($D65,Milestones!$AA$53)&gt;=$S65),$V65,$U65)))=Milestones!$AB$53),UPPER(TEXT(EDATE($D65,Milestones!$AA$53),"dd mmm yy"))&amp;" "&amp;Milestones!$AB$53&amp;" "&amp;Milestones!$AC$53&amp;";  ","")&amp;IF(AND(EDATE($D65,Milestones!$AA$54)&lt;=AsOfDate,IF($R65=0,$X65,IF(AND($T65&lt;&gt;"",EDATE($D65,Milestones!$AA$54)&gt;=$T65),$W65,IF(AND($S65&lt;&gt;"",EDATE($D65,Milestones!$AA$54)&gt;=$S65),$V65,$U65)))=Milestones!$AB$54),UPPER(TEXT(EDATE($D65,Milestones!$AA$54),"dd mmm yy"))&amp;" "&amp;Milestones!$AB$54&amp;" "&amp;Milestones!$AC$54&amp;";  ","")&amp;IF(AND(EDATE($D65,Milestones!$AA$55)&lt;=AsOfDate,IF($R65=0,$X65,IF(AND($T65&lt;&gt;"",EDATE($D65,Milestones!$AA$55)&gt;=$T65),$W65,IF(AND($S65&lt;&gt;"",EDATE($D65,Milestones!$AA$55)&gt;=$S65),$V65,$U65)))=Milestones!$AB$55),UPPER(TEXT(EDATE($D65,Milestones!$AA$55),"dd mmm yy"))&amp;" "&amp;Milestones!$AB$55&amp;" "&amp;Milestones!$AC$55&amp;";  ","")&amp;IF(AND(EDATE($D65,Milestones!$AA$56)&lt;=AsOfDate,IF($R65=0,$X65,IF(AND($T65&lt;&gt;"",EDATE($D65,Milestones!$AA$56)&gt;=$T65),$W65,IF(AND($S65&lt;&gt;"",EDATE($D65,Milestones!$AA$56)&gt;=$S65),$V65,$U65)))=Milestones!$AB$56),UPPER(TEXT(EDATE($D65,Milestones!$AA$56),"dd mmm yy"))&amp;" "&amp;Milestones!$AB$56&amp;" "&amp;Milestones!$AC$56&amp;";  ","")&amp;IF(AND(EDATE($D65,Milestones!$AA$57)&lt;=AsOfDate,IF($R65=0,$X65,IF(AND($T65&lt;&gt;"",EDATE($D65,Milestones!$AA$57)&gt;=$T65),$W65,IF(AND($S65&lt;&gt;"",EDATE($D65,Milestones!$AA$57)&gt;=$S65),$V65,$U65)))=Milestones!$AB$57),UPPER(TEXT(EDATE($D65,Milestones!$AA$57),"dd mmm yy"))&amp;" "&amp;Milestones!$AB$57&amp;" "&amp;Milestones!$AC$57&amp;";  ","")&amp;IF(AND(EDATE($D65,Milestones!$AA$58)&lt;=AsOfDate,IF($R65=0,$X65,IF(AND($T65&lt;&gt;"",EDATE($D65,Milestones!$AA$58)&gt;=$T65),$W65,IF(AND($S65&lt;&gt;"",EDATE($D65,Milestones!$AA$58)&gt;=$S65),$V65,$U65)))=Milestones!$AB$58),UPPER(TEXT(EDATE($D65,Milestones!$AA$58),"dd mmm yy"))&amp;" "&amp;Milestones!$AB$58&amp;" "&amp;Milestones!$AC$58&amp;";  ","")&amp;IF(AND(EDATE($D65,Milestones!$AA$59)&lt;=AsOfDate,IF($R65=0,$X65,IF(AND($T65&lt;&gt;"",EDATE($D65,Milestones!$AA$59)&gt;=$T65),$W65,IF(AND($S65&lt;&gt;"",EDATE($D65,Milestones!$AA$59)&gt;=$S65),$V65,$U65)))=Milestones!$AB$59),UPPER(TEXT(EDATE($D65,Milestones!$AA$59),"dd mmm yy"))&amp;" "&amp;Milestones!$AB$59&amp;" "&amp;Milestones!$AC$59&amp;";  ",""))</f>
        <v/>
      </c>
      <c r="K65" s="0" t="str">
        <f aca="false">IF(OR($A65="",$D65=""),"",IF(AND(EDATE($D65,Milestones!$AA$60)&lt;=AsOfDate,IF($R65=0,$X65,IF(AND($T65&lt;&gt;"",EDATE($D65,Milestones!$AA$60)&gt;=$T65),$W65,IF(AND($S65&lt;&gt;"",EDATE($D65,Milestones!$AA$60)&gt;=$S65),$V65,$U65)))=Milestones!$AB$60),UPPER(TEXT(EDATE($D65,Milestones!$AA$60),"dd mmm yy"))&amp;" "&amp;Milestones!$AB$60&amp;" "&amp;Milestones!$AC$60&amp;";  ","")&amp;IF(AND(EDATE($D65,Milestones!$AA$61)&lt;=AsOfDate,IF($R65=0,$X65,IF(AND($T65&lt;&gt;"",EDATE($D65,Milestones!$AA$61)&gt;=$T65),$W65,IF(AND($S65&lt;&gt;"",EDATE($D65,Milestones!$AA$61)&gt;=$S65),$V65,$U65)))=Milestones!$AB$61),UPPER(TEXT(EDATE($D65,Milestones!$AA$61),"dd mmm yy"))&amp;" "&amp;Milestones!$AB$61&amp;" "&amp;Milestones!$AC$61&amp;";  ","")&amp;IF(AND(EDATE($D65,Milestones!$AA$62)&lt;=AsOfDate,IF($R65=0,$X65,IF(AND($T65&lt;&gt;"",EDATE($D65,Milestones!$AA$62)&gt;=$T65),$W65,IF(AND($S65&lt;&gt;"",EDATE($D65,Milestones!$AA$62)&gt;=$S65),$V65,$U65)))=Milestones!$AB$62),UPPER(TEXT(EDATE($D65,Milestones!$AA$62),"dd mmm yy"))&amp;" "&amp;Milestones!$AB$62&amp;" "&amp;Milestones!$AC$62&amp;";  ","")&amp;IF(AND(EDATE($D65,Milestones!$AA$63)&lt;=AsOfDate,IF($R65=0,$X65,IF(AND($T65&lt;&gt;"",EDATE($D65,Milestones!$AA$63)&gt;=$T65),$W65,IF(AND($S65&lt;&gt;"",EDATE($D65,Milestones!$AA$63)&gt;=$S65),$V65,$U65)))=Milestones!$AB$63),UPPER(TEXT(EDATE($D65,Milestones!$AA$63),"dd mmm yy"))&amp;" "&amp;Milestones!$AB$63&amp;" "&amp;Milestones!$AC$63&amp;";  ","")&amp;IF(AND(EDATE($D65,Milestones!$AA$64)&lt;=AsOfDate,IF($R65=0,$X65,IF(AND($T65&lt;&gt;"",EDATE($D65,Milestones!$AA$64)&gt;=$T65),$W65,IF(AND($S65&lt;&gt;"",EDATE($D65,Milestones!$AA$64)&gt;=$S65),$V65,$U65)))=Milestones!$AB$64),UPPER(TEXT(EDATE($D65,Milestones!$AA$64),"dd mmm yy"))&amp;" "&amp;Milestones!$AB$64&amp;" "&amp;Milestones!$AC$64&amp;";  ","")&amp;IF(AND(EDATE($D65,Milestones!$AA$65)&lt;=AsOfDate,IF($R65=0,$X65,IF(AND($T65&lt;&gt;"",EDATE($D65,Milestones!$AA$65)&gt;=$T65),$W65,IF(AND($S65&lt;&gt;"",EDATE($D65,Milestones!$AA$65)&gt;=$S65),$V65,$U65)))=Milestones!$AB$65),UPPER(TEXT(EDATE($D65,Milestones!$AA$65),"dd mmm yy"))&amp;" "&amp;Milestones!$AB$65&amp;" "&amp;Milestones!$AC$65&amp;";  ","")&amp;IF(AND(EDATE($D65,Milestones!$AA$66)&lt;=AsOfDate,IF($R65=0,$X65,IF(AND($T65&lt;&gt;"",EDATE($D65,Milestones!$AA$66)&gt;=$T65),$W65,IF(AND($S65&lt;&gt;"",EDATE($D65,Milestones!$AA$66)&gt;=$S65),$V65,$U65)))=Milestones!$AB$66),UPPER(TEXT(EDATE($D65,Milestones!$AA$66),"dd mmm yy"))&amp;" "&amp;Milestones!$AB$66&amp;" "&amp;Milestones!$AC$66&amp;";  ","")&amp;IF(AND(EDATE($D65,Milestones!$AA$67)&lt;=AsOfDate,IF($R65=0,$X65,IF(AND($T65&lt;&gt;"",EDATE($D65,Milestones!$AA$67)&gt;=$T65),$W65,IF(AND($S65&lt;&gt;"",EDATE($D65,Milestones!$AA$67)&gt;=$S65),$V65,$U65)))=Milestones!$AB$67),UPPER(TEXT(EDATE($D65,Milestones!$AA$67),"dd mmm yy"))&amp;" "&amp;Milestones!$AB$67&amp;" "&amp;Milestones!$AC$67&amp;";  ","")&amp;IF(AND(EDATE($D65,Milestones!$AA$68)&lt;=AsOfDate,IF($R65=0,$X65,IF(AND($T65&lt;&gt;"",EDATE($D65,Milestones!$AA$68)&gt;=$T65),$W65,IF(AND($S65&lt;&gt;"",EDATE($D65,Milestones!$AA$68)&gt;=$S65),$V65,$U65)))=Milestones!$AB$68),UPPER(TEXT(EDATE($D65,Milestones!$AA$68),"dd mmm yy"))&amp;" "&amp;Milestones!$AB$68&amp;" "&amp;Milestones!$AC$68&amp;";  ","")&amp;IF(AND(EDATE($D65,Milestones!$AA$69)&lt;=AsOfDate,IF($R65=0,$X65,IF(AND($T65&lt;&gt;"",EDATE($D65,Milestones!$AA$69)&gt;=$T65),$W65,IF(AND($S65&lt;&gt;"",EDATE($D65,Milestones!$AA$69)&gt;=$S65),$V65,$U65)))=Milestones!$AB$69),UPPER(TEXT(EDATE($D65,Milestones!$AA$69),"dd mmm yy"))&amp;" "&amp;Milestones!$AB$69&amp;" "&amp;Milestones!$AC$69&amp;";  ","")&amp;IF(AND(EDATE($D65,Milestones!$AA$70)&lt;=AsOfDate,IF($R65=0,$X65,IF(AND($T65&lt;&gt;"",EDATE($D65,Milestones!$AA$70)&gt;=$T65),$W65,IF(AND($S65&lt;&gt;"",EDATE($D65,Milestones!$AA$70)&gt;=$S65),$V65,$U65)))=Milestones!$AB$70),UPPER(TEXT(EDATE($D65,Milestones!$AA$70),"dd mmm yy"))&amp;" "&amp;Milestones!$AB$70&amp;" "&amp;Milestones!$AC$70&amp;";  ","")&amp;IF(AND(EDATE($D65,Milestones!$AA$71)&lt;=AsOfDate,IF($R65=0,$X65,IF(AND($T65&lt;&gt;"",EDATE($D65,Milestones!$AA$71)&gt;=$T65),$W65,IF(AND($S65&lt;&gt;"",EDATE($D65,Milestones!$AA$71)&gt;=$S65),$V65,$U65)))=Milestones!$AB$71),UPPER(TEXT(EDATE($D65,Milestones!$AA$71),"dd mmm yy"))&amp;" "&amp;Milestones!$AB$71&amp;" "&amp;Milestones!$AC$71&amp;";  ","")&amp;IF(AND(EDATE($D65,Milestones!$AA$72)&lt;=AsOfDate,IF($R65=0,$X65,IF(AND($T65&lt;&gt;"",EDATE($D65,Milestones!$AA$72)&gt;=$T65),$W65,IF(AND($S65&lt;&gt;"",EDATE($D65,Milestones!$AA$72)&gt;=$S65),$V65,$U65)))=Milestones!$AB$72),UPPER(TEXT(EDATE($D65,Milestones!$AA$72),"dd mmm yy"))&amp;" "&amp;Milestones!$AB$72&amp;" "&amp;Milestones!$AC$72&amp;";  ","")&amp;IF(AND(EDATE($D65,Milestones!$AA$73)&lt;=AsOfDate,IF($R65=0,$X65,IF(AND($T65&lt;&gt;"",EDATE($D65,Milestones!$AA$73)&gt;=$T65),$W65,IF(AND($S65&lt;&gt;"",EDATE($D65,Milestones!$AA$73)&gt;=$S65),$V65,$U65)))=Milestones!$AB$73),UPPER(TEXT(EDATE($D65,Milestones!$AA$73),"dd mmm yy"))&amp;" "&amp;Milestones!$AB$73&amp;" "&amp;Milestones!$AC$73&amp;";  ","")&amp;IF(AND(EDATE($D65,Milestones!$AA$74)&lt;=AsOfDate,IF($R65=0,$X65,IF(AND($T65&lt;&gt;"",EDATE($D65,Milestones!$AA$74)&gt;=$T65),$W65,IF(AND($S65&lt;&gt;"",EDATE($D65,Milestones!$AA$74)&gt;=$S65),$V65,$U65)))=Milestones!$AB$74),UPPER(TEXT(EDATE($D65,Milestones!$AA$74),"dd mmm yy"))&amp;" "&amp;Milestones!$AB$74&amp;" "&amp;Milestones!$AC$74&amp;";  ","")&amp;IF(AND(EDATE($D65,Milestones!$AA$75)&lt;=AsOfDate,IF($R65=0,$X65,IF(AND($T65&lt;&gt;"",EDATE($D65,Milestones!$AA$75)&gt;=$T65),$W65,IF(AND($S65&lt;&gt;"",EDATE($D65,Milestones!$AA$75)&gt;=$S65),$V65,$U65)))=Milestones!$AB$75),UPPER(TEXT(EDATE($D65,Milestones!$AA$75),"dd mmm yy"))&amp;" "&amp;Milestones!$AB$75&amp;" "&amp;Milestones!$AC$75&amp;";  ","")&amp;IF(AND(EDATE($D65,Milestones!$AA$76)&lt;=AsOfDate,IF($R65=0,$X65,IF(AND($T65&lt;&gt;"",EDATE($D65,Milestones!$AA$76)&gt;=$T65),$W65,IF(AND($S65&lt;&gt;"",EDATE($D65,Milestones!$AA$76)&gt;=$S65),$V65,$U65)))=Milestones!$AB$76),UPPER(TEXT(EDATE($D65,Milestones!$AA$76),"dd mmm yy"))&amp;" "&amp;Milestones!$AB$76&amp;" "&amp;Milestones!$AC$76&amp;";  ","")&amp;IF(AND(EDATE($D65,Milestones!$AA$77)&lt;=AsOfDate,IF($R65=0,$X65,IF(AND($T65&lt;&gt;"",EDATE($D65,Milestones!$AA$77)&gt;=$T65),$W65,IF(AND($S65&lt;&gt;"",EDATE($D65,Milestones!$AA$77)&gt;=$S65),$V65,$U65)))=Milestones!$AB$77),UPPER(TEXT(EDATE($D65,Milestones!$AA$77),"dd mmm yy"))&amp;" "&amp;Milestones!$AB$77&amp;" "&amp;Milestones!$AC$77&amp;";  ","")&amp;IF(AND(EDATE($D65,Milestones!$AA$78)&lt;=AsOfDate,IF($R65=0,$X65,IF(AND($T65&lt;&gt;"",EDATE($D65,Milestones!$AA$78)&gt;=$T65),$W65,IF(AND($S65&lt;&gt;"",EDATE($D65,Milestones!$AA$78)&gt;=$S65),$V65,$U65)))=Milestones!$AB$78),UPPER(TEXT(EDATE($D65,Milestones!$AA$78),"dd mmm yy"))&amp;" "&amp;Milestones!$AB$78&amp;" "&amp;Milestones!$AC$78&amp;";  ","")&amp;IF(AND(EDATE($D65,Milestones!$AA$79)&lt;=AsOfDate,IF($R65=0,$X65,IF(AND($T65&lt;&gt;"",EDATE($D65,Milestones!$AA$79)&gt;=$T65),$W65,IF(AND($S65&lt;&gt;"",EDATE($D65,Milestones!$AA$79)&gt;=$S65),$V65,$U65)))=Milestones!$AB$79),UPPER(TEXT(EDATE($D65,Milestones!$AA$79),"dd mmm yy"))&amp;" "&amp;Milestones!$AB$79&amp;" "&amp;Milestones!$AC$79&amp;";  ",""))</f>
        <v/>
      </c>
      <c r="L65" s="0" t="str">
        <f aca="false">IF(OR($A65="",$D65=""),"",IF(AND(EDATE($D65,Milestones!$AA$80)&lt;=AsOfDate,IF($R65=0,$X65,IF(AND($T65&lt;&gt;"",EDATE($D65,Milestones!$AA$80)&gt;=$T65),$W65,IF(AND($S65&lt;&gt;"",EDATE($D65,Milestones!$AA$80)&gt;=$S65),$V65,$U65)))=Milestones!$AB$80),UPPER(TEXT(EDATE($D65,Milestones!$AA$80),"dd mmm yy"))&amp;" "&amp;Milestones!$AB$80&amp;" "&amp;Milestones!$AC$80&amp;";  ","")&amp;IF(AND(EDATE($D65,Milestones!$AA$81)&lt;=AsOfDate,IF($R65=0,$X65,IF(AND($T65&lt;&gt;"",EDATE($D65,Milestones!$AA$81)&gt;=$T65),$W65,IF(AND($S65&lt;&gt;"",EDATE($D65,Milestones!$AA$81)&gt;=$S65),$V65,$U65)))=Milestones!$AB$81),UPPER(TEXT(EDATE($D65,Milestones!$AA$81),"dd mmm yy"))&amp;" "&amp;Milestones!$AB$81&amp;" "&amp;Milestones!$AC$81&amp;";  ","")&amp;IF(AND(EDATE($D65,Milestones!$AA$82)&lt;=AsOfDate,IF($R65=0,$X65,IF(AND($T65&lt;&gt;"",EDATE($D65,Milestones!$AA$82)&gt;=$T65),$W65,IF(AND($S65&lt;&gt;"",EDATE($D65,Milestones!$AA$82)&gt;=$S65),$V65,$U65)))=Milestones!$AB$82),UPPER(TEXT(EDATE($D65,Milestones!$AA$82),"dd mmm yy"))&amp;" "&amp;Milestones!$AB$82&amp;" "&amp;Milestones!$AC$82&amp;";  ","")&amp;IF(AND(EDATE($D65,Milestones!$AA$83)&lt;=AsOfDate,IF($R65=0,$X65,IF(AND($T65&lt;&gt;"",EDATE($D65,Milestones!$AA$83)&gt;=$T65),$W65,IF(AND($S65&lt;&gt;"",EDATE($D65,Milestones!$AA$83)&gt;=$S65),$V65,$U65)))=Milestones!$AB$83),UPPER(TEXT(EDATE($D65,Milestones!$AA$83),"dd mmm yy"))&amp;" "&amp;Milestones!$AB$83&amp;" "&amp;Milestones!$AC$83&amp;";  ","")&amp;IF(AND(EDATE($D65,Milestones!$AA$84)&lt;=AsOfDate,IF($R65=0,$X65,IF(AND($T65&lt;&gt;"",EDATE($D65,Milestones!$AA$84)&gt;=$T65),$W65,IF(AND($S65&lt;&gt;"",EDATE($D65,Milestones!$AA$84)&gt;=$S65),$V65,$U65)))=Milestones!$AB$84),UPPER(TEXT(EDATE($D65,Milestones!$AA$84),"dd mmm yy"))&amp;" "&amp;Milestones!$AB$84&amp;" "&amp;Milestones!$AC$84&amp;";  ","")&amp;IF(AND(EDATE($D65,Milestones!$AA$85)&lt;=AsOfDate,IF($R65=0,$X65,IF(AND($T65&lt;&gt;"",EDATE($D65,Milestones!$AA$85)&gt;=$T65),$W65,IF(AND($S65&lt;&gt;"",EDATE($D65,Milestones!$AA$85)&gt;=$S65),$V65,$U65)))=Milestones!$AB$85),UPPER(TEXT(EDATE($D65,Milestones!$AA$85),"dd mmm yy"))&amp;" "&amp;Milestones!$AB$85&amp;" "&amp;Milestones!$AC$85&amp;";  ","")&amp;IF(AND(EDATE($D65,Milestones!$AA$86)&lt;=AsOfDate,IF($R65=0,$X65,IF(AND($T65&lt;&gt;"",EDATE($D65,Milestones!$AA$86)&gt;=$T65),$W65,IF(AND($S65&lt;&gt;"",EDATE($D65,Milestones!$AA$86)&gt;=$S65),$V65,$U65)))=Milestones!$AB$86),UPPER(TEXT(EDATE($D65,Milestones!$AA$86),"dd mmm yy"))&amp;" "&amp;Milestones!$AB$86&amp;" "&amp;Milestones!$AC$86&amp;";  ","")&amp;IF(AND(EDATE($D65,Milestones!$AA$87)&lt;=AsOfDate,IF($R65=0,$X65,IF(AND($T65&lt;&gt;"",EDATE($D65,Milestones!$AA$87)&gt;=$T65),$W65,IF(AND($S65&lt;&gt;"",EDATE($D65,Milestones!$AA$87)&gt;=$S65),$V65,$U65)))=Milestones!$AB$87),UPPER(TEXT(EDATE($D65,Milestones!$AA$87),"dd mmm yy"))&amp;" "&amp;Milestones!$AB$87&amp;" "&amp;Milestones!$AC$87&amp;";  ","")&amp;IF(AND(EDATE($D65,Milestones!$AA$88)&lt;=AsOfDate,IF($R65=0,$X65,IF(AND($T65&lt;&gt;"",EDATE($D65,Milestones!$AA$88)&gt;=$T65),$W65,IF(AND($S65&lt;&gt;"",EDATE($D65,Milestones!$AA$88)&gt;=$S65),$V65,$U65)))=Milestones!$AB$88),UPPER(TEXT(EDATE($D65,Milestones!$AA$88),"dd mmm yy"))&amp;" "&amp;Milestones!$AB$88&amp;" "&amp;Milestones!$AC$88&amp;";  ","")&amp;IF(AND(EDATE($D65,Milestones!$AA$89)&lt;=AsOfDate,IF($R65=0,$X65,IF(AND($T65&lt;&gt;"",EDATE($D65,Milestones!$AA$89)&gt;=$T65),$W65,IF(AND($S65&lt;&gt;"",EDATE($D65,Milestones!$AA$89)&gt;=$S65),$V65,$U65)))=Milestones!$AB$89),UPPER(TEXT(EDATE($D65,Milestones!$AA$89),"dd mmm yy"))&amp;" "&amp;Milestones!$AB$89&amp;" "&amp;Milestones!$AC$89&amp;";  ","")&amp;IF(AND(EDATE($D65,Milestones!$AA$90)&lt;=AsOfDate,IF($R65=0,$X65,IF(AND($T65&lt;&gt;"",EDATE($D65,Milestones!$AA$90)&gt;=$T65),$W65,IF(AND($S65&lt;&gt;"",EDATE($D65,Milestones!$AA$90)&gt;=$S65),$V65,$U65)))=Milestones!$AB$90),UPPER(TEXT(EDATE($D65,Milestones!$AA$90),"dd mmm yy"))&amp;" "&amp;Milestones!$AB$90&amp;" "&amp;Milestones!$AC$90&amp;";  ","")&amp;IF(AND(EDATE($D65,Milestones!$AA$91)&lt;=AsOfDate,IF($R65=0,$X65,IF(AND($T65&lt;&gt;"",EDATE($D65,Milestones!$AA$91)&gt;=$T65),$W65,IF(AND($S65&lt;&gt;"",EDATE($D65,Milestones!$AA$91)&gt;=$S65),$V65,$U65)))=Milestones!$AB$91),UPPER(TEXT(EDATE($D65,Milestones!$AA$91),"dd mmm yy"))&amp;" "&amp;Milestones!$AB$91&amp;" "&amp;Milestones!$AC$91&amp;";  ","")&amp;IF(AND(EDATE($D65,Milestones!$AA$92)&lt;=AsOfDate,IF($R65=0,$X65,IF(AND($T65&lt;&gt;"",EDATE($D65,Milestones!$AA$92)&gt;=$T65),$W65,IF(AND($S65&lt;&gt;"",EDATE($D65,Milestones!$AA$92)&gt;=$S65),$V65,$U65)))=Milestones!$AB$92),UPPER(TEXT(EDATE($D65,Milestones!$AA$92),"dd mmm yy"))&amp;" "&amp;Milestones!$AB$92&amp;" "&amp;Milestones!$AC$92&amp;";  ","")&amp;IF(AND(EDATE($D65,Milestones!$AA$93)&lt;=AsOfDate,IF($R65=0,$X65,IF(AND($T65&lt;&gt;"",EDATE($D65,Milestones!$AA$93)&gt;=$T65),$W65,IF(AND($S65&lt;&gt;"",EDATE($D65,Milestones!$AA$93)&gt;=$S65),$V65,$U65)))=Milestones!$AB$93),UPPER(TEXT(EDATE($D65,Milestones!$AA$93),"dd mmm yy"))&amp;" "&amp;Milestones!$AB$93&amp;" "&amp;Milestones!$AC$93&amp;";  ","")&amp;IF(AND(EDATE($D65,Milestones!$AA$94)&lt;=AsOfDate,IF($R65=0,$X65,IF(AND($T65&lt;&gt;"",EDATE($D65,Milestones!$AA$94)&gt;=$T65),$W65,IF(AND($S65&lt;&gt;"",EDATE($D65,Milestones!$AA$94)&gt;=$S65),$V65,$U65)))=Milestones!$AB$94),UPPER(TEXT(EDATE($D65,Milestones!$AA$94),"dd mmm yy"))&amp;" "&amp;Milestones!$AB$94&amp;" "&amp;Milestones!$AC$94&amp;";  ","")&amp;IF(AND(EDATE($D65,Milestones!$AA$95)&lt;=AsOfDate,IF($R65=0,$X65,IF(AND($T65&lt;&gt;"",EDATE($D65,Milestones!$AA$95)&gt;=$T65),$W65,IF(AND($S65&lt;&gt;"",EDATE($D65,Milestones!$AA$95)&gt;=$S65),$V65,$U65)))=Milestones!$AB$95),UPPER(TEXT(EDATE($D65,Milestones!$AA$95),"dd mmm yy"))&amp;" "&amp;Milestones!$AB$95&amp;" "&amp;Milestones!$AC$95&amp;";  ","")&amp;IF(AND(EDATE($D65,Milestones!$AA$96)&lt;=AsOfDate,IF($R65=0,$X65,IF(AND($T65&lt;&gt;"",EDATE($D65,Milestones!$AA$96)&gt;=$T65),$W65,IF(AND($S65&lt;&gt;"",EDATE($D65,Milestones!$AA$96)&gt;=$S65),$V65,$U65)))=Milestones!$AB$96),UPPER(TEXT(EDATE($D65,Milestones!$AA$96),"dd mmm yy"))&amp;" "&amp;Milestones!$AB$96&amp;" "&amp;Milestones!$AC$96&amp;";  ","")&amp;IF(AND(EDATE($D65,Milestones!$AA$97)&lt;=AsOfDate,IF($R65=0,$X65,IF(AND($T65&lt;&gt;"",EDATE($D65,Milestones!$AA$97)&gt;=$T65),$W65,IF(AND($S65&lt;&gt;"",EDATE($D65,Milestones!$AA$97)&gt;=$S65),$V65,$U65)))=Milestones!$AB$97),UPPER(TEXT(EDATE($D65,Milestones!$AA$97),"dd mmm yy"))&amp;" "&amp;Milestones!$AB$97&amp;" "&amp;Milestones!$AC$97&amp;";  ","")&amp;IF(AND(EDATE($D65,Milestones!$AA$98)&lt;=AsOfDate,IF($R65=0,$X65,IF(AND($T65&lt;&gt;"",EDATE($D65,Milestones!$AA$98)&gt;=$T65),$W65,IF(AND($S65&lt;&gt;"",EDATE($D65,Milestones!$AA$98)&gt;=$S65),$V65,$U65)))=Milestones!$AB$98),UPPER(TEXT(EDATE($D65,Milestones!$AA$98),"dd mmm yy"))&amp;" "&amp;Milestones!$AB$98&amp;" "&amp;Milestones!$AC$98&amp;";  ","")&amp;IF(AND(EDATE($D65,Milestones!$AA$99)&lt;=AsOfDate,IF($R65=0,$X65,IF(AND($T65&lt;&gt;"",EDATE($D65,Milestones!$AA$99)&gt;=$T65),$W65,IF(AND($S65&lt;&gt;"",EDATE($D65,Milestones!$AA$99)&gt;=$S65),$V65,$U65)))=Milestones!$AB$99),UPPER(TEXT(EDATE($D65,Milestones!$AA$99),"dd mmm yy"))&amp;" "&amp;Milestones!$AB$99&amp;" "&amp;Milestones!$AC$99&amp;";  ",""))</f>
        <v/>
      </c>
      <c r="M65" s="0" t="str">
        <f aca="false">IF(OR($A65="",$D65=""),"",IF(AND(EDATE($D65,Milestones!$AA$100)&lt;=AsOfDate,IF($R65=0,$X65,IF(AND($T65&lt;&gt;"",EDATE($D65,Milestones!$AA$100)&gt;=$T65),$W65,IF(AND($S65&lt;&gt;"",EDATE($D65,Milestones!$AA$100)&gt;=$S65),$V65,$U65)))=Milestones!$AB$100),UPPER(TEXT(EDATE($D65,Milestones!$AA$100),"dd mmm yy"))&amp;" "&amp;Milestones!$AB$100&amp;" "&amp;Milestones!$AC$100&amp;";  ","")&amp;IF(AND(EDATE($D65,Milestones!$AA$101)&lt;=AsOfDate,IF($R65=0,$X65,IF(AND($T65&lt;&gt;"",EDATE($D65,Milestones!$AA$101)&gt;=$T65),$W65,IF(AND($S65&lt;&gt;"",EDATE($D65,Milestones!$AA$101)&gt;=$S65),$V65,$U65)))=Milestones!$AB$101),UPPER(TEXT(EDATE($D65,Milestones!$AA$101),"dd mmm yy"))&amp;" "&amp;Milestones!$AB$101&amp;" "&amp;Milestones!$AC$101&amp;";  ","")&amp;IF(AND(EDATE($D65,Milestones!$AA$102)&lt;=AsOfDate,IF($R65=0,$X65,IF(AND($T65&lt;&gt;"",EDATE($D65,Milestones!$AA$102)&gt;=$T65),$W65,IF(AND($S65&lt;&gt;"",EDATE($D65,Milestones!$AA$102)&gt;=$S65),$V65,$U65)))=Milestones!$AB$102),UPPER(TEXT(EDATE($D65,Milestones!$AA$102),"dd mmm yy"))&amp;" "&amp;Milestones!$AB$102&amp;" "&amp;Milestones!$AC$102&amp;";  ","")&amp;IF(AND(EDATE($D65,Milestones!$AA$103)&lt;=AsOfDate,IF($R65=0,$X65,IF(AND($T65&lt;&gt;"",EDATE($D65,Milestones!$AA$103)&gt;=$T65),$W65,IF(AND($S65&lt;&gt;"",EDATE($D65,Milestones!$AA$103)&gt;=$S65),$V65,$U65)))=Milestones!$AB$103),UPPER(TEXT(EDATE($D65,Milestones!$AA$103),"dd mmm yy"))&amp;" "&amp;Milestones!$AB$103&amp;" "&amp;Milestones!$AC$103&amp;";  ","")&amp;IF(AND(EDATE($D65,Milestones!$AA$104)&lt;=AsOfDate,IF($R65=0,$X65,IF(AND($T65&lt;&gt;"",EDATE($D65,Milestones!$AA$104)&gt;=$T65),$W65,IF(AND($S65&lt;&gt;"",EDATE($D65,Milestones!$AA$104)&gt;=$S65),$V65,$U65)))=Milestones!$AB$104),UPPER(TEXT(EDATE($D65,Milestones!$AA$104),"dd mmm yy"))&amp;" "&amp;Milestones!$AB$104&amp;" "&amp;Milestones!$AC$104&amp;";  ","")&amp;IF(AND(EDATE($D65,Milestones!$AA$105)&lt;=AsOfDate,IF($R65=0,$X65,IF(AND($T65&lt;&gt;"",EDATE($D65,Milestones!$AA$105)&gt;=$T65),$W65,IF(AND($S65&lt;&gt;"",EDATE($D65,Milestones!$AA$105)&gt;=$S65),$V65,$U65)))=Milestones!$AB$105),UPPER(TEXT(EDATE($D65,Milestones!$AA$105),"dd mmm yy"))&amp;" "&amp;Milestones!$AB$105&amp;" "&amp;Milestones!$AC$105&amp;";  ","")&amp;IF(AND(EDATE($D65,Milestones!$AA$106)&lt;=AsOfDate,IF($R65=0,$X65,IF(AND($T65&lt;&gt;"",EDATE($D65,Milestones!$AA$106)&gt;=$T65),$W65,IF(AND($S65&lt;&gt;"",EDATE($D65,Milestones!$AA$106)&gt;=$S65),$V65,$U65)))=Milestones!$AB$106),UPPER(TEXT(EDATE($D65,Milestones!$AA$106),"dd mmm yy"))&amp;" "&amp;Milestones!$AB$106&amp;" "&amp;Milestones!$AC$106&amp;";  ","")&amp;IF(AND(EDATE($D65,Milestones!$AA$107)&lt;=AsOfDate,IF($R65=0,$X65,IF(AND($T65&lt;&gt;"",EDATE($D65,Milestones!$AA$107)&gt;=$T65),$W65,IF(AND($S65&lt;&gt;"",EDATE($D65,Milestones!$AA$107)&gt;=$S65),$V65,$U65)))=Milestones!$AB$107),UPPER(TEXT(EDATE($D65,Milestones!$AA$107),"dd mmm yy"))&amp;" "&amp;Milestones!$AB$107&amp;" "&amp;Milestones!$AC$107&amp;";  ","")&amp;IF(AND(EDATE($D65,Milestones!$AA$108)&lt;=AsOfDate,IF($R65=0,$X65,IF(AND($T65&lt;&gt;"",EDATE($D65,Milestones!$AA$108)&gt;=$T65),$W65,IF(AND($S65&lt;&gt;"",EDATE($D65,Milestones!$AA$108)&gt;=$S65),$V65,$U65)))=Milestones!$AB$108),UPPER(TEXT(EDATE($D65,Milestones!$AA$108),"dd mmm yy"))&amp;" "&amp;Milestones!$AB$108&amp;" "&amp;Milestones!$AC$108&amp;";  ","")&amp;IF(AND(EDATE($D65,Milestones!$AA$109)&lt;=AsOfDate,IF($R65=0,$X65,IF(AND($T65&lt;&gt;"",EDATE($D65,Milestones!$AA$109)&gt;=$T65),$W65,IF(AND($S65&lt;&gt;"",EDATE($D65,Milestones!$AA$109)&gt;=$S65),$V65,$U65)))=Milestones!$AB$109),UPPER(TEXT(EDATE($D65,Milestones!$AA$109),"dd mmm yy"))&amp;" "&amp;Milestones!$AB$109&amp;" "&amp;Milestones!$AC$109&amp;";  ","")&amp;IF(AND(EDATE($D65,Milestones!$AA$110)&lt;=AsOfDate,IF($R65=0,$X65,IF(AND($T65&lt;&gt;"",EDATE($D65,Milestones!$AA$110)&gt;=$T65),$W65,IF(AND($S65&lt;&gt;"",EDATE($D65,Milestones!$AA$110)&gt;=$S65),$V65,$U65)))=Milestones!$AB$110),UPPER(TEXT(EDATE($D65,Milestones!$AA$110),"dd mmm yy"))&amp;" "&amp;Milestones!$AB$110&amp;" "&amp;Milestones!$AC$110&amp;";  ","")&amp;IF(AND(EDATE($D65,Milestones!$AA$111)&lt;=AsOfDate,IF($R65=0,$X65,IF(AND($T65&lt;&gt;"",EDATE($D65,Milestones!$AA$111)&gt;=$T65),$W65,IF(AND($S65&lt;&gt;"",EDATE($D65,Milestones!$AA$111)&gt;=$S65),$V65,$U65)))=Milestones!$AB$111),UPPER(TEXT(EDATE($D65,Milestones!$AA$111),"dd mmm yy"))&amp;" "&amp;Milestones!$AB$111&amp;" "&amp;Milestones!$AC$111&amp;";  ","")&amp;IF(AND(EDATE($D65,Milestones!$AA$112)&lt;=AsOfDate,IF($R65=0,$X65,IF(AND($T65&lt;&gt;"",EDATE($D65,Milestones!$AA$112)&gt;=$T65),$W65,IF(AND($S65&lt;&gt;"",EDATE($D65,Milestones!$AA$112)&gt;=$S65),$V65,$U65)))=Milestones!$AB$112),UPPER(TEXT(EDATE($D65,Milestones!$AA$112),"dd mmm yy"))&amp;" "&amp;Milestones!$AB$112&amp;" "&amp;Milestones!$AC$112&amp;";  ","")&amp;IF(AND(EDATE($D65,Milestones!$AA$113)&lt;=AsOfDate,IF($R65=0,$X65,IF(AND($T65&lt;&gt;"",EDATE($D65,Milestones!$AA$113)&gt;=$T65),$W65,IF(AND($S65&lt;&gt;"",EDATE($D65,Milestones!$AA$113)&gt;=$S65),$V65,$U65)))=Milestones!$AB$113),UPPER(TEXT(EDATE($D65,Milestones!$AA$113),"dd mmm yy"))&amp;" "&amp;Milestones!$AB$113&amp;" "&amp;Milestones!$AC$113&amp;";  ","")&amp;IF(AND(EDATE($D65,Milestones!$AA$114)&lt;=AsOfDate,IF($R65=0,$X65,IF(AND($T65&lt;&gt;"",EDATE($D65,Milestones!$AA$114)&gt;=$T65),$W65,IF(AND($S65&lt;&gt;"",EDATE($D65,Milestones!$AA$114)&gt;=$S65),$V65,$U65)))=Milestones!$AB$114),UPPER(TEXT(EDATE($D65,Milestones!$AA$114),"dd mmm yy"))&amp;" "&amp;Milestones!$AB$114&amp;" "&amp;Milestones!$AC$114&amp;";  ","")&amp;IF(AND(EDATE($D65,Milestones!$AA$115)&lt;=AsOfDate,IF($R65=0,$X65,IF(AND($T65&lt;&gt;"",EDATE($D65,Milestones!$AA$115)&gt;=$T65),$W65,IF(AND($S65&lt;&gt;"",EDATE($D65,Milestones!$AA$115)&gt;=$S65),$V65,$U65)))=Milestones!$AB$115),UPPER(TEXT(EDATE($D65,Milestones!$AA$115),"dd mmm yy"))&amp;" "&amp;Milestones!$AB$115&amp;" "&amp;Milestones!$AC$115&amp;";  ","")&amp;IF(AND(EDATE($D65,Milestones!$AA$116)&lt;=AsOfDate,IF($R65=0,$X65,IF(AND($T65&lt;&gt;"",EDATE($D65,Milestones!$AA$116)&gt;=$T65),$W65,IF(AND($S65&lt;&gt;"",EDATE($D65,Milestones!$AA$116)&gt;=$S65),$V65,$U65)))=Milestones!$AB$116),UPPER(TEXT(EDATE($D65,Milestones!$AA$116),"dd mmm yy"))&amp;" "&amp;Milestones!$AB$116&amp;" "&amp;Milestones!$AC$116&amp;";  ","")&amp;IF(AND(EDATE($D65,Milestones!$AA$117)&lt;=AsOfDate,IF($R65=0,$X65,IF(AND($T65&lt;&gt;"",EDATE($D65,Milestones!$AA$117)&gt;=$T65),$W65,IF(AND($S65&lt;&gt;"",EDATE($D65,Milestones!$AA$117)&gt;=$S65),$V65,$U65)))=Milestones!$AB$117),UPPER(TEXT(EDATE($D65,Milestones!$AA$117),"dd mmm yy"))&amp;" "&amp;Milestones!$AB$117&amp;" "&amp;Milestones!$AC$117&amp;";  ","")&amp;IF(AND(EDATE($D65,Milestones!$AA$118)&lt;=AsOfDate,IF($R65=0,$X65,IF(AND($T65&lt;&gt;"",EDATE($D65,Milestones!$AA$118)&gt;=$T65),$W65,IF(AND($S65&lt;&gt;"",EDATE($D65,Milestones!$AA$118)&gt;=$S65),$V65,$U65)))=Milestones!$AB$118),UPPER(TEXT(EDATE($D65,Milestones!$AA$118),"dd mmm yy"))&amp;" "&amp;Milestones!$AB$118&amp;" "&amp;Milestones!$AC$118&amp;";  ","")&amp;IF(AND(EDATE($D65,Milestones!$AA$119)&lt;=AsOfDate,IF($R65=0,$X65,IF(AND($T65&lt;&gt;"",EDATE($D65,Milestones!$AA$119)&gt;=$T65),$W65,IF(AND($S65&lt;&gt;"",EDATE($D65,Milestones!$AA$119)&gt;=$S65),$V65,$U65)))=Milestones!$AB$119),UPPER(TEXT(EDATE($D65,Milestones!$AA$119),"dd mmm yy"))&amp;" "&amp;Milestones!$AB$119&amp;" "&amp;Milestones!$AC$119&amp;";  ",""))</f>
        <v/>
      </c>
      <c r="N65" s="0" t="str">
        <f aca="false">IF(OR($A65="",$D65=""),"",IF(AND(EDATE($D65,Milestones!$AA$120)&lt;=AsOfDate,IF($R65=0,$X65,IF(AND($T65&lt;&gt;"",EDATE($D65,Milestones!$AA$120)&gt;=$T65),$W65,IF(AND($S65&lt;&gt;"",EDATE($D65,Milestones!$AA$120)&gt;=$S65),$V65,$U65)))=Milestones!$AB$120),UPPER(TEXT(EDATE($D65,Milestones!$AA$120),"dd mmm yy"))&amp;" "&amp;Milestones!$AB$120&amp;" "&amp;Milestones!$AC$120&amp;";  ","")&amp;IF(AND(EDATE($D65,Milestones!$AA$121)&lt;=AsOfDate,IF($R65=0,$X65,IF(AND($T65&lt;&gt;"",EDATE($D65,Milestones!$AA$121)&gt;=$T65),$W65,IF(AND($S65&lt;&gt;"",EDATE($D65,Milestones!$AA$121)&gt;=$S65),$V65,$U65)))=Milestones!$AB$121),UPPER(TEXT(EDATE($D65,Milestones!$AA$121),"dd mmm yy"))&amp;" "&amp;Milestones!$AB$121&amp;" "&amp;Milestones!$AC$121&amp;";  ","")&amp;IF(AND(EDATE($D65,Milestones!$AA$122)&lt;=AsOfDate,IF($R65=0,$X65,IF(AND($T65&lt;&gt;"",EDATE($D65,Milestones!$AA$122)&gt;=$T65),$W65,IF(AND($S65&lt;&gt;"",EDATE($D65,Milestones!$AA$122)&gt;=$S65),$V65,$U65)))=Milestones!$AB$122),UPPER(TEXT(EDATE($D65,Milestones!$AA$122),"dd mmm yy"))&amp;" "&amp;Milestones!$AB$122&amp;" "&amp;Milestones!$AC$122&amp;";  ","")&amp;IF(AND(EDATE($D65,Milestones!$AA$123)&lt;=AsOfDate,IF($R65=0,$X65,IF(AND($T65&lt;&gt;"",EDATE($D65,Milestones!$AA$123)&gt;=$T65),$W65,IF(AND($S65&lt;&gt;"",EDATE($D65,Milestones!$AA$123)&gt;=$S65),$V65,$U65)))=Milestones!$AB$123),UPPER(TEXT(EDATE($D65,Milestones!$AA$123),"dd mmm yy"))&amp;" "&amp;Milestones!$AB$123&amp;" "&amp;Milestones!$AC$123&amp;";  ","")&amp;IF(AND(EDATE($D65,Milestones!$AA$124)&lt;=AsOfDate,IF($R65=0,$X65,IF(AND($T65&lt;&gt;"",EDATE($D65,Milestones!$AA$124)&gt;=$T65),$W65,IF(AND($S65&lt;&gt;"",EDATE($D65,Milestones!$AA$124)&gt;=$S65),$V65,$U65)))=Milestones!$AB$124),UPPER(TEXT(EDATE($D65,Milestones!$AA$124),"dd mmm yy"))&amp;" "&amp;Milestones!$AB$124&amp;" "&amp;Milestones!$AC$124&amp;";  ","")&amp;IF(AND(EDATE($D65,Milestones!$AA$125)&lt;=AsOfDate,IF($R65=0,$X65,IF(AND($T65&lt;&gt;"",EDATE($D65,Milestones!$AA$125)&gt;=$T65),$W65,IF(AND($S65&lt;&gt;"",EDATE($D65,Milestones!$AA$125)&gt;=$S65),$V65,$U65)))=Milestones!$AB$125),UPPER(TEXT(EDATE($D65,Milestones!$AA$125),"dd mmm yy"))&amp;" "&amp;Milestones!$AB$125&amp;" "&amp;Milestones!$AC$125&amp;";  ","")&amp;IF(AND(EDATE($D65,Milestones!$AA$126)&lt;=AsOfDate,IF($R65=0,$X65,IF(AND($T65&lt;&gt;"",EDATE($D65,Milestones!$AA$126)&gt;=$T65),$W65,IF(AND($S65&lt;&gt;"",EDATE($D65,Milestones!$AA$126)&gt;=$S65),$V65,$U65)))=Milestones!$AB$126),UPPER(TEXT(EDATE($D65,Milestones!$AA$126),"dd mmm yy"))&amp;" "&amp;Milestones!$AB$126&amp;" "&amp;Milestones!$AC$126&amp;";  ","")&amp;IF(AND(EDATE($D65,Milestones!$AA$127)&lt;=AsOfDate,IF($R65=0,$X65,IF(AND($T65&lt;&gt;"",EDATE($D65,Milestones!$AA$127)&gt;=$T65),$W65,IF(AND($S65&lt;&gt;"",EDATE($D65,Milestones!$AA$127)&gt;=$S65),$V65,$U65)))=Milestones!$AB$127),UPPER(TEXT(EDATE($D65,Milestones!$AA$127),"dd mmm yy"))&amp;" "&amp;Milestones!$AB$127&amp;" "&amp;Milestones!$AC$127&amp;";  ","")&amp;IF(AND(EDATE($D65,Milestones!$AA$128)&lt;=AsOfDate,IF($R65=0,$X65,IF(AND($T65&lt;&gt;"",EDATE($D65,Milestones!$AA$128)&gt;=$T65),$W65,IF(AND($S65&lt;&gt;"",EDATE($D65,Milestones!$AA$128)&gt;=$S65),$V65,$U65)))=Milestones!$AB$128),UPPER(TEXT(EDATE($D65,Milestones!$AA$128),"dd mmm yy"))&amp;" "&amp;Milestones!$AB$128&amp;" "&amp;Milestones!$AC$128&amp;";  ","")&amp;IF(AND(EDATE($D65,Milestones!$AA$129)&lt;=AsOfDate,IF($R65=0,$X65,IF(AND($T65&lt;&gt;"",EDATE($D65,Milestones!$AA$129)&gt;=$T65),$W65,IF(AND($S65&lt;&gt;"",EDATE($D65,Milestones!$AA$129)&gt;=$S65),$V65,$U65)))=Milestones!$AB$129),UPPER(TEXT(EDATE($D65,Milestones!$AA$129),"dd mmm yy"))&amp;" "&amp;Milestones!$AB$129&amp;" "&amp;Milestones!$AC$129&amp;";  ","")&amp;IF(AND(EDATE($D65,Milestones!$AA$130)&lt;=AsOfDate,IF($R65=0,$X65,IF(AND($T65&lt;&gt;"",EDATE($D65,Milestones!$AA$130)&gt;=$T65),$W65,IF(AND($S65&lt;&gt;"",EDATE($D65,Milestones!$AA$130)&gt;=$S65),$V65,$U65)))=Milestones!$AB$130),UPPER(TEXT(EDATE($D65,Milestones!$AA$130),"dd mmm yy"))&amp;" "&amp;Milestones!$AB$130&amp;" "&amp;Milestones!$AC$130&amp;";  ","")&amp;IF(AND(EDATE($D65,Milestones!$AA$131)&lt;=AsOfDate,IF($R65=0,$X65,IF(AND($T65&lt;&gt;"",EDATE($D65,Milestones!$AA$131)&gt;=$T65),$W65,IF(AND($S65&lt;&gt;"",EDATE($D65,Milestones!$AA$131)&gt;=$S65),$V65,$U65)))=Milestones!$AB$131),UPPER(TEXT(EDATE($D65,Milestones!$AA$131),"dd mmm yy"))&amp;" "&amp;Milestones!$AB$131&amp;" "&amp;Milestones!$AC$131&amp;";  ","")&amp;IF(AND(EDATE($D65,Milestones!$AA$132)&lt;=AsOfDate,IF($R65=0,$X65,IF(AND($T65&lt;&gt;"",EDATE($D65,Milestones!$AA$132)&gt;=$T65),$W65,IF(AND($S65&lt;&gt;"",EDATE($D65,Milestones!$AA$132)&gt;=$S65),$V65,$U65)))=Milestones!$AB$132),UPPER(TEXT(EDATE($D65,Milestones!$AA$132),"dd mmm yy"))&amp;" "&amp;Milestones!$AB$132&amp;" "&amp;Milestones!$AC$132&amp;";  ","")&amp;IF(AND(EDATE($D65,Milestones!$AA$133)&lt;=AsOfDate,IF($R65=0,$X65,IF(AND($T65&lt;&gt;"",EDATE($D65,Milestones!$AA$133)&gt;=$T65),$W65,IF(AND($S65&lt;&gt;"",EDATE($D65,Milestones!$AA$133)&gt;=$S65),$V65,$U65)))=Milestones!$AB$133),UPPER(TEXT(EDATE($D65,Milestones!$AA$133),"dd mmm yy"))&amp;" "&amp;Milestones!$AB$133&amp;" "&amp;Milestones!$AC$133&amp;";  ","")&amp;IF(AND(EDATE($D65,Milestones!$AA$134)&lt;=AsOfDate,IF($R65=0,$X65,IF(AND($T65&lt;&gt;"",EDATE($D65,Milestones!$AA$134)&gt;=$T65),$W65,IF(AND($S65&lt;&gt;"",EDATE($D65,Milestones!$AA$134)&gt;=$S65),$V65,$U65)))=Milestones!$AB$134),UPPER(TEXT(EDATE($D65,Milestones!$AA$134),"dd mmm yy"))&amp;" "&amp;Milestones!$AB$134&amp;" "&amp;Milestones!$AC$134&amp;";  ","")&amp;IF(AND(EDATE($D65,Milestones!$AA$135)&lt;=AsOfDate,IF($R65=0,$X65,IF(AND($T65&lt;&gt;"",EDATE($D65,Milestones!$AA$135)&gt;=$T65),$W65,IF(AND($S65&lt;&gt;"",EDATE($D65,Milestones!$AA$135)&gt;=$S65),$V65,$U65)))=Milestones!$AB$135),UPPER(TEXT(EDATE($D65,Milestones!$AA$135),"dd mmm yy"))&amp;" "&amp;Milestones!$AB$135&amp;" "&amp;Milestones!$AC$135&amp;";  ","")&amp;IF(AND(EDATE($D65,Milestones!$AA$136)&lt;=AsOfDate,IF($R65=0,$X65,IF(AND($T65&lt;&gt;"",EDATE($D65,Milestones!$AA$136)&gt;=$T65),$W65,IF(AND($S65&lt;&gt;"",EDATE($D65,Milestones!$AA$136)&gt;=$S65),$V65,$U65)))=Milestones!$AB$136),UPPER(TEXT(EDATE($D65,Milestones!$AA$136),"dd mmm yy"))&amp;" "&amp;Milestones!$AB$136&amp;" "&amp;Milestones!$AC$136&amp;";  ","")&amp;IF(AND(EDATE($D65,Milestones!$AA$137)&lt;=AsOfDate,IF($R65=0,$X65,IF(AND($T65&lt;&gt;"",EDATE($D65,Milestones!$AA$137)&gt;=$T65),$W65,IF(AND($S65&lt;&gt;"",EDATE($D65,Milestones!$AA$137)&gt;=$S65),$V65,$U65)))=Milestones!$AB$137),UPPER(TEXT(EDATE($D65,Milestones!$AA$137),"dd mmm yy"))&amp;" "&amp;Milestones!$AB$137&amp;" "&amp;Milestones!$AC$137&amp;";  ","")&amp;IF(AND(EDATE($D65,Milestones!$AA$138)&lt;=AsOfDate,IF($R65=0,$X65,IF(AND($T65&lt;&gt;"",EDATE($D65,Milestones!$AA$138)&gt;=$T65),$W65,IF(AND($S65&lt;&gt;"",EDATE($D65,Milestones!$AA$138)&gt;=$S65),$V65,$U65)))=Milestones!$AB$138),UPPER(TEXT(EDATE($D65,Milestones!$AA$138),"dd mmm yy"))&amp;" "&amp;Milestones!$AB$138&amp;" "&amp;Milestones!$AC$138&amp;";  ","")&amp;IF(AND(EDATE($D65,Milestones!$AA$139)&lt;=AsOfDate,IF($R65=0,$X65,IF(AND($T65&lt;&gt;"",EDATE($D65,Milestones!$AA$139)&gt;=$T65),$W65,IF(AND($S65&lt;&gt;"",EDATE($D65,Milestones!$AA$139)&gt;=$S65),$V65,$U65)))=Milestones!$AB$139),UPPER(TEXT(EDATE($D65,Milestones!$AA$139),"dd mmm yy"))&amp;" "&amp;Milestones!$AB$139&amp;" "&amp;Milestones!$AC$139&amp;";  ",""))</f>
        <v/>
      </c>
      <c r="O65" s="0" t="str">
        <f aca="false">IF(OR($A65="",$D65=""),"",IF(AND(EDATE($D65,Milestones!$AA$140)&lt;=AsOfDate,IF($R65=0,$X65,IF(AND($T65&lt;&gt;"",EDATE($D65,Milestones!$AA$140)&gt;=$T65),$W65,IF(AND($S65&lt;&gt;"",EDATE($D65,Milestones!$AA$140)&gt;=$S65),$V65,$U65)))=Milestones!$AB$140),UPPER(TEXT(EDATE($D65,Milestones!$AA$140),"dd mmm yy"))&amp;" "&amp;Milestones!$AB$140&amp;" "&amp;Milestones!$AC$140&amp;";  ","")&amp;IF(AND(EDATE($D65,Milestones!$AA$141)&lt;=AsOfDate,IF($R65=0,$X65,IF(AND($T65&lt;&gt;"",EDATE($D65,Milestones!$AA$141)&gt;=$T65),$W65,IF(AND($S65&lt;&gt;"",EDATE($D65,Milestones!$AA$141)&gt;=$S65),$V65,$U65)))=Milestones!$AB$141),UPPER(TEXT(EDATE($D65,Milestones!$AA$141),"dd mmm yy"))&amp;" "&amp;Milestones!$AB$141&amp;" "&amp;Milestones!$AC$141&amp;";  ","")&amp;IF(AND(EDATE($D65,Milestones!$AA$142)&lt;=AsOfDate,IF($R65=0,$X65,IF(AND($T65&lt;&gt;"",EDATE($D65,Milestones!$AA$142)&gt;=$T65),$W65,IF(AND($S65&lt;&gt;"",EDATE($D65,Milestones!$AA$142)&gt;=$S65),$V65,$U65)))=Milestones!$AB$142),UPPER(TEXT(EDATE($D65,Milestones!$AA$142),"dd mmm yy"))&amp;" "&amp;Milestones!$AB$142&amp;" "&amp;Milestones!$AC$142&amp;";  ","")&amp;IF(AND(EDATE($D65,Milestones!$AA$143)&lt;=AsOfDate,IF($R65=0,$X65,IF(AND($T65&lt;&gt;"",EDATE($D65,Milestones!$AA$143)&gt;=$T65),$W65,IF(AND($S65&lt;&gt;"",EDATE($D65,Milestones!$AA$143)&gt;=$S65),$V65,$U65)))=Milestones!$AB$143),UPPER(TEXT(EDATE($D65,Milestones!$AA$143),"dd mmm yy"))&amp;" "&amp;Milestones!$AB$143&amp;" "&amp;Milestones!$AC$143&amp;";  ","")&amp;IF(AND(EDATE($D65,Milestones!$AA$144)&lt;=AsOfDate,IF($R65=0,$X65,IF(AND($T65&lt;&gt;"",EDATE($D65,Milestones!$AA$144)&gt;=$T65),$W65,IF(AND($S65&lt;&gt;"",EDATE($D65,Milestones!$AA$144)&gt;=$S65),$V65,$U65)))=Milestones!$AB$144),UPPER(TEXT(EDATE($D65,Milestones!$AA$144),"dd mmm yy"))&amp;" "&amp;Milestones!$AB$144&amp;" "&amp;Milestones!$AC$144&amp;";  ","")&amp;IF(AND(EDATE($D65,Milestones!$AA$145)&lt;=AsOfDate,IF($R65=0,$X65,IF(AND($T65&lt;&gt;"",EDATE($D65,Milestones!$AA$145)&gt;=$T65),$W65,IF(AND($S65&lt;&gt;"",EDATE($D65,Milestones!$AA$145)&gt;=$S65),$V65,$U65)))=Milestones!$AB$145),UPPER(TEXT(EDATE($D65,Milestones!$AA$145),"dd mmm yy"))&amp;" "&amp;Milestones!$AB$145&amp;" "&amp;Milestones!$AC$145&amp;";  ","")&amp;IF(AND(EDATE($D65,Milestones!$AA$146)&lt;=AsOfDate,IF($R65=0,$X65,IF(AND($T65&lt;&gt;"",EDATE($D65,Milestones!$AA$146)&gt;=$T65),$W65,IF(AND($S65&lt;&gt;"",EDATE($D65,Milestones!$AA$146)&gt;=$S65),$V65,$U65)))=Milestones!$AB$146),UPPER(TEXT(EDATE($D65,Milestones!$AA$146),"dd mmm yy"))&amp;" "&amp;Milestones!$AB$146&amp;" "&amp;Milestones!$AC$146&amp;";  ","")&amp;IF(AND(EDATE($D65,Milestones!$AA$147)&lt;=AsOfDate,IF($R65=0,$X65,IF(AND($T65&lt;&gt;"",EDATE($D65,Milestones!$AA$147)&gt;=$T65),$W65,IF(AND($S65&lt;&gt;"",EDATE($D65,Milestones!$AA$147)&gt;=$S65),$V65,$U65)))=Milestones!$AB$147),UPPER(TEXT(EDATE($D65,Milestones!$AA$147),"dd mmm yy"))&amp;" "&amp;Milestones!$AB$147&amp;" "&amp;Milestones!$AC$147&amp;";  ","")&amp;IF(AND(EDATE($D65,Milestones!$AA$148)&lt;=AsOfDate,IF($R65=0,$X65,IF(AND($T65&lt;&gt;"",EDATE($D65,Milestones!$AA$148)&gt;=$T65),$W65,IF(AND($S65&lt;&gt;"",EDATE($D65,Milestones!$AA$148)&gt;=$S65),$V65,$U65)))=Milestones!$AB$148),UPPER(TEXT(EDATE($D65,Milestones!$AA$148),"dd mmm yy"))&amp;" "&amp;Milestones!$AB$148&amp;" "&amp;Milestones!$AC$148&amp;";  ","")&amp;IF(AND(EDATE($D65,Milestones!$AA$149)&lt;=AsOfDate,IF($R65=0,$X65,IF(AND($T65&lt;&gt;"",EDATE($D65,Milestones!$AA$149)&gt;=$T65),$W65,IF(AND($S65&lt;&gt;"",EDATE($D65,Milestones!$AA$149)&gt;=$S65),$V65,$U65)))=Milestones!$AB$149),UPPER(TEXT(EDATE($D65,Milestones!$AA$149),"dd mmm yy"))&amp;" "&amp;Milestones!$AB$149&amp;" "&amp;Milestones!$AC$149&amp;";  ","")&amp;IF(AND(EDATE($D65,Milestones!$AA$150)&lt;=AsOfDate,IF($R65=0,$X65,IF(AND($T65&lt;&gt;"",EDATE($D65,Milestones!$AA$150)&gt;=$T65),$W65,IF(AND($S65&lt;&gt;"",EDATE($D65,Milestones!$AA$150)&gt;=$S65),$V65,$U65)))=Milestones!$AB$150),UPPER(TEXT(EDATE($D65,Milestones!$AA$150),"dd mmm yy"))&amp;" "&amp;Milestones!$AB$150&amp;" "&amp;Milestones!$AC$150&amp;";  ","")&amp;IF(AND(EDATE($D65,Milestones!$AA$151)&lt;=AsOfDate,IF($R65=0,$X65,IF(AND($T65&lt;&gt;"",EDATE($D65,Milestones!$AA$151)&gt;=$T65),$W65,IF(AND($S65&lt;&gt;"",EDATE($D65,Milestones!$AA$151)&gt;=$S65),$V65,$U65)))=Milestones!$AB$151),UPPER(TEXT(EDATE($D65,Milestones!$AA$151),"dd mmm yy"))&amp;" "&amp;Milestones!$AB$151&amp;" "&amp;Milestones!$AC$151&amp;";  ","")&amp;IF(AND(EDATE($D65,Milestones!$AA$152)&lt;=AsOfDate,IF($R65=0,$X65,IF(AND($T65&lt;&gt;"",EDATE($D65,Milestones!$AA$152)&gt;=$T65),$W65,IF(AND($S65&lt;&gt;"",EDATE($D65,Milestones!$AA$152)&gt;=$S65),$V65,$U65)))=Milestones!$AB$152),UPPER(TEXT(EDATE($D65,Milestones!$AA$152),"dd mmm yy"))&amp;" "&amp;Milestones!$AB$152&amp;" "&amp;Milestones!$AC$152&amp;";  ","")&amp;IF(AND(EDATE($D65,Milestones!$AA$153)&lt;=AsOfDate,IF($R65=0,$X65,IF(AND($T65&lt;&gt;"",EDATE($D65,Milestones!$AA$153)&gt;=$T65),$W65,IF(AND($S65&lt;&gt;"",EDATE($D65,Milestones!$AA$153)&gt;=$S65),$V65,$U65)))=Milestones!$AB$153),UPPER(TEXT(EDATE($D65,Milestones!$AA$153),"dd mmm yy"))&amp;" "&amp;Milestones!$AB$153&amp;" "&amp;Milestones!$AC$153&amp;";  ","")&amp;IF(AND(EDATE($D65,Milestones!$AA$154)&lt;=AsOfDate,IF($R65=0,$X65,IF(AND($T65&lt;&gt;"",EDATE($D65,Milestones!$AA$154)&gt;=$T65),$W65,IF(AND($S65&lt;&gt;"",EDATE($D65,Milestones!$AA$154)&gt;=$S65),$V65,$U65)))=Milestones!$AB$154),UPPER(TEXT(EDATE($D65,Milestones!$AA$154),"dd mmm yy"))&amp;" "&amp;Milestones!$AB$154&amp;" "&amp;Milestones!$AC$154&amp;";  ","")&amp;IF(AND(EDATE($D65,Milestones!$AA$155)&lt;=AsOfDate,IF($R65=0,$X65,IF(AND($T65&lt;&gt;"",EDATE($D65,Milestones!$AA$155)&gt;=$T65),$W65,IF(AND($S65&lt;&gt;"",EDATE($D65,Milestones!$AA$155)&gt;=$S65),$V65,$U65)))=Milestones!$AB$155),UPPER(TEXT(EDATE($D65,Milestones!$AA$155),"dd mmm yy"))&amp;" "&amp;Milestones!$AB$155&amp;" "&amp;Milestones!$AC$155&amp;";  ","")&amp;IF(AND(EDATE($D65,Milestones!$AA$156)&lt;=AsOfDate,IF($R65=0,$X65,IF(AND($T65&lt;&gt;"",EDATE($D65,Milestones!$AA$156)&gt;=$T65),$W65,IF(AND($S65&lt;&gt;"",EDATE($D65,Milestones!$AA$156)&gt;=$S65),$V65,$U65)))=Milestones!$AB$156),UPPER(TEXT(EDATE($D65,Milestones!$AA$156),"dd mmm yy"))&amp;" "&amp;Milestones!$AB$156&amp;" "&amp;Milestones!$AC$156&amp;";  ","")&amp;IF(AND(EDATE($D65,Milestones!$AA$157)&lt;=AsOfDate,IF($R65=0,$X65,IF(AND($T65&lt;&gt;"",EDATE($D65,Milestones!$AA$157)&gt;=$T65),$W65,IF(AND($S65&lt;&gt;"",EDATE($D65,Milestones!$AA$157)&gt;=$S65),$V65,$U65)))=Milestones!$AB$157),UPPER(TEXT(EDATE($D65,Milestones!$AA$157),"dd mmm yy"))&amp;" "&amp;Milestones!$AB$157&amp;" "&amp;Milestones!$AC$157&amp;";  ","")&amp;IF(AND(EDATE($D65,Milestones!$AA$158)&lt;=AsOfDate,IF($R65=0,$X65,IF(AND($T65&lt;&gt;"",EDATE($D65,Milestones!$AA$158)&gt;=$T65),$W65,IF(AND($S65&lt;&gt;"",EDATE($D65,Milestones!$AA$158)&gt;=$S65),$V65,$U65)))=Milestones!$AB$158),UPPER(TEXT(EDATE($D65,Milestones!$AA$158),"dd mmm yy"))&amp;" "&amp;Milestones!$AB$158&amp;" "&amp;Milestones!$AC$158&amp;";  ","")&amp;IF(AND(EDATE($D65,Milestones!$AA$159)&lt;=AsOfDate,IF($R65=0,$X65,IF(AND($T65&lt;&gt;"",EDATE($D65,Milestones!$AA$159)&gt;=$T65),$W65,IF(AND($S65&lt;&gt;"",EDATE($D65,Milestones!$AA$159)&gt;=$S65),$V65,$U65)))=Milestones!$AB$159),UPPER(TEXT(EDATE($D65,Milestones!$AA$159),"dd mmm yy"))&amp;" "&amp;Milestones!$AB$159&amp;" "&amp;Milestones!$AC$159&amp;";  ",""))</f>
        <v/>
      </c>
      <c r="P65" s="0" t="str">
        <f aca="false">IF(OR($A65="",$D65=""),"",IF(AND(EDATE($D65,Milestones!$AA$160)&lt;=AsOfDate,IF($R65=0,$X65,IF(AND($T65&lt;&gt;"",EDATE($D65,Milestones!$AA$160)&gt;=$T65),$W65,IF(AND($S65&lt;&gt;"",EDATE($D65,Milestones!$AA$160)&gt;=$S65),$V65,$U65)))=Milestones!$AB$160),UPPER(TEXT(EDATE($D65,Milestones!$AA$160),"dd mmm yy"))&amp;" "&amp;Milestones!$AB$160&amp;" "&amp;Milestones!$AC$160&amp;";  ","")&amp;IF(AND(EDATE($D65,Milestones!$AA$161)&lt;=AsOfDate,IF($R65=0,$X65,IF(AND($T65&lt;&gt;"",EDATE($D65,Milestones!$AA$161)&gt;=$T65),$W65,IF(AND($S65&lt;&gt;"",EDATE($D65,Milestones!$AA$161)&gt;=$S65),$V65,$U65)))=Milestones!$AB$161),UPPER(TEXT(EDATE($D65,Milestones!$AA$161),"dd mmm yy"))&amp;" "&amp;Milestones!$AB$161&amp;" "&amp;Milestones!$AC$161&amp;";  ","")&amp;IF(AND(EDATE($D65,Milestones!$AA$162)&lt;=AsOfDate,IF($R65=0,$X65,IF(AND($T65&lt;&gt;"",EDATE($D65,Milestones!$AA$162)&gt;=$T65),$W65,IF(AND($S65&lt;&gt;"",EDATE($D65,Milestones!$AA$162)&gt;=$S65),$V65,$U65)))=Milestones!$AB$162),UPPER(TEXT(EDATE($D65,Milestones!$AA$162),"dd mmm yy"))&amp;" "&amp;Milestones!$AB$162&amp;" "&amp;Milestones!$AC$162&amp;";  ","")&amp;IF(AND(EDATE($D65,Milestones!$AA$163)&lt;=AsOfDate,IF($R65=0,$X65,IF(AND($T65&lt;&gt;"",EDATE($D65,Milestones!$AA$163)&gt;=$T65),$W65,IF(AND($S65&lt;&gt;"",EDATE($D65,Milestones!$AA$163)&gt;=$S65),$V65,$U65)))=Milestones!$AB$163),UPPER(TEXT(EDATE($D65,Milestones!$AA$163),"dd mmm yy"))&amp;" "&amp;Milestones!$AB$163&amp;" "&amp;Milestones!$AC$163&amp;";  ","")&amp;IF(AND(EDATE($D65,Milestones!$AA$164)&lt;=AsOfDate,IF($R65=0,$X65,IF(AND($T65&lt;&gt;"",EDATE($D65,Milestones!$AA$164)&gt;=$T65),$W65,IF(AND($S65&lt;&gt;"",EDATE($D65,Milestones!$AA$164)&gt;=$S65),$V65,$U65)))=Milestones!$AB$164),UPPER(TEXT(EDATE($D65,Milestones!$AA$164),"dd mmm yy"))&amp;" "&amp;Milestones!$AB$164&amp;" "&amp;Milestones!$AC$164&amp;";  ","")&amp;IF(AND(EDATE($D65,Milestones!$AA$165)&lt;=AsOfDate,IF($R65=0,$X65,IF(AND($T65&lt;&gt;"",EDATE($D65,Milestones!$AA$165)&gt;=$T65),$W65,IF(AND($S65&lt;&gt;"",EDATE($D65,Milestones!$AA$165)&gt;=$S65),$V65,$U65)))=Milestones!$AB$165),UPPER(TEXT(EDATE($D65,Milestones!$AA$165),"dd mmm yy"))&amp;" "&amp;Milestones!$AB$165&amp;" "&amp;Milestones!$AC$165&amp;";  ","")&amp;IF(AND(EDATE($D65,Milestones!$AA$166)&lt;=AsOfDate,IF($R65=0,$X65,IF(AND($T65&lt;&gt;"",EDATE($D65,Milestones!$AA$166)&gt;=$T65),$W65,IF(AND($S65&lt;&gt;"",EDATE($D65,Milestones!$AA$166)&gt;=$S65),$V65,$U65)))=Milestones!$AB$166),UPPER(TEXT(EDATE($D65,Milestones!$AA$166),"dd mmm yy"))&amp;" "&amp;Milestones!$AB$166&amp;" "&amp;Milestones!$AC$166&amp;";  ","")&amp;IF(AND(EDATE($D65,Milestones!$AA$167)&lt;=AsOfDate,IF($R65=0,$X65,IF(AND($T65&lt;&gt;"",EDATE($D65,Milestones!$AA$167)&gt;=$T65),$W65,IF(AND($S65&lt;&gt;"",EDATE($D65,Milestones!$AA$167)&gt;=$S65),$V65,$U65)))=Milestones!$AB$167),UPPER(TEXT(EDATE($D65,Milestones!$AA$167),"dd mmm yy"))&amp;" "&amp;Milestones!$AB$167&amp;" "&amp;Milestones!$AC$167&amp;";  ","")&amp;IF(AND(EDATE($D65,Milestones!$AA$168)&lt;=AsOfDate,IF($R65=0,$X65,IF(AND($T65&lt;&gt;"",EDATE($D65,Milestones!$AA$168)&gt;=$T65),$W65,IF(AND($S65&lt;&gt;"",EDATE($D65,Milestones!$AA$168)&gt;=$S65),$V65,$U65)))=Milestones!$AB$168),UPPER(TEXT(EDATE($D65,Milestones!$AA$168),"dd mmm yy"))&amp;" "&amp;Milestones!$AB$168&amp;" "&amp;Milestones!$AC$168&amp;";  ","")&amp;IF(AND(EDATE($D65,Milestones!$AA$169)&lt;=AsOfDate,IF($R65=0,$X65,IF(AND($T65&lt;&gt;"",EDATE($D65,Milestones!$AA$169)&gt;=$T65),$W65,IF(AND($S65&lt;&gt;"",EDATE($D65,Milestones!$AA$169)&gt;=$S65),$V65,$U65)))=Milestones!$AB$169),UPPER(TEXT(EDATE($D65,Milestones!$AA$169),"dd mmm yy"))&amp;" "&amp;Milestones!$AB$169&amp;" "&amp;Milestones!$AC$169&amp;";  ","")&amp;IF(AND(EDATE($D65,Milestones!$AA$170)&lt;=AsOfDate,IF($R65=0,$X65,IF(AND($T65&lt;&gt;"",EDATE($D65,Milestones!$AA$170)&gt;=$T65),$W65,IF(AND($S65&lt;&gt;"",EDATE($D65,Milestones!$AA$170)&gt;=$S65),$V65,$U65)))=Milestones!$AB$170),UPPER(TEXT(EDATE($D65,Milestones!$AA$170),"dd mmm yy"))&amp;" "&amp;Milestones!$AB$170&amp;" "&amp;Milestones!$AC$170&amp;";  ","")&amp;IF(AND(EDATE($D65,Milestones!$AA$171)&lt;=AsOfDate,IF($R65=0,$X65,IF(AND($T65&lt;&gt;"",EDATE($D65,Milestones!$AA$171)&gt;=$T65),$W65,IF(AND($S65&lt;&gt;"",EDATE($D65,Milestones!$AA$171)&gt;=$S65),$V65,$U65)))=Milestones!$AB$171),UPPER(TEXT(EDATE($D65,Milestones!$AA$171),"dd mmm yy"))&amp;" "&amp;Milestones!$AB$171&amp;" "&amp;Milestones!$AC$171&amp;";  ","")&amp;IF(AND(EDATE($D65,Milestones!$AA$172)&lt;=AsOfDate,IF($R65=0,$X65,IF(AND($T65&lt;&gt;"",EDATE($D65,Milestones!$AA$172)&gt;=$T65),$W65,IF(AND($S65&lt;&gt;"",EDATE($D65,Milestones!$AA$172)&gt;=$S65),$V65,$U65)))=Milestones!$AB$172),UPPER(TEXT(EDATE($D65,Milestones!$AA$172),"dd mmm yy"))&amp;" "&amp;Milestones!$AB$172&amp;" "&amp;Milestones!$AC$172&amp;";  ","")&amp;IF(AND(EDATE($D65,Milestones!$AA$173)&lt;=AsOfDate,IF($R65=0,$X65,IF(AND($T65&lt;&gt;"",EDATE($D65,Milestones!$AA$173)&gt;=$T65),$W65,IF(AND($S65&lt;&gt;"",EDATE($D65,Milestones!$AA$173)&gt;=$S65),$V65,$U65)))=Milestones!$AB$173),UPPER(TEXT(EDATE($D65,Milestones!$AA$173),"dd mmm yy"))&amp;" "&amp;Milestones!$AB$173&amp;" "&amp;Milestones!$AC$173&amp;";  ","")&amp;IF(AND(EDATE($D65,Milestones!$AA$174)&lt;=AsOfDate,IF($R65=0,$X65,IF(AND($T65&lt;&gt;"",EDATE($D65,Milestones!$AA$174)&gt;=$T65),$W65,IF(AND($S65&lt;&gt;"",EDATE($D65,Milestones!$AA$174)&gt;=$S65),$V65,$U65)))=Milestones!$AB$174),UPPER(TEXT(EDATE($D65,Milestones!$AA$174),"dd mmm yy"))&amp;" "&amp;Milestones!$AB$174&amp;" "&amp;Milestones!$AC$174&amp;";  ","")&amp;IF(AND(EDATE($D65,Milestones!$AA$175)&lt;=AsOfDate,IF($R65=0,$X65,IF(AND($T65&lt;&gt;"",EDATE($D65,Milestones!$AA$175)&gt;=$T65),$W65,IF(AND($S65&lt;&gt;"",EDATE($D65,Milestones!$AA$175)&gt;=$S65),$V65,$U65)))=Milestones!$AB$175),UPPER(TEXT(EDATE($D65,Milestones!$AA$175),"dd mmm yy"))&amp;" "&amp;Milestones!$AB$175&amp;" "&amp;Milestones!$AC$175&amp;";  ","")&amp;IF(AND(EDATE($D65,Milestones!$AA$176)&lt;=AsOfDate,IF($R65=0,$X65,IF(AND($T65&lt;&gt;"",EDATE($D65,Milestones!$AA$176)&gt;=$T65),$W65,IF(AND($S65&lt;&gt;"",EDATE($D65,Milestones!$AA$176)&gt;=$S65),$V65,$U65)))=Milestones!$AB$176),UPPER(TEXT(EDATE($D65,Milestones!$AA$176),"dd mmm yy"))&amp;" "&amp;Milestones!$AB$176&amp;" "&amp;Milestones!$AC$176&amp;";  ","")&amp;IF(AND(EDATE($D65,Milestones!$AA$177)&lt;=AsOfDate,IF($R65=0,$X65,IF(AND($T65&lt;&gt;"",EDATE($D65,Milestones!$AA$177)&gt;=$T65),$W65,IF(AND($S65&lt;&gt;"",EDATE($D65,Milestones!$AA$177)&gt;=$S65),$V65,$U65)))=Milestones!$AB$177),UPPER(TEXT(EDATE($D65,Milestones!$AA$177),"dd mmm yy"))&amp;" "&amp;Milestones!$AB$177&amp;" "&amp;Milestones!$AC$177&amp;";  ","")&amp;IF(AND(EDATE($D65,Milestones!$AA$178)&lt;=AsOfDate,IF($R65=0,$X65,IF(AND($T65&lt;&gt;"",EDATE($D65,Milestones!$AA$178)&gt;=$T65),$W65,IF(AND($S65&lt;&gt;"",EDATE($D65,Milestones!$AA$178)&gt;=$S65),$V65,$U65)))=Milestones!$AB$178),UPPER(TEXT(EDATE($D65,Milestones!$AA$178),"dd mmm yy"))&amp;" "&amp;Milestones!$AB$178&amp;" "&amp;Milestones!$AC$178&amp;";  ","")&amp;IF(AND(EDATE($D65,Milestones!$AA$179)&lt;=AsOfDate,IF($R65=0,$X65,IF(AND($T65&lt;&gt;"",EDATE($D65,Milestones!$AA$179)&gt;=$T65),$W65,IF(AND($S65&lt;&gt;"",EDATE($D65,Milestones!$AA$179)&gt;=$S65),$V65,$U65)))=Milestones!$AB$179),UPPER(TEXT(EDATE($D65,Milestones!$AA$179),"dd mmm yy"))&amp;" "&amp;Milestones!$AB$179&amp;" "&amp;Milestones!$AC$179&amp;";  ",""))</f>
        <v/>
      </c>
      <c r="Q65" s="0" t="str">
        <f aca="false">IF(OR($A65="",$D65=""),"",IF(AND(EDATE($D65,Milestones!$AA$180)&lt;=AsOfDate,IF($R65=0,$X65,IF(AND($T65&lt;&gt;"",EDATE($D65,Milestones!$AA$180)&gt;=$T65),$W65,IF(AND($S65&lt;&gt;"",EDATE($D65,Milestones!$AA$180)&gt;=$S65),$V65,$U65)))=Milestones!$AB$180),UPPER(TEXT(EDATE($D65,Milestones!$AA$180),"dd mmm yy"))&amp;" "&amp;Milestones!$AB$180&amp;" "&amp;Milestones!$AC$180&amp;";  ","")&amp;IF(AND(EDATE($D65,Milestones!$AA$181)&lt;=AsOfDate,IF($R65=0,$X65,IF(AND($T65&lt;&gt;"",EDATE($D65,Milestones!$AA$181)&gt;=$T65),$W65,IF(AND($S65&lt;&gt;"",EDATE($D65,Milestones!$AA$181)&gt;=$S65),$V65,$U65)))=Milestones!$AB$181),UPPER(TEXT(EDATE($D65,Milestones!$AA$181),"dd mmm yy"))&amp;" "&amp;Milestones!$AB$181&amp;" "&amp;Milestones!$AC$181&amp;";  ","")&amp;IF(AND(EDATE($D65,Milestones!$AA$182)&lt;=AsOfDate,IF($R65=0,$X65,IF(AND($T65&lt;&gt;"",EDATE($D65,Milestones!$AA$182)&gt;=$T65),$W65,IF(AND($S65&lt;&gt;"",EDATE($D65,Milestones!$AA$182)&gt;=$S65),$V65,$U65)))=Milestones!$AB$182),UPPER(TEXT(EDATE($D65,Milestones!$AA$182),"dd mmm yy"))&amp;" "&amp;Milestones!$AB$182&amp;" "&amp;Milestones!$AC$182&amp;";  ","")&amp;IF(AND(EDATE($D65,Milestones!$AA$183)&lt;=AsOfDate,IF($R65=0,$X65,IF(AND($T65&lt;&gt;"",EDATE($D65,Milestones!$AA$183)&gt;=$T65),$W65,IF(AND($S65&lt;&gt;"",EDATE($D65,Milestones!$AA$183)&gt;=$S65),$V65,$U65)))=Milestones!$AB$183),UPPER(TEXT(EDATE($D65,Milestones!$AA$183),"dd mmm yy"))&amp;" "&amp;Milestones!$AB$183&amp;" "&amp;Milestones!$AC$183&amp;";  ","")&amp;IF(AND(EDATE($D65,Milestones!$AA$184)&lt;=AsOfDate,IF($R65=0,$X65,IF(AND($T65&lt;&gt;"",EDATE($D65,Milestones!$AA$184)&gt;=$T65),$W65,IF(AND($S65&lt;&gt;"",EDATE($D65,Milestones!$AA$184)&gt;=$S65),$V65,$U65)))=Milestones!$AB$184),UPPER(TEXT(EDATE($D65,Milestones!$AA$184),"dd mmm yy"))&amp;" "&amp;Milestones!$AB$184&amp;" "&amp;Milestones!$AC$184&amp;";  ","")&amp;IF(AND(EDATE($D65,Milestones!$AA$185)&lt;=AsOfDate,IF($R65=0,$X65,IF(AND($T65&lt;&gt;"",EDATE($D65,Milestones!$AA$185)&gt;=$T65),$W65,IF(AND($S65&lt;&gt;"",EDATE($D65,Milestones!$AA$185)&gt;=$S65),$V65,$U65)))=Milestones!$AB$185),UPPER(TEXT(EDATE($D65,Milestones!$AA$185),"dd mmm yy"))&amp;" "&amp;Milestones!$AB$185&amp;" "&amp;Milestones!$AC$185&amp;";  ","")&amp;IF(AND(EDATE($D65,Milestones!$AA$186)&lt;=AsOfDate,IF($R65=0,$X65,IF(AND($T65&lt;&gt;"",EDATE($D65,Milestones!$AA$186)&gt;=$T65),$W65,IF(AND($S65&lt;&gt;"",EDATE($D65,Milestones!$AA$186)&gt;=$S65),$V65,$U65)))=Milestones!$AB$186),UPPER(TEXT(EDATE($D65,Milestones!$AA$186),"dd mmm yy"))&amp;" "&amp;Milestones!$AB$186&amp;" "&amp;Milestones!$AC$186&amp;";  ","")&amp;IF(AND(EDATE($D65,Milestones!$AA$187)&lt;=AsOfDate,IF($R65=0,$X65,IF(AND($T65&lt;&gt;"",EDATE($D65,Milestones!$AA$187)&gt;=$T65),$W65,IF(AND($S65&lt;&gt;"",EDATE($D65,Milestones!$AA$187)&gt;=$S65),$V65,$U65)))=Milestones!$AB$187),UPPER(TEXT(EDATE($D65,Milestones!$AA$187),"dd mmm yy"))&amp;" "&amp;Milestones!$AB$187&amp;" "&amp;Milestones!$AC$187&amp;";  ","")&amp;IF(AND(EDATE($D65,Milestones!$AA$188)&lt;=AsOfDate,IF($R65=0,$X65,IF(AND($T65&lt;&gt;"",EDATE($D65,Milestones!$AA$188)&gt;=$T65),$W65,IF(AND($S65&lt;&gt;"",EDATE($D65,Milestones!$AA$188)&gt;=$S65),$V65,$U65)))=Milestones!$AB$188),UPPER(TEXT(EDATE($D65,Milestones!$AA$188),"dd mmm yy"))&amp;" "&amp;Milestones!$AB$188&amp;" "&amp;Milestones!$AC$188&amp;";  ","")&amp;IF(AND(EDATE($D65,Milestones!$AA$189)&lt;=AsOfDate,IF($R65=0,$X65,IF(AND($T65&lt;&gt;"",EDATE($D65,Milestones!$AA$189)&gt;=$T65),$W65,IF(AND($S65&lt;&gt;"",EDATE($D65,Milestones!$AA$189)&gt;=$S65),$V65,$U65)))=Milestones!$AB$189),UPPER(TEXT(EDATE($D65,Milestones!$AA$189),"dd mmm yy"))&amp;" "&amp;Milestones!$AB$189&amp;" "&amp;Milestones!$AC$189&amp;";  ","")&amp;IF(AND(EDATE($D65,Milestones!$AA$190)&lt;=AsOfDate,IF($R65=0,$X65,IF(AND($T65&lt;&gt;"",EDATE($D65,Milestones!$AA$190)&gt;=$T65),$W65,IF(AND($S65&lt;&gt;"",EDATE($D65,Milestones!$AA$190)&gt;=$S65),$V65,$U65)))=Milestones!$AB$190),UPPER(TEXT(EDATE($D65,Milestones!$AA$190),"dd mmm yy"))&amp;" "&amp;Milestones!$AB$190&amp;" "&amp;Milestones!$AC$190&amp;";  ","")&amp;IF(AND(EDATE($D65,Milestones!$AA$191)&lt;=AsOfDate,IF($R65=0,$X65,IF(AND($T65&lt;&gt;"",EDATE($D65,Milestones!$AA$191)&gt;=$T65),$W65,IF(AND($S65&lt;&gt;"",EDATE($D65,Milestones!$AA$191)&gt;=$S65),$V65,$U65)))=Milestones!$AB$191),UPPER(TEXT(EDATE($D65,Milestones!$AA$191),"dd mmm yy"))&amp;" "&amp;Milestones!$AB$191&amp;" "&amp;Milestones!$AC$191&amp;";  ","")&amp;IF(AND(EDATE($D65,Milestones!$AA$192)&lt;=AsOfDate,IF($R65=0,$X65,IF(AND($T65&lt;&gt;"",EDATE($D65,Milestones!$AA$192)&gt;=$T65),$W65,IF(AND($S65&lt;&gt;"",EDATE($D65,Milestones!$AA$192)&gt;=$S65),$V65,$U65)))=Milestones!$AB$192),UPPER(TEXT(EDATE($D65,Milestones!$AA$192),"dd mmm yy"))&amp;" "&amp;Milestones!$AB$192&amp;" "&amp;Milestones!$AC$192&amp;";  ","")&amp;IF(AND(EDATE($D65,Milestones!$AA$193)&lt;=AsOfDate,IF($R65=0,$X65,IF(AND($T65&lt;&gt;"",EDATE($D65,Milestones!$AA$193)&gt;=$T65),$W65,IF(AND($S65&lt;&gt;"",EDATE($D65,Milestones!$AA$193)&gt;=$S65),$V65,$U65)))=Milestones!$AB$193),UPPER(TEXT(EDATE($D65,Milestones!$AA$193),"dd mmm yy"))&amp;" "&amp;Milestones!$AB$193&amp;" "&amp;Milestones!$AC$193&amp;";  ","")&amp;IF(AND(EDATE($D65,Milestones!$AA$194)&lt;=AsOfDate,IF($R65=0,$X65,IF(AND($T65&lt;&gt;"",EDATE($D65,Milestones!$AA$194)&gt;=$T65),$W65,IF(AND($S65&lt;&gt;"",EDATE($D65,Milestones!$AA$194)&gt;=$S65),$V65,$U65)))=Milestones!$AB$194),UPPER(TEXT(EDATE($D65,Milestones!$AA$194),"dd mmm yy"))&amp;" "&amp;Milestones!$AB$194&amp;" "&amp;Milestones!$AC$194&amp;";  ","")&amp;IF(AND(EDATE($D65,Milestones!$AA$195)&lt;=AsOfDate,IF($R65=0,$X65,IF(AND($T65&lt;&gt;"",EDATE($D65,Milestones!$AA$195)&gt;=$T65),$W65,IF(AND($S65&lt;&gt;"",EDATE($D65,Milestones!$AA$195)&gt;=$S65),$V65,$U65)))=Milestones!$AB$195),UPPER(TEXT(EDATE($D65,Milestones!$AA$195),"dd mmm yy"))&amp;" "&amp;Milestones!$AB$195&amp;" "&amp;Milestones!$AC$195&amp;";  ","")&amp;IF(AND(EDATE($D65,Milestones!$AA$196)&lt;=AsOfDate,IF($R65=0,$X65,IF(AND($T65&lt;&gt;"",EDATE($D65,Milestones!$AA$196)&gt;=$T65),$W65,IF(AND($S65&lt;&gt;"",EDATE($D65,Milestones!$AA$196)&gt;=$S65),$V65,$U65)))=Milestones!$AB$196),UPPER(TEXT(EDATE($D65,Milestones!$AA$196),"dd mmm yy"))&amp;" "&amp;Milestones!$AB$196&amp;" "&amp;Milestones!$AC$196&amp;";  ","")&amp;IF(AND(EDATE($D65,Milestones!$AA$197)&lt;=AsOfDate,IF($R65=0,$X65,IF(AND($T65&lt;&gt;"",EDATE($D65,Milestones!$AA$197)&gt;=$T65),$W65,IF(AND($S65&lt;&gt;"",EDATE($D65,Milestones!$AA$197)&gt;=$S65),$V65,$U65)))=Milestones!$AB$197),UPPER(TEXT(EDATE($D65,Milestones!$AA$197),"dd mmm yy"))&amp;" "&amp;Milestones!$AB$197&amp;" "&amp;Milestones!$AC$197&amp;";  ","")&amp;IF(AND(EDATE($D65,Milestones!$AA$198)&lt;=AsOfDate,IF($R65=0,$X65,IF(AND($T65&lt;&gt;"",EDATE($D65,Milestones!$AA$198)&gt;=$T65),$W65,IF(AND($S65&lt;&gt;"",EDATE($D65,Milestones!$AA$198)&gt;=$S65),$V65,$U65)))=Milestones!$AB$198),UPPER(TEXT(EDATE($D65,Milestones!$AA$198),"dd mmm yy"))&amp;" "&amp;Milestones!$AB$198&amp;" "&amp;Milestones!$AC$198&amp;";  ","")&amp;IF(AND(EDATE($D65,Milestones!$AA$199)&lt;=AsOfDate,IF($R65=0,$X65,IF(AND($T65&lt;&gt;"",EDATE($D65,Milestones!$AA$199)&gt;=$T65),$W65,IF(AND($S65&lt;&gt;"",EDATE($D65,Milestones!$AA$199)&gt;=$S65),$V65,$U65)))=Milestones!$AB$199),UPPER(TEXT(EDATE($D65,Milestones!$AA$199),"dd mmm yy"))&amp;" "&amp;Milestones!$AB$199&amp;" "&amp;Milestones!$AC$199&amp;";  ",""))</f>
        <v/>
      </c>
      <c r="R65" s="0" t="str">
        <f aca="false">IF(Staff!$A65="","",Staff!$AI65)</f>
        <v/>
      </c>
      <c r="S65" s="0" t="str">
        <f aca="false">IF(Staff!$A65="","",Staff!$AK65)</f>
        <v/>
      </c>
      <c r="T65" s="0" t="str">
        <f aca="false">IF(Staff!$A65="","",Staff!$AL65)</f>
        <v/>
      </c>
      <c r="U65" s="0" t="str">
        <f aca="false">IF(Staff!$A65="","",Staff!$AP65)</f>
        <v/>
      </c>
      <c r="V65" s="0" t="str">
        <f aca="false">IF(Staff!$A65="","",Staff!$AQ65)</f>
        <v/>
      </c>
      <c r="W65" s="0" t="str">
        <f aca="false">IF(Staff!$A65="","",Staff!$AR65)</f>
        <v/>
      </c>
      <c r="X65" s="0" t="str">
        <f aca="false">IF(Staff!$A65="","",Staff!$AS65)</f>
        <v/>
      </c>
    </row>
    <row r="66" customFormat="false" ht="15" hidden="false" customHeight="false" outlineLevel="0" collapsed="false">
      <c r="A66" s="14" t="str">
        <f aca="false">IF(Staff!$A66="","",Staff!$A66)</f>
        <v/>
      </c>
      <c r="B66" s="14" t="str">
        <f aca="false">IF(Staff!$A66="","",Staff!$B66)</f>
        <v/>
      </c>
      <c r="C66" s="14" t="str">
        <f aca="false">IF(Staff!$A66="","",Staff!$C66)</f>
        <v/>
      </c>
      <c r="D66" s="12" t="str">
        <f aca="false">IF(Staff!$A66="","",Staff!$AH66)</f>
        <v/>
      </c>
      <c r="E66" s="14" t="str">
        <f aca="false">IF(Staff!$A66="","",Staff!$O66)</f>
        <v/>
      </c>
      <c r="F66" s="14" t="str">
        <f aca="false">IF(E66="","",E66*HoursPerDay)</f>
        <v/>
      </c>
      <c r="G66" s="14" t="str">
        <f aca="false">IF(Staff!$A66="","",Staff!$AE66)</f>
        <v/>
      </c>
      <c r="H66" s="26" t="str">
        <f aca="false">IF($A66="","",I66&amp;J66&amp;K66&amp;L66&amp;M66&amp;N66&amp;O66&amp;P66&amp;Q66)</f>
        <v/>
      </c>
      <c r="I66" s="0" t="str">
        <f aca="false">IF(OR($A66="",$D66=""),"",IF(AND(EDATE($D66,Milestones!$AA$20)&lt;=AsOfDate,IF($R66=0,$X66,IF(AND($T66&lt;&gt;"",EDATE($D66,Milestones!$AA$20)&gt;=$T66),$W66,IF(AND($S66&lt;&gt;"",EDATE($D66,Milestones!$AA$20)&gt;=$S66),$V66,$U66)))=Milestones!$AB$20),UPPER(TEXT(EDATE($D66,Milestones!$AA$20),"dd mmm yy"))&amp;" "&amp;Milestones!$AB$20&amp;" "&amp;Milestones!$AC$20&amp;";  ","")&amp;IF(AND(EDATE($D66,Milestones!$AA$21)&lt;=AsOfDate,IF($R66=0,$X66,IF(AND($T66&lt;&gt;"",EDATE($D66,Milestones!$AA$21)&gt;=$T66),$W66,IF(AND($S66&lt;&gt;"",EDATE($D66,Milestones!$AA$21)&gt;=$S66),$V66,$U66)))=Milestones!$AB$21),UPPER(TEXT(EDATE($D66,Milestones!$AA$21),"dd mmm yy"))&amp;" "&amp;Milestones!$AB$21&amp;" "&amp;Milestones!$AC$21&amp;";  ","")&amp;IF(AND(EDATE($D66,Milestones!$AA$22)&lt;=AsOfDate,IF($R66=0,$X66,IF(AND($T66&lt;&gt;"",EDATE($D66,Milestones!$AA$22)&gt;=$T66),$W66,IF(AND($S66&lt;&gt;"",EDATE($D66,Milestones!$AA$22)&gt;=$S66),$V66,$U66)))=Milestones!$AB$22),UPPER(TEXT(EDATE($D66,Milestones!$AA$22),"dd mmm yy"))&amp;" "&amp;Milestones!$AB$22&amp;" "&amp;Milestones!$AC$22&amp;";  ","")&amp;IF(AND(EDATE($D66,Milestones!$AA$23)&lt;=AsOfDate,IF($R66=0,$X66,IF(AND($T66&lt;&gt;"",EDATE($D66,Milestones!$AA$23)&gt;=$T66),$W66,IF(AND($S66&lt;&gt;"",EDATE($D66,Milestones!$AA$23)&gt;=$S66),$V66,$U66)))=Milestones!$AB$23),UPPER(TEXT(EDATE($D66,Milestones!$AA$23),"dd mmm yy"))&amp;" "&amp;Milestones!$AB$23&amp;" "&amp;Milestones!$AC$23&amp;";  ","")&amp;IF(AND(EDATE($D66,Milestones!$AA$24)&lt;=AsOfDate,IF($R66=0,$X66,IF(AND($T66&lt;&gt;"",EDATE($D66,Milestones!$AA$24)&gt;=$T66),$W66,IF(AND($S66&lt;&gt;"",EDATE($D66,Milestones!$AA$24)&gt;=$S66),$V66,$U66)))=Milestones!$AB$24),UPPER(TEXT(EDATE($D66,Milestones!$AA$24),"dd mmm yy"))&amp;" "&amp;Milestones!$AB$24&amp;" "&amp;Milestones!$AC$24&amp;";  ","")&amp;IF(AND(EDATE($D66,Milestones!$AA$25)&lt;=AsOfDate,IF($R66=0,$X66,IF(AND($T66&lt;&gt;"",EDATE($D66,Milestones!$AA$25)&gt;=$T66),$W66,IF(AND($S66&lt;&gt;"",EDATE($D66,Milestones!$AA$25)&gt;=$S66),$V66,$U66)))=Milestones!$AB$25),UPPER(TEXT(EDATE($D66,Milestones!$AA$25),"dd mmm yy"))&amp;" "&amp;Milestones!$AB$25&amp;" "&amp;Milestones!$AC$25&amp;";  ","")&amp;IF(AND(EDATE($D66,Milestones!$AA$26)&lt;=AsOfDate,IF($R66=0,$X66,IF(AND($T66&lt;&gt;"",EDATE($D66,Milestones!$AA$26)&gt;=$T66),$W66,IF(AND($S66&lt;&gt;"",EDATE($D66,Milestones!$AA$26)&gt;=$S66),$V66,$U66)))=Milestones!$AB$26),UPPER(TEXT(EDATE($D66,Milestones!$AA$26),"dd mmm yy"))&amp;" "&amp;Milestones!$AB$26&amp;" "&amp;Milestones!$AC$26&amp;";  ","")&amp;IF(AND(EDATE($D66,Milestones!$AA$27)&lt;=AsOfDate,IF($R66=0,$X66,IF(AND($T66&lt;&gt;"",EDATE($D66,Milestones!$AA$27)&gt;=$T66),$W66,IF(AND($S66&lt;&gt;"",EDATE($D66,Milestones!$AA$27)&gt;=$S66),$V66,$U66)))=Milestones!$AB$27),UPPER(TEXT(EDATE($D66,Milestones!$AA$27),"dd mmm yy"))&amp;" "&amp;Milestones!$AB$27&amp;" "&amp;Milestones!$AC$27&amp;";  ","")&amp;IF(AND(EDATE($D66,Milestones!$AA$28)&lt;=AsOfDate,IF($R66=0,$X66,IF(AND($T66&lt;&gt;"",EDATE($D66,Milestones!$AA$28)&gt;=$T66),$W66,IF(AND($S66&lt;&gt;"",EDATE($D66,Milestones!$AA$28)&gt;=$S66),$V66,$U66)))=Milestones!$AB$28),UPPER(TEXT(EDATE($D66,Milestones!$AA$28),"dd mmm yy"))&amp;" "&amp;Milestones!$AB$28&amp;" "&amp;Milestones!$AC$28&amp;";  ","")&amp;IF(AND(EDATE($D66,Milestones!$AA$29)&lt;=AsOfDate,IF($R66=0,$X66,IF(AND($T66&lt;&gt;"",EDATE($D66,Milestones!$AA$29)&gt;=$T66),$W66,IF(AND($S66&lt;&gt;"",EDATE($D66,Milestones!$AA$29)&gt;=$S66),$V66,$U66)))=Milestones!$AB$29),UPPER(TEXT(EDATE($D66,Milestones!$AA$29),"dd mmm yy"))&amp;" "&amp;Milestones!$AB$29&amp;" "&amp;Milestones!$AC$29&amp;";  ","")&amp;IF(AND(EDATE($D66,Milestones!$AA$30)&lt;=AsOfDate,IF($R66=0,$X66,IF(AND($T66&lt;&gt;"",EDATE($D66,Milestones!$AA$30)&gt;=$T66),$W66,IF(AND($S66&lt;&gt;"",EDATE($D66,Milestones!$AA$30)&gt;=$S66),$V66,$U66)))=Milestones!$AB$30),UPPER(TEXT(EDATE($D66,Milestones!$AA$30),"dd mmm yy"))&amp;" "&amp;Milestones!$AB$30&amp;" "&amp;Milestones!$AC$30&amp;";  ","")&amp;IF(AND(EDATE($D66,Milestones!$AA$31)&lt;=AsOfDate,IF($R66=0,$X66,IF(AND($T66&lt;&gt;"",EDATE($D66,Milestones!$AA$31)&gt;=$T66),$W66,IF(AND($S66&lt;&gt;"",EDATE($D66,Milestones!$AA$31)&gt;=$S66),$V66,$U66)))=Milestones!$AB$31),UPPER(TEXT(EDATE($D66,Milestones!$AA$31),"dd mmm yy"))&amp;" "&amp;Milestones!$AB$31&amp;" "&amp;Milestones!$AC$31&amp;";  ","")&amp;IF(AND(EDATE($D66,Milestones!$AA$32)&lt;=AsOfDate,IF($R66=0,$X66,IF(AND($T66&lt;&gt;"",EDATE($D66,Milestones!$AA$32)&gt;=$T66),$W66,IF(AND($S66&lt;&gt;"",EDATE($D66,Milestones!$AA$32)&gt;=$S66),$V66,$U66)))=Milestones!$AB$32),UPPER(TEXT(EDATE($D66,Milestones!$AA$32),"dd mmm yy"))&amp;" "&amp;Milestones!$AB$32&amp;" "&amp;Milestones!$AC$32&amp;";  ","")&amp;IF(AND(EDATE($D66,Milestones!$AA$33)&lt;=AsOfDate,IF($R66=0,$X66,IF(AND($T66&lt;&gt;"",EDATE($D66,Milestones!$AA$33)&gt;=$T66),$W66,IF(AND($S66&lt;&gt;"",EDATE($D66,Milestones!$AA$33)&gt;=$S66),$V66,$U66)))=Milestones!$AB$33),UPPER(TEXT(EDATE($D66,Milestones!$AA$33),"dd mmm yy"))&amp;" "&amp;Milestones!$AB$33&amp;" "&amp;Milestones!$AC$33&amp;";  ","")&amp;IF(AND(EDATE($D66,Milestones!$AA$34)&lt;=AsOfDate,IF($R66=0,$X66,IF(AND($T66&lt;&gt;"",EDATE($D66,Milestones!$AA$34)&gt;=$T66),$W66,IF(AND($S66&lt;&gt;"",EDATE($D66,Milestones!$AA$34)&gt;=$S66),$V66,$U66)))=Milestones!$AB$34),UPPER(TEXT(EDATE($D66,Milestones!$AA$34),"dd mmm yy"))&amp;" "&amp;Milestones!$AB$34&amp;" "&amp;Milestones!$AC$34&amp;";  ","")&amp;IF(AND(EDATE($D66,Milestones!$AA$35)&lt;=AsOfDate,IF($R66=0,$X66,IF(AND($T66&lt;&gt;"",EDATE($D66,Milestones!$AA$35)&gt;=$T66),$W66,IF(AND($S66&lt;&gt;"",EDATE($D66,Milestones!$AA$35)&gt;=$S66),$V66,$U66)))=Milestones!$AB$35),UPPER(TEXT(EDATE($D66,Milestones!$AA$35),"dd mmm yy"))&amp;" "&amp;Milestones!$AB$35&amp;" "&amp;Milestones!$AC$35&amp;";  ","")&amp;IF(AND(EDATE($D66,Milestones!$AA$36)&lt;=AsOfDate,IF($R66=0,$X66,IF(AND($T66&lt;&gt;"",EDATE($D66,Milestones!$AA$36)&gt;=$T66),$W66,IF(AND($S66&lt;&gt;"",EDATE($D66,Milestones!$AA$36)&gt;=$S66),$V66,$U66)))=Milestones!$AB$36),UPPER(TEXT(EDATE($D66,Milestones!$AA$36),"dd mmm yy"))&amp;" "&amp;Milestones!$AB$36&amp;" "&amp;Milestones!$AC$36&amp;";  ","")&amp;IF(AND(EDATE($D66,Milestones!$AA$37)&lt;=AsOfDate,IF($R66=0,$X66,IF(AND($T66&lt;&gt;"",EDATE($D66,Milestones!$AA$37)&gt;=$T66),$W66,IF(AND($S66&lt;&gt;"",EDATE($D66,Milestones!$AA$37)&gt;=$S66),$V66,$U66)))=Milestones!$AB$37),UPPER(TEXT(EDATE($D66,Milestones!$AA$37),"dd mmm yy"))&amp;" "&amp;Milestones!$AB$37&amp;" "&amp;Milestones!$AC$37&amp;";  ","")&amp;IF(AND(EDATE($D66,Milestones!$AA$38)&lt;=AsOfDate,IF($R66=0,$X66,IF(AND($T66&lt;&gt;"",EDATE($D66,Milestones!$AA$38)&gt;=$T66),$W66,IF(AND($S66&lt;&gt;"",EDATE($D66,Milestones!$AA$38)&gt;=$S66),$V66,$U66)))=Milestones!$AB$38),UPPER(TEXT(EDATE($D66,Milestones!$AA$38),"dd mmm yy"))&amp;" "&amp;Milestones!$AB$38&amp;" "&amp;Milestones!$AC$38&amp;";  ","")&amp;IF(AND(EDATE($D66,Milestones!$AA$39)&lt;=AsOfDate,IF($R66=0,$X66,IF(AND($T66&lt;&gt;"",EDATE($D66,Milestones!$AA$39)&gt;=$T66),$W66,IF(AND($S66&lt;&gt;"",EDATE($D66,Milestones!$AA$39)&gt;=$S66),$V66,$U66)))=Milestones!$AB$39),UPPER(TEXT(EDATE($D66,Milestones!$AA$39),"dd mmm yy"))&amp;" "&amp;Milestones!$AB$39&amp;" "&amp;Milestones!$AC$39&amp;";  ",""))</f>
        <v/>
      </c>
      <c r="J66" s="0" t="str">
        <f aca="false">IF(OR($A66="",$D66=""),"",IF(AND(EDATE($D66,Milestones!$AA$40)&lt;=AsOfDate,IF($R66=0,$X66,IF(AND($T66&lt;&gt;"",EDATE($D66,Milestones!$AA$40)&gt;=$T66),$W66,IF(AND($S66&lt;&gt;"",EDATE($D66,Milestones!$AA$40)&gt;=$S66),$V66,$U66)))=Milestones!$AB$40),UPPER(TEXT(EDATE($D66,Milestones!$AA$40),"dd mmm yy"))&amp;" "&amp;Milestones!$AB$40&amp;" "&amp;Milestones!$AC$40&amp;";  ","")&amp;IF(AND(EDATE($D66,Milestones!$AA$41)&lt;=AsOfDate,IF($R66=0,$X66,IF(AND($T66&lt;&gt;"",EDATE($D66,Milestones!$AA$41)&gt;=$T66),$W66,IF(AND($S66&lt;&gt;"",EDATE($D66,Milestones!$AA$41)&gt;=$S66),$V66,$U66)))=Milestones!$AB$41),UPPER(TEXT(EDATE($D66,Milestones!$AA$41),"dd mmm yy"))&amp;" "&amp;Milestones!$AB$41&amp;" "&amp;Milestones!$AC$41&amp;";  ","")&amp;IF(AND(EDATE($D66,Milestones!$AA$42)&lt;=AsOfDate,IF($R66=0,$X66,IF(AND($T66&lt;&gt;"",EDATE($D66,Milestones!$AA$42)&gt;=$T66),$W66,IF(AND($S66&lt;&gt;"",EDATE($D66,Milestones!$AA$42)&gt;=$S66),$V66,$U66)))=Milestones!$AB$42),UPPER(TEXT(EDATE($D66,Milestones!$AA$42),"dd mmm yy"))&amp;" "&amp;Milestones!$AB$42&amp;" "&amp;Milestones!$AC$42&amp;";  ","")&amp;IF(AND(EDATE($D66,Milestones!$AA$43)&lt;=AsOfDate,IF($R66=0,$X66,IF(AND($T66&lt;&gt;"",EDATE($D66,Milestones!$AA$43)&gt;=$T66),$W66,IF(AND($S66&lt;&gt;"",EDATE($D66,Milestones!$AA$43)&gt;=$S66),$V66,$U66)))=Milestones!$AB$43),UPPER(TEXT(EDATE($D66,Milestones!$AA$43),"dd mmm yy"))&amp;" "&amp;Milestones!$AB$43&amp;" "&amp;Milestones!$AC$43&amp;";  ","")&amp;IF(AND(EDATE($D66,Milestones!$AA$44)&lt;=AsOfDate,IF($R66=0,$X66,IF(AND($T66&lt;&gt;"",EDATE($D66,Milestones!$AA$44)&gt;=$T66),$W66,IF(AND($S66&lt;&gt;"",EDATE($D66,Milestones!$AA$44)&gt;=$S66),$V66,$U66)))=Milestones!$AB$44),UPPER(TEXT(EDATE($D66,Milestones!$AA$44),"dd mmm yy"))&amp;" "&amp;Milestones!$AB$44&amp;" "&amp;Milestones!$AC$44&amp;";  ","")&amp;IF(AND(EDATE($D66,Milestones!$AA$45)&lt;=AsOfDate,IF($R66=0,$X66,IF(AND($T66&lt;&gt;"",EDATE($D66,Milestones!$AA$45)&gt;=$T66),$W66,IF(AND($S66&lt;&gt;"",EDATE($D66,Milestones!$AA$45)&gt;=$S66),$V66,$U66)))=Milestones!$AB$45),UPPER(TEXT(EDATE($D66,Milestones!$AA$45),"dd mmm yy"))&amp;" "&amp;Milestones!$AB$45&amp;" "&amp;Milestones!$AC$45&amp;";  ","")&amp;IF(AND(EDATE($D66,Milestones!$AA$46)&lt;=AsOfDate,IF($R66=0,$X66,IF(AND($T66&lt;&gt;"",EDATE($D66,Milestones!$AA$46)&gt;=$T66),$W66,IF(AND($S66&lt;&gt;"",EDATE($D66,Milestones!$AA$46)&gt;=$S66),$V66,$U66)))=Milestones!$AB$46),UPPER(TEXT(EDATE($D66,Milestones!$AA$46),"dd mmm yy"))&amp;" "&amp;Milestones!$AB$46&amp;" "&amp;Milestones!$AC$46&amp;";  ","")&amp;IF(AND(EDATE($D66,Milestones!$AA$47)&lt;=AsOfDate,IF($R66=0,$X66,IF(AND($T66&lt;&gt;"",EDATE($D66,Milestones!$AA$47)&gt;=$T66),$W66,IF(AND($S66&lt;&gt;"",EDATE($D66,Milestones!$AA$47)&gt;=$S66),$V66,$U66)))=Milestones!$AB$47),UPPER(TEXT(EDATE($D66,Milestones!$AA$47),"dd mmm yy"))&amp;" "&amp;Milestones!$AB$47&amp;" "&amp;Milestones!$AC$47&amp;";  ","")&amp;IF(AND(EDATE($D66,Milestones!$AA$48)&lt;=AsOfDate,IF($R66=0,$X66,IF(AND($T66&lt;&gt;"",EDATE($D66,Milestones!$AA$48)&gt;=$T66),$W66,IF(AND($S66&lt;&gt;"",EDATE($D66,Milestones!$AA$48)&gt;=$S66),$V66,$U66)))=Milestones!$AB$48),UPPER(TEXT(EDATE($D66,Milestones!$AA$48),"dd mmm yy"))&amp;" "&amp;Milestones!$AB$48&amp;" "&amp;Milestones!$AC$48&amp;";  ","")&amp;IF(AND(EDATE($D66,Milestones!$AA$49)&lt;=AsOfDate,IF($R66=0,$X66,IF(AND($T66&lt;&gt;"",EDATE($D66,Milestones!$AA$49)&gt;=$T66),$W66,IF(AND($S66&lt;&gt;"",EDATE($D66,Milestones!$AA$49)&gt;=$S66),$V66,$U66)))=Milestones!$AB$49),UPPER(TEXT(EDATE($D66,Milestones!$AA$49),"dd mmm yy"))&amp;" "&amp;Milestones!$AB$49&amp;" "&amp;Milestones!$AC$49&amp;";  ","")&amp;IF(AND(EDATE($D66,Milestones!$AA$50)&lt;=AsOfDate,IF($R66=0,$X66,IF(AND($T66&lt;&gt;"",EDATE($D66,Milestones!$AA$50)&gt;=$T66),$W66,IF(AND($S66&lt;&gt;"",EDATE($D66,Milestones!$AA$50)&gt;=$S66),$V66,$U66)))=Milestones!$AB$50),UPPER(TEXT(EDATE($D66,Milestones!$AA$50),"dd mmm yy"))&amp;" "&amp;Milestones!$AB$50&amp;" "&amp;Milestones!$AC$50&amp;";  ","")&amp;IF(AND(EDATE($D66,Milestones!$AA$51)&lt;=AsOfDate,IF($R66=0,$X66,IF(AND($T66&lt;&gt;"",EDATE($D66,Milestones!$AA$51)&gt;=$T66),$W66,IF(AND($S66&lt;&gt;"",EDATE($D66,Milestones!$AA$51)&gt;=$S66),$V66,$U66)))=Milestones!$AB$51),UPPER(TEXT(EDATE($D66,Milestones!$AA$51),"dd mmm yy"))&amp;" "&amp;Milestones!$AB$51&amp;" "&amp;Milestones!$AC$51&amp;";  ","")&amp;IF(AND(EDATE($D66,Milestones!$AA$52)&lt;=AsOfDate,IF($R66=0,$X66,IF(AND($T66&lt;&gt;"",EDATE($D66,Milestones!$AA$52)&gt;=$T66),$W66,IF(AND($S66&lt;&gt;"",EDATE($D66,Milestones!$AA$52)&gt;=$S66),$V66,$U66)))=Milestones!$AB$52),UPPER(TEXT(EDATE($D66,Milestones!$AA$52),"dd mmm yy"))&amp;" "&amp;Milestones!$AB$52&amp;" "&amp;Milestones!$AC$52&amp;";  ","")&amp;IF(AND(EDATE($D66,Milestones!$AA$53)&lt;=AsOfDate,IF($R66=0,$X66,IF(AND($T66&lt;&gt;"",EDATE($D66,Milestones!$AA$53)&gt;=$T66),$W66,IF(AND($S66&lt;&gt;"",EDATE($D66,Milestones!$AA$53)&gt;=$S66),$V66,$U66)))=Milestones!$AB$53),UPPER(TEXT(EDATE($D66,Milestones!$AA$53),"dd mmm yy"))&amp;" "&amp;Milestones!$AB$53&amp;" "&amp;Milestones!$AC$53&amp;";  ","")&amp;IF(AND(EDATE($D66,Milestones!$AA$54)&lt;=AsOfDate,IF($R66=0,$X66,IF(AND($T66&lt;&gt;"",EDATE($D66,Milestones!$AA$54)&gt;=$T66),$W66,IF(AND($S66&lt;&gt;"",EDATE($D66,Milestones!$AA$54)&gt;=$S66),$V66,$U66)))=Milestones!$AB$54),UPPER(TEXT(EDATE($D66,Milestones!$AA$54),"dd mmm yy"))&amp;" "&amp;Milestones!$AB$54&amp;" "&amp;Milestones!$AC$54&amp;";  ","")&amp;IF(AND(EDATE($D66,Milestones!$AA$55)&lt;=AsOfDate,IF($R66=0,$X66,IF(AND($T66&lt;&gt;"",EDATE($D66,Milestones!$AA$55)&gt;=$T66),$W66,IF(AND($S66&lt;&gt;"",EDATE($D66,Milestones!$AA$55)&gt;=$S66),$V66,$U66)))=Milestones!$AB$55),UPPER(TEXT(EDATE($D66,Milestones!$AA$55),"dd mmm yy"))&amp;" "&amp;Milestones!$AB$55&amp;" "&amp;Milestones!$AC$55&amp;";  ","")&amp;IF(AND(EDATE($D66,Milestones!$AA$56)&lt;=AsOfDate,IF($R66=0,$X66,IF(AND($T66&lt;&gt;"",EDATE($D66,Milestones!$AA$56)&gt;=$T66),$W66,IF(AND($S66&lt;&gt;"",EDATE($D66,Milestones!$AA$56)&gt;=$S66),$V66,$U66)))=Milestones!$AB$56),UPPER(TEXT(EDATE($D66,Milestones!$AA$56),"dd mmm yy"))&amp;" "&amp;Milestones!$AB$56&amp;" "&amp;Milestones!$AC$56&amp;";  ","")&amp;IF(AND(EDATE($D66,Milestones!$AA$57)&lt;=AsOfDate,IF($R66=0,$X66,IF(AND($T66&lt;&gt;"",EDATE($D66,Milestones!$AA$57)&gt;=$T66),$W66,IF(AND($S66&lt;&gt;"",EDATE($D66,Milestones!$AA$57)&gt;=$S66),$V66,$U66)))=Milestones!$AB$57),UPPER(TEXT(EDATE($D66,Milestones!$AA$57),"dd mmm yy"))&amp;" "&amp;Milestones!$AB$57&amp;" "&amp;Milestones!$AC$57&amp;";  ","")&amp;IF(AND(EDATE($D66,Milestones!$AA$58)&lt;=AsOfDate,IF($R66=0,$X66,IF(AND($T66&lt;&gt;"",EDATE($D66,Milestones!$AA$58)&gt;=$T66),$W66,IF(AND($S66&lt;&gt;"",EDATE($D66,Milestones!$AA$58)&gt;=$S66),$V66,$U66)))=Milestones!$AB$58),UPPER(TEXT(EDATE($D66,Milestones!$AA$58),"dd mmm yy"))&amp;" "&amp;Milestones!$AB$58&amp;" "&amp;Milestones!$AC$58&amp;";  ","")&amp;IF(AND(EDATE($D66,Milestones!$AA$59)&lt;=AsOfDate,IF($R66=0,$X66,IF(AND($T66&lt;&gt;"",EDATE($D66,Milestones!$AA$59)&gt;=$T66),$W66,IF(AND($S66&lt;&gt;"",EDATE($D66,Milestones!$AA$59)&gt;=$S66),$V66,$U66)))=Milestones!$AB$59),UPPER(TEXT(EDATE($D66,Milestones!$AA$59),"dd mmm yy"))&amp;" "&amp;Milestones!$AB$59&amp;" "&amp;Milestones!$AC$59&amp;";  ",""))</f>
        <v/>
      </c>
      <c r="K66" s="0" t="str">
        <f aca="false">IF(OR($A66="",$D66=""),"",IF(AND(EDATE($D66,Milestones!$AA$60)&lt;=AsOfDate,IF($R66=0,$X66,IF(AND($T66&lt;&gt;"",EDATE($D66,Milestones!$AA$60)&gt;=$T66),$W66,IF(AND($S66&lt;&gt;"",EDATE($D66,Milestones!$AA$60)&gt;=$S66),$V66,$U66)))=Milestones!$AB$60),UPPER(TEXT(EDATE($D66,Milestones!$AA$60),"dd mmm yy"))&amp;" "&amp;Milestones!$AB$60&amp;" "&amp;Milestones!$AC$60&amp;";  ","")&amp;IF(AND(EDATE($D66,Milestones!$AA$61)&lt;=AsOfDate,IF($R66=0,$X66,IF(AND($T66&lt;&gt;"",EDATE($D66,Milestones!$AA$61)&gt;=$T66),$W66,IF(AND($S66&lt;&gt;"",EDATE($D66,Milestones!$AA$61)&gt;=$S66),$V66,$U66)))=Milestones!$AB$61),UPPER(TEXT(EDATE($D66,Milestones!$AA$61),"dd mmm yy"))&amp;" "&amp;Milestones!$AB$61&amp;" "&amp;Milestones!$AC$61&amp;";  ","")&amp;IF(AND(EDATE($D66,Milestones!$AA$62)&lt;=AsOfDate,IF($R66=0,$X66,IF(AND($T66&lt;&gt;"",EDATE($D66,Milestones!$AA$62)&gt;=$T66),$W66,IF(AND($S66&lt;&gt;"",EDATE($D66,Milestones!$AA$62)&gt;=$S66),$V66,$U66)))=Milestones!$AB$62),UPPER(TEXT(EDATE($D66,Milestones!$AA$62),"dd mmm yy"))&amp;" "&amp;Milestones!$AB$62&amp;" "&amp;Milestones!$AC$62&amp;";  ","")&amp;IF(AND(EDATE($D66,Milestones!$AA$63)&lt;=AsOfDate,IF($R66=0,$X66,IF(AND($T66&lt;&gt;"",EDATE($D66,Milestones!$AA$63)&gt;=$T66),$W66,IF(AND($S66&lt;&gt;"",EDATE($D66,Milestones!$AA$63)&gt;=$S66),$V66,$U66)))=Milestones!$AB$63),UPPER(TEXT(EDATE($D66,Milestones!$AA$63),"dd mmm yy"))&amp;" "&amp;Milestones!$AB$63&amp;" "&amp;Milestones!$AC$63&amp;";  ","")&amp;IF(AND(EDATE($D66,Milestones!$AA$64)&lt;=AsOfDate,IF($R66=0,$X66,IF(AND($T66&lt;&gt;"",EDATE($D66,Milestones!$AA$64)&gt;=$T66),$W66,IF(AND($S66&lt;&gt;"",EDATE($D66,Milestones!$AA$64)&gt;=$S66),$V66,$U66)))=Milestones!$AB$64),UPPER(TEXT(EDATE($D66,Milestones!$AA$64),"dd mmm yy"))&amp;" "&amp;Milestones!$AB$64&amp;" "&amp;Milestones!$AC$64&amp;";  ","")&amp;IF(AND(EDATE($D66,Milestones!$AA$65)&lt;=AsOfDate,IF($R66=0,$X66,IF(AND($T66&lt;&gt;"",EDATE($D66,Milestones!$AA$65)&gt;=$T66),$W66,IF(AND($S66&lt;&gt;"",EDATE($D66,Milestones!$AA$65)&gt;=$S66),$V66,$U66)))=Milestones!$AB$65),UPPER(TEXT(EDATE($D66,Milestones!$AA$65),"dd mmm yy"))&amp;" "&amp;Milestones!$AB$65&amp;" "&amp;Milestones!$AC$65&amp;";  ","")&amp;IF(AND(EDATE($D66,Milestones!$AA$66)&lt;=AsOfDate,IF($R66=0,$X66,IF(AND($T66&lt;&gt;"",EDATE($D66,Milestones!$AA$66)&gt;=$T66),$W66,IF(AND($S66&lt;&gt;"",EDATE($D66,Milestones!$AA$66)&gt;=$S66),$V66,$U66)))=Milestones!$AB$66),UPPER(TEXT(EDATE($D66,Milestones!$AA$66),"dd mmm yy"))&amp;" "&amp;Milestones!$AB$66&amp;" "&amp;Milestones!$AC$66&amp;";  ","")&amp;IF(AND(EDATE($D66,Milestones!$AA$67)&lt;=AsOfDate,IF($R66=0,$X66,IF(AND($T66&lt;&gt;"",EDATE($D66,Milestones!$AA$67)&gt;=$T66),$W66,IF(AND($S66&lt;&gt;"",EDATE($D66,Milestones!$AA$67)&gt;=$S66),$V66,$U66)))=Milestones!$AB$67),UPPER(TEXT(EDATE($D66,Milestones!$AA$67),"dd mmm yy"))&amp;" "&amp;Milestones!$AB$67&amp;" "&amp;Milestones!$AC$67&amp;";  ","")&amp;IF(AND(EDATE($D66,Milestones!$AA$68)&lt;=AsOfDate,IF($R66=0,$X66,IF(AND($T66&lt;&gt;"",EDATE($D66,Milestones!$AA$68)&gt;=$T66),$W66,IF(AND($S66&lt;&gt;"",EDATE($D66,Milestones!$AA$68)&gt;=$S66),$V66,$U66)))=Milestones!$AB$68),UPPER(TEXT(EDATE($D66,Milestones!$AA$68),"dd mmm yy"))&amp;" "&amp;Milestones!$AB$68&amp;" "&amp;Milestones!$AC$68&amp;";  ","")&amp;IF(AND(EDATE($D66,Milestones!$AA$69)&lt;=AsOfDate,IF($R66=0,$X66,IF(AND($T66&lt;&gt;"",EDATE($D66,Milestones!$AA$69)&gt;=$T66),$W66,IF(AND($S66&lt;&gt;"",EDATE($D66,Milestones!$AA$69)&gt;=$S66),$V66,$U66)))=Milestones!$AB$69),UPPER(TEXT(EDATE($D66,Milestones!$AA$69),"dd mmm yy"))&amp;" "&amp;Milestones!$AB$69&amp;" "&amp;Milestones!$AC$69&amp;";  ","")&amp;IF(AND(EDATE($D66,Milestones!$AA$70)&lt;=AsOfDate,IF($R66=0,$X66,IF(AND($T66&lt;&gt;"",EDATE($D66,Milestones!$AA$70)&gt;=$T66),$W66,IF(AND($S66&lt;&gt;"",EDATE($D66,Milestones!$AA$70)&gt;=$S66),$V66,$U66)))=Milestones!$AB$70),UPPER(TEXT(EDATE($D66,Milestones!$AA$70),"dd mmm yy"))&amp;" "&amp;Milestones!$AB$70&amp;" "&amp;Milestones!$AC$70&amp;";  ","")&amp;IF(AND(EDATE($D66,Milestones!$AA$71)&lt;=AsOfDate,IF($R66=0,$X66,IF(AND($T66&lt;&gt;"",EDATE($D66,Milestones!$AA$71)&gt;=$T66),$W66,IF(AND($S66&lt;&gt;"",EDATE($D66,Milestones!$AA$71)&gt;=$S66),$V66,$U66)))=Milestones!$AB$71),UPPER(TEXT(EDATE($D66,Milestones!$AA$71),"dd mmm yy"))&amp;" "&amp;Milestones!$AB$71&amp;" "&amp;Milestones!$AC$71&amp;";  ","")&amp;IF(AND(EDATE($D66,Milestones!$AA$72)&lt;=AsOfDate,IF($R66=0,$X66,IF(AND($T66&lt;&gt;"",EDATE($D66,Milestones!$AA$72)&gt;=$T66),$W66,IF(AND($S66&lt;&gt;"",EDATE($D66,Milestones!$AA$72)&gt;=$S66),$V66,$U66)))=Milestones!$AB$72),UPPER(TEXT(EDATE($D66,Milestones!$AA$72),"dd mmm yy"))&amp;" "&amp;Milestones!$AB$72&amp;" "&amp;Milestones!$AC$72&amp;";  ","")&amp;IF(AND(EDATE($D66,Milestones!$AA$73)&lt;=AsOfDate,IF($R66=0,$X66,IF(AND($T66&lt;&gt;"",EDATE($D66,Milestones!$AA$73)&gt;=$T66),$W66,IF(AND($S66&lt;&gt;"",EDATE($D66,Milestones!$AA$73)&gt;=$S66),$V66,$U66)))=Milestones!$AB$73),UPPER(TEXT(EDATE($D66,Milestones!$AA$73),"dd mmm yy"))&amp;" "&amp;Milestones!$AB$73&amp;" "&amp;Milestones!$AC$73&amp;";  ","")&amp;IF(AND(EDATE($D66,Milestones!$AA$74)&lt;=AsOfDate,IF($R66=0,$X66,IF(AND($T66&lt;&gt;"",EDATE($D66,Milestones!$AA$74)&gt;=$T66),$W66,IF(AND($S66&lt;&gt;"",EDATE($D66,Milestones!$AA$74)&gt;=$S66),$V66,$U66)))=Milestones!$AB$74),UPPER(TEXT(EDATE($D66,Milestones!$AA$74),"dd mmm yy"))&amp;" "&amp;Milestones!$AB$74&amp;" "&amp;Milestones!$AC$74&amp;";  ","")&amp;IF(AND(EDATE($D66,Milestones!$AA$75)&lt;=AsOfDate,IF($R66=0,$X66,IF(AND($T66&lt;&gt;"",EDATE($D66,Milestones!$AA$75)&gt;=$T66),$W66,IF(AND($S66&lt;&gt;"",EDATE($D66,Milestones!$AA$75)&gt;=$S66),$V66,$U66)))=Milestones!$AB$75),UPPER(TEXT(EDATE($D66,Milestones!$AA$75),"dd mmm yy"))&amp;" "&amp;Milestones!$AB$75&amp;" "&amp;Milestones!$AC$75&amp;";  ","")&amp;IF(AND(EDATE($D66,Milestones!$AA$76)&lt;=AsOfDate,IF($R66=0,$X66,IF(AND($T66&lt;&gt;"",EDATE($D66,Milestones!$AA$76)&gt;=$T66),$W66,IF(AND($S66&lt;&gt;"",EDATE($D66,Milestones!$AA$76)&gt;=$S66),$V66,$U66)))=Milestones!$AB$76),UPPER(TEXT(EDATE($D66,Milestones!$AA$76),"dd mmm yy"))&amp;" "&amp;Milestones!$AB$76&amp;" "&amp;Milestones!$AC$76&amp;";  ","")&amp;IF(AND(EDATE($D66,Milestones!$AA$77)&lt;=AsOfDate,IF($R66=0,$X66,IF(AND($T66&lt;&gt;"",EDATE($D66,Milestones!$AA$77)&gt;=$T66),$W66,IF(AND($S66&lt;&gt;"",EDATE($D66,Milestones!$AA$77)&gt;=$S66),$V66,$U66)))=Milestones!$AB$77),UPPER(TEXT(EDATE($D66,Milestones!$AA$77),"dd mmm yy"))&amp;" "&amp;Milestones!$AB$77&amp;" "&amp;Milestones!$AC$77&amp;";  ","")&amp;IF(AND(EDATE($D66,Milestones!$AA$78)&lt;=AsOfDate,IF($R66=0,$X66,IF(AND($T66&lt;&gt;"",EDATE($D66,Milestones!$AA$78)&gt;=$T66),$W66,IF(AND($S66&lt;&gt;"",EDATE($D66,Milestones!$AA$78)&gt;=$S66),$V66,$U66)))=Milestones!$AB$78),UPPER(TEXT(EDATE($D66,Milestones!$AA$78),"dd mmm yy"))&amp;" "&amp;Milestones!$AB$78&amp;" "&amp;Milestones!$AC$78&amp;";  ","")&amp;IF(AND(EDATE($D66,Milestones!$AA$79)&lt;=AsOfDate,IF($R66=0,$X66,IF(AND($T66&lt;&gt;"",EDATE($D66,Milestones!$AA$79)&gt;=$T66),$W66,IF(AND($S66&lt;&gt;"",EDATE($D66,Milestones!$AA$79)&gt;=$S66),$V66,$U66)))=Milestones!$AB$79),UPPER(TEXT(EDATE($D66,Milestones!$AA$79),"dd mmm yy"))&amp;" "&amp;Milestones!$AB$79&amp;" "&amp;Milestones!$AC$79&amp;";  ",""))</f>
        <v/>
      </c>
      <c r="L66" s="0" t="str">
        <f aca="false">IF(OR($A66="",$D66=""),"",IF(AND(EDATE($D66,Milestones!$AA$80)&lt;=AsOfDate,IF($R66=0,$X66,IF(AND($T66&lt;&gt;"",EDATE($D66,Milestones!$AA$80)&gt;=$T66),$W66,IF(AND($S66&lt;&gt;"",EDATE($D66,Milestones!$AA$80)&gt;=$S66),$V66,$U66)))=Milestones!$AB$80),UPPER(TEXT(EDATE($D66,Milestones!$AA$80),"dd mmm yy"))&amp;" "&amp;Milestones!$AB$80&amp;" "&amp;Milestones!$AC$80&amp;";  ","")&amp;IF(AND(EDATE($D66,Milestones!$AA$81)&lt;=AsOfDate,IF($R66=0,$X66,IF(AND($T66&lt;&gt;"",EDATE($D66,Milestones!$AA$81)&gt;=$T66),$W66,IF(AND($S66&lt;&gt;"",EDATE($D66,Milestones!$AA$81)&gt;=$S66),$V66,$U66)))=Milestones!$AB$81),UPPER(TEXT(EDATE($D66,Milestones!$AA$81),"dd mmm yy"))&amp;" "&amp;Milestones!$AB$81&amp;" "&amp;Milestones!$AC$81&amp;";  ","")&amp;IF(AND(EDATE($D66,Milestones!$AA$82)&lt;=AsOfDate,IF($R66=0,$X66,IF(AND($T66&lt;&gt;"",EDATE($D66,Milestones!$AA$82)&gt;=$T66),$W66,IF(AND($S66&lt;&gt;"",EDATE($D66,Milestones!$AA$82)&gt;=$S66),$V66,$U66)))=Milestones!$AB$82),UPPER(TEXT(EDATE($D66,Milestones!$AA$82),"dd mmm yy"))&amp;" "&amp;Milestones!$AB$82&amp;" "&amp;Milestones!$AC$82&amp;";  ","")&amp;IF(AND(EDATE($D66,Milestones!$AA$83)&lt;=AsOfDate,IF($R66=0,$X66,IF(AND($T66&lt;&gt;"",EDATE($D66,Milestones!$AA$83)&gt;=$T66),$W66,IF(AND($S66&lt;&gt;"",EDATE($D66,Milestones!$AA$83)&gt;=$S66),$V66,$U66)))=Milestones!$AB$83),UPPER(TEXT(EDATE($D66,Milestones!$AA$83),"dd mmm yy"))&amp;" "&amp;Milestones!$AB$83&amp;" "&amp;Milestones!$AC$83&amp;";  ","")&amp;IF(AND(EDATE($D66,Milestones!$AA$84)&lt;=AsOfDate,IF($R66=0,$X66,IF(AND($T66&lt;&gt;"",EDATE($D66,Milestones!$AA$84)&gt;=$T66),$W66,IF(AND($S66&lt;&gt;"",EDATE($D66,Milestones!$AA$84)&gt;=$S66),$V66,$U66)))=Milestones!$AB$84),UPPER(TEXT(EDATE($D66,Milestones!$AA$84),"dd mmm yy"))&amp;" "&amp;Milestones!$AB$84&amp;" "&amp;Milestones!$AC$84&amp;";  ","")&amp;IF(AND(EDATE($D66,Milestones!$AA$85)&lt;=AsOfDate,IF($R66=0,$X66,IF(AND($T66&lt;&gt;"",EDATE($D66,Milestones!$AA$85)&gt;=$T66),$W66,IF(AND($S66&lt;&gt;"",EDATE($D66,Milestones!$AA$85)&gt;=$S66),$V66,$U66)))=Milestones!$AB$85),UPPER(TEXT(EDATE($D66,Milestones!$AA$85),"dd mmm yy"))&amp;" "&amp;Milestones!$AB$85&amp;" "&amp;Milestones!$AC$85&amp;";  ","")&amp;IF(AND(EDATE($D66,Milestones!$AA$86)&lt;=AsOfDate,IF($R66=0,$X66,IF(AND($T66&lt;&gt;"",EDATE($D66,Milestones!$AA$86)&gt;=$T66),$W66,IF(AND($S66&lt;&gt;"",EDATE($D66,Milestones!$AA$86)&gt;=$S66),$V66,$U66)))=Milestones!$AB$86),UPPER(TEXT(EDATE($D66,Milestones!$AA$86),"dd mmm yy"))&amp;" "&amp;Milestones!$AB$86&amp;" "&amp;Milestones!$AC$86&amp;";  ","")&amp;IF(AND(EDATE($D66,Milestones!$AA$87)&lt;=AsOfDate,IF($R66=0,$X66,IF(AND($T66&lt;&gt;"",EDATE($D66,Milestones!$AA$87)&gt;=$T66),$W66,IF(AND($S66&lt;&gt;"",EDATE($D66,Milestones!$AA$87)&gt;=$S66),$V66,$U66)))=Milestones!$AB$87),UPPER(TEXT(EDATE($D66,Milestones!$AA$87),"dd mmm yy"))&amp;" "&amp;Milestones!$AB$87&amp;" "&amp;Milestones!$AC$87&amp;";  ","")&amp;IF(AND(EDATE($D66,Milestones!$AA$88)&lt;=AsOfDate,IF($R66=0,$X66,IF(AND($T66&lt;&gt;"",EDATE($D66,Milestones!$AA$88)&gt;=$T66),$W66,IF(AND($S66&lt;&gt;"",EDATE($D66,Milestones!$AA$88)&gt;=$S66),$V66,$U66)))=Milestones!$AB$88),UPPER(TEXT(EDATE($D66,Milestones!$AA$88),"dd mmm yy"))&amp;" "&amp;Milestones!$AB$88&amp;" "&amp;Milestones!$AC$88&amp;";  ","")&amp;IF(AND(EDATE($D66,Milestones!$AA$89)&lt;=AsOfDate,IF($R66=0,$X66,IF(AND($T66&lt;&gt;"",EDATE($D66,Milestones!$AA$89)&gt;=$T66),$W66,IF(AND($S66&lt;&gt;"",EDATE($D66,Milestones!$AA$89)&gt;=$S66),$V66,$U66)))=Milestones!$AB$89),UPPER(TEXT(EDATE($D66,Milestones!$AA$89),"dd mmm yy"))&amp;" "&amp;Milestones!$AB$89&amp;" "&amp;Milestones!$AC$89&amp;";  ","")&amp;IF(AND(EDATE($D66,Milestones!$AA$90)&lt;=AsOfDate,IF($R66=0,$X66,IF(AND($T66&lt;&gt;"",EDATE($D66,Milestones!$AA$90)&gt;=$T66),$W66,IF(AND($S66&lt;&gt;"",EDATE($D66,Milestones!$AA$90)&gt;=$S66),$V66,$U66)))=Milestones!$AB$90),UPPER(TEXT(EDATE($D66,Milestones!$AA$90),"dd mmm yy"))&amp;" "&amp;Milestones!$AB$90&amp;" "&amp;Milestones!$AC$90&amp;";  ","")&amp;IF(AND(EDATE($D66,Milestones!$AA$91)&lt;=AsOfDate,IF($R66=0,$X66,IF(AND($T66&lt;&gt;"",EDATE($D66,Milestones!$AA$91)&gt;=$T66),$W66,IF(AND($S66&lt;&gt;"",EDATE($D66,Milestones!$AA$91)&gt;=$S66),$V66,$U66)))=Milestones!$AB$91),UPPER(TEXT(EDATE($D66,Milestones!$AA$91),"dd mmm yy"))&amp;" "&amp;Milestones!$AB$91&amp;" "&amp;Milestones!$AC$91&amp;";  ","")&amp;IF(AND(EDATE($D66,Milestones!$AA$92)&lt;=AsOfDate,IF($R66=0,$X66,IF(AND($T66&lt;&gt;"",EDATE($D66,Milestones!$AA$92)&gt;=$T66),$W66,IF(AND($S66&lt;&gt;"",EDATE($D66,Milestones!$AA$92)&gt;=$S66),$V66,$U66)))=Milestones!$AB$92),UPPER(TEXT(EDATE($D66,Milestones!$AA$92),"dd mmm yy"))&amp;" "&amp;Milestones!$AB$92&amp;" "&amp;Milestones!$AC$92&amp;";  ","")&amp;IF(AND(EDATE($D66,Milestones!$AA$93)&lt;=AsOfDate,IF($R66=0,$X66,IF(AND($T66&lt;&gt;"",EDATE($D66,Milestones!$AA$93)&gt;=$T66),$W66,IF(AND($S66&lt;&gt;"",EDATE($D66,Milestones!$AA$93)&gt;=$S66),$V66,$U66)))=Milestones!$AB$93),UPPER(TEXT(EDATE($D66,Milestones!$AA$93),"dd mmm yy"))&amp;" "&amp;Milestones!$AB$93&amp;" "&amp;Milestones!$AC$93&amp;";  ","")&amp;IF(AND(EDATE($D66,Milestones!$AA$94)&lt;=AsOfDate,IF($R66=0,$X66,IF(AND($T66&lt;&gt;"",EDATE($D66,Milestones!$AA$94)&gt;=$T66),$W66,IF(AND($S66&lt;&gt;"",EDATE($D66,Milestones!$AA$94)&gt;=$S66),$V66,$U66)))=Milestones!$AB$94),UPPER(TEXT(EDATE($D66,Milestones!$AA$94),"dd mmm yy"))&amp;" "&amp;Milestones!$AB$94&amp;" "&amp;Milestones!$AC$94&amp;";  ","")&amp;IF(AND(EDATE($D66,Milestones!$AA$95)&lt;=AsOfDate,IF($R66=0,$X66,IF(AND($T66&lt;&gt;"",EDATE($D66,Milestones!$AA$95)&gt;=$T66),$W66,IF(AND($S66&lt;&gt;"",EDATE($D66,Milestones!$AA$95)&gt;=$S66),$V66,$U66)))=Milestones!$AB$95),UPPER(TEXT(EDATE($D66,Milestones!$AA$95),"dd mmm yy"))&amp;" "&amp;Milestones!$AB$95&amp;" "&amp;Milestones!$AC$95&amp;";  ","")&amp;IF(AND(EDATE($D66,Milestones!$AA$96)&lt;=AsOfDate,IF($R66=0,$X66,IF(AND($T66&lt;&gt;"",EDATE($D66,Milestones!$AA$96)&gt;=$T66),$W66,IF(AND($S66&lt;&gt;"",EDATE($D66,Milestones!$AA$96)&gt;=$S66),$V66,$U66)))=Milestones!$AB$96),UPPER(TEXT(EDATE($D66,Milestones!$AA$96),"dd mmm yy"))&amp;" "&amp;Milestones!$AB$96&amp;" "&amp;Milestones!$AC$96&amp;";  ","")&amp;IF(AND(EDATE($D66,Milestones!$AA$97)&lt;=AsOfDate,IF($R66=0,$X66,IF(AND($T66&lt;&gt;"",EDATE($D66,Milestones!$AA$97)&gt;=$T66),$W66,IF(AND($S66&lt;&gt;"",EDATE($D66,Milestones!$AA$97)&gt;=$S66),$V66,$U66)))=Milestones!$AB$97),UPPER(TEXT(EDATE($D66,Milestones!$AA$97),"dd mmm yy"))&amp;" "&amp;Milestones!$AB$97&amp;" "&amp;Milestones!$AC$97&amp;";  ","")&amp;IF(AND(EDATE($D66,Milestones!$AA$98)&lt;=AsOfDate,IF($R66=0,$X66,IF(AND($T66&lt;&gt;"",EDATE($D66,Milestones!$AA$98)&gt;=$T66),$W66,IF(AND($S66&lt;&gt;"",EDATE($D66,Milestones!$AA$98)&gt;=$S66),$V66,$U66)))=Milestones!$AB$98),UPPER(TEXT(EDATE($D66,Milestones!$AA$98),"dd mmm yy"))&amp;" "&amp;Milestones!$AB$98&amp;" "&amp;Milestones!$AC$98&amp;";  ","")&amp;IF(AND(EDATE($D66,Milestones!$AA$99)&lt;=AsOfDate,IF($R66=0,$X66,IF(AND($T66&lt;&gt;"",EDATE($D66,Milestones!$AA$99)&gt;=$T66),$W66,IF(AND($S66&lt;&gt;"",EDATE($D66,Milestones!$AA$99)&gt;=$S66),$V66,$U66)))=Milestones!$AB$99),UPPER(TEXT(EDATE($D66,Milestones!$AA$99),"dd mmm yy"))&amp;" "&amp;Milestones!$AB$99&amp;" "&amp;Milestones!$AC$99&amp;";  ",""))</f>
        <v/>
      </c>
      <c r="M66" s="0" t="str">
        <f aca="false">IF(OR($A66="",$D66=""),"",IF(AND(EDATE($D66,Milestones!$AA$100)&lt;=AsOfDate,IF($R66=0,$X66,IF(AND($T66&lt;&gt;"",EDATE($D66,Milestones!$AA$100)&gt;=$T66),$W66,IF(AND($S66&lt;&gt;"",EDATE($D66,Milestones!$AA$100)&gt;=$S66),$V66,$U66)))=Milestones!$AB$100),UPPER(TEXT(EDATE($D66,Milestones!$AA$100),"dd mmm yy"))&amp;" "&amp;Milestones!$AB$100&amp;" "&amp;Milestones!$AC$100&amp;";  ","")&amp;IF(AND(EDATE($D66,Milestones!$AA$101)&lt;=AsOfDate,IF($R66=0,$X66,IF(AND($T66&lt;&gt;"",EDATE($D66,Milestones!$AA$101)&gt;=$T66),$W66,IF(AND($S66&lt;&gt;"",EDATE($D66,Milestones!$AA$101)&gt;=$S66),$V66,$U66)))=Milestones!$AB$101),UPPER(TEXT(EDATE($D66,Milestones!$AA$101),"dd mmm yy"))&amp;" "&amp;Milestones!$AB$101&amp;" "&amp;Milestones!$AC$101&amp;";  ","")&amp;IF(AND(EDATE($D66,Milestones!$AA$102)&lt;=AsOfDate,IF($R66=0,$X66,IF(AND($T66&lt;&gt;"",EDATE($D66,Milestones!$AA$102)&gt;=$T66),$W66,IF(AND($S66&lt;&gt;"",EDATE($D66,Milestones!$AA$102)&gt;=$S66),$V66,$U66)))=Milestones!$AB$102),UPPER(TEXT(EDATE($D66,Milestones!$AA$102),"dd mmm yy"))&amp;" "&amp;Milestones!$AB$102&amp;" "&amp;Milestones!$AC$102&amp;";  ","")&amp;IF(AND(EDATE($D66,Milestones!$AA$103)&lt;=AsOfDate,IF($R66=0,$X66,IF(AND($T66&lt;&gt;"",EDATE($D66,Milestones!$AA$103)&gt;=$T66),$W66,IF(AND($S66&lt;&gt;"",EDATE($D66,Milestones!$AA$103)&gt;=$S66),$V66,$U66)))=Milestones!$AB$103),UPPER(TEXT(EDATE($D66,Milestones!$AA$103),"dd mmm yy"))&amp;" "&amp;Milestones!$AB$103&amp;" "&amp;Milestones!$AC$103&amp;";  ","")&amp;IF(AND(EDATE($D66,Milestones!$AA$104)&lt;=AsOfDate,IF($R66=0,$X66,IF(AND($T66&lt;&gt;"",EDATE($D66,Milestones!$AA$104)&gt;=$T66),$W66,IF(AND($S66&lt;&gt;"",EDATE($D66,Milestones!$AA$104)&gt;=$S66),$V66,$U66)))=Milestones!$AB$104),UPPER(TEXT(EDATE($D66,Milestones!$AA$104),"dd mmm yy"))&amp;" "&amp;Milestones!$AB$104&amp;" "&amp;Milestones!$AC$104&amp;";  ","")&amp;IF(AND(EDATE($D66,Milestones!$AA$105)&lt;=AsOfDate,IF($R66=0,$X66,IF(AND($T66&lt;&gt;"",EDATE($D66,Milestones!$AA$105)&gt;=$T66),$W66,IF(AND($S66&lt;&gt;"",EDATE($D66,Milestones!$AA$105)&gt;=$S66),$V66,$U66)))=Milestones!$AB$105),UPPER(TEXT(EDATE($D66,Milestones!$AA$105),"dd mmm yy"))&amp;" "&amp;Milestones!$AB$105&amp;" "&amp;Milestones!$AC$105&amp;";  ","")&amp;IF(AND(EDATE($D66,Milestones!$AA$106)&lt;=AsOfDate,IF($R66=0,$X66,IF(AND($T66&lt;&gt;"",EDATE($D66,Milestones!$AA$106)&gt;=$T66),$W66,IF(AND($S66&lt;&gt;"",EDATE($D66,Milestones!$AA$106)&gt;=$S66),$V66,$U66)))=Milestones!$AB$106),UPPER(TEXT(EDATE($D66,Milestones!$AA$106),"dd mmm yy"))&amp;" "&amp;Milestones!$AB$106&amp;" "&amp;Milestones!$AC$106&amp;";  ","")&amp;IF(AND(EDATE($D66,Milestones!$AA$107)&lt;=AsOfDate,IF($R66=0,$X66,IF(AND($T66&lt;&gt;"",EDATE($D66,Milestones!$AA$107)&gt;=$T66),$W66,IF(AND($S66&lt;&gt;"",EDATE($D66,Milestones!$AA$107)&gt;=$S66),$V66,$U66)))=Milestones!$AB$107),UPPER(TEXT(EDATE($D66,Milestones!$AA$107),"dd mmm yy"))&amp;" "&amp;Milestones!$AB$107&amp;" "&amp;Milestones!$AC$107&amp;";  ","")&amp;IF(AND(EDATE($D66,Milestones!$AA$108)&lt;=AsOfDate,IF($R66=0,$X66,IF(AND($T66&lt;&gt;"",EDATE($D66,Milestones!$AA$108)&gt;=$T66),$W66,IF(AND($S66&lt;&gt;"",EDATE($D66,Milestones!$AA$108)&gt;=$S66),$V66,$U66)))=Milestones!$AB$108),UPPER(TEXT(EDATE($D66,Milestones!$AA$108),"dd mmm yy"))&amp;" "&amp;Milestones!$AB$108&amp;" "&amp;Milestones!$AC$108&amp;";  ","")&amp;IF(AND(EDATE($D66,Milestones!$AA$109)&lt;=AsOfDate,IF($R66=0,$X66,IF(AND($T66&lt;&gt;"",EDATE($D66,Milestones!$AA$109)&gt;=$T66),$W66,IF(AND($S66&lt;&gt;"",EDATE($D66,Milestones!$AA$109)&gt;=$S66),$V66,$U66)))=Milestones!$AB$109),UPPER(TEXT(EDATE($D66,Milestones!$AA$109),"dd mmm yy"))&amp;" "&amp;Milestones!$AB$109&amp;" "&amp;Milestones!$AC$109&amp;";  ","")&amp;IF(AND(EDATE($D66,Milestones!$AA$110)&lt;=AsOfDate,IF($R66=0,$X66,IF(AND($T66&lt;&gt;"",EDATE($D66,Milestones!$AA$110)&gt;=$T66),$W66,IF(AND($S66&lt;&gt;"",EDATE($D66,Milestones!$AA$110)&gt;=$S66),$V66,$U66)))=Milestones!$AB$110),UPPER(TEXT(EDATE($D66,Milestones!$AA$110),"dd mmm yy"))&amp;" "&amp;Milestones!$AB$110&amp;" "&amp;Milestones!$AC$110&amp;";  ","")&amp;IF(AND(EDATE($D66,Milestones!$AA$111)&lt;=AsOfDate,IF($R66=0,$X66,IF(AND($T66&lt;&gt;"",EDATE($D66,Milestones!$AA$111)&gt;=$T66),$W66,IF(AND($S66&lt;&gt;"",EDATE($D66,Milestones!$AA$111)&gt;=$S66),$V66,$U66)))=Milestones!$AB$111),UPPER(TEXT(EDATE($D66,Milestones!$AA$111),"dd mmm yy"))&amp;" "&amp;Milestones!$AB$111&amp;" "&amp;Milestones!$AC$111&amp;";  ","")&amp;IF(AND(EDATE($D66,Milestones!$AA$112)&lt;=AsOfDate,IF($R66=0,$X66,IF(AND($T66&lt;&gt;"",EDATE($D66,Milestones!$AA$112)&gt;=$T66),$W66,IF(AND($S66&lt;&gt;"",EDATE($D66,Milestones!$AA$112)&gt;=$S66),$V66,$U66)))=Milestones!$AB$112),UPPER(TEXT(EDATE($D66,Milestones!$AA$112),"dd mmm yy"))&amp;" "&amp;Milestones!$AB$112&amp;" "&amp;Milestones!$AC$112&amp;";  ","")&amp;IF(AND(EDATE($D66,Milestones!$AA$113)&lt;=AsOfDate,IF($R66=0,$X66,IF(AND($T66&lt;&gt;"",EDATE($D66,Milestones!$AA$113)&gt;=$T66),$W66,IF(AND($S66&lt;&gt;"",EDATE($D66,Milestones!$AA$113)&gt;=$S66),$V66,$U66)))=Milestones!$AB$113),UPPER(TEXT(EDATE($D66,Milestones!$AA$113),"dd mmm yy"))&amp;" "&amp;Milestones!$AB$113&amp;" "&amp;Milestones!$AC$113&amp;";  ","")&amp;IF(AND(EDATE($D66,Milestones!$AA$114)&lt;=AsOfDate,IF($R66=0,$X66,IF(AND($T66&lt;&gt;"",EDATE($D66,Milestones!$AA$114)&gt;=$T66),$W66,IF(AND($S66&lt;&gt;"",EDATE($D66,Milestones!$AA$114)&gt;=$S66),$V66,$U66)))=Milestones!$AB$114),UPPER(TEXT(EDATE($D66,Milestones!$AA$114),"dd mmm yy"))&amp;" "&amp;Milestones!$AB$114&amp;" "&amp;Milestones!$AC$114&amp;";  ","")&amp;IF(AND(EDATE($D66,Milestones!$AA$115)&lt;=AsOfDate,IF($R66=0,$X66,IF(AND($T66&lt;&gt;"",EDATE($D66,Milestones!$AA$115)&gt;=$T66),$W66,IF(AND($S66&lt;&gt;"",EDATE($D66,Milestones!$AA$115)&gt;=$S66),$V66,$U66)))=Milestones!$AB$115),UPPER(TEXT(EDATE($D66,Milestones!$AA$115),"dd mmm yy"))&amp;" "&amp;Milestones!$AB$115&amp;" "&amp;Milestones!$AC$115&amp;";  ","")&amp;IF(AND(EDATE($D66,Milestones!$AA$116)&lt;=AsOfDate,IF($R66=0,$X66,IF(AND($T66&lt;&gt;"",EDATE($D66,Milestones!$AA$116)&gt;=$T66),$W66,IF(AND($S66&lt;&gt;"",EDATE($D66,Milestones!$AA$116)&gt;=$S66),$V66,$U66)))=Milestones!$AB$116),UPPER(TEXT(EDATE($D66,Milestones!$AA$116),"dd mmm yy"))&amp;" "&amp;Milestones!$AB$116&amp;" "&amp;Milestones!$AC$116&amp;";  ","")&amp;IF(AND(EDATE($D66,Milestones!$AA$117)&lt;=AsOfDate,IF($R66=0,$X66,IF(AND($T66&lt;&gt;"",EDATE($D66,Milestones!$AA$117)&gt;=$T66),$W66,IF(AND($S66&lt;&gt;"",EDATE($D66,Milestones!$AA$117)&gt;=$S66),$V66,$U66)))=Milestones!$AB$117),UPPER(TEXT(EDATE($D66,Milestones!$AA$117),"dd mmm yy"))&amp;" "&amp;Milestones!$AB$117&amp;" "&amp;Milestones!$AC$117&amp;";  ","")&amp;IF(AND(EDATE($D66,Milestones!$AA$118)&lt;=AsOfDate,IF($R66=0,$X66,IF(AND($T66&lt;&gt;"",EDATE($D66,Milestones!$AA$118)&gt;=$T66),$W66,IF(AND($S66&lt;&gt;"",EDATE($D66,Milestones!$AA$118)&gt;=$S66),$V66,$U66)))=Milestones!$AB$118),UPPER(TEXT(EDATE($D66,Milestones!$AA$118),"dd mmm yy"))&amp;" "&amp;Milestones!$AB$118&amp;" "&amp;Milestones!$AC$118&amp;";  ","")&amp;IF(AND(EDATE($D66,Milestones!$AA$119)&lt;=AsOfDate,IF($R66=0,$X66,IF(AND($T66&lt;&gt;"",EDATE($D66,Milestones!$AA$119)&gt;=$T66),$W66,IF(AND($S66&lt;&gt;"",EDATE($D66,Milestones!$AA$119)&gt;=$S66),$V66,$U66)))=Milestones!$AB$119),UPPER(TEXT(EDATE($D66,Milestones!$AA$119),"dd mmm yy"))&amp;" "&amp;Milestones!$AB$119&amp;" "&amp;Milestones!$AC$119&amp;";  ",""))</f>
        <v/>
      </c>
      <c r="N66" s="0" t="str">
        <f aca="false">IF(OR($A66="",$D66=""),"",IF(AND(EDATE($D66,Milestones!$AA$120)&lt;=AsOfDate,IF($R66=0,$X66,IF(AND($T66&lt;&gt;"",EDATE($D66,Milestones!$AA$120)&gt;=$T66),$W66,IF(AND($S66&lt;&gt;"",EDATE($D66,Milestones!$AA$120)&gt;=$S66),$V66,$U66)))=Milestones!$AB$120),UPPER(TEXT(EDATE($D66,Milestones!$AA$120),"dd mmm yy"))&amp;" "&amp;Milestones!$AB$120&amp;" "&amp;Milestones!$AC$120&amp;";  ","")&amp;IF(AND(EDATE($D66,Milestones!$AA$121)&lt;=AsOfDate,IF($R66=0,$X66,IF(AND($T66&lt;&gt;"",EDATE($D66,Milestones!$AA$121)&gt;=$T66),$W66,IF(AND($S66&lt;&gt;"",EDATE($D66,Milestones!$AA$121)&gt;=$S66),$V66,$U66)))=Milestones!$AB$121),UPPER(TEXT(EDATE($D66,Milestones!$AA$121),"dd mmm yy"))&amp;" "&amp;Milestones!$AB$121&amp;" "&amp;Milestones!$AC$121&amp;";  ","")&amp;IF(AND(EDATE($D66,Milestones!$AA$122)&lt;=AsOfDate,IF($R66=0,$X66,IF(AND($T66&lt;&gt;"",EDATE($D66,Milestones!$AA$122)&gt;=$T66),$W66,IF(AND($S66&lt;&gt;"",EDATE($D66,Milestones!$AA$122)&gt;=$S66),$V66,$U66)))=Milestones!$AB$122),UPPER(TEXT(EDATE($D66,Milestones!$AA$122),"dd mmm yy"))&amp;" "&amp;Milestones!$AB$122&amp;" "&amp;Milestones!$AC$122&amp;";  ","")&amp;IF(AND(EDATE($D66,Milestones!$AA$123)&lt;=AsOfDate,IF($R66=0,$X66,IF(AND($T66&lt;&gt;"",EDATE($D66,Milestones!$AA$123)&gt;=$T66),$W66,IF(AND($S66&lt;&gt;"",EDATE($D66,Milestones!$AA$123)&gt;=$S66),$V66,$U66)))=Milestones!$AB$123),UPPER(TEXT(EDATE($D66,Milestones!$AA$123),"dd mmm yy"))&amp;" "&amp;Milestones!$AB$123&amp;" "&amp;Milestones!$AC$123&amp;";  ","")&amp;IF(AND(EDATE($D66,Milestones!$AA$124)&lt;=AsOfDate,IF($R66=0,$X66,IF(AND($T66&lt;&gt;"",EDATE($D66,Milestones!$AA$124)&gt;=$T66),$W66,IF(AND($S66&lt;&gt;"",EDATE($D66,Milestones!$AA$124)&gt;=$S66),$V66,$U66)))=Milestones!$AB$124),UPPER(TEXT(EDATE($D66,Milestones!$AA$124),"dd mmm yy"))&amp;" "&amp;Milestones!$AB$124&amp;" "&amp;Milestones!$AC$124&amp;";  ","")&amp;IF(AND(EDATE($D66,Milestones!$AA$125)&lt;=AsOfDate,IF($R66=0,$X66,IF(AND($T66&lt;&gt;"",EDATE($D66,Milestones!$AA$125)&gt;=$T66),$W66,IF(AND($S66&lt;&gt;"",EDATE($D66,Milestones!$AA$125)&gt;=$S66),$V66,$U66)))=Milestones!$AB$125),UPPER(TEXT(EDATE($D66,Milestones!$AA$125),"dd mmm yy"))&amp;" "&amp;Milestones!$AB$125&amp;" "&amp;Milestones!$AC$125&amp;";  ","")&amp;IF(AND(EDATE($D66,Milestones!$AA$126)&lt;=AsOfDate,IF($R66=0,$X66,IF(AND($T66&lt;&gt;"",EDATE($D66,Milestones!$AA$126)&gt;=$T66),$W66,IF(AND($S66&lt;&gt;"",EDATE($D66,Milestones!$AA$126)&gt;=$S66),$V66,$U66)))=Milestones!$AB$126),UPPER(TEXT(EDATE($D66,Milestones!$AA$126),"dd mmm yy"))&amp;" "&amp;Milestones!$AB$126&amp;" "&amp;Milestones!$AC$126&amp;";  ","")&amp;IF(AND(EDATE($D66,Milestones!$AA$127)&lt;=AsOfDate,IF($R66=0,$X66,IF(AND($T66&lt;&gt;"",EDATE($D66,Milestones!$AA$127)&gt;=$T66),$W66,IF(AND($S66&lt;&gt;"",EDATE($D66,Milestones!$AA$127)&gt;=$S66),$V66,$U66)))=Milestones!$AB$127),UPPER(TEXT(EDATE($D66,Milestones!$AA$127),"dd mmm yy"))&amp;" "&amp;Milestones!$AB$127&amp;" "&amp;Milestones!$AC$127&amp;";  ","")&amp;IF(AND(EDATE($D66,Milestones!$AA$128)&lt;=AsOfDate,IF($R66=0,$X66,IF(AND($T66&lt;&gt;"",EDATE($D66,Milestones!$AA$128)&gt;=$T66),$W66,IF(AND($S66&lt;&gt;"",EDATE($D66,Milestones!$AA$128)&gt;=$S66),$V66,$U66)))=Milestones!$AB$128),UPPER(TEXT(EDATE($D66,Milestones!$AA$128),"dd mmm yy"))&amp;" "&amp;Milestones!$AB$128&amp;" "&amp;Milestones!$AC$128&amp;";  ","")&amp;IF(AND(EDATE($D66,Milestones!$AA$129)&lt;=AsOfDate,IF($R66=0,$X66,IF(AND($T66&lt;&gt;"",EDATE($D66,Milestones!$AA$129)&gt;=$T66),$W66,IF(AND($S66&lt;&gt;"",EDATE($D66,Milestones!$AA$129)&gt;=$S66),$V66,$U66)))=Milestones!$AB$129),UPPER(TEXT(EDATE($D66,Milestones!$AA$129),"dd mmm yy"))&amp;" "&amp;Milestones!$AB$129&amp;" "&amp;Milestones!$AC$129&amp;";  ","")&amp;IF(AND(EDATE($D66,Milestones!$AA$130)&lt;=AsOfDate,IF($R66=0,$X66,IF(AND($T66&lt;&gt;"",EDATE($D66,Milestones!$AA$130)&gt;=$T66),$W66,IF(AND($S66&lt;&gt;"",EDATE($D66,Milestones!$AA$130)&gt;=$S66),$V66,$U66)))=Milestones!$AB$130),UPPER(TEXT(EDATE($D66,Milestones!$AA$130),"dd mmm yy"))&amp;" "&amp;Milestones!$AB$130&amp;" "&amp;Milestones!$AC$130&amp;";  ","")&amp;IF(AND(EDATE($D66,Milestones!$AA$131)&lt;=AsOfDate,IF($R66=0,$X66,IF(AND($T66&lt;&gt;"",EDATE($D66,Milestones!$AA$131)&gt;=$T66),$W66,IF(AND($S66&lt;&gt;"",EDATE($D66,Milestones!$AA$131)&gt;=$S66),$V66,$U66)))=Milestones!$AB$131),UPPER(TEXT(EDATE($D66,Milestones!$AA$131),"dd mmm yy"))&amp;" "&amp;Milestones!$AB$131&amp;" "&amp;Milestones!$AC$131&amp;";  ","")&amp;IF(AND(EDATE($D66,Milestones!$AA$132)&lt;=AsOfDate,IF($R66=0,$X66,IF(AND($T66&lt;&gt;"",EDATE($D66,Milestones!$AA$132)&gt;=$T66),$W66,IF(AND($S66&lt;&gt;"",EDATE($D66,Milestones!$AA$132)&gt;=$S66),$V66,$U66)))=Milestones!$AB$132),UPPER(TEXT(EDATE($D66,Milestones!$AA$132),"dd mmm yy"))&amp;" "&amp;Milestones!$AB$132&amp;" "&amp;Milestones!$AC$132&amp;";  ","")&amp;IF(AND(EDATE($D66,Milestones!$AA$133)&lt;=AsOfDate,IF($R66=0,$X66,IF(AND($T66&lt;&gt;"",EDATE($D66,Milestones!$AA$133)&gt;=$T66),$W66,IF(AND($S66&lt;&gt;"",EDATE($D66,Milestones!$AA$133)&gt;=$S66),$V66,$U66)))=Milestones!$AB$133),UPPER(TEXT(EDATE($D66,Milestones!$AA$133),"dd mmm yy"))&amp;" "&amp;Milestones!$AB$133&amp;" "&amp;Milestones!$AC$133&amp;";  ","")&amp;IF(AND(EDATE($D66,Milestones!$AA$134)&lt;=AsOfDate,IF($R66=0,$X66,IF(AND($T66&lt;&gt;"",EDATE($D66,Milestones!$AA$134)&gt;=$T66),$W66,IF(AND($S66&lt;&gt;"",EDATE($D66,Milestones!$AA$134)&gt;=$S66),$V66,$U66)))=Milestones!$AB$134),UPPER(TEXT(EDATE($D66,Milestones!$AA$134),"dd mmm yy"))&amp;" "&amp;Milestones!$AB$134&amp;" "&amp;Milestones!$AC$134&amp;";  ","")&amp;IF(AND(EDATE($D66,Milestones!$AA$135)&lt;=AsOfDate,IF($R66=0,$X66,IF(AND($T66&lt;&gt;"",EDATE($D66,Milestones!$AA$135)&gt;=$T66),$W66,IF(AND($S66&lt;&gt;"",EDATE($D66,Milestones!$AA$135)&gt;=$S66),$V66,$U66)))=Milestones!$AB$135),UPPER(TEXT(EDATE($D66,Milestones!$AA$135),"dd mmm yy"))&amp;" "&amp;Milestones!$AB$135&amp;" "&amp;Milestones!$AC$135&amp;";  ","")&amp;IF(AND(EDATE($D66,Milestones!$AA$136)&lt;=AsOfDate,IF($R66=0,$X66,IF(AND($T66&lt;&gt;"",EDATE($D66,Milestones!$AA$136)&gt;=$T66),$W66,IF(AND($S66&lt;&gt;"",EDATE($D66,Milestones!$AA$136)&gt;=$S66),$V66,$U66)))=Milestones!$AB$136),UPPER(TEXT(EDATE($D66,Milestones!$AA$136),"dd mmm yy"))&amp;" "&amp;Milestones!$AB$136&amp;" "&amp;Milestones!$AC$136&amp;";  ","")&amp;IF(AND(EDATE($D66,Milestones!$AA$137)&lt;=AsOfDate,IF($R66=0,$X66,IF(AND($T66&lt;&gt;"",EDATE($D66,Milestones!$AA$137)&gt;=$T66),$W66,IF(AND($S66&lt;&gt;"",EDATE($D66,Milestones!$AA$137)&gt;=$S66),$V66,$U66)))=Milestones!$AB$137),UPPER(TEXT(EDATE($D66,Milestones!$AA$137),"dd mmm yy"))&amp;" "&amp;Milestones!$AB$137&amp;" "&amp;Milestones!$AC$137&amp;";  ","")&amp;IF(AND(EDATE($D66,Milestones!$AA$138)&lt;=AsOfDate,IF($R66=0,$X66,IF(AND($T66&lt;&gt;"",EDATE($D66,Milestones!$AA$138)&gt;=$T66),$W66,IF(AND($S66&lt;&gt;"",EDATE($D66,Milestones!$AA$138)&gt;=$S66),$V66,$U66)))=Milestones!$AB$138),UPPER(TEXT(EDATE($D66,Milestones!$AA$138),"dd mmm yy"))&amp;" "&amp;Milestones!$AB$138&amp;" "&amp;Milestones!$AC$138&amp;";  ","")&amp;IF(AND(EDATE($D66,Milestones!$AA$139)&lt;=AsOfDate,IF($R66=0,$X66,IF(AND($T66&lt;&gt;"",EDATE($D66,Milestones!$AA$139)&gt;=$T66),$W66,IF(AND($S66&lt;&gt;"",EDATE($D66,Milestones!$AA$139)&gt;=$S66),$V66,$U66)))=Milestones!$AB$139),UPPER(TEXT(EDATE($D66,Milestones!$AA$139),"dd mmm yy"))&amp;" "&amp;Milestones!$AB$139&amp;" "&amp;Milestones!$AC$139&amp;";  ",""))</f>
        <v/>
      </c>
      <c r="O66" s="0" t="str">
        <f aca="false">IF(OR($A66="",$D66=""),"",IF(AND(EDATE($D66,Milestones!$AA$140)&lt;=AsOfDate,IF($R66=0,$X66,IF(AND($T66&lt;&gt;"",EDATE($D66,Milestones!$AA$140)&gt;=$T66),$W66,IF(AND($S66&lt;&gt;"",EDATE($D66,Milestones!$AA$140)&gt;=$S66),$V66,$U66)))=Milestones!$AB$140),UPPER(TEXT(EDATE($D66,Milestones!$AA$140),"dd mmm yy"))&amp;" "&amp;Milestones!$AB$140&amp;" "&amp;Milestones!$AC$140&amp;";  ","")&amp;IF(AND(EDATE($D66,Milestones!$AA$141)&lt;=AsOfDate,IF($R66=0,$X66,IF(AND($T66&lt;&gt;"",EDATE($D66,Milestones!$AA$141)&gt;=$T66),$W66,IF(AND($S66&lt;&gt;"",EDATE($D66,Milestones!$AA$141)&gt;=$S66),$V66,$U66)))=Milestones!$AB$141),UPPER(TEXT(EDATE($D66,Milestones!$AA$141),"dd mmm yy"))&amp;" "&amp;Milestones!$AB$141&amp;" "&amp;Milestones!$AC$141&amp;";  ","")&amp;IF(AND(EDATE($D66,Milestones!$AA$142)&lt;=AsOfDate,IF($R66=0,$X66,IF(AND($T66&lt;&gt;"",EDATE($D66,Milestones!$AA$142)&gt;=$T66),$W66,IF(AND($S66&lt;&gt;"",EDATE($D66,Milestones!$AA$142)&gt;=$S66),$V66,$U66)))=Milestones!$AB$142),UPPER(TEXT(EDATE($D66,Milestones!$AA$142),"dd mmm yy"))&amp;" "&amp;Milestones!$AB$142&amp;" "&amp;Milestones!$AC$142&amp;";  ","")&amp;IF(AND(EDATE($D66,Milestones!$AA$143)&lt;=AsOfDate,IF($R66=0,$X66,IF(AND($T66&lt;&gt;"",EDATE($D66,Milestones!$AA$143)&gt;=$T66),$W66,IF(AND($S66&lt;&gt;"",EDATE($D66,Milestones!$AA$143)&gt;=$S66),$V66,$U66)))=Milestones!$AB$143),UPPER(TEXT(EDATE($D66,Milestones!$AA$143),"dd mmm yy"))&amp;" "&amp;Milestones!$AB$143&amp;" "&amp;Milestones!$AC$143&amp;";  ","")&amp;IF(AND(EDATE($D66,Milestones!$AA$144)&lt;=AsOfDate,IF($R66=0,$X66,IF(AND($T66&lt;&gt;"",EDATE($D66,Milestones!$AA$144)&gt;=$T66),$W66,IF(AND($S66&lt;&gt;"",EDATE($D66,Milestones!$AA$144)&gt;=$S66),$V66,$U66)))=Milestones!$AB$144),UPPER(TEXT(EDATE($D66,Milestones!$AA$144),"dd mmm yy"))&amp;" "&amp;Milestones!$AB$144&amp;" "&amp;Milestones!$AC$144&amp;";  ","")&amp;IF(AND(EDATE($D66,Milestones!$AA$145)&lt;=AsOfDate,IF($R66=0,$X66,IF(AND($T66&lt;&gt;"",EDATE($D66,Milestones!$AA$145)&gt;=$T66),$W66,IF(AND($S66&lt;&gt;"",EDATE($D66,Milestones!$AA$145)&gt;=$S66),$V66,$U66)))=Milestones!$AB$145),UPPER(TEXT(EDATE($D66,Milestones!$AA$145),"dd mmm yy"))&amp;" "&amp;Milestones!$AB$145&amp;" "&amp;Milestones!$AC$145&amp;";  ","")&amp;IF(AND(EDATE($D66,Milestones!$AA$146)&lt;=AsOfDate,IF($R66=0,$X66,IF(AND($T66&lt;&gt;"",EDATE($D66,Milestones!$AA$146)&gt;=$T66),$W66,IF(AND($S66&lt;&gt;"",EDATE($D66,Milestones!$AA$146)&gt;=$S66),$V66,$U66)))=Milestones!$AB$146),UPPER(TEXT(EDATE($D66,Milestones!$AA$146),"dd mmm yy"))&amp;" "&amp;Milestones!$AB$146&amp;" "&amp;Milestones!$AC$146&amp;";  ","")&amp;IF(AND(EDATE($D66,Milestones!$AA$147)&lt;=AsOfDate,IF($R66=0,$X66,IF(AND($T66&lt;&gt;"",EDATE($D66,Milestones!$AA$147)&gt;=$T66),$W66,IF(AND($S66&lt;&gt;"",EDATE($D66,Milestones!$AA$147)&gt;=$S66),$V66,$U66)))=Milestones!$AB$147),UPPER(TEXT(EDATE($D66,Milestones!$AA$147),"dd mmm yy"))&amp;" "&amp;Milestones!$AB$147&amp;" "&amp;Milestones!$AC$147&amp;";  ","")&amp;IF(AND(EDATE($D66,Milestones!$AA$148)&lt;=AsOfDate,IF($R66=0,$X66,IF(AND($T66&lt;&gt;"",EDATE($D66,Milestones!$AA$148)&gt;=$T66),$W66,IF(AND($S66&lt;&gt;"",EDATE($D66,Milestones!$AA$148)&gt;=$S66),$V66,$U66)))=Milestones!$AB$148),UPPER(TEXT(EDATE($D66,Milestones!$AA$148),"dd mmm yy"))&amp;" "&amp;Milestones!$AB$148&amp;" "&amp;Milestones!$AC$148&amp;";  ","")&amp;IF(AND(EDATE($D66,Milestones!$AA$149)&lt;=AsOfDate,IF($R66=0,$X66,IF(AND($T66&lt;&gt;"",EDATE($D66,Milestones!$AA$149)&gt;=$T66),$W66,IF(AND($S66&lt;&gt;"",EDATE($D66,Milestones!$AA$149)&gt;=$S66),$V66,$U66)))=Milestones!$AB$149),UPPER(TEXT(EDATE($D66,Milestones!$AA$149),"dd mmm yy"))&amp;" "&amp;Milestones!$AB$149&amp;" "&amp;Milestones!$AC$149&amp;";  ","")&amp;IF(AND(EDATE($D66,Milestones!$AA$150)&lt;=AsOfDate,IF($R66=0,$X66,IF(AND($T66&lt;&gt;"",EDATE($D66,Milestones!$AA$150)&gt;=$T66),$W66,IF(AND($S66&lt;&gt;"",EDATE($D66,Milestones!$AA$150)&gt;=$S66),$V66,$U66)))=Milestones!$AB$150),UPPER(TEXT(EDATE($D66,Milestones!$AA$150),"dd mmm yy"))&amp;" "&amp;Milestones!$AB$150&amp;" "&amp;Milestones!$AC$150&amp;";  ","")&amp;IF(AND(EDATE($D66,Milestones!$AA$151)&lt;=AsOfDate,IF($R66=0,$X66,IF(AND($T66&lt;&gt;"",EDATE($D66,Milestones!$AA$151)&gt;=$T66),$W66,IF(AND($S66&lt;&gt;"",EDATE($D66,Milestones!$AA$151)&gt;=$S66),$V66,$U66)))=Milestones!$AB$151),UPPER(TEXT(EDATE($D66,Milestones!$AA$151),"dd mmm yy"))&amp;" "&amp;Milestones!$AB$151&amp;" "&amp;Milestones!$AC$151&amp;";  ","")&amp;IF(AND(EDATE($D66,Milestones!$AA$152)&lt;=AsOfDate,IF($R66=0,$X66,IF(AND($T66&lt;&gt;"",EDATE($D66,Milestones!$AA$152)&gt;=$T66),$W66,IF(AND($S66&lt;&gt;"",EDATE($D66,Milestones!$AA$152)&gt;=$S66),$V66,$U66)))=Milestones!$AB$152),UPPER(TEXT(EDATE($D66,Milestones!$AA$152),"dd mmm yy"))&amp;" "&amp;Milestones!$AB$152&amp;" "&amp;Milestones!$AC$152&amp;";  ","")&amp;IF(AND(EDATE($D66,Milestones!$AA$153)&lt;=AsOfDate,IF($R66=0,$X66,IF(AND($T66&lt;&gt;"",EDATE($D66,Milestones!$AA$153)&gt;=$T66),$W66,IF(AND($S66&lt;&gt;"",EDATE($D66,Milestones!$AA$153)&gt;=$S66),$V66,$U66)))=Milestones!$AB$153),UPPER(TEXT(EDATE($D66,Milestones!$AA$153),"dd mmm yy"))&amp;" "&amp;Milestones!$AB$153&amp;" "&amp;Milestones!$AC$153&amp;";  ","")&amp;IF(AND(EDATE($D66,Milestones!$AA$154)&lt;=AsOfDate,IF($R66=0,$X66,IF(AND($T66&lt;&gt;"",EDATE($D66,Milestones!$AA$154)&gt;=$T66),$W66,IF(AND($S66&lt;&gt;"",EDATE($D66,Milestones!$AA$154)&gt;=$S66),$V66,$U66)))=Milestones!$AB$154),UPPER(TEXT(EDATE($D66,Milestones!$AA$154),"dd mmm yy"))&amp;" "&amp;Milestones!$AB$154&amp;" "&amp;Milestones!$AC$154&amp;";  ","")&amp;IF(AND(EDATE($D66,Milestones!$AA$155)&lt;=AsOfDate,IF($R66=0,$X66,IF(AND($T66&lt;&gt;"",EDATE($D66,Milestones!$AA$155)&gt;=$T66),$W66,IF(AND($S66&lt;&gt;"",EDATE($D66,Milestones!$AA$155)&gt;=$S66),$V66,$U66)))=Milestones!$AB$155),UPPER(TEXT(EDATE($D66,Milestones!$AA$155),"dd mmm yy"))&amp;" "&amp;Milestones!$AB$155&amp;" "&amp;Milestones!$AC$155&amp;";  ","")&amp;IF(AND(EDATE($D66,Milestones!$AA$156)&lt;=AsOfDate,IF($R66=0,$X66,IF(AND($T66&lt;&gt;"",EDATE($D66,Milestones!$AA$156)&gt;=$T66),$W66,IF(AND($S66&lt;&gt;"",EDATE($D66,Milestones!$AA$156)&gt;=$S66),$V66,$U66)))=Milestones!$AB$156),UPPER(TEXT(EDATE($D66,Milestones!$AA$156),"dd mmm yy"))&amp;" "&amp;Milestones!$AB$156&amp;" "&amp;Milestones!$AC$156&amp;";  ","")&amp;IF(AND(EDATE($D66,Milestones!$AA$157)&lt;=AsOfDate,IF($R66=0,$X66,IF(AND($T66&lt;&gt;"",EDATE($D66,Milestones!$AA$157)&gt;=$T66),$W66,IF(AND($S66&lt;&gt;"",EDATE($D66,Milestones!$AA$157)&gt;=$S66),$V66,$U66)))=Milestones!$AB$157),UPPER(TEXT(EDATE($D66,Milestones!$AA$157),"dd mmm yy"))&amp;" "&amp;Milestones!$AB$157&amp;" "&amp;Milestones!$AC$157&amp;";  ","")&amp;IF(AND(EDATE($D66,Milestones!$AA$158)&lt;=AsOfDate,IF($R66=0,$X66,IF(AND($T66&lt;&gt;"",EDATE($D66,Milestones!$AA$158)&gt;=$T66),$W66,IF(AND($S66&lt;&gt;"",EDATE($D66,Milestones!$AA$158)&gt;=$S66),$V66,$U66)))=Milestones!$AB$158),UPPER(TEXT(EDATE($D66,Milestones!$AA$158),"dd mmm yy"))&amp;" "&amp;Milestones!$AB$158&amp;" "&amp;Milestones!$AC$158&amp;";  ","")&amp;IF(AND(EDATE($D66,Milestones!$AA$159)&lt;=AsOfDate,IF($R66=0,$X66,IF(AND($T66&lt;&gt;"",EDATE($D66,Milestones!$AA$159)&gt;=$T66),$W66,IF(AND($S66&lt;&gt;"",EDATE($D66,Milestones!$AA$159)&gt;=$S66),$V66,$U66)))=Milestones!$AB$159),UPPER(TEXT(EDATE($D66,Milestones!$AA$159),"dd mmm yy"))&amp;" "&amp;Milestones!$AB$159&amp;" "&amp;Milestones!$AC$159&amp;";  ",""))</f>
        <v/>
      </c>
      <c r="P66" s="0" t="str">
        <f aca="false">IF(OR($A66="",$D66=""),"",IF(AND(EDATE($D66,Milestones!$AA$160)&lt;=AsOfDate,IF($R66=0,$X66,IF(AND($T66&lt;&gt;"",EDATE($D66,Milestones!$AA$160)&gt;=$T66),$W66,IF(AND($S66&lt;&gt;"",EDATE($D66,Milestones!$AA$160)&gt;=$S66),$V66,$U66)))=Milestones!$AB$160),UPPER(TEXT(EDATE($D66,Milestones!$AA$160),"dd mmm yy"))&amp;" "&amp;Milestones!$AB$160&amp;" "&amp;Milestones!$AC$160&amp;";  ","")&amp;IF(AND(EDATE($D66,Milestones!$AA$161)&lt;=AsOfDate,IF($R66=0,$X66,IF(AND($T66&lt;&gt;"",EDATE($D66,Milestones!$AA$161)&gt;=$T66),$W66,IF(AND($S66&lt;&gt;"",EDATE($D66,Milestones!$AA$161)&gt;=$S66),$V66,$U66)))=Milestones!$AB$161),UPPER(TEXT(EDATE($D66,Milestones!$AA$161),"dd mmm yy"))&amp;" "&amp;Milestones!$AB$161&amp;" "&amp;Milestones!$AC$161&amp;";  ","")&amp;IF(AND(EDATE($D66,Milestones!$AA$162)&lt;=AsOfDate,IF($R66=0,$X66,IF(AND($T66&lt;&gt;"",EDATE($D66,Milestones!$AA$162)&gt;=$T66),$W66,IF(AND($S66&lt;&gt;"",EDATE($D66,Milestones!$AA$162)&gt;=$S66),$V66,$U66)))=Milestones!$AB$162),UPPER(TEXT(EDATE($D66,Milestones!$AA$162),"dd mmm yy"))&amp;" "&amp;Milestones!$AB$162&amp;" "&amp;Milestones!$AC$162&amp;";  ","")&amp;IF(AND(EDATE($D66,Milestones!$AA$163)&lt;=AsOfDate,IF($R66=0,$X66,IF(AND($T66&lt;&gt;"",EDATE($D66,Milestones!$AA$163)&gt;=$T66),$W66,IF(AND($S66&lt;&gt;"",EDATE($D66,Milestones!$AA$163)&gt;=$S66),$V66,$U66)))=Milestones!$AB$163),UPPER(TEXT(EDATE($D66,Milestones!$AA$163),"dd mmm yy"))&amp;" "&amp;Milestones!$AB$163&amp;" "&amp;Milestones!$AC$163&amp;";  ","")&amp;IF(AND(EDATE($D66,Milestones!$AA$164)&lt;=AsOfDate,IF($R66=0,$X66,IF(AND($T66&lt;&gt;"",EDATE($D66,Milestones!$AA$164)&gt;=$T66),$W66,IF(AND($S66&lt;&gt;"",EDATE($D66,Milestones!$AA$164)&gt;=$S66),$V66,$U66)))=Milestones!$AB$164),UPPER(TEXT(EDATE($D66,Milestones!$AA$164),"dd mmm yy"))&amp;" "&amp;Milestones!$AB$164&amp;" "&amp;Milestones!$AC$164&amp;";  ","")&amp;IF(AND(EDATE($D66,Milestones!$AA$165)&lt;=AsOfDate,IF($R66=0,$X66,IF(AND($T66&lt;&gt;"",EDATE($D66,Milestones!$AA$165)&gt;=$T66),$W66,IF(AND($S66&lt;&gt;"",EDATE($D66,Milestones!$AA$165)&gt;=$S66),$V66,$U66)))=Milestones!$AB$165),UPPER(TEXT(EDATE($D66,Milestones!$AA$165),"dd mmm yy"))&amp;" "&amp;Milestones!$AB$165&amp;" "&amp;Milestones!$AC$165&amp;";  ","")&amp;IF(AND(EDATE($D66,Milestones!$AA$166)&lt;=AsOfDate,IF($R66=0,$X66,IF(AND($T66&lt;&gt;"",EDATE($D66,Milestones!$AA$166)&gt;=$T66),$W66,IF(AND($S66&lt;&gt;"",EDATE($D66,Milestones!$AA$166)&gt;=$S66),$V66,$U66)))=Milestones!$AB$166),UPPER(TEXT(EDATE($D66,Milestones!$AA$166),"dd mmm yy"))&amp;" "&amp;Milestones!$AB$166&amp;" "&amp;Milestones!$AC$166&amp;";  ","")&amp;IF(AND(EDATE($D66,Milestones!$AA$167)&lt;=AsOfDate,IF($R66=0,$X66,IF(AND($T66&lt;&gt;"",EDATE($D66,Milestones!$AA$167)&gt;=$T66),$W66,IF(AND($S66&lt;&gt;"",EDATE($D66,Milestones!$AA$167)&gt;=$S66),$V66,$U66)))=Milestones!$AB$167),UPPER(TEXT(EDATE($D66,Milestones!$AA$167),"dd mmm yy"))&amp;" "&amp;Milestones!$AB$167&amp;" "&amp;Milestones!$AC$167&amp;";  ","")&amp;IF(AND(EDATE($D66,Milestones!$AA$168)&lt;=AsOfDate,IF($R66=0,$X66,IF(AND($T66&lt;&gt;"",EDATE($D66,Milestones!$AA$168)&gt;=$T66),$W66,IF(AND($S66&lt;&gt;"",EDATE($D66,Milestones!$AA$168)&gt;=$S66),$V66,$U66)))=Milestones!$AB$168),UPPER(TEXT(EDATE($D66,Milestones!$AA$168),"dd mmm yy"))&amp;" "&amp;Milestones!$AB$168&amp;" "&amp;Milestones!$AC$168&amp;";  ","")&amp;IF(AND(EDATE($D66,Milestones!$AA$169)&lt;=AsOfDate,IF($R66=0,$X66,IF(AND($T66&lt;&gt;"",EDATE($D66,Milestones!$AA$169)&gt;=$T66),$W66,IF(AND($S66&lt;&gt;"",EDATE($D66,Milestones!$AA$169)&gt;=$S66),$V66,$U66)))=Milestones!$AB$169),UPPER(TEXT(EDATE($D66,Milestones!$AA$169),"dd mmm yy"))&amp;" "&amp;Milestones!$AB$169&amp;" "&amp;Milestones!$AC$169&amp;";  ","")&amp;IF(AND(EDATE($D66,Milestones!$AA$170)&lt;=AsOfDate,IF($R66=0,$X66,IF(AND($T66&lt;&gt;"",EDATE($D66,Milestones!$AA$170)&gt;=$T66),$W66,IF(AND($S66&lt;&gt;"",EDATE($D66,Milestones!$AA$170)&gt;=$S66),$V66,$U66)))=Milestones!$AB$170),UPPER(TEXT(EDATE($D66,Milestones!$AA$170),"dd mmm yy"))&amp;" "&amp;Milestones!$AB$170&amp;" "&amp;Milestones!$AC$170&amp;";  ","")&amp;IF(AND(EDATE($D66,Milestones!$AA$171)&lt;=AsOfDate,IF($R66=0,$X66,IF(AND($T66&lt;&gt;"",EDATE($D66,Milestones!$AA$171)&gt;=$T66),$W66,IF(AND($S66&lt;&gt;"",EDATE($D66,Milestones!$AA$171)&gt;=$S66),$V66,$U66)))=Milestones!$AB$171),UPPER(TEXT(EDATE($D66,Milestones!$AA$171),"dd mmm yy"))&amp;" "&amp;Milestones!$AB$171&amp;" "&amp;Milestones!$AC$171&amp;";  ","")&amp;IF(AND(EDATE($D66,Milestones!$AA$172)&lt;=AsOfDate,IF($R66=0,$X66,IF(AND($T66&lt;&gt;"",EDATE($D66,Milestones!$AA$172)&gt;=$T66),$W66,IF(AND($S66&lt;&gt;"",EDATE($D66,Milestones!$AA$172)&gt;=$S66),$V66,$U66)))=Milestones!$AB$172),UPPER(TEXT(EDATE($D66,Milestones!$AA$172),"dd mmm yy"))&amp;" "&amp;Milestones!$AB$172&amp;" "&amp;Milestones!$AC$172&amp;";  ","")&amp;IF(AND(EDATE($D66,Milestones!$AA$173)&lt;=AsOfDate,IF($R66=0,$X66,IF(AND($T66&lt;&gt;"",EDATE($D66,Milestones!$AA$173)&gt;=$T66),$W66,IF(AND($S66&lt;&gt;"",EDATE($D66,Milestones!$AA$173)&gt;=$S66),$V66,$U66)))=Milestones!$AB$173),UPPER(TEXT(EDATE($D66,Milestones!$AA$173),"dd mmm yy"))&amp;" "&amp;Milestones!$AB$173&amp;" "&amp;Milestones!$AC$173&amp;";  ","")&amp;IF(AND(EDATE($D66,Milestones!$AA$174)&lt;=AsOfDate,IF($R66=0,$X66,IF(AND($T66&lt;&gt;"",EDATE($D66,Milestones!$AA$174)&gt;=$T66),$W66,IF(AND($S66&lt;&gt;"",EDATE($D66,Milestones!$AA$174)&gt;=$S66),$V66,$U66)))=Milestones!$AB$174),UPPER(TEXT(EDATE($D66,Milestones!$AA$174),"dd mmm yy"))&amp;" "&amp;Milestones!$AB$174&amp;" "&amp;Milestones!$AC$174&amp;";  ","")&amp;IF(AND(EDATE($D66,Milestones!$AA$175)&lt;=AsOfDate,IF($R66=0,$X66,IF(AND($T66&lt;&gt;"",EDATE($D66,Milestones!$AA$175)&gt;=$T66),$W66,IF(AND($S66&lt;&gt;"",EDATE($D66,Milestones!$AA$175)&gt;=$S66),$V66,$U66)))=Milestones!$AB$175),UPPER(TEXT(EDATE($D66,Milestones!$AA$175),"dd mmm yy"))&amp;" "&amp;Milestones!$AB$175&amp;" "&amp;Milestones!$AC$175&amp;";  ","")&amp;IF(AND(EDATE($D66,Milestones!$AA$176)&lt;=AsOfDate,IF($R66=0,$X66,IF(AND($T66&lt;&gt;"",EDATE($D66,Milestones!$AA$176)&gt;=$T66),$W66,IF(AND($S66&lt;&gt;"",EDATE($D66,Milestones!$AA$176)&gt;=$S66),$V66,$U66)))=Milestones!$AB$176),UPPER(TEXT(EDATE($D66,Milestones!$AA$176),"dd mmm yy"))&amp;" "&amp;Milestones!$AB$176&amp;" "&amp;Milestones!$AC$176&amp;";  ","")&amp;IF(AND(EDATE($D66,Milestones!$AA$177)&lt;=AsOfDate,IF($R66=0,$X66,IF(AND($T66&lt;&gt;"",EDATE($D66,Milestones!$AA$177)&gt;=$T66),$W66,IF(AND($S66&lt;&gt;"",EDATE($D66,Milestones!$AA$177)&gt;=$S66),$V66,$U66)))=Milestones!$AB$177),UPPER(TEXT(EDATE($D66,Milestones!$AA$177),"dd mmm yy"))&amp;" "&amp;Milestones!$AB$177&amp;" "&amp;Milestones!$AC$177&amp;";  ","")&amp;IF(AND(EDATE($D66,Milestones!$AA$178)&lt;=AsOfDate,IF($R66=0,$X66,IF(AND($T66&lt;&gt;"",EDATE($D66,Milestones!$AA$178)&gt;=$T66),$W66,IF(AND($S66&lt;&gt;"",EDATE($D66,Milestones!$AA$178)&gt;=$S66),$V66,$U66)))=Milestones!$AB$178),UPPER(TEXT(EDATE($D66,Milestones!$AA$178),"dd mmm yy"))&amp;" "&amp;Milestones!$AB$178&amp;" "&amp;Milestones!$AC$178&amp;";  ","")&amp;IF(AND(EDATE($D66,Milestones!$AA$179)&lt;=AsOfDate,IF($R66=0,$X66,IF(AND($T66&lt;&gt;"",EDATE($D66,Milestones!$AA$179)&gt;=$T66),$W66,IF(AND($S66&lt;&gt;"",EDATE($D66,Milestones!$AA$179)&gt;=$S66),$V66,$U66)))=Milestones!$AB$179),UPPER(TEXT(EDATE($D66,Milestones!$AA$179),"dd mmm yy"))&amp;" "&amp;Milestones!$AB$179&amp;" "&amp;Milestones!$AC$179&amp;";  ",""))</f>
        <v/>
      </c>
      <c r="Q66" s="0" t="str">
        <f aca="false">IF(OR($A66="",$D66=""),"",IF(AND(EDATE($D66,Milestones!$AA$180)&lt;=AsOfDate,IF($R66=0,$X66,IF(AND($T66&lt;&gt;"",EDATE($D66,Milestones!$AA$180)&gt;=$T66),$W66,IF(AND($S66&lt;&gt;"",EDATE($D66,Milestones!$AA$180)&gt;=$S66),$V66,$U66)))=Milestones!$AB$180),UPPER(TEXT(EDATE($D66,Milestones!$AA$180),"dd mmm yy"))&amp;" "&amp;Milestones!$AB$180&amp;" "&amp;Milestones!$AC$180&amp;";  ","")&amp;IF(AND(EDATE($D66,Milestones!$AA$181)&lt;=AsOfDate,IF($R66=0,$X66,IF(AND($T66&lt;&gt;"",EDATE($D66,Milestones!$AA$181)&gt;=$T66),$W66,IF(AND($S66&lt;&gt;"",EDATE($D66,Milestones!$AA$181)&gt;=$S66),$V66,$U66)))=Milestones!$AB$181),UPPER(TEXT(EDATE($D66,Milestones!$AA$181),"dd mmm yy"))&amp;" "&amp;Milestones!$AB$181&amp;" "&amp;Milestones!$AC$181&amp;";  ","")&amp;IF(AND(EDATE($D66,Milestones!$AA$182)&lt;=AsOfDate,IF($R66=0,$X66,IF(AND($T66&lt;&gt;"",EDATE($D66,Milestones!$AA$182)&gt;=$T66),$W66,IF(AND($S66&lt;&gt;"",EDATE($D66,Milestones!$AA$182)&gt;=$S66),$V66,$U66)))=Milestones!$AB$182),UPPER(TEXT(EDATE($D66,Milestones!$AA$182),"dd mmm yy"))&amp;" "&amp;Milestones!$AB$182&amp;" "&amp;Milestones!$AC$182&amp;";  ","")&amp;IF(AND(EDATE($D66,Milestones!$AA$183)&lt;=AsOfDate,IF($R66=0,$X66,IF(AND($T66&lt;&gt;"",EDATE($D66,Milestones!$AA$183)&gt;=$T66),$W66,IF(AND($S66&lt;&gt;"",EDATE($D66,Milestones!$AA$183)&gt;=$S66),$V66,$U66)))=Milestones!$AB$183),UPPER(TEXT(EDATE($D66,Milestones!$AA$183),"dd mmm yy"))&amp;" "&amp;Milestones!$AB$183&amp;" "&amp;Milestones!$AC$183&amp;";  ","")&amp;IF(AND(EDATE($D66,Milestones!$AA$184)&lt;=AsOfDate,IF($R66=0,$X66,IF(AND($T66&lt;&gt;"",EDATE($D66,Milestones!$AA$184)&gt;=$T66),$W66,IF(AND($S66&lt;&gt;"",EDATE($D66,Milestones!$AA$184)&gt;=$S66),$V66,$U66)))=Milestones!$AB$184),UPPER(TEXT(EDATE($D66,Milestones!$AA$184),"dd mmm yy"))&amp;" "&amp;Milestones!$AB$184&amp;" "&amp;Milestones!$AC$184&amp;";  ","")&amp;IF(AND(EDATE($D66,Milestones!$AA$185)&lt;=AsOfDate,IF($R66=0,$X66,IF(AND($T66&lt;&gt;"",EDATE($D66,Milestones!$AA$185)&gt;=$T66),$W66,IF(AND($S66&lt;&gt;"",EDATE($D66,Milestones!$AA$185)&gt;=$S66),$V66,$U66)))=Milestones!$AB$185),UPPER(TEXT(EDATE($D66,Milestones!$AA$185),"dd mmm yy"))&amp;" "&amp;Milestones!$AB$185&amp;" "&amp;Milestones!$AC$185&amp;";  ","")&amp;IF(AND(EDATE($D66,Milestones!$AA$186)&lt;=AsOfDate,IF($R66=0,$X66,IF(AND($T66&lt;&gt;"",EDATE($D66,Milestones!$AA$186)&gt;=$T66),$W66,IF(AND($S66&lt;&gt;"",EDATE($D66,Milestones!$AA$186)&gt;=$S66),$V66,$U66)))=Milestones!$AB$186),UPPER(TEXT(EDATE($D66,Milestones!$AA$186),"dd mmm yy"))&amp;" "&amp;Milestones!$AB$186&amp;" "&amp;Milestones!$AC$186&amp;";  ","")&amp;IF(AND(EDATE($D66,Milestones!$AA$187)&lt;=AsOfDate,IF($R66=0,$X66,IF(AND($T66&lt;&gt;"",EDATE($D66,Milestones!$AA$187)&gt;=$T66),$W66,IF(AND($S66&lt;&gt;"",EDATE($D66,Milestones!$AA$187)&gt;=$S66),$V66,$U66)))=Milestones!$AB$187),UPPER(TEXT(EDATE($D66,Milestones!$AA$187),"dd mmm yy"))&amp;" "&amp;Milestones!$AB$187&amp;" "&amp;Milestones!$AC$187&amp;";  ","")&amp;IF(AND(EDATE($D66,Milestones!$AA$188)&lt;=AsOfDate,IF($R66=0,$X66,IF(AND($T66&lt;&gt;"",EDATE($D66,Milestones!$AA$188)&gt;=$T66),$W66,IF(AND($S66&lt;&gt;"",EDATE($D66,Milestones!$AA$188)&gt;=$S66),$V66,$U66)))=Milestones!$AB$188),UPPER(TEXT(EDATE($D66,Milestones!$AA$188),"dd mmm yy"))&amp;" "&amp;Milestones!$AB$188&amp;" "&amp;Milestones!$AC$188&amp;";  ","")&amp;IF(AND(EDATE($D66,Milestones!$AA$189)&lt;=AsOfDate,IF($R66=0,$X66,IF(AND($T66&lt;&gt;"",EDATE($D66,Milestones!$AA$189)&gt;=$T66),$W66,IF(AND($S66&lt;&gt;"",EDATE($D66,Milestones!$AA$189)&gt;=$S66),$V66,$U66)))=Milestones!$AB$189),UPPER(TEXT(EDATE($D66,Milestones!$AA$189),"dd mmm yy"))&amp;" "&amp;Milestones!$AB$189&amp;" "&amp;Milestones!$AC$189&amp;";  ","")&amp;IF(AND(EDATE($D66,Milestones!$AA$190)&lt;=AsOfDate,IF($R66=0,$X66,IF(AND($T66&lt;&gt;"",EDATE($D66,Milestones!$AA$190)&gt;=$T66),$W66,IF(AND($S66&lt;&gt;"",EDATE($D66,Milestones!$AA$190)&gt;=$S66),$V66,$U66)))=Milestones!$AB$190),UPPER(TEXT(EDATE($D66,Milestones!$AA$190),"dd mmm yy"))&amp;" "&amp;Milestones!$AB$190&amp;" "&amp;Milestones!$AC$190&amp;";  ","")&amp;IF(AND(EDATE($D66,Milestones!$AA$191)&lt;=AsOfDate,IF($R66=0,$X66,IF(AND($T66&lt;&gt;"",EDATE($D66,Milestones!$AA$191)&gt;=$T66),$W66,IF(AND($S66&lt;&gt;"",EDATE($D66,Milestones!$AA$191)&gt;=$S66),$V66,$U66)))=Milestones!$AB$191),UPPER(TEXT(EDATE($D66,Milestones!$AA$191),"dd mmm yy"))&amp;" "&amp;Milestones!$AB$191&amp;" "&amp;Milestones!$AC$191&amp;";  ","")&amp;IF(AND(EDATE($D66,Milestones!$AA$192)&lt;=AsOfDate,IF($R66=0,$X66,IF(AND($T66&lt;&gt;"",EDATE($D66,Milestones!$AA$192)&gt;=$T66),$W66,IF(AND($S66&lt;&gt;"",EDATE($D66,Milestones!$AA$192)&gt;=$S66),$V66,$U66)))=Milestones!$AB$192),UPPER(TEXT(EDATE($D66,Milestones!$AA$192),"dd mmm yy"))&amp;" "&amp;Milestones!$AB$192&amp;" "&amp;Milestones!$AC$192&amp;";  ","")&amp;IF(AND(EDATE($D66,Milestones!$AA$193)&lt;=AsOfDate,IF($R66=0,$X66,IF(AND($T66&lt;&gt;"",EDATE($D66,Milestones!$AA$193)&gt;=$T66),$W66,IF(AND($S66&lt;&gt;"",EDATE($D66,Milestones!$AA$193)&gt;=$S66),$V66,$U66)))=Milestones!$AB$193),UPPER(TEXT(EDATE($D66,Milestones!$AA$193),"dd mmm yy"))&amp;" "&amp;Milestones!$AB$193&amp;" "&amp;Milestones!$AC$193&amp;";  ","")&amp;IF(AND(EDATE($D66,Milestones!$AA$194)&lt;=AsOfDate,IF($R66=0,$X66,IF(AND($T66&lt;&gt;"",EDATE($D66,Milestones!$AA$194)&gt;=$T66),$W66,IF(AND($S66&lt;&gt;"",EDATE($D66,Milestones!$AA$194)&gt;=$S66),$V66,$U66)))=Milestones!$AB$194),UPPER(TEXT(EDATE($D66,Milestones!$AA$194),"dd mmm yy"))&amp;" "&amp;Milestones!$AB$194&amp;" "&amp;Milestones!$AC$194&amp;";  ","")&amp;IF(AND(EDATE($D66,Milestones!$AA$195)&lt;=AsOfDate,IF($R66=0,$X66,IF(AND($T66&lt;&gt;"",EDATE($D66,Milestones!$AA$195)&gt;=$T66),$W66,IF(AND($S66&lt;&gt;"",EDATE($D66,Milestones!$AA$195)&gt;=$S66),$V66,$U66)))=Milestones!$AB$195),UPPER(TEXT(EDATE($D66,Milestones!$AA$195),"dd mmm yy"))&amp;" "&amp;Milestones!$AB$195&amp;" "&amp;Milestones!$AC$195&amp;";  ","")&amp;IF(AND(EDATE($D66,Milestones!$AA$196)&lt;=AsOfDate,IF($R66=0,$X66,IF(AND($T66&lt;&gt;"",EDATE($D66,Milestones!$AA$196)&gt;=$T66),$W66,IF(AND($S66&lt;&gt;"",EDATE($D66,Milestones!$AA$196)&gt;=$S66),$V66,$U66)))=Milestones!$AB$196),UPPER(TEXT(EDATE($D66,Milestones!$AA$196),"dd mmm yy"))&amp;" "&amp;Milestones!$AB$196&amp;" "&amp;Milestones!$AC$196&amp;";  ","")&amp;IF(AND(EDATE($D66,Milestones!$AA$197)&lt;=AsOfDate,IF($R66=0,$X66,IF(AND($T66&lt;&gt;"",EDATE($D66,Milestones!$AA$197)&gt;=$T66),$W66,IF(AND($S66&lt;&gt;"",EDATE($D66,Milestones!$AA$197)&gt;=$S66),$V66,$U66)))=Milestones!$AB$197),UPPER(TEXT(EDATE($D66,Milestones!$AA$197),"dd mmm yy"))&amp;" "&amp;Milestones!$AB$197&amp;" "&amp;Milestones!$AC$197&amp;";  ","")&amp;IF(AND(EDATE($D66,Milestones!$AA$198)&lt;=AsOfDate,IF($R66=0,$X66,IF(AND($T66&lt;&gt;"",EDATE($D66,Milestones!$AA$198)&gt;=$T66),$W66,IF(AND($S66&lt;&gt;"",EDATE($D66,Milestones!$AA$198)&gt;=$S66),$V66,$U66)))=Milestones!$AB$198),UPPER(TEXT(EDATE($D66,Milestones!$AA$198),"dd mmm yy"))&amp;" "&amp;Milestones!$AB$198&amp;" "&amp;Milestones!$AC$198&amp;";  ","")&amp;IF(AND(EDATE($D66,Milestones!$AA$199)&lt;=AsOfDate,IF($R66=0,$X66,IF(AND($T66&lt;&gt;"",EDATE($D66,Milestones!$AA$199)&gt;=$T66),$W66,IF(AND($S66&lt;&gt;"",EDATE($D66,Milestones!$AA$199)&gt;=$S66),$V66,$U66)))=Milestones!$AB$199),UPPER(TEXT(EDATE($D66,Milestones!$AA$199),"dd mmm yy"))&amp;" "&amp;Milestones!$AB$199&amp;" "&amp;Milestones!$AC$199&amp;";  ",""))</f>
        <v/>
      </c>
      <c r="R66" s="0" t="str">
        <f aca="false">IF(Staff!$A66="","",Staff!$AI66)</f>
        <v/>
      </c>
      <c r="S66" s="0" t="str">
        <f aca="false">IF(Staff!$A66="","",Staff!$AK66)</f>
        <v/>
      </c>
      <c r="T66" s="0" t="str">
        <f aca="false">IF(Staff!$A66="","",Staff!$AL66)</f>
        <v/>
      </c>
      <c r="U66" s="0" t="str">
        <f aca="false">IF(Staff!$A66="","",Staff!$AP66)</f>
        <v/>
      </c>
      <c r="V66" s="0" t="str">
        <f aca="false">IF(Staff!$A66="","",Staff!$AQ66)</f>
        <v/>
      </c>
      <c r="W66" s="0" t="str">
        <f aca="false">IF(Staff!$A66="","",Staff!$AR66)</f>
        <v/>
      </c>
      <c r="X66" s="0" t="str">
        <f aca="false">IF(Staff!$A66="","",Staff!$AS66)</f>
        <v/>
      </c>
    </row>
    <row r="67" customFormat="false" ht="15" hidden="false" customHeight="false" outlineLevel="0" collapsed="false">
      <c r="A67" s="14" t="str">
        <f aca="false">IF(Staff!$A67="","",Staff!$A67)</f>
        <v/>
      </c>
      <c r="B67" s="14" t="str">
        <f aca="false">IF(Staff!$A67="","",Staff!$B67)</f>
        <v/>
      </c>
      <c r="C67" s="14" t="str">
        <f aca="false">IF(Staff!$A67="","",Staff!$C67)</f>
        <v/>
      </c>
      <c r="D67" s="12" t="str">
        <f aca="false">IF(Staff!$A67="","",Staff!$AH67)</f>
        <v/>
      </c>
      <c r="E67" s="14" t="str">
        <f aca="false">IF(Staff!$A67="","",Staff!$O67)</f>
        <v/>
      </c>
      <c r="F67" s="14" t="str">
        <f aca="false">IF(E67="","",E67*HoursPerDay)</f>
        <v/>
      </c>
      <c r="G67" s="14" t="str">
        <f aca="false">IF(Staff!$A67="","",Staff!$AE67)</f>
        <v/>
      </c>
      <c r="H67" s="26" t="str">
        <f aca="false">IF($A67="","",I67&amp;J67&amp;K67&amp;L67&amp;M67&amp;N67&amp;O67&amp;P67&amp;Q67)</f>
        <v/>
      </c>
      <c r="I67" s="0" t="str">
        <f aca="false">IF(OR($A67="",$D67=""),"",IF(AND(EDATE($D67,Milestones!$AA$20)&lt;=AsOfDate,IF($R67=0,$X67,IF(AND($T67&lt;&gt;"",EDATE($D67,Milestones!$AA$20)&gt;=$T67),$W67,IF(AND($S67&lt;&gt;"",EDATE($D67,Milestones!$AA$20)&gt;=$S67),$V67,$U67)))=Milestones!$AB$20),UPPER(TEXT(EDATE($D67,Milestones!$AA$20),"dd mmm yy"))&amp;" "&amp;Milestones!$AB$20&amp;" "&amp;Milestones!$AC$20&amp;";  ","")&amp;IF(AND(EDATE($D67,Milestones!$AA$21)&lt;=AsOfDate,IF($R67=0,$X67,IF(AND($T67&lt;&gt;"",EDATE($D67,Milestones!$AA$21)&gt;=$T67),$W67,IF(AND($S67&lt;&gt;"",EDATE($D67,Milestones!$AA$21)&gt;=$S67),$V67,$U67)))=Milestones!$AB$21),UPPER(TEXT(EDATE($D67,Milestones!$AA$21),"dd mmm yy"))&amp;" "&amp;Milestones!$AB$21&amp;" "&amp;Milestones!$AC$21&amp;";  ","")&amp;IF(AND(EDATE($D67,Milestones!$AA$22)&lt;=AsOfDate,IF($R67=0,$X67,IF(AND($T67&lt;&gt;"",EDATE($D67,Milestones!$AA$22)&gt;=$T67),$W67,IF(AND($S67&lt;&gt;"",EDATE($D67,Milestones!$AA$22)&gt;=$S67),$V67,$U67)))=Milestones!$AB$22),UPPER(TEXT(EDATE($D67,Milestones!$AA$22),"dd mmm yy"))&amp;" "&amp;Milestones!$AB$22&amp;" "&amp;Milestones!$AC$22&amp;";  ","")&amp;IF(AND(EDATE($D67,Milestones!$AA$23)&lt;=AsOfDate,IF($R67=0,$X67,IF(AND($T67&lt;&gt;"",EDATE($D67,Milestones!$AA$23)&gt;=$T67),$W67,IF(AND($S67&lt;&gt;"",EDATE($D67,Milestones!$AA$23)&gt;=$S67),$V67,$U67)))=Milestones!$AB$23),UPPER(TEXT(EDATE($D67,Milestones!$AA$23),"dd mmm yy"))&amp;" "&amp;Milestones!$AB$23&amp;" "&amp;Milestones!$AC$23&amp;";  ","")&amp;IF(AND(EDATE($D67,Milestones!$AA$24)&lt;=AsOfDate,IF($R67=0,$X67,IF(AND($T67&lt;&gt;"",EDATE($D67,Milestones!$AA$24)&gt;=$T67),$W67,IF(AND($S67&lt;&gt;"",EDATE($D67,Milestones!$AA$24)&gt;=$S67),$V67,$U67)))=Milestones!$AB$24),UPPER(TEXT(EDATE($D67,Milestones!$AA$24),"dd mmm yy"))&amp;" "&amp;Milestones!$AB$24&amp;" "&amp;Milestones!$AC$24&amp;";  ","")&amp;IF(AND(EDATE($D67,Milestones!$AA$25)&lt;=AsOfDate,IF($R67=0,$X67,IF(AND($T67&lt;&gt;"",EDATE($D67,Milestones!$AA$25)&gt;=$T67),$W67,IF(AND($S67&lt;&gt;"",EDATE($D67,Milestones!$AA$25)&gt;=$S67),$V67,$U67)))=Milestones!$AB$25),UPPER(TEXT(EDATE($D67,Milestones!$AA$25),"dd mmm yy"))&amp;" "&amp;Milestones!$AB$25&amp;" "&amp;Milestones!$AC$25&amp;";  ","")&amp;IF(AND(EDATE($D67,Milestones!$AA$26)&lt;=AsOfDate,IF($R67=0,$X67,IF(AND($T67&lt;&gt;"",EDATE($D67,Milestones!$AA$26)&gt;=$T67),$W67,IF(AND($S67&lt;&gt;"",EDATE($D67,Milestones!$AA$26)&gt;=$S67),$V67,$U67)))=Milestones!$AB$26),UPPER(TEXT(EDATE($D67,Milestones!$AA$26),"dd mmm yy"))&amp;" "&amp;Milestones!$AB$26&amp;" "&amp;Milestones!$AC$26&amp;";  ","")&amp;IF(AND(EDATE($D67,Milestones!$AA$27)&lt;=AsOfDate,IF($R67=0,$X67,IF(AND($T67&lt;&gt;"",EDATE($D67,Milestones!$AA$27)&gt;=$T67),$W67,IF(AND($S67&lt;&gt;"",EDATE($D67,Milestones!$AA$27)&gt;=$S67),$V67,$U67)))=Milestones!$AB$27),UPPER(TEXT(EDATE($D67,Milestones!$AA$27),"dd mmm yy"))&amp;" "&amp;Milestones!$AB$27&amp;" "&amp;Milestones!$AC$27&amp;";  ","")&amp;IF(AND(EDATE($D67,Milestones!$AA$28)&lt;=AsOfDate,IF($R67=0,$X67,IF(AND($T67&lt;&gt;"",EDATE($D67,Milestones!$AA$28)&gt;=$T67),$W67,IF(AND($S67&lt;&gt;"",EDATE($D67,Milestones!$AA$28)&gt;=$S67),$V67,$U67)))=Milestones!$AB$28),UPPER(TEXT(EDATE($D67,Milestones!$AA$28),"dd mmm yy"))&amp;" "&amp;Milestones!$AB$28&amp;" "&amp;Milestones!$AC$28&amp;";  ","")&amp;IF(AND(EDATE($D67,Milestones!$AA$29)&lt;=AsOfDate,IF($R67=0,$X67,IF(AND($T67&lt;&gt;"",EDATE($D67,Milestones!$AA$29)&gt;=$T67),$W67,IF(AND($S67&lt;&gt;"",EDATE($D67,Milestones!$AA$29)&gt;=$S67),$V67,$U67)))=Milestones!$AB$29),UPPER(TEXT(EDATE($D67,Milestones!$AA$29),"dd mmm yy"))&amp;" "&amp;Milestones!$AB$29&amp;" "&amp;Milestones!$AC$29&amp;";  ","")&amp;IF(AND(EDATE($D67,Milestones!$AA$30)&lt;=AsOfDate,IF($R67=0,$X67,IF(AND($T67&lt;&gt;"",EDATE($D67,Milestones!$AA$30)&gt;=$T67),$W67,IF(AND($S67&lt;&gt;"",EDATE($D67,Milestones!$AA$30)&gt;=$S67),$V67,$U67)))=Milestones!$AB$30),UPPER(TEXT(EDATE($D67,Milestones!$AA$30),"dd mmm yy"))&amp;" "&amp;Milestones!$AB$30&amp;" "&amp;Milestones!$AC$30&amp;";  ","")&amp;IF(AND(EDATE($D67,Milestones!$AA$31)&lt;=AsOfDate,IF($R67=0,$X67,IF(AND($T67&lt;&gt;"",EDATE($D67,Milestones!$AA$31)&gt;=$T67),$W67,IF(AND($S67&lt;&gt;"",EDATE($D67,Milestones!$AA$31)&gt;=$S67),$V67,$U67)))=Milestones!$AB$31),UPPER(TEXT(EDATE($D67,Milestones!$AA$31),"dd mmm yy"))&amp;" "&amp;Milestones!$AB$31&amp;" "&amp;Milestones!$AC$31&amp;";  ","")&amp;IF(AND(EDATE($D67,Milestones!$AA$32)&lt;=AsOfDate,IF($R67=0,$X67,IF(AND($T67&lt;&gt;"",EDATE($D67,Milestones!$AA$32)&gt;=$T67),$W67,IF(AND($S67&lt;&gt;"",EDATE($D67,Milestones!$AA$32)&gt;=$S67),$V67,$U67)))=Milestones!$AB$32),UPPER(TEXT(EDATE($D67,Milestones!$AA$32),"dd mmm yy"))&amp;" "&amp;Milestones!$AB$32&amp;" "&amp;Milestones!$AC$32&amp;";  ","")&amp;IF(AND(EDATE($D67,Milestones!$AA$33)&lt;=AsOfDate,IF($R67=0,$X67,IF(AND($T67&lt;&gt;"",EDATE($D67,Milestones!$AA$33)&gt;=$T67),$W67,IF(AND($S67&lt;&gt;"",EDATE($D67,Milestones!$AA$33)&gt;=$S67),$V67,$U67)))=Milestones!$AB$33),UPPER(TEXT(EDATE($D67,Milestones!$AA$33),"dd mmm yy"))&amp;" "&amp;Milestones!$AB$33&amp;" "&amp;Milestones!$AC$33&amp;";  ","")&amp;IF(AND(EDATE($D67,Milestones!$AA$34)&lt;=AsOfDate,IF($R67=0,$X67,IF(AND($T67&lt;&gt;"",EDATE($D67,Milestones!$AA$34)&gt;=$T67),$W67,IF(AND($S67&lt;&gt;"",EDATE($D67,Milestones!$AA$34)&gt;=$S67),$V67,$U67)))=Milestones!$AB$34),UPPER(TEXT(EDATE($D67,Milestones!$AA$34),"dd mmm yy"))&amp;" "&amp;Milestones!$AB$34&amp;" "&amp;Milestones!$AC$34&amp;";  ","")&amp;IF(AND(EDATE($D67,Milestones!$AA$35)&lt;=AsOfDate,IF($R67=0,$X67,IF(AND($T67&lt;&gt;"",EDATE($D67,Milestones!$AA$35)&gt;=$T67),$W67,IF(AND($S67&lt;&gt;"",EDATE($D67,Milestones!$AA$35)&gt;=$S67),$V67,$U67)))=Milestones!$AB$35),UPPER(TEXT(EDATE($D67,Milestones!$AA$35),"dd mmm yy"))&amp;" "&amp;Milestones!$AB$35&amp;" "&amp;Milestones!$AC$35&amp;";  ","")&amp;IF(AND(EDATE($D67,Milestones!$AA$36)&lt;=AsOfDate,IF($R67=0,$X67,IF(AND($T67&lt;&gt;"",EDATE($D67,Milestones!$AA$36)&gt;=$T67),$W67,IF(AND($S67&lt;&gt;"",EDATE($D67,Milestones!$AA$36)&gt;=$S67),$V67,$U67)))=Milestones!$AB$36),UPPER(TEXT(EDATE($D67,Milestones!$AA$36),"dd mmm yy"))&amp;" "&amp;Milestones!$AB$36&amp;" "&amp;Milestones!$AC$36&amp;";  ","")&amp;IF(AND(EDATE($D67,Milestones!$AA$37)&lt;=AsOfDate,IF($R67=0,$X67,IF(AND($T67&lt;&gt;"",EDATE($D67,Milestones!$AA$37)&gt;=$T67),$W67,IF(AND($S67&lt;&gt;"",EDATE($D67,Milestones!$AA$37)&gt;=$S67),$V67,$U67)))=Milestones!$AB$37),UPPER(TEXT(EDATE($D67,Milestones!$AA$37),"dd mmm yy"))&amp;" "&amp;Milestones!$AB$37&amp;" "&amp;Milestones!$AC$37&amp;";  ","")&amp;IF(AND(EDATE($D67,Milestones!$AA$38)&lt;=AsOfDate,IF($R67=0,$X67,IF(AND($T67&lt;&gt;"",EDATE($D67,Milestones!$AA$38)&gt;=$T67),$W67,IF(AND($S67&lt;&gt;"",EDATE($D67,Milestones!$AA$38)&gt;=$S67),$V67,$U67)))=Milestones!$AB$38),UPPER(TEXT(EDATE($D67,Milestones!$AA$38),"dd mmm yy"))&amp;" "&amp;Milestones!$AB$38&amp;" "&amp;Milestones!$AC$38&amp;";  ","")&amp;IF(AND(EDATE($D67,Milestones!$AA$39)&lt;=AsOfDate,IF($R67=0,$X67,IF(AND($T67&lt;&gt;"",EDATE($D67,Milestones!$AA$39)&gt;=$T67),$W67,IF(AND($S67&lt;&gt;"",EDATE($D67,Milestones!$AA$39)&gt;=$S67),$V67,$U67)))=Milestones!$AB$39),UPPER(TEXT(EDATE($D67,Milestones!$AA$39),"dd mmm yy"))&amp;" "&amp;Milestones!$AB$39&amp;" "&amp;Milestones!$AC$39&amp;";  ",""))</f>
        <v/>
      </c>
      <c r="J67" s="0" t="str">
        <f aca="false">IF(OR($A67="",$D67=""),"",IF(AND(EDATE($D67,Milestones!$AA$40)&lt;=AsOfDate,IF($R67=0,$X67,IF(AND($T67&lt;&gt;"",EDATE($D67,Milestones!$AA$40)&gt;=$T67),$W67,IF(AND($S67&lt;&gt;"",EDATE($D67,Milestones!$AA$40)&gt;=$S67),$V67,$U67)))=Milestones!$AB$40),UPPER(TEXT(EDATE($D67,Milestones!$AA$40),"dd mmm yy"))&amp;" "&amp;Milestones!$AB$40&amp;" "&amp;Milestones!$AC$40&amp;";  ","")&amp;IF(AND(EDATE($D67,Milestones!$AA$41)&lt;=AsOfDate,IF($R67=0,$X67,IF(AND($T67&lt;&gt;"",EDATE($D67,Milestones!$AA$41)&gt;=$T67),$W67,IF(AND($S67&lt;&gt;"",EDATE($D67,Milestones!$AA$41)&gt;=$S67),$V67,$U67)))=Milestones!$AB$41),UPPER(TEXT(EDATE($D67,Milestones!$AA$41),"dd mmm yy"))&amp;" "&amp;Milestones!$AB$41&amp;" "&amp;Milestones!$AC$41&amp;";  ","")&amp;IF(AND(EDATE($D67,Milestones!$AA$42)&lt;=AsOfDate,IF($R67=0,$X67,IF(AND($T67&lt;&gt;"",EDATE($D67,Milestones!$AA$42)&gt;=$T67),$W67,IF(AND($S67&lt;&gt;"",EDATE($D67,Milestones!$AA$42)&gt;=$S67),$V67,$U67)))=Milestones!$AB$42),UPPER(TEXT(EDATE($D67,Milestones!$AA$42),"dd mmm yy"))&amp;" "&amp;Milestones!$AB$42&amp;" "&amp;Milestones!$AC$42&amp;";  ","")&amp;IF(AND(EDATE($D67,Milestones!$AA$43)&lt;=AsOfDate,IF($R67=0,$X67,IF(AND($T67&lt;&gt;"",EDATE($D67,Milestones!$AA$43)&gt;=$T67),$W67,IF(AND($S67&lt;&gt;"",EDATE($D67,Milestones!$AA$43)&gt;=$S67),$V67,$U67)))=Milestones!$AB$43),UPPER(TEXT(EDATE($D67,Milestones!$AA$43),"dd mmm yy"))&amp;" "&amp;Milestones!$AB$43&amp;" "&amp;Milestones!$AC$43&amp;";  ","")&amp;IF(AND(EDATE($D67,Milestones!$AA$44)&lt;=AsOfDate,IF($R67=0,$X67,IF(AND($T67&lt;&gt;"",EDATE($D67,Milestones!$AA$44)&gt;=$T67),$W67,IF(AND($S67&lt;&gt;"",EDATE($D67,Milestones!$AA$44)&gt;=$S67),$V67,$U67)))=Milestones!$AB$44),UPPER(TEXT(EDATE($D67,Milestones!$AA$44),"dd mmm yy"))&amp;" "&amp;Milestones!$AB$44&amp;" "&amp;Milestones!$AC$44&amp;";  ","")&amp;IF(AND(EDATE($D67,Milestones!$AA$45)&lt;=AsOfDate,IF($R67=0,$X67,IF(AND($T67&lt;&gt;"",EDATE($D67,Milestones!$AA$45)&gt;=$T67),$W67,IF(AND($S67&lt;&gt;"",EDATE($D67,Milestones!$AA$45)&gt;=$S67),$V67,$U67)))=Milestones!$AB$45),UPPER(TEXT(EDATE($D67,Milestones!$AA$45),"dd mmm yy"))&amp;" "&amp;Milestones!$AB$45&amp;" "&amp;Milestones!$AC$45&amp;";  ","")&amp;IF(AND(EDATE($D67,Milestones!$AA$46)&lt;=AsOfDate,IF($R67=0,$X67,IF(AND($T67&lt;&gt;"",EDATE($D67,Milestones!$AA$46)&gt;=$T67),$W67,IF(AND($S67&lt;&gt;"",EDATE($D67,Milestones!$AA$46)&gt;=$S67),$V67,$U67)))=Milestones!$AB$46),UPPER(TEXT(EDATE($D67,Milestones!$AA$46),"dd mmm yy"))&amp;" "&amp;Milestones!$AB$46&amp;" "&amp;Milestones!$AC$46&amp;";  ","")&amp;IF(AND(EDATE($D67,Milestones!$AA$47)&lt;=AsOfDate,IF($R67=0,$X67,IF(AND($T67&lt;&gt;"",EDATE($D67,Milestones!$AA$47)&gt;=$T67),$W67,IF(AND($S67&lt;&gt;"",EDATE($D67,Milestones!$AA$47)&gt;=$S67),$V67,$U67)))=Milestones!$AB$47),UPPER(TEXT(EDATE($D67,Milestones!$AA$47),"dd mmm yy"))&amp;" "&amp;Milestones!$AB$47&amp;" "&amp;Milestones!$AC$47&amp;";  ","")&amp;IF(AND(EDATE($D67,Milestones!$AA$48)&lt;=AsOfDate,IF($R67=0,$X67,IF(AND($T67&lt;&gt;"",EDATE($D67,Milestones!$AA$48)&gt;=$T67),$W67,IF(AND($S67&lt;&gt;"",EDATE($D67,Milestones!$AA$48)&gt;=$S67),$V67,$U67)))=Milestones!$AB$48),UPPER(TEXT(EDATE($D67,Milestones!$AA$48),"dd mmm yy"))&amp;" "&amp;Milestones!$AB$48&amp;" "&amp;Milestones!$AC$48&amp;";  ","")&amp;IF(AND(EDATE($D67,Milestones!$AA$49)&lt;=AsOfDate,IF($R67=0,$X67,IF(AND($T67&lt;&gt;"",EDATE($D67,Milestones!$AA$49)&gt;=$T67),$W67,IF(AND($S67&lt;&gt;"",EDATE($D67,Milestones!$AA$49)&gt;=$S67),$V67,$U67)))=Milestones!$AB$49),UPPER(TEXT(EDATE($D67,Milestones!$AA$49),"dd mmm yy"))&amp;" "&amp;Milestones!$AB$49&amp;" "&amp;Milestones!$AC$49&amp;";  ","")&amp;IF(AND(EDATE($D67,Milestones!$AA$50)&lt;=AsOfDate,IF($R67=0,$X67,IF(AND($T67&lt;&gt;"",EDATE($D67,Milestones!$AA$50)&gt;=$T67),$W67,IF(AND($S67&lt;&gt;"",EDATE($D67,Milestones!$AA$50)&gt;=$S67),$V67,$U67)))=Milestones!$AB$50),UPPER(TEXT(EDATE($D67,Milestones!$AA$50),"dd mmm yy"))&amp;" "&amp;Milestones!$AB$50&amp;" "&amp;Milestones!$AC$50&amp;";  ","")&amp;IF(AND(EDATE($D67,Milestones!$AA$51)&lt;=AsOfDate,IF($R67=0,$X67,IF(AND($T67&lt;&gt;"",EDATE($D67,Milestones!$AA$51)&gt;=$T67),$W67,IF(AND($S67&lt;&gt;"",EDATE($D67,Milestones!$AA$51)&gt;=$S67),$V67,$U67)))=Milestones!$AB$51),UPPER(TEXT(EDATE($D67,Milestones!$AA$51),"dd mmm yy"))&amp;" "&amp;Milestones!$AB$51&amp;" "&amp;Milestones!$AC$51&amp;";  ","")&amp;IF(AND(EDATE($D67,Milestones!$AA$52)&lt;=AsOfDate,IF($R67=0,$X67,IF(AND($T67&lt;&gt;"",EDATE($D67,Milestones!$AA$52)&gt;=$T67),$W67,IF(AND($S67&lt;&gt;"",EDATE($D67,Milestones!$AA$52)&gt;=$S67),$V67,$U67)))=Milestones!$AB$52),UPPER(TEXT(EDATE($D67,Milestones!$AA$52),"dd mmm yy"))&amp;" "&amp;Milestones!$AB$52&amp;" "&amp;Milestones!$AC$52&amp;";  ","")&amp;IF(AND(EDATE($D67,Milestones!$AA$53)&lt;=AsOfDate,IF($R67=0,$X67,IF(AND($T67&lt;&gt;"",EDATE($D67,Milestones!$AA$53)&gt;=$T67),$W67,IF(AND($S67&lt;&gt;"",EDATE($D67,Milestones!$AA$53)&gt;=$S67),$V67,$U67)))=Milestones!$AB$53),UPPER(TEXT(EDATE($D67,Milestones!$AA$53),"dd mmm yy"))&amp;" "&amp;Milestones!$AB$53&amp;" "&amp;Milestones!$AC$53&amp;";  ","")&amp;IF(AND(EDATE($D67,Milestones!$AA$54)&lt;=AsOfDate,IF($R67=0,$X67,IF(AND($T67&lt;&gt;"",EDATE($D67,Milestones!$AA$54)&gt;=$T67),$W67,IF(AND($S67&lt;&gt;"",EDATE($D67,Milestones!$AA$54)&gt;=$S67),$V67,$U67)))=Milestones!$AB$54),UPPER(TEXT(EDATE($D67,Milestones!$AA$54),"dd mmm yy"))&amp;" "&amp;Milestones!$AB$54&amp;" "&amp;Milestones!$AC$54&amp;";  ","")&amp;IF(AND(EDATE($D67,Milestones!$AA$55)&lt;=AsOfDate,IF($R67=0,$X67,IF(AND($T67&lt;&gt;"",EDATE($D67,Milestones!$AA$55)&gt;=$T67),$W67,IF(AND($S67&lt;&gt;"",EDATE($D67,Milestones!$AA$55)&gt;=$S67),$V67,$U67)))=Milestones!$AB$55),UPPER(TEXT(EDATE($D67,Milestones!$AA$55),"dd mmm yy"))&amp;" "&amp;Milestones!$AB$55&amp;" "&amp;Milestones!$AC$55&amp;";  ","")&amp;IF(AND(EDATE($D67,Milestones!$AA$56)&lt;=AsOfDate,IF($R67=0,$X67,IF(AND($T67&lt;&gt;"",EDATE($D67,Milestones!$AA$56)&gt;=$T67),$W67,IF(AND($S67&lt;&gt;"",EDATE($D67,Milestones!$AA$56)&gt;=$S67),$V67,$U67)))=Milestones!$AB$56),UPPER(TEXT(EDATE($D67,Milestones!$AA$56),"dd mmm yy"))&amp;" "&amp;Milestones!$AB$56&amp;" "&amp;Milestones!$AC$56&amp;";  ","")&amp;IF(AND(EDATE($D67,Milestones!$AA$57)&lt;=AsOfDate,IF($R67=0,$X67,IF(AND($T67&lt;&gt;"",EDATE($D67,Milestones!$AA$57)&gt;=$T67),$W67,IF(AND($S67&lt;&gt;"",EDATE($D67,Milestones!$AA$57)&gt;=$S67),$V67,$U67)))=Milestones!$AB$57),UPPER(TEXT(EDATE($D67,Milestones!$AA$57),"dd mmm yy"))&amp;" "&amp;Milestones!$AB$57&amp;" "&amp;Milestones!$AC$57&amp;";  ","")&amp;IF(AND(EDATE($D67,Milestones!$AA$58)&lt;=AsOfDate,IF($R67=0,$X67,IF(AND($T67&lt;&gt;"",EDATE($D67,Milestones!$AA$58)&gt;=$T67),$W67,IF(AND($S67&lt;&gt;"",EDATE($D67,Milestones!$AA$58)&gt;=$S67),$V67,$U67)))=Milestones!$AB$58),UPPER(TEXT(EDATE($D67,Milestones!$AA$58),"dd mmm yy"))&amp;" "&amp;Milestones!$AB$58&amp;" "&amp;Milestones!$AC$58&amp;";  ","")&amp;IF(AND(EDATE($D67,Milestones!$AA$59)&lt;=AsOfDate,IF($R67=0,$X67,IF(AND($T67&lt;&gt;"",EDATE($D67,Milestones!$AA$59)&gt;=$T67),$W67,IF(AND($S67&lt;&gt;"",EDATE($D67,Milestones!$AA$59)&gt;=$S67),$V67,$U67)))=Milestones!$AB$59),UPPER(TEXT(EDATE($D67,Milestones!$AA$59),"dd mmm yy"))&amp;" "&amp;Milestones!$AB$59&amp;" "&amp;Milestones!$AC$59&amp;";  ",""))</f>
        <v/>
      </c>
      <c r="K67" s="0" t="str">
        <f aca="false">IF(OR($A67="",$D67=""),"",IF(AND(EDATE($D67,Milestones!$AA$60)&lt;=AsOfDate,IF($R67=0,$X67,IF(AND($T67&lt;&gt;"",EDATE($D67,Milestones!$AA$60)&gt;=$T67),$W67,IF(AND($S67&lt;&gt;"",EDATE($D67,Milestones!$AA$60)&gt;=$S67),$V67,$U67)))=Milestones!$AB$60),UPPER(TEXT(EDATE($D67,Milestones!$AA$60),"dd mmm yy"))&amp;" "&amp;Milestones!$AB$60&amp;" "&amp;Milestones!$AC$60&amp;";  ","")&amp;IF(AND(EDATE($D67,Milestones!$AA$61)&lt;=AsOfDate,IF($R67=0,$X67,IF(AND($T67&lt;&gt;"",EDATE($D67,Milestones!$AA$61)&gt;=$T67),$W67,IF(AND($S67&lt;&gt;"",EDATE($D67,Milestones!$AA$61)&gt;=$S67),$V67,$U67)))=Milestones!$AB$61),UPPER(TEXT(EDATE($D67,Milestones!$AA$61),"dd mmm yy"))&amp;" "&amp;Milestones!$AB$61&amp;" "&amp;Milestones!$AC$61&amp;";  ","")&amp;IF(AND(EDATE($D67,Milestones!$AA$62)&lt;=AsOfDate,IF($R67=0,$X67,IF(AND($T67&lt;&gt;"",EDATE($D67,Milestones!$AA$62)&gt;=$T67),$W67,IF(AND($S67&lt;&gt;"",EDATE($D67,Milestones!$AA$62)&gt;=$S67),$V67,$U67)))=Milestones!$AB$62),UPPER(TEXT(EDATE($D67,Milestones!$AA$62),"dd mmm yy"))&amp;" "&amp;Milestones!$AB$62&amp;" "&amp;Milestones!$AC$62&amp;";  ","")&amp;IF(AND(EDATE($D67,Milestones!$AA$63)&lt;=AsOfDate,IF($R67=0,$X67,IF(AND($T67&lt;&gt;"",EDATE($D67,Milestones!$AA$63)&gt;=$T67),$W67,IF(AND($S67&lt;&gt;"",EDATE($D67,Milestones!$AA$63)&gt;=$S67),$V67,$U67)))=Milestones!$AB$63),UPPER(TEXT(EDATE($D67,Milestones!$AA$63),"dd mmm yy"))&amp;" "&amp;Milestones!$AB$63&amp;" "&amp;Milestones!$AC$63&amp;";  ","")&amp;IF(AND(EDATE($D67,Milestones!$AA$64)&lt;=AsOfDate,IF($R67=0,$X67,IF(AND($T67&lt;&gt;"",EDATE($D67,Milestones!$AA$64)&gt;=$T67),$W67,IF(AND($S67&lt;&gt;"",EDATE($D67,Milestones!$AA$64)&gt;=$S67),$V67,$U67)))=Milestones!$AB$64),UPPER(TEXT(EDATE($D67,Milestones!$AA$64),"dd mmm yy"))&amp;" "&amp;Milestones!$AB$64&amp;" "&amp;Milestones!$AC$64&amp;";  ","")&amp;IF(AND(EDATE($D67,Milestones!$AA$65)&lt;=AsOfDate,IF($R67=0,$X67,IF(AND($T67&lt;&gt;"",EDATE($D67,Milestones!$AA$65)&gt;=$T67),$W67,IF(AND($S67&lt;&gt;"",EDATE($D67,Milestones!$AA$65)&gt;=$S67),$V67,$U67)))=Milestones!$AB$65),UPPER(TEXT(EDATE($D67,Milestones!$AA$65),"dd mmm yy"))&amp;" "&amp;Milestones!$AB$65&amp;" "&amp;Milestones!$AC$65&amp;";  ","")&amp;IF(AND(EDATE($D67,Milestones!$AA$66)&lt;=AsOfDate,IF($R67=0,$X67,IF(AND($T67&lt;&gt;"",EDATE($D67,Milestones!$AA$66)&gt;=$T67),$W67,IF(AND($S67&lt;&gt;"",EDATE($D67,Milestones!$AA$66)&gt;=$S67),$V67,$U67)))=Milestones!$AB$66),UPPER(TEXT(EDATE($D67,Milestones!$AA$66),"dd mmm yy"))&amp;" "&amp;Milestones!$AB$66&amp;" "&amp;Milestones!$AC$66&amp;";  ","")&amp;IF(AND(EDATE($D67,Milestones!$AA$67)&lt;=AsOfDate,IF($R67=0,$X67,IF(AND($T67&lt;&gt;"",EDATE($D67,Milestones!$AA$67)&gt;=$T67),$W67,IF(AND($S67&lt;&gt;"",EDATE($D67,Milestones!$AA$67)&gt;=$S67),$V67,$U67)))=Milestones!$AB$67),UPPER(TEXT(EDATE($D67,Milestones!$AA$67),"dd mmm yy"))&amp;" "&amp;Milestones!$AB$67&amp;" "&amp;Milestones!$AC$67&amp;";  ","")&amp;IF(AND(EDATE($D67,Milestones!$AA$68)&lt;=AsOfDate,IF($R67=0,$X67,IF(AND($T67&lt;&gt;"",EDATE($D67,Milestones!$AA$68)&gt;=$T67),$W67,IF(AND($S67&lt;&gt;"",EDATE($D67,Milestones!$AA$68)&gt;=$S67),$V67,$U67)))=Milestones!$AB$68),UPPER(TEXT(EDATE($D67,Milestones!$AA$68),"dd mmm yy"))&amp;" "&amp;Milestones!$AB$68&amp;" "&amp;Milestones!$AC$68&amp;";  ","")&amp;IF(AND(EDATE($D67,Milestones!$AA$69)&lt;=AsOfDate,IF($R67=0,$X67,IF(AND($T67&lt;&gt;"",EDATE($D67,Milestones!$AA$69)&gt;=$T67),$W67,IF(AND($S67&lt;&gt;"",EDATE($D67,Milestones!$AA$69)&gt;=$S67),$V67,$U67)))=Milestones!$AB$69),UPPER(TEXT(EDATE($D67,Milestones!$AA$69),"dd mmm yy"))&amp;" "&amp;Milestones!$AB$69&amp;" "&amp;Milestones!$AC$69&amp;";  ","")&amp;IF(AND(EDATE($D67,Milestones!$AA$70)&lt;=AsOfDate,IF($R67=0,$X67,IF(AND($T67&lt;&gt;"",EDATE($D67,Milestones!$AA$70)&gt;=$T67),$W67,IF(AND($S67&lt;&gt;"",EDATE($D67,Milestones!$AA$70)&gt;=$S67),$V67,$U67)))=Milestones!$AB$70),UPPER(TEXT(EDATE($D67,Milestones!$AA$70),"dd mmm yy"))&amp;" "&amp;Milestones!$AB$70&amp;" "&amp;Milestones!$AC$70&amp;";  ","")&amp;IF(AND(EDATE($D67,Milestones!$AA$71)&lt;=AsOfDate,IF($R67=0,$X67,IF(AND($T67&lt;&gt;"",EDATE($D67,Milestones!$AA$71)&gt;=$T67),$W67,IF(AND($S67&lt;&gt;"",EDATE($D67,Milestones!$AA$71)&gt;=$S67),$V67,$U67)))=Milestones!$AB$71),UPPER(TEXT(EDATE($D67,Milestones!$AA$71),"dd mmm yy"))&amp;" "&amp;Milestones!$AB$71&amp;" "&amp;Milestones!$AC$71&amp;";  ","")&amp;IF(AND(EDATE($D67,Milestones!$AA$72)&lt;=AsOfDate,IF($R67=0,$X67,IF(AND($T67&lt;&gt;"",EDATE($D67,Milestones!$AA$72)&gt;=$T67),$W67,IF(AND($S67&lt;&gt;"",EDATE($D67,Milestones!$AA$72)&gt;=$S67),$V67,$U67)))=Milestones!$AB$72),UPPER(TEXT(EDATE($D67,Milestones!$AA$72),"dd mmm yy"))&amp;" "&amp;Milestones!$AB$72&amp;" "&amp;Milestones!$AC$72&amp;";  ","")&amp;IF(AND(EDATE($D67,Milestones!$AA$73)&lt;=AsOfDate,IF($R67=0,$X67,IF(AND($T67&lt;&gt;"",EDATE($D67,Milestones!$AA$73)&gt;=$T67),$W67,IF(AND($S67&lt;&gt;"",EDATE($D67,Milestones!$AA$73)&gt;=$S67),$V67,$U67)))=Milestones!$AB$73),UPPER(TEXT(EDATE($D67,Milestones!$AA$73),"dd mmm yy"))&amp;" "&amp;Milestones!$AB$73&amp;" "&amp;Milestones!$AC$73&amp;";  ","")&amp;IF(AND(EDATE($D67,Milestones!$AA$74)&lt;=AsOfDate,IF($R67=0,$X67,IF(AND($T67&lt;&gt;"",EDATE($D67,Milestones!$AA$74)&gt;=$T67),$W67,IF(AND($S67&lt;&gt;"",EDATE($D67,Milestones!$AA$74)&gt;=$S67),$V67,$U67)))=Milestones!$AB$74),UPPER(TEXT(EDATE($D67,Milestones!$AA$74),"dd mmm yy"))&amp;" "&amp;Milestones!$AB$74&amp;" "&amp;Milestones!$AC$74&amp;";  ","")&amp;IF(AND(EDATE($D67,Milestones!$AA$75)&lt;=AsOfDate,IF($R67=0,$X67,IF(AND($T67&lt;&gt;"",EDATE($D67,Milestones!$AA$75)&gt;=$T67),$W67,IF(AND($S67&lt;&gt;"",EDATE($D67,Milestones!$AA$75)&gt;=$S67),$V67,$U67)))=Milestones!$AB$75),UPPER(TEXT(EDATE($D67,Milestones!$AA$75),"dd mmm yy"))&amp;" "&amp;Milestones!$AB$75&amp;" "&amp;Milestones!$AC$75&amp;";  ","")&amp;IF(AND(EDATE($D67,Milestones!$AA$76)&lt;=AsOfDate,IF($R67=0,$X67,IF(AND($T67&lt;&gt;"",EDATE($D67,Milestones!$AA$76)&gt;=$T67),$W67,IF(AND($S67&lt;&gt;"",EDATE($D67,Milestones!$AA$76)&gt;=$S67),$V67,$U67)))=Milestones!$AB$76),UPPER(TEXT(EDATE($D67,Milestones!$AA$76),"dd mmm yy"))&amp;" "&amp;Milestones!$AB$76&amp;" "&amp;Milestones!$AC$76&amp;";  ","")&amp;IF(AND(EDATE($D67,Milestones!$AA$77)&lt;=AsOfDate,IF($R67=0,$X67,IF(AND($T67&lt;&gt;"",EDATE($D67,Milestones!$AA$77)&gt;=$T67),$W67,IF(AND($S67&lt;&gt;"",EDATE($D67,Milestones!$AA$77)&gt;=$S67),$V67,$U67)))=Milestones!$AB$77),UPPER(TEXT(EDATE($D67,Milestones!$AA$77),"dd mmm yy"))&amp;" "&amp;Milestones!$AB$77&amp;" "&amp;Milestones!$AC$77&amp;";  ","")&amp;IF(AND(EDATE($D67,Milestones!$AA$78)&lt;=AsOfDate,IF($R67=0,$X67,IF(AND($T67&lt;&gt;"",EDATE($D67,Milestones!$AA$78)&gt;=$T67),$W67,IF(AND($S67&lt;&gt;"",EDATE($D67,Milestones!$AA$78)&gt;=$S67),$V67,$U67)))=Milestones!$AB$78),UPPER(TEXT(EDATE($D67,Milestones!$AA$78),"dd mmm yy"))&amp;" "&amp;Milestones!$AB$78&amp;" "&amp;Milestones!$AC$78&amp;";  ","")&amp;IF(AND(EDATE($D67,Milestones!$AA$79)&lt;=AsOfDate,IF($R67=0,$X67,IF(AND($T67&lt;&gt;"",EDATE($D67,Milestones!$AA$79)&gt;=$T67),$W67,IF(AND($S67&lt;&gt;"",EDATE($D67,Milestones!$AA$79)&gt;=$S67),$V67,$U67)))=Milestones!$AB$79),UPPER(TEXT(EDATE($D67,Milestones!$AA$79),"dd mmm yy"))&amp;" "&amp;Milestones!$AB$79&amp;" "&amp;Milestones!$AC$79&amp;";  ",""))</f>
        <v/>
      </c>
      <c r="L67" s="0" t="str">
        <f aca="false">IF(OR($A67="",$D67=""),"",IF(AND(EDATE($D67,Milestones!$AA$80)&lt;=AsOfDate,IF($R67=0,$X67,IF(AND($T67&lt;&gt;"",EDATE($D67,Milestones!$AA$80)&gt;=$T67),$W67,IF(AND($S67&lt;&gt;"",EDATE($D67,Milestones!$AA$80)&gt;=$S67),$V67,$U67)))=Milestones!$AB$80),UPPER(TEXT(EDATE($D67,Milestones!$AA$80),"dd mmm yy"))&amp;" "&amp;Milestones!$AB$80&amp;" "&amp;Milestones!$AC$80&amp;";  ","")&amp;IF(AND(EDATE($D67,Milestones!$AA$81)&lt;=AsOfDate,IF($R67=0,$X67,IF(AND($T67&lt;&gt;"",EDATE($D67,Milestones!$AA$81)&gt;=$T67),$W67,IF(AND($S67&lt;&gt;"",EDATE($D67,Milestones!$AA$81)&gt;=$S67),$V67,$U67)))=Milestones!$AB$81),UPPER(TEXT(EDATE($D67,Milestones!$AA$81),"dd mmm yy"))&amp;" "&amp;Milestones!$AB$81&amp;" "&amp;Milestones!$AC$81&amp;";  ","")&amp;IF(AND(EDATE($D67,Milestones!$AA$82)&lt;=AsOfDate,IF($R67=0,$X67,IF(AND($T67&lt;&gt;"",EDATE($D67,Milestones!$AA$82)&gt;=$T67),$W67,IF(AND($S67&lt;&gt;"",EDATE($D67,Milestones!$AA$82)&gt;=$S67),$V67,$U67)))=Milestones!$AB$82),UPPER(TEXT(EDATE($D67,Milestones!$AA$82),"dd mmm yy"))&amp;" "&amp;Milestones!$AB$82&amp;" "&amp;Milestones!$AC$82&amp;";  ","")&amp;IF(AND(EDATE($D67,Milestones!$AA$83)&lt;=AsOfDate,IF($R67=0,$X67,IF(AND($T67&lt;&gt;"",EDATE($D67,Milestones!$AA$83)&gt;=$T67),$W67,IF(AND($S67&lt;&gt;"",EDATE($D67,Milestones!$AA$83)&gt;=$S67),$V67,$U67)))=Milestones!$AB$83),UPPER(TEXT(EDATE($D67,Milestones!$AA$83),"dd mmm yy"))&amp;" "&amp;Milestones!$AB$83&amp;" "&amp;Milestones!$AC$83&amp;";  ","")&amp;IF(AND(EDATE($D67,Milestones!$AA$84)&lt;=AsOfDate,IF($R67=0,$X67,IF(AND($T67&lt;&gt;"",EDATE($D67,Milestones!$AA$84)&gt;=$T67),$W67,IF(AND($S67&lt;&gt;"",EDATE($D67,Milestones!$AA$84)&gt;=$S67),$V67,$U67)))=Milestones!$AB$84),UPPER(TEXT(EDATE($D67,Milestones!$AA$84),"dd mmm yy"))&amp;" "&amp;Milestones!$AB$84&amp;" "&amp;Milestones!$AC$84&amp;";  ","")&amp;IF(AND(EDATE($D67,Milestones!$AA$85)&lt;=AsOfDate,IF($R67=0,$X67,IF(AND($T67&lt;&gt;"",EDATE($D67,Milestones!$AA$85)&gt;=$T67),$W67,IF(AND($S67&lt;&gt;"",EDATE($D67,Milestones!$AA$85)&gt;=$S67),$V67,$U67)))=Milestones!$AB$85),UPPER(TEXT(EDATE($D67,Milestones!$AA$85),"dd mmm yy"))&amp;" "&amp;Milestones!$AB$85&amp;" "&amp;Milestones!$AC$85&amp;";  ","")&amp;IF(AND(EDATE($D67,Milestones!$AA$86)&lt;=AsOfDate,IF($R67=0,$X67,IF(AND($T67&lt;&gt;"",EDATE($D67,Milestones!$AA$86)&gt;=$T67),$W67,IF(AND($S67&lt;&gt;"",EDATE($D67,Milestones!$AA$86)&gt;=$S67),$V67,$U67)))=Milestones!$AB$86),UPPER(TEXT(EDATE($D67,Milestones!$AA$86),"dd mmm yy"))&amp;" "&amp;Milestones!$AB$86&amp;" "&amp;Milestones!$AC$86&amp;";  ","")&amp;IF(AND(EDATE($D67,Milestones!$AA$87)&lt;=AsOfDate,IF($R67=0,$X67,IF(AND($T67&lt;&gt;"",EDATE($D67,Milestones!$AA$87)&gt;=$T67),$W67,IF(AND($S67&lt;&gt;"",EDATE($D67,Milestones!$AA$87)&gt;=$S67),$V67,$U67)))=Milestones!$AB$87),UPPER(TEXT(EDATE($D67,Milestones!$AA$87),"dd mmm yy"))&amp;" "&amp;Milestones!$AB$87&amp;" "&amp;Milestones!$AC$87&amp;";  ","")&amp;IF(AND(EDATE($D67,Milestones!$AA$88)&lt;=AsOfDate,IF($R67=0,$X67,IF(AND($T67&lt;&gt;"",EDATE($D67,Milestones!$AA$88)&gt;=$T67),$W67,IF(AND($S67&lt;&gt;"",EDATE($D67,Milestones!$AA$88)&gt;=$S67),$V67,$U67)))=Milestones!$AB$88),UPPER(TEXT(EDATE($D67,Milestones!$AA$88),"dd mmm yy"))&amp;" "&amp;Milestones!$AB$88&amp;" "&amp;Milestones!$AC$88&amp;";  ","")&amp;IF(AND(EDATE($D67,Milestones!$AA$89)&lt;=AsOfDate,IF($R67=0,$X67,IF(AND($T67&lt;&gt;"",EDATE($D67,Milestones!$AA$89)&gt;=$T67),$W67,IF(AND($S67&lt;&gt;"",EDATE($D67,Milestones!$AA$89)&gt;=$S67),$V67,$U67)))=Milestones!$AB$89),UPPER(TEXT(EDATE($D67,Milestones!$AA$89),"dd mmm yy"))&amp;" "&amp;Milestones!$AB$89&amp;" "&amp;Milestones!$AC$89&amp;";  ","")&amp;IF(AND(EDATE($D67,Milestones!$AA$90)&lt;=AsOfDate,IF($R67=0,$X67,IF(AND($T67&lt;&gt;"",EDATE($D67,Milestones!$AA$90)&gt;=$T67),$W67,IF(AND($S67&lt;&gt;"",EDATE($D67,Milestones!$AA$90)&gt;=$S67),$V67,$U67)))=Milestones!$AB$90),UPPER(TEXT(EDATE($D67,Milestones!$AA$90),"dd mmm yy"))&amp;" "&amp;Milestones!$AB$90&amp;" "&amp;Milestones!$AC$90&amp;";  ","")&amp;IF(AND(EDATE($D67,Milestones!$AA$91)&lt;=AsOfDate,IF($R67=0,$X67,IF(AND($T67&lt;&gt;"",EDATE($D67,Milestones!$AA$91)&gt;=$T67),$W67,IF(AND($S67&lt;&gt;"",EDATE($D67,Milestones!$AA$91)&gt;=$S67),$V67,$U67)))=Milestones!$AB$91),UPPER(TEXT(EDATE($D67,Milestones!$AA$91),"dd mmm yy"))&amp;" "&amp;Milestones!$AB$91&amp;" "&amp;Milestones!$AC$91&amp;";  ","")&amp;IF(AND(EDATE($D67,Milestones!$AA$92)&lt;=AsOfDate,IF($R67=0,$X67,IF(AND($T67&lt;&gt;"",EDATE($D67,Milestones!$AA$92)&gt;=$T67),$W67,IF(AND($S67&lt;&gt;"",EDATE($D67,Milestones!$AA$92)&gt;=$S67),$V67,$U67)))=Milestones!$AB$92),UPPER(TEXT(EDATE($D67,Milestones!$AA$92),"dd mmm yy"))&amp;" "&amp;Milestones!$AB$92&amp;" "&amp;Milestones!$AC$92&amp;";  ","")&amp;IF(AND(EDATE($D67,Milestones!$AA$93)&lt;=AsOfDate,IF($R67=0,$X67,IF(AND($T67&lt;&gt;"",EDATE($D67,Milestones!$AA$93)&gt;=$T67),$W67,IF(AND($S67&lt;&gt;"",EDATE($D67,Milestones!$AA$93)&gt;=$S67),$V67,$U67)))=Milestones!$AB$93),UPPER(TEXT(EDATE($D67,Milestones!$AA$93),"dd mmm yy"))&amp;" "&amp;Milestones!$AB$93&amp;" "&amp;Milestones!$AC$93&amp;";  ","")&amp;IF(AND(EDATE($D67,Milestones!$AA$94)&lt;=AsOfDate,IF($R67=0,$X67,IF(AND($T67&lt;&gt;"",EDATE($D67,Milestones!$AA$94)&gt;=$T67),$W67,IF(AND($S67&lt;&gt;"",EDATE($D67,Milestones!$AA$94)&gt;=$S67),$V67,$U67)))=Milestones!$AB$94),UPPER(TEXT(EDATE($D67,Milestones!$AA$94),"dd mmm yy"))&amp;" "&amp;Milestones!$AB$94&amp;" "&amp;Milestones!$AC$94&amp;";  ","")&amp;IF(AND(EDATE($D67,Milestones!$AA$95)&lt;=AsOfDate,IF($R67=0,$X67,IF(AND($T67&lt;&gt;"",EDATE($D67,Milestones!$AA$95)&gt;=$T67),$W67,IF(AND($S67&lt;&gt;"",EDATE($D67,Milestones!$AA$95)&gt;=$S67),$V67,$U67)))=Milestones!$AB$95),UPPER(TEXT(EDATE($D67,Milestones!$AA$95),"dd mmm yy"))&amp;" "&amp;Milestones!$AB$95&amp;" "&amp;Milestones!$AC$95&amp;";  ","")&amp;IF(AND(EDATE($D67,Milestones!$AA$96)&lt;=AsOfDate,IF($R67=0,$X67,IF(AND($T67&lt;&gt;"",EDATE($D67,Milestones!$AA$96)&gt;=$T67),$W67,IF(AND($S67&lt;&gt;"",EDATE($D67,Milestones!$AA$96)&gt;=$S67),$V67,$U67)))=Milestones!$AB$96),UPPER(TEXT(EDATE($D67,Milestones!$AA$96),"dd mmm yy"))&amp;" "&amp;Milestones!$AB$96&amp;" "&amp;Milestones!$AC$96&amp;";  ","")&amp;IF(AND(EDATE($D67,Milestones!$AA$97)&lt;=AsOfDate,IF($R67=0,$X67,IF(AND($T67&lt;&gt;"",EDATE($D67,Milestones!$AA$97)&gt;=$T67),$W67,IF(AND($S67&lt;&gt;"",EDATE($D67,Milestones!$AA$97)&gt;=$S67),$V67,$U67)))=Milestones!$AB$97),UPPER(TEXT(EDATE($D67,Milestones!$AA$97),"dd mmm yy"))&amp;" "&amp;Milestones!$AB$97&amp;" "&amp;Milestones!$AC$97&amp;";  ","")&amp;IF(AND(EDATE($D67,Milestones!$AA$98)&lt;=AsOfDate,IF($R67=0,$X67,IF(AND($T67&lt;&gt;"",EDATE($D67,Milestones!$AA$98)&gt;=$T67),$W67,IF(AND($S67&lt;&gt;"",EDATE($D67,Milestones!$AA$98)&gt;=$S67),$V67,$U67)))=Milestones!$AB$98),UPPER(TEXT(EDATE($D67,Milestones!$AA$98),"dd mmm yy"))&amp;" "&amp;Milestones!$AB$98&amp;" "&amp;Milestones!$AC$98&amp;";  ","")&amp;IF(AND(EDATE($D67,Milestones!$AA$99)&lt;=AsOfDate,IF($R67=0,$X67,IF(AND($T67&lt;&gt;"",EDATE($D67,Milestones!$AA$99)&gt;=$T67),$W67,IF(AND($S67&lt;&gt;"",EDATE($D67,Milestones!$AA$99)&gt;=$S67),$V67,$U67)))=Milestones!$AB$99),UPPER(TEXT(EDATE($D67,Milestones!$AA$99),"dd mmm yy"))&amp;" "&amp;Milestones!$AB$99&amp;" "&amp;Milestones!$AC$99&amp;";  ",""))</f>
        <v/>
      </c>
      <c r="M67" s="0" t="str">
        <f aca="false">IF(OR($A67="",$D67=""),"",IF(AND(EDATE($D67,Milestones!$AA$100)&lt;=AsOfDate,IF($R67=0,$X67,IF(AND($T67&lt;&gt;"",EDATE($D67,Milestones!$AA$100)&gt;=$T67),$W67,IF(AND($S67&lt;&gt;"",EDATE($D67,Milestones!$AA$100)&gt;=$S67),$V67,$U67)))=Milestones!$AB$100),UPPER(TEXT(EDATE($D67,Milestones!$AA$100),"dd mmm yy"))&amp;" "&amp;Milestones!$AB$100&amp;" "&amp;Milestones!$AC$100&amp;";  ","")&amp;IF(AND(EDATE($D67,Milestones!$AA$101)&lt;=AsOfDate,IF($R67=0,$X67,IF(AND($T67&lt;&gt;"",EDATE($D67,Milestones!$AA$101)&gt;=$T67),$W67,IF(AND($S67&lt;&gt;"",EDATE($D67,Milestones!$AA$101)&gt;=$S67),$V67,$U67)))=Milestones!$AB$101),UPPER(TEXT(EDATE($D67,Milestones!$AA$101),"dd mmm yy"))&amp;" "&amp;Milestones!$AB$101&amp;" "&amp;Milestones!$AC$101&amp;";  ","")&amp;IF(AND(EDATE($D67,Milestones!$AA$102)&lt;=AsOfDate,IF($R67=0,$X67,IF(AND($T67&lt;&gt;"",EDATE($D67,Milestones!$AA$102)&gt;=$T67),$W67,IF(AND($S67&lt;&gt;"",EDATE($D67,Milestones!$AA$102)&gt;=$S67),$V67,$U67)))=Milestones!$AB$102),UPPER(TEXT(EDATE($D67,Milestones!$AA$102),"dd mmm yy"))&amp;" "&amp;Milestones!$AB$102&amp;" "&amp;Milestones!$AC$102&amp;";  ","")&amp;IF(AND(EDATE($D67,Milestones!$AA$103)&lt;=AsOfDate,IF($R67=0,$X67,IF(AND($T67&lt;&gt;"",EDATE($D67,Milestones!$AA$103)&gt;=$T67),$W67,IF(AND($S67&lt;&gt;"",EDATE($D67,Milestones!$AA$103)&gt;=$S67),$V67,$U67)))=Milestones!$AB$103),UPPER(TEXT(EDATE($D67,Milestones!$AA$103),"dd mmm yy"))&amp;" "&amp;Milestones!$AB$103&amp;" "&amp;Milestones!$AC$103&amp;";  ","")&amp;IF(AND(EDATE($D67,Milestones!$AA$104)&lt;=AsOfDate,IF($R67=0,$X67,IF(AND($T67&lt;&gt;"",EDATE($D67,Milestones!$AA$104)&gt;=$T67),$W67,IF(AND($S67&lt;&gt;"",EDATE($D67,Milestones!$AA$104)&gt;=$S67),$V67,$U67)))=Milestones!$AB$104),UPPER(TEXT(EDATE($D67,Milestones!$AA$104),"dd mmm yy"))&amp;" "&amp;Milestones!$AB$104&amp;" "&amp;Milestones!$AC$104&amp;";  ","")&amp;IF(AND(EDATE($D67,Milestones!$AA$105)&lt;=AsOfDate,IF($R67=0,$X67,IF(AND($T67&lt;&gt;"",EDATE($D67,Milestones!$AA$105)&gt;=$T67),$W67,IF(AND($S67&lt;&gt;"",EDATE($D67,Milestones!$AA$105)&gt;=$S67),$V67,$U67)))=Milestones!$AB$105),UPPER(TEXT(EDATE($D67,Milestones!$AA$105),"dd mmm yy"))&amp;" "&amp;Milestones!$AB$105&amp;" "&amp;Milestones!$AC$105&amp;";  ","")&amp;IF(AND(EDATE($D67,Milestones!$AA$106)&lt;=AsOfDate,IF($R67=0,$X67,IF(AND($T67&lt;&gt;"",EDATE($D67,Milestones!$AA$106)&gt;=$T67),$W67,IF(AND($S67&lt;&gt;"",EDATE($D67,Milestones!$AA$106)&gt;=$S67),$V67,$U67)))=Milestones!$AB$106),UPPER(TEXT(EDATE($D67,Milestones!$AA$106),"dd mmm yy"))&amp;" "&amp;Milestones!$AB$106&amp;" "&amp;Milestones!$AC$106&amp;";  ","")&amp;IF(AND(EDATE($D67,Milestones!$AA$107)&lt;=AsOfDate,IF($R67=0,$X67,IF(AND($T67&lt;&gt;"",EDATE($D67,Milestones!$AA$107)&gt;=$T67),$W67,IF(AND($S67&lt;&gt;"",EDATE($D67,Milestones!$AA$107)&gt;=$S67),$V67,$U67)))=Milestones!$AB$107),UPPER(TEXT(EDATE($D67,Milestones!$AA$107),"dd mmm yy"))&amp;" "&amp;Milestones!$AB$107&amp;" "&amp;Milestones!$AC$107&amp;";  ","")&amp;IF(AND(EDATE($D67,Milestones!$AA$108)&lt;=AsOfDate,IF($R67=0,$X67,IF(AND($T67&lt;&gt;"",EDATE($D67,Milestones!$AA$108)&gt;=$T67),$W67,IF(AND($S67&lt;&gt;"",EDATE($D67,Milestones!$AA$108)&gt;=$S67),$V67,$U67)))=Milestones!$AB$108),UPPER(TEXT(EDATE($D67,Milestones!$AA$108),"dd mmm yy"))&amp;" "&amp;Milestones!$AB$108&amp;" "&amp;Milestones!$AC$108&amp;";  ","")&amp;IF(AND(EDATE($D67,Milestones!$AA$109)&lt;=AsOfDate,IF($R67=0,$X67,IF(AND($T67&lt;&gt;"",EDATE($D67,Milestones!$AA$109)&gt;=$T67),$W67,IF(AND($S67&lt;&gt;"",EDATE($D67,Milestones!$AA$109)&gt;=$S67),$V67,$U67)))=Milestones!$AB$109),UPPER(TEXT(EDATE($D67,Milestones!$AA$109),"dd mmm yy"))&amp;" "&amp;Milestones!$AB$109&amp;" "&amp;Milestones!$AC$109&amp;";  ","")&amp;IF(AND(EDATE($D67,Milestones!$AA$110)&lt;=AsOfDate,IF($R67=0,$X67,IF(AND($T67&lt;&gt;"",EDATE($D67,Milestones!$AA$110)&gt;=$T67),$W67,IF(AND($S67&lt;&gt;"",EDATE($D67,Milestones!$AA$110)&gt;=$S67),$V67,$U67)))=Milestones!$AB$110),UPPER(TEXT(EDATE($D67,Milestones!$AA$110),"dd mmm yy"))&amp;" "&amp;Milestones!$AB$110&amp;" "&amp;Milestones!$AC$110&amp;";  ","")&amp;IF(AND(EDATE($D67,Milestones!$AA$111)&lt;=AsOfDate,IF($R67=0,$X67,IF(AND($T67&lt;&gt;"",EDATE($D67,Milestones!$AA$111)&gt;=$T67),$W67,IF(AND($S67&lt;&gt;"",EDATE($D67,Milestones!$AA$111)&gt;=$S67),$V67,$U67)))=Milestones!$AB$111),UPPER(TEXT(EDATE($D67,Milestones!$AA$111),"dd mmm yy"))&amp;" "&amp;Milestones!$AB$111&amp;" "&amp;Milestones!$AC$111&amp;";  ","")&amp;IF(AND(EDATE($D67,Milestones!$AA$112)&lt;=AsOfDate,IF($R67=0,$X67,IF(AND($T67&lt;&gt;"",EDATE($D67,Milestones!$AA$112)&gt;=$T67),$W67,IF(AND($S67&lt;&gt;"",EDATE($D67,Milestones!$AA$112)&gt;=$S67),$V67,$U67)))=Milestones!$AB$112),UPPER(TEXT(EDATE($D67,Milestones!$AA$112),"dd mmm yy"))&amp;" "&amp;Milestones!$AB$112&amp;" "&amp;Milestones!$AC$112&amp;";  ","")&amp;IF(AND(EDATE($D67,Milestones!$AA$113)&lt;=AsOfDate,IF($R67=0,$X67,IF(AND($T67&lt;&gt;"",EDATE($D67,Milestones!$AA$113)&gt;=$T67),$W67,IF(AND($S67&lt;&gt;"",EDATE($D67,Milestones!$AA$113)&gt;=$S67),$V67,$U67)))=Milestones!$AB$113),UPPER(TEXT(EDATE($D67,Milestones!$AA$113),"dd mmm yy"))&amp;" "&amp;Milestones!$AB$113&amp;" "&amp;Milestones!$AC$113&amp;";  ","")&amp;IF(AND(EDATE($D67,Milestones!$AA$114)&lt;=AsOfDate,IF($R67=0,$X67,IF(AND($T67&lt;&gt;"",EDATE($D67,Milestones!$AA$114)&gt;=$T67),$W67,IF(AND($S67&lt;&gt;"",EDATE($D67,Milestones!$AA$114)&gt;=$S67),$V67,$U67)))=Milestones!$AB$114),UPPER(TEXT(EDATE($D67,Milestones!$AA$114),"dd mmm yy"))&amp;" "&amp;Milestones!$AB$114&amp;" "&amp;Milestones!$AC$114&amp;";  ","")&amp;IF(AND(EDATE($D67,Milestones!$AA$115)&lt;=AsOfDate,IF($R67=0,$X67,IF(AND($T67&lt;&gt;"",EDATE($D67,Milestones!$AA$115)&gt;=$T67),$W67,IF(AND($S67&lt;&gt;"",EDATE($D67,Milestones!$AA$115)&gt;=$S67),$V67,$U67)))=Milestones!$AB$115),UPPER(TEXT(EDATE($D67,Milestones!$AA$115),"dd mmm yy"))&amp;" "&amp;Milestones!$AB$115&amp;" "&amp;Milestones!$AC$115&amp;";  ","")&amp;IF(AND(EDATE($D67,Milestones!$AA$116)&lt;=AsOfDate,IF($R67=0,$X67,IF(AND($T67&lt;&gt;"",EDATE($D67,Milestones!$AA$116)&gt;=$T67),$W67,IF(AND($S67&lt;&gt;"",EDATE($D67,Milestones!$AA$116)&gt;=$S67),$V67,$U67)))=Milestones!$AB$116),UPPER(TEXT(EDATE($D67,Milestones!$AA$116),"dd mmm yy"))&amp;" "&amp;Milestones!$AB$116&amp;" "&amp;Milestones!$AC$116&amp;";  ","")&amp;IF(AND(EDATE($D67,Milestones!$AA$117)&lt;=AsOfDate,IF($R67=0,$X67,IF(AND($T67&lt;&gt;"",EDATE($D67,Milestones!$AA$117)&gt;=$T67),$W67,IF(AND($S67&lt;&gt;"",EDATE($D67,Milestones!$AA$117)&gt;=$S67),$V67,$U67)))=Milestones!$AB$117),UPPER(TEXT(EDATE($D67,Milestones!$AA$117),"dd mmm yy"))&amp;" "&amp;Milestones!$AB$117&amp;" "&amp;Milestones!$AC$117&amp;";  ","")&amp;IF(AND(EDATE($D67,Milestones!$AA$118)&lt;=AsOfDate,IF($R67=0,$X67,IF(AND($T67&lt;&gt;"",EDATE($D67,Milestones!$AA$118)&gt;=$T67),$W67,IF(AND($S67&lt;&gt;"",EDATE($D67,Milestones!$AA$118)&gt;=$S67),$V67,$U67)))=Milestones!$AB$118),UPPER(TEXT(EDATE($D67,Milestones!$AA$118),"dd mmm yy"))&amp;" "&amp;Milestones!$AB$118&amp;" "&amp;Milestones!$AC$118&amp;";  ","")&amp;IF(AND(EDATE($D67,Milestones!$AA$119)&lt;=AsOfDate,IF($R67=0,$X67,IF(AND($T67&lt;&gt;"",EDATE($D67,Milestones!$AA$119)&gt;=$T67),$W67,IF(AND($S67&lt;&gt;"",EDATE($D67,Milestones!$AA$119)&gt;=$S67),$V67,$U67)))=Milestones!$AB$119),UPPER(TEXT(EDATE($D67,Milestones!$AA$119),"dd mmm yy"))&amp;" "&amp;Milestones!$AB$119&amp;" "&amp;Milestones!$AC$119&amp;";  ",""))</f>
        <v/>
      </c>
      <c r="N67" s="0" t="str">
        <f aca="false">IF(OR($A67="",$D67=""),"",IF(AND(EDATE($D67,Milestones!$AA$120)&lt;=AsOfDate,IF($R67=0,$X67,IF(AND($T67&lt;&gt;"",EDATE($D67,Milestones!$AA$120)&gt;=$T67),$W67,IF(AND($S67&lt;&gt;"",EDATE($D67,Milestones!$AA$120)&gt;=$S67),$V67,$U67)))=Milestones!$AB$120),UPPER(TEXT(EDATE($D67,Milestones!$AA$120),"dd mmm yy"))&amp;" "&amp;Milestones!$AB$120&amp;" "&amp;Milestones!$AC$120&amp;";  ","")&amp;IF(AND(EDATE($D67,Milestones!$AA$121)&lt;=AsOfDate,IF($R67=0,$X67,IF(AND($T67&lt;&gt;"",EDATE($D67,Milestones!$AA$121)&gt;=$T67),$W67,IF(AND($S67&lt;&gt;"",EDATE($D67,Milestones!$AA$121)&gt;=$S67),$V67,$U67)))=Milestones!$AB$121),UPPER(TEXT(EDATE($D67,Milestones!$AA$121),"dd mmm yy"))&amp;" "&amp;Milestones!$AB$121&amp;" "&amp;Milestones!$AC$121&amp;";  ","")&amp;IF(AND(EDATE($D67,Milestones!$AA$122)&lt;=AsOfDate,IF($R67=0,$X67,IF(AND($T67&lt;&gt;"",EDATE($D67,Milestones!$AA$122)&gt;=$T67),$W67,IF(AND($S67&lt;&gt;"",EDATE($D67,Milestones!$AA$122)&gt;=$S67),$V67,$U67)))=Milestones!$AB$122),UPPER(TEXT(EDATE($D67,Milestones!$AA$122),"dd mmm yy"))&amp;" "&amp;Milestones!$AB$122&amp;" "&amp;Milestones!$AC$122&amp;";  ","")&amp;IF(AND(EDATE($D67,Milestones!$AA$123)&lt;=AsOfDate,IF($R67=0,$X67,IF(AND($T67&lt;&gt;"",EDATE($D67,Milestones!$AA$123)&gt;=$T67),$W67,IF(AND($S67&lt;&gt;"",EDATE($D67,Milestones!$AA$123)&gt;=$S67),$V67,$U67)))=Milestones!$AB$123),UPPER(TEXT(EDATE($D67,Milestones!$AA$123),"dd mmm yy"))&amp;" "&amp;Milestones!$AB$123&amp;" "&amp;Milestones!$AC$123&amp;";  ","")&amp;IF(AND(EDATE($D67,Milestones!$AA$124)&lt;=AsOfDate,IF($R67=0,$X67,IF(AND($T67&lt;&gt;"",EDATE($D67,Milestones!$AA$124)&gt;=$T67),$W67,IF(AND($S67&lt;&gt;"",EDATE($D67,Milestones!$AA$124)&gt;=$S67),$V67,$U67)))=Milestones!$AB$124),UPPER(TEXT(EDATE($D67,Milestones!$AA$124),"dd mmm yy"))&amp;" "&amp;Milestones!$AB$124&amp;" "&amp;Milestones!$AC$124&amp;";  ","")&amp;IF(AND(EDATE($D67,Milestones!$AA$125)&lt;=AsOfDate,IF($R67=0,$X67,IF(AND($T67&lt;&gt;"",EDATE($D67,Milestones!$AA$125)&gt;=$T67),$W67,IF(AND($S67&lt;&gt;"",EDATE($D67,Milestones!$AA$125)&gt;=$S67),$V67,$U67)))=Milestones!$AB$125),UPPER(TEXT(EDATE($D67,Milestones!$AA$125),"dd mmm yy"))&amp;" "&amp;Milestones!$AB$125&amp;" "&amp;Milestones!$AC$125&amp;";  ","")&amp;IF(AND(EDATE($D67,Milestones!$AA$126)&lt;=AsOfDate,IF($R67=0,$X67,IF(AND($T67&lt;&gt;"",EDATE($D67,Milestones!$AA$126)&gt;=$T67),$W67,IF(AND($S67&lt;&gt;"",EDATE($D67,Milestones!$AA$126)&gt;=$S67),$V67,$U67)))=Milestones!$AB$126),UPPER(TEXT(EDATE($D67,Milestones!$AA$126),"dd mmm yy"))&amp;" "&amp;Milestones!$AB$126&amp;" "&amp;Milestones!$AC$126&amp;";  ","")&amp;IF(AND(EDATE($D67,Milestones!$AA$127)&lt;=AsOfDate,IF($R67=0,$X67,IF(AND($T67&lt;&gt;"",EDATE($D67,Milestones!$AA$127)&gt;=$T67),$W67,IF(AND($S67&lt;&gt;"",EDATE($D67,Milestones!$AA$127)&gt;=$S67),$V67,$U67)))=Milestones!$AB$127),UPPER(TEXT(EDATE($D67,Milestones!$AA$127),"dd mmm yy"))&amp;" "&amp;Milestones!$AB$127&amp;" "&amp;Milestones!$AC$127&amp;";  ","")&amp;IF(AND(EDATE($D67,Milestones!$AA$128)&lt;=AsOfDate,IF($R67=0,$X67,IF(AND($T67&lt;&gt;"",EDATE($D67,Milestones!$AA$128)&gt;=$T67),$W67,IF(AND($S67&lt;&gt;"",EDATE($D67,Milestones!$AA$128)&gt;=$S67),$V67,$U67)))=Milestones!$AB$128),UPPER(TEXT(EDATE($D67,Milestones!$AA$128),"dd mmm yy"))&amp;" "&amp;Milestones!$AB$128&amp;" "&amp;Milestones!$AC$128&amp;";  ","")&amp;IF(AND(EDATE($D67,Milestones!$AA$129)&lt;=AsOfDate,IF($R67=0,$X67,IF(AND($T67&lt;&gt;"",EDATE($D67,Milestones!$AA$129)&gt;=$T67),$W67,IF(AND($S67&lt;&gt;"",EDATE($D67,Milestones!$AA$129)&gt;=$S67),$V67,$U67)))=Milestones!$AB$129),UPPER(TEXT(EDATE($D67,Milestones!$AA$129),"dd mmm yy"))&amp;" "&amp;Milestones!$AB$129&amp;" "&amp;Milestones!$AC$129&amp;";  ","")&amp;IF(AND(EDATE($D67,Milestones!$AA$130)&lt;=AsOfDate,IF($R67=0,$X67,IF(AND($T67&lt;&gt;"",EDATE($D67,Milestones!$AA$130)&gt;=$T67),$W67,IF(AND($S67&lt;&gt;"",EDATE($D67,Milestones!$AA$130)&gt;=$S67),$V67,$U67)))=Milestones!$AB$130),UPPER(TEXT(EDATE($D67,Milestones!$AA$130),"dd mmm yy"))&amp;" "&amp;Milestones!$AB$130&amp;" "&amp;Milestones!$AC$130&amp;";  ","")&amp;IF(AND(EDATE($D67,Milestones!$AA$131)&lt;=AsOfDate,IF($R67=0,$X67,IF(AND($T67&lt;&gt;"",EDATE($D67,Milestones!$AA$131)&gt;=$T67),$W67,IF(AND($S67&lt;&gt;"",EDATE($D67,Milestones!$AA$131)&gt;=$S67),$V67,$U67)))=Milestones!$AB$131),UPPER(TEXT(EDATE($D67,Milestones!$AA$131),"dd mmm yy"))&amp;" "&amp;Milestones!$AB$131&amp;" "&amp;Milestones!$AC$131&amp;";  ","")&amp;IF(AND(EDATE($D67,Milestones!$AA$132)&lt;=AsOfDate,IF($R67=0,$X67,IF(AND($T67&lt;&gt;"",EDATE($D67,Milestones!$AA$132)&gt;=$T67),$W67,IF(AND($S67&lt;&gt;"",EDATE($D67,Milestones!$AA$132)&gt;=$S67),$V67,$U67)))=Milestones!$AB$132),UPPER(TEXT(EDATE($D67,Milestones!$AA$132),"dd mmm yy"))&amp;" "&amp;Milestones!$AB$132&amp;" "&amp;Milestones!$AC$132&amp;";  ","")&amp;IF(AND(EDATE($D67,Milestones!$AA$133)&lt;=AsOfDate,IF($R67=0,$X67,IF(AND($T67&lt;&gt;"",EDATE($D67,Milestones!$AA$133)&gt;=$T67),$W67,IF(AND($S67&lt;&gt;"",EDATE($D67,Milestones!$AA$133)&gt;=$S67),$V67,$U67)))=Milestones!$AB$133),UPPER(TEXT(EDATE($D67,Milestones!$AA$133),"dd mmm yy"))&amp;" "&amp;Milestones!$AB$133&amp;" "&amp;Milestones!$AC$133&amp;";  ","")&amp;IF(AND(EDATE($D67,Milestones!$AA$134)&lt;=AsOfDate,IF($R67=0,$X67,IF(AND($T67&lt;&gt;"",EDATE($D67,Milestones!$AA$134)&gt;=$T67),$W67,IF(AND($S67&lt;&gt;"",EDATE($D67,Milestones!$AA$134)&gt;=$S67),$V67,$U67)))=Milestones!$AB$134),UPPER(TEXT(EDATE($D67,Milestones!$AA$134),"dd mmm yy"))&amp;" "&amp;Milestones!$AB$134&amp;" "&amp;Milestones!$AC$134&amp;";  ","")&amp;IF(AND(EDATE($D67,Milestones!$AA$135)&lt;=AsOfDate,IF($R67=0,$X67,IF(AND($T67&lt;&gt;"",EDATE($D67,Milestones!$AA$135)&gt;=$T67),$W67,IF(AND($S67&lt;&gt;"",EDATE($D67,Milestones!$AA$135)&gt;=$S67),$V67,$U67)))=Milestones!$AB$135),UPPER(TEXT(EDATE($D67,Milestones!$AA$135),"dd mmm yy"))&amp;" "&amp;Milestones!$AB$135&amp;" "&amp;Milestones!$AC$135&amp;";  ","")&amp;IF(AND(EDATE($D67,Milestones!$AA$136)&lt;=AsOfDate,IF($R67=0,$X67,IF(AND($T67&lt;&gt;"",EDATE($D67,Milestones!$AA$136)&gt;=$T67),$W67,IF(AND($S67&lt;&gt;"",EDATE($D67,Milestones!$AA$136)&gt;=$S67),$V67,$U67)))=Milestones!$AB$136),UPPER(TEXT(EDATE($D67,Milestones!$AA$136),"dd mmm yy"))&amp;" "&amp;Milestones!$AB$136&amp;" "&amp;Milestones!$AC$136&amp;";  ","")&amp;IF(AND(EDATE($D67,Milestones!$AA$137)&lt;=AsOfDate,IF($R67=0,$X67,IF(AND($T67&lt;&gt;"",EDATE($D67,Milestones!$AA$137)&gt;=$T67),$W67,IF(AND($S67&lt;&gt;"",EDATE($D67,Milestones!$AA$137)&gt;=$S67),$V67,$U67)))=Milestones!$AB$137),UPPER(TEXT(EDATE($D67,Milestones!$AA$137),"dd mmm yy"))&amp;" "&amp;Milestones!$AB$137&amp;" "&amp;Milestones!$AC$137&amp;";  ","")&amp;IF(AND(EDATE($D67,Milestones!$AA$138)&lt;=AsOfDate,IF($R67=0,$X67,IF(AND($T67&lt;&gt;"",EDATE($D67,Milestones!$AA$138)&gt;=$T67),$W67,IF(AND($S67&lt;&gt;"",EDATE($D67,Milestones!$AA$138)&gt;=$S67),$V67,$U67)))=Milestones!$AB$138),UPPER(TEXT(EDATE($D67,Milestones!$AA$138),"dd mmm yy"))&amp;" "&amp;Milestones!$AB$138&amp;" "&amp;Milestones!$AC$138&amp;";  ","")&amp;IF(AND(EDATE($D67,Milestones!$AA$139)&lt;=AsOfDate,IF($R67=0,$X67,IF(AND($T67&lt;&gt;"",EDATE($D67,Milestones!$AA$139)&gt;=$T67),$W67,IF(AND($S67&lt;&gt;"",EDATE($D67,Milestones!$AA$139)&gt;=$S67),$V67,$U67)))=Milestones!$AB$139),UPPER(TEXT(EDATE($D67,Milestones!$AA$139),"dd mmm yy"))&amp;" "&amp;Milestones!$AB$139&amp;" "&amp;Milestones!$AC$139&amp;";  ",""))</f>
        <v/>
      </c>
      <c r="O67" s="0" t="str">
        <f aca="false">IF(OR($A67="",$D67=""),"",IF(AND(EDATE($D67,Milestones!$AA$140)&lt;=AsOfDate,IF($R67=0,$X67,IF(AND($T67&lt;&gt;"",EDATE($D67,Milestones!$AA$140)&gt;=$T67),$W67,IF(AND($S67&lt;&gt;"",EDATE($D67,Milestones!$AA$140)&gt;=$S67),$V67,$U67)))=Milestones!$AB$140),UPPER(TEXT(EDATE($D67,Milestones!$AA$140),"dd mmm yy"))&amp;" "&amp;Milestones!$AB$140&amp;" "&amp;Milestones!$AC$140&amp;";  ","")&amp;IF(AND(EDATE($D67,Milestones!$AA$141)&lt;=AsOfDate,IF($R67=0,$X67,IF(AND($T67&lt;&gt;"",EDATE($D67,Milestones!$AA$141)&gt;=$T67),$W67,IF(AND($S67&lt;&gt;"",EDATE($D67,Milestones!$AA$141)&gt;=$S67),$V67,$U67)))=Milestones!$AB$141),UPPER(TEXT(EDATE($D67,Milestones!$AA$141),"dd mmm yy"))&amp;" "&amp;Milestones!$AB$141&amp;" "&amp;Milestones!$AC$141&amp;";  ","")&amp;IF(AND(EDATE($D67,Milestones!$AA$142)&lt;=AsOfDate,IF($R67=0,$X67,IF(AND($T67&lt;&gt;"",EDATE($D67,Milestones!$AA$142)&gt;=$T67),$W67,IF(AND($S67&lt;&gt;"",EDATE($D67,Milestones!$AA$142)&gt;=$S67),$V67,$U67)))=Milestones!$AB$142),UPPER(TEXT(EDATE($D67,Milestones!$AA$142),"dd mmm yy"))&amp;" "&amp;Milestones!$AB$142&amp;" "&amp;Milestones!$AC$142&amp;";  ","")&amp;IF(AND(EDATE($D67,Milestones!$AA$143)&lt;=AsOfDate,IF($R67=0,$X67,IF(AND($T67&lt;&gt;"",EDATE($D67,Milestones!$AA$143)&gt;=$T67),$W67,IF(AND($S67&lt;&gt;"",EDATE($D67,Milestones!$AA$143)&gt;=$S67),$V67,$U67)))=Milestones!$AB$143),UPPER(TEXT(EDATE($D67,Milestones!$AA$143),"dd mmm yy"))&amp;" "&amp;Milestones!$AB$143&amp;" "&amp;Milestones!$AC$143&amp;";  ","")&amp;IF(AND(EDATE($D67,Milestones!$AA$144)&lt;=AsOfDate,IF($R67=0,$X67,IF(AND($T67&lt;&gt;"",EDATE($D67,Milestones!$AA$144)&gt;=$T67),$W67,IF(AND($S67&lt;&gt;"",EDATE($D67,Milestones!$AA$144)&gt;=$S67),$V67,$U67)))=Milestones!$AB$144),UPPER(TEXT(EDATE($D67,Milestones!$AA$144),"dd mmm yy"))&amp;" "&amp;Milestones!$AB$144&amp;" "&amp;Milestones!$AC$144&amp;";  ","")&amp;IF(AND(EDATE($D67,Milestones!$AA$145)&lt;=AsOfDate,IF($R67=0,$X67,IF(AND($T67&lt;&gt;"",EDATE($D67,Milestones!$AA$145)&gt;=$T67),$W67,IF(AND($S67&lt;&gt;"",EDATE($D67,Milestones!$AA$145)&gt;=$S67),$V67,$U67)))=Milestones!$AB$145),UPPER(TEXT(EDATE($D67,Milestones!$AA$145),"dd mmm yy"))&amp;" "&amp;Milestones!$AB$145&amp;" "&amp;Milestones!$AC$145&amp;";  ","")&amp;IF(AND(EDATE($D67,Milestones!$AA$146)&lt;=AsOfDate,IF($R67=0,$X67,IF(AND($T67&lt;&gt;"",EDATE($D67,Milestones!$AA$146)&gt;=$T67),$W67,IF(AND($S67&lt;&gt;"",EDATE($D67,Milestones!$AA$146)&gt;=$S67),$V67,$U67)))=Milestones!$AB$146),UPPER(TEXT(EDATE($D67,Milestones!$AA$146),"dd mmm yy"))&amp;" "&amp;Milestones!$AB$146&amp;" "&amp;Milestones!$AC$146&amp;";  ","")&amp;IF(AND(EDATE($D67,Milestones!$AA$147)&lt;=AsOfDate,IF($R67=0,$X67,IF(AND($T67&lt;&gt;"",EDATE($D67,Milestones!$AA$147)&gt;=$T67),$W67,IF(AND($S67&lt;&gt;"",EDATE($D67,Milestones!$AA$147)&gt;=$S67),$V67,$U67)))=Milestones!$AB$147),UPPER(TEXT(EDATE($D67,Milestones!$AA$147),"dd mmm yy"))&amp;" "&amp;Milestones!$AB$147&amp;" "&amp;Milestones!$AC$147&amp;";  ","")&amp;IF(AND(EDATE($D67,Milestones!$AA$148)&lt;=AsOfDate,IF($R67=0,$X67,IF(AND($T67&lt;&gt;"",EDATE($D67,Milestones!$AA$148)&gt;=$T67),$W67,IF(AND($S67&lt;&gt;"",EDATE($D67,Milestones!$AA$148)&gt;=$S67),$V67,$U67)))=Milestones!$AB$148),UPPER(TEXT(EDATE($D67,Milestones!$AA$148),"dd mmm yy"))&amp;" "&amp;Milestones!$AB$148&amp;" "&amp;Milestones!$AC$148&amp;";  ","")&amp;IF(AND(EDATE($D67,Milestones!$AA$149)&lt;=AsOfDate,IF($R67=0,$X67,IF(AND($T67&lt;&gt;"",EDATE($D67,Milestones!$AA$149)&gt;=$T67),$W67,IF(AND($S67&lt;&gt;"",EDATE($D67,Milestones!$AA$149)&gt;=$S67),$V67,$U67)))=Milestones!$AB$149),UPPER(TEXT(EDATE($D67,Milestones!$AA$149),"dd mmm yy"))&amp;" "&amp;Milestones!$AB$149&amp;" "&amp;Milestones!$AC$149&amp;";  ","")&amp;IF(AND(EDATE($D67,Milestones!$AA$150)&lt;=AsOfDate,IF($R67=0,$X67,IF(AND($T67&lt;&gt;"",EDATE($D67,Milestones!$AA$150)&gt;=$T67),$W67,IF(AND($S67&lt;&gt;"",EDATE($D67,Milestones!$AA$150)&gt;=$S67),$V67,$U67)))=Milestones!$AB$150),UPPER(TEXT(EDATE($D67,Milestones!$AA$150),"dd mmm yy"))&amp;" "&amp;Milestones!$AB$150&amp;" "&amp;Milestones!$AC$150&amp;";  ","")&amp;IF(AND(EDATE($D67,Milestones!$AA$151)&lt;=AsOfDate,IF($R67=0,$X67,IF(AND($T67&lt;&gt;"",EDATE($D67,Milestones!$AA$151)&gt;=$T67),$W67,IF(AND($S67&lt;&gt;"",EDATE($D67,Milestones!$AA$151)&gt;=$S67),$V67,$U67)))=Milestones!$AB$151),UPPER(TEXT(EDATE($D67,Milestones!$AA$151),"dd mmm yy"))&amp;" "&amp;Milestones!$AB$151&amp;" "&amp;Milestones!$AC$151&amp;";  ","")&amp;IF(AND(EDATE($D67,Milestones!$AA$152)&lt;=AsOfDate,IF($R67=0,$X67,IF(AND($T67&lt;&gt;"",EDATE($D67,Milestones!$AA$152)&gt;=$T67),$W67,IF(AND($S67&lt;&gt;"",EDATE($D67,Milestones!$AA$152)&gt;=$S67),$V67,$U67)))=Milestones!$AB$152),UPPER(TEXT(EDATE($D67,Milestones!$AA$152),"dd mmm yy"))&amp;" "&amp;Milestones!$AB$152&amp;" "&amp;Milestones!$AC$152&amp;";  ","")&amp;IF(AND(EDATE($D67,Milestones!$AA$153)&lt;=AsOfDate,IF($R67=0,$X67,IF(AND($T67&lt;&gt;"",EDATE($D67,Milestones!$AA$153)&gt;=$T67),$W67,IF(AND($S67&lt;&gt;"",EDATE($D67,Milestones!$AA$153)&gt;=$S67),$V67,$U67)))=Milestones!$AB$153),UPPER(TEXT(EDATE($D67,Milestones!$AA$153),"dd mmm yy"))&amp;" "&amp;Milestones!$AB$153&amp;" "&amp;Milestones!$AC$153&amp;";  ","")&amp;IF(AND(EDATE($D67,Milestones!$AA$154)&lt;=AsOfDate,IF($R67=0,$X67,IF(AND($T67&lt;&gt;"",EDATE($D67,Milestones!$AA$154)&gt;=$T67),$W67,IF(AND($S67&lt;&gt;"",EDATE($D67,Milestones!$AA$154)&gt;=$S67),$V67,$U67)))=Milestones!$AB$154),UPPER(TEXT(EDATE($D67,Milestones!$AA$154),"dd mmm yy"))&amp;" "&amp;Milestones!$AB$154&amp;" "&amp;Milestones!$AC$154&amp;";  ","")&amp;IF(AND(EDATE($D67,Milestones!$AA$155)&lt;=AsOfDate,IF($R67=0,$X67,IF(AND($T67&lt;&gt;"",EDATE($D67,Milestones!$AA$155)&gt;=$T67),$W67,IF(AND($S67&lt;&gt;"",EDATE($D67,Milestones!$AA$155)&gt;=$S67),$V67,$U67)))=Milestones!$AB$155),UPPER(TEXT(EDATE($D67,Milestones!$AA$155),"dd mmm yy"))&amp;" "&amp;Milestones!$AB$155&amp;" "&amp;Milestones!$AC$155&amp;";  ","")&amp;IF(AND(EDATE($D67,Milestones!$AA$156)&lt;=AsOfDate,IF($R67=0,$X67,IF(AND($T67&lt;&gt;"",EDATE($D67,Milestones!$AA$156)&gt;=$T67),$W67,IF(AND($S67&lt;&gt;"",EDATE($D67,Milestones!$AA$156)&gt;=$S67),$V67,$U67)))=Milestones!$AB$156),UPPER(TEXT(EDATE($D67,Milestones!$AA$156),"dd mmm yy"))&amp;" "&amp;Milestones!$AB$156&amp;" "&amp;Milestones!$AC$156&amp;";  ","")&amp;IF(AND(EDATE($D67,Milestones!$AA$157)&lt;=AsOfDate,IF($R67=0,$X67,IF(AND($T67&lt;&gt;"",EDATE($D67,Milestones!$AA$157)&gt;=$T67),$W67,IF(AND($S67&lt;&gt;"",EDATE($D67,Milestones!$AA$157)&gt;=$S67),$V67,$U67)))=Milestones!$AB$157),UPPER(TEXT(EDATE($D67,Milestones!$AA$157),"dd mmm yy"))&amp;" "&amp;Milestones!$AB$157&amp;" "&amp;Milestones!$AC$157&amp;";  ","")&amp;IF(AND(EDATE($D67,Milestones!$AA$158)&lt;=AsOfDate,IF($R67=0,$X67,IF(AND($T67&lt;&gt;"",EDATE($D67,Milestones!$AA$158)&gt;=$T67),$W67,IF(AND($S67&lt;&gt;"",EDATE($D67,Milestones!$AA$158)&gt;=$S67),$V67,$U67)))=Milestones!$AB$158),UPPER(TEXT(EDATE($D67,Milestones!$AA$158),"dd mmm yy"))&amp;" "&amp;Milestones!$AB$158&amp;" "&amp;Milestones!$AC$158&amp;";  ","")&amp;IF(AND(EDATE($D67,Milestones!$AA$159)&lt;=AsOfDate,IF($R67=0,$X67,IF(AND($T67&lt;&gt;"",EDATE($D67,Milestones!$AA$159)&gt;=$T67),$W67,IF(AND($S67&lt;&gt;"",EDATE($D67,Milestones!$AA$159)&gt;=$S67),$V67,$U67)))=Milestones!$AB$159),UPPER(TEXT(EDATE($D67,Milestones!$AA$159),"dd mmm yy"))&amp;" "&amp;Milestones!$AB$159&amp;" "&amp;Milestones!$AC$159&amp;";  ",""))</f>
        <v/>
      </c>
      <c r="P67" s="0" t="str">
        <f aca="false">IF(OR($A67="",$D67=""),"",IF(AND(EDATE($D67,Milestones!$AA$160)&lt;=AsOfDate,IF($R67=0,$X67,IF(AND($T67&lt;&gt;"",EDATE($D67,Milestones!$AA$160)&gt;=$T67),$W67,IF(AND($S67&lt;&gt;"",EDATE($D67,Milestones!$AA$160)&gt;=$S67),$V67,$U67)))=Milestones!$AB$160),UPPER(TEXT(EDATE($D67,Milestones!$AA$160),"dd mmm yy"))&amp;" "&amp;Milestones!$AB$160&amp;" "&amp;Milestones!$AC$160&amp;";  ","")&amp;IF(AND(EDATE($D67,Milestones!$AA$161)&lt;=AsOfDate,IF($R67=0,$X67,IF(AND($T67&lt;&gt;"",EDATE($D67,Milestones!$AA$161)&gt;=$T67),$W67,IF(AND($S67&lt;&gt;"",EDATE($D67,Milestones!$AA$161)&gt;=$S67),$V67,$U67)))=Milestones!$AB$161),UPPER(TEXT(EDATE($D67,Milestones!$AA$161),"dd mmm yy"))&amp;" "&amp;Milestones!$AB$161&amp;" "&amp;Milestones!$AC$161&amp;";  ","")&amp;IF(AND(EDATE($D67,Milestones!$AA$162)&lt;=AsOfDate,IF($R67=0,$X67,IF(AND($T67&lt;&gt;"",EDATE($D67,Milestones!$AA$162)&gt;=$T67),$W67,IF(AND($S67&lt;&gt;"",EDATE($D67,Milestones!$AA$162)&gt;=$S67),$V67,$U67)))=Milestones!$AB$162),UPPER(TEXT(EDATE($D67,Milestones!$AA$162),"dd mmm yy"))&amp;" "&amp;Milestones!$AB$162&amp;" "&amp;Milestones!$AC$162&amp;";  ","")&amp;IF(AND(EDATE($D67,Milestones!$AA$163)&lt;=AsOfDate,IF($R67=0,$X67,IF(AND($T67&lt;&gt;"",EDATE($D67,Milestones!$AA$163)&gt;=$T67),$W67,IF(AND($S67&lt;&gt;"",EDATE($D67,Milestones!$AA$163)&gt;=$S67),$V67,$U67)))=Milestones!$AB$163),UPPER(TEXT(EDATE($D67,Milestones!$AA$163),"dd mmm yy"))&amp;" "&amp;Milestones!$AB$163&amp;" "&amp;Milestones!$AC$163&amp;";  ","")&amp;IF(AND(EDATE($D67,Milestones!$AA$164)&lt;=AsOfDate,IF($R67=0,$X67,IF(AND($T67&lt;&gt;"",EDATE($D67,Milestones!$AA$164)&gt;=$T67),$W67,IF(AND($S67&lt;&gt;"",EDATE($D67,Milestones!$AA$164)&gt;=$S67),$V67,$U67)))=Milestones!$AB$164),UPPER(TEXT(EDATE($D67,Milestones!$AA$164),"dd mmm yy"))&amp;" "&amp;Milestones!$AB$164&amp;" "&amp;Milestones!$AC$164&amp;";  ","")&amp;IF(AND(EDATE($D67,Milestones!$AA$165)&lt;=AsOfDate,IF($R67=0,$X67,IF(AND($T67&lt;&gt;"",EDATE($D67,Milestones!$AA$165)&gt;=$T67),$W67,IF(AND($S67&lt;&gt;"",EDATE($D67,Milestones!$AA$165)&gt;=$S67),$V67,$U67)))=Milestones!$AB$165),UPPER(TEXT(EDATE($D67,Milestones!$AA$165),"dd mmm yy"))&amp;" "&amp;Milestones!$AB$165&amp;" "&amp;Milestones!$AC$165&amp;";  ","")&amp;IF(AND(EDATE($D67,Milestones!$AA$166)&lt;=AsOfDate,IF($R67=0,$X67,IF(AND($T67&lt;&gt;"",EDATE($D67,Milestones!$AA$166)&gt;=$T67),$W67,IF(AND($S67&lt;&gt;"",EDATE($D67,Milestones!$AA$166)&gt;=$S67),$V67,$U67)))=Milestones!$AB$166),UPPER(TEXT(EDATE($D67,Milestones!$AA$166),"dd mmm yy"))&amp;" "&amp;Milestones!$AB$166&amp;" "&amp;Milestones!$AC$166&amp;";  ","")&amp;IF(AND(EDATE($D67,Milestones!$AA$167)&lt;=AsOfDate,IF($R67=0,$X67,IF(AND($T67&lt;&gt;"",EDATE($D67,Milestones!$AA$167)&gt;=$T67),$W67,IF(AND($S67&lt;&gt;"",EDATE($D67,Milestones!$AA$167)&gt;=$S67),$V67,$U67)))=Milestones!$AB$167),UPPER(TEXT(EDATE($D67,Milestones!$AA$167),"dd mmm yy"))&amp;" "&amp;Milestones!$AB$167&amp;" "&amp;Milestones!$AC$167&amp;";  ","")&amp;IF(AND(EDATE($D67,Milestones!$AA$168)&lt;=AsOfDate,IF($R67=0,$X67,IF(AND($T67&lt;&gt;"",EDATE($D67,Milestones!$AA$168)&gt;=$T67),$W67,IF(AND($S67&lt;&gt;"",EDATE($D67,Milestones!$AA$168)&gt;=$S67),$V67,$U67)))=Milestones!$AB$168),UPPER(TEXT(EDATE($D67,Milestones!$AA$168),"dd mmm yy"))&amp;" "&amp;Milestones!$AB$168&amp;" "&amp;Milestones!$AC$168&amp;";  ","")&amp;IF(AND(EDATE($D67,Milestones!$AA$169)&lt;=AsOfDate,IF($R67=0,$X67,IF(AND($T67&lt;&gt;"",EDATE($D67,Milestones!$AA$169)&gt;=$T67),$W67,IF(AND($S67&lt;&gt;"",EDATE($D67,Milestones!$AA$169)&gt;=$S67),$V67,$U67)))=Milestones!$AB$169),UPPER(TEXT(EDATE($D67,Milestones!$AA$169),"dd mmm yy"))&amp;" "&amp;Milestones!$AB$169&amp;" "&amp;Milestones!$AC$169&amp;";  ","")&amp;IF(AND(EDATE($D67,Milestones!$AA$170)&lt;=AsOfDate,IF($R67=0,$X67,IF(AND($T67&lt;&gt;"",EDATE($D67,Milestones!$AA$170)&gt;=$T67),$W67,IF(AND($S67&lt;&gt;"",EDATE($D67,Milestones!$AA$170)&gt;=$S67),$V67,$U67)))=Milestones!$AB$170),UPPER(TEXT(EDATE($D67,Milestones!$AA$170),"dd mmm yy"))&amp;" "&amp;Milestones!$AB$170&amp;" "&amp;Milestones!$AC$170&amp;";  ","")&amp;IF(AND(EDATE($D67,Milestones!$AA$171)&lt;=AsOfDate,IF($R67=0,$X67,IF(AND($T67&lt;&gt;"",EDATE($D67,Milestones!$AA$171)&gt;=$T67),$W67,IF(AND($S67&lt;&gt;"",EDATE($D67,Milestones!$AA$171)&gt;=$S67),$V67,$U67)))=Milestones!$AB$171),UPPER(TEXT(EDATE($D67,Milestones!$AA$171),"dd mmm yy"))&amp;" "&amp;Milestones!$AB$171&amp;" "&amp;Milestones!$AC$171&amp;";  ","")&amp;IF(AND(EDATE($D67,Milestones!$AA$172)&lt;=AsOfDate,IF($R67=0,$X67,IF(AND($T67&lt;&gt;"",EDATE($D67,Milestones!$AA$172)&gt;=$T67),$W67,IF(AND($S67&lt;&gt;"",EDATE($D67,Milestones!$AA$172)&gt;=$S67),$V67,$U67)))=Milestones!$AB$172),UPPER(TEXT(EDATE($D67,Milestones!$AA$172),"dd mmm yy"))&amp;" "&amp;Milestones!$AB$172&amp;" "&amp;Milestones!$AC$172&amp;";  ","")&amp;IF(AND(EDATE($D67,Milestones!$AA$173)&lt;=AsOfDate,IF($R67=0,$X67,IF(AND($T67&lt;&gt;"",EDATE($D67,Milestones!$AA$173)&gt;=$T67),$W67,IF(AND($S67&lt;&gt;"",EDATE($D67,Milestones!$AA$173)&gt;=$S67),$V67,$U67)))=Milestones!$AB$173),UPPER(TEXT(EDATE($D67,Milestones!$AA$173),"dd mmm yy"))&amp;" "&amp;Milestones!$AB$173&amp;" "&amp;Milestones!$AC$173&amp;";  ","")&amp;IF(AND(EDATE($D67,Milestones!$AA$174)&lt;=AsOfDate,IF($R67=0,$X67,IF(AND($T67&lt;&gt;"",EDATE($D67,Milestones!$AA$174)&gt;=$T67),$W67,IF(AND($S67&lt;&gt;"",EDATE($D67,Milestones!$AA$174)&gt;=$S67),$V67,$U67)))=Milestones!$AB$174),UPPER(TEXT(EDATE($D67,Milestones!$AA$174),"dd mmm yy"))&amp;" "&amp;Milestones!$AB$174&amp;" "&amp;Milestones!$AC$174&amp;";  ","")&amp;IF(AND(EDATE($D67,Milestones!$AA$175)&lt;=AsOfDate,IF($R67=0,$X67,IF(AND($T67&lt;&gt;"",EDATE($D67,Milestones!$AA$175)&gt;=$T67),$W67,IF(AND($S67&lt;&gt;"",EDATE($D67,Milestones!$AA$175)&gt;=$S67),$V67,$U67)))=Milestones!$AB$175),UPPER(TEXT(EDATE($D67,Milestones!$AA$175),"dd mmm yy"))&amp;" "&amp;Milestones!$AB$175&amp;" "&amp;Milestones!$AC$175&amp;";  ","")&amp;IF(AND(EDATE($D67,Milestones!$AA$176)&lt;=AsOfDate,IF($R67=0,$X67,IF(AND($T67&lt;&gt;"",EDATE($D67,Milestones!$AA$176)&gt;=$T67),$W67,IF(AND($S67&lt;&gt;"",EDATE($D67,Milestones!$AA$176)&gt;=$S67),$V67,$U67)))=Milestones!$AB$176),UPPER(TEXT(EDATE($D67,Milestones!$AA$176),"dd mmm yy"))&amp;" "&amp;Milestones!$AB$176&amp;" "&amp;Milestones!$AC$176&amp;";  ","")&amp;IF(AND(EDATE($D67,Milestones!$AA$177)&lt;=AsOfDate,IF($R67=0,$X67,IF(AND($T67&lt;&gt;"",EDATE($D67,Milestones!$AA$177)&gt;=$T67),$W67,IF(AND($S67&lt;&gt;"",EDATE($D67,Milestones!$AA$177)&gt;=$S67),$V67,$U67)))=Milestones!$AB$177),UPPER(TEXT(EDATE($D67,Milestones!$AA$177),"dd mmm yy"))&amp;" "&amp;Milestones!$AB$177&amp;" "&amp;Milestones!$AC$177&amp;";  ","")&amp;IF(AND(EDATE($D67,Milestones!$AA$178)&lt;=AsOfDate,IF($R67=0,$X67,IF(AND($T67&lt;&gt;"",EDATE($D67,Milestones!$AA$178)&gt;=$T67),$W67,IF(AND($S67&lt;&gt;"",EDATE($D67,Milestones!$AA$178)&gt;=$S67),$V67,$U67)))=Milestones!$AB$178),UPPER(TEXT(EDATE($D67,Milestones!$AA$178),"dd mmm yy"))&amp;" "&amp;Milestones!$AB$178&amp;" "&amp;Milestones!$AC$178&amp;";  ","")&amp;IF(AND(EDATE($D67,Milestones!$AA$179)&lt;=AsOfDate,IF($R67=0,$X67,IF(AND($T67&lt;&gt;"",EDATE($D67,Milestones!$AA$179)&gt;=$T67),$W67,IF(AND($S67&lt;&gt;"",EDATE($D67,Milestones!$AA$179)&gt;=$S67),$V67,$U67)))=Milestones!$AB$179),UPPER(TEXT(EDATE($D67,Milestones!$AA$179),"dd mmm yy"))&amp;" "&amp;Milestones!$AB$179&amp;" "&amp;Milestones!$AC$179&amp;";  ",""))</f>
        <v/>
      </c>
      <c r="Q67" s="0" t="str">
        <f aca="false">IF(OR($A67="",$D67=""),"",IF(AND(EDATE($D67,Milestones!$AA$180)&lt;=AsOfDate,IF($R67=0,$X67,IF(AND($T67&lt;&gt;"",EDATE($D67,Milestones!$AA$180)&gt;=$T67),$W67,IF(AND($S67&lt;&gt;"",EDATE($D67,Milestones!$AA$180)&gt;=$S67),$V67,$U67)))=Milestones!$AB$180),UPPER(TEXT(EDATE($D67,Milestones!$AA$180),"dd mmm yy"))&amp;" "&amp;Milestones!$AB$180&amp;" "&amp;Milestones!$AC$180&amp;";  ","")&amp;IF(AND(EDATE($D67,Milestones!$AA$181)&lt;=AsOfDate,IF($R67=0,$X67,IF(AND($T67&lt;&gt;"",EDATE($D67,Milestones!$AA$181)&gt;=$T67),$W67,IF(AND($S67&lt;&gt;"",EDATE($D67,Milestones!$AA$181)&gt;=$S67),$V67,$U67)))=Milestones!$AB$181),UPPER(TEXT(EDATE($D67,Milestones!$AA$181),"dd mmm yy"))&amp;" "&amp;Milestones!$AB$181&amp;" "&amp;Milestones!$AC$181&amp;";  ","")&amp;IF(AND(EDATE($D67,Milestones!$AA$182)&lt;=AsOfDate,IF($R67=0,$X67,IF(AND($T67&lt;&gt;"",EDATE($D67,Milestones!$AA$182)&gt;=$T67),$W67,IF(AND($S67&lt;&gt;"",EDATE($D67,Milestones!$AA$182)&gt;=$S67),$V67,$U67)))=Milestones!$AB$182),UPPER(TEXT(EDATE($D67,Milestones!$AA$182),"dd mmm yy"))&amp;" "&amp;Milestones!$AB$182&amp;" "&amp;Milestones!$AC$182&amp;";  ","")&amp;IF(AND(EDATE($D67,Milestones!$AA$183)&lt;=AsOfDate,IF($R67=0,$X67,IF(AND($T67&lt;&gt;"",EDATE($D67,Milestones!$AA$183)&gt;=$T67),$W67,IF(AND($S67&lt;&gt;"",EDATE($D67,Milestones!$AA$183)&gt;=$S67),$V67,$U67)))=Milestones!$AB$183),UPPER(TEXT(EDATE($D67,Milestones!$AA$183),"dd mmm yy"))&amp;" "&amp;Milestones!$AB$183&amp;" "&amp;Milestones!$AC$183&amp;";  ","")&amp;IF(AND(EDATE($D67,Milestones!$AA$184)&lt;=AsOfDate,IF($R67=0,$X67,IF(AND($T67&lt;&gt;"",EDATE($D67,Milestones!$AA$184)&gt;=$T67),$W67,IF(AND($S67&lt;&gt;"",EDATE($D67,Milestones!$AA$184)&gt;=$S67),$V67,$U67)))=Milestones!$AB$184),UPPER(TEXT(EDATE($D67,Milestones!$AA$184),"dd mmm yy"))&amp;" "&amp;Milestones!$AB$184&amp;" "&amp;Milestones!$AC$184&amp;";  ","")&amp;IF(AND(EDATE($D67,Milestones!$AA$185)&lt;=AsOfDate,IF($R67=0,$X67,IF(AND($T67&lt;&gt;"",EDATE($D67,Milestones!$AA$185)&gt;=$T67),$W67,IF(AND($S67&lt;&gt;"",EDATE($D67,Milestones!$AA$185)&gt;=$S67),$V67,$U67)))=Milestones!$AB$185),UPPER(TEXT(EDATE($D67,Milestones!$AA$185),"dd mmm yy"))&amp;" "&amp;Milestones!$AB$185&amp;" "&amp;Milestones!$AC$185&amp;";  ","")&amp;IF(AND(EDATE($D67,Milestones!$AA$186)&lt;=AsOfDate,IF($R67=0,$X67,IF(AND($T67&lt;&gt;"",EDATE($D67,Milestones!$AA$186)&gt;=$T67),$W67,IF(AND($S67&lt;&gt;"",EDATE($D67,Milestones!$AA$186)&gt;=$S67),$V67,$U67)))=Milestones!$AB$186),UPPER(TEXT(EDATE($D67,Milestones!$AA$186),"dd mmm yy"))&amp;" "&amp;Milestones!$AB$186&amp;" "&amp;Milestones!$AC$186&amp;";  ","")&amp;IF(AND(EDATE($D67,Milestones!$AA$187)&lt;=AsOfDate,IF($R67=0,$X67,IF(AND($T67&lt;&gt;"",EDATE($D67,Milestones!$AA$187)&gt;=$T67),$W67,IF(AND($S67&lt;&gt;"",EDATE($D67,Milestones!$AA$187)&gt;=$S67),$V67,$U67)))=Milestones!$AB$187),UPPER(TEXT(EDATE($D67,Milestones!$AA$187),"dd mmm yy"))&amp;" "&amp;Milestones!$AB$187&amp;" "&amp;Milestones!$AC$187&amp;";  ","")&amp;IF(AND(EDATE($D67,Milestones!$AA$188)&lt;=AsOfDate,IF($R67=0,$X67,IF(AND($T67&lt;&gt;"",EDATE($D67,Milestones!$AA$188)&gt;=$T67),$W67,IF(AND($S67&lt;&gt;"",EDATE($D67,Milestones!$AA$188)&gt;=$S67),$V67,$U67)))=Milestones!$AB$188),UPPER(TEXT(EDATE($D67,Milestones!$AA$188),"dd mmm yy"))&amp;" "&amp;Milestones!$AB$188&amp;" "&amp;Milestones!$AC$188&amp;";  ","")&amp;IF(AND(EDATE($D67,Milestones!$AA$189)&lt;=AsOfDate,IF($R67=0,$X67,IF(AND($T67&lt;&gt;"",EDATE($D67,Milestones!$AA$189)&gt;=$T67),$W67,IF(AND($S67&lt;&gt;"",EDATE($D67,Milestones!$AA$189)&gt;=$S67),$V67,$U67)))=Milestones!$AB$189),UPPER(TEXT(EDATE($D67,Milestones!$AA$189),"dd mmm yy"))&amp;" "&amp;Milestones!$AB$189&amp;" "&amp;Milestones!$AC$189&amp;";  ","")&amp;IF(AND(EDATE($D67,Milestones!$AA$190)&lt;=AsOfDate,IF($R67=0,$X67,IF(AND($T67&lt;&gt;"",EDATE($D67,Milestones!$AA$190)&gt;=$T67),$W67,IF(AND($S67&lt;&gt;"",EDATE($D67,Milestones!$AA$190)&gt;=$S67),$V67,$U67)))=Milestones!$AB$190),UPPER(TEXT(EDATE($D67,Milestones!$AA$190),"dd mmm yy"))&amp;" "&amp;Milestones!$AB$190&amp;" "&amp;Milestones!$AC$190&amp;";  ","")&amp;IF(AND(EDATE($D67,Milestones!$AA$191)&lt;=AsOfDate,IF($R67=0,$X67,IF(AND($T67&lt;&gt;"",EDATE($D67,Milestones!$AA$191)&gt;=$T67),$W67,IF(AND($S67&lt;&gt;"",EDATE($D67,Milestones!$AA$191)&gt;=$S67),$V67,$U67)))=Milestones!$AB$191),UPPER(TEXT(EDATE($D67,Milestones!$AA$191),"dd mmm yy"))&amp;" "&amp;Milestones!$AB$191&amp;" "&amp;Milestones!$AC$191&amp;";  ","")&amp;IF(AND(EDATE($D67,Milestones!$AA$192)&lt;=AsOfDate,IF($R67=0,$X67,IF(AND($T67&lt;&gt;"",EDATE($D67,Milestones!$AA$192)&gt;=$T67),$W67,IF(AND($S67&lt;&gt;"",EDATE($D67,Milestones!$AA$192)&gt;=$S67),$V67,$U67)))=Milestones!$AB$192),UPPER(TEXT(EDATE($D67,Milestones!$AA$192),"dd mmm yy"))&amp;" "&amp;Milestones!$AB$192&amp;" "&amp;Milestones!$AC$192&amp;";  ","")&amp;IF(AND(EDATE($D67,Milestones!$AA$193)&lt;=AsOfDate,IF($R67=0,$X67,IF(AND($T67&lt;&gt;"",EDATE($D67,Milestones!$AA$193)&gt;=$T67),$W67,IF(AND($S67&lt;&gt;"",EDATE($D67,Milestones!$AA$193)&gt;=$S67),$V67,$U67)))=Milestones!$AB$193),UPPER(TEXT(EDATE($D67,Milestones!$AA$193),"dd mmm yy"))&amp;" "&amp;Milestones!$AB$193&amp;" "&amp;Milestones!$AC$193&amp;";  ","")&amp;IF(AND(EDATE($D67,Milestones!$AA$194)&lt;=AsOfDate,IF($R67=0,$X67,IF(AND($T67&lt;&gt;"",EDATE($D67,Milestones!$AA$194)&gt;=$T67),$W67,IF(AND($S67&lt;&gt;"",EDATE($D67,Milestones!$AA$194)&gt;=$S67),$V67,$U67)))=Milestones!$AB$194),UPPER(TEXT(EDATE($D67,Milestones!$AA$194),"dd mmm yy"))&amp;" "&amp;Milestones!$AB$194&amp;" "&amp;Milestones!$AC$194&amp;";  ","")&amp;IF(AND(EDATE($D67,Milestones!$AA$195)&lt;=AsOfDate,IF($R67=0,$X67,IF(AND($T67&lt;&gt;"",EDATE($D67,Milestones!$AA$195)&gt;=$T67),$W67,IF(AND($S67&lt;&gt;"",EDATE($D67,Milestones!$AA$195)&gt;=$S67),$V67,$U67)))=Milestones!$AB$195),UPPER(TEXT(EDATE($D67,Milestones!$AA$195),"dd mmm yy"))&amp;" "&amp;Milestones!$AB$195&amp;" "&amp;Milestones!$AC$195&amp;";  ","")&amp;IF(AND(EDATE($D67,Milestones!$AA$196)&lt;=AsOfDate,IF($R67=0,$X67,IF(AND($T67&lt;&gt;"",EDATE($D67,Milestones!$AA$196)&gt;=$T67),$W67,IF(AND($S67&lt;&gt;"",EDATE($D67,Milestones!$AA$196)&gt;=$S67),$V67,$U67)))=Milestones!$AB$196),UPPER(TEXT(EDATE($D67,Milestones!$AA$196),"dd mmm yy"))&amp;" "&amp;Milestones!$AB$196&amp;" "&amp;Milestones!$AC$196&amp;";  ","")&amp;IF(AND(EDATE($D67,Milestones!$AA$197)&lt;=AsOfDate,IF($R67=0,$X67,IF(AND($T67&lt;&gt;"",EDATE($D67,Milestones!$AA$197)&gt;=$T67),$W67,IF(AND($S67&lt;&gt;"",EDATE($D67,Milestones!$AA$197)&gt;=$S67),$V67,$U67)))=Milestones!$AB$197),UPPER(TEXT(EDATE($D67,Milestones!$AA$197),"dd mmm yy"))&amp;" "&amp;Milestones!$AB$197&amp;" "&amp;Milestones!$AC$197&amp;";  ","")&amp;IF(AND(EDATE($D67,Milestones!$AA$198)&lt;=AsOfDate,IF($R67=0,$X67,IF(AND($T67&lt;&gt;"",EDATE($D67,Milestones!$AA$198)&gt;=$T67),$W67,IF(AND($S67&lt;&gt;"",EDATE($D67,Milestones!$AA$198)&gt;=$S67),$V67,$U67)))=Milestones!$AB$198),UPPER(TEXT(EDATE($D67,Milestones!$AA$198),"dd mmm yy"))&amp;" "&amp;Milestones!$AB$198&amp;" "&amp;Milestones!$AC$198&amp;";  ","")&amp;IF(AND(EDATE($D67,Milestones!$AA$199)&lt;=AsOfDate,IF($R67=0,$X67,IF(AND($T67&lt;&gt;"",EDATE($D67,Milestones!$AA$199)&gt;=$T67),$W67,IF(AND($S67&lt;&gt;"",EDATE($D67,Milestones!$AA$199)&gt;=$S67),$V67,$U67)))=Milestones!$AB$199),UPPER(TEXT(EDATE($D67,Milestones!$AA$199),"dd mmm yy"))&amp;" "&amp;Milestones!$AB$199&amp;" "&amp;Milestones!$AC$199&amp;";  ",""))</f>
        <v/>
      </c>
      <c r="R67" s="0" t="str">
        <f aca="false">IF(Staff!$A67="","",Staff!$AI67)</f>
        <v/>
      </c>
      <c r="S67" s="0" t="str">
        <f aca="false">IF(Staff!$A67="","",Staff!$AK67)</f>
        <v/>
      </c>
      <c r="T67" s="0" t="str">
        <f aca="false">IF(Staff!$A67="","",Staff!$AL67)</f>
        <v/>
      </c>
      <c r="U67" s="0" t="str">
        <f aca="false">IF(Staff!$A67="","",Staff!$AP67)</f>
        <v/>
      </c>
      <c r="V67" s="0" t="str">
        <f aca="false">IF(Staff!$A67="","",Staff!$AQ67)</f>
        <v/>
      </c>
      <c r="W67" s="0" t="str">
        <f aca="false">IF(Staff!$A67="","",Staff!$AR67)</f>
        <v/>
      </c>
      <c r="X67" s="0" t="str">
        <f aca="false">IF(Staff!$A67="","",Staff!$AS67)</f>
        <v/>
      </c>
    </row>
    <row r="68" customFormat="false" ht="15" hidden="false" customHeight="false" outlineLevel="0" collapsed="false">
      <c r="A68" s="14" t="str">
        <f aca="false">IF(Staff!$A68="","",Staff!$A68)</f>
        <v/>
      </c>
      <c r="B68" s="14" t="str">
        <f aca="false">IF(Staff!$A68="","",Staff!$B68)</f>
        <v/>
      </c>
      <c r="C68" s="14" t="str">
        <f aca="false">IF(Staff!$A68="","",Staff!$C68)</f>
        <v/>
      </c>
      <c r="D68" s="12" t="str">
        <f aca="false">IF(Staff!$A68="","",Staff!$AH68)</f>
        <v/>
      </c>
      <c r="E68" s="14" t="str">
        <f aca="false">IF(Staff!$A68="","",Staff!$O68)</f>
        <v/>
      </c>
      <c r="F68" s="14" t="str">
        <f aca="false">IF(E68="","",E68*HoursPerDay)</f>
        <v/>
      </c>
      <c r="G68" s="14" t="str">
        <f aca="false">IF(Staff!$A68="","",Staff!$AE68)</f>
        <v/>
      </c>
      <c r="H68" s="26" t="str">
        <f aca="false">IF($A68="","",I68&amp;J68&amp;K68&amp;L68&amp;M68&amp;N68&amp;O68&amp;P68&amp;Q68)</f>
        <v/>
      </c>
      <c r="I68" s="0" t="str">
        <f aca="false">IF(OR($A68="",$D68=""),"",IF(AND(EDATE($D68,Milestones!$AA$20)&lt;=AsOfDate,IF($R68=0,$X68,IF(AND($T68&lt;&gt;"",EDATE($D68,Milestones!$AA$20)&gt;=$T68),$W68,IF(AND($S68&lt;&gt;"",EDATE($D68,Milestones!$AA$20)&gt;=$S68),$V68,$U68)))=Milestones!$AB$20),UPPER(TEXT(EDATE($D68,Milestones!$AA$20),"dd mmm yy"))&amp;" "&amp;Milestones!$AB$20&amp;" "&amp;Milestones!$AC$20&amp;";  ","")&amp;IF(AND(EDATE($D68,Milestones!$AA$21)&lt;=AsOfDate,IF($R68=0,$X68,IF(AND($T68&lt;&gt;"",EDATE($D68,Milestones!$AA$21)&gt;=$T68),$W68,IF(AND($S68&lt;&gt;"",EDATE($D68,Milestones!$AA$21)&gt;=$S68),$V68,$U68)))=Milestones!$AB$21),UPPER(TEXT(EDATE($D68,Milestones!$AA$21),"dd mmm yy"))&amp;" "&amp;Milestones!$AB$21&amp;" "&amp;Milestones!$AC$21&amp;";  ","")&amp;IF(AND(EDATE($D68,Milestones!$AA$22)&lt;=AsOfDate,IF($R68=0,$X68,IF(AND($T68&lt;&gt;"",EDATE($D68,Milestones!$AA$22)&gt;=$T68),$W68,IF(AND($S68&lt;&gt;"",EDATE($D68,Milestones!$AA$22)&gt;=$S68),$V68,$U68)))=Milestones!$AB$22),UPPER(TEXT(EDATE($D68,Milestones!$AA$22),"dd mmm yy"))&amp;" "&amp;Milestones!$AB$22&amp;" "&amp;Milestones!$AC$22&amp;";  ","")&amp;IF(AND(EDATE($D68,Milestones!$AA$23)&lt;=AsOfDate,IF($R68=0,$X68,IF(AND($T68&lt;&gt;"",EDATE($D68,Milestones!$AA$23)&gt;=$T68),$W68,IF(AND($S68&lt;&gt;"",EDATE($D68,Milestones!$AA$23)&gt;=$S68),$V68,$U68)))=Milestones!$AB$23),UPPER(TEXT(EDATE($D68,Milestones!$AA$23),"dd mmm yy"))&amp;" "&amp;Milestones!$AB$23&amp;" "&amp;Milestones!$AC$23&amp;";  ","")&amp;IF(AND(EDATE($D68,Milestones!$AA$24)&lt;=AsOfDate,IF($R68=0,$X68,IF(AND($T68&lt;&gt;"",EDATE($D68,Milestones!$AA$24)&gt;=$T68),$W68,IF(AND($S68&lt;&gt;"",EDATE($D68,Milestones!$AA$24)&gt;=$S68),$V68,$U68)))=Milestones!$AB$24),UPPER(TEXT(EDATE($D68,Milestones!$AA$24),"dd mmm yy"))&amp;" "&amp;Milestones!$AB$24&amp;" "&amp;Milestones!$AC$24&amp;";  ","")&amp;IF(AND(EDATE($D68,Milestones!$AA$25)&lt;=AsOfDate,IF($R68=0,$X68,IF(AND($T68&lt;&gt;"",EDATE($D68,Milestones!$AA$25)&gt;=$T68),$W68,IF(AND($S68&lt;&gt;"",EDATE($D68,Milestones!$AA$25)&gt;=$S68),$V68,$U68)))=Milestones!$AB$25),UPPER(TEXT(EDATE($D68,Milestones!$AA$25),"dd mmm yy"))&amp;" "&amp;Milestones!$AB$25&amp;" "&amp;Milestones!$AC$25&amp;";  ","")&amp;IF(AND(EDATE($D68,Milestones!$AA$26)&lt;=AsOfDate,IF($R68=0,$X68,IF(AND($T68&lt;&gt;"",EDATE($D68,Milestones!$AA$26)&gt;=$T68),$W68,IF(AND($S68&lt;&gt;"",EDATE($D68,Milestones!$AA$26)&gt;=$S68),$V68,$U68)))=Milestones!$AB$26),UPPER(TEXT(EDATE($D68,Milestones!$AA$26),"dd mmm yy"))&amp;" "&amp;Milestones!$AB$26&amp;" "&amp;Milestones!$AC$26&amp;";  ","")&amp;IF(AND(EDATE($D68,Milestones!$AA$27)&lt;=AsOfDate,IF($R68=0,$X68,IF(AND($T68&lt;&gt;"",EDATE($D68,Milestones!$AA$27)&gt;=$T68),$W68,IF(AND($S68&lt;&gt;"",EDATE($D68,Milestones!$AA$27)&gt;=$S68),$V68,$U68)))=Milestones!$AB$27),UPPER(TEXT(EDATE($D68,Milestones!$AA$27),"dd mmm yy"))&amp;" "&amp;Milestones!$AB$27&amp;" "&amp;Milestones!$AC$27&amp;";  ","")&amp;IF(AND(EDATE($D68,Milestones!$AA$28)&lt;=AsOfDate,IF($R68=0,$X68,IF(AND($T68&lt;&gt;"",EDATE($D68,Milestones!$AA$28)&gt;=$T68),$W68,IF(AND($S68&lt;&gt;"",EDATE($D68,Milestones!$AA$28)&gt;=$S68),$V68,$U68)))=Milestones!$AB$28),UPPER(TEXT(EDATE($D68,Milestones!$AA$28),"dd mmm yy"))&amp;" "&amp;Milestones!$AB$28&amp;" "&amp;Milestones!$AC$28&amp;";  ","")&amp;IF(AND(EDATE($D68,Milestones!$AA$29)&lt;=AsOfDate,IF($R68=0,$X68,IF(AND($T68&lt;&gt;"",EDATE($D68,Milestones!$AA$29)&gt;=$T68),$W68,IF(AND($S68&lt;&gt;"",EDATE($D68,Milestones!$AA$29)&gt;=$S68),$V68,$U68)))=Milestones!$AB$29),UPPER(TEXT(EDATE($D68,Milestones!$AA$29),"dd mmm yy"))&amp;" "&amp;Milestones!$AB$29&amp;" "&amp;Milestones!$AC$29&amp;";  ","")&amp;IF(AND(EDATE($D68,Milestones!$AA$30)&lt;=AsOfDate,IF($R68=0,$X68,IF(AND($T68&lt;&gt;"",EDATE($D68,Milestones!$AA$30)&gt;=$T68),$W68,IF(AND($S68&lt;&gt;"",EDATE($D68,Milestones!$AA$30)&gt;=$S68),$V68,$U68)))=Milestones!$AB$30),UPPER(TEXT(EDATE($D68,Milestones!$AA$30),"dd mmm yy"))&amp;" "&amp;Milestones!$AB$30&amp;" "&amp;Milestones!$AC$30&amp;";  ","")&amp;IF(AND(EDATE($D68,Milestones!$AA$31)&lt;=AsOfDate,IF($R68=0,$X68,IF(AND($T68&lt;&gt;"",EDATE($D68,Milestones!$AA$31)&gt;=$T68),$W68,IF(AND($S68&lt;&gt;"",EDATE($D68,Milestones!$AA$31)&gt;=$S68),$V68,$U68)))=Milestones!$AB$31),UPPER(TEXT(EDATE($D68,Milestones!$AA$31),"dd mmm yy"))&amp;" "&amp;Milestones!$AB$31&amp;" "&amp;Milestones!$AC$31&amp;";  ","")&amp;IF(AND(EDATE($D68,Milestones!$AA$32)&lt;=AsOfDate,IF($R68=0,$X68,IF(AND($T68&lt;&gt;"",EDATE($D68,Milestones!$AA$32)&gt;=$T68),$W68,IF(AND($S68&lt;&gt;"",EDATE($D68,Milestones!$AA$32)&gt;=$S68),$V68,$U68)))=Milestones!$AB$32),UPPER(TEXT(EDATE($D68,Milestones!$AA$32),"dd mmm yy"))&amp;" "&amp;Milestones!$AB$32&amp;" "&amp;Milestones!$AC$32&amp;";  ","")&amp;IF(AND(EDATE($D68,Milestones!$AA$33)&lt;=AsOfDate,IF($R68=0,$X68,IF(AND($T68&lt;&gt;"",EDATE($D68,Milestones!$AA$33)&gt;=$T68),$W68,IF(AND($S68&lt;&gt;"",EDATE($D68,Milestones!$AA$33)&gt;=$S68),$V68,$U68)))=Milestones!$AB$33),UPPER(TEXT(EDATE($D68,Milestones!$AA$33),"dd mmm yy"))&amp;" "&amp;Milestones!$AB$33&amp;" "&amp;Milestones!$AC$33&amp;";  ","")&amp;IF(AND(EDATE($D68,Milestones!$AA$34)&lt;=AsOfDate,IF($R68=0,$X68,IF(AND($T68&lt;&gt;"",EDATE($D68,Milestones!$AA$34)&gt;=$T68),$W68,IF(AND($S68&lt;&gt;"",EDATE($D68,Milestones!$AA$34)&gt;=$S68),$V68,$U68)))=Milestones!$AB$34),UPPER(TEXT(EDATE($D68,Milestones!$AA$34),"dd mmm yy"))&amp;" "&amp;Milestones!$AB$34&amp;" "&amp;Milestones!$AC$34&amp;";  ","")&amp;IF(AND(EDATE($D68,Milestones!$AA$35)&lt;=AsOfDate,IF($R68=0,$X68,IF(AND($T68&lt;&gt;"",EDATE($D68,Milestones!$AA$35)&gt;=$T68),$W68,IF(AND($S68&lt;&gt;"",EDATE($D68,Milestones!$AA$35)&gt;=$S68),$V68,$U68)))=Milestones!$AB$35),UPPER(TEXT(EDATE($D68,Milestones!$AA$35),"dd mmm yy"))&amp;" "&amp;Milestones!$AB$35&amp;" "&amp;Milestones!$AC$35&amp;";  ","")&amp;IF(AND(EDATE($D68,Milestones!$AA$36)&lt;=AsOfDate,IF($R68=0,$X68,IF(AND($T68&lt;&gt;"",EDATE($D68,Milestones!$AA$36)&gt;=$T68),$W68,IF(AND($S68&lt;&gt;"",EDATE($D68,Milestones!$AA$36)&gt;=$S68),$V68,$U68)))=Milestones!$AB$36),UPPER(TEXT(EDATE($D68,Milestones!$AA$36),"dd mmm yy"))&amp;" "&amp;Milestones!$AB$36&amp;" "&amp;Milestones!$AC$36&amp;";  ","")&amp;IF(AND(EDATE($D68,Milestones!$AA$37)&lt;=AsOfDate,IF($R68=0,$X68,IF(AND($T68&lt;&gt;"",EDATE($D68,Milestones!$AA$37)&gt;=$T68),$W68,IF(AND($S68&lt;&gt;"",EDATE($D68,Milestones!$AA$37)&gt;=$S68),$V68,$U68)))=Milestones!$AB$37),UPPER(TEXT(EDATE($D68,Milestones!$AA$37),"dd mmm yy"))&amp;" "&amp;Milestones!$AB$37&amp;" "&amp;Milestones!$AC$37&amp;";  ","")&amp;IF(AND(EDATE($D68,Milestones!$AA$38)&lt;=AsOfDate,IF($R68=0,$X68,IF(AND($T68&lt;&gt;"",EDATE($D68,Milestones!$AA$38)&gt;=$T68),$W68,IF(AND($S68&lt;&gt;"",EDATE($D68,Milestones!$AA$38)&gt;=$S68),$V68,$U68)))=Milestones!$AB$38),UPPER(TEXT(EDATE($D68,Milestones!$AA$38),"dd mmm yy"))&amp;" "&amp;Milestones!$AB$38&amp;" "&amp;Milestones!$AC$38&amp;";  ","")&amp;IF(AND(EDATE($D68,Milestones!$AA$39)&lt;=AsOfDate,IF($R68=0,$X68,IF(AND($T68&lt;&gt;"",EDATE($D68,Milestones!$AA$39)&gt;=$T68),$W68,IF(AND($S68&lt;&gt;"",EDATE($D68,Milestones!$AA$39)&gt;=$S68),$V68,$U68)))=Milestones!$AB$39),UPPER(TEXT(EDATE($D68,Milestones!$AA$39),"dd mmm yy"))&amp;" "&amp;Milestones!$AB$39&amp;" "&amp;Milestones!$AC$39&amp;";  ",""))</f>
        <v/>
      </c>
      <c r="J68" s="0" t="str">
        <f aca="false">IF(OR($A68="",$D68=""),"",IF(AND(EDATE($D68,Milestones!$AA$40)&lt;=AsOfDate,IF($R68=0,$X68,IF(AND($T68&lt;&gt;"",EDATE($D68,Milestones!$AA$40)&gt;=$T68),$W68,IF(AND($S68&lt;&gt;"",EDATE($D68,Milestones!$AA$40)&gt;=$S68),$V68,$U68)))=Milestones!$AB$40),UPPER(TEXT(EDATE($D68,Milestones!$AA$40),"dd mmm yy"))&amp;" "&amp;Milestones!$AB$40&amp;" "&amp;Milestones!$AC$40&amp;";  ","")&amp;IF(AND(EDATE($D68,Milestones!$AA$41)&lt;=AsOfDate,IF($R68=0,$X68,IF(AND($T68&lt;&gt;"",EDATE($D68,Milestones!$AA$41)&gt;=$T68),$W68,IF(AND($S68&lt;&gt;"",EDATE($D68,Milestones!$AA$41)&gt;=$S68),$V68,$U68)))=Milestones!$AB$41),UPPER(TEXT(EDATE($D68,Milestones!$AA$41),"dd mmm yy"))&amp;" "&amp;Milestones!$AB$41&amp;" "&amp;Milestones!$AC$41&amp;";  ","")&amp;IF(AND(EDATE($D68,Milestones!$AA$42)&lt;=AsOfDate,IF($R68=0,$X68,IF(AND($T68&lt;&gt;"",EDATE($D68,Milestones!$AA$42)&gt;=$T68),$W68,IF(AND($S68&lt;&gt;"",EDATE($D68,Milestones!$AA$42)&gt;=$S68),$V68,$U68)))=Milestones!$AB$42),UPPER(TEXT(EDATE($D68,Milestones!$AA$42),"dd mmm yy"))&amp;" "&amp;Milestones!$AB$42&amp;" "&amp;Milestones!$AC$42&amp;";  ","")&amp;IF(AND(EDATE($D68,Milestones!$AA$43)&lt;=AsOfDate,IF($R68=0,$X68,IF(AND($T68&lt;&gt;"",EDATE($D68,Milestones!$AA$43)&gt;=$T68),$W68,IF(AND($S68&lt;&gt;"",EDATE($D68,Milestones!$AA$43)&gt;=$S68),$V68,$U68)))=Milestones!$AB$43),UPPER(TEXT(EDATE($D68,Milestones!$AA$43),"dd mmm yy"))&amp;" "&amp;Milestones!$AB$43&amp;" "&amp;Milestones!$AC$43&amp;";  ","")&amp;IF(AND(EDATE($D68,Milestones!$AA$44)&lt;=AsOfDate,IF($R68=0,$X68,IF(AND($T68&lt;&gt;"",EDATE($D68,Milestones!$AA$44)&gt;=$T68),$W68,IF(AND($S68&lt;&gt;"",EDATE($D68,Milestones!$AA$44)&gt;=$S68),$V68,$U68)))=Milestones!$AB$44),UPPER(TEXT(EDATE($D68,Milestones!$AA$44),"dd mmm yy"))&amp;" "&amp;Milestones!$AB$44&amp;" "&amp;Milestones!$AC$44&amp;";  ","")&amp;IF(AND(EDATE($D68,Milestones!$AA$45)&lt;=AsOfDate,IF($R68=0,$X68,IF(AND($T68&lt;&gt;"",EDATE($D68,Milestones!$AA$45)&gt;=$T68),$W68,IF(AND($S68&lt;&gt;"",EDATE($D68,Milestones!$AA$45)&gt;=$S68),$V68,$U68)))=Milestones!$AB$45),UPPER(TEXT(EDATE($D68,Milestones!$AA$45),"dd mmm yy"))&amp;" "&amp;Milestones!$AB$45&amp;" "&amp;Milestones!$AC$45&amp;";  ","")&amp;IF(AND(EDATE($D68,Milestones!$AA$46)&lt;=AsOfDate,IF($R68=0,$X68,IF(AND($T68&lt;&gt;"",EDATE($D68,Milestones!$AA$46)&gt;=$T68),$W68,IF(AND($S68&lt;&gt;"",EDATE($D68,Milestones!$AA$46)&gt;=$S68),$V68,$U68)))=Milestones!$AB$46),UPPER(TEXT(EDATE($D68,Milestones!$AA$46),"dd mmm yy"))&amp;" "&amp;Milestones!$AB$46&amp;" "&amp;Milestones!$AC$46&amp;";  ","")&amp;IF(AND(EDATE($D68,Milestones!$AA$47)&lt;=AsOfDate,IF($R68=0,$X68,IF(AND($T68&lt;&gt;"",EDATE($D68,Milestones!$AA$47)&gt;=$T68),$W68,IF(AND($S68&lt;&gt;"",EDATE($D68,Milestones!$AA$47)&gt;=$S68),$V68,$U68)))=Milestones!$AB$47),UPPER(TEXT(EDATE($D68,Milestones!$AA$47),"dd mmm yy"))&amp;" "&amp;Milestones!$AB$47&amp;" "&amp;Milestones!$AC$47&amp;";  ","")&amp;IF(AND(EDATE($D68,Milestones!$AA$48)&lt;=AsOfDate,IF($R68=0,$X68,IF(AND($T68&lt;&gt;"",EDATE($D68,Milestones!$AA$48)&gt;=$T68),$W68,IF(AND($S68&lt;&gt;"",EDATE($D68,Milestones!$AA$48)&gt;=$S68),$V68,$U68)))=Milestones!$AB$48),UPPER(TEXT(EDATE($D68,Milestones!$AA$48),"dd mmm yy"))&amp;" "&amp;Milestones!$AB$48&amp;" "&amp;Milestones!$AC$48&amp;";  ","")&amp;IF(AND(EDATE($D68,Milestones!$AA$49)&lt;=AsOfDate,IF($R68=0,$X68,IF(AND($T68&lt;&gt;"",EDATE($D68,Milestones!$AA$49)&gt;=$T68),$W68,IF(AND($S68&lt;&gt;"",EDATE($D68,Milestones!$AA$49)&gt;=$S68),$V68,$U68)))=Milestones!$AB$49),UPPER(TEXT(EDATE($D68,Milestones!$AA$49),"dd mmm yy"))&amp;" "&amp;Milestones!$AB$49&amp;" "&amp;Milestones!$AC$49&amp;";  ","")&amp;IF(AND(EDATE($D68,Milestones!$AA$50)&lt;=AsOfDate,IF($R68=0,$X68,IF(AND($T68&lt;&gt;"",EDATE($D68,Milestones!$AA$50)&gt;=$T68),$W68,IF(AND($S68&lt;&gt;"",EDATE($D68,Milestones!$AA$50)&gt;=$S68),$V68,$U68)))=Milestones!$AB$50),UPPER(TEXT(EDATE($D68,Milestones!$AA$50),"dd mmm yy"))&amp;" "&amp;Milestones!$AB$50&amp;" "&amp;Milestones!$AC$50&amp;";  ","")&amp;IF(AND(EDATE($D68,Milestones!$AA$51)&lt;=AsOfDate,IF($R68=0,$X68,IF(AND($T68&lt;&gt;"",EDATE($D68,Milestones!$AA$51)&gt;=$T68),$W68,IF(AND($S68&lt;&gt;"",EDATE($D68,Milestones!$AA$51)&gt;=$S68),$V68,$U68)))=Milestones!$AB$51),UPPER(TEXT(EDATE($D68,Milestones!$AA$51),"dd mmm yy"))&amp;" "&amp;Milestones!$AB$51&amp;" "&amp;Milestones!$AC$51&amp;";  ","")&amp;IF(AND(EDATE($D68,Milestones!$AA$52)&lt;=AsOfDate,IF($R68=0,$X68,IF(AND($T68&lt;&gt;"",EDATE($D68,Milestones!$AA$52)&gt;=$T68),$W68,IF(AND($S68&lt;&gt;"",EDATE($D68,Milestones!$AA$52)&gt;=$S68),$V68,$U68)))=Milestones!$AB$52),UPPER(TEXT(EDATE($D68,Milestones!$AA$52),"dd mmm yy"))&amp;" "&amp;Milestones!$AB$52&amp;" "&amp;Milestones!$AC$52&amp;";  ","")&amp;IF(AND(EDATE($D68,Milestones!$AA$53)&lt;=AsOfDate,IF($R68=0,$X68,IF(AND($T68&lt;&gt;"",EDATE($D68,Milestones!$AA$53)&gt;=$T68),$W68,IF(AND($S68&lt;&gt;"",EDATE($D68,Milestones!$AA$53)&gt;=$S68),$V68,$U68)))=Milestones!$AB$53),UPPER(TEXT(EDATE($D68,Milestones!$AA$53),"dd mmm yy"))&amp;" "&amp;Milestones!$AB$53&amp;" "&amp;Milestones!$AC$53&amp;";  ","")&amp;IF(AND(EDATE($D68,Milestones!$AA$54)&lt;=AsOfDate,IF($R68=0,$X68,IF(AND($T68&lt;&gt;"",EDATE($D68,Milestones!$AA$54)&gt;=$T68),$W68,IF(AND($S68&lt;&gt;"",EDATE($D68,Milestones!$AA$54)&gt;=$S68),$V68,$U68)))=Milestones!$AB$54),UPPER(TEXT(EDATE($D68,Milestones!$AA$54),"dd mmm yy"))&amp;" "&amp;Milestones!$AB$54&amp;" "&amp;Milestones!$AC$54&amp;";  ","")&amp;IF(AND(EDATE($D68,Milestones!$AA$55)&lt;=AsOfDate,IF($R68=0,$X68,IF(AND($T68&lt;&gt;"",EDATE($D68,Milestones!$AA$55)&gt;=$T68),$W68,IF(AND($S68&lt;&gt;"",EDATE($D68,Milestones!$AA$55)&gt;=$S68),$V68,$U68)))=Milestones!$AB$55),UPPER(TEXT(EDATE($D68,Milestones!$AA$55),"dd mmm yy"))&amp;" "&amp;Milestones!$AB$55&amp;" "&amp;Milestones!$AC$55&amp;";  ","")&amp;IF(AND(EDATE($D68,Milestones!$AA$56)&lt;=AsOfDate,IF($R68=0,$X68,IF(AND($T68&lt;&gt;"",EDATE($D68,Milestones!$AA$56)&gt;=$T68),$W68,IF(AND($S68&lt;&gt;"",EDATE($D68,Milestones!$AA$56)&gt;=$S68),$V68,$U68)))=Milestones!$AB$56),UPPER(TEXT(EDATE($D68,Milestones!$AA$56),"dd mmm yy"))&amp;" "&amp;Milestones!$AB$56&amp;" "&amp;Milestones!$AC$56&amp;";  ","")&amp;IF(AND(EDATE($D68,Milestones!$AA$57)&lt;=AsOfDate,IF($R68=0,$X68,IF(AND($T68&lt;&gt;"",EDATE($D68,Milestones!$AA$57)&gt;=$T68),$W68,IF(AND($S68&lt;&gt;"",EDATE($D68,Milestones!$AA$57)&gt;=$S68),$V68,$U68)))=Milestones!$AB$57),UPPER(TEXT(EDATE($D68,Milestones!$AA$57),"dd mmm yy"))&amp;" "&amp;Milestones!$AB$57&amp;" "&amp;Milestones!$AC$57&amp;";  ","")&amp;IF(AND(EDATE($D68,Milestones!$AA$58)&lt;=AsOfDate,IF($R68=0,$X68,IF(AND($T68&lt;&gt;"",EDATE($D68,Milestones!$AA$58)&gt;=$T68),$W68,IF(AND($S68&lt;&gt;"",EDATE($D68,Milestones!$AA$58)&gt;=$S68),$V68,$U68)))=Milestones!$AB$58),UPPER(TEXT(EDATE($D68,Milestones!$AA$58),"dd mmm yy"))&amp;" "&amp;Milestones!$AB$58&amp;" "&amp;Milestones!$AC$58&amp;";  ","")&amp;IF(AND(EDATE($D68,Milestones!$AA$59)&lt;=AsOfDate,IF($R68=0,$X68,IF(AND($T68&lt;&gt;"",EDATE($D68,Milestones!$AA$59)&gt;=$T68),$W68,IF(AND($S68&lt;&gt;"",EDATE($D68,Milestones!$AA$59)&gt;=$S68),$V68,$U68)))=Milestones!$AB$59),UPPER(TEXT(EDATE($D68,Milestones!$AA$59),"dd mmm yy"))&amp;" "&amp;Milestones!$AB$59&amp;" "&amp;Milestones!$AC$59&amp;";  ",""))</f>
        <v/>
      </c>
      <c r="K68" s="0" t="str">
        <f aca="false">IF(OR($A68="",$D68=""),"",IF(AND(EDATE($D68,Milestones!$AA$60)&lt;=AsOfDate,IF($R68=0,$X68,IF(AND($T68&lt;&gt;"",EDATE($D68,Milestones!$AA$60)&gt;=$T68),$W68,IF(AND($S68&lt;&gt;"",EDATE($D68,Milestones!$AA$60)&gt;=$S68),$V68,$U68)))=Milestones!$AB$60),UPPER(TEXT(EDATE($D68,Milestones!$AA$60),"dd mmm yy"))&amp;" "&amp;Milestones!$AB$60&amp;" "&amp;Milestones!$AC$60&amp;";  ","")&amp;IF(AND(EDATE($D68,Milestones!$AA$61)&lt;=AsOfDate,IF($R68=0,$X68,IF(AND($T68&lt;&gt;"",EDATE($D68,Milestones!$AA$61)&gt;=$T68),$W68,IF(AND($S68&lt;&gt;"",EDATE($D68,Milestones!$AA$61)&gt;=$S68),$V68,$U68)))=Milestones!$AB$61),UPPER(TEXT(EDATE($D68,Milestones!$AA$61),"dd mmm yy"))&amp;" "&amp;Milestones!$AB$61&amp;" "&amp;Milestones!$AC$61&amp;";  ","")&amp;IF(AND(EDATE($D68,Milestones!$AA$62)&lt;=AsOfDate,IF($R68=0,$X68,IF(AND($T68&lt;&gt;"",EDATE($D68,Milestones!$AA$62)&gt;=$T68),$W68,IF(AND($S68&lt;&gt;"",EDATE($D68,Milestones!$AA$62)&gt;=$S68),$V68,$U68)))=Milestones!$AB$62),UPPER(TEXT(EDATE($D68,Milestones!$AA$62),"dd mmm yy"))&amp;" "&amp;Milestones!$AB$62&amp;" "&amp;Milestones!$AC$62&amp;";  ","")&amp;IF(AND(EDATE($D68,Milestones!$AA$63)&lt;=AsOfDate,IF($R68=0,$X68,IF(AND($T68&lt;&gt;"",EDATE($D68,Milestones!$AA$63)&gt;=$T68),$W68,IF(AND($S68&lt;&gt;"",EDATE($D68,Milestones!$AA$63)&gt;=$S68),$V68,$U68)))=Milestones!$AB$63),UPPER(TEXT(EDATE($D68,Milestones!$AA$63),"dd mmm yy"))&amp;" "&amp;Milestones!$AB$63&amp;" "&amp;Milestones!$AC$63&amp;";  ","")&amp;IF(AND(EDATE($D68,Milestones!$AA$64)&lt;=AsOfDate,IF($R68=0,$X68,IF(AND($T68&lt;&gt;"",EDATE($D68,Milestones!$AA$64)&gt;=$T68),$W68,IF(AND($S68&lt;&gt;"",EDATE($D68,Milestones!$AA$64)&gt;=$S68),$V68,$U68)))=Milestones!$AB$64),UPPER(TEXT(EDATE($D68,Milestones!$AA$64),"dd mmm yy"))&amp;" "&amp;Milestones!$AB$64&amp;" "&amp;Milestones!$AC$64&amp;";  ","")&amp;IF(AND(EDATE($D68,Milestones!$AA$65)&lt;=AsOfDate,IF($R68=0,$X68,IF(AND($T68&lt;&gt;"",EDATE($D68,Milestones!$AA$65)&gt;=$T68),$W68,IF(AND($S68&lt;&gt;"",EDATE($D68,Milestones!$AA$65)&gt;=$S68),$V68,$U68)))=Milestones!$AB$65),UPPER(TEXT(EDATE($D68,Milestones!$AA$65),"dd mmm yy"))&amp;" "&amp;Milestones!$AB$65&amp;" "&amp;Milestones!$AC$65&amp;";  ","")&amp;IF(AND(EDATE($D68,Milestones!$AA$66)&lt;=AsOfDate,IF($R68=0,$X68,IF(AND($T68&lt;&gt;"",EDATE($D68,Milestones!$AA$66)&gt;=$T68),$W68,IF(AND($S68&lt;&gt;"",EDATE($D68,Milestones!$AA$66)&gt;=$S68),$V68,$U68)))=Milestones!$AB$66),UPPER(TEXT(EDATE($D68,Milestones!$AA$66),"dd mmm yy"))&amp;" "&amp;Milestones!$AB$66&amp;" "&amp;Milestones!$AC$66&amp;";  ","")&amp;IF(AND(EDATE($D68,Milestones!$AA$67)&lt;=AsOfDate,IF($R68=0,$X68,IF(AND($T68&lt;&gt;"",EDATE($D68,Milestones!$AA$67)&gt;=$T68),$W68,IF(AND($S68&lt;&gt;"",EDATE($D68,Milestones!$AA$67)&gt;=$S68),$V68,$U68)))=Milestones!$AB$67),UPPER(TEXT(EDATE($D68,Milestones!$AA$67),"dd mmm yy"))&amp;" "&amp;Milestones!$AB$67&amp;" "&amp;Milestones!$AC$67&amp;";  ","")&amp;IF(AND(EDATE($D68,Milestones!$AA$68)&lt;=AsOfDate,IF($R68=0,$X68,IF(AND($T68&lt;&gt;"",EDATE($D68,Milestones!$AA$68)&gt;=$T68),$W68,IF(AND($S68&lt;&gt;"",EDATE($D68,Milestones!$AA$68)&gt;=$S68),$V68,$U68)))=Milestones!$AB$68),UPPER(TEXT(EDATE($D68,Milestones!$AA$68),"dd mmm yy"))&amp;" "&amp;Milestones!$AB$68&amp;" "&amp;Milestones!$AC$68&amp;";  ","")&amp;IF(AND(EDATE($D68,Milestones!$AA$69)&lt;=AsOfDate,IF($R68=0,$X68,IF(AND($T68&lt;&gt;"",EDATE($D68,Milestones!$AA$69)&gt;=$T68),$W68,IF(AND($S68&lt;&gt;"",EDATE($D68,Milestones!$AA$69)&gt;=$S68),$V68,$U68)))=Milestones!$AB$69),UPPER(TEXT(EDATE($D68,Milestones!$AA$69),"dd mmm yy"))&amp;" "&amp;Milestones!$AB$69&amp;" "&amp;Milestones!$AC$69&amp;";  ","")&amp;IF(AND(EDATE($D68,Milestones!$AA$70)&lt;=AsOfDate,IF($R68=0,$X68,IF(AND($T68&lt;&gt;"",EDATE($D68,Milestones!$AA$70)&gt;=$T68),$W68,IF(AND($S68&lt;&gt;"",EDATE($D68,Milestones!$AA$70)&gt;=$S68),$V68,$U68)))=Milestones!$AB$70),UPPER(TEXT(EDATE($D68,Milestones!$AA$70),"dd mmm yy"))&amp;" "&amp;Milestones!$AB$70&amp;" "&amp;Milestones!$AC$70&amp;";  ","")&amp;IF(AND(EDATE($D68,Milestones!$AA$71)&lt;=AsOfDate,IF($R68=0,$X68,IF(AND($T68&lt;&gt;"",EDATE($D68,Milestones!$AA$71)&gt;=$T68),$W68,IF(AND($S68&lt;&gt;"",EDATE($D68,Milestones!$AA$71)&gt;=$S68),$V68,$U68)))=Milestones!$AB$71),UPPER(TEXT(EDATE($D68,Milestones!$AA$71),"dd mmm yy"))&amp;" "&amp;Milestones!$AB$71&amp;" "&amp;Milestones!$AC$71&amp;";  ","")&amp;IF(AND(EDATE($D68,Milestones!$AA$72)&lt;=AsOfDate,IF($R68=0,$X68,IF(AND($T68&lt;&gt;"",EDATE($D68,Milestones!$AA$72)&gt;=$T68),$W68,IF(AND($S68&lt;&gt;"",EDATE($D68,Milestones!$AA$72)&gt;=$S68),$V68,$U68)))=Milestones!$AB$72),UPPER(TEXT(EDATE($D68,Milestones!$AA$72),"dd mmm yy"))&amp;" "&amp;Milestones!$AB$72&amp;" "&amp;Milestones!$AC$72&amp;";  ","")&amp;IF(AND(EDATE($D68,Milestones!$AA$73)&lt;=AsOfDate,IF($R68=0,$X68,IF(AND($T68&lt;&gt;"",EDATE($D68,Milestones!$AA$73)&gt;=$T68),$W68,IF(AND($S68&lt;&gt;"",EDATE($D68,Milestones!$AA$73)&gt;=$S68),$V68,$U68)))=Milestones!$AB$73),UPPER(TEXT(EDATE($D68,Milestones!$AA$73),"dd mmm yy"))&amp;" "&amp;Milestones!$AB$73&amp;" "&amp;Milestones!$AC$73&amp;";  ","")&amp;IF(AND(EDATE($D68,Milestones!$AA$74)&lt;=AsOfDate,IF($R68=0,$X68,IF(AND($T68&lt;&gt;"",EDATE($D68,Milestones!$AA$74)&gt;=$T68),$W68,IF(AND($S68&lt;&gt;"",EDATE($D68,Milestones!$AA$74)&gt;=$S68),$V68,$U68)))=Milestones!$AB$74),UPPER(TEXT(EDATE($D68,Milestones!$AA$74),"dd mmm yy"))&amp;" "&amp;Milestones!$AB$74&amp;" "&amp;Milestones!$AC$74&amp;";  ","")&amp;IF(AND(EDATE($D68,Milestones!$AA$75)&lt;=AsOfDate,IF($R68=0,$X68,IF(AND($T68&lt;&gt;"",EDATE($D68,Milestones!$AA$75)&gt;=$T68),$W68,IF(AND($S68&lt;&gt;"",EDATE($D68,Milestones!$AA$75)&gt;=$S68),$V68,$U68)))=Milestones!$AB$75),UPPER(TEXT(EDATE($D68,Milestones!$AA$75),"dd mmm yy"))&amp;" "&amp;Milestones!$AB$75&amp;" "&amp;Milestones!$AC$75&amp;";  ","")&amp;IF(AND(EDATE($D68,Milestones!$AA$76)&lt;=AsOfDate,IF($R68=0,$X68,IF(AND($T68&lt;&gt;"",EDATE($D68,Milestones!$AA$76)&gt;=$T68),$W68,IF(AND($S68&lt;&gt;"",EDATE($D68,Milestones!$AA$76)&gt;=$S68),$V68,$U68)))=Milestones!$AB$76),UPPER(TEXT(EDATE($D68,Milestones!$AA$76),"dd mmm yy"))&amp;" "&amp;Milestones!$AB$76&amp;" "&amp;Milestones!$AC$76&amp;";  ","")&amp;IF(AND(EDATE($D68,Milestones!$AA$77)&lt;=AsOfDate,IF($R68=0,$X68,IF(AND($T68&lt;&gt;"",EDATE($D68,Milestones!$AA$77)&gt;=$T68),$W68,IF(AND($S68&lt;&gt;"",EDATE($D68,Milestones!$AA$77)&gt;=$S68),$V68,$U68)))=Milestones!$AB$77),UPPER(TEXT(EDATE($D68,Milestones!$AA$77),"dd mmm yy"))&amp;" "&amp;Milestones!$AB$77&amp;" "&amp;Milestones!$AC$77&amp;";  ","")&amp;IF(AND(EDATE($D68,Milestones!$AA$78)&lt;=AsOfDate,IF($R68=0,$X68,IF(AND($T68&lt;&gt;"",EDATE($D68,Milestones!$AA$78)&gt;=$T68),$W68,IF(AND($S68&lt;&gt;"",EDATE($D68,Milestones!$AA$78)&gt;=$S68),$V68,$U68)))=Milestones!$AB$78),UPPER(TEXT(EDATE($D68,Milestones!$AA$78),"dd mmm yy"))&amp;" "&amp;Milestones!$AB$78&amp;" "&amp;Milestones!$AC$78&amp;";  ","")&amp;IF(AND(EDATE($D68,Milestones!$AA$79)&lt;=AsOfDate,IF($R68=0,$X68,IF(AND($T68&lt;&gt;"",EDATE($D68,Milestones!$AA$79)&gt;=$T68),$W68,IF(AND($S68&lt;&gt;"",EDATE($D68,Milestones!$AA$79)&gt;=$S68),$V68,$U68)))=Milestones!$AB$79),UPPER(TEXT(EDATE($D68,Milestones!$AA$79),"dd mmm yy"))&amp;" "&amp;Milestones!$AB$79&amp;" "&amp;Milestones!$AC$79&amp;";  ",""))</f>
        <v/>
      </c>
      <c r="L68" s="0" t="str">
        <f aca="false">IF(OR($A68="",$D68=""),"",IF(AND(EDATE($D68,Milestones!$AA$80)&lt;=AsOfDate,IF($R68=0,$X68,IF(AND($T68&lt;&gt;"",EDATE($D68,Milestones!$AA$80)&gt;=$T68),$W68,IF(AND($S68&lt;&gt;"",EDATE($D68,Milestones!$AA$80)&gt;=$S68),$V68,$U68)))=Milestones!$AB$80),UPPER(TEXT(EDATE($D68,Milestones!$AA$80),"dd mmm yy"))&amp;" "&amp;Milestones!$AB$80&amp;" "&amp;Milestones!$AC$80&amp;";  ","")&amp;IF(AND(EDATE($D68,Milestones!$AA$81)&lt;=AsOfDate,IF($R68=0,$X68,IF(AND($T68&lt;&gt;"",EDATE($D68,Milestones!$AA$81)&gt;=$T68),$W68,IF(AND($S68&lt;&gt;"",EDATE($D68,Milestones!$AA$81)&gt;=$S68),$V68,$U68)))=Milestones!$AB$81),UPPER(TEXT(EDATE($D68,Milestones!$AA$81),"dd mmm yy"))&amp;" "&amp;Milestones!$AB$81&amp;" "&amp;Milestones!$AC$81&amp;";  ","")&amp;IF(AND(EDATE($D68,Milestones!$AA$82)&lt;=AsOfDate,IF($R68=0,$X68,IF(AND($T68&lt;&gt;"",EDATE($D68,Milestones!$AA$82)&gt;=$T68),$W68,IF(AND($S68&lt;&gt;"",EDATE($D68,Milestones!$AA$82)&gt;=$S68),$V68,$U68)))=Milestones!$AB$82),UPPER(TEXT(EDATE($D68,Milestones!$AA$82),"dd mmm yy"))&amp;" "&amp;Milestones!$AB$82&amp;" "&amp;Milestones!$AC$82&amp;";  ","")&amp;IF(AND(EDATE($D68,Milestones!$AA$83)&lt;=AsOfDate,IF($R68=0,$X68,IF(AND($T68&lt;&gt;"",EDATE($D68,Milestones!$AA$83)&gt;=$T68),$W68,IF(AND($S68&lt;&gt;"",EDATE($D68,Milestones!$AA$83)&gt;=$S68),$V68,$U68)))=Milestones!$AB$83),UPPER(TEXT(EDATE($D68,Milestones!$AA$83),"dd mmm yy"))&amp;" "&amp;Milestones!$AB$83&amp;" "&amp;Milestones!$AC$83&amp;";  ","")&amp;IF(AND(EDATE($D68,Milestones!$AA$84)&lt;=AsOfDate,IF($R68=0,$X68,IF(AND($T68&lt;&gt;"",EDATE($D68,Milestones!$AA$84)&gt;=$T68),$W68,IF(AND($S68&lt;&gt;"",EDATE($D68,Milestones!$AA$84)&gt;=$S68),$V68,$U68)))=Milestones!$AB$84),UPPER(TEXT(EDATE($D68,Milestones!$AA$84),"dd mmm yy"))&amp;" "&amp;Milestones!$AB$84&amp;" "&amp;Milestones!$AC$84&amp;";  ","")&amp;IF(AND(EDATE($D68,Milestones!$AA$85)&lt;=AsOfDate,IF($R68=0,$X68,IF(AND($T68&lt;&gt;"",EDATE($D68,Milestones!$AA$85)&gt;=$T68),$W68,IF(AND($S68&lt;&gt;"",EDATE($D68,Milestones!$AA$85)&gt;=$S68),$V68,$U68)))=Milestones!$AB$85),UPPER(TEXT(EDATE($D68,Milestones!$AA$85),"dd mmm yy"))&amp;" "&amp;Milestones!$AB$85&amp;" "&amp;Milestones!$AC$85&amp;";  ","")&amp;IF(AND(EDATE($D68,Milestones!$AA$86)&lt;=AsOfDate,IF($R68=0,$X68,IF(AND($T68&lt;&gt;"",EDATE($D68,Milestones!$AA$86)&gt;=$T68),$W68,IF(AND($S68&lt;&gt;"",EDATE($D68,Milestones!$AA$86)&gt;=$S68),$V68,$U68)))=Milestones!$AB$86),UPPER(TEXT(EDATE($D68,Milestones!$AA$86),"dd mmm yy"))&amp;" "&amp;Milestones!$AB$86&amp;" "&amp;Milestones!$AC$86&amp;";  ","")&amp;IF(AND(EDATE($D68,Milestones!$AA$87)&lt;=AsOfDate,IF($R68=0,$X68,IF(AND($T68&lt;&gt;"",EDATE($D68,Milestones!$AA$87)&gt;=$T68),$W68,IF(AND($S68&lt;&gt;"",EDATE($D68,Milestones!$AA$87)&gt;=$S68),$V68,$U68)))=Milestones!$AB$87),UPPER(TEXT(EDATE($D68,Milestones!$AA$87),"dd mmm yy"))&amp;" "&amp;Milestones!$AB$87&amp;" "&amp;Milestones!$AC$87&amp;";  ","")&amp;IF(AND(EDATE($D68,Milestones!$AA$88)&lt;=AsOfDate,IF($R68=0,$X68,IF(AND($T68&lt;&gt;"",EDATE($D68,Milestones!$AA$88)&gt;=$T68),$W68,IF(AND($S68&lt;&gt;"",EDATE($D68,Milestones!$AA$88)&gt;=$S68),$V68,$U68)))=Milestones!$AB$88),UPPER(TEXT(EDATE($D68,Milestones!$AA$88),"dd mmm yy"))&amp;" "&amp;Milestones!$AB$88&amp;" "&amp;Milestones!$AC$88&amp;";  ","")&amp;IF(AND(EDATE($D68,Milestones!$AA$89)&lt;=AsOfDate,IF($R68=0,$X68,IF(AND($T68&lt;&gt;"",EDATE($D68,Milestones!$AA$89)&gt;=$T68),$W68,IF(AND($S68&lt;&gt;"",EDATE($D68,Milestones!$AA$89)&gt;=$S68),$V68,$U68)))=Milestones!$AB$89),UPPER(TEXT(EDATE($D68,Milestones!$AA$89),"dd mmm yy"))&amp;" "&amp;Milestones!$AB$89&amp;" "&amp;Milestones!$AC$89&amp;";  ","")&amp;IF(AND(EDATE($D68,Milestones!$AA$90)&lt;=AsOfDate,IF($R68=0,$X68,IF(AND($T68&lt;&gt;"",EDATE($D68,Milestones!$AA$90)&gt;=$T68),$W68,IF(AND($S68&lt;&gt;"",EDATE($D68,Milestones!$AA$90)&gt;=$S68),$V68,$U68)))=Milestones!$AB$90),UPPER(TEXT(EDATE($D68,Milestones!$AA$90),"dd mmm yy"))&amp;" "&amp;Milestones!$AB$90&amp;" "&amp;Milestones!$AC$90&amp;";  ","")&amp;IF(AND(EDATE($D68,Milestones!$AA$91)&lt;=AsOfDate,IF($R68=0,$X68,IF(AND($T68&lt;&gt;"",EDATE($D68,Milestones!$AA$91)&gt;=$T68),$W68,IF(AND($S68&lt;&gt;"",EDATE($D68,Milestones!$AA$91)&gt;=$S68),$V68,$U68)))=Milestones!$AB$91),UPPER(TEXT(EDATE($D68,Milestones!$AA$91),"dd mmm yy"))&amp;" "&amp;Milestones!$AB$91&amp;" "&amp;Milestones!$AC$91&amp;";  ","")&amp;IF(AND(EDATE($D68,Milestones!$AA$92)&lt;=AsOfDate,IF($R68=0,$X68,IF(AND($T68&lt;&gt;"",EDATE($D68,Milestones!$AA$92)&gt;=$T68),$W68,IF(AND($S68&lt;&gt;"",EDATE($D68,Milestones!$AA$92)&gt;=$S68),$V68,$U68)))=Milestones!$AB$92),UPPER(TEXT(EDATE($D68,Milestones!$AA$92),"dd mmm yy"))&amp;" "&amp;Milestones!$AB$92&amp;" "&amp;Milestones!$AC$92&amp;";  ","")&amp;IF(AND(EDATE($D68,Milestones!$AA$93)&lt;=AsOfDate,IF($R68=0,$X68,IF(AND($T68&lt;&gt;"",EDATE($D68,Milestones!$AA$93)&gt;=$T68),$W68,IF(AND($S68&lt;&gt;"",EDATE($D68,Milestones!$AA$93)&gt;=$S68),$V68,$U68)))=Milestones!$AB$93),UPPER(TEXT(EDATE($D68,Milestones!$AA$93),"dd mmm yy"))&amp;" "&amp;Milestones!$AB$93&amp;" "&amp;Milestones!$AC$93&amp;";  ","")&amp;IF(AND(EDATE($D68,Milestones!$AA$94)&lt;=AsOfDate,IF($R68=0,$X68,IF(AND($T68&lt;&gt;"",EDATE($D68,Milestones!$AA$94)&gt;=$T68),$W68,IF(AND($S68&lt;&gt;"",EDATE($D68,Milestones!$AA$94)&gt;=$S68),$V68,$U68)))=Milestones!$AB$94),UPPER(TEXT(EDATE($D68,Milestones!$AA$94),"dd mmm yy"))&amp;" "&amp;Milestones!$AB$94&amp;" "&amp;Milestones!$AC$94&amp;";  ","")&amp;IF(AND(EDATE($D68,Milestones!$AA$95)&lt;=AsOfDate,IF($R68=0,$X68,IF(AND($T68&lt;&gt;"",EDATE($D68,Milestones!$AA$95)&gt;=$T68),$W68,IF(AND($S68&lt;&gt;"",EDATE($D68,Milestones!$AA$95)&gt;=$S68),$V68,$U68)))=Milestones!$AB$95),UPPER(TEXT(EDATE($D68,Milestones!$AA$95),"dd mmm yy"))&amp;" "&amp;Milestones!$AB$95&amp;" "&amp;Milestones!$AC$95&amp;";  ","")&amp;IF(AND(EDATE($D68,Milestones!$AA$96)&lt;=AsOfDate,IF($R68=0,$X68,IF(AND($T68&lt;&gt;"",EDATE($D68,Milestones!$AA$96)&gt;=$T68),$W68,IF(AND($S68&lt;&gt;"",EDATE($D68,Milestones!$AA$96)&gt;=$S68),$V68,$U68)))=Milestones!$AB$96),UPPER(TEXT(EDATE($D68,Milestones!$AA$96),"dd mmm yy"))&amp;" "&amp;Milestones!$AB$96&amp;" "&amp;Milestones!$AC$96&amp;";  ","")&amp;IF(AND(EDATE($D68,Milestones!$AA$97)&lt;=AsOfDate,IF($R68=0,$X68,IF(AND($T68&lt;&gt;"",EDATE($D68,Milestones!$AA$97)&gt;=$T68),$W68,IF(AND($S68&lt;&gt;"",EDATE($D68,Milestones!$AA$97)&gt;=$S68),$V68,$U68)))=Milestones!$AB$97),UPPER(TEXT(EDATE($D68,Milestones!$AA$97),"dd mmm yy"))&amp;" "&amp;Milestones!$AB$97&amp;" "&amp;Milestones!$AC$97&amp;";  ","")&amp;IF(AND(EDATE($D68,Milestones!$AA$98)&lt;=AsOfDate,IF($R68=0,$X68,IF(AND($T68&lt;&gt;"",EDATE($D68,Milestones!$AA$98)&gt;=$T68),$W68,IF(AND($S68&lt;&gt;"",EDATE($D68,Milestones!$AA$98)&gt;=$S68),$V68,$U68)))=Milestones!$AB$98),UPPER(TEXT(EDATE($D68,Milestones!$AA$98),"dd mmm yy"))&amp;" "&amp;Milestones!$AB$98&amp;" "&amp;Milestones!$AC$98&amp;";  ","")&amp;IF(AND(EDATE($D68,Milestones!$AA$99)&lt;=AsOfDate,IF($R68=0,$X68,IF(AND($T68&lt;&gt;"",EDATE($D68,Milestones!$AA$99)&gt;=$T68),$W68,IF(AND($S68&lt;&gt;"",EDATE($D68,Milestones!$AA$99)&gt;=$S68),$V68,$U68)))=Milestones!$AB$99),UPPER(TEXT(EDATE($D68,Milestones!$AA$99),"dd mmm yy"))&amp;" "&amp;Milestones!$AB$99&amp;" "&amp;Milestones!$AC$99&amp;";  ",""))</f>
        <v/>
      </c>
      <c r="M68" s="0" t="str">
        <f aca="false">IF(OR($A68="",$D68=""),"",IF(AND(EDATE($D68,Milestones!$AA$100)&lt;=AsOfDate,IF($R68=0,$X68,IF(AND($T68&lt;&gt;"",EDATE($D68,Milestones!$AA$100)&gt;=$T68),$W68,IF(AND($S68&lt;&gt;"",EDATE($D68,Milestones!$AA$100)&gt;=$S68),$V68,$U68)))=Milestones!$AB$100),UPPER(TEXT(EDATE($D68,Milestones!$AA$100),"dd mmm yy"))&amp;" "&amp;Milestones!$AB$100&amp;" "&amp;Milestones!$AC$100&amp;";  ","")&amp;IF(AND(EDATE($D68,Milestones!$AA$101)&lt;=AsOfDate,IF($R68=0,$X68,IF(AND($T68&lt;&gt;"",EDATE($D68,Milestones!$AA$101)&gt;=$T68),$W68,IF(AND($S68&lt;&gt;"",EDATE($D68,Milestones!$AA$101)&gt;=$S68),$V68,$U68)))=Milestones!$AB$101),UPPER(TEXT(EDATE($D68,Milestones!$AA$101),"dd mmm yy"))&amp;" "&amp;Milestones!$AB$101&amp;" "&amp;Milestones!$AC$101&amp;";  ","")&amp;IF(AND(EDATE($D68,Milestones!$AA$102)&lt;=AsOfDate,IF($R68=0,$X68,IF(AND($T68&lt;&gt;"",EDATE($D68,Milestones!$AA$102)&gt;=$T68),$W68,IF(AND($S68&lt;&gt;"",EDATE($D68,Milestones!$AA$102)&gt;=$S68),$V68,$U68)))=Milestones!$AB$102),UPPER(TEXT(EDATE($D68,Milestones!$AA$102),"dd mmm yy"))&amp;" "&amp;Milestones!$AB$102&amp;" "&amp;Milestones!$AC$102&amp;";  ","")&amp;IF(AND(EDATE($D68,Milestones!$AA$103)&lt;=AsOfDate,IF($R68=0,$X68,IF(AND($T68&lt;&gt;"",EDATE($D68,Milestones!$AA$103)&gt;=$T68),$W68,IF(AND($S68&lt;&gt;"",EDATE($D68,Milestones!$AA$103)&gt;=$S68),$V68,$U68)))=Milestones!$AB$103),UPPER(TEXT(EDATE($D68,Milestones!$AA$103),"dd mmm yy"))&amp;" "&amp;Milestones!$AB$103&amp;" "&amp;Milestones!$AC$103&amp;";  ","")&amp;IF(AND(EDATE($D68,Milestones!$AA$104)&lt;=AsOfDate,IF($R68=0,$X68,IF(AND($T68&lt;&gt;"",EDATE($D68,Milestones!$AA$104)&gt;=$T68),$W68,IF(AND($S68&lt;&gt;"",EDATE($D68,Milestones!$AA$104)&gt;=$S68),$V68,$U68)))=Milestones!$AB$104),UPPER(TEXT(EDATE($D68,Milestones!$AA$104),"dd mmm yy"))&amp;" "&amp;Milestones!$AB$104&amp;" "&amp;Milestones!$AC$104&amp;";  ","")&amp;IF(AND(EDATE($D68,Milestones!$AA$105)&lt;=AsOfDate,IF($R68=0,$X68,IF(AND($T68&lt;&gt;"",EDATE($D68,Milestones!$AA$105)&gt;=$T68),$W68,IF(AND($S68&lt;&gt;"",EDATE($D68,Milestones!$AA$105)&gt;=$S68),$V68,$U68)))=Milestones!$AB$105),UPPER(TEXT(EDATE($D68,Milestones!$AA$105),"dd mmm yy"))&amp;" "&amp;Milestones!$AB$105&amp;" "&amp;Milestones!$AC$105&amp;";  ","")&amp;IF(AND(EDATE($D68,Milestones!$AA$106)&lt;=AsOfDate,IF($R68=0,$X68,IF(AND($T68&lt;&gt;"",EDATE($D68,Milestones!$AA$106)&gt;=$T68),$W68,IF(AND($S68&lt;&gt;"",EDATE($D68,Milestones!$AA$106)&gt;=$S68),$V68,$U68)))=Milestones!$AB$106),UPPER(TEXT(EDATE($D68,Milestones!$AA$106),"dd mmm yy"))&amp;" "&amp;Milestones!$AB$106&amp;" "&amp;Milestones!$AC$106&amp;";  ","")&amp;IF(AND(EDATE($D68,Milestones!$AA$107)&lt;=AsOfDate,IF($R68=0,$X68,IF(AND($T68&lt;&gt;"",EDATE($D68,Milestones!$AA$107)&gt;=$T68),$W68,IF(AND($S68&lt;&gt;"",EDATE($D68,Milestones!$AA$107)&gt;=$S68),$V68,$U68)))=Milestones!$AB$107),UPPER(TEXT(EDATE($D68,Milestones!$AA$107),"dd mmm yy"))&amp;" "&amp;Milestones!$AB$107&amp;" "&amp;Milestones!$AC$107&amp;";  ","")&amp;IF(AND(EDATE($D68,Milestones!$AA$108)&lt;=AsOfDate,IF($R68=0,$X68,IF(AND($T68&lt;&gt;"",EDATE($D68,Milestones!$AA$108)&gt;=$T68),$W68,IF(AND($S68&lt;&gt;"",EDATE($D68,Milestones!$AA$108)&gt;=$S68),$V68,$U68)))=Milestones!$AB$108),UPPER(TEXT(EDATE($D68,Milestones!$AA$108),"dd mmm yy"))&amp;" "&amp;Milestones!$AB$108&amp;" "&amp;Milestones!$AC$108&amp;";  ","")&amp;IF(AND(EDATE($D68,Milestones!$AA$109)&lt;=AsOfDate,IF($R68=0,$X68,IF(AND($T68&lt;&gt;"",EDATE($D68,Milestones!$AA$109)&gt;=$T68),$W68,IF(AND($S68&lt;&gt;"",EDATE($D68,Milestones!$AA$109)&gt;=$S68),$V68,$U68)))=Milestones!$AB$109),UPPER(TEXT(EDATE($D68,Milestones!$AA$109),"dd mmm yy"))&amp;" "&amp;Milestones!$AB$109&amp;" "&amp;Milestones!$AC$109&amp;";  ","")&amp;IF(AND(EDATE($D68,Milestones!$AA$110)&lt;=AsOfDate,IF($R68=0,$X68,IF(AND($T68&lt;&gt;"",EDATE($D68,Milestones!$AA$110)&gt;=$T68),$W68,IF(AND($S68&lt;&gt;"",EDATE($D68,Milestones!$AA$110)&gt;=$S68),$V68,$U68)))=Milestones!$AB$110),UPPER(TEXT(EDATE($D68,Milestones!$AA$110),"dd mmm yy"))&amp;" "&amp;Milestones!$AB$110&amp;" "&amp;Milestones!$AC$110&amp;";  ","")&amp;IF(AND(EDATE($D68,Milestones!$AA$111)&lt;=AsOfDate,IF($R68=0,$X68,IF(AND($T68&lt;&gt;"",EDATE($D68,Milestones!$AA$111)&gt;=$T68),$W68,IF(AND($S68&lt;&gt;"",EDATE($D68,Milestones!$AA$111)&gt;=$S68),$V68,$U68)))=Milestones!$AB$111),UPPER(TEXT(EDATE($D68,Milestones!$AA$111),"dd mmm yy"))&amp;" "&amp;Milestones!$AB$111&amp;" "&amp;Milestones!$AC$111&amp;";  ","")&amp;IF(AND(EDATE($D68,Milestones!$AA$112)&lt;=AsOfDate,IF($R68=0,$X68,IF(AND($T68&lt;&gt;"",EDATE($D68,Milestones!$AA$112)&gt;=$T68),$W68,IF(AND($S68&lt;&gt;"",EDATE($D68,Milestones!$AA$112)&gt;=$S68),$V68,$U68)))=Milestones!$AB$112),UPPER(TEXT(EDATE($D68,Milestones!$AA$112),"dd mmm yy"))&amp;" "&amp;Milestones!$AB$112&amp;" "&amp;Milestones!$AC$112&amp;";  ","")&amp;IF(AND(EDATE($D68,Milestones!$AA$113)&lt;=AsOfDate,IF($R68=0,$X68,IF(AND($T68&lt;&gt;"",EDATE($D68,Milestones!$AA$113)&gt;=$T68),$W68,IF(AND($S68&lt;&gt;"",EDATE($D68,Milestones!$AA$113)&gt;=$S68),$V68,$U68)))=Milestones!$AB$113),UPPER(TEXT(EDATE($D68,Milestones!$AA$113),"dd mmm yy"))&amp;" "&amp;Milestones!$AB$113&amp;" "&amp;Milestones!$AC$113&amp;";  ","")&amp;IF(AND(EDATE($D68,Milestones!$AA$114)&lt;=AsOfDate,IF($R68=0,$X68,IF(AND($T68&lt;&gt;"",EDATE($D68,Milestones!$AA$114)&gt;=$T68),$W68,IF(AND($S68&lt;&gt;"",EDATE($D68,Milestones!$AA$114)&gt;=$S68),$V68,$U68)))=Milestones!$AB$114),UPPER(TEXT(EDATE($D68,Milestones!$AA$114),"dd mmm yy"))&amp;" "&amp;Milestones!$AB$114&amp;" "&amp;Milestones!$AC$114&amp;";  ","")&amp;IF(AND(EDATE($D68,Milestones!$AA$115)&lt;=AsOfDate,IF($R68=0,$X68,IF(AND($T68&lt;&gt;"",EDATE($D68,Milestones!$AA$115)&gt;=$T68),$W68,IF(AND($S68&lt;&gt;"",EDATE($D68,Milestones!$AA$115)&gt;=$S68),$V68,$U68)))=Milestones!$AB$115),UPPER(TEXT(EDATE($D68,Milestones!$AA$115),"dd mmm yy"))&amp;" "&amp;Milestones!$AB$115&amp;" "&amp;Milestones!$AC$115&amp;";  ","")&amp;IF(AND(EDATE($D68,Milestones!$AA$116)&lt;=AsOfDate,IF($R68=0,$X68,IF(AND($T68&lt;&gt;"",EDATE($D68,Milestones!$AA$116)&gt;=$T68),$W68,IF(AND($S68&lt;&gt;"",EDATE($D68,Milestones!$AA$116)&gt;=$S68),$V68,$U68)))=Milestones!$AB$116),UPPER(TEXT(EDATE($D68,Milestones!$AA$116),"dd mmm yy"))&amp;" "&amp;Milestones!$AB$116&amp;" "&amp;Milestones!$AC$116&amp;";  ","")&amp;IF(AND(EDATE($D68,Milestones!$AA$117)&lt;=AsOfDate,IF($R68=0,$X68,IF(AND($T68&lt;&gt;"",EDATE($D68,Milestones!$AA$117)&gt;=$T68),$W68,IF(AND($S68&lt;&gt;"",EDATE($D68,Milestones!$AA$117)&gt;=$S68),$V68,$U68)))=Milestones!$AB$117),UPPER(TEXT(EDATE($D68,Milestones!$AA$117),"dd mmm yy"))&amp;" "&amp;Milestones!$AB$117&amp;" "&amp;Milestones!$AC$117&amp;";  ","")&amp;IF(AND(EDATE($D68,Milestones!$AA$118)&lt;=AsOfDate,IF($R68=0,$X68,IF(AND($T68&lt;&gt;"",EDATE($D68,Milestones!$AA$118)&gt;=$T68),$W68,IF(AND($S68&lt;&gt;"",EDATE($D68,Milestones!$AA$118)&gt;=$S68),$V68,$U68)))=Milestones!$AB$118),UPPER(TEXT(EDATE($D68,Milestones!$AA$118),"dd mmm yy"))&amp;" "&amp;Milestones!$AB$118&amp;" "&amp;Milestones!$AC$118&amp;";  ","")&amp;IF(AND(EDATE($D68,Milestones!$AA$119)&lt;=AsOfDate,IF($R68=0,$X68,IF(AND($T68&lt;&gt;"",EDATE($D68,Milestones!$AA$119)&gt;=$T68),$W68,IF(AND($S68&lt;&gt;"",EDATE($D68,Milestones!$AA$119)&gt;=$S68),$V68,$U68)))=Milestones!$AB$119),UPPER(TEXT(EDATE($D68,Milestones!$AA$119),"dd mmm yy"))&amp;" "&amp;Milestones!$AB$119&amp;" "&amp;Milestones!$AC$119&amp;";  ",""))</f>
        <v/>
      </c>
      <c r="N68" s="0" t="str">
        <f aca="false">IF(OR($A68="",$D68=""),"",IF(AND(EDATE($D68,Milestones!$AA$120)&lt;=AsOfDate,IF($R68=0,$X68,IF(AND($T68&lt;&gt;"",EDATE($D68,Milestones!$AA$120)&gt;=$T68),$W68,IF(AND($S68&lt;&gt;"",EDATE($D68,Milestones!$AA$120)&gt;=$S68),$V68,$U68)))=Milestones!$AB$120),UPPER(TEXT(EDATE($D68,Milestones!$AA$120),"dd mmm yy"))&amp;" "&amp;Milestones!$AB$120&amp;" "&amp;Milestones!$AC$120&amp;";  ","")&amp;IF(AND(EDATE($D68,Milestones!$AA$121)&lt;=AsOfDate,IF($R68=0,$X68,IF(AND($T68&lt;&gt;"",EDATE($D68,Milestones!$AA$121)&gt;=$T68),$W68,IF(AND($S68&lt;&gt;"",EDATE($D68,Milestones!$AA$121)&gt;=$S68),$V68,$U68)))=Milestones!$AB$121),UPPER(TEXT(EDATE($D68,Milestones!$AA$121),"dd mmm yy"))&amp;" "&amp;Milestones!$AB$121&amp;" "&amp;Milestones!$AC$121&amp;";  ","")&amp;IF(AND(EDATE($D68,Milestones!$AA$122)&lt;=AsOfDate,IF($R68=0,$X68,IF(AND($T68&lt;&gt;"",EDATE($D68,Milestones!$AA$122)&gt;=$T68),$W68,IF(AND($S68&lt;&gt;"",EDATE($D68,Milestones!$AA$122)&gt;=$S68),$V68,$U68)))=Milestones!$AB$122),UPPER(TEXT(EDATE($D68,Milestones!$AA$122),"dd mmm yy"))&amp;" "&amp;Milestones!$AB$122&amp;" "&amp;Milestones!$AC$122&amp;";  ","")&amp;IF(AND(EDATE($D68,Milestones!$AA$123)&lt;=AsOfDate,IF($R68=0,$X68,IF(AND($T68&lt;&gt;"",EDATE($D68,Milestones!$AA$123)&gt;=$T68),$W68,IF(AND($S68&lt;&gt;"",EDATE($D68,Milestones!$AA$123)&gt;=$S68),$V68,$U68)))=Milestones!$AB$123),UPPER(TEXT(EDATE($D68,Milestones!$AA$123),"dd mmm yy"))&amp;" "&amp;Milestones!$AB$123&amp;" "&amp;Milestones!$AC$123&amp;";  ","")&amp;IF(AND(EDATE($D68,Milestones!$AA$124)&lt;=AsOfDate,IF($R68=0,$X68,IF(AND($T68&lt;&gt;"",EDATE($D68,Milestones!$AA$124)&gt;=$T68),$W68,IF(AND($S68&lt;&gt;"",EDATE($D68,Milestones!$AA$124)&gt;=$S68),$V68,$U68)))=Milestones!$AB$124),UPPER(TEXT(EDATE($D68,Milestones!$AA$124),"dd mmm yy"))&amp;" "&amp;Milestones!$AB$124&amp;" "&amp;Milestones!$AC$124&amp;";  ","")&amp;IF(AND(EDATE($D68,Milestones!$AA$125)&lt;=AsOfDate,IF($R68=0,$X68,IF(AND($T68&lt;&gt;"",EDATE($D68,Milestones!$AA$125)&gt;=$T68),$W68,IF(AND($S68&lt;&gt;"",EDATE($D68,Milestones!$AA$125)&gt;=$S68),$V68,$U68)))=Milestones!$AB$125),UPPER(TEXT(EDATE($D68,Milestones!$AA$125),"dd mmm yy"))&amp;" "&amp;Milestones!$AB$125&amp;" "&amp;Milestones!$AC$125&amp;";  ","")&amp;IF(AND(EDATE($D68,Milestones!$AA$126)&lt;=AsOfDate,IF($R68=0,$X68,IF(AND($T68&lt;&gt;"",EDATE($D68,Milestones!$AA$126)&gt;=$T68),$W68,IF(AND($S68&lt;&gt;"",EDATE($D68,Milestones!$AA$126)&gt;=$S68),$V68,$U68)))=Milestones!$AB$126),UPPER(TEXT(EDATE($D68,Milestones!$AA$126),"dd mmm yy"))&amp;" "&amp;Milestones!$AB$126&amp;" "&amp;Milestones!$AC$126&amp;";  ","")&amp;IF(AND(EDATE($D68,Milestones!$AA$127)&lt;=AsOfDate,IF($R68=0,$X68,IF(AND($T68&lt;&gt;"",EDATE($D68,Milestones!$AA$127)&gt;=$T68),$W68,IF(AND($S68&lt;&gt;"",EDATE($D68,Milestones!$AA$127)&gt;=$S68),$V68,$U68)))=Milestones!$AB$127),UPPER(TEXT(EDATE($D68,Milestones!$AA$127),"dd mmm yy"))&amp;" "&amp;Milestones!$AB$127&amp;" "&amp;Milestones!$AC$127&amp;";  ","")&amp;IF(AND(EDATE($D68,Milestones!$AA$128)&lt;=AsOfDate,IF($R68=0,$X68,IF(AND($T68&lt;&gt;"",EDATE($D68,Milestones!$AA$128)&gt;=$T68),$W68,IF(AND($S68&lt;&gt;"",EDATE($D68,Milestones!$AA$128)&gt;=$S68),$V68,$U68)))=Milestones!$AB$128),UPPER(TEXT(EDATE($D68,Milestones!$AA$128),"dd mmm yy"))&amp;" "&amp;Milestones!$AB$128&amp;" "&amp;Milestones!$AC$128&amp;";  ","")&amp;IF(AND(EDATE($D68,Milestones!$AA$129)&lt;=AsOfDate,IF($R68=0,$X68,IF(AND($T68&lt;&gt;"",EDATE($D68,Milestones!$AA$129)&gt;=$T68),$W68,IF(AND($S68&lt;&gt;"",EDATE($D68,Milestones!$AA$129)&gt;=$S68),$V68,$U68)))=Milestones!$AB$129),UPPER(TEXT(EDATE($D68,Milestones!$AA$129),"dd mmm yy"))&amp;" "&amp;Milestones!$AB$129&amp;" "&amp;Milestones!$AC$129&amp;";  ","")&amp;IF(AND(EDATE($D68,Milestones!$AA$130)&lt;=AsOfDate,IF($R68=0,$X68,IF(AND($T68&lt;&gt;"",EDATE($D68,Milestones!$AA$130)&gt;=$T68),$W68,IF(AND($S68&lt;&gt;"",EDATE($D68,Milestones!$AA$130)&gt;=$S68),$V68,$U68)))=Milestones!$AB$130),UPPER(TEXT(EDATE($D68,Milestones!$AA$130),"dd mmm yy"))&amp;" "&amp;Milestones!$AB$130&amp;" "&amp;Milestones!$AC$130&amp;";  ","")&amp;IF(AND(EDATE($D68,Milestones!$AA$131)&lt;=AsOfDate,IF($R68=0,$X68,IF(AND($T68&lt;&gt;"",EDATE($D68,Milestones!$AA$131)&gt;=$T68),$W68,IF(AND($S68&lt;&gt;"",EDATE($D68,Milestones!$AA$131)&gt;=$S68),$V68,$U68)))=Milestones!$AB$131),UPPER(TEXT(EDATE($D68,Milestones!$AA$131),"dd mmm yy"))&amp;" "&amp;Milestones!$AB$131&amp;" "&amp;Milestones!$AC$131&amp;";  ","")&amp;IF(AND(EDATE($D68,Milestones!$AA$132)&lt;=AsOfDate,IF($R68=0,$X68,IF(AND($T68&lt;&gt;"",EDATE($D68,Milestones!$AA$132)&gt;=$T68),$W68,IF(AND($S68&lt;&gt;"",EDATE($D68,Milestones!$AA$132)&gt;=$S68),$V68,$U68)))=Milestones!$AB$132),UPPER(TEXT(EDATE($D68,Milestones!$AA$132),"dd mmm yy"))&amp;" "&amp;Milestones!$AB$132&amp;" "&amp;Milestones!$AC$132&amp;";  ","")&amp;IF(AND(EDATE($D68,Milestones!$AA$133)&lt;=AsOfDate,IF($R68=0,$X68,IF(AND($T68&lt;&gt;"",EDATE($D68,Milestones!$AA$133)&gt;=$T68),$W68,IF(AND($S68&lt;&gt;"",EDATE($D68,Milestones!$AA$133)&gt;=$S68),$V68,$U68)))=Milestones!$AB$133),UPPER(TEXT(EDATE($D68,Milestones!$AA$133),"dd mmm yy"))&amp;" "&amp;Milestones!$AB$133&amp;" "&amp;Milestones!$AC$133&amp;";  ","")&amp;IF(AND(EDATE($D68,Milestones!$AA$134)&lt;=AsOfDate,IF($R68=0,$X68,IF(AND($T68&lt;&gt;"",EDATE($D68,Milestones!$AA$134)&gt;=$T68),$W68,IF(AND($S68&lt;&gt;"",EDATE($D68,Milestones!$AA$134)&gt;=$S68),$V68,$U68)))=Milestones!$AB$134),UPPER(TEXT(EDATE($D68,Milestones!$AA$134),"dd mmm yy"))&amp;" "&amp;Milestones!$AB$134&amp;" "&amp;Milestones!$AC$134&amp;";  ","")&amp;IF(AND(EDATE($D68,Milestones!$AA$135)&lt;=AsOfDate,IF($R68=0,$X68,IF(AND($T68&lt;&gt;"",EDATE($D68,Milestones!$AA$135)&gt;=$T68),$W68,IF(AND($S68&lt;&gt;"",EDATE($D68,Milestones!$AA$135)&gt;=$S68),$V68,$U68)))=Milestones!$AB$135),UPPER(TEXT(EDATE($D68,Milestones!$AA$135),"dd mmm yy"))&amp;" "&amp;Milestones!$AB$135&amp;" "&amp;Milestones!$AC$135&amp;";  ","")&amp;IF(AND(EDATE($D68,Milestones!$AA$136)&lt;=AsOfDate,IF($R68=0,$X68,IF(AND($T68&lt;&gt;"",EDATE($D68,Milestones!$AA$136)&gt;=$T68),$W68,IF(AND($S68&lt;&gt;"",EDATE($D68,Milestones!$AA$136)&gt;=$S68),$V68,$U68)))=Milestones!$AB$136),UPPER(TEXT(EDATE($D68,Milestones!$AA$136),"dd mmm yy"))&amp;" "&amp;Milestones!$AB$136&amp;" "&amp;Milestones!$AC$136&amp;";  ","")&amp;IF(AND(EDATE($D68,Milestones!$AA$137)&lt;=AsOfDate,IF($R68=0,$X68,IF(AND($T68&lt;&gt;"",EDATE($D68,Milestones!$AA$137)&gt;=$T68),$W68,IF(AND($S68&lt;&gt;"",EDATE($D68,Milestones!$AA$137)&gt;=$S68),$V68,$U68)))=Milestones!$AB$137),UPPER(TEXT(EDATE($D68,Milestones!$AA$137),"dd mmm yy"))&amp;" "&amp;Milestones!$AB$137&amp;" "&amp;Milestones!$AC$137&amp;";  ","")&amp;IF(AND(EDATE($D68,Milestones!$AA$138)&lt;=AsOfDate,IF($R68=0,$X68,IF(AND($T68&lt;&gt;"",EDATE($D68,Milestones!$AA$138)&gt;=$T68),$W68,IF(AND($S68&lt;&gt;"",EDATE($D68,Milestones!$AA$138)&gt;=$S68),$V68,$U68)))=Milestones!$AB$138),UPPER(TEXT(EDATE($D68,Milestones!$AA$138),"dd mmm yy"))&amp;" "&amp;Milestones!$AB$138&amp;" "&amp;Milestones!$AC$138&amp;";  ","")&amp;IF(AND(EDATE($D68,Milestones!$AA$139)&lt;=AsOfDate,IF($R68=0,$X68,IF(AND($T68&lt;&gt;"",EDATE($D68,Milestones!$AA$139)&gt;=$T68),$W68,IF(AND($S68&lt;&gt;"",EDATE($D68,Milestones!$AA$139)&gt;=$S68),$V68,$U68)))=Milestones!$AB$139),UPPER(TEXT(EDATE($D68,Milestones!$AA$139),"dd mmm yy"))&amp;" "&amp;Milestones!$AB$139&amp;" "&amp;Milestones!$AC$139&amp;";  ",""))</f>
        <v/>
      </c>
      <c r="O68" s="0" t="str">
        <f aca="false">IF(OR($A68="",$D68=""),"",IF(AND(EDATE($D68,Milestones!$AA$140)&lt;=AsOfDate,IF($R68=0,$X68,IF(AND($T68&lt;&gt;"",EDATE($D68,Milestones!$AA$140)&gt;=$T68),$W68,IF(AND($S68&lt;&gt;"",EDATE($D68,Milestones!$AA$140)&gt;=$S68),$V68,$U68)))=Milestones!$AB$140),UPPER(TEXT(EDATE($D68,Milestones!$AA$140),"dd mmm yy"))&amp;" "&amp;Milestones!$AB$140&amp;" "&amp;Milestones!$AC$140&amp;";  ","")&amp;IF(AND(EDATE($D68,Milestones!$AA$141)&lt;=AsOfDate,IF($R68=0,$X68,IF(AND($T68&lt;&gt;"",EDATE($D68,Milestones!$AA$141)&gt;=$T68),$W68,IF(AND($S68&lt;&gt;"",EDATE($D68,Milestones!$AA$141)&gt;=$S68),$V68,$U68)))=Milestones!$AB$141),UPPER(TEXT(EDATE($D68,Milestones!$AA$141),"dd mmm yy"))&amp;" "&amp;Milestones!$AB$141&amp;" "&amp;Milestones!$AC$141&amp;";  ","")&amp;IF(AND(EDATE($D68,Milestones!$AA$142)&lt;=AsOfDate,IF($R68=0,$X68,IF(AND($T68&lt;&gt;"",EDATE($D68,Milestones!$AA$142)&gt;=$T68),$W68,IF(AND($S68&lt;&gt;"",EDATE($D68,Milestones!$AA$142)&gt;=$S68),$V68,$U68)))=Milestones!$AB$142),UPPER(TEXT(EDATE($D68,Milestones!$AA$142),"dd mmm yy"))&amp;" "&amp;Milestones!$AB$142&amp;" "&amp;Milestones!$AC$142&amp;";  ","")&amp;IF(AND(EDATE($D68,Milestones!$AA$143)&lt;=AsOfDate,IF($R68=0,$X68,IF(AND($T68&lt;&gt;"",EDATE($D68,Milestones!$AA$143)&gt;=$T68),$W68,IF(AND($S68&lt;&gt;"",EDATE($D68,Milestones!$AA$143)&gt;=$S68),$V68,$U68)))=Milestones!$AB$143),UPPER(TEXT(EDATE($D68,Milestones!$AA$143),"dd mmm yy"))&amp;" "&amp;Milestones!$AB$143&amp;" "&amp;Milestones!$AC$143&amp;";  ","")&amp;IF(AND(EDATE($D68,Milestones!$AA$144)&lt;=AsOfDate,IF($R68=0,$X68,IF(AND($T68&lt;&gt;"",EDATE($D68,Milestones!$AA$144)&gt;=$T68),$W68,IF(AND($S68&lt;&gt;"",EDATE($D68,Milestones!$AA$144)&gt;=$S68),$V68,$U68)))=Milestones!$AB$144),UPPER(TEXT(EDATE($D68,Milestones!$AA$144),"dd mmm yy"))&amp;" "&amp;Milestones!$AB$144&amp;" "&amp;Milestones!$AC$144&amp;";  ","")&amp;IF(AND(EDATE($D68,Milestones!$AA$145)&lt;=AsOfDate,IF($R68=0,$X68,IF(AND($T68&lt;&gt;"",EDATE($D68,Milestones!$AA$145)&gt;=$T68),$W68,IF(AND($S68&lt;&gt;"",EDATE($D68,Milestones!$AA$145)&gt;=$S68),$V68,$U68)))=Milestones!$AB$145),UPPER(TEXT(EDATE($D68,Milestones!$AA$145),"dd mmm yy"))&amp;" "&amp;Milestones!$AB$145&amp;" "&amp;Milestones!$AC$145&amp;";  ","")&amp;IF(AND(EDATE($D68,Milestones!$AA$146)&lt;=AsOfDate,IF($R68=0,$X68,IF(AND($T68&lt;&gt;"",EDATE($D68,Milestones!$AA$146)&gt;=$T68),$W68,IF(AND($S68&lt;&gt;"",EDATE($D68,Milestones!$AA$146)&gt;=$S68),$V68,$U68)))=Milestones!$AB$146),UPPER(TEXT(EDATE($D68,Milestones!$AA$146),"dd mmm yy"))&amp;" "&amp;Milestones!$AB$146&amp;" "&amp;Milestones!$AC$146&amp;";  ","")&amp;IF(AND(EDATE($D68,Milestones!$AA$147)&lt;=AsOfDate,IF($R68=0,$X68,IF(AND($T68&lt;&gt;"",EDATE($D68,Milestones!$AA$147)&gt;=$T68),$W68,IF(AND($S68&lt;&gt;"",EDATE($D68,Milestones!$AA$147)&gt;=$S68),$V68,$U68)))=Milestones!$AB$147),UPPER(TEXT(EDATE($D68,Milestones!$AA$147),"dd mmm yy"))&amp;" "&amp;Milestones!$AB$147&amp;" "&amp;Milestones!$AC$147&amp;";  ","")&amp;IF(AND(EDATE($D68,Milestones!$AA$148)&lt;=AsOfDate,IF($R68=0,$X68,IF(AND($T68&lt;&gt;"",EDATE($D68,Milestones!$AA$148)&gt;=$T68),$W68,IF(AND($S68&lt;&gt;"",EDATE($D68,Milestones!$AA$148)&gt;=$S68),$V68,$U68)))=Milestones!$AB$148),UPPER(TEXT(EDATE($D68,Milestones!$AA$148),"dd mmm yy"))&amp;" "&amp;Milestones!$AB$148&amp;" "&amp;Milestones!$AC$148&amp;";  ","")&amp;IF(AND(EDATE($D68,Milestones!$AA$149)&lt;=AsOfDate,IF($R68=0,$X68,IF(AND($T68&lt;&gt;"",EDATE($D68,Milestones!$AA$149)&gt;=$T68),$W68,IF(AND($S68&lt;&gt;"",EDATE($D68,Milestones!$AA$149)&gt;=$S68),$V68,$U68)))=Milestones!$AB$149),UPPER(TEXT(EDATE($D68,Milestones!$AA$149),"dd mmm yy"))&amp;" "&amp;Milestones!$AB$149&amp;" "&amp;Milestones!$AC$149&amp;";  ","")&amp;IF(AND(EDATE($D68,Milestones!$AA$150)&lt;=AsOfDate,IF($R68=0,$X68,IF(AND($T68&lt;&gt;"",EDATE($D68,Milestones!$AA$150)&gt;=$T68),$W68,IF(AND($S68&lt;&gt;"",EDATE($D68,Milestones!$AA$150)&gt;=$S68),$V68,$U68)))=Milestones!$AB$150),UPPER(TEXT(EDATE($D68,Milestones!$AA$150),"dd mmm yy"))&amp;" "&amp;Milestones!$AB$150&amp;" "&amp;Milestones!$AC$150&amp;";  ","")&amp;IF(AND(EDATE($D68,Milestones!$AA$151)&lt;=AsOfDate,IF($R68=0,$X68,IF(AND($T68&lt;&gt;"",EDATE($D68,Milestones!$AA$151)&gt;=$T68),$W68,IF(AND($S68&lt;&gt;"",EDATE($D68,Milestones!$AA$151)&gt;=$S68),$V68,$U68)))=Milestones!$AB$151),UPPER(TEXT(EDATE($D68,Milestones!$AA$151),"dd mmm yy"))&amp;" "&amp;Milestones!$AB$151&amp;" "&amp;Milestones!$AC$151&amp;";  ","")&amp;IF(AND(EDATE($D68,Milestones!$AA$152)&lt;=AsOfDate,IF($R68=0,$X68,IF(AND($T68&lt;&gt;"",EDATE($D68,Milestones!$AA$152)&gt;=$T68),$W68,IF(AND($S68&lt;&gt;"",EDATE($D68,Milestones!$AA$152)&gt;=$S68),$V68,$U68)))=Milestones!$AB$152),UPPER(TEXT(EDATE($D68,Milestones!$AA$152),"dd mmm yy"))&amp;" "&amp;Milestones!$AB$152&amp;" "&amp;Milestones!$AC$152&amp;";  ","")&amp;IF(AND(EDATE($D68,Milestones!$AA$153)&lt;=AsOfDate,IF($R68=0,$X68,IF(AND($T68&lt;&gt;"",EDATE($D68,Milestones!$AA$153)&gt;=$T68),$W68,IF(AND($S68&lt;&gt;"",EDATE($D68,Milestones!$AA$153)&gt;=$S68),$V68,$U68)))=Milestones!$AB$153),UPPER(TEXT(EDATE($D68,Milestones!$AA$153),"dd mmm yy"))&amp;" "&amp;Milestones!$AB$153&amp;" "&amp;Milestones!$AC$153&amp;";  ","")&amp;IF(AND(EDATE($D68,Milestones!$AA$154)&lt;=AsOfDate,IF($R68=0,$X68,IF(AND($T68&lt;&gt;"",EDATE($D68,Milestones!$AA$154)&gt;=$T68),$W68,IF(AND($S68&lt;&gt;"",EDATE($D68,Milestones!$AA$154)&gt;=$S68),$V68,$U68)))=Milestones!$AB$154),UPPER(TEXT(EDATE($D68,Milestones!$AA$154),"dd mmm yy"))&amp;" "&amp;Milestones!$AB$154&amp;" "&amp;Milestones!$AC$154&amp;";  ","")&amp;IF(AND(EDATE($D68,Milestones!$AA$155)&lt;=AsOfDate,IF($R68=0,$X68,IF(AND($T68&lt;&gt;"",EDATE($D68,Milestones!$AA$155)&gt;=$T68),$W68,IF(AND($S68&lt;&gt;"",EDATE($D68,Milestones!$AA$155)&gt;=$S68),$V68,$U68)))=Milestones!$AB$155),UPPER(TEXT(EDATE($D68,Milestones!$AA$155),"dd mmm yy"))&amp;" "&amp;Milestones!$AB$155&amp;" "&amp;Milestones!$AC$155&amp;";  ","")&amp;IF(AND(EDATE($D68,Milestones!$AA$156)&lt;=AsOfDate,IF($R68=0,$X68,IF(AND($T68&lt;&gt;"",EDATE($D68,Milestones!$AA$156)&gt;=$T68),$W68,IF(AND($S68&lt;&gt;"",EDATE($D68,Milestones!$AA$156)&gt;=$S68),$V68,$U68)))=Milestones!$AB$156),UPPER(TEXT(EDATE($D68,Milestones!$AA$156),"dd mmm yy"))&amp;" "&amp;Milestones!$AB$156&amp;" "&amp;Milestones!$AC$156&amp;";  ","")&amp;IF(AND(EDATE($D68,Milestones!$AA$157)&lt;=AsOfDate,IF($R68=0,$X68,IF(AND($T68&lt;&gt;"",EDATE($D68,Milestones!$AA$157)&gt;=$T68),$W68,IF(AND($S68&lt;&gt;"",EDATE($D68,Milestones!$AA$157)&gt;=$S68),$V68,$U68)))=Milestones!$AB$157),UPPER(TEXT(EDATE($D68,Milestones!$AA$157),"dd mmm yy"))&amp;" "&amp;Milestones!$AB$157&amp;" "&amp;Milestones!$AC$157&amp;";  ","")&amp;IF(AND(EDATE($D68,Milestones!$AA$158)&lt;=AsOfDate,IF($R68=0,$X68,IF(AND($T68&lt;&gt;"",EDATE($D68,Milestones!$AA$158)&gt;=$T68),$W68,IF(AND($S68&lt;&gt;"",EDATE($D68,Milestones!$AA$158)&gt;=$S68),$V68,$U68)))=Milestones!$AB$158),UPPER(TEXT(EDATE($D68,Milestones!$AA$158),"dd mmm yy"))&amp;" "&amp;Milestones!$AB$158&amp;" "&amp;Milestones!$AC$158&amp;";  ","")&amp;IF(AND(EDATE($D68,Milestones!$AA$159)&lt;=AsOfDate,IF($R68=0,$X68,IF(AND($T68&lt;&gt;"",EDATE($D68,Milestones!$AA$159)&gt;=$T68),$W68,IF(AND($S68&lt;&gt;"",EDATE($D68,Milestones!$AA$159)&gt;=$S68),$V68,$U68)))=Milestones!$AB$159),UPPER(TEXT(EDATE($D68,Milestones!$AA$159),"dd mmm yy"))&amp;" "&amp;Milestones!$AB$159&amp;" "&amp;Milestones!$AC$159&amp;";  ",""))</f>
        <v/>
      </c>
      <c r="P68" s="0" t="str">
        <f aca="false">IF(OR($A68="",$D68=""),"",IF(AND(EDATE($D68,Milestones!$AA$160)&lt;=AsOfDate,IF($R68=0,$X68,IF(AND($T68&lt;&gt;"",EDATE($D68,Milestones!$AA$160)&gt;=$T68),$W68,IF(AND($S68&lt;&gt;"",EDATE($D68,Milestones!$AA$160)&gt;=$S68),$V68,$U68)))=Milestones!$AB$160),UPPER(TEXT(EDATE($D68,Milestones!$AA$160),"dd mmm yy"))&amp;" "&amp;Milestones!$AB$160&amp;" "&amp;Milestones!$AC$160&amp;";  ","")&amp;IF(AND(EDATE($D68,Milestones!$AA$161)&lt;=AsOfDate,IF($R68=0,$X68,IF(AND($T68&lt;&gt;"",EDATE($D68,Milestones!$AA$161)&gt;=$T68),$W68,IF(AND($S68&lt;&gt;"",EDATE($D68,Milestones!$AA$161)&gt;=$S68),$V68,$U68)))=Milestones!$AB$161),UPPER(TEXT(EDATE($D68,Milestones!$AA$161),"dd mmm yy"))&amp;" "&amp;Milestones!$AB$161&amp;" "&amp;Milestones!$AC$161&amp;";  ","")&amp;IF(AND(EDATE($D68,Milestones!$AA$162)&lt;=AsOfDate,IF($R68=0,$X68,IF(AND($T68&lt;&gt;"",EDATE($D68,Milestones!$AA$162)&gt;=$T68),$W68,IF(AND($S68&lt;&gt;"",EDATE($D68,Milestones!$AA$162)&gt;=$S68),$V68,$U68)))=Milestones!$AB$162),UPPER(TEXT(EDATE($D68,Milestones!$AA$162),"dd mmm yy"))&amp;" "&amp;Milestones!$AB$162&amp;" "&amp;Milestones!$AC$162&amp;";  ","")&amp;IF(AND(EDATE($D68,Milestones!$AA$163)&lt;=AsOfDate,IF($R68=0,$X68,IF(AND($T68&lt;&gt;"",EDATE($D68,Milestones!$AA$163)&gt;=$T68),$W68,IF(AND($S68&lt;&gt;"",EDATE($D68,Milestones!$AA$163)&gt;=$S68),$V68,$U68)))=Milestones!$AB$163),UPPER(TEXT(EDATE($D68,Milestones!$AA$163),"dd mmm yy"))&amp;" "&amp;Milestones!$AB$163&amp;" "&amp;Milestones!$AC$163&amp;";  ","")&amp;IF(AND(EDATE($D68,Milestones!$AA$164)&lt;=AsOfDate,IF($R68=0,$X68,IF(AND($T68&lt;&gt;"",EDATE($D68,Milestones!$AA$164)&gt;=$T68),$W68,IF(AND($S68&lt;&gt;"",EDATE($D68,Milestones!$AA$164)&gt;=$S68),$V68,$U68)))=Milestones!$AB$164),UPPER(TEXT(EDATE($D68,Milestones!$AA$164),"dd mmm yy"))&amp;" "&amp;Milestones!$AB$164&amp;" "&amp;Milestones!$AC$164&amp;";  ","")&amp;IF(AND(EDATE($D68,Milestones!$AA$165)&lt;=AsOfDate,IF($R68=0,$X68,IF(AND($T68&lt;&gt;"",EDATE($D68,Milestones!$AA$165)&gt;=$T68),$W68,IF(AND($S68&lt;&gt;"",EDATE($D68,Milestones!$AA$165)&gt;=$S68),$V68,$U68)))=Milestones!$AB$165),UPPER(TEXT(EDATE($D68,Milestones!$AA$165),"dd mmm yy"))&amp;" "&amp;Milestones!$AB$165&amp;" "&amp;Milestones!$AC$165&amp;";  ","")&amp;IF(AND(EDATE($D68,Milestones!$AA$166)&lt;=AsOfDate,IF($R68=0,$X68,IF(AND($T68&lt;&gt;"",EDATE($D68,Milestones!$AA$166)&gt;=$T68),$W68,IF(AND($S68&lt;&gt;"",EDATE($D68,Milestones!$AA$166)&gt;=$S68),$V68,$U68)))=Milestones!$AB$166),UPPER(TEXT(EDATE($D68,Milestones!$AA$166),"dd mmm yy"))&amp;" "&amp;Milestones!$AB$166&amp;" "&amp;Milestones!$AC$166&amp;";  ","")&amp;IF(AND(EDATE($D68,Milestones!$AA$167)&lt;=AsOfDate,IF($R68=0,$X68,IF(AND($T68&lt;&gt;"",EDATE($D68,Milestones!$AA$167)&gt;=$T68),$W68,IF(AND($S68&lt;&gt;"",EDATE($D68,Milestones!$AA$167)&gt;=$S68),$V68,$U68)))=Milestones!$AB$167),UPPER(TEXT(EDATE($D68,Milestones!$AA$167),"dd mmm yy"))&amp;" "&amp;Milestones!$AB$167&amp;" "&amp;Milestones!$AC$167&amp;";  ","")&amp;IF(AND(EDATE($D68,Milestones!$AA$168)&lt;=AsOfDate,IF($R68=0,$X68,IF(AND($T68&lt;&gt;"",EDATE($D68,Milestones!$AA$168)&gt;=$T68),$W68,IF(AND($S68&lt;&gt;"",EDATE($D68,Milestones!$AA$168)&gt;=$S68),$V68,$U68)))=Milestones!$AB$168),UPPER(TEXT(EDATE($D68,Milestones!$AA$168),"dd mmm yy"))&amp;" "&amp;Milestones!$AB$168&amp;" "&amp;Milestones!$AC$168&amp;";  ","")&amp;IF(AND(EDATE($D68,Milestones!$AA$169)&lt;=AsOfDate,IF($R68=0,$X68,IF(AND($T68&lt;&gt;"",EDATE($D68,Milestones!$AA$169)&gt;=$T68),$W68,IF(AND($S68&lt;&gt;"",EDATE($D68,Milestones!$AA$169)&gt;=$S68),$V68,$U68)))=Milestones!$AB$169),UPPER(TEXT(EDATE($D68,Milestones!$AA$169),"dd mmm yy"))&amp;" "&amp;Milestones!$AB$169&amp;" "&amp;Milestones!$AC$169&amp;";  ","")&amp;IF(AND(EDATE($D68,Milestones!$AA$170)&lt;=AsOfDate,IF($R68=0,$X68,IF(AND($T68&lt;&gt;"",EDATE($D68,Milestones!$AA$170)&gt;=$T68),$W68,IF(AND($S68&lt;&gt;"",EDATE($D68,Milestones!$AA$170)&gt;=$S68),$V68,$U68)))=Milestones!$AB$170),UPPER(TEXT(EDATE($D68,Milestones!$AA$170),"dd mmm yy"))&amp;" "&amp;Milestones!$AB$170&amp;" "&amp;Milestones!$AC$170&amp;";  ","")&amp;IF(AND(EDATE($D68,Milestones!$AA$171)&lt;=AsOfDate,IF($R68=0,$X68,IF(AND($T68&lt;&gt;"",EDATE($D68,Milestones!$AA$171)&gt;=$T68),$W68,IF(AND($S68&lt;&gt;"",EDATE($D68,Milestones!$AA$171)&gt;=$S68),$V68,$U68)))=Milestones!$AB$171),UPPER(TEXT(EDATE($D68,Milestones!$AA$171),"dd mmm yy"))&amp;" "&amp;Milestones!$AB$171&amp;" "&amp;Milestones!$AC$171&amp;";  ","")&amp;IF(AND(EDATE($D68,Milestones!$AA$172)&lt;=AsOfDate,IF($R68=0,$X68,IF(AND($T68&lt;&gt;"",EDATE($D68,Milestones!$AA$172)&gt;=$T68),$W68,IF(AND($S68&lt;&gt;"",EDATE($D68,Milestones!$AA$172)&gt;=$S68),$V68,$U68)))=Milestones!$AB$172),UPPER(TEXT(EDATE($D68,Milestones!$AA$172),"dd mmm yy"))&amp;" "&amp;Milestones!$AB$172&amp;" "&amp;Milestones!$AC$172&amp;";  ","")&amp;IF(AND(EDATE($D68,Milestones!$AA$173)&lt;=AsOfDate,IF($R68=0,$X68,IF(AND($T68&lt;&gt;"",EDATE($D68,Milestones!$AA$173)&gt;=$T68),$W68,IF(AND($S68&lt;&gt;"",EDATE($D68,Milestones!$AA$173)&gt;=$S68),$V68,$U68)))=Milestones!$AB$173),UPPER(TEXT(EDATE($D68,Milestones!$AA$173),"dd mmm yy"))&amp;" "&amp;Milestones!$AB$173&amp;" "&amp;Milestones!$AC$173&amp;";  ","")&amp;IF(AND(EDATE($D68,Milestones!$AA$174)&lt;=AsOfDate,IF($R68=0,$X68,IF(AND($T68&lt;&gt;"",EDATE($D68,Milestones!$AA$174)&gt;=$T68),$W68,IF(AND($S68&lt;&gt;"",EDATE($D68,Milestones!$AA$174)&gt;=$S68),$V68,$U68)))=Milestones!$AB$174),UPPER(TEXT(EDATE($D68,Milestones!$AA$174),"dd mmm yy"))&amp;" "&amp;Milestones!$AB$174&amp;" "&amp;Milestones!$AC$174&amp;";  ","")&amp;IF(AND(EDATE($D68,Milestones!$AA$175)&lt;=AsOfDate,IF($R68=0,$X68,IF(AND($T68&lt;&gt;"",EDATE($D68,Milestones!$AA$175)&gt;=$T68),$W68,IF(AND($S68&lt;&gt;"",EDATE($D68,Milestones!$AA$175)&gt;=$S68),$V68,$U68)))=Milestones!$AB$175),UPPER(TEXT(EDATE($D68,Milestones!$AA$175),"dd mmm yy"))&amp;" "&amp;Milestones!$AB$175&amp;" "&amp;Milestones!$AC$175&amp;";  ","")&amp;IF(AND(EDATE($D68,Milestones!$AA$176)&lt;=AsOfDate,IF($R68=0,$X68,IF(AND($T68&lt;&gt;"",EDATE($D68,Milestones!$AA$176)&gt;=$T68),$W68,IF(AND($S68&lt;&gt;"",EDATE($D68,Milestones!$AA$176)&gt;=$S68),$V68,$U68)))=Milestones!$AB$176),UPPER(TEXT(EDATE($D68,Milestones!$AA$176),"dd mmm yy"))&amp;" "&amp;Milestones!$AB$176&amp;" "&amp;Milestones!$AC$176&amp;";  ","")&amp;IF(AND(EDATE($D68,Milestones!$AA$177)&lt;=AsOfDate,IF($R68=0,$X68,IF(AND($T68&lt;&gt;"",EDATE($D68,Milestones!$AA$177)&gt;=$T68),$W68,IF(AND($S68&lt;&gt;"",EDATE($D68,Milestones!$AA$177)&gt;=$S68),$V68,$U68)))=Milestones!$AB$177),UPPER(TEXT(EDATE($D68,Milestones!$AA$177),"dd mmm yy"))&amp;" "&amp;Milestones!$AB$177&amp;" "&amp;Milestones!$AC$177&amp;";  ","")&amp;IF(AND(EDATE($D68,Milestones!$AA$178)&lt;=AsOfDate,IF($R68=0,$X68,IF(AND($T68&lt;&gt;"",EDATE($D68,Milestones!$AA$178)&gt;=$T68),$W68,IF(AND($S68&lt;&gt;"",EDATE($D68,Milestones!$AA$178)&gt;=$S68),$V68,$U68)))=Milestones!$AB$178),UPPER(TEXT(EDATE($D68,Milestones!$AA$178),"dd mmm yy"))&amp;" "&amp;Milestones!$AB$178&amp;" "&amp;Milestones!$AC$178&amp;";  ","")&amp;IF(AND(EDATE($D68,Milestones!$AA$179)&lt;=AsOfDate,IF($R68=0,$X68,IF(AND($T68&lt;&gt;"",EDATE($D68,Milestones!$AA$179)&gt;=$T68),$W68,IF(AND($S68&lt;&gt;"",EDATE($D68,Milestones!$AA$179)&gt;=$S68),$V68,$U68)))=Milestones!$AB$179),UPPER(TEXT(EDATE($D68,Milestones!$AA$179),"dd mmm yy"))&amp;" "&amp;Milestones!$AB$179&amp;" "&amp;Milestones!$AC$179&amp;";  ",""))</f>
        <v/>
      </c>
      <c r="Q68" s="0" t="str">
        <f aca="false">IF(OR($A68="",$D68=""),"",IF(AND(EDATE($D68,Milestones!$AA$180)&lt;=AsOfDate,IF($R68=0,$X68,IF(AND($T68&lt;&gt;"",EDATE($D68,Milestones!$AA$180)&gt;=$T68),$W68,IF(AND($S68&lt;&gt;"",EDATE($D68,Milestones!$AA$180)&gt;=$S68),$V68,$U68)))=Milestones!$AB$180),UPPER(TEXT(EDATE($D68,Milestones!$AA$180),"dd mmm yy"))&amp;" "&amp;Milestones!$AB$180&amp;" "&amp;Milestones!$AC$180&amp;";  ","")&amp;IF(AND(EDATE($D68,Milestones!$AA$181)&lt;=AsOfDate,IF($R68=0,$X68,IF(AND($T68&lt;&gt;"",EDATE($D68,Milestones!$AA$181)&gt;=$T68),$W68,IF(AND($S68&lt;&gt;"",EDATE($D68,Milestones!$AA$181)&gt;=$S68),$V68,$U68)))=Milestones!$AB$181),UPPER(TEXT(EDATE($D68,Milestones!$AA$181),"dd mmm yy"))&amp;" "&amp;Milestones!$AB$181&amp;" "&amp;Milestones!$AC$181&amp;";  ","")&amp;IF(AND(EDATE($D68,Milestones!$AA$182)&lt;=AsOfDate,IF($R68=0,$X68,IF(AND($T68&lt;&gt;"",EDATE($D68,Milestones!$AA$182)&gt;=$T68),$W68,IF(AND($S68&lt;&gt;"",EDATE($D68,Milestones!$AA$182)&gt;=$S68),$V68,$U68)))=Milestones!$AB$182),UPPER(TEXT(EDATE($D68,Milestones!$AA$182),"dd mmm yy"))&amp;" "&amp;Milestones!$AB$182&amp;" "&amp;Milestones!$AC$182&amp;";  ","")&amp;IF(AND(EDATE($D68,Milestones!$AA$183)&lt;=AsOfDate,IF($R68=0,$X68,IF(AND($T68&lt;&gt;"",EDATE($D68,Milestones!$AA$183)&gt;=$T68),$W68,IF(AND($S68&lt;&gt;"",EDATE($D68,Milestones!$AA$183)&gt;=$S68),$V68,$U68)))=Milestones!$AB$183),UPPER(TEXT(EDATE($D68,Milestones!$AA$183),"dd mmm yy"))&amp;" "&amp;Milestones!$AB$183&amp;" "&amp;Milestones!$AC$183&amp;";  ","")&amp;IF(AND(EDATE($D68,Milestones!$AA$184)&lt;=AsOfDate,IF($R68=0,$X68,IF(AND($T68&lt;&gt;"",EDATE($D68,Milestones!$AA$184)&gt;=$T68),$W68,IF(AND($S68&lt;&gt;"",EDATE($D68,Milestones!$AA$184)&gt;=$S68),$V68,$U68)))=Milestones!$AB$184),UPPER(TEXT(EDATE($D68,Milestones!$AA$184),"dd mmm yy"))&amp;" "&amp;Milestones!$AB$184&amp;" "&amp;Milestones!$AC$184&amp;";  ","")&amp;IF(AND(EDATE($D68,Milestones!$AA$185)&lt;=AsOfDate,IF($R68=0,$X68,IF(AND($T68&lt;&gt;"",EDATE($D68,Milestones!$AA$185)&gt;=$T68),$W68,IF(AND($S68&lt;&gt;"",EDATE($D68,Milestones!$AA$185)&gt;=$S68),$V68,$U68)))=Milestones!$AB$185),UPPER(TEXT(EDATE($D68,Milestones!$AA$185),"dd mmm yy"))&amp;" "&amp;Milestones!$AB$185&amp;" "&amp;Milestones!$AC$185&amp;";  ","")&amp;IF(AND(EDATE($D68,Milestones!$AA$186)&lt;=AsOfDate,IF($R68=0,$X68,IF(AND($T68&lt;&gt;"",EDATE($D68,Milestones!$AA$186)&gt;=$T68),$W68,IF(AND($S68&lt;&gt;"",EDATE($D68,Milestones!$AA$186)&gt;=$S68),$V68,$U68)))=Milestones!$AB$186),UPPER(TEXT(EDATE($D68,Milestones!$AA$186),"dd mmm yy"))&amp;" "&amp;Milestones!$AB$186&amp;" "&amp;Milestones!$AC$186&amp;";  ","")&amp;IF(AND(EDATE($D68,Milestones!$AA$187)&lt;=AsOfDate,IF($R68=0,$X68,IF(AND($T68&lt;&gt;"",EDATE($D68,Milestones!$AA$187)&gt;=$T68),$W68,IF(AND($S68&lt;&gt;"",EDATE($D68,Milestones!$AA$187)&gt;=$S68),$V68,$U68)))=Milestones!$AB$187),UPPER(TEXT(EDATE($D68,Milestones!$AA$187),"dd mmm yy"))&amp;" "&amp;Milestones!$AB$187&amp;" "&amp;Milestones!$AC$187&amp;";  ","")&amp;IF(AND(EDATE($D68,Milestones!$AA$188)&lt;=AsOfDate,IF($R68=0,$X68,IF(AND($T68&lt;&gt;"",EDATE($D68,Milestones!$AA$188)&gt;=$T68),$W68,IF(AND($S68&lt;&gt;"",EDATE($D68,Milestones!$AA$188)&gt;=$S68),$V68,$U68)))=Milestones!$AB$188),UPPER(TEXT(EDATE($D68,Milestones!$AA$188),"dd mmm yy"))&amp;" "&amp;Milestones!$AB$188&amp;" "&amp;Milestones!$AC$188&amp;";  ","")&amp;IF(AND(EDATE($D68,Milestones!$AA$189)&lt;=AsOfDate,IF($R68=0,$X68,IF(AND($T68&lt;&gt;"",EDATE($D68,Milestones!$AA$189)&gt;=$T68),$W68,IF(AND($S68&lt;&gt;"",EDATE($D68,Milestones!$AA$189)&gt;=$S68),$V68,$U68)))=Milestones!$AB$189),UPPER(TEXT(EDATE($D68,Milestones!$AA$189),"dd mmm yy"))&amp;" "&amp;Milestones!$AB$189&amp;" "&amp;Milestones!$AC$189&amp;";  ","")&amp;IF(AND(EDATE($D68,Milestones!$AA$190)&lt;=AsOfDate,IF($R68=0,$X68,IF(AND($T68&lt;&gt;"",EDATE($D68,Milestones!$AA$190)&gt;=$T68),$W68,IF(AND($S68&lt;&gt;"",EDATE($D68,Milestones!$AA$190)&gt;=$S68),$V68,$U68)))=Milestones!$AB$190),UPPER(TEXT(EDATE($D68,Milestones!$AA$190),"dd mmm yy"))&amp;" "&amp;Milestones!$AB$190&amp;" "&amp;Milestones!$AC$190&amp;";  ","")&amp;IF(AND(EDATE($D68,Milestones!$AA$191)&lt;=AsOfDate,IF($R68=0,$X68,IF(AND($T68&lt;&gt;"",EDATE($D68,Milestones!$AA$191)&gt;=$T68),$W68,IF(AND($S68&lt;&gt;"",EDATE($D68,Milestones!$AA$191)&gt;=$S68),$V68,$U68)))=Milestones!$AB$191),UPPER(TEXT(EDATE($D68,Milestones!$AA$191),"dd mmm yy"))&amp;" "&amp;Milestones!$AB$191&amp;" "&amp;Milestones!$AC$191&amp;";  ","")&amp;IF(AND(EDATE($D68,Milestones!$AA$192)&lt;=AsOfDate,IF($R68=0,$X68,IF(AND($T68&lt;&gt;"",EDATE($D68,Milestones!$AA$192)&gt;=$T68),$W68,IF(AND($S68&lt;&gt;"",EDATE($D68,Milestones!$AA$192)&gt;=$S68),$V68,$U68)))=Milestones!$AB$192),UPPER(TEXT(EDATE($D68,Milestones!$AA$192),"dd mmm yy"))&amp;" "&amp;Milestones!$AB$192&amp;" "&amp;Milestones!$AC$192&amp;";  ","")&amp;IF(AND(EDATE($D68,Milestones!$AA$193)&lt;=AsOfDate,IF($R68=0,$X68,IF(AND($T68&lt;&gt;"",EDATE($D68,Milestones!$AA$193)&gt;=$T68),$W68,IF(AND($S68&lt;&gt;"",EDATE($D68,Milestones!$AA$193)&gt;=$S68),$V68,$U68)))=Milestones!$AB$193),UPPER(TEXT(EDATE($D68,Milestones!$AA$193),"dd mmm yy"))&amp;" "&amp;Milestones!$AB$193&amp;" "&amp;Milestones!$AC$193&amp;";  ","")&amp;IF(AND(EDATE($D68,Milestones!$AA$194)&lt;=AsOfDate,IF($R68=0,$X68,IF(AND($T68&lt;&gt;"",EDATE($D68,Milestones!$AA$194)&gt;=$T68),$W68,IF(AND($S68&lt;&gt;"",EDATE($D68,Milestones!$AA$194)&gt;=$S68),$V68,$U68)))=Milestones!$AB$194),UPPER(TEXT(EDATE($D68,Milestones!$AA$194),"dd mmm yy"))&amp;" "&amp;Milestones!$AB$194&amp;" "&amp;Milestones!$AC$194&amp;";  ","")&amp;IF(AND(EDATE($D68,Milestones!$AA$195)&lt;=AsOfDate,IF($R68=0,$X68,IF(AND($T68&lt;&gt;"",EDATE($D68,Milestones!$AA$195)&gt;=$T68),$W68,IF(AND($S68&lt;&gt;"",EDATE($D68,Milestones!$AA$195)&gt;=$S68),$V68,$U68)))=Milestones!$AB$195),UPPER(TEXT(EDATE($D68,Milestones!$AA$195),"dd mmm yy"))&amp;" "&amp;Milestones!$AB$195&amp;" "&amp;Milestones!$AC$195&amp;";  ","")&amp;IF(AND(EDATE($D68,Milestones!$AA$196)&lt;=AsOfDate,IF($R68=0,$X68,IF(AND($T68&lt;&gt;"",EDATE($D68,Milestones!$AA$196)&gt;=$T68),$W68,IF(AND($S68&lt;&gt;"",EDATE($D68,Milestones!$AA$196)&gt;=$S68),$V68,$U68)))=Milestones!$AB$196),UPPER(TEXT(EDATE($D68,Milestones!$AA$196),"dd mmm yy"))&amp;" "&amp;Milestones!$AB$196&amp;" "&amp;Milestones!$AC$196&amp;";  ","")&amp;IF(AND(EDATE($D68,Milestones!$AA$197)&lt;=AsOfDate,IF($R68=0,$X68,IF(AND($T68&lt;&gt;"",EDATE($D68,Milestones!$AA$197)&gt;=$T68),$W68,IF(AND($S68&lt;&gt;"",EDATE($D68,Milestones!$AA$197)&gt;=$S68),$V68,$U68)))=Milestones!$AB$197),UPPER(TEXT(EDATE($D68,Milestones!$AA$197),"dd mmm yy"))&amp;" "&amp;Milestones!$AB$197&amp;" "&amp;Milestones!$AC$197&amp;";  ","")&amp;IF(AND(EDATE($D68,Milestones!$AA$198)&lt;=AsOfDate,IF($R68=0,$X68,IF(AND($T68&lt;&gt;"",EDATE($D68,Milestones!$AA$198)&gt;=$T68),$W68,IF(AND($S68&lt;&gt;"",EDATE($D68,Milestones!$AA$198)&gt;=$S68),$V68,$U68)))=Milestones!$AB$198),UPPER(TEXT(EDATE($D68,Milestones!$AA$198),"dd mmm yy"))&amp;" "&amp;Milestones!$AB$198&amp;" "&amp;Milestones!$AC$198&amp;";  ","")&amp;IF(AND(EDATE($D68,Milestones!$AA$199)&lt;=AsOfDate,IF($R68=0,$X68,IF(AND($T68&lt;&gt;"",EDATE($D68,Milestones!$AA$199)&gt;=$T68),$W68,IF(AND($S68&lt;&gt;"",EDATE($D68,Milestones!$AA$199)&gt;=$S68),$V68,$U68)))=Milestones!$AB$199),UPPER(TEXT(EDATE($D68,Milestones!$AA$199),"dd mmm yy"))&amp;" "&amp;Milestones!$AB$199&amp;" "&amp;Milestones!$AC$199&amp;";  ",""))</f>
        <v/>
      </c>
      <c r="R68" s="0" t="str">
        <f aca="false">IF(Staff!$A68="","",Staff!$AI68)</f>
        <v/>
      </c>
      <c r="S68" s="0" t="str">
        <f aca="false">IF(Staff!$A68="","",Staff!$AK68)</f>
        <v/>
      </c>
      <c r="T68" s="0" t="str">
        <f aca="false">IF(Staff!$A68="","",Staff!$AL68)</f>
        <v/>
      </c>
      <c r="U68" s="0" t="str">
        <f aca="false">IF(Staff!$A68="","",Staff!$AP68)</f>
        <v/>
      </c>
      <c r="V68" s="0" t="str">
        <f aca="false">IF(Staff!$A68="","",Staff!$AQ68)</f>
        <v/>
      </c>
      <c r="W68" s="0" t="str">
        <f aca="false">IF(Staff!$A68="","",Staff!$AR68)</f>
        <v/>
      </c>
      <c r="X68" s="0" t="str">
        <f aca="false">IF(Staff!$A68="","",Staff!$AS68)</f>
        <v/>
      </c>
    </row>
    <row r="69" customFormat="false" ht="15" hidden="false" customHeight="false" outlineLevel="0" collapsed="false">
      <c r="A69" s="14" t="str">
        <f aca="false">IF(Staff!$A69="","",Staff!$A69)</f>
        <v/>
      </c>
      <c r="B69" s="14" t="str">
        <f aca="false">IF(Staff!$A69="","",Staff!$B69)</f>
        <v/>
      </c>
      <c r="C69" s="14" t="str">
        <f aca="false">IF(Staff!$A69="","",Staff!$C69)</f>
        <v/>
      </c>
      <c r="D69" s="12" t="str">
        <f aca="false">IF(Staff!$A69="","",Staff!$AH69)</f>
        <v/>
      </c>
      <c r="E69" s="14" t="str">
        <f aca="false">IF(Staff!$A69="","",Staff!$O69)</f>
        <v/>
      </c>
      <c r="F69" s="14" t="str">
        <f aca="false">IF(E69="","",E69*HoursPerDay)</f>
        <v/>
      </c>
      <c r="G69" s="14" t="str">
        <f aca="false">IF(Staff!$A69="","",Staff!$AE69)</f>
        <v/>
      </c>
      <c r="H69" s="26" t="str">
        <f aca="false">IF($A69="","",I69&amp;J69&amp;K69&amp;L69&amp;M69&amp;N69&amp;O69&amp;P69&amp;Q69)</f>
        <v/>
      </c>
      <c r="I69" s="0" t="str">
        <f aca="false">IF(OR($A69="",$D69=""),"",IF(AND(EDATE($D69,Milestones!$AA$20)&lt;=AsOfDate,IF($R69=0,$X69,IF(AND($T69&lt;&gt;"",EDATE($D69,Milestones!$AA$20)&gt;=$T69),$W69,IF(AND($S69&lt;&gt;"",EDATE($D69,Milestones!$AA$20)&gt;=$S69),$V69,$U69)))=Milestones!$AB$20),UPPER(TEXT(EDATE($D69,Milestones!$AA$20),"dd mmm yy"))&amp;" "&amp;Milestones!$AB$20&amp;" "&amp;Milestones!$AC$20&amp;";  ","")&amp;IF(AND(EDATE($D69,Milestones!$AA$21)&lt;=AsOfDate,IF($R69=0,$X69,IF(AND($T69&lt;&gt;"",EDATE($D69,Milestones!$AA$21)&gt;=$T69),$W69,IF(AND($S69&lt;&gt;"",EDATE($D69,Milestones!$AA$21)&gt;=$S69),$V69,$U69)))=Milestones!$AB$21),UPPER(TEXT(EDATE($D69,Milestones!$AA$21),"dd mmm yy"))&amp;" "&amp;Milestones!$AB$21&amp;" "&amp;Milestones!$AC$21&amp;";  ","")&amp;IF(AND(EDATE($D69,Milestones!$AA$22)&lt;=AsOfDate,IF($R69=0,$X69,IF(AND($T69&lt;&gt;"",EDATE($D69,Milestones!$AA$22)&gt;=$T69),$W69,IF(AND($S69&lt;&gt;"",EDATE($D69,Milestones!$AA$22)&gt;=$S69),$V69,$U69)))=Milestones!$AB$22),UPPER(TEXT(EDATE($D69,Milestones!$AA$22),"dd mmm yy"))&amp;" "&amp;Milestones!$AB$22&amp;" "&amp;Milestones!$AC$22&amp;";  ","")&amp;IF(AND(EDATE($D69,Milestones!$AA$23)&lt;=AsOfDate,IF($R69=0,$X69,IF(AND($T69&lt;&gt;"",EDATE($D69,Milestones!$AA$23)&gt;=$T69),$W69,IF(AND($S69&lt;&gt;"",EDATE($D69,Milestones!$AA$23)&gt;=$S69),$V69,$U69)))=Milestones!$AB$23),UPPER(TEXT(EDATE($D69,Milestones!$AA$23),"dd mmm yy"))&amp;" "&amp;Milestones!$AB$23&amp;" "&amp;Milestones!$AC$23&amp;";  ","")&amp;IF(AND(EDATE($D69,Milestones!$AA$24)&lt;=AsOfDate,IF($R69=0,$X69,IF(AND($T69&lt;&gt;"",EDATE($D69,Milestones!$AA$24)&gt;=$T69),$W69,IF(AND($S69&lt;&gt;"",EDATE($D69,Milestones!$AA$24)&gt;=$S69),$V69,$U69)))=Milestones!$AB$24),UPPER(TEXT(EDATE($D69,Milestones!$AA$24),"dd mmm yy"))&amp;" "&amp;Milestones!$AB$24&amp;" "&amp;Milestones!$AC$24&amp;";  ","")&amp;IF(AND(EDATE($D69,Milestones!$AA$25)&lt;=AsOfDate,IF($R69=0,$X69,IF(AND($T69&lt;&gt;"",EDATE($D69,Milestones!$AA$25)&gt;=$T69),$W69,IF(AND($S69&lt;&gt;"",EDATE($D69,Milestones!$AA$25)&gt;=$S69),$V69,$U69)))=Milestones!$AB$25),UPPER(TEXT(EDATE($D69,Milestones!$AA$25),"dd mmm yy"))&amp;" "&amp;Milestones!$AB$25&amp;" "&amp;Milestones!$AC$25&amp;";  ","")&amp;IF(AND(EDATE($D69,Milestones!$AA$26)&lt;=AsOfDate,IF($R69=0,$X69,IF(AND($T69&lt;&gt;"",EDATE($D69,Milestones!$AA$26)&gt;=$T69),$W69,IF(AND($S69&lt;&gt;"",EDATE($D69,Milestones!$AA$26)&gt;=$S69),$V69,$U69)))=Milestones!$AB$26),UPPER(TEXT(EDATE($D69,Milestones!$AA$26),"dd mmm yy"))&amp;" "&amp;Milestones!$AB$26&amp;" "&amp;Milestones!$AC$26&amp;";  ","")&amp;IF(AND(EDATE($D69,Milestones!$AA$27)&lt;=AsOfDate,IF($R69=0,$X69,IF(AND($T69&lt;&gt;"",EDATE($D69,Milestones!$AA$27)&gt;=$T69),$W69,IF(AND($S69&lt;&gt;"",EDATE($D69,Milestones!$AA$27)&gt;=$S69),$V69,$U69)))=Milestones!$AB$27),UPPER(TEXT(EDATE($D69,Milestones!$AA$27),"dd mmm yy"))&amp;" "&amp;Milestones!$AB$27&amp;" "&amp;Milestones!$AC$27&amp;";  ","")&amp;IF(AND(EDATE($D69,Milestones!$AA$28)&lt;=AsOfDate,IF($R69=0,$X69,IF(AND($T69&lt;&gt;"",EDATE($D69,Milestones!$AA$28)&gt;=$T69),$W69,IF(AND($S69&lt;&gt;"",EDATE($D69,Milestones!$AA$28)&gt;=$S69),$V69,$U69)))=Milestones!$AB$28),UPPER(TEXT(EDATE($D69,Milestones!$AA$28),"dd mmm yy"))&amp;" "&amp;Milestones!$AB$28&amp;" "&amp;Milestones!$AC$28&amp;";  ","")&amp;IF(AND(EDATE($D69,Milestones!$AA$29)&lt;=AsOfDate,IF($R69=0,$X69,IF(AND($T69&lt;&gt;"",EDATE($D69,Milestones!$AA$29)&gt;=$T69),$W69,IF(AND($S69&lt;&gt;"",EDATE($D69,Milestones!$AA$29)&gt;=$S69),$V69,$U69)))=Milestones!$AB$29),UPPER(TEXT(EDATE($D69,Milestones!$AA$29),"dd mmm yy"))&amp;" "&amp;Milestones!$AB$29&amp;" "&amp;Milestones!$AC$29&amp;";  ","")&amp;IF(AND(EDATE($D69,Milestones!$AA$30)&lt;=AsOfDate,IF($R69=0,$X69,IF(AND($T69&lt;&gt;"",EDATE($D69,Milestones!$AA$30)&gt;=$T69),$W69,IF(AND($S69&lt;&gt;"",EDATE($D69,Milestones!$AA$30)&gt;=$S69),$V69,$U69)))=Milestones!$AB$30),UPPER(TEXT(EDATE($D69,Milestones!$AA$30),"dd mmm yy"))&amp;" "&amp;Milestones!$AB$30&amp;" "&amp;Milestones!$AC$30&amp;";  ","")&amp;IF(AND(EDATE($D69,Milestones!$AA$31)&lt;=AsOfDate,IF($R69=0,$X69,IF(AND($T69&lt;&gt;"",EDATE($D69,Milestones!$AA$31)&gt;=$T69),$W69,IF(AND($S69&lt;&gt;"",EDATE($D69,Milestones!$AA$31)&gt;=$S69),$V69,$U69)))=Milestones!$AB$31),UPPER(TEXT(EDATE($D69,Milestones!$AA$31),"dd mmm yy"))&amp;" "&amp;Milestones!$AB$31&amp;" "&amp;Milestones!$AC$31&amp;";  ","")&amp;IF(AND(EDATE($D69,Milestones!$AA$32)&lt;=AsOfDate,IF($R69=0,$X69,IF(AND($T69&lt;&gt;"",EDATE($D69,Milestones!$AA$32)&gt;=$T69),$W69,IF(AND($S69&lt;&gt;"",EDATE($D69,Milestones!$AA$32)&gt;=$S69),$V69,$U69)))=Milestones!$AB$32),UPPER(TEXT(EDATE($D69,Milestones!$AA$32),"dd mmm yy"))&amp;" "&amp;Milestones!$AB$32&amp;" "&amp;Milestones!$AC$32&amp;";  ","")&amp;IF(AND(EDATE($D69,Milestones!$AA$33)&lt;=AsOfDate,IF($R69=0,$X69,IF(AND($T69&lt;&gt;"",EDATE($D69,Milestones!$AA$33)&gt;=$T69),$W69,IF(AND($S69&lt;&gt;"",EDATE($D69,Milestones!$AA$33)&gt;=$S69),$V69,$U69)))=Milestones!$AB$33),UPPER(TEXT(EDATE($D69,Milestones!$AA$33),"dd mmm yy"))&amp;" "&amp;Milestones!$AB$33&amp;" "&amp;Milestones!$AC$33&amp;";  ","")&amp;IF(AND(EDATE($D69,Milestones!$AA$34)&lt;=AsOfDate,IF($R69=0,$X69,IF(AND($T69&lt;&gt;"",EDATE($D69,Milestones!$AA$34)&gt;=$T69),$W69,IF(AND($S69&lt;&gt;"",EDATE($D69,Milestones!$AA$34)&gt;=$S69),$V69,$U69)))=Milestones!$AB$34),UPPER(TEXT(EDATE($D69,Milestones!$AA$34),"dd mmm yy"))&amp;" "&amp;Milestones!$AB$34&amp;" "&amp;Milestones!$AC$34&amp;";  ","")&amp;IF(AND(EDATE($D69,Milestones!$AA$35)&lt;=AsOfDate,IF($R69=0,$X69,IF(AND($T69&lt;&gt;"",EDATE($D69,Milestones!$AA$35)&gt;=$T69),$W69,IF(AND($S69&lt;&gt;"",EDATE($D69,Milestones!$AA$35)&gt;=$S69),$V69,$U69)))=Milestones!$AB$35),UPPER(TEXT(EDATE($D69,Milestones!$AA$35),"dd mmm yy"))&amp;" "&amp;Milestones!$AB$35&amp;" "&amp;Milestones!$AC$35&amp;";  ","")&amp;IF(AND(EDATE($D69,Milestones!$AA$36)&lt;=AsOfDate,IF($R69=0,$X69,IF(AND($T69&lt;&gt;"",EDATE($D69,Milestones!$AA$36)&gt;=$T69),$W69,IF(AND($S69&lt;&gt;"",EDATE($D69,Milestones!$AA$36)&gt;=$S69),$V69,$U69)))=Milestones!$AB$36),UPPER(TEXT(EDATE($D69,Milestones!$AA$36),"dd mmm yy"))&amp;" "&amp;Milestones!$AB$36&amp;" "&amp;Milestones!$AC$36&amp;";  ","")&amp;IF(AND(EDATE($D69,Milestones!$AA$37)&lt;=AsOfDate,IF($R69=0,$X69,IF(AND($T69&lt;&gt;"",EDATE($D69,Milestones!$AA$37)&gt;=$T69),$W69,IF(AND($S69&lt;&gt;"",EDATE($D69,Milestones!$AA$37)&gt;=$S69),$V69,$U69)))=Milestones!$AB$37),UPPER(TEXT(EDATE($D69,Milestones!$AA$37),"dd mmm yy"))&amp;" "&amp;Milestones!$AB$37&amp;" "&amp;Milestones!$AC$37&amp;";  ","")&amp;IF(AND(EDATE($D69,Milestones!$AA$38)&lt;=AsOfDate,IF($R69=0,$X69,IF(AND($T69&lt;&gt;"",EDATE($D69,Milestones!$AA$38)&gt;=$T69),$W69,IF(AND($S69&lt;&gt;"",EDATE($D69,Milestones!$AA$38)&gt;=$S69),$V69,$U69)))=Milestones!$AB$38),UPPER(TEXT(EDATE($D69,Milestones!$AA$38),"dd mmm yy"))&amp;" "&amp;Milestones!$AB$38&amp;" "&amp;Milestones!$AC$38&amp;";  ","")&amp;IF(AND(EDATE($D69,Milestones!$AA$39)&lt;=AsOfDate,IF($R69=0,$X69,IF(AND($T69&lt;&gt;"",EDATE($D69,Milestones!$AA$39)&gt;=$T69),$W69,IF(AND($S69&lt;&gt;"",EDATE($D69,Milestones!$AA$39)&gt;=$S69),$V69,$U69)))=Milestones!$AB$39),UPPER(TEXT(EDATE($D69,Milestones!$AA$39),"dd mmm yy"))&amp;" "&amp;Milestones!$AB$39&amp;" "&amp;Milestones!$AC$39&amp;";  ",""))</f>
        <v/>
      </c>
      <c r="J69" s="0" t="str">
        <f aca="false">IF(OR($A69="",$D69=""),"",IF(AND(EDATE($D69,Milestones!$AA$40)&lt;=AsOfDate,IF($R69=0,$X69,IF(AND($T69&lt;&gt;"",EDATE($D69,Milestones!$AA$40)&gt;=$T69),$W69,IF(AND($S69&lt;&gt;"",EDATE($D69,Milestones!$AA$40)&gt;=$S69),$V69,$U69)))=Milestones!$AB$40),UPPER(TEXT(EDATE($D69,Milestones!$AA$40),"dd mmm yy"))&amp;" "&amp;Milestones!$AB$40&amp;" "&amp;Milestones!$AC$40&amp;";  ","")&amp;IF(AND(EDATE($D69,Milestones!$AA$41)&lt;=AsOfDate,IF($R69=0,$X69,IF(AND($T69&lt;&gt;"",EDATE($D69,Milestones!$AA$41)&gt;=$T69),$W69,IF(AND($S69&lt;&gt;"",EDATE($D69,Milestones!$AA$41)&gt;=$S69),$V69,$U69)))=Milestones!$AB$41),UPPER(TEXT(EDATE($D69,Milestones!$AA$41),"dd mmm yy"))&amp;" "&amp;Milestones!$AB$41&amp;" "&amp;Milestones!$AC$41&amp;";  ","")&amp;IF(AND(EDATE($D69,Milestones!$AA$42)&lt;=AsOfDate,IF($R69=0,$X69,IF(AND($T69&lt;&gt;"",EDATE($D69,Milestones!$AA$42)&gt;=$T69),$W69,IF(AND($S69&lt;&gt;"",EDATE($D69,Milestones!$AA$42)&gt;=$S69),$V69,$U69)))=Milestones!$AB$42),UPPER(TEXT(EDATE($D69,Milestones!$AA$42),"dd mmm yy"))&amp;" "&amp;Milestones!$AB$42&amp;" "&amp;Milestones!$AC$42&amp;";  ","")&amp;IF(AND(EDATE($D69,Milestones!$AA$43)&lt;=AsOfDate,IF($R69=0,$X69,IF(AND($T69&lt;&gt;"",EDATE($D69,Milestones!$AA$43)&gt;=$T69),$W69,IF(AND($S69&lt;&gt;"",EDATE($D69,Milestones!$AA$43)&gt;=$S69),$V69,$U69)))=Milestones!$AB$43),UPPER(TEXT(EDATE($D69,Milestones!$AA$43),"dd mmm yy"))&amp;" "&amp;Milestones!$AB$43&amp;" "&amp;Milestones!$AC$43&amp;";  ","")&amp;IF(AND(EDATE($D69,Milestones!$AA$44)&lt;=AsOfDate,IF($R69=0,$X69,IF(AND($T69&lt;&gt;"",EDATE($D69,Milestones!$AA$44)&gt;=$T69),$W69,IF(AND($S69&lt;&gt;"",EDATE($D69,Milestones!$AA$44)&gt;=$S69),$V69,$U69)))=Milestones!$AB$44),UPPER(TEXT(EDATE($D69,Milestones!$AA$44),"dd mmm yy"))&amp;" "&amp;Milestones!$AB$44&amp;" "&amp;Milestones!$AC$44&amp;";  ","")&amp;IF(AND(EDATE($D69,Milestones!$AA$45)&lt;=AsOfDate,IF($R69=0,$X69,IF(AND($T69&lt;&gt;"",EDATE($D69,Milestones!$AA$45)&gt;=$T69),$W69,IF(AND($S69&lt;&gt;"",EDATE($D69,Milestones!$AA$45)&gt;=$S69),$V69,$U69)))=Milestones!$AB$45),UPPER(TEXT(EDATE($D69,Milestones!$AA$45),"dd mmm yy"))&amp;" "&amp;Milestones!$AB$45&amp;" "&amp;Milestones!$AC$45&amp;";  ","")&amp;IF(AND(EDATE($D69,Milestones!$AA$46)&lt;=AsOfDate,IF($R69=0,$X69,IF(AND($T69&lt;&gt;"",EDATE($D69,Milestones!$AA$46)&gt;=$T69),$W69,IF(AND($S69&lt;&gt;"",EDATE($D69,Milestones!$AA$46)&gt;=$S69),$V69,$U69)))=Milestones!$AB$46),UPPER(TEXT(EDATE($D69,Milestones!$AA$46),"dd mmm yy"))&amp;" "&amp;Milestones!$AB$46&amp;" "&amp;Milestones!$AC$46&amp;";  ","")&amp;IF(AND(EDATE($D69,Milestones!$AA$47)&lt;=AsOfDate,IF($R69=0,$X69,IF(AND($T69&lt;&gt;"",EDATE($D69,Milestones!$AA$47)&gt;=$T69),$W69,IF(AND($S69&lt;&gt;"",EDATE($D69,Milestones!$AA$47)&gt;=$S69),$V69,$U69)))=Milestones!$AB$47),UPPER(TEXT(EDATE($D69,Milestones!$AA$47),"dd mmm yy"))&amp;" "&amp;Milestones!$AB$47&amp;" "&amp;Milestones!$AC$47&amp;";  ","")&amp;IF(AND(EDATE($D69,Milestones!$AA$48)&lt;=AsOfDate,IF($R69=0,$X69,IF(AND($T69&lt;&gt;"",EDATE($D69,Milestones!$AA$48)&gt;=$T69),$W69,IF(AND($S69&lt;&gt;"",EDATE($D69,Milestones!$AA$48)&gt;=$S69),$V69,$U69)))=Milestones!$AB$48),UPPER(TEXT(EDATE($D69,Milestones!$AA$48),"dd mmm yy"))&amp;" "&amp;Milestones!$AB$48&amp;" "&amp;Milestones!$AC$48&amp;";  ","")&amp;IF(AND(EDATE($D69,Milestones!$AA$49)&lt;=AsOfDate,IF($R69=0,$X69,IF(AND($T69&lt;&gt;"",EDATE($D69,Milestones!$AA$49)&gt;=$T69),$W69,IF(AND($S69&lt;&gt;"",EDATE($D69,Milestones!$AA$49)&gt;=$S69),$V69,$U69)))=Milestones!$AB$49),UPPER(TEXT(EDATE($D69,Milestones!$AA$49),"dd mmm yy"))&amp;" "&amp;Milestones!$AB$49&amp;" "&amp;Milestones!$AC$49&amp;";  ","")&amp;IF(AND(EDATE($D69,Milestones!$AA$50)&lt;=AsOfDate,IF($R69=0,$X69,IF(AND($T69&lt;&gt;"",EDATE($D69,Milestones!$AA$50)&gt;=$T69),$W69,IF(AND($S69&lt;&gt;"",EDATE($D69,Milestones!$AA$50)&gt;=$S69),$V69,$U69)))=Milestones!$AB$50),UPPER(TEXT(EDATE($D69,Milestones!$AA$50),"dd mmm yy"))&amp;" "&amp;Milestones!$AB$50&amp;" "&amp;Milestones!$AC$50&amp;";  ","")&amp;IF(AND(EDATE($D69,Milestones!$AA$51)&lt;=AsOfDate,IF($R69=0,$X69,IF(AND($T69&lt;&gt;"",EDATE($D69,Milestones!$AA$51)&gt;=$T69),$W69,IF(AND($S69&lt;&gt;"",EDATE($D69,Milestones!$AA$51)&gt;=$S69),$V69,$U69)))=Milestones!$AB$51),UPPER(TEXT(EDATE($D69,Milestones!$AA$51),"dd mmm yy"))&amp;" "&amp;Milestones!$AB$51&amp;" "&amp;Milestones!$AC$51&amp;";  ","")&amp;IF(AND(EDATE($D69,Milestones!$AA$52)&lt;=AsOfDate,IF($R69=0,$X69,IF(AND($T69&lt;&gt;"",EDATE($D69,Milestones!$AA$52)&gt;=$T69),$W69,IF(AND($S69&lt;&gt;"",EDATE($D69,Milestones!$AA$52)&gt;=$S69),$V69,$U69)))=Milestones!$AB$52),UPPER(TEXT(EDATE($D69,Milestones!$AA$52),"dd mmm yy"))&amp;" "&amp;Milestones!$AB$52&amp;" "&amp;Milestones!$AC$52&amp;";  ","")&amp;IF(AND(EDATE($D69,Milestones!$AA$53)&lt;=AsOfDate,IF($R69=0,$X69,IF(AND($T69&lt;&gt;"",EDATE($D69,Milestones!$AA$53)&gt;=$T69),$W69,IF(AND($S69&lt;&gt;"",EDATE($D69,Milestones!$AA$53)&gt;=$S69),$V69,$U69)))=Milestones!$AB$53),UPPER(TEXT(EDATE($D69,Milestones!$AA$53),"dd mmm yy"))&amp;" "&amp;Milestones!$AB$53&amp;" "&amp;Milestones!$AC$53&amp;";  ","")&amp;IF(AND(EDATE($D69,Milestones!$AA$54)&lt;=AsOfDate,IF($R69=0,$X69,IF(AND($T69&lt;&gt;"",EDATE($D69,Milestones!$AA$54)&gt;=$T69),$W69,IF(AND($S69&lt;&gt;"",EDATE($D69,Milestones!$AA$54)&gt;=$S69),$V69,$U69)))=Milestones!$AB$54),UPPER(TEXT(EDATE($D69,Milestones!$AA$54),"dd mmm yy"))&amp;" "&amp;Milestones!$AB$54&amp;" "&amp;Milestones!$AC$54&amp;";  ","")&amp;IF(AND(EDATE($D69,Milestones!$AA$55)&lt;=AsOfDate,IF($R69=0,$X69,IF(AND($T69&lt;&gt;"",EDATE($D69,Milestones!$AA$55)&gt;=$T69),$W69,IF(AND($S69&lt;&gt;"",EDATE($D69,Milestones!$AA$55)&gt;=$S69),$V69,$U69)))=Milestones!$AB$55),UPPER(TEXT(EDATE($D69,Milestones!$AA$55),"dd mmm yy"))&amp;" "&amp;Milestones!$AB$55&amp;" "&amp;Milestones!$AC$55&amp;";  ","")&amp;IF(AND(EDATE($D69,Milestones!$AA$56)&lt;=AsOfDate,IF($R69=0,$X69,IF(AND($T69&lt;&gt;"",EDATE($D69,Milestones!$AA$56)&gt;=$T69),$W69,IF(AND($S69&lt;&gt;"",EDATE($D69,Milestones!$AA$56)&gt;=$S69),$V69,$U69)))=Milestones!$AB$56),UPPER(TEXT(EDATE($D69,Milestones!$AA$56),"dd mmm yy"))&amp;" "&amp;Milestones!$AB$56&amp;" "&amp;Milestones!$AC$56&amp;";  ","")&amp;IF(AND(EDATE($D69,Milestones!$AA$57)&lt;=AsOfDate,IF($R69=0,$X69,IF(AND($T69&lt;&gt;"",EDATE($D69,Milestones!$AA$57)&gt;=$T69),$W69,IF(AND($S69&lt;&gt;"",EDATE($D69,Milestones!$AA$57)&gt;=$S69),$V69,$U69)))=Milestones!$AB$57),UPPER(TEXT(EDATE($D69,Milestones!$AA$57),"dd mmm yy"))&amp;" "&amp;Milestones!$AB$57&amp;" "&amp;Milestones!$AC$57&amp;";  ","")&amp;IF(AND(EDATE($D69,Milestones!$AA$58)&lt;=AsOfDate,IF($R69=0,$X69,IF(AND($T69&lt;&gt;"",EDATE($D69,Milestones!$AA$58)&gt;=$T69),$W69,IF(AND($S69&lt;&gt;"",EDATE($D69,Milestones!$AA$58)&gt;=$S69),$V69,$U69)))=Milestones!$AB$58),UPPER(TEXT(EDATE($D69,Milestones!$AA$58),"dd mmm yy"))&amp;" "&amp;Milestones!$AB$58&amp;" "&amp;Milestones!$AC$58&amp;";  ","")&amp;IF(AND(EDATE($D69,Milestones!$AA$59)&lt;=AsOfDate,IF($R69=0,$X69,IF(AND($T69&lt;&gt;"",EDATE($D69,Milestones!$AA$59)&gt;=$T69),$W69,IF(AND($S69&lt;&gt;"",EDATE($D69,Milestones!$AA$59)&gt;=$S69),$V69,$U69)))=Milestones!$AB$59),UPPER(TEXT(EDATE($D69,Milestones!$AA$59),"dd mmm yy"))&amp;" "&amp;Milestones!$AB$59&amp;" "&amp;Milestones!$AC$59&amp;";  ",""))</f>
        <v/>
      </c>
      <c r="K69" s="0" t="str">
        <f aca="false">IF(OR($A69="",$D69=""),"",IF(AND(EDATE($D69,Milestones!$AA$60)&lt;=AsOfDate,IF($R69=0,$X69,IF(AND($T69&lt;&gt;"",EDATE($D69,Milestones!$AA$60)&gt;=$T69),$W69,IF(AND($S69&lt;&gt;"",EDATE($D69,Milestones!$AA$60)&gt;=$S69),$V69,$U69)))=Milestones!$AB$60),UPPER(TEXT(EDATE($D69,Milestones!$AA$60),"dd mmm yy"))&amp;" "&amp;Milestones!$AB$60&amp;" "&amp;Milestones!$AC$60&amp;";  ","")&amp;IF(AND(EDATE($D69,Milestones!$AA$61)&lt;=AsOfDate,IF($R69=0,$X69,IF(AND($T69&lt;&gt;"",EDATE($D69,Milestones!$AA$61)&gt;=$T69),$W69,IF(AND($S69&lt;&gt;"",EDATE($D69,Milestones!$AA$61)&gt;=$S69),$V69,$U69)))=Milestones!$AB$61),UPPER(TEXT(EDATE($D69,Milestones!$AA$61),"dd mmm yy"))&amp;" "&amp;Milestones!$AB$61&amp;" "&amp;Milestones!$AC$61&amp;";  ","")&amp;IF(AND(EDATE($D69,Milestones!$AA$62)&lt;=AsOfDate,IF($R69=0,$X69,IF(AND($T69&lt;&gt;"",EDATE($D69,Milestones!$AA$62)&gt;=$T69),$W69,IF(AND($S69&lt;&gt;"",EDATE($D69,Milestones!$AA$62)&gt;=$S69),$V69,$U69)))=Milestones!$AB$62),UPPER(TEXT(EDATE($D69,Milestones!$AA$62),"dd mmm yy"))&amp;" "&amp;Milestones!$AB$62&amp;" "&amp;Milestones!$AC$62&amp;";  ","")&amp;IF(AND(EDATE($D69,Milestones!$AA$63)&lt;=AsOfDate,IF($R69=0,$X69,IF(AND($T69&lt;&gt;"",EDATE($D69,Milestones!$AA$63)&gt;=$T69),$W69,IF(AND($S69&lt;&gt;"",EDATE($D69,Milestones!$AA$63)&gt;=$S69),$V69,$U69)))=Milestones!$AB$63),UPPER(TEXT(EDATE($D69,Milestones!$AA$63),"dd mmm yy"))&amp;" "&amp;Milestones!$AB$63&amp;" "&amp;Milestones!$AC$63&amp;";  ","")&amp;IF(AND(EDATE($D69,Milestones!$AA$64)&lt;=AsOfDate,IF($R69=0,$X69,IF(AND($T69&lt;&gt;"",EDATE($D69,Milestones!$AA$64)&gt;=$T69),$W69,IF(AND($S69&lt;&gt;"",EDATE($D69,Milestones!$AA$64)&gt;=$S69),$V69,$U69)))=Milestones!$AB$64),UPPER(TEXT(EDATE($D69,Milestones!$AA$64),"dd mmm yy"))&amp;" "&amp;Milestones!$AB$64&amp;" "&amp;Milestones!$AC$64&amp;";  ","")&amp;IF(AND(EDATE($D69,Milestones!$AA$65)&lt;=AsOfDate,IF($R69=0,$X69,IF(AND($T69&lt;&gt;"",EDATE($D69,Milestones!$AA$65)&gt;=$T69),$W69,IF(AND($S69&lt;&gt;"",EDATE($D69,Milestones!$AA$65)&gt;=$S69),$V69,$U69)))=Milestones!$AB$65),UPPER(TEXT(EDATE($D69,Milestones!$AA$65),"dd mmm yy"))&amp;" "&amp;Milestones!$AB$65&amp;" "&amp;Milestones!$AC$65&amp;";  ","")&amp;IF(AND(EDATE($D69,Milestones!$AA$66)&lt;=AsOfDate,IF($R69=0,$X69,IF(AND($T69&lt;&gt;"",EDATE($D69,Milestones!$AA$66)&gt;=$T69),$W69,IF(AND($S69&lt;&gt;"",EDATE($D69,Milestones!$AA$66)&gt;=$S69),$V69,$U69)))=Milestones!$AB$66),UPPER(TEXT(EDATE($D69,Milestones!$AA$66),"dd mmm yy"))&amp;" "&amp;Milestones!$AB$66&amp;" "&amp;Milestones!$AC$66&amp;";  ","")&amp;IF(AND(EDATE($D69,Milestones!$AA$67)&lt;=AsOfDate,IF($R69=0,$X69,IF(AND($T69&lt;&gt;"",EDATE($D69,Milestones!$AA$67)&gt;=$T69),$W69,IF(AND($S69&lt;&gt;"",EDATE($D69,Milestones!$AA$67)&gt;=$S69),$V69,$U69)))=Milestones!$AB$67),UPPER(TEXT(EDATE($D69,Milestones!$AA$67),"dd mmm yy"))&amp;" "&amp;Milestones!$AB$67&amp;" "&amp;Milestones!$AC$67&amp;";  ","")&amp;IF(AND(EDATE($D69,Milestones!$AA$68)&lt;=AsOfDate,IF($R69=0,$X69,IF(AND($T69&lt;&gt;"",EDATE($D69,Milestones!$AA$68)&gt;=$T69),$W69,IF(AND($S69&lt;&gt;"",EDATE($D69,Milestones!$AA$68)&gt;=$S69),$V69,$U69)))=Milestones!$AB$68),UPPER(TEXT(EDATE($D69,Milestones!$AA$68),"dd mmm yy"))&amp;" "&amp;Milestones!$AB$68&amp;" "&amp;Milestones!$AC$68&amp;";  ","")&amp;IF(AND(EDATE($D69,Milestones!$AA$69)&lt;=AsOfDate,IF($R69=0,$X69,IF(AND($T69&lt;&gt;"",EDATE($D69,Milestones!$AA$69)&gt;=$T69),$W69,IF(AND($S69&lt;&gt;"",EDATE($D69,Milestones!$AA$69)&gt;=$S69),$V69,$U69)))=Milestones!$AB$69),UPPER(TEXT(EDATE($D69,Milestones!$AA$69),"dd mmm yy"))&amp;" "&amp;Milestones!$AB$69&amp;" "&amp;Milestones!$AC$69&amp;";  ","")&amp;IF(AND(EDATE($D69,Milestones!$AA$70)&lt;=AsOfDate,IF($R69=0,$X69,IF(AND($T69&lt;&gt;"",EDATE($D69,Milestones!$AA$70)&gt;=$T69),$W69,IF(AND($S69&lt;&gt;"",EDATE($D69,Milestones!$AA$70)&gt;=$S69),$V69,$U69)))=Milestones!$AB$70),UPPER(TEXT(EDATE($D69,Milestones!$AA$70),"dd mmm yy"))&amp;" "&amp;Milestones!$AB$70&amp;" "&amp;Milestones!$AC$70&amp;";  ","")&amp;IF(AND(EDATE($D69,Milestones!$AA$71)&lt;=AsOfDate,IF($R69=0,$X69,IF(AND($T69&lt;&gt;"",EDATE($D69,Milestones!$AA$71)&gt;=$T69),$W69,IF(AND($S69&lt;&gt;"",EDATE($D69,Milestones!$AA$71)&gt;=$S69),$V69,$U69)))=Milestones!$AB$71),UPPER(TEXT(EDATE($D69,Milestones!$AA$71),"dd mmm yy"))&amp;" "&amp;Milestones!$AB$71&amp;" "&amp;Milestones!$AC$71&amp;";  ","")&amp;IF(AND(EDATE($D69,Milestones!$AA$72)&lt;=AsOfDate,IF($R69=0,$X69,IF(AND($T69&lt;&gt;"",EDATE($D69,Milestones!$AA$72)&gt;=$T69),$W69,IF(AND($S69&lt;&gt;"",EDATE($D69,Milestones!$AA$72)&gt;=$S69),$V69,$U69)))=Milestones!$AB$72),UPPER(TEXT(EDATE($D69,Milestones!$AA$72),"dd mmm yy"))&amp;" "&amp;Milestones!$AB$72&amp;" "&amp;Milestones!$AC$72&amp;";  ","")&amp;IF(AND(EDATE($D69,Milestones!$AA$73)&lt;=AsOfDate,IF($R69=0,$X69,IF(AND($T69&lt;&gt;"",EDATE($D69,Milestones!$AA$73)&gt;=$T69),$W69,IF(AND($S69&lt;&gt;"",EDATE($D69,Milestones!$AA$73)&gt;=$S69),$V69,$U69)))=Milestones!$AB$73),UPPER(TEXT(EDATE($D69,Milestones!$AA$73),"dd mmm yy"))&amp;" "&amp;Milestones!$AB$73&amp;" "&amp;Milestones!$AC$73&amp;";  ","")&amp;IF(AND(EDATE($D69,Milestones!$AA$74)&lt;=AsOfDate,IF($R69=0,$X69,IF(AND($T69&lt;&gt;"",EDATE($D69,Milestones!$AA$74)&gt;=$T69),$W69,IF(AND($S69&lt;&gt;"",EDATE($D69,Milestones!$AA$74)&gt;=$S69),$V69,$U69)))=Milestones!$AB$74),UPPER(TEXT(EDATE($D69,Milestones!$AA$74),"dd mmm yy"))&amp;" "&amp;Milestones!$AB$74&amp;" "&amp;Milestones!$AC$74&amp;";  ","")&amp;IF(AND(EDATE($D69,Milestones!$AA$75)&lt;=AsOfDate,IF($R69=0,$X69,IF(AND($T69&lt;&gt;"",EDATE($D69,Milestones!$AA$75)&gt;=$T69),$W69,IF(AND($S69&lt;&gt;"",EDATE($D69,Milestones!$AA$75)&gt;=$S69),$V69,$U69)))=Milestones!$AB$75),UPPER(TEXT(EDATE($D69,Milestones!$AA$75),"dd mmm yy"))&amp;" "&amp;Milestones!$AB$75&amp;" "&amp;Milestones!$AC$75&amp;";  ","")&amp;IF(AND(EDATE($D69,Milestones!$AA$76)&lt;=AsOfDate,IF($R69=0,$X69,IF(AND($T69&lt;&gt;"",EDATE($D69,Milestones!$AA$76)&gt;=$T69),$W69,IF(AND($S69&lt;&gt;"",EDATE($D69,Milestones!$AA$76)&gt;=$S69),$V69,$U69)))=Milestones!$AB$76),UPPER(TEXT(EDATE($D69,Milestones!$AA$76),"dd mmm yy"))&amp;" "&amp;Milestones!$AB$76&amp;" "&amp;Milestones!$AC$76&amp;";  ","")&amp;IF(AND(EDATE($D69,Milestones!$AA$77)&lt;=AsOfDate,IF($R69=0,$X69,IF(AND($T69&lt;&gt;"",EDATE($D69,Milestones!$AA$77)&gt;=$T69),$W69,IF(AND($S69&lt;&gt;"",EDATE($D69,Milestones!$AA$77)&gt;=$S69),$V69,$U69)))=Milestones!$AB$77),UPPER(TEXT(EDATE($D69,Milestones!$AA$77),"dd mmm yy"))&amp;" "&amp;Milestones!$AB$77&amp;" "&amp;Milestones!$AC$77&amp;";  ","")&amp;IF(AND(EDATE($D69,Milestones!$AA$78)&lt;=AsOfDate,IF($R69=0,$X69,IF(AND($T69&lt;&gt;"",EDATE($D69,Milestones!$AA$78)&gt;=$T69),$W69,IF(AND($S69&lt;&gt;"",EDATE($D69,Milestones!$AA$78)&gt;=$S69),$V69,$U69)))=Milestones!$AB$78),UPPER(TEXT(EDATE($D69,Milestones!$AA$78),"dd mmm yy"))&amp;" "&amp;Milestones!$AB$78&amp;" "&amp;Milestones!$AC$78&amp;";  ","")&amp;IF(AND(EDATE($D69,Milestones!$AA$79)&lt;=AsOfDate,IF($R69=0,$X69,IF(AND($T69&lt;&gt;"",EDATE($D69,Milestones!$AA$79)&gt;=$T69),$W69,IF(AND($S69&lt;&gt;"",EDATE($D69,Milestones!$AA$79)&gt;=$S69),$V69,$U69)))=Milestones!$AB$79),UPPER(TEXT(EDATE($D69,Milestones!$AA$79),"dd mmm yy"))&amp;" "&amp;Milestones!$AB$79&amp;" "&amp;Milestones!$AC$79&amp;";  ",""))</f>
        <v/>
      </c>
      <c r="L69" s="0" t="str">
        <f aca="false">IF(OR($A69="",$D69=""),"",IF(AND(EDATE($D69,Milestones!$AA$80)&lt;=AsOfDate,IF($R69=0,$X69,IF(AND($T69&lt;&gt;"",EDATE($D69,Milestones!$AA$80)&gt;=$T69),$W69,IF(AND($S69&lt;&gt;"",EDATE($D69,Milestones!$AA$80)&gt;=$S69),$V69,$U69)))=Milestones!$AB$80),UPPER(TEXT(EDATE($D69,Milestones!$AA$80),"dd mmm yy"))&amp;" "&amp;Milestones!$AB$80&amp;" "&amp;Milestones!$AC$80&amp;";  ","")&amp;IF(AND(EDATE($D69,Milestones!$AA$81)&lt;=AsOfDate,IF($R69=0,$X69,IF(AND($T69&lt;&gt;"",EDATE($D69,Milestones!$AA$81)&gt;=$T69),$W69,IF(AND($S69&lt;&gt;"",EDATE($D69,Milestones!$AA$81)&gt;=$S69),$V69,$U69)))=Milestones!$AB$81),UPPER(TEXT(EDATE($D69,Milestones!$AA$81),"dd mmm yy"))&amp;" "&amp;Milestones!$AB$81&amp;" "&amp;Milestones!$AC$81&amp;";  ","")&amp;IF(AND(EDATE($D69,Milestones!$AA$82)&lt;=AsOfDate,IF($R69=0,$X69,IF(AND($T69&lt;&gt;"",EDATE($D69,Milestones!$AA$82)&gt;=$T69),$W69,IF(AND($S69&lt;&gt;"",EDATE($D69,Milestones!$AA$82)&gt;=$S69),$V69,$U69)))=Milestones!$AB$82),UPPER(TEXT(EDATE($D69,Milestones!$AA$82),"dd mmm yy"))&amp;" "&amp;Milestones!$AB$82&amp;" "&amp;Milestones!$AC$82&amp;";  ","")&amp;IF(AND(EDATE($D69,Milestones!$AA$83)&lt;=AsOfDate,IF($R69=0,$X69,IF(AND($T69&lt;&gt;"",EDATE($D69,Milestones!$AA$83)&gt;=$T69),$W69,IF(AND($S69&lt;&gt;"",EDATE($D69,Milestones!$AA$83)&gt;=$S69),$V69,$U69)))=Milestones!$AB$83),UPPER(TEXT(EDATE($D69,Milestones!$AA$83),"dd mmm yy"))&amp;" "&amp;Milestones!$AB$83&amp;" "&amp;Milestones!$AC$83&amp;";  ","")&amp;IF(AND(EDATE($D69,Milestones!$AA$84)&lt;=AsOfDate,IF($R69=0,$X69,IF(AND($T69&lt;&gt;"",EDATE($D69,Milestones!$AA$84)&gt;=$T69),$W69,IF(AND($S69&lt;&gt;"",EDATE($D69,Milestones!$AA$84)&gt;=$S69),$V69,$U69)))=Milestones!$AB$84),UPPER(TEXT(EDATE($D69,Milestones!$AA$84),"dd mmm yy"))&amp;" "&amp;Milestones!$AB$84&amp;" "&amp;Milestones!$AC$84&amp;";  ","")&amp;IF(AND(EDATE($D69,Milestones!$AA$85)&lt;=AsOfDate,IF($R69=0,$X69,IF(AND($T69&lt;&gt;"",EDATE($D69,Milestones!$AA$85)&gt;=$T69),$W69,IF(AND($S69&lt;&gt;"",EDATE($D69,Milestones!$AA$85)&gt;=$S69),$V69,$U69)))=Milestones!$AB$85),UPPER(TEXT(EDATE($D69,Milestones!$AA$85),"dd mmm yy"))&amp;" "&amp;Milestones!$AB$85&amp;" "&amp;Milestones!$AC$85&amp;";  ","")&amp;IF(AND(EDATE($D69,Milestones!$AA$86)&lt;=AsOfDate,IF($R69=0,$X69,IF(AND($T69&lt;&gt;"",EDATE($D69,Milestones!$AA$86)&gt;=$T69),$W69,IF(AND($S69&lt;&gt;"",EDATE($D69,Milestones!$AA$86)&gt;=$S69),$V69,$U69)))=Milestones!$AB$86),UPPER(TEXT(EDATE($D69,Milestones!$AA$86),"dd mmm yy"))&amp;" "&amp;Milestones!$AB$86&amp;" "&amp;Milestones!$AC$86&amp;";  ","")&amp;IF(AND(EDATE($D69,Milestones!$AA$87)&lt;=AsOfDate,IF($R69=0,$X69,IF(AND($T69&lt;&gt;"",EDATE($D69,Milestones!$AA$87)&gt;=$T69),$W69,IF(AND($S69&lt;&gt;"",EDATE($D69,Milestones!$AA$87)&gt;=$S69),$V69,$U69)))=Milestones!$AB$87),UPPER(TEXT(EDATE($D69,Milestones!$AA$87),"dd mmm yy"))&amp;" "&amp;Milestones!$AB$87&amp;" "&amp;Milestones!$AC$87&amp;";  ","")&amp;IF(AND(EDATE($D69,Milestones!$AA$88)&lt;=AsOfDate,IF($R69=0,$X69,IF(AND($T69&lt;&gt;"",EDATE($D69,Milestones!$AA$88)&gt;=$T69),$W69,IF(AND($S69&lt;&gt;"",EDATE($D69,Milestones!$AA$88)&gt;=$S69),$V69,$U69)))=Milestones!$AB$88),UPPER(TEXT(EDATE($D69,Milestones!$AA$88),"dd mmm yy"))&amp;" "&amp;Milestones!$AB$88&amp;" "&amp;Milestones!$AC$88&amp;";  ","")&amp;IF(AND(EDATE($D69,Milestones!$AA$89)&lt;=AsOfDate,IF($R69=0,$X69,IF(AND($T69&lt;&gt;"",EDATE($D69,Milestones!$AA$89)&gt;=$T69),$W69,IF(AND($S69&lt;&gt;"",EDATE($D69,Milestones!$AA$89)&gt;=$S69),$V69,$U69)))=Milestones!$AB$89),UPPER(TEXT(EDATE($D69,Milestones!$AA$89),"dd mmm yy"))&amp;" "&amp;Milestones!$AB$89&amp;" "&amp;Milestones!$AC$89&amp;";  ","")&amp;IF(AND(EDATE($D69,Milestones!$AA$90)&lt;=AsOfDate,IF($R69=0,$X69,IF(AND($T69&lt;&gt;"",EDATE($D69,Milestones!$AA$90)&gt;=$T69),$W69,IF(AND($S69&lt;&gt;"",EDATE($D69,Milestones!$AA$90)&gt;=$S69),$V69,$U69)))=Milestones!$AB$90),UPPER(TEXT(EDATE($D69,Milestones!$AA$90),"dd mmm yy"))&amp;" "&amp;Milestones!$AB$90&amp;" "&amp;Milestones!$AC$90&amp;";  ","")&amp;IF(AND(EDATE($D69,Milestones!$AA$91)&lt;=AsOfDate,IF($R69=0,$X69,IF(AND($T69&lt;&gt;"",EDATE($D69,Milestones!$AA$91)&gt;=$T69),$W69,IF(AND($S69&lt;&gt;"",EDATE($D69,Milestones!$AA$91)&gt;=$S69),$V69,$U69)))=Milestones!$AB$91),UPPER(TEXT(EDATE($D69,Milestones!$AA$91),"dd mmm yy"))&amp;" "&amp;Milestones!$AB$91&amp;" "&amp;Milestones!$AC$91&amp;";  ","")&amp;IF(AND(EDATE($D69,Milestones!$AA$92)&lt;=AsOfDate,IF($R69=0,$X69,IF(AND($T69&lt;&gt;"",EDATE($D69,Milestones!$AA$92)&gt;=$T69),$W69,IF(AND($S69&lt;&gt;"",EDATE($D69,Milestones!$AA$92)&gt;=$S69),$V69,$U69)))=Milestones!$AB$92),UPPER(TEXT(EDATE($D69,Milestones!$AA$92),"dd mmm yy"))&amp;" "&amp;Milestones!$AB$92&amp;" "&amp;Milestones!$AC$92&amp;";  ","")&amp;IF(AND(EDATE($D69,Milestones!$AA$93)&lt;=AsOfDate,IF($R69=0,$X69,IF(AND($T69&lt;&gt;"",EDATE($D69,Milestones!$AA$93)&gt;=$T69),$W69,IF(AND($S69&lt;&gt;"",EDATE($D69,Milestones!$AA$93)&gt;=$S69),$V69,$U69)))=Milestones!$AB$93),UPPER(TEXT(EDATE($D69,Milestones!$AA$93),"dd mmm yy"))&amp;" "&amp;Milestones!$AB$93&amp;" "&amp;Milestones!$AC$93&amp;";  ","")&amp;IF(AND(EDATE($D69,Milestones!$AA$94)&lt;=AsOfDate,IF($R69=0,$X69,IF(AND($T69&lt;&gt;"",EDATE($D69,Milestones!$AA$94)&gt;=$T69),$W69,IF(AND($S69&lt;&gt;"",EDATE($D69,Milestones!$AA$94)&gt;=$S69),$V69,$U69)))=Milestones!$AB$94),UPPER(TEXT(EDATE($D69,Milestones!$AA$94),"dd mmm yy"))&amp;" "&amp;Milestones!$AB$94&amp;" "&amp;Milestones!$AC$94&amp;";  ","")&amp;IF(AND(EDATE($D69,Milestones!$AA$95)&lt;=AsOfDate,IF($R69=0,$X69,IF(AND($T69&lt;&gt;"",EDATE($D69,Milestones!$AA$95)&gt;=$T69),$W69,IF(AND($S69&lt;&gt;"",EDATE($D69,Milestones!$AA$95)&gt;=$S69),$V69,$U69)))=Milestones!$AB$95),UPPER(TEXT(EDATE($D69,Milestones!$AA$95),"dd mmm yy"))&amp;" "&amp;Milestones!$AB$95&amp;" "&amp;Milestones!$AC$95&amp;";  ","")&amp;IF(AND(EDATE($D69,Milestones!$AA$96)&lt;=AsOfDate,IF($R69=0,$X69,IF(AND($T69&lt;&gt;"",EDATE($D69,Milestones!$AA$96)&gt;=$T69),$W69,IF(AND($S69&lt;&gt;"",EDATE($D69,Milestones!$AA$96)&gt;=$S69),$V69,$U69)))=Milestones!$AB$96),UPPER(TEXT(EDATE($D69,Milestones!$AA$96),"dd mmm yy"))&amp;" "&amp;Milestones!$AB$96&amp;" "&amp;Milestones!$AC$96&amp;";  ","")&amp;IF(AND(EDATE($D69,Milestones!$AA$97)&lt;=AsOfDate,IF($R69=0,$X69,IF(AND($T69&lt;&gt;"",EDATE($D69,Milestones!$AA$97)&gt;=$T69),$W69,IF(AND($S69&lt;&gt;"",EDATE($D69,Milestones!$AA$97)&gt;=$S69),$V69,$U69)))=Milestones!$AB$97),UPPER(TEXT(EDATE($D69,Milestones!$AA$97),"dd mmm yy"))&amp;" "&amp;Milestones!$AB$97&amp;" "&amp;Milestones!$AC$97&amp;";  ","")&amp;IF(AND(EDATE($D69,Milestones!$AA$98)&lt;=AsOfDate,IF($R69=0,$X69,IF(AND($T69&lt;&gt;"",EDATE($D69,Milestones!$AA$98)&gt;=$T69),$W69,IF(AND($S69&lt;&gt;"",EDATE($D69,Milestones!$AA$98)&gt;=$S69),$V69,$U69)))=Milestones!$AB$98),UPPER(TEXT(EDATE($D69,Milestones!$AA$98),"dd mmm yy"))&amp;" "&amp;Milestones!$AB$98&amp;" "&amp;Milestones!$AC$98&amp;";  ","")&amp;IF(AND(EDATE($D69,Milestones!$AA$99)&lt;=AsOfDate,IF($R69=0,$X69,IF(AND($T69&lt;&gt;"",EDATE($D69,Milestones!$AA$99)&gt;=$T69),$W69,IF(AND($S69&lt;&gt;"",EDATE($D69,Milestones!$AA$99)&gt;=$S69),$V69,$U69)))=Milestones!$AB$99),UPPER(TEXT(EDATE($D69,Milestones!$AA$99),"dd mmm yy"))&amp;" "&amp;Milestones!$AB$99&amp;" "&amp;Milestones!$AC$99&amp;";  ",""))</f>
        <v/>
      </c>
      <c r="M69" s="0" t="str">
        <f aca="false">IF(OR($A69="",$D69=""),"",IF(AND(EDATE($D69,Milestones!$AA$100)&lt;=AsOfDate,IF($R69=0,$X69,IF(AND($T69&lt;&gt;"",EDATE($D69,Milestones!$AA$100)&gt;=$T69),$W69,IF(AND($S69&lt;&gt;"",EDATE($D69,Milestones!$AA$100)&gt;=$S69),$V69,$U69)))=Milestones!$AB$100),UPPER(TEXT(EDATE($D69,Milestones!$AA$100),"dd mmm yy"))&amp;" "&amp;Milestones!$AB$100&amp;" "&amp;Milestones!$AC$100&amp;";  ","")&amp;IF(AND(EDATE($D69,Milestones!$AA$101)&lt;=AsOfDate,IF($R69=0,$X69,IF(AND($T69&lt;&gt;"",EDATE($D69,Milestones!$AA$101)&gt;=$T69),$W69,IF(AND($S69&lt;&gt;"",EDATE($D69,Milestones!$AA$101)&gt;=$S69),$V69,$U69)))=Milestones!$AB$101),UPPER(TEXT(EDATE($D69,Milestones!$AA$101),"dd mmm yy"))&amp;" "&amp;Milestones!$AB$101&amp;" "&amp;Milestones!$AC$101&amp;";  ","")&amp;IF(AND(EDATE($D69,Milestones!$AA$102)&lt;=AsOfDate,IF($R69=0,$X69,IF(AND($T69&lt;&gt;"",EDATE($D69,Milestones!$AA$102)&gt;=$T69),$W69,IF(AND($S69&lt;&gt;"",EDATE($D69,Milestones!$AA$102)&gt;=$S69),$V69,$U69)))=Milestones!$AB$102),UPPER(TEXT(EDATE($D69,Milestones!$AA$102),"dd mmm yy"))&amp;" "&amp;Milestones!$AB$102&amp;" "&amp;Milestones!$AC$102&amp;";  ","")&amp;IF(AND(EDATE($D69,Milestones!$AA$103)&lt;=AsOfDate,IF($R69=0,$X69,IF(AND($T69&lt;&gt;"",EDATE($D69,Milestones!$AA$103)&gt;=$T69),$W69,IF(AND($S69&lt;&gt;"",EDATE($D69,Milestones!$AA$103)&gt;=$S69),$V69,$U69)))=Milestones!$AB$103),UPPER(TEXT(EDATE($D69,Milestones!$AA$103),"dd mmm yy"))&amp;" "&amp;Milestones!$AB$103&amp;" "&amp;Milestones!$AC$103&amp;";  ","")&amp;IF(AND(EDATE($D69,Milestones!$AA$104)&lt;=AsOfDate,IF($R69=0,$X69,IF(AND($T69&lt;&gt;"",EDATE($D69,Milestones!$AA$104)&gt;=$T69),$W69,IF(AND($S69&lt;&gt;"",EDATE($D69,Milestones!$AA$104)&gt;=$S69),$V69,$U69)))=Milestones!$AB$104),UPPER(TEXT(EDATE($D69,Milestones!$AA$104),"dd mmm yy"))&amp;" "&amp;Milestones!$AB$104&amp;" "&amp;Milestones!$AC$104&amp;";  ","")&amp;IF(AND(EDATE($D69,Milestones!$AA$105)&lt;=AsOfDate,IF($R69=0,$X69,IF(AND($T69&lt;&gt;"",EDATE($D69,Milestones!$AA$105)&gt;=$T69),$W69,IF(AND($S69&lt;&gt;"",EDATE($D69,Milestones!$AA$105)&gt;=$S69),$V69,$U69)))=Milestones!$AB$105),UPPER(TEXT(EDATE($D69,Milestones!$AA$105),"dd mmm yy"))&amp;" "&amp;Milestones!$AB$105&amp;" "&amp;Milestones!$AC$105&amp;";  ","")&amp;IF(AND(EDATE($D69,Milestones!$AA$106)&lt;=AsOfDate,IF($R69=0,$X69,IF(AND($T69&lt;&gt;"",EDATE($D69,Milestones!$AA$106)&gt;=$T69),$W69,IF(AND($S69&lt;&gt;"",EDATE($D69,Milestones!$AA$106)&gt;=$S69),$V69,$U69)))=Milestones!$AB$106),UPPER(TEXT(EDATE($D69,Milestones!$AA$106),"dd mmm yy"))&amp;" "&amp;Milestones!$AB$106&amp;" "&amp;Milestones!$AC$106&amp;";  ","")&amp;IF(AND(EDATE($D69,Milestones!$AA$107)&lt;=AsOfDate,IF($R69=0,$X69,IF(AND($T69&lt;&gt;"",EDATE($D69,Milestones!$AA$107)&gt;=$T69),$W69,IF(AND($S69&lt;&gt;"",EDATE($D69,Milestones!$AA$107)&gt;=$S69),$V69,$U69)))=Milestones!$AB$107),UPPER(TEXT(EDATE($D69,Milestones!$AA$107),"dd mmm yy"))&amp;" "&amp;Milestones!$AB$107&amp;" "&amp;Milestones!$AC$107&amp;";  ","")&amp;IF(AND(EDATE($D69,Milestones!$AA$108)&lt;=AsOfDate,IF($R69=0,$X69,IF(AND($T69&lt;&gt;"",EDATE($D69,Milestones!$AA$108)&gt;=$T69),$W69,IF(AND($S69&lt;&gt;"",EDATE($D69,Milestones!$AA$108)&gt;=$S69),$V69,$U69)))=Milestones!$AB$108),UPPER(TEXT(EDATE($D69,Milestones!$AA$108),"dd mmm yy"))&amp;" "&amp;Milestones!$AB$108&amp;" "&amp;Milestones!$AC$108&amp;";  ","")&amp;IF(AND(EDATE($D69,Milestones!$AA$109)&lt;=AsOfDate,IF($R69=0,$X69,IF(AND($T69&lt;&gt;"",EDATE($D69,Milestones!$AA$109)&gt;=$T69),$W69,IF(AND($S69&lt;&gt;"",EDATE($D69,Milestones!$AA$109)&gt;=$S69),$V69,$U69)))=Milestones!$AB$109),UPPER(TEXT(EDATE($D69,Milestones!$AA$109),"dd mmm yy"))&amp;" "&amp;Milestones!$AB$109&amp;" "&amp;Milestones!$AC$109&amp;";  ","")&amp;IF(AND(EDATE($D69,Milestones!$AA$110)&lt;=AsOfDate,IF($R69=0,$X69,IF(AND($T69&lt;&gt;"",EDATE($D69,Milestones!$AA$110)&gt;=$T69),$W69,IF(AND($S69&lt;&gt;"",EDATE($D69,Milestones!$AA$110)&gt;=$S69),$V69,$U69)))=Milestones!$AB$110),UPPER(TEXT(EDATE($D69,Milestones!$AA$110),"dd mmm yy"))&amp;" "&amp;Milestones!$AB$110&amp;" "&amp;Milestones!$AC$110&amp;";  ","")&amp;IF(AND(EDATE($D69,Milestones!$AA$111)&lt;=AsOfDate,IF($R69=0,$X69,IF(AND($T69&lt;&gt;"",EDATE($D69,Milestones!$AA$111)&gt;=$T69),$W69,IF(AND($S69&lt;&gt;"",EDATE($D69,Milestones!$AA$111)&gt;=$S69),$V69,$U69)))=Milestones!$AB$111),UPPER(TEXT(EDATE($D69,Milestones!$AA$111),"dd mmm yy"))&amp;" "&amp;Milestones!$AB$111&amp;" "&amp;Milestones!$AC$111&amp;";  ","")&amp;IF(AND(EDATE($D69,Milestones!$AA$112)&lt;=AsOfDate,IF($R69=0,$X69,IF(AND($T69&lt;&gt;"",EDATE($D69,Milestones!$AA$112)&gt;=$T69),$W69,IF(AND($S69&lt;&gt;"",EDATE($D69,Milestones!$AA$112)&gt;=$S69),$V69,$U69)))=Milestones!$AB$112),UPPER(TEXT(EDATE($D69,Milestones!$AA$112),"dd mmm yy"))&amp;" "&amp;Milestones!$AB$112&amp;" "&amp;Milestones!$AC$112&amp;";  ","")&amp;IF(AND(EDATE($D69,Milestones!$AA$113)&lt;=AsOfDate,IF($R69=0,$X69,IF(AND($T69&lt;&gt;"",EDATE($D69,Milestones!$AA$113)&gt;=$T69),$W69,IF(AND($S69&lt;&gt;"",EDATE($D69,Milestones!$AA$113)&gt;=$S69),$V69,$U69)))=Milestones!$AB$113),UPPER(TEXT(EDATE($D69,Milestones!$AA$113),"dd mmm yy"))&amp;" "&amp;Milestones!$AB$113&amp;" "&amp;Milestones!$AC$113&amp;";  ","")&amp;IF(AND(EDATE($D69,Milestones!$AA$114)&lt;=AsOfDate,IF($R69=0,$X69,IF(AND($T69&lt;&gt;"",EDATE($D69,Milestones!$AA$114)&gt;=$T69),$W69,IF(AND($S69&lt;&gt;"",EDATE($D69,Milestones!$AA$114)&gt;=$S69),$V69,$U69)))=Milestones!$AB$114),UPPER(TEXT(EDATE($D69,Milestones!$AA$114),"dd mmm yy"))&amp;" "&amp;Milestones!$AB$114&amp;" "&amp;Milestones!$AC$114&amp;";  ","")&amp;IF(AND(EDATE($D69,Milestones!$AA$115)&lt;=AsOfDate,IF($R69=0,$X69,IF(AND($T69&lt;&gt;"",EDATE($D69,Milestones!$AA$115)&gt;=$T69),$W69,IF(AND($S69&lt;&gt;"",EDATE($D69,Milestones!$AA$115)&gt;=$S69),$V69,$U69)))=Milestones!$AB$115),UPPER(TEXT(EDATE($D69,Milestones!$AA$115),"dd mmm yy"))&amp;" "&amp;Milestones!$AB$115&amp;" "&amp;Milestones!$AC$115&amp;";  ","")&amp;IF(AND(EDATE($D69,Milestones!$AA$116)&lt;=AsOfDate,IF($R69=0,$X69,IF(AND($T69&lt;&gt;"",EDATE($D69,Milestones!$AA$116)&gt;=$T69),$W69,IF(AND($S69&lt;&gt;"",EDATE($D69,Milestones!$AA$116)&gt;=$S69),$V69,$U69)))=Milestones!$AB$116),UPPER(TEXT(EDATE($D69,Milestones!$AA$116),"dd mmm yy"))&amp;" "&amp;Milestones!$AB$116&amp;" "&amp;Milestones!$AC$116&amp;";  ","")&amp;IF(AND(EDATE($D69,Milestones!$AA$117)&lt;=AsOfDate,IF($R69=0,$X69,IF(AND($T69&lt;&gt;"",EDATE($D69,Milestones!$AA$117)&gt;=$T69),$W69,IF(AND($S69&lt;&gt;"",EDATE($D69,Milestones!$AA$117)&gt;=$S69),$V69,$U69)))=Milestones!$AB$117),UPPER(TEXT(EDATE($D69,Milestones!$AA$117),"dd mmm yy"))&amp;" "&amp;Milestones!$AB$117&amp;" "&amp;Milestones!$AC$117&amp;";  ","")&amp;IF(AND(EDATE($D69,Milestones!$AA$118)&lt;=AsOfDate,IF($R69=0,$X69,IF(AND($T69&lt;&gt;"",EDATE($D69,Milestones!$AA$118)&gt;=$T69),$W69,IF(AND($S69&lt;&gt;"",EDATE($D69,Milestones!$AA$118)&gt;=$S69),$V69,$U69)))=Milestones!$AB$118),UPPER(TEXT(EDATE($D69,Milestones!$AA$118),"dd mmm yy"))&amp;" "&amp;Milestones!$AB$118&amp;" "&amp;Milestones!$AC$118&amp;";  ","")&amp;IF(AND(EDATE($D69,Milestones!$AA$119)&lt;=AsOfDate,IF($R69=0,$X69,IF(AND($T69&lt;&gt;"",EDATE($D69,Milestones!$AA$119)&gt;=$T69),$W69,IF(AND($S69&lt;&gt;"",EDATE($D69,Milestones!$AA$119)&gt;=$S69),$V69,$U69)))=Milestones!$AB$119),UPPER(TEXT(EDATE($D69,Milestones!$AA$119),"dd mmm yy"))&amp;" "&amp;Milestones!$AB$119&amp;" "&amp;Milestones!$AC$119&amp;";  ",""))</f>
        <v/>
      </c>
      <c r="N69" s="0" t="str">
        <f aca="false">IF(OR($A69="",$D69=""),"",IF(AND(EDATE($D69,Milestones!$AA$120)&lt;=AsOfDate,IF($R69=0,$X69,IF(AND($T69&lt;&gt;"",EDATE($D69,Milestones!$AA$120)&gt;=$T69),$W69,IF(AND($S69&lt;&gt;"",EDATE($D69,Milestones!$AA$120)&gt;=$S69),$V69,$U69)))=Milestones!$AB$120),UPPER(TEXT(EDATE($D69,Milestones!$AA$120),"dd mmm yy"))&amp;" "&amp;Milestones!$AB$120&amp;" "&amp;Milestones!$AC$120&amp;";  ","")&amp;IF(AND(EDATE($D69,Milestones!$AA$121)&lt;=AsOfDate,IF($R69=0,$X69,IF(AND($T69&lt;&gt;"",EDATE($D69,Milestones!$AA$121)&gt;=$T69),$W69,IF(AND($S69&lt;&gt;"",EDATE($D69,Milestones!$AA$121)&gt;=$S69),$V69,$U69)))=Milestones!$AB$121),UPPER(TEXT(EDATE($D69,Milestones!$AA$121),"dd mmm yy"))&amp;" "&amp;Milestones!$AB$121&amp;" "&amp;Milestones!$AC$121&amp;";  ","")&amp;IF(AND(EDATE($D69,Milestones!$AA$122)&lt;=AsOfDate,IF($R69=0,$X69,IF(AND($T69&lt;&gt;"",EDATE($D69,Milestones!$AA$122)&gt;=$T69),$W69,IF(AND($S69&lt;&gt;"",EDATE($D69,Milestones!$AA$122)&gt;=$S69),$V69,$U69)))=Milestones!$AB$122),UPPER(TEXT(EDATE($D69,Milestones!$AA$122),"dd mmm yy"))&amp;" "&amp;Milestones!$AB$122&amp;" "&amp;Milestones!$AC$122&amp;";  ","")&amp;IF(AND(EDATE($D69,Milestones!$AA$123)&lt;=AsOfDate,IF($R69=0,$X69,IF(AND($T69&lt;&gt;"",EDATE($D69,Milestones!$AA$123)&gt;=$T69),$W69,IF(AND($S69&lt;&gt;"",EDATE($D69,Milestones!$AA$123)&gt;=$S69),$V69,$U69)))=Milestones!$AB$123),UPPER(TEXT(EDATE($D69,Milestones!$AA$123),"dd mmm yy"))&amp;" "&amp;Milestones!$AB$123&amp;" "&amp;Milestones!$AC$123&amp;";  ","")&amp;IF(AND(EDATE($D69,Milestones!$AA$124)&lt;=AsOfDate,IF($R69=0,$X69,IF(AND($T69&lt;&gt;"",EDATE($D69,Milestones!$AA$124)&gt;=$T69),$W69,IF(AND($S69&lt;&gt;"",EDATE($D69,Milestones!$AA$124)&gt;=$S69),$V69,$U69)))=Milestones!$AB$124),UPPER(TEXT(EDATE($D69,Milestones!$AA$124),"dd mmm yy"))&amp;" "&amp;Milestones!$AB$124&amp;" "&amp;Milestones!$AC$124&amp;";  ","")&amp;IF(AND(EDATE($D69,Milestones!$AA$125)&lt;=AsOfDate,IF($R69=0,$X69,IF(AND($T69&lt;&gt;"",EDATE($D69,Milestones!$AA$125)&gt;=$T69),$W69,IF(AND($S69&lt;&gt;"",EDATE($D69,Milestones!$AA$125)&gt;=$S69),$V69,$U69)))=Milestones!$AB$125),UPPER(TEXT(EDATE($D69,Milestones!$AA$125),"dd mmm yy"))&amp;" "&amp;Milestones!$AB$125&amp;" "&amp;Milestones!$AC$125&amp;";  ","")&amp;IF(AND(EDATE($D69,Milestones!$AA$126)&lt;=AsOfDate,IF($R69=0,$X69,IF(AND($T69&lt;&gt;"",EDATE($D69,Milestones!$AA$126)&gt;=$T69),$W69,IF(AND($S69&lt;&gt;"",EDATE($D69,Milestones!$AA$126)&gt;=$S69),$V69,$U69)))=Milestones!$AB$126),UPPER(TEXT(EDATE($D69,Milestones!$AA$126),"dd mmm yy"))&amp;" "&amp;Milestones!$AB$126&amp;" "&amp;Milestones!$AC$126&amp;";  ","")&amp;IF(AND(EDATE($D69,Milestones!$AA$127)&lt;=AsOfDate,IF($R69=0,$X69,IF(AND($T69&lt;&gt;"",EDATE($D69,Milestones!$AA$127)&gt;=$T69),$W69,IF(AND($S69&lt;&gt;"",EDATE($D69,Milestones!$AA$127)&gt;=$S69),$V69,$U69)))=Milestones!$AB$127),UPPER(TEXT(EDATE($D69,Milestones!$AA$127),"dd mmm yy"))&amp;" "&amp;Milestones!$AB$127&amp;" "&amp;Milestones!$AC$127&amp;";  ","")&amp;IF(AND(EDATE($D69,Milestones!$AA$128)&lt;=AsOfDate,IF($R69=0,$X69,IF(AND($T69&lt;&gt;"",EDATE($D69,Milestones!$AA$128)&gt;=$T69),$W69,IF(AND($S69&lt;&gt;"",EDATE($D69,Milestones!$AA$128)&gt;=$S69),$V69,$U69)))=Milestones!$AB$128),UPPER(TEXT(EDATE($D69,Milestones!$AA$128),"dd mmm yy"))&amp;" "&amp;Milestones!$AB$128&amp;" "&amp;Milestones!$AC$128&amp;";  ","")&amp;IF(AND(EDATE($D69,Milestones!$AA$129)&lt;=AsOfDate,IF($R69=0,$X69,IF(AND($T69&lt;&gt;"",EDATE($D69,Milestones!$AA$129)&gt;=$T69),$W69,IF(AND($S69&lt;&gt;"",EDATE($D69,Milestones!$AA$129)&gt;=$S69),$V69,$U69)))=Milestones!$AB$129),UPPER(TEXT(EDATE($D69,Milestones!$AA$129),"dd mmm yy"))&amp;" "&amp;Milestones!$AB$129&amp;" "&amp;Milestones!$AC$129&amp;";  ","")&amp;IF(AND(EDATE($D69,Milestones!$AA$130)&lt;=AsOfDate,IF($R69=0,$X69,IF(AND($T69&lt;&gt;"",EDATE($D69,Milestones!$AA$130)&gt;=$T69),$W69,IF(AND($S69&lt;&gt;"",EDATE($D69,Milestones!$AA$130)&gt;=$S69),$V69,$U69)))=Milestones!$AB$130),UPPER(TEXT(EDATE($D69,Milestones!$AA$130),"dd mmm yy"))&amp;" "&amp;Milestones!$AB$130&amp;" "&amp;Milestones!$AC$130&amp;";  ","")&amp;IF(AND(EDATE($D69,Milestones!$AA$131)&lt;=AsOfDate,IF($R69=0,$X69,IF(AND($T69&lt;&gt;"",EDATE($D69,Milestones!$AA$131)&gt;=$T69),$W69,IF(AND($S69&lt;&gt;"",EDATE($D69,Milestones!$AA$131)&gt;=$S69),$V69,$U69)))=Milestones!$AB$131),UPPER(TEXT(EDATE($D69,Milestones!$AA$131),"dd mmm yy"))&amp;" "&amp;Milestones!$AB$131&amp;" "&amp;Milestones!$AC$131&amp;";  ","")&amp;IF(AND(EDATE($D69,Milestones!$AA$132)&lt;=AsOfDate,IF($R69=0,$X69,IF(AND($T69&lt;&gt;"",EDATE($D69,Milestones!$AA$132)&gt;=$T69),$W69,IF(AND($S69&lt;&gt;"",EDATE($D69,Milestones!$AA$132)&gt;=$S69),$V69,$U69)))=Milestones!$AB$132),UPPER(TEXT(EDATE($D69,Milestones!$AA$132),"dd mmm yy"))&amp;" "&amp;Milestones!$AB$132&amp;" "&amp;Milestones!$AC$132&amp;";  ","")&amp;IF(AND(EDATE($D69,Milestones!$AA$133)&lt;=AsOfDate,IF($R69=0,$X69,IF(AND($T69&lt;&gt;"",EDATE($D69,Milestones!$AA$133)&gt;=$T69),$W69,IF(AND($S69&lt;&gt;"",EDATE($D69,Milestones!$AA$133)&gt;=$S69),$V69,$U69)))=Milestones!$AB$133),UPPER(TEXT(EDATE($D69,Milestones!$AA$133),"dd mmm yy"))&amp;" "&amp;Milestones!$AB$133&amp;" "&amp;Milestones!$AC$133&amp;";  ","")&amp;IF(AND(EDATE($D69,Milestones!$AA$134)&lt;=AsOfDate,IF($R69=0,$X69,IF(AND($T69&lt;&gt;"",EDATE($D69,Milestones!$AA$134)&gt;=$T69),$W69,IF(AND($S69&lt;&gt;"",EDATE($D69,Milestones!$AA$134)&gt;=$S69),$V69,$U69)))=Milestones!$AB$134),UPPER(TEXT(EDATE($D69,Milestones!$AA$134),"dd mmm yy"))&amp;" "&amp;Milestones!$AB$134&amp;" "&amp;Milestones!$AC$134&amp;";  ","")&amp;IF(AND(EDATE($D69,Milestones!$AA$135)&lt;=AsOfDate,IF($R69=0,$X69,IF(AND($T69&lt;&gt;"",EDATE($D69,Milestones!$AA$135)&gt;=$T69),$W69,IF(AND($S69&lt;&gt;"",EDATE($D69,Milestones!$AA$135)&gt;=$S69),$V69,$U69)))=Milestones!$AB$135),UPPER(TEXT(EDATE($D69,Milestones!$AA$135),"dd mmm yy"))&amp;" "&amp;Milestones!$AB$135&amp;" "&amp;Milestones!$AC$135&amp;";  ","")&amp;IF(AND(EDATE($D69,Milestones!$AA$136)&lt;=AsOfDate,IF($R69=0,$X69,IF(AND($T69&lt;&gt;"",EDATE($D69,Milestones!$AA$136)&gt;=$T69),$W69,IF(AND($S69&lt;&gt;"",EDATE($D69,Milestones!$AA$136)&gt;=$S69),$V69,$U69)))=Milestones!$AB$136),UPPER(TEXT(EDATE($D69,Milestones!$AA$136),"dd mmm yy"))&amp;" "&amp;Milestones!$AB$136&amp;" "&amp;Milestones!$AC$136&amp;";  ","")&amp;IF(AND(EDATE($D69,Milestones!$AA$137)&lt;=AsOfDate,IF($R69=0,$X69,IF(AND($T69&lt;&gt;"",EDATE($D69,Milestones!$AA$137)&gt;=$T69),$W69,IF(AND($S69&lt;&gt;"",EDATE($D69,Milestones!$AA$137)&gt;=$S69),$V69,$U69)))=Milestones!$AB$137),UPPER(TEXT(EDATE($D69,Milestones!$AA$137),"dd mmm yy"))&amp;" "&amp;Milestones!$AB$137&amp;" "&amp;Milestones!$AC$137&amp;";  ","")&amp;IF(AND(EDATE($D69,Milestones!$AA$138)&lt;=AsOfDate,IF($R69=0,$X69,IF(AND($T69&lt;&gt;"",EDATE($D69,Milestones!$AA$138)&gt;=$T69),$W69,IF(AND($S69&lt;&gt;"",EDATE($D69,Milestones!$AA$138)&gt;=$S69),$V69,$U69)))=Milestones!$AB$138),UPPER(TEXT(EDATE($D69,Milestones!$AA$138),"dd mmm yy"))&amp;" "&amp;Milestones!$AB$138&amp;" "&amp;Milestones!$AC$138&amp;";  ","")&amp;IF(AND(EDATE($D69,Milestones!$AA$139)&lt;=AsOfDate,IF($R69=0,$X69,IF(AND($T69&lt;&gt;"",EDATE($D69,Milestones!$AA$139)&gt;=$T69),$W69,IF(AND($S69&lt;&gt;"",EDATE($D69,Milestones!$AA$139)&gt;=$S69),$V69,$U69)))=Milestones!$AB$139),UPPER(TEXT(EDATE($D69,Milestones!$AA$139),"dd mmm yy"))&amp;" "&amp;Milestones!$AB$139&amp;" "&amp;Milestones!$AC$139&amp;";  ",""))</f>
        <v/>
      </c>
      <c r="O69" s="0" t="str">
        <f aca="false">IF(OR($A69="",$D69=""),"",IF(AND(EDATE($D69,Milestones!$AA$140)&lt;=AsOfDate,IF($R69=0,$X69,IF(AND($T69&lt;&gt;"",EDATE($D69,Milestones!$AA$140)&gt;=$T69),$W69,IF(AND($S69&lt;&gt;"",EDATE($D69,Milestones!$AA$140)&gt;=$S69),$V69,$U69)))=Milestones!$AB$140),UPPER(TEXT(EDATE($D69,Milestones!$AA$140),"dd mmm yy"))&amp;" "&amp;Milestones!$AB$140&amp;" "&amp;Milestones!$AC$140&amp;";  ","")&amp;IF(AND(EDATE($D69,Milestones!$AA$141)&lt;=AsOfDate,IF($R69=0,$X69,IF(AND($T69&lt;&gt;"",EDATE($D69,Milestones!$AA$141)&gt;=$T69),$W69,IF(AND($S69&lt;&gt;"",EDATE($D69,Milestones!$AA$141)&gt;=$S69),$V69,$U69)))=Milestones!$AB$141),UPPER(TEXT(EDATE($D69,Milestones!$AA$141),"dd mmm yy"))&amp;" "&amp;Milestones!$AB$141&amp;" "&amp;Milestones!$AC$141&amp;";  ","")&amp;IF(AND(EDATE($D69,Milestones!$AA$142)&lt;=AsOfDate,IF($R69=0,$X69,IF(AND($T69&lt;&gt;"",EDATE($D69,Milestones!$AA$142)&gt;=$T69),$W69,IF(AND($S69&lt;&gt;"",EDATE($D69,Milestones!$AA$142)&gt;=$S69),$V69,$U69)))=Milestones!$AB$142),UPPER(TEXT(EDATE($D69,Milestones!$AA$142),"dd mmm yy"))&amp;" "&amp;Milestones!$AB$142&amp;" "&amp;Milestones!$AC$142&amp;";  ","")&amp;IF(AND(EDATE($D69,Milestones!$AA$143)&lt;=AsOfDate,IF($R69=0,$X69,IF(AND($T69&lt;&gt;"",EDATE($D69,Milestones!$AA$143)&gt;=$T69),$W69,IF(AND($S69&lt;&gt;"",EDATE($D69,Milestones!$AA$143)&gt;=$S69),$V69,$U69)))=Milestones!$AB$143),UPPER(TEXT(EDATE($D69,Milestones!$AA$143),"dd mmm yy"))&amp;" "&amp;Milestones!$AB$143&amp;" "&amp;Milestones!$AC$143&amp;";  ","")&amp;IF(AND(EDATE($D69,Milestones!$AA$144)&lt;=AsOfDate,IF($R69=0,$X69,IF(AND($T69&lt;&gt;"",EDATE($D69,Milestones!$AA$144)&gt;=$T69),$W69,IF(AND($S69&lt;&gt;"",EDATE($D69,Milestones!$AA$144)&gt;=$S69),$V69,$U69)))=Milestones!$AB$144),UPPER(TEXT(EDATE($D69,Milestones!$AA$144),"dd mmm yy"))&amp;" "&amp;Milestones!$AB$144&amp;" "&amp;Milestones!$AC$144&amp;";  ","")&amp;IF(AND(EDATE($D69,Milestones!$AA$145)&lt;=AsOfDate,IF($R69=0,$X69,IF(AND($T69&lt;&gt;"",EDATE($D69,Milestones!$AA$145)&gt;=$T69),$W69,IF(AND($S69&lt;&gt;"",EDATE($D69,Milestones!$AA$145)&gt;=$S69),$V69,$U69)))=Milestones!$AB$145),UPPER(TEXT(EDATE($D69,Milestones!$AA$145),"dd mmm yy"))&amp;" "&amp;Milestones!$AB$145&amp;" "&amp;Milestones!$AC$145&amp;";  ","")&amp;IF(AND(EDATE($D69,Milestones!$AA$146)&lt;=AsOfDate,IF($R69=0,$X69,IF(AND($T69&lt;&gt;"",EDATE($D69,Milestones!$AA$146)&gt;=$T69),$W69,IF(AND($S69&lt;&gt;"",EDATE($D69,Milestones!$AA$146)&gt;=$S69),$V69,$U69)))=Milestones!$AB$146),UPPER(TEXT(EDATE($D69,Milestones!$AA$146),"dd mmm yy"))&amp;" "&amp;Milestones!$AB$146&amp;" "&amp;Milestones!$AC$146&amp;";  ","")&amp;IF(AND(EDATE($D69,Milestones!$AA$147)&lt;=AsOfDate,IF($R69=0,$X69,IF(AND($T69&lt;&gt;"",EDATE($D69,Milestones!$AA$147)&gt;=$T69),$W69,IF(AND($S69&lt;&gt;"",EDATE($D69,Milestones!$AA$147)&gt;=$S69),$V69,$U69)))=Milestones!$AB$147),UPPER(TEXT(EDATE($D69,Milestones!$AA$147),"dd mmm yy"))&amp;" "&amp;Milestones!$AB$147&amp;" "&amp;Milestones!$AC$147&amp;";  ","")&amp;IF(AND(EDATE($D69,Milestones!$AA$148)&lt;=AsOfDate,IF($R69=0,$X69,IF(AND($T69&lt;&gt;"",EDATE($D69,Milestones!$AA$148)&gt;=$T69),$W69,IF(AND($S69&lt;&gt;"",EDATE($D69,Milestones!$AA$148)&gt;=$S69),$V69,$U69)))=Milestones!$AB$148),UPPER(TEXT(EDATE($D69,Milestones!$AA$148),"dd mmm yy"))&amp;" "&amp;Milestones!$AB$148&amp;" "&amp;Milestones!$AC$148&amp;";  ","")&amp;IF(AND(EDATE($D69,Milestones!$AA$149)&lt;=AsOfDate,IF($R69=0,$X69,IF(AND($T69&lt;&gt;"",EDATE($D69,Milestones!$AA$149)&gt;=$T69),$W69,IF(AND($S69&lt;&gt;"",EDATE($D69,Milestones!$AA$149)&gt;=$S69),$V69,$U69)))=Milestones!$AB$149),UPPER(TEXT(EDATE($D69,Milestones!$AA$149),"dd mmm yy"))&amp;" "&amp;Milestones!$AB$149&amp;" "&amp;Milestones!$AC$149&amp;";  ","")&amp;IF(AND(EDATE($D69,Milestones!$AA$150)&lt;=AsOfDate,IF($R69=0,$X69,IF(AND($T69&lt;&gt;"",EDATE($D69,Milestones!$AA$150)&gt;=$T69),$W69,IF(AND($S69&lt;&gt;"",EDATE($D69,Milestones!$AA$150)&gt;=$S69),$V69,$U69)))=Milestones!$AB$150),UPPER(TEXT(EDATE($D69,Milestones!$AA$150),"dd mmm yy"))&amp;" "&amp;Milestones!$AB$150&amp;" "&amp;Milestones!$AC$150&amp;";  ","")&amp;IF(AND(EDATE($D69,Milestones!$AA$151)&lt;=AsOfDate,IF($R69=0,$X69,IF(AND($T69&lt;&gt;"",EDATE($D69,Milestones!$AA$151)&gt;=$T69),$W69,IF(AND($S69&lt;&gt;"",EDATE($D69,Milestones!$AA$151)&gt;=$S69),$V69,$U69)))=Milestones!$AB$151),UPPER(TEXT(EDATE($D69,Milestones!$AA$151),"dd mmm yy"))&amp;" "&amp;Milestones!$AB$151&amp;" "&amp;Milestones!$AC$151&amp;";  ","")&amp;IF(AND(EDATE($D69,Milestones!$AA$152)&lt;=AsOfDate,IF($R69=0,$X69,IF(AND($T69&lt;&gt;"",EDATE($D69,Milestones!$AA$152)&gt;=$T69),$W69,IF(AND($S69&lt;&gt;"",EDATE($D69,Milestones!$AA$152)&gt;=$S69),$V69,$U69)))=Milestones!$AB$152),UPPER(TEXT(EDATE($D69,Milestones!$AA$152),"dd mmm yy"))&amp;" "&amp;Milestones!$AB$152&amp;" "&amp;Milestones!$AC$152&amp;";  ","")&amp;IF(AND(EDATE($D69,Milestones!$AA$153)&lt;=AsOfDate,IF($R69=0,$X69,IF(AND($T69&lt;&gt;"",EDATE($D69,Milestones!$AA$153)&gt;=$T69),$W69,IF(AND($S69&lt;&gt;"",EDATE($D69,Milestones!$AA$153)&gt;=$S69),$V69,$U69)))=Milestones!$AB$153),UPPER(TEXT(EDATE($D69,Milestones!$AA$153),"dd mmm yy"))&amp;" "&amp;Milestones!$AB$153&amp;" "&amp;Milestones!$AC$153&amp;";  ","")&amp;IF(AND(EDATE($D69,Milestones!$AA$154)&lt;=AsOfDate,IF($R69=0,$X69,IF(AND($T69&lt;&gt;"",EDATE($D69,Milestones!$AA$154)&gt;=$T69),$W69,IF(AND($S69&lt;&gt;"",EDATE($D69,Milestones!$AA$154)&gt;=$S69),$V69,$U69)))=Milestones!$AB$154),UPPER(TEXT(EDATE($D69,Milestones!$AA$154),"dd mmm yy"))&amp;" "&amp;Milestones!$AB$154&amp;" "&amp;Milestones!$AC$154&amp;";  ","")&amp;IF(AND(EDATE($D69,Milestones!$AA$155)&lt;=AsOfDate,IF($R69=0,$X69,IF(AND($T69&lt;&gt;"",EDATE($D69,Milestones!$AA$155)&gt;=$T69),$W69,IF(AND($S69&lt;&gt;"",EDATE($D69,Milestones!$AA$155)&gt;=$S69),$V69,$U69)))=Milestones!$AB$155),UPPER(TEXT(EDATE($D69,Milestones!$AA$155),"dd mmm yy"))&amp;" "&amp;Milestones!$AB$155&amp;" "&amp;Milestones!$AC$155&amp;";  ","")&amp;IF(AND(EDATE($D69,Milestones!$AA$156)&lt;=AsOfDate,IF($R69=0,$X69,IF(AND($T69&lt;&gt;"",EDATE($D69,Milestones!$AA$156)&gt;=$T69),$W69,IF(AND($S69&lt;&gt;"",EDATE($D69,Milestones!$AA$156)&gt;=$S69),$V69,$U69)))=Milestones!$AB$156),UPPER(TEXT(EDATE($D69,Milestones!$AA$156),"dd mmm yy"))&amp;" "&amp;Milestones!$AB$156&amp;" "&amp;Milestones!$AC$156&amp;";  ","")&amp;IF(AND(EDATE($D69,Milestones!$AA$157)&lt;=AsOfDate,IF($R69=0,$X69,IF(AND($T69&lt;&gt;"",EDATE($D69,Milestones!$AA$157)&gt;=$T69),$W69,IF(AND($S69&lt;&gt;"",EDATE($D69,Milestones!$AA$157)&gt;=$S69),$V69,$U69)))=Milestones!$AB$157),UPPER(TEXT(EDATE($D69,Milestones!$AA$157),"dd mmm yy"))&amp;" "&amp;Milestones!$AB$157&amp;" "&amp;Milestones!$AC$157&amp;";  ","")&amp;IF(AND(EDATE($D69,Milestones!$AA$158)&lt;=AsOfDate,IF($R69=0,$X69,IF(AND($T69&lt;&gt;"",EDATE($D69,Milestones!$AA$158)&gt;=$T69),$W69,IF(AND($S69&lt;&gt;"",EDATE($D69,Milestones!$AA$158)&gt;=$S69),$V69,$U69)))=Milestones!$AB$158),UPPER(TEXT(EDATE($D69,Milestones!$AA$158),"dd mmm yy"))&amp;" "&amp;Milestones!$AB$158&amp;" "&amp;Milestones!$AC$158&amp;";  ","")&amp;IF(AND(EDATE($D69,Milestones!$AA$159)&lt;=AsOfDate,IF($R69=0,$X69,IF(AND($T69&lt;&gt;"",EDATE($D69,Milestones!$AA$159)&gt;=$T69),$W69,IF(AND($S69&lt;&gt;"",EDATE($D69,Milestones!$AA$159)&gt;=$S69),$V69,$U69)))=Milestones!$AB$159),UPPER(TEXT(EDATE($D69,Milestones!$AA$159),"dd mmm yy"))&amp;" "&amp;Milestones!$AB$159&amp;" "&amp;Milestones!$AC$159&amp;";  ",""))</f>
        <v/>
      </c>
      <c r="P69" s="0" t="str">
        <f aca="false">IF(OR($A69="",$D69=""),"",IF(AND(EDATE($D69,Milestones!$AA$160)&lt;=AsOfDate,IF($R69=0,$X69,IF(AND($T69&lt;&gt;"",EDATE($D69,Milestones!$AA$160)&gt;=$T69),$W69,IF(AND($S69&lt;&gt;"",EDATE($D69,Milestones!$AA$160)&gt;=$S69),$V69,$U69)))=Milestones!$AB$160),UPPER(TEXT(EDATE($D69,Milestones!$AA$160),"dd mmm yy"))&amp;" "&amp;Milestones!$AB$160&amp;" "&amp;Milestones!$AC$160&amp;";  ","")&amp;IF(AND(EDATE($D69,Milestones!$AA$161)&lt;=AsOfDate,IF($R69=0,$X69,IF(AND($T69&lt;&gt;"",EDATE($D69,Milestones!$AA$161)&gt;=$T69),$W69,IF(AND($S69&lt;&gt;"",EDATE($D69,Milestones!$AA$161)&gt;=$S69),$V69,$U69)))=Milestones!$AB$161),UPPER(TEXT(EDATE($D69,Milestones!$AA$161),"dd mmm yy"))&amp;" "&amp;Milestones!$AB$161&amp;" "&amp;Milestones!$AC$161&amp;";  ","")&amp;IF(AND(EDATE($D69,Milestones!$AA$162)&lt;=AsOfDate,IF($R69=0,$X69,IF(AND($T69&lt;&gt;"",EDATE($D69,Milestones!$AA$162)&gt;=$T69),$W69,IF(AND($S69&lt;&gt;"",EDATE($D69,Milestones!$AA$162)&gt;=$S69),$V69,$U69)))=Milestones!$AB$162),UPPER(TEXT(EDATE($D69,Milestones!$AA$162),"dd mmm yy"))&amp;" "&amp;Milestones!$AB$162&amp;" "&amp;Milestones!$AC$162&amp;";  ","")&amp;IF(AND(EDATE($D69,Milestones!$AA$163)&lt;=AsOfDate,IF($R69=0,$X69,IF(AND($T69&lt;&gt;"",EDATE($D69,Milestones!$AA$163)&gt;=$T69),$W69,IF(AND($S69&lt;&gt;"",EDATE($D69,Milestones!$AA$163)&gt;=$S69),$V69,$U69)))=Milestones!$AB$163),UPPER(TEXT(EDATE($D69,Milestones!$AA$163),"dd mmm yy"))&amp;" "&amp;Milestones!$AB$163&amp;" "&amp;Milestones!$AC$163&amp;";  ","")&amp;IF(AND(EDATE($D69,Milestones!$AA$164)&lt;=AsOfDate,IF($R69=0,$X69,IF(AND($T69&lt;&gt;"",EDATE($D69,Milestones!$AA$164)&gt;=$T69),$W69,IF(AND($S69&lt;&gt;"",EDATE($D69,Milestones!$AA$164)&gt;=$S69),$V69,$U69)))=Milestones!$AB$164),UPPER(TEXT(EDATE($D69,Milestones!$AA$164),"dd mmm yy"))&amp;" "&amp;Milestones!$AB$164&amp;" "&amp;Milestones!$AC$164&amp;";  ","")&amp;IF(AND(EDATE($D69,Milestones!$AA$165)&lt;=AsOfDate,IF($R69=0,$X69,IF(AND($T69&lt;&gt;"",EDATE($D69,Milestones!$AA$165)&gt;=$T69),$W69,IF(AND($S69&lt;&gt;"",EDATE($D69,Milestones!$AA$165)&gt;=$S69),$V69,$U69)))=Milestones!$AB$165),UPPER(TEXT(EDATE($D69,Milestones!$AA$165),"dd mmm yy"))&amp;" "&amp;Milestones!$AB$165&amp;" "&amp;Milestones!$AC$165&amp;";  ","")&amp;IF(AND(EDATE($D69,Milestones!$AA$166)&lt;=AsOfDate,IF($R69=0,$X69,IF(AND($T69&lt;&gt;"",EDATE($D69,Milestones!$AA$166)&gt;=$T69),$W69,IF(AND($S69&lt;&gt;"",EDATE($D69,Milestones!$AA$166)&gt;=$S69),$V69,$U69)))=Milestones!$AB$166),UPPER(TEXT(EDATE($D69,Milestones!$AA$166),"dd mmm yy"))&amp;" "&amp;Milestones!$AB$166&amp;" "&amp;Milestones!$AC$166&amp;";  ","")&amp;IF(AND(EDATE($D69,Milestones!$AA$167)&lt;=AsOfDate,IF($R69=0,$X69,IF(AND($T69&lt;&gt;"",EDATE($D69,Milestones!$AA$167)&gt;=$T69),$W69,IF(AND($S69&lt;&gt;"",EDATE($D69,Milestones!$AA$167)&gt;=$S69),$V69,$U69)))=Milestones!$AB$167),UPPER(TEXT(EDATE($D69,Milestones!$AA$167),"dd mmm yy"))&amp;" "&amp;Milestones!$AB$167&amp;" "&amp;Milestones!$AC$167&amp;";  ","")&amp;IF(AND(EDATE($D69,Milestones!$AA$168)&lt;=AsOfDate,IF($R69=0,$X69,IF(AND($T69&lt;&gt;"",EDATE($D69,Milestones!$AA$168)&gt;=$T69),$W69,IF(AND($S69&lt;&gt;"",EDATE($D69,Milestones!$AA$168)&gt;=$S69),$V69,$U69)))=Milestones!$AB$168),UPPER(TEXT(EDATE($D69,Milestones!$AA$168),"dd mmm yy"))&amp;" "&amp;Milestones!$AB$168&amp;" "&amp;Milestones!$AC$168&amp;";  ","")&amp;IF(AND(EDATE($D69,Milestones!$AA$169)&lt;=AsOfDate,IF($R69=0,$X69,IF(AND($T69&lt;&gt;"",EDATE($D69,Milestones!$AA$169)&gt;=$T69),$W69,IF(AND($S69&lt;&gt;"",EDATE($D69,Milestones!$AA$169)&gt;=$S69),$V69,$U69)))=Milestones!$AB$169),UPPER(TEXT(EDATE($D69,Milestones!$AA$169),"dd mmm yy"))&amp;" "&amp;Milestones!$AB$169&amp;" "&amp;Milestones!$AC$169&amp;";  ","")&amp;IF(AND(EDATE($D69,Milestones!$AA$170)&lt;=AsOfDate,IF($R69=0,$X69,IF(AND($T69&lt;&gt;"",EDATE($D69,Milestones!$AA$170)&gt;=$T69),$W69,IF(AND($S69&lt;&gt;"",EDATE($D69,Milestones!$AA$170)&gt;=$S69),$V69,$U69)))=Milestones!$AB$170),UPPER(TEXT(EDATE($D69,Milestones!$AA$170),"dd mmm yy"))&amp;" "&amp;Milestones!$AB$170&amp;" "&amp;Milestones!$AC$170&amp;";  ","")&amp;IF(AND(EDATE($D69,Milestones!$AA$171)&lt;=AsOfDate,IF($R69=0,$X69,IF(AND($T69&lt;&gt;"",EDATE($D69,Milestones!$AA$171)&gt;=$T69),$W69,IF(AND($S69&lt;&gt;"",EDATE($D69,Milestones!$AA$171)&gt;=$S69),$V69,$U69)))=Milestones!$AB$171),UPPER(TEXT(EDATE($D69,Milestones!$AA$171),"dd mmm yy"))&amp;" "&amp;Milestones!$AB$171&amp;" "&amp;Milestones!$AC$171&amp;";  ","")&amp;IF(AND(EDATE($D69,Milestones!$AA$172)&lt;=AsOfDate,IF($R69=0,$X69,IF(AND($T69&lt;&gt;"",EDATE($D69,Milestones!$AA$172)&gt;=$T69),$W69,IF(AND($S69&lt;&gt;"",EDATE($D69,Milestones!$AA$172)&gt;=$S69),$V69,$U69)))=Milestones!$AB$172),UPPER(TEXT(EDATE($D69,Milestones!$AA$172),"dd mmm yy"))&amp;" "&amp;Milestones!$AB$172&amp;" "&amp;Milestones!$AC$172&amp;";  ","")&amp;IF(AND(EDATE($D69,Milestones!$AA$173)&lt;=AsOfDate,IF($R69=0,$X69,IF(AND($T69&lt;&gt;"",EDATE($D69,Milestones!$AA$173)&gt;=$T69),$W69,IF(AND($S69&lt;&gt;"",EDATE($D69,Milestones!$AA$173)&gt;=$S69),$V69,$U69)))=Milestones!$AB$173),UPPER(TEXT(EDATE($D69,Milestones!$AA$173),"dd mmm yy"))&amp;" "&amp;Milestones!$AB$173&amp;" "&amp;Milestones!$AC$173&amp;";  ","")&amp;IF(AND(EDATE($D69,Milestones!$AA$174)&lt;=AsOfDate,IF($R69=0,$X69,IF(AND($T69&lt;&gt;"",EDATE($D69,Milestones!$AA$174)&gt;=$T69),$W69,IF(AND($S69&lt;&gt;"",EDATE($D69,Milestones!$AA$174)&gt;=$S69),$V69,$U69)))=Milestones!$AB$174),UPPER(TEXT(EDATE($D69,Milestones!$AA$174),"dd mmm yy"))&amp;" "&amp;Milestones!$AB$174&amp;" "&amp;Milestones!$AC$174&amp;";  ","")&amp;IF(AND(EDATE($D69,Milestones!$AA$175)&lt;=AsOfDate,IF($R69=0,$X69,IF(AND($T69&lt;&gt;"",EDATE($D69,Milestones!$AA$175)&gt;=$T69),$W69,IF(AND($S69&lt;&gt;"",EDATE($D69,Milestones!$AA$175)&gt;=$S69),$V69,$U69)))=Milestones!$AB$175),UPPER(TEXT(EDATE($D69,Milestones!$AA$175),"dd mmm yy"))&amp;" "&amp;Milestones!$AB$175&amp;" "&amp;Milestones!$AC$175&amp;";  ","")&amp;IF(AND(EDATE($D69,Milestones!$AA$176)&lt;=AsOfDate,IF($R69=0,$X69,IF(AND($T69&lt;&gt;"",EDATE($D69,Milestones!$AA$176)&gt;=$T69),$W69,IF(AND($S69&lt;&gt;"",EDATE($D69,Milestones!$AA$176)&gt;=$S69),$V69,$U69)))=Milestones!$AB$176),UPPER(TEXT(EDATE($D69,Milestones!$AA$176),"dd mmm yy"))&amp;" "&amp;Milestones!$AB$176&amp;" "&amp;Milestones!$AC$176&amp;";  ","")&amp;IF(AND(EDATE($D69,Milestones!$AA$177)&lt;=AsOfDate,IF($R69=0,$X69,IF(AND($T69&lt;&gt;"",EDATE($D69,Milestones!$AA$177)&gt;=$T69),$W69,IF(AND($S69&lt;&gt;"",EDATE($D69,Milestones!$AA$177)&gt;=$S69),$V69,$U69)))=Milestones!$AB$177),UPPER(TEXT(EDATE($D69,Milestones!$AA$177),"dd mmm yy"))&amp;" "&amp;Milestones!$AB$177&amp;" "&amp;Milestones!$AC$177&amp;";  ","")&amp;IF(AND(EDATE($D69,Milestones!$AA$178)&lt;=AsOfDate,IF($R69=0,$X69,IF(AND($T69&lt;&gt;"",EDATE($D69,Milestones!$AA$178)&gt;=$T69),$W69,IF(AND($S69&lt;&gt;"",EDATE($D69,Milestones!$AA$178)&gt;=$S69),$V69,$U69)))=Milestones!$AB$178),UPPER(TEXT(EDATE($D69,Milestones!$AA$178),"dd mmm yy"))&amp;" "&amp;Milestones!$AB$178&amp;" "&amp;Milestones!$AC$178&amp;";  ","")&amp;IF(AND(EDATE($D69,Milestones!$AA$179)&lt;=AsOfDate,IF($R69=0,$X69,IF(AND($T69&lt;&gt;"",EDATE($D69,Milestones!$AA$179)&gt;=$T69),$W69,IF(AND($S69&lt;&gt;"",EDATE($D69,Milestones!$AA$179)&gt;=$S69),$V69,$U69)))=Milestones!$AB$179),UPPER(TEXT(EDATE($D69,Milestones!$AA$179),"dd mmm yy"))&amp;" "&amp;Milestones!$AB$179&amp;" "&amp;Milestones!$AC$179&amp;";  ",""))</f>
        <v/>
      </c>
      <c r="Q69" s="0" t="str">
        <f aca="false">IF(OR($A69="",$D69=""),"",IF(AND(EDATE($D69,Milestones!$AA$180)&lt;=AsOfDate,IF($R69=0,$X69,IF(AND($T69&lt;&gt;"",EDATE($D69,Milestones!$AA$180)&gt;=$T69),$W69,IF(AND($S69&lt;&gt;"",EDATE($D69,Milestones!$AA$180)&gt;=$S69),$V69,$U69)))=Milestones!$AB$180),UPPER(TEXT(EDATE($D69,Milestones!$AA$180),"dd mmm yy"))&amp;" "&amp;Milestones!$AB$180&amp;" "&amp;Milestones!$AC$180&amp;";  ","")&amp;IF(AND(EDATE($D69,Milestones!$AA$181)&lt;=AsOfDate,IF($R69=0,$X69,IF(AND($T69&lt;&gt;"",EDATE($D69,Milestones!$AA$181)&gt;=$T69),$W69,IF(AND($S69&lt;&gt;"",EDATE($D69,Milestones!$AA$181)&gt;=$S69),$V69,$U69)))=Milestones!$AB$181),UPPER(TEXT(EDATE($D69,Milestones!$AA$181),"dd mmm yy"))&amp;" "&amp;Milestones!$AB$181&amp;" "&amp;Milestones!$AC$181&amp;";  ","")&amp;IF(AND(EDATE($D69,Milestones!$AA$182)&lt;=AsOfDate,IF($R69=0,$X69,IF(AND($T69&lt;&gt;"",EDATE($D69,Milestones!$AA$182)&gt;=$T69),$W69,IF(AND($S69&lt;&gt;"",EDATE($D69,Milestones!$AA$182)&gt;=$S69),$V69,$U69)))=Milestones!$AB$182),UPPER(TEXT(EDATE($D69,Milestones!$AA$182),"dd mmm yy"))&amp;" "&amp;Milestones!$AB$182&amp;" "&amp;Milestones!$AC$182&amp;";  ","")&amp;IF(AND(EDATE($D69,Milestones!$AA$183)&lt;=AsOfDate,IF($R69=0,$X69,IF(AND($T69&lt;&gt;"",EDATE($D69,Milestones!$AA$183)&gt;=$T69),$W69,IF(AND($S69&lt;&gt;"",EDATE($D69,Milestones!$AA$183)&gt;=$S69),$V69,$U69)))=Milestones!$AB$183),UPPER(TEXT(EDATE($D69,Milestones!$AA$183),"dd mmm yy"))&amp;" "&amp;Milestones!$AB$183&amp;" "&amp;Milestones!$AC$183&amp;";  ","")&amp;IF(AND(EDATE($D69,Milestones!$AA$184)&lt;=AsOfDate,IF($R69=0,$X69,IF(AND($T69&lt;&gt;"",EDATE($D69,Milestones!$AA$184)&gt;=$T69),$W69,IF(AND($S69&lt;&gt;"",EDATE($D69,Milestones!$AA$184)&gt;=$S69),$V69,$U69)))=Milestones!$AB$184),UPPER(TEXT(EDATE($D69,Milestones!$AA$184),"dd mmm yy"))&amp;" "&amp;Milestones!$AB$184&amp;" "&amp;Milestones!$AC$184&amp;";  ","")&amp;IF(AND(EDATE($D69,Milestones!$AA$185)&lt;=AsOfDate,IF($R69=0,$X69,IF(AND($T69&lt;&gt;"",EDATE($D69,Milestones!$AA$185)&gt;=$T69),$W69,IF(AND($S69&lt;&gt;"",EDATE($D69,Milestones!$AA$185)&gt;=$S69),$V69,$U69)))=Milestones!$AB$185),UPPER(TEXT(EDATE($D69,Milestones!$AA$185),"dd mmm yy"))&amp;" "&amp;Milestones!$AB$185&amp;" "&amp;Milestones!$AC$185&amp;";  ","")&amp;IF(AND(EDATE($D69,Milestones!$AA$186)&lt;=AsOfDate,IF($R69=0,$X69,IF(AND($T69&lt;&gt;"",EDATE($D69,Milestones!$AA$186)&gt;=$T69),$W69,IF(AND($S69&lt;&gt;"",EDATE($D69,Milestones!$AA$186)&gt;=$S69),$V69,$U69)))=Milestones!$AB$186),UPPER(TEXT(EDATE($D69,Milestones!$AA$186),"dd mmm yy"))&amp;" "&amp;Milestones!$AB$186&amp;" "&amp;Milestones!$AC$186&amp;";  ","")&amp;IF(AND(EDATE($D69,Milestones!$AA$187)&lt;=AsOfDate,IF($R69=0,$X69,IF(AND($T69&lt;&gt;"",EDATE($D69,Milestones!$AA$187)&gt;=$T69),$W69,IF(AND($S69&lt;&gt;"",EDATE($D69,Milestones!$AA$187)&gt;=$S69),$V69,$U69)))=Milestones!$AB$187),UPPER(TEXT(EDATE($D69,Milestones!$AA$187),"dd mmm yy"))&amp;" "&amp;Milestones!$AB$187&amp;" "&amp;Milestones!$AC$187&amp;";  ","")&amp;IF(AND(EDATE($D69,Milestones!$AA$188)&lt;=AsOfDate,IF($R69=0,$X69,IF(AND($T69&lt;&gt;"",EDATE($D69,Milestones!$AA$188)&gt;=$T69),$W69,IF(AND($S69&lt;&gt;"",EDATE($D69,Milestones!$AA$188)&gt;=$S69),$V69,$U69)))=Milestones!$AB$188),UPPER(TEXT(EDATE($D69,Milestones!$AA$188),"dd mmm yy"))&amp;" "&amp;Milestones!$AB$188&amp;" "&amp;Milestones!$AC$188&amp;";  ","")&amp;IF(AND(EDATE($D69,Milestones!$AA$189)&lt;=AsOfDate,IF($R69=0,$X69,IF(AND($T69&lt;&gt;"",EDATE($D69,Milestones!$AA$189)&gt;=$T69),$W69,IF(AND($S69&lt;&gt;"",EDATE($D69,Milestones!$AA$189)&gt;=$S69),$V69,$U69)))=Milestones!$AB$189),UPPER(TEXT(EDATE($D69,Milestones!$AA$189),"dd mmm yy"))&amp;" "&amp;Milestones!$AB$189&amp;" "&amp;Milestones!$AC$189&amp;";  ","")&amp;IF(AND(EDATE($D69,Milestones!$AA$190)&lt;=AsOfDate,IF($R69=0,$X69,IF(AND($T69&lt;&gt;"",EDATE($D69,Milestones!$AA$190)&gt;=$T69),$W69,IF(AND($S69&lt;&gt;"",EDATE($D69,Milestones!$AA$190)&gt;=$S69),$V69,$U69)))=Milestones!$AB$190),UPPER(TEXT(EDATE($D69,Milestones!$AA$190),"dd mmm yy"))&amp;" "&amp;Milestones!$AB$190&amp;" "&amp;Milestones!$AC$190&amp;";  ","")&amp;IF(AND(EDATE($D69,Milestones!$AA$191)&lt;=AsOfDate,IF($R69=0,$X69,IF(AND($T69&lt;&gt;"",EDATE($D69,Milestones!$AA$191)&gt;=$T69),$W69,IF(AND($S69&lt;&gt;"",EDATE($D69,Milestones!$AA$191)&gt;=$S69),$V69,$U69)))=Milestones!$AB$191),UPPER(TEXT(EDATE($D69,Milestones!$AA$191),"dd mmm yy"))&amp;" "&amp;Milestones!$AB$191&amp;" "&amp;Milestones!$AC$191&amp;";  ","")&amp;IF(AND(EDATE($D69,Milestones!$AA$192)&lt;=AsOfDate,IF($R69=0,$X69,IF(AND($T69&lt;&gt;"",EDATE($D69,Milestones!$AA$192)&gt;=$T69),$W69,IF(AND($S69&lt;&gt;"",EDATE($D69,Milestones!$AA$192)&gt;=$S69),$V69,$U69)))=Milestones!$AB$192),UPPER(TEXT(EDATE($D69,Milestones!$AA$192),"dd mmm yy"))&amp;" "&amp;Milestones!$AB$192&amp;" "&amp;Milestones!$AC$192&amp;";  ","")&amp;IF(AND(EDATE($D69,Milestones!$AA$193)&lt;=AsOfDate,IF($R69=0,$X69,IF(AND($T69&lt;&gt;"",EDATE($D69,Milestones!$AA$193)&gt;=$T69),$W69,IF(AND($S69&lt;&gt;"",EDATE($D69,Milestones!$AA$193)&gt;=$S69),$V69,$U69)))=Milestones!$AB$193),UPPER(TEXT(EDATE($D69,Milestones!$AA$193),"dd mmm yy"))&amp;" "&amp;Milestones!$AB$193&amp;" "&amp;Milestones!$AC$193&amp;";  ","")&amp;IF(AND(EDATE($D69,Milestones!$AA$194)&lt;=AsOfDate,IF($R69=0,$X69,IF(AND($T69&lt;&gt;"",EDATE($D69,Milestones!$AA$194)&gt;=$T69),$W69,IF(AND($S69&lt;&gt;"",EDATE($D69,Milestones!$AA$194)&gt;=$S69),$V69,$U69)))=Milestones!$AB$194),UPPER(TEXT(EDATE($D69,Milestones!$AA$194),"dd mmm yy"))&amp;" "&amp;Milestones!$AB$194&amp;" "&amp;Milestones!$AC$194&amp;";  ","")&amp;IF(AND(EDATE($D69,Milestones!$AA$195)&lt;=AsOfDate,IF($R69=0,$X69,IF(AND($T69&lt;&gt;"",EDATE($D69,Milestones!$AA$195)&gt;=$T69),$W69,IF(AND($S69&lt;&gt;"",EDATE($D69,Milestones!$AA$195)&gt;=$S69),$V69,$U69)))=Milestones!$AB$195),UPPER(TEXT(EDATE($D69,Milestones!$AA$195),"dd mmm yy"))&amp;" "&amp;Milestones!$AB$195&amp;" "&amp;Milestones!$AC$195&amp;";  ","")&amp;IF(AND(EDATE($D69,Milestones!$AA$196)&lt;=AsOfDate,IF($R69=0,$X69,IF(AND($T69&lt;&gt;"",EDATE($D69,Milestones!$AA$196)&gt;=$T69),$W69,IF(AND($S69&lt;&gt;"",EDATE($D69,Milestones!$AA$196)&gt;=$S69),$V69,$U69)))=Milestones!$AB$196),UPPER(TEXT(EDATE($D69,Milestones!$AA$196),"dd mmm yy"))&amp;" "&amp;Milestones!$AB$196&amp;" "&amp;Milestones!$AC$196&amp;";  ","")&amp;IF(AND(EDATE($D69,Milestones!$AA$197)&lt;=AsOfDate,IF($R69=0,$X69,IF(AND($T69&lt;&gt;"",EDATE($D69,Milestones!$AA$197)&gt;=$T69),$W69,IF(AND($S69&lt;&gt;"",EDATE($D69,Milestones!$AA$197)&gt;=$S69),$V69,$U69)))=Milestones!$AB$197),UPPER(TEXT(EDATE($D69,Milestones!$AA$197),"dd mmm yy"))&amp;" "&amp;Milestones!$AB$197&amp;" "&amp;Milestones!$AC$197&amp;";  ","")&amp;IF(AND(EDATE($D69,Milestones!$AA$198)&lt;=AsOfDate,IF($R69=0,$X69,IF(AND($T69&lt;&gt;"",EDATE($D69,Milestones!$AA$198)&gt;=$T69),$W69,IF(AND($S69&lt;&gt;"",EDATE($D69,Milestones!$AA$198)&gt;=$S69),$V69,$U69)))=Milestones!$AB$198),UPPER(TEXT(EDATE($D69,Milestones!$AA$198),"dd mmm yy"))&amp;" "&amp;Milestones!$AB$198&amp;" "&amp;Milestones!$AC$198&amp;";  ","")&amp;IF(AND(EDATE($D69,Milestones!$AA$199)&lt;=AsOfDate,IF($R69=0,$X69,IF(AND($T69&lt;&gt;"",EDATE($D69,Milestones!$AA$199)&gt;=$T69),$W69,IF(AND($S69&lt;&gt;"",EDATE($D69,Milestones!$AA$199)&gt;=$S69),$V69,$U69)))=Milestones!$AB$199),UPPER(TEXT(EDATE($D69,Milestones!$AA$199),"dd mmm yy"))&amp;" "&amp;Milestones!$AB$199&amp;" "&amp;Milestones!$AC$199&amp;";  ",""))</f>
        <v/>
      </c>
      <c r="R69" s="0" t="str">
        <f aca="false">IF(Staff!$A69="","",Staff!$AI69)</f>
        <v/>
      </c>
      <c r="S69" s="0" t="str">
        <f aca="false">IF(Staff!$A69="","",Staff!$AK69)</f>
        <v/>
      </c>
      <c r="T69" s="0" t="str">
        <f aca="false">IF(Staff!$A69="","",Staff!$AL69)</f>
        <v/>
      </c>
      <c r="U69" s="0" t="str">
        <f aca="false">IF(Staff!$A69="","",Staff!$AP69)</f>
        <v/>
      </c>
      <c r="V69" s="0" t="str">
        <f aca="false">IF(Staff!$A69="","",Staff!$AQ69)</f>
        <v/>
      </c>
      <c r="W69" s="0" t="str">
        <f aca="false">IF(Staff!$A69="","",Staff!$AR69)</f>
        <v/>
      </c>
      <c r="X69" s="0" t="str">
        <f aca="false">IF(Staff!$A69="","",Staff!$AS69)</f>
        <v/>
      </c>
    </row>
    <row r="70" customFormat="false" ht="15" hidden="false" customHeight="false" outlineLevel="0" collapsed="false">
      <c r="A70" s="14" t="str">
        <f aca="false">IF(Staff!$A70="","",Staff!$A70)</f>
        <v/>
      </c>
      <c r="B70" s="14" t="str">
        <f aca="false">IF(Staff!$A70="","",Staff!$B70)</f>
        <v/>
      </c>
      <c r="C70" s="14" t="str">
        <f aca="false">IF(Staff!$A70="","",Staff!$C70)</f>
        <v/>
      </c>
      <c r="D70" s="12" t="str">
        <f aca="false">IF(Staff!$A70="","",Staff!$AH70)</f>
        <v/>
      </c>
      <c r="E70" s="14" t="str">
        <f aca="false">IF(Staff!$A70="","",Staff!$O70)</f>
        <v/>
      </c>
      <c r="F70" s="14" t="str">
        <f aca="false">IF(E70="","",E70*HoursPerDay)</f>
        <v/>
      </c>
      <c r="G70" s="14" t="str">
        <f aca="false">IF(Staff!$A70="","",Staff!$AE70)</f>
        <v/>
      </c>
      <c r="H70" s="26" t="str">
        <f aca="false">IF($A70="","",I70&amp;J70&amp;K70&amp;L70&amp;M70&amp;N70&amp;O70&amp;P70&amp;Q70)</f>
        <v/>
      </c>
      <c r="I70" s="0" t="str">
        <f aca="false">IF(OR($A70="",$D70=""),"",IF(AND(EDATE($D70,Milestones!$AA$20)&lt;=AsOfDate,IF($R70=0,$X70,IF(AND($T70&lt;&gt;"",EDATE($D70,Milestones!$AA$20)&gt;=$T70),$W70,IF(AND($S70&lt;&gt;"",EDATE($D70,Milestones!$AA$20)&gt;=$S70),$V70,$U70)))=Milestones!$AB$20),UPPER(TEXT(EDATE($D70,Milestones!$AA$20),"dd mmm yy"))&amp;" "&amp;Milestones!$AB$20&amp;" "&amp;Milestones!$AC$20&amp;";  ","")&amp;IF(AND(EDATE($D70,Milestones!$AA$21)&lt;=AsOfDate,IF($R70=0,$X70,IF(AND($T70&lt;&gt;"",EDATE($D70,Milestones!$AA$21)&gt;=$T70),$W70,IF(AND($S70&lt;&gt;"",EDATE($D70,Milestones!$AA$21)&gt;=$S70),$V70,$U70)))=Milestones!$AB$21),UPPER(TEXT(EDATE($D70,Milestones!$AA$21),"dd mmm yy"))&amp;" "&amp;Milestones!$AB$21&amp;" "&amp;Milestones!$AC$21&amp;";  ","")&amp;IF(AND(EDATE($D70,Milestones!$AA$22)&lt;=AsOfDate,IF($R70=0,$X70,IF(AND($T70&lt;&gt;"",EDATE($D70,Milestones!$AA$22)&gt;=$T70),$W70,IF(AND($S70&lt;&gt;"",EDATE($D70,Milestones!$AA$22)&gt;=$S70),$V70,$U70)))=Milestones!$AB$22),UPPER(TEXT(EDATE($D70,Milestones!$AA$22),"dd mmm yy"))&amp;" "&amp;Milestones!$AB$22&amp;" "&amp;Milestones!$AC$22&amp;";  ","")&amp;IF(AND(EDATE($D70,Milestones!$AA$23)&lt;=AsOfDate,IF($R70=0,$X70,IF(AND($T70&lt;&gt;"",EDATE($D70,Milestones!$AA$23)&gt;=$T70),$W70,IF(AND($S70&lt;&gt;"",EDATE($D70,Milestones!$AA$23)&gt;=$S70),$V70,$U70)))=Milestones!$AB$23),UPPER(TEXT(EDATE($D70,Milestones!$AA$23),"dd mmm yy"))&amp;" "&amp;Milestones!$AB$23&amp;" "&amp;Milestones!$AC$23&amp;";  ","")&amp;IF(AND(EDATE($D70,Milestones!$AA$24)&lt;=AsOfDate,IF($R70=0,$X70,IF(AND($T70&lt;&gt;"",EDATE($D70,Milestones!$AA$24)&gt;=$T70),$W70,IF(AND($S70&lt;&gt;"",EDATE($D70,Milestones!$AA$24)&gt;=$S70),$V70,$U70)))=Milestones!$AB$24),UPPER(TEXT(EDATE($D70,Milestones!$AA$24),"dd mmm yy"))&amp;" "&amp;Milestones!$AB$24&amp;" "&amp;Milestones!$AC$24&amp;";  ","")&amp;IF(AND(EDATE($D70,Milestones!$AA$25)&lt;=AsOfDate,IF($R70=0,$X70,IF(AND($T70&lt;&gt;"",EDATE($D70,Milestones!$AA$25)&gt;=$T70),$W70,IF(AND($S70&lt;&gt;"",EDATE($D70,Milestones!$AA$25)&gt;=$S70),$V70,$U70)))=Milestones!$AB$25),UPPER(TEXT(EDATE($D70,Milestones!$AA$25),"dd mmm yy"))&amp;" "&amp;Milestones!$AB$25&amp;" "&amp;Milestones!$AC$25&amp;";  ","")&amp;IF(AND(EDATE($D70,Milestones!$AA$26)&lt;=AsOfDate,IF($R70=0,$X70,IF(AND($T70&lt;&gt;"",EDATE($D70,Milestones!$AA$26)&gt;=$T70),$W70,IF(AND($S70&lt;&gt;"",EDATE($D70,Milestones!$AA$26)&gt;=$S70),$V70,$U70)))=Milestones!$AB$26),UPPER(TEXT(EDATE($D70,Milestones!$AA$26),"dd mmm yy"))&amp;" "&amp;Milestones!$AB$26&amp;" "&amp;Milestones!$AC$26&amp;";  ","")&amp;IF(AND(EDATE($D70,Milestones!$AA$27)&lt;=AsOfDate,IF($R70=0,$X70,IF(AND($T70&lt;&gt;"",EDATE($D70,Milestones!$AA$27)&gt;=$T70),$W70,IF(AND($S70&lt;&gt;"",EDATE($D70,Milestones!$AA$27)&gt;=$S70),$V70,$U70)))=Milestones!$AB$27),UPPER(TEXT(EDATE($D70,Milestones!$AA$27),"dd mmm yy"))&amp;" "&amp;Milestones!$AB$27&amp;" "&amp;Milestones!$AC$27&amp;";  ","")&amp;IF(AND(EDATE($D70,Milestones!$AA$28)&lt;=AsOfDate,IF($R70=0,$X70,IF(AND($T70&lt;&gt;"",EDATE($D70,Milestones!$AA$28)&gt;=$T70),$W70,IF(AND($S70&lt;&gt;"",EDATE($D70,Milestones!$AA$28)&gt;=$S70),$V70,$U70)))=Milestones!$AB$28),UPPER(TEXT(EDATE($D70,Milestones!$AA$28),"dd mmm yy"))&amp;" "&amp;Milestones!$AB$28&amp;" "&amp;Milestones!$AC$28&amp;";  ","")&amp;IF(AND(EDATE($D70,Milestones!$AA$29)&lt;=AsOfDate,IF($R70=0,$X70,IF(AND($T70&lt;&gt;"",EDATE($D70,Milestones!$AA$29)&gt;=$T70),$W70,IF(AND($S70&lt;&gt;"",EDATE($D70,Milestones!$AA$29)&gt;=$S70),$V70,$U70)))=Milestones!$AB$29),UPPER(TEXT(EDATE($D70,Milestones!$AA$29),"dd mmm yy"))&amp;" "&amp;Milestones!$AB$29&amp;" "&amp;Milestones!$AC$29&amp;";  ","")&amp;IF(AND(EDATE($D70,Milestones!$AA$30)&lt;=AsOfDate,IF($R70=0,$X70,IF(AND($T70&lt;&gt;"",EDATE($D70,Milestones!$AA$30)&gt;=$T70),$W70,IF(AND($S70&lt;&gt;"",EDATE($D70,Milestones!$AA$30)&gt;=$S70),$V70,$U70)))=Milestones!$AB$30),UPPER(TEXT(EDATE($D70,Milestones!$AA$30),"dd mmm yy"))&amp;" "&amp;Milestones!$AB$30&amp;" "&amp;Milestones!$AC$30&amp;";  ","")&amp;IF(AND(EDATE($D70,Milestones!$AA$31)&lt;=AsOfDate,IF($R70=0,$X70,IF(AND($T70&lt;&gt;"",EDATE($D70,Milestones!$AA$31)&gt;=$T70),$W70,IF(AND($S70&lt;&gt;"",EDATE($D70,Milestones!$AA$31)&gt;=$S70),$V70,$U70)))=Milestones!$AB$31),UPPER(TEXT(EDATE($D70,Milestones!$AA$31),"dd mmm yy"))&amp;" "&amp;Milestones!$AB$31&amp;" "&amp;Milestones!$AC$31&amp;";  ","")&amp;IF(AND(EDATE($D70,Milestones!$AA$32)&lt;=AsOfDate,IF($R70=0,$X70,IF(AND($T70&lt;&gt;"",EDATE($D70,Milestones!$AA$32)&gt;=$T70),$W70,IF(AND($S70&lt;&gt;"",EDATE($D70,Milestones!$AA$32)&gt;=$S70),$V70,$U70)))=Milestones!$AB$32),UPPER(TEXT(EDATE($D70,Milestones!$AA$32),"dd mmm yy"))&amp;" "&amp;Milestones!$AB$32&amp;" "&amp;Milestones!$AC$32&amp;";  ","")&amp;IF(AND(EDATE($D70,Milestones!$AA$33)&lt;=AsOfDate,IF($R70=0,$X70,IF(AND($T70&lt;&gt;"",EDATE($D70,Milestones!$AA$33)&gt;=$T70),$W70,IF(AND($S70&lt;&gt;"",EDATE($D70,Milestones!$AA$33)&gt;=$S70),$V70,$U70)))=Milestones!$AB$33),UPPER(TEXT(EDATE($D70,Milestones!$AA$33),"dd mmm yy"))&amp;" "&amp;Milestones!$AB$33&amp;" "&amp;Milestones!$AC$33&amp;";  ","")&amp;IF(AND(EDATE($D70,Milestones!$AA$34)&lt;=AsOfDate,IF($R70=0,$X70,IF(AND($T70&lt;&gt;"",EDATE($D70,Milestones!$AA$34)&gt;=$T70),$W70,IF(AND($S70&lt;&gt;"",EDATE($D70,Milestones!$AA$34)&gt;=$S70),$V70,$U70)))=Milestones!$AB$34),UPPER(TEXT(EDATE($D70,Milestones!$AA$34),"dd mmm yy"))&amp;" "&amp;Milestones!$AB$34&amp;" "&amp;Milestones!$AC$34&amp;";  ","")&amp;IF(AND(EDATE($D70,Milestones!$AA$35)&lt;=AsOfDate,IF($R70=0,$X70,IF(AND($T70&lt;&gt;"",EDATE($D70,Milestones!$AA$35)&gt;=$T70),$W70,IF(AND($S70&lt;&gt;"",EDATE($D70,Milestones!$AA$35)&gt;=$S70),$V70,$U70)))=Milestones!$AB$35),UPPER(TEXT(EDATE($D70,Milestones!$AA$35),"dd mmm yy"))&amp;" "&amp;Milestones!$AB$35&amp;" "&amp;Milestones!$AC$35&amp;";  ","")&amp;IF(AND(EDATE($D70,Milestones!$AA$36)&lt;=AsOfDate,IF($R70=0,$X70,IF(AND($T70&lt;&gt;"",EDATE($D70,Milestones!$AA$36)&gt;=$T70),$W70,IF(AND($S70&lt;&gt;"",EDATE($D70,Milestones!$AA$36)&gt;=$S70),$V70,$U70)))=Milestones!$AB$36),UPPER(TEXT(EDATE($D70,Milestones!$AA$36),"dd mmm yy"))&amp;" "&amp;Milestones!$AB$36&amp;" "&amp;Milestones!$AC$36&amp;";  ","")&amp;IF(AND(EDATE($D70,Milestones!$AA$37)&lt;=AsOfDate,IF($R70=0,$X70,IF(AND($T70&lt;&gt;"",EDATE($D70,Milestones!$AA$37)&gt;=$T70),$W70,IF(AND($S70&lt;&gt;"",EDATE($D70,Milestones!$AA$37)&gt;=$S70),$V70,$U70)))=Milestones!$AB$37),UPPER(TEXT(EDATE($D70,Milestones!$AA$37),"dd mmm yy"))&amp;" "&amp;Milestones!$AB$37&amp;" "&amp;Milestones!$AC$37&amp;";  ","")&amp;IF(AND(EDATE($D70,Milestones!$AA$38)&lt;=AsOfDate,IF($R70=0,$X70,IF(AND($T70&lt;&gt;"",EDATE($D70,Milestones!$AA$38)&gt;=$T70),$W70,IF(AND($S70&lt;&gt;"",EDATE($D70,Milestones!$AA$38)&gt;=$S70),$V70,$U70)))=Milestones!$AB$38),UPPER(TEXT(EDATE($D70,Milestones!$AA$38),"dd mmm yy"))&amp;" "&amp;Milestones!$AB$38&amp;" "&amp;Milestones!$AC$38&amp;";  ","")&amp;IF(AND(EDATE($D70,Milestones!$AA$39)&lt;=AsOfDate,IF($R70=0,$X70,IF(AND($T70&lt;&gt;"",EDATE($D70,Milestones!$AA$39)&gt;=$T70),$W70,IF(AND($S70&lt;&gt;"",EDATE($D70,Milestones!$AA$39)&gt;=$S70),$V70,$U70)))=Milestones!$AB$39),UPPER(TEXT(EDATE($D70,Milestones!$AA$39),"dd mmm yy"))&amp;" "&amp;Milestones!$AB$39&amp;" "&amp;Milestones!$AC$39&amp;";  ",""))</f>
        <v/>
      </c>
      <c r="J70" s="0" t="str">
        <f aca="false">IF(OR($A70="",$D70=""),"",IF(AND(EDATE($D70,Milestones!$AA$40)&lt;=AsOfDate,IF($R70=0,$X70,IF(AND($T70&lt;&gt;"",EDATE($D70,Milestones!$AA$40)&gt;=$T70),$W70,IF(AND($S70&lt;&gt;"",EDATE($D70,Milestones!$AA$40)&gt;=$S70),$V70,$U70)))=Milestones!$AB$40),UPPER(TEXT(EDATE($D70,Milestones!$AA$40),"dd mmm yy"))&amp;" "&amp;Milestones!$AB$40&amp;" "&amp;Milestones!$AC$40&amp;";  ","")&amp;IF(AND(EDATE($D70,Milestones!$AA$41)&lt;=AsOfDate,IF($R70=0,$X70,IF(AND($T70&lt;&gt;"",EDATE($D70,Milestones!$AA$41)&gt;=$T70),$W70,IF(AND($S70&lt;&gt;"",EDATE($D70,Milestones!$AA$41)&gt;=$S70),$V70,$U70)))=Milestones!$AB$41),UPPER(TEXT(EDATE($D70,Milestones!$AA$41),"dd mmm yy"))&amp;" "&amp;Milestones!$AB$41&amp;" "&amp;Milestones!$AC$41&amp;";  ","")&amp;IF(AND(EDATE($D70,Milestones!$AA$42)&lt;=AsOfDate,IF($R70=0,$X70,IF(AND($T70&lt;&gt;"",EDATE($D70,Milestones!$AA$42)&gt;=$T70),$W70,IF(AND($S70&lt;&gt;"",EDATE($D70,Milestones!$AA$42)&gt;=$S70),$V70,$U70)))=Milestones!$AB$42),UPPER(TEXT(EDATE($D70,Milestones!$AA$42),"dd mmm yy"))&amp;" "&amp;Milestones!$AB$42&amp;" "&amp;Milestones!$AC$42&amp;";  ","")&amp;IF(AND(EDATE($D70,Milestones!$AA$43)&lt;=AsOfDate,IF($R70=0,$X70,IF(AND($T70&lt;&gt;"",EDATE($D70,Milestones!$AA$43)&gt;=$T70),$W70,IF(AND($S70&lt;&gt;"",EDATE($D70,Milestones!$AA$43)&gt;=$S70),$V70,$U70)))=Milestones!$AB$43),UPPER(TEXT(EDATE($D70,Milestones!$AA$43),"dd mmm yy"))&amp;" "&amp;Milestones!$AB$43&amp;" "&amp;Milestones!$AC$43&amp;";  ","")&amp;IF(AND(EDATE($D70,Milestones!$AA$44)&lt;=AsOfDate,IF($R70=0,$X70,IF(AND($T70&lt;&gt;"",EDATE($D70,Milestones!$AA$44)&gt;=$T70),$W70,IF(AND($S70&lt;&gt;"",EDATE($D70,Milestones!$AA$44)&gt;=$S70),$V70,$U70)))=Milestones!$AB$44),UPPER(TEXT(EDATE($D70,Milestones!$AA$44),"dd mmm yy"))&amp;" "&amp;Milestones!$AB$44&amp;" "&amp;Milestones!$AC$44&amp;";  ","")&amp;IF(AND(EDATE($D70,Milestones!$AA$45)&lt;=AsOfDate,IF($R70=0,$X70,IF(AND($T70&lt;&gt;"",EDATE($D70,Milestones!$AA$45)&gt;=$T70),$W70,IF(AND($S70&lt;&gt;"",EDATE($D70,Milestones!$AA$45)&gt;=$S70),$V70,$U70)))=Milestones!$AB$45),UPPER(TEXT(EDATE($D70,Milestones!$AA$45),"dd mmm yy"))&amp;" "&amp;Milestones!$AB$45&amp;" "&amp;Milestones!$AC$45&amp;";  ","")&amp;IF(AND(EDATE($D70,Milestones!$AA$46)&lt;=AsOfDate,IF($R70=0,$X70,IF(AND($T70&lt;&gt;"",EDATE($D70,Milestones!$AA$46)&gt;=$T70),$W70,IF(AND($S70&lt;&gt;"",EDATE($D70,Milestones!$AA$46)&gt;=$S70),$V70,$U70)))=Milestones!$AB$46),UPPER(TEXT(EDATE($D70,Milestones!$AA$46),"dd mmm yy"))&amp;" "&amp;Milestones!$AB$46&amp;" "&amp;Milestones!$AC$46&amp;";  ","")&amp;IF(AND(EDATE($D70,Milestones!$AA$47)&lt;=AsOfDate,IF($R70=0,$X70,IF(AND($T70&lt;&gt;"",EDATE($D70,Milestones!$AA$47)&gt;=$T70),$W70,IF(AND($S70&lt;&gt;"",EDATE($D70,Milestones!$AA$47)&gt;=$S70),$V70,$U70)))=Milestones!$AB$47),UPPER(TEXT(EDATE($D70,Milestones!$AA$47),"dd mmm yy"))&amp;" "&amp;Milestones!$AB$47&amp;" "&amp;Milestones!$AC$47&amp;";  ","")&amp;IF(AND(EDATE($D70,Milestones!$AA$48)&lt;=AsOfDate,IF($R70=0,$X70,IF(AND($T70&lt;&gt;"",EDATE($D70,Milestones!$AA$48)&gt;=$T70),$W70,IF(AND($S70&lt;&gt;"",EDATE($D70,Milestones!$AA$48)&gt;=$S70),$V70,$U70)))=Milestones!$AB$48),UPPER(TEXT(EDATE($D70,Milestones!$AA$48),"dd mmm yy"))&amp;" "&amp;Milestones!$AB$48&amp;" "&amp;Milestones!$AC$48&amp;";  ","")&amp;IF(AND(EDATE($D70,Milestones!$AA$49)&lt;=AsOfDate,IF($R70=0,$X70,IF(AND($T70&lt;&gt;"",EDATE($D70,Milestones!$AA$49)&gt;=$T70),$W70,IF(AND($S70&lt;&gt;"",EDATE($D70,Milestones!$AA$49)&gt;=$S70),$V70,$U70)))=Milestones!$AB$49),UPPER(TEXT(EDATE($D70,Milestones!$AA$49),"dd mmm yy"))&amp;" "&amp;Milestones!$AB$49&amp;" "&amp;Milestones!$AC$49&amp;";  ","")&amp;IF(AND(EDATE($D70,Milestones!$AA$50)&lt;=AsOfDate,IF($R70=0,$X70,IF(AND($T70&lt;&gt;"",EDATE($D70,Milestones!$AA$50)&gt;=$T70),$W70,IF(AND($S70&lt;&gt;"",EDATE($D70,Milestones!$AA$50)&gt;=$S70),$V70,$U70)))=Milestones!$AB$50),UPPER(TEXT(EDATE($D70,Milestones!$AA$50),"dd mmm yy"))&amp;" "&amp;Milestones!$AB$50&amp;" "&amp;Milestones!$AC$50&amp;";  ","")&amp;IF(AND(EDATE($D70,Milestones!$AA$51)&lt;=AsOfDate,IF($R70=0,$X70,IF(AND($T70&lt;&gt;"",EDATE($D70,Milestones!$AA$51)&gt;=$T70),$W70,IF(AND($S70&lt;&gt;"",EDATE($D70,Milestones!$AA$51)&gt;=$S70),$V70,$U70)))=Milestones!$AB$51),UPPER(TEXT(EDATE($D70,Milestones!$AA$51),"dd mmm yy"))&amp;" "&amp;Milestones!$AB$51&amp;" "&amp;Milestones!$AC$51&amp;";  ","")&amp;IF(AND(EDATE($D70,Milestones!$AA$52)&lt;=AsOfDate,IF($R70=0,$X70,IF(AND($T70&lt;&gt;"",EDATE($D70,Milestones!$AA$52)&gt;=$T70),$W70,IF(AND($S70&lt;&gt;"",EDATE($D70,Milestones!$AA$52)&gt;=$S70),$V70,$U70)))=Milestones!$AB$52),UPPER(TEXT(EDATE($D70,Milestones!$AA$52),"dd mmm yy"))&amp;" "&amp;Milestones!$AB$52&amp;" "&amp;Milestones!$AC$52&amp;";  ","")&amp;IF(AND(EDATE($D70,Milestones!$AA$53)&lt;=AsOfDate,IF($R70=0,$X70,IF(AND($T70&lt;&gt;"",EDATE($D70,Milestones!$AA$53)&gt;=$T70),$W70,IF(AND($S70&lt;&gt;"",EDATE($D70,Milestones!$AA$53)&gt;=$S70),$V70,$U70)))=Milestones!$AB$53),UPPER(TEXT(EDATE($D70,Milestones!$AA$53),"dd mmm yy"))&amp;" "&amp;Milestones!$AB$53&amp;" "&amp;Milestones!$AC$53&amp;";  ","")&amp;IF(AND(EDATE($D70,Milestones!$AA$54)&lt;=AsOfDate,IF($R70=0,$X70,IF(AND($T70&lt;&gt;"",EDATE($D70,Milestones!$AA$54)&gt;=$T70),$W70,IF(AND($S70&lt;&gt;"",EDATE($D70,Milestones!$AA$54)&gt;=$S70),$V70,$U70)))=Milestones!$AB$54),UPPER(TEXT(EDATE($D70,Milestones!$AA$54),"dd mmm yy"))&amp;" "&amp;Milestones!$AB$54&amp;" "&amp;Milestones!$AC$54&amp;";  ","")&amp;IF(AND(EDATE($D70,Milestones!$AA$55)&lt;=AsOfDate,IF($R70=0,$X70,IF(AND($T70&lt;&gt;"",EDATE($D70,Milestones!$AA$55)&gt;=$T70),$W70,IF(AND($S70&lt;&gt;"",EDATE($D70,Milestones!$AA$55)&gt;=$S70),$V70,$U70)))=Milestones!$AB$55),UPPER(TEXT(EDATE($D70,Milestones!$AA$55),"dd mmm yy"))&amp;" "&amp;Milestones!$AB$55&amp;" "&amp;Milestones!$AC$55&amp;";  ","")&amp;IF(AND(EDATE($D70,Milestones!$AA$56)&lt;=AsOfDate,IF($R70=0,$X70,IF(AND($T70&lt;&gt;"",EDATE($D70,Milestones!$AA$56)&gt;=$T70),$W70,IF(AND($S70&lt;&gt;"",EDATE($D70,Milestones!$AA$56)&gt;=$S70),$V70,$U70)))=Milestones!$AB$56),UPPER(TEXT(EDATE($D70,Milestones!$AA$56),"dd mmm yy"))&amp;" "&amp;Milestones!$AB$56&amp;" "&amp;Milestones!$AC$56&amp;";  ","")&amp;IF(AND(EDATE($D70,Milestones!$AA$57)&lt;=AsOfDate,IF($R70=0,$X70,IF(AND($T70&lt;&gt;"",EDATE($D70,Milestones!$AA$57)&gt;=$T70),$W70,IF(AND($S70&lt;&gt;"",EDATE($D70,Milestones!$AA$57)&gt;=$S70),$V70,$U70)))=Milestones!$AB$57),UPPER(TEXT(EDATE($D70,Milestones!$AA$57),"dd mmm yy"))&amp;" "&amp;Milestones!$AB$57&amp;" "&amp;Milestones!$AC$57&amp;";  ","")&amp;IF(AND(EDATE($D70,Milestones!$AA$58)&lt;=AsOfDate,IF($R70=0,$X70,IF(AND($T70&lt;&gt;"",EDATE($D70,Milestones!$AA$58)&gt;=$T70),$W70,IF(AND($S70&lt;&gt;"",EDATE($D70,Milestones!$AA$58)&gt;=$S70),$V70,$U70)))=Milestones!$AB$58),UPPER(TEXT(EDATE($D70,Milestones!$AA$58),"dd mmm yy"))&amp;" "&amp;Milestones!$AB$58&amp;" "&amp;Milestones!$AC$58&amp;";  ","")&amp;IF(AND(EDATE($D70,Milestones!$AA$59)&lt;=AsOfDate,IF($R70=0,$X70,IF(AND($T70&lt;&gt;"",EDATE($D70,Milestones!$AA$59)&gt;=$T70),$W70,IF(AND($S70&lt;&gt;"",EDATE($D70,Milestones!$AA$59)&gt;=$S70),$V70,$U70)))=Milestones!$AB$59),UPPER(TEXT(EDATE($D70,Milestones!$AA$59),"dd mmm yy"))&amp;" "&amp;Milestones!$AB$59&amp;" "&amp;Milestones!$AC$59&amp;";  ",""))</f>
        <v/>
      </c>
      <c r="K70" s="0" t="str">
        <f aca="false">IF(OR($A70="",$D70=""),"",IF(AND(EDATE($D70,Milestones!$AA$60)&lt;=AsOfDate,IF($R70=0,$X70,IF(AND($T70&lt;&gt;"",EDATE($D70,Milestones!$AA$60)&gt;=$T70),$W70,IF(AND($S70&lt;&gt;"",EDATE($D70,Milestones!$AA$60)&gt;=$S70),$V70,$U70)))=Milestones!$AB$60),UPPER(TEXT(EDATE($D70,Milestones!$AA$60),"dd mmm yy"))&amp;" "&amp;Milestones!$AB$60&amp;" "&amp;Milestones!$AC$60&amp;";  ","")&amp;IF(AND(EDATE($D70,Milestones!$AA$61)&lt;=AsOfDate,IF($R70=0,$X70,IF(AND($T70&lt;&gt;"",EDATE($D70,Milestones!$AA$61)&gt;=$T70),$W70,IF(AND($S70&lt;&gt;"",EDATE($D70,Milestones!$AA$61)&gt;=$S70),$V70,$U70)))=Milestones!$AB$61),UPPER(TEXT(EDATE($D70,Milestones!$AA$61),"dd mmm yy"))&amp;" "&amp;Milestones!$AB$61&amp;" "&amp;Milestones!$AC$61&amp;";  ","")&amp;IF(AND(EDATE($D70,Milestones!$AA$62)&lt;=AsOfDate,IF($R70=0,$X70,IF(AND($T70&lt;&gt;"",EDATE($D70,Milestones!$AA$62)&gt;=$T70),$W70,IF(AND($S70&lt;&gt;"",EDATE($D70,Milestones!$AA$62)&gt;=$S70),$V70,$U70)))=Milestones!$AB$62),UPPER(TEXT(EDATE($D70,Milestones!$AA$62),"dd mmm yy"))&amp;" "&amp;Milestones!$AB$62&amp;" "&amp;Milestones!$AC$62&amp;";  ","")&amp;IF(AND(EDATE($D70,Milestones!$AA$63)&lt;=AsOfDate,IF($R70=0,$X70,IF(AND($T70&lt;&gt;"",EDATE($D70,Milestones!$AA$63)&gt;=$T70),$W70,IF(AND($S70&lt;&gt;"",EDATE($D70,Milestones!$AA$63)&gt;=$S70),$V70,$U70)))=Milestones!$AB$63),UPPER(TEXT(EDATE($D70,Milestones!$AA$63),"dd mmm yy"))&amp;" "&amp;Milestones!$AB$63&amp;" "&amp;Milestones!$AC$63&amp;";  ","")&amp;IF(AND(EDATE($D70,Milestones!$AA$64)&lt;=AsOfDate,IF($R70=0,$X70,IF(AND($T70&lt;&gt;"",EDATE($D70,Milestones!$AA$64)&gt;=$T70),$W70,IF(AND($S70&lt;&gt;"",EDATE($D70,Milestones!$AA$64)&gt;=$S70),$V70,$U70)))=Milestones!$AB$64),UPPER(TEXT(EDATE($D70,Milestones!$AA$64),"dd mmm yy"))&amp;" "&amp;Milestones!$AB$64&amp;" "&amp;Milestones!$AC$64&amp;";  ","")&amp;IF(AND(EDATE($D70,Milestones!$AA$65)&lt;=AsOfDate,IF($R70=0,$X70,IF(AND($T70&lt;&gt;"",EDATE($D70,Milestones!$AA$65)&gt;=$T70),$W70,IF(AND($S70&lt;&gt;"",EDATE($D70,Milestones!$AA$65)&gt;=$S70),$V70,$U70)))=Milestones!$AB$65),UPPER(TEXT(EDATE($D70,Milestones!$AA$65),"dd mmm yy"))&amp;" "&amp;Milestones!$AB$65&amp;" "&amp;Milestones!$AC$65&amp;";  ","")&amp;IF(AND(EDATE($D70,Milestones!$AA$66)&lt;=AsOfDate,IF($R70=0,$X70,IF(AND($T70&lt;&gt;"",EDATE($D70,Milestones!$AA$66)&gt;=$T70),$W70,IF(AND($S70&lt;&gt;"",EDATE($D70,Milestones!$AA$66)&gt;=$S70),$V70,$U70)))=Milestones!$AB$66),UPPER(TEXT(EDATE($D70,Milestones!$AA$66),"dd mmm yy"))&amp;" "&amp;Milestones!$AB$66&amp;" "&amp;Milestones!$AC$66&amp;";  ","")&amp;IF(AND(EDATE($D70,Milestones!$AA$67)&lt;=AsOfDate,IF($R70=0,$X70,IF(AND($T70&lt;&gt;"",EDATE($D70,Milestones!$AA$67)&gt;=$T70),$W70,IF(AND($S70&lt;&gt;"",EDATE($D70,Milestones!$AA$67)&gt;=$S70),$V70,$U70)))=Milestones!$AB$67),UPPER(TEXT(EDATE($D70,Milestones!$AA$67),"dd mmm yy"))&amp;" "&amp;Milestones!$AB$67&amp;" "&amp;Milestones!$AC$67&amp;";  ","")&amp;IF(AND(EDATE($D70,Milestones!$AA$68)&lt;=AsOfDate,IF($R70=0,$X70,IF(AND($T70&lt;&gt;"",EDATE($D70,Milestones!$AA$68)&gt;=$T70),$W70,IF(AND($S70&lt;&gt;"",EDATE($D70,Milestones!$AA$68)&gt;=$S70),$V70,$U70)))=Milestones!$AB$68),UPPER(TEXT(EDATE($D70,Milestones!$AA$68),"dd mmm yy"))&amp;" "&amp;Milestones!$AB$68&amp;" "&amp;Milestones!$AC$68&amp;";  ","")&amp;IF(AND(EDATE($D70,Milestones!$AA$69)&lt;=AsOfDate,IF($R70=0,$X70,IF(AND($T70&lt;&gt;"",EDATE($D70,Milestones!$AA$69)&gt;=$T70),$W70,IF(AND($S70&lt;&gt;"",EDATE($D70,Milestones!$AA$69)&gt;=$S70),$V70,$U70)))=Milestones!$AB$69),UPPER(TEXT(EDATE($D70,Milestones!$AA$69),"dd mmm yy"))&amp;" "&amp;Milestones!$AB$69&amp;" "&amp;Milestones!$AC$69&amp;";  ","")&amp;IF(AND(EDATE($D70,Milestones!$AA$70)&lt;=AsOfDate,IF($R70=0,$X70,IF(AND($T70&lt;&gt;"",EDATE($D70,Milestones!$AA$70)&gt;=$T70),$W70,IF(AND($S70&lt;&gt;"",EDATE($D70,Milestones!$AA$70)&gt;=$S70),$V70,$U70)))=Milestones!$AB$70),UPPER(TEXT(EDATE($D70,Milestones!$AA$70),"dd mmm yy"))&amp;" "&amp;Milestones!$AB$70&amp;" "&amp;Milestones!$AC$70&amp;";  ","")&amp;IF(AND(EDATE($D70,Milestones!$AA$71)&lt;=AsOfDate,IF($R70=0,$X70,IF(AND($T70&lt;&gt;"",EDATE($D70,Milestones!$AA$71)&gt;=$T70),$W70,IF(AND($S70&lt;&gt;"",EDATE($D70,Milestones!$AA$71)&gt;=$S70),$V70,$U70)))=Milestones!$AB$71),UPPER(TEXT(EDATE($D70,Milestones!$AA$71),"dd mmm yy"))&amp;" "&amp;Milestones!$AB$71&amp;" "&amp;Milestones!$AC$71&amp;";  ","")&amp;IF(AND(EDATE($D70,Milestones!$AA$72)&lt;=AsOfDate,IF($R70=0,$X70,IF(AND($T70&lt;&gt;"",EDATE($D70,Milestones!$AA$72)&gt;=$T70),$W70,IF(AND($S70&lt;&gt;"",EDATE($D70,Milestones!$AA$72)&gt;=$S70),$V70,$U70)))=Milestones!$AB$72),UPPER(TEXT(EDATE($D70,Milestones!$AA$72),"dd mmm yy"))&amp;" "&amp;Milestones!$AB$72&amp;" "&amp;Milestones!$AC$72&amp;";  ","")&amp;IF(AND(EDATE($D70,Milestones!$AA$73)&lt;=AsOfDate,IF($R70=0,$X70,IF(AND($T70&lt;&gt;"",EDATE($D70,Milestones!$AA$73)&gt;=$T70),$W70,IF(AND($S70&lt;&gt;"",EDATE($D70,Milestones!$AA$73)&gt;=$S70),$V70,$U70)))=Milestones!$AB$73),UPPER(TEXT(EDATE($D70,Milestones!$AA$73),"dd mmm yy"))&amp;" "&amp;Milestones!$AB$73&amp;" "&amp;Milestones!$AC$73&amp;";  ","")&amp;IF(AND(EDATE($D70,Milestones!$AA$74)&lt;=AsOfDate,IF($R70=0,$X70,IF(AND($T70&lt;&gt;"",EDATE($D70,Milestones!$AA$74)&gt;=$T70),$W70,IF(AND($S70&lt;&gt;"",EDATE($D70,Milestones!$AA$74)&gt;=$S70),$V70,$U70)))=Milestones!$AB$74),UPPER(TEXT(EDATE($D70,Milestones!$AA$74),"dd mmm yy"))&amp;" "&amp;Milestones!$AB$74&amp;" "&amp;Milestones!$AC$74&amp;";  ","")&amp;IF(AND(EDATE($D70,Milestones!$AA$75)&lt;=AsOfDate,IF($R70=0,$X70,IF(AND($T70&lt;&gt;"",EDATE($D70,Milestones!$AA$75)&gt;=$T70),$W70,IF(AND($S70&lt;&gt;"",EDATE($D70,Milestones!$AA$75)&gt;=$S70),$V70,$U70)))=Milestones!$AB$75),UPPER(TEXT(EDATE($D70,Milestones!$AA$75),"dd mmm yy"))&amp;" "&amp;Milestones!$AB$75&amp;" "&amp;Milestones!$AC$75&amp;";  ","")&amp;IF(AND(EDATE($D70,Milestones!$AA$76)&lt;=AsOfDate,IF($R70=0,$X70,IF(AND($T70&lt;&gt;"",EDATE($D70,Milestones!$AA$76)&gt;=$T70),$W70,IF(AND($S70&lt;&gt;"",EDATE($D70,Milestones!$AA$76)&gt;=$S70),$V70,$U70)))=Milestones!$AB$76),UPPER(TEXT(EDATE($D70,Milestones!$AA$76),"dd mmm yy"))&amp;" "&amp;Milestones!$AB$76&amp;" "&amp;Milestones!$AC$76&amp;";  ","")&amp;IF(AND(EDATE($D70,Milestones!$AA$77)&lt;=AsOfDate,IF($R70=0,$X70,IF(AND($T70&lt;&gt;"",EDATE($D70,Milestones!$AA$77)&gt;=$T70),$W70,IF(AND($S70&lt;&gt;"",EDATE($D70,Milestones!$AA$77)&gt;=$S70),$V70,$U70)))=Milestones!$AB$77),UPPER(TEXT(EDATE($D70,Milestones!$AA$77),"dd mmm yy"))&amp;" "&amp;Milestones!$AB$77&amp;" "&amp;Milestones!$AC$77&amp;";  ","")&amp;IF(AND(EDATE($D70,Milestones!$AA$78)&lt;=AsOfDate,IF($R70=0,$X70,IF(AND($T70&lt;&gt;"",EDATE($D70,Milestones!$AA$78)&gt;=$T70),$W70,IF(AND($S70&lt;&gt;"",EDATE($D70,Milestones!$AA$78)&gt;=$S70),$V70,$U70)))=Milestones!$AB$78),UPPER(TEXT(EDATE($D70,Milestones!$AA$78),"dd mmm yy"))&amp;" "&amp;Milestones!$AB$78&amp;" "&amp;Milestones!$AC$78&amp;";  ","")&amp;IF(AND(EDATE($D70,Milestones!$AA$79)&lt;=AsOfDate,IF($R70=0,$X70,IF(AND($T70&lt;&gt;"",EDATE($D70,Milestones!$AA$79)&gt;=$T70),$W70,IF(AND($S70&lt;&gt;"",EDATE($D70,Milestones!$AA$79)&gt;=$S70),$V70,$U70)))=Milestones!$AB$79),UPPER(TEXT(EDATE($D70,Milestones!$AA$79),"dd mmm yy"))&amp;" "&amp;Milestones!$AB$79&amp;" "&amp;Milestones!$AC$79&amp;";  ",""))</f>
        <v/>
      </c>
      <c r="L70" s="0" t="str">
        <f aca="false">IF(OR($A70="",$D70=""),"",IF(AND(EDATE($D70,Milestones!$AA$80)&lt;=AsOfDate,IF($R70=0,$X70,IF(AND($T70&lt;&gt;"",EDATE($D70,Milestones!$AA$80)&gt;=$T70),$W70,IF(AND($S70&lt;&gt;"",EDATE($D70,Milestones!$AA$80)&gt;=$S70),$V70,$U70)))=Milestones!$AB$80),UPPER(TEXT(EDATE($D70,Milestones!$AA$80),"dd mmm yy"))&amp;" "&amp;Milestones!$AB$80&amp;" "&amp;Milestones!$AC$80&amp;";  ","")&amp;IF(AND(EDATE($D70,Milestones!$AA$81)&lt;=AsOfDate,IF($R70=0,$X70,IF(AND($T70&lt;&gt;"",EDATE($D70,Milestones!$AA$81)&gt;=$T70),$W70,IF(AND($S70&lt;&gt;"",EDATE($D70,Milestones!$AA$81)&gt;=$S70),$V70,$U70)))=Milestones!$AB$81),UPPER(TEXT(EDATE($D70,Milestones!$AA$81),"dd mmm yy"))&amp;" "&amp;Milestones!$AB$81&amp;" "&amp;Milestones!$AC$81&amp;";  ","")&amp;IF(AND(EDATE($D70,Milestones!$AA$82)&lt;=AsOfDate,IF($R70=0,$X70,IF(AND($T70&lt;&gt;"",EDATE($D70,Milestones!$AA$82)&gt;=$T70),$W70,IF(AND($S70&lt;&gt;"",EDATE($D70,Milestones!$AA$82)&gt;=$S70),$V70,$U70)))=Milestones!$AB$82),UPPER(TEXT(EDATE($D70,Milestones!$AA$82),"dd mmm yy"))&amp;" "&amp;Milestones!$AB$82&amp;" "&amp;Milestones!$AC$82&amp;";  ","")&amp;IF(AND(EDATE($D70,Milestones!$AA$83)&lt;=AsOfDate,IF($R70=0,$X70,IF(AND($T70&lt;&gt;"",EDATE($D70,Milestones!$AA$83)&gt;=$T70),$W70,IF(AND($S70&lt;&gt;"",EDATE($D70,Milestones!$AA$83)&gt;=$S70),$V70,$U70)))=Milestones!$AB$83),UPPER(TEXT(EDATE($D70,Milestones!$AA$83),"dd mmm yy"))&amp;" "&amp;Milestones!$AB$83&amp;" "&amp;Milestones!$AC$83&amp;";  ","")&amp;IF(AND(EDATE($D70,Milestones!$AA$84)&lt;=AsOfDate,IF($R70=0,$X70,IF(AND($T70&lt;&gt;"",EDATE($D70,Milestones!$AA$84)&gt;=$T70),$W70,IF(AND($S70&lt;&gt;"",EDATE($D70,Milestones!$AA$84)&gt;=$S70),$V70,$U70)))=Milestones!$AB$84),UPPER(TEXT(EDATE($D70,Milestones!$AA$84),"dd mmm yy"))&amp;" "&amp;Milestones!$AB$84&amp;" "&amp;Milestones!$AC$84&amp;";  ","")&amp;IF(AND(EDATE($D70,Milestones!$AA$85)&lt;=AsOfDate,IF($R70=0,$X70,IF(AND($T70&lt;&gt;"",EDATE($D70,Milestones!$AA$85)&gt;=$T70),$W70,IF(AND($S70&lt;&gt;"",EDATE($D70,Milestones!$AA$85)&gt;=$S70),$V70,$U70)))=Milestones!$AB$85),UPPER(TEXT(EDATE($D70,Milestones!$AA$85),"dd mmm yy"))&amp;" "&amp;Milestones!$AB$85&amp;" "&amp;Milestones!$AC$85&amp;";  ","")&amp;IF(AND(EDATE($D70,Milestones!$AA$86)&lt;=AsOfDate,IF($R70=0,$X70,IF(AND($T70&lt;&gt;"",EDATE($D70,Milestones!$AA$86)&gt;=$T70),$W70,IF(AND($S70&lt;&gt;"",EDATE($D70,Milestones!$AA$86)&gt;=$S70),$V70,$U70)))=Milestones!$AB$86),UPPER(TEXT(EDATE($D70,Milestones!$AA$86),"dd mmm yy"))&amp;" "&amp;Milestones!$AB$86&amp;" "&amp;Milestones!$AC$86&amp;";  ","")&amp;IF(AND(EDATE($D70,Milestones!$AA$87)&lt;=AsOfDate,IF($R70=0,$X70,IF(AND($T70&lt;&gt;"",EDATE($D70,Milestones!$AA$87)&gt;=$T70),$W70,IF(AND($S70&lt;&gt;"",EDATE($D70,Milestones!$AA$87)&gt;=$S70),$V70,$U70)))=Milestones!$AB$87),UPPER(TEXT(EDATE($D70,Milestones!$AA$87),"dd mmm yy"))&amp;" "&amp;Milestones!$AB$87&amp;" "&amp;Milestones!$AC$87&amp;";  ","")&amp;IF(AND(EDATE($D70,Milestones!$AA$88)&lt;=AsOfDate,IF($R70=0,$X70,IF(AND($T70&lt;&gt;"",EDATE($D70,Milestones!$AA$88)&gt;=$T70),$W70,IF(AND($S70&lt;&gt;"",EDATE($D70,Milestones!$AA$88)&gt;=$S70),$V70,$U70)))=Milestones!$AB$88),UPPER(TEXT(EDATE($D70,Milestones!$AA$88),"dd mmm yy"))&amp;" "&amp;Milestones!$AB$88&amp;" "&amp;Milestones!$AC$88&amp;";  ","")&amp;IF(AND(EDATE($D70,Milestones!$AA$89)&lt;=AsOfDate,IF($R70=0,$X70,IF(AND($T70&lt;&gt;"",EDATE($D70,Milestones!$AA$89)&gt;=$T70),$W70,IF(AND($S70&lt;&gt;"",EDATE($D70,Milestones!$AA$89)&gt;=$S70),$V70,$U70)))=Milestones!$AB$89),UPPER(TEXT(EDATE($D70,Milestones!$AA$89),"dd mmm yy"))&amp;" "&amp;Milestones!$AB$89&amp;" "&amp;Milestones!$AC$89&amp;";  ","")&amp;IF(AND(EDATE($D70,Milestones!$AA$90)&lt;=AsOfDate,IF($R70=0,$X70,IF(AND($T70&lt;&gt;"",EDATE($D70,Milestones!$AA$90)&gt;=$T70),$W70,IF(AND($S70&lt;&gt;"",EDATE($D70,Milestones!$AA$90)&gt;=$S70),$V70,$U70)))=Milestones!$AB$90),UPPER(TEXT(EDATE($D70,Milestones!$AA$90),"dd mmm yy"))&amp;" "&amp;Milestones!$AB$90&amp;" "&amp;Milestones!$AC$90&amp;";  ","")&amp;IF(AND(EDATE($D70,Milestones!$AA$91)&lt;=AsOfDate,IF($R70=0,$X70,IF(AND($T70&lt;&gt;"",EDATE($D70,Milestones!$AA$91)&gt;=$T70),$W70,IF(AND($S70&lt;&gt;"",EDATE($D70,Milestones!$AA$91)&gt;=$S70),$V70,$U70)))=Milestones!$AB$91),UPPER(TEXT(EDATE($D70,Milestones!$AA$91),"dd mmm yy"))&amp;" "&amp;Milestones!$AB$91&amp;" "&amp;Milestones!$AC$91&amp;";  ","")&amp;IF(AND(EDATE($D70,Milestones!$AA$92)&lt;=AsOfDate,IF($R70=0,$X70,IF(AND($T70&lt;&gt;"",EDATE($D70,Milestones!$AA$92)&gt;=$T70),$W70,IF(AND($S70&lt;&gt;"",EDATE($D70,Milestones!$AA$92)&gt;=$S70),$V70,$U70)))=Milestones!$AB$92),UPPER(TEXT(EDATE($D70,Milestones!$AA$92),"dd mmm yy"))&amp;" "&amp;Milestones!$AB$92&amp;" "&amp;Milestones!$AC$92&amp;";  ","")&amp;IF(AND(EDATE($D70,Milestones!$AA$93)&lt;=AsOfDate,IF($R70=0,$X70,IF(AND($T70&lt;&gt;"",EDATE($D70,Milestones!$AA$93)&gt;=$T70),$W70,IF(AND($S70&lt;&gt;"",EDATE($D70,Milestones!$AA$93)&gt;=$S70),$V70,$U70)))=Milestones!$AB$93),UPPER(TEXT(EDATE($D70,Milestones!$AA$93),"dd mmm yy"))&amp;" "&amp;Milestones!$AB$93&amp;" "&amp;Milestones!$AC$93&amp;";  ","")&amp;IF(AND(EDATE($D70,Milestones!$AA$94)&lt;=AsOfDate,IF($R70=0,$X70,IF(AND($T70&lt;&gt;"",EDATE($D70,Milestones!$AA$94)&gt;=$T70),$W70,IF(AND($S70&lt;&gt;"",EDATE($D70,Milestones!$AA$94)&gt;=$S70),$V70,$U70)))=Milestones!$AB$94),UPPER(TEXT(EDATE($D70,Milestones!$AA$94),"dd mmm yy"))&amp;" "&amp;Milestones!$AB$94&amp;" "&amp;Milestones!$AC$94&amp;";  ","")&amp;IF(AND(EDATE($D70,Milestones!$AA$95)&lt;=AsOfDate,IF($R70=0,$X70,IF(AND($T70&lt;&gt;"",EDATE($D70,Milestones!$AA$95)&gt;=$T70),$W70,IF(AND($S70&lt;&gt;"",EDATE($D70,Milestones!$AA$95)&gt;=$S70),$V70,$U70)))=Milestones!$AB$95),UPPER(TEXT(EDATE($D70,Milestones!$AA$95),"dd mmm yy"))&amp;" "&amp;Milestones!$AB$95&amp;" "&amp;Milestones!$AC$95&amp;";  ","")&amp;IF(AND(EDATE($D70,Milestones!$AA$96)&lt;=AsOfDate,IF($R70=0,$X70,IF(AND($T70&lt;&gt;"",EDATE($D70,Milestones!$AA$96)&gt;=$T70),$W70,IF(AND($S70&lt;&gt;"",EDATE($D70,Milestones!$AA$96)&gt;=$S70),$V70,$U70)))=Milestones!$AB$96),UPPER(TEXT(EDATE($D70,Milestones!$AA$96),"dd mmm yy"))&amp;" "&amp;Milestones!$AB$96&amp;" "&amp;Milestones!$AC$96&amp;";  ","")&amp;IF(AND(EDATE($D70,Milestones!$AA$97)&lt;=AsOfDate,IF($R70=0,$X70,IF(AND($T70&lt;&gt;"",EDATE($D70,Milestones!$AA$97)&gt;=$T70),$W70,IF(AND($S70&lt;&gt;"",EDATE($D70,Milestones!$AA$97)&gt;=$S70),$V70,$U70)))=Milestones!$AB$97),UPPER(TEXT(EDATE($D70,Milestones!$AA$97),"dd mmm yy"))&amp;" "&amp;Milestones!$AB$97&amp;" "&amp;Milestones!$AC$97&amp;";  ","")&amp;IF(AND(EDATE($D70,Milestones!$AA$98)&lt;=AsOfDate,IF($R70=0,$X70,IF(AND($T70&lt;&gt;"",EDATE($D70,Milestones!$AA$98)&gt;=$T70),$W70,IF(AND($S70&lt;&gt;"",EDATE($D70,Milestones!$AA$98)&gt;=$S70),$V70,$U70)))=Milestones!$AB$98),UPPER(TEXT(EDATE($D70,Milestones!$AA$98),"dd mmm yy"))&amp;" "&amp;Milestones!$AB$98&amp;" "&amp;Milestones!$AC$98&amp;";  ","")&amp;IF(AND(EDATE($D70,Milestones!$AA$99)&lt;=AsOfDate,IF($R70=0,$X70,IF(AND($T70&lt;&gt;"",EDATE($D70,Milestones!$AA$99)&gt;=$T70),$W70,IF(AND($S70&lt;&gt;"",EDATE($D70,Milestones!$AA$99)&gt;=$S70),$V70,$U70)))=Milestones!$AB$99),UPPER(TEXT(EDATE($D70,Milestones!$AA$99),"dd mmm yy"))&amp;" "&amp;Milestones!$AB$99&amp;" "&amp;Milestones!$AC$99&amp;";  ",""))</f>
        <v/>
      </c>
      <c r="M70" s="0" t="str">
        <f aca="false">IF(OR($A70="",$D70=""),"",IF(AND(EDATE($D70,Milestones!$AA$100)&lt;=AsOfDate,IF($R70=0,$X70,IF(AND($T70&lt;&gt;"",EDATE($D70,Milestones!$AA$100)&gt;=$T70),$W70,IF(AND($S70&lt;&gt;"",EDATE($D70,Milestones!$AA$100)&gt;=$S70),$V70,$U70)))=Milestones!$AB$100),UPPER(TEXT(EDATE($D70,Milestones!$AA$100),"dd mmm yy"))&amp;" "&amp;Milestones!$AB$100&amp;" "&amp;Milestones!$AC$100&amp;";  ","")&amp;IF(AND(EDATE($D70,Milestones!$AA$101)&lt;=AsOfDate,IF($R70=0,$X70,IF(AND($T70&lt;&gt;"",EDATE($D70,Milestones!$AA$101)&gt;=$T70),$W70,IF(AND($S70&lt;&gt;"",EDATE($D70,Milestones!$AA$101)&gt;=$S70),$V70,$U70)))=Milestones!$AB$101),UPPER(TEXT(EDATE($D70,Milestones!$AA$101),"dd mmm yy"))&amp;" "&amp;Milestones!$AB$101&amp;" "&amp;Milestones!$AC$101&amp;";  ","")&amp;IF(AND(EDATE($D70,Milestones!$AA$102)&lt;=AsOfDate,IF($R70=0,$X70,IF(AND($T70&lt;&gt;"",EDATE($D70,Milestones!$AA$102)&gt;=$T70),$W70,IF(AND($S70&lt;&gt;"",EDATE($D70,Milestones!$AA$102)&gt;=$S70),$V70,$U70)))=Milestones!$AB$102),UPPER(TEXT(EDATE($D70,Milestones!$AA$102),"dd mmm yy"))&amp;" "&amp;Milestones!$AB$102&amp;" "&amp;Milestones!$AC$102&amp;";  ","")&amp;IF(AND(EDATE($D70,Milestones!$AA$103)&lt;=AsOfDate,IF($R70=0,$X70,IF(AND($T70&lt;&gt;"",EDATE($D70,Milestones!$AA$103)&gt;=$T70),$W70,IF(AND($S70&lt;&gt;"",EDATE($D70,Milestones!$AA$103)&gt;=$S70),$V70,$U70)))=Milestones!$AB$103),UPPER(TEXT(EDATE($D70,Milestones!$AA$103),"dd mmm yy"))&amp;" "&amp;Milestones!$AB$103&amp;" "&amp;Milestones!$AC$103&amp;";  ","")&amp;IF(AND(EDATE($D70,Milestones!$AA$104)&lt;=AsOfDate,IF($R70=0,$X70,IF(AND($T70&lt;&gt;"",EDATE($D70,Milestones!$AA$104)&gt;=$T70),$W70,IF(AND($S70&lt;&gt;"",EDATE($D70,Milestones!$AA$104)&gt;=$S70),$V70,$U70)))=Milestones!$AB$104),UPPER(TEXT(EDATE($D70,Milestones!$AA$104),"dd mmm yy"))&amp;" "&amp;Milestones!$AB$104&amp;" "&amp;Milestones!$AC$104&amp;";  ","")&amp;IF(AND(EDATE($D70,Milestones!$AA$105)&lt;=AsOfDate,IF($R70=0,$X70,IF(AND($T70&lt;&gt;"",EDATE($D70,Milestones!$AA$105)&gt;=$T70),$W70,IF(AND($S70&lt;&gt;"",EDATE($D70,Milestones!$AA$105)&gt;=$S70),$V70,$U70)))=Milestones!$AB$105),UPPER(TEXT(EDATE($D70,Milestones!$AA$105),"dd mmm yy"))&amp;" "&amp;Milestones!$AB$105&amp;" "&amp;Milestones!$AC$105&amp;";  ","")&amp;IF(AND(EDATE($D70,Milestones!$AA$106)&lt;=AsOfDate,IF($R70=0,$X70,IF(AND($T70&lt;&gt;"",EDATE($D70,Milestones!$AA$106)&gt;=$T70),$W70,IF(AND($S70&lt;&gt;"",EDATE($D70,Milestones!$AA$106)&gt;=$S70),$V70,$U70)))=Milestones!$AB$106),UPPER(TEXT(EDATE($D70,Milestones!$AA$106),"dd mmm yy"))&amp;" "&amp;Milestones!$AB$106&amp;" "&amp;Milestones!$AC$106&amp;";  ","")&amp;IF(AND(EDATE($D70,Milestones!$AA$107)&lt;=AsOfDate,IF($R70=0,$X70,IF(AND($T70&lt;&gt;"",EDATE($D70,Milestones!$AA$107)&gt;=$T70),$W70,IF(AND($S70&lt;&gt;"",EDATE($D70,Milestones!$AA$107)&gt;=$S70),$V70,$U70)))=Milestones!$AB$107),UPPER(TEXT(EDATE($D70,Milestones!$AA$107),"dd mmm yy"))&amp;" "&amp;Milestones!$AB$107&amp;" "&amp;Milestones!$AC$107&amp;";  ","")&amp;IF(AND(EDATE($D70,Milestones!$AA$108)&lt;=AsOfDate,IF($R70=0,$X70,IF(AND($T70&lt;&gt;"",EDATE($D70,Milestones!$AA$108)&gt;=$T70),$W70,IF(AND($S70&lt;&gt;"",EDATE($D70,Milestones!$AA$108)&gt;=$S70),$V70,$U70)))=Milestones!$AB$108),UPPER(TEXT(EDATE($D70,Milestones!$AA$108),"dd mmm yy"))&amp;" "&amp;Milestones!$AB$108&amp;" "&amp;Milestones!$AC$108&amp;";  ","")&amp;IF(AND(EDATE($D70,Milestones!$AA$109)&lt;=AsOfDate,IF($R70=0,$X70,IF(AND($T70&lt;&gt;"",EDATE($D70,Milestones!$AA$109)&gt;=$T70),$W70,IF(AND($S70&lt;&gt;"",EDATE($D70,Milestones!$AA$109)&gt;=$S70),$V70,$U70)))=Milestones!$AB$109),UPPER(TEXT(EDATE($D70,Milestones!$AA$109),"dd mmm yy"))&amp;" "&amp;Milestones!$AB$109&amp;" "&amp;Milestones!$AC$109&amp;";  ","")&amp;IF(AND(EDATE($D70,Milestones!$AA$110)&lt;=AsOfDate,IF($R70=0,$X70,IF(AND($T70&lt;&gt;"",EDATE($D70,Milestones!$AA$110)&gt;=$T70),$W70,IF(AND($S70&lt;&gt;"",EDATE($D70,Milestones!$AA$110)&gt;=$S70),$V70,$U70)))=Milestones!$AB$110),UPPER(TEXT(EDATE($D70,Milestones!$AA$110),"dd mmm yy"))&amp;" "&amp;Milestones!$AB$110&amp;" "&amp;Milestones!$AC$110&amp;";  ","")&amp;IF(AND(EDATE($D70,Milestones!$AA$111)&lt;=AsOfDate,IF($R70=0,$X70,IF(AND($T70&lt;&gt;"",EDATE($D70,Milestones!$AA$111)&gt;=$T70),$W70,IF(AND($S70&lt;&gt;"",EDATE($D70,Milestones!$AA$111)&gt;=$S70),$V70,$U70)))=Milestones!$AB$111),UPPER(TEXT(EDATE($D70,Milestones!$AA$111),"dd mmm yy"))&amp;" "&amp;Milestones!$AB$111&amp;" "&amp;Milestones!$AC$111&amp;";  ","")&amp;IF(AND(EDATE($D70,Milestones!$AA$112)&lt;=AsOfDate,IF($R70=0,$X70,IF(AND($T70&lt;&gt;"",EDATE($D70,Milestones!$AA$112)&gt;=$T70),$W70,IF(AND($S70&lt;&gt;"",EDATE($D70,Milestones!$AA$112)&gt;=$S70),$V70,$U70)))=Milestones!$AB$112),UPPER(TEXT(EDATE($D70,Milestones!$AA$112),"dd mmm yy"))&amp;" "&amp;Milestones!$AB$112&amp;" "&amp;Milestones!$AC$112&amp;";  ","")&amp;IF(AND(EDATE($D70,Milestones!$AA$113)&lt;=AsOfDate,IF($R70=0,$X70,IF(AND($T70&lt;&gt;"",EDATE($D70,Milestones!$AA$113)&gt;=$T70),$W70,IF(AND($S70&lt;&gt;"",EDATE($D70,Milestones!$AA$113)&gt;=$S70),$V70,$U70)))=Milestones!$AB$113),UPPER(TEXT(EDATE($D70,Milestones!$AA$113),"dd mmm yy"))&amp;" "&amp;Milestones!$AB$113&amp;" "&amp;Milestones!$AC$113&amp;";  ","")&amp;IF(AND(EDATE($D70,Milestones!$AA$114)&lt;=AsOfDate,IF($R70=0,$X70,IF(AND($T70&lt;&gt;"",EDATE($D70,Milestones!$AA$114)&gt;=$T70),$W70,IF(AND($S70&lt;&gt;"",EDATE($D70,Milestones!$AA$114)&gt;=$S70),$V70,$U70)))=Milestones!$AB$114),UPPER(TEXT(EDATE($D70,Milestones!$AA$114),"dd mmm yy"))&amp;" "&amp;Milestones!$AB$114&amp;" "&amp;Milestones!$AC$114&amp;";  ","")&amp;IF(AND(EDATE($D70,Milestones!$AA$115)&lt;=AsOfDate,IF($R70=0,$X70,IF(AND($T70&lt;&gt;"",EDATE($D70,Milestones!$AA$115)&gt;=$T70),$W70,IF(AND($S70&lt;&gt;"",EDATE($D70,Milestones!$AA$115)&gt;=$S70),$V70,$U70)))=Milestones!$AB$115),UPPER(TEXT(EDATE($D70,Milestones!$AA$115),"dd mmm yy"))&amp;" "&amp;Milestones!$AB$115&amp;" "&amp;Milestones!$AC$115&amp;";  ","")&amp;IF(AND(EDATE($D70,Milestones!$AA$116)&lt;=AsOfDate,IF($R70=0,$X70,IF(AND($T70&lt;&gt;"",EDATE($D70,Milestones!$AA$116)&gt;=$T70),$W70,IF(AND($S70&lt;&gt;"",EDATE($D70,Milestones!$AA$116)&gt;=$S70),$V70,$U70)))=Milestones!$AB$116),UPPER(TEXT(EDATE($D70,Milestones!$AA$116),"dd mmm yy"))&amp;" "&amp;Milestones!$AB$116&amp;" "&amp;Milestones!$AC$116&amp;";  ","")&amp;IF(AND(EDATE($D70,Milestones!$AA$117)&lt;=AsOfDate,IF($R70=0,$X70,IF(AND($T70&lt;&gt;"",EDATE($D70,Milestones!$AA$117)&gt;=$T70),$W70,IF(AND($S70&lt;&gt;"",EDATE($D70,Milestones!$AA$117)&gt;=$S70),$V70,$U70)))=Milestones!$AB$117),UPPER(TEXT(EDATE($D70,Milestones!$AA$117),"dd mmm yy"))&amp;" "&amp;Milestones!$AB$117&amp;" "&amp;Milestones!$AC$117&amp;";  ","")&amp;IF(AND(EDATE($D70,Milestones!$AA$118)&lt;=AsOfDate,IF($R70=0,$X70,IF(AND($T70&lt;&gt;"",EDATE($D70,Milestones!$AA$118)&gt;=$T70),$W70,IF(AND($S70&lt;&gt;"",EDATE($D70,Milestones!$AA$118)&gt;=$S70),$V70,$U70)))=Milestones!$AB$118),UPPER(TEXT(EDATE($D70,Milestones!$AA$118),"dd mmm yy"))&amp;" "&amp;Milestones!$AB$118&amp;" "&amp;Milestones!$AC$118&amp;";  ","")&amp;IF(AND(EDATE($D70,Milestones!$AA$119)&lt;=AsOfDate,IF($R70=0,$X70,IF(AND($T70&lt;&gt;"",EDATE($D70,Milestones!$AA$119)&gt;=$T70),$W70,IF(AND($S70&lt;&gt;"",EDATE($D70,Milestones!$AA$119)&gt;=$S70),$V70,$U70)))=Milestones!$AB$119),UPPER(TEXT(EDATE($D70,Milestones!$AA$119),"dd mmm yy"))&amp;" "&amp;Milestones!$AB$119&amp;" "&amp;Milestones!$AC$119&amp;";  ",""))</f>
        <v/>
      </c>
      <c r="N70" s="0" t="str">
        <f aca="false">IF(OR($A70="",$D70=""),"",IF(AND(EDATE($D70,Milestones!$AA$120)&lt;=AsOfDate,IF($R70=0,$X70,IF(AND($T70&lt;&gt;"",EDATE($D70,Milestones!$AA$120)&gt;=$T70),$W70,IF(AND($S70&lt;&gt;"",EDATE($D70,Milestones!$AA$120)&gt;=$S70),$V70,$U70)))=Milestones!$AB$120),UPPER(TEXT(EDATE($D70,Milestones!$AA$120),"dd mmm yy"))&amp;" "&amp;Milestones!$AB$120&amp;" "&amp;Milestones!$AC$120&amp;";  ","")&amp;IF(AND(EDATE($D70,Milestones!$AA$121)&lt;=AsOfDate,IF($R70=0,$X70,IF(AND($T70&lt;&gt;"",EDATE($D70,Milestones!$AA$121)&gt;=$T70),$W70,IF(AND($S70&lt;&gt;"",EDATE($D70,Milestones!$AA$121)&gt;=$S70),$V70,$U70)))=Milestones!$AB$121),UPPER(TEXT(EDATE($D70,Milestones!$AA$121),"dd mmm yy"))&amp;" "&amp;Milestones!$AB$121&amp;" "&amp;Milestones!$AC$121&amp;";  ","")&amp;IF(AND(EDATE($D70,Milestones!$AA$122)&lt;=AsOfDate,IF($R70=0,$X70,IF(AND($T70&lt;&gt;"",EDATE($D70,Milestones!$AA$122)&gt;=$T70),$W70,IF(AND($S70&lt;&gt;"",EDATE($D70,Milestones!$AA$122)&gt;=$S70),$V70,$U70)))=Milestones!$AB$122),UPPER(TEXT(EDATE($D70,Milestones!$AA$122),"dd mmm yy"))&amp;" "&amp;Milestones!$AB$122&amp;" "&amp;Milestones!$AC$122&amp;";  ","")&amp;IF(AND(EDATE($D70,Milestones!$AA$123)&lt;=AsOfDate,IF($R70=0,$X70,IF(AND($T70&lt;&gt;"",EDATE($D70,Milestones!$AA$123)&gt;=$T70),$W70,IF(AND($S70&lt;&gt;"",EDATE($D70,Milestones!$AA$123)&gt;=$S70),$V70,$U70)))=Milestones!$AB$123),UPPER(TEXT(EDATE($D70,Milestones!$AA$123),"dd mmm yy"))&amp;" "&amp;Milestones!$AB$123&amp;" "&amp;Milestones!$AC$123&amp;";  ","")&amp;IF(AND(EDATE($D70,Milestones!$AA$124)&lt;=AsOfDate,IF($R70=0,$X70,IF(AND($T70&lt;&gt;"",EDATE($D70,Milestones!$AA$124)&gt;=$T70),$W70,IF(AND($S70&lt;&gt;"",EDATE($D70,Milestones!$AA$124)&gt;=$S70),$V70,$U70)))=Milestones!$AB$124),UPPER(TEXT(EDATE($D70,Milestones!$AA$124),"dd mmm yy"))&amp;" "&amp;Milestones!$AB$124&amp;" "&amp;Milestones!$AC$124&amp;";  ","")&amp;IF(AND(EDATE($D70,Milestones!$AA$125)&lt;=AsOfDate,IF($R70=0,$X70,IF(AND($T70&lt;&gt;"",EDATE($D70,Milestones!$AA$125)&gt;=$T70),$W70,IF(AND($S70&lt;&gt;"",EDATE($D70,Milestones!$AA$125)&gt;=$S70),$V70,$U70)))=Milestones!$AB$125),UPPER(TEXT(EDATE($D70,Milestones!$AA$125),"dd mmm yy"))&amp;" "&amp;Milestones!$AB$125&amp;" "&amp;Milestones!$AC$125&amp;";  ","")&amp;IF(AND(EDATE($D70,Milestones!$AA$126)&lt;=AsOfDate,IF($R70=0,$X70,IF(AND($T70&lt;&gt;"",EDATE($D70,Milestones!$AA$126)&gt;=$T70),$W70,IF(AND($S70&lt;&gt;"",EDATE($D70,Milestones!$AA$126)&gt;=$S70),$V70,$U70)))=Milestones!$AB$126),UPPER(TEXT(EDATE($D70,Milestones!$AA$126),"dd mmm yy"))&amp;" "&amp;Milestones!$AB$126&amp;" "&amp;Milestones!$AC$126&amp;";  ","")&amp;IF(AND(EDATE($D70,Milestones!$AA$127)&lt;=AsOfDate,IF($R70=0,$X70,IF(AND($T70&lt;&gt;"",EDATE($D70,Milestones!$AA$127)&gt;=$T70),$W70,IF(AND($S70&lt;&gt;"",EDATE($D70,Milestones!$AA$127)&gt;=$S70),$V70,$U70)))=Milestones!$AB$127),UPPER(TEXT(EDATE($D70,Milestones!$AA$127),"dd mmm yy"))&amp;" "&amp;Milestones!$AB$127&amp;" "&amp;Milestones!$AC$127&amp;";  ","")&amp;IF(AND(EDATE($D70,Milestones!$AA$128)&lt;=AsOfDate,IF($R70=0,$X70,IF(AND($T70&lt;&gt;"",EDATE($D70,Milestones!$AA$128)&gt;=$T70),$W70,IF(AND($S70&lt;&gt;"",EDATE($D70,Milestones!$AA$128)&gt;=$S70),$V70,$U70)))=Milestones!$AB$128),UPPER(TEXT(EDATE($D70,Milestones!$AA$128),"dd mmm yy"))&amp;" "&amp;Milestones!$AB$128&amp;" "&amp;Milestones!$AC$128&amp;";  ","")&amp;IF(AND(EDATE($D70,Milestones!$AA$129)&lt;=AsOfDate,IF($R70=0,$X70,IF(AND($T70&lt;&gt;"",EDATE($D70,Milestones!$AA$129)&gt;=$T70),$W70,IF(AND($S70&lt;&gt;"",EDATE($D70,Milestones!$AA$129)&gt;=$S70),$V70,$U70)))=Milestones!$AB$129),UPPER(TEXT(EDATE($D70,Milestones!$AA$129),"dd mmm yy"))&amp;" "&amp;Milestones!$AB$129&amp;" "&amp;Milestones!$AC$129&amp;";  ","")&amp;IF(AND(EDATE($D70,Milestones!$AA$130)&lt;=AsOfDate,IF($R70=0,$X70,IF(AND($T70&lt;&gt;"",EDATE($D70,Milestones!$AA$130)&gt;=$T70),$W70,IF(AND($S70&lt;&gt;"",EDATE($D70,Milestones!$AA$130)&gt;=$S70),$V70,$U70)))=Milestones!$AB$130),UPPER(TEXT(EDATE($D70,Milestones!$AA$130),"dd mmm yy"))&amp;" "&amp;Milestones!$AB$130&amp;" "&amp;Milestones!$AC$130&amp;";  ","")&amp;IF(AND(EDATE($D70,Milestones!$AA$131)&lt;=AsOfDate,IF($R70=0,$X70,IF(AND($T70&lt;&gt;"",EDATE($D70,Milestones!$AA$131)&gt;=$T70),$W70,IF(AND($S70&lt;&gt;"",EDATE($D70,Milestones!$AA$131)&gt;=$S70),$V70,$U70)))=Milestones!$AB$131),UPPER(TEXT(EDATE($D70,Milestones!$AA$131),"dd mmm yy"))&amp;" "&amp;Milestones!$AB$131&amp;" "&amp;Milestones!$AC$131&amp;";  ","")&amp;IF(AND(EDATE($D70,Milestones!$AA$132)&lt;=AsOfDate,IF($R70=0,$X70,IF(AND($T70&lt;&gt;"",EDATE($D70,Milestones!$AA$132)&gt;=$T70),$W70,IF(AND($S70&lt;&gt;"",EDATE($D70,Milestones!$AA$132)&gt;=$S70),$V70,$U70)))=Milestones!$AB$132),UPPER(TEXT(EDATE($D70,Milestones!$AA$132),"dd mmm yy"))&amp;" "&amp;Milestones!$AB$132&amp;" "&amp;Milestones!$AC$132&amp;";  ","")&amp;IF(AND(EDATE($D70,Milestones!$AA$133)&lt;=AsOfDate,IF($R70=0,$X70,IF(AND($T70&lt;&gt;"",EDATE($D70,Milestones!$AA$133)&gt;=$T70),$W70,IF(AND($S70&lt;&gt;"",EDATE($D70,Milestones!$AA$133)&gt;=$S70),$V70,$U70)))=Milestones!$AB$133),UPPER(TEXT(EDATE($D70,Milestones!$AA$133),"dd mmm yy"))&amp;" "&amp;Milestones!$AB$133&amp;" "&amp;Milestones!$AC$133&amp;";  ","")&amp;IF(AND(EDATE($D70,Milestones!$AA$134)&lt;=AsOfDate,IF($R70=0,$X70,IF(AND($T70&lt;&gt;"",EDATE($D70,Milestones!$AA$134)&gt;=$T70),$W70,IF(AND($S70&lt;&gt;"",EDATE($D70,Milestones!$AA$134)&gt;=$S70),$V70,$U70)))=Milestones!$AB$134),UPPER(TEXT(EDATE($D70,Milestones!$AA$134),"dd mmm yy"))&amp;" "&amp;Milestones!$AB$134&amp;" "&amp;Milestones!$AC$134&amp;";  ","")&amp;IF(AND(EDATE($D70,Milestones!$AA$135)&lt;=AsOfDate,IF($R70=0,$X70,IF(AND($T70&lt;&gt;"",EDATE($D70,Milestones!$AA$135)&gt;=$T70),$W70,IF(AND($S70&lt;&gt;"",EDATE($D70,Milestones!$AA$135)&gt;=$S70),$V70,$U70)))=Milestones!$AB$135),UPPER(TEXT(EDATE($D70,Milestones!$AA$135),"dd mmm yy"))&amp;" "&amp;Milestones!$AB$135&amp;" "&amp;Milestones!$AC$135&amp;";  ","")&amp;IF(AND(EDATE($D70,Milestones!$AA$136)&lt;=AsOfDate,IF($R70=0,$X70,IF(AND($T70&lt;&gt;"",EDATE($D70,Milestones!$AA$136)&gt;=$T70),$W70,IF(AND($S70&lt;&gt;"",EDATE($D70,Milestones!$AA$136)&gt;=$S70),$V70,$U70)))=Milestones!$AB$136),UPPER(TEXT(EDATE($D70,Milestones!$AA$136),"dd mmm yy"))&amp;" "&amp;Milestones!$AB$136&amp;" "&amp;Milestones!$AC$136&amp;";  ","")&amp;IF(AND(EDATE($D70,Milestones!$AA$137)&lt;=AsOfDate,IF($R70=0,$X70,IF(AND($T70&lt;&gt;"",EDATE($D70,Milestones!$AA$137)&gt;=$T70),$W70,IF(AND($S70&lt;&gt;"",EDATE($D70,Milestones!$AA$137)&gt;=$S70),$V70,$U70)))=Milestones!$AB$137),UPPER(TEXT(EDATE($D70,Milestones!$AA$137),"dd mmm yy"))&amp;" "&amp;Milestones!$AB$137&amp;" "&amp;Milestones!$AC$137&amp;";  ","")&amp;IF(AND(EDATE($D70,Milestones!$AA$138)&lt;=AsOfDate,IF($R70=0,$X70,IF(AND($T70&lt;&gt;"",EDATE($D70,Milestones!$AA$138)&gt;=$T70),$W70,IF(AND($S70&lt;&gt;"",EDATE($D70,Milestones!$AA$138)&gt;=$S70),$V70,$U70)))=Milestones!$AB$138),UPPER(TEXT(EDATE($D70,Milestones!$AA$138),"dd mmm yy"))&amp;" "&amp;Milestones!$AB$138&amp;" "&amp;Milestones!$AC$138&amp;";  ","")&amp;IF(AND(EDATE($D70,Milestones!$AA$139)&lt;=AsOfDate,IF($R70=0,$X70,IF(AND($T70&lt;&gt;"",EDATE($D70,Milestones!$AA$139)&gt;=$T70),$W70,IF(AND($S70&lt;&gt;"",EDATE($D70,Milestones!$AA$139)&gt;=$S70),$V70,$U70)))=Milestones!$AB$139),UPPER(TEXT(EDATE($D70,Milestones!$AA$139),"dd mmm yy"))&amp;" "&amp;Milestones!$AB$139&amp;" "&amp;Milestones!$AC$139&amp;";  ",""))</f>
        <v/>
      </c>
      <c r="O70" s="0" t="str">
        <f aca="false">IF(OR($A70="",$D70=""),"",IF(AND(EDATE($D70,Milestones!$AA$140)&lt;=AsOfDate,IF($R70=0,$X70,IF(AND($T70&lt;&gt;"",EDATE($D70,Milestones!$AA$140)&gt;=$T70),$W70,IF(AND($S70&lt;&gt;"",EDATE($D70,Milestones!$AA$140)&gt;=$S70),$V70,$U70)))=Milestones!$AB$140),UPPER(TEXT(EDATE($D70,Milestones!$AA$140),"dd mmm yy"))&amp;" "&amp;Milestones!$AB$140&amp;" "&amp;Milestones!$AC$140&amp;";  ","")&amp;IF(AND(EDATE($D70,Milestones!$AA$141)&lt;=AsOfDate,IF($R70=0,$X70,IF(AND($T70&lt;&gt;"",EDATE($D70,Milestones!$AA$141)&gt;=$T70),$W70,IF(AND($S70&lt;&gt;"",EDATE($D70,Milestones!$AA$141)&gt;=$S70),$V70,$U70)))=Milestones!$AB$141),UPPER(TEXT(EDATE($D70,Milestones!$AA$141),"dd mmm yy"))&amp;" "&amp;Milestones!$AB$141&amp;" "&amp;Milestones!$AC$141&amp;";  ","")&amp;IF(AND(EDATE($D70,Milestones!$AA$142)&lt;=AsOfDate,IF($R70=0,$X70,IF(AND($T70&lt;&gt;"",EDATE($D70,Milestones!$AA$142)&gt;=$T70),$W70,IF(AND($S70&lt;&gt;"",EDATE($D70,Milestones!$AA$142)&gt;=$S70),$V70,$U70)))=Milestones!$AB$142),UPPER(TEXT(EDATE($D70,Milestones!$AA$142),"dd mmm yy"))&amp;" "&amp;Milestones!$AB$142&amp;" "&amp;Milestones!$AC$142&amp;";  ","")&amp;IF(AND(EDATE($D70,Milestones!$AA$143)&lt;=AsOfDate,IF($R70=0,$X70,IF(AND($T70&lt;&gt;"",EDATE($D70,Milestones!$AA$143)&gt;=$T70),$W70,IF(AND($S70&lt;&gt;"",EDATE($D70,Milestones!$AA$143)&gt;=$S70),$V70,$U70)))=Milestones!$AB$143),UPPER(TEXT(EDATE($D70,Milestones!$AA$143),"dd mmm yy"))&amp;" "&amp;Milestones!$AB$143&amp;" "&amp;Milestones!$AC$143&amp;";  ","")&amp;IF(AND(EDATE($D70,Milestones!$AA$144)&lt;=AsOfDate,IF($R70=0,$X70,IF(AND($T70&lt;&gt;"",EDATE($D70,Milestones!$AA$144)&gt;=$T70),$W70,IF(AND($S70&lt;&gt;"",EDATE($D70,Milestones!$AA$144)&gt;=$S70),$V70,$U70)))=Milestones!$AB$144),UPPER(TEXT(EDATE($D70,Milestones!$AA$144),"dd mmm yy"))&amp;" "&amp;Milestones!$AB$144&amp;" "&amp;Milestones!$AC$144&amp;";  ","")&amp;IF(AND(EDATE($D70,Milestones!$AA$145)&lt;=AsOfDate,IF($R70=0,$X70,IF(AND($T70&lt;&gt;"",EDATE($D70,Milestones!$AA$145)&gt;=$T70),$W70,IF(AND($S70&lt;&gt;"",EDATE($D70,Milestones!$AA$145)&gt;=$S70),$V70,$U70)))=Milestones!$AB$145),UPPER(TEXT(EDATE($D70,Milestones!$AA$145),"dd mmm yy"))&amp;" "&amp;Milestones!$AB$145&amp;" "&amp;Milestones!$AC$145&amp;";  ","")&amp;IF(AND(EDATE($D70,Milestones!$AA$146)&lt;=AsOfDate,IF($R70=0,$X70,IF(AND($T70&lt;&gt;"",EDATE($D70,Milestones!$AA$146)&gt;=$T70),$W70,IF(AND($S70&lt;&gt;"",EDATE($D70,Milestones!$AA$146)&gt;=$S70),$V70,$U70)))=Milestones!$AB$146),UPPER(TEXT(EDATE($D70,Milestones!$AA$146),"dd mmm yy"))&amp;" "&amp;Milestones!$AB$146&amp;" "&amp;Milestones!$AC$146&amp;";  ","")&amp;IF(AND(EDATE($D70,Milestones!$AA$147)&lt;=AsOfDate,IF($R70=0,$X70,IF(AND($T70&lt;&gt;"",EDATE($D70,Milestones!$AA$147)&gt;=$T70),$W70,IF(AND($S70&lt;&gt;"",EDATE($D70,Milestones!$AA$147)&gt;=$S70),$V70,$U70)))=Milestones!$AB$147),UPPER(TEXT(EDATE($D70,Milestones!$AA$147),"dd mmm yy"))&amp;" "&amp;Milestones!$AB$147&amp;" "&amp;Milestones!$AC$147&amp;";  ","")&amp;IF(AND(EDATE($D70,Milestones!$AA$148)&lt;=AsOfDate,IF($R70=0,$X70,IF(AND($T70&lt;&gt;"",EDATE($D70,Milestones!$AA$148)&gt;=$T70),$W70,IF(AND($S70&lt;&gt;"",EDATE($D70,Milestones!$AA$148)&gt;=$S70),$V70,$U70)))=Milestones!$AB$148),UPPER(TEXT(EDATE($D70,Milestones!$AA$148),"dd mmm yy"))&amp;" "&amp;Milestones!$AB$148&amp;" "&amp;Milestones!$AC$148&amp;";  ","")&amp;IF(AND(EDATE($D70,Milestones!$AA$149)&lt;=AsOfDate,IF($R70=0,$X70,IF(AND($T70&lt;&gt;"",EDATE($D70,Milestones!$AA$149)&gt;=$T70),$W70,IF(AND($S70&lt;&gt;"",EDATE($D70,Milestones!$AA$149)&gt;=$S70),$V70,$U70)))=Milestones!$AB$149),UPPER(TEXT(EDATE($D70,Milestones!$AA$149),"dd mmm yy"))&amp;" "&amp;Milestones!$AB$149&amp;" "&amp;Milestones!$AC$149&amp;";  ","")&amp;IF(AND(EDATE($D70,Milestones!$AA$150)&lt;=AsOfDate,IF($R70=0,$X70,IF(AND($T70&lt;&gt;"",EDATE($D70,Milestones!$AA$150)&gt;=$T70),$W70,IF(AND($S70&lt;&gt;"",EDATE($D70,Milestones!$AA$150)&gt;=$S70),$V70,$U70)))=Milestones!$AB$150),UPPER(TEXT(EDATE($D70,Milestones!$AA$150),"dd mmm yy"))&amp;" "&amp;Milestones!$AB$150&amp;" "&amp;Milestones!$AC$150&amp;";  ","")&amp;IF(AND(EDATE($D70,Milestones!$AA$151)&lt;=AsOfDate,IF($R70=0,$X70,IF(AND($T70&lt;&gt;"",EDATE($D70,Milestones!$AA$151)&gt;=$T70),$W70,IF(AND($S70&lt;&gt;"",EDATE($D70,Milestones!$AA$151)&gt;=$S70),$V70,$U70)))=Milestones!$AB$151),UPPER(TEXT(EDATE($D70,Milestones!$AA$151),"dd mmm yy"))&amp;" "&amp;Milestones!$AB$151&amp;" "&amp;Milestones!$AC$151&amp;";  ","")&amp;IF(AND(EDATE($D70,Milestones!$AA$152)&lt;=AsOfDate,IF($R70=0,$X70,IF(AND($T70&lt;&gt;"",EDATE($D70,Milestones!$AA$152)&gt;=$T70),$W70,IF(AND($S70&lt;&gt;"",EDATE($D70,Milestones!$AA$152)&gt;=$S70),$V70,$U70)))=Milestones!$AB$152),UPPER(TEXT(EDATE($D70,Milestones!$AA$152),"dd mmm yy"))&amp;" "&amp;Milestones!$AB$152&amp;" "&amp;Milestones!$AC$152&amp;";  ","")&amp;IF(AND(EDATE($D70,Milestones!$AA$153)&lt;=AsOfDate,IF($R70=0,$X70,IF(AND($T70&lt;&gt;"",EDATE($D70,Milestones!$AA$153)&gt;=$T70),$W70,IF(AND($S70&lt;&gt;"",EDATE($D70,Milestones!$AA$153)&gt;=$S70),$V70,$U70)))=Milestones!$AB$153),UPPER(TEXT(EDATE($D70,Milestones!$AA$153),"dd mmm yy"))&amp;" "&amp;Milestones!$AB$153&amp;" "&amp;Milestones!$AC$153&amp;";  ","")&amp;IF(AND(EDATE($D70,Milestones!$AA$154)&lt;=AsOfDate,IF($R70=0,$X70,IF(AND($T70&lt;&gt;"",EDATE($D70,Milestones!$AA$154)&gt;=$T70),$W70,IF(AND($S70&lt;&gt;"",EDATE($D70,Milestones!$AA$154)&gt;=$S70),$V70,$U70)))=Milestones!$AB$154),UPPER(TEXT(EDATE($D70,Milestones!$AA$154),"dd mmm yy"))&amp;" "&amp;Milestones!$AB$154&amp;" "&amp;Milestones!$AC$154&amp;";  ","")&amp;IF(AND(EDATE($D70,Milestones!$AA$155)&lt;=AsOfDate,IF($R70=0,$X70,IF(AND($T70&lt;&gt;"",EDATE($D70,Milestones!$AA$155)&gt;=$T70),$W70,IF(AND($S70&lt;&gt;"",EDATE($D70,Milestones!$AA$155)&gt;=$S70),$V70,$U70)))=Milestones!$AB$155),UPPER(TEXT(EDATE($D70,Milestones!$AA$155),"dd mmm yy"))&amp;" "&amp;Milestones!$AB$155&amp;" "&amp;Milestones!$AC$155&amp;";  ","")&amp;IF(AND(EDATE($D70,Milestones!$AA$156)&lt;=AsOfDate,IF($R70=0,$X70,IF(AND($T70&lt;&gt;"",EDATE($D70,Milestones!$AA$156)&gt;=$T70),$W70,IF(AND($S70&lt;&gt;"",EDATE($D70,Milestones!$AA$156)&gt;=$S70),$V70,$U70)))=Milestones!$AB$156),UPPER(TEXT(EDATE($D70,Milestones!$AA$156),"dd mmm yy"))&amp;" "&amp;Milestones!$AB$156&amp;" "&amp;Milestones!$AC$156&amp;";  ","")&amp;IF(AND(EDATE($D70,Milestones!$AA$157)&lt;=AsOfDate,IF($R70=0,$X70,IF(AND($T70&lt;&gt;"",EDATE($D70,Milestones!$AA$157)&gt;=$T70),$W70,IF(AND($S70&lt;&gt;"",EDATE($D70,Milestones!$AA$157)&gt;=$S70),$V70,$U70)))=Milestones!$AB$157),UPPER(TEXT(EDATE($D70,Milestones!$AA$157),"dd mmm yy"))&amp;" "&amp;Milestones!$AB$157&amp;" "&amp;Milestones!$AC$157&amp;";  ","")&amp;IF(AND(EDATE($D70,Milestones!$AA$158)&lt;=AsOfDate,IF($R70=0,$X70,IF(AND($T70&lt;&gt;"",EDATE($D70,Milestones!$AA$158)&gt;=$T70),$W70,IF(AND($S70&lt;&gt;"",EDATE($D70,Milestones!$AA$158)&gt;=$S70),$V70,$U70)))=Milestones!$AB$158),UPPER(TEXT(EDATE($D70,Milestones!$AA$158),"dd mmm yy"))&amp;" "&amp;Milestones!$AB$158&amp;" "&amp;Milestones!$AC$158&amp;";  ","")&amp;IF(AND(EDATE($D70,Milestones!$AA$159)&lt;=AsOfDate,IF($R70=0,$X70,IF(AND($T70&lt;&gt;"",EDATE($D70,Milestones!$AA$159)&gt;=$T70),$W70,IF(AND($S70&lt;&gt;"",EDATE($D70,Milestones!$AA$159)&gt;=$S70),$V70,$U70)))=Milestones!$AB$159),UPPER(TEXT(EDATE($D70,Milestones!$AA$159),"dd mmm yy"))&amp;" "&amp;Milestones!$AB$159&amp;" "&amp;Milestones!$AC$159&amp;";  ",""))</f>
        <v/>
      </c>
      <c r="P70" s="0" t="str">
        <f aca="false">IF(OR($A70="",$D70=""),"",IF(AND(EDATE($D70,Milestones!$AA$160)&lt;=AsOfDate,IF($R70=0,$X70,IF(AND($T70&lt;&gt;"",EDATE($D70,Milestones!$AA$160)&gt;=$T70),$W70,IF(AND($S70&lt;&gt;"",EDATE($D70,Milestones!$AA$160)&gt;=$S70),$V70,$U70)))=Milestones!$AB$160),UPPER(TEXT(EDATE($D70,Milestones!$AA$160),"dd mmm yy"))&amp;" "&amp;Milestones!$AB$160&amp;" "&amp;Milestones!$AC$160&amp;";  ","")&amp;IF(AND(EDATE($D70,Milestones!$AA$161)&lt;=AsOfDate,IF($R70=0,$X70,IF(AND($T70&lt;&gt;"",EDATE($D70,Milestones!$AA$161)&gt;=$T70),$W70,IF(AND($S70&lt;&gt;"",EDATE($D70,Milestones!$AA$161)&gt;=$S70),$V70,$U70)))=Milestones!$AB$161),UPPER(TEXT(EDATE($D70,Milestones!$AA$161),"dd mmm yy"))&amp;" "&amp;Milestones!$AB$161&amp;" "&amp;Milestones!$AC$161&amp;";  ","")&amp;IF(AND(EDATE($D70,Milestones!$AA$162)&lt;=AsOfDate,IF($R70=0,$X70,IF(AND($T70&lt;&gt;"",EDATE($D70,Milestones!$AA$162)&gt;=$T70),$W70,IF(AND($S70&lt;&gt;"",EDATE($D70,Milestones!$AA$162)&gt;=$S70),$V70,$U70)))=Milestones!$AB$162),UPPER(TEXT(EDATE($D70,Milestones!$AA$162),"dd mmm yy"))&amp;" "&amp;Milestones!$AB$162&amp;" "&amp;Milestones!$AC$162&amp;";  ","")&amp;IF(AND(EDATE($D70,Milestones!$AA$163)&lt;=AsOfDate,IF($R70=0,$X70,IF(AND($T70&lt;&gt;"",EDATE($D70,Milestones!$AA$163)&gt;=$T70),$W70,IF(AND($S70&lt;&gt;"",EDATE($D70,Milestones!$AA$163)&gt;=$S70),$V70,$U70)))=Milestones!$AB$163),UPPER(TEXT(EDATE($D70,Milestones!$AA$163),"dd mmm yy"))&amp;" "&amp;Milestones!$AB$163&amp;" "&amp;Milestones!$AC$163&amp;";  ","")&amp;IF(AND(EDATE($D70,Milestones!$AA$164)&lt;=AsOfDate,IF($R70=0,$X70,IF(AND($T70&lt;&gt;"",EDATE($D70,Milestones!$AA$164)&gt;=$T70),$W70,IF(AND($S70&lt;&gt;"",EDATE($D70,Milestones!$AA$164)&gt;=$S70),$V70,$U70)))=Milestones!$AB$164),UPPER(TEXT(EDATE($D70,Milestones!$AA$164),"dd mmm yy"))&amp;" "&amp;Milestones!$AB$164&amp;" "&amp;Milestones!$AC$164&amp;";  ","")&amp;IF(AND(EDATE($D70,Milestones!$AA$165)&lt;=AsOfDate,IF($R70=0,$X70,IF(AND($T70&lt;&gt;"",EDATE($D70,Milestones!$AA$165)&gt;=$T70),$W70,IF(AND($S70&lt;&gt;"",EDATE($D70,Milestones!$AA$165)&gt;=$S70),$V70,$U70)))=Milestones!$AB$165),UPPER(TEXT(EDATE($D70,Milestones!$AA$165),"dd mmm yy"))&amp;" "&amp;Milestones!$AB$165&amp;" "&amp;Milestones!$AC$165&amp;";  ","")&amp;IF(AND(EDATE($D70,Milestones!$AA$166)&lt;=AsOfDate,IF($R70=0,$X70,IF(AND($T70&lt;&gt;"",EDATE($D70,Milestones!$AA$166)&gt;=$T70),$W70,IF(AND($S70&lt;&gt;"",EDATE($D70,Milestones!$AA$166)&gt;=$S70),$V70,$U70)))=Milestones!$AB$166),UPPER(TEXT(EDATE($D70,Milestones!$AA$166),"dd mmm yy"))&amp;" "&amp;Milestones!$AB$166&amp;" "&amp;Milestones!$AC$166&amp;";  ","")&amp;IF(AND(EDATE($D70,Milestones!$AA$167)&lt;=AsOfDate,IF($R70=0,$X70,IF(AND($T70&lt;&gt;"",EDATE($D70,Milestones!$AA$167)&gt;=$T70),$W70,IF(AND($S70&lt;&gt;"",EDATE($D70,Milestones!$AA$167)&gt;=$S70),$V70,$U70)))=Milestones!$AB$167),UPPER(TEXT(EDATE($D70,Milestones!$AA$167),"dd mmm yy"))&amp;" "&amp;Milestones!$AB$167&amp;" "&amp;Milestones!$AC$167&amp;";  ","")&amp;IF(AND(EDATE($D70,Milestones!$AA$168)&lt;=AsOfDate,IF($R70=0,$X70,IF(AND($T70&lt;&gt;"",EDATE($D70,Milestones!$AA$168)&gt;=$T70),$W70,IF(AND($S70&lt;&gt;"",EDATE($D70,Milestones!$AA$168)&gt;=$S70),$V70,$U70)))=Milestones!$AB$168),UPPER(TEXT(EDATE($D70,Milestones!$AA$168),"dd mmm yy"))&amp;" "&amp;Milestones!$AB$168&amp;" "&amp;Milestones!$AC$168&amp;";  ","")&amp;IF(AND(EDATE($D70,Milestones!$AA$169)&lt;=AsOfDate,IF($R70=0,$X70,IF(AND($T70&lt;&gt;"",EDATE($D70,Milestones!$AA$169)&gt;=$T70),$W70,IF(AND($S70&lt;&gt;"",EDATE($D70,Milestones!$AA$169)&gt;=$S70),$V70,$U70)))=Milestones!$AB$169),UPPER(TEXT(EDATE($D70,Milestones!$AA$169),"dd mmm yy"))&amp;" "&amp;Milestones!$AB$169&amp;" "&amp;Milestones!$AC$169&amp;";  ","")&amp;IF(AND(EDATE($D70,Milestones!$AA$170)&lt;=AsOfDate,IF($R70=0,$X70,IF(AND($T70&lt;&gt;"",EDATE($D70,Milestones!$AA$170)&gt;=$T70),$W70,IF(AND($S70&lt;&gt;"",EDATE($D70,Milestones!$AA$170)&gt;=$S70),$V70,$U70)))=Milestones!$AB$170),UPPER(TEXT(EDATE($D70,Milestones!$AA$170),"dd mmm yy"))&amp;" "&amp;Milestones!$AB$170&amp;" "&amp;Milestones!$AC$170&amp;";  ","")&amp;IF(AND(EDATE($D70,Milestones!$AA$171)&lt;=AsOfDate,IF($R70=0,$X70,IF(AND($T70&lt;&gt;"",EDATE($D70,Milestones!$AA$171)&gt;=$T70),$W70,IF(AND($S70&lt;&gt;"",EDATE($D70,Milestones!$AA$171)&gt;=$S70),$V70,$U70)))=Milestones!$AB$171),UPPER(TEXT(EDATE($D70,Milestones!$AA$171),"dd mmm yy"))&amp;" "&amp;Milestones!$AB$171&amp;" "&amp;Milestones!$AC$171&amp;";  ","")&amp;IF(AND(EDATE($D70,Milestones!$AA$172)&lt;=AsOfDate,IF($R70=0,$X70,IF(AND($T70&lt;&gt;"",EDATE($D70,Milestones!$AA$172)&gt;=$T70),$W70,IF(AND($S70&lt;&gt;"",EDATE($D70,Milestones!$AA$172)&gt;=$S70),$V70,$U70)))=Milestones!$AB$172),UPPER(TEXT(EDATE($D70,Milestones!$AA$172),"dd mmm yy"))&amp;" "&amp;Milestones!$AB$172&amp;" "&amp;Milestones!$AC$172&amp;";  ","")&amp;IF(AND(EDATE($D70,Milestones!$AA$173)&lt;=AsOfDate,IF($R70=0,$X70,IF(AND($T70&lt;&gt;"",EDATE($D70,Milestones!$AA$173)&gt;=$T70),$W70,IF(AND($S70&lt;&gt;"",EDATE($D70,Milestones!$AA$173)&gt;=$S70),$V70,$U70)))=Milestones!$AB$173),UPPER(TEXT(EDATE($D70,Milestones!$AA$173),"dd mmm yy"))&amp;" "&amp;Milestones!$AB$173&amp;" "&amp;Milestones!$AC$173&amp;";  ","")&amp;IF(AND(EDATE($D70,Milestones!$AA$174)&lt;=AsOfDate,IF($R70=0,$X70,IF(AND($T70&lt;&gt;"",EDATE($D70,Milestones!$AA$174)&gt;=$T70),$W70,IF(AND($S70&lt;&gt;"",EDATE($D70,Milestones!$AA$174)&gt;=$S70),$V70,$U70)))=Milestones!$AB$174),UPPER(TEXT(EDATE($D70,Milestones!$AA$174),"dd mmm yy"))&amp;" "&amp;Milestones!$AB$174&amp;" "&amp;Milestones!$AC$174&amp;";  ","")&amp;IF(AND(EDATE($D70,Milestones!$AA$175)&lt;=AsOfDate,IF($R70=0,$X70,IF(AND($T70&lt;&gt;"",EDATE($D70,Milestones!$AA$175)&gt;=$T70),$W70,IF(AND($S70&lt;&gt;"",EDATE($D70,Milestones!$AA$175)&gt;=$S70),$V70,$U70)))=Milestones!$AB$175),UPPER(TEXT(EDATE($D70,Milestones!$AA$175),"dd mmm yy"))&amp;" "&amp;Milestones!$AB$175&amp;" "&amp;Milestones!$AC$175&amp;";  ","")&amp;IF(AND(EDATE($D70,Milestones!$AA$176)&lt;=AsOfDate,IF($R70=0,$X70,IF(AND($T70&lt;&gt;"",EDATE($D70,Milestones!$AA$176)&gt;=$T70),$W70,IF(AND($S70&lt;&gt;"",EDATE($D70,Milestones!$AA$176)&gt;=$S70),$V70,$U70)))=Milestones!$AB$176),UPPER(TEXT(EDATE($D70,Milestones!$AA$176),"dd mmm yy"))&amp;" "&amp;Milestones!$AB$176&amp;" "&amp;Milestones!$AC$176&amp;";  ","")&amp;IF(AND(EDATE($D70,Milestones!$AA$177)&lt;=AsOfDate,IF($R70=0,$X70,IF(AND($T70&lt;&gt;"",EDATE($D70,Milestones!$AA$177)&gt;=$T70),$W70,IF(AND($S70&lt;&gt;"",EDATE($D70,Milestones!$AA$177)&gt;=$S70),$V70,$U70)))=Milestones!$AB$177),UPPER(TEXT(EDATE($D70,Milestones!$AA$177),"dd mmm yy"))&amp;" "&amp;Milestones!$AB$177&amp;" "&amp;Milestones!$AC$177&amp;";  ","")&amp;IF(AND(EDATE($D70,Milestones!$AA$178)&lt;=AsOfDate,IF($R70=0,$X70,IF(AND($T70&lt;&gt;"",EDATE($D70,Milestones!$AA$178)&gt;=$T70),$W70,IF(AND($S70&lt;&gt;"",EDATE($D70,Milestones!$AA$178)&gt;=$S70),$V70,$U70)))=Milestones!$AB$178),UPPER(TEXT(EDATE($D70,Milestones!$AA$178),"dd mmm yy"))&amp;" "&amp;Milestones!$AB$178&amp;" "&amp;Milestones!$AC$178&amp;";  ","")&amp;IF(AND(EDATE($D70,Milestones!$AA$179)&lt;=AsOfDate,IF($R70=0,$X70,IF(AND($T70&lt;&gt;"",EDATE($D70,Milestones!$AA$179)&gt;=$T70),$W70,IF(AND($S70&lt;&gt;"",EDATE($D70,Milestones!$AA$179)&gt;=$S70),$V70,$U70)))=Milestones!$AB$179),UPPER(TEXT(EDATE($D70,Milestones!$AA$179),"dd mmm yy"))&amp;" "&amp;Milestones!$AB$179&amp;" "&amp;Milestones!$AC$179&amp;";  ",""))</f>
        <v/>
      </c>
      <c r="Q70" s="0" t="str">
        <f aca="false">IF(OR($A70="",$D70=""),"",IF(AND(EDATE($D70,Milestones!$AA$180)&lt;=AsOfDate,IF($R70=0,$X70,IF(AND($T70&lt;&gt;"",EDATE($D70,Milestones!$AA$180)&gt;=$T70),$W70,IF(AND($S70&lt;&gt;"",EDATE($D70,Milestones!$AA$180)&gt;=$S70),$V70,$U70)))=Milestones!$AB$180),UPPER(TEXT(EDATE($D70,Milestones!$AA$180),"dd mmm yy"))&amp;" "&amp;Milestones!$AB$180&amp;" "&amp;Milestones!$AC$180&amp;";  ","")&amp;IF(AND(EDATE($D70,Milestones!$AA$181)&lt;=AsOfDate,IF($R70=0,$X70,IF(AND($T70&lt;&gt;"",EDATE($D70,Milestones!$AA$181)&gt;=$T70),$W70,IF(AND($S70&lt;&gt;"",EDATE($D70,Milestones!$AA$181)&gt;=$S70),$V70,$U70)))=Milestones!$AB$181),UPPER(TEXT(EDATE($D70,Milestones!$AA$181),"dd mmm yy"))&amp;" "&amp;Milestones!$AB$181&amp;" "&amp;Milestones!$AC$181&amp;";  ","")&amp;IF(AND(EDATE($D70,Milestones!$AA$182)&lt;=AsOfDate,IF($R70=0,$X70,IF(AND($T70&lt;&gt;"",EDATE($D70,Milestones!$AA$182)&gt;=$T70),$W70,IF(AND($S70&lt;&gt;"",EDATE($D70,Milestones!$AA$182)&gt;=$S70),$V70,$U70)))=Milestones!$AB$182),UPPER(TEXT(EDATE($D70,Milestones!$AA$182),"dd mmm yy"))&amp;" "&amp;Milestones!$AB$182&amp;" "&amp;Milestones!$AC$182&amp;";  ","")&amp;IF(AND(EDATE($D70,Milestones!$AA$183)&lt;=AsOfDate,IF($R70=0,$X70,IF(AND($T70&lt;&gt;"",EDATE($D70,Milestones!$AA$183)&gt;=$T70),$W70,IF(AND($S70&lt;&gt;"",EDATE($D70,Milestones!$AA$183)&gt;=$S70),$V70,$U70)))=Milestones!$AB$183),UPPER(TEXT(EDATE($D70,Milestones!$AA$183),"dd mmm yy"))&amp;" "&amp;Milestones!$AB$183&amp;" "&amp;Milestones!$AC$183&amp;";  ","")&amp;IF(AND(EDATE($D70,Milestones!$AA$184)&lt;=AsOfDate,IF($R70=0,$X70,IF(AND($T70&lt;&gt;"",EDATE($D70,Milestones!$AA$184)&gt;=$T70),$W70,IF(AND($S70&lt;&gt;"",EDATE($D70,Milestones!$AA$184)&gt;=$S70),$V70,$U70)))=Milestones!$AB$184),UPPER(TEXT(EDATE($D70,Milestones!$AA$184),"dd mmm yy"))&amp;" "&amp;Milestones!$AB$184&amp;" "&amp;Milestones!$AC$184&amp;";  ","")&amp;IF(AND(EDATE($D70,Milestones!$AA$185)&lt;=AsOfDate,IF($R70=0,$X70,IF(AND($T70&lt;&gt;"",EDATE($D70,Milestones!$AA$185)&gt;=$T70),$W70,IF(AND($S70&lt;&gt;"",EDATE($D70,Milestones!$AA$185)&gt;=$S70),$V70,$U70)))=Milestones!$AB$185),UPPER(TEXT(EDATE($D70,Milestones!$AA$185),"dd mmm yy"))&amp;" "&amp;Milestones!$AB$185&amp;" "&amp;Milestones!$AC$185&amp;";  ","")&amp;IF(AND(EDATE($D70,Milestones!$AA$186)&lt;=AsOfDate,IF($R70=0,$X70,IF(AND($T70&lt;&gt;"",EDATE($D70,Milestones!$AA$186)&gt;=$T70),$W70,IF(AND($S70&lt;&gt;"",EDATE($D70,Milestones!$AA$186)&gt;=$S70),$V70,$U70)))=Milestones!$AB$186),UPPER(TEXT(EDATE($D70,Milestones!$AA$186),"dd mmm yy"))&amp;" "&amp;Milestones!$AB$186&amp;" "&amp;Milestones!$AC$186&amp;";  ","")&amp;IF(AND(EDATE($D70,Milestones!$AA$187)&lt;=AsOfDate,IF($R70=0,$X70,IF(AND($T70&lt;&gt;"",EDATE($D70,Milestones!$AA$187)&gt;=$T70),$W70,IF(AND($S70&lt;&gt;"",EDATE($D70,Milestones!$AA$187)&gt;=$S70),$V70,$U70)))=Milestones!$AB$187),UPPER(TEXT(EDATE($D70,Milestones!$AA$187),"dd mmm yy"))&amp;" "&amp;Milestones!$AB$187&amp;" "&amp;Milestones!$AC$187&amp;";  ","")&amp;IF(AND(EDATE($D70,Milestones!$AA$188)&lt;=AsOfDate,IF($R70=0,$X70,IF(AND($T70&lt;&gt;"",EDATE($D70,Milestones!$AA$188)&gt;=$T70),$W70,IF(AND($S70&lt;&gt;"",EDATE($D70,Milestones!$AA$188)&gt;=$S70),$V70,$U70)))=Milestones!$AB$188),UPPER(TEXT(EDATE($D70,Milestones!$AA$188),"dd mmm yy"))&amp;" "&amp;Milestones!$AB$188&amp;" "&amp;Milestones!$AC$188&amp;";  ","")&amp;IF(AND(EDATE($D70,Milestones!$AA$189)&lt;=AsOfDate,IF($R70=0,$X70,IF(AND($T70&lt;&gt;"",EDATE($D70,Milestones!$AA$189)&gt;=$T70),$W70,IF(AND($S70&lt;&gt;"",EDATE($D70,Milestones!$AA$189)&gt;=$S70),$V70,$U70)))=Milestones!$AB$189),UPPER(TEXT(EDATE($D70,Milestones!$AA$189),"dd mmm yy"))&amp;" "&amp;Milestones!$AB$189&amp;" "&amp;Milestones!$AC$189&amp;";  ","")&amp;IF(AND(EDATE($D70,Milestones!$AA$190)&lt;=AsOfDate,IF($R70=0,$X70,IF(AND($T70&lt;&gt;"",EDATE($D70,Milestones!$AA$190)&gt;=$T70),$W70,IF(AND($S70&lt;&gt;"",EDATE($D70,Milestones!$AA$190)&gt;=$S70),$V70,$U70)))=Milestones!$AB$190),UPPER(TEXT(EDATE($D70,Milestones!$AA$190),"dd mmm yy"))&amp;" "&amp;Milestones!$AB$190&amp;" "&amp;Milestones!$AC$190&amp;";  ","")&amp;IF(AND(EDATE($D70,Milestones!$AA$191)&lt;=AsOfDate,IF($R70=0,$X70,IF(AND($T70&lt;&gt;"",EDATE($D70,Milestones!$AA$191)&gt;=$T70),$W70,IF(AND($S70&lt;&gt;"",EDATE($D70,Milestones!$AA$191)&gt;=$S70),$V70,$U70)))=Milestones!$AB$191),UPPER(TEXT(EDATE($D70,Milestones!$AA$191),"dd mmm yy"))&amp;" "&amp;Milestones!$AB$191&amp;" "&amp;Milestones!$AC$191&amp;";  ","")&amp;IF(AND(EDATE($D70,Milestones!$AA$192)&lt;=AsOfDate,IF($R70=0,$X70,IF(AND($T70&lt;&gt;"",EDATE($D70,Milestones!$AA$192)&gt;=$T70),$W70,IF(AND($S70&lt;&gt;"",EDATE($D70,Milestones!$AA$192)&gt;=$S70),$V70,$U70)))=Milestones!$AB$192),UPPER(TEXT(EDATE($D70,Milestones!$AA$192),"dd mmm yy"))&amp;" "&amp;Milestones!$AB$192&amp;" "&amp;Milestones!$AC$192&amp;";  ","")&amp;IF(AND(EDATE($D70,Milestones!$AA$193)&lt;=AsOfDate,IF($R70=0,$X70,IF(AND($T70&lt;&gt;"",EDATE($D70,Milestones!$AA$193)&gt;=$T70),$W70,IF(AND($S70&lt;&gt;"",EDATE($D70,Milestones!$AA$193)&gt;=$S70),$V70,$U70)))=Milestones!$AB$193),UPPER(TEXT(EDATE($D70,Milestones!$AA$193),"dd mmm yy"))&amp;" "&amp;Milestones!$AB$193&amp;" "&amp;Milestones!$AC$193&amp;";  ","")&amp;IF(AND(EDATE($D70,Milestones!$AA$194)&lt;=AsOfDate,IF($R70=0,$X70,IF(AND($T70&lt;&gt;"",EDATE($D70,Milestones!$AA$194)&gt;=$T70),$W70,IF(AND($S70&lt;&gt;"",EDATE($D70,Milestones!$AA$194)&gt;=$S70),$V70,$U70)))=Milestones!$AB$194),UPPER(TEXT(EDATE($D70,Milestones!$AA$194),"dd mmm yy"))&amp;" "&amp;Milestones!$AB$194&amp;" "&amp;Milestones!$AC$194&amp;";  ","")&amp;IF(AND(EDATE($D70,Milestones!$AA$195)&lt;=AsOfDate,IF($R70=0,$X70,IF(AND($T70&lt;&gt;"",EDATE($D70,Milestones!$AA$195)&gt;=$T70),$W70,IF(AND($S70&lt;&gt;"",EDATE($D70,Milestones!$AA$195)&gt;=$S70),$V70,$U70)))=Milestones!$AB$195),UPPER(TEXT(EDATE($D70,Milestones!$AA$195),"dd mmm yy"))&amp;" "&amp;Milestones!$AB$195&amp;" "&amp;Milestones!$AC$195&amp;";  ","")&amp;IF(AND(EDATE($D70,Milestones!$AA$196)&lt;=AsOfDate,IF($R70=0,$X70,IF(AND($T70&lt;&gt;"",EDATE($D70,Milestones!$AA$196)&gt;=$T70),$W70,IF(AND($S70&lt;&gt;"",EDATE($D70,Milestones!$AA$196)&gt;=$S70),$V70,$U70)))=Milestones!$AB$196),UPPER(TEXT(EDATE($D70,Milestones!$AA$196),"dd mmm yy"))&amp;" "&amp;Milestones!$AB$196&amp;" "&amp;Milestones!$AC$196&amp;";  ","")&amp;IF(AND(EDATE($D70,Milestones!$AA$197)&lt;=AsOfDate,IF($R70=0,$X70,IF(AND($T70&lt;&gt;"",EDATE($D70,Milestones!$AA$197)&gt;=$T70),$W70,IF(AND($S70&lt;&gt;"",EDATE($D70,Milestones!$AA$197)&gt;=$S70),$V70,$U70)))=Milestones!$AB$197),UPPER(TEXT(EDATE($D70,Milestones!$AA$197),"dd mmm yy"))&amp;" "&amp;Milestones!$AB$197&amp;" "&amp;Milestones!$AC$197&amp;";  ","")&amp;IF(AND(EDATE($D70,Milestones!$AA$198)&lt;=AsOfDate,IF($R70=0,$X70,IF(AND($T70&lt;&gt;"",EDATE($D70,Milestones!$AA$198)&gt;=$T70),$W70,IF(AND($S70&lt;&gt;"",EDATE($D70,Milestones!$AA$198)&gt;=$S70),$V70,$U70)))=Milestones!$AB$198),UPPER(TEXT(EDATE($D70,Milestones!$AA$198),"dd mmm yy"))&amp;" "&amp;Milestones!$AB$198&amp;" "&amp;Milestones!$AC$198&amp;";  ","")&amp;IF(AND(EDATE($D70,Milestones!$AA$199)&lt;=AsOfDate,IF($R70=0,$X70,IF(AND($T70&lt;&gt;"",EDATE($D70,Milestones!$AA$199)&gt;=$T70),$W70,IF(AND($S70&lt;&gt;"",EDATE($D70,Milestones!$AA$199)&gt;=$S70),$V70,$U70)))=Milestones!$AB$199),UPPER(TEXT(EDATE($D70,Milestones!$AA$199),"dd mmm yy"))&amp;" "&amp;Milestones!$AB$199&amp;" "&amp;Milestones!$AC$199&amp;";  ",""))</f>
        <v/>
      </c>
      <c r="R70" s="0" t="str">
        <f aca="false">IF(Staff!$A70="","",Staff!$AI70)</f>
        <v/>
      </c>
      <c r="S70" s="0" t="str">
        <f aca="false">IF(Staff!$A70="","",Staff!$AK70)</f>
        <v/>
      </c>
      <c r="T70" s="0" t="str">
        <f aca="false">IF(Staff!$A70="","",Staff!$AL70)</f>
        <v/>
      </c>
      <c r="U70" s="0" t="str">
        <f aca="false">IF(Staff!$A70="","",Staff!$AP70)</f>
        <v/>
      </c>
      <c r="V70" s="0" t="str">
        <f aca="false">IF(Staff!$A70="","",Staff!$AQ70)</f>
        <v/>
      </c>
      <c r="W70" s="0" t="str">
        <f aca="false">IF(Staff!$A70="","",Staff!$AR70)</f>
        <v/>
      </c>
      <c r="X70" s="0" t="str">
        <f aca="false">IF(Staff!$A70="","",Staff!$AS70)</f>
        <v/>
      </c>
    </row>
    <row r="71" customFormat="false" ht="15" hidden="false" customHeight="false" outlineLevel="0" collapsed="false">
      <c r="A71" s="14" t="str">
        <f aca="false">IF(Staff!$A71="","",Staff!$A71)</f>
        <v/>
      </c>
      <c r="B71" s="14" t="str">
        <f aca="false">IF(Staff!$A71="","",Staff!$B71)</f>
        <v/>
      </c>
      <c r="C71" s="14" t="str">
        <f aca="false">IF(Staff!$A71="","",Staff!$C71)</f>
        <v/>
      </c>
      <c r="D71" s="12" t="str">
        <f aca="false">IF(Staff!$A71="","",Staff!$AH71)</f>
        <v/>
      </c>
      <c r="E71" s="14" t="str">
        <f aca="false">IF(Staff!$A71="","",Staff!$O71)</f>
        <v/>
      </c>
      <c r="F71" s="14" t="str">
        <f aca="false">IF(E71="","",E71*HoursPerDay)</f>
        <v/>
      </c>
      <c r="G71" s="14" t="str">
        <f aca="false">IF(Staff!$A71="","",Staff!$AE71)</f>
        <v/>
      </c>
      <c r="H71" s="26" t="str">
        <f aca="false">IF($A71="","",I71&amp;J71&amp;K71&amp;L71&amp;M71&amp;N71&amp;O71&amp;P71&amp;Q71)</f>
        <v/>
      </c>
      <c r="I71" s="0" t="str">
        <f aca="false">IF(OR($A71="",$D71=""),"",IF(AND(EDATE($D71,Milestones!$AA$20)&lt;=AsOfDate,IF($R71=0,$X71,IF(AND($T71&lt;&gt;"",EDATE($D71,Milestones!$AA$20)&gt;=$T71),$W71,IF(AND($S71&lt;&gt;"",EDATE($D71,Milestones!$AA$20)&gt;=$S71),$V71,$U71)))=Milestones!$AB$20),UPPER(TEXT(EDATE($D71,Milestones!$AA$20),"dd mmm yy"))&amp;" "&amp;Milestones!$AB$20&amp;" "&amp;Milestones!$AC$20&amp;";  ","")&amp;IF(AND(EDATE($D71,Milestones!$AA$21)&lt;=AsOfDate,IF($R71=0,$X71,IF(AND($T71&lt;&gt;"",EDATE($D71,Milestones!$AA$21)&gt;=$T71),$W71,IF(AND($S71&lt;&gt;"",EDATE($D71,Milestones!$AA$21)&gt;=$S71),$V71,$U71)))=Milestones!$AB$21),UPPER(TEXT(EDATE($D71,Milestones!$AA$21),"dd mmm yy"))&amp;" "&amp;Milestones!$AB$21&amp;" "&amp;Milestones!$AC$21&amp;";  ","")&amp;IF(AND(EDATE($D71,Milestones!$AA$22)&lt;=AsOfDate,IF($R71=0,$X71,IF(AND($T71&lt;&gt;"",EDATE($D71,Milestones!$AA$22)&gt;=$T71),$W71,IF(AND($S71&lt;&gt;"",EDATE($D71,Milestones!$AA$22)&gt;=$S71),$V71,$U71)))=Milestones!$AB$22),UPPER(TEXT(EDATE($D71,Milestones!$AA$22),"dd mmm yy"))&amp;" "&amp;Milestones!$AB$22&amp;" "&amp;Milestones!$AC$22&amp;";  ","")&amp;IF(AND(EDATE($D71,Milestones!$AA$23)&lt;=AsOfDate,IF($R71=0,$X71,IF(AND($T71&lt;&gt;"",EDATE($D71,Milestones!$AA$23)&gt;=$T71),$W71,IF(AND($S71&lt;&gt;"",EDATE($D71,Milestones!$AA$23)&gt;=$S71),$V71,$U71)))=Milestones!$AB$23),UPPER(TEXT(EDATE($D71,Milestones!$AA$23),"dd mmm yy"))&amp;" "&amp;Milestones!$AB$23&amp;" "&amp;Milestones!$AC$23&amp;";  ","")&amp;IF(AND(EDATE($D71,Milestones!$AA$24)&lt;=AsOfDate,IF($R71=0,$X71,IF(AND($T71&lt;&gt;"",EDATE($D71,Milestones!$AA$24)&gt;=$T71),$W71,IF(AND($S71&lt;&gt;"",EDATE($D71,Milestones!$AA$24)&gt;=$S71),$V71,$U71)))=Milestones!$AB$24),UPPER(TEXT(EDATE($D71,Milestones!$AA$24),"dd mmm yy"))&amp;" "&amp;Milestones!$AB$24&amp;" "&amp;Milestones!$AC$24&amp;";  ","")&amp;IF(AND(EDATE($D71,Milestones!$AA$25)&lt;=AsOfDate,IF($R71=0,$X71,IF(AND($T71&lt;&gt;"",EDATE($D71,Milestones!$AA$25)&gt;=$T71),$W71,IF(AND($S71&lt;&gt;"",EDATE($D71,Milestones!$AA$25)&gt;=$S71),$V71,$U71)))=Milestones!$AB$25),UPPER(TEXT(EDATE($D71,Milestones!$AA$25),"dd mmm yy"))&amp;" "&amp;Milestones!$AB$25&amp;" "&amp;Milestones!$AC$25&amp;";  ","")&amp;IF(AND(EDATE($D71,Milestones!$AA$26)&lt;=AsOfDate,IF($R71=0,$X71,IF(AND($T71&lt;&gt;"",EDATE($D71,Milestones!$AA$26)&gt;=$T71),$W71,IF(AND($S71&lt;&gt;"",EDATE($D71,Milestones!$AA$26)&gt;=$S71),$V71,$U71)))=Milestones!$AB$26),UPPER(TEXT(EDATE($D71,Milestones!$AA$26),"dd mmm yy"))&amp;" "&amp;Milestones!$AB$26&amp;" "&amp;Milestones!$AC$26&amp;";  ","")&amp;IF(AND(EDATE($D71,Milestones!$AA$27)&lt;=AsOfDate,IF($R71=0,$X71,IF(AND($T71&lt;&gt;"",EDATE($D71,Milestones!$AA$27)&gt;=$T71),$W71,IF(AND($S71&lt;&gt;"",EDATE($D71,Milestones!$AA$27)&gt;=$S71),$V71,$U71)))=Milestones!$AB$27),UPPER(TEXT(EDATE($D71,Milestones!$AA$27),"dd mmm yy"))&amp;" "&amp;Milestones!$AB$27&amp;" "&amp;Milestones!$AC$27&amp;";  ","")&amp;IF(AND(EDATE($D71,Milestones!$AA$28)&lt;=AsOfDate,IF($R71=0,$X71,IF(AND($T71&lt;&gt;"",EDATE($D71,Milestones!$AA$28)&gt;=$T71),$W71,IF(AND($S71&lt;&gt;"",EDATE($D71,Milestones!$AA$28)&gt;=$S71),$V71,$U71)))=Milestones!$AB$28),UPPER(TEXT(EDATE($D71,Milestones!$AA$28),"dd mmm yy"))&amp;" "&amp;Milestones!$AB$28&amp;" "&amp;Milestones!$AC$28&amp;";  ","")&amp;IF(AND(EDATE($D71,Milestones!$AA$29)&lt;=AsOfDate,IF($R71=0,$X71,IF(AND($T71&lt;&gt;"",EDATE($D71,Milestones!$AA$29)&gt;=$T71),$W71,IF(AND($S71&lt;&gt;"",EDATE($D71,Milestones!$AA$29)&gt;=$S71),$V71,$U71)))=Milestones!$AB$29),UPPER(TEXT(EDATE($D71,Milestones!$AA$29),"dd mmm yy"))&amp;" "&amp;Milestones!$AB$29&amp;" "&amp;Milestones!$AC$29&amp;";  ","")&amp;IF(AND(EDATE($D71,Milestones!$AA$30)&lt;=AsOfDate,IF($R71=0,$X71,IF(AND($T71&lt;&gt;"",EDATE($D71,Milestones!$AA$30)&gt;=$T71),$W71,IF(AND($S71&lt;&gt;"",EDATE($D71,Milestones!$AA$30)&gt;=$S71),$V71,$U71)))=Milestones!$AB$30),UPPER(TEXT(EDATE($D71,Milestones!$AA$30),"dd mmm yy"))&amp;" "&amp;Milestones!$AB$30&amp;" "&amp;Milestones!$AC$30&amp;";  ","")&amp;IF(AND(EDATE($D71,Milestones!$AA$31)&lt;=AsOfDate,IF($R71=0,$X71,IF(AND($T71&lt;&gt;"",EDATE($D71,Milestones!$AA$31)&gt;=$T71),$W71,IF(AND($S71&lt;&gt;"",EDATE($D71,Milestones!$AA$31)&gt;=$S71),$V71,$U71)))=Milestones!$AB$31),UPPER(TEXT(EDATE($D71,Milestones!$AA$31),"dd mmm yy"))&amp;" "&amp;Milestones!$AB$31&amp;" "&amp;Milestones!$AC$31&amp;";  ","")&amp;IF(AND(EDATE($D71,Milestones!$AA$32)&lt;=AsOfDate,IF($R71=0,$X71,IF(AND($T71&lt;&gt;"",EDATE($D71,Milestones!$AA$32)&gt;=$T71),$W71,IF(AND($S71&lt;&gt;"",EDATE($D71,Milestones!$AA$32)&gt;=$S71),$V71,$U71)))=Milestones!$AB$32),UPPER(TEXT(EDATE($D71,Milestones!$AA$32),"dd mmm yy"))&amp;" "&amp;Milestones!$AB$32&amp;" "&amp;Milestones!$AC$32&amp;";  ","")&amp;IF(AND(EDATE($D71,Milestones!$AA$33)&lt;=AsOfDate,IF($R71=0,$X71,IF(AND($T71&lt;&gt;"",EDATE($D71,Milestones!$AA$33)&gt;=$T71),$W71,IF(AND($S71&lt;&gt;"",EDATE($D71,Milestones!$AA$33)&gt;=$S71),$V71,$U71)))=Milestones!$AB$33),UPPER(TEXT(EDATE($D71,Milestones!$AA$33),"dd mmm yy"))&amp;" "&amp;Milestones!$AB$33&amp;" "&amp;Milestones!$AC$33&amp;";  ","")&amp;IF(AND(EDATE($D71,Milestones!$AA$34)&lt;=AsOfDate,IF($R71=0,$X71,IF(AND($T71&lt;&gt;"",EDATE($D71,Milestones!$AA$34)&gt;=$T71),$W71,IF(AND($S71&lt;&gt;"",EDATE($D71,Milestones!$AA$34)&gt;=$S71),$V71,$U71)))=Milestones!$AB$34),UPPER(TEXT(EDATE($D71,Milestones!$AA$34),"dd mmm yy"))&amp;" "&amp;Milestones!$AB$34&amp;" "&amp;Milestones!$AC$34&amp;";  ","")&amp;IF(AND(EDATE($D71,Milestones!$AA$35)&lt;=AsOfDate,IF($R71=0,$X71,IF(AND($T71&lt;&gt;"",EDATE($D71,Milestones!$AA$35)&gt;=$T71),$W71,IF(AND($S71&lt;&gt;"",EDATE($D71,Milestones!$AA$35)&gt;=$S71),$V71,$U71)))=Milestones!$AB$35),UPPER(TEXT(EDATE($D71,Milestones!$AA$35),"dd mmm yy"))&amp;" "&amp;Milestones!$AB$35&amp;" "&amp;Milestones!$AC$35&amp;";  ","")&amp;IF(AND(EDATE($D71,Milestones!$AA$36)&lt;=AsOfDate,IF($R71=0,$X71,IF(AND($T71&lt;&gt;"",EDATE($D71,Milestones!$AA$36)&gt;=$T71),$W71,IF(AND($S71&lt;&gt;"",EDATE($D71,Milestones!$AA$36)&gt;=$S71),$V71,$U71)))=Milestones!$AB$36),UPPER(TEXT(EDATE($D71,Milestones!$AA$36),"dd mmm yy"))&amp;" "&amp;Milestones!$AB$36&amp;" "&amp;Milestones!$AC$36&amp;";  ","")&amp;IF(AND(EDATE($D71,Milestones!$AA$37)&lt;=AsOfDate,IF($R71=0,$X71,IF(AND($T71&lt;&gt;"",EDATE($D71,Milestones!$AA$37)&gt;=$T71),$W71,IF(AND($S71&lt;&gt;"",EDATE($D71,Milestones!$AA$37)&gt;=$S71),$V71,$U71)))=Milestones!$AB$37),UPPER(TEXT(EDATE($D71,Milestones!$AA$37),"dd mmm yy"))&amp;" "&amp;Milestones!$AB$37&amp;" "&amp;Milestones!$AC$37&amp;";  ","")&amp;IF(AND(EDATE($D71,Milestones!$AA$38)&lt;=AsOfDate,IF($R71=0,$X71,IF(AND($T71&lt;&gt;"",EDATE($D71,Milestones!$AA$38)&gt;=$T71),$W71,IF(AND($S71&lt;&gt;"",EDATE($D71,Milestones!$AA$38)&gt;=$S71),$V71,$U71)))=Milestones!$AB$38),UPPER(TEXT(EDATE($D71,Milestones!$AA$38),"dd mmm yy"))&amp;" "&amp;Milestones!$AB$38&amp;" "&amp;Milestones!$AC$38&amp;";  ","")&amp;IF(AND(EDATE($D71,Milestones!$AA$39)&lt;=AsOfDate,IF($R71=0,$X71,IF(AND($T71&lt;&gt;"",EDATE($D71,Milestones!$AA$39)&gt;=$T71),$W71,IF(AND($S71&lt;&gt;"",EDATE($D71,Milestones!$AA$39)&gt;=$S71),$V71,$U71)))=Milestones!$AB$39),UPPER(TEXT(EDATE($D71,Milestones!$AA$39),"dd mmm yy"))&amp;" "&amp;Milestones!$AB$39&amp;" "&amp;Milestones!$AC$39&amp;";  ",""))</f>
        <v/>
      </c>
      <c r="J71" s="0" t="str">
        <f aca="false">IF(OR($A71="",$D71=""),"",IF(AND(EDATE($D71,Milestones!$AA$40)&lt;=AsOfDate,IF($R71=0,$X71,IF(AND($T71&lt;&gt;"",EDATE($D71,Milestones!$AA$40)&gt;=$T71),$W71,IF(AND($S71&lt;&gt;"",EDATE($D71,Milestones!$AA$40)&gt;=$S71),$V71,$U71)))=Milestones!$AB$40),UPPER(TEXT(EDATE($D71,Milestones!$AA$40),"dd mmm yy"))&amp;" "&amp;Milestones!$AB$40&amp;" "&amp;Milestones!$AC$40&amp;";  ","")&amp;IF(AND(EDATE($D71,Milestones!$AA$41)&lt;=AsOfDate,IF($R71=0,$X71,IF(AND($T71&lt;&gt;"",EDATE($D71,Milestones!$AA$41)&gt;=$T71),$W71,IF(AND($S71&lt;&gt;"",EDATE($D71,Milestones!$AA$41)&gt;=$S71),$V71,$U71)))=Milestones!$AB$41),UPPER(TEXT(EDATE($D71,Milestones!$AA$41),"dd mmm yy"))&amp;" "&amp;Milestones!$AB$41&amp;" "&amp;Milestones!$AC$41&amp;";  ","")&amp;IF(AND(EDATE($D71,Milestones!$AA$42)&lt;=AsOfDate,IF($R71=0,$X71,IF(AND($T71&lt;&gt;"",EDATE($D71,Milestones!$AA$42)&gt;=$T71),$W71,IF(AND($S71&lt;&gt;"",EDATE($D71,Milestones!$AA$42)&gt;=$S71),$V71,$U71)))=Milestones!$AB$42),UPPER(TEXT(EDATE($D71,Milestones!$AA$42),"dd mmm yy"))&amp;" "&amp;Milestones!$AB$42&amp;" "&amp;Milestones!$AC$42&amp;";  ","")&amp;IF(AND(EDATE($D71,Milestones!$AA$43)&lt;=AsOfDate,IF($R71=0,$X71,IF(AND($T71&lt;&gt;"",EDATE($D71,Milestones!$AA$43)&gt;=$T71),$W71,IF(AND($S71&lt;&gt;"",EDATE($D71,Milestones!$AA$43)&gt;=$S71),$V71,$U71)))=Milestones!$AB$43),UPPER(TEXT(EDATE($D71,Milestones!$AA$43),"dd mmm yy"))&amp;" "&amp;Milestones!$AB$43&amp;" "&amp;Milestones!$AC$43&amp;";  ","")&amp;IF(AND(EDATE($D71,Milestones!$AA$44)&lt;=AsOfDate,IF($R71=0,$X71,IF(AND($T71&lt;&gt;"",EDATE($D71,Milestones!$AA$44)&gt;=$T71),$W71,IF(AND($S71&lt;&gt;"",EDATE($D71,Milestones!$AA$44)&gt;=$S71),$V71,$U71)))=Milestones!$AB$44),UPPER(TEXT(EDATE($D71,Milestones!$AA$44),"dd mmm yy"))&amp;" "&amp;Milestones!$AB$44&amp;" "&amp;Milestones!$AC$44&amp;";  ","")&amp;IF(AND(EDATE($D71,Milestones!$AA$45)&lt;=AsOfDate,IF($R71=0,$X71,IF(AND($T71&lt;&gt;"",EDATE($D71,Milestones!$AA$45)&gt;=$T71),$W71,IF(AND($S71&lt;&gt;"",EDATE($D71,Milestones!$AA$45)&gt;=$S71),$V71,$U71)))=Milestones!$AB$45),UPPER(TEXT(EDATE($D71,Milestones!$AA$45),"dd mmm yy"))&amp;" "&amp;Milestones!$AB$45&amp;" "&amp;Milestones!$AC$45&amp;";  ","")&amp;IF(AND(EDATE($D71,Milestones!$AA$46)&lt;=AsOfDate,IF($R71=0,$X71,IF(AND($T71&lt;&gt;"",EDATE($D71,Milestones!$AA$46)&gt;=$T71),$W71,IF(AND($S71&lt;&gt;"",EDATE($D71,Milestones!$AA$46)&gt;=$S71),$V71,$U71)))=Milestones!$AB$46),UPPER(TEXT(EDATE($D71,Milestones!$AA$46),"dd mmm yy"))&amp;" "&amp;Milestones!$AB$46&amp;" "&amp;Milestones!$AC$46&amp;";  ","")&amp;IF(AND(EDATE($D71,Milestones!$AA$47)&lt;=AsOfDate,IF($R71=0,$X71,IF(AND($T71&lt;&gt;"",EDATE($D71,Milestones!$AA$47)&gt;=$T71),$W71,IF(AND($S71&lt;&gt;"",EDATE($D71,Milestones!$AA$47)&gt;=$S71),$V71,$U71)))=Milestones!$AB$47),UPPER(TEXT(EDATE($D71,Milestones!$AA$47),"dd mmm yy"))&amp;" "&amp;Milestones!$AB$47&amp;" "&amp;Milestones!$AC$47&amp;";  ","")&amp;IF(AND(EDATE($D71,Milestones!$AA$48)&lt;=AsOfDate,IF($R71=0,$X71,IF(AND($T71&lt;&gt;"",EDATE($D71,Milestones!$AA$48)&gt;=$T71),$W71,IF(AND($S71&lt;&gt;"",EDATE($D71,Milestones!$AA$48)&gt;=$S71),$V71,$U71)))=Milestones!$AB$48),UPPER(TEXT(EDATE($D71,Milestones!$AA$48),"dd mmm yy"))&amp;" "&amp;Milestones!$AB$48&amp;" "&amp;Milestones!$AC$48&amp;";  ","")&amp;IF(AND(EDATE($D71,Milestones!$AA$49)&lt;=AsOfDate,IF($R71=0,$X71,IF(AND($T71&lt;&gt;"",EDATE($D71,Milestones!$AA$49)&gt;=$T71),$W71,IF(AND($S71&lt;&gt;"",EDATE($D71,Milestones!$AA$49)&gt;=$S71),$V71,$U71)))=Milestones!$AB$49),UPPER(TEXT(EDATE($D71,Milestones!$AA$49),"dd mmm yy"))&amp;" "&amp;Milestones!$AB$49&amp;" "&amp;Milestones!$AC$49&amp;";  ","")&amp;IF(AND(EDATE($D71,Milestones!$AA$50)&lt;=AsOfDate,IF($R71=0,$X71,IF(AND($T71&lt;&gt;"",EDATE($D71,Milestones!$AA$50)&gt;=$T71),$W71,IF(AND($S71&lt;&gt;"",EDATE($D71,Milestones!$AA$50)&gt;=$S71),$V71,$U71)))=Milestones!$AB$50),UPPER(TEXT(EDATE($D71,Milestones!$AA$50),"dd mmm yy"))&amp;" "&amp;Milestones!$AB$50&amp;" "&amp;Milestones!$AC$50&amp;";  ","")&amp;IF(AND(EDATE($D71,Milestones!$AA$51)&lt;=AsOfDate,IF($R71=0,$X71,IF(AND($T71&lt;&gt;"",EDATE($D71,Milestones!$AA$51)&gt;=$T71),$W71,IF(AND($S71&lt;&gt;"",EDATE($D71,Milestones!$AA$51)&gt;=$S71),$V71,$U71)))=Milestones!$AB$51),UPPER(TEXT(EDATE($D71,Milestones!$AA$51),"dd mmm yy"))&amp;" "&amp;Milestones!$AB$51&amp;" "&amp;Milestones!$AC$51&amp;";  ","")&amp;IF(AND(EDATE($D71,Milestones!$AA$52)&lt;=AsOfDate,IF($R71=0,$X71,IF(AND($T71&lt;&gt;"",EDATE($D71,Milestones!$AA$52)&gt;=$T71),$W71,IF(AND($S71&lt;&gt;"",EDATE($D71,Milestones!$AA$52)&gt;=$S71),$V71,$U71)))=Milestones!$AB$52),UPPER(TEXT(EDATE($D71,Milestones!$AA$52),"dd mmm yy"))&amp;" "&amp;Milestones!$AB$52&amp;" "&amp;Milestones!$AC$52&amp;";  ","")&amp;IF(AND(EDATE($D71,Milestones!$AA$53)&lt;=AsOfDate,IF($R71=0,$X71,IF(AND($T71&lt;&gt;"",EDATE($D71,Milestones!$AA$53)&gt;=$T71),$W71,IF(AND($S71&lt;&gt;"",EDATE($D71,Milestones!$AA$53)&gt;=$S71),$V71,$U71)))=Milestones!$AB$53),UPPER(TEXT(EDATE($D71,Milestones!$AA$53),"dd mmm yy"))&amp;" "&amp;Milestones!$AB$53&amp;" "&amp;Milestones!$AC$53&amp;";  ","")&amp;IF(AND(EDATE($D71,Milestones!$AA$54)&lt;=AsOfDate,IF($R71=0,$X71,IF(AND($T71&lt;&gt;"",EDATE($D71,Milestones!$AA$54)&gt;=$T71),$W71,IF(AND($S71&lt;&gt;"",EDATE($D71,Milestones!$AA$54)&gt;=$S71),$V71,$U71)))=Milestones!$AB$54),UPPER(TEXT(EDATE($D71,Milestones!$AA$54),"dd mmm yy"))&amp;" "&amp;Milestones!$AB$54&amp;" "&amp;Milestones!$AC$54&amp;";  ","")&amp;IF(AND(EDATE($D71,Milestones!$AA$55)&lt;=AsOfDate,IF($R71=0,$X71,IF(AND($T71&lt;&gt;"",EDATE($D71,Milestones!$AA$55)&gt;=$T71),$W71,IF(AND($S71&lt;&gt;"",EDATE($D71,Milestones!$AA$55)&gt;=$S71),$V71,$U71)))=Milestones!$AB$55),UPPER(TEXT(EDATE($D71,Milestones!$AA$55),"dd mmm yy"))&amp;" "&amp;Milestones!$AB$55&amp;" "&amp;Milestones!$AC$55&amp;";  ","")&amp;IF(AND(EDATE($D71,Milestones!$AA$56)&lt;=AsOfDate,IF($R71=0,$X71,IF(AND($T71&lt;&gt;"",EDATE($D71,Milestones!$AA$56)&gt;=$T71),$W71,IF(AND($S71&lt;&gt;"",EDATE($D71,Milestones!$AA$56)&gt;=$S71),$V71,$U71)))=Milestones!$AB$56),UPPER(TEXT(EDATE($D71,Milestones!$AA$56),"dd mmm yy"))&amp;" "&amp;Milestones!$AB$56&amp;" "&amp;Milestones!$AC$56&amp;";  ","")&amp;IF(AND(EDATE($D71,Milestones!$AA$57)&lt;=AsOfDate,IF($R71=0,$X71,IF(AND($T71&lt;&gt;"",EDATE($D71,Milestones!$AA$57)&gt;=$T71),$W71,IF(AND($S71&lt;&gt;"",EDATE($D71,Milestones!$AA$57)&gt;=$S71),$V71,$U71)))=Milestones!$AB$57),UPPER(TEXT(EDATE($D71,Milestones!$AA$57),"dd mmm yy"))&amp;" "&amp;Milestones!$AB$57&amp;" "&amp;Milestones!$AC$57&amp;";  ","")&amp;IF(AND(EDATE($D71,Milestones!$AA$58)&lt;=AsOfDate,IF($R71=0,$X71,IF(AND($T71&lt;&gt;"",EDATE($D71,Milestones!$AA$58)&gt;=$T71),$W71,IF(AND($S71&lt;&gt;"",EDATE($D71,Milestones!$AA$58)&gt;=$S71),$V71,$U71)))=Milestones!$AB$58),UPPER(TEXT(EDATE($D71,Milestones!$AA$58),"dd mmm yy"))&amp;" "&amp;Milestones!$AB$58&amp;" "&amp;Milestones!$AC$58&amp;";  ","")&amp;IF(AND(EDATE($D71,Milestones!$AA$59)&lt;=AsOfDate,IF($R71=0,$X71,IF(AND($T71&lt;&gt;"",EDATE($D71,Milestones!$AA$59)&gt;=$T71),$W71,IF(AND($S71&lt;&gt;"",EDATE($D71,Milestones!$AA$59)&gt;=$S71),$V71,$U71)))=Milestones!$AB$59),UPPER(TEXT(EDATE($D71,Milestones!$AA$59),"dd mmm yy"))&amp;" "&amp;Milestones!$AB$59&amp;" "&amp;Milestones!$AC$59&amp;";  ",""))</f>
        <v/>
      </c>
      <c r="K71" s="0" t="str">
        <f aca="false">IF(OR($A71="",$D71=""),"",IF(AND(EDATE($D71,Milestones!$AA$60)&lt;=AsOfDate,IF($R71=0,$X71,IF(AND($T71&lt;&gt;"",EDATE($D71,Milestones!$AA$60)&gt;=$T71),$W71,IF(AND($S71&lt;&gt;"",EDATE($D71,Milestones!$AA$60)&gt;=$S71),$V71,$U71)))=Milestones!$AB$60),UPPER(TEXT(EDATE($D71,Milestones!$AA$60),"dd mmm yy"))&amp;" "&amp;Milestones!$AB$60&amp;" "&amp;Milestones!$AC$60&amp;";  ","")&amp;IF(AND(EDATE($D71,Milestones!$AA$61)&lt;=AsOfDate,IF($R71=0,$X71,IF(AND($T71&lt;&gt;"",EDATE($D71,Milestones!$AA$61)&gt;=$T71),$W71,IF(AND($S71&lt;&gt;"",EDATE($D71,Milestones!$AA$61)&gt;=$S71),$V71,$U71)))=Milestones!$AB$61),UPPER(TEXT(EDATE($D71,Milestones!$AA$61),"dd mmm yy"))&amp;" "&amp;Milestones!$AB$61&amp;" "&amp;Milestones!$AC$61&amp;";  ","")&amp;IF(AND(EDATE($D71,Milestones!$AA$62)&lt;=AsOfDate,IF($R71=0,$X71,IF(AND($T71&lt;&gt;"",EDATE($D71,Milestones!$AA$62)&gt;=$T71),$W71,IF(AND($S71&lt;&gt;"",EDATE($D71,Milestones!$AA$62)&gt;=$S71),$V71,$U71)))=Milestones!$AB$62),UPPER(TEXT(EDATE($D71,Milestones!$AA$62),"dd mmm yy"))&amp;" "&amp;Milestones!$AB$62&amp;" "&amp;Milestones!$AC$62&amp;";  ","")&amp;IF(AND(EDATE($D71,Milestones!$AA$63)&lt;=AsOfDate,IF($R71=0,$X71,IF(AND($T71&lt;&gt;"",EDATE($D71,Milestones!$AA$63)&gt;=$T71),$W71,IF(AND($S71&lt;&gt;"",EDATE($D71,Milestones!$AA$63)&gt;=$S71),$V71,$U71)))=Milestones!$AB$63),UPPER(TEXT(EDATE($D71,Milestones!$AA$63),"dd mmm yy"))&amp;" "&amp;Milestones!$AB$63&amp;" "&amp;Milestones!$AC$63&amp;";  ","")&amp;IF(AND(EDATE($D71,Milestones!$AA$64)&lt;=AsOfDate,IF($R71=0,$X71,IF(AND($T71&lt;&gt;"",EDATE($D71,Milestones!$AA$64)&gt;=$T71),$W71,IF(AND($S71&lt;&gt;"",EDATE($D71,Milestones!$AA$64)&gt;=$S71),$V71,$U71)))=Milestones!$AB$64),UPPER(TEXT(EDATE($D71,Milestones!$AA$64),"dd mmm yy"))&amp;" "&amp;Milestones!$AB$64&amp;" "&amp;Milestones!$AC$64&amp;";  ","")&amp;IF(AND(EDATE($D71,Milestones!$AA$65)&lt;=AsOfDate,IF($R71=0,$X71,IF(AND($T71&lt;&gt;"",EDATE($D71,Milestones!$AA$65)&gt;=$T71),$W71,IF(AND($S71&lt;&gt;"",EDATE($D71,Milestones!$AA$65)&gt;=$S71),$V71,$U71)))=Milestones!$AB$65),UPPER(TEXT(EDATE($D71,Milestones!$AA$65),"dd mmm yy"))&amp;" "&amp;Milestones!$AB$65&amp;" "&amp;Milestones!$AC$65&amp;";  ","")&amp;IF(AND(EDATE($D71,Milestones!$AA$66)&lt;=AsOfDate,IF($R71=0,$X71,IF(AND($T71&lt;&gt;"",EDATE($D71,Milestones!$AA$66)&gt;=$T71),$W71,IF(AND($S71&lt;&gt;"",EDATE($D71,Milestones!$AA$66)&gt;=$S71),$V71,$U71)))=Milestones!$AB$66),UPPER(TEXT(EDATE($D71,Milestones!$AA$66),"dd mmm yy"))&amp;" "&amp;Milestones!$AB$66&amp;" "&amp;Milestones!$AC$66&amp;";  ","")&amp;IF(AND(EDATE($D71,Milestones!$AA$67)&lt;=AsOfDate,IF($R71=0,$X71,IF(AND($T71&lt;&gt;"",EDATE($D71,Milestones!$AA$67)&gt;=$T71),$W71,IF(AND($S71&lt;&gt;"",EDATE($D71,Milestones!$AA$67)&gt;=$S71),$V71,$U71)))=Milestones!$AB$67),UPPER(TEXT(EDATE($D71,Milestones!$AA$67),"dd mmm yy"))&amp;" "&amp;Milestones!$AB$67&amp;" "&amp;Milestones!$AC$67&amp;";  ","")&amp;IF(AND(EDATE($D71,Milestones!$AA$68)&lt;=AsOfDate,IF($R71=0,$X71,IF(AND($T71&lt;&gt;"",EDATE($D71,Milestones!$AA$68)&gt;=$T71),$W71,IF(AND($S71&lt;&gt;"",EDATE($D71,Milestones!$AA$68)&gt;=$S71),$V71,$U71)))=Milestones!$AB$68),UPPER(TEXT(EDATE($D71,Milestones!$AA$68),"dd mmm yy"))&amp;" "&amp;Milestones!$AB$68&amp;" "&amp;Milestones!$AC$68&amp;";  ","")&amp;IF(AND(EDATE($D71,Milestones!$AA$69)&lt;=AsOfDate,IF($R71=0,$X71,IF(AND($T71&lt;&gt;"",EDATE($D71,Milestones!$AA$69)&gt;=$T71),$W71,IF(AND($S71&lt;&gt;"",EDATE($D71,Milestones!$AA$69)&gt;=$S71),$V71,$U71)))=Milestones!$AB$69),UPPER(TEXT(EDATE($D71,Milestones!$AA$69),"dd mmm yy"))&amp;" "&amp;Milestones!$AB$69&amp;" "&amp;Milestones!$AC$69&amp;";  ","")&amp;IF(AND(EDATE($D71,Milestones!$AA$70)&lt;=AsOfDate,IF($R71=0,$X71,IF(AND($T71&lt;&gt;"",EDATE($D71,Milestones!$AA$70)&gt;=$T71),$W71,IF(AND($S71&lt;&gt;"",EDATE($D71,Milestones!$AA$70)&gt;=$S71),$V71,$U71)))=Milestones!$AB$70),UPPER(TEXT(EDATE($D71,Milestones!$AA$70),"dd mmm yy"))&amp;" "&amp;Milestones!$AB$70&amp;" "&amp;Milestones!$AC$70&amp;";  ","")&amp;IF(AND(EDATE($D71,Milestones!$AA$71)&lt;=AsOfDate,IF($R71=0,$X71,IF(AND($T71&lt;&gt;"",EDATE($D71,Milestones!$AA$71)&gt;=$T71),$W71,IF(AND($S71&lt;&gt;"",EDATE($D71,Milestones!$AA$71)&gt;=$S71),$V71,$U71)))=Milestones!$AB$71),UPPER(TEXT(EDATE($D71,Milestones!$AA$71),"dd mmm yy"))&amp;" "&amp;Milestones!$AB$71&amp;" "&amp;Milestones!$AC$71&amp;";  ","")&amp;IF(AND(EDATE($D71,Milestones!$AA$72)&lt;=AsOfDate,IF($R71=0,$X71,IF(AND($T71&lt;&gt;"",EDATE($D71,Milestones!$AA$72)&gt;=$T71),$W71,IF(AND($S71&lt;&gt;"",EDATE($D71,Milestones!$AA$72)&gt;=$S71),$V71,$U71)))=Milestones!$AB$72),UPPER(TEXT(EDATE($D71,Milestones!$AA$72),"dd mmm yy"))&amp;" "&amp;Milestones!$AB$72&amp;" "&amp;Milestones!$AC$72&amp;";  ","")&amp;IF(AND(EDATE($D71,Milestones!$AA$73)&lt;=AsOfDate,IF($R71=0,$X71,IF(AND($T71&lt;&gt;"",EDATE($D71,Milestones!$AA$73)&gt;=$T71),$W71,IF(AND($S71&lt;&gt;"",EDATE($D71,Milestones!$AA$73)&gt;=$S71),$V71,$U71)))=Milestones!$AB$73),UPPER(TEXT(EDATE($D71,Milestones!$AA$73),"dd mmm yy"))&amp;" "&amp;Milestones!$AB$73&amp;" "&amp;Milestones!$AC$73&amp;";  ","")&amp;IF(AND(EDATE($D71,Milestones!$AA$74)&lt;=AsOfDate,IF($R71=0,$X71,IF(AND($T71&lt;&gt;"",EDATE($D71,Milestones!$AA$74)&gt;=$T71),$W71,IF(AND($S71&lt;&gt;"",EDATE($D71,Milestones!$AA$74)&gt;=$S71),$V71,$U71)))=Milestones!$AB$74),UPPER(TEXT(EDATE($D71,Milestones!$AA$74),"dd mmm yy"))&amp;" "&amp;Milestones!$AB$74&amp;" "&amp;Milestones!$AC$74&amp;";  ","")&amp;IF(AND(EDATE($D71,Milestones!$AA$75)&lt;=AsOfDate,IF($R71=0,$X71,IF(AND($T71&lt;&gt;"",EDATE($D71,Milestones!$AA$75)&gt;=$T71),$W71,IF(AND($S71&lt;&gt;"",EDATE($D71,Milestones!$AA$75)&gt;=$S71),$V71,$U71)))=Milestones!$AB$75),UPPER(TEXT(EDATE($D71,Milestones!$AA$75),"dd mmm yy"))&amp;" "&amp;Milestones!$AB$75&amp;" "&amp;Milestones!$AC$75&amp;";  ","")&amp;IF(AND(EDATE($D71,Milestones!$AA$76)&lt;=AsOfDate,IF($R71=0,$X71,IF(AND($T71&lt;&gt;"",EDATE($D71,Milestones!$AA$76)&gt;=$T71),$W71,IF(AND($S71&lt;&gt;"",EDATE($D71,Milestones!$AA$76)&gt;=$S71),$V71,$U71)))=Milestones!$AB$76),UPPER(TEXT(EDATE($D71,Milestones!$AA$76),"dd mmm yy"))&amp;" "&amp;Milestones!$AB$76&amp;" "&amp;Milestones!$AC$76&amp;";  ","")&amp;IF(AND(EDATE($D71,Milestones!$AA$77)&lt;=AsOfDate,IF($R71=0,$X71,IF(AND($T71&lt;&gt;"",EDATE($D71,Milestones!$AA$77)&gt;=$T71),$W71,IF(AND($S71&lt;&gt;"",EDATE($D71,Milestones!$AA$77)&gt;=$S71),$V71,$U71)))=Milestones!$AB$77),UPPER(TEXT(EDATE($D71,Milestones!$AA$77),"dd mmm yy"))&amp;" "&amp;Milestones!$AB$77&amp;" "&amp;Milestones!$AC$77&amp;";  ","")&amp;IF(AND(EDATE($D71,Milestones!$AA$78)&lt;=AsOfDate,IF($R71=0,$X71,IF(AND($T71&lt;&gt;"",EDATE($D71,Milestones!$AA$78)&gt;=$T71),$W71,IF(AND($S71&lt;&gt;"",EDATE($D71,Milestones!$AA$78)&gt;=$S71),$V71,$U71)))=Milestones!$AB$78),UPPER(TEXT(EDATE($D71,Milestones!$AA$78),"dd mmm yy"))&amp;" "&amp;Milestones!$AB$78&amp;" "&amp;Milestones!$AC$78&amp;";  ","")&amp;IF(AND(EDATE($D71,Milestones!$AA$79)&lt;=AsOfDate,IF($R71=0,$X71,IF(AND($T71&lt;&gt;"",EDATE($D71,Milestones!$AA$79)&gt;=$T71),$W71,IF(AND($S71&lt;&gt;"",EDATE($D71,Milestones!$AA$79)&gt;=$S71),$V71,$U71)))=Milestones!$AB$79),UPPER(TEXT(EDATE($D71,Milestones!$AA$79),"dd mmm yy"))&amp;" "&amp;Milestones!$AB$79&amp;" "&amp;Milestones!$AC$79&amp;";  ",""))</f>
        <v/>
      </c>
      <c r="L71" s="0" t="str">
        <f aca="false">IF(OR($A71="",$D71=""),"",IF(AND(EDATE($D71,Milestones!$AA$80)&lt;=AsOfDate,IF($R71=0,$X71,IF(AND($T71&lt;&gt;"",EDATE($D71,Milestones!$AA$80)&gt;=$T71),$W71,IF(AND($S71&lt;&gt;"",EDATE($D71,Milestones!$AA$80)&gt;=$S71),$V71,$U71)))=Milestones!$AB$80),UPPER(TEXT(EDATE($D71,Milestones!$AA$80),"dd mmm yy"))&amp;" "&amp;Milestones!$AB$80&amp;" "&amp;Milestones!$AC$80&amp;";  ","")&amp;IF(AND(EDATE($D71,Milestones!$AA$81)&lt;=AsOfDate,IF($R71=0,$X71,IF(AND($T71&lt;&gt;"",EDATE($D71,Milestones!$AA$81)&gt;=$T71),$W71,IF(AND($S71&lt;&gt;"",EDATE($D71,Milestones!$AA$81)&gt;=$S71),$V71,$U71)))=Milestones!$AB$81),UPPER(TEXT(EDATE($D71,Milestones!$AA$81),"dd mmm yy"))&amp;" "&amp;Milestones!$AB$81&amp;" "&amp;Milestones!$AC$81&amp;";  ","")&amp;IF(AND(EDATE($D71,Milestones!$AA$82)&lt;=AsOfDate,IF($R71=0,$X71,IF(AND($T71&lt;&gt;"",EDATE($D71,Milestones!$AA$82)&gt;=$T71),$W71,IF(AND($S71&lt;&gt;"",EDATE($D71,Milestones!$AA$82)&gt;=$S71),$V71,$U71)))=Milestones!$AB$82),UPPER(TEXT(EDATE($D71,Milestones!$AA$82),"dd mmm yy"))&amp;" "&amp;Milestones!$AB$82&amp;" "&amp;Milestones!$AC$82&amp;";  ","")&amp;IF(AND(EDATE($D71,Milestones!$AA$83)&lt;=AsOfDate,IF($R71=0,$X71,IF(AND($T71&lt;&gt;"",EDATE($D71,Milestones!$AA$83)&gt;=$T71),$W71,IF(AND($S71&lt;&gt;"",EDATE($D71,Milestones!$AA$83)&gt;=$S71),$V71,$U71)))=Milestones!$AB$83),UPPER(TEXT(EDATE($D71,Milestones!$AA$83),"dd mmm yy"))&amp;" "&amp;Milestones!$AB$83&amp;" "&amp;Milestones!$AC$83&amp;";  ","")&amp;IF(AND(EDATE($D71,Milestones!$AA$84)&lt;=AsOfDate,IF($R71=0,$X71,IF(AND($T71&lt;&gt;"",EDATE($D71,Milestones!$AA$84)&gt;=$T71),$W71,IF(AND($S71&lt;&gt;"",EDATE($D71,Milestones!$AA$84)&gt;=$S71),$V71,$U71)))=Milestones!$AB$84),UPPER(TEXT(EDATE($D71,Milestones!$AA$84),"dd mmm yy"))&amp;" "&amp;Milestones!$AB$84&amp;" "&amp;Milestones!$AC$84&amp;";  ","")&amp;IF(AND(EDATE($D71,Milestones!$AA$85)&lt;=AsOfDate,IF($R71=0,$X71,IF(AND($T71&lt;&gt;"",EDATE($D71,Milestones!$AA$85)&gt;=$T71),$W71,IF(AND($S71&lt;&gt;"",EDATE($D71,Milestones!$AA$85)&gt;=$S71),$V71,$U71)))=Milestones!$AB$85),UPPER(TEXT(EDATE($D71,Milestones!$AA$85),"dd mmm yy"))&amp;" "&amp;Milestones!$AB$85&amp;" "&amp;Milestones!$AC$85&amp;";  ","")&amp;IF(AND(EDATE($D71,Milestones!$AA$86)&lt;=AsOfDate,IF($R71=0,$X71,IF(AND($T71&lt;&gt;"",EDATE($D71,Milestones!$AA$86)&gt;=$T71),$W71,IF(AND($S71&lt;&gt;"",EDATE($D71,Milestones!$AA$86)&gt;=$S71),$V71,$U71)))=Milestones!$AB$86),UPPER(TEXT(EDATE($D71,Milestones!$AA$86),"dd mmm yy"))&amp;" "&amp;Milestones!$AB$86&amp;" "&amp;Milestones!$AC$86&amp;";  ","")&amp;IF(AND(EDATE($D71,Milestones!$AA$87)&lt;=AsOfDate,IF($R71=0,$X71,IF(AND($T71&lt;&gt;"",EDATE($D71,Milestones!$AA$87)&gt;=$T71),$W71,IF(AND($S71&lt;&gt;"",EDATE($D71,Milestones!$AA$87)&gt;=$S71),$V71,$U71)))=Milestones!$AB$87),UPPER(TEXT(EDATE($D71,Milestones!$AA$87),"dd mmm yy"))&amp;" "&amp;Milestones!$AB$87&amp;" "&amp;Milestones!$AC$87&amp;";  ","")&amp;IF(AND(EDATE($D71,Milestones!$AA$88)&lt;=AsOfDate,IF($R71=0,$X71,IF(AND($T71&lt;&gt;"",EDATE($D71,Milestones!$AA$88)&gt;=$T71),$W71,IF(AND($S71&lt;&gt;"",EDATE($D71,Milestones!$AA$88)&gt;=$S71),$V71,$U71)))=Milestones!$AB$88),UPPER(TEXT(EDATE($D71,Milestones!$AA$88),"dd mmm yy"))&amp;" "&amp;Milestones!$AB$88&amp;" "&amp;Milestones!$AC$88&amp;";  ","")&amp;IF(AND(EDATE($D71,Milestones!$AA$89)&lt;=AsOfDate,IF($R71=0,$X71,IF(AND($T71&lt;&gt;"",EDATE($D71,Milestones!$AA$89)&gt;=$T71),$W71,IF(AND($S71&lt;&gt;"",EDATE($D71,Milestones!$AA$89)&gt;=$S71),$V71,$U71)))=Milestones!$AB$89),UPPER(TEXT(EDATE($D71,Milestones!$AA$89),"dd mmm yy"))&amp;" "&amp;Milestones!$AB$89&amp;" "&amp;Milestones!$AC$89&amp;";  ","")&amp;IF(AND(EDATE($D71,Milestones!$AA$90)&lt;=AsOfDate,IF($R71=0,$X71,IF(AND($T71&lt;&gt;"",EDATE($D71,Milestones!$AA$90)&gt;=$T71),$W71,IF(AND($S71&lt;&gt;"",EDATE($D71,Milestones!$AA$90)&gt;=$S71),$V71,$U71)))=Milestones!$AB$90),UPPER(TEXT(EDATE($D71,Milestones!$AA$90),"dd mmm yy"))&amp;" "&amp;Milestones!$AB$90&amp;" "&amp;Milestones!$AC$90&amp;";  ","")&amp;IF(AND(EDATE($D71,Milestones!$AA$91)&lt;=AsOfDate,IF($R71=0,$X71,IF(AND($T71&lt;&gt;"",EDATE($D71,Milestones!$AA$91)&gt;=$T71),$W71,IF(AND($S71&lt;&gt;"",EDATE($D71,Milestones!$AA$91)&gt;=$S71),$V71,$U71)))=Milestones!$AB$91),UPPER(TEXT(EDATE($D71,Milestones!$AA$91),"dd mmm yy"))&amp;" "&amp;Milestones!$AB$91&amp;" "&amp;Milestones!$AC$91&amp;";  ","")&amp;IF(AND(EDATE($D71,Milestones!$AA$92)&lt;=AsOfDate,IF($R71=0,$X71,IF(AND($T71&lt;&gt;"",EDATE($D71,Milestones!$AA$92)&gt;=$T71),$W71,IF(AND($S71&lt;&gt;"",EDATE($D71,Milestones!$AA$92)&gt;=$S71),$V71,$U71)))=Milestones!$AB$92),UPPER(TEXT(EDATE($D71,Milestones!$AA$92),"dd mmm yy"))&amp;" "&amp;Milestones!$AB$92&amp;" "&amp;Milestones!$AC$92&amp;";  ","")&amp;IF(AND(EDATE($D71,Milestones!$AA$93)&lt;=AsOfDate,IF($R71=0,$X71,IF(AND($T71&lt;&gt;"",EDATE($D71,Milestones!$AA$93)&gt;=$T71),$W71,IF(AND($S71&lt;&gt;"",EDATE($D71,Milestones!$AA$93)&gt;=$S71),$V71,$U71)))=Milestones!$AB$93),UPPER(TEXT(EDATE($D71,Milestones!$AA$93),"dd mmm yy"))&amp;" "&amp;Milestones!$AB$93&amp;" "&amp;Milestones!$AC$93&amp;";  ","")&amp;IF(AND(EDATE($D71,Milestones!$AA$94)&lt;=AsOfDate,IF($R71=0,$X71,IF(AND($T71&lt;&gt;"",EDATE($D71,Milestones!$AA$94)&gt;=$T71),$W71,IF(AND($S71&lt;&gt;"",EDATE($D71,Milestones!$AA$94)&gt;=$S71),$V71,$U71)))=Milestones!$AB$94),UPPER(TEXT(EDATE($D71,Milestones!$AA$94),"dd mmm yy"))&amp;" "&amp;Milestones!$AB$94&amp;" "&amp;Milestones!$AC$94&amp;";  ","")&amp;IF(AND(EDATE($D71,Milestones!$AA$95)&lt;=AsOfDate,IF($R71=0,$X71,IF(AND($T71&lt;&gt;"",EDATE($D71,Milestones!$AA$95)&gt;=$T71),$W71,IF(AND($S71&lt;&gt;"",EDATE($D71,Milestones!$AA$95)&gt;=$S71),$V71,$U71)))=Milestones!$AB$95),UPPER(TEXT(EDATE($D71,Milestones!$AA$95),"dd mmm yy"))&amp;" "&amp;Milestones!$AB$95&amp;" "&amp;Milestones!$AC$95&amp;";  ","")&amp;IF(AND(EDATE($D71,Milestones!$AA$96)&lt;=AsOfDate,IF($R71=0,$X71,IF(AND($T71&lt;&gt;"",EDATE($D71,Milestones!$AA$96)&gt;=$T71),$W71,IF(AND($S71&lt;&gt;"",EDATE($D71,Milestones!$AA$96)&gt;=$S71),$V71,$U71)))=Milestones!$AB$96),UPPER(TEXT(EDATE($D71,Milestones!$AA$96),"dd mmm yy"))&amp;" "&amp;Milestones!$AB$96&amp;" "&amp;Milestones!$AC$96&amp;";  ","")&amp;IF(AND(EDATE($D71,Milestones!$AA$97)&lt;=AsOfDate,IF($R71=0,$X71,IF(AND($T71&lt;&gt;"",EDATE($D71,Milestones!$AA$97)&gt;=$T71),$W71,IF(AND($S71&lt;&gt;"",EDATE($D71,Milestones!$AA$97)&gt;=$S71),$V71,$U71)))=Milestones!$AB$97),UPPER(TEXT(EDATE($D71,Milestones!$AA$97),"dd mmm yy"))&amp;" "&amp;Milestones!$AB$97&amp;" "&amp;Milestones!$AC$97&amp;";  ","")&amp;IF(AND(EDATE($D71,Milestones!$AA$98)&lt;=AsOfDate,IF($R71=0,$X71,IF(AND($T71&lt;&gt;"",EDATE($D71,Milestones!$AA$98)&gt;=$T71),$W71,IF(AND($S71&lt;&gt;"",EDATE($D71,Milestones!$AA$98)&gt;=$S71),$V71,$U71)))=Milestones!$AB$98),UPPER(TEXT(EDATE($D71,Milestones!$AA$98),"dd mmm yy"))&amp;" "&amp;Milestones!$AB$98&amp;" "&amp;Milestones!$AC$98&amp;";  ","")&amp;IF(AND(EDATE($D71,Milestones!$AA$99)&lt;=AsOfDate,IF($R71=0,$X71,IF(AND($T71&lt;&gt;"",EDATE($D71,Milestones!$AA$99)&gt;=$T71),$W71,IF(AND($S71&lt;&gt;"",EDATE($D71,Milestones!$AA$99)&gt;=$S71),$V71,$U71)))=Milestones!$AB$99),UPPER(TEXT(EDATE($D71,Milestones!$AA$99),"dd mmm yy"))&amp;" "&amp;Milestones!$AB$99&amp;" "&amp;Milestones!$AC$99&amp;";  ",""))</f>
        <v/>
      </c>
      <c r="M71" s="0" t="str">
        <f aca="false">IF(OR($A71="",$D71=""),"",IF(AND(EDATE($D71,Milestones!$AA$100)&lt;=AsOfDate,IF($R71=0,$X71,IF(AND($T71&lt;&gt;"",EDATE($D71,Milestones!$AA$100)&gt;=$T71),$W71,IF(AND($S71&lt;&gt;"",EDATE($D71,Milestones!$AA$100)&gt;=$S71),$V71,$U71)))=Milestones!$AB$100),UPPER(TEXT(EDATE($D71,Milestones!$AA$100),"dd mmm yy"))&amp;" "&amp;Milestones!$AB$100&amp;" "&amp;Milestones!$AC$100&amp;";  ","")&amp;IF(AND(EDATE($D71,Milestones!$AA$101)&lt;=AsOfDate,IF($R71=0,$X71,IF(AND($T71&lt;&gt;"",EDATE($D71,Milestones!$AA$101)&gt;=$T71),$W71,IF(AND($S71&lt;&gt;"",EDATE($D71,Milestones!$AA$101)&gt;=$S71),$V71,$U71)))=Milestones!$AB$101),UPPER(TEXT(EDATE($D71,Milestones!$AA$101),"dd mmm yy"))&amp;" "&amp;Milestones!$AB$101&amp;" "&amp;Milestones!$AC$101&amp;";  ","")&amp;IF(AND(EDATE($D71,Milestones!$AA$102)&lt;=AsOfDate,IF($R71=0,$X71,IF(AND($T71&lt;&gt;"",EDATE($D71,Milestones!$AA$102)&gt;=$T71),$W71,IF(AND($S71&lt;&gt;"",EDATE($D71,Milestones!$AA$102)&gt;=$S71),$V71,$U71)))=Milestones!$AB$102),UPPER(TEXT(EDATE($D71,Milestones!$AA$102),"dd mmm yy"))&amp;" "&amp;Milestones!$AB$102&amp;" "&amp;Milestones!$AC$102&amp;";  ","")&amp;IF(AND(EDATE($D71,Milestones!$AA$103)&lt;=AsOfDate,IF($R71=0,$X71,IF(AND($T71&lt;&gt;"",EDATE($D71,Milestones!$AA$103)&gt;=$T71),$W71,IF(AND($S71&lt;&gt;"",EDATE($D71,Milestones!$AA$103)&gt;=$S71),$V71,$U71)))=Milestones!$AB$103),UPPER(TEXT(EDATE($D71,Milestones!$AA$103),"dd mmm yy"))&amp;" "&amp;Milestones!$AB$103&amp;" "&amp;Milestones!$AC$103&amp;";  ","")&amp;IF(AND(EDATE($D71,Milestones!$AA$104)&lt;=AsOfDate,IF($R71=0,$X71,IF(AND($T71&lt;&gt;"",EDATE($D71,Milestones!$AA$104)&gt;=$T71),$W71,IF(AND($S71&lt;&gt;"",EDATE($D71,Milestones!$AA$104)&gt;=$S71),$V71,$U71)))=Milestones!$AB$104),UPPER(TEXT(EDATE($D71,Milestones!$AA$104),"dd mmm yy"))&amp;" "&amp;Milestones!$AB$104&amp;" "&amp;Milestones!$AC$104&amp;";  ","")&amp;IF(AND(EDATE($D71,Milestones!$AA$105)&lt;=AsOfDate,IF($R71=0,$X71,IF(AND($T71&lt;&gt;"",EDATE($D71,Milestones!$AA$105)&gt;=$T71),$W71,IF(AND($S71&lt;&gt;"",EDATE($D71,Milestones!$AA$105)&gt;=$S71),$V71,$U71)))=Milestones!$AB$105),UPPER(TEXT(EDATE($D71,Milestones!$AA$105),"dd mmm yy"))&amp;" "&amp;Milestones!$AB$105&amp;" "&amp;Milestones!$AC$105&amp;";  ","")&amp;IF(AND(EDATE($D71,Milestones!$AA$106)&lt;=AsOfDate,IF($R71=0,$X71,IF(AND($T71&lt;&gt;"",EDATE($D71,Milestones!$AA$106)&gt;=$T71),$W71,IF(AND($S71&lt;&gt;"",EDATE($D71,Milestones!$AA$106)&gt;=$S71),$V71,$U71)))=Milestones!$AB$106),UPPER(TEXT(EDATE($D71,Milestones!$AA$106),"dd mmm yy"))&amp;" "&amp;Milestones!$AB$106&amp;" "&amp;Milestones!$AC$106&amp;";  ","")&amp;IF(AND(EDATE($D71,Milestones!$AA$107)&lt;=AsOfDate,IF($R71=0,$X71,IF(AND($T71&lt;&gt;"",EDATE($D71,Milestones!$AA$107)&gt;=$T71),$W71,IF(AND($S71&lt;&gt;"",EDATE($D71,Milestones!$AA$107)&gt;=$S71),$V71,$U71)))=Milestones!$AB$107),UPPER(TEXT(EDATE($D71,Milestones!$AA$107),"dd mmm yy"))&amp;" "&amp;Milestones!$AB$107&amp;" "&amp;Milestones!$AC$107&amp;";  ","")&amp;IF(AND(EDATE($D71,Milestones!$AA$108)&lt;=AsOfDate,IF($R71=0,$X71,IF(AND($T71&lt;&gt;"",EDATE($D71,Milestones!$AA$108)&gt;=$T71),$W71,IF(AND($S71&lt;&gt;"",EDATE($D71,Milestones!$AA$108)&gt;=$S71),$V71,$U71)))=Milestones!$AB$108),UPPER(TEXT(EDATE($D71,Milestones!$AA$108),"dd mmm yy"))&amp;" "&amp;Milestones!$AB$108&amp;" "&amp;Milestones!$AC$108&amp;";  ","")&amp;IF(AND(EDATE($D71,Milestones!$AA$109)&lt;=AsOfDate,IF($R71=0,$X71,IF(AND($T71&lt;&gt;"",EDATE($D71,Milestones!$AA$109)&gt;=$T71),$W71,IF(AND($S71&lt;&gt;"",EDATE($D71,Milestones!$AA$109)&gt;=$S71),$V71,$U71)))=Milestones!$AB$109),UPPER(TEXT(EDATE($D71,Milestones!$AA$109),"dd mmm yy"))&amp;" "&amp;Milestones!$AB$109&amp;" "&amp;Milestones!$AC$109&amp;";  ","")&amp;IF(AND(EDATE($D71,Milestones!$AA$110)&lt;=AsOfDate,IF($R71=0,$X71,IF(AND($T71&lt;&gt;"",EDATE($D71,Milestones!$AA$110)&gt;=$T71),$W71,IF(AND($S71&lt;&gt;"",EDATE($D71,Milestones!$AA$110)&gt;=$S71),$V71,$U71)))=Milestones!$AB$110),UPPER(TEXT(EDATE($D71,Milestones!$AA$110),"dd mmm yy"))&amp;" "&amp;Milestones!$AB$110&amp;" "&amp;Milestones!$AC$110&amp;";  ","")&amp;IF(AND(EDATE($D71,Milestones!$AA$111)&lt;=AsOfDate,IF($R71=0,$X71,IF(AND($T71&lt;&gt;"",EDATE($D71,Milestones!$AA$111)&gt;=$T71),$W71,IF(AND($S71&lt;&gt;"",EDATE($D71,Milestones!$AA$111)&gt;=$S71),$V71,$U71)))=Milestones!$AB$111),UPPER(TEXT(EDATE($D71,Milestones!$AA$111),"dd mmm yy"))&amp;" "&amp;Milestones!$AB$111&amp;" "&amp;Milestones!$AC$111&amp;";  ","")&amp;IF(AND(EDATE($D71,Milestones!$AA$112)&lt;=AsOfDate,IF($R71=0,$X71,IF(AND($T71&lt;&gt;"",EDATE($D71,Milestones!$AA$112)&gt;=$T71),$W71,IF(AND($S71&lt;&gt;"",EDATE($D71,Milestones!$AA$112)&gt;=$S71),$V71,$U71)))=Milestones!$AB$112),UPPER(TEXT(EDATE($D71,Milestones!$AA$112),"dd mmm yy"))&amp;" "&amp;Milestones!$AB$112&amp;" "&amp;Milestones!$AC$112&amp;";  ","")&amp;IF(AND(EDATE($D71,Milestones!$AA$113)&lt;=AsOfDate,IF($R71=0,$X71,IF(AND($T71&lt;&gt;"",EDATE($D71,Milestones!$AA$113)&gt;=$T71),$W71,IF(AND($S71&lt;&gt;"",EDATE($D71,Milestones!$AA$113)&gt;=$S71),$V71,$U71)))=Milestones!$AB$113),UPPER(TEXT(EDATE($D71,Milestones!$AA$113),"dd mmm yy"))&amp;" "&amp;Milestones!$AB$113&amp;" "&amp;Milestones!$AC$113&amp;";  ","")&amp;IF(AND(EDATE($D71,Milestones!$AA$114)&lt;=AsOfDate,IF($R71=0,$X71,IF(AND($T71&lt;&gt;"",EDATE($D71,Milestones!$AA$114)&gt;=$T71),$W71,IF(AND($S71&lt;&gt;"",EDATE($D71,Milestones!$AA$114)&gt;=$S71),$V71,$U71)))=Milestones!$AB$114),UPPER(TEXT(EDATE($D71,Milestones!$AA$114),"dd mmm yy"))&amp;" "&amp;Milestones!$AB$114&amp;" "&amp;Milestones!$AC$114&amp;";  ","")&amp;IF(AND(EDATE($D71,Milestones!$AA$115)&lt;=AsOfDate,IF($R71=0,$X71,IF(AND($T71&lt;&gt;"",EDATE($D71,Milestones!$AA$115)&gt;=$T71),$W71,IF(AND($S71&lt;&gt;"",EDATE($D71,Milestones!$AA$115)&gt;=$S71),$V71,$U71)))=Milestones!$AB$115),UPPER(TEXT(EDATE($D71,Milestones!$AA$115),"dd mmm yy"))&amp;" "&amp;Milestones!$AB$115&amp;" "&amp;Milestones!$AC$115&amp;";  ","")&amp;IF(AND(EDATE($D71,Milestones!$AA$116)&lt;=AsOfDate,IF($R71=0,$X71,IF(AND($T71&lt;&gt;"",EDATE($D71,Milestones!$AA$116)&gt;=$T71),$W71,IF(AND($S71&lt;&gt;"",EDATE($D71,Milestones!$AA$116)&gt;=$S71),$V71,$U71)))=Milestones!$AB$116),UPPER(TEXT(EDATE($D71,Milestones!$AA$116),"dd mmm yy"))&amp;" "&amp;Milestones!$AB$116&amp;" "&amp;Milestones!$AC$116&amp;";  ","")&amp;IF(AND(EDATE($D71,Milestones!$AA$117)&lt;=AsOfDate,IF($R71=0,$X71,IF(AND($T71&lt;&gt;"",EDATE($D71,Milestones!$AA$117)&gt;=$T71),$W71,IF(AND($S71&lt;&gt;"",EDATE($D71,Milestones!$AA$117)&gt;=$S71),$V71,$U71)))=Milestones!$AB$117),UPPER(TEXT(EDATE($D71,Milestones!$AA$117),"dd mmm yy"))&amp;" "&amp;Milestones!$AB$117&amp;" "&amp;Milestones!$AC$117&amp;";  ","")&amp;IF(AND(EDATE($D71,Milestones!$AA$118)&lt;=AsOfDate,IF($R71=0,$X71,IF(AND($T71&lt;&gt;"",EDATE($D71,Milestones!$AA$118)&gt;=$T71),$W71,IF(AND($S71&lt;&gt;"",EDATE($D71,Milestones!$AA$118)&gt;=$S71),$V71,$U71)))=Milestones!$AB$118),UPPER(TEXT(EDATE($D71,Milestones!$AA$118),"dd mmm yy"))&amp;" "&amp;Milestones!$AB$118&amp;" "&amp;Milestones!$AC$118&amp;";  ","")&amp;IF(AND(EDATE($D71,Milestones!$AA$119)&lt;=AsOfDate,IF($R71=0,$X71,IF(AND($T71&lt;&gt;"",EDATE($D71,Milestones!$AA$119)&gt;=$T71),$W71,IF(AND($S71&lt;&gt;"",EDATE($D71,Milestones!$AA$119)&gt;=$S71),$V71,$U71)))=Milestones!$AB$119),UPPER(TEXT(EDATE($D71,Milestones!$AA$119),"dd mmm yy"))&amp;" "&amp;Milestones!$AB$119&amp;" "&amp;Milestones!$AC$119&amp;";  ",""))</f>
        <v/>
      </c>
      <c r="N71" s="0" t="str">
        <f aca="false">IF(OR($A71="",$D71=""),"",IF(AND(EDATE($D71,Milestones!$AA$120)&lt;=AsOfDate,IF($R71=0,$X71,IF(AND($T71&lt;&gt;"",EDATE($D71,Milestones!$AA$120)&gt;=$T71),$W71,IF(AND($S71&lt;&gt;"",EDATE($D71,Milestones!$AA$120)&gt;=$S71),$V71,$U71)))=Milestones!$AB$120),UPPER(TEXT(EDATE($D71,Milestones!$AA$120),"dd mmm yy"))&amp;" "&amp;Milestones!$AB$120&amp;" "&amp;Milestones!$AC$120&amp;";  ","")&amp;IF(AND(EDATE($D71,Milestones!$AA$121)&lt;=AsOfDate,IF($R71=0,$X71,IF(AND($T71&lt;&gt;"",EDATE($D71,Milestones!$AA$121)&gt;=$T71),$W71,IF(AND($S71&lt;&gt;"",EDATE($D71,Milestones!$AA$121)&gt;=$S71),$V71,$U71)))=Milestones!$AB$121),UPPER(TEXT(EDATE($D71,Milestones!$AA$121),"dd mmm yy"))&amp;" "&amp;Milestones!$AB$121&amp;" "&amp;Milestones!$AC$121&amp;";  ","")&amp;IF(AND(EDATE($D71,Milestones!$AA$122)&lt;=AsOfDate,IF($R71=0,$X71,IF(AND($T71&lt;&gt;"",EDATE($D71,Milestones!$AA$122)&gt;=$T71),$W71,IF(AND($S71&lt;&gt;"",EDATE($D71,Milestones!$AA$122)&gt;=$S71),$V71,$U71)))=Milestones!$AB$122),UPPER(TEXT(EDATE($D71,Milestones!$AA$122),"dd mmm yy"))&amp;" "&amp;Milestones!$AB$122&amp;" "&amp;Milestones!$AC$122&amp;";  ","")&amp;IF(AND(EDATE($D71,Milestones!$AA$123)&lt;=AsOfDate,IF($R71=0,$X71,IF(AND($T71&lt;&gt;"",EDATE($D71,Milestones!$AA$123)&gt;=$T71),$W71,IF(AND($S71&lt;&gt;"",EDATE($D71,Milestones!$AA$123)&gt;=$S71),$V71,$U71)))=Milestones!$AB$123),UPPER(TEXT(EDATE($D71,Milestones!$AA$123),"dd mmm yy"))&amp;" "&amp;Milestones!$AB$123&amp;" "&amp;Milestones!$AC$123&amp;";  ","")&amp;IF(AND(EDATE($D71,Milestones!$AA$124)&lt;=AsOfDate,IF($R71=0,$X71,IF(AND($T71&lt;&gt;"",EDATE($D71,Milestones!$AA$124)&gt;=$T71),$W71,IF(AND($S71&lt;&gt;"",EDATE($D71,Milestones!$AA$124)&gt;=$S71),$V71,$U71)))=Milestones!$AB$124),UPPER(TEXT(EDATE($D71,Milestones!$AA$124),"dd mmm yy"))&amp;" "&amp;Milestones!$AB$124&amp;" "&amp;Milestones!$AC$124&amp;";  ","")&amp;IF(AND(EDATE($D71,Milestones!$AA$125)&lt;=AsOfDate,IF($R71=0,$X71,IF(AND($T71&lt;&gt;"",EDATE($D71,Milestones!$AA$125)&gt;=$T71),$W71,IF(AND($S71&lt;&gt;"",EDATE($D71,Milestones!$AA$125)&gt;=$S71),$V71,$U71)))=Milestones!$AB$125),UPPER(TEXT(EDATE($D71,Milestones!$AA$125),"dd mmm yy"))&amp;" "&amp;Milestones!$AB$125&amp;" "&amp;Milestones!$AC$125&amp;";  ","")&amp;IF(AND(EDATE($D71,Milestones!$AA$126)&lt;=AsOfDate,IF($R71=0,$X71,IF(AND($T71&lt;&gt;"",EDATE($D71,Milestones!$AA$126)&gt;=$T71),$W71,IF(AND($S71&lt;&gt;"",EDATE($D71,Milestones!$AA$126)&gt;=$S71),$V71,$U71)))=Milestones!$AB$126),UPPER(TEXT(EDATE($D71,Milestones!$AA$126),"dd mmm yy"))&amp;" "&amp;Milestones!$AB$126&amp;" "&amp;Milestones!$AC$126&amp;";  ","")&amp;IF(AND(EDATE($D71,Milestones!$AA$127)&lt;=AsOfDate,IF($R71=0,$X71,IF(AND($T71&lt;&gt;"",EDATE($D71,Milestones!$AA$127)&gt;=$T71),$W71,IF(AND($S71&lt;&gt;"",EDATE($D71,Milestones!$AA$127)&gt;=$S71),$V71,$U71)))=Milestones!$AB$127),UPPER(TEXT(EDATE($D71,Milestones!$AA$127),"dd mmm yy"))&amp;" "&amp;Milestones!$AB$127&amp;" "&amp;Milestones!$AC$127&amp;";  ","")&amp;IF(AND(EDATE($D71,Milestones!$AA$128)&lt;=AsOfDate,IF($R71=0,$X71,IF(AND($T71&lt;&gt;"",EDATE($D71,Milestones!$AA$128)&gt;=$T71),$W71,IF(AND($S71&lt;&gt;"",EDATE($D71,Milestones!$AA$128)&gt;=$S71),$V71,$U71)))=Milestones!$AB$128),UPPER(TEXT(EDATE($D71,Milestones!$AA$128),"dd mmm yy"))&amp;" "&amp;Milestones!$AB$128&amp;" "&amp;Milestones!$AC$128&amp;";  ","")&amp;IF(AND(EDATE($D71,Milestones!$AA$129)&lt;=AsOfDate,IF($R71=0,$X71,IF(AND($T71&lt;&gt;"",EDATE($D71,Milestones!$AA$129)&gt;=$T71),$W71,IF(AND($S71&lt;&gt;"",EDATE($D71,Milestones!$AA$129)&gt;=$S71),$V71,$U71)))=Milestones!$AB$129),UPPER(TEXT(EDATE($D71,Milestones!$AA$129),"dd mmm yy"))&amp;" "&amp;Milestones!$AB$129&amp;" "&amp;Milestones!$AC$129&amp;";  ","")&amp;IF(AND(EDATE($D71,Milestones!$AA$130)&lt;=AsOfDate,IF($R71=0,$X71,IF(AND($T71&lt;&gt;"",EDATE($D71,Milestones!$AA$130)&gt;=$T71),$W71,IF(AND($S71&lt;&gt;"",EDATE($D71,Milestones!$AA$130)&gt;=$S71),$V71,$U71)))=Milestones!$AB$130),UPPER(TEXT(EDATE($D71,Milestones!$AA$130),"dd mmm yy"))&amp;" "&amp;Milestones!$AB$130&amp;" "&amp;Milestones!$AC$130&amp;";  ","")&amp;IF(AND(EDATE($D71,Milestones!$AA$131)&lt;=AsOfDate,IF($R71=0,$X71,IF(AND($T71&lt;&gt;"",EDATE($D71,Milestones!$AA$131)&gt;=$T71),$W71,IF(AND($S71&lt;&gt;"",EDATE($D71,Milestones!$AA$131)&gt;=$S71),$V71,$U71)))=Milestones!$AB$131),UPPER(TEXT(EDATE($D71,Milestones!$AA$131),"dd mmm yy"))&amp;" "&amp;Milestones!$AB$131&amp;" "&amp;Milestones!$AC$131&amp;";  ","")&amp;IF(AND(EDATE($D71,Milestones!$AA$132)&lt;=AsOfDate,IF($R71=0,$X71,IF(AND($T71&lt;&gt;"",EDATE($D71,Milestones!$AA$132)&gt;=$T71),$W71,IF(AND($S71&lt;&gt;"",EDATE($D71,Milestones!$AA$132)&gt;=$S71),$V71,$U71)))=Milestones!$AB$132),UPPER(TEXT(EDATE($D71,Milestones!$AA$132),"dd mmm yy"))&amp;" "&amp;Milestones!$AB$132&amp;" "&amp;Milestones!$AC$132&amp;";  ","")&amp;IF(AND(EDATE($D71,Milestones!$AA$133)&lt;=AsOfDate,IF($R71=0,$X71,IF(AND($T71&lt;&gt;"",EDATE($D71,Milestones!$AA$133)&gt;=$T71),$W71,IF(AND($S71&lt;&gt;"",EDATE($D71,Milestones!$AA$133)&gt;=$S71),$V71,$U71)))=Milestones!$AB$133),UPPER(TEXT(EDATE($D71,Milestones!$AA$133),"dd mmm yy"))&amp;" "&amp;Milestones!$AB$133&amp;" "&amp;Milestones!$AC$133&amp;";  ","")&amp;IF(AND(EDATE($D71,Milestones!$AA$134)&lt;=AsOfDate,IF($R71=0,$X71,IF(AND($T71&lt;&gt;"",EDATE($D71,Milestones!$AA$134)&gt;=$T71),$W71,IF(AND($S71&lt;&gt;"",EDATE($D71,Milestones!$AA$134)&gt;=$S71),$V71,$U71)))=Milestones!$AB$134),UPPER(TEXT(EDATE($D71,Milestones!$AA$134),"dd mmm yy"))&amp;" "&amp;Milestones!$AB$134&amp;" "&amp;Milestones!$AC$134&amp;";  ","")&amp;IF(AND(EDATE($D71,Milestones!$AA$135)&lt;=AsOfDate,IF($R71=0,$X71,IF(AND($T71&lt;&gt;"",EDATE($D71,Milestones!$AA$135)&gt;=$T71),$W71,IF(AND($S71&lt;&gt;"",EDATE($D71,Milestones!$AA$135)&gt;=$S71),$V71,$U71)))=Milestones!$AB$135),UPPER(TEXT(EDATE($D71,Milestones!$AA$135),"dd mmm yy"))&amp;" "&amp;Milestones!$AB$135&amp;" "&amp;Milestones!$AC$135&amp;";  ","")&amp;IF(AND(EDATE($D71,Milestones!$AA$136)&lt;=AsOfDate,IF($R71=0,$X71,IF(AND($T71&lt;&gt;"",EDATE($D71,Milestones!$AA$136)&gt;=$T71),$W71,IF(AND($S71&lt;&gt;"",EDATE($D71,Milestones!$AA$136)&gt;=$S71),$V71,$U71)))=Milestones!$AB$136),UPPER(TEXT(EDATE($D71,Milestones!$AA$136),"dd mmm yy"))&amp;" "&amp;Milestones!$AB$136&amp;" "&amp;Milestones!$AC$136&amp;";  ","")&amp;IF(AND(EDATE($D71,Milestones!$AA$137)&lt;=AsOfDate,IF($R71=0,$X71,IF(AND($T71&lt;&gt;"",EDATE($D71,Milestones!$AA$137)&gt;=$T71),$W71,IF(AND($S71&lt;&gt;"",EDATE($D71,Milestones!$AA$137)&gt;=$S71),$V71,$U71)))=Milestones!$AB$137),UPPER(TEXT(EDATE($D71,Milestones!$AA$137),"dd mmm yy"))&amp;" "&amp;Milestones!$AB$137&amp;" "&amp;Milestones!$AC$137&amp;";  ","")&amp;IF(AND(EDATE($D71,Milestones!$AA$138)&lt;=AsOfDate,IF($R71=0,$X71,IF(AND($T71&lt;&gt;"",EDATE($D71,Milestones!$AA$138)&gt;=$T71),$W71,IF(AND($S71&lt;&gt;"",EDATE($D71,Milestones!$AA$138)&gt;=$S71),$V71,$U71)))=Milestones!$AB$138),UPPER(TEXT(EDATE($D71,Milestones!$AA$138),"dd mmm yy"))&amp;" "&amp;Milestones!$AB$138&amp;" "&amp;Milestones!$AC$138&amp;";  ","")&amp;IF(AND(EDATE($D71,Milestones!$AA$139)&lt;=AsOfDate,IF($R71=0,$X71,IF(AND($T71&lt;&gt;"",EDATE($D71,Milestones!$AA$139)&gt;=$T71),$W71,IF(AND($S71&lt;&gt;"",EDATE($D71,Milestones!$AA$139)&gt;=$S71),$V71,$U71)))=Milestones!$AB$139),UPPER(TEXT(EDATE($D71,Milestones!$AA$139),"dd mmm yy"))&amp;" "&amp;Milestones!$AB$139&amp;" "&amp;Milestones!$AC$139&amp;";  ",""))</f>
        <v/>
      </c>
      <c r="O71" s="0" t="str">
        <f aca="false">IF(OR($A71="",$D71=""),"",IF(AND(EDATE($D71,Milestones!$AA$140)&lt;=AsOfDate,IF($R71=0,$X71,IF(AND($T71&lt;&gt;"",EDATE($D71,Milestones!$AA$140)&gt;=$T71),$W71,IF(AND($S71&lt;&gt;"",EDATE($D71,Milestones!$AA$140)&gt;=$S71),$V71,$U71)))=Milestones!$AB$140),UPPER(TEXT(EDATE($D71,Milestones!$AA$140),"dd mmm yy"))&amp;" "&amp;Milestones!$AB$140&amp;" "&amp;Milestones!$AC$140&amp;";  ","")&amp;IF(AND(EDATE($D71,Milestones!$AA$141)&lt;=AsOfDate,IF($R71=0,$X71,IF(AND($T71&lt;&gt;"",EDATE($D71,Milestones!$AA$141)&gt;=$T71),$W71,IF(AND($S71&lt;&gt;"",EDATE($D71,Milestones!$AA$141)&gt;=$S71),$V71,$U71)))=Milestones!$AB$141),UPPER(TEXT(EDATE($D71,Milestones!$AA$141),"dd mmm yy"))&amp;" "&amp;Milestones!$AB$141&amp;" "&amp;Milestones!$AC$141&amp;";  ","")&amp;IF(AND(EDATE($D71,Milestones!$AA$142)&lt;=AsOfDate,IF($R71=0,$X71,IF(AND($T71&lt;&gt;"",EDATE($D71,Milestones!$AA$142)&gt;=$T71),$W71,IF(AND($S71&lt;&gt;"",EDATE($D71,Milestones!$AA$142)&gt;=$S71),$V71,$U71)))=Milestones!$AB$142),UPPER(TEXT(EDATE($D71,Milestones!$AA$142),"dd mmm yy"))&amp;" "&amp;Milestones!$AB$142&amp;" "&amp;Milestones!$AC$142&amp;";  ","")&amp;IF(AND(EDATE($D71,Milestones!$AA$143)&lt;=AsOfDate,IF($R71=0,$X71,IF(AND($T71&lt;&gt;"",EDATE($D71,Milestones!$AA$143)&gt;=$T71),$W71,IF(AND($S71&lt;&gt;"",EDATE($D71,Milestones!$AA$143)&gt;=$S71),$V71,$U71)))=Milestones!$AB$143),UPPER(TEXT(EDATE($D71,Milestones!$AA$143),"dd mmm yy"))&amp;" "&amp;Milestones!$AB$143&amp;" "&amp;Milestones!$AC$143&amp;";  ","")&amp;IF(AND(EDATE($D71,Milestones!$AA$144)&lt;=AsOfDate,IF($R71=0,$X71,IF(AND($T71&lt;&gt;"",EDATE($D71,Milestones!$AA$144)&gt;=$T71),$W71,IF(AND($S71&lt;&gt;"",EDATE($D71,Milestones!$AA$144)&gt;=$S71),$V71,$U71)))=Milestones!$AB$144),UPPER(TEXT(EDATE($D71,Milestones!$AA$144),"dd mmm yy"))&amp;" "&amp;Milestones!$AB$144&amp;" "&amp;Milestones!$AC$144&amp;";  ","")&amp;IF(AND(EDATE($D71,Milestones!$AA$145)&lt;=AsOfDate,IF($R71=0,$X71,IF(AND($T71&lt;&gt;"",EDATE($D71,Milestones!$AA$145)&gt;=$T71),$W71,IF(AND($S71&lt;&gt;"",EDATE($D71,Milestones!$AA$145)&gt;=$S71),$V71,$U71)))=Milestones!$AB$145),UPPER(TEXT(EDATE($D71,Milestones!$AA$145),"dd mmm yy"))&amp;" "&amp;Milestones!$AB$145&amp;" "&amp;Milestones!$AC$145&amp;";  ","")&amp;IF(AND(EDATE($D71,Milestones!$AA$146)&lt;=AsOfDate,IF($R71=0,$X71,IF(AND($T71&lt;&gt;"",EDATE($D71,Milestones!$AA$146)&gt;=$T71),$W71,IF(AND($S71&lt;&gt;"",EDATE($D71,Milestones!$AA$146)&gt;=$S71),$V71,$U71)))=Milestones!$AB$146),UPPER(TEXT(EDATE($D71,Milestones!$AA$146),"dd mmm yy"))&amp;" "&amp;Milestones!$AB$146&amp;" "&amp;Milestones!$AC$146&amp;";  ","")&amp;IF(AND(EDATE($D71,Milestones!$AA$147)&lt;=AsOfDate,IF($R71=0,$X71,IF(AND($T71&lt;&gt;"",EDATE($D71,Milestones!$AA$147)&gt;=$T71),$W71,IF(AND($S71&lt;&gt;"",EDATE($D71,Milestones!$AA$147)&gt;=$S71),$V71,$U71)))=Milestones!$AB$147),UPPER(TEXT(EDATE($D71,Milestones!$AA$147),"dd mmm yy"))&amp;" "&amp;Milestones!$AB$147&amp;" "&amp;Milestones!$AC$147&amp;";  ","")&amp;IF(AND(EDATE($D71,Milestones!$AA$148)&lt;=AsOfDate,IF($R71=0,$X71,IF(AND($T71&lt;&gt;"",EDATE($D71,Milestones!$AA$148)&gt;=$T71),$W71,IF(AND($S71&lt;&gt;"",EDATE($D71,Milestones!$AA$148)&gt;=$S71),$V71,$U71)))=Milestones!$AB$148),UPPER(TEXT(EDATE($D71,Milestones!$AA$148),"dd mmm yy"))&amp;" "&amp;Milestones!$AB$148&amp;" "&amp;Milestones!$AC$148&amp;";  ","")&amp;IF(AND(EDATE($D71,Milestones!$AA$149)&lt;=AsOfDate,IF($R71=0,$X71,IF(AND($T71&lt;&gt;"",EDATE($D71,Milestones!$AA$149)&gt;=$T71),$W71,IF(AND($S71&lt;&gt;"",EDATE($D71,Milestones!$AA$149)&gt;=$S71),$V71,$U71)))=Milestones!$AB$149),UPPER(TEXT(EDATE($D71,Milestones!$AA$149),"dd mmm yy"))&amp;" "&amp;Milestones!$AB$149&amp;" "&amp;Milestones!$AC$149&amp;";  ","")&amp;IF(AND(EDATE($D71,Milestones!$AA$150)&lt;=AsOfDate,IF($R71=0,$X71,IF(AND($T71&lt;&gt;"",EDATE($D71,Milestones!$AA$150)&gt;=$T71),$W71,IF(AND($S71&lt;&gt;"",EDATE($D71,Milestones!$AA$150)&gt;=$S71),$V71,$U71)))=Milestones!$AB$150),UPPER(TEXT(EDATE($D71,Milestones!$AA$150),"dd mmm yy"))&amp;" "&amp;Milestones!$AB$150&amp;" "&amp;Milestones!$AC$150&amp;";  ","")&amp;IF(AND(EDATE($D71,Milestones!$AA$151)&lt;=AsOfDate,IF($R71=0,$X71,IF(AND($T71&lt;&gt;"",EDATE($D71,Milestones!$AA$151)&gt;=$T71),$W71,IF(AND($S71&lt;&gt;"",EDATE($D71,Milestones!$AA$151)&gt;=$S71),$V71,$U71)))=Milestones!$AB$151),UPPER(TEXT(EDATE($D71,Milestones!$AA$151),"dd mmm yy"))&amp;" "&amp;Milestones!$AB$151&amp;" "&amp;Milestones!$AC$151&amp;";  ","")&amp;IF(AND(EDATE($D71,Milestones!$AA$152)&lt;=AsOfDate,IF($R71=0,$X71,IF(AND($T71&lt;&gt;"",EDATE($D71,Milestones!$AA$152)&gt;=$T71),$W71,IF(AND($S71&lt;&gt;"",EDATE($D71,Milestones!$AA$152)&gt;=$S71),$V71,$U71)))=Milestones!$AB$152),UPPER(TEXT(EDATE($D71,Milestones!$AA$152),"dd mmm yy"))&amp;" "&amp;Milestones!$AB$152&amp;" "&amp;Milestones!$AC$152&amp;";  ","")&amp;IF(AND(EDATE($D71,Milestones!$AA$153)&lt;=AsOfDate,IF($R71=0,$X71,IF(AND($T71&lt;&gt;"",EDATE($D71,Milestones!$AA$153)&gt;=$T71),$W71,IF(AND($S71&lt;&gt;"",EDATE($D71,Milestones!$AA$153)&gt;=$S71),$V71,$U71)))=Milestones!$AB$153),UPPER(TEXT(EDATE($D71,Milestones!$AA$153),"dd mmm yy"))&amp;" "&amp;Milestones!$AB$153&amp;" "&amp;Milestones!$AC$153&amp;";  ","")&amp;IF(AND(EDATE($D71,Milestones!$AA$154)&lt;=AsOfDate,IF($R71=0,$X71,IF(AND($T71&lt;&gt;"",EDATE($D71,Milestones!$AA$154)&gt;=$T71),$W71,IF(AND($S71&lt;&gt;"",EDATE($D71,Milestones!$AA$154)&gt;=$S71),$V71,$U71)))=Milestones!$AB$154),UPPER(TEXT(EDATE($D71,Milestones!$AA$154),"dd mmm yy"))&amp;" "&amp;Milestones!$AB$154&amp;" "&amp;Milestones!$AC$154&amp;";  ","")&amp;IF(AND(EDATE($D71,Milestones!$AA$155)&lt;=AsOfDate,IF($R71=0,$X71,IF(AND($T71&lt;&gt;"",EDATE($D71,Milestones!$AA$155)&gt;=$T71),$W71,IF(AND($S71&lt;&gt;"",EDATE($D71,Milestones!$AA$155)&gt;=$S71),$V71,$U71)))=Milestones!$AB$155),UPPER(TEXT(EDATE($D71,Milestones!$AA$155),"dd mmm yy"))&amp;" "&amp;Milestones!$AB$155&amp;" "&amp;Milestones!$AC$155&amp;";  ","")&amp;IF(AND(EDATE($D71,Milestones!$AA$156)&lt;=AsOfDate,IF($R71=0,$X71,IF(AND($T71&lt;&gt;"",EDATE($D71,Milestones!$AA$156)&gt;=$T71),$W71,IF(AND($S71&lt;&gt;"",EDATE($D71,Milestones!$AA$156)&gt;=$S71),$V71,$U71)))=Milestones!$AB$156),UPPER(TEXT(EDATE($D71,Milestones!$AA$156),"dd mmm yy"))&amp;" "&amp;Milestones!$AB$156&amp;" "&amp;Milestones!$AC$156&amp;";  ","")&amp;IF(AND(EDATE($D71,Milestones!$AA$157)&lt;=AsOfDate,IF($R71=0,$X71,IF(AND($T71&lt;&gt;"",EDATE($D71,Milestones!$AA$157)&gt;=$T71),$W71,IF(AND($S71&lt;&gt;"",EDATE($D71,Milestones!$AA$157)&gt;=$S71),$V71,$U71)))=Milestones!$AB$157),UPPER(TEXT(EDATE($D71,Milestones!$AA$157),"dd mmm yy"))&amp;" "&amp;Milestones!$AB$157&amp;" "&amp;Milestones!$AC$157&amp;";  ","")&amp;IF(AND(EDATE($D71,Milestones!$AA$158)&lt;=AsOfDate,IF($R71=0,$X71,IF(AND($T71&lt;&gt;"",EDATE($D71,Milestones!$AA$158)&gt;=$T71),$W71,IF(AND($S71&lt;&gt;"",EDATE($D71,Milestones!$AA$158)&gt;=$S71),$V71,$U71)))=Milestones!$AB$158),UPPER(TEXT(EDATE($D71,Milestones!$AA$158),"dd mmm yy"))&amp;" "&amp;Milestones!$AB$158&amp;" "&amp;Milestones!$AC$158&amp;";  ","")&amp;IF(AND(EDATE($D71,Milestones!$AA$159)&lt;=AsOfDate,IF($R71=0,$X71,IF(AND($T71&lt;&gt;"",EDATE($D71,Milestones!$AA$159)&gt;=$T71),$W71,IF(AND($S71&lt;&gt;"",EDATE($D71,Milestones!$AA$159)&gt;=$S71),$V71,$U71)))=Milestones!$AB$159),UPPER(TEXT(EDATE($D71,Milestones!$AA$159),"dd mmm yy"))&amp;" "&amp;Milestones!$AB$159&amp;" "&amp;Milestones!$AC$159&amp;";  ",""))</f>
        <v/>
      </c>
      <c r="P71" s="0" t="str">
        <f aca="false">IF(OR($A71="",$D71=""),"",IF(AND(EDATE($D71,Milestones!$AA$160)&lt;=AsOfDate,IF($R71=0,$X71,IF(AND($T71&lt;&gt;"",EDATE($D71,Milestones!$AA$160)&gt;=$T71),$W71,IF(AND($S71&lt;&gt;"",EDATE($D71,Milestones!$AA$160)&gt;=$S71),$V71,$U71)))=Milestones!$AB$160),UPPER(TEXT(EDATE($D71,Milestones!$AA$160),"dd mmm yy"))&amp;" "&amp;Milestones!$AB$160&amp;" "&amp;Milestones!$AC$160&amp;";  ","")&amp;IF(AND(EDATE($D71,Milestones!$AA$161)&lt;=AsOfDate,IF($R71=0,$X71,IF(AND($T71&lt;&gt;"",EDATE($D71,Milestones!$AA$161)&gt;=$T71),$W71,IF(AND($S71&lt;&gt;"",EDATE($D71,Milestones!$AA$161)&gt;=$S71),$V71,$U71)))=Milestones!$AB$161),UPPER(TEXT(EDATE($D71,Milestones!$AA$161),"dd mmm yy"))&amp;" "&amp;Milestones!$AB$161&amp;" "&amp;Milestones!$AC$161&amp;";  ","")&amp;IF(AND(EDATE($D71,Milestones!$AA$162)&lt;=AsOfDate,IF($R71=0,$X71,IF(AND($T71&lt;&gt;"",EDATE($D71,Milestones!$AA$162)&gt;=$T71),$W71,IF(AND($S71&lt;&gt;"",EDATE($D71,Milestones!$AA$162)&gt;=$S71),$V71,$U71)))=Milestones!$AB$162),UPPER(TEXT(EDATE($D71,Milestones!$AA$162),"dd mmm yy"))&amp;" "&amp;Milestones!$AB$162&amp;" "&amp;Milestones!$AC$162&amp;";  ","")&amp;IF(AND(EDATE($D71,Milestones!$AA$163)&lt;=AsOfDate,IF($R71=0,$X71,IF(AND($T71&lt;&gt;"",EDATE($D71,Milestones!$AA$163)&gt;=$T71),$W71,IF(AND($S71&lt;&gt;"",EDATE($D71,Milestones!$AA$163)&gt;=$S71),$V71,$U71)))=Milestones!$AB$163),UPPER(TEXT(EDATE($D71,Milestones!$AA$163),"dd mmm yy"))&amp;" "&amp;Milestones!$AB$163&amp;" "&amp;Milestones!$AC$163&amp;";  ","")&amp;IF(AND(EDATE($D71,Milestones!$AA$164)&lt;=AsOfDate,IF($R71=0,$X71,IF(AND($T71&lt;&gt;"",EDATE($D71,Milestones!$AA$164)&gt;=$T71),$W71,IF(AND($S71&lt;&gt;"",EDATE($D71,Milestones!$AA$164)&gt;=$S71),$V71,$U71)))=Milestones!$AB$164),UPPER(TEXT(EDATE($D71,Milestones!$AA$164),"dd mmm yy"))&amp;" "&amp;Milestones!$AB$164&amp;" "&amp;Milestones!$AC$164&amp;";  ","")&amp;IF(AND(EDATE($D71,Milestones!$AA$165)&lt;=AsOfDate,IF($R71=0,$X71,IF(AND($T71&lt;&gt;"",EDATE($D71,Milestones!$AA$165)&gt;=$T71),$W71,IF(AND($S71&lt;&gt;"",EDATE($D71,Milestones!$AA$165)&gt;=$S71),$V71,$U71)))=Milestones!$AB$165),UPPER(TEXT(EDATE($D71,Milestones!$AA$165),"dd mmm yy"))&amp;" "&amp;Milestones!$AB$165&amp;" "&amp;Milestones!$AC$165&amp;";  ","")&amp;IF(AND(EDATE($D71,Milestones!$AA$166)&lt;=AsOfDate,IF($R71=0,$X71,IF(AND($T71&lt;&gt;"",EDATE($D71,Milestones!$AA$166)&gt;=$T71),$W71,IF(AND($S71&lt;&gt;"",EDATE($D71,Milestones!$AA$166)&gt;=$S71),$V71,$U71)))=Milestones!$AB$166),UPPER(TEXT(EDATE($D71,Milestones!$AA$166),"dd mmm yy"))&amp;" "&amp;Milestones!$AB$166&amp;" "&amp;Milestones!$AC$166&amp;";  ","")&amp;IF(AND(EDATE($D71,Milestones!$AA$167)&lt;=AsOfDate,IF($R71=0,$X71,IF(AND($T71&lt;&gt;"",EDATE($D71,Milestones!$AA$167)&gt;=$T71),$W71,IF(AND($S71&lt;&gt;"",EDATE($D71,Milestones!$AA$167)&gt;=$S71),$V71,$U71)))=Milestones!$AB$167),UPPER(TEXT(EDATE($D71,Milestones!$AA$167),"dd mmm yy"))&amp;" "&amp;Milestones!$AB$167&amp;" "&amp;Milestones!$AC$167&amp;";  ","")&amp;IF(AND(EDATE($D71,Milestones!$AA$168)&lt;=AsOfDate,IF($R71=0,$X71,IF(AND($T71&lt;&gt;"",EDATE($D71,Milestones!$AA$168)&gt;=$T71),$W71,IF(AND($S71&lt;&gt;"",EDATE($D71,Milestones!$AA$168)&gt;=$S71),$V71,$U71)))=Milestones!$AB$168),UPPER(TEXT(EDATE($D71,Milestones!$AA$168),"dd mmm yy"))&amp;" "&amp;Milestones!$AB$168&amp;" "&amp;Milestones!$AC$168&amp;";  ","")&amp;IF(AND(EDATE($D71,Milestones!$AA$169)&lt;=AsOfDate,IF($R71=0,$X71,IF(AND($T71&lt;&gt;"",EDATE($D71,Milestones!$AA$169)&gt;=$T71),$W71,IF(AND($S71&lt;&gt;"",EDATE($D71,Milestones!$AA$169)&gt;=$S71),$V71,$U71)))=Milestones!$AB$169),UPPER(TEXT(EDATE($D71,Milestones!$AA$169),"dd mmm yy"))&amp;" "&amp;Milestones!$AB$169&amp;" "&amp;Milestones!$AC$169&amp;";  ","")&amp;IF(AND(EDATE($D71,Milestones!$AA$170)&lt;=AsOfDate,IF($R71=0,$X71,IF(AND($T71&lt;&gt;"",EDATE($D71,Milestones!$AA$170)&gt;=$T71),$W71,IF(AND($S71&lt;&gt;"",EDATE($D71,Milestones!$AA$170)&gt;=$S71),$V71,$U71)))=Milestones!$AB$170),UPPER(TEXT(EDATE($D71,Milestones!$AA$170),"dd mmm yy"))&amp;" "&amp;Milestones!$AB$170&amp;" "&amp;Milestones!$AC$170&amp;";  ","")&amp;IF(AND(EDATE($D71,Milestones!$AA$171)&lt;=AsOfDate,IF($R71=0,$X71,IF(AND($T71&lt;&gt;"",EDATE($D71,Milestones!$AA$171)&gt;=$T71),$W71,IF(AND($S71&lt;&gt;"",EDATE($D71,Milestones!$AA$171)&gt;=$S71),$V71,$U71)))=Milestones!$AB$171),UPPER(TEXT(EDATE($D71,Milestones!$AA$171),"dd mmm yy"))&amp;" "&amp;Milestones!$AB$171&amp;" "&amp;Milestones!$AC$171&amp;";  ","")&amp;IF(AND(EDATE($D71,Milestones!$AA$172)&lt;=AsOfDate,IF($R71=0,$X71,IF(AND($T71&lt;&gt;"",EDATE($D71,Milestones!$AA$172)&gt;=$T71),$W71,IF(AND($S71&lt;&gt;"",EDATE($D71,Milestones!$AA$172)&gt;=$S71),$V71,$U71)))=Milestones!$AB$172),UPPER(TEXT(EDATE($D71,Milestones!$AA$172),"dd mmm yy"))&amp;" "&amp;Milestones!$AB$172&amp;" "&amp;Milestones!$AC$172&amp;";  ","")&amp;IF(AND(EDATE($D71,Milestones!$AA$173)&lt;=AsOfDate,IF($R71=0,$X71,IF(AND($T71&lt;&gt;"",EDATE($D71,Milestones!$AA$173)&gt;=$T71),$W71,IF(AND($S71&lt;&gt;"",EDATE($D71,Milestones!$AA$173)&gt;=$S71),$V71,$U71)))=Milestones!$AB$173),UPPER(TEXT(EDATE($D71,Milestones!$AA$173),"dd mmm yy"))&amp;" "&amp;Milestones!$AB$173&amp;" "&amp;Milestones!$AC$173&amp;";  ","")&amp;IF(AND(EDATE($D71,Milestones!$AA$174)&lt;=AsOfDate,IF($R71=0,$X71,IF(AND($T71&lt;&gt;"",EDATE($D71,Milestones!$AA$174)&gt;=$T71),$W71,IF(AND($S71&lt;&gt;"",EDATE($D71,Milestones!$AA$174)&gt;=$S71),$V71,$U71)))=Milestones!$AB$174),UPPER(TEXT(EDATE($D71,Milestones!$AA$174),"dd mmm yy"))&amp;" "&amp;Milestones!$AB$174&amp;" "&amp;Milestones!$AC$174&amp;";  ","")&amp;IF(AND(EDATE($D71,Milestones!$AA$175)&lt;=AsOfDate,IF($R71=0,$X71,IF(AND($T71&lt;&gt;"",EDATE($D71,Milestones!$AA$175)&gt;=$T71),$W71,IF(AND($S71&lt;&gt;"",EDATE($D71,Milestones!$AA$175)&gt;=$S71),$V71,$U71)))=Milestones!$AB$175),UPPER(TEXT(EDATE($D71,Milestones!$AA$175),"dd mmm yy"))&amp;" "&amp;Milestones!$AB$175&amp;" "&amp;Milestones!$AC$175&amp;";  ","")&amp;IF(AND(EDATE($D71,Milestones!$AA$176)&lt;=AsOfDate,IF($R71=0,$X71,IF(AND($T71&lt;&gt;"",EDATE($D71,Milestones!$AA$176)&gt;=$T71),$W71,IF(AND($S71&lt;&gt;"",EDATE($D71,Milestones!$AA$176)&gt;=$S71),$V71,$U71)))=Milestones!$AB$176),UPPER(TEXT(EDATE($D71,Milestones!$AA$176),"dd mmm yy"))&amp;" "&amp;Milestones!$AB$176&amp;" "&amp;Milestones!$AC$176&amp;";  ","")&amp;IF(AND(EDATE($D71,Milestones!$AA$177)&lt;=AsOfDate,IF($R71=0,$X71,IF(AND($T71&lt;&gt;"",EDATE($D71,Milestones!$AA$177)&gt;=$T71),$W71,IF(AND($S71&lt;&gt;"",EDATE($D71,Milestones!$AA$177)&gt;=$S71),$V71,$U71)))=Milestones!$AB$177),UPPER(TEXT(EDATE($D71,Milestones!$AA$177),"dd mmm yy"))&amp;" "&amp;Milestones!$AB$177&amp;" "&amp;Milestones!$AC$177&amp;";  ","")&amp;IF(AND(EDATE($D71,Milestones!$AA$178)&lt;=AsOfDate,IF($R71=0,$X71,IF(AND($T71&lt;&gt;"",EDATE($D71,Milestones!$AA$178)&gt;=$T71),$W71,IF(AND($S71&lt;&gt;"",EDATE($D71,Milestones!$AA$178)&gt;=$S71),$V71,$U71)))=Milestones!$AB$178),UPPER(TEXT(EDATE($D71,Milestones!$AA$178),"dd mmm yy"))&amp;" "&amp;Milestones!$AB$178&amp;" "&amp;Milestones!$AC$178&amp;";  ","")&amp;IF(AND(EDATE($D71,Milestones!$AA$179)&lt;=AsOfDate,IF($R71=0,$X71,IF(AND($T71&lt;&gt;"",EDATE($D71,Milestones!$AA$179)&gt;=$T71),$W71,IF(AND($S71&lt;&gt;"",EDATE($D71,Milestones!$AA$179)&gt;=$S71),$V71,$U71)))=Milestones!$AB$179),UPPER(TEXT(EDATE($D71,Milestones!$AA$179),"dd mmm yy"))&amp;" "&amp;Milestones!$AB$179&amp;" "&amp;Milestones!$AC$179&amp;";  ",""))</f>
        <v/>
      </c>
      <c r="Q71" s="0" t="str">
        <f aca="false">IF(OR($A71="",$D71=""),"",IF(AND(EDATE($D71,Milestones!$AA$180)&lt;=AsOfDate,IF($R71=0,$X71,IF(AND($T71&lt;&gt;"",EDATE($D71,Milestones!$AA$180)&gt;=$T71),$W71,IF(AND($S71&lt;&gt;"",EDATE($D71,Milestones!$AA$180)&gt;=$S71),$V71,$U71)))=Milestones!$AB$180),UPPER(TEXT(EDATE($D71,Milestones!$AA$180),"dd mmm yy"))&amp;" "&amp;Milestones!$AB$180&amp;" "&amp;Milestones!$AC$180&amp;";  ","")&amp;IF(AND(EDATE($D71,Milestones!$AA$181)&lt;=AsOfDate,IF($R71=0,$X71,IF(AND($T71&lt;&gt;"",EDATE($D71,Milestones!$AA$181)&gt;=$T71),$W71,IF(AND($S71&lt;&gt;"",EDATE($D71,Milestones!$AA$181)&gt;=$S71),$V71,$U71)))=Milestones!$AB$181),UPPER(TEXT(EDATE($D71,Milestones!$AA$181),"dd mmm yy"))&amp;" "&amp;Milestones!$AB$181&amp;" "&amp;Milestones!$AC$181&amp;";  ","")&amp;IF(AND(EDATE($D71,Milestones!$AA$182)&lt;=AsOfDate,IF($R71=0,$X71,IF(AND($T71&lt;&gt;"",EDATE($D71,Milestones!$AA$182)&gt;=$T71),$W71,IF(AND($S71&lt;&gt;"",EDATE($D71,Milestones!$AA$182)&gt;=$S71),$V71,$U71)))=Milestones!$AB$182),UPPER(TEXT(EDATE($D71,Milestones!$AA$182),"dd mmm yy"))&amp;" "&amp;Milestones!$AB$182&amp;" "&amp;Milestones!$AC$182&amp;";  ","")&amp;IF(AND(EDATE($D71,Milestones!$AA$183)&lt;=AsOfDate,IF($R71=0,$X71,IF(AND($T71&lt;&gt;"",EDATE($D71,Milestones!$AA$183)&gt;=$T71),$W71,IF(AND($S71&lt;&gt;"",EDATE($D71,Milestones!$AA$183)&gt;=$S71),$V71,$U71)))=Milestones!$AB$183),UPPER(TEXT(EDATE($D71,Milestones!$AA$183),"dd mmm yy"))&amp;" "&amp;Milestones!$AB$183&amp;" "&amp;Milestones!$AC$183&amp;";  ","")&amp;IF(AND(EDATE($D71,Milestones!$AA$184)&lt;=AsOfDate,IF($R71=0,$X71,IF(AND($T71&lt;&gt;"",EDATE($D71,Milestones!$AA$184)&gt;=$T71),$W71,IF(AND($S71&lt;&gt;"",EDATE($D71,Milestones!$AA$184)&gt;=$S71),$V71,$U71)))=Milestones!$AB$184),UPPER(TEXT(EDATE($D71,Milestones!$AA$184),"dd mmm yy"))&amp;" "&amp;Milestones!$AB$184&amp;" "&amp;Milestones!$AC$184&amp;";  ","")&amp;IF(AND(EDATE($D71,Milestones!$AA$185)&lt;=AsOfDate,IF($R71=0,$X71,IF(AND($T71&lt;&gt;"",EDATE($D71,Milestones!$AA$185)&gt;=$T71),$W71,IF(AND($S71&lt;&gt;"",EDATE($D71,Milestones!$AA$185)&gt;=$S71),$V71,$U71)))=Milestones!$AB$185),UPPER(TEXT(EDATE($D71,Milestones!$AA$185),"dd mmm yy"))&amp;" "&amp;Milestones!$AB$185&amp;" "&amp;Milestones!$AC$185&amp;";  ","")&amp;IF(AND(EDATE($D71,Milestones!$AA$186)&lt;=AsOfDate,IF($R71=0,$X71,IF(AND($T71&lt;&gt;"",EDATE($D71,Milestones!$AA$186)&gt;=$T71),$W71,IF(AND($S71&lt;&gt;"",EDATE($D71,Milestones!$AA$186)&gt;=$S71),$V71,$U71)))=Milestones!$AB$186),UPPER(TEXT(EDATE($D71,Milestones!$AA$186),"dd mmm yy"))&amp;" "&amp;Milestones!$AB$186&amp;" "&amp;Milestones!$AC$186&amp;";  ","")&amp;IF(AND(EDATE($D71,Milestones!$AA$187)&lt;=AsOfDate,IF($R71=0,$X71,IF(AND($T71&lt;&gt;"",EDATE($D71,Milestones!$AA$187)&gt;=$T71),$W71,IF(AND($S71&lt;&gt;"",EDATE($D71,Milestones!$AA$187)&gt;=$S71),$V71,$U71)))=Milestones!$AB$187),UPPER(TEXT(EDATE($D71,Milestones!$AA$187),"dd mmm yy"))&amp;" "&amp;Milestones!$AB$187&amp;" "&amp;Milestones!$AC$187&amp;";  ","")&amp;IF(AND(EDATE($D71,Milestones!$AA$188)&lt;=AsOfDate,IF($R71=0,$X71,IF(AND($T71&lt;&gt;"",EDATE($D71,Milestones!$AA$188)&gt;=$T71),$W71,IF(AND($S71&lt;&gt;"",EDATE($D71,Milestones!$AA$188)&gt;=$S71),$V71,$U71)))=Milestones!$AB$188),UPPER(TEXT(EDATE($D71,Milestones!$AA$188),"dd mmm yy"))&amp;" "&amp;Milestones!$AB$188&amp;" "&amp;Milestones!$AC$188&amp;";  ","")&amp;IF(AND(EDATE($D71,Milestones!$AA$189)&lt;=AsOfDate,IF($R71=0,$X71,IF(AND($T71&lt;&gt;"",EDATE($D71,Milestones!$AA$189)&gt;=$T71),$W71,IF(AND($S71&lt;&gt;"",EDATE($D71,Milestones!$AA$189)&gt;=$S71),$V71,$U71)))=Milestones!$AB$189),UPPER(TEXT(EDATE($D71,Milestones!$AA$189),"dd mmm yy"))&amp;" "&amp;Milestones!$AB$189&amp;" "&amp;Milestones!$AC$189&amp;";  ","")&amp;IF(AND(EDATE($D71,Milestones!$AA$190)&lt;=AsOfDate,IF($R71=0,$X71,IF(AND($T71&lt;&gt;"",EDATE($D71,Milestones!$AA$190)&gt;=$T71),$W71,IF(AND($S71&lt;&gt;"",EDATE($D71,Milestones!$AA$190)&gt;=$S71),$V71,$U71)))=Milestones!$AB$190),UPPER(TEXT(EDATE($D71,Milestones!$AA$190),"dd mmm yy"))&amp;" "&amp;Milestones!$AB$190&amp;" "&amp;Milestones!$AC$190&amp;";  ","")&amp;IF(AND(EDATE($D71,Milestones!$AA$191)&lt;=AsOfDate,IF($R71=0,$X71,IF(AND($T71&lt;&gt;"",EDATE($D71,Milestones!$AA$191)&gt;=$T71),$W71,IF(AND($S71&lt;&gt;"",EDATE($D71,Milestones!$AA$191)&gt;=$S71),$V71,$U71)))=Milestones!$AB$191),UPPER(TEXT(EDATE($D71,Milestones!$AA$191),"dd mmm yy"))&amp;" "&amp;Milestones!$AB$191&amp;" "&amp;Milestones!$AC$191&amp;";  ","")&amp;IF(AND(EDATE($D71,Milestones!$AA$192)&lt;=AsOfDate,IF($R71=0,$X71,IF(AND($T71&lt;&gt;"",EDATE($D71,Milestones!$AA$192)&gt;=$T71),$W71,IF(AND($S71&lt;&gt;"",EDATE($D71,Milestones!$AA$192)&gt;=$S71),$V71,$U71)))=Milestones!$AB$192),UPPER(TEXT(EDATE($D71,Milestones!$AA$192),"dd mmm yy"))&amp;" "&amp;Milestones!$AB$192&amp;" "&amp;Milestones!$AC$192&amp;";  ","")&amp;IF(AND(EDATE($D71,Milestones!$AA$193)&lt;=AsOfDate,IF($R71=0,$X71,IF(AND($T71&lt;&gt;"",EDATE($D71,Milestones!$AA$193)&gt;=$T71),$W71,IF(AND($S71&lt;&gt;"",EDATE($D71,Milestones!$AA$193)&gt;=$S71),$V71,$U71)))=Milestones!$AB$193),UPPER(TEXT(EDATE($D71,Milestones!$AA$193),"dd mmm yy"))&amp;" "&amp;Milestones!$AB$193&amp;" "&amp;Milestones!$AC$193&amp;";  ","")&amp;IF(AND(EDATE($D71,Milestones!$AA$194)&lt;=AsOfDate,IF($R71=0,$X71,IF(AND($T71&lt;&gt;"",EDATE($D71,Milestones!$AA$194)&gt;=$T71),$W71,IF(AND($S71&lt;&gt;"",EDATE($D71,Milestones!$AA$194)&gt;=$S71),$V71,$U71)))=Milestones!$AB$194),UPPER(TEXT(EDATE($D71,Milestones!$AA$194),"dd mmm yy"))&amp;" "&amp;Milestones!$AB$194&amp;" "&amp;Milestones!$AC$194&amp;";  ","")&amp;IF(AND(EDATE($D71,Milestones!$AA$195)&lt;=AsOfDate,IF($R71=0,$X71,IF(AND($T71&lt;&gt;"",EDATE($D71,Milestones!$AA$195)&gt;=$T71),$W71,IF(AND($S71&lt;&gt;"",EDATE($D71,Milestones!$AA$195)&gt;=$S71),$V71,$U71)))=Milestones!$AB$195),UPPER(TEXT(EDATE($D71,Milestones!$AA$195),"dd mmm yy"))&amp;" "&amp;Milestones!$AB$195&amp;" "&amp;Milestones!$AC$195&amp;";  ","")&amp;IF(AND(EDATE($D71,Milestones!$AA$196)&lt;=AsOfDate,IF($R71=0,$X71,IF(AND($T71&lt;&gt;"",EDATE($D71,Milestones!$AA$196)&gt;=$T71),$W71,IF(AND($S71&lt;&gt;"",EDATE($D71,Milestones!$AA$196)&gt;=$S71),$V71,$U71)))=Milestones!$AB$196),UPPER(TEXT(EDATE($D71,Milestones!$AA$196),"dd mmm yy"))&amp;" "&amp;Milestones!$AB$196&amp;" "&amp;Milestones!$AC$196&amp;";  ","")&amp;IF(AND(EDATE($D71,Milestones!$AA$197)&lt;=AsOfDate,IF($R71=0,$X71,IF(AND($T71&lt;&gt;"",EDATE($D71,Milestones!$AA$197)&gt;=$T71),$W71,IF(AND($S71&lt;&gt;"",EDATE($D71,Milestones!$AA$197)&gt;=$S71),$V71,$U71)))=Milestones!$AB$197),UPPER(TEXT(EDATE($D71,Milestones!$AA$197),"dd mmm yy"))&amp;" "&amp;Milestones!$AB$197&amp;" "&amp;Milestones!$AC$197&amp;";  ","")&amp;IF(AND(EDATE($D71,Milestones!$AA$198)&lt;=AsOfDate,IF($R71=0,$X71,IF(AND($T71&lt;&gt;"",EDATE($D71,Milestones!$AA$198)&gt;=$T71),$W71,IF(AND($S71&lt;&gt;"",EDATE($D71,Milestones!$AA$198)&gt;=$S71),$V71,$U71)))=Milestones!$AB$198),UPPER(TEXT(EDATE($D71,Milestones!$AA$198),"dd mmm yy"))&amp;" "&amp;Milestones!$AB$198&amp;" "&amp;Milestones!$AC$198&amp;";  ","")&amp;IF(AND(EDATE($D71,Milestones!$AA$199)&lt;=AsOfDate,IF($R71=0,$X71,IF(AND($T71&lt;&gt;"",EDATE($D71,Milestones!$AA$199)&gt;=$T71),$W71,IF(AND($S71&lt;&gt;"",EDATE($D71,Milestones!$AA$199)&gt;=$S71),$V71,$U71)))=Milestones!$AB$199),UPPER(TEXT(EDATE($D71,Milestones!$AA$199),"dd mmm yy"))&amp;" "&amp;Milestones!$AB$199&amp;" "&amp;Milestones!$AC$199&amp;";  ",""))</f>
        <v/>
      </c>
      <c r="R71" s="0" t="str">
        <f aca="false">IF(Staff!$A71="","",Staff!$AI71)</f>
        <v/>
      </c>
      <c r="S71" s="0" t="str">
        <f aca="false">IF(Staff!$A71="","",Staff!$AK71)</f>
        <v/>
      </c>
      <c r="T71" s="0" t="str">
        <f aca="false">IF(Staff!$A71="","",Staff!$AL71)</f>
        <v/>
      </c>
      <c r="U71" s="0" t="str">
        <f aca="false">IF(Staff!$A71="","",Staff!$AP71)</f>
        <v/>
      </c>
      <c r="V71" s="0" t="str">
        <f aca="false">IF(Staff!$A71="","",Staff!$AQ71)</f>
        <v/>
      </c>
      <c r="W71" s="0" t="str">
        <f aca="false">IF(Staff!$A71="","",Staff!$AR71)</f>
        <v/>
      </c>
      <c r="X71" s="0" t="str">
        <f aca="false">IF(Staff!$A71="","",Staff!$AS71)</f>
        <v/>
      </c>
    </row>
    <row r="72" customFormat="false" ht="15" hidden="false" customHeight="false" outlineLevel="0" collapsed="false">
      <c r="A72" s="14" t="str">
        <f aca="false">IF(Staff!$A72="","",Staff!$A72)</f>
        <v/>
      </c>
      <c r="B72" s="14" t="str">
        <f aca="false">IF(Staff!$A72="","",Staff!$B72)</f>
        <v/>
      </c>
      <c r="C72" s="14" t="str">
        <f aca="false">IF(Staff!$A72="","",Staff!$C72)</f>
        <v/>
      </c>
      <c r="D72" s="12" t="str">
        <f aca="false">IF(Staff!$A72="","",Staff!$AH72)</f>
        <v/>
      </c>
      <c r="E72" s="14" t="str">
        <f aca="false">IF(Staff!$A72="","",Staff!$O72)</f>
        <v/>
      </c>
      <c r="F72" s="14" t="str">
        <f aca="false">IF(E72="","",E72*HoursPerDay)</f>
        <v/>
      </c>
      <c r="G72" s="14" t="str">
        <f aca="false">IF(Staff!$A72="","",Staff!$AE72)</f>
        <v/>
      </c>
      <c r="H72" s="26" t="str">
        <f aca="false">IF($A72="","",I72&amp;J72&amp;K72&amp;L72&amp;M72&amp;N72&amp;O72&amp;P72&amp;Q72)</f>
        <v/>
      </c>
      <c r="I72" s="0" t="str">
        <f aca="false">IF(OR($A72="",$D72=""),"",IF(AND(EDATE($D72,Milestones!$AA$20)&lt;=AsOfDate,IF($R72=0,$X72,IF(AND($T72&lt;&gt;"",EDATE($D72,Milestones!$AA$20)&gt;=$T72),$W72,IF(AND($S72&lt;&gt;"",EDATE($D72,Milestones!$AA$20)&gt;=$S72),$V72,$U72)))=Milestones!$AB$20),UPPER(TEXT(EDATE($D72,Milestones!$AA$20),"dd mmm yy"))&amp;" "&amp;Milestones!$AB$20&amp;" "&amp;Milestones!$AC$20&amp;";  ","")&amp;IF(AND(EDATE($D72,Milestones!$AA$21)&lt;=AsOfDate,IF($R72=0,$X72,IF(AND($T72&lt;&gt;"",EDATE($D72,Milestones!$AA$21)&gt;=$T72),$W72,IF(AND($S72&lt;&gt;"",EDATE($D72,Milestones!$AA$21)&gt;=$S72),$V72,$U72)))=Milestones!$AB$21),UPPER(TEXT(EDATE($D72,Milestones!$AA$21),"dd mmm yy"))&amp;" "&amp;Milestones!$AB$21&amp;" "&amp;Milestones!$AC$21&amp;";  ","")&amp;IF(AND(EDATE($D72,Milestones!$AA$22)&lt;=AsOfDate,IF($R72=0,$X72,IF(AND($T72&lt;&gt;"",EDATE($D72,Milestones!$AA$22)&gt;=$T72),$W72,IF(AND($S72&lt;&gt;"",EDATE($D72,Milestones!$AA$22)&gt;=$S72),$V72,$U72)))=Milestones!$AB$22),UPPER(TEXT(EDATE($D72,Milestones!$AA$22),"dd mmm yy"))&amp;" "&amp;Milestones!$AB$22&amp;" "&amp;Milestones!$AC$22&amp;";  ","")&amp;IF(AND(EDATE($D72,Milestones!$AA$23)&lt;=AsOfDate,IF($R72=0,$X72,IF(AND($T72&lt;&gt;"",EDATE($D72,Milestones!$AA$23)&gt;=$T72),$W72,IF(AND($S72&lt;&gt;"",EDATE($D72,Milestones!$AA$23)&gt;=$S72),$V72,$U72)))=Milestones!$AB$23),UPPER(TEXT(EDATE($D72,Milestones!$AA$23),"dd mmm yy"))&amp;" "&amp;Milestones!$AB$23&amp;" "&amp;Milestones!$AC$23&amp;";  ","")&amp;IF(AND(EDATE($D72,Milestones!$AA$24)&lt;=AsOfDate,IF($R72=0,$X72,IF(AND($T72&lt;&gt;"",EDATE($D72,Milestones!$AA$24)&gt;=$T72),$W72,IF(AND($S72&lt;&gt;"",EDATE($D72,Milestones!$AA$24)&gt;=$S72),$V72,$U72)))=Milestones!$AB$24),UPPER(TEXT(EDATE($D72,Milestones!$AA$24),"dd mmm yy"))&amp;" "&amp;Milestones!$AB$24&amp;" "&amp;Milestones!$AC$24&amp;";  ","")&amp;IF(AND(EDATE($D72,Milestones!$AA$25)&lt;=AsOfDate,IF($R72=0,$X72,IF(AND($T72&lt;&gt;"",EDATE($D72,Milestones!$AA$25)&gt;=$T72),$W72,IF(AND($S72&lt;&gt;"",EDATE($D72,Milestones!$AA$25)&gt;=$S72),$V72,$U72)))=Milestones!$AB$25),UPPER(TEXT(EDATE($D72,Milestones!$AA$25),"dd mmm yy"))&amp;" "&amp;Milestones!$AB$25&amp;" "&amp;Milestones!$AC$25&amp;";  ","")&amp;IF(AND(EDATE($D72,Milestones!$AA$26)&lt;=AsOfDate,IF($R72=0,$X72,IF(AND($T72&lt;&gt;"",EDATE($D72,Milestones!$AA$26)&gt;=$T72),$W72,IF(AND($S72&lt;&gt;"",EDATE($D72,Milestones!$AA$26)&gt;=$S72),$V72,$U72)))=Milestones!$AB$26),UPPER(TEXT(EDATE($D72,Milestones!$AA$26),"dd mmm yy"))&amp;" "&amp;Milestones!$AB$26&amp;" "&amp;Milestones!$AC$26&amp;";  ","")&amp;IF(AND(EDATE($D72,Milestones!$AA$27)&lt;=AsOfDate,IF($R72=0,$X72,IF(AND($T72&lt;&gt;"",EDATE($D72,Milestones!$AA$27)&gt;=$T72),$W72,IF(AND($S72&lt;&gt;"",EDATE($D72,Milestones!$AA$27)&gt;=$S72),$V72,$U72)))=Milestones!$AB$27),UPPER(TEXT(EDATE($D72,Milestones!$AA$27),"dd mmm yy"))&amp;" "&amp;Milestones!$AB$27&amp;" "&amp;Milestones!$AC$27&amp;";  ","")&amp;IF(AND(EDATE($D72,Milestones!$AA$28)&lt;=AsOfDate,IF($R72=0,$X72,IF(AND($T72&lt;&gt;"",EDATE($D72,Milestones!$AA$28)&gt;=$T72),$W72,IF(AND($S72&lt;&gt;"",EDATE($D72,Milestones!$AA$28)&gt;=$S72),$V72,$U72)))=Milestones!$AB$28),UPPER(TEXT(EDATE($D72,Milestones!$AA$28),"dd mmm yy"))&amp;" "&amp;Milestones!$AB$28&amp;" "&amp;Milestones!$AC$28&amp;";  ","")&amp;IF(AND(EDATE($D72,Milestones!$AA$29)&lt;=AsOfDate,IF($R72=0,$X72,IF(AND($T72&lt;&gt;"",EDATE($D72,Milestones!$AA$29)&gt;=$T72),$W72,IF(AND($S72&lt;&gt;"",EDATE($D72,Milestones!$AA$29)&gt;=$S72),$V72,$U72)))=Milestones!$AB$29),UPPER(TEXT(EDATE($D72,Milestones!$AA$29),"dd mmm yy"))&amp;" "&amp;Milestones!$AB$29&amp;" "&amp;Milestones!$AC$29&amp;";  ","")&amp;IF(AND(EDATE($D72,Milestones!$AA$30)&lt;=AsOfDate,IF($R72=0,$X72,IF(AND($T72&lt;&gt;"",EDATE($D72,Milestones!$AA$30)&gt;=$T72),$W72,IF(AND($S72&lt;&gt;"",EDATE($D72,Milestones!$AA$30)&gt;=$S72),$V72,$U72)))=Milestones!$AB$30),UPPER(TEXT(EDATE($D72,Milestones!$AA$30),"dd mmm yy"))&amp;" "&amp;Milestones!$AB$30&amp;" "&amp;Milestones!$AC$30&amp;";  ","")&amp;IF(AND(EDATE($D72,Milestones!$AA$31)&lt;=AsOfDate,IF($R72=0,$X72,IF(AND($T72&lt;&gt;"",EDATE($D72,Milestones!$AA$31)&gt;=$T72),$W72,IF(AND($S72&lt;&gt;"",EDATE($D72,Milestones!$AA$31)&gt;=$S72),$V72,$U72)))=Milestones!$AB$31),UPPER(TEXT(EDATE($D72,Milestones!$AA$31),"dd mmm yy"))&amp;" "&amp;Milestones!$AB$31&amp;" "&amp;Milestones!$AC$31&amp;";  ","")&amp;IF(AND(EDATE($D72,Milestones!$AA$32)&lt;=AsOfDate,IF($R72=0,$X72,IF(AND($T72&lt;&gt;"",EDATE($D72,Milestones!$AA$32)&gt;=$T72),$W72,IF(AND($S72&lt;&gt;"",EDATE($D72,Milestones!$AA$32)&gt;=$S72),$V72,$U72)))=Milestones!$AB$32),UPPER(TEXT(EDATE($D72,Milestones!$AA$32),"dd mmm yy"))&amp;" "&amp;Milestones!$AB$32&amp;" "&amp;Milestones!$AC$32&amp;";  ","")&amp;IF(AND(EDATE($D72,Milestones!$AA$33)&lt;=AsOfDate,IF($R72=0,$X72,IF(AND($T72&lt;&gt;"",EDATE($D72,Milestones!$AA$33)&gt;=$T72),$W72,IF(AND($S72&lt;&gt;"",EDATE($D72,Milestones!$AA$33)&gt;=$S72),$V72,$U72)))=Milestones!$AB$33),UPPER(TEXT(EDATE($D72,Milestones!$AA$33),"dd mmm yy"))&amp;" "&amp;Milestones!$AB$33&amp;" "&amp;Milestones!$AC$33&amp;";  ","")&amp;IF(AND(EDATE($D72,Milestones!$AA$34)&lt;=AsOfDate,IF($R72=0,$X72,IF(AND($T72&lt;&gt;"",EDATE($D72,Milestones!$AA$34)&gt;=$T72),$W72,IF(AND($S72&lt;&gt;"",EDATE($D72,Milestones!$AA$34)&gt;=$S72),$V72,$U72)))=Milestones!$AB$34),UPPER(TEXT(EDATE($D72,Milestones!$AA$34),"dd mmm yy"))&amp;" "&amp;Milestones!$AB$34&amp;" "&amp;Milestones!$AC$34&amp;";  ","")&amp;IF(AND(EDATE($D72,Milestones!$AA$35)&lt;=AsOfDate,IF($R72=0,$X72,IF(AND($T72&lt;&gt;"",EDATE($D72,Milestones!$AA$35)&gt;=$T72),$W72,IF(AND($S72&lt;&gt;"",EDATE($D72,Milestones!$AA$35)&gt;=$S72),$V72,$U72)))=Milestones!$AB$35),UPPER(TEXT(EDATE($D72,Milestones!$AA$35),"dd mmm yy"))&amp;" "&amp;Milestones!$AB$35&amp;" "&amp;Milestones!$AC$35&amp;";  ","")&amp;IF(AND(EDATE($D72,Milestones!$AA$36)&lt;=AsOfDate,IF($R72=0,$X72,IF(AND($T72&lt;&gt;"",EDATE($D72,Milestones!$AA$36)&gt;=$T72),$W72,IF(AND($S72&lt;&gt;"",EDATE($D72,Milestones!$AA$36)&gt;=$S72),$V72,$U72)))=Milestones!$AB$36),UPPER(TEXT(EDATE($D72,Milestones!$AA$36),"dd mmm yy"))&amp;" "&amp;Milestones!$AB$36&amp;" "&amp;Milestones!$AC$36&amp;";  ","")&amp;IF(AND(EDATE($D72,Milestones!$AA$37)&lt;=AsOfDate,IF($R72=0,$X72,IF(AND($T72&lt;&gt;"",EDATE($D72,Milestones!$AA$37)&gt;=$T72),$W72,IF(AND($S72&lt;&gt;"",EDATE($D72,Milestones!$AA$37)&gt;=$S72),$V72,$U72)))=Milestones!$AB$37),UPPER(TEXT(EDATE($D72,Milestones!$AA$37),"dd mmm yy"))&amp;" "&amp;Milestones!$AB$37&amp;" "&amp;Milestones!$AC$37&amp;";  ","")&amp;IF(AND(EDATE($D72,Milestones!$AA$38)&lt;=AsOfDate,IF($R72=0,$X72,IF(AND($T72&lt;&gt;"",EDATE($D72,Milestones!$AA$38)&gt;=$T72),$W72,IF(AND($S72&lt;&gt;"",EDATE($D72,Milestones!$AA$38)&gt;=$S72),$V72,$U72)))=Milestones!$AB$38),UPPER(TEXT(EDATE($D72,Milestones!$AA$38),"dd mmm yy"))&amp;" "&amp;Milestones!$AB$38&amp;" "&amp;Milestones!$AC$38&amp;";  ","")&amp;IF(AND(EDATE($D72,Milestones!$AA$39)&lt;=AsOfDate,IF($R72=0,$X72,IF(AND($T72&lt;&gt;"",EDATE($D72,Milestones!$AA$39)&gt;=$T72),$W72,IF(AND($S72&lt;&gt;"",EDATE($D72,Milestones!$AA$39)&gt;=$S72),$V72,$U72)))=Milestones!$AB$39),UPPER(TEXT(EDATE($D72,Milestones!$AA$39),"dd mmm yy"))&amp;" "&amp;Milestones!$AB$39&amp;" "&amp;Milestones!$AC$39&amp;";  ",""))</f>
        <v/>
      </c>
      <c r="J72" s="0" t="str">
        <f aca="false">IF(OR($A72="",$D72=""),"",IF(AND(EDATE($D72,Milestones!$AA$40)&lt;=AsOfDate,IF($R72=0,$X72,IF(AND($T72&lt;&gt;"",EDATE($D72,Milestones!$AA$40)&gt;=$T72),$W72,IF(AND($S72&lt;&gt;"",EDATE($D72,Milestones!$AA$40)&gt;=$S72),$V72,$U72)))=Milestones!$AB$40),UPPER(TEXT(EDATE($D72,Milestones!$AA$40),"dd mmm yy"))&amp;" "&amp;Milestones!$AB$40&amp;" "&amp;Milestones!$AC$40&amp;";  ","")&amp;IF(AND(EDATE($D72,Milestones!$AA$41)&lt;=AsOfDate,IF($R72=0,$X72,IF(AND($T72&lt;&gt;"",EDATE($D72,Milestones!$AA$41)&gt;=$T72),$W72,IF(AND($S72&lt;&gt;"",EDATE($D72,Milestones!$AA$41)&gt;=$S72),$V72,$U72)))=Milestones!$AB$41),UPPER(TEXT(EDATE($D72,Milestones!$AA$41),"dd mmm yy"))&amp;" "&amp;Milestones!$AB$41&amp;" "&amp;Milestones!$AC$41&amp;";  ","")&amp;IF(AND(EDATE($D72,Milestones!$AA$42)&lt;=AsOfDate,IF($R72=0,$X72,IF(AND($T72&lt;&gt;"",EDATE($D72,Milestones!$AA$42)&gt;=$T72),$W72,IF(AND($S72&lt;&gt;"",EDATE($D72,Milestones!$AA$42)&gt;=$S72),$V72,$U72)))=Milestones!$AB$42),UPPER(TEXT(EDATE($D72,Milestones!$AA$42),"dd mmm yy"))&amp;" "&amp;Milestones!$AB$42&amp;" "&amp;Milestones!$AC$42&amp;";  ","")&amp;IF(AND(EDATE($D72,Milestones!$AA$43)&lt;=AsOfDate,IF($R72=0,$X72,IF(AND($T72&lt;&gt;"",EDATE($D72,Milestones!$AA$43)&gt;=$T72),$W72,IF(AND($S72&lt;&gt;"",EDATE($D72,Milestones!$AA$43)&gt;=$S72),$V72,$U72)))=Milestones!$AB$43),UPPER(TEXT(EDATE($D72,Milestones!$AA$43),"dd mmm yy"))&amp;" "&amp;Milestones!$AB$43&amp;" "&amp;Milestones!$AC$43&amp;";  ","")&amp;IF(AND(EDATE($D72,Milestones!$AA$44)&lt;=AsOfDate,IF($R72=0,$X72,IF(AND($T72&lt;&gt;"",EDATE($D72,Milestones!$AA$44)&gt;=$T72),$W72,IF(AND($S72&lt;&gt;"",EDATE($D72,Milestones!$AA$44)&gt;=$S72),$V72,$U72)))=Milestones!$AB$44),UPPER(TEXT(EDATE($D72,Milestones!$AA$44),"dd mmm yy"))&amp;" "&amp;Milestones!$AB$44&amp;" "&amp;Milestones!$AC$44&amp;";  ","")&amp;IF(AND(EDATE($D72,Milestones!$AA$45)&lt;=AsOfDate,IF($R72=0,$X72,IF(AND($T72&lt;&gt;"",EDATE($D72,Milestones!$AA$45)&gt;=$T72),$W72,IF(AND($S72&lt;&gt;"",EDATE($D72,Milestones!$AA$45)&gt;=$S72),$V72,$U72)))=Milestones!$AB$45),UPPER(TEXT(EDATE($D72,Milestones!$AA$45),"dd mmm yy"))&amp;" "&amp;Milestones!$AB$45&amp;" "&amp;Milestones!$AC$45&amp;";  ","")&amp;IF(AND(EDATE($D72,Milestones!$AA$46)&lt;=AsOfDate,IF($R72=0,$X72,IF(AND($T72&lt;&gt;"",EDATE($D72,Milestones!$AA$46)&gt;=$T72),$W72,IF(AND($S72&lt;&gt;"",EDATE($D72,Milestones!$AA$46)&gt;=$S72),$V72,$U72)))=Milestones!$AB$46),UPPER(TEXT(EDATE($D72,Milestones!$AA$46),"dd mmm yy"))&amp;" "&amp;Milestones!$AB$46&amp;" "&amp;Milestones!$AC$46&amp;";  ","")&amp;IF(AND(EDATE($D72,Milestones!$AA$47)&lt;=AsOfDate,IF($R72=0,$X72,IF(AND($T72&lt;&gt;"",EDATE($D72,Milestones!$AA$47)&gt;=$T72),$W72,IF(AND($S72&lt;&gt;"",EDATE($D72,Milestones!$AA$47)&gt;=$S72),$V72,$U72)))=Milestones!$AB$47),UPPER(TEXT(EDATE($D72,Milestones!$AA$47),"dd mmm yy"))&amp;" "&amp;Milestones!$AB$47&amp;" "&amp;Milestones!$AC$47&amp;";  ","")&amp;IF(AND(EDATE($D72,Milestones!$AA$48)&lt;=AsOfDate,IF($R72=0,$X72,IF(AND($T72&lt;&gt;"",EDATE($D72,Milestones!$AA$48)&gt;=$T72),$W72,IF(AND($S72&lt;&gt;"",EDATE($D72,Milestones!$AA$48)&gt;=$S72),$V72,$U72)))=Milestones!$AB$48),UPPER(TEXT(EDATE($D72,Milestones!$AA$48),"dd mmm yy"))&amp;" "&amp;Milestones!$AB$48&amp;" "&amp;Milestones!$AC$48&amp;";  ","")&amp;IF(AND(EDATE($D72,Milestones!$AA$49)&lt;=AsOfDate,IF($R72=0,$X72,IF(AND($T72&lt;&gt;"",EDATE($D72,Milestones!$AA$49)&gt;=$T72),$W72,IF(AND($S72&lt;&gt;"",EDATE($D72,Milestones!$AA$49)&gt;=$S72),$V72,$U72)))=Milestones!$AB$49),UPPER(TEXT(EDATE($D72,Milestones!$AA$49),"dd mmm yy"))&amp;" "&amp;Milestones!$AB$49&amp;" "&amp;Milestones!$AC$49&amp;";  ","")&amp;IF(AND(EDATE($D72,Milestones!$AA$50)&lt;=AsOfDate,IF($R72=0,$X72,IF(AND($T72&lt;&gt;"",EDATE($D72,Milestones!$AA$50)&gt;=$T72),$W72,IF(AND($S72&lt;&gt;"",EDATE($D72,Milestones!$AA$50)&gt;=$S72),$V72,$U72)))=Milestones!$AB$50),UPPER(TEXT(EDATE($D72,Milestones!$AA$50),"dd mmm yy"))&amp;" "&amp;Milestones!$AB$50&amp;" "&amp;Milestones!$AC$50&amp;";  ","")&amp;IF(AND(EDATE($D72,Milestones!$AA$51)&lt;=AsOfDate,IF($R72=0,$X72,IF(AND($T72&lt;&gt;"",EDATE($D72,Milestones!$AA$51)&gt;=$T72),$W72,IF(AND($S72&lt;&gt;"",EDATE($D72,Milestones!$AA$51)&gt;=$S72),$V72,$U72)))=Milestones!$AB$51),UPPER(TEXT(EDATE($D72,Milestones!$AA$51),"dd mmm yy"))&amp;" "&amp;Milestones!$AB$51&amp;" "&amp;Milestones!$AC$51&amp;";  ","")&amp;IF(AND(EDATE($D72,Milestones!$AA$52)&lt;=AsOfDate,IF($R72=0,$X72,IF(AND($T72&lt;&gt;"",EDATE($D72,Milestones!$AA$52)&gt;=$T72),$W72,IF(AND($S72&lt;&gt;"",EDATE($D72,Milestones!$AA$52)&gt;=$S72),$V72,$U72)))=Milestones!$AB$52),UPPER(TEXT(EDATE($D72,Milestones!$AA$52),"dd mmm yy"))&amp;" "&amp;Milestones!$AB$52&amp;" "&amp;Milestones!$AC$52&amp;";  ","")&amp;IF(AND(EDATE($D72,Milestones!$AA$53)&lt;=AsOfDate,IF($R72=0,$X72,IF(AND($T72&lt;&gt;"",EDATE($D72,Milestones!$AA$53)&gt;=$T72),$W72,IF(AND($S72&lt;&gt;"",EDATE($D72,Milestones!$AA$53)&gt;=$S72),$V72,$U72)))=Milestones!$AB$53),UPPER(TEXT(EDATE($D72,Milestones!$AA$53),"dd mmm yy"))&amp;" "&amp;Milestones!$AB$53&amp;" "&amp;Milestones!$AC$53&amp;";  ","")&amp;IF(AND(EDATE($D72,Milestones!$AA$54)&lt;=AsOfDate,IF($R72=0,$X72,IF(AND($T72&lt;&gt;"",EDATE($D72,Milestones!$AA$54)&gt;=$T72),$W72,IF(AND($S72&lt;&gt;"",EDATE($D72,Milestones!$AA$54)&gt;=$S72),$V72,$U72)))=Milestones!$AB$54),UPPER(TEXT(EDATE($D72,Milestones!$AA$54),"dd mmm yy"))&amp;" "&amp;Milestones!$AB$54&amp;" "&amp;Milestones!$AC$54&amp;";  ","")&amp;IF(AND(EDATE($D72,Milestones!$AA$55)&lt;=AsOfDate,IF($R72=0,$X72,IF(AND($T72&lt;&gt;"",EDATE($D72,Milestones!$AA$55)&gt;=$T72),$W72,IF(AND($S72&lt;&gt;"",EDATE($D72,Milestones!$AA$55)&gt;=$S72),$V72,$U72)))=Milestones!$AB$55),UPPER(TEXT(EDATE($D72,Milestones!$AA$55),"dd mmm yy"))&amp;" "&amp;Milestones!$AB$55&amp;" "&amp;Milestones!$AC$55&amp;";  ","")&amp;IF(AND(EDATE($D72,Milestones!$AA$56)&lt;=AsOfDate,IF($R72=0,$X72,IF(AND($T72&lt;&gt;"",EDATE($D72,Milestones!$AA$56)&gt;=$T72),$W72,IF(AND($S72&lt;&gt;"",EDATE($D72,Milestones!$AA$56)&gt;=$S72),$V72,$U72)))=Milestones!$AB$56),UPPER(TEXT(EDATE($D72,Milestones!$AA$56),"dd mmm yy"))&amp;" "&amp;Milestones!$AB$56&amp;" "&amp;Milestones!$AC$56&amp;";  ","")&amp;IF(AND(EDATE($D72,Milestones!$AA$57)&lt;=AsOfDate,IF($R72=0,$X72,IF(AND($T72&lt;&gt;"",EDATE($D72,Milestones!$AA$57)&gt;=$T72),$W72,IF(AND($S72&lt;&gt;"",EDATE($D72,Milestones!$AA$57)&gt;=$S72),$V72,$U72)))=Milestones!$AB$57),UPPER(TEXT(EDATE($D72,Milestones!$AA$57),"dd mmm yy"))&amp;" "&amp;Milestones!$AB$57&amp;" "&amp;Milestones!$AC$57&amp;";  ","")&amp;IF(AND(EDATE($D72,Milestones!$AA$58)&lt;=AsOfDate,IF($R72=0,$X72,IF(AND($T72&lt;&gt;"",EDATE($D72,Milestones!$AA$58)&gt;=$T72),$W72,IF(AND($S72&lt;&gt;"",EDATE($D72,Milestones!$AA$58)&gt;=$S72),$V72,$U72)))=Milestones!$AB$58),UPPER(TEXT(EDATE($D72,Milestones!$AA$58),"dd mmm yy"))&amp;" "&amp;Milestones!$AB$58&amp;" "&amp;Milestones!$AC$58&amp;";  ","")&amp;IF(AND(EDATE($D72,Milestones!$AA$59)&lt;=AsOfDate,IF($R72=0,$X72,IF(AND($T72&lt;&gt;"",EDATE($D72,Milestones!$AA$59)&gt;=$T72),$W72,IF(AND($S72&lt;&gt;"",EDATE($D72,Milestones!$AA$59)&gt;=$S72),$V72,$U72)))=Milestones!$AB$59),UPPER(TEXT(EDATE($D72,Milestones!$AA$59),"dd mmm yy"))&amp;" "&amp;Milestones!$AB$59&amp;" "&amp;Milestones!$AC$59&amp;";  ",""))</f>
        <v/>
      </c>
      <c r="K72" s="0" t="str">
        <f aca="false">IF(OR($A72="",$D72=""),"",IF(AND(EDATE($D72,Milestones!$AA$60)&lt;=AsOfDate,IF($R72=0,$X72,IF(AND($T72&lt;&gt;"",EDATE($D72,Milestones!$AA$60)&gt;=$T72),$W72,IF(AND($S72&lt;&gt;"",EDATE($D72,Milestones!$AA$60)&gt;=$S72),$V72,$U72)))=Milestones!$AB$60),UPPER(TEXT(EDATE($D72,Milestones!$AA$60),"dd mmm yy"))&amp;" "&amp;Milestones!$AB$60&amp;" "&amp;Milestones!$AC$60&amp;";  ","")&amp;IF(AND(EDATE($D72,Milestones!$AA$61)&lt;=AsOfDate,IF($R72=0,$X72,IF(AND($T72&lt;&gt;"",EDATE($D72,Milestones!$AA$61)&gt;=$T72),$W72,IF(AND($S72&lt;&gt;"",EDATE($D72,Milestones!$AA$61)&gt;=$S72),$V72,$U72)))=Milestones!$AB$61),UPPER(TEXT(EDATE($D72,Milestones!$AA$61),"dd mmm yy"))&amp;" "&amp;Milestones!$AB$61&amp;" "&amp;Milestones!$AC$61&amp;";  ","")&amp;IF(AND(EDATE($D72,Milestones!$AA$62)&lt;=AsOfDate,IF($R72=0,$X72,IF(AND($T72&lt;&gt;"",EDATE($D72,Milestones!$AA$62)&gt;=$T72),$W72,IF(AND($S72&lt;&gt;"",EDATE($D72,Milestones!$AA$62)&gt;=$S72),$V72,$U72)))=Milestones!$AB$62),UPPER(TEXT(EDATE($D72,Milestones!$AA$62),"dd mmm yy"))&amp;" "&amp;Milestones!$AB$62&amp;" "&amp;Milestones!$AC$62&amp;";  ","")&amp;IF(AND(EDATE($D72,Milestones!$AA$63)&lt;=AsOfDate,IF($R72=0,$X72,IF(AND($T72&lt;&gt;"",EDATE($D72,Milestones!$AA$63)&gt;=$T72),$W72,IF(AND($S72&lt;&gt;"",EDATE($D72,Milestones!$AA$63)&gt;=$S72),$V72,$U72)))=Milestones!$AB$63),UPPER(TEXT(EDATE($D72,Milestones!$AA$63),"dd mmm yy"))&amp;" "&amp;Milestones!$AB$63&amp;" "&amp;Milestones!$AC$63&amp;";  ","")&amp;IF(AND(EDATE($D72,Milestones!$AA$64)&lt;=AsOfDate,IF($R72=0,$X72,IF(AND($T72&lt;&gt;"",EDATE($D72,Milestones!$AA$64)&gt;=$T72),$W72,IF(AND($S72&lt;&gt;"",EDATE($D72,Milestones!$AA$64)&gt;=$S72),$V72,$U72)))=Milestones!$AB$64),UPPER(TEXT(EDATE($D72,Milestones!$AA$64),"dd mmm yy"))&amp;" "&amp;Milestones!$AB$64&amp;" "&amp;Milestones!$AC$64&amp;";  ","")&amp;IF(AND(EDATE($D72,Milestones!$AA$65)&lt;=AsOfDate,IF($R72=0,$X72,IF(AND($T72&lt;&gt;"",EDATE($D72,Milestones!$AA$65)&gt;=$T72),$W72,IF(AND($S72&lt;&gt;"",EDATE($D72,Milestones!$AA$65)&gt;=$S72),$V72,$U72)))=Milestones!$AB$65),UPPER(TEXT(EDATE($D72,Milestones!$AA$65),"dd mmm yy"))&amp;" "&amp;Milestones!$AB$65&amp;" "&amp;Milestones!$AC$65&amp;";  ","")&amp;IF(AND(EDATE($D72,Milestones!$AA$66)&lt;=AsOfDate,IF($R72=0,$X72,IF(AND($T72&lt;&gt;"",EDATE($D72,Milestones!$AA$66)&gt;=$T72),$W72,IF(AND($S72&lt;&gt;"",EDATE($D72,Milestones!$AA$66)&gt;=$S72),$V72,$U72)))=Milestones!$AB$66),UPPER(TEXT(EDATE($D72,Milestones!$AA$66),"dd mmm yy"))&amp;" "&amp;Milestones!$AB$66&amp;" "&amp;Milestones!$AC$66&amp;";  ","")&amp;IF(AND(EDATE($D72,Milestones!$AA$67)&lt;=AsOfDate,IF($R72=0,$X72,IF(AND($T72&lt;&gt;"",EDATE($D72,Milestones!$AA$67)&gt;=$T72),$W72,IF(AND($S72&lt;&gt;"",EDATE($D72,Milestones!$AA$67)&gt;=$S72),$V72,$U72)))=Milestones!$AB$67),UPPER(TEXT(EDATE($D72,Milestones!$AA$67),"dd mmm yy"))&amp;" "&amp;Milestones!$AB$67&amp;" "&amp;Milestones!$AC$67&amp;";  ","")&amp;IF(AND(EDATE($D72,Milestones!$AA$68)&lt;=AsOfDate,IF($R72=0,$X72,IF(AND($T72&lt;&gt;"",EDATE($D72,Milestones!$AA$68)&gt;=$T72),$W72,IF(AND($S72&lt;&gt;"",EDATE($D72,Milestones!$AA$68)&gt;=$S72),$V72,$U72)))=Milestones!$AB$68),UPPER(TEXT(EDATE($D72,Milestones!$AA$68),"dd mmm yy"))&amp;" "&amp;Milestones!$AB$68&amp;" "&amp;Milestones!$AC$68&amp;";  ","")&amp;IF(AND(EDATE($D72,Milestones!$AA$69)&lt;=AsOfDate,IF($R72=0,$X72,IF(AND($T72&lt;&gt;"",EDATE($D72,Milestones!$AA$69)&gt;=$T72),$W72,IF(AND($S72&lt;&gt;"",EDATE($D72,Milestones!$AA$69)&gt;=$S72),$V72,$U72)))=Milestones!$AB$69),UPPER(TEXT(EDATE($D72,Milestones!$AA$69),"dd mmm yy"))&amp;" "&amp;Milestones!$AB$69&amp;" "&amp;Milestones!$AC$69&amp;";  ","")&amp;IF(AND(EDATE($D72,Milestones!$AA$70)&lt;=AsOfDate,IF($R72=0,$X72,IF(AND($T72&lt;&gt;"",EDATE($D72,Milestones!$AA$70)&gt;=$T72),$W72,IF(AND($S72&lt;&gt;"",EDATE($D72,Milestones!$AA$70)&gt;=$S72),$V72,$U72)))=Milestones!$AB$70),UPPER(TEXT(EDATE($D72,Milestones!$AA$70),"dd mmm yy"))&amp;" "&amp;Milestones!$AB$70&amp;" "&amp;Milestones!$AC$70&amp;";  ","")&amp;IF(AND(EDATE($D72,Milestones!$AA$71)&lt;=AsOfDate,IF($R72=0,$X72,IF(AND($T72&lt;&gt;"",EDATE($D72,Milestones!$AA$71)&gt;=$T72),$W72,IF(AND($S72&lt;&gt;"",EDATE($D72,Milestones!$AA$71)&gt;=$S72),$V72,$U72)))=Milestones!$AB$71),UPPER(TEXT(EDATE($D72,Milestones!$AA$71),"dd mmm yy"))&amp;" "&amp;Milestones!$AB$71&amp;" "&amp;Milestones!$AC$71&amp;";  ","")&amp;IF(AND(EDATE($D72,Milestones!$AA$72)&lt;=AsOfDate,IF($R72=0,$X72,IF(AND($T72&lt;&gt;"",EDATE($D72,Milestones!$AA$72)&gt;=$T72),$W72,IF(AND($S72&lt;&gt;"",EDATE($D72,Milestones!$AA$72)&gt;=$S72),$V72,$U72)))=Milestones!$AB$72),UPPER(TEXT(EDATE($D72,Milestones!$AA$72),"dd mmm yy"))&amp;" "&amp;Milestones!$AB$72&amp;" "&amp;Milestones!$AC$72&amp;";  ","")&amp;IF(AND(EDATE($D72,Milestones!$AA$73)&lt;=AsOfDate,IF($R72=0,$X72,IF(AND($T72&lt;&gt;"",EDATE($D72,Milestones!$AA$73)&gt;=$T72),$W72,IF(AND($S72&lt;&gt;"",EDATE($D72,Milestones!$AA$73)&gt;=$S72),$V72,$U72)))=Milestones!$AB$73),UPPER(TEXT(EDATE($D72,Milestones!$AA$73),"dd mmm yy"))&amp;" "&amp;Milestones!$AB$73&amp;" "&amp;Milestones!$AC$73&amp;";  ","")&amp;IF(AND(EDATE($D72,Milestones!$AA$74)&lt;=AsOfDate,IF($R72=0,$X72,IF(AND($T72&lt;&gt;"",EDATE($D72,Milestones!$AA$74)&gt;=$T72),$W72,IF(AND($S72&lt;&gt;"",EDATE($D72,Milestones!$AA$74)&gt;=$S72),$V72,$U72)))=Milestones!$AB$74),UPPER(TEXT(EDATE($D72,Milestones!$AA$74),"dd mmm yy"))&amp;" "&amp;Milestones!$AB$74&amp;" "&amp;Milestones!$AC$74&amp;";  ","")&amp;IF(AND(EDATE($D72,Milestones!$AA$75)&lt;=AsOfDate,IF($R72=0,$X72,IF(AND($T72&lt;&gt;"",EDATE($D72,Milestones!$AA$75)&gt;=$T72),$W72,IF(AND($S72&lt;&gt;"",EDATE($D72,Milestones!$AA$75)&gt;=$S72),$V72,$U72)))=Milestones!$AB$75),UPPER(TEXT(EDATE($D72,Milestones!$AA$75),"dd mmm yy"))&amp;" "&amp;Milestones!$AB$75&amp;" "&amp;Milestones!$AC$75&amp;";  ","")&amp;IF(AND(EDATE($D72,Milestones!$AA$76)&lt;=AsOfDate,IF($R72=0,$X72,IF(AND($T72&lt;&gt;"",EDATE($D72,Milestones!$AA$76)&gt;=$T72),$W72,IF(AND($S72&lt;&gt;"",EDATE($D72,Milestones!$AA$76)&gt;=$S72),$V72,$U72)))=Milestones!$AB$76),UPPER(TEXT(EDATE($D72,Milestones!$AA$76),"dd mmm yy"))&amp;" "&amp;Milestones!$AB$76&amp;" "&amp;Milestones!$AC$76&amp;";  ","")&amp;IF(AND(EDATE($D72,Milestones!$AA$77)&lt;=AsOfDate,IF($R72=0,$X72,IF(AND($T72&lt;&gt;"",EDATE($D72,Milestones!$AA$77)&gt;=$T72),$W72,IF(AND($S72&lt;&gt;"",EDATE($D72,Milestones!$AA$77)&gt;=$S72),$V72,$U72)))=Milestones!$AB$77),UPPER(TEXT(EDATE($D72,Milestones!$AA$77),"dd mmm yy"))&amp;" "&amp;Milestones!$AB$77&amp;" "&amp;Milestones!$AC$77&amp;";  ","")&amp;IF(AND(EDATE($D72,Milestones!$AA$78)&lt;=AsOfDate,IF($R72=0,$X72,IF(AND($T72&lt;&gt;"",EDATE($D72,Milestones!$AA$78)&gt;=$T72),$W72,IF(AND($S72&lt;&gt;"",EDATE($D72,Milestones!$AA$78)&gt;=$S72),$V72,$U72)))=Milestones!$AB$78),UPPER(TEXT(EDATE($D72,Milestones!$AA$78),"dd mmm yy"))&amp;" "&amp;Milestones!$AB$78&amp;" "&amp;Milestones!$AC$78&amp;";  ","")&amp;IF(AND(EDATE($D72,Milestones!$AA$79)&lt;=AsOfDate,IF($R72=0,$X72,IF(AND($T72&lt;&gt;"",EDATE($D72,Milestones!$AA$79)&gt;=$T72),$W72,IF(AND($S72&lt;&gt;"",EDATE($D72,Milestones!$AA$79)&gt;=$S72),$V72,$U72)))=Milestones!$AB$79),UPPER(TEXT(EDATE($D72,Milestones!$AA$79),"dd mmm yy"))&amp;" "&amp;Milestones!$AB$79&amp;" "&amp;Milestones!$AC$79&amp;";  ",""))</f>
        <v/>
      </c>
      <c r="L72" s="0" t="str">
        <f aca="false">IF(OR($A72="",$D72=""),"",IF(AND(EDATE($D72,Milestones!$AA$80)&lt;=AsOfDate,IF($R72=0,$X72,IF(AND($T72&lt;&gt;"",EDATE($D72,Milestones!$AA$80)&gt;=$T72),$W72,IF(AND($S72&lt;&gt;"",EDATE($D72,Milestones!$AA$80)&gt;=$S72),$V72,$U72)))=Milestones!$AB$80),UPPER(TEXT(EDATE($D72,Milestones!$AA$80),"dd mmm yy"))&amp;" "&amp;Milestones!$AB$80&amp;" "&amp;Milestones!$AC$80&amp;";  ","")&amp;IF(AND(EDATE($D72,Milestones!$AA$81)&lt;=AsOfDate,IF($R72=0,$X72,IF(AND($T72&lt;&gt;"",EDATE($D72,Milestones!$AA$81)&gt;=$T72),$W72,IF(AND($S72&lt;&gt;"",EDATE($D72,Milestones!$AA$81)&gt;=$S72),$V72,$U72)))=Milestones!$AB$81),UPPER(TEXT(EDATE($D72,Milestones!$AA$81),"dd mmm yy"))&amp;" "&amp;Milestones!$AB$81&amp;" "&amp;Milestones!$AC$81&amp;";  ","")&amp;IF(AND(EDATE($D72,Milestones!$AA$82)&lt;=AsOfDate,IF($R72=0,$X72,IF(AND($T72&lt;&gt;"",EDATE($D72,Milestones!$AA$82)&gt;=$T72),$W72,IF(AND($S72&lt;&gt;"",EDATE($D72,Milestones!$AA$82)&gt;=$S72),$V72,$U72)))=Milestones!$AB$82),UPPER(TEXT(EDATE($D72,Milestones!$AA$82),"dd mmm yy"))&amp;" "&amp;Milestones!$AB$82&amp;" "&amp;Milestones!$AC$82&amp;";  ","")&amp;IF(AND(EDATE($D72,Milestones!$AA$83)&lt;=AsOfDate,IF($R72=0,$X72,IF(AND($T72&lt;&gt;"",EDATE($D72,Milestones!$AA$83)&gt;=$T72),$W72,IF(AND($S72&lt;&gt;"",EDATE($D72,Milestones!$AA$83)&gt;=$S72),$V72,$U72)))=Milestones!$AB$83),UPPER(TEXT(EDATE($D72,Milestones!$AA$83),"dd mmm yy"))&amp;" "&amp;Milestones!$AB$83&amp;" "&amp;Milestones!$AC$83&amp;";  ","")&amp;IF(AND(EDATE($D72,Milestones!$AA$84)&lt;=AsOfDate,IF($R72=0,$X72,IF(AND($T72&lt;&gt;"",EDATE($D72,Milestones!$AA$84)&gt;=$T72),$W72,IF(AND($S72&lt;&gt;"",EDATE($D72,Milestones!$AA$84)&gt;=$S72),$V72,$U72)))=Milestones!$AB$84),UPPER(TEXT(EDATE($D72,Milestones!$AA$84),"dd mmm yy"))&amp;" "&amp;Milestones!$AB$84&amp;" "&amp;Milestones!$AC$84&amp;";  ","")&amp;IF(AND(EDATE($D72,Milestones!$AA$85)&lt;=AsOfDate,IF($R72=0,$X72,IF(AND($T72&lt;&gt;"",EDATE($D72,Milestones!$AA$85)&gt;=$T72),$W72,IF(AND($S72&lt;&gt;"",EDATE($D72,Milestones!$AA$85)&gt;=$S72),$V72,$U72)))=Milestones!$AB$85),UPPER(TEXT(EDATE($D72,Milestones!$AA$85),"dd mmm yy"))&amp;" "&amp;Milestones!$AB$85&amp;" "&amp;Milestones!$AC$85&amp;";  ","")&amp;IF(AND(EDATE($D72,Milestones!$AA$86)&lt;=AsOfDate,IF($R72=0,$X72,IF(AND($T72&lt;&gt;"",EDATE($D72,Milestones!$AA$86)&gt;=$T72),$W72,IF(AND($S72&lt;&gt;"",EDATE($D72,Milestones!$AA$86)&gt;=$S72),$V72,$U72)))=Milestones!$AB$86),UPPER(TEXT(EDATE($D72,Milestones!$AA$86),"dd mmm yy"))&amp;" "&amp;Milestones!$AB$86&amp;" "&amp;Milestones!$AC$86&amp;";  ","")&amp;IF(AND(EDATE($D72,Milestones!$AA$87)&lt;=AsOfDate,IF($R72=0,$X72,IF(AND($T72&lt;&gt;"",EDATE($D72,Milestones!$AA$87)&gt;=$T72),$W72,IF(AND($S72&lt;&gt;"",EDATE($D72,Milestones!$AA$87)&gt;=$S72),$V72,$U72)))=Milestones!$AB$87),UPPER(TEXT(EDATE($D72,Milestones!$AA$87),"dd mmm yy"))&amp;" "&amp;Milestones!$AB$87&amp;" "&amp;Milestones!$AC$87&amp;";  ","")&amp;IF(AND(EDATE($D72,Milestones!$AA$88)&lt;=AsOfDate,IF($R72=0,$X72,IF(AND($T72&lt;&gt;"",EDATE($D72,Milestones!$AA$88)&gt;=$T72),$W72,IF(AND($S72&lt;&gt;"",EDATE($D72,Milestones!$AA$88)&gt;=$S72),$V72,$U72)))=Milestones!$AB$88),UPPER(TEXT(EDATE($D72,Milestones!$AA$88),"dd mmm yy"))&amp;" "&amp;Milestones!$AB$88&amp;" "&amp;Milestones!$AC$88&amp;";  ","")&amp;IF(AND(EDATE($D72,Milestones!$AA$89)&lt;=AsOfDate,IF($R72=0,$X72,IF(AND($T72&lt;&gt;"",EDATE($D72,Milestones!$AA$89)&gt;=$T72),$W72,IF(AND($S72&lt;&gt;"",EDATE($D72,Milestones!$AA$89)&gt;=$S72),$V72,$U72)))=Milestones!$AB$89),UPPER(TEXT(EDATE($D72,Milestones!$AA$89),"dd mmm yy"))&amp;" "&amp;Milestones!$AB$89&amp;" "&amp;Milestones!$AC$89&amp;";  ","")&amp;IF(AND(EDATE($D72,Milestones!$AA$90)&lt;=AsOfDate,IF($R72=0,$X72,IF(AND($T72&lt;&gt;"",EDATE($D72,Milestones!$AA$90)&gt;=$T72),$W72,IF(AND($S72&lt;&gt;"",EDATE($D72,Milestones!$AA$90)&gt;=$S72),$V72,$U72)))=Milestones!$AB$90),UPPER(TEXT(EDATE($D72,Milestones!$AA$90),"dd mmm yy"))&amp;" "&amp;Milestones!$AB$90&amp;" "&amp;Milestones!$AC$90&amp;";  ","")&amp;IF(AND(EDATE($D72,Milestones!$AA$91)&lt;=AsOfDate,IF($R72=0,$X72,IF(AND($T72&lt;&gt;"",EDATE($D72,Milestones!$AA$91)&gt;=$T72),$W72,IF(AND($S72&lt;&gt;"",EDATE($D72,Milestones!$AA$91)&gt;=$S72),$V72,$U72)))=Milestones!$AB$91),UPPER(TEXT(EDATE($D72,Milestones!$AA$91),"dd mmm yy"))&amp;" "&amp;Milestones!$AB$91&amp;" "&amp;Milestones!$AC$91&amp;";  ","")&amp;IF(AND(EDATE($D72,Milestones!$AA$92)&lt;=AsOfDate,IF($R72=0,$X72,IF(AND($T72&lt;&gt;"",EDATE($D72,Milestones!$AA$92)&gt;=$T72),$W72,IF(AND($S72&lt;&gt;"",EDATE($D72,Milestones!$AA$92)&gt;=$S72),$V72,$U72)))=Milestones!$AB$92),UPPER(TEXT(EDATE($D72,Milestones!$AA$92),"dd mmm yy"))&amp;" "&amp;Milestones!$AB$92&amp;" "&amp;Milestones!$AC$92&amp;";  ","")&amp;IF(AND(EDATE($D72,Milestones!$AA$93)&lt;=AsOfDate,IF($R72=0,$X72,IF(AND($T72&lt;&gt;"",EDATE($D72,Milestones!$AA$93)&gt;=$T72),$W72,IF(AND($S72&lt;&gt;"",EDATE($D72,Milestones!$AA$93)&gt;=$S72),$V72,$U72)))=Milestones!$AB$93),UPPER(TEXT(EDATE($D72,Milestones!$AA$93),"dd mmm yy"))&amp;" "&amp;Milestones!$AB$93&amp;" "&amp;Milestones!$AC$93&amp;";  ","")&amp;IF(AND(EDATE($D72,Milestones!$AA$94)&lt;=AsOfDate,IF($R72=0,$X72,IF(AND($T72&lt;&gt;"",EDATE($D72,Milestones!$AA$94)&gt;=$T72),$W72,IF(AND($S72&lt;&gt;"",EDATE($D72,Milestones!$AA$94)&gt;=$S72),$V72,$U72)))=Milestones!$AB$94),UPPER(TEXT(EDATE($D72,Milestones!$AA$94),"dd mmm yy"))&amp;" "&amp;Milestones!$AB$94&amp;" "&amp;Milestones!$AC$94&amp;";  ","")&amp;IF(AND(EDATE($D72,Milestones!$AA$95)&lt;=AsOfDate,IF($R72=0,$X72,IF(AND($T72&lt;&gt;"",EDATE($D72,Milestones!$AA$95)&gt;=$T72),$W72,IF(AND($S72&lt;&gt;"",EDATE($D72,Milestones!$AA$95)&gt;=$S72),$V72,$U72)))=Milestones!$AB$95),UPPER(TEXT(EDATE($D72,Milestones!$AA$95),"dd mmm yy"))&amp;" "&amp;Milestones!$AB$95&amp;" "&amp;Milestones!$AC$95&amp;";  ","")&amp;IF(AND(EDATE($D72,Milestones!$AA$96)&lt;=AsOfDate,IF($R72=0,$X72,IF(AND($T72&lt;&gt;"",EDATE($D72,Milestones!$AA$96)&gt;=$T72),$W72,IF(AND($S72&lt;&gt;"",EDATE($D72,Milestones!$AA$96)&gt;=$S72),$V72,$U72)))=Milestones!$AB$96),UPPER(TEXT(EDATE($D72,Milestones!$AA$96),"dd mmm yy"))&amp;" "&amp;Milestones!$AB$96&amp;" "&amp;Milestones!$AC$96&amp;";  ","")&amp;IF(AND(EDATE($D72,Milestones!$AA$97)&lt;=AsOfDate,IF($R72=0,$X72,IF(AND($T72&lt;&gt;"",EDATE($D72,Milestones!$AA$97)&gt;=$T72),$W72,IF(AND($S72&lt;&gt;"",EDATE($D72,Milestones!$AA$97)&gt;=$S72),$V72,$U72)))=Milestones!$AB$97),UPPER(TEXT(EDATE($D72,Milestones!$AA$97),"dd mmm yy"))&amp;" "&amp;Milestones!$AB$97&amp;" "&amp;Milestones!$AC$97&amp;";  ","")&amp;IF(AND(EDATE($D72,Milestones!$AA$98)&lt;=AsOfDate,IF($R72=0,$X72,IF(AND($T72&lt;&gt;"",EDATE($D72,Milestones!$AA$98)&gt;=$T72),$W72,IF(AND($S72&lt;&gt;"",EDATE($D72,Milestones!$AA$98)&gt;=$S72),$V72,$U72)))=Milestones!$AB$98),UPPER(TEXT(EDATE($D72,Milestones!$AA$98),"dd mmm yy"))&amp;" "&amp;Milestones!$AB$98&amp;" "&amp;Milestones!$AC$98&amp;";  ","")&amp;IF(AND(EDATE($D72,Milestones!$AA$99)&lt;=AsOfDate,IF($R72=0,$X72,IF(AND($T72&lt;&gt;"",EDATE($D72,Milestones!$AA$99)&gt;=$T72),$W72,IF(AND($S72&lt;&gt;"",EDATE($D72,Milestones!$AA$99)&gt;=$S72),$V72,$U72)))=Milestones!$AB$99),UPPER(TEXT(EDATE($D72,Milestones!$AA$99),"dd mmm yy"))&amp;" "&amp;Milestones!$AB$99&amp;" "&amp;Milestones!$AC$99&amp;";  ",""))</f>
        <v/>
      </c>
      <c r="M72" s="0" t="str">
        <f aca="false">IF(OR($A72="",$D72=""),"",IF(AND(EDATE($D72,Milestones!$AA$100)&lt;=AsOfDate,IF($R72=0,$X72,IF(AND($T72&lt;&gt;"",EDATE($D72,Milestones!$AA$100)&gt;=$T72),$W72,IF(AND($S72&lt;&gt;"",EDATE($D72,Milestones!$AA$100)&gt;=$S72),$V72,$U72)))=Milestones!$AB$100),UPPER(TEXT(EDATE($D72,Milestones!$AA$100),"dd mmm yy"))&amp;" "&amp;Milestones!$AB$100&amp;" "&amp;Milestones!$AC$100&amp;";  ","")&amp;IF(AND(EDATE($D72,Milestones!$AA$101)&lt;=AsOfDate,IF($R72=0,$X72,IF(AND($T72&lt;&gt;"",EDATE($D72,Milestones!$AA$101)&gt;=$T72),$W72,IF(AND($S72&lt;&gt;"",EDATE($D72,Milestones!$AA$101)&gt;=$S72),$V72,$U72)))=Milestones!$AB$101),UPPER(TEXT(EDATE($D72,Milestones!$AA$101),"dd mmm yy"))&amp;" "&amp;Milestones!$AB$101&amp;" "&amp;Milestones!$AC$101&amp;";  ","")&amp;IF(AND(EDATE($D72,Milestones!$AA$102)&lt;=AsOfDate,IF($R72=0,$X72,IF(AND($T72&lt;&gt;"",EDATE($D72,Milestones!$AA$102)&gt;=$T72),$W72,IF(AND($S72&lt;&gt;"",EDATE($D72,Milestones!$AA$102)&gt;=$S72),$V72,$U72)))=Milestones!$AB$102),UPPER(TEXT(EDATE($D72,Milestones!$AA$102),"dd mmm yy"))&amp;" "&amp;Milestones!$AB$102&amp;" "&amp;Milestones!$AC$102&amp;";  ","")&amp;IF(AND(EDATE($D72,Milestones!$AA$103)&lt;=AsOfDate,IF($R72=0,$X72,IF(AND($T72&lt;&gt;"",EDATE($D72,Milestones!$AA$103)&gt;=$T72),$W72,IF(AND($S72&lt;&gt;"",EDATE($D72,Milestones!$AA$103)&gt;=$S72),$V72,$U72)))=Milestones!$AB$103),UPPER(TEXT(EDATE($D72,Milestones!$AA$103),"dd mmm yy"))&amp;" "&amp;Milestones!$AB$103&amp;" "&amp;Milestones!$AC$103&amp;";  ","")&amp;IF(AND(EDATE($D72,Milestones!$AA$104)&lt;=AsOfDate,IF($R72=0,$X72,IF(AND($T72&lt;&gt;"",EDATE($D72,Milestones!$AA$104)&gt;=$T72),$W72,IF(AND($S72&lt;&gt;"",EDATE($D72,Milestones!$AA$104)&gt;=$S72),$V72,$U72)))=Milestones!$AB$104),UPPER(TEXT(EDATE($D72,Milestones!$AA$104),"dd mmm yy"))&amp;" "&amp;Milestones!$AB$104&amp;" "&amp;Milestones!$AC$104&amp;";  ","")&amp;IF(AND(EDATE($D72,Milestones!$AA$105)&lt;=AsOfDate,IF($R72=0,$X72,IF(AND($T72&lt;&gt;"",EDATE($D72,Milestones!$AA$105)&gt;=$T72),$W72,IF(AND($S72&lt;&gt;"",EDATE($D72,Milestones!$AA$105)&gt;=$S72),$V72,$U72)))=Milestones!$AB$105),UPPER(TEXT(EDATE($D72,Milestones!$AA$105),"dd mmm yy"))&amp;" "&amp;Milestones!$AB$105&amp;" "&amp;Milestones!$AC$105&amp;";  ","")&amp;IF(AND(EDATE($D72,Milestones!$AA$106)&lt;=AsOfDate,IF($R72=0,$X72,IF(AND($T72&lt;&gt;"",EDATE($D72,Milestones!$AA$106)&gt;=$T72),$W72,IF(AND($S72&lt;&gt;"",EDATE($D72,Milestones!$AA$106)&gt;=$S72),$V72,$U72)))=Milestones!$AB$106),UPPER(TEXT(EDATE($D72,Milestones!$AA$106),"dd mmm yy"))&amp;" "&amp;Milestones!$AB$106&amp;" "&amp;Milestones!$AC$106&amp;";  ","")&amp;IF(AND(EDATE($D72,Milestones!$AA$107)&lt;=AsOfDate,IF($R72=0,$X72,IF(AND($T72&lt;&gt;"",EDATE($D72,Milestones!$AA$107)&gt;=$T72),$W72,IF(AND($S72&lt;&gt;"",EDATE($D72,Milestones!$AA$107)&gt;=$S72),$V72,$U72)))=Milestones!$AB$107),UPPER(TEXT(EDATE($D72,Milestones!$AA$107),"dd mmm yy"))&amp;" "&amp;Milestones!$AB$107&amp;" "&amp;Milestones!$AC$107&amp;";  ","")&amp;IF(AND(EDATE($D72,Milestones!$AA$108)&lt;=AsOfDate,IF($R72=0,$X72,IF(AND($T72&lt;&gt;"",EDATE($D72,Milestones!$AA$108)&gt;=$T72),$W72,IF(AND($S72&lt;&gt;"",EDATE($D72,Milestones!$AA$108)&gt;=$S72),$V72,$U72)))=Milestones!$AB$108),UPPER(TEXT(EDATE($D72,Milestones!$AA$108),"dd mmm yy"))&amp;" "&amp;Milestones!$AB$108&amp;" "&amp;Milestones!$AC$108&amp;";  ","")&amp;IF(AND(EDATE($D72,Milestones!$AA$109)&lt;=AsOfDate,IF($R72=0,$X72,IF(AND($T72&lt;&gt;"",EDATE($D72,Milestones!$AA$109)&gt;=$T72),$W72,IF(AND($S72&lt;&gt;"",EDATE($D72,Milestones!$AA$109)&gt;=$S72),$V72,$U72)))=Milestones!$AB$109),UPPER(TEXT(EDATE($D72,Milestones!$AA$109),"dd mmm yy"))&amp;" "&amp;Milestones!$AB$109&amp;" "&amp;Milestones!$AC$109&amp;";  ","")&amp;IF(AND(EDATE($D72,Milestones!$AA$110)&lt;=AsOfDate,IF($R72=0,$X72,IF(AND($T72&lt;&gt;"",EDATE($D72,Milestones!$AA$110)&gt;=$T72),$W72,IF(AND($S72&lt;&gt;"",EDATE($D72,Milestones!$AA$110)&gt;=$S72),$V72,$U72)))=Milestones!$AB$110),UPPER(TEXT(EDATE($D72,Milestones!$AA$110),"dd mmm yy"))&amp;" "&amp;Milestones!$AB$110&amp;" "&amp;Milestones!$AC$110&amp;";  ","")&amp;IF(AND(EDATE($D72,Milestones!$AA$111)&lt;=AsOfDate,IF($R72=0,$X72,IF(AND($T72&lt;&gt;"",EDATE($D72,Milestones!$AA$111)&gt;=$T72),$W72,IF(AND($S72&lt;&gt;"",EDATE($D72,Milestones!$AA$111)&gt;=$S72),$V72,$U72)))=Milestones!$AB$111),UPPER(TEXT(EDATE($D72,Milestones!$AA$111),"dd mmm yy"))&amp;" "&amp;Milestones!$AB$111&amp;" "&amp;Milestones!$AC$111&amp;";  ","")&amp;IF(AND(EDATE($D72,Milestones!$AA$112)&lt;=AsOfDate,IF($R72=0,$X72,IF(AND($T72&lt;&gt;"",EDATE($D72,Milestones!$AA$112)&gt;=$T72),$W72,IF(AND($S72&lt;&gt;"",EDATE($D72,Milestones!$AA$112)&gt;=$S72),$V72,$U72)))=Milestones!$AB$112),UPPER(TEXT(EDATE($D72,Milestones!$AA$112),"dd mmm yy"))&amp;" "&amp;Milestones!$AB$112&amp;" "&amp;Milestones!$AC$112&amp;";  ","")&amp;IF(AND(EDATE($D72,Milestones!$AA$113)&lt;=AsOfDate,IF($R72=0,$X72,IF(AND($T72&lt;&gt;"",EDATE($D72,Milestones!$AA$113)&gt;=$T72),$W72,IF(AND($S72&lt;&gt;"",EDATE($D72,Milestones!$AA$113)&gt;=$S72),$V72,$U72)))=Milestones!$AB$113),UPPER(TEXT(EDATE($D72,Milestones!$AA$113),"dd mmm yy"))&amp;" "&amp;Milestones!$AB$113&amp;" "&amp;Milestones!$AC$113&amp;";  ","")&amp;IF(AND(EDATE($D72,Milestones!$AA$114)&lt;=AsOfDate,IF($R72=0,$X72,IF(AND($T72&lt;&gt;"",EDATE($D72,Milestones!$AA$114)&gt;=$T72),$W72,IF(AND($S72&lt;&gt;"",EDATE($D72,Milestones!$AA$114)&gt;=$S72),$V72,$U72)))=Milestones!$AB$114),UPPER(TEXT(EDATE($D72,Milestones!$AA$114),"dd mmm yy"))&amp;" "&amp;Milestones!$AB$114&amp;" "&amp;Milestones!$AC$114&amp;";  ","")&amp;IF(AND(EDATE($D72,Milestones!$AA$115)&lt;=AsOfDate,IF($R72=0,$X72,IF(AND($T72&lt;&gt;"",EDATE($D72,Milestones!$AA$115)&gt;=$T72),$W72,IF(AND($S72&lt;&gt;"",EDATE($D72,Milestones!$AA$115)&gt;=$S72),$V72,$U72)))=Milestones!$AB$115),UPPER(TEXT(EDATE($D72,Milestones!$AA$115),"dd mmm yy"))&amp;" "&amp;Milestones!$AB$115&amp;" "&amp;Milestones!$AC$115&amp;";  ","")&amp;IF(AND(EDATE($D72,Milestones!$AA$116)&lt;=AsOfDate,IF($R72=0,$X72,IF(AND($T72&lt;&gt;"",EDATE($D72,Milestones!$AA$116)&gt;=$T72),$W72,IF(AND($S72&lt;&gt;"",EDATE($D72,Milestones!$AA$116)&gt;=$S72),$V72,$U72)))=Milestones!$AB$116),UPPER(TEXT(EDATE($D72,Milestones!$AA$116),"dd mmm yy"))&amp;" "&amp;Milestones!$AB$116&amp;" "&amp;Milestones!$AC$116&amp;";  ","")&amp;IF(AND(EDATE($D72,Milestones!$AA$117)&lt;=AsOfDate,IF($R72=0,$X72,IF(AND($T72&lt;&gt;"",EDATE($D72,Milestones!$AA$117)&gt;=$T72),$W72,IF(AND($S72&lt;&gt;"",EDATE($D72,Milestones!$AA$117)&gt;=$S72),$V72,$U72)))=Milestones!$AB$117),UPPER(TEXT(EDATE($D72,Milestones!$AA$117),"dd mmm yy"))&amp;" "&amp;Milestones!$AB$117&amp;" "&amp;Milestones!$AC$117&amp;";  ","")&amp;IF(AND(EDATE($D72,Milestones!$AA$118)&lt;=AsOfDate,IF($R72=0,$X72,IF(AND($T72&lt;&gt;"",EDATE($D72,Milestones!$AA$118)&gt;=$T72),$W72,IF(AND($S72&lt;&gt;"",EDATE($D72,Milestones!$AA$118)&gt;=$S72),$V72,$U72)))=Milestones!$AB$118),UPPER(TEXT(EDATE($D72,Milestones!$AA$118),"dd mmm yy"))&amp;" "&amp;Milestones!$AB$118&amp;" "&amp;Milestones!$AC$118&amp;";  ","")&amp;IF(AND(EDATE($D72,Milestones!$AA$119)&lt;=AsOfDate,IF($R72=0,$X72,IF(AND($T72&lt;&gt;"",EDATE($D72,Milestones!$AA$119)&gt;=$T72),$W72,IF(AND($S72&lt;&gt;"",EDATE($D72,Milestones!$AA$119)&gt;=$S72),$V72,$U72)))=Milestones!$AB$119),UPPER(TEXT(EDATE($D72,Milestones!$AA$119),"dd mmm yy"))&amp;" "&amp;Milestones!$AB$119&amp;" "&amp;Milestones!$AC$119&amp;";  ",""))</f>
        <v/>
      </c>
      <c r="N72" s="0" t="str">
        <f aca="false">IF(OR($A72="",$D72=""),"",IF(AND(EDATE($D72,Milestones!$AA$120)&lt;=AsOfDate,IF($R72=0,$X72,IF(AND($T72&lt;&gt;"",EDATE($D72,Milestones!$AA$120)&gt;=$T72),$W72,IF(AND($S72&lt;&gt;"",EDATE($D72,Milestones!$AA$120)&gt;=$S72),$V72,$U72)))=Milestones!$AB$120),UPPER(TEXT(EDATE($D72,Milestones!$AA$120),"dd mmm yy"))&amp;" "&amp;Milestones!$AB$120&amp;" "&amp;Milestones!$AC$120&amp;";  ","")&amp;IF(AND(EDATE($D72,Milestones!$AA$121)&lt;=AsOfDate,IF($R72=0,$X72,IF(AND($T72&lt;&gt;"",EDATE($D72,Milestones!$AA$121)&gt;=$T72),$W72,IF(AND($S72&lt;&gt;"",EDATE($D72,Milestones!$AA$121)&gt;=$S72),$V72,$U72)))=Milestones!$AB$121),UPPER(TEXT(EDATE($D72,Milestones!$AA$121),"dd mmm yy"))&amp;" "&amp;Milestones!$AB$121&amp;" "&amp;Milestones!$AC$121&amp;";  ","")&amp;IF(AND(EDATE($D72,Milestones!$AA$122)&lt;=AsOfDate,IF($R72=0,$X72,IF(AND($T72&lt;&gt;"",EDATE($D72,Milestones!$AA$122)&gt;=$T72),$W72,IF(AND($S72&lt;&gt;"",EDATE($D72,Milestones!$AA$122)&gt;=$S72),$V72,$U72)))=Milestones!$AB$122),UPPER(TEXT(EDATE($D72,Milestones!$AA$122),"dd mmm yy"))&amp;" "&amp;Milestones!$AB$122&amp;" "&amp;Milestones!$AC$122&amp;";  ","")&amp;IF(AND(EDATE($D72,Milestones!$AA$123)&lt;=AsOfDate,IF($R72=0,$X72,IF(AND($T72&lt;&gt;"",EDATE($D72,Milestones!$AA$123)&gt;=$T72),$W72,IF(AND($S72&lt;&gt;"",EDATE($D72,Milestones!$AA$123)&gt;=$S72),$V72,$U72)))=Milestones!$AB$123),UPPER(TEXT(EDATE($D72,Milestones!$AA$123),"dd mmm yy"))&amp;" "&amp;Milestones!$AB$123&amp;" "&amp;Milestones!$AC$123&amp;";  ","")&amp;IF(AND(EDATE($D72,Milestones!$AA$124)&lt;=AsOfDate,IF($R72=0,$X72,IF(AND($T72&lt;&gt;"",EDATE($D72,Milestones!$AA$124)&gt;=$T72),$W72,IF(AND($S72&lt;&gt;"",EDATE($D72,Milestones!$AA$124)&gt;=$S72),$V72,$U72)))=Milestones!$AB$124),UPPER(TEXT(EDATE($D72,Milestones!$AA$124),"dd mmm yy"))&amp;" "&amp;Milestones!$AB$124&amp;" "&amp;Milestones!$AC$124&amp;";  ","")&amp;IF(AND(EDATE($D72,Milestones!$AA$125)&lt;=AsOfDate,IF($R72=0,$X72,IF(AND($T72&lt;&gt;"",EDATE($D72,Milestones!$AA$125)&gt;=$T72),$W72,IF(AND($S72&lt;&gt;"",EDATE($D72,Milestones!$AA$125)&gt;=$S72),$V72,$U72)))=Milestones!$AB$125),UPPER(TEXT(EDATE($D72,Milestones!$AA$125),"dd mmm yy"))&amp;" "&amp;Milestones!$AB$125&amp;" "&amp;Milestones!$AC$125&amp;";  ","")&amp;IF(AND(EDATE($D72,Milestones!$AA$126)&lt;=AsOfDate,IF($R72=0,$X72,IF(AND($T72&lt;&gt;"",EDATE($D72,Milestones!$AA$126)&gt;=$T72),$W72,IF(AND($S72&lt;&gt;"",EDATE($D72,Milestones!$AA$126)&gt;=$S72),$V72,$U72)))=Milestones!$AB$126),UPPER(TEXT(EDATE($D72,Milestones!$AA$126),"dd mmm yy"))&amp;" "&amp;Milestones!$AB$126&amp;" "&amp;Milestones!$AC$126&amp;";  ","")&amp;IF(AND(EDATE($D72,Milestones!$AA$127)&lt;=AsOfDate,IF($R72=0,$X72,IF(AND($T72&lt;&gt;"",EDATE($D72,Milestones!$AA$127)&gt;=$T72),$W72,IF(AND($S72&lt;&gt;"",EDATE($D72,Milestones!$AA$127)&gt;=$S72),$V72,$U72)))=Milestones!$AB$127),UPPER(TEXT(EDATE($D72,Milestones!$AA$127),"dd mmm yy"))&amp;" "&amp;Milestones!$AB$127&amp;" "&amp;Milestones!$AC$127&amp;";  ","")&amp;IF(AND(EDATE($D72,Milestones!$AA$128)&lt;=AsOfDate,IF($R72=0,$X72,IF(AND($T72&lt;&gt;"",EDATE($D72,Milestones!$AA$128)&gt;=$T72),$W72,IF(AND($S72&lt;&gt;"",EDATE($D72,Milestones!$AA$128)&gt;=$S72),$V72,$U72)))=Milestones!$AB$128),UPPER(TEXT(EDATE($D72,Milestones!$AA$128),"dd mmm yy"))&amp;" "&amp;Milestones!$AB$128&amp;" "&amp;Milestones!$AC$128&amp;";  ","")&amp;IF(AND(EDATE($D72,Milestones!$AA$129)&lt;=AsOfDate,IF($R72=0,$X72,IF(AND($T72&lt;&gt;"",EDATE($D72,Milestones!$AA$129)&gt;=$T72),$W72,IF(AND($S72&lt;&gt;"",EDATE($D72,Milestones!$AA$129)&gt;=$S72),$V72,$U72)))=Milestones!$AB$129),UPPER(TEXT(EDATE($D72,Milestones!$AA$129),"dd mmm yy"))&amp;" "&amp;Milestones!$AB$129&amp;" "&amp;Milestones!$AC$129&amp;";  ","")&amp;IF(AND(EDATE($D72,Milestones!$AA$130)&lt;=AsOfDate,IF($R72=0,$X72,IF(AND($T72&lt;&gt;"",EDATE($D72,Milestones!$AA$130)&gt;=$T72),$W72,IF(AND($S72&lt;&gt;"",EDATE($D72,Milestones!$AA$130)&gt;=$S72),$V72,$U72)))=Milestones!$AB$130),UPPER(TEXT(EDATE($D72,Milestones!$AA$130),"dd mmm yy"))&amp;" "&amp;Milestones!$AB$130&amp;" "&amp;Milestones!$AC$130&amp;";  ","")&amp;IF(AND(EDATE($D72,Milestones!$AA$131)&lt;=AsOfDate,IF($R72=0,$X72,IF(AND($T72&lt;&gt;"",EDATE($D72,Milestones!$AA$131)&gt;=$T72),$W72,IF(AND($S72&lt;&gt;"",EDATE($D72,Milestones!$AA$131)&gt;=$S72),$V72,$U72)))=Milestones!$AB$131),UPPER(TEXT(EDATE($D72,Milestones!$AA$131),"dd mmm yy"))&amp;" "&amp;Milestones!$AB$131&amp;" "&amp;Milestones!$AC$131&amp;";  ","")&amp;IF(AND(EDATE($D72,Milestones!$AA$132)&lt;=AsOfDate,IF($R72=0,$X72,IF(AND($T72&lt;&gt;"",EDATE($D72,Milestones!$AA$132)&gt;=$T72),$W72,IF(AND($S72&lt;&gt;"",EDATE($D72,Milestones!$AA$132)&gt;=$S72),$V72,$U72)))=Milestones!$AB$132),UPPER(TEXT(EDATE($D72,Milestones!$AA$132),"dd mmm yy"))&amp;" "&amp;Milestones!$AB$132&amp;" "&amp;Milestones!$AC$132&amp;";  ","")&amp;IF(AND(EDATE($D72,Milestones!$AA$133)&lt;=AsOfDate,IF($R72=0,$X72,IF(AND($T72&lt;&gt;"",EDATE($D72,Milestones!$AA$133)&gt;=$T72),$W72,IF(AND($S72&lt;&gt;"",EDATE($D72,Milestones!$AA$133)&gt;=$S72),$V72,$U72)))=Milestones!$AB$133),UPPER(TEXT(EDATE($D72,Milestones!$AA$133),"dd mmm yy"))&amp;" "&amp;Milestones!$AB$133&amp;" "&amp;Milestones!$AC$133&amp;";  ","")&amp;IF(AND(EDATE($D72,Milestones!$AA$134)&lt;=AsOfDate,IF($R72=0,$X72,IF(AND($T72&lt;&gt;"",EDATE($D72,Milestones!$AA$134)&gt;=$T72),$W72,IF(AND($S72&lt;&gt;"",EDATE($D72,Milestones!$AA$134)&gt;=$S72),$V72,$U72)))=Milestones!$AB$134),UPPER(TEXT(EDATE($D72,Milestones!$AA$134),"dd mmm yy"))&amp;" "&amp;Milestones!$AB$134&amp;" "&amp;Milestones!$AC$134&amp;";  ","")&amp;IF(AND(EDATE($D72,Milestones!$AA$135)&lt;=AsOfDate,IF($R72=0,$X72,IF(AND($T72&lt;&gt;"",EDATE($D72,Milestones!$AA$135)&gt;=$T72),$W72,IF(AND($S72&lt;&gt;"",EDATE($D72,Milestones!$AA$135)&gt;=$S72),$V72,$U72)))=Milestones!$AB$135),UPPER(TEXT(EDATE($D72,Milestones!$AA$135),"dd mmm yy"))&amp;" "&amp;Milestones!$AB$135&amp;" "&amp;Milestones!$AC$135&amp;";  ","")&amp;IF(AND(EDATE($D72,Milestones!$AA$136)&lt;=AsOfDate,IF($R72=0,$X72,IF(AND($T72&lt;&gt;"",EDATE($D72,Milestones!$AA$136)&gt;=$T72),$W72,IF(AND($S72&lt;&gt;"",EDATE($D72,Milestones!$AA$136)&gt;=$S72),$V72,$U72)))=Milestones!$AB$136),UPPER(TEXT(EDATE($D72,Milestones!$AA$136),"dd mmm yy"))&amp;" "&amp;Milestones!$AB$136&amp;" "&amp;Milestones!$AC$136&amp;";  ","")&amp;IF(AND(EDATE($D72,Milestones!$AA$137)&lt;=AsOfDate,IF($R72=0,$X72,IF(AND($T72&lt;&gt;"",EDATE($D72,Milestones!$AA$137)&gt;=$T72),$W72,IF(AND($S72&lt;&gt;"",EDATE($D72,Milestones!$AA$137)&gt;=$S72),$V72,$U72)))=Milestones!$AB$137),UPPER(TEXT(EDATE($D72,Milestones!$AA$137),"dd mmm yy"))&amp;" "&amp;Milestones!$AB$137&amp;" "&amp;Milestones!$AC$137&amp;";  ","")&amp;IF(AND(EDATE($D72,Milestones!$AA$138)&lt;=AsOfDate,IF($R72=0,$X72,IF(AND($T72&lt;&gt;"",EDATE($D72,Milestones!$AA$138)&gt;=$T72),$W72,IF(AND($S72&lt;&gt;"",EDATE($D72,Milestones!$AA$138)&gt;=$S72),$V72,$U72)))=Milestones!$AB$138),UPPER(TEXT(EDATE($D72,Milestones!$AA$138),"dd mmm yy"))&amp;" "&amp;Milestones!$AB$138&amp;" "&amp;Milestones!$AC$138&amp;";  ","")&amp;IF(AND(EDATE($D72,Milestones!$AA$139)&lt;=AsOfDate,IF($R72=0,$X72,IF(AND($T72&lt;&gt;"",EDATE($D72,Milestones!$AA$139)&gt;=$T72),$W72,IF(AND($S72&lt;&gt;"",EDATE($D72,Milestones!$AA$139)&gt;=$S72),$V72,$U72)))=Milestones!$AB$139),UPPER(TEXT(EDATE($D72,Milestones!$AA$139),"dd mmm yy"))&amp;" "&amp;Milestones!$AB$139&amp;" "&amp;Milestones!$AC$139&amp;";  ",""))</f>
        <v/>
      </c>
      <c r="O72" s="0" t="str">
        <f aca="false">IF(OR($A72="",$D72=""),"",IF(AND(EDATE($D72,Milestones!$AA$140)&lt;=AsOfDate,IF($R72=0,$X72,IF(AND($T72&lt;&gt;"",EDATE($D72,Milestones!$AA$140)&gt;=$T72),$W72,IF(AND($S72&lt;&gt;"",EDATE($D72,Milestones!$AA$140)&gt;=$S72),$V72,$U72)))=Milestones!$AB$140),UPPER(TEXT(EDATE($D72,Milestones!$AA$140),"dd mmm yy"))&amp;" "&amp;Milestones!$AB$140&amp;" "&amp;Milestones!$AC$140&amp;";  ","")&amp;IF(AND(EDATE($D72,Milestones!$AA$141)&lt;=AsOfDate,IF($R72=0,$X72,IF(AND($T72&lt;&gt;"",EDATE($D72,Milestones!$AA$141)&gt;=$T72),$W72,IF(AND($S72&lt;&gt;"",EDATE($D72,Milestones!$AA$141)&gt;=$S72),$V72,$U72)))=Milestones!$AB$141),UPPER(TEXT(EDATE($D72,Milestones!$AA$141),"dd mmm yy"))&amp;" "&amp;Milestones!$AB$141&amp;" "&amp;Milestones!$AC$141&amp;";  ","")&amp;IF(AND(EDATE($D72,Milestones!$AA$142)&lt;=AsOfDate,IF($R72=0,$X72,IF(AND($T72&lt;&gt;"",EDATE($D72,Milestones!$AA$142)&gt;=$T72),$W72,IF(AND($S72&lt;&gt;"",EDATE($D72,Milestones!$AA$142)&gt;=$S72),$V72,$U72)))=Milestones!$AB$142),UPPER(TEXT(EDATE($D72,Milestones!$AA$142),"dd mmm yy"))&amp;" "&amp;Milestones!$AB$142&amp;" "&amp;Milestones!$AC$142&amp;";  ","")&amp;IF(AND(EDATE($D72,Milestones!$AA$143)&lt;=AsOfDate,IF($R72=0,$X72,IF(AND($T72&lt;&gt;"",EDATE($D72,Milestones!$AA$143)&gt;=$T72),$W72,IF(AND($S72&lt;&gt;"",EDATE($D72,Milestones!$AA$143)&gt;=$S72),$V72,$U72)))=Milestones!$AB$143),UPPER(TEXT(EDATE($D72,Milestones!$AA$143),"dd mmm yy"))&amp;" "&amp;Milestones!$AB$143&amp;" "&amp;Milestones!$AC$143&amp;";  ","")&amp;IF(AND(EDATE($D72,Milestones!$AA$144)&lt;=AsOfDate,IF($R72=0,$X72,IF(AND($T72&lt;&gt;"",EDATE($D72,Milestones!$AA$144)&gt;=$T72),$W72,IF(AND($S72&lt;&gt;"",EDATE($D72,Milestones!$AA$144)&gt;=$S72),$V72,$U72)))=Milestones!$AB$144),UPPER(TEXT(EDATE($D72,Milestones!$AA$144),"dd mmm yy"))&amp;" "&amp;Milestones!$AB$144&amp;" "&amp;Milestones!$AC$144&amp;";  ","")&amp;IF(AND(EDATE($D72,Milestones!$AA$145)&lt;=AsOfDate,IF($R72=0,$X72,IF(AND($T72&lt;&gt;"",EDATE($D72,Milestones!$AA$145)&gt;=$T72),$W72,IF(AND($S72&lt;&gt;"",EDATE($D72,Milestones!$AA$145)&gt;=$S72),$V72,$U72)))=Milestones!$AB$145),UPPER(TEXT(EDATE($D72,Milestones!$AA$145),"dd mmm yy"))&amp;" "&amp;Milestones!$AB$145&amp;" "&amp;Milestones!$AC$145&amp;";  ","")&amp;IF(AND(EDATE($D72,Milestones!$AA$146)&lt;=AsOfDate,IF($R72=0,$X72,IF(AND($T72&lt;&gt;"",EDATE($D72,Milestones!$AA$146)&gt;=$T72),$W72,IF(AND($S72&lt;&gt;"",EDATE($D72,Milestones!$AA$146)&gt;=$S72),$V72,$U72)))=Milestones!$AB$146),UPPER(TEXT(EDATE($D72,Milestones!$AA$146),"dd mmm yy"))&amp;" "&amp;Milestones!$AB$146&amp;" "&amp;Milestones!$AC$146&amp;";  ","")&amp;IF(AND(EDATE($D72,Milestones!$AA$147)&lt;=AsOfDate,IF($R72=0,$X72,IF(AND($T72&lt;&gt;"",EDATE($D72,Milestones!$AA$147)&gt;=$T72),$W72,IF(AND($S72&lt;&gt;"",EDATE($D72,Milestones!$AA$147)&gt;=$S72),$V72,$U72)))=Milestones!$AB$147),UPPER(TEXT(EDATE($D72,Milestones!$AA$147),"dd mmm yy"))&amp;" "&amp;Milestones!$AB$147&amp;" "&amp;Milestones!$AC$147&amp;";  ","")&amp;IF(AND(EDATE($D72,Milestones!$AA$148)&lt;=AsOfDate,IF($R72=0,$X72,IF(AND($T72&lt;&gt;"",EDATE($D72,Milestones!$AA$148)&gt;=$T72),$W72,IF(AND($S72&lt;&gt;"",EDATE($D72,Milestones!$AA$148)&gt;=$S72),$V72,$U72)))=Milestones!$AB$148),UPPER(TEXT(EDATE($D72,Milestones!$AA$148),"dd mmm yy"))&amp;" "&amp;Milestones!$AB$148&amp;" "&amp;Milestones!$AC$148&amp;";  ","")&amp;IF(AND(EDATE($D72,Milestones!$AA$149)&lt;=AsOfDate,IF($R72=0,$X72,IF(AND($T72&lt;&gt;"",EDATE($D72,Milestones!$AA$149)&gt;=$T72),$W72,IF(AND($S72&lt;&gt;"",EDATE($D72,Milestones!$AA$149)&gt;=$S72),$V72,$U72)))=Milestones!$AB$149),UPPER(TEXT(EDATE($D72,Milestones!$AA$149),"dd mmm yy"))&amp;" "&amp;Milestones!$AB$149&amp;" "&amp;Milestones!$AC$149&amp;";  ","")&amp;IF(AND(EDATE($D72,Milestones!$AA$150)&lt;=AsOfDate,IF($R72=0,$X72,IF(AND($T72&lt;&gt;"",EDATE($D72,Milestones!$AA$150)&gt;=$T72),$W72,IF(AND($S72&lt;&gt;"",EDATE($D72,Milestones!$AA$150)&gt;=$S72),$V72,$U72)))=Milestones!$AB$150),UPPER(TEXT(EDATE($D72,Milestones!$AA$150),"dd mmm yy"))&amp;" "&amp;Milestones!$AB$150&amp;" "&amp;Milestones!$AC$150&amp;";  ","")&amp;IF(AND(EDATE($D72,Milestones!$AA$151)&lt;=AsOfDate,IF($R72=0,$X72,IF(AND($T72&lt;&gt;"",EDATE($D72,Milestones!$AA$151)&gt;=$T72),$W72,IF(AND($S72&lt;&gt;"",EDATE($D72,Milestones!$AA$151)&gt;=$S72),$V72,$U72)))=Milestones!$AB$151),UPPER(TEXT(EDATE($D72,Milestones!$AA$151),"dd mmm yy"))&amp;" "&amp;Milestones!$AB$151&amp;" "&amp;Milestones!$AC$151&amp;";  ","")&amp;IF(AND(EDATE($D72,Milestones!$AA$152)&lt;=AsOfDate,IF($R72=0,$X72,IF(AND($T72&lt;&gt;"",EDATE($D72,Milestones!$AA$152)&gt;=$T72),$W72,IF(AND($S72&lt;&gt;"",EDATE($D72,Milestones!$AA$152)&gt;=$S72),$V72,$U72)))=Milestones!$AB$152),UPPER(TEXT(EDATE($D72,Milestones!$AA$152),"dd mmm yy"))&amp;" "&amp;Milestones!$AB$152&amp;" "&amp;Milestones!$AC$152&amp;";  ","")&amp;IF(AND(EDATE($D72,Milestones!$AA$153)&lt;=AsOfDate,IF($R72=0,$X72,IF(AND($T72&lt;&gt;"",EDATE($D72,Milestones!$AA$153)&gt;=$T72),$W72,IF(AND($S72&lt;&gt;"",EDATE($D72,Milestones!$AA$153)&gt;=$S72),$V72,$U72)))=Milestones!$AB$153),UPPER(TEXT(EDATE($D72,Milestones!$AA$153),"dd mmm yy"))&amp;" "&amp;Milestones!$AB$153&amp;" "&amp;Milestones!$AC$153&amp;";  ","")&amp;IF(AND(EDATE($D72,Milestones!$AA$154)&lt;=AsOfDate,IF($R72=0,$X72,IF(AND($T72&lt;&gt;"",EDATE($D72,Milestones!$AA$154)&gt;=$T72),$W72,IF(AND($S72&lt;&gt;"",EDATE($D72,Milestones!$AA$154)&gt;=$S72),$V72,$U72)))=Milestones!$AB$154),UPPER(TEXT(EDATE($D72,Milestones!$AA$154),"dd mmm yy"))&amp;" "&amp;Milestones!$AB$154&amp;" "&amp;Milestones!$AC$154&amp;";  ","")&amp;IF(AND(EDATE($D72,Milestones!$AA$155)&lt;=AsOfDate,IF($R72=0,$X72,IF(AND($T72&lt;&gt;"",EDATE($D72,Milestones!$AA$155)&gt;=$T72),$W72,IF(AND($S72&lt;&gt;"",EDATE($D72,Milestones!$AA$155)&gt;=$S72),$V72,$U72)))=Milestones!$AB$155),UPPER(TEXT(EDATE($D72,Milestones!$AA$155),"dd mmm yy"))&amp;" "&amp;Milestones!$AB$155&amp;" "&amp;Milestones!$AC$155&amp;";  ","")&amp;IF(AND(EDATE($D72,Milestones!$AA$156)&lt;=AsOfDate,IF($R72=0,$X72,IF(AND($T72&lt;&gt;"",EDATE($D72,Milestones!$AA$156)&gt;=$T72),$W72,IF(AND($S72&lt;&gt;"",EDATE($D72,Milestones!$AA$156)&gt;=$S72),$V72,$U72)))=Milestones!$AB$156),UPPER(TEXT(EDATE($D72,Milestones!$AA$156),"dd mmm yy"))&amp;" "&amp;Milestones!$AB$156&amp;" "&amp;Milestones!$AC$156&amp;";  ","")&amp;IF(AND(EDATE($D72,Milestones!$AA$157)&lt;=AsOfDate,IF($R72=0,$X72,IF(AND($T72&lt;&gt;"",EDATE($D72,Milestones!$AA$157)&gt;=$T72),$W72,IF(AND($S72&lt;&gt;"",EDATE($D72,Milestones!$AA$157)&gt;=$S72),$V72,$U72)))=Milestones!$AB$157),UPPER(TEXT(EDATE($D72,Milestones!$AA$157),"dd mmm yy"))&amp;" "&amp;Milestones!$AB$157&amp;" "&amp;Milestones!$AC$157&amp;";  ","")&amp;IF(AND(EDATE($D72,Milestones!$AA$158)&lt;=AsOfDate,IF($R72=0,$X72,IF(AND($T72&lt;&gt;"",EDATE($D72,Milestones!$AA$158)&gt;=$T72),$W72,IF(AND($S72&lt;&gt;"",EDATE($D72,Milestones!$AA$158)&gt;=$S72),$V72,$U72)))=Milestones!$AB$158),UPPER(TEXT(EDATE($D72,Milestones!$AA$158),"dd mmm yy"))&amp;" "&amp;Milestones!$AB$158&amp;" "&amp;Milestones!$AC$158&amp;";  ","")&amp;IF(AND(EDATE($D72,Milestones!$AA$159)&lt;=AsOfDate,IF($R72=0,$X72,IF(AND($T72&lt;&gt;"",EDATE($D72,Milestones!$AA$159)&gt;=$T72),$W72,IF(AND($S72&lt;&gt;"",EDATE($D72,Milestones!$AA$159)&gt;=$S72),$V72,$U72)))=Milestones!$AB$159),UPPER(TEXT(EDATE($D72,Milestones!$AA$159),"dd mmm yy"))&amp;" "&amp;Milestones!$AB$159&amp;" "&amp;Milestones!$AC$159&amp;";  ",""))</f>
        <v/>
      </c>
      <c r="P72" s="0" t="str">
        <f aca="false">IF(OR($A72="",$D72=""),"",IF(AND(EDATE($D72,Milestones!$AA$160)&lt;=AsOfDate,IF($R72=0,$X72,IF(AND($T72&lt;&gt;"",EDATE($D72,Milestones!$AA$160)&gt;=$T72),$W72,IF(AND($S72&lt;&gt;"",EDATE($D72,Milestones!$AA$160)&gt;=$S72),$V72,$U72)))=Milestones!$AB$160),UPPER(TEXT(EDATE($D72,Milestones!$AA$160),"dd mmm yy"))&amp;" "&amp;Milestones!$AB$160&amp;" "&amp;Milestones!$AC$160&amp;";  ","")&amp;IF(AND(EDATE($D72,Milestones!$AA$161)&lt;=AsOfDate,IF($R72=0,$X72,IF(AND($T72&lt;&gt;"",EDATE($D72,Milestones!$AA$161)&gt;=$T72),$W72,IF(AND($S72&lt;&gt;"",EDATE($D72,Milestones!$AA$161)&gt;=$S72),$V72,$U72)))=Milestones!$AB$161),UPPER(TEXT(EDATE($D72,Milestones!$AA$161),"dd mmm yy"))&amp;" "&amp;Milestones!$AB$161&amp;" "&amp;Milestones!$AC$161&amp;";  ","")&amp;IF(AND(EDATE($D72,Milestones!$AA$162)&lt;=AsOfDate,IF($R72=0,$X72,IF(AND($T72&lt;&gt;"",EDATE($D72,Milestones!$AA$162)&gt;=$T72),$W72,IF(AND($S72&lt;&gt;"",EDATE($D72,Milestones!$AA$162)&gt;=$S72),$V72,$U72)))=Milestones!$AB$162),UPPER(TEXT(EDATE($D72,Milestones!$AA$162),"dd mmm yy"))&amp;" "&amp;Milestones!$AB$162&amp;" "&amp;Milestones!$AC$162&amp;";  ","")&amp;IF(AND(EDATE($D72,Milestones!$AA$163)&lt;=AsOfDate,IF($R72=0,$X72,IF(AND($T72&lt;&gt;"",EDATE($D72,Milestones!$AA$163)&gt;=$T72),$W72,IF(AND($S72&lt;&gt;"",EDATE($D72,Milestones!$AA$163)&gt;=$S72),$V72,$U72)))=Milestones!$AB$163),UPPER(TEXT(EDATE($D72,Milestones!$AA$163),"dd mmm yy"))&amp;" "&amp;Milestones!$AB$163&amp;" "&amp;Milestones!$AC$163&amp;";  ","")&amp;IF(AND(EDATE($D72,Milestones!$AA$164)&lt;=AsOfDate,IF($R72=0,$X72,IF(AND($T72&lt;&gt;"",EDATE($D72,Milestones!$AA$164)&gt;=$T72),$W72,IF(AND($S72&lt;&gt;"",EDATE($D72,Milestones!$AA$164)&gt;=$S72),$V72,$U72)))=Milestones!$AB$164),UPPER(TEXT(EDATE($D72,Milestones!$AA$164),"dd mmm yy"))&amp;" "&amp;Milestones!$AB$164&amp;" "&amp;Milestones!$AC$164&amp;";  ","")&amp;IF(AND(EDATE($D72,Milestones!$AA$165)&lt;=AsOfDate,IF($R72=0,$X72,IF(AND($T72&lt;&gt;"",EDATE($D72,Milestones!$AA$165)&gt;=$T72),$W72,IF(AND($S72&lt;&gt;"",EDATE($D72,Milestones!$AA$165)&gt;=$S72),$V72,$U72)))=Milestones!$AB$165),UPPER(TEXT(EDATE($D72,Milestones!$AA$165),"dd mmm yy"))&amp;" "&amp;Milestones!$AB$165&amp;" "&amp;Milestones!$AC$165&amp;";  ","")&amp;IF(AND(EDATE($D72,Milestones!$AA$166)&lt;=AsOfDate,IF($R72=0,$X72,IF(AND($T72&lt;&gt;"",EDATE($D72,Milestones!$AA$166)&gt;=$T72),$W72,IF(AND($S72&lt;&gt;"",EDATE($D72,Milestones!$AA$166)&gt;=$S72),$V72,$U72)))=Milestones!$AB$166),UPPER(TEXT(EDATE($D72,Milestones!$AA$166),"dd mmm yy"))&amp;" "&amp;Milestones!$AB$166&amp;" "&amp;Milestones!$AC$166&amp;";  ","")&amp;IF(AND(EDATE($D72,Milestones!$AA$167)&lt;=AsOfDate,IF($R72=0,$X72,IF(AND($T72&lt;&gt;"",EDATE($D72,Milestones!$AA$167)&gt;=$T72),$W72,IF(AND($S72&lt;&gt;"",EDATE($D72,Milestones!$AA$167)&gt;=$S72),$V72,$U72)))=Milestones!$AB$167),UPPER(TEXT(EDATE($D72,Milestones!$AA$167),"dd mmm yy"))&amp;" "&amp;Milestones!$AB$167&amp;" "&amp;Milestones!$AC$167&amp;";  ","")&amp;IF(AND(EDATE($D72,Milestones!$AA$168)&lt;=AsOfDate,IF($R72=0,$X72,IF(AND($T72&lt;&gt;"",EDATE($D72,Milestones!$AA$168)&gt;=$T72),$W72,IF(AND($S72&lt;&gt;"",EDATE($D72,Milestones!$AA$168)&gt;=$S72),$V72,$U72)))=Milestones!$AB$168),UPPER(TEXT(EDATE($D72,Milestones!$AA$168),"dd mmm yy"))&amp;" "&amp;Milestones!$AB$168&amp;" "&amp;Milestones!$AC$168&amp;";  ","")&amp;IF(AND(EDATE($D72,Milestones!$AA$169)&lt;=AsOfDate,IF($R72=0,$X72,IF(AND($T72&lt;&gt;"",EDATE($D72,Milestones!$AA$169)&gt;=$T72),$W72,IF(AND($S72&lt;&gt;"",EDATE($D72,Milestones!$AA$169)&gt;=$S72),$V72,$U72)))=Milestones!$AB$169),UPPER(TEXT(EDATE($D72,Milestones!$AA$169),"dd mmm yy"))&amp;" "&amp;Milestones!$AB$169&amp;" "&amp;Milestones!$AC$169&amp;";  ","")&amp;IF(AND(EDATE($D72,Milestones!$AA$170)&lt;=AsOfDate,IF($R72=0,$X72,IF(AND($T72&lt;&gt;"",EDATE($D72,Milestones!$AA$170)&gt;=$T72),$W72,IF(AND($S72&lt;&gt;"",EDATE($D72,Milestones!$AA$170)&gt;=$S72),$V72,$U72)))=Milestones!$AB$170),UPPER(TEXT(EDATE($D72,Milestones!$AA$170),"dd mmm yy"))&amp;" "&amp;Milestones!$AB$170&amp;" "&amp;Milestones!$AC$170&amp;";  ","")&amp;IF(AND(EDATE($D72,Milestones!$AA$171)&lt;=AsOfDate,IF($R72=0,$X72,IF(AND($T72&lt;&gt;"",EDATE($D72,Milestones!$AA$171)&gt;=$T72),$W72,IF(AND($S72&lt;&gt;"",EDATE($D72,Milestones!$AA$171)&gt;=$S72),$V72,$U72)))=Milestones!$AB$171),UPPER(TEXT(EDATE($D72,Milestones!$AA$171),"dd mmm yy"))&amp;" "&amp;Milestones!$AB$171&amp;" "&amp;Milestones!$AC$171&amp;";  ","")&amp;IF(AND(EDATE($D72,Milestones!$AA$172)&lt;=AsOfDate,IF($R72=0,$X72,IF(AND($T72&lt;&gt;"",EDATE($D72,Milestones!$AA$172)&gt;=$T72),$W72,IF(AND($S72&lt;&gt;"",EDATE($D72,Milestones!$AA$172)&gt;=$S72),$V72,$U72)))=Milestones!$AB$172),UPPER(TEXT(EDATE($D72,Milestones!$AA$172),"dd mmm yy"))&amp;" "&amp;Milestones!$AB$172&amp;" "&amp;Milestones!$AC$172&amp;";  ","")&amp;IF(AND(EDATE($D72,Milestones!$AA$173)&lt;=AsOfDate,IF($R72=0,$X72,IF(AND($T72&lt;&gt;"",EDATE($D72,Milestones!$AA$173)&gt;=$T72),$W72,IF(AND($S72&lt;&gt;"",EDATE($D72,Milestones!$AA$173)&gt;=$S72),$V72,$U72)))=Milestones!$AB$173),UPPER(TEXT(EDATE($D72,Milestones!$AA$173),"dd mmm yy"))&amp;" "&amp;Milestones!$AB$173&amp;" "&amp;Milestones!$AC$173&amp;";  ","")&amp;IF(AND(EDATE($D72,Milestones!$AA$174)&lt;=AsOfDate,IF($R72=0,$X72,IF(AND($T72&lt;&gt;"",EDATE($D72,Milestones!$AA$174)&gt;=$T72),$W72,IF(AND($S72&lt;&gt;"",EDATE($D72,Milestones!$AA$174)&gt;=$S72),$V72,$U72)))=Milestones!$AB$174),UPPER(TEXT(EDATE($D72,Milestones!$AA$174),"dd mmm yy"))&amp;" "&amp;Milestones!$AB$174&amp;" "&amp;Milestones!$AC$174&amp;";  ","")&amp;IF(AND(EDATE($D72,Milestones!$AA$175)&lt;=AsOfDate,IF($R72=0,$X72,IF(AND($T72&lt;&gt;"",EDATE($D72,Milestones!$AA$175)&gt;=$T72),$W72,IF(AND($S72&lt;&gt;"",EDATE($D72,Milestones!$AA$175)&gt;=$S72),$V72,$U72)))=Milestones!$AB$175),UPPER(TEXT(EDATE($D72,Milestones!$AA$175),"dd mmm yy"))&amp;" "&amp;Milestones!$AB$175&amp;" "&amp;Milestones!$AC$175&amp;";  ","")&amp;IF(AND(EDATE($D72,Milestones!$AA$176)&lt;=AsOfDate,IF($R72=0,$X72,IF(AND($T72&lt;&gt;"",EDATE($D72,Milestones!$AA$176)&gt;=$T72),$W72,IF(AND($S72&lt;&gt;"",EDATE($D72,Milestones!$AA$176)&gt;=$S72),$V72,$U72)))=Milestones!$AB$176),UPPER(TEXT(EDATE($D72,Milestones!$AA$176),"dd mmm yy"))&amp;" "&amp;Milestones!$AB$176&amp;" "&amp;Milestones!$AC$176&amp;";  ","")&amp;IF(AND(EDATE($D72,Milestones!$AA$177)&lt;=AsOfDate,IF($R72=0,$X72,IF(AND($T72&lt;&gt;"",EDATE($D72,Milestones!$AA$177)&gt;=$T72),$W72,IF(AND($S72&lt;&gt;"",EDATE($D72,Milestones!$AA$177)&gt;=$S72),$V72,$U72)))=Milestones!$AB$177),UPPER(TEXT(EDATE($D72,Milestones!$AA$177),"dd mmm yy"))&amp;" "&amp;Milestones!$AB$177&amp;" "&amp;Milestones!$AC$177&amp;";  ","")&amp;IF(AND(EDATE($D72,Milestones!$AA$178)&lt;=AsOfDate,IF($R72=0,$X72,IF(AND($T72&lt;&gt;"",EDATE($D72,Milestones!$AA$178)&gt;=$T72),$W72,IF(AND($S72&lt;&gt;"",EDATE($D72,Milestones!$AA$178)&gt;=$S72),$V72,$U72)))=Milestones!$AB$178),UPPER(TEXT(EDATE($D72,Milestones!$AA$178),"dd mmm yy"))&amp;" "&amp;Milestones!$AB$178&amp;" "&amp;Milestones!$AC$178&amp;";  ","")&amp;IF(AND(EDATE($D72,Milestones!$AA$179)&lt;=AsOfDate,IF($R72=0,$X72,IF(AND($T72&lt;&gt;"",EDATE($D72,Milestones!$AA$179)&gt;=$T72),$W72,IF(AND($S72&lt;&gt;"",EDATE($D72,Milestones!$AA$179)&gt;=$S72),$V72,$U72)))=Milestones!$AB$179),UPPER(TEXT(EDATE($D72,Milestones!$AA$179),"dd mmm yy"))&amp;" "&amp;Milestones!$AB$179&amp;" "&amp;Milestones!$AC$179&amp;";  ",""))</f>
        <v/>
      </c>
      <c r="Q72" s="0" t="str">
        <f aca="false">IF(OR($A72="",$D72=""),"",IF(AND(EDATE($D72,Milestones!$AA$180)&lt;=AsOfDate,IF($R72=0,$X72,IF(AND($T72&lt;&gt;"",EDATE($D72,Milestones!$AA$180)&gt;=$T72),$W72,IF(AND($S72&lt;&gt;"",EDATE($D72,Milestones!$AA$180)&gt;=$S72),$V72,$U72)))=Milestones!$AB$180),UPPER(TEXT(EDATE($D72,Milestones!$AA$180),"dd mmm yy"))&amp;" "&amp;Milestones!$AB$180&amp;" "&amp;Milestones!$AC$180&amp;";  ","")&amp;IF(AND(EDATE($D72,Milestones!$AA$181)&lt;=AsOfDate,IF($R72=0,$X72,IF(AND($T72&lt;&gt;"",EDATE($D72,Milestones!$AA$181)&gt;=$T72),$W72,IF(AND($S72&lt;&gt;"",EDATE($D72,Milestones!$AA$181)&gt;=$S72),$V72,$U72)))=Milestones!$AB$181),UPPER(TEXT(EDATE($D72,Milestones!$AA$181),"dd mmm yy"))&amp;" "&amp;Milestones!$AB$181&amp;" "&amp;Milestones!$AC$181&amp;";  ","")&amp;IF(AND(EDATE($D72,Milestones!$AA$182)&lt;=AsOfDate,IF($R72=0,$X72,IF(AND($T72&lt;&gt;"",EDATE($D72,Milestones!$AA$182)&gt;=$T72),$W72,IF(AND($S72&lt;&gt;"",EDATE($D72,Milestones!$AA$182)&gt;=$S72),$V72,$U72)))=Milestones!$AB$182),UPPER(TEXT(EDATE($D72,Milestones!$AA$182),"dd mmm yy"))&amp;" "&amp;Milestones!$AB$182&amp;" "&amp;Milestones!$AC$182&amp;";  ","")&amp;IF(AND(EDATE($D72,Milestones!$AA$183)&lt;=AsOfDate,IF($R72=0,$X72,IF(AND($T72&lt;&gt;"",EDATE($D72,Milestones!$AA$183)&gt;=$T72),$W72,IF(AND($S72&lt;&gt;"",EDATE($D72,Milestones!$AA$183)&gt;=$S72),$V72,$U72)))=Milestones!$AB$183),UPPER(TEXT(EDATE($D72,Milestones!$AA$183),"dd mmm yy"))&amp;" "&amp;Milestones!$AB$183&amp;" "&amp;Milestones!$AC$183&amp;";  ","")&amp;IF(AND(EDATE($D72,Milestones!$AA$184)&lt;=AsOfDate,IF($R72=0,$X72,IF(AND($T72&lt;&gt;"",EDATE($D72,Milestones!$AA$184)&gt;=$T72),$W72,IF(AND($S72&lt;&gt;"",EDATE($D72,Milestones!$AA$184)&gt;=$S72),$V72,$U72)))=Milestones!$AB$184),UPPER(TEXT(EDATE($D72,Milestones!$AA$184),"dd mmm yy"))&amp;" "&amp;Milestones!$AB$184&amp;" "&amp;Milestones!$AC$184&amp;";  ","")&amp;IF(AND(EDATE($D72,Milestones!$AA$185)&lt;=AsOfDate,IF($R72=0,$X72,IF(AND($T72&lt;&gt;"",EDATE($D72,Milestones!$AA$185)&gt;=$T72),$W72,IF(AND($S72&lt;&gt;"",EDATE($D72,Milestones!$AA$185)&gt;=$S72),$V72,$U72)))=Milestones!$AB$185),UPPER(TEXT(EDATE($D72,Milestones!$AA$185),"dd mmm yy"))&amp;" "&amp;Milestones!$AB$185&amp;" "&amp;Milestones!$AC$185&amp;";  ","")&amp;IF(AND(EDATE($D72,Milestones!$AA$186)&lt;=AsOfDate,IF($R72=0,$X72,IF(AND($T72&lt;&gt;"",EDATE($D72,Milestones!$AA$186)&gt;=$T72),$W72,IF(AND($S72&lt;&gt;"",EDATE($D72,Milestones!$AA$186)&gt;=$S72),$V72,$U72)))=Milestones!$AB$186),UPPER(TEXT(EDATE($D72,Milestones!$AA$186),"dd mmm yy"))&amp;" "&amp;Milestones!$AB$186&amp;" "&amp;Milestones!$AC$186&amp;";  ","")&amp;IF(AND(EDATE($D72,Milestones!$AA$187)&lt;=AsOfDate,IF($R72=0,$X72,IF(AND($T72&lt;&gt;"",EDATE($D72,Milestones!$AA$187)&gt;=$T72),$W72,IF(AND($S72&lt;&gt;"",EDATE($D72,Milestones!$AA$187)&gt;=$S72),$V72,$U72)))=Milestones!$AB$187),UPPER(TEXT(EDATE($D72,Milestones!$AA$187),"dd mmm yy"))&amp;" "&amp;Milestones!$AB$187&amp;" "&amp;Milestones!$AC$187&amp;";  ","")&amp;IF(AND(EDATE($D72,Milestones!$AA$188)&lt;=AsOfDate,IF($R72=0,$X72,IF(AND($T72&lt;&gt;"",EDATE($D72,Milestones!$AA$188)&gt;=$T72),$W72,IF(AND($S72&lt;&gt;"",EDATE($D72,Milestones!$AA$188)&gt;=$S72),$V72,$U72)))=Milestones!$AB$188),UPPER(TEXT(EDATE($D72,Milestones!$AA$188),"dd mmm yy"))&amp;" "&amp;Milestones!$AB$188&amp;" "&amp;Milestones!$AC$188&amp;";  ","")&amp;IF(AND(EDATE($D72,Milestones!$AA$189)&lt;=AsOfDate,IF($R72=0,$X72,IF(AND($T72&lt;&gt;"",EDATE($D72,Milestones!$AA$189)&gt;=$T72),$W72,IF(AND($S72&lt;&gt;"",EDATE($D72,Milestones!$AA$189)&gt;=$S72),$V72,$U72)))=Milestones!$AB$189),UPPER(TEXT(EDATE($D72,Milestones!$AA$189),"dd mmm yy"))&amp;" "&amp;Milestones!$AB$189&amp;" "&amp;Milestones!$AC$189&amp;";  ","")&amp;IF(AND(EDATE($D72,Milestones!$AA$190)&lt;=AsOfDate,IF($R72=0,$X72,IF(AND($T72&lt;&gt;"",EDATE($D72,Milestones!$AA$190)&gt;=$T72),$W72,IF(AND($S72&lt;&gt;"",EDATE($D72,Milestones!$AA$190)&gt;=$S72),$V72,$U72)))=Milestones!$AB$190),UPPER(TEXT(EDATE($D72,Milestones!$AA$190),"dd mmm yy"))&amp;" "&amp;Milestones!$AB$190&amp;" "&amp;Milestones!$AC$190&amp;";  ","")&amp;IF(AND(EDATE($D72,Milestones!$AA$191)&lt;=AsOfDate,IF($R72=0,$X72,IF(AND($T72&lt;&gt;"",EDATE($D72,Milestones!$AA$191)&gt;=$T72),$W72,IF(AND($S72&lt;&gt;"",EDATE($D72,Milestones!$AA$191)&gt;=$S72),$V72,$U72)))=Milestones!$AB$191),UPPER(TEXT(EDATE($D72,Milestones!$AA$191),"dd mmm yy"))&amp;" "&amp;Milestones!$AB$191&amp;" "&amp;Milestones!$AC$191&amp;";  ","")&amp;IF(AND(EDATE($D72,Milestones!$AA$192)&lt;=AsOfDate,IF($R72=0,$X72,IF(AND($T72&lt;&gt;"",EDATE($D72,Milestones!$AA$192)&gt;=$T72),$W72,IF(AND($S72&lt;&gt;"",EDATE($D72,Milestones!$AA$192)&gt;=$S72),$V72,$U72)))=Milestones!$AB$192),UPPER(TEXT(EDATE($D72,Milestones!$AA$192),"dd mmm yy"))&amp;" "&amp;Milestones!$AB$192&amp;" "&amp;Milestones!$AC$192&amp;";  ","")&amp;IF(AND(EDATE($D72,Milestones!$AA$193)&lt;=AsOfDate,IF($R72=0,$X72,IF(AND($T72&lt;&gt;"",EDATE($D72,Milestones!$AA$193)&gt;=$T72),$W72,IF(AND($S72&lt;&gt;"",EDATE($D72,Milestones!$AA$193)&gt;=$S72),$V72,$U72)))=Milestones!$AB$193),UPPER(TEXT(EDATE($D72,Milestones!$AA$193),"dd mmm yy"))&amp;" "&amp;Milestones!$AB$193&amp;" "&amp;Milestones!$AC$193&amp;";  ","")&amp;IF(AND(EDATE($D72,Milestones!$AA$194)&lt;=AsOfDate,IF($R72=0,$X72,IF(AND($T72&lt;&gt;"",EDATE($D72,Milestones!$AA$194)&gt;=$T72),$W72,IF(AND($S72&lt;&gt;"",EDATE($D72,Milestones!$AA$194)&gt;=$S72),$V72,$U72)))=Milestones!$AB$194),UPPER(TEXT(EDATE($D72,Milestones!$AA$194),"dd mmm yy"))&amp;" "&amp;Milestones!$AB$194&amp;" "&amp;Milestones!$AC$194&amp;";  ","")&amp;IF(AND(EDATE($D72,Milestones!$AA$195)&lt;=AsOfDate,IF($R72=0,$X72,IF(AND($T72&lt;&gt;"",EDATE($D72,Milestones!$AA$195)&gt;=$T72),$W72,IF(AND($S72&lt;&gt;"",EDATE($D72,Milestones!$AA$195)&gt;=$S72),$V72,$U72)))=Milestones!$AB$195),UPPER(TEXT(EDATE($D72,Milestones!$AA$195),"dd mmm yy"))&amp;" "&amp;Milestones!$AB$195&amp;" "&amp;Milestones!$AC$195&amp;";  ","")&amp;IF(AND(EDATE($D72,Milestones!$AA$196)&lt;=AsOfDate,IF($R72=0,$X72,IF(AND($T72&lt;&gt;"",EDATE($D72,Milestones!$AA$196)&gt;=$T72),$W72,IF(AND($S72&lt;&gt;"",EDATE($D72,Milestones!$AA$196)&gt;=$S72),$V72,$U72)))=Milestones!$AB$196),UPPER(TEXT(EDATE($D72,Milestones!$AA$196),"dd mmm yy"))&amp;" "&amp;Milestones!$AB$196&amp;" "&amp;Milestones!$AC$196&amp;";  ","")&amp;IF(AND(EDATE($D72,Milestones!$AA$197)&lt;=AsOfDate,IF($R72=0,$X72,IF(AND($T72&lt;&gt;"",EDATE($D72,Milestones!$AA$197)&gt;=$T72),$W72,IF(AND($S72&lt;&gt;"",EDATE($D72,Milestones!$AA$197)&gt;=$S72),$V72,$U72)))=Milestones!$AB$197),UPPER(TEXT(EDATE($D72,Milestones!$AA$197),"dd mmm yy"))&amp;" "&amp;Milestones!$AB$197&amp;" "&amp;Milestones!$AC$197&amp;";  ","")&amp;IF(AND(EDATE($D72,Milestones!$AA$198)&lt;=AsOfDate,IF($R72=0,$X72,IF(AND($T72&lt;&gt;"",EDATE($D72,Milestones!$AA$198)&gt;=$T72),$W72,IF(AND($S72&lt;&gt;"",EDATE($D72,Milestones!$AA$198)&gt;=$S72),$V72,$U72)))=Milestones!$AB$198),UPPER(TEXT(EDATE($D72,Milestones!$AA$198),"dd mmm yy"))&amp;" "&amp;Milestones!$AB$198&amp;" "&amp;Milestones!$AC$198&amp;";  ","")&amp;IF(AND(EDATE($D72,Milestones!$AA$199)&lt;=AsOfDate,IF($R72=0,$X72,IF(AND($T72&lt;&gt;"",EDATE($D72,Milestones!$AA$199)&gt;=$T72),$W72,IF(AND($S72&lt;&gt;"",EDATE($D72,Milestones!$AA$199)&gt;=$S72),$V72,$U72)))=Milestones!$AB$199),UPPER(TEXT(EDATE($D72,Milestones!$AA$199),"dd mmm yy"))&amp;" "&amp;Milestones!$AB$199&amp;" "&amp;Milestones!$AC$199&amp;";  ",""))</f>
        <v/>
      </c>
      <c r="R72" s="0" t="str">
        <f aca="false">IF(Staff!$A72="","",Staff!$AI72)</f>
        <v/>
      </c>
      <c r="S72" s="0" t="str">
        <f aca="false">IF(Staff!$A72="","",Staff!$AK72)</f>
        <v/>
      </c>
      <c r="T72" s="0" t="str">
        <f aca="false">IF(Staff!$A72="","",Staff!$AL72)</f>
        <v/>
      </c>
      <c r="U72" s="0" t="str">
        <f aca="false">IF(Staff!$A72="","",Staff!$AP72)</f>
        <v/>
      </c>
      <c r="V72" s="0" t="str">
        <f aca="false">IF(Staff!$A72="","",Staff!$AQ72)</f>
        <v/>
      </c>
      <c r="W72" s="0" t="str">
        <f aca="false">IF(Staff!$A72="","",Staff!$AR72)</f>
        <v/>
      </c>
      <c r="X72" s="0" t="str">
        <f aca="false">IF(Staff!$A72="","",Staff!$AS72)</f>
        <v/>
      </c>
    </row>
    <row r="73" customFormat="false" ht="15" hidden="false" customHeight="false" outlineLevel="0" collapsed="false">
      <c r="A73" s="14" t="str">
        <f aca="false">IF(Staff!$A73="","",Staff!$A73)</f>
        <v/>
      </c>
      <c r="B73" s="14" t="str">
        <f aca="false">IF(Staff!$A73="","",Staff!$B73)</f>
        <v/>
      </c>
      <c r="C73" s="14" t="str">
        <f aca="false">IF(Staff!$A73="","",Staff!$C73)</f>
        <v/>
      </c>
      <c r="D73" s="12" t="str">
        <f aca="false">IF(Staff!$A73="","",Staff!$AH73)</f>
        <v/>
      </c>
      <c r="E73" s="14" t="str">
        <f aca="false">IF(Staff!$A73="","",Staff!$O73)</f>
        <v/>
      </c>
      <c r="F73" s="14" t="str">
        <f aca="false">IF(E73="","",E73*HoursPerDay)</f>
        <v/>
      </c>
      <c r="G73" s="14" t="str">
        <f aca="false">IF(Staff!$A73="","",Staff!$AE73)</f>
        <v/>
      </c>
      <c r="H73" s="26" t="str">
        <f aca="false">IF($A73="","",I73&amp;J73&amp;K73&amp;L73&amp;M73&amp;N73&amp;O73&amp;P73&amp;Q73)</f>
        <v/>
      </c>
      <c r="I73" s="0" t="str">
        <f aca="false">IF(OR($A73="",$D73=""),"",IF(AND(EDATE($D73,Milestones!$AA$20)&lt;=AsOfDate,IF($R73=0,$X73,IF(AND($T73&lt;&gt;"",EDATE($D73,Milestones!$AA$20)&gt;=$T73),$W73,IF(AND($S73&lt;&gt;"",EDATE($D73,Milestones!$AA$20)&gt;=$S73),$V73,$U73)))=Milestones!$AB$20),UPPER(TEXT(EDATE($D73,Milestones!$AA$20),"dd mmm yy"))&amp;" "&amp;Milestones!$AB$20&amp;" "&amp;Milestones!$AC$20&amp;";  ","")&amp;IF(AND(EDATE($D73,Milestones!$AA$21)&lt;=AsOfDate,IF($R73=0,$X73,IF(AND($T73&lt;&gt;"",EDATE($D73,Milestones!$AA$21)&gt;=$T73),$W73,IF(AND($S73&lt;&gt;"",EDATE($D73,Milestones!$AA$21)&gt;=$S73),$V73,$U73)))=Milestones!$AB$21),UPPER(TEXT(EDATE($D73,Milestones!$AA$21),"dd mmm yy"))&amp;" "&amp;Milestones!$AB$21&amp;" "&amp;Milestones!$AC$21&amp;";  ","")&amp;IF(AND(EDATE($D73,Milestones!$AA$22)&lt;=AsOfDate,IF($R73=0,$X73,IF(AND($T73&lt;&gt;"",EDATE($D73,Milestones!$AA$22)&gt;=$T73),$W73,IF(AND($S73&lt;&gt;"",EDATE($D73,Milestones!$AA$22)&gt;=$S73),$V73,$U73)))=Milestones!$AB$22),UPPER(TEXT(EDATE($D73,Milestones!$AA$22),"dd mmm yy"))&amp;" "&amp;Milestones!$AB$22&amp;" "&amp;Milestones!$AC$22&amp;";  ","")&amp;IF(AND(EDATE($D73,Milestones!$AA$23)&lt;=AsOfDate,IF($R73=0,$X73,IF(AND($T73&lt;&gt;"",EDATE($D73,Milestones!$AA$23)&gt;=$T73),$W73,IF(AND($S73&lt;&gt;"",EDATE($D73,Milestones!$AA$23)&gt;=$S73),$V73,$U73)))=Milestones!$AB$23),UPPER(TEXT(EDATE($D73,Milestones!$AA$23),"dd mmm yy"))&amp;" "&amp;Milestones!$AB$23&amp;" "&amp;Milestones!$AC$23&amp;";  ","")&amp;IF(AND(EDATE($D73,Milestones!$AA$24)&lt;=AsOfDate,IF($R73=0,$X73,IF(AND($T73&lt;&gt;"",EDATE($D73,Milestones!$AA$24)&gt;=$T73),$W73,IF(AND($S73&lt;&gt;"",EDATE($D73,Milestones!$AA$24)&gt;=$S73),$V73,$U73)))=Milestones!$AB$24),UPPER(TEXT(EDATE($D73,Milestones!$AA$24),"dd mmm yy"))&amp;" "&amp;Milestones!$AB$24&amp;" "&amp;Milestones!$AC$24&amp;";  ","")&amp;IF(AND(EDATE($D73,Milestones!$AA$25)&lt;=AsOfDate,IF($R73=0,$X73,IF(AND($T73&lt;&gt;"",EDATE($D73,Milestones!$AA$25)&gt;=$T73),$W73,IF(AND($S73&lt;&gt;"",EDATE($D73,Milestones!$AA$25)&gt;=$S73),$V73,$U73)))=Milestones!$AB$25),UPPER(TEXT(EDATE($D73,Milestones!$AA$25),"dd mmm yy"))&amp;" "&amp;Milestones!$AB$25&amp;" "&amp;Milestones!$AC$25&amp;";  ","")&amp;IF(AND(EDATE($D73,Milestones!$AA$26)&lt;=AsOfDate,IF($R73=0,$X73,IF(AND($T73&lt;&gt;"",EDATE($D73,Milestones!$AA$26)&gt;=$T73),$W73,IF(AND($S73&lt;&gt;"",EDATE($D73,Milestones!$AA$26)&gt;=$S73),$V73,$U73)))=Milestones!$AB$26),UPPER(TEXT(EDATE($D73,Milestones!$AA$26),"dd mmm yy"))&amp;" "&amp;Milestones!$AB$26&amp;" "&amp;Milestones!$AC$26&amp;";  ","")&amp;IF(AND(EDATE($D73,Milestones!$AA$27)&lt;=AsOfDate,IF($R73=0,$X73,IF(AND($T73&lt;&gt;"",EDATE($D73,Milestones!$AA$27)&gt;=$T73),$W73,IF(AND($S73&lt;&gt;"",EDATE($D73,Milestones!$AA$27)&gt;=$S73),$V73,$U73)))=Milestones!$AB$27),UPPER(TEXT(EDATE($D73,Milestones!$AA$27),"dd mmm yy"))&amp;" "&amp;Milestones!$AB$27&amp;" "&amp;Milestones!$AC$27&amp;";  ","")&amp;IF(AND(EDATE($D73,Milestones!$AA$28)&lt;=AsOfDate,IF($R73=0,$X73,IF(AND($T73&lt;&gt;"",EDATE($D73,Milestones!$AA$28)&gt;=$T73),$W73,IF(AND($S73&lt;&gt;"",EDATE($D73,Milestones!$AA$28)&gt;=$S73),$V73,$U73)))=Milestones!$AB$28),UPPER(TEXT(EDATE($D73,Milestones!$AA$28),"dd mmm yy"))&amp;" "&amp;Milestones!$AB$28&amp;" "&amp;Milestones!$AC$28&amp;";  ","")&amp;IF(AND(EDATE($D73,Milestones!$AA$29)&lt;=AsOfDate,IF($R73=0,$X73,IF(AND($T73&lt;&gt;"",EDATE($D73,Milestones!$AA$29)&gt;=$T73),$W73,IF(AND($S73&lt;&gt;"",EDATE($D73,Milestones!$AA$29)&gt;=$S73),$V73,$U73)))=Milestones!$AB$29),UPPER(TEXT(EDATE($D73,Milestones!$AA$29),"dd mmm yy"))&amp;" "&amp;Milestones!$AB$29&amp;" "&amp;Milestones!$AC$29&amp;";  ","")&amp;IF(AND(EDATE($D73,Milestones!$AA$30)&lt;=AsOfDate,IF($R73=0,$X73,IF(AND($T73&lt;&gt;"",EDATE($D73,Milestones!$AA$30)&gt;=$T73),$W73,IF(AND($S73&lt;&gt;"",EDATE($D73,Milestones!$AA$30)&gt;=$S73),$V73,$U73)))=Milestones!$AB$30),UPPER(TEXT(EDATE($D73,Milestones!$AA$30),"dd mmm yy"))&amp;" "&amp;Milestones!$AB$30&amp;" "&amp;Milestones!$AC$30&amp;";  ","")&amp;IF(AND(EDATE($D73,Milestones!$AA$31)&lt;=AsOfDate,IF($R73=0,$X73,IF(AND($T73&lt;&gt;"",EDATE($D73,Milestones!$AA$31)&gt;=$T73),$W73,IF(AND($S73&lt;&gt;"",EDATE($D73,Milestones!$AA$31)&gt;=$S73),$V73,$U73)))=Milestones!$AB$31),UPPER(TEXT(EDATE($D73,Milestones!$AA$31),"dd mmm yy"))&amp;" "&amp;Milestones!$AB$31&amp;" "&amp;Milestones!$AC$31&amp;";  ","")&amp;IF(AND(EDATE($D73,Milestones!$AA$32)&lt;=AsOfDate,IF($R73=0,$X73,IF(AND($T73&lt;&gt;"",EDATE($D73,Milestones!$AA$32)&gt;=$T73),$W73,IF(AND($S73&lt;&gt;"",EDATE($D73,Milestones!$AA$32)&gt;=$S73),$V73,$U73)))=Milestones!$AB$32),UPPER(TEXT(EDATE($D73,Milestones!$AA$32),"dd mmm yy"))&amp;" "&amp;Milestones!$AB$32&amp;" "&amp;Milestones!$AC$32&amp;";  ","")&amp;IF(AND(EDATE($D73,Milestones!$AA$33)&lt;=AsOfDate,IF($R73=0,$X73,IF(AND($T73&lt;&gt;"",EDATE($D73,Milestones!$AA$33)&gt;=$T73),$W73,IF(AND($S73&lt;&gt;"",EDATE($D73,Milestones!$AA$33)&gt;=$S73),$V73,$U73)))=Milestones!$AB$33),UPPER(TEXT(EDATE($D73,Milestones!$AA$33),"dd mmm yy"))&amp;" "&amp;Milestones!$AB$33&amp;" "&amp;Milestones!$AC$33&amp;";  ","")&amp;IF(AND(EDATE($D73,Milestones!$AA$34)&lt;=AsOfDate,IF($R73=0,$X73,IF(AND($T73&lt;&gt;"",EDATE($D73,Milestones!$AA$34)&gt;=$T73),$W73,IF(AND($S73&lt;&gt;"",EDATE($D73,Milestones!$AA$34)&gt;=$S73),$V73,$U73)))=Milestones!$AB$34),UPPER(TEXT(EDATE($D73,Milestones!$AA$34),"dd mmm yy"))&amp;" "&amp;Milestones!$AB$34&amp;" "&amp;Milestones!$AC$34&amp;";  ","")&amp;IF(AND(EDATE($D73,Milestones!$AA$35)&lt;=AsOfDate,IF($R73=0,$X73,IF(AND($T73&lt;&gt;"",EDATE($D73,Milestones!$AA$35)&gt;=$T73),$W73,IF(AND($S73&lt;&gt;"",EDATE($D73,Milestones!$AA$35)&gt;=$S73),$V73,$U73)))=Milestones!$AB$35),UPPER(TEXT(EDATE($D73,Milestones!$AA$35),"dd mmm yy"))&amp;" "&amp;Milestones!$AB$35&amp;" "&amp;Milestones!$AC$35&amp;";  ","")&amp;IF(AND(EDATE($D73,Milestones!$AA$36)&lt;=AsOfDate,IF($R73=0,$X73,IF(AND($T73&lt;&gt;"",EDATE($D73,Milestones!$AA$36)&gt;=$T73),$W73,IF(AND($S73&lt;&gt;"",EDATE($D73,Milestones!$AA$36)&gt;=$S73),$V73,$U73)))=Milestones!$AB$36),UPPER(TEXT(EDATE($D73,Milestones!$AA$36),"dd mmm yy"))&amp;" "&amp;Milestones!$AB$36&amp;" "&amp;Milestones!$AC$36&amp;";  ","")&amp;IF(AND(EDATE($D73,Milestones!$AA$37)&lt;=AsOfDate,IF($R73=0,$X73,IF(AND($T73&lt;&gt;"",EDATE($D73,Milestones!$AA$37)&gt;=$T73),$W73,IF(AND($S73&lt;&gt;"",EDATE($D73,Milestones!$AA$37)&gt;=$S73),$V73,$U73)))=Milestones!$AB$37),UPPER(TEXT(EDATE($D73,Milestones!$AA$37),"dd mmm yy"))&amp;" "&amp;Milestones!$AB$37&amp;" "&amp;Milestones!$AC$37&amp;";  ","")&amp;IF(AND(EDATE($D73,Milestones!$AA$38)&lt;=AsOfDate,IF($R73=0,$X73,IF(AND($T73&lt;&gt;"",EDATE($D73,Milestones!$AA$38)&gt;=$T73),$W73,IF(AND($S73&lt;&gt;"",EDATE($D73,Milestones!$AA$38)&gt;=$S73),$V73,$U73)))=Milestones!$AB$38),UPPER(TEXT(EDATE($D73,Milestones!$AA$38),"dd mmm yy"))&amp;" "&amp;Milestones!$AB$38&amp;" "&amp;Milestones!$AC$38&amp;";  ","")&amp;IF(AND(EDATE($D73,Milestones!$AA$39)&lt;=AsOfDate,IF($R73=0,$X73,IF(AND($T73&lt;&gt;"",EDATE($D73,Milestones!$AA$39)&gt;=$T73),$W73,IF(AND($S73&lt;&gt;"",EDATE($D73,Milestones!$AA$39)&gt;=$S73),$V73,$U73)))=Milestones!$AB$39),UPPER(TEXT(EDATE($D73,Milestones!$AA$39),"dd mmm yy"))&amp;" "&amp;Milestones!$AB$39&amp;" "&amp;Milestones!$AC$39&amp;";  ",""))</f>
        <v/>
      </c>
      <c r="J73" s="0" t="str">
        <f aca="false">IF(OR($A73="",$D73=""),"",IF(AND(EDATE($D73,Milestones!$AA$40)&lt;=AsOfDate,IF($R73=0,$X73,IF(AND($T73&lt;&gt;"",EDATE($D73,Milestones!$AA$40)&gt;=$T73),$W73,IF(AND($S73&lt;&gt;"",EDATE($D73,Milestones!$AA$40)&gt;=$S73),$V73,$U73)))=Milestones!$AB$40),UPPER(TEXT(EDATE($D73,Milestones!$AA$40),"dd mmm yy"))&amp;" "&amp;Milestones!$AB$40&amp;" "&amp;Milestones!$AC$40&amp;";  ","")&amp;IF(AND(EDATE($D73,Milestones!$AA$41)&lt;=AsOfDate,IF($R73=0,$X73,IF(AND($T73&lt;&gt;"",EDATE($D73,Milestones!$AA$41)&gt;=$T73),$W73,IF(AND($S73&lt;&gt;"",EDATE($D73,Milestones!$AA$41)&gt;=$S73),$V73,$U73)))=Milestones!$AB$41),UPPER(TEXT(EDATE($D73,Milestones!$AA$41),"dd mmm yy"))&amp;" "&amp;Milestones!$AB$41&amp;" "&amp;Milestones!$AC$41&amp;";  ","")&amp;IF(AND(EDATE($D73,Milestones!$AA$42)&lt;=AsOfDate,IF($R73=0,$X73,IF(AND($T73&lt;&gt;"",EDATE($D73,Milestones!$AA$42)&gt;=$T73),$W73,IF(AND($S73&lt;&gt;"",EDATE($D73,Milestones!$AA$42)&gt;=$S73),$V73,$U73)))=Milestones!$AB$42),UPPER(TEXT(EDATE($D73,Milestones!$AA$42),"dd mmm yy"))&amp;" "&amp;Milestones!$AB$42&amp;" "&amp;Milestones!$AC$42&amp;";  ","")&amp;IF(AND(EDATE($D73,Milestones!$AA$43)&lt;=AsOfDate,IF($R73=0,$X73,IF(AND($T73&lt;&gt;"",EDATE($D73,Milestones!$AA$43)&gt;=$T73),$W73,IF(AND($S73&lt;&gt;"",EDATE($D73,Milestones!$AA$43)&gt;=$S73),$V73,$U73)))=Milestones!$AB$43),UPPER(TEXT(EDATE($D73,Milestones!$AA$43),"dd mmm yy"))&amp;" "&amp;Milestones!$AB$43&amp;" "&amp;Milestones!$AC$43&amp;";  ","")&amp;IF(AND(EDATE($D73,Milestones!$AA$44)&lt;=AsOfDate,IF($R73=0,$X73,IF(AND($T73&lt;&gt;"",EDATE($D73,Milestones!$AA$44)&gt;=$T73),$W73,IF(AND($S73&lt;&gt;"",EDATE($D73,Milestones!$AA$44)&gt;=$S73),$V73,$U73)))=Milestones!$AB$44),UPPER(TEXT(EDATE($D73,Milestones!$AA$44),"dd mmm yy"))&amp;" "&amp;Milestones!$AB$44&amp;" "&amp;Milestones!$AC$44&amp;";  ","")&amp;IF(AND(EDATE($D73,Milestones!$AA$45)&lt;=AsOfDate,IF($R73=0,$X73,IF(AND($T73&lt;&gt;"",EDATE($D73,Milestones!$AA$45)&gt;=$T73),$W73,IF(AND($S73&lt;&gt;"",EDATE($D73,Milestones!$AA$45)&gt;=$S73),$V73,$U73)))=Milestones!$AB$45),UPPER(TEXT(EDATE($D73,Milestones!$AA$45),"dd mmm yy"))&amp;" "&amp;Milestones!$AB$45&amp;" "&amp;Milestones!$AC$45&amp;";  ","")&amp;IF(AND(EDATE($D73,Milestones!$AA$46)&lt;=AsOfDate,IF($R73=0,$X73,IF(AND($T73&lt;&gt;"",EDATE($D73,Milestones!$AA$46)&gt;=$T73),$W73,IF(AND($S73&lt;&gt;"",EDATE($D73,Milestones!$AA$46)&gt;=$S73),$V73,$U73)))=Milestones!$AB$46),UPPER(TEXT(EDATE($D73,Milestones!$AA$46),"dd mmm yy"))&amp;" "&amp;Milestones!$AB$46&amp;" "&amp;Milestones!$AC$46&amp;";  ","")&amp;IF(AND(EDATE($D73,Milestones!$AA$47)&lt;=AsOfDate,IF($R73=0,$X73,IF(AND($T73&lt;&gt;"",EDATE($D73,Milestones!$AA$47)&gt;=$T73),$W73,IF(AND($S73&lt;&gt;"",EDATE($D73,Milestones!$AA$47)&gt;=$S73),$V73,$U73)))=Milestones!$AB$47),UPPER(TEXT(EDATE($D73,Milestones!$AA$47),"dd mmm yy"))&amp;" "&amp;Milestones!$AB$47&amp;" "&amp;Milestones!$AC$47&amp;";  ","")&amp;IF(AND(EDATE($D73,Milestones!$AA$48)&lt;=AsOfDate,IF($R73=0,$X73,IF(AND($T73&lt;&gt;"",EDATE($D73,Milestones!$AA$48)&gt;=$T73),$W73,IF(AND($S73&lt;&gt;"",EDATE($D73,Milestones!$AA$48)&gt;=$S73),$V73,$U73)))=Milestones!$AB$48),UPPER(TEXT(EDATE($D73,Milestones!$AA$48),"dd mmm yy"))&amp;" "&amp;Milestones!$AB$48&amp;" "&amp;Milestones!$AC$48&amp;";  ","")&amp;IF(AND(EDATE($D73,Milestones!$AA$49)&lt;=AsOfDate,IF($R73=0,$X73,IF(AND($T73&lt;&gt;"",EDATE($D73,Milestones!$AA$49)&gt;=$T73),$W73,IF(AND($S73&lt;&gt;"",EDATE($D73,Milestones!$AA$49)&gt;=$S73),$V73,$U73)))=Milestones!$AB$49),UPPER(TEXT(EDATE($D73,Milestones!$AA$49),"dd mmm yy"))&amp;" "&amp;Milestones!$AB$49&amp;" "&amp;Milestones!$AC$49&amp;";  ","")&amp;IF(AND(EDATE($D73,Milestones!$AA$50)&lt;=AsOfDate,IF($R73=0,$X73,IF(AND($T73&lt;&gt;"",EDATE($D73,Milestones!$AA$50)&gt;=$T73),$W73,IF(AND($S73&lt;&gt;"",EDATE($D73,Milestones!$AA$50)&gt;=$S73),$V73,$U73)))=Milestones!$AB$50),UPPER(TEXT(EDATE($D73,Milestones!$AA$50),"dd mmm yy"))&amp;" "&amp;Milestones!$AB$50&amp;" "&amp;Milestones!$AC$50&amp;";  ","")&amp;IF(AND(EDATE($D73,Milestones!$AA$51)&lt;=AsOfDate,IF($R73=0,$X73,IF(AND($T73&lt;&gt;"",EDATE($D73,Milestones!$AA$51)&gt;=$T73),$W73,IF(AND($S73&lt;&gt;"",EDATE($D73,Milestones!$AA$51)&gt;=$S73),$V73,$U73)))=Milestones!$AB$51),UPPER(TEXT(EDATE($D73,Milestones!$AA$51),"dd mmm yy"))&amp;" "&amp;Milestones!$AB$51&amp;" "&amp;Milestones!$AC$51&amp;";  ","")&amp;IF(AND(EDATE($D73,Milestones!$AA$52)&lt;=AsOfDate,IF($R73=0,$X73,IF(AND($T73&lt;&gt;"",EDATE($D73,Milestones!$AA$52)&gt;=$T73),$W73,IF(AND($S73&lt;&gt;"",EDATE($D73,Milestones!$AA$52)&gt;=$S73),$V73,$U73)))=Milestones!$AB$52),UPPER(TEXT(EDATE($D73,Milestones!$AA$52),"dd mmm yy"))&amp;" "&amp;Milestones!$AB$52&amp;" "&amp;Milestones!$AC$52&amp;";  ","")&amp;IF(AND(EDATE($D73,Milestones!$AA$53)&lt;=AsOfDate,IF($R73=0,$X73,IF(AND($T73&lt;&gt;"",EDATE($D73,Milestones!$AA$53)&gt;=$T73),$W73,IF(AND($S73&lt;&gt;"",EDATE($D73,Milestones!$AA$53)&gt;=$S73),$V73,$U73)))=Milestones!$AB$53),UPPER(TEXT(EDATE($D73,Milestones!$AA$53),"dd mmm yy"))&amp;" "&amp;Milestones!$AB$53&amp;" "&amp;Milestones!$AC$53&amp;";  ","")&amp;IF(AND(EDATE($D73,Milestones!$AA$54)&lt;=AsOfDate,IF($R73=0,$X73,IF(AND($T73&lt;&gt;"",EDATE($D73,Milestones!$AA$54)&gt;=$T73),$W73,IF(AND($S73&lt;&gt;"",EDATE($D73,Milestones!$AA$54)&gt;=$S73),$V73,$U73)))=Milestones!$AB$54),UPPER(TEXT(EDATE($D73,Milestones!$AA$54),"dd mmm yy"))&amp;" "&amp;Milestones!$AB$54&amp;" "&amp;Milestones!$AC$54&amp;";  ","")&amp;IF(AND(EDATE($D73,Milestones!$AA$55)&lt;=AsOfDate,IF($R73=0,$X73,IF(AND($T73&lt;&gt;"",EDATE($D73,Milestones!$AA$55)&gt;=$T73),$W73,IF(AND($S73&lt;&gt;"",EDATE($D73,Milestones!$AA$55)&gt;=$S73),$V73,$U73)))=Milestones!$AB$55),UPPER(TEXT(EDATE($D73,Milestones!$AA$55),"dd mmm yy"))&amp;" "&amp;Milestones!$AB$55&amp;" "&amp;Milestones!$AC$55&amp;";  ","")&amp;IF(AND(EDATE($D73,Milestones!$AA$56)&lt;=AsOfDate,IF($R73=0,$X73,IF(AND($T73&lt;&gt;"",EDATE($D73,Milestones!$AA$56)&gt;=$T73),$W73,IF(AND($S73&lt;&gt;"",EDATE($D73,Milestones!$AA$56)&gt;=$S73),$V73,$U73)))=Milestones!$AB$56),UPPER(TEXT(EDATE($D73,Milestones!$AA$56),"dd mmm yy"))&amp;" "&amp;Milestones!$AB$56&amp;" "&amp;Milestones!$AC$56&amp;";  ","")&amp;IF(AND(EDATE($D73,Milestones!$AA$57)&lt;=AsOfDate,IF($R73=0,$X73,IF(AND($T73&lt;&gt;"",EDATE($D73,Milestones!$AA$57)&gt;=$T73),$W73,IF(AND($S73&lt;&gt;"",EDATE($D73,Milestones!$AA$57)&gt;=$S73),$V73,$U73)))=Milestones!$AB$57),UPPER(TEXT(EDATE($D73,Milestones!$AA$57),"dd mmm yy"))&amp;" "&amp;Milestones!$AB$57&amp;" "&amp;Milestones!$AC$57&amp;";  ","")&amp;IF(AND(EDATE($D73,Milestones!$AA$58)&lt;=AsOfDate,IF($R73=0,$X73,IF(AND($T73&lt;&gt;"",EDATE($D73,Milestones!$AA$58)&gt;=$T73),$W73,IF(AND($S73&lt;&gt;"",EDATE($D73,Milestones!$AA$58)&gt;=$S73),$V73,$U73)))=Milestones!$AB$58),UPPER(TEXT(EDATE($D73,Milestones!$AA$58),"dd mmm yy"))&amp;" "&amp;Milestones!$AB$58&amp;" "&amp;Milestones!$AC$58&amp;";  ","")&amp;IF(AND(EDATE($D73,Milestones!$AA$59)&lt;=AsOfDate,IF($R73=0,$X73,IF(AND($T73&lt;&gt;"",EDATE($D73,Milestones!$AA$59)&gt;=$T73),$W73,IF(AND($S73&lt;&gt;"",EDATE($D73,Milestones!$AA$59)&gt;=$S73),$V73,$U73)))=Milestones!$AB$59),UPPER(TEXT(EDATE($D73,Milestones!$AA$59),"dd mmm yy"))&amp;" "&amp;Milestones!$AB$59&amp;" "&amp;Milestones!$AC$59&amp;";  ",""))</f>
        <v/>
      </c>
      <c r="K73" s="0" t="str">
        <f aca="false">IF(OR($A73="",$D73=""),"",IF(AND(EDATE($D73,Milestones!$AA$60)&lt;=AsOfDate,IF($R73=0,$X73,IF(AND($T73&lt;&gt;"",EDATE($D73,Milestones!$AA$60)&gt;=$T73),$W73,IF(AND($S73&lt;&gt;"",EDATE($D73,Milestones!$AA$60)&gt;=$S73),$V73,$U73)))=Milestones!$AB$60),UPPER(TEXT(EDATE($D73,Milestones!$AA$60),"dd mmm yy"))&amp;" "&amp;Milestones!$AB$60&amp;" "&amp;Milestones!$AC$60&amp;";  ","")&amp;IF(AND(EDATE($D73,Milestones!$AA$61)&lt;=AsOfDate,IF($R73=0,$X73,IF(AND($T73&lt;&gt;"",EDATE($D73,Milestones!$AA$61)&gt;=$T73),$W73,IF(AND($S73&lt;&gt;"",EDATE($D73,Milestones!$AA$61)&gt;=$S73),$V73,$U73)))=Milestones!$AB$61),UPPER(TEXT(EDATE($D73,Milestones!$AA$61),"dd mmm yy"))&amp;" "&amp;Milestones!$AB$61&amp;" "&amp;Milestones!$AC$61&amp;";  ","")&amp;IF(AND(EDATE($D73,Milestones!$AA$62)&lt;=AsOfDate,IF($R73=0,$X73,IF(AND($T73&lt;&gt;"",EDATE($D73,Milestones!$AA$62)&gt;=$T73),$W73,IF(AND($S73&lt;&gt;"",EDATE($D73,Milestones!$AA$62)&gt;=$S73),$V73,$U73)))=Milestones!$AB$62),UPPER(TEXT(EDATE($D73,Milestones!$AA$62),"dd mmm yy"))&amp;" "&amp;Milestones!$AB$62&amp;" "&amp;Milestones!$AC$62&amp;";  ","")&amp;IF(AND(EDATE($D73,Milestones!$AA$63)&lt;=AsOfDate,IF($R73=0,$X73,IF(AND($T73&lt;&gt;"",EDATE($D73,Milestones!$AA$63)&gt;=$T73),$W73,IF(AND($S73&lt;&gt;"",EDATE($D73,Milestones!$AA$63)&gt;=$S73),$V73,$U73)))=Milestones!$AB$63),UPPER(TEXT(EDATE($D73,Milestones!$AA$63),"dd mmm yy"))&amp;" "&amp;Milestones!$AB$63&amp;" "&amp;Milestones!$AC$63&amp;";  ","")&amp;IF(AND(EDATE($D73,Milestones!$AA$64)&lt;=AsOfDate,IF($R73=0,$X73,IF(AND($T73&lt;&gt;"",EDATE($D73,Milestones!$AA$64)&gt;=$T73),$W73,IF(AND($S73&lt;&gt;"",EDATE($D73,Milestones!$AA$64)&gt;=$S73),$V73,$U73)))=Milestones!$AB$64),UPPER(TEXT(EDATE($D73,Milestones!$AA$64),"dd mmm yy"))&amp;" "&amp;Milestones!$AB$64&amp;" "&amp;Milestones!$AC$64&amp;";  ","")&amp;IF(AND(EDATE($D73,Milestones!$AA$65)&lt;=AsOfDate,IF($R73=0,$X73,IF(AND($T73&lt;&gt;"",EDATE($D73,Milestones!$AA$65)&gt;=$T73),$W73,IF(AND($S73&lt;&gt;"",EDATE($D73,Milestones!$AA$65)&gt;=$S73),$V73,$U73)))=Milestones!$AB$65),UPPER(TEXT(EDATE($D73,Milestones!$AA$65),"dd mmm yy"))&amp;" "&amp;Milestones!$AB$65&amp;" "&amp;Milestones!$AC$65&amp;";  ","")&amp;IF(AND(EDATE($D73,Milestones!$AA$66)&lt;=AsOfDate,IF($R73=0,$X73,IF(AND($T73&lt;&gt;"",EDATE($D73,Milestones!$AA$66)&gt;=$T73),$W73,IF(AND($S73&lt;&gt;"",EDATE($D73,Milestones!$AA$66)&gt;=$S73),$V73,$U73)))=Milestones!$AB$66),UPPER(TEXT(EDATE($D73,Milestones!$AA$66),"dd mmm yy"))&amp;" "&amp;Milestones!$AB$66&amp;" "&amp;Milestones!$AC$66&amp;";  ","")&amp;IF(AND(EDATE($D73,Milestones!$AA$67)&lt;=AsOfDate,IF($R73=0,$X73,IF(AND($T73&lt;&gt;"",EDATE($D73,Milestones!$AA$67)&gt;=$T73),$W73,IF(AND($S73&lt;&gt;"",EDATE($D73,Milestones!$AA$67)&gt;=$S73),$V73,$U73)))=Milestones!$AB$67),UPPER(TEXT(EDATE($D73,Milestones!$AA$67),"dd mmm yy"))&amp;" "&amp;Milestones!$AB$67&amp;" "&amp;Milestones!$AC$67&amp;";  ","")&amp;IF(AND(EDATE($D73,Milestones!$AA$68)&lt;=AsOfDate,IF($R73=0,$X73,IF(AND($T73&lt;&gt;"",EDATE($D73,Milestones!$AA$68)&gt;=$T73),$W73,IF(AND($S73&lt;&gt;"",EDATE($D73,Milestones!$AA$68)&gt;=$S73),$V73,$U73)))=Milestones!$AB$68),UPPER(TEXT(EDATE($D73,Milestones!$AA$68),"dd mmm yy"))&amp;" "&amp;Milestones!$AB$68&amp;" "&amp;Milestones!$AC$68&amp;";  ","")&amp;IF(AND(EDATE($D73,Milestones!$AA$69)&lt;=AsOfDate,IF($R73=0,$X73,IF(AND($T73&lt;&gt;"",EDATE($D73,Milestones!$AA$69)&gt;=$T73),$W73,IF(AND($S73&lt;&gt;"",EDATE($D73,Milestones!$AA$69)&gt;=$S73),$V73,$U73)))=Milestones!$AB$69),UPPER(TEXT(EDATE($D73,Milestones!$AA$69),"dd mmm yy"))&amp;" "&amp;Milestones!$AB$69&amp;" "&amp;Milestones!$AC$69&amp;";  ","")&amp;IF(AND(EDATE($D73,Milestones!$AA$70)&lt;=AsOfDate,IF($R73=0,$X73,IF(AND($T73&lt;&gt;"",EDATE($D73,Milestones!$AA$70)&gt;=$T73),$W73,IF(AND($S73&lt;&gt;"",EDATE($D73,Milestones!$AA$70)&gt;=$S73),$V73,$U73)))=Milestones!$AB$70),UPPER(TEXT(EDATE($D73,Milestones!$AA$70),"dd mmm yy"))&amp;" "&amp;Milestones!$AB$70&amp;" "&amp;Milestones!$AC$70&amp;";  ","")&amp;IF(AND(EDATE($D73,Milestones!$AA$71)&lt;=AsOfDate,IF($R73=0,$X73,IF(AND($T73&lt;&gt;"",EDATE($D73,Milestones!$AA$71)&gt;=$T73),$W73,IF(AND($S73&lt;&gt;"",EDATE($D73,Milestones!$AA$71)&gt;=$S73),$V73,$U73)))=Milestones!$AB$71),UPPER(TEXT(EDATE($D73,Milestones!$AA$71),"dd mmm yy"))&amp;" "&amp;Milestones!$AB$71&amp;" "&amp;Milestones!$AC$71&amp;";  ","")&amp;IF(AND(EDATE($D73,Milestones!$AA$72)&lt;=AsOfDate,IF($R73=0,$X73,IF(AND($T73&lt;&gt;"",EDATE($D73,Milestones!$AA$72)&gt;=$T73),$W73,IF(AND($S73&lt;&gt;"",EDATE($D73,Milestones!$AA$72)&gt;=$S73),$V73,$U73)))=Milestones!$AB$72),UPPER(TEXT(EDATE($D73,Milestones!$AA$72),"dd mmm yy"))&amp;" "&amp;Milestones!$AB$72&amp;" "&amp;Milestones!$AC$72&amp;";  ","")&amp;IF(AND(EDATE($D73,Milestones!$AA$73)&lt;=AsOfDate,IF($R73=0,$X73,IF(AND($T73&lt;&gt;"",EDATE($D73,Milestones!$AA$73)&gt;=$T73),$W73,IF(AND($S73&lt;&gt;"",EDATE($D73,Milestones!$AA$73)&gt;=$S73),$V73,$U73)))=Milestones!$AB$73),UPPER(TEXT(EDATE($D73,Milestones!$AA$73),"dd mmm yy"))&amp;" "&amp;Milestones!$AB$73&amp;" "&amp;Milestones!$AC$73&amp;";  ","")&amp;IF(AND(EDATE($D73,Milestones!$AA$74)&lt;=AsOfDate,IF($R73=0,$X73,IF(AND($T73&lt;&gt;"",EDATE($D73,Milestones!$AA$74)&gt;=$T73),$W73,IF(AND($S73&lt;&gt;"",EDATE($D73,Milestones!$AA$74)&gt;=$S73),$V73,$U73)))=Milestones!$AB$74),UPPER(TEXT(EDATE($D73,Milestones!$AA$74),"dd mmm yy"))&amp;" "&amp;Milestones!$AB$74&amp;" "&amp;Milestones!$AC$74&amp;";  ","")&amp;IF(AND(EDATE($D73,Milestones!$AA$75)&lt;=AsOfDate,IF($R73=0,$X73,IF(AND($T73&lt;&gt;"",EDATE($D73,Milestones!$AA$75)&gt;=$T73),$W73,IF(AND($S73&lt;&gt;"",EDATE($D73,Milestones!$AA$75)&gt;=$S73),$V73,$U73)))=Milestones!$AB$75),UPPER(TEXT(EDATE($D73,Milestones!$AA$75),"dd mmm yy"))&amp;" "&amp;Milestones!$AB$75&amp;" "&amp;Milestones!$AC$75&amp;";  ","")&amp;IF(AND(EDATE($D73,Milestones!$AA$76)&lt;=AsOfDate,IF($R73=0,$X73,IF(AND($T73&lt;&gt;"",EDATE($D73,Milestones!$AA$76)&gt;=$T73),$W73,IF(AND($S73&lt;&gt;"",EDATE($D73,Milestones!$AA$76)&gt;=$S73),$V73,$U73)))=Milestones!$AB$76),UPPER(TEXT(EDATE($D73,Milestones!$AA$76),"dd mmm yy"))&amp;" "&amp;Milestones!$AB$76&amp;" "&amp;Milestones!$AC$76&amp;";  ","")&amp;IF(AND(EDATE($D73,Milestones!$AA$77)&lt;=AsOfDate,IF($R73=0,$X73,IF(AND($T73&lt;&gt;"",EDATE($D73,Milestones!$AA$77)&gt;=$T73),$W73,IF(AND($S73&lt;&gt;"",EDATE($D73,Milestones!$AA$77)&gt;=$S73),$V73,$U73)))=Milestones!$AB$77),UPPER(TEXT(EDATE($D73,Milestones!$AA$77),"dd mmm yy"))&amp;" "&amp;Milestones!$AB$77&amp;" "&amp;Milestones!$AC$77&amp;";  ","")&amp;IF(AND(EDATE($D73,Milestones!$AA$78)&lt;=AsOfDate,IF($R73=0,$X73,IF(AND($T73&lt;&gt;"",EDATE($D73,Milestones!$AA$78)&gt;=$T73),$W73,IF(AND($S73&lt;&gt;"",EDATE($D73,Milestones!$AA$78)&gt;=$S73),$V73,$U73)))=Milestones!$AB$78),UPPER(TEXT(EDATE($D73,Milestones!$AA$78),"dd mmm yy"))&amp;" "&amp;Milestones!$AB$78&amp;" "&amp;Milestones!$AC$78&amp;";  ","")&amp;IF(AND(EDATE($D73,Milestones!$AA$79)&lt;=AsOfDate,IF($R73=0,$X73,IF(AND($T73&lt;&gt;"",EDATE($D73,Milestones!$AA$79)&gt;=$T73),$W73,IF(AND($S73&lt;&gt;"",EDATE($D73,Milestones!$AA$79)&gt;=$S73),$V73,$U73)))=Milestones!$AB$79),UPPER(TEXT(EDATE($D73,Milestones!$AA$79),"dd mmm yy"))&amp;" "&amp;Milestones!$AB$79&amp;" "&amp;Milestones!$AC$79&amp;";  ",""))</f>
        <v/>
      </c>
      <c r="L73" s="0" t="str">
        <f aca="false">IF(OR($A73="",$D73=""),"",IF(AND(EDATE($D73,Milestones!$AA$80)&lt;=AsOfDate,IF($R73=0,$X73,IF(AND($T73&lt;&gt;"",EDATE($D73,Milestones!$AA$80)&gt;=$T73),$W73,IF(AND($S73&lt;&gt;"",EDATE($D73,Milestones!$AA$80)&gt;=$S73),$V73,$U73)))=Milestones!$AB$80),UPPER(TEXT(EDATE($D73,Milestones!$AA$80),"dd mmm yy"))&amp;" "&amp;Milestones!$AB$80&amp;" "&amp;Milestones!$AC$80&amp;";  ","")&amp;IF(AND(EDATE($D73,Milestones!$AA$81)&lt;=AsOfDate,IF($R73=0,$X73,IF(AND($T73&lt;&gt;"",EDATE($D73,Milestones!$AA$81)&gt;=$T73),$W73,IF(AND($S73&lt;&gt;"",EDATE($D73,Milestones!$AA$81)&gt;=$S73),$V73,$U73)))=Milestones!$AB$81),UPPER(TEXT(EDATE($D73,Milestones!$AA$81),"dd mmm yy"))&amp;" "&amp;Milestones!$AB$81&amp;" "&amp;Milestones!$AC$81&amp;";  ","")&amp;IF(AND(EDATE($D73,Milestones!$AA$82)&lt;=AsOfDate,IF($R73=0,$X73,IF(AND($T73&lt;&gt;"",EDATE($D73,Milestones!$AA$82)&gt;=$T73),$W73,IF(AND($S73&lt;&gt;"",EDATE($D73,Milestones!$AA$82)&gt;=$S73),$V73,$U73)))=Milestones!$AB$82),UPPER(TEXT(EDATE($D73,Milestones!$AA$82),"dd mmm yy"))&amp;" "&amp;Milestones!$AB$82&amp;" "&amp;Milestones!$AC$82&amp;";  ","")&amp;IF(AND(EDATE($D73,Milestones!$AA$83)&lt;=AsOfDate,IF($R73=0,$X73,IF(AND($T73&lt;&gt;"",EDATE($D73,Milestones!$AA$83)&gt;=$T73),$W73,IF(AND($S73&lt;&gt;"",EDATE($D73,Milestones!$AA$83)&gt;=$S73),$V73,$U73)))=Milestones!$AB$83),UPPER(TEXT(EDATE($D73,Milestones!$AA$83),"dd mmm yy"))&amp;" "&amp;Milestones!$AB$83&amp;" "&amp;Milestones!$AC$83&amp;";  ","")&amp;IF(AND(EDATE($D73,Milestones!$AA$84)&lt;=AsOfDate,IF($R73=0,$X73,IF(AND($T73&lt;&gt;"",EDATE($D73,Milestones!$AA$84)&gt;=$T73),$W73,IF(AND($S73&lt;&gt;"",EDATE($D73,Milestones!$AA$84)&gt;=$S73),$V73,$U73)))=Milestones!$AB$84),UPPER(TEXT(EDATE($D73,Milestones!$AA$84),"dd mmm yy"))&amp;" "&amp;Milestones!$AB$84&amp;" "&amp;Milestones!$AC$84&amp;";  ","")&amp;IF(AND(EDATE($D73,Milestones!$AA$85)&lt;=AsOfDate,IF($R73=0,$X73,IF(AND($T73&lt;&gt;"",EDATE($D73,Milestones!$AA$85)&gt;=$T73),$W73,IF(AND($S73&lt;&gt;"",EDATE($D73,Milestones!$AA$85)&gt;=$S73),$V73,$U73)))=Milestones!$AB$85),UPPER(TEXT(EDATE($D73,Milestones!$AA$85),"dd mmm yy"))&amp;" "&amp;Milestones!$AB$85&amp;" "&amp;Milestones!$AC$85&amp;";  ","")&amp;IF(AND(EDATE($D73,Milestones!$AA$86)&lt;=AsOfDate,IF($R73=0,$X73,IF(AND($T73&lt;&gt;"",EDATE($D73,Milestones!$AA$86)&gt;=$T73),$W73,IF(AND($S73&lt;&gt;"",EDATE($D73,Milestones!$AA$86)&gt;=$S73),$V73,$U73)))=Milestones!$AB$86),UPPER(TEXT(EDATE($D73,Milestones!$AA$86),"dd mmm yy"))&amp;" "&amp;Milestones!$AB$86&amp;" "&amp;Milestones!$AC$86&amp;";  ","")&amp;IF(AND(EDATE($D73,Milestones!$AA$87)&lt;=AsOfDate,IF($R73=0,$X73,IF(AND($T73&lt;&gt;"",EDATE($D73,Milestones!$AA$87)&gt;=$T73),$W73,IF(AND($S73&lt;&gt;"",EDATE($D73,Milestones!$AA$87)&gt;=$S73),$V73,$U73)))=Milestones!$AB$87),UPPER(TEXT(EDATE($D73,Milestones!$AA$87),"dd mmm yy"))&amp;" "&amp;Milestones!$AB$87&amp;" "&amp;Milestones!$AC$87&amp;";  ","")&amp;IF(AND(EDATE($D73,Milestones!$AA$88)&lt;=AsOfDate,IF($R73=0,$X73,IF(AND($T73&lt;&gt;"",EDATE($D73,Milestones!$AA$88)&gt;=$T73),$W73,IF(AND($S73&lt;&gt;"",EDATE($D73,Milestones!$AA$88)&gt;=$S73),$V73,$U73)))=Milestones!$AB$88),UPPER(TEXT(EDATE($D73,Milestones!$AA$88),"dd mmm yy"))&amp;" "&amp;Milestones!$AB$88&amp;" "&amp;Milestones!$AC$88&amp;";  ","")&amp;IF(AND(EDATE($D73,Milestones!$AA$89)&lt;=AsOfDate,IF($R73=0,$X73,IF(AND($T73&lt;&gt;"",EDATE($D73,Milestones!$AA$89)&gt;=$T73),$W73,IF(AND($S73&lt;&gt;"",EDATE($D73,Milestones!$AA$89)&gt;=$S73),$V73,$U73)))=Milestones!$AB$89),UPPER(TEXT(EDATE($D73,Milestones!$AA$89),"dd mmm yy"))&amp;" "&amp;Milestones!$AB$89&amp;" "&amp;Milestones!$AC$89&amp;";  ","")&amp;IF(AND(EDATE($D73,Milestones!$AA$90)&lt;=AsOfDate,IF($R73=0,$X73,IF(AND($T73&lt;&gt;"",EDATE($D73,Milestones!$AA$90)&gt;=$T73),$W73,IF(AND($S73&lt;&gt;"",EDATE($D73,Milestones!$AA$90)&gt;=$S73),$V73,$U73)))=Milestones!$AB$90),UPPER(TEXT(EDATE($D73,Milestones!$AA$90),"dd mmm yy"))&amp;" "&amp;Milestones!$AB$90&amp;" "&amp;Milestones!$AC$90&amp;";  ","")&amp;IF(AND(EDATE($D73,Milestones!$AA$91)&lt;=AsOfDate,IF($R73=0,$X73,IF(AND($T73&lt;&gt;"",EDATE($D73,Milestones!$AA$91)&gt;=$T73),$W73,IF(AND($S73&lt;&gt;"",EDATE($D73,Milestones!$AA$91)&gt;=$S73),$V73,$U73)))=Milestones!$AB$91),UPPER(TEXT(EDATE($D73,Milestones!$AA$91),"dd mmm yy"))&amp;" "&amp;Milestones!$AB$91&amp;" "&amp;Milestones!$AC$91&amp;";  ","")&amp;IF(AND(EDATE($D73,Milestones!$AA$92)&lt;=AsOfDate,IF($R73=0,$X73,IF(AND($T73&lt;&gt;"",EDATE($D73,Milestones!$AA$92)&gt;=$T73),$W73,IF(AND($S73&lt;&gt;"",EDATE($D73,Milestones!$AA$92)&gt;=$S73),$V73,$U73)))=Milestones!$AB$92),UPPER(TEXT(EDATE($D73,Milestones!$AA$92),"dd mmm yy"))&amp;" "&amp;Milestones!$AB$92&amp;" "&amp;Milestones!$AC$92&amp;";  ","")&amp;IF(AND(EDATE($D73,Milestones!$AA$93)&lt;=AsOfDate,IF($R73=0,$X73,IF(AND($T73&lt;&gt;"",EDATE($D73,Milestones!$AA$93)&gt;=$T73),$W73,IF(AND($S73&lt;&gt;"",EDATE($D73,Milestones!$AA$93)&gt;=$S73),$V73,$U73)))=Milestones!$AB$93),UPPER(TEXT(EDATE($D73,Milestones!$AA$93),"dd mmm yy"))&amp;" "&amp;Milestones!$AB$93&amp;" "&amp;Milestones!$AC$93&amp;";  ","")&amp;IF(AND(EDATE($D73,Milestones!$AA$94)&lt;=AsOfDate,IF($R73=0,$X73,IF(AND($T73&lt;&gt;"",EDATE($D73,Milestones!$AA$94)&gt;=$T73),$W73,IF(AND($S73&lt;&gt;"",EDATE($D73,Milestones!$AA$94)&gt;=$S73),$V73,$U73)))=Milestones!$AB$94),UPPER(TEXT(EDATE($D73,Milestones!$AA$94),"dd mmm yy"))&amp;" "&amp;Milestones!$AB$94&amp;" "&amp;Milestones!$AC$94&amp;";  ","")&amp;IF(AND(EDATE($D73,Milestones!$AA$95)&lt;=AsOfDate,IF($R73=0,$X73,IF(AND($T73&lt;&gt;"",EDATE($D73,Milestones!$AA$95)&gt;=$T73),$W73,IF(AND($S73&lt;&gt;"",EDATE($D73,Milestones!$AA$95)&gt;=$S73),$V73,$U73)))=Milestones!$AB$95),UPPER(TEXT(EDATE($D73,Milestones!$AA$95),"dd mmm yy"))&amp;" "&amp;Milestones!$AB$95&amp;" "&amp;Milestones!$AC$95&amp;";  ","")&amp;IF(AND(EDATE($D73,Milestones!$AA$96)&lt;=AsOfDate,IF($R73=0,$X73,IF(AND($T73&lt;&gt;"",EDATE($D73,Milestones!$AA$96)&gt;=$T73),$W73,IF(AND($S73&lt;&gt;"",EDATE($D73,Milestones!$AA$96)&gt;=$S73),$V73,$U73)))=Milestones!$AB$96),UPPER(TEXT(EDATE($D73,Milestones!$AA$96),"dd mmm yy"))&amp;" "&amp;Milestones!$AB$96&amp;" "&amp;Milestones!$AC$96&amp;";  ","")&amp;IF(AND(EDATE($D73,Milestones!$AA$97)&lt;=AsOfDate,IF($R73=0,$X73,IF(AND($T73&lt;&gt;"",EDATE($D73,Milestones!$AA$97)&gt;=$T73),$W73,IF(AND($S73&lt;&gt;"",EDATE($D73,Milestones!$AA$97)&gt;=$S73),$V73,$U73)))=Milestones!$AB$97),UPPER(TEXT(EDATE($D73,Milestones!$AA$97),"dd mmm yy"))&amp;" "&amp;Milestones!$AB$97&amp;" "&amp;Milestones!$AC$97&amp;";  ","")&amp;IF(AND(EDATE($D73,Milestones!$AA$98)&lt;=AsOfDate,IF($R73=0,$X73,IF(AND($T73&lt;&gt;"",EDATE($D73,Milestones!$AA$98)&gt;=$T73),$W73,IF(AND($S73&lt;&gt;"",EDATE($D73,Milestones!$AA$98)&gt;=$S73),$V73,$U73)))=Milestones!$AB$98),UPPER(TEXT(EDATE($D73,Milestones!$AA$98),"dd mmm yy"))&amp;" "&amp;Milestones!$AB$98&amp;" "&amp;Milestones!$AC$98&amp;";  ","")&amp;IF(AND(EDATE($D73,Milestones!$AA$99)&lt;=AsOfDate,IF($R73=0,$X73,IF(AND($T73&lt;&gt;"",EDATE($D73,Milestones!$AA$99)&gt;=$T73),$W73,IF(AND($S73&lt;&gt;"",EDATE($D73,Milestones!$AA$99)&gt;=$S73),$V73,$U73)))=Milestones!$AB$99),UPPER(TEXT(EDATE($D73,Milestones!$AA$99),"dd mmm yy"))&amp;" "&amp;Milestones!$AB$99&amp;" "&amp;Milestones!$AC$99&amp;";  ",""))</f>
        <v/>
      </c>
      <c r="M73" s="0" t="str">
        <f aca="false">IF(OR($A73="",$D73=""),"",IF(AND(EDATE($D73,Milestones!$AA$100)&lt;=AsOfDate,IF($R73=0,$X73,IF(AND($T73&lt;&gt;"",EDATE($D73,Milestones!$AA$100)&gt;=$T73),$W73,IF(AND($S73&lt;&gt;"",EDATE($D73,Milestones!$AA$100)&gt;=$S73),$V73,$U73)))=Milestones!$AB$100),UPPER(TEXT(EDATE($D73,Milestones!$AA$100),"dd mmm yy"))&amp;" "&amp;Milestones!$AB$100&amp;" "&amp;Milestones!$AC$100&amp;";  ","")&amp;IF(AND(EDATE($D73,Milestones!$AA$101)&lt;=AsOfDate,IF($R73=0,$X73,IF(AND($T73&lt;&gt;"",EDATE($D73,Milestones!$AA$101)&gt;=$T73),$W73,IF(AND($S73&lt;&gt;"",EDATE($D73,Milestones!$AA$101)&gt;=$S73),$V73,$U73)))=Milestones!$AB$101),UPPER(TEXT(EDATE($D73,Milestones!$AA$101),"dd mmm yy"))&amp;" "&amp;Milestones!$AB$101&amp;" "&amp;Milestones!$AC$101&amp;";  ","")&amp;IF(AND(EDATE($D73,Milestones!$AA$102)&lt;=AsOfDate,IF($R73=0,$X73,IF(AND($T73&lt;&gt;"",EDATE($D73,Milestones!$AA$102)&gt;=$T73),$W73,IF(AND($S73&lt;&gt;"",EDATE($D73,Milestones!$AA$102)&gt;=$S73),$V73,$U73)))=Milestones!$AB$102),UPPER(TEXT(EDATE($D73,Milestones!$AA$102),"dd mmm yy"))&amp;" "&amp;Milestones!$AB$102&amp;" "&amp;Milestones!$AC$102&amp;";  ","")&amp;IF(AND(EDATE($D73,Milestones!$AA$103)&lt;=AsOfDate,IF($R73=0,$X73,IF(AND($T73&lt;&gt;"",EDATE($D73,Milestones!$AA$103)&gt;=$T73),$W73,IF(AND($S73&lt;&gt;"",EDATE($D73,Milestones!$AA$103)&gt;=$S73),$V73,$U73)))=Milestones!$AB$103),UPPER(TEXT(EDATE($D73,Milestones!$AA$103),"dd mmm yy"))&amp;" "&amp;Milestones!$AB$103&amp;" "&amp;Milestones!$AC$103&amp;";  ","")&amp;IF(AND(EDATE($D73,Milestones!$AA$104)&lt;=AsOfDate,IF($R73=0,$X73,IF(AND($T73&lt;&gt;"",EDATE($D73,Milestones!$AA$104)&gt;=$T73),$W73,IF(AND($S73&lt;&gt;"",EDATE($D73,Milestones!$AA$104)&gt;=$S73),$V73,$U73)))=Milestones!$AB$104),UPPER(TEXT(EDATE($D73,Milestones!$AA$104),"dd mmm yy"))&amp;" "&amp;Milestones!$AB$104&amp;" "&amp;Milestones!$AC$104&amp;";  ","")&amp;IF(AND(EDATE($D73,Milestones!$AA$105)&lt;=AsOfDate,IF($R73=0,$X73,IF(AND($T73&lt;&gt;"",EDATE($D73,Milestones!$AA$105)&gt;=$T73),$W73,IF(AND($S73&lt;&gt;"",EDATE($D73,Milestones!$AA$105)&gt;=$S73),$V73,$U73)))=Milestones!$AB$105),UPPER(TEXT(EDATE($D73,Milestones!$AA$105),"dd mmm yy"))&amp;" "&amp;Milestones!$AB$105&amp;" "&amp;Milestones!$AC$105&amp;";  ","")&amp;IF(AND(EDATE($D73,Milestones!$AA$106)&lt;=AsOfDate,IF($R73=0,$X73,IF(AND($T73&lt;&gt;"",EDATE($D73,Milestones!$AA$106)&gt;=$T73),$W73,IF(AND($S73&lt;&gt;"",EDATE($D73,Milestones!$AA$106)&gt;=$S73),$V73,$U73)))=Milestones!$AB$106),UPPER(TEXT(EDATE($D73,Milestones!$AA$106),"dd mmm yy"))&amp;" "&amp;Milestones!$AB$106&amp;" "&amp;Milestones!$AC$106&amp;";  ","")&amp;IF(AND(EDATE($D73,Milestones!$AA$107)&lt;=AsOfDate,IF($R73=0,$X73,IF(AND($T73&lt;&gt;"",EDATE($D73,Milestones!$AA$107)&gt;=$T73),$W73,IF(AND($S73&lt;&gt;"",EDATE($D73,Milestones!$AA$107)&gt;=$S73),$V73,$U73)))=Milestones!$AB$107),UPPER(TEXT(EDATE($D73,Milestones!$AA$107),"dd mmm yy"))&amp;" "&amp;Milestones!$AB$107&amp;" "&amp;Milestones!$AC$107&amp;";  ","")&amp;IF(AND(EDATE($D73,Milestones!$AA$108)&lt;=AsOfDate,IF($R73=0,$X73,IF(AND($T73&lt;&gt;"",EDATE($D73,Milestones!$AA$108)&gt;=$T73),$W73,IF(AND($S73&lt;&gt;"",EDATE($D73,Milestones!$AA$108)&gt;=$S73),$V73,$U73)))=Milestones!$AB$108),UPPER(TEXT(EDATE($D73,Milestones!$AA$108),"dd mmm yy"))&amp;" "&amp;Milestones!$AB$108&amp;" "&amp;Milestones!$AC$108&amp;";  ","")&amp;IF(AND(EDATE($D73,Milestones!$AA$109)&lt;=AsOfDate,IF($R73=0,$X73,IF(AND($T73&lt;&gt;"",EDATE($D73,Milestones!$AA$109)&gt;=$T73),$W73,IF(AND($S73&lt;&gt;"",EDATE($D73,Milestones!$AA$109)&gt;=$S73),$V73,$U73)))=Milestones!$AB$109),UPPER(TEXT(EDATE($D73,Milestones!$AA$109),"dd mmm yy"))&amp;" "&amp;Milestones!$AB$109&amp;" "&amp;Milestones!$AC$109&amp;";  ","")&amp;IF(AND(EDATE($D73,Milestones!$AA$110)&lt;=AsOfDate,IF($R73=0,$X73,IF(AND($T73&lt;&gt;"",EDATE($D73,Milestones!$AA$110)&gt;=$T73),$W73,IF(AND($S73&lt;&gt;"",EDATE($D73,Milestones!$AA$110)&gt;=$S73),$V73,$U73)))=Milestones!$AB$110),UPPER(TEXT(EDATE($D73,Milestones!$AA$110),"dd mmm yy"))&amp;" "&amp;Milestones!$AB$110&amp;" "&amp;Milestones!$AC$110&amp;";  ","")&amp;IF(AND(EDATE($D73,Milestones!$AA$111)&lt;=AsOfDate,IF($R73=0,$X73,IF(AND($T73&lt;&gt;"",EDATE($D73,Milestones!$AA$111)&gt;=$T73),$W73,IF(AND($S73&lt;&gt;"",EDATE($D73,Milestones!$AA$111)&gt;=$S73),$V73,$U73)))=Milestones!$AB$111),UPPER(TEXT(EDATE($D73,Milestones!$AA$111),"dd mmm yy"))&amp;" "&amp;Milestones!$AB$111&amp;" "&amp;Milestones!$AC$111&amp;";  ","")&amp;IF(AND(EDATE($D73,Milestones!$AA$112)&lt;=AsOfDate,IF($R73=0,$X73,IF(AND($T73&lt;&gt;"",EDATE($D73,Milestones!$AA$112)&gt;=$T73),$W73,IF(AND($S73&lt;&gt;"",EDATE($D73,Milestones!$AA$112)&gt;=$S73),$V73,$U73)))=Milestones!$AB$112),UPPER(TEXT(EDATE($D73,Milestones!$AA$112),"dd mmm yy"))&amp;" "&amp;Milestones!$AB$112&amp;" "&amp;Milestones!$AC$112&amp;";  ","")&amp;IF(AND(EDATE($D73,Milestones!$AA$113)&lt;=AsOfDate,IF($R73=0,$X73,IF(AND($T73&lt;&gt;"",EDATE($D73,Milestones!$AA$113)&gt;=$T73),$W73,IF(AND($S73&lt;&gt;"",EDATE($D73,Milestones!$AA$113)&gt;=$S73),$V73,$U73)))=Milestones!$AB$113),UPPER(TEXT(EDATE($D73,Milestones!$AA$113),"dd mmm yy"))&amp;" "&amp;Milestones!$AB$113&amp;" "&amp;Milestones!$AC$113&amp;";  ","")&amp;IF(AND(EDATE($D73,Milestones!$AA$114)&lt;=AsOfDate,IF($R73=0,$X73,IF(AND($T73&lt;&gt;"",EDATE($D73,Milestones!$AA$114)&gt;=$T73),$W73,IF(AND($S73&lt;&gt;"",EDATE($D73,Milestones!$AA$114)&gt;=$S73),$V73,$U73)))=Milestones!$AB$114),UPPER(TEXT(EDATE($D73,Milestones!$AA$114),"dd mmm yy"))&amp;" "&amp;Milestones!$AB$114&amp;" "&amp;Milestones!$AC$114&amp;";  ","")&amp;IF(AND(EDATE($D73,Milestones!$AA$115)&lt;=AsOfDate,IF($R73=0,$X73,IF(AND($T73&lt;&gt;"",EDATE($D73,Milestones!$AA$115)&gt;=$T73),$W73,IF(AND($S73&lt;&gt;"",EDATE($D73,Milestones!$AA$115)&gt;=$S73),$V73,$U73)))=Milestones!$AB$115),UPPER(TEXT(EDATE($D73,Milestones!$AA$115),"dd mmm yy"))&amp;" "&amp;Milestones!$AB$115&amp;" "&amp;Milestones!$AC$115&amp;";  ","")&amp;IF(AND(EDATE($D73,Milestones!$AA$116)&lt;=AsOfDate,IF($R73=0,$X73,IF(AND($T73&lt;&gt;"",EDATE($D73,Milestones!$AA$116)&gt;=$T73),$W73,IF(AND($S73&lt;&gt;"",EDATE($D73,Milestones!$AA$116)&gt;=$S73),$V73,$U73)))=Milestones!$AB$116),UPPER(TEXT(EDATE($D73,Milestones!$AA$116),"dd mmm yy"))&amp;" "&amp;Milestones!$AB$116&amp;" "&amp;Milestones!$AC$116&amp;";  ","")&amp;IF(AND(EDATE($D73,Milestones!$AA$117)&lt;=AsOfDate,IF($R73=0,$X73,IF(AND($T73&lt;&gt;"",EDATE($D73,Milestones!$AA$117)&gt;=$T73),$W73,IF(AND($S73&lt;&gt;"",EDATE($D73,Milestones!$AA$117)&gt;=$S73),$V73,$U73)))=Milestones!$AB$117),UPPER(TEXT(EDATE($D73,Milestones!$AA$117),"dd mmm yy"))&amp;" "&amp;Milestones!$AB$117&amp;" "&amp;Milestones!$AC$117&amp;";  ","")&amp;IF(AND(EDATE($D73,Milestones!$AA$118)&lt;=AsOfDate,IF($R73=0,$X73,IF(AND($T73&lt;&gt;"",EDATE($D73,Milestones!$AA$118)&gt;=$T73),$W73,IF(AND($S73&lt;&gt;"",EDATE($D73,Milestones!$AA$118)&gt;=$S73),$V73,$U73)))=Milestones!$AB$118),UPPER(TEXT(EDATE($D73,Milestones!$AA$118),"dd mmm yy"))&amp;" "&amp;Milestones!$AB$118&amp;" "&amp;Milestones!$AC$118&amp;";  ","")&amp;IF(AND(EDATE($D73,Milestones!$AA$119)&lt;=AsOfDate,IF($R73=0,$X73,IF(AND($T73&lt;&gt;"",EDATE($D73,Milestones!$AA$119)&gt;=$T73),$W73,IF(AND($S73&lt;&gt;"",EDATE($D73,Milestones!$AA$119)&gt;=$S73),$V73,$U73)))=Milestones!$AB$119),UPPER(TEXT(EDATE($D73,Milestones!$AA$119),"dd mmm yy"))&amp;" "&amp;Milestones!$AB$119&amp;" "&amp;Milestones!$AC$119&amp;";  ",""))</f>
        <v/>
      </c>
      <c r="N73" s="0" t="str">
        <f aca="false">IF(OR($A73="",$D73=""),"",IF(AND(EDATE($D73,Milestones!$AA$120)&lt;=AsOfDate,IF($R73=0,$X73,IF(AND($T73&lt;&gt;"",EDATE($D73,Milestones!$AA$120)&gt;=$T73),$W73,IF(AND($S73&lt;&gt;"",EDATE($D73,Milestones!$AA$120)&gt;=$S73),$V73,$U73)))=Milestones!$AB$120),UPPER(TEXT(EDATE($D73,Milestones!$AA$120),"dd mmm yy"))&amp;" "&amp;Milestones!$AB$120&amp;" "&amp;Milestones!$AC$120&amp;";  ","")&amp;IF(AND(EDATE($D73,Milestones!$AA$121)&lt;=AsOfDate,IF($R73=0,$X73,IF(AND($T73&lt;&gt;"",EDATE($D73,Milestones!$AA$121)&gt;=$T73),$W73,IF(AND($S73&lt;&gt;"",EDATE($D73,Milestones!$AA$121)&gt;=$S73),$V73,$U73)))=Milestones!$AB$121),UPPER(TEXT(EDATE($D73,Milestones!$AA$121),"dd mmm yy"))&amp;" "&amp;Milestones!$AB$121&amp;" "&amp;Milestones!$AC$121&amp;";  ","")&amp;IF(AND(EDATE($D73,Milestones!$AA$122)&lt;=AsOfDate,IF($R73=0,$X73,IF(AND($T73&lt;&gt;"",EDATE($D73,Milestones!$AA$122)&gt;=$T73),$W73,IF(AND($S73&lt;&gt;"",EDATE($D73,Milestones!$AA$122)&gt;=$S73),$V73,$U73)))=Milestones!$AB$122),UPPER(TEXT(EDATE($D73,Milestones!$AA$122),"dd mmm yy"))&amp;" "&amp;Milestones!$AB$122&amp;" "&amp;Milestones!$AC$122&amp;";  ","")&amp;IF(AND(EDATE($D73,Milestones!$AA$123)&lt;=AsOfDate,IF($R73=0,$X73,IF(AND($T73&lt;&gt;"",EDATE($D73,Milestones!$AA$123)&gt;=$T73),$W73,IF(AND($S73&lt;&gt;"",EDATE($D73,Milestones!$AA$123)&gt;=$S73),$V73,$U73)))=Milestones!$AB$123),UPPER(TEXT(EDATE($D73,Milestones!$AA$123),"dd mmm yy"))&amp;" "&amp;Milestones!$AB$123&amp;" "&amp;Milestones!$AC$123&amp;";  ","")&amp;IF(AND(EDATE($D73,Milestones!$AA$124)&lt;=AsOfDate,IF($R73=0,$X73,IF(AND($T73&lt;&gt;"",EDATE($D73,Milestones!$AA$124)&gt;=$T73),$W73,IF(AND($S73&lt;&gt;"",EDATE($D73,Milestones!$AA$124)&gt;=$S73),$V73,$U73)))=Milestones!$AB$124),UPPER(TEXT(EDATE($D73,Milestones!$AA$124),"dd mmm yy"))&amp;" "&amp;Milestones!$AB$124&amp;" "&amp;Milestones!$AC$124&amp;";  ","")&amp;IF(AND(EDATE($D73,Milestones!$AA$125)&lt;=AsOfDate,IF($R73=0,$X73,IF(AND($T73&lt;&gt;"",EDATE($D73,Milestones!$AA$125)&gt;=$T73),$W73,IF(AND($S73&lt;&gt;"",EDATE($D73,Milestones!$AA$125)&gt;=$S73),$V73,$U73)))=Milestones!$AB$125),UPPER(TEXT(EDATE($D73,Milestones!$AA$125),"dd mmm yy"))&amp;" "&amp;Milestones!$AB$125&amp;" "&amp;Milestones!$AC$125&amp;";  ","")&amp;IF(AND(EDATE($D73,Milestones!$AA$126)&lt;=AsOfDate,IF($R73=0,$X73,IF(AND($T73&lt;&gt;"",EDATE($D73,Milestones!$AA$126)&gt;=$T73),$W73,IF(AND($S73&lt;&gt;"",EDATE($D73,Milestones!$AA$126)&gt;=$S73),$V73,$U73)))=Milestones!$AB$126),UPPER(TEXT(EDATE($D73,Milestones!$AA$126),"dd mmm yy"))&amp;" "&amp;Milestones!$AB$126&amp;" "&amp;Milestones!$AC$126&amp;";  ","")&amp;IF(AND(EDATE($D73,Milestones!$AA$127)&lt;=AsOfDate,IF($R73=0,$X73,IF(AND($T73&lt;&gt;"",EDATE($D73,Milestones!$AA$127)&gt;=$T73),$W73,IF(AND($S73&lt;&gt;"",EDATE($D73,Milestones!$AA$127)&gt;=$S73),$V73,$U73)))=Milestones!$AB$127),UPPER(TEXT(EDATE($D73,Milestones!$AA$127),"dd mmm yy"))&amp;" "&amp;Milestones!$AB$127&amp;" "&amp;Milestones!$AC$127&amp;";  ","")&amp;IF(AND(EDATE($D73,Milestones!$AA$128)&lt;=AsOfDate,IF($R73=0,$X73,IF(AND($T73&lt;&gt;"",EDATE($D73,Milestones!$AA$128)&gt;=$T73),$W73,IF(AND($S73&lt;&gt;"",EDATE($D73,Milestones!$AA$128)&gt;=$S73),$V73,$U73)))=Milestones!$AB$128),UPPER(TEXT(EDATE($D73,Milestones!$AA$128),"dd mmm yy"))&amp;" "&amp;Milestones!$AB$128&amp;" "&amp;Milestones!$AC$128&amp;";  ","")&amp;IF(AND(EDATE($D73,Milestones!$AA$129)&lt;=AsOfDate,IF($R73=0,$X73,IF(AND($T73&lt;&gt;"",EDATE($D73,Milestones!$AA$129)&gt;=$T73),$W73,IF(AND($S73&lt;&gt;"",EDATE($D73,Milestones!$AA$129)&gt;=$S73),$V73,$U73)))=Milestones!$AB$129),UPPER(TEXT(EDATE($D73,Milestones!$AA$129),"dd mmm yy"))&amp;" "&amp;Milestones!$AB$129&amp;" "&amp;Milestones!$AC$129&amp;";  ","")&amp;IF(AND(EDATE($D73,Milestones!$AA$130)&lt;=AsOfDate,IF($R73=0,$X73,IF(AND($T73&lt;&gt;"",EDATE($D73,Milestones!$AA$130)&gt;=$T73),$W73,IF(AND($S73&lt;&gt;"",EDATE($D73,Milestones!$AA$130)&gt;=$S73),$V73,$U73)))=Milestones!$AB$130),UPPER(TEXT(EDATE($D73,Milestones!$AA$130),"dd mmm yy"))&amp;" "&amp;Milestones!$AB$130&amp;" "&amp;Milestones!$AC$130&amp;";  ","")&amp;IF(AND(EDATE($D73,Milestones!$AA$131)&lt;=AsOfDate,IF($R73=0,$X73,IF(AND($T73&lt;&gt;"",EDATE($D73,Milestones!$AA$131)&gt;=$T73),$W73,IF(AND($S73&lt;&gt;"",EDATE($D73,Milestones!$AA$131)&gt;=$S73),$V73,$U73)))=Milestones!$AB$131),UPPER(TEXT(EDATE($D73,Milestones!$AA$131),"dd mmm yy"))&amp;" "&amp;Milestones!$AB$131&amp;" "&amp;Milestones!$AC$131&amp;";  ","")&amp;IF(AND(EDATE($D73,Milestones!$AA$132)&lt;=AsOfDate,IF($R73=0,$X73,IF(AND($T73&lt;&gt;"",EDATE($D73,Milestones!$AA$132)&gt;=$T73),$W73,IF(AND($S73&lt;&gt;"",EDATE($D73,Milestones!$AA$132)&gt;=$S73),$V73,$U73)))=Milestones!$AB$132),UPPER(TEXT(EDATE($D73,Milestones!$AA$132),"dd mmm yy"))&amp;" "&amp;Milestones!$AB$132&amp;" "&amp;Milestones!$AC$132&amp;";  ","")&amp;IF(AND(EDATE($D73,Milestones!$AA$133)&lt;=AsOfDate,IF($R73=0,$X73,IF(AND($T73&lt;&gt;"",EDATE($D73,Milestones!$AA$133)&gt;=$T73),$W73,IF(AND($S73&lt;&gt;"",EDATE($D73,Milestones!$AA$133)&gt;=$S73),$V73,$U73)))=Milestones!$AB$133),UPPER(TEXT(EDATE($D73,Milestones!$AA$133),"dd mmm yy"))&amp;" "&amp;Milestones!$AB$133&amp;" "&amp;Milestones!$AC$133&amp;";  ","")&amp;IF(AND(EDATE($D73,Milestones!$AA$134)&lt;=AsOfDate,IF($R73=0,$X73,IF(AND($T73&lt;&gt;"",EDATE($D73,Milestones!$AA$134)&gt;=$T73),$W73,IF(AND($S73&lt;&gt;"",EDATE($D73,Milestones!$AA$134)&gt;=$S73),$V73,$U73)))=Milestones!$AB$134),UPPER(TEXT(EDATE($D73,Milestones!$AA$134),"dd mmm yy"))&amp;" "&amp;Milestones!$AB$134&amp;" "&amp;Milestones!$AC$134&amp;";  ","")&amp;IF(AND(EDATE($D73,Milestones!$AA$135)&lt;=AsOfDate,IF($R73=0,$X73,IF(AND($T73&lt;&gt;"",EDATE($D73,Milestones!$AA$135)&gt;=$T73),$W73,IF(AND($S73&lt;&gt;"",EDATE($D73,Milestones!$AA$135)&gt;=$S73),$V73,$U73)))=Milestones!$AB$135),UPPER(TEXT(EDATE($D73,Milestones!$AA$135),"dd mmm yy"))&amp;" "&amp;Milestones!$AB$135&amp;" "&amp;Milestones!$AC$135&amp;";  ","")&amp;IF(AND(EDATE($D73,Milestones!$AA$136)&lt;=AsOfDate,IF($R73=0,$X73,IF(AND($T73&lt;&gt;"",EDATE($D73,Milestones!$AA$136)&gt;=$T73),$W73,IF(AND($S73&lt;&gt;"",EDATE($D73,Milestones!$AA$136)&gt;=$S73),$V73,$U73)))=Milestones!$AB$136),UPPER(TEXT(EDATE($D73,Milestones!$AA$136),"dd mmm yy"))&amp;" "&amp;Milestones!$AB$136&amp;" "&amp;Milestones!$AC$136&amp;";  ","")&amp;IF(AND(EDATE($D73,Milestones!$AA$137)&lt;=AsOfDate,IF($R73=0,$X73,IF(AND($T73&lt;&gt;"",EDATE($D73,Milestones!$AA$137)&gt;=$T73),$W73,IF(AND($S73&lt;&gt;"",EDATE($D73,Milestones!$AA$137)&gt;=$S73),$V73,$U73)))=Milestones!$AB$137),UPPER(TEXT(EDATE($D73,Milestones!$AA$137),"dd mmm yy"))&amp;" "&amp;Milestones!$AB$137&amp;" "&amp;Milestones!$AC$137&amp;";  ","")&amp;IF(AND(EDATE($D73,Milestones!$AA$138)&lt;=AsOfDate,IF($R73=0,$X73,IF(AND($T73&lt;&gt;"",EDATE($D73,Milestones!$AA$138)&gt;=$T73),$W73,IF(AND($S73&lt;&gt;"",EDATE($D73,Milestones!$AA$138)&gt;=$S73),$V73,$U73)))=Milestones!$AB$138),UPPER(TEXT(EDATE($D73,Milestones!$AA$138),"dd mmm yy"))&amp;" "&amp;Milestones!$AB$138&amp;" "&amp;Milestones!$AC$138&amp;";  ","")&amp;IF(AND(EDATE($D73,Milestones!$AA$139)&lt;=AsOfDate,IF($R73=0,$X73,IF(AND($T73&lt;&gt;"",EDATE($D73,Milestones!$AA$139)&gt;=$T73),$W73,IF(AND($S73&lt;&gt;"",EDATE($D73,Milestones!$AA$139)&gt;=$S73),$V73,$U73)))=Milestones!$AB$139),UPPER(TEXT(EDATE($D73,Milestones!$AA$139),"dd mmm yy"))&amp;" "&amp;Milestones!$AB$139&amp;" "&amp;Milestones!$AC$139&amp;";  ",""))</f>
        <v/>
      </c>
      <c r="O73" s="0" t="str">
        <f aca="false">IF(OR($A73="",$D73=""),"",IF(AND(EDATE($D73,Milestones!$AA$140)&lt;=AsOfDate,IF($R73=0,$X73,IF(AND($T73&lt;&gt;"",EDATE($D73,Milestones!$AA$140)&gt;=$T73),$W73,IF(AND($S73&lt;&gt;"",EDATE($D73,Milestones!$AA$140)&gt;=$S73),$V73,$U73)))=Milestones!$AB$140),UPPER(TEXT(EDATE($D73,Milestones!$AA$140),"dd mmm yy"))&amp;" "&amp;Milestones!$AB$140&amp;" "&amp;Milestones!$AC$140&amp;";  ","")&amp;IF(AND(EDATE($D73,Milestones!$AA$141)&lt;=AsOfDate,IF($R73=0,$X73,IF(AND($T73&lt;&gt;"",EDATE($D73,Milestones!$AA$141)&gt;=$T73),$W73,IF(AND($S73&lt;&gt;"",EDATE($D73,Milestones!$AA$141)&gt;=$S73),$V73,$U73)))=Milestones!$AB$141),UPPER(TEXT(EDATE($D73,Milestones!$AA$141),"dd mmm yy"))&amp;" "&amp;Milestones!$AB$141&amp;" "&amp;Milestones!$AC$141&amp;";  ","")&amp;IF(AND(EDATE($D73,Milestones!$AA$142)&lt;=AsOfDate,IF($R73=0,$X73,IF(AND($T73&lt;&gt;"",EDATE($D73,Milestones!$AA$142)&gt;=$T73),$W73,IF(AND($S73&lt;&gt;"",EDATE($D73,Milestones!$AA$142)&gt;=$S73),$V73,$U73)))=Milestones!$AB$142),UPPER(TEXT(EDATE($D73,Milestones!$AA$142),"dd mmm yy"))&amp;" "&amp;Milestones!$AB$142&amp;" "&amp;Milestones!$AC$142&amp;";  ","")&amp;IF(AND(EDATE($D73,Milestones!$AA$143)&lt;=AsOfDate,IF($R73=0,$X73,IF(AND($T73&lt;&gt;"",EDATE($D73,Milestones!$AA$143)&gt;=$T73),$W73,IF(AND($S73&lt;&gt;"",EDATE($D73,Milestones!$AA$143)&gt;=$S73),$V73,$U73)))=Milestones!$AB$143),UPPER(TEXT(EDATE($D73,Milestones!$AA$143),"dd mmm yy"))&amp;" "&amp;Milestones!$AB$143&amp;" "&amp;Milestones!$AC$143&amp;";  ","")&amp;IF(AND(EDATE($D73,Milestones!$AA$144)&lt;=AsOfDate,IF($R73=0,$X73,IF(AND($T73&lt;&gt;"",EDATE($D73,Milestones!$AA$144)&gt;=$T73),$W73,IF(AND($S73&lt;&gt;"",EDATE($D73,Milestones!$AA$144)&gt;=$S73),$V73,$U73)))=Milestones!$AB$144),UPPER(TEXT(EDATE($D73,Milestones!$AA$144),"dd mmm yy"))&amp;" "&amp;Milestones!$AB$144&amp;" "&amp;Milestones!$AC$144&amp;";  ","")&amp;IF(AND(EDATE($D73,Milestones!$AA$145)&lt;=AsOfDate,IF($R73=0,$X73,IF(AND($T73&lt;&gt;"",EDATE($D73,Milestones!$AA$145)&gt;=$T73),$W73,IF(AND($S73&lt;&gt;"",EDATE($D73,Milestones!$AA$145)&gt;=$S73),$V73,$U73)))=Milestones!$AB$145),UPPER(TEXT(EDATE($D73,Milestones!$AA$145),"dd mmm yy"))&amp;" "&amp;Milestones!$AB$145&amp;" "&amp;Milestones!$AC$145&amp;";  ","")&amp;IF(AND(EDATE($D73,Milestones!$AA$146)&lt;=AsOfDate,IF($R73=0,$X73,IF(AND($T73&lt;&gt;"",EDATE($D73,Milestones!$AA$146)&gt;=$T73),$W73,IF(AND($S73&lt;&gt;"",EDATE($D73,Milestones!$AA$146)&gt;=$S73),$V73,$U73)))=Milestones!$AB$146),UPPER(TEXT(EDATE($D73,Milestones!$AA$146),"dd mmm yy"))&amp;" "&amp;Milestones!$AB$146&amp;" "&amp;Milestones!$AC$146&amp;";  ","")&amp;IF(AND(EDATE($D73,Milestones!$AA$147)&lt;=AsOfDate,IF($R73=0,$X73,IF(AND($T73&lt;&gt;"",EDATE($D73,Milestones!$AA$147)&gt;=$T73),$W73,IF(AND($S73&lt;&gt;"",EDATE($D73,Milestones!$AA$147)&gt;=$S73),$V73,$U73)))=Milestones!$AB$147),UPPER(TEXT(EDATE($D73,Milestones!$AA$147),"dd mmm yy"))&amp;" "&amp;Milestones!$AB$147&amp;" "&amp;Milestones!$AC$147&amp;";  ","")&amp;IF(AND(EDATE($D73,Milestones!$AA$148)&lt;=AsOfDate,IF($R73=0,$X73,IF(AND($T73&lt;&gt;"",EDATE($D73,Milestones!$AA$148)&gt;=$T73),$W73,IF(AND($S73&lt;&gt;"",EDATE($D73,Milestones!$AA$148)&gt;=$S73),$V73,$U73)))=Milestones!$AB$148),UPPER(TEXT(EDATE($D73,Milestones!$AA$148),"dd mmm yy"))&amp;" "&amp;Milestones!$AB$148&amp;" "&amp;Milestones!$AC$148&amp;";  ","")&amp;IF(AND(EDATE($D73,Milestones!$AA$149)&lt;=AsOfDate,IF($R73=0,$X73,IF(AND($T73&lt;&gt;"",EDATE($D73,Milestones!$AA$149)&gt;=$T73),$W73,IF(AND($S73&lt;&gt;"",EDATE($D73,Milestones!$AA$149)&gt;=$S73),$V73,$U73)))=Milestones!$AB$149),UPPER(TEXT(EDATE($D73,Milestones!$AA$149),"dd mmm yy"))&amp;" "&amp;Milestones!$AB$149&amp;" "&amp;Milestones!$AC$149&amp;";  ","")&amp;IF(AND(EDATE($D73,Milestones!$AA$150)&lt;=AsOfDate,IF($R73=0,$X73,IF(AND($T73&lt;&gt;"",EDATE($D73,Milestones!$AA$150)&gt;=$T73),$W73,IF(AND($S73&lt;&gt;"",EDATE($D73,Milestones!$AA$150)&gt;=$S73),$V73,$U73)))=Milestones!$AB$150),UPPER(TEXT(EDATE($D73,Milestones!$AA$150),"dd mmm yy"))&amp;" "&amp;Milestones!$AB$150&amp;" "&amp;Milestones!$AC$150&amp;";  ","")&amp;IF(AND(EDATE($D73,Milestones!$AA$151)&lt;=AsOfDate,IF($R73=0,$X73,IF(AND($T73&lt;&gt;"",EDATE($D73,Milestones!$AA$151)&gt;=$T73),$W73,IF(AND($S73&lt;&gt;"",EDATE($D73,Milestones!$AA$151)&gt;=$S73),$V73,$U73)))=Milestones!$AB$151),UPPER(TEXT(EDATE($D73,Milestones!$AA$151),"dd mmm yy"))&amp;" "&amp;Milestones!$AB$151&amp;" "&amp;Milestones!$AC$151&amp;";  ","")&amp;IF(AND(EDATE($D73,Milestones!$AA$152)&lt;=AsOfDate,IF($R73=0,$X73,IF(AND($T73&lt;&gt;"",EDATE($D73,Milestones!$AA$152)&gt;=$T73),$W73,IF(AND($S73&lt;&gt;"",EDATE($D73,Milestones!$AA$152)&gt;=$S73),$V73,$U73)))=Milestones!$AB$152),UPPER(TEXT(EDATE($D73,Milestones!$AA$152),"dd mmm yy"))&amp;" "&amp;Milestones!$AB$152&amp;" "&amp;Milestones!$AC$152&amp;";  ","")&amp;IF(AND(EDATE($D73,Milestones!$AA$153)&lt;=AsOfDate,IF($R73=0,$X73,IF(AND($T73&lt;&gt;"",EDATE($D73,Milestones!$AA$153)&gt;=$T73),$W73,IF(AND($S73&lt;&gt;"",EDATE($D73,Milestones!$AA$153)&gt;=$S73),$V73,$U73)))=Milestones!$AB$153),UPPER(TEXT(EDATE($D73,Milestones!$AA$153),"dd mmm yy"))&amp;" "&amp;Milestones!$AB$153&amp;" "&amp;Milestones!$AC$153&amp;";  ","")&amp;IF(AND(EDATE($D73,Milestones!$AA$154)&lt;=AsOfDate,IF($R73=0,$X73,IF(AND($T73&lt;&gt;"",EDATE($D73,Milestones!$AA$154)&gt;=$T73),$W73,IF(AND($S73&lt;&gt;"",EDATE($D73,Milestones!$AA$154)&gt;=$S73),$V73,$U73)))=Milestones!$AB$154),UPPER(TEXT(EDATE($D73,Milestones!$AA$154),"dd mmm yy"))&amp;" "&amp;Milestones!$AB$154&amp;" "&amp;Milestones!$AC$154&amp;";  ","")&amp;IF(AND(EDATE($D73,Milestones!$AA$155)&lt;=AsOfDate,IF($R73=0,$X73,IF(AND($T73&lt;&gt;"",EDATE($D73,Milestones!$AA$155)&gt;=$T73),$W73,IF(AND($S73&lt;&gt;"",EDATE($D73,Milestones!$AA$155)&gt;=$S73),$V73,$U73)))=Milestones!$AB$155),UPPER(TEXT(EDATE($D73,Milestones!$AA$155),"dd mmm yy"))&amp;" "&amp;Milestones!$AB$155&amp;" "&amp;Milestones!$AC$155&amp;";  ","")&amp;IF(AND(EDATE($D73,Milestones!$AA$156)&lt;=AsOfDate,IF($R73=0,$X73,IF(AND($T73&lt;&gt;"",EDATE($D73,Milestones!$AA$156)&gt;=$T73),$W73,IF(AND($S73&lt;&gt;"",EDATE($D73,Milestones!$AA$156)&gt;=$S73),$V73,$U73)))=Milestones!$AB$156),UPPER(TEXT(EDATE($D73,Milestones!$AA$156),"dd mmm yy"))&amp;" "&amp;Milestones!$AB$156&amp;" "&amp;Milestones!$AC$156&amp;";  ","")&amp;IF(AND(EDATE($D73,Milestones!$AA$157)&lt;=AsOfDate,IF($R73=0,$X73,IF(AND($T73&lt;&gt;"",EDATE($D73,Milestones!$AA$157)&gt;=$T73),$W73,IF(AND($S73&lt;&gt;"",EDATE($D73,Milestones!$AA$157)&gt;=$S73),$V73,$U73)))=Milestones!$AB$157),UPPER(TEXT(EDATE($D73,Milestones!$AA$157),"dd mmm yy"))&amp;" "&amp;Milestones!$AB$157&amp;" "&amp;Milestones!$AC$157&amp;";  ","")&amp;IF(AND(EDATE($D73,Milestones!$AA$158)&lt;=AsOfDate,IF($R73=0,$X73,IF(AND($T73&lt;&gt;"",EDATE($D73,Milestones!$AA$158)&gt;=$T73),$W73,IF(AND($S73&lt;&gt;"",EDATE($D73,Milestones!$AA$158)&gt;=$S73),$V73,$U73)))=Milestones!$AB$158),UPPER(TEXT(EDATE($D73,Milestones!$AA$158),"dd mmm yy"))&amp;" "&amp;Milestones!$AB$158&amp;" "&amp;Milestones!$AC$158&amp;";  ","")&amp;IF(AND(EDATE($D73,Milestones!$AA$159)&lt;=AsOfDate,IF($R73=0,$X73,IF(AND($T73&lt;&gt;"",EDATE($D73,Milestones!$AA$159)&gt;=$T73),$W73,IF(AND($S73&lt;&gt;"",EDATE($D73,Milestones!$AA$159)&gt;=$S73),$V73,$U73)))=Milestones!$AB$159),UPPER(TEXT(EDATE($D73,Milestones!$AA$159),"dd mmm yy"))&amp;" "&amp;Milestones!$AB$159&amp;" "&amp;Milestones!$AC$159&amp;";  ",""))</f>
        <v/>
      </c>
      <c r="P73" s="0" t="str">
        <f aca="false">IF(OR($A73="",$D73=""),"",IF(AND(EDATE($D73,Milestones!$AA$160)&lt;=AsOfDate,IF($R73=0,$X73,IF(AND($T73&lt;&gt;"",EDATE($D73,Milestones!$AA$160)&gt;=$T73),$W73,IF(AND($S73&lt;&gt;"",EDATE($D73,Milestones!$AA$160)&gt;=$S73),$V73,$U73)))=Milestones!$AB$160),UPPER(TEXT(EDATE($D73,Milestones!$AA$160),"dd mmm yy"))&amp;" "&amp;Milestones!$AB$160&amp;" "&amp;Milestones!$AC$160&amp;";  ","")&amp;IF(AND(EDATE($D73,Milestones!$AA$161)&lt;=AsOfDate,IF($R73=0,$X73,IF(AND($T73&lt;&gt;"",EDATE($D73,Milestones!$AA$161)&gt;=$T73),$W73,IF(AND($S73&lt;&gt;"",EDATE($D73,Milestones!$AA$161)&gt;=$S73),$V73,$U73)))=Milestones!$AB$161),UPPER(TEXT(EDATE($D73,Milestones!$AA$161),"dd mmm yy"))&amp;" "&amp;Milestones!$AB$161&amp;" "&amp;Milestones!$AC$161&amp;";  ","")&amp;IF(AND(EDATE($D73,Milestones!$AA$162)&lt;=AsOfDate,IF($R73=0,$X73,IF(AND($T73&lt;&gt;"",EDATE($D73,Milestones!$AA$162)&gt;=$T73),$W73,IF(AND($S73&lt;&gt;"",EDATE($D73,Milestones!$AA$162)&gt;=$S73),$V73,$U73)))=Milestones!$AB$162),UPPER(TEXT(EDATE($D73,Milestones!$AA$162),"dd mmm yy"))&amp;" "&amp;Milestones!$AB$162&amp;" "&amp;Milestones!$AC$162&amp;";  ","")&amp;IF(AND(EDATE($D73,Milestones!$AA$163)&lt;=AsOfDate,IF($R73=0,$X73,IF(AND($T73&lt;&gt;"",EDATE($D73,Milestones!$AA$163)&gt;=$T73),$W73,IF(AND($S73&lt;&gt;"",EDATE($D73,Milestones!$AA$163)&gt;=$S73),$V73,$U73)))=Milestones!$AB$163),UPPER(TEXT(EDATE($D73,Milestones!$AA$163),"dd mmm yy"))&amp;" "&amp;Milestones!$AB$163&amp;" "&amp;Milestones!$AC$163&amp;";  ","")&amp;IF(AND(EDATE($D73,Milestones!$AA$164)&lt;=AsOfDate,IF($R73=0,$X73,IF(AND($T73&lt;&gt;"",EDATE($D73,Milestones!$AA$164)&gt;=$T73),$W73,IF(AND($S73&lt;&gt;"",EDATE($D73,Milestones!$AA$164)&gt;=$S73),$V73,$U73)))=Milestones!$AB$164),UPPER(TEXT(EDATE($D73,Milestones!$AA$164),"dd mmm yy"))&amp;" "&amp;Milestones!$AB$164&amp;" "&amp;Milestones!$AC$164&amp;";  ","")&amp;IF(AND(EDATE($D73,Milestones!$AA$165)&lt;=AsOfDate,IF($R73=0,$X73,IF(AND($T73&lt;&gt;"",EDATE($D73,Milestones!$AA$165)&gt;=$T73),$W73,IF(AND($S73&lt;&gt;"",EDATE($D73,Milestones!$AA$165)&gt;=$S73),$V73,$U73)))=Milestones!$AB$165),UPPER(TEXT(EDATE($D73,Milestones!$AA$165),"dd mmm yy"))&amp;" "&amp;Milestones!$AB$165&amp;" "&amp;Milestones!$AC$165&amp;";  ","")&amp;IF(AND(EDATE($D73,Milestones!$AA$166)&lt;=AsOfDate,IF($R73=0,$X73,IF(AND($T73&lt;&gt;"",EDATE($D73,Milestones!$AA$166)&gt;=$T73),$W73,IF(AND($S73&lt;&gt;"",EDATE($D73,Milestones!$AA$166)&gt;=$S73),$V73,$U73)))=Milestones!$AB$166),UPPER(TEXT(EDATE($D73,Milestones!$AA$166),"dd mmm yy"))&amp;" "&amp;Milestones!$AB$166&amp;" "&amp;Milestones!$AC$166&amp;";  ","")&amp;IF(AND(EDATE($D73,Milestones!$AA$167)&lt;=AsOfDate,IF($R73=0,$X73,IF(AND($T73&lt;&gt;"",EDATE($D73,Milestones!$AA$167)&gt;=$T73),$W73,IF(AND($S73&lt;&gt;"",EDATE($D73,Milestones!$AA$167)&gt;=$S73),$V73,$U73)))=Milestones!$AB$167),UPPER(TEXT(EDATE($D73,Milestones!$AA$167),"dd mmm yy"))&amp;" "&amp;Milestones!$AB$167&amp;" "&amp;Milestones!$AC$167&amp;";  ","")&amp;IF(AND(EDATE($D73,Milestones!$AA$168)&lt;=AsOfDate,IF($R73=0,$X73,IF(AND($T73&lt;&gt;"",EDATE($D73,Milestones!$AA$168)&gt;=$T73),$W73,IF(AND($S73&lt;&gt;"",EDATE($D73,Milestones!$AA$168)&gt;=$S73),$V73,$U73)))=Milestones!$AB$168),UPPER(TEXT(EDATE($D73,Milestones!$AA$168),"dd mmm yy"))&amp;" "&amp;Milestones!$AB$168&amp;" "&amp;Milestones!$AC$168&amp;";  ","")&amp;IF(AND(EDATE($D73,Milestones!$AA$169)&lt;=AsOfDate,IF($R73=0,$X73,IF(AND($T73&lt;&gt;"",EDATE($D73,Milestones!$AA$169)&gt;=$T73),$W73,IF(AND($S73&lt;&gt;"",EDATE($D73,Milestones!$AA$169)&gt;=$S73),$V73,$U73)))=Milestones!$AB$169),UPPER(TEXT(EDATE($D73,Milestones!$AA$169),"dd mmm yy"))&amp;" "&amp;Milestones!$AB$169&amp;" "&amp;Milestones!$AC$169&amp;";  ","")&amp;IF(AND(EDATE($D73,Milestones!$AA$170)&lt;=AsOfDate,IF($R73=0,$X73,IF(AND($T73&lt;&gt;"",EDATE($D73,Milestones!$AA$170)&gt;=$T73),$W73,IF(AND($S73&lt;&gt;"",EDATE($D73,Milestones!$AA$170)&gt;=$S73),$V73,$U73)))=Milestones!$AB$170),UPPER(TEXT(EDATE($D73,Milestones!$AA$170),"dd mmm yy"))&amp;" "&amp;Milestones!$AB$170&amp;" "&amp;Milestones!$AC$170&amp;";  ","")&amp;IF(AND(EDATE($D73,Milestones!$AA$171)&lt;=AsOfDate,IF($R73=0,$X73,IF(AND($T73&lt;&gt;"",EDATE($D73,Milestones!$AA$171)&gt;=$T73),$W73,IF(AND($S73&lt;&gt;"",EDATE($D73,Milestones!$AA$171)&gt;=$S73),$V73,$U73)))=Milestones!$AB$171),UPPER(TEXT(EDATE($D73,Milestones!$AA$171),"dd mmm yy"))&amp;" "&amp;Milestones!$AB$171&amp;" "&amp;Milestones!$AC$171&amp;";  ","")&amp;IF(AND(EDATE($D73,Milestones!$AA$172)&lt;=AsOfDate,IF($R73=0,$X73,IF(AND($T73&lt;&gt;"",EDATE($D73,Milestones!$AA$172)&gt;=$T73),$W73,IF(AND($S73&lt;&gt;"",EDATE($D73,Milestones!$AA$172)&gt;=$S73),$V73,$U73)))=Milestones!$AB$172),UPPER(TEXT(EDATE($D73,Milestones!$AA$172),"dd mmm yy"))&amp;" "&amp;Milestones!$AB$172&amp;" "&amp;Milestones!$AC$172&amp;";  ","")&amp;IF(AND(EDATE($D73,Milestones!$AA$173)&lt;=AsOfDate,IF($R73=0,$X73,IF(AND($T73&lt;&gt;"",EDATE($D73,Milestones!$AA$173)&gt;=$T73),$W73,IF(AND($S73&lt;&gt;"",EDATE($D73,Milestones!$AA$173)&gt;=$S73),$V73,$U73)))=Milestones!$AB$173),UPPER(TEXT(EDATE($D73,Milestones!$AA$173),"dd mmm yy"))&amp;" "&amp;Milestones!$AB$173&amp;" "&amp;Milestones!$AC$173&amp;";  ","")&amp;IF(AND(EDATE($D73,Milestones!$AA$174)&lt;=AsOfDate,IF($R73=0,$X73,IF(AND($T73&lt;&gt;"",EDATE($D73,Milestones!$AA$174)&gt;=$T73),$W73,IF(AND($S73&lt;&gt;"",EDATE($D73,Milestones!$AA$174)&gt;=$S73),$V73,$U73)))=Milestones!$AB$174),UPPER(TEXT(EDATE($D73,Milestones!$AA$174),"dd mmm yy"))&amp;" "&amp;Milestones!$AB$174&amp;" "&amp;Milestones!$AC$174&amp;";  ","")&amp;IF(AND(EDATE($D73,Milestones!$AA$175)&lt;=AsOfDate,IF($R73=0,$X73,IF(AND($T73&lt;&gt;"",EDATE($D73,Milestones!$AA$175)&gt;=$T73),$W73,IF(AND($S73&lt;&gt;"",EDATE($D73,Milestones!$AA$175)&gt;=$S73),$V73,$U73)))=Milestones!$AB$175),UPPER(TEXT(EDATE($D73,Milestones!$AA$175),"dd mmm yy"))&amp;" "&amp;Milestones!$AB$175&amp;" "&amp;Milestones!$AC$175&amp;";  ","")&amp;IF(AND(EDATE($D73,Milestones!$AA$176)&lt;=AsOfDate,IF($R73=0,$X73,IF(AND($T73&lt;&gt;"",EDATE($D73,Milestones!$AA$176)&gt;=$T73),$W73,IF(AND($S73&lt;&gt;"",EDATE($D73,Milestones!$AA$176)&gt;=$S73),$V73,$U73)))=Milestones!$AB$176),UPPER(TEXT(EDATE($D73,Milestones!$AA$176),"dd mmm yy"))&amp;" "&amp;Milestones!$AB$176&amp;" "&amp;Milestones!$AC$176&amp;";  ","")&amp;IF(AND(EDATE($D73,Milestones!$AA$177)&lt;=AsOfDate,IF($R73=0,$X73,IF(AND($T73&lt;&gt;"",EDATE($D73,Milestones!$AA$177)&gt;=$T73),$W73,IF(AND($S73&lt;&gt;"",EDATE($D73,Milestones!$AA$177)&gt;=$S73),$V73,$U73)))=Milestones!$AB$177),UPPER(TEXT(EDATE($D73,Milestones!$AA$177),"dd mmm yy"))&amp;" "&amp;Milestones!$AB$177&amp;" "&amp;Milestones!$AC$177&amp;";  ","")&amp;IF(AND(EDATE($D73,Milestones!$AA$178)&lt;=AsOfDate,IF($R73=0,$X73,IF(AND($T73&lt;&gt;"",EDATE($D73,Milestones!$AA$178)&gt;=$T73),$W73,IF(AND($S73&lt;&gt;"",EDATE($D73,Milestones!$AA$178)&gt;=$S73),$V73,$U73)))=Milestones!$AB$178),UPPER(TEXT(EDATE($D73,Milestones!$AA$178),"dd mmm yy"))&amp;" "&amp;Milestones!$AB$178&amp;" "&amp;Milestones!$AC$178&amp;";  ","")&amp;IF(AND(EDATE($D73,Milestones!$AA$179)&lt;=AsOfDate,IF($R73=0,$X73,IF(AND($T73&lt;&gt;"",EDATE($D73,Milestones!$AA$179)&gt;=$T73),$W73,IF(AND($S73&lt;&gt;"",EDATE($D73,Milestones!$AA$179)&gt;=$S73),$V73,$U73)))=Milestones!$AB$179),UPPER(TEXT(EDATE($D73,Milestones!$AA$179),"dd mmm yy"))&amp;" "&amp;Milestones!$AB$179&amp;" "&amp;Milestones!$AC$179&amp;";  ",""))</f>
        <v/>
      </c>
      <c r="Q73" s="0" t="str">
        <f aca="false">IF(OR($A73="",$D73=""),"",IF(AND(EDATE($D73,Milestones!$AA$180)&lt;=AsOfDate,IF($R73=0,$X73,IF(AND($T73&lt;&gt;"",EDATE($D73,Milestones!$AA$180)&gt;=$T73),$W73,IF(AND($S73&lt;&gt;"",EDATE($D73,Milestones!$AA$180)&gt;=$S73),$V73,$U73)))=Milestones!$AB$180),UPPER(TEXT(EDATE($D73,Milestones!$AA$180),"dd mmm yy"))&amp;" "&amp;Milestones!$AB$180&amp;" "&amp;Milestones!$AC$180&amp;";  ","")&amp;IF(AND(EDATE($D73,Milestones!$AA$181)&lt;=AsOfDate,IF($R73=0,$X73,IF(AND($T73&lt;&gt;"",EDATE($D73,Milestones!$AA$181)&gt;=$T73),$W73,IF(AND($S73&lt;&gt;"",EDATE($D73,Milestones!$AA$181)&gt;=$S73),$V73,$U73)))=Milestones!$AB$181),UPPER(TEXT(EDATE($D73,Milestones!$AA$181),"dd mmm yy"))&amp;" "&amp;Milestones!$AB$181&amp;" "&amp;Milestones!$AC$181&amp;";  ","")&amp;IF(AND(EDATE($D73,Milestones!$AA$182)&lt;=AsOfDate,IF($R73=0,$X73,IF(AND($T73&lt;&gt;"",EDATE($D73,Milestones!$AA$182)&gt;=$T73),$W73,IF(AND($S73&lt;&gt;"",EDATE($D73,Milestones!$AA$182)&gt;=$S73),$V73,$U73)))=Milestones!$AB$182),UPPER(TEXT(EDATE($D73,Milestones!$AA$182),"dd mmm yy"))&amp;" "&amp;Milestones!$AB$182&amp;" "&amp;Milestones!$AC$182&amp;";  ","")&amp;IF(AND(EDATE($D73,Milestones!$AA$183)&lt;=AsOfDate,IF($R73=0,$X73,IF(AND($T73&lt;&gt;"",EDATE($D73,Milestones!$AA$183)&gt;=$T73),$W73,IF(AND($S73&lt;&gt;"",EDATE($D73,Milestones!$AA$183)&gt;=$S73),$V73,$U73)))=Milestones!$AB$183),UPPER(TEXT(EDATE($D73,Milestones!$AA$183),"dd mmm yy"))&amp;" "&amp;Milestones!$AB$183&amp;" "&amp;Milestones!$AC$183&amp;";  ","")&amp;IF(AND(EDATE($D73,Milestones!$AA$184)&lt;=AsOfDate,IF($R73=0,$X73,IF(AND($T73&lt;&gt;"",EDATE($D73,Milestones!$AA$184)&gt;=$T73),$W73,IF(AND($S73&lt;&gt;"",EDATE($D73,Milestones!$AA$184)&gt;=$S73),$V73,$U73)))=Milestones!$AB$184),UPPER(TEXT(EDATE($D73,Milestones!$AA$184),"dd mmm yy"))&amp;" "&amp;Milestones!$AB$184&amp;" "&amp;Milestones!$AC$184&amp;";  ","")&amp;IF(AND(EDATE($D73,Milestones!$AA$185)&lt;=AsOfDate,IF($R73=0,$X73,IF(AND($T73&lt;&gt;"",EDATE($D73,Milestones!$AA$185)&gt;=$T73),$W73,IF(AND($S73&lt;&gt;"",EDATE($D73,Milestones!$AA$185)&gt;=$S73),$V73,$U73)))=Milestones!$AB$185),UPPER(TEXT(EDATE($D73,Milestones!$AA$185),"dd mmm yy"))&amp;" "&amp;Milestones!$AB$185&amp;" "&amp;Milestones!$AC$185&amp;";  ","")&amp;IF(AND(EDATE($D73,Milestones!$AA$186)&lt;=AsOfDate,IF($R73=0,$X73,IF(AND($T73&lt;&gt;"",EDATE($D73,Milestones!$AA$186)&gt;=$T73),$W73,IF(AND($S73&lt;&gt;"",EDATE($D73,Milestones!$AA$186)&gt;=$S73),$V73,$U73)))=Milestones!$AB$186),UPPER(TEXT(EDATE($D73,Milestones!$AA$186),"dd mmm yy"))&amp;" "&amp;Milestones!$AB$186&amp;" "&amp;Milestones!$AC$186&amp;";  ","")&amp;IF(AND(EDATE($D73,Milestones!$AA$187)&lt;=AsOfDate,IF($R73=0,$X73,IF(AND($T73&lt;&gt;"",EDATE($D73,Milestones!$AA$187)&gt;=$T73),$W73,IF(AND($S73&lt;&gt;"",EDATE($D73,Milestones!$AA$187)&gt;=$S73),$V73,$U73)))=Milestones!$AB$187),UPPER(TEXT(EDATE($D73,Milestones!$AA$187),"dd mmm yy"))&amp;" "&amp;Milestones!$AB$187&amp;" "&amp;Milestones!$AC$187&amp;";  ","")&amp;IF(AND(EDATE($D73,Milestones!$AA$188)&lt;=AsOfDate,IF($R73=0,$X73,IF(AND($T73&lt;&gt;"",EDATE($D73,Milestones!$AA$188)&gt;=$T73),$W73,IF(AND($S73&lt;&gt;"",EDATE($D73,Milestones!$AA$188)&gt;=$S73),$V73,$U73)))=Milestones!$AB$188),UPPER(TEXT(EDATE($D73,Milestones!$AA$188),"dd mmm yy"))&amp;" "&amp;Milestones!$AB$188&amp;" "&amp;Milestones!$AC$188&amp;";  ","")&amp;IF(AND(EDATE($D73,Milestones!$AA$189)&lt;=AsOfDate,IF($R73=0,$X73,IF(AND($T73&lt;&gt;"",EDATE($D73,Milestones!$AA$189)&gt;=$T73),$W73,IF(AND($S73&lt;&gt;"",EDATE($D73,Milestones!$AA$189)&gt;=$S73),$V73,$U73)))=Milestones!$AB$189),UPPER(TEXT(EDATE($D73,Milestones!$AA$189),"dd mmm yy"))&amp;" "&amp;Milestones!$AB$189&amp;" "&amp;Milestones!$AC$189&amp;";  ","")&amp;IF(AND(EDATE($D73,Milestones!$AA$190)&lt;=AsOfDate,IF($R73=0,$X73,IF(AND($T73&lt;&gt;"",EDATE($D73,Milestones!$AA$190)&gt;=$T73),$W73,IF(AND($S73&lt;&gt;"",EDATE($D73,Milestones!$AA$190)&gt;=$S73),$V73,$U73)))=Milestones!$AB$190),UPPER(TEXT(EDATE($D73,Milestones!$AA$190),"dd mmm yy"))&amp;" "&amp;Milestones!$AB$190&amp;" "&amp;Milestones!$AC$190&amp;";  ","")&amp;IF(AND(EDATE($D73,Milestones!$AA$191)&lt;=AsOfDate,IF($R73=0,$X73,IF(AND($T73&lt;&gt;"",EDATE($D73,Milestones!$AA$191)&gt;=$T73),$W73,IF(AND($S73&lt;&gt;"",EDATE($D73,Milestones!$AA$191)&gt;=$S73),$V73,$U73)))=Milestones!$AB$191),UPPER(TEXT(EDATE($D73,Milestones!$AA$191),"dd mmm yy"))&amp;" "&amp;Milestones!$AB$191&amp;" "&amp;Milestones!$AC$191&amp;";  ","")&amp;IF(AND(EDATE($D73,Milestones!$AA$192)&lt;=AsOfDate,IF($R73=0,$X73,IF(AND($T73&lt;&gt;"",EDATE($D73,Milestones!$AA$192)&gt;=$T73),$W73,IF(AND($S73&lt;&gt;"",EDATE($D73,Milestones!$AA$192)&gt;=$S73),$V73,$U73)))=Milestones!$AB$192),UPPER(TEXT(EDATE($D73,Milestones!$AA$192),"dd mmm yy"))&amp;" "&amp;Milestones!$AB$192&amp;" "&amp;Milestones!$AC$192&amp;";  ","")&amp;IF(AND(EDATE($D73,Milestones!$AA$193)&lt;=AsOfDate,IF($R73=0,$X73,IF(AND($T73&lt;&gt;"",EDATE($D73,Milestones!$AA$193)&gt;=$T73),$W73,IF(AND($S73&lt;&gt;"",EDATE($D73,Milestones!$AA$193)&gt;=$S73),$V73,$U73)))=Milestones!$AB$193),UPPER(TEXT(EDATE($D73,Milestones!$AA$193),"dd mmm yy"))&amp;" "&amp;Milestones!$AB$193&amp;" "&amp;Milestones!$AC$193&amp;";  ","")&amp;IF(AND(EDATE($D73,Milestones!$AA$194)&lt;=AsOfDate,IF($R73=0,$X73,IF(AND($T73&lt;&gt;"",EDATE($D73,Milestones!$AA$194)&gt;=$T73),$W73,IF(AND($S73&lt;&gt;"",EDATE($D73,Milestones!$AA$194)&gt;=$S73),$V73,$U73)))=Milestones!$AB$194),UPPER(TEXT(EDATE($D73,Milestones!$AA$194),"dd mmm yy"))&amp;" "&amp;Milestones!$AB$194&amp;" "&amp;Milestones!$AC$194&amp;";  ","")&amp;IF(AND(EDATE($D73,Milestones!$AA$195)&lt;=AsOfDate,IF($R73=0,$X73,IF(AND($T73&lt;&gt;"",EDATE($D73,Milestones!$AA$195)&gt;=$T73),$W73,IF(AND($S73&lt;&gt;"",EDATE($D73,Milestones!$AA$195)&gt;=$S73),$V73,$U73)))=Milestones!$AB$195),UPPER(TEXT(EDATE($D73,Milestones!$AA$195),"dd mmm yy"))&amp;" "&amp;Milestones!$AB$195&amp;" "&amp;Milestones!$AC$195&amp;";  ","")&amp;IF(AND(EDATE($D73,Milestones!$AA$196)&lt;=AsOfDate,IF($R73=0,$X73,IF(AND($T73&lt;&gt;"",EDATE($D73,Milestones!$AA$196)&gt;=$T73),$W73,IF(AND($S73&lt;&gt;"",EDATE($D73,Milestones!$AA$196)&gt;=$S73),$V73,$U73)))=Milestones!$AB$196),UPPER(TEXT(EDATE($D73,Milestones!$AA$196),"dd mmm yy"))&amp;" "&amp;Milestones!$AB$196&amp;" "&amp;Milestones!$AC$196&amp;";  ","")&amp;IF(AND(EDATE($D73,Milestones!$AA$197)&lt;=AsOfDate,IF($R73=0,$X73,IF(AND($T73&lt;&gt;"",EDATE($D73,Milestones!$AA$197)&gt;=$T73),$W73,IF(AND($S73&lt;&gt;"",EDATE($D73,Milestones!$AA$197)&gt;=$S73),$V73,$U73)))=Milestones!$AB$197),UPPER(TEXT(EDATE($D73,Milestones!$AA$197),"dd mmm yy"))&amp;" "&amp;Milestones!$AB$197&amp;" "&amp;Milestones!$AC$197&amp;";  ","")&amp;IF(AND(EDATE($D73,Milestones!$AA$198)&lt;=AsOfDate,IF($R73=0,$X73,IF(AND($T73&lt;&gt;"",EDATE($D73,Milestones!$AA$198)&gt;=$T73),$W73,IF(AND($S73&lt;&gt;"",EDATE($D73,Milestones!$AA$198)&gt;=$S73),$V73,$U73)))=Milestones!$AB$198),UPPER(TEXT(EDATE($D73,Milestones!$AA$198),"dd mmm yy"))&amp;" "&amp;Milestones!$AB$198&amp;" "&amp;Milestones!$AC$198&amp;";  ","")&amp;IF(AND(EDATE($D73,Milestones!$AA$199)&lt;=AsOfDate,IF($R73=0,$X73,IF(AND($T73&lt;&gt;"",EDATE($D73,Milestones!$AA$199)&gt;=$T73),$W73,IF(AND($S73&lt;&gt;"",EDATE($D73,Milestones!$AA$199)&gt;=$S73),$V73,$U73)))=Milestones!$AB$199),UPPER(TEXT(EDATE($D73,Milestones!$AA$199),"dd mmm yy"))&amp;" "&amp;Milestones!$AB$199&amp;" "&amp;Milestones!$AC$199&amp;";  ",""))</f>
        <v/>
      </c>
      <c r="R73" s="0" t="str">
        <f aca="false">IF(Staff!$A73="","",Staff!$AI73)</f>
        <v/>
      </c>
      <c r="S73" s="0" t="str">
        <f aca="false">IF(Staff!$A73="","",Staff!$AK73)</f>
        <v/>
      </c>
      <c r="T73" s="0" t="str">
        <f aca="false">IF(Staff!$A73="","",Staff!$AL73)</f>
        <v/>
      </c>
      <c r="U73" s="0" t="str">
        <f aca="false">IF(Staff!$A73="","",Staff!$AP73)</f>
        <v/>
      </c>
      <c r="V73" s="0" t="str">
        <f aca="false">IF(Staff!$A73="","",Staff!$AQ73)</f>
        <v/>
      </c>
      <c r="W73" s="0" t="str">
        <f aca="false">IF(Staff!$A73="","",Staff!$AR73)</f>
        <v/>
      </c>
      <c r="X73" s="0" t="str">
        <f aca="false">IF(Staff!$A73="","",Staff!$AS73)</f>
        <v/>
      </c>
    </row>
    <row r="74" customFormat="false" ht="15" hidden="false" customHeight="false" outlineLevel="0" collapsed="false">
      <c r="A74" s="14" t="str">
        <f aca="false">IF(Staff!$A74="","",Staff!$A74)</f>
        <v/>
      </c>
      <c r="B74" s="14" t="str">
        <f aca="false">IF(Staff!$A74="","",Staff!$B74)</f>
        <v/>
      </c>
      <c r="C74" s="14" t="str">
        <f aca="false">IF(Staff!$A74="","",Staff!$C74)</f>
        <v/>
      </c>
      <c r="D74" s="12" t="str">
        <f aca="false">IF(Staff!$A74="","",Staff!$AH74)</f>
        <v/>
      </c>
      <c r="E74" s="14" t="str">
        <f aca="false">IF(Staff!$A74="","",Staff!$O74)</f>
        <v/>
      </c>
      <c r="F74" s="14" t="str">
        <f aca="false">IF(E74="","",E74*HoursPerDay)</f>
        <v/>
      </c>
      <c r="G74" s="14" t="str">
        <f aca="false">IF(Staff!$A74="","",Staff!$AE74)</f>
        <v/>
      </c>
      <c r="H74" s="26" t="str">
        <f aca="false">IF($A74="","",I74&amp;J74&amp;K74&amp;L74&amp;M74&amp;N74&amp;O74&amp;P74&amp;Q74)</f>
        <v/>
      </c>
      <c r="I74" s="0" t="str">
        <f aca="false">IF(OR($A74="",$D74=""),"",IF(AND(EDATE($D74,Milestones!$AA$20)&lt;=AsOfDate,IF($R74=0,$X74,IF(AND($T74&lt;&gt;"",EDATE($D74,Milestones!$AA$20)&gt;=$T74),$W74,IF(AND($S74&lt;&gt;"",EDATE($D74,Milestones!$AA$20)&gt;=$S74),$V74,$U74)))=Milestones!$AB$20),UPPER(TEXT(EDATE($D74,Milestones!$AA$20),"dd mmm yy"))&amp;" "&amp;Milestones!$AB$20&amp;" "&amp;Milestones!$AC$20&amp;";  ","")&amp;IF(AND(EDATE($D74,Milestones!$AA$21)&lt;=AsOfDate,IF($R74=0,$X74,IF(AND($T74&lt;&gt;"",EDATE($D74,Milestones!$AA$21)&gt;=$T74),$W74,IF(AND($S74&lt;&gt;"",EDATE($D74,Milestones!$AA$21)&gt;=$S74),$V74,$U74)))=Milestones!$AB$21),UPPER(TEXT(EDATE($D74,Milestones!$AA$21),"dd mmm yy"))&amp;" "&amp;Milestones!$AB$21&amp;" "&amp;Milestones!$AC$21&amp;";  ","")&amp;IF(AND(EDATE($D74,Milestones!$AA$22)&lt;=AsOfDate,IF($R74=0,$X74,IF(AND($T74&lt;&gt;"",EDATE($D74,Milestones!$AA$22)&gt;=$T74),$W74,IF(AND($S74&lt;&gt;"",EDATE($D74,Milestones!$AA$22)&gt;=$S74),$V74,$U74)))=Milestones!$AB$22),UPPER(TEXT(EDATE($D74,Milestones!$AA$22),"dd mmm yy"))&amp;" "&amp;Milestones!$AB$22&amp;" "&amp;Milestones!$AC$22&amp;";  ","")&amp;IF(AND(EDATE($D74,Milestones!$AA$23)&lt;=AsOfDate,IF($R74=0,$X74,IF(AND($T74&lt;&gt;"",EDATE($D74,Milestones!$AA$23)&gt;=$T74),$W74,IF(AND($S74&lt;&gt;"",EDATE($D74,Milestones!$AA$23)&gt;=$S74),$V74,$U74)))=Milestones!$AB$23),UPPER(TEXT(EDATE($D74,Milestones!$AA$23),"dd mmm yy"))&amp;" "&amp;Milestones!$AB$23&amp;" "&amp;Milestones!$AC$23&amp;";  ","")&amp;IF(AND(EDATE($D74,Milestones!$AA$24)&lt;=AsOfDate,IF($R74=0,$X74,IF(AND($T74&lt;&gt;"",EDATE($D74,Milestones!$AA$24)&gt;=$T74),$W74,IF(AND($S74&lt;&gt;"",EDATE($D74,Milestones!$AA$24)&gt;=$S74),$V74,$U74)))=Milestones!$AB$24),UPPER(TEXT(EDATE($D74,Milestones!$AA$24),"dd mmm yy"))&amp;" "&amp;Milestones!$AB$24&amp;" "&amp;Milestones!$AC$24&amp;";  ","")&amp;IF(AND(EDATE($D74,Milestones!$AA$25)&lt;=AsOfDate,IF($R74=0,$X74,IF(AND($T74&lt;&gt;"",EDATE($D74,Milestones!$AA$25)&gt;=$T74),$W74,IF(AND($S74&lt;&gt;"",EDATE($D74,Milestones!$AA$25)&gt;=$S74),$V74,$U74)))=Milestones!$AB$25),UPPER(TEXT(EDATE($D74,Milestones!$AA$25),"dd mmm yy"))&amp;" "&amp;Milestones!$AB$25&amp;" "&amp;Milestones!$AC$25&amp;";  ","")&amp;IF(AND(EDATE($D74,Milestones!$AA$26)&lt;=AsOfDate,IF($R74=0,$X74,IF(AND($T74&lt;&gt;"",EDATE($D74,Milestones!$AA$26)&gt;=$T74),$W74,IF(AND($S74&lt;&gt;"",EDATE($D74,Milestones!$AA$26)&gt;=$S74),$V74,$U74)))=Milestones!$AB$26),UPPER(TEXT(EDATE($D74,Milestones!$AA$26),"dd mmm yy"))&amp;" "&amp;Milestones!$AB$26&amp;" "&amp;Milestones!$AC$26&amp;";  ","")&amp;IF(AND(EDATE($D74,Milestones!$AA$27)&lt;=AsOfDate,IF($R74=0,$X74,IF(AND($T74&lt;&gt;"",EDATE($D74,Milestones!$AA$27)&gt;=$T74),$W74,IF(AND($S74&lt;&gt;"",EDATE($D74,Milestones!$AA$27)&gt;=$S74),$V74,$U74)))=Milestones!$AB$27),UPPER(TEXT(EDATE($D74,Milestones!$AA$27),"dd mmm yy"))&amp;" "&amp;Milestones!$AB$27&amp;" "&amp;Milestones!$AC$27&amp;";  ","")&amp;IF(AND(EDATE($D74,Milestones!$AA$28)&lt;=AsOfDate,IF($R74=0,$X74,IF(AND($T74&lt;&gt;"",EDATE($D74,Milestones!$AA$28)&gt;=$T74),$W74,IF(AND($S74&lt;&gt;"",EDATE($D74,Milestones!$AA$28)&gt;=$S74),$V74,$U74)))=Milestones!$AB$28),UPPER(TEXT(EDATE($D74,Milestones!$AA$28),"dd mmm yy"))&amp;" "&amp;Milestones!$AB$28&amp;" "&amp;Milestones!$AC$28&amp;";  ","")&amp;IF(AND(EDATE($D74,Milestones!$AA$29)&lt;=AsOfDate,IF($R74=0,$X74,IF(AND($T74&lt;&gt;"",EDATE($D74,Milestones!$AA$29)&gt;=$T74),$W74,IF(AND($S74&lt;&gt;"",EDATE($D74,Milestones!$AA$29)&gt;=$S74),$V74,$U74)))=Milestones!$AB$29),UPPER(TEXT(EDATE($D74,Milestones!$AA$29),"dd mmm yy"))&amp;" "&amp;Milestones!$AB$29&amp;" "&amp;Milestones!$AC$29&amp;";  ","")&amp;IF(AND(EDATE($D74,Milestones!$AA$30)&lt;=AsOfDate,IF($R74=0,$X74,IF(AND($T74&lt;&gt;"",EDATE($D74,Milestones!$AA$30)&gt;=$T74),$W74,IF(AND($S74&lt;&gt;"",EDATE($D74,Milestones!$AA$30)&gt;=$S74),$V74,$U74)))=Milestones!$AB$30),UPPER(TEXT(EDATE($D74,Milestones!$AA$30),"dd mmm yy"))&amp;" "&amp;Milestones!$AB$30&amp;" "&amp;Milestones!$AC$30&amp;";  ","")&amp;IF(AND(EDATE($D74,Milestones!$AA$31)&lt;=AsOfDate,IF($R74=0,$X74,IF(AND($T74&lt;&gt;"",EDATE($D74,Milestones!$AA$31)&gt;=$T74),$W74,IF(AND($S74&lt;&gt;"",EDATE($D74,Milestones!$AA$31)&gt;=$S74),$V74,$U74)))=Milestones!$AB$31),UPPER(TEXT(EDATE($D74,Milestones!$AA$31),"dd mmm yy"))&amp;" "&amp;Milestones!$AB$31&amp;" "&amp;Milestones!$AC$31&amp;";  ","")&amp;IF(AND(EDATE($D74,Milestones!$AA$32)&lt;=AsOfDate,IF($R74=0,$X74,IF(AND($T74&lt;&gt;"",EDATE($D74,Milestones!$AA$32)&gt;=$T74),$W74,IF(AND($S74&lt;&gt;"",EDATE($D74,Milestones!$AA$32)&gt;=$S74),$V74,$U74)))=Milestones!$AB$32),UPPER(TEXT(EDATE($D74,Milestones!$AA$32),"dd mmm yy"))&amp;" "&amp;Milestones!$AB$32&amp;" "&amp;Milestones!$AC$32&amp;";  ","")&amp;IF(AND(EDATE($D74,Milestones!$AA$33)&lt;=AsOfDate,IF($R74=0,$X74,IF(AND($T74&lt;&gt;"",EDATE($D74,Milestones!$AA$33)&gt;=$T74),$W74,IF(AND($S74&lt;&gt;"",EDATE($D74,Milestones!$AA$33)&gt;=$S74),$V74,$U74)))=Milestones!$AB$33),UPPER(TEXT(EDATE($D74,Milestones!$AA$33),"dd mmm yy"))&amp;" "&amp;Milestones!$AB$33&amp;" "&amp;Milestones!$AC$33&amp;";  ","")&amp;IF(AND(EDATE($D74,Milestones!$AA$34)&lt;=AsOfDate,IF($R74=0,$X74,IF(AND($T74&lt;&gt;"",EDATE($D74,Milestones!$AA$34)&gt;=$T74),$W74,IF(AND($S74&lt;&gt;"",EDATE($D74,Milestones!$AA$34)&gt;=$S74),$V74,$U74)))=Milestones!$AB$34),UPPER(TEXT(EDATE($D74,Milestones!$AA$34),"dd mmm yy"))&amp;" "&amp;Milestones!$AB$34&amp;" "&amp;Milestones!$AC$34&amp;";  ","")&amp;IF(AND(EDATE($D74,Milestones!$AA$35)&lt;=AsOfDate,IF($R74=0,$X74,IF(AND($T74&lt;&gt;"",EDATE($D74,Milestones!$AA$35)&gt;=$T74),$W74,IF(AND($S74&lt;&gt;"",EDATE($D74,Milestones!$AA$35)&gt;=$S74),$V74,$U74)))=Milestones!$AB$35),UPPER(TEXT(EDATE($D74,Milestones!$AA$35),"dd mmm yy"))&amp;" "&amp;Milestones!$AB$35&amp;" "&amp;Milestones!$AC$35&amp;";  ","")&amp;IF(AND(EDATE($D74,Milestones!$AA$36)&lt;=AsOfDate,IF($R74=0,$X74,IF(AND($T74&lt;&gt;"",EDATE($D74,Milestones!$AA$36)&gt;=$T74),$W74,IF(AND($S74&lt;&gt;"",EDATE($D74,Milestones!$AA$36)&gt;=$S74),$V74,$U74)))=Milestones!$AB$36),UPPER(TEXT(EDATE($D74,Milestones!$AA$36),"dd mmm yy"))&amp;" "&amp;Milestones!$AB$36&amp;" "&amp;Milestones!$AC$36&amp;";  ","")&amp;IF(AND(EDATE($D74,Milestones!$AA$37)&lt;=AsOfDate,IF($R74=0,$X74,IF(AND($T74&lt;&gt;"",EDATE($D74,Milestones!$AA$37)&gt;=$T74),$W74,IF(AND($S74&lt;&gt;"",EDATE($D74,Milestones!$AA$37)&gt;=$S74),$V74,$U74)))=Milestones!$AB$37),UPPER(TEXT(EDATE($D74,Milestones!$AA$37),"dd mmm yy"))&amp;" "&amp;Milestones!$AB$37&amp;" "&amp;Milestones!$AC$37&amp;";  ","")&amp;IF(AND(EDATE($D74,Milestones!$AA$38)&lt;=AsOfDate,IF($R74=0,$X74,IF(AND($T74&lt;&gt;"",EDATE($D74,Milestones!$AA$38)&gt;=$T74),$W74,IF(AND($S74&lt;&gt;"",EDATE($D74,Milestones!$AA$38)&gt;=$S74),$V74,$U74)))=Milestones!$AB$38),UPPER(TEXT(EDATE($D74,Milestones!$AA$38),"dd mmm yy"))&amp;" "&amp;Milestones!$AB$38&amp;" "&amp;Milestones!$AC$38&amp;";  ","")&amp;IF(AND(EDATE($D74,Milestones!$AA$39)&lt;=AsOfDate,IF($R74=0,$X74,IF(AND($T74&lt;&gt;"",EDATE($D74,Milestones!$AA$39)&gt;=$T74),$W74,IF(AND($S74&lt;&gt;"",EDATE($D74,Milestones!$AA$39)&gt;=$S74),$V74,$U74)))=Milestones!$AB$39),UPPER(TEXT(EDATE($D74,Milestones!$AA$39),"dd mmm yy"))&amp;" "&amp;Milestones!$AB$39&amp;" "&amp;Milestones!$AC$39&amp;";  ",""))</f>
        <v/>
      </c>
      <c r="J74" s="0" t="str">
        <f aca="false">IF(OR($A74="",$D74=""),"",IF(AND(EDATE($D74,Milestones!$AA$40)&lt;=AsOfDate,IF($R74=0,$X74,IF(AND($T74&lt;&gt;"",EDATE($D74,Milestones!$AA$40)&gt;=$T74),$W74,IF(AND($S74&lt;&gt;"",EDATE($D74,Milestones!$AA$40)&gt;=$S74),$V74,$U74)))=Milestones!$AB$40),UPPER(TEXT(EDATE($D74,Milestones!$AA$40),"dd mmm yy"))&amp;" "&amp;Milestones!$AB$40&amp;" "&amp;Milestones!$AC$40&amp;";  ","")&amp;IF(AND(EDATE($D74,Milestones!$AA$41)&lt;=AsOfDate,IF($R74=0,$X74,IF(AND($T74&lt;&gt;"",EDATE($D74,Milestones!$AA$41)&gt;=$T74),$W74,IF(AND($S74&lt;&gt;"",EDATE($D74,Milestones!$AA$41)&gt;=$S74),$V74,$U74)))=Milestones!$AB$41),UPPER(TEXT(EDATE($D74,Milestones!$AA$41),"dd mmm yy"))&amp;" "&amp;Milestones!$AB$41&amp;" "&amp;Milestones!$AC$41&amp;";  ","")&amp;IF(AND(EDATE($D74,Milestones!$AA$42)&lt;=AsOfDate,IF($R74=0,$X74,IF(AND($T74&lt;&gt;"",EDATE($D74,Milestones!$AA$42)&gt;=$T74),$W74,IF(AND($S74&lt;&gt;"",EDATE($D74,Milestones!$AA$42)&gt;=$S74),$V74,$U74)))=Milestones!$AB$42),UPPER(TEXT(EDATE($D74,Milestones!$AA$42),"dd mmm yy"))&amp;" "&amp;Milestones!$AB$42&amp;" "&amp;Milestones!$AC$42&amp;";  ","")&amp;IF(AND(EDATE($D74,Milestones!$AA$43)&lt;=AsOfDate,IF($R74=0,$X74,IF(AND($T74&lt;&gt;"",EDATE($D74,Milestones!$AA$43)&gt;=$T74),$W74,IF(AND($S74&lt;&gt;"",EDATE($D74,Milestones!$AA$43)&gt;=$S74),$V74,$U74)))=Milestones!$AB$43),UPPER(TEXT(EDATE($D74,Milestones!$AA$43),"dd mmm yy"))&amp;" "&amp;Milestones!$AB$43&amp;" "&amp;Milestones!$AC$43&amp;";  ","")&amp;IF(AND(EDATE($D74,Milestones!$AA$44)&lt;=AsOfDate,IF($R74=0,$X74,IF(AND($T74&lt;&gt;"",EDATE($D74,Milestones!$AA$44)&gt;=$T74),$W74,IF(AND($S74&lt;&gt;"",EDATE($D74,Milestones!$AA$44)&gt;=$S74),$V74,$U74)))=Milestones!$AB$44),UPPER(TEXT(EDATE($D74,Milestones!$AA$44),"dd mmm yy"))&amp;" "&amp;Milestones!$AB$44&amp;" "&amp;Milestones!$AC$44&amp;";  ","")&amp;IF(AND(EDATE($D74,Milestones!$AA$45)&lt;=AsOfDate,IF($R74=0,$X74,IF(AND($T74&lt;&gt;"",EDATE($D74,Milestones!$AA$45)&gt;=$T74),$W74,IF(AND($S74&lt;&gt;"",EDATE($D74,Milestones!$AA$45)&gt;=$S74),$V74,$U74)))=Milestones!$AB$45),UPPER(TEXT(EDATE($D74,Milestones!$AA$45),"dd mmm yy"))&amp;" "&amp;Milestones!$AB$45&amp;" "&amp;Milestones!$AC$45&amp;";  ","")&amp;IF(AND(EDATE($D74,Milestones!$AA$46)&lt;=AsOfDate,IF($R74=0,$X74,IF(AND($T74&lt;&gt;"",EDATE($D74,Milestones!$AA$46)&gt;=$T74),$W74,IF(AND($S74&lt;&gt;"",EDATE($D74,Milestones!$AA$46)&gt;=$S74),$V74,$U74)))=Milestones!$AB$46),UPPER(TEXT(EDATE($D74,Milestones!$AA$46),"dd mmm yy"))&amp;" "&amp;Milestones!$AB$46&amp;" "&amp;Milestones!$AC$46&amp;";  ","")&amp;IF(AND(EDATE($D74,Milestones!$AA$47)&lt;=AsOfDate,IF($R74=0,$X74,IF(AND($T74&lt;&gt;"",EDATE($D74,Milestones!$AA$47)&gt;=$T74),$W74,IF(AND($S74&lt;&gt;"",EDATE($D74,Milestones!$AA$47)&gt;=$S74),$V74,$U74)))=Milestones!$AB$47),UPPER(TEXT(EDATE($D74,Milestones!$AA$47),"dd mmm yy"))&amp;" "&amp;Milestones!$AB$47&amp;" "&amp;Milestones!$AC$47&amp;";  ","")&amp;IF(AND(EDATE($D74,Milestones!$AA$48)&lt;=AsOfDate,IF($R74=0,$X74,IF(AND($T74&lt;&gt;"",EDATE($D74,Milestones!$AA$48)&gt;=$T74),$W74,IF(AND($S74&lt;&gt;"",EDATE($D74,Milestones!$AA$48)&gt;=$S74),$V74,$U74)))=Milestones!$AB$48),UPPER(TEXT(EDATE($D74,Milestones!$AA$48),"dd mmm yy"))&amp;" "&amp;Milestones!$AB$48&amp;" "&amp;Milestones!$AC$48&amp;";  ","")&amp;IF(AND(EDATE($D74,Milestones!$AA$49)&lt;=AsOfDate,IF($R74=0,$X74,IF(AND($T74&lt;&gt;"",EDATE($D74,Milestones!$AA$49)&gt;=$T74),$W74,IF(AND($S74&lt;&gt;"",EDATE($D74,Milestones!$AA$49)&gt;=$S74),$V74,$U74)))=Milestones!$AB$49),UPPER(TEXT(EDATE($D74,Milestones!$AA$49),"dd mmm yy"))&amp;" "&amp;Milestones!$AB$49&amp;" "&amp;Milestones!$AC$49&amp;";  ","")&amp;IF(AND(EDATE($D74,Milestones!$AA$50)&lt;=AsOfDate,IF($R74=0,$X74,IF(AND($T74&lt;&gt;"",EDATE($D74,Milestones!$AA$50)&gt;=$T74),$W74,IF(AND($S74&lt;&gt;"",EDATE($D74,Milestones!$AA$50)&gt;=$S74),$V74,$U74)))=Milestones!$AB$50),UPPER(TEXT(EDATE($D74,Milestones!$AA$50),"dd mmm yy"))&amp;" "&amp;Milestones!$AB$50&amp;" "&amp;Milestones!$AC$50&amp;";  ","")&amp;IF(AND(EDATE($D74,Milestones!$AA$51)&lt;=AsOfDate,IF($R74=0,$X74,IF(AND($T74&lt;&gt;"",EDATE($D74,Milestones!$AA$51)&gt;=$T74),$W74,IF(AND($S74&lt;&gt;"",EDATE($D74,Milestones!$AA$51)&gt;=$S74),$V74,$U74)))=Milestones!$AB$51),UPPER(TEXT(EDATE($D74,Milestones!$AA$51),"dd mmm yy"))&amp;" "&amp;Milestones!$AB$51&amp;" "&amp;Milestones!$AC$51&amp;";  ","")&amp;IF(AND(EDATE($D74,Milestones!$AA$52)&lt;=AsOfDate,IF($R74=0,$X74,IF(AND($T74&lt;&gt;"",EDATE($D74,Milestones!$AA$52)&gt;=$T74),$W74,IF(AND($S74&lt;&gt;"",EDATE($D74,Milestones!$AA$52)&gt;=$S74),$V74,$U74)))=Milestones!$AB$52),UPPER(TEXT(EDATE($D74,Milestones!$AA$52),"dd mmm yy"))&amp;" "&amp;Milestones!$AB$52&amp;" "&amp;Milestones!$AC$52&amp;";  ","")&amp;IF(AND(EDATE($D74,Milestones!$AA$53)&lt;=AsOfDate,IF($R74=0,$X74,IF(AND($T74&lt;&gt;"",EDATE($D74,Milestones!$AA$53)&gt;=$T74),$W74,IF(AND($S74&lt;&gt;"",EDATE($D74,Milestones!$AA$53)&gt;=$S74),$V74,$U74)))=Milestones!$AB$53),UPPER(TEXT(EDATE($D74,Milestones!$AA$53),"dd mmm yy"))&amp;" "&amp;Milestones!$AB$53&amp;" "&amp;Milestones!$AC$53&amp;";  ","")&amp;IF(AND(EDATE($D74,Milestones!$AA$54)&lt;=AsOfDate,IF($R74=0,$X74,IF(AND($T74&lt;&gt;"",EDATE($D74,Milestones!$AA$54)&gt;=$T74),$W74,IF(AND($S74&lt;&gt;"",EDATE($D74,Milestones!$AA$54)&gt;=$S74),$V74,$U74)))=Milestones!$AB$54),UPPER(TEXT(EDATE($D74,Milestones!$AA$54),"dd mmm yy"))&amp;" "&amp;Milestones!$AB$54&amp;" "&amp;Milestones!$AC$54&amp;";  ","")&amp;IF(AND(EDATE($D74,Milestones!$AA$55)&lt;=AsOfDate,IF($R74=0,$X74,IF(AND($T74&lt;&gt;"",EDATE($D74,Milestones!$AA$55)&gt;=$T74),$W74,IF(AND($S74&lt;&gt;"",EDATE($D74,Milestones!$AA$55)&gt;=$S74),$V74,$U74)))=Milestones!$AB$55),UPPER(TEXT(EDATE($D74,Milestones!$AA$55),"dd mmm yy"))&amp;" "&amp;Milestones!$AB$55&amp;" "&amp;Milestones!$AC$55&amp;";  ","")&amp;IF(AND(EDATE($D74,Milestones!$AA$56)&lt;=AsOfDate,IF($R74=0,$X74,IF(AND($T74&lt;&gt;"",EDATE($D74,Milestones!$AA$56)&gt;=$T74),$W74,IF(AND($S74&lt;&gt;"",EDATE($D74,Milestones!$AA$56)&gt;=$S74),$V74,$U74)))=Milestones!$AB$56),UPPER(TEXT(EDATE($D74,Milestones!$AA$56),"dd mmm yy"))&amp;" "&amp;Milestones!$AB$56&amp;" "&amp;Milestones!$AC$56&amp;";  ","")&amp;IF(AND(EDATE($D74,Milestones!$AA$57)&lt;=AsOfDate,IF($R74=0,$X74,IF(AND($T74&lt;&gt;"",EDATE($D74,Milestones!$AA$57)&gt;=$T74),$W74,IF(AND($S74&lt;&gt;"",EDATE($D74,Milestones!$AA$57)&gt;=$S74),$V74,$U74)))=Milestones!$AB$57),UPPER(TEXT(EDATE($D74,Milestones!$AA$57),"dd mmm yy"))&amp;" "&amp;Milestones!$AB$57&amp;" "&amp;Milestones!$AC$57&amp;";  ","")&amp;IF(AND(EDATE($D74,Milestones!$AA$58)&lt;=AsOfDate,IF($R74=0,$X74,IF(AND($T74&lt;&gt;"",EDATE($D74,Milestones!$AA$58)&gt;=$T74),$W74,IF(AND($S74&lt;&gt;"",EDATE($D74,Milestones!$AA$58)&gt;=$S74),$V74,$U74)))=Milestones!$AB$58),UPPER(TEXT(EDATE($D74,Milestones!$AA$58),"dd mmm yy"))&amp;" "&amp;Milestones!$AB$58&amp;" "&amp;Milestones!$AC$58&amp;";  ","")&amp;IF(AND(EDATE($D74,Milestones!$AA$59)&lt;=AsOfDate,IF($R74=0,$X74,IF(AND($T74&lt;&gt;"",EDATE($D74,Milestones!$AA$59)&gt;=$T74),$W74,IF(AND($S74&lt;&gt;"",EDATE($D74,Milestones!$AA$59)&gt;=$S74),$V74,$U74)))=Milestones!$AB$59),UPPER(TEXT(EDATE($D74,Milestones!$AA$59),"dd mmm yy"))&amp;" "&amp;Milestones!$AB$59&amp;" "&amp;Milestones!$AC$59&amp;";  ",""))</f>
        <v/>
      </c>
      <c r="K74" s="0" t="str">
        <f aca="false">IF(OR($A74="",$D74=""),"",IF(AND(EDATE($D74,Milestones!$AA$60)&lt;=AsOfDate,IF($R74=0,$X74,IF(AND($T74&lt;&gt;"",EDATE($D74,Milestones!$AA$60)&gt;=$T74),$W74,IF(AND($S74&lt;&gt;"",EDATE($D74,Milestones!$AA$60)&gt;=$S74),$V74,$U74)))=Milestones!$AB$60),UPPER(TEXT(EDATE($D74,Milestones!$AA$60),"dd mmm yy"))&amp;" "&amp;Milestones!$AB$60&amp;" "&amp;Milestones!$AC$60&amp;";  ","")&amp;IF(AND(EDATE($D74,Milestones!$AA$61)&lt;=AsOfDate,IF($R74=0,$X74,IF(AND($T74&lt;&gt;"",EDATE($D74,Milestones!$AA$61)&gt;=$T74),$W74,IF(AND($S74&lt;&gt;"",EDATE($D74,Milestones!$AA$61)&gt;=$S74),$V74,$U74)))=Milestones!$AB$61),UPPER(TEXT(EDATE($D74,Milestones!$AA$61),"dd mmm yy"))&amp;" "&amp;Milestones!$AB$61&amp;" "&amp;Milestones!$AC$61&amp;";  ","")&amp;IF(AND(EDATE($D74,Milestones!$AA$62)&lt;=AsOfDate,IF($R74=0,$X74,IF(AND($T74&lt;&gt;"",EDATE($D74,Milestones!$AA$62)&gt;=$T74),$W74,IF(AND($S74&lt;&gt;"",EDATE($D74,Milestones!$AA$62)&gt;=$S74),$V74,$U74)))=Milestones!$AB$62),UPPER(TEXT(EDATE($D74,Milestones!$AA$62),"dd mmm yy"))&amp;" "&amp;Milestones!$AB$62&amp;" "&amp;Milestones!$AC$62&amp;";  ","")&amp;IF(AND(EDATE($D74,Milestones!$AA$63)&lt;=AsOfDate,IF($R74=0,$X74,IF(AND($T74&lt;&gt;"",EDATE($D74,Milestones!$AA$63)&gt;=$T74),$W74,IF(AND($S74&lt;&gt;"",EDATE($D74,Milestones!$AA$63)&gt;=$S74),$V74,$U74)))=Milestones!$AB$63),UPPER(TEXT(EDATE($D74,Milestones!$AA$63),"dd mmm yy"))&amp;" "&amp;Milestones!$AB$63&amp;" "&amp;Milestones!$AC$63&amp;";  ","")&amp;IF(AND(EDATE($D74,Milestones!$AA$64)&lt;=AsOfDate,IF($R74=0,$X74,IF(AND($T74&lt;&gt;"",EDATE($D74,Milestones!$AA$64)&gt;=$T74),$W74,IF(AND($S74&lt;&gt;"",EDATE($D74,Milestones!$AA$64)&gt;=$S74),$V74,$U74)))=Milestones!$AB$64),UPPER(TEXT(EDATE($D74,Milestones!$AA$64),"dd mmm yy"))&amp;" "&amp;Milestones!$AB$64&amp;" "&amp;Milestones!$AC$64&amp;";  ","")&amp;IF(AND(EDATE($D74,Milestones!$AA$65)&lt;=AsOfDate,IF($R74=0,$X74,IF(AND($T74&lt;&gt;"",EDATE($D74,Milestones!$AA$65)&gt;=$T74),$W74,IF(AND($S74&lt;&gt;"",EDATE($D74,Milestones!$AA$65)&gt;=$S74),$V74,$U74)))=Milestones!$AB$65),UPPER(TEXT(EDATE($D74,Milestones!$AA$65),"dd mmm yy"))&amp;" "&amp;Milestones!$AB$65&amp;" "&amp;Milestones!$AC$65&amp;";  ","")&amp;IF(AND(EDATE($D74,Milestones!$AA$66)&lt;=AsOfDate,IF($R74=0,$X74,IF(AND($T74&lt;&gt;"",EDATE($D74,Milestones!$AA$66)&gt;=$T74),$W74,IF(AND($S74&lt;&gt;"",EDATE($D74,Milestones!$AA$66)&gt;=$S74),$V74,$U74)))=Milestones!$AB$66),UPPER(TEXT(EDATE($D74,Milestones!$AA$66),"dd mmm yy"))&amp;" "&amp;Milestones!$AB$66&amp;" "&amp;Milestones!$AC$66&amp;";  ","")&amp;IF(AND(EDATE($D74,Milestones!$AA$67)&lt;=AsOfDate,IF($R74=0,$X74,IF(AND($T74&lt;&gt;"",EDATE($D74,Milestones!$AA$67)&gt;=$T74),$W74,IF(AND($S74&lt;&gt;"",EDATE($D74,Milestones!$AA$67)&gt;=$S74),$V74,$U74)))=Milestones!$AB$67),UPPER(TEXT(EDATE($D74,Milestones!$AA$67),"dd mmm yy"))&amp;" "&amp;Milestones!$AB$67&amp;" "&amp;Milestones!$AC$67&amp;";  ","")&amp;IF(AND(EDATE($D74,Milestones!$AA$68)&lt;=AsOfDate,IF($R74=0,$X74,IF(AND($T74&lt;&gt;"",EDATE($D74,Milestones!$AA$68)&gt;=$T74),$W74,IF(AND($S74&lt;&gt;"",EDATE($D74,Milestones!$AA$68)&gt;=$S74),$V74,$U74)))=Milestones!$AB$68),UPPER(TEXT(EDATE($D74,Milestones!$AA$68),"dd mmm yy"))&amp;" "&amp;Milestones!$AB$68&amp;" "&amp;Milestones!$AC$68&amp;";  ","")&amp;IF(AND(EDATE($D74,Milestones!$AA$69)&lt;=AsOfDate,IF($R74=0,$X74,IF(AND($T74&lt;&gt;"",EDATE($D74,Milestones!$AA$69)&gt;=$T74),$W74,IF(AND($S74&lt;&gt;"",EDATE($D74,Milestones!$AA$69)&gt;=$S74),$V74,$U74)))=Milestones!$AB$69),UPPER(TEXT(EDATE($D74,Milestones!$AA$69),"dd mmm yy"))&amp;" "&amp;Milestones!$AB$69&amp;" "&amp;Milestones!$AC$69&amp;";  ","")&amp;IF(AND(EDATE($D74,Milestones!$AA$70)&lt;=AsOfDate,IF($R74=0,$X74,IF(AND($T74&lt;&gt;"",EDATE($D74,Milestones!$AA$70)&gt;=$T74),$W74,IF(AND($S74&lt;&gt;"",EDATE($D74,Milestones!$AA$70)&gt;=$S74),$V74,$U74)))=Milestones!$AB$70),UPPER(TEXT(EDATE($D74,Milestones!$AA$70),"dd mmm yy"))&amp;" "&amp;Milestones!$AB$70&amp;" "&amp;Milestones!$AC$70&amp;";  ","")&amp;IF(AND(EDATE($D74,Milestones!$AA$71)&lt;=AsOfDate,IF($R74=0,$X74,IF(AND($T74&lt;&gt;"",EDATE($D74,Milestones!$AA$71)&gt;=$T74),$W74,IF(AND($S74&lt;&gt;"",EDATE($D74,Milestones!$AA$71)&gt;=$S74),$V74,$U74)))=Milestones!$AB$71),UPPER(TEXT(EDATE($D74,Milestones!$AA$71),"dd mmm yy"))&amp;" "&amp;Milestones!$AB$71&amp;" "&amp;Milestones!$AC$71&amp;";  ","")&amp;IF(AND(EDATE($D74,Milestones!$AA$72)&lt;=AsOfDate,IF($R74=0,$X74,IF(AND($T74&lt;&gt;"",EDATE($D74,Milestones!$AA$72)&gt;=$T74),$W74,IF(AND($S74&lt;&gt;"",EDATE($D74,Milestones!$AA$72)&gt;=$S74),$V74,$U74)))=Milestones!$AB$72),UPPER(TEXT(EDATE($D74,Milestones!$AA$72),"dd mmm yy"))&amp;" "&amp;Milestones!$AB$72&amp;" "&amp;Milestones!$AC$72&amp;";  ","")&amp;IF(AND(EDATE($D74,Milestones!$AA$73)&lt;=AsOfDate,IF($R74=0,$X74,IF(AND($T74&lt;&gt;"",EDATE($D74,Milestones!$AA$73)&gt;=$T74),$W74,IF(AND($S74&lt;&gt;"",EDATE($D74,Milestones!$AA$73)&gt;=$S74),$V74,$U74)))=Milestones!$AB$73),UPPER(TEXT(EDATE($D74,Milestones!$AA$73),"dd mmm yy"))&amp;" "&amp;Milestones!$AB$73&amp;" "&amp;Milestones!$AC$73&amp;";  ","")&amp;IF(AND(EDATE($D74,Milestones!$AA$74)&lt;=AsOfDate,IF($R74=0,$X74,IF(AND($T74&lt;&gt;"",EDATE($D74,Milestones!$AA$74)&gt;=$T74),$W74,IF(AND($S74&lt;&gt;"",EDATE($D74,Milestones!$AA$74)&gt;=$S74),$V74,$U74)))=Milestones!$AB$74),UPPER(TEXT(EDATE($D74,Milestones!$AA$74),"dd mmm yy"))&amp;" "&amp;Milestones!$AB$74&amp;" "&amp;Milestones!$AC$74&amp;";  ","")&amp;IF(AND(EDATE($D74,Milestones!$AA$75)&lt;=AsOfDate,IF($R74=0,$X74,IF(AND($T74&lt;&gt;"",EDATE($D74,Milestones!$AA$75)&gt;=$T74),$W74,IF(AND($S74&lt;&gt;"",EDATE($D74,Milestones!$AA$75)&gt;=$S74),$V74,$U74)))=Milestones!$AB$75),UPPER(TEXT(EDATE($D74,Milestones!$AA$75),"dd mmm yy"))&amp;" "&amp;Milestones!$AB$75&amp;" "&amp;Milestones!$AC$75&amp;";  ","")&amp;IF(AND(EDATE($D74,Milestones!$AA$76)&lt;=AsOfDate,IF($R74=0,$X74,IF(AND($T74&lt;&gt;"",EDATE($D74,Milestones!$AA$76)&gt;=$T74),$W74,IF(AND($S74&lt;&gt;"",EDATE($D74,Milestones!$AA$76)&gt;=$S74),$V74,$U74)))=Milestones!$AB$76),UPPER(TEXT(EDATE($D74,Milestones!$AA$76),"dd mmm yy"))&amp;" "&amp;Milestones!$AB$76&amp;" "&amp;Milestones!$AC$76&amp;";  ","")&amp;IF(AND(EDATE($D74,Milestones!$AA$77)&lt;=AsOfDate,IF($R74=0,$X74,IF(AND($T74&lt;&gt;"",EDATE($D74,Milestones!$AA$77)&gt;=$T74),$W74,IF(AND($S74&lt;&gt;"",EDATE($D74,Milestones!$AA$77)&gt;=$S74),$V74,$U74)))=Milestones!$AB$77),UPPER(TEXT(EDATE($D74,Milestones!$AA$77),"dd mmm yy"))&amp;" "&amp;Milestones!$AB$77&amp;" "&amp;Milestones!$AC$77&amp;";  ","")&amp;IF(AND(EDATE($D74,Milestones!$AA$78)&lt;=AsOfDate,IF($R74=0,$X74,IF(AND($T74&lt;&gt;"",EDATE($D74,Milestones!$AA$78)&gt;=$T74),$W74,IF(AND($S74&lt;&gt;"",EDATE($D74,Milestones!$AA$78)&gt;=$S74),$V74,$U74)))=Milestones!$AB$78),UPPER(TEXT(EDATE($D74,Milestones!$AA$78),"dd mmm yy"))&amp;" "&amp;Milestones!$AB$78&amp;" "&amp;Milestones!$AC$78&amp;";  ","")&amp;IF(AND(EDATE($D74,Milestones!$AA$79)&lt;=AsOfDate,IF($R74=0,$X74,IF(AND($T74&lt;&gt;"",EDATE($D74,Milestones!$AA$79)&gt;=$T74),$W74,IF(AND($S74&lt;&gt;"",EDATE($D74,Milestones!$AA$79)&gt;=$S74),$V74,$U74)))=Milestones!$AB$79),UPPER(TEXT(EDATE($D74,Milestones!$AA$79),"dd mmm yy"))&amp;" "&amp;Milestones!$AB$79&amp;" "&amp;Milestones!$AC$79&amp;";  ",""))</f>
        <v/>
      </c>
      <c r="L74" s="0" t="str">
        <f aca="false">IF(OR($A74="",$D74=""),"",IF(AND(EDATE($D74,Milestones!$AA$80)&lt;=AsOfDate,IF($R74=0,$X74,IF(AND($T74&lt;&gt;"",EDATE($D74,Milestones!$AA$80)&gt;=$T74),$W74,IF(AND($S74&lt;&gt;"",EDATE($D74,Milestones!$AA$80)&gt;=$S74),$V74,$U74)))=Milestones!$AB$80),UPPER(TEXT(EDATE($D74,Milestones!$AA$80),"dd mmm yy"))&amp;" "&amp;Milestones!$AB$80&amp;" "&amp;Milestones!$AC$80&amp;";  ","")&amp;IF(AND(EDATE($D74,Milestones!$AA$81)&lt;=AsOfDate,IF($R74=0,$X74,IF(AND($T74&lt;&gt;"",EDATE($D74,Milestones!$AA$81)&gt;=$T74),$W74,IF(AND($S74&lt;&gt;"",EDATE($D74,Milestones!$AA$81)&gt;=$S74),$V74,$U74)))=Milestones!$AB$81),UPPER(TEXT(EDATE($D74,Milestones!$AA$81),"dd mmm yy"))&amp;" "&amp;Milestones!$AB$81&amp;" "&amp;Milestones!$AC$81&amp;";  ","")&amp;IF(AND(EDATE($D74,Milestones!$AA$82)&lt;=AsOfDate,IF($R74=0,$X74,IF(AND($T74&lt;&gt;"",EDATE($D74,Milestones!$AA$82)&gt;=$T74),$W74,IF(AND($S74&lt;&gt;"",EDATE($D74,Milestones!$AA$82)&gt;=$S74),$V74,$U74)))=Milestones!$AB$82),UPPER(TEXT(EDATE($D74,Milestones!$AA$82),"dd mmm yy"))&amp;" "&amp;Milestones!$AB$82&amp;" "&amp;Milestones!$AC$82&amp;";  ","")&amp;IF(AND(EDATE($D74,Milestones!$AA$83)&lt;=AsOfDate,IF($R74=0,$X74,IF(AND($T74&lt;&gt;"",EDATE($D74,Milestones!$AA$83)&gt;=$T74),$W74,IF(AND($S74&lt;&gt;"",EDATE($D74,Milestones!$AA$83)&gt;=$S74),$V74,$U74)))=Milestones!$AB$83),UPPER(TEXT(EDATE($D74,Milestones!$AA$83),"dd mmm yy"))&amp;" "&amp;Milestones!$AB$83&amp;" "&amp;Milestones!$AC$83&amp;";  ","")&amp;IF(AND(EDATE($D74,Milestones!$AA$84)&lt;=AsOfDate,IF($R74=0,$X74,IF(AND($T74&lt;&gt;"",EDATE($D74,Milestones!$AA$84)&gt;=$T74),$W74,IF(AND($S74&lt;&gt;"",EDATE($D74,Milestones!$AA$84)&gt;=$S74),$V74,$U74)))=Milestones!$AB$84),UPPER(TEXT(EDATE($D74,Milestones!$AA$84),"dd mmm yy"))&amp;" "&amp;Milestones!$AB$84&amp;" "&amp;Milestones!$AC$84&amp;";  ","")&amp;IF(AND(EDATE($D74,Milestones!$AA$85)&lt;=AsOfDate,IF($R74=0,$X74,IF(AND($T74&lt;&gt;"",EDATE($D74,Milestones!$AA$85)&gt;=$T74),$W74,IF(AND($S74&lt;&gt;"",EDATE($D74,Milestones!$AA$85)&gt;=$S74),$V74,$U74)))=Milestones!$AB$85),UPPER(TEXT(EDATE($D74,Milestones!$AA$85),"dd mmm yy"))&amp;" "&amp;Milestones!$AB$85&amp;" "&amp;Milestones!$AC$85&amp;";  ","")&amp;IF(AND(EDATE($D74,Milestones!$AA$86)&lt;=AsOfDate,IF($R74=0,$X74,IF(AND($T74&lt;&gt;"",EDATE($D74,Milestones!$AA$86)&gt;=$T74),$W74,IF(AND($S74&lt;&gt;"",EDATE($D74,Milestones!$AA$86)&gt;=$S74),$V74,$U74)))=Milestones!$AB$86),UPPER(TEXT(EDATE($D74,Milestones!$AA$86),"dd mmm yy"))&amp;" "&amp;Milestones!$AB$86&amp;" "&amp;Milestones!$AC$86&amp;";  ","")&amp;IF(AND(EDATE($D74,Milestones!$AA$87)&lt;=AsOfDate,IF($R74=0,$X74,IF(AND($T74&lt;&gt;"",EDATE($D74,Milestones!$AA$87)&gt;=$T74),$W74,IF(AND($S74&lt;&gt;"",EDATE($D74,Milestones!$AA$87)&gt;=$S74),$V74,$U74)))=Milestones!$AB$87),UPPER(TEXT(EDATE($D74,Milestones!$AA$87),"dd mmm yy"))&amp;" "&amp;Milestones!$AB$87&amp;" "&amp;Milestones!$AC$87&amp;";  ","")&amp;IF(AND(EDATE($D74,Milestones!$AA$88)&lt;=AsOfDate,IF($R74=0,$X74,IF(AND($T74&lt;&gt;"",EDATE($D74,Milestones!$AA$88)&gt;=$T74),$W74,IF(AND($S74&lt;&gt;"",EDATE($D74,Milestones!$AA$88)&gt;=$S74),$V74,$U74)))=Milestones!$AB$88),UPPER(TEXT(EDATE($D74,Milestones!$AA$88),"dd mmm yy"))&amp;" "&amp;Milestones!$AB$88&amp;" "&amp;Milestones!$AC$88&amp;";  ","")&amp;IF(AND(EDATE($D74,Milestones!$AA$89)&lt;=AsOfDate,IF($R74=0,$X74,IF(AND($T74&lt;&gt;"",EDATE($D74,Milestones!$AA$89)&gt;=$T74),$W74,IF(AND($S74&lt;&gt;"",EDATE($D74,Milestones!$AA$89)&gt;=$S74),$V74,$U74)))=Milestones!$AB$89),UPPER(TEXT(EDATE($D74,Milestones!$AA$89),"dd mmm yy"))&amp;" "&amp;Milestones!$AB$89&amp;" "&amp;Milestones!$AC$89&amp;";  ","")&amp;IF(AND(EDATE($D74,Milestones!$AA$90)&lt;=AsOfDate,IF($R74=0,$X74,IF(AND($T74&lt;&gt;"",EDATE($D74,Milestones!$AA$90)&gt;=$T74),$W74,IF(AND($S74&lt;&gt;"",EDATE($D74,Milestones!$AA$90)&gt;=$S74),$V74,$U74)))=Milestones!$AB$90),UPPER(TEXT(EDATE($D74,Milestones!$AA$90),"dd mmm yy"))&amp;" "&amp;Milestones!$AB$90&amp;" "&amp;Milestones!$AC$90&amp;";  ","")&amp;IF(AND(EDATE($D74,Milestones!$AA$91)&lt;=AsOfDate,IF($R74=0,$X74,IF(AND($T74&lt;&gt;"",EDATE($D74,Milestones!$AA$91)&gt;=$T74),$W74,IF(AND($S74&lt;&gt;"",EDATE($D74,Milestones!$AA$91)&gt;=$S74),$V74,$U74)))=Milestones!$AB$91),UPPER(TEXT(EDATE($D74,Milestones!$AA$91),"dd mmm yy"))&amp;" "&amp;Milestones!$AB$91&amp;" "&amp;Milestones!$AC$91&amp;";  ","")&amp;IF(AND(EDATE($D74,Milestones!$AA$92)&lt;=AsOfDate,IF($R74=0,$X74,IF(AND($T74&lt;&gt;"",EDATE($D74,Milestones!$AA$92)&gt;=$T74),$W74,IF(AND($S74&lt;&gt;"",EDATE($D74,Milestones!$AA$92)&gt;=$S74),$V74,$U74)))=Milestones!$AB$92),UPPER(TEXT(EDATE($D74,Milestones!$AA$92),"dd mmm yy"))&amp;" "&amp;Milestones!$AB$92&amp;" "&amp;Milestones!$AC$92&amp;";  ","")&amp;IF(AND(EDATE($D74,Milestones!$AA$93)&lt;=AsOfDate,IF($R74=0,$X74,IF(AND($T74&lt;&gt;"",EDATE($D74,Milestones!$AA$93)&gt;=$T74),$W74,IF(AND($S74&lt;&gt;"",EDATE($D74,Milestones!$AA$93)&gt;=$S74),$V74,$U74)))=Milestones!$AB$93),UPPER(TEXT(EDATE($D74,Milestones!$AA$93),"dd mmm yy"))&amp;" "&amp;Milestones!$AB$93&amp;" "&amp;Milestones!$AC$93&amp;";  ","")&amp;IF(AND(EDATE($D74,Milestones!$AA$94)&lt;=AsOfDate,IF($R74=0,$X74,IF(AND($T74&lt;&gt;"",EDATE($D74,Milestones!$AA$94)&gt;=$T74),$W74,IF(AND($S74&lt;&gt;"",EDATE($D74,Milestones!$AA$94)&gt;=$S74),$V74,$U74)))=Milestones!$AB$94),UPPER(TEXT(EDATE($D74,Milestones!$AA$94),"dd mmm yy"))&amp;" "&amp;Milestones!$AB$94&amp;" "&amp;Milestones!$AC$94&amp;";  ","")&amp;IF(AND(EDATE($D74,Milestones!$AA$95)&lt;=AsOfDate,IF($R74=0,$X74,IF(AND($T74&lt;&gt;"",EDATE($D74,Milestones!$AA$95)&gt;=$T74),$W74,IF(AND($S74&lt;&gt;"",EDATE($D74,Milestones!$AA$95)&gt;=$S74),$V74,$U74)))=Milestones!$AB$95),UPPER(TEXT(EDATE($D74,Milestones!$AA$95),"dd mmm yy"))&amp;" "&amp;Milestones!$AB$95&amp;" "&amp;Milestones!$AC$95&amp;";  ","")&amp;IF(AND(EDATE($D74,Milestones!$AA$96)&lt;=AsOfDate,IF($R74=0,$X74,IF(AND($T74&lt;&gt;"",EDATE($D74,Milestones!$AA$96)&gt;=$T74),$W74,IF(AND($S74&lt;&gt;"",EDATE($D74,Milestones!$AA$96)&gt;=$S74),$V74,$U74)))=Milestones!$AB$96),UPPER(TEXT(EDATE($D74,Milestones!$AA$96),"dd mmm yy"))&amp;" "&amp;Milestones!$AB$96&amp;" "&amp;Milestones!$AC$96&amp;";  ","")&amp;IF(AND(EDATE($D74,Milestones!$AA$97)&lt;=AsOfDate,IF($R74=0,$X74,IF(AND($T74&lt;&gt;"",EDATE($D74,Milestones!$AA$97)&gt;=$T74),$W74,IF(AND($S74&lt;&gt;"",EDATE($D74,Milestones!$AA$97)&gt;=$S74),$V74,$U74)))=Milestones!$AB$97),UPPER(TEXT(EDATE($D74,Milestones!$AA$97),"dd mmm yy"))&amp;" "&amp;Milestones!$AB$97&amp;" "&amp;Milestones!$AC$97&amp;";  ","")&amp;IF(AND(EDATE($D74,Milestones!$AA$98)&lt;=AsOfDate,IF($R74=0,$X74,IF(AND($T74&lt;&gt;"",EDATE($D74,Milestones!$AA$98)&gt;=$T74),$W74,IF(AND($S74&lt;&gt;"",EDATE($D74,Milestones!$AA$98)&gt;=$S74),$V74,$U74)))=Milestones!$AB$98),UPPER(TEXT(EDATE($D74,Milestones!$AA$98),"dd mmm yy"))&amp;" "&amp;Milestones!$AB$98&amp;" "&amp;Milestones!$AC$98&amp;";  ","")&amp;IF(AND(EDATE($D74,Milestones!$AA$99)&lt;=AsOfDate,IF($R74=0,$X74,IF(AND($T74&lt;&gt;"",EDATE($D74,Milestones!$AA$99)&gt;=$T74),$W74,IF(AND($S74&lt;&gt;"",EDATE($D74,Milestones!$AA$99)&gt;=$S74),$V74,$U74)))=Milestones!$AB$99),UPPER(TEXT(EDATE($D74,Milestones!$AA$99),"dd mmm yy"))&amp;" "&amp;Milestones!$AB$99&amp;" "&amp;Milestones!$AC$99&amp;";  ",""))</f>
        <v/>
      </c>
      <c r="M74" s="0" t="str">
        <f aca="false">IF(OR($A74="",$D74=""),"",IF(AND(EDATE($D74,Milestones!$AA$100)&lt;=AsOfDate,IF($R74=0,$X74,IF(AND($T74&lt;&gt;"",EDATE($D74,Milestones!$AA$100)&gt;=$T74),$W74,IF(AND($S74&lt;&gt;"",EDATE($D74,Milestones!$AA$100)&gt;=$S74),$V74,$U74)))=Milestones!$AB$100),UPPER(TEXT(EDATE($D74,Milestones!$AA$100),"dd mmm yy"))&amp;" "&amp;Milestones!$AB$100&amp;" "&amp;Milestones!$AC$100&amp;";  ","")&amp;IF(AND(EDATE($D74,Milestones!$AA$101)&lt;=AsOfDate,IF($R74=0,$X74,IF(AND($T74&lt;&gt;"",EDATE($D74,Milestones!$AA$101)&gt;=$T74),$W74,IF(AND($S74&lt;&gt;"",EDATE($D74,Milestones!$AA$101)&gt;=$S74),$V74,$U74)))=Milestones!$AB$101),UPPER(TEXT(EDATE($D74,Milestones!$AA$101),"dd mmm yy"))&amp;" "&amp;Milestones!$AB$101&amp;" "&amp;Milestones!$AC$101&amp;";  ","")&amp;IF(AND(EDATE($D74,Milestones!$AA$102)&lt;=AsOfDate,IF($R74=0,$X74,IF(AND($T74&lt;&gt;"",EDATE($D74,Milestones!$AA$102)&gt;=$T74),$W74,IF(AND($S74&lt;&gt;"",EDATE($D74,Milestones!$AA$102)&gt;=$S74),$V74,$U74)))=Milestones!$AB$102),UPPER(TEXT(EDATE($D74,Milestones!$AA$102),"dd mmm yy"))&amp;" "&amp;Milestones!$AB$102&amp;" "&amp;Milestones!$AC$102&amp;";  ","")&amp;IF(AND(EDATE($D74,Milestones!$AA$103)&lt;=AsOfDate,IF($R74=0,$X74,IF(AND($T74&lt;&gt;"",EDATE($D74,Milestones!$AA$103)&gt;=$T74),$W74,IF(AND($S74&lt;&gt;"",EDATE($D74,Milestones!$AA$103)&gt;=$S74),$V74,$U74)))=Milestones!$AB$103),UPPER(TEXT(EDATE($D74,Milestones!$AA$103),"dd mmm yy"))&amp;" "&amp;Milestones!$AB$103&amp;" "&amp;Milestones!$AC$103&amp;";  ","")&amp;IF(AND(EDATE($D74,Milestones!$AA$104)&lt;=AsOfDate,IF($R74=0,$X74,IF(AND($T74&lt;&gt;"",EDATE($D74,Milestones!$AA$104)&gt;=$T74),$W74,IF(AND($S74&lt;&gt;"",EDATE($D74,Milestones!$AA$104)&gt;=$S74),$V74,$U74)))=Milestones!$AB$104),UPPER(TEXT(EDATE($D74,Milestones!$AA$104),"dd mmm yy"))&amp;" "&amp;Milestones!$AB$104&amp;" "&amp;Milestones!$AC$104&amp;";  ","")&amp;IF(AND(EDATE($D74,Milestones!$AA$105)&lt;=AsOfDate,IF($R74=0,$X74,IF(AND($T74&lt;&gt;"",EDATE($D74,Milestones!$AA$105)&gt;=$T74),$W74,IF(AND($S74&lt;&gt;"",EDATE($D74,Milestones!$AA$105)&gt;=$S74),$V74,$U74)))=Milestones!$AB$105),UPPER(TEXT(EDATE($D74,Milestones!$AA$105),"dd mmm yy"))&amp;" "&amp;Milestones!$AB$105&amp;" "&amp;Milestones!$AC$105&amp;";  ","")&amp;IF(AND(EDATE($D74,Milestones!$AA$106)&lt;=AsOfDate,IF($R74=0,$X74,IF(AND($T74&lt;&gt;"",EDATE($D74,Milestones!$AA$106)&gt;=$T74),$W74,IF(AND($S74&lt;&gt;"",EDATE($D74,Milestones!$AA$106)&gt;=$S74),$V74,$U74)))=Milestones!$AB$106),UPPER(TEXT(EDATE($D74,Milestones!$AA$106),"dd mmm yy"))&amp;" "&amp;Milestones!$AB$106&amp;" "&amp;Milestones!$AC$106&amp;";  ","")&amp;IF(AND(EDATE($D74,Milestones!$AA$107)&lt;=AsOfDate,IF($R74=0,$X74,IF(AND($T74&lt;&gt;"",EDATE($D74,Milestones!$AA$107)&gt;=$T74),$W74,IF(AND($S74&lt;&gt;"",EDATE($D74,Milestones!$AA$107)&gt;=$S74),$V74,$U74)))=Milestones!$AB$107),UPPER(TEXT(EDATE($D74,Milestones!$AA$107),"dd mmm yy"))&amp;" "&amp;Milestones!$AB$107&amp;" "&amp;Milestones!$AC$107&amp;";  ","")&amp;IF(AND(EDATE($D74,Milestones!$AA$108)&lt;=AsOfDate,IF($R74=0,$X74,IF(AND($T74&lt;&gt;"",EDATE($D74,Milestones!$AA$108)&gt;=$T74),$W74,IF(AND($S74&lt;&gt;"",EDATE($D74,Milestones!$AA$108)&gt;=$S74),$V74,$U74)))=Milestones!$AB$108),UPPER(TEXT(EDATE($D74,Milestones!$AA$108),"dd mmm yy"))&amp;" "&amp;Milestones!$AB$108&amp;" "&amp;Milestones!$AC$108&amp;";  ","")&amp;IF(AND(EDATE($D74,Milestones!$AA$109)&lt;=AsOfDate,IF($R74=0,$X74,IF(AND($T74&lt;&gt;"",EDATE($D74,Milestones!$AA$109)&gt;=$T74),$W74,IF(AND($S74&lt;&gt;"",EDATE($D74,Milestones!$AA$109)&gt;=$S74),$V74,$U74)))=Milestones!$AB$109),UPPER(TEXT(EDATE($D74,Milestones!$AA$109),"dd mmm yy"))&amp;" "&amp;Milestones!$AB$109&amp;" "&amp;Milestones!$AC$109&amp;";  ","")&amp;IF(AND(EDATE($D74,Milestones!$AA$110)&lt;=AsOfDate,IF($R74=0,$X74,IF(AND($T74&lt;&gt;"",EDATE($D74,Milestones!$AA$110)&gt;=$T74),$W74,IF(AND($S74&lt;&gt;"",EDATE($D74,Milestones!$AA$110)&gt;=$S74),$V74,$U74)))=Milestones!$AB$110),UPPER(TEXT(EDATE($D74,Milestones!$AA$110),"dd mmm yy"))&amp;" "&amp;Milestones!$AB$110&amp;" "&amp;Milestones!$AC$110&amp;";  ","")&amp;IF(AND(EDATE($D74,Milestones!$AA$111)&lt;=AsOfDate,IF($R74=0,$X74,IF(AND($T74&lt;&gt;"",EDATE($D74,Milestones!$AA$111)&gt;=$T74),$W74,IF(AND($S74&lt;&gt;"",EDATE($D74,Milestones!$AA$111)&gt;=$S74),$V74,$U74)))=Milestones!$AB$111),UPPER(TEXT(EDATE($D74,Milestones!$AA$111),"dd mmm yy"))&amp;" "&amp;Milestones!$AB$111&amp;" "&amp;Milestones!$AC$111&amp;";  ","")&amp;IF(AND(EDATE($D74,Milestones!$AA$112)&lt;=AsOfDate,IF($R74=0,$X74,IF(AND($T74&lt;&gt;"",EDATE($D74,Milestones!$AA$112)&gt;=$T74),$W74,IF(AND($S74&lt;&gt;"",EDATE($D74,Milestones!$AA$112)&gt;=$S74),$V74,$U74)))=Milestones!$AB$112),UPPER(TEXT(EDATE($D74,Milestones!$AA$112),"dd mmm yy"))&amp;" "&amp;Milestones!$AB$112&amp;" "&amp;Milestones!$AC$112&amp;";  ","")&amp;IF(AND(EDATE($D74,Milestones!$AA$113)&lt;=AsOfDate,IF($R74=0,$X74,IF(AND($T74&lt;&gt;"",EDATE($D74,Milestones!$AA$113)&gt;=$T74),$W74,IF(AND($S74&lt;&gt;"",EDATE($D74,Milestones!$AA$113)&gt;=$S74),$V74,$U74)))=Milestones!$AB$113),UPPER(TEXT(EDATE($D74,Milestones!$AA$113),"dd mmm yy"))&amp;" "&amp;Milestones!$AB$113&amp;" "&amp;Milestones!$AC$113&amp;";  ","")&amp;IF(AND(EDATE($D74,Milestones!$AA$114)&lt;=AsOfDate,IF($R74=0,$X74,IF(AND($T74&lt;&gt;"",EDATE($D74,Milestones!$AA$114)&gt;=$T74),$W74,IF(AND($S74&lt;&gt;"",EDATE($D74,Milestones!$AA$114)&gt;=$S74),$V74,$U74)))=Milestones!$AB$114),UPPER(TEXT(EDATE($D74,Milestones!$AA$114),"dd mmm yy"))&amp;" "&amp;Milestones!$AB$114&amp;" "&amp;Milestones!$AC$114&amp;";  ","")&amp;IF(AND(EDATE($D74,Milestones!$AA$115)&lt;=AsOfDate,IF($R74=0,$X74,IF(AND($T74&lt;&gt;"",EDATE($D74,Milestones!$AA$115)&gt;=$T74),$W74,IF(AND($S74&lt;&gt;"",EDATE($D74,Milestones!$AA$115)&gt;=$S74),$V74,$U74)))=Milestones!$AB$115),UPPER(TEXT(EDATE($D74,Milestones!$AA$115),"dd mmm yy"))&amp;" "&amp;Milestones!$AB$115&amp;" "&amp;Milestones!$AC$115&amp;";  ","")&amp;IF(AND(EDATE($D74,Milestones!$AA$116)&lt;=AsOfDate,IF($R74=0,$X74,IF(AND($T74&lt;&gt;"",EDATE($D74,Milestones!$AA$116)&gt;=$T74),$W74,IF(AND($S74&lt;&gt;"",EDATE($D74,Milestones!$AA$116)&gt;=$S74),$V74,$U74)))=Milestones!$AB$116),UPPER(TEXT(EDATE($D74,Milestones!$AA$116),"dd mmm yy"))&amp;" "&amp;Milestones!$AB$116&amp;" "&amp;Milestones!$AC$116&amp;";  ","")&amp;IF(AND(EDATE($D74,Milestones!$AA$117)&lt;=AsOfDate,IF($R74=0,$X74,IF(AND($T74&lt;&gt;"",EDATE($D74,Milestones!$AA$117)&gt;=$T74),$W74,IF(AND($S74&lt;&gt;"",EDATE($D74,Milestones!$AA$117)&gt;=$S74),$V74,$U74)))=Milestones!$AB$117),UPPER(TEXT(EDATE($D74,Milestones!$AA$117),"dd mmm yy"))&amp;" "&amp;Milestones!$AB$117&amp;" "&amp;Milestones!$AC$117&amp;";  ","")&amp;IF(AND(EDATE($D74,Milestones!$AA$118)&lt;=AsOfDate,IF($R74=0,$X74,IF(AND($T74&lt;&gt;"",EDATE($D74,Milestones!$AA$118)&gt;=$T74),$W74,IF(AND($S74&lt;&gt;"",EDATE($D74,Milestones!$AA$118)&gt;=$S74),$V74,$U74)))=Milestones!$AB$118),UPPER(TEXT(EDATE($D74,Milestones!$AA$118),"dd mmm yy"))&amp;" "&amp;Milestones!$AB$118&amp;" "&amp;Milestones!$AC$118&amp;";  ","")&amp;IF(AND(EDATE($D74,Milestones!$AA$119)&lt;=AsOfDate,IF($R74=0,$X74,IF(AND($T74&lt;&gt;"",EDATE($D74,Milestones!$AA$119)&gt;=$T74),$W74,IF(AND($S74&lt;&gt;"",EDATE($D74,Milestones!$AA$119)&gt;=$S74),$V74,$U74)))=Milestones!$AB$119),UPPER(TEXT(EDATE($D74,Milestones!$AA$119),"dd mmm yy"))&amp;" "&amp;Milestones!$AB$119&amp;" "&amp;Milestones!$AC$119&amp;";  ",""))</f>
        <v/>
      </c>
      <c r="N74" s="0" t="str">
        <f aca="false">IF(OR($A74="",$D74=""),"",IF(AND(EDATE($D74,Milestones!$AA$120)&lt;=AsOfDate,IF($R74=0,$X74,IF(AND($T74&lt;&gt;"",EDATE($D74,Milestones!$AA$120)&gt;=$T74),$W74,IF(AND($S74&lt;&gt;"",EDATE($D74,Milestones!$AA$120)&gt;=$S74),$V74,$U74)))=Milestones!$AB$120),UPPER(TEXT(EDATE($D74,Milestones!$AA$120),"dd mmm yy"))&amp;" "&amp;Milestones!$AB$120&amp;" "&amp;Milestones!$AC$120&amp;";  ","")&amp;IF(AND(EDATE($D74,Milestones!$AA$121)&lt;=AsOfDate,IF($R74=0,$X74,IF(AND($T74&lt;&gt;"",EDATE($D74,Milestones!$AA$121)&gt;=$T74),$W74,IF(AND($S74&lt;&gt;"",EDATE($D74,Milestones!$AA$121)&gt;=$S74),$V74,$U74)))=Milestones!$AB$121),UPPER(TEXT(EDATE($D74,Milestones!$AA$121),"dd mmm yy"))&amp;" "&amp;Milestones!$AB$121&amp;" "&amp;Milestones!$AC$121&amp;";  ","")&amp;IF(AND(EDATE($D74,Milestones!$AA$122)&lt;=AsOfDate,IF($R74=0,$X74,IF(AND($T74&lt;&gt;"",EDATE($D74,Milestones!$AA$122)&gt;=$T74),$W74,IF(AND($S74&lt;&gt;"",EDATE($D74,Milestones!$AA$122)&gt;=$S74),$V74,$U74)))=Milestones!$AB$122),UPPER(TEXT(EDATE($D74,Milestones!$AA$122),"dd mmm yy"))&amp;" "&amp;Milestones!$AB$122&amp;" "&amp;Milestones!$AC$122&amp;";  ","")&amp;IF(AND(EDATE($D74,Milestones!$AA$123)&lt;=AsOfDate,IF($R74=0,$X74,IF(AND($T74&lt;&gt;"",EDATE($D74,Milestones!$AA$123)&gt;=$T74),$W74,IF(AND($S74&lt;&gt;"",EDATE($D74,Milestones!$AA$123)&gt;=$S74),$V74,$U74)))=Milestones!$AB$123),UPPER(TEXT(EDATE($D74,Milestones!$AA$123),"dd mmm yy"))&amp;" "&amp;Milestones!$AB$123&amp;" "&amp;Milestones!$AC$123&amp;";  ","")&amp;IF(AND(EDATE($D74,Milestones!$AA$124)&lt;=AsOfDate,IF($R74=0,$X74,IF(AND($T74&lt;&gt;"",EDATE($D74,Milestones!$AA$124)&gt;=$T74),$W74,IF(AND($S74&lt;&gt;"",EDATE($D74,Milestones!$AA$124)&gt;=$S74),$V74,$U74)))=Milestones!$AB$124),UPPER(TEXT(EDATE($D74,Milestones!$AA$124),"dd mmm yy"))&amp;" "&amp;Milestones!$AB$124&amp;" "&amp;Milestones!$AC$124&amp;";  ","")&amp;IF(AND(EDATE($D74,Milestones!$AA$125)&lt;=AsOfDate,IF($R74=0,$X74,IF(AND($T74&lt;&gt;"",EDATE($D74,Milestones!$AA$125)&gt;=$T74),$W74,IF(AND($S74&lt;&gt;"",EDATE($D74,Milestones!$AA$125)&gt;=$S74),$V74,$U74)))=Milestones!$AB$125),UPPER(TEXT(EDATE($D74,Milestones!$AA$125),"dd mmm yy"))&amp;" "&amp;Milestones!$AB$125&amp;" "&amp;Milestones!$AC$125&amp;";  ","")&amp;IF(AND(EDATE($D74,Milestones!$AA$126)&lt;=AsOfDate,IF($R74=0,$X74,IF(AND($T74&lt;&gt;"",EDATE($D74,Milestones!$AA$126)&gt;=$T74),$W74,IF(AND($S74&lt;&gt;"",EDATE($D74,Milestones!$AA$126)&gt;=$S74),$V74,$U74)))=Milestones!$AB$126),UPPER(TEXT(EDATE($D74,Milestones!$AA$126),"dd mmm yy"))&amp;" "&amp;Milestones!$AB$126&amp;" "&amp;Milestones!$AC$126&amp;";  ","")&amp;IF(AND(EDATE($D74,Milestones!$AA$127)&lt;=AsOfDate,IF($R74=0,$X74,IF(AND($T74&lt;&gt;"",EDATE($D74,Milestones!$AA$127)&gt;=$T74),$W74,IF(AND($S74&lt;&gt;"",EDATE($D74,Milestones!$AA$127)&gt;=$S74),$V74,$U74)))=Milestones!$AB$127),UPPER(TEXT(EDATE($D74,Milestones!$AA$127),"dd mmm yy"))&amp;" "&amp;Milestones!$AB$127&amp;" "&amp;Milestones!$AC$127&amp;";  ","")&amp;IF(AND(EDATE($D74,Milestones!$AA$128)&lt;=AsOfDate,IF($R74=0,$X74,IF(AND($T74&lt;&gt;"",EDATE($D74,Milestones!$AA$128)&gt;=$T74),$W74,IF(AND($S74&lt;&gt;"",EDATE($D74,Milestones!$AA$128)&gt;=$S74),$V74,$U74)))=Milestones!$AB$128),UPPER(TEXT(EDATE($D74,Milestones!$AA$128),"dd mmm yy"))&amp;" "&amp;Milestones!$AB$128&amp;" "&amp;Milestones!$AC$128&amp;";  ","")&amp;IF(AND(EDATE($D74,Milestones!$AA$129)&lt;=AsOfDate,IF($R74=0,$X74,IF(AND($T74&lt;&gt;"",EDATE($D74,Milestones!$AA$129)&gt;=$T74),$W74,IF(AND($S74&lt;&gt;"",EDATE($D74,Milestones!$AA$129)&gt;=$S74),$V74,$U74)))=Milestones!$AB$129),UPPER(TEXT(EDATE($D74,Milestones!$AA$129),"dd mmm yy"))&amp;" "&amp;Milestones!$AB$129&amp;" "&amp;Milestones!$AC$129&amp;";  ","")&amp;IF(AND(EDATE($D74,Milestones!$AA$130)&lt;=AsOfDate,IF($R74=0,$X74,IF(AND($T74&lt;&gt;"",EDATE($D74,Milestones!$AA$130)&gt;=$T74),$W74,IF(AND($S74&lt;&gt;"",EDATE($D74,Milestones!$AA$130)&gt;=$S74),$V74,$U74)))=Milestones!$AB$130),UPPER(TEXT(EDATE($D74,Milestones!$AA$130),"dd mmm yy"))&amp;" "&amp;Milestones!$AB$130&amp;" "&amp;Milestones!$AC$130&amp;";  ","")&amp;IF(AND(EDATE($D74,Milestones!$AA$131)&lt;=AsOfDate,IF($R74=0,$X74,IF(AND($T74&lt;&gt;"",EDATE($D74,Milestones!$AA$131)&gt;=$T74),$W74,IF(AND($S74&lt;&gt;"",EDATE($D74,Milestones!$AA$131)&gt;=$S74),$V74,$U74)))=Milestones!$AB$131),UPPER(TEXT(EDATE($D74,Milestones!$AA$131),"dd mmm yy"))&amp;" "&amp;Milestones!$AB$131&amp;" "&amp;Milestones!$AC$131&amp;";  ","")&amp;IF(AND(EDATE($D74,Milestones!$AA$132)&lt;=AsOfDate,IF($R74=0,$X74,IF(AND($T74&lt;&gt;"",EDATE($D74,Milestones!$AA$132)&gt;=$T74),$W74,IF(AND($S74&lt;&gt;"",EDATE($D74,Milestones!$AA$132)&gt;=$S74),$V74,$U74)))=Milestones!$AB$132),UPPER(TEXT(EDATE($D74,Milestones!$AA$132),"dd mmm yy"))&amp;" "&amp;Milestones!$AB$132&amp;" "&amp;Milestones!$AC$132&amp;";  ","")&amp;IF(AND(EDATE($D74,Milestones!$AA$133)&lt;=AsOfDate,IF($R74=0,$X74,IF(AND($T74&lt;&gt;"",EDATE($D74,Milestones!$AA$133)&gt;=$T74),$W74,IF(AND($S74&lt;&gt;"",EDATE($D74,Milestones!$AA$133)&gt;=$S74),$V74,$U74)))=Milestones!$AB$133),UPPER(TEXT(EDATE($D74,Milestones!$AA$133),"dd mmm yy"))&amp;" "&amp;Milestones!$AB$133&amp;" "&amp;Milestones!$AC$133&amp;";  ","")&amp;IF(AND(EDATE($D74,Milestones!$AA$134)&lt;=AsOfDate,IF($R74=0,$X74,IF(AND($T74&lt;&gt;"",EDATE($D74,Milestones!$AA$134)&gt;=$T74),$W74,IF(AND($S74&lt;&gt;"",EDATE($D74,Milestones!$AA$134)&gt;=$S74),$V74,$U74)))=Milestones!$AB$134),UPPER(TEXT(EDATE($D74,Milestones!$AA$134),"dd mmm yy"))&amp;" "&amp;Milestones!$AB$134&amp;" "&amp;Milestones!$AC$134&amp;";  ","")&amp;IF(AND(EDATE($D74,Milestones!$AA$135)&lt;=AsOfDate,IF($R74=0,$X74,IF(AND($T74&lt;&gt;"",EDATE($D74,Milestones!$AA$135)&gt;=$T74),$W74,IF(AND($S74&lt;&gt;"",EDATE($D74,Milestones!$AA$135)&gt;=$S74),$V74,$U74)))=Milestones!$AB$135),UPPER(TEXT(EDATE($D74,Milestones!$AA$135),"dd mmm yy"))&amp;" "&amp;Milestones!$AB$135&amp;" "&amp;Milestones!$AC$135&amp;";  ","")&amp;IF(AND(EDATE($D74,Milestones!$AA$136)&lt;=AsOfDate,IF($R74=0,$X74,IF(AND($T74&lt;&gt;"",EDATE($D74,Milestones!$AA$136)&gt;=$T74),$W74,IF(AND($S74&lt;&gt;"",EDATE($D74,Milestones!$AA$136)&gt;=$S74),$V74,$U74)))=Milestones!$AB$136),UPPER(TEXT(EDATE($D74,Milestones!$AA$136),"dd mmm yy"))&amp;" "&amp;Milestones!$AB$136&amp;" "&amp;Milestones!$AC$136&amp;";  ","")&amp;IF(AND(EDATE($D74,Milestones!$AA$137)&lt;=AsOfDate,IF($R74=0,$X74,IF(AND($T74&lt;&gt;"",EDATE($D74,Milestones!$AA$137)&gt;=$T74),$W74,IF(AND($S74&lt;&gt;"",EDATE($D74,Milestones!$AA$137)&gt;=$S74),$V74,$U74)))=Milestones!$AB$137),UPPER(TEXT(EDATE($D74,Milestones!$AA$137),"dd mmm yy"))&amp;" "&amp;Milestones!$AB$137&amp;" "&amp;Milestones!$AC$137&amp;";  ","")&amp;IF(AND(EDATE($D74,Milestones!$AA$138)&lt;=AsOfDate,IF($R74=0,$X74,IF(AND($T74&lt;&gt;"",EDATE($D74,Milestones!$AA$138)&gt;=$T74),$W74,IF(AND($S74&lt;&gt;"",EDATE($D74,Milestones!$AA$138)&gt;=$S74),$V74,$U74)))=Milestones!$AB$138),UPPER(TEXT(EDATE($D74,Milestones!$AA$138),"dd mmm yy"))&amp;" "&amp;Milestones!$AB$138&amp;" "&amp;Milestones!$AC$138&amp;";  ","")&amp;IF(AND(EDATE($D74,Milestones!$AA$139)&lt;=AsOfDate,IF($R74=0,$X74,IF(AND($T74&lt;&gt;"",EDATE($D74,Milestones!$AA$139)&gt;=$T74),$W74,IF(AND($S74&lt;&gt;"",EDATE($D74,Milestones!$AA$139)&gt;=$S74),$V74,$U74)))=Milestones!$AB$139),UPPER(TEXT(EDATE($D74,Milestones!$AA$139),"dd mmm yy"))&amp;" "&amp;Milestones!$AB$139&amp;" "&amp;Milestones!$AC$139&amp;";  ",""))</f>
        <v/>
      </c>
      <c r="O74" s="0" t="str">
        <f aca="false">IF(OR($A74="",$D74=""),"",IF(AND(EDATE($D74,Milestones!$AA$140)&lt;=AsOfDate,IF($R74=0,$X74,IF(AND($T74&lt;&gt;"",EDATE($D74,Milestones!$AA$140)&gt;=$T74),$W74,IF(AND($S74&lt;&gt;"",EDATE($D74,Milestones!$AA$140)&gt;=$S74),$V74,$U74)))=Milestones!$AB$140),UPPER(TEXT(EDATE($D74,Milestones!$AA$140),"dd mmm yy"))&amp;" "&amp;Milestones!$AB$140&amp;" "&amp;Milestones!$AC$140&amp;";  ","")&amp;IF(AND(EDATE($D74,Milestones!$AA$141)&lt;=AsOfDate,IF($R74=0,$X74,IF(AND($T74&lt;&gt;"",EDATE($D74,Milestones!$AA$141)&gt;=$T74),$W74,IF(AND($S74&lt;&gt;"",EDATE($D74,Milestones!$AA$141)&gt;=$S74),$V74,$U74)))=Milestones!$AB$141),UPPER(TEXT(EDATE($D74,Milestones!$AA$141),"dd mmm yy"))&amp;" "&amp;Milestones!$AB$141&amp;" "&amp;Milestones!$AC$141&amp;";  ","")&amp;IF(AND(EDATE($D74,Milestones!$AA$142)&lt;=AsOfDate,IF($R74=0,$X74,IF(AND($T74&lt;&gt;"",EDATE($D74,Milestones!$AA$142)&gt;=$T74),$W74,IF(AND($S74&lt;&gt;"",EDATE($D74,Milestones!$AA$142)&gt;=$S74),$V74,$U74)))=Milestones!$AB$142),UPPER(TEXT(EDATE($D74,Milestones!$AA$142),"dd mmm yy"))&amp;" "&amp;Milestones!$AB$142&amp;" "&amp;Milestones!$AC$142&amp;";  ","")&amp;IF(AND(EDATE($D74,Milestones!$AA$143)&lt;=AsOfDate,IF($R74=0,$X74,IF(AND($T74&lt;&gt;"",EDATE($D74,Milestones!$AA$143)&gt;=$T74),$W74,IF(AND($S74&lt;&gt;"",EDATE($D74,Milestones!$AA$143)&gt;=$S74),$V74,$U74)))=Milestones!$AB$143),UPPER(TEXT(EDATE($D74,Milestones!$AA$143),"dd mmm yy"))&amp;" "&amp;Milestones!$AB$143&amp;" "&amp;Milestones!$AC$143&amp;";  ","")&amp;IF(AND(EDATE($D74,Milestones!$AA$144)&lt;=AsOfDate,IF($R74=0,$X74,IF(AND($T74&lt;&gt;"",EDATE($D74,Milestones!$AA$144)&gt;=$T74),$W74,IF(AND($S74&lt;&gt;"",EDATE($D74,Milestones!$AA$144)&gt;=$S74),$V74,$U74)))=Milestones!$AB$144),UPPER(TEXT(EDATE($D74,Milestones!$AA$144),"dd mmm yy"))&amp;" "&amp;Milestones!$AB$144&amp;" "&amp;Milestones!$AC$144&amp;";  ","")&amp;IF(AND(EDATE($D74,Milestones!$AA$145)&lt;=AsOfDate,IF($R74=0,$X74,IF(AND($T74&lt;&gt;"",EDATE($D74,Milestones!$AA$145)&gt;=$T74),$W74,IF(AND($S74&lt;&gt;"",EDATE($D74,Milestones!$AA$145)&gt;=$S74),$V74,$U74)))=Milestones!$AB$145),UPPER(TEXT(EDATE($D74,Milestones!$AA$145),"dd mmm yy"))&amp;" "&amp;Milestones!$AB$145&amp;" "&amp;Milestones!$AC$145&amp;";  ","")&amp;IF(AND(EDATE($D74,Milestones!$AA$146)&lt;=AsOfDate,IF($R74=0,$X74,IF(AND($T74&lt;&gt;"",EDATE($D74,Milestones!$AA$146)&gt;=$T74),$W74,IF(AND($S74&lt;&gt;"",EDATE($D74,Milestones!$AA$146)&gt;=$S74),$V74,$U74)))=Milestones!$AB$146),UPPER(TEXT(EDATE($D74,Milestones!$AA$146),"dd mmm yy"))&amp;" "&amp;Milestones!$AB$146&amp;" "&amp;Milestones!$AC$146&amp;";  ","")&amp;IF(AND(EDATE($D74,Milestones!$AA$147)&lt;=AsOfDate,IF($R74=0,$X74,IF(AND($T74&lt;&gt;"",EDATE($D74,Milestones!$AA$147)&gt;=$T74),$W74,IF(AND($S74&lt;&gt;"",EDATE($D74,Milestones!$AA$147)&gt;=$S74),$V74,$U74)))=Milestones!$AB$147),UPPER(TEXT(EDATE($D74,Milestones!$AA$147),"dd mmm yy"))&amp;" "&amp;Milestones!$AB$147&amp;" "&amp;Milestones!$AC$147&amp;";  ","")&amp;IF(AND(EDATE($D74,Milestones!$AA$148)&lt;=AsOfDate,IF($R74=0,$X74,IF(AND($T74&lt;&gt;"",EDATE($D74,Milestones!$AA$148)&gt;=$T74),$W74,IF(AND($S74&lt;&gt;"",EDATE($D74,Milestones!$AA$148)&gt;=$S74),$V74,$U74)))=Milestones!$AB$148),UPPER(TEXT(EDATE($D74,Milestones!$AA$148),"dd mmm yy"))&amp;" "&amp;Milestones!$AB$148&amp;" "&amp;Milestones!$AC$148&amp;";  ","")&amp;IF(AND(EDATE($D74,Milestones!$AA$149)&lt;=AsOfDate,IF($R74=0,$X74,IF(AND($T74&lt;&gt;"",EDATE($D74,Milestones!$AA$149)&gt;=$T74),$W74,IF(AND($S74&lt;&gt;"",EDATE($D74,Milestones!$AA$149)&gt;=$S74),$V74,$U74)))=Milestones!$AB$149),UPPER(TEXT(EDATE($D74,Milestones!$AA$149),"dd mmm yy"))&amp;" "&amp;Milestones!$AB$149&amp;" "&amp;Milestones!$AC$149&amp;";  ","")&amp;IF(AND(EDATE($D74,Milestones!$AA$150)&lt;=AsOfDate,IF($R74=0,$X74,IF(AND($T74&lt;&gt;"",EDATE($D74,Milestones!$AA$150)&gt;=$T74),$W74,IF(AND($S74&lt;&gt;"",EDATE($D74,Milestones!$AA$150)&gt;=$S74),$V74,$U74)))=Milestones!$AB$150),UPPER(TEXT(EDATE($D74,Milestones!$AA$150),"dd mmm yy"))&amp;" "&amp;Milestones!$AB$150&amp;" "&amp;Milestones!$AC$150&amp;";  ","")&amp;IF(AND(EDATE($D74,Milestones!$AA$151)&lt;=AsOfDate,IF($R74=0,$X74,IF(AND($T74&lt;&gt;"",EDATE($D74,Milestones!$AA$151)&gt;=$T74),$W74,IF(AND($S74&lt;&gt;"",EDATE($D74,Milestones!$AA$151)&gt;=$S74),$V74,$U74)))=Milestones!$AB$151),UPPER(TEXT(EDATE($D74,Milestones!$AA$151),"dd mmm yy"))&amp;" "&amp;Milestones!$AB$151&amp;" "&amp;Milestones!$AC$151&amp;";  ","")&amp;IF(AND(EDATE($D74,Milestones!$AA$152)&lt;=AsOfDate,IF($R74=0,$X74,IF(AND($T74&lt;&gt;"",EDATE($D74,Milestones!$AA$152)&gt;=$T74),$W74,IF(AND($S74&lt;&gt;"",EDATE($D74,Milestones!$AA$152)&gt;=$S74),$V74,$U74)))=Milestones!$AB$152),UPPER(TEXT(EDATE($D74,Milestones!$AA$152),"dd mmm yy"))&amp;" "&amp;Milestones!$AB$152&amp;" "&amp;Milestones!$AC$152&amp;";  ","")&amp;IF(AND(EDATE($D74,Milestones!$AA$153)&lt;=AsOfDate,IF($R74=0,$X74,IF(AND($T74&lt;&gt;"",EDATE($D74,Milestones!$AA$153)&gt;=$T74),$W74,IF(AND($S74&lt;&gt;"",EDATE($D74,Milestones!$AA$153)&gt;=$S74),$V74,$U74)))=Milestones!$AB$153),UPPER(TEXT(EDATE($D74,Milestones!$AA$153),"dd mmm yy"))&amp;" "&amp;Milestones!$AB$153&amp;" "&amp;Milestones!$AC$153&amp;";  ","")&amp;IF(AND(EDATE($D74,Milestones!$AA$154)&lt;=AsOfDate,IF($R74=0,$X74,IF(AND($T74&lt;&gt;"",EDATE($D74,Milestones!$AA$154)&gt;=$T74),$W74,IF(AND($S74&lt;&gt;"",EDATE($D74,Milestones!$AA$154)&gt;=$S74),$V74,$U74)))=Milestones!$AB$154),UPPER(TEXT(EDATE($D74,Milestones!$AA$154),"dd mmm yy"))&amp;" "&amp;Milestones!$AB$154&amp;" "&amp;Milestones!$AC$154&amp;";  ","")&amp;IF(AND(EDATE($D74,Milestones!$AA$155)&lt;=AsOfDate,IF($R74=0,$X74,IF(AND($T74&lt;&gt;"",EDATE($D74,Milestones!$AA$155)&gt;=$T74),$W74,IF(AND($S74&lt;&gt;"",EDATE($D74,Milestones!$AA$155)&gt;=$S74),$V74,$U74)))=Milestones!$AB$155),UPPER(TEXT(EDATE($D74,Milestones!$AA$155),"dd mmm yy"))&amp;" "&amp;Milestones!$AB$155&amp;" "&amp;Milestones!$AC$155&amp;";  ","")&amp;IF(AND(EDATE($D74,Milestones!$AA$156)&lt;=AsOfDate,IF($R74=0,$X74,IF(AND($T74&lt;&gt;"",EDATE($D74,Milestones!$AA$156)&gt;=$T74),$W74,IF(AND($S74&lt;&gt;"",EDATE($D74,Milestones!$AA$156)&gt;=$S74),$V74,$U74)))=Milestones!$AB$156),UPPER(TEXT(EDATE($D74,Milestones!$AA$156),"dd mmm yy"))&amp;" "&amp;Milestones!$AB$156&amp;" "&amp;Milestones!$AC$156&amp;";  ","")&amp;IF(AND(EDATE($D74,Milestones!$AA$157)&lt;=AsOfDate,IF($R74=0,$X74,IF(AND($T74&lt;&gt;"",EDATE($D74,Milestones!$AA$157)&gt;=$T74),$W74,IF(AND($S74&lt;&gt;"",EDATE($D74,Milestones!$AA$157)&gt;=$S74),$V74,$U74)))=Milestones!$AB$157),UPPER(TEXT(EDATE($D74,Milestones!$AA$157),"dd mmm yy"))&amp;" "&amp;Milestones!$AB$157&amp;" "&amp;Milestones!$AC$157&amp;";  ","")&amp;IF(AND(EDATE($D74,Milestones!$AA$158)&lt;=AsOfDate,IF($R74=0,$X74,IF(AND($T74&lt;&gt;"",EDATE($D74,Milestones!$AA$158)&gt;=$T74),$W74,IF(AND($S74&lt;&gt;"",EDATE($D74,Milestones!$AA$158)&gt;=$S74),$V74,$U74)))=Milestones!$AB$158),UPPER(TEXT(EDATE($D74,Milestones!$AA$158),"dd mmm yy"))&amp;" "&amp;Milestones!$AB$158&amp;" "&amp;Milestones!$AC$158&amp;";  ","")&amp;IF(AND(EDATE($D74,Milestones!$AA$159)&lt;=AsOfDate,IF($R74=0,$X74,IF(AND($T74&lt;&gt;"",EDATE($D74,Milestones!$AA$159)&gt;=$T74),$W74,IF(AND($S74&lt;&gt;"",EDATE($D74,Milestones!$AA$159)&gt;=$S74),$V74,$U74)))=Milestones!$AB$159),UPPER(TEXT(EDATE($D74,Milestones!$AA$159),"dd mmm yy"))&amp;" "&amp;Milestones!$AB$159&amp;" "&amp;Milestones!$AC$159&amp;";  ",""))</f>
        <v/>
      </c>
      <c r="P74" s="0" t="str">
        <f aca="false">IF(OR($A74="",$D74=""),"",IF(AND(EDATE($D74,Milestones!$AA$160)&lt;=AsOfDate,IF($R74=0,$X74,IF(AND($T74&lt;&gt;"",EDATE($D74,Milestones!$AA$160)&gt;=$T74),$W74,IF(AND($S74&lt;&gt;"",EDATE($D74,Milestones!$AA$160)&gt;=$S74),$V74,$U74)))=Milestones!$AB$160),UPPER(TEXT(EDATE($D74,Milestones!$AA$160),"dd mmm yy"))&amp;" "&amp;Milestones!$AB$160&amp;" "&amp;Milestones!$AC$160&amp;";  ","")&amp;IF(AND(EDATE($D74,Milestones!$AA$161)&lt;=AsOfDate,IF($R74=0,$X74,IF(AND($T74&lt;&gt;"",EDATE($D74,Milestones!$AA$161)&gt;=$T74),$W74,IF(AND($S74&lt;&gt;"",EDATE($D74,Milestones!$AA$161)&gt;=$S74),$V74,$U74)))=Milestones!$AB$161),UPPER(TEXT(EDATE($D74,Milestones!$AA$161),"dd mmm yy"))&amp;" "&amp;Milestones!$AB$161&amp;" "&amp;Milestones!$AC$161&amp;";  ","")&amp;IF(AND(EDATE($D74,Milestones!$AA$162)&lt;=AsOfDate,IF($R74=0,$X74,IF(AND($T74&lt;&gt;"",EDATE($D74,Milestones!$AA$162)&gt;=$T74),$W74,IF(AND($S74&lt;&gt;"",EDATE($D74,Milestones!$AA$162)&gt;=$S74),$V74,$U74)))=Milestones!$AB$162),UPPER(TEXT(EDATE($D74,Milestones!$AA$162),"dd mmm yy"))&amp;" "&amp;Milestones!$AB$162&amp;" "&amp;Milestones!$AC$162&amp;";  ","")&amp;IF(AND(EDATE($D74,Milestones!$AA$163)&lt;=AsOfDate,IF($R74=0,$X74,IF(AND($T74&lt;&gt;"",EDATE($D74,Milestones!$AA$163)&gt;=$T74),$W74,IF(AND($S74&lt;&gt;"",EDATE($D74,Milestones!$AA$163)&gt;=$S74),$V74,$U74)))=Milestones!$AB$163),UPPER(TEXT(EDATE($D74,Milestones!$AA$163),"dd mmm yy"))&amp;" "&amp;Milestones!$AB$163&amp;" "&amp;Milestones!$AC$163&amp;";  ","")&amp;IF(AND(EDATE($D74,Milestones!$AA$164)&lt;=AsOfDate,IF($R74=0,$X74,IF(AND($T74&lt;&gt;"",EDATE($D74,Milestones!$AA$164)&gt;=$T74),$W74,IF(AND($S74&lt;&gt;"",EDATE($D74,Milestones!$AA$164)&gt;=$S74),$V74,$U74)))=Milestones!$AB$164),UPPER(TEXT(EDATE($D74,Milestones!$AA$164),"dd mmm yy"))&amp;" "&amp;Milestones!$AB$164&amp;" "&amp;Milestones!$AC$164&amp;";  ","")&amp;IF(AND(EDATE($D74,Milestones!$AA$165)&lt;=AsOfDate,IF($R74=0,$X74,IF(AND($T74&lt;&gt;"",EDATE($D74,Milestones!$AA$165)&gt;=$T74),$W74,IF(AND($S74&lt;&gt;"",EDATE($D74,Milestones!$AA$165)&gt;=$S74),$V74,$U74)))=Milestones!$AB$165),UPPER(TEXT(EDATE($D74,Milestones!$AA$165),"dd mmm yy"))&amp;" "&amp;Milestones!$AB$165&amp;" "&amp;Milestones!$AC$165&amp;";  ","")&amp;IF(AND(EDATE($D74,Milestones!$AA$166)&lt;=AsOfDate,IF($R74=0,$X74,IF(AND($T74&lt;&gt;"",EDATE($D74,Milestones!$AA$166)&gt;=$T74),$W74,IF(AND($S74&lt;&gt;"",EDATE($D74,Milestones!$AA$166)&gt;=$S74),$V74,$U74)))=Milestones!$AB$166),UPPER(TEXT(EDATE($D74,Milestones!$AA$166),"dd mmm yy"))&amp;" "&amp;Milestones!$AB$166&amp;" "&amp;Milestones!$AC$166&amp;";  ","")&amp;IF(AND(EDATE($D74,Milestones!$AA$167)&lt;=AsOfDate,IF($R74=0,$X74,IF(AND($T74&lt;&gt;"",EDATE($D74,Milestones!$AA$167)&gt;=$T74),$W74,IF(AND($S74&lt;&gt;"",EDATE($D74,Milestones!$AA$167)&gt;=$S74),$V74,$U74)))=Milestones!$AB$167),UPPER(TEXT(EDATE($D74,Milestones!$AA$167),"dd mmm yy"))&amp;" "&amp;Milestones!$AB$167&amp;" "&amp;Milestones!$AC$167&amp;";  ","")&amp;IF(AND(EDATE($D74,Milestones!$AA$168)&lt;=AsOfDate,IF($R74=0,$X74,IF(AND($T74&lt;&gt;"",EDATE($D74,Milestones!$AA$168)&gt;=$T74),$W74,IF(AND($S74&lt;&gt;"",EDATE($D74,Milestones!$AA$168)&gt;=$S74),$V74,$U74)))=Milestones!$AB$168),UPPER(TEXT(EDATE($D74,Milestones!$AA$168),"dd mmm yy"))&amp;" "&amp;Milestones!$AB$168&amp;" "&amp;Milestones!$AC$168&amp;";  ","")&amp;IF(AND(EDATE($D74,Milestones!$AA$169)&lt;=AsOfDate,IF($R74=0,$X74,IF(AND($T74&lt;&gt;"",EDATE($D74,Milestones!$AA$169)&gt;=$T74),$W74,IF(AND($S74&lt;&gt;"",EDATE($D74,Milestones!$AA$169)&gt;=$S74),$V74,$U74)))=Milestones!$AB$169),UPPER(TEXT(EDATE($D74,Milestones!$AA$169),"dd mmm yy"))&amp;" "&amp;Milestones!$AB$169&amp;" "&amp;Milestones!$AC$169&amp;";  ","")&amp;IF(AND(EDATE($D74,Milestones!$AA$170)&lt;=AsOfDate,IF($R74=0,$X74,IF(AND($T74&lt;&gt;"",EDATE($D74,Milestones!$AA$170)&gt;=$T74),$W74,IF(AND($S74&lt;&gt;"",EDATE($D74,Milestones!$AA$170)&gt;=$S74),$V74,$U74)))=Milestones!$AB$170),UPPER(TEXT(EDATE($D74,Milestones!$AA$170),"dd mmm yy"))&amp;" "&amp;Milestones!$AB$170&amp;" "&amp;Milestones!$AC$170&amp;";  ","")&amp;IF(AND(EDATE($D74,Milestones!$AA$171)&lt;=AsOfDate,IF($R74=0,$X74,IF(AND($T74&lt;&gt;"",EDATE($D74,Milestones!$AA$171)&gt;=$T74),$W74,IF(AND($S74&lt;&gt;"",EDATE($D74,Milestones!$AA$171)&gt;=$S74),$V74,$U74)))=Milestones!$AB$171),UPPER(TEXT(EDATE($D74,Milestones!$AA$171),"dd mmm yy"))&amp;" "&amp;Milestones!$AB$171&amp;" "&amp;Milestones!$AC$171&amp;";  ","")&amp;IF(AND(EDATE($D74,Milestones!$AA$172)&lt;=AsOfDate,IF($R74=0,$X74,IF(AND($T74&lt;&gt;"",EDATE($D74,Milestones!$AA$172)&gt;=$T74),$W74,IF(AND($S74&lt;&gt;"",EDATE($D74,Milestones!$AA$172)&gt;=$S74),$V74,$U74)))=Milestones!$AB$172),UPPER(TEXT(EDATE($D74,Milestones!$AA$172),"dd mmm yy"))&amp;" "&amp;Milestones!$AB$172&amp;" "&amp;Milestones!$AC$172&amp;";  ","")&amp;IF(AND(EDATE($D74,Milestones!$AA$173)&lt;=AsOfDate,IF($R74=0,$X74,IF(AND($T74&lt;&gt;"",EDATE($D74,Milestones!$AA$173)&gt;=$T74),$W74,IF(AND($S74&lt;&gt;"",EDATE($D74,Milestones!$AA$173)&gt;=$S74),$V74,$U74)))=Milestones!$AB$173),UPPER(TEXT(EDATE($D74,Milestones!$AA$173),"dd mmm yy"))&amp;" "&amp;Milestones!$AB$173&amp;" "&amp;Milestones!$AC$173&amp;";  ","")&amp;IF(AND(EDATE($D74,Milestones!$AA$174)&lt;=AsOfDate,IF($R74=0,$X74,IF(AND($T74&lt;&gt;"",EDATE($D74,Milestones!$AA$174)&gt;=$T74),$W74,IF(AND($S74&lt;&gt;"",EDATE($D74,Milestones!$AA$174)&gt;=$S74),$V74,$U74)))=Milestones!$AB$174),UPPER(TEXT(EDATE($D74,Milestones!$AA$174),"dd mmm yy"))&amp;" "&amp;Milestones!$AB$174&amp;" "&amp;Milestones!$AC$174&amp;";  ","")&amp;IF(AND(EDATE($D74,Milestones!$AA$175)&lt;=AsOfDate,IF($R74=0,$X74,IF(AND($T74&lt;&gt;"",EDATE($D74,Milestones!$AA$175)&gt;=$T74),$W74,IF(AND($S74&lt;&gt;"",EDATE($D74,Milestones!$AA$175)&gt;=$S74),$V74,$U74)))=Milestones!$AB$175),UPPER(TEXT(EDATE($D74,Milestones!$AA$175),"dd mmm yy"))&amp;" "&amp;Milestones!$AB$175&amp;" "&amp;Milestones!$AC$175&amp;";  ","")&amp;IF(AND(EDATE($D74,Milestones!$AA$176)&lt;=AsOfDate,IF($R74=0,$X74,IF(AND($T74&lt;&gt;"",EDATE($D74,Milestones!$AA$176)&gt;=$T74),$W74,IF(AND($S74&lt;&gt;"",EDATE($D74,Milestones!$AA$176)&gt;=$S74),$V74,$U74)))=Milestones!$AB$176),UPPER(TEXT(EDATE($D74,Milestones!$AA$176),"dd mmm yy"))&amp;" "&amp;Milestones!$AB$176&amp;" "&amp;Milestones!$AC$176&amp;";  ","")&amp;IF(AND(EDATE($D74,Milestones!$AA$177)&lt;=AsOfDate,IF($R74=0,$X74,IF(AND($T74&lt;&gt;"",EDATE($D74,Milestones!$AA$177)&gt;=$T74),$W74,IF(AND($S74&lt;&gt;"",EDATE($D74,Milestones!$AA$177)&gt;=$S74),$V74,$U74)))=Milestones!$AB$177),UPPER(TEXT(EDATE($D74,Milestones!$AA$177),"dd mmm yy"))&amp;" "&amp;Milestones!$AB$177&amp;" "&amp;Milestones!$AC$177&amp;";  ","")&amp;IF(AND(EDATE($D74,Milestones!$AA$178)&lt;=AsOfDate,IF($R74=0,$X74,IF(AND($T74&lt;&gt;"",EDATE($D74,Milestones!$AA$178)&gt;=$T74),$W74,IF(AND($S74&lt;&gt;"",EDATE($D74,Milestones!$AA$178)&gt;=$S74),$V74,$U74)))=Milestones!$AB$178),UPPER(TEXT(EDATE($D74,Milestones!$AA$178),"dd mmm yy"))&amp;" "&amp;Milestones!$AB$178&amp;" "&amp;Milestones!$AC$178&amp;";  ","")&amp;IF(AND(EDATE($D74,Milestones!$AA$179)&lt;=AsOfDate,IF($R74=0,$X74,IF(AND($T74&lt;&gt;"",EDATE($D74,Milestones!$AA$179)&gt;=$T74),$W74,IF(AND($S74&lt;&gt;"",EDATE($D74,Milestones!$AA$179)&gt;=$S74),$V74,$U74)))=Milestones!$AB$179),UPPER(TEXT(EDATE($D74,Milestones!$AA$179),"dd mmm yy"))&amp;" "&amp;Milestones!$AB$179&amp;" "&amp;Milestones!$AC$179&amp;";  ",""))</f>
        <v/>
      </c>
      <c r="Q74" s="0" t="str">
        <f aca="false">IF(OR($A74="",$D74=""),"",IF(AND(EDATE($D74,Milestones!$AA$180)&lt;=AsOfDate,IF($R74=0,$X74,IF(AND($T74&lt;&gt;"",EDATE($D74,Milestones!$AA$180)&gt;=$T74),$W74,IF(AND($S74&lt;&gt;"",EDATE($D74,Milestones!$AA$180)&gt;=$S74),$V74,$U74)))=Milestones!$AB$180),UPPER(TEXT(EDATE($D74,Milestones!$AA$180),"dd mmm yy"))&amp;" "&amp;Milestones!$AB$180&amp;" "&amp;Milestones!$AC$180&amp;";  ","")&amp;IF(AND(EDATE($D74,Milestones!$AA$181)&lt;=AsOfDate,IF($R74=0,$X74,IF(AND($T74&lt;&gt;"",EDATE($D74,Milestones!$AA$181)&gt;=$T74),$W74,IF(AND($S74&lt;&gt;"",EDATE($D74,Milestones!$AA$181)&gt;=$S74),$V74,$U74)))=Milestones!$AB$181),UPPER(TEXT(EDATE($D74,Milestones!$AA$181),"dd mmm yy"))&amp;" "&amp;Milestones!$AB$181&amp;" "&amp;Milestones!$AC$181&amp;";  ","")&amp;IF(AND(EDATE($D74,Milestones!$AA$182)&lt;=AsOfDate,IF($R74=0,$X74,IF(AND($T74&lt;&gt;"",EDATE($D74,Milestones!$AA$182)&gt;=$T74),$W74,IF(AND($S74&lt;&gt;"",EDATE($D74,Milestones!$AA$182)&gt;=$S74),$V74,$U74)))=Milestones!$AB$182),UPPER(TEXT(EDATE($D74,Milestones!$AA$182),"dd mmm yy"))&amp;" "&amp;Milestones!$AB$182&amp;" "&amp;Milestones!$AC$182&amp;";  ","")&amp;IF(AND(EDATE($D74,Milestones!$AA$183)&lt;=AsOfDate,IF($R74=0,$X74,IF(AND($T74&lt;&gt;"",EDATE($D74,Milestones!$AA$183)&gt;=$T74),$W74,IF(AND($S74&lt;&gt;"",EDATE($D74,Milestones!$AA$183)&gt;=$S74),$V74,$U74)))=Milestones!$AB$183),UPPER(TEXT(EDATE($D74,Milestones!$AA$183),"dd mmm yy"))&amp;" "&amp;Milestones!$AB$183&amp;" "&amp;Milestones!$AC$183&amp;";  ","")&amp;IF(AND(EDATE($D74,Milestones!$AA$184)&lt;=AsOfDate,IF($R74=0,$X74,IF(AND($T74&lt;&gt;"",EDATE($D74,Milestones!$AA$184)&gt;=$T74),$W74,IF(AND($S74&lt;&gt;"",EDATE($D74,Milestones!$AA$184)&gt;=$S74),$V74,$U74)))=Milestones!$AB$184),UPPER(TEXT(EDATE($D74,Milestones!$AA$184),"dd mmm yy"))&amp;" "&amp;Milestones!$AB$184&amp;" "&amp;Milestones!$AC$184&amp;";  ","")&amp;IF(AND(EDATE($D74,Milestones!$AA$185)&lt;=AsOfDate,IF($R74=0,$X74,IF(AND($T74&lt;&gt;"",EDATE($D74,Milestones!$AA$185)&gt;=$T74),$W74,IF(AND($S74&lt;&gt;"",EDATE($D74,Milestones!$AA$185)&gt;=$S74),$V74,$U74)))=Milestones!$AB$185),UPPER(TEXT(EDATE($D74,Milestones!$AA$185),"dd mmm yy"))&amp;" "&amp;Milestones!$AB$185&amp;" "&amp;Milestones!$AC$185&amp;";  ","")&amp;IF(AND(EDATE($D74,Milestones!$AA$186)&lt;=AsOfDate,IF($R74=0,$X74,IF(AND($T74&lt;&gt;"",EDATE($D74,Milestones!$AA$186)&gt;=$T74),$W74,IF(AND($S74&lt;&gt;"",EDATE($D74,Milestones!$AA$186)&gt;=$S74),$V74,$U74)))=Milestones!$AB$186),UPPER(TEXT(EDATE($D74,Milestones!$AA$186),"dd mmm yy"))&amp;" "&amp;Milestones!$AB$186&amp;" "&amp;Milestones!$AC$186&amp;";  ","")&amp;IF(AND(EDATE($D74,Milestones!$AA$187)&lt;=AsOfDate,IF($R74=0,$X74,IF(AND($T74&lt;&gt;"",EDATE($D74,Milestones!$AA$187)&gt;=$T74),$W74,IF(AND($S74&lt;&gt;"",EDATE($D74,Milestones!$AA$187)&gt;=$S74),$V74,$U74)))=Milestones!$AB$187),UPPER(TEXT(EDATE($D74,Milestones!$AA$187),"dd mmm yy"))&amp;" "&amp;Milestones!$AB$187&amp;" "&amp;Milestones!$AC$187&amp;";  ","")&amp;IF(AND(EDATE($D74,Milestones!$AA$188)&lt;=AsOfDate,IF($R74=0,$X74,IF(AND($T74&lt;&gt;"",EDATE($D74,Milestones!$AA$188)&gt;=$T74),$W74,IF(AND($S74&lt;&gt;"",EDATE($D74,Milestones!$AA$188)&gt;=$S74),$V74,$U74)))=Milestones!$AB$188),UPPER(TEXT(EDATE($D74,Milestones!$AA$188),"dd mmm yy"))&amp;" "&amp;Milestones!$AB$188&amp;" "&amp;Milestones!$AC$188&amp;";  ","")&amp;IF(AND(EDATE($D74,Milestones!$AA$189)&lt;=AsOfDate,IF($R74=0,$X74,IF(AND($T74&lt;&gt;"",EDATE($D74,Milestones!$AA$189)&gt;=$T74),$W74,IF(AND($S74&lt;&gt;"",EDATE($D74,Milestones!$AA$189)&gt;=$S74),$V74,$U74)))=Milestones!$AB$189),UPPER(TEXT(EDATE($D74,Milestones!$AA$189),"dd mmm yy"))&amp;" "&amp;Milestones!$AB$189&amp;" "&amp;Milestones!$AC$189&amp;";  ","")&amp;IF(AND(EDATE($D74,Milestones!$AA$190)&lt;=AsOfDate,IF($R74=0,$X74,IF(AND($T74&lt;&gt;"",EDATE($D74,Milestones!$AA$190)&gt;=$T74),$W74,IF(AND($S74&lt;&gt;"",EDATE($D74,Milestones!$AA$190)&gt;=$S74),$V74,$U74)))=Milestones!$AB$190),UPPER(TEXT(EDATE($D74,Milestones!$AA$190),"dd mmm yy"))&amp;" "&amp;Milestones!$AB$190&amp;" "&amp;Milestones!$AC$190&amp;";  ","")&amp;IF(AND(EDATE($D74,Milestones!$AA$191)&lt;=AsOfDate,IF($R74=0,$X74,IF(AND($T74&lt;&gt;"",EDATE($D74,Milestones!$AA$191)&gt;=$T74),$W74,IF(AND($S74&lt;&gt;"",EDATE($D74,Milestones!$AA$191)&gt;=$S74),$V74,$U74)))=Milestones!$AB$191),UPPER(TEXT(EDATE($D74,Milestones!$AA$191),"dd mmm yy"))&amp;" "&amp;Milestones!$AB$191&amp;" "&amp;Milestones!$AC$191&amp;";  ","")&amp;IF(AND(EDATE($D74,Milestones!$AA$192)&lt;=AsOfDate,IF($R74=0,$X74,IF(AND($T74&lt;&gt;"",EDATE($D74,Milestones!$AA$192)&gt;=$T74),$W74,IF(AND($S74&lt;&gt;"",EDATE($D74,Milestones!$AA$192)&gt;=$S74),$V74,$U74)))=Milestones!$AB$192),UPPER(TEXT(EDATE($D74,Milestones!$AA$192),"dd mmm yy"))&amp;" "&amp;Milestones!$AB$192&amp;" "&amp;Milestones!$AC$192&amp;";  ","")&amp;IF(AND(EDATE($D74,Milestones!$AA$193)&lt;=AsOfDate,IF($R74=0,$X74,IF(AND($T74&lt;&gt;"",EDATE($D74,Milestones!$AA$193)&gt;=$T74),$W74,IF(AND($S74&lt;&gt;"",EDATE($D74,Milestones!$AA$193)&gt;=$S74),$V74,$U74)))=Milestones!$AB$193),UPPER(TEXT(EDATE($D74,Milestones!$AA$193),"dd mmm yy"))&amp;" "&amp;Milestones!$AB$193&amp;" "&amp;Milestones!$AC$193&amp;";  ","")&amp;IF(AND(EDATE($D74,Milestones!$AA$194)&lt;=AsOfDate,IF($R74=0,$X74,IF(AND($T74&lt;&gt;"",EDATE($D74,Milestones!$AA$194)&gt;=$T74),$W74,IF(AND($S74&lt;&gt;"",EDATE($D74,Milestones!$AA$194)&gt;=$S74),$V74,$U74)))=Milestones!$AB$194),UPPER(TEXT(EDATE($D74,Milestones!$AA$194),"dd mmm yy"))&amp;" "&amp;Milestones!$AB$194&amp;" "&amp;Milestones!$AC$194&amp;";  ","")&amp;IF(AND(EDATE($D74,Milestones!$AA$195)&lt;=AsOfDate,IF($R74=0,$X74,IF(AND($T74&lt;&gt;"",EDATE($D74,Milestones!$AA$195)&gt;=$T74),$W74,IF(AND($S74&lt;&gt;"",EDATE($D74,Milestones!$AA$195)&gt;=$S74),$V74,$U74)))=Milestones!$AB$195),UPPER(TEXT(EDATE($D74,Milestones!$AA$195),"dd mmm yy"))&amp;" "&amp;Milestones!$AB$195&amp;" "&amp;Milestones!$AC$195&amp;";  ","")&amp;IF(AND(EDATE($D74,Milestones!$AA$196)&lt;=AsOfDate,IF($R74=0,$X74,IF(AND($T74&lt;&gt;"",EDATE($D74,Milestones!$AA$196)&gt;=$T74),$W74,IF(AND($S74&lt;&gt;"",EDATE($D74,Milestones!$AA$196)&gt;=$S74),$V74,$U74)))=Milestones!$AB$196),UPPER(TEXT(EDATE($D74,Milestones!$AA$196),"dd mmm yy"))&amp;" "&amp;Milestones!$AB$196&amp;" "&amp;Milestones!$AC$196&amp;";  ","")&amp;IF(AND(EDATE($D74,Milestones!$AA$197)&lt;=AsOfDate,IF($R74=0,$X74,IF(AND($T74&lt;&gt;"",EDATE($D74,Milestones!$AA$197)&gt;=$T74),$W74,IF(AND($S74&lt;&gt;"",EDATE($D74,Milestones!$AA$197)&gt;=$S74),$V74,$U74)))=Milestones!$AB$197),UPPER(TEXT(EDATE($D74,Milestones!$AA$197),"dd mmm yy"))&amp;" "&amp;Milestones!$AB$197&amp;" "&amp;Milestones!$AC$197&amp;";  ","")&amp;IF(AND(EDATE($D74,Milestones!$AA$198)&lt;=AsOfDate,IF($R74=0,$X74,IF(AND($T74&lt;&gt;"",EDATE($D74,Milestones!$AA$198)&gt;=$T74),$W74,IF(AND($S74&lt;&gt;"",EDATE($D74,Milestones!$AA$198)&gt;=$S74),$V74,$U74)))=Milestones!$AB$198),UPPER(TEXT(EDATE($D74,Milestones!$AA$198),"dd mmm yy"))&amp;" "&amp;Milestones!$AB$198&amp;" "&amp;Milestones!$AC$198&amp;";  ","")&amp;IF(AND(EDATE($D74,Milestones!$AA$199)&lt;=AsOfDate,IF($R74=0,$X74,IF(AND($T74&lt;&gt;"",EDATE($D74,Milestones!$AA$199)&gt;=$T74),$W74,IF(AND($S74&lt;&gt;"",EDATE($D74,Milestones!$AA$199)&gt;=$S74),$V74,$U74)))=Milestones!$AB$199),UPPER(TEXT(EDATE($D74,Milestones!$AA$199),"dd mmm yy"))&amp;" "&amp;Milestones!$AB$199&amp;" "&amp;Milestones!$AC$199&amp;";  ",""))</f>
        <v/>
      </c>
      <c r="R74" s="0" t="str">
        <f aca="false">IF(Staff!$A74="","",Staff!$AI74)</f>
        <v/>
      </c>
      <c r="S74" s="0" t="str">
        <f aca="false">IF(Staff!$A74="","",Staff!$AK74)</f>
        <v/>
      </c>
      <c r="T74" s="0" t="str">
        <f aca="false">IF(Staff!$A74="","",Staff!$AL74)</f>
        <v/>
      </c>
      <c r="U74" s="0" t="str">
        <f aca="false">IF(Staff!$A74="","",Staff!$AP74)</f>
        <v/>
      </c>
      <c r="V74" s="0" t="str">
        <f aca="false">IF(Staff!$A74="","",Staff!$AQ74)</f>
        <v/>
      </c>
      <c r="W74" s="0" t="str">
        <f aca="false">IF(Staff!$A74="","",Staff!$AR74)</f>
        <v/>
      </c>
      <c r="X74" s="0" t="str">
        <f aca="false">IF(Staff!$A74="","",Staff!$AS74)</f>
        <v/>
      </c>
    </row>
    <row r="75" customFormat="false" ht="15" hidden="false" customHeight="false" outlineLevel="0" collapsed="false">
      <c r="A75" s="14" t="str">
        <f aca="false">IF(Staff!$A75="","",Staff!$A75)</f>
        <v/>
      </c>
      <c r="B75" s="14" t="str">
        <f aca="false">IF(Staff!$A75="","",Staff!$B75)</f>
        <v/>
      </c>
      <c r="C75" s="14" t="str">
        <f aca="false">IF(Staff!$A75="","",Staff!$C75)</f>
        <v/>
      </c>
      <c r="D75" s="12" t="str">
        <f aca="false">IF(Staff!$A75="","",Staff!$AH75)</f>
        <v/>
      </c>
      <c r="E75" s="14" t="str">
        <f aca="false">IF(Staff!$A75="","",Staff!$O75)</f>
        <v/>
      </c>
      <c r="F75" s="14" t="str">
        <f aca="false">IF(E75="","",E75*HoursPerDay)</f>
        <v/>
      </c>
      <c r="G75" s="14" t="str">
        <f aca="false">IF(Staff!$A75="","",Staff!$AE75)</f>
        <v/>
      </c>
      <c r="H75" s="26" t="str">
        <f aca="false">IF($A75="","",I75&amp;J75&amp;K75&amp;L75&amp;M75&amp;N75&amp;O75&amp;P75&amp;Q75)</f>
        <v/>
      </c>
      <c r="I75" s="0" t="str">
        <f aca="false">IF(OR($A75="",$D75=""),"",IF(AND(EDATE($D75,Milestones!$AA$20)&lt;=AsOfDate,IF($R75=0,$X75,IF(AND($T75&lt;&gt;"",EDATE($D75,Milestones!$AA$20)&gt;=$T75),$W75,IF(AND($S75&lt;&gt;"",EDATE($D75,Milestones!$AA$20)&gt;=$S75),$V75,$U75)))=Milestones!$AB$20),UPPER(TEXT(EDATE($D75,Milestones!$AA$20),"dd mmm yy"))&amp;" "&amp;Milestones!$AB$20&amp;" "&amp;Milestones!$AC$20&amp;";  ","")&amp;IF(AND(EDATE($D75,Milestones!$AA$21)&lt;=AsOfDate,IF($R75=0,$X75,IF(AND($T75&lt;&gt;"",EDATE($D75,Milestones!$AA$21)&gt;=$T75),$W75,IF(AND($S75&lt;&gt;"",EDATE($D75,Milestones!$AA$21)&gt;=$S75),$V75,$U75)))=Milestones!$AB$21),UPPER(TEXT(EDATE($D75,Milestones!$AA$21),"dd mmm yy"))&amp;" "&amp;Milestones!$AB$21&amp;" "&amp;Milestones!$AC$21&amp;";  ","")&amp;IF(AND(EDATE($D75,Milestones!$AA$22)&lt;=AsOfDate,IF($R75=0,$X75,IF(AND($T75&lt;&gt;"",EDATE($D75,Milestones!$AA$22)&gt;=$T75),$W75,IF(AND($S75&lt;&gt;"",EDATE($D75,Milestones!$AA$22)&gt;=$S75),$V75,$U75)))=Milestones!$AB$22),UPPER(TEXT(EDATE($D75,Milestones!$AA$22),"dd mmm yy"))&amp;" "&amp;Milestones!$AB$22&amp;" "&amp;Milestones!$AC$22&amp;";  ","")&amp;IF(AND(EDATE($D75,Milestones!$AA$23)&lt;=AsOfDate,IF($R75=0,$X75,IF(AND($T75&lt;&gt;"",EDATE($D75,Milestones!$AA$23)&gt;=$T75),$W75,IF(AND($S75&lt;&gt;"",EDATE($D75,Milestones!$AA$23)&gt;=$S75),$V75,$U75)))=Milestones!$AB$23),UPPER(TEXT(EDATE($D75,Milestones!$AA$23),"dd mmm yy"))&amp;" "&amp;Milestones!$AB$23&amp;" "&amp;Milestones!$AC$23&amp;";  ","")&amp;IF(AND(EDATE($D75,Milestones!$AA$24)&lt;=AsOfDate,IF($R75=0,$X75,IF(AND($T75&lt;&gt;"",EDATE($D75,Milestones!$AA$24)&gt;=$T75),$W75,IF(AND($S75&lt;&gt;"",EDATE($D75,Milestones!$AA$24)&gt;=$S75),$V75,$U75)))=Milestones!$AB$24),UPPER(TEXT(EDATE($D75,Milestones!$AA$24),"dd mmm yy"))&amp;" "&amp;Milestones!$AB$24&amp;" "&amp;Milestones!$AC$24&amp;";  ","")&amp;IF(AND(EDATE($D75,Milestones!$AA$25)&lt;=AsOfDate,IF($R75=0,$X75,IF(AND($T75&lt;&gt;"",EDATE($D75,Milestones!$AA$25)&gt;=$T75),$W75,IF(AND($S75&lt;&gt;"",EDATE($D75,Milestones!$AA$25)&gt;=$S75),$V75,$U75)))=Milestones!$AB$25),UPPER(TEXT(EDATE($D75,Milestones!$AA$25),"dd mmm yy"))&amp;" "&amp;Milestones!$AB$25&amp;" "&amp;Milestones!$AC$25&amp;";  ","")&amp;IF(AND(EDATE($D75,Milestones!$AA$26)&lt;=AsOfDate,IF($R75=0,$X75,IF(AND($T75&lt;&gt;"",EDATE($D75,Milestones!$AA$26)&gt;=$T75),$W75,IF(AND($S75&lt;&gt;"",EDATE($D75,Milestones!$AA$26)&gt;=$S75),$V75,$U75)))=Milestones!$AB$26),UPPER(TEXT(EDATE($D75,Milestones!$AA$26),"dd mmm yy"))&amp;" "&amp;Milestones!$AB$26&amp;" "&amp;Milestones!$AC$26&amp;";  ","")&amp;IF(AND(EDATE($D75,Milestones!$AA$27)&lt;=AsOfDate,IF($R75=0,$X75,IF(AND($T75&lt;&gt;"",EDATE($D75,Milestones!$AA$27)&gt;=$T75),$W75,IF(AND($S75&lt;&gt;"",EDATE($D75,Milestones!$AA$27)&gt;=$S75),$V75,$U75)))=Milestones!$AB$27),UPPER(TEXT(EDATE($D75,Milestones!$AA$27),"dd mmm yy"))&amp;" "&amp;Milestones!$AB$27&amp;" "&amp;Milestones!$AC$27&amp;";  ","")&amp;IF(AND(EDATE($D75,Milestones!$AA$28)&lt;=AsOfDate,IF($R75=0,$X75,IF(AND($T75&lt;&gt;"",EDATE($D75,Milestones!$AA$28)&gt;=$T75),$W75,IF(AND($S75&lt;&gt;"",EDATE($D75,Milestones!$AA$28)&gt;=$S75),$V75,$U75)))=Milestones!$AB$28),UPPER(TEXT(EDATE($D75,Milestones!$AA$28),"dd mmm yy"))&amp;" "&amp;Milestones!$AB$28&amp;" "&amp;Milestones!$AC$28&amp;";  ","")&amp;IF(AND(EDATE($D75,Milestones!$AA$29)&lt;=AsOfDate,IF($R75=0,$X75,IF(AND($T75&lt;&gt;"",EDATE($D75,Milestones!$AA$29)&gt;=$T75),$W75,IF(AND($S75&lt;&gt;"",EDATE($D75,Milestones!$AA$29)&gt;=$S75),$V75,$U75)))=Milestones!$AB$29),UPPER(TEXT(EDATE($D75,Milestones!$AA$29),"dd mmm yy"))&amp;" "&amp;Milestones!$AB$29&amp;" "&amp;Milestones!$AC$29&amp;";  ","")&amp;IF(AND(EDATE($D75,Milestones!$AA$30)&lt;=AsOfDate,IF($R75=0,$X75,IF(AND($T75&lt;&gt;"",EDATE($D75,Milestones!$AA$30)&gt;=$T75),$W75,IF(AND($S75&lt;&gt;"",EDATE($D75,Milestones!$AA$30)&gt;=$S75),$V75,$U75)))=Milestones!$AB$30),UPPER(TEXT(EDATE($D75,Milestones!$AA$30),"dd mmm yy"))&amp;" "&amp;Milestones!$AB$30&amp;" "&amp;Milestones!$AC$30&amp;";  ","")&amp;IF(AND(EDATE($D75,Milestones!$AA$31)&lt;=AsOfDate,IF($R75=0,$X75,IF(AND($T75&lt;&gt;"",EDATE($D75,Milestones!$AA$31)&gt;=$T75),$W75,IF(AND($S75&lt;&gt;"",EDATE($D75,Milestones!$AA$31)&gt;=$S75),$V75,$U75)))=Milestones!$AB$31),UPPER(TEXT(EDATE($D75,Milestones!$AA$31),"dd mmm yy"))&amp;" "&amp;Milestones!$AB$31&amp;" "&amp;Milestones!$AC$31&amp;";  ","")&amp;IF(AND(EDATE($D75,Milestones!$AA$32)&lt;=AsOfDate,IF($R75=0,$X75,IF(AND($T75&lt;&gt;"",EDATE($D75,Milestones!$AA$32)&gt;=$T75),$W75,IF(AND($S75&lt;&gt;"",EDATE($D75,Milestones!$AA$32)&gt;=$S75),$V75,$U75)))=Milestones!$AB$32),UPPER(TEXT(EDATE($D75,Milestones!$AA$32),"dd mmm yy"))&amp;" "&amp;Milestones!$AB$32&amp;" "&amp;Milestones!$AC$32&amp;";  ","")&amp;IF(AND(EDATE($D75,Milestones!$AA$33)&lt;=AsOfDate,IF($R75=0,$X75,IF(AND($T75&lt;&gt;"",EDATE($D75,Milestones!$AA$33)&gt;=$T75),$W75,IF(AND($S75&lt;&gt;"",EDATE($D75,Milestones!$AA$33)&gt;=$S75),$V75,$U75)))=Milestones!$AB$33),UPPER(TEXT(EDATE($D75,Milestones!$AA$33),"dd mmm yy"))&amp;" "&amp;Milestones!$AB$33&amp;" "&amp;Milestones!$AC$33&amp;";  ","")&amp;IF(AND(EDATE($D75,Milestones!$AA$34)&lt;=AsOfDate,IF($R75=0,$X75,IF(AND($T75&lt;&gt;"",EDATE($D75,Milestones!$AA$34)&gt;=$T75),$W75,IF(AND($S75&lt;&gt;"",EDATE($D75,Milestones!$AA$34)&gt;=$S75),$V75,$U75)))=Milestones!$AB$34),UPPER(TEXT(EDATE($D75,Milestones!$AA$34),"dd mmm yy"))&amp;" "&amp;Milestones!$AB$34&amp;" "&amp;Milestones!$AC$34&amp;";  ","")&amp;IF(AND(EDATE($D75,Milestones!$AA$35)&lt;=AsOfDate,IF($R75=0,$X75,IF(AND($T75&lt;&gt;"",EDATE($D75,Milestones!$AA$35)&gt;=$T75),$W75,IF(AND($S75&lt;&gt;"",EDATE($D75,Milestones!$AA$35)&gt;=$S75),$V75,$U75)))=Milestones!$AB$35),UPPER(TEXT(EDATE($D75,Milestones!$AA$35),"dd mmm yy"))&amp;" "&amp;Milestones!$AB$35&amp;" "&amp;Milestones!$AC$35&amp;";  ","")&amp;IF(AND(EDATE($D75,Milestones!$AA$36)&lt;=AsOfDate,IF($R75=0,$X75,IF(AND($T75&lt;&gt;"",EDATE($D75,Milestones!$AA$36)&gt;=$T75),$W75,IF(AND($S75&lt;&gt;"",EDATE($D75,Milestones!$AA$36)&gt;=$S75),$V75,$U75)))=Milestones!$AB$36),UPPER(TEXT(EDATE($D75,Milestones!$AA$36),"dd mmm yy"))&amp;" "&amp;Milestones!$AB$36&amp;" "&amp;Milestones!$AC$36&amp;";  ","")&amp;IF(AND(EDATE($D75,Milestones!$AA$37)&lt;=AsOfDate,IF($R75=0,$X75,IF(AND($T75&lt;&gt;"",EDATE($D75,Milestones!$AA$37)&gt;=$T75),$W75,IF(AND($S75&lt;&gt;"",EDATE($D75,Milestones!$AA$37)&gt;=$S75),$V75,$U75)))=Milestones!$AB$37),UPPER(TEXT(EDATE($D75,Milestones!$AA$37),"dd mmm yy"))&amp;" "&amp;Milestones!$AB$37&amp;" "&amp;Milestones!$AC$37&amp;";  ","")&amp;IF(AND(EDATE($D75,Milestones!$AA$38)&lt;=AsOfDate,IF($R75=0,$X75,IF(AND($T75&lt;&gt;"",EDATE($D75,Milestones!$AA$38)&gt;=$T75),$W75,IF(AND($S75&lt;&gt;"",EDATE($D75,Milestones!$AA$38)&gt;=$S75),$V75,$U75)))=Milestones!$AB$38),UPPER(TEXT(EDATE($D75,Milestones!$AA$38),"dd mmm yy"))&amp;" "&amp;Milestones!$AB$38&amp;" "&amp;Milestones!$AC$38&amp;";  ","")&amp;IF(AND(EDATE($D75,Milestones!$AA$39)&lt;=AsOfDate,IF($R75=0,$X75,IF(AND($T75&lt;&gt;"",EDATE($D75,Milestones!$AA$39)&gt;=$T75),$W75,IF(AND($S75&lt;&gt;"",EDATE($D75,Milestones!$AA$39)&gt;=$S75),$V75,$U75)))=Milestones!$AB$39),UPPER(TEXT(EDATE($D75,Milestones!$AA$39),"dd mmm yy"))&amp;" "&amp;Milestones!$AB$39&amp;" "&amp;Milestones!$AC$39&amp;";  ",""))</f>
        <v/>
      </c>
      <c r="J75" s="0" t="str">
        <f aca="false">IF(OR($A75="",$D75=""),"",IF(AND(EDATE($D75,Milestones!$AA$40)&lt;=AsOfDate,IF($R75=0,$X75,IF(AND($T75&lt;&gt;"",EDATE($D75,Milestones!$AA$40)&gt;=$T75),$W75,IF(AND($S75&lt;&gt;"",EDATE($D75,Milestones!$AA$40)&gt;=$S75),$V75,$U75)))=Milestones!$AB$40),UPPER(TEXT(EDATE($D75,Milestones!$AA$40),"dd mmm yy"))&amp;" "&amp;Milestones!$AB$40&amp;" "&amp;Milestones!$AC$40&amp;";  ","")&amp;IF(AND(EDATE($D75,Milestones!$AA$41)&lt;=AsOfDate,IF($R75=0,$X75,IF(AND($T75&lt;&gt;"",EDATE($D75,Milestones!$AA$41)&gt;=$T75),$W75,IF(AND($S75&lt;&gt;"",EDATE($D75,Milestones!$AA$41)&gt;=$S75),$V75,$U75)))=Milestones!$AB$41),UPPER(TEXT(EDATE($D75,Milestones!$AA$41),"dd mmm yy"))&amp;" "&amp;Milestones!$AB$41&amp;" "&amp;Milestones!$AC$41&amp;";  ","")&amp;IF(AND(EDATE($D75,Milestones!$AA$42)&lt;=AsOfDate,IF($R75=0,$X75,IF(AND($T75&lt;&gt;"",EDATE($D75,Milestones!$AA$42)&gt;=$T75),$W75,IF(AND($S75&lt;&gt;"",EDATE($D75,Milestones!$AA$42)&gt;=$S75),$V75,$U75)))=Milestones!$AB$42),UPPER(TEXT(EDATE($D75,Milestones!$AA$42),"dd mmm yy"))&amp;" "&amp;Milestones!$AB$42&amp;" "&amp;Milestones!$AC$42&amp;";  ","")&amp;IF(AND(EDATE($D75,Milestones!$AA$43)&lt;=AsOfDate,IF($R75=0,$X75,IF(AND($T75&lt;&gt;"",EDATE($D75,Milestones!$AA$43)&gt;=$T75),$W75,IF(AND($S75&lt;&gt;"",EDATE($D75,Milestones!$AA$43)&gt;=$S75),$V75,$U75)))=Milestones!$AB$43),UPPER(TEXT(EDATE($D75,Milestones!$AA$43),"dd mmm yy"))&amp;" "&amp;Milestones!$AB$43&amp;" "&amp;Milestones!$AC$43&amp;";  ","")&amp;IF(AND(EDATE($D75,Milestones!$AA$44)&lt;=AsOfDate,IF($R75=0,$X75,IF(AND($T75&lt;&gt;"",EDATE($D75,Milestones!$AA$44)&gt;=$T75),$W75,IF(AND($S75&lt;&gt;"",EDATE($D75,Milestones!$AA$44)&gt;=$S75),$V75,$U75)))=Milestones!$AB$44),UPPER(TEXT(EDATE($D75,Milestones!$AA$44),"dd mmm yy"))&amp;" "&amp;Milestones!$AB$44&amp;" "&amp;Milestones!$AC$44&amp;";  ","")&amp;IF(AND(EDATE($D75,Milestones!$AA$45)&lt;=AsOfDate,IF($R75=0,$X75,IF(AND($T75&lt;&gt;"",EDATE($D75,Milestones!$AA$45)&gt;=$T75),$W75,IF(AND($S75&lt;&gt;"",EDATE($D75,Milestones!$AA$45)&gt;=$S75),$V75,$U75)))=Milestones!$AB$45),UPPER(TEXT(EDATE($D75,Milestones!$AA$45),"dd mmm yy"))&amp;" "&amp;Milestones!$AB$45&amp;" "&amp;Milestones!$AC$45&amp;";  ","")&amp;IF(AND(EDATE($D75,Milestones!$AA$46)&lt;=AsOfDate,IF($R75=0,$X75,IF(AND($T75&lt;&gt;"",EDATE($D75,Milestones!$AA$46)&gt;=$T75),$W75,IF(AND($S75&lt;&gt;"",EDATE($D75,Milestones!$AA$46)&gt;=$S75),$V75,$U75)))=Milestones!$AB$46),UPPER(TEXT(EDATE($D75,Milestones!$AA$46),"dd mmm yy"))&amp;" "&amp;Milestones!$AB$46&amp;" "&amp;Milestones!$AC$46&amp;";  ","")&amp;IF(AND(EDATE($D75,Milestones!$AA$47)&lt;=AsOfDate,IF($R75=0,$X75,IF(AND($T75&lt;&gt;"",EDATE($D75,Milestones!$AA$47)&gt;=$T75),$W75,IF(AND($S75&lt;&gt;"",EDATE($D75,Milestones!$AA$47)&gt;=$S75),$V75,$U75)))=Milestones!$AB$47),UPPER(TEXT(EDATE($D75,Milestones!$AA$47),"dd mmm yy"))&amp;" "&amp;Milestones!$AB$47&amp;" "&amp;Milestones!$AC$47&amp;";  ","")&amp;IF(AND(EDATE($D75,Milestones!$AA$48)&lt;=AsOfDate,IF($R75=0,$X75,IF(AND($T75&lt;&gt;"",EDATE($D75,Milestones!$AA$48)&gt;=$T75),$W75,IF(AND($S75&lt;&gt;"",EDATE($D75,Milestones!$AA$48)&gt;=$S75),$V75,$U75)))=Milestones!$AB$48),UPPER(TEXT(EDATE($D75,Milestones!$AA$48),"dd mmm yy"))&amp;" "&amp;Milestones!$AB$48&amp;" "&amp;Milestones!$AC$48&amp;";  ","")&amp;IF(AND(EDATE($D75,Milestones!$AA$49)&lt;=AsOfDate,IF($R75=0,$X75,IF(AND($T75&lt;&gt;"",EDATE($D75,Milestones!$AA$49)&gt;=$T75),$W75,IF(AND($S75&lt;&gt;"",EDATE($D75,Milestones!$AA$49)&gt;=$S75),$V75,$U75)))=Milestones!$AB$49),UPPER(TEXT(EDATE($D75,Milestones!$AA$49),"dd mmm yy"))&amp;" "&amp;Milestones!$AB$49&amp;" "&amp;Milestones!$AC$49&amp;";  ","")&amp;IF(AND(EDATE($D75,Milestones!$AA$50)&lt;=AsOfDate,IF($R75=0,$X75,IF(AND($T75&lt;&gt;"",EDATE($D75,Milestones!$AA$50)&gt;=$T75),$W75,IF(AND($S75&lt;&gt;"",EDATE($D75,Milestones!$AA$50)&gt;=$S75),$V75,$U75)))=Milestones!$AB$50),UPPER(TEXT(EDATE($D75,Milestones!$AA$50),"dd mmm yy"))&amp;" "&amp;Milestones!$AB$50&amp;" "&amp;Milestones!$AC$50&amp;";  ","")&amp;IF(AND(EDATE($D75,Milestones!$AA$51)&lt;=AsOfDate,IF($R75=0,$X75,IF(AND($T75&lt;&gt;"",EDATE($D75,Milestones!$AA$51)&gt;=$T75),$W75,IF(AND($S75&lt;&gt;"",EDATE($D75,Milestones!$AA$51)&gt;=$S75),$V75,$U75)))=Milestones!$AB$51),UPPER(TEXT(EDATE($D75,Milestones!$AA$51),"dd mmm yy"))&amp;" "&amp;Milestones!$AB$51&amp;" "&amp;Milestones!$AC$51&amp;";  ","")&amp;IF(AND(EDATE($D75,Milestones!$AA$52)&lt;=AsOfDate,IF($R75=0,$X75,IF(AND($T75&lt;&gt;"",EDATE($D75,Milestones!$AA$52)&gt;=$T75),$W75,IF(AND($S75&lt;&gt;"",EDATE($D75,Milestones!$AA$52)&gt;=$S75),$V75,$U75)))=Milestones!$AB$52),UPPER(TEXT(EDATE($D75,Milestones!$AA$52),"dd mmm yy"))&amp;" "&amp;Milestones!$AB$52&amp;" "&amp;Milestones!$AC$52&amp;";  ","")&amp;IF(AND(EDATE($D75,Milestones!$AA$53)&lt;=AsOfDate,IF($R75=0,$X75,IF(AND($T75&lt;&gt;"",EDATE($D75,Milestones!$AA$53)&gt;=$T75),$W75,IF(AND($S75&lt;&gt;"",EDATE($D75,Milestones!$AA$53)&gt;=$S75),$V75,$U75)))=Milestones!$AB$53),UPPER(TEXT(EDATE($D75,Milestones!$AA$53),"dd mmm yy"))&amp;" "&amp;Milestones!$AB$53&amp;" "&amp;Milestones!$AC$53&amp;";  ","")&amp;IF(AND(EDATE($D75,Milestones!$AA$54)&lt;=AsOfDate,IF($R75=0,$X75,IF(AND($T75&lt;&gt;"",EDATE($D75,Milestones!$AA$54)&gt;=$T75),$W75,IF(AND($S75&lt;&gt;"",EDATE($D75,Milestones!$AA$54)&gt;=$S75),$V75,$U75)))=Milestones!$AB$54),UPPER(TEXT(EDATE($D75,Milestones!$AA$54),"dd mmm yy"))&amp;" "&amp;Milestones!$AB$54&amp;" "&amp;Milestones!$AC$54&amp;";  ","")&amp;IF(AND(EDATE($D75,Milestones!$AA$55)&lt;=AsOfDate,IF($R75=0,$X75,IF(AND($T75&lt;&gt;"",EDATE($D75,Milestones!$AA$55)&gt;=$T75),$W75,IF(AND($S75&lt;&gt;"",EDATE($D75,Milestones!$AA$55)&gt;=$S75),$V75,$U75)))=Milestones!$AB$55),UPPER(TEXT(EDATE($D75,Milestones!$AA$55),"dd mmm yy"))&amp;" "&amp;Milestones!$AB$55&amp;" "&amp;Milestones!$AC$55&amp;";  ","")&amp;IF(AND(EDATE($D75,Milestones!$AA$56)&lt;=AsOfDate,IF($R75=0,$X75,IF(AND($T75&lt;&gt;"",EDATE($D75,Milestones!$AA$56)&gt;=$T75),$W75,IF(AND($S75&lt;&gt;"",EDATE($D75,Milestones!$AA$56)&gt;=$S75),$V75,$U75)))=Milestones!$AB$56),UPPER(TEXT(EDATE($D75,Milestones!$AA$56),"dd mmm yy"))&amp;" "&amp;Milestones!$AB$56&amp;" "&amp;Milestones!$AC$56&amp;";  ","")&amp;IF(AND(EDATE($D75,Milestones!$AA$57)&lt;=AsOfDate,IF($R75=0,$X75,IF(AND($T75&lt;&gt;"",EDATE($D75,Milestones!$AA$57)&gt;=$T75),$W75,IF(AND($S75&lt;&gt;"",EDATE($D75,Milestones!$AA$57)&gt;=$S75),$V75,$U75)))=Milestones!$AB$57),UPPER(TEXT(EDATE($D75,Milestones!$AA$57),"dd mmm yy"))&amp;" "&amp;Milestones!$AB$57&amp;" "&amp;Milestones!$AC$57&amp;";  ","")&amp;IF(AND(EDATE($D75,Milestones!$AA$58)&lt;=AsOfDate,IF($R75=0,$X75,IF(AND($T75&lt;&gt;"",EDATE($D75,Milestones!$AA$58)&gt;=$T75),$W75,IF(AND($S75&lt;&gt;"",EDATE($D75,Milestones!$AA$58)&gt;=$S75),$V75,$U75)))=Milestones!$AB$58),UPPER(TEXT(EDATE($D75,Milestones!$AA$58),"dd mmm yy"))&amp;" "&amp;Milestones!$AB$58&amp;" "&amp;Milestones!$AC$58&amp;";  ","")&amp;IF(AND(EDATE($D75,Milestones!$AA$59)&lt;=AsOfDate,IF($R75=0,$X75,IF(AND($T75&lt;&gt;"",EDATE($D75,Milestones!$AA$59)&gt;=$T75),$W75,IF(AND($S75&lt;&gt;"",EDATE($D75,Milestones!$AA$59)&gt;=$S75),$V75,$U75)))=Milestones!$AB$59),UPPER(TEXT(EDATE($D75,Milestones!$AA$59),"dd mmm yy"))&amp;" "&amp;Milestones!$AB$59&amp;" "&amp;Milestones!$AC$59&amp;";  ",""))</f>
        <v/>
      </c>
      <c r="K75" s="0" t="str">
        <f aca="false">IF(OR($A75="",$D75=""),"",IF(AND(EDATE($D75,Milestones!$AA$60)&lt;=AsOfDate,IF($R75=0,$X75,IF(AND($T75&lt;&gt;"",EDATE($D75,Milestones!$AA$60)&gt;=$T75),$W75,IF(AND($S75&lt;&gt;"",EDATE($D75,Milestones!$AA$60)&gt;=$S75),$V75,$U75)))=Milestones!$AB$60),UPPER(TEXT(EDATE($D75,Milestones!$AA$60),"dd mmm yy"))&amp;" "&amp;Milestones!$AB$60&amp;" "&amp;Milestones!$AC$60&amp;";  ","")&amp;IF(AND(EDATE($D75,Milestones!$AA$61)&lt;=AsOfDate,IF($R75=0,$X75,IF(AND($T75&lt;&gt;"",EDATE($D75,Milestones!$AA$61)&gt;=$T75),$W75,IF(AND($S75&lt;&gt;"",EDATE($D75,Milestones!$AA$61)&gt;=$S75),$V75,$U75)))=Milestones!$AB$61),UPPER(TEXT(EDATE($D75,Milestones!$AA$61),"dd mmm yy"))&amp;" "&amp;Milestones!$AB$61&amp;" "&amp;Milestones!$AC$61&amp;";  ","")&amp;IF(AND(EDATE($D75,Milestones!$AA$62)&lt;=AsOfDate,IF($R75=0,$X75,IF(AND($T75&lt;&gt;"",EDATE($D75,Milestones!$AA$62)&gt;=$T75),$W75,IF(AND($S75&lt;&gt;"",EDATE($D75,Milestones!$AA$62)&gt;=$S75),$V75,$U75)))=Milestones!$AB$62),UPPER(TEXT(EDATE($D75,Milestones!$AA$62),"dd mmm yy"))&amp;" "&amp;Milestones!$AB$62&amp;" "&amp;Milestones!$AC$62&amp;";  ","")&amp;IF(AND(EDATE($D75,Milestones!$AA$63)&lt;=AsOfDate,IF($R75=0,$X75,IF(AND($T75&lt;&gt;"",EDATE($D75,Milestones!$AA$63)&gt;=$T75),$W75,IF(AND($S75&lt;&gt;"",EDATE($D75,Milestones!$AA$63)&gt;=$S75),$V75,$U75)))=Milestones!$AB$63),UPPER(TEXT(EDATE($D75,Milestones!$AA$63),"dd mmm yy"))&amp;" "&amp;Milestones!$AB$63&amp;" "&amp;Milestones!$AC$63&amp;";  ","")&amp;IF(AND(EDATE($D75,Milestones!$AA$64)&lt;=AsOfDate,IF($R75=0,$X75,IF(AND($T75&lt;&gt;"",EDATE($D75,Milestones!$AA$64)&gt;=$T75),$W75,IF(AND($S75&lt;&gt;"",EDATE($D75,Milestones!$AA$64)&gt;=$S75),$V75,$U75)))=Milestones!$AB$64),UPPER(TEXT(EDATE($D75,Milestones!$AA$64),"dd mmm yy"))&amp;" "&amp;Milestones!$AB$64&amp;" "&amp;Milestones!$AC$64&amp;";  ","")&amp;IF(AND(EDATE($D75,Milestones!$AA$65)&lt;=AsOfDate,IF($R75=0,$X75,IF(AND($T75&lt;&gt;"",EDATE($D75,Milestones!$AA$65)&gt;=$T75),$W75,IF(AND($S75&lt;&gt;"",EDATE($D75,Milestones!$AA$65)&gt;=$S75),$V75,$U75)))=Milestones!$AB$65),UPPER(TEXT(EDATE($D75,Milestones!$AA$65),"dd mmm yy"))&amp;" "&amp;Milestones!$AB$65&amp;" "&amp;Milestones!$AC$65&amp;";  ","")&amp;IF(AND(EDATE($D75,Milestones!$AA$66)&lt;=AsOfDate,IF($R75=0,$X75,IF(AND($T75&lt;&gt;"",EDATE($D75,Milestones!$AA$66)&gt;=$T75),$W75,IF(AND($S75&lt;&gt;"",EDATE($D75,Milestones!$AA$66)&gt;=$S75),$V75,$U75)))=Milestones!$AB$66),UPPER(TEXT(EDATE($D75,Milestones!$AA$66),"dd mmm yy"))&amp;" "&amp;Milestones!$AB$66&amp;" "&amp;Milestones!$AC$66&amp;";  ","")&amp;IF(AND(EDATE($D75,Milestones!$AA$67)&lt;=AsOfDate,IF($R75=0,$X75,IF(AND($T75&lt;&gt;"",EDATE($D75,Milestones!$AA$67)&gt;=$T75),$W75,IF(AND($S75&lt;&gt;"",EDATE($D75,Milestones!$AA$67)&gt;=$S75),$V75,$U75)))=Milestones!$AB$67),UPPER(TEXT(EDATE($D75,Milestones!$AA$67),"dd mmm yy"))&amp;" "&amp;Milestones!$AB$67&amp;" "&amp;Milestones!$AC$67&amp;";  ","")&amp;IF(AND(EDATE($D75,Milestones!$AA$68)&lt;=AsOfDate,IF($R75=0,$X75,IF(AND($T75&lt;&gt;"",EDATE($D75,Milestones!$AA$68)&gt;=$T75),$W75,IF(AND($S75&lt;&gt;"",EDATE($D75,Milestones!$AA$68)&gt;=$S75),$V75,$U75)))=Milestones!$AB$68),UPPER(TEXT(EDATE($D75,Milestones!$AA$68),"dd mmm yy"))&amp;" "&amp;Milestones!$AB$68&amp;" "&amp;Milestones!$AC$68&amp;";  ","")&amp;IF(AND(EDATE($D75,Milestones!$AA$69)&lt;=AsOfDate,IF($R75=0,$X75,IF(AND($T75&lt;&gt;"",EDATE($D75,Milestones!$AA$69)&gt;=$T75),$W75,IF(AND($S75&lt;&gt;"",EDATE($D75,Milestones!$AA$69)&gt;=$S75),$V75,$U75)))=Milestones!$AB$69),UPPER(TEXT(EDATE($D75,Milestones!$AA$69),"dd mmm yy"))&amp;" "&amp;Milestones!$AB$69&amp;" "&amp;Milestones!$AC$69&amp;";  ","")&amp;IF(AND(EDATE($D75,Milestones!$AA$70)&lt;=AsOfDate,IF($R75=0,$X75,IF(AND($T75&lt;&gt;"",EDATE($D75,Milestones!$AA$70)&gt;=$T75),$W75,IF(AND($S75&lt;&gt;"",EDATE($D75,Milestones!$AA$70)&gt;=$S75),$V75,$U75)))=Milestones!$AB$70),UPPER(TEXT(EDATE($D75,Milestones!$AA$70),"dd mmm yy"))&amp;" "&amp;Milestones!$AB$70&amp;" "&amp;Milestones!$AC$70&amp;";  ","")&amp;IF(AND(EDATE($D75,Milestones!$AA$71)&lt;=AsOfDate,IF($R75=0,$X75,IF(AND($T75&lt;&gt;"",EDATE($D75,Milestones!$AA$71)&gt;=$T75),$W75,IF(AND($S75&lt;&gt;"",EDATE($D75,Milestones!$AA$71)&gt;=$S75),$V75,$U75)))=Milestones!$AB$71),UPPER(TEXT(EDATE($D75,Milestones!$AA$71),"dd mmm yy"))&amp;" "&amp;Milestones!$AB$71&amp;" "&amp;Milestones!$AC$71&amp;";  ","")&amp;IF(AND(EDATE($D75,Milestones!$AA$72)&lt;=AsOfDate,IF($R75=0,$X75,IF(AND($T75&lt;&gt;"",EDATE($D75,Milestones!$AA$72)&gt;=$T75),$W75,IF(AND($S75&lt;&gt;"",EDATE($D75,Milestones!$AA$72)&gt;=$S75),$V75,$U75)))=Milestones!$AB$72),UPPER(TEXT(EDATE($D75,Milestones!$AA$72),"dd mmm yy"))&amp;" "&amp;Milestones!$AB$72&amp;" "&amp;Milestones!$AC$72&amp;";  ","")&amp;IF(AND(EDATE($D75,Milestones!$AA$73)&lt;=AsOfDate,IF($R75=0,$X75,IF(AND($T75&lt;&gt;"",EDATE($D75,Milestones!$AA$73)&gt;=$T75),$W75,IF(AND($S75&lt;&gt;"",EDATE($D75,Milestones!$AA$73)&gt;=$S75),$V75,$U75)))=Milestones!$AB$73),UPPER(TEXT(EDATE($D75,Milestones!$AA$73),"dd mmm yy"))&amp;" "&amp;Milestones!$AB$73&amp;" "&amp;Milestones!$AC$73&amp;";  ","")&amp;IF(AND(EDATE($D75,Milestones!$AA$74)&lt;=AsOfDate,IF($R75=0,$X75,IF(AND($T75&lt;&gt;"",EDATE($D75,Milestones!$AA$74)&gt;=$T75),$W75,IF(AND($S75&lt;&gt;"",EDATE($D75,Milestones!$AA$74)&gt;=$S75),$V75,$U75)))=Milestones!$AB$74),UPPER(TEXT(EDATE($D75,Milestones!$AA$74),"dd mmm yy"))&amp;" "&amp;Milestones!$AB$74&amp;" "&amp;Milestones!$AC$74&amp;";  ","")&amp;IF(AND(EDATE($D75,Milestones!$AA$75)&lt;=AsOfDate,IF($R75=0,$X75,IF(AND($T75&lt;&gt;"",EDATE($D75,Milestones!$AA$75)&gt;=$T75),$W75,IF(AND($S75&lt;&gt;"",EDATE($D75,Milestones!$AA$75)&gt;=$S75),$V75,$U75)))=Milestones!$AB$75),UPPER(TEXT(EDATE($D75,Milestones!$AA$75),"dd mmm yy"))&amp;" "&amp;Milestones!$AB$75&amp;" "&amp;Milestones!$AC$75&amp;";  ","")&amp;IF(AND(EDATE($D75,Milestones!$AA$76)&lt;=AsOfDate,IF($R75=0,$X75,IF(AND($T75&lt;&gt;"",EDATE($D75,Milestones!$AA$76)&gt;=$T75),$W75,IF(AND($S75&lt;&gt;"",EDATE($D75,Milestones!$AA$76)&gt;=$S75),$V75,$U75)))=Milestones!$AB$76),UPPER(TEXT(EDATE($D75,Milestones!$AA$76),"dd mmm yy"))&amp;" "&amp;Milestones!$AB$76&amp;" "&amp;Milestones!$AC$76&amp;";  ","")&amp;IF(AND(EDATE($D75,Milestones!$AA$77)&lt;=AsOfDate,IF($R75=0,$X75,IF(AND($T75&lt;&gt;"",EDATE($D75,Milestones!$AA$77)&gt;=$T75),$W75,IF(AND($S75&lt;&gt;"",EDATE($D75,Milestones!$AA$77)&gt;=$S75),$V75,$U75)))=Milestones!$AB$77),UPPER(TEXT(EDATE($D75,Milestones!$AA$77),"dd mmm yy"))&amp;" "&amp;Milestones!$AB$77&amp;" "&amp;Milestones!$AC$77&amp;";  ","")&amp;IF(AND(EDATE($D75,Milestones!$AA$78)&lt;=AsOfDate,IF($R75=0,$X75,IF(AND($T75&lt;&gt;"",EDATE($D75,Milestones!$AA$78)&gt;=$T75),$W75,IF(AND($S75&lt;&gt;"",EDATE($D75,Milestones!$AA$78)&gt;=$S75),$V75,$U75)))=Milestones!$AB$78),UPPER(TEXT(EDATE($D75,Milestones!$AA$78),"dd mmm yy"))&amp;" "&amp;Milestones!$AB$78&amp;" "&amp;Milestones!$AC$78&amp;";  ","")&amp;IF(AND(EDATE($D75,Milestones!$AA$79)&lt;=AsOfDate,IF($R75=0,$X75,IF(AND($T75&lt;&gt;"",EDATE($D75,Milestones!$AA$79)&gt;=$T75),$W75,IF(AND($S75&lt;&gt;"",EDATE($D75,Milestones!$AA$79)&gt;=$S75),$V75,$U75)))=Milestones!$AB$79),UPPER(TEXT(EDATE($D75,Milestones!$AA$79),"dd mmm yy"))&amp;" "&amp;Milestones!$AB$79&amp;" "&amp;Milestones!$AC$79&amp;";  ",""))</f>
        <v/>
      </c>
      <c r="L75" s="0" t="str">
        <f aca="false">IF(OR($A75="",$D75=""),"",IF(AND(EDATE($D75,Milestones!$AA$80)&lt;=AsOfDate,IF($R75=0,$X75,IF(AND($T75&lt;&gt;"",EDATE($D75,Milestones!$AA$80)&gt;=$T75),$W75,IF(AND($S75&lt;&gt;"",EDATE($D75,Milestones!$AA$80)&gt;=$S75),$V75,$U75)))=Milestones!$AB$80),UPPER(TEXT(EDATE($D75,Milestones!$AA$80),"dd mmm yy"))&amp;" "&amp;Milestones!$AB$80&amp;" "&amp;Milestones!$AC$80&amp;";  ","")&amp;IF(AND(EDATE($D75,Milestones!$AA$81)&lt;=AsOfDate,IF($R75=0,$X75,IF(AND($T75&lt;&gt;"",EDATE($D75,Milestones!$AA$81)&gt;=$T75),$W75,IF(AND($S75&lt;&gt;"",EDATE($D75,Milestones!$AA$81)&gt;=$S75),$V75,$U75)))=Milestones!$AB$81),UPPER(TEXT(EDATE($D75,Milestones!$AA$81),"dd mmm yy"))&amp;" "&amp;Milestones!$AB$81&amp;" "&amp;Milestones!$AC$81&amp;";  ","")&amp;IF(AND(EDATE($D75,Milestones!$AA$82)&lt;=AsOfDate,IF($R75=0,$X75,IF(AND($T75&lt;&gt;"",EDATE($D75,Milestones!$AA$82)&gt;=$T75),$W75,IF(AND($S75&lt;&gt;"",EDATE($D75,Milestones!$AA$82)&gt;=$S75),$V75,$U75)))=Milestones!$AB$82),UPPER(TEXT(EDATE($D75,Milestones!$AA$82),"dd mmm yy"))&amp;" "&amp;Milestones!$AB$82&amp;" "&amp;Milestones!$AC$82&amp;";  ","")&amp;IF(AND(EDATE($D75,Milestones!$AA$83)&lt;=AsOfDate,IF($R75=0,$X75,IF(AND($T75&lt;&gt;"",EDATE($D75,Milestones!$AA$83)&gt;=$T75),$W75,IF(AND($S75&lt;&gt;"",EDATE($D75,Milestones!$AA$83)&gt;=$S75),$V75,$U75)))=Milestones!$AB$83),UPPER(TEXT(EDATE($D75,Milestones!$AA$83),"dd mmm yy"))&amp;" "&amp;Milestones!$AB$83&amp;" "&amp;Milestones!$AC$83&amp;";  ","")&amp;IF(AND(EDATE($D75,Milestones!$AA$84)&lt;=AsOfDate,IF($R75=0,$X75,IF(AND($T75&lt;&gt;"",EDATE($D75,Milestones!$AA$84)&gt;=$T75),$W75,IF(AND($S75&lt;&gt;"",EDATE($D75,Milestones!$AA$84)&gt;=$S75),$V75,$U75)))=Milestones!$AB$84),UPPER(TEXT(EDATE($D75,Milestones!$AA$84),"dd mmm yy"))&amp;" "&amp;Milestones!$AB$84&amp;" "&amp;Milestones!$AC$84&amp;";  ","")&amp;IF(AND(EDATE($D75,Milestones!$AA$85)&lt;=AsOfDate,IF($R75=0,$X75,IF(AND($T75&lt;&gt;"",EDATE($D75,Milestones!$AA$85)&gt;=$T75),$W75,IF(AND($S75&lt;&gt;"",EDATE($D75,Milestones!$AA$85)&gt;=$S75),$V75,$U75)))=Milestones!$AB$85),UPPER(TEXT(EDATE($D75,Milestones!$AA$85),"dd mmm yy"))&amp;" "&amp;Milestones!$AB$85&amp;" "&amp;Milestones!$AC$85&amp;";  ","")&amp;IF(AND(EDATE($D75,Milestones!$AA$86)&lt;=AsOfDate,IF($R75=0,$X75,IF(AND($T75&lt;&gt;"",EDATE($D75,Milestones!$AA$86)&gt;=$T75),$W75,IF(AND($S75&lt;&gt;"",EDATE($D75,Milestones!$AA$86)&gt;=$S75),$V75,$U75)))=Milestones!$AB$86),UPPER(TEXT(EDATE($D75,Milestones!$AA$86),"dd mmm yy"))&amp;" "&amp;Milestones!$AB$86&amp;" "&amp;Milestones!$AC$86&amp;";  ","")&amp;IF(AND(EDATE($D75,Milestones!$AA$87)&lt;=AsOfDate,IF($R75=0,$X75,IF(AND($T75&lt;&gt;"",EDATE($D75,Milestones!$AA$87)&gt;=$T75),$W75,IF(AND($S75&lt;&gt;"",EDATE($D75,Milestones!$AA$87)&gt;=$S75),$V75,$U75)))=Milestones!$AB$87),UPPER(TEXT(EDATE($D75,Milestones!$AA$87),"dd mmm yy"))&amp;" "&amp;Milestones!$AB$87&amp;" "&amp;Milestones!$AC$87&amp;";  ","")&amp;IF(AND(EDATE($D75,Milestones!$AA$88)&lt;=AsOfDate,IF($R75=0,$X75,IF(AND($T75&lt;&gt;"",EDATE($D75,Milestones!$AA$88)&gt;=$T75),$W75,IF(AND($S75&lt;&gt;"",EDATE($D75,Milestones!$AA$88)&gt;=$S75),$V75,$U75)))=Milestones!$AB$88),UPPER(TEXT(EDATE($D75,Milestones!$AA$88),"dd mmm yy"))&amp;" "&amp;Milestones!$AB$88&amp;" "&amp;Milestones!$AC$88&amp;";  ","")&amp;IF(AND(EDATE($D75,Milestones!$AA$89)&lt;=AsOfDate,IF($R75=0,$X75,IF(AND($T75&lt;&gt;"",EDATE($D75,Milestones!$AA$89)&gt;=$T75),$W75,IF(AND($S75&lt;&gt;"",EDATE($D75,Milestones!$AA$89)&gt;=$S75),$V75,$U75)))=Milestones!$AB$89),UPPER(TEXT(EDATE($D75,Milestones!$AA$89),"dd mmm yy"))&amp;" "&amp;Milestones!$AB$89&amp;" "&amp;Milestones!$AC$89&amp;";  ","")&amp;IF(AND(EDATE($D75,Milestones!$AA$90)&lt;=AsOfDate,IF($R75=0,$X75,IF(AND($T75&lt;&gt;"",EDATE($D75,Milestones!$AA$90)&gt;=$T75),$W75,IF(AND($S75&lt;&gt;"",EDATE($D75,Milestones!$AA$90)&gt;=$S75),$V75,$U75)))=Milestones!$AB$90),UPPER(TEXT(EDATE($D75,Milestones!$AA$90),"dd mmm yy"))&amp;" "&amp;Milestones!$AB$90&amp;" "&amp;Milestones!$AC$90&amp;";  ","")&amp;IF(AND(EDATE($D75,Milestones!$AA$91)&lt;=AsOfDate,IF($R75=0,$X75,IF(AND($T75&lt;&gt;"",EDATE($D75,Milestones!$AA$91)&gt;=$T75),$W75,IF(AND($S75&lt;&gt;"",EDATE($D75,Milestones!$AA$91)&gt;=$S75),$V75,$U75)))=Milestones!$AB$91),UPPER(TEXT(EDATE($D75,Milestones!$AA$91),"dd mmm yy"))&amp;" "&amp;Milestones!$AB$91&amp;" "&amp;Milestones!$AC$91&amp;";  ","")&amp;IF(AND(EDATE($D75,Milestones!$AA$92)&lt;=AsOfDate,IF($R75=0,$X75,IF(AND($T75&lt;&gt;"",EDATE($D75,Milestones!$AA$92)&gt;=$T75),$W75,IF(AND($S75&lt;&gt;"",EDATE($D75,Milestones!$AA$92)&gt;=$S75),$V75,$U75)))=Milestones!$AB$92),UPPER(TEXT(EDATE($D75,Milestones!$AA$92),"dd mmm yy"))&amp;" "&amp;Milestones!$AB$92&amp;" "&amp;Milestones!$AC$92&amp;";  ","")&amp;IF(AND(EDATE($D75,Milestones!$AA$93)&lt;=AsOfDate,IF($R75=0,$X75,IF(AND($T75&lt;&gt;"",EDATE($D75,Milestones!$AA$93)&gt;=$T75),$W75,IF(AND($S75&lt;&gt;"",EDATE($D75,Milestones!$AA$93)&gt;=$S75),$V75,$U75)))=Milestones!$AB$93),UPPER(TEXT(EDATE($D75,Milestones!$AA$93),"dd mmm yy"))&amp;" "&amp;Milestones!$AB$93&amp;" "&amp;Milestones!$AC$93&amp;";  ","")&amp;IF(AND(EDATE($D75,Milestones!$AA$94)&lt;=AsOfDate,IF($R75=0,$X75,IF(AND($T75&lt;&gt;"",EDATE($D75,Milestones!$AA$94)&gt;=$T75),$W75,IF(AND($S75&lt;&gt;"",EDATE($D75,Milestones!$AA$94)&gt;=$S75),$V75,$U75)))=Milestones!$AB$94),UPPER(TEXT(EDATE($D75,Milestones!$AA$94),"dd mmm yy"))&amp;" "&amp;Milestones!$AB$94&amp;" "&amp;Milestones!$AC$94&amp;";  ","")&amp;IF(AND(EDATE($D75,Milestones!$AA$95)&lt;=AsOfDate,IF($R75=0,$X75,IF(AND($T75&lt;&gt;"",EDATE($D75,Milestones!$AA$95)&gt;=$T75),$W75,IF(AND($S75&lt;&gt;"",EDATE($D75,Milestones!$AA$95)&gt;=$S75),$V75,$U75)))=Milestones!$AB$95),UPPER(TEXT(EDATE($D75,Milestones!$AA$95),"dd mmm yy"))&amp;" "&amp;Milestones!$AB$95&amp;" "&amp;Milestones!$AC$95&amp;";  ","")&amp;IF(AND(EDATE($D75,Milestones!$AA$96)&lt;=AsOfDate,IF($R75=0,$X75,IF(AND($T75&lt;&gt;"",EDATE($D75,Milestones!$AA$96)&gt;=$T75),$W75,IF(AND($S75&lt;&gt;"",EDATE($D75,Milestones!$AA$96)&gt;=$S75),$V75,$U75)))=Milestones!$AB$96),UPPER(TEXT(EDATE($D75,Milestones!$AA$96),"dd mmm yy"))&amp;" "&amp;Milestones!$AB$96&amp;" "&amp;Milestones!$AC$96&amp;";  ","")&amp;IF(AND(EDATE($D75,Milestones!$AA$97)&lt;=AsOfDate,IF($R75=0,$X75,IF(AND($T75&lt;&gt;"",EDATE($D75,Milestones!$AA$97)&gt;=$T75),$W75,IF(AND($S75&lt;&gt;"",EDATE($D75,Milestones!$AA$97)&gt;=$S75),$V75,$U75)))=Milestones!$AB$97),UPPER(TEXT(EDATE($D75,Milestones!$AA$97),"dd mmm yy"))&amp;" "&amp;Milestones!$AB$97&amp;" "&amp;Milestones!$AC$97&amp;";  ","")&amp;IF(AND(EDATE($D75,Milestones!$AA$98)&lt;=AsOfDate,IF($R75=0,$X75,IF(AND($T75&lt;&gt;"",EDATE($D75,Milestones!$AA$98)&gt;=$T75),$W75,IF(AND($S75&lt;&gt;"",EDATE($D75,Milestones!$AA$98)&gt;=$S75),$V75,$U75)))=Milestones!$AB$98),UPPER(TEXT(EDATE($D75,Milestones!$AA$98),"dd mmm yy"))&amp;" "&amp;Milestones!$AB$98&amp;" "&amp;Milestones!$AC$98&amp;";  ","")&amp;IF(AND(EDATE($D75,Milestones!$AA$99)&lt;=AsOfDate,IF($R75=0,$X75,IF(AND($T75&lt;&gt;"",EDATE($D75,Milestones!$AA$99)&gt;=$T75),$W75,IF(AND($S75&lt;&gt;"",EDATE($D75,Milestones!$AA$99)&gt;=$S75),$V75,$U75)))=Milestones!$AB$99),UPPER(TEXT(EDATE($D75,Milestones!$AA$99),"dd mmm yy"))&amp;" "&amp;Milestones!$AB$99&amp;" "&amp;Milestones!$AC$99&amp;";  ",""))</f>
        <v/>
      </c>
      <c r="M75" s="0" t="str">
        <f aca="false">IF(OR($A75="",$D75=""),"",IF(AND(EDATE($D75,Milestones!$AA$100)&lt;=AsOfDate,IF($R75=0,$X75,IF(AND($T75&lt;&gt;"",EDATE($D75,Milestones!$AA$100)&gt;=$T75),$W75,IF(AND($S75&lt;&gt;"",EDATE($D75,Milestones!$AA$100)&gt;=$S75),$V75,$U75)))=Milestones!$AB$100),UPPER(TEXT(EDATE($D75,Milestones!$AA$100),"dd mmm yy"))&amp;" "&amp;Milestones!$AB$100&amp;" "&amp;Milestones!$AC$100&amp;";  ","")&amp;IF(AND(EDATE($D75,Milestones!$AA$101)&lt;=AsOfDate,IF($R75=0,$X75,IF(AND($T75&lt;&gt;"",EDATE($D75,Milestones!$AA$101)&gt;=$T75),$W75,IF(AND($S75&lt;&gt;"",EDATE($D75,Milestones!$AA$101)&gt;=$S75),$V75,$U75)))=Milestones!$AB$101),UPPER(TEXT(EDATE($D75,Milestones!$AA$101),"dd mmm yy"))&amp;" "&amp;Milestones!$AB$101&amp;" "&amp;Milestones!$AC$101&amp;";  ","")&amp;IF(AND(EDATE($D75,Milestones!$AA$102)&lt;=AsOfDate,IF($R75=0,$X75,IF(AND($T75&lt;&gt;"",EDATE($D75,Milestones!$AA$102)&gt;=$T75),$W75,IF(AND($S75&lt;&gt;"",EDATE($D75,Milestones!$AA$102)&gt;=$S75),$V75,$U75)))=Milestones!$AB$102),UPPER(TEXT(EDATE($D75,Milestones!$AA$102),"dd mmm yy"))&amp;" "&amp;Milestones!$AB$102&amp;" "&amp;Milestones!$AC$102&amp;";  ","")&amp;IF(AND(EDATE($D75,Milestones!$AA$103)&lt;=AsOfDate,IF($R75=0,$X75,IF(AND($T75&lt;&gt;"",EDATE($D75,Milestones!$AA$103)&gt;=$T75),$W75,IF(AND($S75&lt;&gt;"",EDATE($D75,Milestones!$AA$103)&gt;=$S75),$V75,$U75)))=Milestones!$AB$103),UPPER(TEXT(EDATE($D75,Milestones!$AA$103),"dd mmm yy"))&amp;" "&amp;Milestones!$AB$103&amp;" "&amp;Milestones!$AC$103&amp;";  ","")&amp;IF(AND(EDATE($D75,Milestones!$AA$104)&lt;=AsOfDate,IF($R75=0,$X75,IF(AND($T75&lt;&gt;"",EDATE($D75,Milestones!$AA$104)&gt;=$T75),$W75,IF(AND($S75&lt;&gt;"",EDATE($D75,Milestones!$AA$104)&gt;=$S75),$V75,$U75)))=Milestones!$AB$104),UPPER(TEXT(EDATE($D75,Milestones!$AA$104),"dd mmm yy"))&amp;" "&amp;Milestones!$AB$104&amp;" "&amp;Milestones!$AC$104&amp;";  ","")&amp;IF(AND(EDATE($D75,Milestones!$AA$105)&lt;=AsOfDate,IF($R75=0,$X75,IF(AND($T75&lt;&gt;"",EDATE($D75,Milestones!$AA$105)&gt;=$T75),$W75,IF(AND($S75&lt;&gt;"",EDATE($D75,Milestones!$AA$105)&gt;=$S75),$V75,$U75)))=Milestones!$AB$105),UPPER(TEXT(EDATE($D75,Milestones!$AA$105),"dd mmm yy"))&amp;" "&amp;Milestones!$AB$105&amp;" "&amp;Milestones!$AC$105&amp;";  ","")&amp;IF(AND(EDATE($D75,Milestones!$AA$106)&lt;=AsOfDate,IF($R75=0,$X75,IF(AND($T75&lt;&gt;"",EDATE($D75,Milestones!$AA$106)&gt;=$T75),$W75,IF(AND($S75&lt;&gt;"",EDATE($D75,Milestones!$AA$106)&gt;=$S75),$V75,$U75)))=Milestones!$AB$106),UPPER(TEXT(EDATE($D75,Milestones!$AA$106),"dd mmm yy"))&amp;" "&amp;Milestones!$AB$106&amp;" "&amp;Milestones!$AC$106&amp;";  ","")&amp;IF(AND(EDATE($D75,Milestones!$AA$107)&lt;=AsOfDate,IF($R75=0,$X75,IF(AND($T75&lt;&gt;"",EDATE($D75,Milestones!$AA$107)&gt;=$T75),$W75,IF(AND($S75&lt;&gt;"",EDATE($D75,Milestones!$AA$107)&gt;=$S75),$V75,$U75)))=Milestones!$AB$107),UPPER(TEXT(EDATE($D75,Milestones!$AA$107),"dd mmm yy"))&amp;" "&amp;Milestones!$AB$107&amp;" "&amp;Milestones!$AC$107&amp;";  ","")&amp;IF(AND(EDATE($D75,Milestones!$AA$108)&lt;=AsOfDate,IF($R75=0,$X75,IF(AND($T75&lt;&gt;"",EDATE($D75,Milestones!$AA$108)&gt;=$T75),$W75,IF(AND($S75&lt;&gt;"",EDATE($D75,Milestones!$AA$108)&gt;=$S75),$V75,$U75)))=Milestones!$AB$108),UPPER(TEXT(EDATE($D75,Milestones!$AA$108),"dd mmm yy"))&amp;" "&amp;Milestones!$AB$108&amp;" "&amp;Milestones!$AC$108&amp;";  ","")&amp;IF(AND(EDATE($D75,Milestones!$AA$109)&lt;=AsOfDate,IF($R75=0,$X75,IF(AND($T75&lt;&gt;"",EDATE($D75,Milestones!$AA$109)&gt;=$T75),$W75,IF(AND($S75&lt;&gt;"",EDATE($D75,Milestones!$AA$109)&gt;=$S75),$V75,$U75)))=Milestones!$AB$109),UPPER(TEXT(EDATE($D75,Milestones!$AA$109),"dd mmm yy"))&amp;" "&amp;Milestones!$AB$109&amp;" "&amp;Milestones!$AC$109&amp;";  ","")&amp;IF(AND(EDATE($D75,Milestones!$AA$110)&lt;=AsOfDate,IF($R75=0,$X75,IF(AND($T75&lt;&gt;"",EDATE($D75,Milestones!$AA$110)&gt;=$T75),$W75,IF(AND($S75&lt;&gt;"",EDATE($D75,Milestones!$AA$110)&gt;=$S75),$V75,$U75)))=Milestones!$AB$110),UPPER(TEXT(EDATE($D75,Milestones!$AA$110),"dd mmm yy"))&amp;" "&amp;Milestones!$AB$110&amp;" "&amp;Milestones!$AC$110&amp;";  ","")&amp;IF(AND(EDATE($D75,Milestones!$AA$111)&lt;=AsOfDate,IF($R75=0,$X75,IF(AND($T75&lt;&gt;"",EDATE($D75,Milestones!$AA$111)&gt;=$T75),$W75,IF(AND($S75&lt;&gt;"",EDATE($D75,Milestones!$AA$111)&gt;=$S75),$V75,$U75)))=Milestones!$AB$111),UPPER(TEXT(EDATE($D75,Milestones!$AA$111),"dd mmm yy"))&amp;" "&amp;Milestones!$AB$111&amp;" "&amp;Milestones!$AC$111&amp;";  ","")&amp;IF(AND(EDATE($D75,Milestones!$AA$112)&lt;=AsOfDate,IF($R75=0,$X75,IF(AND($T75&lt;&gt;"",EDATE($D75,Milestones!$AA$112)&gt;=$T75),$W75,IF(AND($S75&lt;&gt;"",EDATE($D75,Milestones!$AA$112)&gt;=$S75),$V75,$U75)))=Milestones!$AB$112),UPPER(TEXT(EDATE($D75,Milestones!$AA$112),"dd mmm yy"))&amp;" "&amp;Milestones!$AB$112&amp;" "&amp;Milestones!$AC$112&amp;";  ","")&amp;IF(AND(EDATE($D75,Milestones!$AA$113)&lt;=AsOfDate,IF($R75=0,$X75,IF(AND($T75&lt;&gt;"",EDATE($D75,Milestones!$AA$113)&gt;=$T75),$W75,IF(AND($S75&lt;&gt;"",EDATE($D75,Milestones!$AA$113)&gt;=$S75),$V75,$U75)))=Milestones!$AB$113),UPPER(TEXT(EDATE($D75,Milestones!$AA$113),"dd mmm yy"))&amp;" "&amp;Milestones!$AB$113&amp;" "&amp;Milestones!$AC$113&amp;";  ","")&amp;IF(AND(EDATE($D75,Milestones!$AA$114)&lt;=AsOfDate,IF($R75=0,$X75,IF(AND($T75&lt;&gt;"",EDATE($D75,Milestones!$AA$114)&gt;=$T75),$W75,IF(AND($S75&lt;&gt;"",EDATE($D75,Milestones!$AA$114)&gt;=$S75),$V75,$U75)))=Milestones!$AB$114),UPPER(TEXT(EDATE($D75,Milestones!$AA$114),"dd mmm yy"))&amp;" "&amp;Milestones!$AB$114&amp;" "&amp;Milestones!$AC$114&amp;";  ","")&amp;IF(AND(EDATE($D75,Milestones!$AA$115)&lt;=AsOfDate,IF($R75=0,$X75,IF(AND($T75&lt;&gt;"",EDATE($D75,Milestones!$AA$115)&gt;=$T75),$W75,IF(AND($S75&lt;&gt;"",EDATE($D75,Milestones!$AA$115)&gt;=$S75),$V75,$U75)))=Milestones!$AB$115),UPPER(TEXT(EDATE($D75,Milestones!$AA$115),"dd mmm yy"))&amp;" "&amp;Milestones!$AB$115&amp;" "&amp;Milestones!$AC$115&amp;";  ","")&amp;IF(AND(EDATE($D75,Milestones!$AA$116)&lt;=AsOfDate,IF($R75=0,$X75,IF(AND($T75&lt;&gt;"",EDATE($D75,Milestones!$AA$116)&gt;=$T75),$W75,IF(AND($S75&lt;&gt;"",EDATE($D75,Milestones!$AA$116)&gt;=$S75),$V75,$U75)))=Milestones!$AB$116),UPPER(TEXT(EDATE($D75,Milestones!$AA$116),"dd mmm yy"))&amp;" "&amp;Milestones!$AB$116&amp;" "&amp;Milestones!$AC$116&amp;";  ","")&amp;IF(AND(EDATE($D75,Milestones!$AA$117)&lt;=AsOfDate,IF($R75=0,$X75,IF(AND($T75&lt;&gt;"",EDATE($D75,Milestones!$AA$117)&gt;=$T75),$W75,IF(AND($S75&lt;&gt;"",EDATE($D75,Milestones!$AA$117)&gt;=$S75),$V75,$U75)))=Milestones!$AB$117),UPPER(TEXT(EDATE($D75,Milestones!$AA$117),"dd mmm yy"))&amp;" "&amp;Milestones!$AB$117&amp;" "&amp;Milestones!$AC$117&amp;";  ","")&amp;IF(AND(EDATE($D75,Milestones!$AA$118)&lt;=AsOfDate,IF($R75=0,$X75,IF(AND($T75&lt;&gt;"",EDATE($D75,Milestones!$AA$118)&gt;=$T75),$W75,IF(AND($S75&lt;&gt;"",EDATE($D75,Milestones!$AA$118)&gt;=$S75),$V75,$U75)))=Milestones!$AB$118),UPPER(TEXT(EDATE($D75,Milestones!$AA$118),"dd mmm yy"))&amp;" "&amp;Milestones!$AB$118&amp;" "&amp;Milestones!$AC$118&amp;";  ","")&amp;IF(AND(EDATE($D75,Milestones!$AA$119)&lt;=AsOfDate,IF($R75=0,$X75,IF(AND($T75&lt;&gt;"",EDATE($D75,Milestones!$AA$119)&gt;=$T75),$W75,IF(AND($S75&lt;&gt;"",EDATE($D75,Milestones!$AA$119)&gt;=$S75),$V75,$U75)))=Milestones!$AB$119),UPPER(TEXT(EDATE($D75,Milestones!$AA$119),"dd mmm yy"))&amp;" "&amp;Milestones!$AB$119&amp;" "&amp;Milestones!$AC$119&amp;";  ",""))</f>
        <v/>
      </c>
      <c r="N75" s="0" t="str">
        <f aca="false">IF(OR($A75="",$D75=""),"",IF(AND(EDATE($D75,Milestones!$AA$120)&lt;=AsOfDate,IF($R75=0,$X75,IF(AND($T75&lt;&gt;"",EDATE($D75,Milestones!$AA$120)&gt;=$T75),$W75,IF(AND($S75&lt;&gt;"",EDATE($D75,Milestones!$AA$120)&gt;=$S75),$V75,$U75)))=Milestones!$AB$120),UPPER(TEXT(EDATE($D75,Milestones!$AA$120),"dd mmm yy"))&amp;" "&amp;Milestones!$AB$120&amp;" "&amp;Milestones!$AC$120&amp;";  ","")&amp;IF(AND(EDATE($D75,Milestones!$AA$121)&lt;=AsOfDate,IF($R75=0,$X75,IF(AND($T75&lt;&gt;"",EDATE($D75,Milestones!$AA$121)&gt;=$T75),$W75,IF(AND($S75&lt;&gt;"",EDATE($D75,Milestones!$AA$121)&gt;=$S75),$V75,$U75)))=Milestones!$AB$121),UPPER(TEXT(EDATE($D75,Milestones!$AA$121),"dd mmm yy"))&amp;" "&amp;Milestones!$AB$121&amp;" "&amp;Milestones!$AC$121&amp;";  ","")&amp;IF(AND(EDATE($D75,Milestones!$AA$122)&lt;=AsOfDate,IF($R75=0,$X75,IF(AND($T75&lt;&gt;"",EDATE($D75,Milestones!$AA$122)&gt;=$T75),$W75,IF(AND($S75&lt;&gt;"",EDATE($D75,Milestones!$AA$122)&gt;=$S75),$V75,$U75)))=Milestones!$AB$122),UPPER(TEXT(EDATE($D75,Milestones!$AA$122),"dd mmm yy"))&amp;" "&amp;Milestones!$AB$122&amp;" "&amp;Milestones!$AC$122&amp;";  ","")&amp;IF(AND(EDATE($D75,Milestones!$AA$123)&lt;=AsOfDate,IF($R75=0,$X75,IF(AND($T75&lt;&gt;"",EDATE($D75,Milestones!$AA$123)&gt;=$T75),$W75,IF(AND($S75&lt;&gt;"",EDATE($D75,Milestones!$AA$123)&gt;=$S75),$V75,$U75)))=Milestones!$AB$123),UPPER(TEXT(EDATE($D75,Milestones!$AA$123),"dd mmm yy"))&amp;" "&amp;Milestones!$AB$123&amp;" "&amp;Milestones!$AC$123&amp;";  ","")&amp;IF(AND(EDATE($D75,Milestones!$AA$124)&lt;=AsOfDate,IF($R75=0,$X75,IF(AND($T75&lt;&gt;"",EDATE($D75,Milestones!$AA$124)&gt;=$T75),$W75,IF(AND($S75&lt;&gt;"",EDATE($D75,Milestones!$AA$124)&gt;=$S75),$V75,$U75)))=Milestones!$AB$124),UPPER(TEXT(EDATE($D75,Milestones!$AA$124),"dd mmm yy"))&amp;" "&amp;Milestones!$AB$124&amp;" "&amp;Milestones!$AC$124&amp;";  ","")&amp;IF(AND(EDATE($D75,Milestones!$AA$125)&lt;=AsOfDate,IF($R75=0,$X75,IF(AND($T75&lt;&gt;"",EDATE($D75,Milestones!$AA$125)&gt;=$T75),$W75,IF(AND($S75&lt;&gt;"",EDATE($D75,Milestones!$AA$125)&gt;=$S75),$V75,$U75)))=Milestones!$AB$125),UPPER(TEXT(EDATE($D75,Milestones!$AA$125),"dd mmm yy"))&amp;" "&amp;Milestones!$AB$125&amp;" "&amp;Milestones!$AC$125&amp;";  ","")&amp;IF(AND(EDATE($D75,Milestones!$AA$126)&lt;=AsOfDate,IF($R75=0,$X75,IF(AND($T75&lt;&gt;"",EDATE($D75,Milestones!$AA$126)&gt;=$T75),$W75,IF(AND($S75&lt;&gt;"",EDATE($D75,Milestones!$AA$126)&gt;=$S75),$V75,$U75)))=Milestones!$AB$126),UPPER(TEXT(EDATE($D75,Milestones!$AA$126),"dd mmm yy"))&amp;" "&amp;Milestones!$AB$126&amp;" "&amp;Milestones!$AC$126&amp;";  ","")&amp;IF(AND(EDATE($D75,Milestones!$AA$127)&lt;=AsOfDate,IF($R75=0,$X75,IF(AND($T75&lt;&gt;"",EDATE($D75,Milestones!$AA$127)&gt;=$T75),$W75,IF(AND($S75&lt;&gt;"",EDATE($D75,Milestones!$AA$127)&gt;=$S75),$V75,$U75)))=Milestones!$AB$127),UPPER(TEXT(EDATE($D75,Milestones!$AA$127),"dd mmm yy"))&amp;" "&amp;Milestones!$AB$127&amp;" "&amp;Milestones!$AC$127&amp;";  ","")&amp;IF(AND(EDATE($D75,Milestones!$AA$128)&lt;=AsOfDate,IF($R75=0,$X75,IF(AND($T75&lt;&gt;"",EDATE($D75,Milestones!$AA$128)&gt;=$T75),$W75,IF(AND($S75&lt;&gt;"",EDATE($D75,Milestones!$AA$128)&gt;=$S75),$V75,$U75)))=Milestones!$AB$128),UPPER(TEXT(EDATE($D75,Milestones!$AA$128),"dd mmm yy"))&amp;" "&amp;Milestones!$AB$128&amp;" "&amp;Milestones!$AC$128&amp;";  ","")&amp;IF(AND(EDATE($D75,Milestones!$AA$129)&lt;=AsOfDate,IF($R75=0,$X75,IF(AND($T75&lt;&gt;"",EDATE($D75,Milestones!$AA$129)&gt;=$T75),$W75,IF(AND($S75&lt;&gt;"",EDATE($D75,Milestones!$AA$129)&gt;=$S75),$V75,$U75)))=Milestones!$AB$129),UPPER(TEXT(EDATE($D75,Milestones!$AA$129),"dd mmm yy"))&amp;" "&amp;Milestones!$AB$129&amp;" "&amp;Milestones!$AC$129&amp;";  ","")&amp;IF(AND(EDATE($D75,Milestones!$AA$130)&lt;=AsOfDate,IF($R75=0,$X75,IF(AND($T75&lt;&gt;"",EDATE($D75,Milestones!$AA$130)&gt;=$T75),$W75,IF(AND($S75&lt;&gt;"",EDATE($D75,Milestones!$AA$130)&gt;=$S75),$V75,$U75)))=Milestones!$AB$130),UPPER(TEXT(EDATE($D75,Milestones!$AA$130),"dd mmm yy"))&amp;" "&amp;Milestones!$AB$130&amp;" "&amp;Milestones!$AC$130&amp;";  ","")&amp;IF(AND(EDATE($D75,Milestones!$AA$131)&lt;=AsOfDate,IF($R75=0,$X75,IF(AND($T75&lt;&gt;"",EDATE($D75,Milestones!$AA$131)&gt;=$T75),$W75,IF(AND($S75&lt;&gt;"",EDATE($D75,Milestones!$AA$131)&gt;=$S75),$V75,$U75)))=Milestones!$AB$131),UPPER(TEXT(EDATE($D75,Milestones!$AA$131),"dd mmm yy"))&amp;" "&amp;Milestones!$AB$131&amp;" "&amp;Milestones!$AC$131&amp;";  ","")&amp;IF(AND(EDATE($D75,Milestones!$AA$132)&lt;=AsOfDate,IF($R75=0,$X75,IF(AND($T75&lt;&gt;"",EDATE($D75,Milestones!$AA$132)&gt;=$T75),$W75,IF(AND($S75&lt;&gt;"",EDATE($D75,Milestones!$AA$132)&gt;=$S75),$V75,$U75)))=Milestones!$AB$132),UPPER(TEXT(EDATE($D75,Milestones!$AA$132),"dd mmm yy"))&amp;" "&amp;Milestones!$AB$132&amp;" "&amp;Milestones!$AC$132&amp;";  ","")&amp;IF(AND(EDATE($D75,Milestones!$AA$133)&lt;=AsOfDate,IF($R75=0,$X75,IF(AND($T75&lt;&gt;"",EDATE($D75,Milestones!$AA$133)&gt;=$T75),$W75,IF(AND($S75&lt;&gt;"",EDATE($D75,Milestones!$AA$133)&gt;=$S75),$V75,$U75)))=Milestones!$AB$133),UPPER(TEXT(EDATE($D75,Milestones!$AA$133),"dd mmm yy"))&amp;" "&amp;Milestones!$AB$133&amp;" "&amp;Milestones!$AC$133&amp;";  ","")&amp;IF(AND(EDATE($D75,Milestones!$AA$134)&lt;=AsOfDate,IF($R75=0,$X75,IF(AND($T75&lt;&gt;"",EDATE($D75,Milestones!$AA$134)&gt;=$T75),$W75,IF(AND($S75&lt;&gt;"",EDATE($D75,Milestones!$AA$134)&gt;=$S75),$V75,$U75)))=Milestones!$AB$134),UPPER(TEXT(EDATE($D75,Milestones!$AA$134),"dd mmm yy"))&amp;" "&amp;Milestones!$AB$134&amp;" "&amp;Milestones!$AC$134&amp;";  ","")&amp;IF(AND(EDATE($D75,Milestones!$AA$135)&lt;=AsOfDate,IF($R75=0,$X75,IF(AND($T75&lt;&gt;"",EDATE($D75,Milestones!$AA$135)&gt;=$T75),$W75,IF(AND($S75&lt;&gt;"",EDATE($D75,Milestones!$AA$135)&gt;=$S75),$V75,$U75)))=Milestones!$AB$135),UPPER(TEXT(EDATE($D75,Milestones!$AA$135),"dd mmm yy"))&amp;" "&amp;Milestones!$AB$135&amp;" "&amp;Milestones!$AC$135&amp;";  ","")&amp;IF(AND(EDATE($D75,Milestones!$AA$136)&lt;=AsOfDate,IF($R75=0,$X75,IF(AND($T75&lt;&gt;"",EDATE($D75,Milestones!$AA$136)&gt;=$T75),$W75,IF(AND($S75&lt;&gt;"",EDATE($D75,Milestones!$AA$136)&gt;=$S75),$V75,$U75)))=Milestones!$AB$136),UPPER(TEXT(EDATE($D75,Milestones!$AA$136),"dd mmm yy"))&amp;" "&amp;Milestones!$AB$136&amp;" "&amp;Milestones!$AC$136&amp;";  ","")&amp;IF(AND(EDATE($D75,Milestones!$AA$137)&lt;=AsOfDate,IF($R75=0,$X75,IF(AND($T75&lt;&gt;"",EDATE($D75,Milestones!$AA$137)&gt;=$T75),$W75,IF(AND($S75&lt;&gt;"",EDATE($D75,Milestones!$AA$137)&gt;=$S75),$V75,$U75)))=Milestones!$AB$137),UPPER(TEXT(EDATE($D75,Milestones!$AA$137),"dd mmm yy"))&amp;" "&amp;Milestones!$AB$137&amp;" "&amp;Milestones!$AC$137&amp;";  ","")&amp;IF(AND(EDATE($D75,Milestones!$AA$138)&lt;=AsOfDate,IF($R75=0,$X75,IF(AND($T75&lt;&gt;"",EDATE($D75,Milestones!$AA$138)&gt;=$T75),$W75,IF(AND($S75&lt;&gt;"",EDATE($D75,Milestones!$AA$138)&gt;=$S75),$V75,$U75)))=Milestones!$AB$138),UPPER(TEXT(EDATE($D75,Milestones!$AA$138),"dd mmm yy"))&amp;" "&amp;Milestones!$AB$138&amp;" "&amp;Milestones!$AC$138&amp;";  ","")&amp;IF(AND(EDATE($D75,Milestones!$AA$139)&lt;=AsOfDate,IF($R75=0,$X75,IF(AND($T75&lt;&gt;"",EDATE($D75,Milestones!$AA$139)&gt;=$T75),$W75,IF(AND($S75&lt;&gt;"",EDATE($D75,Milestones!$AA$139)&gt;=$S75),$V75,$U75)))=Milestones!$AB$139),UPPER(TEXT(EDATE($D75,Milestones!$AA$139),"dd mmm yy"))&amp;" "&amp;Milestones!$AB$139&amp;" "&amp;Milestones!$AC$139&amp;";  ",""))</f>
        <v/>
      </c>
      <c r="O75" s="0" t="str">
        <f aca="false">IF(OR($A75="",$D75=""),"",IF(AND(EDATE($D75,Milestones!$AA$140)&lt;=AsOfDate,IF($R75=0,$X75,IF(AND($T75&lt;&gt;"",EDATE($D75,Milestones!$AA$140)&gt;=$T75),$W75,IF(AND($S75&lt;&gt;"",EDATE($D75,Milestones!$AA$140)&gt;=$S75),$V75,$U75)))=Milestones!$AB$140),UPPER(TEXT(EDATE($D75,Milestones!$AA$140),"dd mmm yy"))&amp;" "&amp;Milestones!$AB$140&amp;" "&amp;Milestones!$AC$140&amp;";  ","")&amp;IF(AND(EDATE($D75,Milestones!$AA$141)&lt;=AsOfDate,IF($R75=0,$X75,IF(AND($T75&lt;&gt;"",EDATE($D75,Milestones!$AA$141)&gt;=$T75),$W75,IF(AND($S75&lt;&gt;"",EDATE($D75,Milestones!$AA$141)&gt;=$S75),$V75,$U75)))=Milestones!$AB$141),UPPER(TEXT(EDATE($D75,Milestones!$AA$141),"dd mmm yy"))&amp;" "&amp;Milestones!$AB$141&amp;" "&amp;Milestones!$AC$141&amp;";  ","")&amp;IF(AND(EDATE($D75,Milestones!$AA$142)&lt;=AsOfDate,IF($R75=0,$X75,IF(AND($T75&lt;&gt;"",EDATE($D75,Milestones!$AA$142)&gt;=$T75),$W75,IF(AND($S75&lt;&gt;"",EDATE($D75,Milestones!$AA$142)&gt;=$S75),$V75,$U75)))=Milestones!$AB$142),UPPER(TEXT(EDATE($D75,Milestones!$AA$142),"dd mmm yy"))&amp;" "&amp;Milestones!$AB$142&amp;" "&amp;Milestones!$AC$142&amp;";  ","")&amp;IF(AND(EDATE($D75,Milestones!$AA$143)&lt;=AsOfDate,IF($R75=0,$X75,IF(AND($T75&lt;&gt;"",EDATE($D75,Milestones!$AA$143)&gt;=$T75),$W75,IF(AND($S75&lt;&gt;"",EDATE($D75,Milestones!$AA$143)&gt;=$S75),$V75,$U75)))=Milestones!$AB$143),UPPER(TEXT(EDATE($D75,Milestones!$AA$143),"dd mmm yy"))&amp;" "&amp;Milestones!$AB$143&amp;" "&amp;Milestones!$AC$143&amp;";  ","")&amp;IF(AND(EDATE($D75,Milestones!$AA$144)&lt;=AsOfDate,IF($R75=0,$X75,IF(AND($T75&lt;&gt;"",EDATE($D75,Milestones!$AA$144)&gt;=$T75),$W75,IF(AND($S75&lt;&gt;"",EDATE($D75,Milestones!$AA$144)&gt;=$S75),$V75,$U75)))=Milestones!$AB$144),UPPER(TEXT(EDATE($D75,Milestones!$AA$144),"dd mmm yy"))&amp;" "&amp;Milestones!$AB$144&amp;" "&amp;Milestones!$AC$144&amp;";  ","")&amp;IF(AND(EDATE($D75,Milestones!$AA$145)&lt;=AsOfDate,IF($R75=0,$X75,IF(AND($T75&lt;&gt;"",EDATE($D75,Milestones!$AA$145)&gt;=$T75),$W75,IF(AND($S75&lt;&gt;"",EDATE($D75,Milestones!$AA$145)&gt;=$S75),$V75,$U75)))=Milestones!$AB$145),UPPER(TEXT(EDATE($D75,Milestones!$AA$145),"dd mmm yy"))&amp;" "&amp;Milestones!$AB$145&amp;" "&amp;Milestones!$AC$145&amp;";  ","")&amp;IF(AND(EDATE($D75,Milestones!$AA$146)&lt;=AsOfDate,IF($R75=0,$X75,IF(AND($T75&lt;&gt;"",EDATE($D75,Milestones!$AA$146)&gt;=$T75),$W75,IF(AND($S75&lt;&gt;"",EDATE($D75,Milestones!$AA$146)&gt;=$S75),$V75,$U75)))=Milestones!$AB$146),UPPER(TEXT(EDATE($D75,Milestones!$AA$146),"dd mmm yy"))&amp;" "&amp;Milestones!$AB$146&amp;" "&amp;Milestones!$AC$146&amp;";  ","")&amp;IF(AND(EDATE($D75,Milestones!$AA$147)&lt;=AsOfDate,IF($R75=0,$X75,IF(AND($T75&lt;&gt;"",EDATE($D75,Milestones!$AA$147)&gt;=$T75),$W75,IF(AND($S75&lt;&gt;"",EDATE($D75,Milestones!$AA$147)&gt;=$S75),$V75,$U75)))=Milestones!$AB$147),UPPER(TEXT(EDATE($D75,Milestones!$AA$147),"dd mmm yy"))&amp;" "&amp;Milestones!$AB$147&amp;" "&amp;Milestones!$AC$147&amp;";  ","")&amp;IF(AND(EDATE($D75,Milestones!$AA$148)&lt;=AsOfDate,IF($R75=0,$X75,IF(AND($T75&lt;&gt;"",EDATE($D75,Milestones!$AA$148)&gt;=$T75),$W75,IF(AND($S75&lt;&gt;"",EDATE($D75,Milestones!$AA$148)&gt;=$S75),$V75,$U75)))=Milestones!$AB$148),UPPER(TEXT(EDATE($D75,Milestones!$AA$148),"dd mmm yy"))&amp;" "&amp;Milestones!$AB$148&amp;" "&amp;Milestones!$AC$148&amp;";  ","")&amp;IF(AND(EDATE($D75,Milestones!$AA$149)&lt;=AsOfDate,IF($R75=0,$X75,IF(AND($T75&lt;&gt;"",EDATE($D75,Milestones!$AA$149)&gt;=$T75),$W75,IF(AND($S75&lt;&gt;"",EDATE($D75,Milestones!$AA$149)&gt;=$S75),$V75,$U75)))=Milestones!$AB$149),UPPER(TEXT(EDATE($D75,Milestones!$AA$149),"dd mmm yy"))&amp;" "&amp;Milestones!$AB$149&amp;" "&amp;Milestones!$AC$149&amp;";  ","")&amp;IF(AND(EDATE($D75,Milestones!$AA$150)&lt;=AsOfDate,IF($R75=0,$X75,IF(AND($T75&lt;&gt;"",EDATE($D75,Milestones!$AA$150)&gt;=$T75),$W75,IF(AND($S75&lt;&gt;"",EDATE($D75,Milestones!$AA$150)&gt;=$S75),$V75,$U75)))=Milestones!$AB$150),UPPER(TEXT(EDATE($D75,Milestones!$AA$150),"dd mmm yy"))&amp;" "&amp;Milestones!$AB$150&amp;" "&amp;Milestones!$AC$150&amp;";  ","")&amp;IF(AND(EDATE($D75,Milestones!$AA$151)&lt;=AsOfDate,IF($R75=0,$X75,IF(AND($T75&lt;&gt;"",EDATE($D75,Milestones!$AA$151)&gt;=$T75),$W75,IF(AND($S75&lt;&gt;"",EDATE($D75,Milestones!$AA$151)&gt;=$S75),$V75,$U75)))=Milestones!$AB$151),UPPER(TEXT(EDATE($D75,Milestones!$AA$151),"dd mmm yy"))&amp;" "&amp;Milestones!$AB$151&amp;" "&amp;Milestones!$AC$151&amp;";  ","")&amp;IF(AND(EDATE($D75,Milestones!$AA$152)&lt;=AsOfDate,IF($R75=0,$X75,IF(AND($T75&lt;&gt;"",EDATE($D75,Milestones!$AA$152)&gt;=$T75),$W75,IF(AND($S75&lt;&gt;"",EDATE($D75,Milestones!$AA$152)&gt;=$S75),$V75,$U75)))=Milestones!$AB$152),UPPER(TEXT(EDATE($D75,Milestones!$AA$152),"dd mmm yy"))&amp;" "&amp;Milestones!$AB$152&amp;" "&amp;Milestones!$AC$152&amp;";  ","")&amp;IF(AND(EDATE($D75,Milestones!$AA$153)&lt;=AsOfDate,IF($R75=0,$X75,IF(AND($T75&lt;&gt;"",EDATE($D75,Milestones!$AA$153)&gt;=$T75),$W75,IF(AND($S75&lt;&gt;"",EDATE($D75,Milestones!$AA$153)&gt;=$S75),$V75,$U75)))=Milestones!$AB$153),UPPER(TEXT(EDATE($D75,Milestones!$AA$153),"dd mmm yy"))&amp;" "&amp;Milestones!$AB$153&amp;" "&amp;Milestones!$AC$153&amp;";  ","")&amp;IF(AND(EDATE($D75,Milestones!$AA$154)&lt;=AsOfDate,IF($R75=0,$X75,IF(AND($T75&lt;&gt;"",EDATE($D75,Milestones!$AA$154)&gt;=$T75),$W75,IF(AND($S75&lt;&gt;"",EDATE($D75,Milestones!$AA$154)&gt;=$S75),$V75,$U75)))=Milestones!$AB$154),UPPER(TEXT(EDATE($D75,Milestones!$AA$154),"dd mmm yy"))&amp;" "&amp;Milestones!$AB$154&amp;" "&amp;Milestones!$AC$154&amp;";  ","")&amp;IF(AND(EDATE($D75,Milestones!$AA$155)&lt;=AsOfDate,IF($R75=0,$X75,IF(AND($T75&lt;&gt;"",EDATE($D75,Milestones!$AA$155)&gt;=$T75),$W75,IF(AND($S75&lt;&gt;"",EDATE($D75,Milestones!$AA$155)&gt;=$S75),$V75,$U75)))=Milestones!$AB$155),UPPER(TEXT(EDATE($D75,Milestones!$AA$155),"dd mmm yy"))&amp;" "&amp;Milestones!$AB$155&amp;" "&amp;Milestones!$AC$155&amp;";  ","")&amp;IF(AND(EDATE($D75,Milestones!$AA$156)&lt;=AsOfDate,IF($R75=0,$X75,IF(AND($T75&lt;&gt;"",EDATE($D75,Milestones!$AA$156)&gt;=$T75),$W75,IF(AND($S75&lt;&gt;"",EDATE($D75,Milestones!$AA$156)&gt;=$S75),$V75,$U75)))=Milestones!$AB$156),UPPER(TEXT(EDATE($D75,Milestones!$AA$156),"dd mmm yy"))&amp;" "&amp;Milestones!$AB$156&amp;" "&amp;Milestones!$AC$156&amp;";  ","")&amp;IF(AND(EDATE($D75,Milestones!$AA$157)&lt;=AsOfDate,IF($R75=0,$X75,IF(AND($T75&lt;&gt;"",EDATE($D75,Milestones!$AA$157)&gt;=$T75),$W75,IF(AND($S75&lt;&gt;"",EDATE($D75,Milestones!$AA$157)&gt;=$S75),$V75,$U75)))=Milestones!$AB$157),UPPER(TEXT(EDATE($D75,Milestones!$AA$157),"dd mmm yy"))&amp;" "&amp;Milestones!$AB$157&amp;" "&amp;Milestones!$AC$157&amp;";  ","")&amp;IF(AND(EDATE($D75,Milestones!$AA$158)&lt;=AsOfDate,IF($R75=0,$X75,IF(AND($T75&lt;&gt;"",EDATE($D75,Milestones!$AA$158)&gt;=$T75),$W75,IF(AND($S75&lt;&gt;"",EDATE($D75,Milestones!$AA$158)&gt;=$S75),$V75,$U75)))=Milestones!$AB$158),UPPER(TEXT(EDATE($D75,Milestones!$AA$158),"dd mmm yy"))&amp;" "&amp;Milestones!$AB$158&amp;" "&amp;Milestones!$AC$158&amp;";  ","")&amp;IF(AND(EDATE($D75,Milestones!$AA$159)&lt;=AsOfDate,IF($R75=0,$X75,IF(AND($T75&lt;&gt;"",EDATE($D75,Milestones!$AA$159)&gt;=$T75),$W75,IF(AND($S75&lt;&gt;"",EDATE($D75,Milestones!$AA$159)&gt;=$S75),$V75,$U75)))=Milestones!$AB$159),UPPER(TEXT(EDATE($D75,Milestones!$AA$159),"dd mmm yy"))&amp;" "&amp;Milestones!$AB$159&amp;" "&amp;Milestones!$AC$159&amp;";  ",""))</f>
        <v/>
      </c>
      <c r="P75" s="0" t="str">
        <f aca="false">IF(OR($A75="",$D75=""),"",IF(AND(EDATE($D75,Milestones!$AA$160)&lt;=AsOfDate,IF($R75=0,$X75,IF(AND($T75&lt;&gt;"",EDATE($D75,Milestones!$AA$160)&gt;=$T75),$W75,IF(AND($S75&lt;&gt;"",EDATE($D75,Milestones!$AA$160)&gt;=$S75),$V75,$U75)))=Milestones!$AB$160),UPPER(TEXT(EDATE($D75,Milestones!$AA$160),"dd mmm yy"))&amp;" "&amp;Milestones!$AB$160&amp;" "&amp;Milestones!$AC$160&amp;";  ","")&amp;IF(AND(EDATE($D75,Milestones!$AA$161)&lt;=AsOfDate,IF($R75=0,$X75,IF(AND($T75&lt;&gt;"",EDATE($D75,Milestones!$AA$161)&gt;=$T75),$W75,IF(AND($S75&lt;&gt;"",EDATE($D75,Milestones!$AA$161)&gt;=$S75),$V75,$U75)))=Milestones!$AB$161),UPPER(TEXT(EDATE($D75,Milestones!$AA$161),"dd mmm yy"))&amp;" "&amp;Milestones!$AB$161&amp;" "&amp;Milestones!$AC$161&amp;";  ","")&amp;IF(AND(EDATE($D75,Milestones!$AA$162)&lt;=AsOfDate,IF($R75=0,$X75,IF(AND($T75&lt;&gt;"",EDATE($D75,Milestones!$AA$162)&gt;=$T75),$W75,IF(AND($S75&lt;&gt;"",EDATE($D75,Milestones!$AA$162)&gt;=$S75),$V75,$U75)))=Milestones!$AB$162),UPPER(TEXT(EDATE($D75,Milestones!$AA$162),"dd mmm yy"))&amp;" "&amp;Milestones!$AB$162&amp;" "&amp;Milestones!$AC$162&amp;";  ","")&amp;IF(AND(EDATE($D75,Milestones!$AA$163)&lt;=AsOfDate,IF($R75=0,$X75,IF(AND($T75&lt;&gt;"",EDATE($D75,Milestones!$AA$163)&gt;=$T75),$W75,IF(AND($S75&lt;&gt;"",EDATE($D75,Milestones!$AA$163)&gt;=$S75),$V75,$U75)))=Milestones!$AB$163),UPPER(TEXT(EDATE($D75,Milestones!$AA$163),"dd mmm yy"))&amp;" "&amp;Milestones!$AB$163&amp;" "&amp;Milestones!$AC$163&amp;";  ","")&amp;IF(AND(EDATE($D75,Milestones!$AA$164)&lt;=AsOfDate,IF($R75=0,$X75,IF(AND($T75&lt;&gt;"",EDATE($D75,Milestones!$AA$164)&gt;=$T75),$W75,IF(AND($S75&lt;&gt;"",EDATE($D75,Milestones!$AA$164)&gt;=$S75),$V75,$U75)))=Milestones!$AB$164),UPPER(TEXT(EDATE($D75,Milestones!$AA$164),"dd mmm yy"))&amp;" "&amp;Milestones!$AB$164&amp;" "&amp;Milestones!$AC$164&amp;";  ","")&amp;IF(AND(EDATE($D75,Milestones!$AA$165)&lt;=AsOfDate,IF($R75=0,$X75,IF(AND($T75&lt;&gt;"",EDATE($D75,Milestones!$AA$165)&gt;=$T75),$W75,IF(AND($S75&lt;&gt;"",EDATE($D75,Milestones!$AA$165)&gt;=$S75),$V75,$U75)))=Milestones!$AB$165),UPPER(TEXT(EDATE($D75,Milestones!$AA$165),"dd mmm yy"))&amp;" "&amp;Milestones!$AB$165&amp;" "&amp;Milestones!$AC$165&amp;";  ","")&amp;IF(AND(EDATE($D75,Milestones!$AA$166)&lt;=AsOfDate,IF($R75=0,$X75,IF(AND($T75&lt;&gt;"",EDATE($D75,Milestones!$AA$166)&gt;=$T75),$W75,IF(AND($S75&lt;&gt;"",EDATE($D75,Milestones!$AA$166)&gt;=$S75),$V75,$U75)))=Milestones!$AB$166),UPPER(TEXT(EDATE($D75,Milestones!$AA$166),"dd mmm yy"))&amp;" "&amp;Milestones!$AB$166&amp;" "&amp;Milestones!$AC$166&amp;";  ","")&amp;IF(AND(EDATE($D75,Milestones!$AA$167)&lt;=AsOfDate,IF($R75=0,$X75,IF(AND($T75&lt;&gt;"",EDATE($D75,Milestones!$AA$167)&gt;=$T75),$W75,IF(AND($S75&lt;&gt;"",EDATE($D75,Milestones!$AA$167)&gt;=$S75),$V75,$U75)))=Milestones!$AB$167),UPPER(TEXT(EDATE($D75,Milestones!$AA$167),"dd mmm yy"))&amp;" "&amp;Milestones!$AB$167&amp;" "&amp;Milestones!$AC$167&amp;";  ","")&amp;IF(AND(EDATE($D75,Milestones!$AA$168)&lt;=AsOfDate,IF($R75=0,$X75,IF(AND($T75&lt;&gt;"",EDATE($D75,Milestones!$AA$168)&gt;=$T75),$W75,IF(AND($S75&lt;&gt;"",EDATE($D75,Milestones!$AA$168)&gt;=$S75),$V75,$U75)))=Milestones!$AB$168),UPPER(TEXT(EDATE($D75,Milestones!$AA$168),"dd mmm yy"))&amp;" "&amp;Milestones!$AB$168&amp;" "&amp;Milestones!$AC$168&amp;";  ","")&amp;IF(AND(EDATE($D75,Milestones!$AA$169)&lt;=AsOfDate,IF($R75=0,$X75,IF(AND($T75&lt;&gt;"",EDATE($D75,Milestones!$AA$169)&gt;=$T75),$W75,IF(AND($S75&lt;&gt;"",EDATE($D75,Milestones!$AA$169)&gt;=$S75),$V75,$U75)))=Milestones!$AB$169),UPPER(TEXT(EDATE($D75,Milestones!$AA$169),"dd mmm yy"))&amp;" "&amp;Milestones!$AB$169&amp;" "&amp;Milestones!$AC$169&amp;";  ","")&amp;IF(AND(EDATE($D75,Milestones!$AA$170)&lt;=AsOfDate,IF($R75=0,$X75,IF(AND($T75&lt;&gt;"",EDATE($D75,Milestones!$AA$170)&gt;=$T75),$W75,IF(AND($S75&lt;&gt;"",EDATE($D75,Milestones!$AA$170)&gt;=$S75),$V75,$U75)))=Milestones!$AB$170),UPPER(TEXT(EDATE($D75,Milestones!$AA$170),"dd mmm yy"))&amp;" "&amp;Milestones!$AB$170&amp;" "&amp;Milestones!$AC$170&amp;";  ","")&amp;IF(AND(EDATE($D75,Milestones!$AA$171)&lt;=AsOfDate,IF($R75=0,$X75,IF(AND($T75&lt;&gt;"",EDATE($D75,Milestones!$AA$171)&gt;=$T75),$W75,IF(AND($S75&lt;&gt;"",EDATE($D75,Milestones!$AA$171)&gt;=$S75),$V75,$U75)))=Milestones!$AB$171),UPPER(TEXT(EDATE($D75,Milestones!$AA$171),"dd mmm yy"))&amp;" "&amp;Milestones!$AB$171&amp;" "&amp;Milestones!$AC$171&amp;";  ","")&amp;IF(AND(EDATE($D75,Milestones!$AA$172)&lt;=AsOfDate,IF($R75=0,$X75,IF(AND($T75&lt;&gt;"",EDATE($D75,Milestones!$AA$172)&gt;=$T75),$W75,IF(AND($S75&lt;&gt;"",EDATE($D75,Milestones!$AA$172)&gt;=$S75),$V75,$U75)))=Milestones!$AB$172),UPPER(TEXT(EDATE($D75,Milestones!$AA$172),"dd mmm yy"))&amp;" "&amp;Milestones!$AB$172&amp;" "&amp;Milestones!$AC$172&amp;";  ","")&amp;IF(AND(EDATE($D75,Milestones!$AA$173)&lt;=AsOfDate,IF($R75=0,$X75,IF(AND($T75&lt;&gt;"",EDATE($D75,Milestones!$AA$173)&gt;=$T75),$W75,IF(AND($S75&lt;&gt;"",EDATE($D75,Milestones!$AA$173)&gt;=$S75),$V75,$U75)))=Milestones!$AB$173),UPPER(TEXT(EDATE($D75,Milestones!$AA$173),"dd mmm yy"))&amp;" "&amp;Milestones!$AB$173&amp;" "&amp;Milestones!$AC$173&amp;";  ","")&amp;IF(AND(EDATE($D75,Milestones!$AA$174)&lt;=AsOfDate,IF($R75=0,$X75,IF(AND($T75&lt;&gt;"",EDATE($D75,Milestones!$AA$174)&gt;=$T75),$W75,IF(AND($S75&lt;&gt;"",EDATE($D75,Milestones!$AA$174)&gt;=$S75),$V75,$U75)))=Milestones!$AB$174),UPPER(TEXT(EDATE($D75,Milestones!$AA$174),"dd mmm yy"))&amp;" "&amp;Milestones!$AB$174&amp;" "&amp;Milestones!$AC$174&amp;";  ","")&amp;IF(AND(EDATE($D75,Milestones!$AA$175)&lt;=AsOfDate,IF($R75=0,$X75,IF(AND($T75&lt;&gt;"",EDATE($D75,Milestones!$AA$175)&gt;=$T75),$W75,IF(AND($S75&lt;&gt;"",EDATE($D75,Milestones!$AA$175)&gt;=$S75),$V75,$U75)))=Milestones!$AB$175),UPPER(TEXT(EDATE($D75,Milestones!$AA$175),"dd mmm yy"))&amp;" "&amp;Milestones!$AB$175&amp;" "&amp;Milestones!$AC$175&amp;";  ","")&amp;IF(AND(EDATE($D75,Milestones!$AA$176)&lt;=AsOfDate,IF($R75=0,$X75,IF(AND($T75&lt;&gt;"",EDATE($D75,Milestones!$AA$176)&gt;=$T75),$W75,IF(AND($S75&lt;&gt;"",EDATE($D75,Milestones!$AA$176)&gt;=$S75),$V75,$U75)))=Milestones!$AB$176),UPPER(TEXT(EDATE($D75,Milestones!$AA$176),"dd mmm yy"))&amp;" "&amp;Milestones!$AB$176&amp;" "&amp;Milestones!$AC$176&amp;";  ","")&amp;IF(AND(EDATE($D75,Milestones!$AA$177)&lt;=AsOfDate,IF($R75=0,$X75,IF(AND($T75&lt;&gt;"",EDATE($D75,Milestones!$AA$177)&gt;=$T75),$W75,IF(AND($S75&lt;&gt;"",EDATE($D75,Milestones!$AA$177)&gt;=$S75),$V75,$U75)))=Milestones!$AB$177),UPPER(TEXT(EDATE($D75,Milestones!$AA$177),"dd mmm yy"))&amp;" "&amp;Milestones!$AB$177&amp;" "&amp;Milestones!$AC$177&amp;";  ","")&amp;IF(AND(EDATE($D75,Milestones!$AA$178)&lt;=AsOfDate,IF($R75=0,$X75,IF(AND($T75&lt;&gt;"",EDATE($D75,Milestones!$AA$178)&gt;=$T75),$W75,IF(AND($S75&lt;&gt;"",EDATE($D75,Milestones!$AA$178)&gt;=$S75),$V75,$U75)))=Milestones!$AB$178),UPPER(TEXT(EDATE($D75,Milestones!$AA$178),"dd mmm yy"))&amp;" "&amp;Milestones!$AB$178&amp;" "&amp;Milestones!$AC$178&amp;";  ","")&amp;IF(AND(EDATE($D75,Milestones!$AA$179)&lt;=AsOfDate,IF($R75=0,$X75,IF(AND($T75&lt;&gt;"",EDATE($D75,Milestones!$AA$179)&gt;=$T75),$W75,IF(AND($S75&lt;&gt;"",EDATE($D75,Milestones!$AA$179)&gt;=$S75),$V75,$U75)))=Milestones!$AB$179),UPPER(TEXT(EDATE($D75,Milestones!$AA$179),"dd mmm yy"))&amp;" "&amp;Milestones!$AB$179&amp;" "&amp;Milestones!$AC$179&amp;";  ",""))</f>
        <v/>
      </c>
      <c r="Q75" s="0" t="str">
        <f aca="false">IF(OR($A75="",$D75=""),"",IF(AND(EDATE($D75,Milestones!$AA$180)&lt;=AsOfDate,IF($R75=0,$X75,IF(AND($T75&lt;&gt;"",EDATE($D75,Milestones!$AA$180)&gt;=$T75),$W75,IF(AND($S75&lt;&gt;"",EDATE($D75,Milestones!$AA$180)&gt;=$S75),$V75,$U75)))=Milestones!$AB$180),UPPER(TEXT(EDATE($D75,Milestones!$AA$180),"dd mmm yy"))&amp;" "&amp;Milestones!$AB$180&amp;" "&amp;Milestones!$AC$180&amp;";  ","")&amp;IF(AND(EDATE($D75,Milestones!$AA$181)&lt;=AsOfDate,IF($R75=0,$X75,IF(AND($T75&lt;&gt;"",EDATE($D75,Milestones!$AA$181)&gt;=$T75),$W75,IF(AND($S75&lt;&gt;"",EDATE($D75,Milestones!$AA$181)&gt;=$S75),$V75,$U75)))=Milestones!$AB$181),UPPER(TEXT(EDATE($D75,Milestones!$AA$181),"dd mmm yy"))&amp;" "&amp;Milestones!$AB$181&amp;" "&amp;Milestones!$AC$181&amp;";  ","")&amp;IF(AND(EDATE($D75,Milestones!$AA$182)&lt;=AsOfDate,IF($R75=0,$X75,IF(AND($T75&lt;&gt;"",EDATE($D75,Milestones!$AA$182)&gt;=$T75),$W75,IF(AND($S75&lt;&gt;"",EDATE($D75,Milestones!$AA$182)&gt;=$S75),$V75,$U75)))=Milestones!$AB$182),UPPER(TEXT(EDATE($D75,Milestones!$AA$182),"dd mmm yy"))&amp;" "&amp;Milestones!$AB$182&amp;" "&amp;Milestones!$AC$182&amp;";  ","")&amp;IF(AND(EDATE($D75,Milestones!$AA$183)&lt;=AsOfDate,IF($R75=0,$X75,IF(AND($T75&lt;&gt;"",EDATE($D75,Milestones!$AA$183)&gt;=$T75),$W75,IF(AND($S75&lt;&gt;"",EDATE($D75,Milestones!$AA$183)&gt;=$S75),$V75,$U75)))=Milestones!$AB$183),UPPER(TEXT(EDATE($D75,Milestones!$AA$183),"dd mmm yy"))&amp;" "&amp;Milestones!$AB$183&amp;" "&amp;Milestones!$AC$183&amp;";  ","")&amp;IF(AND(EDATE($D75,Milestones!$AA$184)&lt;=AsOfDate,IF($R75=0,$X75,IF(AND($T75&lt;&gt;"",EDATE($D75,Milestones!$AA$184)&gt;=$T75),$W75,IF(AND($S75&lt;&gt;"",EDATE($D75,Milestones!$AA$184)&gt;=$S75),$V75,$U75)))=Milestones!$AB$184),UPPER(TEXT(EDATE($D75,Milestones!$AA$184),"dd mmm yy"))&amp;" "&amp;Milestones!$AB$184&amp;" "&amp;Milestones!$AC$184&amp;";  ","")&amp;IF(AND(EDATE($D75,Milestones!$AA$185)&lt;=AsOfDate,IF($R75=0,$X75,IF(AND($T75&lt;&gt;"",EDATE($D75,Milestones!$AA$185)&gt;=$T75),$W75,IF(AND($S75&lt;&gt;"",EDATE($D75,Milestones!$AA$185)&gt;=$S75),$V75,$U75)))=Milestones!$AB$185),UPPER(TEXT(EDATE($D75,Milestones!$AA$185),"dd mmm yy"))&amp;" "&amp;Milestones!$AB$185&amp;" "&amp;Milestones!$AC$185&amp;";  ","")&amp;IF(AND(EDATE($D75,Milestones!$AA$186)&lt;=AsOfDate,IF($R75=0,$X75,IF(AND($T75&lt;&gt;"",EDATE($D75,Milestones!$AA$186)&gt;=$T75),$W75,IF(AND($S75&lt;&gt;"",EDATE($D75,Milestones!$AA$186)&gt;=$S75),$V75,$U75)))=Milestones!$AB$186),UPPER(TEXT(EDATE($D75,Milestones!$AA$186),"dd mmm yy"))&amp;" "&amp;Milestones!$AB$186&amp;" "&amp;Milestones!$AC$186&amp;";  ","")&amp;IF(AND(EDATE($D75,Milestones!$AA$187)&lt;=AsOfDate,IF($R75=0,$X75,IF(AND($T75&lt;&gt;"",EDATE($D75,Milestones!$AA$187)&gt;=$T75),$W75,IF(AND($S75&lt;&gt;"",EDATE($D75,Milestones!$AA$187)&gt;=$S75),$V75,$U75)))=Milestones!$AB$187),UPPER(TEXT(EDATE($D75,Milestones!$AA$187),"dd mmm yy"))&amp;" "&amp;Milestones!$AB$187&amp;" "&amp;Milestones!$AC$187&amp;";  ","")&amp;IF(AND(EDATE($D75,Milestones!$AA$188)&lt;=AsOfDate,IF($R75=0,$X75,IF(AND($T75&lt;&gt;"",EDATE($D75,Milestones!$AA$188)&gt;=$T75),$W75,IF(AND($S75&lt;&gt;"",EDATE($D75,Milestones!$AA$188)&gt;=$S75),$V75,$U75)))=Milestones!$AB$188),UPPER(TEXT(EDATE($D75,Milestones!$AA$188),"dd mmm yy"))&amp;" "&amp;Milestones!$AB$188&amp;" "&amp;Milestones!$AC$188&amp;";  ","")&amp;IF(AND(EDATE($D75,Milestones!$AA$189)&lt;=AsOfDate,IF($R75=0,$X75,IF(AND($T75&lt;&gt;"",EDATE($D75,Milestones!$AA$189)&gt;=$T75),$W75,IF(AND($S75&lt;&gt;"",EDATE($D75,Milestones!$AA$189)&gt;=$S75),$V75,$U75)))=Milestones!$AB$189),UPPER(TEXT(EDATE($D75,Milestones!$AA$189),"dd mmm yy"))&amp;" "&amp;Milestones!$AB$189&amp;" "&amp;Milestones!$AC$189&amp;";  ","")&amp;IF(AND(EDATE($D75,Milestones!$AA$190)&lt;=AsOfDate,IF($R75=0,$X75,IF(AND($T75&lt;&gt;"",EDATE($D75,Milestones!$AA$190)&gt;=$T75),$W75,IF(AND($S75&lt;&gt;"",EDATE($D75,Milestones!$AA$190)&gt;=$S75),$V75,$U75)))=Milestones!$AB$190),UPPER(TEXT(EDATE($D75,Milestones!$AA$190),"dd mmm yy"))&amp;" "&amp;Milestones!$AB$190&amp;" "&amp;Milestones!$AC$190&amp;";  ","")&amp;IF(AND(EDATE($D75,Milestones!$AA$191)&lt;=AsOfDate,IF($R75=0,$X75,IF(AND($T75&lt;&gt;"",EDATE($D75,Milestones!$AA$191)&gt;=$T75),$W75,IF(AND($S75&lt;&gt;"",EDATE($D75,Milestones!$AA$191)&gt;=$S75),$V75,$U75)))=Milestones!$AB$191),UPPER(TEXT(EDATE($D75,Milestones!$AA$191),"dd mmm yy"))&amp;" "&amp;Milestones!$AB$191&amp;" "&amp;Milestones!$AC$191&amp;";  ","")&amp;IF(AND(EDATE($D75,Milestones!$AA$192)&lt;=AsOfDate,IF($R75=0,$X75,IF(AND($T75&lt;&gt;"",EDATE($D75,Milestones!$AA$192)&gt;=$T75),$W75,IF(AND($S75&lt;&gt;"",EDATE($D75,Milestones!$AA$192)&gt;=$S75),$V75,$U75)))=Milestones!$AB$192),UPPER(TEXT(EDATE($D75,Milestones!$AA$192),"dd mmm yy"))&amp;" "&amp;Milestones!$AB$192&amp;" "&amp;Milestones!$AC$192&amp;";  ","")&amp;IF(AND(EDATE($D75,Milestones!$AA$193)&lt;=AsOfDate,IF($R75=0,$X75,IF(AND($T75&lt;&gt;"",EDATE($D75,Milestones!$AA$193)&gt;=$T75),$W75,IF(AND($S75&lt;&gt;"",EDATE($D75,Milestones!$AA$193)&gt;=$S75),$V75,$U75)))=Milestones!$AB$193),UPPER(TEXT(EDATE($D75,Milestones!$AA$193),"dd mmm yy"))&amp;" "&amp;Milestones!$AB$193&amp;" "&amp;Milestones!$AC$193&amp;";  ","")&amp;IF(AND(EDATE($D75,Milestones!$AA$194)&lt;=AsOfDate,IF($R75=0,$X75,IF(AND($T75&lt;&gt;"",EDATE($D75,Milestones!$AA$194)&gt;=$T75),$W75,IF(AND($S75&lt;&gt;"",EDATE($D75,Milestones!$AA$194)&gt;=$S75),$V75,$U75)))=Milestones!$AB$194),UPPER(TEXT(EDATE($D75,Milestones!$AA$194),"dd mmm yy"))&amp;" "&amp;Milestones!$AB$194&amp;" "&amp;Milestones!$AC$194&amp;";  ","")&amp;IF(AND(EDATE($D75,Milestones!$AA$195)&lt;=AsOfDate,IF($R75=0,$X75,IF(AND($T75&lt;&gt;"",EDATE($D75,Milestones!$AA$195)&gt;=$T75),$W75,IF(AND($S75&lt;&gt;"",EDATE($D75,Milestones!$AA$195)&gt;=$S75),$V75,$U75)))=Milestones!$AB$195),UPPER(TEXT(EDATE($D75,Milestones!$AA$195),"dd mmm yy"))&amp;" "&amp;Milestones!$AB$195&amp;" "&amp;Milestones!$AC$195&amp;";  ","")&amp;IF(AND(EDATE($D75,Milestones!$AA$196)&lt;=AsOfDate,IF($R75=0,$X75,IF(AND($T75&lt;&gt;"",EDATE($D75,Milestones!$AA$196)&gt;=$T75),$W75,IF(AND($S75&lt;&gt;"",EDATE($D75,Milestones!$AA$196)&gt;=$S75),$V75,$U75)))=Milestones!$AB$196),UPPER(TEXT(EDATE($D75,Milestones!$AA$196),"dd mmm yy"))&amp;" "&amp;Milestones!$AB$196&amp;" "&amp;Milestones!$AC$196&amp;";  ","")&amp;IF(AND(EDATE($D75,Milestones!$AA$197)&lt;=AsOfDate,IF($R75=0,$X75,IF(AND($T75&lt;&gt;"",EDATE($D75,Milestones!$AA$197)&gt;=$T75),$W75,IF(AND($S75&lt;&gt;"",EDATE($D75,Milestones!$AA$197)&gt;=$S75),$V75,$U75)))=Milestones!$AB$197),UPPER(TEXT(EDATE($D75,Milestones!$AA$197),"dd mmm yy"))&amp;" "&amp;Milestones!$AB$197&amp;" "&amp;Milestones!$AC$197&amp;";  ","")&amp;IF(AND(EDATE($D75,Milestones!$AA$198)&lt;=AsOfDate,IF($R75=0,$X75,IF(AND($T75&lt;&gt;"",EDATE($D75,Milestones!$AA$198)&gt;=$T75),$W75,IF(AND($S75&lt;&gt;"",EDATE($D75,Milestones!$AA$198)&gt;=$S75),$V75,$U75)))=Milestones!$AB$198),UPPER(TEXT(EDATE($D75,Milestones!$AA$198),"dd mmm yy"))&amp;" "&amp;Milestones!$AB$198&amp;" "&amp;Milestones!$AC$198&amp;";  ","")&amp;IF(AND(EDATE($D75,Milestones!$AA$199)&lt;=AsOfDate,IF($R75=0,$X75,IF(AND($T75&lt;&gt;"",EDATE($D75,Milestones!$AA$199)&gt;=$T75),$W75,IF(AND($S75&lt;&gt;"",EDATE($D75,Milestones!$AA$199)&gt;=$S75),$V75,$U75)))=Milestones!$AB$199),UPPER(TEXT(EDATE($D75,Milestones!$AA$199),"dd mmm yy"))&amp;" "&amp;Milestones!$AB$199&amp;" "&amp;Milestones!$AC$199&amp;";  ",""))</f>
        <v/>
      </c>
      <c r="R75" s="0" t="str">
        <f aca="false">IF(Staff!$A75="","",Staff!$AI75)</f>
        <v/>
      </c>
      <c r="S75" s="0" t="str">
        <f aca="false">IF(Staff!$A75="","",Staff!$AK75)</f>
        <v/>
      </c>
      <c r="T75" s="0" t="str">
        <f aca="false">IF(Staff!$A75="","",Staff!$AL75)</f>
        <v/>
      </c>
      <c r="U75" s="0" t="str">
        <f aca="false">IF(Staff!$A75="","",Staff!$AP75)</f>
        <v/>
      </c>
      <c r="V75" s="0" t="str">
        <f aca="false">IF(Staff!$A75="","",Staff!$AQ75)</f>
        <v/>
      </c>
      <c r="W75" s="0" t="str">
        <f aca="false">IF(Staff!$A75="","",Staff!$AR75)</f>
        <v/>
      </c>
      <c r="X75" s="0" t="str">
        <f aca="false">IF(Staff!$A75="","",Staff!$AS75)</f>
        <v/>
      </c>
    </row>
    <row r="76" customFormat="false" ht="15" hidden="false" customHeight="false" outlineLevel="0" collapsed="false">
      <c r="A76" s="14" t="str">
        <f aca="false">IF(Staff!$A76="","",Staff!$A76)</f>
        <v/>
      </c>
      <c r="B76" s="14" t="str">
        <f aca="false">IF(Staff!$A76="","",Staff!$B76)</f>
        <v/>
      </c>
      <c r="C76" s="14" t="str">
        <f aca="false">IF(Staff!$A76="","",Staff!$C76)</f>
        <v/>
      </c>
      <c r="D76" s="12" t="str">
        <f aca="false">IF(Staff!$A76="","",Staff!$AH76)</f>
        <v/>
      </c>
      <c r="E76" s="14" t="str">
        <f aca="false">IF(Staff!$A76="","",Staff!$O76)</f>
        <v/>
      </c>
      <c r="F76" s="14" t="str">
        <f aca="false">IF(E76="","",E76*HoursPerDay)</f>
        <v/>
      </c>
      <c r="G76" s="14" t="str">
        <f aca="false">IF(Staff!$A76="","",Staff!$AE76)</f>
        <v/>
      </c>
      <c r="H76" s="26" t="str">
        <f aca="false">IF($A76="","",I76&amp;J76&amp;K76&amp;L76&amp;M76&amp;N76&amp;O76&amp;P76&amp;Q76)</f>
        <v/>
      </c>
      <c r="I76" s="0" t="str">
        <f aca="false">IF(OR($A76="",$D76=""),"",IF(AND(EDATE($D76,Milestones!$AA$20)&lt;=AsOfDate,IF($R76=0,$X76,IF(AND($T76&lt;&gt;"",EDATE($D76,Milestones!$AA$20)&gt;=$T76),$W76,IF(AND($S76&lt;&gt;"",EDATE($D76,Milestones!$AA$20)&gt;=$S76),$V76,$U76)))=Milestones!$AB$20),UPPER(TEXT(EDATE($D76,Milestones!$AA$20),"dd mmm yy"))&amp;" "&amp;Milestones!$AB$20&amp;" "&amp;Milestones!$AC$20&amp;";  ","")&amp;IF(AND(EDATE($D76,Milestones!$AA$21)&lt;=AsOfDate,IF($R76=0,$X76,IF(AND($T76&lt;&gt;"",EDATE($D76,Milestones!$AA$21)&gt;=$T76),$W76,IF(AND($S76&lt;&gt;"",EDATE($D76,Milestones!$AA$21)&gt;=$S76),$V76,$U76)))=Milestones!$AB$21),UPPER(TEXT(EDATE($D76,Milestones!$AA$21),"dd mmm yy"))&amp;" "&amp;Milestones!$AB$21&amp;" "&amp;Milestones!$AC$21&amp;";  ","")&amp;IF(AND(EDATE($D76,Milestones!$AA$22)&lt;=AsOfDate,IF($R76=0,$X76,IF(AND($T76&lt;&gt;"",EDATE($D76,Milestones!$AA$22)&gt;=$T76),$W76,IF(AND($S76&lt;&gt;"",EDATE($D76,Milestones!$AA$22)&gt;=$S76),$V76,$U76)))=Milestones!$AB$22),UPPER(TEXT(EDATE($D76,Milestones!$AA$22),"dd mmm yy"))&amp;" "&amp;Milestones!$AB$22&amp;" "&amp;Milestones!$AC$22&amp;";  ","")&amp;IF(AND(EDATE($D76,Milestones!$AA$23)&lt;=AsOfDate,IF($R76=0,$X76,IF(AND($T76&lt;&gt;"",EDATE($D76,Milestones!$AA$23)&gt;=$T76),$W76,IF(AND($S76&lt;&gt;"",EDATE($D76,Milestones!$AA$23)&gt;=$S76),$V76,$U76)))=Milestones!$AB$23),UPPER(TEXT(EDATE($D76,Milestones!$AA$23),"dd mmm yy"))&amp;" "&amp;Milestones!$AB$23&amp;" "&amp;Milestones!$AC$23&amp;";  ","")&amp;IF(AND(EDATE($D76,Milestones!$AA$24)&lt;=AsOfDate,IF($R76=0,$X76,IF(AND($T76&lt;&gt;"",EDATE($D76,Milestones!$AA$24)&gt;=$T76),$W76,IF(AND($S76&lt;&gt;"",EDATE($D76,Milestones!$AA$24)&gt;=$S76),$V76,$U76)))=Milestones!$AB$24),UPPER(TEXT(EDATE($D76,Milestones!$AA$24),"dd mmm yy"))&amp;" "&amp;Milestones!$AB$24&amp;" "&amp;Milestones!$AC$24&amp;";  ","")&amp;IF(AND(EDATE($D76,Milestones!$AA$25)&lt;=AsOfDate,IF($R76=0,$X76,IF(AND($T76&lt;&gt;"",EDATE($D76,Milestones!$AA$25)&gt;=$T76),$W76,IF(AND($S76&lt;&gt;"",EDATE($D76,Milestones!$AA$25)&gt;=$S76),$V76,$U76)))=Milestones!$AB$25),UPPER(TEXT(EDATE($D76,Milestones!$AA$25),"dd mmm yy"))&amp;" "&amp;Milestones!$AB$25&amp;" "&amp;Milestones!$AC$25&amp;";  ","")&amp;IF(AND(EDATE($D76,Milestones!$AA$26)&lt;=AsOfDate,IF($R76=0,$X76,IF(AND($T76&lt;&gt;"",EDATE($D76,Milestones!$AA$26)&gt;=$T76),$W76,IF(AND($S76&lt;&gt;"",EDATE($D76,Milestones!$AA$26)&gt;=$S76),$V76,$U76)))=Milestones!$AB$26),UPPER(TEXT(EDATE($D76,Milestones!$AA$26),"dd mmm yy"))&amp;" "&amp;Milestones!$AB$26&amp;" "&amp;Milestones!$AC$26&amp;";  ","")&amp;IF(AND(EDATE($D76,Milestones!$AA$27)&lt;=AsOfDate,IF($R76=0,$X76,IF(AND($T76&lt;&gt;"",EDATE($D76,Milestones!$AA$27)&gt;=$T76),$W76,IF(AND($S76&lt;&gt;"",EDATE($D76,Milestones!$AA$27)&gt;=$S76),$V76,$U76)))=Milestones!$AB$27),UPPER(TEXT(EDATE($D76,Milestones!$AA$27),"dd mmm yy"))&amp;" "&amp;Milestones!$AB$27&amp;" "&amp;Milestones!$AC$27&amp;";  ","")&amp;IF(AND(EDATE($D76,Milestones!$AA$28)&lt;=AsOfDate,IF($R76=0,$X76,IF(AND($T76&lt;&gt;"",EDATE($D76,Milestones!$AA$28)&gt;=$T76),$W76,IF(AND($S76&lt;&gt;"",EDATE($D76,Milestones!$AA$28)&gt;=$S76),$V76,$U76)))=Milestones!$AB$28),UPPER(TEXT(EDATE($D76,Milestones!$AA$28),"dd mmm yy"))&amp;" "&amp;Milestones!$AB$28&amp;" "&amp;Milestones!$AC$28&amp;";  ","")&amp;IF(AND(EDATE($D76,Milestones!$AA$29)&lt;=AsOfDate,IF($R76=0,$X76,IF(AND($T76&lt;&gt;"",EDATE($D76,Milestones!$AA$29)&gt;=$T76),$W76,IF(AND($S76&lt;&gt;"",EDATE($D76,Milestones!$AA$29)&gt;=$S76),$V76,$U76)))=Milestones!$AB$29),UPPER(TEXT(EDATE($D76,Milestones!$AA$29),"dd mmm yy"))&amp;" "&amp;Milestones!$AB$29&amp;" "&amp;Milestones!$AC$29&amp;";  ","")&amp;IF(AND(EDATE($D76,Milestones!$AA$30)&lt;=AsOfDate,IF($R76=0,$X76,IF(AND($T76&lt;&gt;"",EDATE($D76,Milestones!$AA$30)&gt;=$T76),$W76,IF(AND($S76&lt;&gt;"",EDATE($D76,Milestones!$AA$30)&gt;=$S76),$V76,$U76)))=Milestones!$AB$30),UPPER(TEXT(EDATE($D76,Milestones!$AA$30),"dd mmm yy"))&amp;" "&amp;Milestones!$AB$30&amp;" "&amp;Milestones!$AC$30&amp;";  ","")&amp;IF(AND(EDATE($D76,Milestones!$AA$31)&lt;=AsOfDate,IF($R76=0,$X76,IF(AND($T76&lt;&gt;"",EDATE($D76,Milestones!$AA$31)&gt;=$T76),$W76,IF(AND($S76&lt;&gt;"",EDATE($D76,Milestones!$AA$31)&gt;=$S76),$V76,$U76)))=Milestones!$AB$31),UPPER(TEXT(EDATE($D76,Milestones!$AA$31),"dd mmm yy"))&amp;" "&amp;Milestones!$AB$31&amp;" "&amp;Milestones!$AC$31&amp;";  ","")&amp;IF(AND(EDATE($D76,Milestones!$AA$32)&lt;=AsOfDate,IF($R76=0,$X76,IF(AND($T76&lt;&gt;"",EDATE($D76,Milestones!$AA$32)&gt;=$T76),$W76,IF(AND($S76&lt;&gt;"",EDATE($D76,Milestones!$AA$32)&gt;=$S76),$V76,$U76)))=Milestones!$AB$32),UPPER(TEXT(EDATE($D76,Milestones!$AA$32),"dd mmm yy"))&amp;" "&amp;Milestones!$AB$32&amp;" "&amp;Milestones!$AC$32&amp;";  ","")&amp;IF(AND(EDATE($D76,Milestones!$AA$33)&lt;=AsOfDate,IF($R76=0,$X76,IF(AND($T76&lt;&gt;"",EDATE($D76,Milestones!$AA$33)&gt;=$T76),$W76,IF(AND($S76&lt;&gt;"",EDATE($D76,Milestones!$AA$33)&gt;=$S76),$V76,$U76)))=Milestones!$AB$33),UPPER(TEXT(EDATE($D76,Milestones!$AA$33),"dd mmm yy"))&amp;" "&amp;Milestones!$AB$33&amp;" "&amp;Milestones!$AC$33&amp;";  ","")&amp;IF(AND(EDATE($D76,Milestones!$AA$34)&lt;=AsOfDate,IF($R76=0,$X76,IF(AND($T76&lt;&gt;"",EDATE($D76,Milestones!$AA$34)&gt;=$T76),$W76,IF(AND($S76&lt;&gt;"",EDATE($D76,Milestones!$AA$34)&gt;=$S76),$V76,$U76)))=Milestones!$AB$34),UPPER(TEXT(EDATE($D76,Milestones!$AA$34),"dd mmm yy"))&amp;" "&amp;Milestones!$AB$34&amp;" "&amp;Milestones!$AC$34&amp;";  ","")&amp;IF(AND(EDATE($D76,Milestones!$AA$35)&lt;=AsOfDate,IF($R76=0,$X76,IF(AND($T76&lt;&gt;"",EDATE($D76,Milestones!$AA$35)&gt;=$T76),$W76,IF(AND($S76&lt;&gt;"",EDATE($D76,Milestones!$AA$35)&gt;=$S76),$V76,$U76)))=Milestones!$AB$35),UPPER(TEXT(EDATE($D76,Milestones!$AA$35),"dd mmm yy"))&amp;" "&amp;Milestones!$AB$35&amp;" "&amp;Milestones!$AC$35&amp;";  ","")&amp;IF(AND(EDATE($D76,Milestones!$AA$36)&lt;=AsOfDate,IF($R76=0,$X76,IF(AND($T76&lt;&gt;"",EDATE($D76,Milestones!$AA$36)&gt;=$T76),$W76,IF(AND($S76&lt;&gt;"",EDATE($D76,Milestones!$AA$36)&gt;=$S76),$V76,$U76)))=Milestones!$AB$36),UPPER(TEXT(EDATE($D76,Milestones!$AA$36),"dd mmm yy"))&amp;" "&amp;Milestones!$AB$36&amp;" "&amp;Milestones!$AC$36&amp;";  ","")&amp;IF(AND(EDATE($D76,Milestones!$AA$37)&lt;=AsOfDate,IF($R76=0,$X76,IF(AND($T76&lt;&gt;"",EDATE($D76,Milestones!$AA$37)&gt;=$T76),$W76,IF(AND($S76&lt;&gt;"",EDATE($D76,Milestones!$AA$37)&gt;=$S76),$V76,$U76)))=Milestones!$AB$37),UPPER(TEXT(EDATE($D76,Milestones!$AA$37),"dd mmm yy"))&amp;" "&amp;Milestones!$AB$37&amp;" "&amp;Milestones!$AC$37&amp;";  ","")&amp;IF(AND(EDATE($D76,Milestones!$AA$38)&lt;=AsOfDate,IF($R76=0,$X76,IF(AND($T76&lt;&gt;"",EDATE($D76,Milestones!$AA$38)&gt;=$T76),$W76,IF(AND($S76&lt;&gt;"",EDATE($D76,Milestones!$AA$38)&gt;=$S76),$V76,$U76)))=Milestones!$AB$38),UPPER(TEXT(EDATE($D76,Milestones!$AA$38),"dd mmm yy"))&amp;" "&amp;Milestones!$AB$38&amp;" "&amp;Milestones!$AC$38&amp;";  ","")&amp;IF(AND(EDATE($D76,Milestones!$AA$39)&lt;=AsOfDate,IF($R76=0,$X76,IF(AND($T76&lt;&gt;"",EDATE($D76,Milestones!$AA$39)&gt;=$T76),$W76,IF(AND($S76&lt;&gt;"",EDATE($D76,Milestones!$AA$39)&gt;=$S76),$V76,$U76)))=Milestones!$AB$39),UPPER(TEXT(EDATE($D76,Milestones!$AA$39),"dd mmm yy"))&amp;" "&amp;Milestones!$AB$39&amp;" "&amp;Milestones!$AC$39&amp;";  ",""))</f>
        <v/>
      </c>
      <c r="J76" s="0" t="str">
        <f aca="false">IF(OR($A76="",$D76=""),"",IF(AND(EDATE($D76,Milestones!$AA$40)&lt;=AsOfDate,IF($R76=0,$X76,IF(AND($T76&lt;&gt;"",EDATE($D76,Milestones!$AA$40)&gt;=$T76),$W76,IF(AND($S76&lt;&gt;"",EDATE($D76,Milestones!$AA$40)&gt;=$S76),$V76,$U76)))=Milestones!$AB$40),UPPER(TEXT(EDATE($D76,Milestones!$AA$40),"dd mmm yy"))&amp;" "&amp;Milestones!$AB$40&amp;" "&amp;Milestones!$AC$40&amp;";  ","")&amp;IF(AND(EDATE($D76,Milestones!$AA$41)&lt;=AsOfDate,IF($R76=0,$X76,IF(AND($T76&lt;&gt;"",EDATE($D76,Milestones!$AA$41)&gt;=$T76),$W76,IF(AND($S76&lt;&gt;"",EDATE($D76,Milestones!$AA$41)&gt;=$S76),$V76,$U76)))=Milestones!$AB$41),UPPER(TEXT(EDATE($D76,Milestones!$AA$41),"dd mmm yy"))&amp;" "&amp;Milestones!$AB$41&amp;" "&amp;Milestones!$AC$41&amp;";  ","")&amp;IF(AND(EDATE($D76,Milestones!$AA$42)&lt;=AsOfDate,IF($R76=0,$X76,IF(AND($T76&lt;&gt;"",EDATE($D76,Milestones!$AA$42)&gt;=$T76),$W76,IF(AND($S76&lt;&gt;"",EDATE($D76,Milestones!$AA$42)&gt;=$S76),$V76,$U76)))=Milestones!$AB$42),UPPER(TEXT(EDATE($D76,Milestones!$AA$42),"dd mmm yy"))&amp;" "&amp;Milestones!$AB$42&amp;" "&amp;Milestones!$AC$42&amp;";  ","")&amp;IF(AND(EDATE($D76,Milestones!$AA$43)&lt;=AsOfDate,IF($R76=0,$X76,IF(AND($T76&lt;&gt;"",EDATE($D76,Milestones!$AA$43)&gt;=$T76),$W76,IF(AND($S76&lt;&gt;"",EDATE($D76,Milestones!$AA$43)&gt;=$S76),$V76,$U76)))=Milestones!$AB$43),UPPER(TEXT(EDATE($D76,Milestones!$AA$43),"dd mmm yy"))&amp;" "&amp;Milestones!$AB$43&amp;" "&amp;Milestones!$AC$43&amp;";  ","")&amp;IF(AND(EDATE($D76,Milestones!$AA$44)&lt;=AsOfDate,IF($R76=0,$X76,IF(AND($T76&lt;&gt;"",EDATE($D76,Milestones!$AA$44)&gt;=$T76),$W76,IF(AND($S76&lt;&gt;"",EDATE($D76,Milestones!$AA$44)&gt;=$S76),$V76,$U76)))=Milestones!$AB$44),UPPER(TEXT(EDATE($D76,Milestones!$AA$44),"dd mmm yy"))&amp;" "&amp;Milestones!$AB$44&amp;" "&amp;Milestones!$AC$44&amp;";  ","")&amp;IF(AND(EDATE($D76,Milestones!$AA$45)&lt;=AsOfDate,IF($R76=0,$X76,IF(AND($T76&lt;&gt;"",EDATE($D76,Milestones!$AA$45)&gt;=$T76),$W76,IF(AND($S76&lt;&gt;"",EDATE($D76,Milestones!$AA$45)&gt;=$S76),$V76,$U76)))=Milestones!$AB$45),UPPER(TEXT(EDATE($D76,Milestones!$AA$45),"dd mmm yy"))&amp;" "&amp;Milestones!$AB$45&amp;" "&amp;Milestones!$AC$45&amp;";  ","")&amp;IF(AND(EDATE($D76,Milestones!$AA$46)&lt;=AsOfDate,IF($R76=0,$X76,IF(AND($T76&lt;&gt;"",EDATE($D76,Milestones!$AA$46)&gt;=$T76),$W76,IF(AND($S76&lt;&gt;"",EDATE($D76,Milestones!$AA$46)&gt;=$S76),$V76,$U76)))=Milestones!$AB$46),UPPER(TEXT(EDATE($D76,Milestones!$AA$46),"dd mmm yy"))&amp;" "&amp;Milestones!$AB$46&amp;" "&amp;Milestones!$AC$46&amp;";  ","")&amp;IF(AND(EDATE($D76,Milestones!$AA$47)&lt;=AsOfDate,IF($R76=0,$X76,IF(AND($T76&lt;&gt;"",EDATE($D76,Milestones!$AA$47)&gt;=$T76),$W76,IF(AND($S76&lt;&gt;"",EDATE($D76,Milestones!$AA$47)&gt;=$S76),$V76,$U76)))=Milestones!$AB$47),UPPER(TEXT(EDATE($D76,Milestones!$AA$47),"dd mmm yy"))&amp;" "&amp;Milestones!$AB$47&amp;" "&amp;Milestones!$AC$47&amp;";  ","")&amp;IF(AND(EDATE($D76,Milestones!$AA$48)&lt;=AsOfDate,IF($R76=0,$X76,IF(AND($T76&lt;&gt;"",EDATE($D76,Milestones!$AA$48)&gt;=$T76),$W76,IF(AND($S76&lt;&gt;"",EDATE($D76,Milestones!$AA$48)&gt;=$S76),$V76,$U76)))=Milestones!$AB$48),UPPER(TEXT(EDATE($D76,Milestones!$AA$48),"dd mmm yy"))&amp;" "&amp;Milestones!$AB$48&amp;" "&amp;Milestones!$AC$48&amp;";  ","")&amp;IF(AND(EDATE($D76,Milestones!$AA$49)&lt;=AsOfDate,IF($R76=0,$X76,IF(AND($T76&lt;&gt;"",EDATE($D76,Milestones!$AA$49)&gt;=$T76),$W76,IF(AND($S76&lt;&gt;"",EDATE($D76,Milestones!$AA$49)&gt;=$S76),$V76,$U76)))=Milestones!$AB$49),UPPER(TEXT(EDATE($D76,Milestones!$AA$49),"dd mmm yy"))&amp;" "&amp;Milestones!$AB$49&amp;" "&amp;Milestones!$AC$49&amp;";  ","")&amp;IF(AND(EDATE($D76,Milestones!$AA$50)&lt;=AsOfDate,IF($R76=0,$X76,IF(AND($T76&lt;&gt;"",EDATE($D76,Milestones!$AA$50)&gt;=$T76),$W76,IF(AND($S76&lt;&gt;"",EDATE($D76,Milestones!$AA$50)&gt;=$S76),$V76,$U76)))=Milestones!$AB$50),UPPER(TEXT(EDATE($D76,Milestones!$AA$50),"dd mmm yy"))&amp;" "&amp;Milestones!$AB$50&amp;" "&amp;Milestones!$AC$50&amp;";  ","")&amp;IF(AND(EDATE($D76,Milestones!$AA$51)&lt;=AsOfDate,IF($R76=0,$X76,IF(AND($T76&lt;&gt;"",EDATE($D76,Milestones!$AA$51)&gt;=$T76),$W76,IF(AND($S76&lt;&gt;"",EDATE($D76,Milestones!$AA$51)&gt;=$S76),$V76,$U76)))=Milestones!$AB$51),UPPER(TEXT(EDATE($D76,Milestones!$AA$51),"dd mmm yy"))&amp;" "&amp;Milestones!$AB$51&amp;" "&amp;Milestones!$AC$51&amp;";  ","")&amp;IF(AND(EDATE($D76,Milestones!$AA$52)&lt;=AsOfDate,IF($R76=0,$X76,IF(AND($T76&lt;&gt;"",EDATE($D76,Milestones!$AA$52)&gt;=$T76),$W76,IF(AND($S76&lt;&gt;"",EDATE($D76,Milestones!$AA$52)&gt;=$S76),$V76,$U76)))=Milestones!$AB$52),UPPER(TEXT(EDATE($D76,Milestones!$AA$52),"dd mmm yy"))&amp;" "&amp;Milestones!$AB$52&amp;" "&amp;Milestones!$AC$52&amp;";  ","")&amp;IF(AND(EDATE($D76,Milestones!$AA$53)&lt;=AsOfDate,IF($R76=0,$X76,IF(AND($T76&lt;&gt;"",EDATE($D76,Milestones!$AA$53)&gt;=$T76),$W76,IF(AND($S76&lt;&gt;"",EDATE($D76,Milestones!$AA$53)&gt;=$S76),$V76,$U76)))=Milestones!$AB$53),UPPER(TEXT(EDATE($D76,Milestones!$AA$53),"dd mmm yy"))&amp;" "&amp;Milestones!$AB$53&amp;" "&amp;Milestones!$AC$53&amp;";  ","")&amp;IF(AND(EDATE($D76,Milestones!$AA$54)&lt;=AsOfDate,IF($R76=0,$X76,IF(AND($T76&lt;&gt;"",EDATE($D76,Milestones!$AA$54)&gt;=$T76),$W76,IF(AND($S76&lt;&gt;"",EDATE($D76,Milestones!$AA$54)&gt;=$S76),$V76,$U76)))=Milestones!$AB$54),UPPER(TEXT(EDATE($D76,Milestones!$AA$54),"dd mmm yy"))&amp;" "&amp;Milestones!$AB$54&amp;" "&amp;Milestones!$AC$54&amp;";  ","")&amp;IF(AND(EDATE($D76,Milestones!$AA$55)&lt;=AsOfDate,IF($R76=0,$X76,IF(AND($T76&lt;&gt;"",EDATE($D76,Milestones!$AA$55)&gt;=$T76),$W76,IF(AND($S76&lt;&gt;"",EDATE($D76,Milestones!$AA$55)&gt;=$S76),$V76,$U76)))=Milestones!$AB$55),UPPER(TEXT(EDATE($D76,Milestones!$AA$55),"dd mmm yy"))&amp;" "&amp;Milestones!$AB$55&amp;" "&amp;Milestones!$AC$55&amp;";  ","")&amp;IF(AND(EDATE($D76,Milestones!$AA$56)&lt;=AsOfDate,IF($R76=0,$X76,IF(AND($T76&lt;&gt;"",EDATE($D76,Milestones!$AA$56)&gt;=$T76),$W76,IF(AND($S76&lt;&gt;"",EDATE($D76,Milestones!$AA$56)&gt;=$S76),$V76,$U76)))=Milestones!$AB$56),UPPER(TEXT(EDATE($D76,Milestones!$AA$56),"dd mmm yy"))&amp;" "&amp;Milestones!$AB$56&amp;" "&amp;Milestones!$AC$56&amp;";  ","")&amp;IF(AND(EDATE($D76,Milestones!$AA$57)&lt;=AsOfDate,IF($R76=0,$X76,IF(AND($T76&lt;&gt;"",EDATE($D76,Milestones!$AA$57)&gt;=$T76),$W76,IF(AND($S76&lt;&gt;"",EDATE($D76,Milestones!$AA$57)&gt;=$S76),$V76,$U76)))=Milestones!$AB$57),UPPER(TEXT(EDATE($D76,Milestones!$AA$57),"dd mmm yy"))&amp;" "&amp;Milestones!$AB$57&amp;" "&amp;Milestones!$AC$57&amp;";  ","")&amp;IF(AND(EDATE($D76,Milestones!$AA$58)&lt;=AsOfDate,IF($R76=0,$X76,IF(AND($T76&lt;&gt;"",EDATE($D76,Milestones!$AA$58)&gt;=$T76),$W76,IF(AND($S76&lt;&gt;"",EDATE($D76,Milestones!$AA$58)&gt;=$S76),$V76,$U76)))=Milestones!$AB$58),UPPER(TEXT(EDATE($D76,Milestones!$AA$58),"dd mmm yy"))&amp;" "&amp;Milestones!$AB$58&amp;" "&amp;Milestones!$AC$58&amp;";  ","")&amp;IF(AND(EDATE($D76,Milestones!$AA$59)&lt;=AsOfDate,IF($R76=0,$X76,IF(AND($T76&lt;&gt;"",EDATE($D76,Milestones!$AA$59)&gt;=$T76),$W76,IF(AND($S76&lt;&gt;"",EDATE($D76,Milestones!$AA$59)&gt;=$S76),$V76,$U76)))=Milestones!$AB$59),UPPER(TEXT(EDATE($D76,Milestones!$AA$59),"dd mmm yy"))&amp;" "&amp;Milestones!$AB$59&amp;" "&amp;Milestones!$AC$59&amp;";  ",""))</f>
        <v/>
      </c>
      <c r="K76" s="0" t="str">
        <f aca="false">IF(OR($A76="",$D76=""),"",IF(AND(EDATE($D76,Milestones!$AA$60)&lt;=AsOfDate,IF($R76=0,$X76,IF(AND($T76&lt;&gt;"",EDATE($D76,Milestones!$AA$60)&gt;=$T76),$W76,IF(AND($S76&lt;&gt;"",EDATE($D76,Milestones!$AA$60)&gt;=$S76),$V76,$U76)))=Milestones!$AB$60),UPPER(TEXT(EDATE($D76,Milestones!$AA$60),"dd mmm yy"))&amp;" "&amp;Milestones!$AB$60&amp;" "&amp;Milestones!$AC$60&amp;";  ","")&amp;IF(AND(EDATE($D76,Milestones!$AA$61)&lt;=AsOfDate,IF($R76=0,$X76,IF(AND($T76&lt;&gt;"",EDATE($D76,Milestones!$AA$61)&gt;=$T76),$W76,IF(AND($S76&lt;&gt;"",EDATE($D76,Milestones!$AA$61)&gt;=$S76),$V76,$U76)))=Milestones!$AB$61),UPPER(TEXT(EDATE($D76,Milestones!$AA$61),"dd mmm yy"))&amp;" "&amp;Milestones!$AB$61&amp;" "&amp;Milestones!$AC$61&amp;";  ","")&amp;IF(AND(EDATE($D76,Milestones!$AA$62)&lt;=AsOfDate,IF($R76=0,$X76,IF(AND($T76&lt;&gt;"",EDATE($D76,Milestones!$AA$62)&gt;=$T76),$W76,IF(AND($S76&lt;&gt;"",EDATE($D76,Milestones!$AA$62)&gt;=$S76),$V76,$U76)))=Milestones!$AB$62),UPPER(TEXT(EDATE($D76,Milestones!$AA$62),"dd mmm yy"))&amp;" "&amp;Milestones!$AB$62&amp;" "&amp;Milestones!$AC$62&amp;";  ","")&amp;IF(AND(EDATE($D76,Milestones!$AA$63)&lt;=AsOfDate,IF($R76=0,$X76,IF(AND($T76&lt;&gt;"",EDATE($D76,Milestones!$AA$63)&gt;=$T76),$W76,IF(AND($S76&lt;&gt;"",EDATE($D76,Milestones!$AA$63)&gt;=$S76),$V76,$U76)))=Milestones!$AB$63),UPPER(TEXT(EDATE($D76,Milestones!$AA$63),"dd mmm yy"))&amp;" "&amp;Milestones!$AB$63&amp;" "&amp;Milestones!$AC$63&amp;";  ","")&amp;IF(AND(EDATE($D76,Milestones!$AA$64)&lt;=AsOfDate,IF($R76=0,$X76,IF(AND($T76&lt;&gt;"",EDATE($D76,Milestones!$AA$64)&gt;=$T76),$W76,IF(AND($S76&lt;&gt;"",EDATE($D76,Milestones!$AA$64)&gt;=$S76),$V76,$U76)))=Milestones!$AB$64),UPPER(TEXT(EDATE($D76,Milestones!$AA$64),"dd mmm yy"))&amp;" "&amp;Milestones!$AB$64&amp;" "&amp;Milestones!$AC$64&amp;";  ","")&amp;IF(AND(EDATE($D76,Milestones!$AA$65)&lt;=AsOfDate,IF($R76=0,$X76,IF(AND($T76&lt;&gt;"",EDATE($D76,Milestones!$AA$65)&gt;=$T76),$W76,IF(AND($S76&lt;&gt;"",EDATE($D76,Milestones!$AA$65)&gt;=$S76),$V76,$U76)))=Milestones!$AB$65),UPPER(TEXT(EDATE($D76,Milestones!$AA$65),"dd mmm yy"))&amp;" "&amp;Milestones!$AB$65&amp;" "&amp;Milestones!$AC$65&amp;";  ","")&amp;IF(AND(EDATE($D76,Milestones!$AA$66)&lt;=AsOfDate,IF($R76=0,$X76,IF(AND($T76&lt;&gt;"",EDATE($D76,Milestones!$AA$66)&gt;=$T76),$W76,IF(AND($S76&lt;&gt;"",EDATE($D76,Milestones!$AA$66)&gt;=$S76),$V76,$U76)))=Milestones!$AB$66),UPPER(TEXT(EDATE($D76,Milestones!$AA$66),"dd mmm yy"))&amp;" "&amp;Milestones!$AB$66&amp;" "&amp;Milestones!$AC$66&amp;";  ","")&amp;IF(AND(EDATE($D76,Milestones!$AA$67)&lt;=AsOfDate,IF($R76=0,$X76,IF(AND($T76&lt;&gt;"",EDATE($D76,Milestones!$AA$67)&gt;=$T76),$W76,IF(AND($S76&lt;&gt;"",EDATE($D76,Milestones!$AA$67)&gt;=$S76),$V76,$U76)))=Milestones!$AB$67),UPPER(TEXT(EDATE($D76,Milestones!$AA$67),"dd mmm yy"))&amp;" "&amp;Milestones!$AB$67&amp;" "&amp;Milestones!$AC$67&amp;";  ","")&amp;IF(AND(EDATE($D76,Milestones!$AA$68)&lt;=AsOfDate,IF($R76=0,$X76,IF(AND($T76&lt;&gt;"",EDATE($D76,Milestones!$AA$68)&gt;=$T76),$W76,IF(AND($S76&lt;&gt;"",EDATE($D76,Milestones!$AA$68)&gt;=$S76),$V76,$U76)))=Milestones!$AB$68),UPPER(TEXT(EDATE($D76,Milestones!$AA$68),"dd mmm yy"))&amp;" "&amp;Milestones!$AB$68&amp;" "&amp;Milestones!$AC$68&amp;";  ","")&amp;IF(AND(EDATE($D76,Milestones!$AA$69)&lt;=AsOfDate,IF($R76=0,$X76,IF(AND($T76&lt;&gt;"",EDATE($D76,Milestones!$AA$69)&gt;=$T76),$W76,IF(AND($S76&lt;&gt;"",EDATE($D76,Milestones!$AA$69)&gt;=$S76),$V76,$U76)))=Milestones!$AB$69),UPPER(TEXT(EDATE($D76,Milestones!$AA$69),"dd mmm yy"))&amp;" "&amp;Milestones!$AB$69&amp;" "&amp;Milestones!$AC$69&amp;";  ","")&amp;IF(AND(EDATE($D76,Milestones!$AA$70)&lt;=AsOfDate,IF($R76=0,$X76,IF(AND($T76&lt;&gt;"",EDATE($D76,Milestones!$AA$70)&gt;=$T76),$W76,IF(AND($S76&lt;&gt;"",EDATE($D76,Milestones!$AA$70)&gt;=$S76),$V76,$U76)))=Milestones!$AB$70),UPPER(TEXT(EDATE($D76,Milestones!$AA$70),"dd mmm yy"))&amp;" "&amp;Milestones!$AB$70&amp;" "&amp;Milestones!$AC$70&amp;";  ","")&amp;IF(AND(EDATE($D76,Milestones!$AA$71)&lt;=AsOfDate,IF($R76=0,$X76,IF(AND($T76&lt;&gt;"",EDATE($D76,Milestones!$AA$71)&gt;=$T76),$W76,IF(AND($S76&lt;&gt;"",EDATE($D76,Milestones!$AA$71)&gt;=$S76),$V76,$U76)))=Milestones!$AB$71),UPPER(TEXT(EDATE($D76,Milestones!$AA$71),"dd mmm yy"))&amp;" "&amp;Milestones!$AB$71&amp;" "&amp;Milestones!$AC$71&amp;";  ","")&amp;IF(AND(EDATE($D76,Milestones!$AA$72)&lt;=AsOfDate,IF($R76=0,$X76,IF(AND($T76&lt;&gt;"",EDATE($D76,Milestones!$AA$72)&gt;=$T76),$W76,IF(AND($S76&lt;&gt;"",EDATE($D76,Milestones!$AA$72)&gt;=$S76),$V76,$U76)))=Milestones!$AB$72),UPPER(TEXT(EDATE($D76,Milestones!$AA$72),"dd mmm yy"))&amp;" "&amp;Milestones!$AB$72&amp;" "&amp;Milestones!$AC$72&amp;";  ","")&amp;IF(AND(EDATE($D76,Milestones!$AA$73)&lt;=AsOfDate,IF($R76=0,$X76,IF(AND($T76&lt;&gt;"",EDATE($D76,Milestones!$AA$73)&gt;=$T76),$W76,IF(AND($S76&lt;&gt;"",EDATE($D76,Milestones!$AA$73)&gt;=$S76),$V76,$U76)))=Milestones!$AB$73),UPPER(TEXT(EDATE($D76,Milestones!$AA$73),"dd mmm yy"))&amp;" "&amp;Milestones!$AB$73&amp;" "&amp;Milestones!$AC$73&amp;";  ","")&amp;IF(AND(EDATE($D76,Milestones!$AA$74)&lt;=AsOfDate,IF($R76=0,$X76,IF(AND($T76&lt;&gt;"",EDATE($D76,Milestones!$AA$74)&gt;=$T76),$W76,IF(AND($S76&lt;&gt;"",EDATE($D76,Milestones!$AA$74)&gt;=$S76),$V76,$U76)))=Milestones!$AB$74),UPPER(TEXT(EDATE($D76,Milestones!$AA$74),"dd mmm yy"))&amp;" "&amp;Milestones!$AB$74&amp;" "&amp;Milestones!$AC$74&amp;";  ","")&amp;IF(AND(EDATE($D76,Milestones!$AA$75)&lt;=AsOfDate,IF($R76=0,$X76,IF(AND($T76&lt;&gt;"",EDATE($D76,Milestones!$AA$75)&gt;=$T76),$W76,IF(AND($S76&lt;&gt;"",EDATE($D76,Milestones!$AA$75)&gt;=$S76),$V76,$U76)))=Milestones!$AB$75),UPPER(TEXT(EDATE($D76,Milestones!$AA$75),"dd mmm yy"))&amp;" "&amp;Milestones!$AB$75&amp;" "&amp;Milestones!$AC$75&amp;";  ","")&amp;IF(AND(EDATE($D76,Milestones!$AA$76)&lt;=AsOfDate,IF($R76=0,$X76,IF(AND($T76&lt;&gt;"",EDATE($D76,Milestones!$AA$76)&gt;=$T76),$W76,IF(AND($S76&lt;&gt;"",EDATE($D76,Milestones!$AA$76)&gt;=$S76),$V76,$U76)))=Milestones!$AB$76),UPPER(TEXT(EDATE($D76,Milestones!$AA$76),"dd mmm yy"))&amp;" "&amp;Milestones!$AB$76&amp;" "&amp;Milestones!$AC$76&amp;";  ","")&amp;IF(AND(EDATE($D76,Milestones!$AA$77)&lt;=AsOfDate,IF($R76=0,$X76,IF(AND($T76&lt;&gt;"",EDATE($D76,Milestones!$AA$77)&gt;=$T76),$W76,IF(AND($S76&lt;&gt;"",EDATE($D76,Milestones!$AA$77)&gt;=$S76),$V76,$U76)))=Milestones!$AB$77),UPPER(TEXT(EDATE($D76,Milestones!$AA$77),"dd mmm yy"))&amp;" "&amp;Milestones!$AB$77&amp;" "&amp;Milestones!$AC$77&amp;";  ","")&amp;IF(AND(EDATE($D76,Milestones!$AA$78)&lt;=AsOfDate,IF($R76=0,$X76,IF(AND($T76&lt;&gt;"",EDATE($D76,Milestones!$AA$78)&gt;=$T76),$W76,IF(AND($S76&lt;&gt;"",EDATE($D76,Milestones!$AA$78)&gt;=$S76),$V76,$U76)))=Milestones!$AB$78),UPPER(TEXT(EDATE($D76,Milestones!$AA$78),"dd mmm yy"))&amp;" "&amp;Milestones!$AB$78&amp;" "&amp;Milestones!$AC$78&amp;";  ","")&amp;IF(AND(EDATE($D76,Milestones!$AA$79)&lt;=AsOfDate,IF($R76=0,$X76,IF(AND($T76&lt;&gt;"",EDATE($D76,Milestones!$AA$79)&gt;=$T76),$W76,IF(AND($S76&lt;&gt;"",EDATE($D76,Milestones!$AA$79)&gt;=$S76),$V76,$U76)))=Milestones!$AB$79),UPPER(TEXT(EDATE($D76,Milestones!$AA$79),"dd mmm yy"))&amp;" "&amp;Milestones!$AB$79&amp;" "&amp;Milestones!$AC$79&amp;";  ",""))</f>
        <v/>
      </c>
      <c r="L76" s="0" t="str">
        <f aca="false">IF(OR($A76="",$D76=""),"",IF(AND(EDATE($D76,Milestones!$AA$80)&lt;=AsOfDate,IF($R76=0,$X76,IF(AND($T76&lt;&gt;"",EDATE($D76,Milestones!$AA$80)&gt;=$T76),$W76,IF(AND($S76&lt;&gt;"",EDATE($D76,Milestones!$AA$80)&gt;=$S76),$V76,$U76)))=Milestones!$AB$80),UPPER(TEXT(EDATE($D76,Milestones!$AA$80),"dd mmm yy"))&amp;" "&amp;Milestones!$AB$80&amp;" "&amp;Milestones!$AC$80&amp;";  ","")&amp;IF(AND(EDATE($D76,Milestones!$AA$81)&lt;=AsOfDate,IF($R76=0,$X76,IF(AND($T76&lt;&gt;"",EDATE($D76,Milestones!$AA$81)&gt;=$T76),$W76,IF(AND($S76&lt;&gt;"",EDATE($D76,Milestones!$AA$81)&gt;=$S76),$V76,$U76)))=Milestones!$AB$81),UPPER(TEXT(EDATE($D76,Milestones!$AA$81),"dd mmm yy"))&amp;" "&amp;Milestones!$AB$81&amp;" "&amp;Milestones!$AC$81&amp;";  ","")&amp;IF(AND(EDATE($D76,Milestones!$AA$82)&lt;=AsOfDate,IF($R76=0,$X76,IF(AND($T76&lt;&gt;"",EDATE($D76,Milestones!$AA$82)&gt;=$T76),$W76,IF(AND($S76&lt;&gt;"",EDATE($D76,Milestones!$AA$82)&gt;=$S76),$V76,$U76)))=Milestones!$AB$82),UPPER(TEXT(EDATE($D76,Milestones!$AA$82),"dd mmm yy"))&amp;" "&amp;Milestones!$AB$82&amp;" "&amp;Milestones!$AC$82&amp;";  ","")&amp;IF(AND(EDATE($D76,Milestones!$AA$83)&lt;=AsOfDate,IF($R76=0,$X76,IF(AND($T76&lt;&gt;"",EDATE($D76,Milestones!$AA$83)&gt;=$T76),$W76,IF(AND($S76&lt;&gt;"",EDATE($D76,Milestones!$AA$83)&gt;=$S76),$V76,$U76)))=Milestones!$AB$83),UPPER(TEXT(EDATE($D76,Milestones!$AA$83),"dd mmm yy"))&amp;" "&amp;Milestones!$AB$83&amp;" "&amp;Milestones!$AC$83&amp;";  ","")&amp;IF(AND(EDATE($D76,Milestones!$AA$84)&lt;=AsOfDate,IF($R76=0,$X76,IF(AND($T76&lt;&gt;"",EDATE($D76,Milestones!$AA$84)&gt;=$T76),$W76,IF(AND($S76&lt;&gt;"",EDATE($D76,Milestones!$AA$84)&gt;=$S76),$V76,$U76)))=Milestones!$AB$84),UPPER(TEXT(EDATE($D76,Milestones!$AA$84),"dd mmm yy"))&amp;" "&amp;Milestones!$AB$84&amp;" "&amp;Milestones!$AC$84&amp;";  ","")&amp;IF(AND(EDATE($D76,Milestones!$AA$85)&lt;=AsOfDate,IF($R76=0,$X76,IF(AND($T76&lt;&gt;"",EDATE($D76,Milestones!$AA$85)&gt;=$T76),$W76,IF(AND($S76&lt;&gt;"",EDATE($D76,Milestones!$AA$85)&gt;=$S76),$V76,$U76)))=Milestones!$AB$85),UPPER(TEXT(EDATE($D76,Milestones!$AA$85),"dd mmm yy"))&amp;" "&amp;Milestones!$AB$85&amp;" "&amp;Milestones!$AC$85&amp;";  ","")&amp;IF(AND(EDATE($D76,Milestones!$AA$86)&lt;=AsOfDate,IF($R76=0,$X76,IF(AND($T76&lt;&gt;"",EDATE($D76,Milestones!$AA$86)&gt;=$T76),$W76,IF(AND($S76&lt;&gt;"",EDATE($D76,Milestones!$AA$86)&gt;=$S76),$V76,$U76)))=Milestones!$AB$86),UPPER(TEXT(EDATE($D76,Milestones!$AA$86),"dd mmm yy"))&amp;" "&amp;Milestones!$AB$86&amp;" "&amp;Milestones!$AC$86&amp;";  ","")&amp;IF(AND(EDATE($D76,Milestones!$AA$87)&lt;=AsOfDate,IF($R76=0,$X76,IF(AND($T76&lt;&gt;"",EDATE($D76,Milestones!$AA$87)&gt;=$T76),$W76,IF(AND($S76&lt;&gt;"",EDATE($D76,Milestones!$AA$87)&gt;=$S76),$V76,$U76)))=Milestones!$AB$87),UPPER(TEXT(EDATE($D76,Milestones!$AA$87),"dd mmm yy"))&amp;" "&amp;Milestones!$AB$87&amp;" "&amp;Milestones!$AC$87&amp;";  ","")&amp;IF(AND(EDATE($D76,Milestones!$AA$88)&lt;=AsOfDate,IF($R76=0,$X76,IF(AND($T76&lt;&gt;"",EDATE($D76,Milestones!$AA$88)&gt;=$T76),$W76,IF(AND($S76&lt;&gt;"",EDATE($D76,Milestones!$AA$88)&gt;=$S76),$V76,$U76)))=Milestones!$AB$88),UPPER(TEXT(EDATE($D76,Milestones!$AA$88),"dd mmm yy"))&amp;" "&amp;Milestones!$AB$88&amp;" "&amp;Milestones!$AC$88&amp;";  ","")&amp;IF(AND(EDATE($D76,Milestones!$AA$89)&lt;=AsOfDate,IF($R76=0,$X76,IF(AND($T76&lt;&gt;"",EDATE($D76,Milestones!$AA$89)&gt;=$T76),$W76,IF(AND($S76&lt;&gt;"",EDATE($D76,Milestones!$AA$89)&gt;=$S76),$V76,$U76)))=Milestones!$AB$89),UPPER(TEXT(EDATE($D76,Milestones!$AA$89),"dd mmm yy"))&amp;" "&amp;Milestones!$AB$89&amp;" "&amp;Milestones!$AC$89&amp;";  ","")&amp;IF(AND(EDATE($D76,Milestones!$AA$90)&lt;=AsOfDate,IF($R76=0,$X76,IF(AND($T76&lt;&gt;"",EDATE($D76,Milestones!$AA$90)&gt;=$T76),$W76,IF(AND($S76&lt;&gt;"",EDATE($D76,Milestones!$AA$90)&gt;=$S76),$V76,$U76)))=Milestones!$AB$90),UPPER(TEXT(EDATE($D76,Milestones!$AA$90),"dd mmm yy"))&amp;" "&amp;Milestones!$AB$90&amp;" "&amp;Milestones!$AC$90&amp;";  ","")&amp;IF(AND(EDATE($D76,Milestones!$AA$91)&lt;=AsOfDate,IF($R76=0,$X76,IF(AND($T76&lt;&gt;"",EDATE($D76,Milestones!$AA$91)&gt;=$T76),$W76,IF(AND($S76&lt;&gt;"",EDATE($D76,Milestones!$AA$91)&gt;=$S76),$V76,$U76)))=Milestones!$AB$91),UPPER(TEXT(EDATE($D76,Milestones!$AA$91),"dd mmm yy"))&amp;" "&amp;Milestones!$AB$91&amp;" "&amp;Milestones!$AC$91&amp;";  ","")&amp;IF(AND(EDATE($D76,Milestones!$AA$92)&lt;=AsOfDate,IF($R76=0,$X76,IF(AND($T76&lt;&gt;"",EDATE($D76,Milestones!$AA$92)&gt;=$T76),$W76,IF(AND($S76&lt;&gt;"",EDATE($D76,Milestones!$AA$92)&gt;=$S76),$V76,$U76)))=Milestones!$AB$92),UPPER(TEXT(EDATE($D76,Milestones!$AA$92),"dd mmm yy"))&amp;" "&amp;Milestones!$AB$92&amp;" "&amp;Milestones!$AC$92&amp;";  ","")&amp;IF(AND(EDATE($D76,Milestones!$AA$93)&lt;=AsOfDate,IF($R76=0,$X76,IF(AND($T76&lt;&gt;"",EDATE($D76,Milestones!$AA$93)&gt;=$T76),$W76,IF(AND($S76&lt;&gt;"",EDATE($D76,Milestones!$AA$93)&gt;=$S76),$V76,$U76)))=Milestones!$AB$93),UPPER(TEXT(EDATE($D76,Milestones!$AA$93),"dd mmm yy"))&amp;" "&amp;Milestones!$AB$93&amp;" "&amp;Milestones!$AC$93&amp;";  ","")&amp;IF(AND(EDATE($D76,Milestones!$AA$94)&lt;=AsOfDate,IF($R76=0,$X76,IF(AND($T76&lt;&gt;"",EDATE($D76,Milestones!$AA$94)&gt;=$T76),$W76,IF(AND($S76&lt;&gt;"",EDATE($D76,Milestones!$AA$94)&gt;=$S76),$V76,$U76)))=Milestones!$AB$94),UPPER(TEXT(EDATE($D76,Milestones!$AA$94),"dd mmm yy"))&amp;" "&amp;Milestones!$AB$94&amp;" "&amp;Milestones!$AC$94&amp;";  ","")&amp;IF(AND(EDATE($D76,Milestones!$AA$95)&lt;=AsOfDate,IF($R76=0,$X76,IF(AND($T76&lt;&gt;"",EDATE($D76,Milestones!$AA$95)&gt;=$T76),$W76,IF(AND($S76&lt;&gt;"",EDATE($D76,Milestones!$AA$95)&gt;=$S76),$V76,$U76)))=Milestones!$AB$95),UPPER(TEXT(EDATE($D76,Milestones!$AA$95),"dd mmm yy"))&amp;" "&amp;Milestones!$AB$95&amp;" "&amp;Milestones!$AC$95&amp;";  ","")&amp;IF(AND(EDATE($D76,Milestones!$AA$96)&lt;=AsOfDate,IF($R76=0,$X76,IF(AND($T76&lt;&gt;"",EDATE($D76,Milestones!$AA$96)&gt;=$T76),$W76,IF(AND($S76&lt;&gt;"",EDATE($D76,Milestones!$AA$96)&gt;=$S76),$V76,$U76)))=Milestones!$AB$96),UPPER(TEXT(EDATE($D76,Milestones!$AA$96),"dd mmm yy"))&amp;" "&amp;Milestones!$AB$96&amp;" "&amp;Milestones!$AC$96&amp;";  ","")&amp;IF(AND(EDATE($D76,Milestones!$AA$97)&lt;=AsOfDate,IF($R76=0,$X76,IF(AND($T76&lt;&gt;"",EDATE($D76,Milestones!$AA$97)&gt;=$T76),$W76,IF(AND($S76&lt;&gt;"",EDATE($D76,Milestones!$AA$97)&gt;=$S76),$V76,$U76)))=Milestones!$AB$97),UPPER(TEXT(EDATE($D76,Milestones!$AA$97),"dd mmm yy"))&amp;" "&amp;Milestones!$AB$97&amp;" "&amp;Milestones!$AC$97&amp;";  ","")&amp;IF(AND(EDATE($D76,Milestones!$AA$98)&lt;=AsOfDate,IF($R76=0,$X76,IF(AND($T76&lt;&gt;"",EDATE($D76,Milestones!$AA$98)&gt;=$T76),$W76,IF(AND($S76&lt;&gt;"",EDATE($D76,Milestones!$AA$98)&gt;=$S76),$V76,$U76)))=Milestones!$AB$98),UPPER(TEXT(EDATE($D76,Milestones!$AA$98),"dd mmm yy"))&amp;" "&amp;Milestones!$AB$98&amp;" "&amp;Milestones!$AC$98&amp;";  ","")&amp;IF(AND(EDATE($D76,Milestones!$AA$99)&lt;=AsOfDate,IF($R76=0,$X76,IF(AND($T76&lt;&gt;"",EDATE($D76,Milestones!$AA$99)&gt;=$T76),$W76,IF(AND($S76&lt;&gt;"",EDATE($D76,Milestones!$AA$99)&gt;=$S76),$V76,$U76)))=Milestones!$AB$99),UPPER(TEXT(EDATE($D76,Milestones!$AA$99),"dd mmm yy"))&amp;" "&amp;Milestones!$AB$99&amp;" "&amp;Milestones!$AC$99&amp;";  ",""))</f>
        <v/>
      </c>
      <c r="M76" s="0" t="str">
        <f aca="false">IF(OR($A76="",$D76=""),"",IF(AND(EDATE($D76,Milestones!$AA$100)&lt;=AsOfDate,IF($R76=0,$X76,IF(AND($T76&lt;&gt;"",EDATE($D76,Milestones!$AA$100)&gt;=$T76),$W76,IF(AND($S76&lt;&gt;"",EDATE($D76,Milestones!$AA$100)&gt;=$S76),$V76,$U76)))=Milestones!$AB$100),UPPER(TEXT(EDATE($D76,Milestones!$AA$100),"dd mmm yy"))&amp;" "&amp;Milestones!$AB$100&amp;" "&amp;Milestones!$AC$100&amp;";  ","")&amp;IF(AND(EDATE($D76,Milestones!$AA$101)&lt;=AsOfDate,IF($R76=0,$X76,IF(AND($T76&lt;&gt;"",EDATE($D76,Milestones!$AA$101)&gt;=$T76),$W76,IF(AND($S76&lt;&gt;"",EDATE($D76,Milestones!$AA$101)&gt;=$S76),$V76,$U76)))=Milestones!$AB$101),UPPER(TEXT(EDATE($D76,Milestones!$AA$101),"dd mmm yy"))&amp;" "&amp;Milestones!$AB$101&amp;" "&amp;Milestones!$AC$101&amp;";  ","")&amp;IF(AND(EDATE($D76,Milestones!$AA$102)&lt;=AsOfDate,IF($R76=0,$X76,IF(AND($T76&lt;&gt;"",EDATE($D76,Milestones!$AA$102)&gt;=$T76),$W76,IF(AND($S76&lt;&gt;"",EDATE($D76,Milestones!$AA$102)&gt;=$S76),$V76,$U76)))=Milestones!$AB$102),UPPER(TEXT(EDATE($D76,Milestones!$AA$102),"dd mmm yy"))&amp;" "&amp;Milestones!$AB$102&amp;" "&amp;Milestones!$AC$102&amp;";  ","")&amp;IF(AND(EDATE($D76,Milestones!$AA$103)&lt;=AsOfDate,IF($R76=0,$X76,IF(AND($T76&lt;&gt;"",EDATE($D76,Milestones!$AA$103)&gt;=$T76),$W76,IF(AND($S76&lt;&gt;"",EDATE($D76,Milestones!$AA$103)&gt;=$S76),$V76,$U76)))=Milestones!$AB$103),UPPER(TEXT(EDATE($D76,Milestones!$AA$103),"dd mmm yy"))&amp;" "&amp;Milestones!$AB$103&amp;" "&amp;Milestones!$AC$103&amp;";  ","")&amp;IF(AND(EDATE($D76,Milestones!$AA$104)&lt;=AsOfDate,IF($R76=0,$X76,IF(AND($T76&lt;&gt;"",EDATE($D76,Milestones!$AA$104)&gt;=$T76),$W76,IF(AND($S76&lt;&gt;"",EDATE($D76,Milestones!$AA$104)&gt;=$S76),$V76,$U76)))=Milestones!$AB$104),UPPER(TEXT(EDATE($D76,Milestones!$AA$104),"dd mmm yy"))&amp;" "&amp;Milestones!$AB$104&amp;" "&amp;Milestones!$AC$104&amp;";  ","")&amp;IF(AND(EDATE($D76,Milestones!$AA$105)&lt;=AsOfDate,IF($R76=0,$X76,IF(AND($T76&lt;&gt;"",EDATE($D76,Milestones!$AA$105)&gt;=$T76),$W76,IF(AND($S76&lt;&gt;"",EDATE($D76,Milestones!$AA$105)&gt;=$S76),$V76,$U76)))=Milestones!$AB$105),UPPER(TEXT(EDATE($D76,Milestones!$AA$105),"dd mmm yy"))&amp;" "&amp;Milestones!$AB$105&amp;" "&amp;Milestones!$AC$105&amp;";  ","")&amp;IF(AND(EDATE($D76,Milestones!$AA$106)&lt;=AsOfDate,IF($R76=0,$X76,IF(AND($T76&lt;&gt;"",EDATE($D76,Milestones!$AA$106)&gt;=$T76),$W76,IF(AND($S76&lt;&gt;"",EDATE($D76,Milestones!$AA$106)&gt;=$S76),$V76,$U76)))=Milestones!$AB$106),UPPER(TEXT(EDATE($D76,Milestones!$AA$106),"dd mmm yy"))&amp;" "&amp;Milestones!$AB$106&amp;" "&amp;Milestones!$AC$106&amp;";  ","")&amp;IF(AND(EDATE($D76,Milestones!$AA$107)&lt;=AsOfDate,IF($R76=0,$X76,IF(AND($T76&lt;&gt;"",EDATE($D76,Milestones!$AA$107)&gt;=$T76),$W76,IF(AND($S76&lt;&gt;"",EDATE($D76,Milestones!$AA$107)&gt;=$S76),$V76,$U76)))=Milestones!$AB$107),UPPER(TEXT(EDATE($D76,Milestones!$AA$107),"dd mmm yy"))&amp;" "&amp;Milestones!$AB$107&amp;" "&amp;Milestones!$AC$107&amp;";  ","")&amp;IF(AND(EDATE($D76,Milestones!$AA$108)&lt;=AsOfDate,IF($R76=0,$X76,IF(AND($T76&lt;&gt;"",EDATE($D76,Milestones!$AA$108)&gt;=$T76),$W76,IF(AND($S76&lt;&gt;"",EDATE($D76,Milestones!$AA$108)&gt;=$S76),$V76,$U76)))=Milestones!$AB$108),UPPER(TEXT(EDATE($D76,Milestones!$AA$108),"dd mmm yy"))&amp;" "&amp;Milestones!$AB$108&amp;" "&amp;Milestones!$AC$108&amp;";  ","")&amp;IF(AND(EDATE($D76,Milestones!$AA$109)&lt;=AsOfDate,IF($R76=0,$X76,IF(AND($T76&lt;&gt;"",EDATE($D76,Milestones!$AA$109)&gt;=$T76),$W76,IF(AND($S76&lt;&gt;"",EDATE($D76,Milestones!$AA$109)&gt;=$S76),$V76,$U76)))=Milestones!$AB$109),UPPER(TEXT(EDATE($D76,Milestones!$AA$109),"dd mmm yy"))&amp;" "&amp;Milestones!$AB$109&amp;" "&amp;Milestones!$AC$109&amp;";  ","")&amp;IF(AND(EDATE($D76,Milestones!$AA$110)&lt;=AsOfDate,IF($R76=0,$X76,IF(AND($T76&lt;&gt;"",EDATE($D76,Milestones!$AA$110)&gt;=$T76),$W76,IF(AND($S76&lt;&gt;"",EDATE($D76,Milestones!$AA$110)&gt;=$S76),$V76,$U76)))=Milestones!$AB$110),UPPER(TEXT(EDATE($D76,Milestones!$AA$110),"dd mmm yy"))&amp;" "&amp;Milestones!$AB$110&amp;" "&amp;Milestones!$AC$110&amp;";  ","")&amp;IF(AND(EDATE($D76,Milestones!$AA$111)&lt;=AsOfDate,IF($R76=0,$X76,IF(AND($T76&lt;&gt;"",EDATE($D76,Milestones!$AA$111)&gt;=$T76),$W76,IF(AND($S76&lt;&gt;"",EDATE($D76,Milestones!$AA$111)&gt;=$S76),$V76,$U76)))=Milestones!$AB$111),UPPER(TEXT(EDATE($D76,Milestones!$AA$111),"dd mmm yy"))&amp;" "&amp;Milestones!$AB$111&amp;" "&amp;Milestones!$AC$111&amp;";  ","")&amp;IF(AND(EDATE($D76,Milestones!$AA$112)&lt;=AsOfDate,IF($R76=0,$X76,IF(AND($T76&lt;&gt;"",EDATE($D76,Milestones!$AA$112)&gt;=$T76),$W76,IF(AND($S76&lt;&gt;"",EDATE($D76,Milestones!$AA$112)&gt;=$S76),$V76,$U76)))=Milestones!$AB$112),UPPER(TEXT(EDATE($D76,Milestones!$AA$112),"dd mmm yy"))&amp;" "&amp;Milestones!$AB$112&amp;" "&amp;Milestones!$AC$112&amp;";  ","")&amp;IF(AND(EDATE($D76,Milestones!$AA$113)&lt;=AsOfDate,IF($R76=0,$X76,IF(AND($T76&lt;&gt;"",EDATE($D76,Milestones!$AA$113)&gt;=$T76),$W76,IF(AND($S76&lt;&gt;"",EDATE($D76,Milestones!$AA$113)&gt;=$S76),$V76,$U76)))=Milestones!$AB$113),UPPER(TEXT(EDATE($D76,Milestones!$AA$113),"dd mmm yy"))&amp;" "&amp;Milestones!$AB$113&amp;" "&amp;Milestones!$AC$113&amp;";  ","")&amp;IF(AND(EDATE($D76,Milestones!$AA$114)&lt;=AsOfDate,IF($R76=0,$X76,IF(AND($T76&lt;&gt;"",EDATE($D76,Milestones!$AA$114)&gt;=$T76),$W76,IF(AND($S76&lt;&gt;"",EDATE($D76,Milestones!$AA$114)&gt;=$S76),$V76,$U76)))=Milestones!$AB$114),UPPER(TEXT(EDATE($D76,Milestones!$AA$114),"dd mmm yy"))&amp;" "&amp;Milestones!$AB$114&amp;" "&amp;Milestones!$AC$114&amp;";  ","")&amp;IF(AND(EDATE($D76,Milestones!$AA$115)&lt;=AsOfDate,IF($R76=0,$X76,IF(AND($T76&lt;&gt;"",EDATE($D76,Milestones!$AA$115)&gt;=$T76),$W76,IF(AND($S76&lt;&gt;"",EDATE($D76,Milestones!$AA$115)&gt;=$S76),$V76,$U76)))=Milestones!$AB$115),UPPER(TEXT(EDATE($D76,Milestones!$AA$115),"dd mmm yy"))&amp;" "&amp;Milestones!$AB$115&amp;" "&amp;Milestones!$AC$115&amp;";  ","")&amp;IF(AND(EDATE($D76,Milestones!$AA$116)&lt;=AsOfDate,IF($R76=0,$X76,IF(AND($T76&lt;&gt;"",EDATE($D76,Milestones!$AA$116)&gt;=$T76),$W76,IF(AND($S76&lt;&gt;"",EDATE($D76,Milestones!$AA$116)&gt;=$S76),$V76,$U76)))=Milestones!$AB$116),UPPER(TEXT(EDATE($D76,Milestones!$AA$116),"dd mmm yy"))&amp;" "&amp;Milestones!$AB$116&amp;" "&amp;Milestones!$AC$116&amp;";  ","")&amp;IF(AND(EDATE($D76,Milestones!$AA$117)&lt;=AsOfDate,IF($R76=0,$X76,IF(AND($T76&lt;&gt;"",EDATE($D76,Milestones!$AA$117)&gt;=$T76),$W76,IF(AND($S76&lt;&gt;"",EDATE($D76,Milestones!$AA$117)&gt;=$S76),$V76,$U76)))=Milestones!$AB$117),UPPER(TEXT(EDATE($D76,Milestones!$AA$117),"dd mmm yy"))&amp;" "&amp;Milestones!$AB$117&amp;" "&amp;Milestones!$AC$117&amp;";  ","")&amp;IF(AND(EDATE($D76,Milestones!$AA$118)&lt;=AsOfDate,IF($R76=0,$X76,IF(AND($T76&lt;&gt;"",EDATE($D76,Milestones!$AA$118)&gt;=$T76),$W76,IF(AND($S76&lt;&gt;"",EDATE($D76,Milestones!$AA$118)&gt;=$S76),$V76,$U76)))=Milestones!$AB$118),UPPER(TEXT(EDATE($D76,Milestones!$AA$118),"dd mmm yy"))&amp;" "&amp;Milestones!$AB$118&amp;" "&amp;Milestones!$AC$118&amp;";  ","")&amp;IF(AND(EDATE($D76,Milestones!$AA$119)&lt;=AsOfDate,IF($R76=0,$X76,IF(AND($T76&lt;&gt;"",EDATE($D76,Milestones!$AA$119)&gt;=$T76),$W76,IF(AND($S76&lt;&gt;"",EDATE($D76,Milestones!$AA$119)&gt;=$S76),$V76,$U76)))=Milestones!$AB$119),UPPER(TEXT(EDATE($D76,Milestones!$AA$119),"dd mmm yy"))&amp;" "&amp;Milestones!$AB$119&amp;" "&amp;Milestones!$AC$119&amp;";  ",""))</f>
        <v/>
      </c>
      <c r="N76" s="0" t="str">
        <f aca="false">IF(OR($A76="",$D76=""),"",IF(AND(EDATE($D76,Milestones!$AA$120)&lt;=AsOfDate,IF($R76=0,$X76,IF(AND($T76&lt;&gt;"",EDATE($D76,Milestones!$AA$120)&gt;=$T76),$W76,IF(AND($S76&lt;&gt;"",EDATE($D76,Milestones!$AA$120)&gt;=$S76),$V76,$U76)))=Milestones!$AB$120),UPPER(TEXT(EDATE($D76,Milestones!$AA$120),"dd mmm yy"))&amp;" "&amp;Milestones!$AB$120&amp;" "&amp;Milestones!$AC$120&amp;";  ","")&amp;IF(AND(EDATE($D76,Milestones!$AA$121)&lt;=AsOfDate,IF($R76=0,$X76,IF(AND($T76&lt;&gt;"",EDATE($D76,Milestones!$AA$121)&gt;=$T76),$W76,IF(AND($S76&lt;&gt;"",EDATE($D76,Milestones!$AA$121)&gt;=$S76),$V76,$U76)))=Milestones!$AB$121),UPPER(TEXT(EDATE($D76,Milestones!$AA$121),"dd mmm yy"))&amp;" "&amp;Milestones!$AB$121&amp;" "&amp;Milestones!$AC$121&amp;";  ","")&amp;IF(AND(EDATE($D76,Milestones!$AA$122)&lt;=AsOfDate,IF($R76=0,$X76,IF(AND($T76&lt;&gt;"",EDATE($D76,Milestones!$AA$122)&gt;=$T76),$W76,IF(AND($S76&lt;&gt;"",EDATE($D76,Milestones!$AA$122)&gt;=$S76),$V76,$U76)))=Milestones!$AB$122),UPPER(TEXT(EDATE($D76,Milestones!$AA$122),"dd mmm yy"))&amp;" "&amp;Milestones!$AB$122&amp;" "&amp;Milestones!$AC$122&amp;";  ","")&amp;IF(AND(EDATE($D76,Milestones!$AA$123)&lt;=AsOfDate,IF($R76=0,$X76,IF(AND($T76&lt;&gt;"",EDATE($D76,Milestones!$AA$123)&gt;=$T76),$W76,IF(AND($S76&lt;&gt;"",EDATE($D76,Milestones!$AA$123)&gt;=$S76),$V76,$U76)))=Milestones!$AB$123),UPPER(TEXT(EDATE($D76,Milestones!$AA$123),"dd mmm yy"))&amp;" "&amp;Milestones!$AB$123&amp;" "&amp;Milestones!$AC$123&amp;";  ","")&amp;IF(AND(EDATE($D76,Milestones!$AA$124)&lt;=AsOfDate,IF($R76=0,$X76,IF(AND($T76&lt;&gt;"",EDATE($D76,Milestones!$AA$124)&gt;=$T76),$W76,IF(AND($S76&lt;&gt;"",EDATE($D76,Milestones!$AA$124)&gt;=$S76),$V76,$U76)))=Milestones!$AB$124),UPPER(TEXT(EDATE($D76,Milestones!$AA$124),"dd mmm yy"))&amp;" "&amp;Milestones!$AB$124&amp;" "&amp;Milestones!$AC$124&amp;";  ","")&amp;IF(AND(EDATE($D76,Milestones!$AA$125)&lt;=AsOfDate,IF($R76=0,$X76,IF(AND($T76&lt;&gt;"",EDATE($D76,Milestones!$AA$125)&gt;=$T76),$W76,IF(AND($S76&lt;&gt;"",EDATE($D76,Milestones!$AA$125)&gt;=$S76),$V76,$U76)))=Milestones!$AB$125),UPPER(TEXT(EDATE($D76,Milestones!$AA$125),"dd mmm yy"))&amp;" "&amp;Milestones!$AB$125&amp;" "&amp;Milestones!$AC$125&amp;";  ","")&amp;IF(AND(EDATE($D76,Milestones!$AA$126)&lt;=AsOfDate,IF($R76=0,$X76,IF(AND($T76&lt;&gt;"",EDATE($D76,Milestones!$AA$126)&gt;=$T76),$W76,IF(AND($S76&lt;&gt;"",EDATE($D76,Milestones!$AA$126)&gt;=$S76),$V76,$U76)))=Milestones!$AB$126),UPPER(TEXT(EDATE($D76,Milestones!$AA$126),"dd mmm yy"))&amp;" "&amp;Milestones!$AB$126&amp;" "&amp;Milestones!$AC$126&amp;";  ","")&amp;IF(AND(EDATE($D76,Milestones!$AA$127)&lt;=AsOfDate,IF($R76=0,$X76,IF(AND($T76&lt;&gt;"",EDATE($D76,Milestones!$AA$127)&gt;=$T76),$W76,IF(AND($S76&lt;&gt;"",EDATE($D76,Milestones!$AA$127)&gt;=$S76),$V76,$U76)))=Milestones!$AB$127),UPPER(TEXT(EDATE($D76,Milestones!$AA$127),"dd mmm yy"))&amp;" "&amp;Milestones!$AB$127&amp;" "&amp;Milestones!$AC$127&amp;";  ","")&amp;IF(AND(EDATE($D76,Milestones!$AA$128)&lt;=AsOfDate,IF($R76=0,$X76,IF(AND($T76&lt;&gt;"",EDATE($D76,Milestones!$AA$128)&gt;=$T76),$W76,IF(AND($S76&lt;&gt;"",EDATE($D76,Milestones!$AA$128)&gt;=$S76),$V76,$U76)))=Milestones!$AB$128),UPPER(TEXT(EDATE($D76,Milestones!$AA$128),"dd mmm yy"))&amp;" "&amp;Milestones!$AB$128&amp;" "&amp;Milestones!$AC$128&amp;";  ","")&amp;IF(AND(EDATE($D76,Milestones!$AA$129)&lt;=AsOfDate,IF($R76=0,$X76,IF(AND($T76&lt;&gt;"",EDATE($D76,Milestones!$AA$129)&gt;=$T76),$W76,IF(AND($S76&lt;&gt;"",EDATE($D76,Milestones!$AA$129)&gt;=$S76),$V76,$U76)))=Milestones!$AB$129),UPPER(TEXT(EDATE($D76,Milestones!$AA$129),"dd mmm yy"))&amp;" "&amp;Milestones!$AB$129&amp;" "&amp;Milestones!$AC$129&amp;";  ","")&amp;IF(AND(EDATE($D76,Milestones!$AA$130)&lt;=AsOfDate,IF($R76=0,$X76,IF(AND($T76&lt;&gt;"",EDATE($D76,Milestones!$AA$130)&gt;=$T76),$W76,IF(AND($S76&lt;&gt;"",EDATE($D76,Milestones!$AA$130)&gt;=$S76),$V76,$U76)))=Milestones!$AB$130),UPPER(TEXT(EDATE($D76,Milestones!$AA$130),"dd mmm yy"))&amp;" "&amp;Milestones!$AB$130&amp;" "&amp;Milestones!$AC$130&amp;";  ","")&amp;IF(AND(EDATE($D76,Milestones!$AA$131)&lt;=AsOfDate,IF($R76=0,$X76,IF(AND($T76&lt;&gt;"",EDATE($D76,Milestones!$AA$131)&gt;=$T76),$W76,IF(AND($S76&lt;&gt;"",EDATE($D76,Milestones!$AA$131)&gt;=$S76),$V76,$U76)))=Milestones!$AB$131),UPPER(TEXT(EDATE($D76,Milestones!$AA$131),"dd mmm yy"))&amp;" "&amp;Milestones!$AB$131&amp;" "&amp;Milestones!$AC$131&amp;";  ","")&amp;IF(AND(EDATE($D76,Milestones!$AA$132)&lt;=AsOfDate,IF($R76=0,$X76,IF(AND($T76&lt;&gt;"",EDATE($D76,Milestones!$AA$132)&gt;=$T76),$W76,IF(AND($S76&lt;&gt;"",EDATE($D76,Milestones!$AA$132)&gt;=$S76),$V76,$U76)))=Milestones!$AB$132),UPPER(TEXT(EDATE($D76,Milestones!$AA$132),"dd mmm yy"))&amp;" "&amp;Milestones!$AB$132&amp;" "&amp;Milestones!$AC$132&amp;";  ","")&amp;IF(AND(EDATE($D76,Milestones!$AA$133)&lt;=AsOfDate,IF($R76=0,$X76,IF(AND($T76&lt;&gt;"",EDATE($D76,Milestones!$AA$133)&gt;=$T76),$W76,IF(AND($S76&lt;&gt;"",EDATE($D76,Milestones!$AA$133)&gt;=$S76),$V76,$U76)))=Milestones!$AB$133),UPPER(TEXT(EDATE($D76,Milestones!$AA$133),"dd mmm yy"))&amp;" "&amp;Milestones!$AB$133&amp;" "&amp;Milestones!$AC$133&amp;";  ","")&amp;IF(AND(EDATE($D76,Milestones!$AA$134)&lt;=AsOfDate,IF($R76=0,$X76,IF(AND($T76&lt;&gt;"",EDATE($D76,Milestones!$AA$134)&gt;=$T76),$W76,IF(AND($S76&lt;&gt;"",EDATE($D76,Milestones!$AA$134)&gt;=$S76),$V76,$U76)))=Milestones!$AB$134),UPPER(TEXT(EDATE($D76,Milestones!$AA$134),"dd mmm yy"))&amp;" "&amp;Milestones!$AB$134&amp;" "&amp;Milestones!$AC$134&amp;";  ","")&amp;IF(AND(EDATE($D76,Milestones!$AA$135)&lt;=AsOfDate,IF($R76=0,$X76,IF(AND($T76&lt;&gt;"",EDATE($D76,Milestones!$AA$135)&gt;=$T76),$W76,IF(AND($S76&lt;&gt;"",EDATE($D76,Milestones!$AA$135)&gt;=$S76),$V76,$U76)))=Milestones!$AB$135),UPPER(TEXT(EDATE($D76,Milestones!$AA$135),"dd mmm yy"))&amp;" "&amp;Milestones!$AB$135&amp;" "&amp;Milestones!$AC$135&amp;";  ","")&amp;IF(AND(EDATE($D76,Milestones!$AA$136)&lt;=AsOfDate,IF($R76=0,$X76,IF(AND($T76&lt;&gt;"",EDATE($D76,Milestones!$AA$136)&gt;=$T76),$W76,IF(AND($S76&lt;&gt;"",EDATE($D76,Milestones!$AA$136)&gt;=$S76),$V76,$U76)))=Milestones!$AB$136),UPPER(TEXT(EDATE($D76,Milestones!$AA$136),"dd mmm yy"))&amp;" "&amp;Milestones!$AB$136&amp;" "&amp;Milestones!$AC$136&amp;";  ","")&amp;IF(AND(EDATE($D76,Milestones!$AA$137)&lt;=AsOfDate,IF($R76=0,$X76,IF(AND($T76&lt;&gt;"",EDATE($D76,Milestones!$AA$137)&gt;=$T76),$W76,IF(AND($S76&lt;&gt;"",EDATE($D76,Milestones!$AA$137)&gt;=$S76),$V76,$U76)))=Milestones!$AB$137),UPPER(TEXT(EDATE($D76,Milestones!$AA$137),"dd mmm yy"))&amp;" "&amp;Milestones!$AB$137&amp;" "&amp;Milestones!$AC$137&amp;";  ","")&amp;IF(AND(EDATE($D76,Milestones!$AA$138)&lt;=AsOfDate,IF($R76=0,$X76,IF(AND($T76&lt;&gt;"",EDATE($D76,Milestones!$AA$138)&gt;=$T76),$W76,IF(AND($S76&lt;&gt;"",EDATE($D76,Milestones!$AA$138)&gt;=$S76),$V76,$U76)))=Milestones!$AB$138),UPPER(TEXT(EDATE($D76,Milestones!$AA$138),"dd mmm yy"))&amp;" "&amp;Milestones!$AB$138&amp;" "&amp;Milestones!$AC$138&amp;";  ","")&amp;IF(AND(EDATE($D76,Milestones!$AA$139)&lt;=AsOfDate,IF($R76=0,$X76,IF(AND($T76&lt;&gt;"",EDATE($D76,Milestones!$AA$139)&gt;=$T76),$W76,IF(AND($S76&lt;&gt;"",EDATE($D76,Milestones!$AA$139)&gt;=$S76),$V76,$U76)))=Milestones!$AB$139),UPPER(TEXT(EDATE($D76,Milestones!$AA$139),"dd mmm yy"))&amp;" "&amp;Milestones!$AB$139&amp;" "&amp;Milestones!$AC$139&amp;";  ",""))</f>
        <v/>
      </c>
      <c r="O76" s="0" t="str">
        <f aca="false">IF(OR($A76="",$D76=""),"",IF(AND(EDATE($D76,Milestones!$AA$140)&lt;=AsOfDate,IF($R76=0,$X76,IF(AND($T76&lt;&gt;"",EDATE($D76,Milestones!$AA$140)&gt;=$T76),$W76,IF(AND($S76&lt;&gt;"",EDATE($D76,Milestones!$AA$140)&gt;=$S76),$V76,$U76)))=Milestones!$AB$140),UPPER(TEXT(EDATE($D76,Milestones!$AA$140),"dd mmm yy"))&amp;" "&amp;Milestones!$AB$140&amp;" "&amp;Milestones!$AC$140&amp;";  ","")&amp;IF(AND(EDATE($D76,Milestones!$AA$141)&lt;=AsOfDate,IF($R76=0,$X76,IF(AND($T76&lt;&gt;"",EDATE($D76,Milestones!$AA$141)&gt;=$T76),$W76,IF(AND($S76&lt;&gt;"",EDATE($D76,Milestones!$AA$141)&gt;=$S76),$V76,$U76)))=Milestones!$AB$141),UPPER(TEXT(EDATE($D76,Milestones!$AA$141),"dd mmm yy"))&amp;" "&amp;Milestones!$AB$141&amp;" "&amp;Milestones!$AC$141&amp;";  ","")&amp;IF(AND(EDATE($D76,Milestones!$AA$142)&lt;=AsOfDate,IF($R76=0,$X76,IF(AND($T76&lt;&gt;"",EDATE($D76,Milestones!$AA$142)&gt;=$T76),$W76,IF(AND($S76&lt;&gt;"",EDATE($D76,Milestones!$AA$142)&gt;=$S76),$V76,$U76)))=Milestones!$AB$142),UPPER(TEXT(EDATE($D76,Milestones!$AA$142),"dd mmm yy"))&amp;" "&amp;Milestones!$AB$142&amp;" "&amp;Milestones!$AC$142&amp;";  ","")&amp;IF(AND(EDATE($D76,Milestones!$AA$143)&lt;=AsOfDate,IF($R76=0,$X76,IF(AND($T76&lt;&gt;"",EDATE($D76,Milestones!$AA$143)&gt;=$T76),$W76,IF(AND($S76&lt;&gt;"",EDATE($D76,Milestones!$AA$143)&gt;=$S76),$V76,$U76)))=Milestones!$AB$143),UPPER(TEXT(EDATE($D76,Milestones!$AA$143),"dd mmm yy"))&amp;" "&amp;Milestones!$AB$143&amp;" "&amp;Milestones!$AC$143&amp;";  ","")&amp;IF(AND(EDATE($D76,Milestones!$AA$144)&lt;=AsOfDate,IF($R76=0,$X76,IF(AND($T76&lt;&gt;"",EDATE($D76,Milestones!$AA$144)&gt;=$T76),$W76,IF(AND($S76&lt;&gt;"",EDATE($D76,Milestones!$AA$144)&gt;=$S76),$V76,$U76)))=Milestones!$AB$144),UPPER(TEXT(EDATE($D76,Milestones!$AA$144),"dd mmm yy"))&amp;" "&amp;Milestones!$AB$144&amp;" "&amp;Milestones!$AC$144&amp;";  ","")&amp;IF(AND(EDATE($D76,Milestones!$AA$145)&lt;=AsOfDate,IF($R76=0,$X76,IF(AND($T76&lt;&gt;"",EDATE($D76,Milestones!$AA$145)&gt;=$T76),$W76,IF(AND($S76&lt;&gt;"",EDATE($D76,Milestones!$AA$145)&gt;=$S76),$V76,$U76)))=Milestones!$AB$145),UPPER(TEXT(EDATE($D76,Milestones!$AA$145),"dd mmm yy"))&amp;" "&amp;Milestones!$AB$145&amp;" "&amp;Milestones!$AC$145&amp;";  ","")&amp;IF(AND(EDATE($D76,Milestones!$AA$146)&lt;=AsOfDate,IF($R76=0,$X76,IF(AND($T76&lt;&gt;"",EDATE($D76,Milestones!$AA$146)&gt;=$T76),$W76,IF(AND($S76&lt;&gt;"",EDATE($D76,Milestones!$AA$146)&gt;=$S76),$V76,$U76)))=Milestones!$AB$146),UPPER(TEXT(EDATE($D76,Milestones!$AA$146),"dd mmm yy"))&amp;" "&amp;Milestones!$AB$146&amp;" "&amp;Milestones!$AC$146&amp;";  ","")&amp;IF(AND(EDATE($D76,Milestones!$AA$147)&lt;=AsOfDate,IF($R76=0,$X76,IF(AND($T76&lt;&gt;"",EDATE($D76,Milestones!$AA$147)&gt;=$T76),$W76,IF(AND($S76&lt;&gt;"",EDATE($D76,Milestones!$AA$147)&gt;=$S76),$V76,$U76)))=Milestones!$AB$147),UPPER(TEXT(EDATE($D76,Milestones!$AA$147),"dd mmm yy"))&amp;" "&amp;Milestones!$AB$147&amp;" "&amp;Milestones!$AC$147&amp;";  ","")&amp;IF(AND(EDATE($D76,Milestones!$AA$148)&lt;=AsOfDate,IF($R76=0,$X76,IF(AND($T76&lt;&gt;"",EDATE($D76,Milestones!$AA$148)&gt;=$T76),$W76,IF(AND($S76&lt;&gt;"",EDATE($D76,Milestones!$AA$148)&gt;=$S76),$V76,$U76)))=Milestones!$AB$148),UPPER(TEXT(EDATE($D76,Milestones!$AA$148),"dd mmm yy"))&amp;" "&amp;Milestones!$AB$148&amp;" "&amp;Milestones!$AC$148&amp;";  ","")&amp;IF(AND(EDATE($D76,Milestones!$AA$149)&lt;=AsOfDate,IF($R76=0,$X76,IF(AND($T76&lt;&gt;"",EDATE($D76,Milestones!$AA$149)&gt;=$T76),$W76,IF(AND($S76&lt;&gt;"",EDATE($D76,Milestones!$AA$149)&gt;=$S76),$V76,$U76)))=Milestones!$AB$149),UPPER(TEXT(EDATE($D76,Milestones!$AA$149),"dd mmm yy"))&amp;" "&amp;Milestones!$AB$149&amp;" "&amp;Milestones!$AC$149&amp;";  ","")&amp;IF(AND(EDATE($D76,Milestones!$AA$150)&lt;=AsOfDate,IF($R76=0,$X76,IF(AND($T76&lt;&gt;"",EDATE($D76,Milestones!$AA$150)&gt;=$T76),$W76,IF(AND($S76&lt;&gt;"",EDATE($D76,Milestones!$AA$150)&gt;=$S76),$V76,$U76)))=Milestones!$AB$150),UPPER(TEXT(EDATE($D76,Milestones!$AA$150),"dd mmm yy"))&amp;" "&amp;Milestones!$AB$150&amp;" "&amp;Milestones!$AC$150&amp;";  ","")&amp;IF(AND(EDATE($D76,Milestones!$AA$151)&lt;=AsOfDate,IF($R76=0,$X76,IF(AND($T76&lt;&gt;"",EDATE($D76,Milestones!$AA$151)&gt;=$T76),$W76,IF(AND($S76&lt;&gt;"",EDATE($D76,Milestones!$AA$151)&gt;=$S76),$V76,$U76)))=Milestones!$AB$151),UPPER(TEXT(EDATE($D76,Milestones!$AA$151),"dd mmm yy"))&amp;" "&amp;Milestones!$AB$151&amp;" "&amp;Milestones!$AC$151&amp;";  ","")&amp;IF(AND(EDATE($D76,Milestones!$AA$152)&lt;=AsOfDate,IF($R76=0,$X76,IF(AND($T76&lt;&gt;"",EDATE($D76,Milestones!$AA$152)&gt;=$T76),$W76,IF(AND($S76&lt;&gt;"",EDATE($D76,Milestones!$AA$152)&gt;=$S76),$V76,$U76)))=Milestones!$AB$152),UPPER(TEXT(EDATE($D76,Milestones!$AA$152),"dd mmm yy"))&amp;" "&amp;Milestones!$AB$152&amp;" "&amp;Milestones!$AC$152&amp;";  ","")&amp;IF(AND(EDATE($D76,Milestones!$AA$153)&lt;=AsOfDate,IF($R76=0,$X76,IF(AND($T76&lt;&gt;"",EDATE($D76,Milestones!$AA$153)&gt;=$T76),$W76,IF(AND($S76&lt;&gt;"",EDATE($D76,Milestones!$AA$153)&gt;=$S76),$V76,$U76)))=Milestones!$AB$153),UPPER(TEXT(EDATE($D76,Milestones!$AA$153),"dd mmm yy"))&amp;" "&amp;Milestones!$AB$153&amp;" "&amp;Milestones!$AC$153&amp;";  ","")&amp;IF(AND(EDATE($D76,Milestones!$AA$154)&lt;=AsOfDate,IF($R76=0,$X76,IF(AND($T76&lt;&gt;"",EDATE($D76,Milestones!$AA$154)&gt;=$T76),$W76,IF(AND($S76&lt;&gt;"",EDATE($D76,Milestones!$AA$154)&gt;=$S76),$V76,$U76)))=Milestones!$AB$154),UPPER(TEXT(EDATE($D76,Milestones!$AA$154),"dd mmm yy"))&amp;" "&amp;Milestones!$AB$154&amp;" "&amp;Milestones!$AC$154&amp;";  ","")&amp;IF(AND(EDATE($D76,Milestones!$AA$155)&lt;=AsOfDate,IF($R76=0,$X76,IF(AND($T76&lt;&gt;"",EDATE($D76,Milestones!$AA$155)&gt;=$T76),$W76,IF(AND($S76&lt;&gt;"",EDATE($D76,Milestones!$AA$155)&gt;=$S76),$V76,$U76)))=Milestones!$AB$155),UPPER(TEXT(EDATE($D76,Milestones!$AA$155),"dd mmm yy"))&amp;" "&amp;Milestones!$AB$155&amp;" "&amp;Milestones!$AC$155&amp;";  ","")&amp;IF(AND(EDATE($D76,Milestones!$AA$156)&lt;=AsOfDate,IF($R76=0,$X76,IF(AND($T76&lt;&gt;"",EDATE($D76,Milestones!$AA$156)&gt;=$T76),$W76,IF(AND($S76&lt;&gt;"",EDATE($D76,Milestones!$AA$156)&gt;=$S76),$V76,$U76)))=Milestones!$AB$156),UPPER(TEXT(EDATE($D76,Milestones!$AA$156),"dd mmm yy"))&amp;" "&amp;Milestones!$AB$156&amp;" "&amp;Milestones!$AC$156&amp;";  ","")&amp;IF(AND(EDATE($D76,Milestones!$AA$157)&lt;=AsOfDate,IF($R76=0,$X76,IF(AND($T76&lt;&gt;"",EDATE($D76,Milestones!$AA$157)&gt;=$T76),$W76,IF(AND($S76&lt;&gt;"",EDATE($D76,Milestones!$AA$157)&gt;=$S76),$V76,$U76)))=Milestones!$AB$157),UPPER(TEXT(EDATE($D76,Milestones!$AA$157),"dd mmm yy"))&amp;" "&amp;Milestones!$AB$157&amp;" "&amp;Milestones!$AC$157&amp;";  ","")&amp;IF(AND(EDATE($D76,Milestones!$AA$158)&lt;=AsOfDate,IF($R76=0,$X76,IF(AND($T76&lt;&gt;"",EDATE($D76,Milestones!$AA$158)&gt;=$T76),$W76,IF(AND($S76&lt;&gt;"",EDATE($D76,Milestones!$AA$158)&gt;=$S76),$V76,$U76)))=Milestones!$AB$158),UPPER(TEXT(EDATE($D76,Milestones!$AA$158),"dd mmm yy"))&amp;" "&amp;Milestones!$AB$158&amp;" "&amp;Milestones!$AC$158&amp;";  ","")&amp;IF(AND(EDATE($D76,Milestones!$AA$159)&lt;=AsOfDate,IF($R76=0,$X76,IF(AND($T76&lt;&gt;"",EDATE($D76,Milestones!$AA$159)&gt;=$T76),$W76,IF(AND($S76&lt;&gt;"",EDATE($D76,Milestones!$AA$159)&gt;=$S76),$V76,$U76)))=Milestones!$AB$159),UPPER(TEXT(EDATE($D76,Milestones!$AA$159),"dd mmm yy"))&amp;" "&amp;Milestones!$AB$159&amp;" "&amp;Milestones!$AC$159&amp;";  ",""))</f>
        <v/>
      </c>
      <c r="P76" s="0" t="str">
        <f aca="false">IF(OR($A76="",$D76=""),"",IF(AND(EDATE($D76,Milestones!$AA$160)&lt;=AsOfDate,IF($R76=0,$X76,IF(AND($T76&lt;&gt;"",EDATE($D76,Milestones!$AA$160)&gt;=$T76),$W76,IF(AND($S76&lt;&gt;"",EDATE($D76,Milestones!$AA$160)&gt;=$S76),$V76,$U76)))=Milestones!$AB$160),UPPER(TEXT(EDATE($D76,Milestones!$AA$160),"dd mmm yy"))&amp;" "&amp;Milestones!$AB$160&amp;" "&amp;Milestones!$AC$160&amp;";  ","")&amp;IF(AND(EDATE($D76,Milestones!$AA$161)&lt;=AsOfDate,IF($R76=0,$X76,IF(AND($T76&lt;&gt;"",EDATE($D76,Milestones!$AA$161)&gt;=$T76),$W76,IF(AND($S76&lt;&gt;"",EDATE($D76,Milestones!$AA$161)&gt;=$S76),$V76,$U76)))=Milestones!$AB$161),UPPER(TEXT(EDATE($D76,Milestones!$AA$161),"dd mmm yy"))&amp;" "&amp;Milestones!$AB$161&amp;" "&amp;Milestones!$AC$161&amp;";  ","")&amp;IF(AND(EDATE($D76,Milestones!$AA$162)&lt;=AsOfDate,IF($R76=0,$X76,IF(AND($T76&lt;&gt;"",EDATE($D76,Milestones!$AA$162)&gt;=$T76),$W76,IF(AND($S76&lt;&gt;"",EDATE($D76,Milestones!$AA$162)&gt;=$S76),$V76,$U76)))=Milestones!$AB$162),UPPER(TEXT(EDATE($D76,Milestones!$AA$162),"dd mmm yy"))&amp;" "&amp;Milestones!$AB$162&amp;" "&amp;Milestones!$AC$162&amp;";  ","")&amp;IF(AND(EDATE($D76,Milestones!$AA$163)&lt;=AsOfDate,IF($R76=0,$X76,IF(AND($T76&lt;&gt;"",EDATE($D76,Milestones!$AA$163)&gt;=$T76),$W76,IF(AND($S76&lt;&gt;"",EDATE($D76,Milestones!$AA$163)&gt;=$S76),$V76,$U76)))=Milestones!$AB$163),UPPER(TEXT(EDATE($D76,Milestones!$AA$163),"dd mmm yy"))&amp;" "&amp;Milestones!$AB$163&amp;" "&amp;Milestones!$AC$163&amp;";  ","")&amp;IF(AND(EDATE($D76,Milestones!$AA$164)&lt;=AsOfDate,IF($R76=0,$X76,IF(AND($T76&lt;&gt;"",EDATE($D76,Milestones!$AA$164)&gt;=$T76),$W76,IF(AND($S76&lt;&gt;"",EDATE($D76,Milestones!$AA$164)&gt;=$S76),$V76,$U76)))=Milestones!$AB$164),UPPER(TEXT(EDATE($D76,Milestones!$AA$164),"dd mmm yy"))&amp;" "&amp;Milestones!$AB$164&amp;" "&amp;Milestones!$AC$164&amp;";  ","")&amp;IF(AND(EDATE($D76,Milestones!$AA$165)&lt;=AsOfDate,IF($R76=0,$X76,IF(AND($T76&lt;&gt;"",EDATE($D76,Milestones!$AA$165)&gt;=$T76),$W76,IF(AND($S76&lt;&gt;"",EDATE($D76,Milestones!$AA$165)&gt;=$S76),$V76,$U76)))=Milestones!$AB$165),UPPER(TEXT(EDATE($D76,Milestones!$AA$165),"dd mmm yy"))&amp;" "&amp;Milestones!$AB$165&amp;" "&amp;Milestones!$AC$165&amp;";  ","")&amp;IF(AND(EDATE($D76,Milestones!$AA$166)&lt;=AsOfDate,IF($R76=0,$X76,IF(AND($T76&lt;&gt;"",EDATE($D76,Milestones!$AA$166)&gt;=$T76),$W76,IF(AND($S76&lt;&gt;"",EDATE($D76,Milestones!$AA$166)&gt;=$S76),$V76,$U76)))=Milestones!$AB$166),UPPER(TEXT(EDATE($D76,Milestones!$AA$166),"dd mmm yy"))&amp;" "&amp;Milestones!$AB$166&amp;" "&amp;Milestones!$AC$166&amp;";  ","")&amp;IF(AND(EDATE($D76,Milestones!$AA$167)&lt;=AsOfDate,IF($R76=0,$X76,IF(AND($T76&lt;&gt;"",EDATE($D76,Milestones!$AA$167)&gt;=$T76),$W76,IF(AND($S76&lt;&gt;"",EDATE($D76,Milestones!$AA$167)&gt;=$S76),$V76,$U76)))=Milestones!$AB$167),UPPER(TEXT(EDATE($D76,Milestones!$AA$167),"dd mmm yy"))&amp;" "&amp;Milestones!$AB$167&amp;" "&amp;Milestones!$AC$167&amp;";  ","")&amp;IF(AND(EDATE($D76,Milestones!$AA$168)&lt;=AsOfDate,IF($R76=0,$X76,IF(AND($T76&lt;&gt;"",EDATE($D76,Milestones!$AA$168)&gt;=$T76),$W76,IF(AND($S76&lt;&gt;"",EDATE($D76,Milestones!$AA$168)&gt;=$S76),$V76,$U76)))=Milestones!$AB$168),UPPER(TEXT(EDATE($D76,Milestones!$AA$168),"dd mmm yy"))&amp;" "&amp;Milestones!$AB$168&amp;" "&amp;Milestones!$AC$168&amp;";  ","")&amp;IF(AND(EDATE($D76,Milestones!$AA$169)&lt;=AsOfDate,IF($R76=0,$X76,IF(AND($T76&lt;&gt;"",EDATE($D76,Milestones!$AA$169)&gt;=$T76),$W76,IF(AND($S76&lt;&gt;"",EDATE($D76,Milestones!$AA$169)&gt;=$S76),$V76,$U76)))=Milestones!$AB$169),UPPER(TEXT(EDATE($D76,Milestones!$AA$169),"dd mmm yy"))&amp;" "&amp;Milestones!$AB$169&amp;" "&amp;Milestones!$AC$169&amp;";  ","")&amp;IF(AND(EDATE($D76,Milestones!$AA$170)&lt;=AsOfDate,IF($R76=0,$X76,IF(AND($T76&lt;&gt;"",EDATE($D76,Milestones!$AA$170)&gt;=$T76),$W76,IF(AND($S76&lt;&gt;"",EDATE($D76,Milestones!$AA$170)&gt;=$S76),$V76,$U76)))=Milestones!$AB$170),UPPER(TEXT(EDATE($D76,Milestones!$AA$170),"dd mmm yy"))&amp;" "&amp;Milestones!$AB$170&amp;" "&amp;Milestones!$AC$170&amp;";  ","")&amp;IF(AND(EDATE($D76,Milestones!$AA$171)&lt;=AsOfDate,IF($R76=0,$X76,IF(AND($T76&lt;&gt;"",EDATE($D76,Milestones!$AA$171)&gt;=$T76),$W76,IF(AND($S76&lt;&gt;"",EDATE($D76,Milestones!$AA$171)&gt;=$S76),$V76,$U76)))=Milestones!$AB$171),UPPER(TEXT(EDATE($D76,Milestones!$AA$171),"dd mmm yy"))&amp;" "&amp;Milestones!$AB$171&amp;" "&amp;Milestones!$AC$171&amp;";  ","")&amp;IF(AND(EDATE($D76,Milestones!$AA$172)&lt;=AsOfDate,IF($R76=0,$X76,IF(AND($T76&lt;&gt;"",EDATE($D76,Milestones!$AA$172)&gt;=$T76),$W76,IF(AND($S76&lt;&gt;"",EDATE($D76,Milestones!$AA$172)&gt;=$S76),$V76,$U76)))=Milestones!$AB$172),UPPER(TEXT(EDATE($D76,Milestones!$AA$172),"dd mmm yy"))&amp;" "&amp;Milestones!$AB$172&amp;" "&amp;Milestones!$AC$172&amp;";  ","")&amp;IF(AND(EDATE($D76,Milestones!$AA$173)&lt;=AsOfDate,IF($R76=0,$X76,IF(AND($T76&lt;&gt;"",EDATE($D76,Milestones!$AA$173)&gt;=$T76),$W76,IF(AND($S76&lt;&gt;"",EDATE($D76,Milestones!$AA$173)&gt;=$S76),$V76,$U76)))=Milestones!$AB$173),UPPER(TEXT(EDATE($D76,Milestones!$AA$173),"dd mmm yy"))&amp;" "&amp;Milestones!$AB$173&amp;" "&amp;Milestones!$AC$173&amp;";  ","")&amp;IF(AND(EDATE($D76,Milestones!$AA$174)&lt;=AsOfDate,IF($R76=0,$X76,IF(AND($T76&lt;&gt;"",EDATE($D76,Milestones!$AA$174)&gt;=$T76),$W76,IF(AND($S76&lt;&gt;"",EDATE($D76,Milestones!$AA$174)&gt;=$S76),$V76,$U76)))=Milestones!$AB$174),UPPER(TEXT(EDATE($D76,Milestones!$AA$174),"dd mmm yy"))&amp;" "&amp;Milestones!$AB$174&amp;" "&amp;Milestones!$AC$174&amp;";  ","")&amp;IF(AND(EDATE($D76,Milestones!$AA$175)&lt;=AsOfDate,IF($R76=0,$X76,IF(AND($T76&lt;&gt;"",EDATE($D76,Milestones!$AA$175)&gt;=$T76),$W76,IF(AND($S76&lt;&gt;"",EDATE($D76,Milestones!$AA$175)&gt;=$S76),$V76,$U76)))=Milestones!$AB$175),UPPER(TEXT(EDATE($D76,Milestones!$AA$175),"dd mmm yy"))&amp;" "&amp;Milestones!$AB$175&amp;" "&amp;Milestones!$AC$175&amp;";  ","")&amp;IF(AND(EDATE($D76,Milestones!$AA$176)&lt;=AsOfDate,IF($R76=0,$X76,IF(AND($T76&lt;&gt;"",EDATE($D76,Milestones!$AA$176)&gt;=$T76),$W76,IF(AND($S76&lt;&gt;"",EDATE($D76,Milestones!$AA$176)&gt;=$S76),$V76,$U76)))=Milestones!$AB$176),UPPER(TEXT(EDATE($D76,Milestones!$AA$176),"dd mmm yy"))&amp;" "&amp;Milestones!$AB$176&amp;" "&amp;Milestones!$AC$176&amp;";  ","")&amp;IF(AND(EDATE($D76,Milestones!$AA$177)&lt;=AsOfDate,IF($R76=0,$X76,IF(AND($T76&lt;&gt;"",EDATE($D76,Milestones!$AA$177)&gt;=$T76),$W76,IF(AND($S76&lt;&gt;"",EDATE($D76,Milestones!$AA$177)&gt;=$S76),$V76,$U76)))=Milestones!$AB$177),UPPER(TEXT(EDATE($D76,Milestones!$AA$177),"dd mmm yy"))&amp;" "&amp;Milestones!$AB$177&amp;" "&amp;Milestones!$AC$177&amp;";  ","")&amp;IF(AND(EDATE($D76,Milestones!$AA$178)&lt;=AsOfDate,IF($R76=0,$X76,IF(AND($T76&lt;&gt;"",EDATE($D76,Milestones!$AA$178)&gt;=$T76),$W76,IF(AND($S76&lt;&gt;"",EDATE($D76,Milestones!$AA$178)&gt;=$S76),$V76,$U76)))=Milestones!$AB$178),UPPER(TEXT(EDATE($D76,Milestones!$AA$178),"dd mmm yy"))&amp;" "&amp;Milestones!$AB$178&amp;" "&amp;Milestones!$AC$178&amp;";  ","")&amp;IF(AND(EDATE($D76,Milestones!$AA$179)&lt;=AsOfDate,IF($R76=0,$X76,IF(AND($T76&lt;&gt;"",EDATE($D76,Milestones!$AA$179)&gt;=$T76),$W76,IF(AND($S76&lt;&gt;"",EDATE($D76,Milestones!$AA$179)&gt;=$S76),$V76,$U76)))=Milestones!$AB$179),UPPER(TEXT(EDATE($D76,Milestones!$AA$179),"dd mmm yy"))&amp;" "&amp;Milestones!$AB$179&amp;" "&amp;Milestones!$AC$179&amp;";  ",""))</f>
        <v/>
      </c>
      <c r="Q76" s="0" t="str">
        <f aca="false">IF(OR($A76="",$D76=""),"",IF(AND(EDATE($D76,Milestones!$AA$180)&lt;=AsOfDate,IF($R76=0,$X76,IF(AND($T76&lt;&gt;"",EDATE($D76,Milestones!$AA$180)&gt;=$T76),$W76,IF(AND($S76&lt;&gt;"",EDATE($D76,Milestones!$AA$180)&gt;=$S76),$V76,$U76)))=Milestones!$AB$180),UPPER(TEXT(EDATE($D76,Milestones!$AA$180),"dd mmm yy"))&amp;" "&amp;Milestones!$AB$180&amp;" "&amp;Milestones!$AC$180&amp;";  ","")&amp;IF(AND(EDATE($D76,Milestones!$AA$181)&lt;=AsOfDate,IF($R76=0,$X76,IF(AND($T76&lt;&gt;"",EDATE($D76,Milestones!$AA$181)&gt;=$T76),$W76,IF(AND($S76&lt;&gt;"",EDATE($D76,Milestones!$AA$181)&gt;=$S76),$V76,$U76)))=Milestones!$AB$181),UPPER(TEXT(EDATE($D76,Milestones!$AA$181),"dd mmm yy"))&amp;" "&amp;Milestones!$AB$181&amp;" "&amp;Milestones!$AC$181&amp;";  ","")&amp;IF(AND(EDATE($D76,Milestones!$AA$182)&lt;=AsOfDate,IF($R76=0,$X76,IF(AND($T76&lt;&gt;"",EDATE($D76,Milestones!$AA$182)&gt;=$T76),$W76,IF(AND($S76&lt;&gt;"",EDATE($D76,Milestones!$AA$182)&gt;=$S76),$V76,$U76)))=Milestones!$AB$182),UPPER(TEXT(EDATE($D76,Milestones!$AA$182),"dd mmm yy"))&amp;" "&amp;Milestones!$AB$182&amp;" "&amp;Milestones!$AC$182&amp;";  ","")&amp;IF(AND(EDATE($D76,Milestones!$AA$183)&lt;=AsOfDate,IF($R76=0,$X76,IF(AND($T76&lt;&gt;"",EDATE($D76,Milestones!$AA$183)&gt;=$T76),$W76,IF(AND($S76&lt;&gt;"",EDATE($D76,Milestones!$AA$183)&gt;=$S76),$V76,$U76)))=Milestones!$AB$183),UPPER(TEXT(EDATE($D76,Milestones!$AA$183),"dd mmm yy"))&amp;" "&amp;Milestones!$AB$183&amp;" "&amp;Milestones!$AC$183&amp;";  ","")&amp;IF(AND(EDATE($D76,Milestones!$AA$184)&lt;=AsOfDate,IF($R76=0,$X76,IF(AND($T76&lt;&gt;"",EDATE($D76,Milestones!$AA$184)&gt;=$T76),$W76,IF(AND($S76&lt;&gt;"",EDATE($D76,Milestones!$AA$184)&gt;=$S76),$V76,$U76)))=Milestones!$AB$184),UPPER(TEXT(EDATE($D76,Milestones!$AA$184),"dd mmm yy"))&amp;" "&amp;Milestones!$AB$184&amp;" "&amp;Milestones!$AC$184&amp;";  ","")&amp;IF(AND(EDATE($D76,Milestones!$AA$185)&lt;=AsOfDate,IF($R76=0,$X76,IF(AND($T76&lt;&gt;"",EDATE($D76,Milestones!$AA$185)&gt;=$T76),$W76,IF(AND($S76&lt;&gt;"",EDATE($D76,Milestones!$AA$185)&gt;=$S76),$V76,$U76)))=Milestones!$AB$185),UPPER(TEXT(EDATE($D76,Milestones!$AA$185),"dd mmm yy"))&amp;" "&amp;Milestones!$AB$185&amp;" "&amp;Milestones!$AC$185&amp;";  ","")&amp;IF(AND(EDATE($D76,Milestones!$AA$186)&lt;=AsOfDate,IF($R76=0,$X76,IF(AND($T76&lt;&gt;"",EDATE($D76,Milestones!$AA$186)&gt;=$T76),$W76,IF(AND($S76&lt;&gt;"",EDATE($D76,Milestones!$AA$186)&gt;=$S76),$V76,$U76)))=Milestones!$AB$186),UPPER(TEXT(EDATE($D76,Milestones!$AA$186),"dd mmm yy"))&amp;" "&amp;Milestones!$AB$186&amp;" "&amp;Milestones!$AC$186&amp;";  ","")&amp;IF(AND(EDATE($D76,Milestones!$AA$187)&lt;=AsOfDate,IF($R76=0,$X76,IF(AND($T76&lt;&gt;"",EDATE($D76,Milestones!$AA$187)&gt;=$T76),$W76,IF(AND($S76&lt;&gt;"",EDATE($D76,Milestones!$AA$187)&gt;=$S76),$V76,$U76)))=Milestones!$AB$187),UPPER(TEXT(EDATE($D76,Milestones!$AA$187),"dd mmm yy"))&amp;" "&amp;Milestones!$AB$187&amp;" "&amp;Milestones!$AC$187&amp;";  ","")&amp;IF(AND(EDATE($D76,Milestones!$AA$188)&lt;=AsOfDate,IF($R76=0,$X76,IF(AND($T76&lt;&gt;"",EDATE($D76,Milestones!$AA$188)&gt;=$T76),$W76,IF(AND($S76&lt;&gt;"",EDATE($D76,Milestones!$AA$188)&gt;=$S76),$V76,$U76)))=Milestones!$AB$188),UPPER(TEXT(EDATE($D76,Milestones!$AA$188),"dd mmm yy"))&amp;" "&amp;Milestones!$AB$188&amp;" "&amp;Milestones!$AC$188&amp;";  ","")&amp;IF(AND(EDATE($D76,Milestones!$AA$189)&lt;=AsOfDate,IF($R76=0,$X76,IF(AND($T76&lt;&gt;"",EDATE($D76,Milestones!$AA$189)&gt;=$T76),$W76,IF(AND($S76&lt;&gt;"",EDATE($D76,Milestones!$AA$189)&gt;=$S76),$V76,$U76)))=Milestones!$AB$189),UPPER(TEXT(EDATE($D76,Milestones!$AA$189),"dd mmm yy"))&amp;" "&amp;Milestones!$AB$189&amp;" "&amp;Milestones!$AC$189&amp;";  ","")&amp;IF(AND(EDATE($D76,Milestones!$AA$190)&lt;=AsOfDate,IF($R76=0,$X76,IF(AND($T76&lt;&gt;"",EDATE($D76,Milestones!$AA$190)&gt;=$T76),$W76,IF(AND($S76&lt;&gt;"",EDATE($D76,Milestones!$AA$190)&gt;=$S76),$V76,$U76)))=Milestones!$AB$190),UPPER(TEXT(EDATE($D76,Milestones!$AA$190),"dd mmm yy"))&amp;" "&amp;Milestones!$AB$190&amp;" "&amp;Milestones!$AC$190&amp;";  ","")&amp;IF(AND(EDATE($D76,Milestones!$AA$191)&lt;=AsOfDate,IF($R76=0,$X76,IF(AND($T76&lt;&gt;"",EDATE($D76,Milestones!$AA$191)&gt;=$T76),$W76,IF(AND($S76&lt;&gt;"",EDATE($D76,Milestones!$AA$191)&gt;=$S76),$V76,$U76)))=Milestones!$AB$191),UPPER(TEXT(EDATE($D76,Milestones!$AA$191),"dd mmm yy"))&amp;" "&amp;Milestones!$AB$191&amp;" "&amp;Milestones!$AC$191&amp;";  ","")&amp;IF(AND(EDATE($D76,Milestones!$AA$192)&lt;=AsOfDate,IF($R76=0,$X76,IF(AND($T76&lt;&gt;"",EDATE($D76,Milestones!$AA$192)&gt;=$T76),$W76,IF(AND($S76&lt;&gt;"",EDATE($D76,Milestones!$AA$192)&gt;=$S76),$V76,$U76)))=Milestones!$AB$192),UPPER(TEXT(EDATE($D76,Milestones!$AA$192),"dd mmm yy"))&amp;" "&amp;Milestones!$AB$192&amp;" "&amp;Milestones!$AC$192&amp;";  ","")&amp;IF(AND(EDATE($D76,Milestones!$AA$193)&lt;=AsOfDate,IF($R76=0,$X76,IF(AND($T76&lt;&gt;"",EDATE($D76,Milestones!$AA$193)&gt;=$T76),$W76,IF(AND($S76&lt;&gt;"",EDATE($D76,Milestones!$AA$193)&gt;=$S76),$V76,$U76)))=Milestones!$AB$193),UPPER(TEXT(EDATE($D76,Milestones!$AA$193),"dd mmm yy"))&amp;" "&amp;Milestones!$AB$193&amp;" "&amp;Milestones!$AC$193&amp;";  ","")&amp;IF(AND(EDATE($D76,Milestones!$AA$194)&lt;=AsOfDate,IF($R76=0,$X76,IF(AND($T76&lt;&gt;"",EDATE($D76,Milestones!$AA$194)&gt;=$T76),$W76,IF(AND($S76&lt;&gt;"",EDATE($D76,Milestones!$AA$194)&gt;=$S76),$V76,$U76)))=Milestones!$AB$194),UPPER(TEXT(EDATE($D76,Milestones!$AA$194),"dd mmm yy"))&amp;" "&amp;Milestones!$AB$194&amp;" "&amp;Milestones!$AC$194&amp;";  ","")&amp;IF(AND(EDATE($D76,Milestones!$AA$195)&lt;=AsOfDate,IF($R76=0,$X76,IF(AND($T76&lt;&gt;"",EDATE($D76,Milestones!$AA$195)&gt;=$T76),$W76,IF(AND($S76&lt;&gt;"",EDATE($D76,Milestones!$AA$195)&gt;=$S76),$V76,$U76)))=Milestones!$AB$195),UPPER(TEXT(EDATE($D76,Milestones!$AA$195),"dd mmm yy"))&amp;" "&amp;Milestones!$AB$195&amp;" "&amp;Milestones!$AC$195&amp;";  ","")&amp;IF(AND(EDATE($D76,Milestones!$AA$196)&lt;=AsOfDate,IF($R76=0,$X76,IF(AND($T76&lt;&gt;"",EDATE($D76,Milestones!$AA$196)&gt;=$T76),$W76,IF(AND($S76&lt;&gt;"",EDATE($D76,Milestones!$AA$196)&gt;=$S76),$V76,$U76)))=Milestones!$AB$196),UPPER(TEXT(EDATE($D76,Milestones!$AA$196),"dd mmm yy"))&amp;" "&amp;Milestones!$AB$196&amp;" "&amp;Milestones!$AC$196&amp;";  ","")&amp;IF(AND(EDATE($D76,Milestones!$AA$197)&lt;=AsOfDate,IF($R76=0,$X76,IF(AND($T76&lt;&gt;"",EDATE($D76,Milestones!$AA$197)&gt;=$T76),$W76,IF(AND($S76&lt;&gt;"",EDATE($D76,Milestones!$AA$197)&gt;=$S76),$V76,$U76)))=Milestones!$AB$197),UPPER(TEXT(EDATE($D76,Milestones!$AA$197),"dd mmm yy"))&amp;" "&amp;Milestones!$AB$197&amp;" "&amp;Milestones!$AC$197&amp;";  ","")&amp;IF(AND(EDATE($D76,Milestones!$AA$198)&lt;=AsOfDate,IF($R76=0,$X76,IF(AND($T76&lt;&gt;"",EDATE($D76,Milestones!$AA$198)&gt;=$T76),$W76,IF(AND($S76&lt;&gt;"",EDATE($D76,Milestones!$AA$198)&gt;=$S76),$V76,$U76)))=Milestones!$AB$198),UPPER(TEXT(EDATE($D76,Milestones!$AA$198),"dd mmm yy"))&amp;" "&amp;Milestones!$AB$198&amp;" "&amp;Milestones!$AC$198&amp;";  ","")&amp;IF(AND(EDATE($D76,Milestones!$AA$199)&lt;=AsOfDate,IF($R76=0,$X76,IF(AND($T76&lt;&gt;"",EDATE($D76,Milestones!$AA$199)&gt;=$T76),$W76,IF(AND($S76&lt;&gt;"",EDATE($D76,Milestones!$AA$199)&gt;=$S76),$V76,$U76)))=Milestones!$AB$199),UPPER(TEXT(EDATE($D76,Milestones!$AA$199),"dd mmm yy"))&amp;" "&amp;Milestones!$AB$199&amp;" "&amp;Milestones!$AC$199&amp;";  ",""))</f>
        <v/>
      </c>
      <c r="R76" s="0" t="str">
        <f aca="false">IF(Staff!$A76="","",Staff!$AI76)</f>
        <v/>
      </c>
      <c r="S76" s="0" t="str">
        <f aca="false">IF(Staff!$A76="","",Staff!$AK76)</f>
        <v/>
      </c>
      <c r="T76" s="0" t="str">
        <f aca="false">IF(Staff!$A76="","",Staff!$AL76)</f>
        <v/>
      </c>
      <c r="U76" s="0" t="str">
        <f aca="false">IF(Staff!$A76="","",Staff!$AP76)</f>
        <v/>
      </c>
      <c r="V76" s="0" t="str">
        <f aca="false">IF(Staff!$A76="","",Staff!$AQ76)</f>
        <v/>
      </c>
      <c r="W76" s="0" t="str">
        <f aca="false">IF(Staff!$A76="","",Staff!$AR76)</f>
        <v/>
      </c>
      <c r="X76" s="0" t="str">
        <f aca="false">IF(Staff!$A76="","",Staff!$AS76)</f>
        <v/>
      </c>
    </row>
    <row r="77" customFormat="false" ht="15" hidden="false" customHeight="false" outlineLevel="0" collapsed="false">
      <c r="A77" s="14" t="str">
        <f aca="false">IF(Staff!$A77="","",Staff!$A77)</f>
        <v/>
      </c>
      <c r="B77" s="14" t="str">
        <f aca="false">IF(Staff!$A77="","",Staff!$B77)</f>
        <v/>
      </c>
      <c r="C77" s="14" t="str">
        <f aca="false">IF(Staff!$A77="","",Staff!$C77)</f>
        <v/>
      </c>
      <c r="D77" s="12" t="str">
        <f aca="false">IF(Staff!$A77="","",Staff!$AH77)</f>
        <v/>
      </c>
      <c r="E77" s="14" t="str">
        <f aca="false">IF(Staff!$A77="","",Staff!$O77)</f>
        <v/>
      </c>
      <c r="F77" s="14" t="str">
        <f aca="false">IF(E77="","",E77*HoursPerDay)</f>
        <v/>
      </c>
      <c r="G77" s="14" t="str">
        <f aca="false">IF(Staff!$A77="","",Staff!$AE77)</f>
        <v/>
      </c>
      <c r="H77" s="26" t="str">
        <f aca="false">IF($A77="","",I77&amp;J77&amp;K77&amp;L77&amp;M77&amp;N77&amp;O77&amp;P77&amp;Q77)</f>
        <v/>
      </c>
      <c r="I77" s="0" t="str">
        <f aca="false">IF(OR($A77="",$D77=""),"",IF(AND(EDATE($D77,Milestones!$AA$20)&lt;=AsOfDate,IF($R77=0,$X77,IF(AND($T77&lt;&gt;"",EDATE($D77,Milestones!$AA$20)&gt;=$T77),$W77,IF(AND($S77&lt;&gt;"",EDATE($D77,Milestones!$AA$20)&gt;=$S77),$V77,$U77)))=Milestones!$AB$20),UPPER(TEXT(EDATE($D77,Milestones!$AA$20),"dd mmm yy"))&amp;" "&amp;Milestones!$AB$20&amp;" "&amp;Milestones!$AC$20&amp;";  ","")&amp;IF(AND(EDATE($D77,Milestones!$AA$21)&lt;=AsOfDate,IF($R77=0,$X77,IF(AND($T77&lt;&gt;"",EDATE($D77,Milestones!$AA$21)&gt;=$T77),$W77,IF(AND($S77&lt;&gt;"",EDATE($D77,Milestones!$AA$21)&gt;=$S77),$V77,$U77)))=Milestones!$AB$21),UPPER(TEXT(EDATE($D77,Milestones!$AA$21),"dd mmm yy"))&amp;" "&amp;Milestones!$AB$21&amp;" "&amp;Milestones!$AC$21&amp;";  ","")&amp;IF(AND(EDATE($D77,Milestones!$AA$22)&lt;=AsOfDate,IF($R77=0,$X77,IF(AND($T77&lt;&gt;"",EDATE($D77,Milestones!$AA$22)&gt;=$T77),$W77,IF(AND($S77&lt;&gt;"",EDATE($D77,Milestones!$AA$22)&gt;=$S77),$V77,$U77)))=Milestones!$AB$22),UPPER(TEXT(EDATE($D77,Milestones!$AA$22),"dd mmm yy"))&amp;" "&amp;Milestones!$AB$22&amp;" "&amp;Milestones!$AC$22&amp;";  ","")&amp;IF(AND(EDATE($D77,Milestones!$AA$23)&lt;=AsOfDate,IF($R77=0,$X77,IF(AND($T77&lt;&gt;"",EDATE($D77,Milestones!$AA$23)&gt;=$T77),$W77,IF(AND($S77&lt;&gt;"",EDATE($D77,Milestones!$AA$23)&gt;=$S77),$V77,$U77)))=Milestones!$AB$23),UPPER(TEXT(EDATE($D77,Milestones!$AA$23),"dd mmm yy"))&amp;" "&amp;Milestones!$AB$23&amp;" "&amp;Milestones!$AC$23&amp;";  ","")&amp;IF(AND(EDATE($D77,Milestones!$AA$24)&lt;=AsOfDate,IF($R77=0,$X77,IF(AND($T77&lt;&gt;"",EDATE($D77,Milestones!$AA$24)&gt;=$T77),$W77,IF(AND($S77&lt;&gt;"",EDATE($D77,Milestones!$AA$24)&gt;=$S77),$V77,$U77)))=Milestones!$AB$24),UPPER(TEXT(EDATE($D77,Milestones!$AA$24),"dd mmm yy"))&amp;" "&amp;Milestones!$AB$24&amp;" "&amp;Milestones!$AC$24&amp;";  ","")&amp;IF(AND(EDATE($D77,Milestones!$AA$25)&lt;=AsOfDate,IF($R77=0,$X77,IF(AND($T77&lt;&gt;"",EDATE($D77,Milestones!$AA$25)&gt;=$T77),$W77,IF(AND($S77&lt;&gt;"",EDATE($D77,Milestones!$AA$25)&gt;=$S77),$V77,$U77)))=Milestones!$AB$25),UPPER(TEXT(EDATE($D77,Milestones!$AA$25),"dd mmm yy"))&amp;" "&amp;Milestones!$AB$25&amp;" "&amp;Milestones!$AC$25&amp;";  ","")&amp;IF(AND(EDATE($D77,Milestones!$AA$26)&lt;=AsOfDate,IF($R77=0,$X77,IF(AND($T77&lt;&gt;"",EDATE($D77,Milestones!$AA$26)&gt;=$T77),$W77,IF(AND($S77&lt;&gt;"",EDATE($D77,Milestones!$AA$26)&gt;=$S77),$V77,$U77)))=Milestones!$AB$26),UPPER(TEXT(EDATE($D77,Milestones!$AA$26),"dd mmm yy"))&amp;" "&amp;Milestones!$AB$26&amp;" "&amp;Milestones!$AC$26&amp;";  ","")&amp;IF(AND(EDATE($D77,Milestones!$AA$27)&lt;=AsOfDate,IF($R77=0,$X77,IF(AND($T77&lt;&gt;"",EDATE($D77,Milestones!$AA$27)&gt;=$T77),$W77,IF(AND($S77&lt;&gt;"",EDATE($D77,Milestones!$AA$27)&gt;=$S77),$V77,$U77)))=Milestones!$AB$27),UPPER(TEXT(EDATE($D77,Milestones!$AA$27),"dd mmm yy"))&amp;" "&amp;Milestones!$AB$27&amp;" "&amp;Milestones!$AC$27&amp;";  ","")&amp;IF(AND(EDATE($D77,Milestones!$AA$28)&lt;=AsOfDate,IF($R77=0,$X77,IF(AND($T77&lt;&gt;"",EDATE($D77,Milestones!$AA$28)&gt;=$T77),$W77,IF(AND($S77&lt;&gt;"",EDATE($D77,Milestones!$AA$28)&gt;=$S77),$V77,$U77)))=Milestones!$AB$28),UPPER(TEXT(EDATE($D77,Milestones!$AA$28),"dd mmm yy"))&amp;" "&amp;Milestones!$AB$28&amp;" "&amp;Milestones!$AC$28&amp;";  ","")&amp;IF(AND(EDATE($D77,Milestones!$AA$29)&lt;=AsOfDate,IF($R77=0,$X77,IF(AND($T77&lt;&gt;"",EDATE($D77,Milestones!$AA$29)&gt;=$T77),$W77,IF(AND($S77&lt;&gt;"",EDATE($D77,Milestones!$AA$29)&gt;=$S77),$V77,$U77)))=Milestones!$AB$29),UPPER(TEXT(EDATE($D77,Milestones!$AA$29),"dd mmm yy"))&amp;" "&amp;Milestones!$AB$29&amp;" "&amp;Milestones!$AC$29&amp;";  ","")&amp;IF(AND(EDATE($D77,Milestones!$AA$30)&lt;=AsOfDate,IF($R77=0,$X77,IF(AND($T77&lt;&gt;"",EDATE($D77,Milestones!$AA$30)&gt;=$T77),$W77,IF(AND($S77&lt;&gt;"",EDATE($D77,Milestones!$AA$30)&gt;=$S77),$V77,$U77)))=Milestones!$AB$30),UPPER(TEXT(EDATE($D77,Milestones!$AA$30),"dd mmm yy"))&amp;" "&amp;Milestones!$AB$30&amp;" "&amp;Milestones!$AC$30&amp;";  ","")&amp;IF(AND(EDATE($D77,Milestones!$AA$31)&lt;=AsOfDate,IF($R77=0,$X77,IF(AND($T77&lt;&gt;"",EDATE($D77,Milestones!$AA$31)&gt;=$T77),$W77,IF(AND($S77&lt;&gt;"",EDATE($D77,Milestones!$AA$31)&gt;=$S77),$V77,$U77)))=Milestones!$AB$31),UPPER(TEXT(EDATE($D77,Milestones!$AA$31),"dd mmm yy"))&amp;" "&amp;Milestones!$AB$31&amp;" "&amp;Milestones!$AC$31&amp;";  ","")&amp;IF(AND(EDATE($D77,Milestones!$AA$32)&lt;=AsOfDate,IF($R77=0,$X77,IF(AND($T77&lt;&gt;"",EDATE($D77,Milestones!$AA$32)&gt;=$T77),$W77,IF(AND($S77&lt;&gt;"",EDATE($D77,Milestones!$AA$32)&gt;=$S77),$V77,$U77)))=Milestones!$AB$32),UPPER(TEXT(EDATE($D77,Milestones!$AA$32),"dd mmm yy"))&amp;" "&amp;Milestones!$AB$32&amp;" "&amp;Milestones!$AC$32&amp;";  ","")&amp;IF(AND(EDATE($D77,Milestones!$AA$33)&lt;=AsOfDate,IF($R77=0,$X77,IF(AND($T77&lt;&gt;"",EDATE($D77,Milestones!$AA$33)&gt;=$T77),$W77,IF(AND($S77&lt;&gt;"",EDATE($D77,Milestones!$AA$33)&gt;=$S77),$V77,$U77)))=Milestones!$AB$33),UPPER(TEXT(EDATE($D77,Milestones!$AA$33),"dd mmm yy"))&amp;" "&amp;Milestones!$AB$33&amp;" "&amp;Milestones!$AC$33&amp;";  ","")&amp;IF(AND(EDATE($D77,Milestones!$AA$34)&lt;=AsOfDate,IF($R77=0,$X77,IF(AND($T77&lt;&gt;"",EDATE($D77,Milestones!$AA$34)&gt;=$T77),$W77,IF(AND($S77&lt;&gt;"",EDATE($D77,Milestones!$AA$34)&gt;=$S77),$V77,$U77)))=Milestones!$AB$34),UPPER(TEXT(EDATE($D77,Milestones!$AA$34),"dd mmm yy"))&amp;" "&amp;Milestones!$AB$34&amp;" "&amp;Milestones!$AC$34&amp;";  ","")&amp;IF(AND(EDATE($D77,Milestones!$AA$35)&lt;=AsOfDate,IF($R77=0,$X77,IF(AND($T77&lt;&gt;"",EDATE($D77,Milestones!$AA$35)&gt;=$T77),$W77,IF(AND($S77&lt;&gt;"",EDATE($D77,Milestones!$AA$35)&gt;=$S77),$V77,$U77)))=Milestones!$AB$35),UPPER(TEXT(EDATE($D77,Milestones!$AA$35),"dd mmm yy"))&amp;" "&amp;Milestones!$AB$35&amp;" "&amp;Milestones!$AC$35&amp;";  ","")&amp;IF(AND(EDATE($D77,Milestones!$AA$36)&lt;=AsOfDate,IF($R77=0,$X77,IF(AND($T77&lt;&gt;"",EDATE($D77,Milestones!$AA$36)&gt;=$T77),$W77,IF(AND($S77&lt;&gt;"",EDATE($D77,Milestones!$AA$36)&gt;=$S77),$V77,$U77)))=Milestones!$AB$36),UPPER(TEXT(EDATE($D77,Milestones!$AA$36),"dd mmm yy"))&amp;" "&amp;Milestones!$AB$36&amp;" "&amp;Milestones!$AC$36&amp;";  ","")&amp;IF(AND(EDATE($D77,Milestones!$AA$37)&lt;=AsOfDate,IF($R77=0,$X77,IF(AND($T77&lt;&gt;"",EDATE($D77,Milestones!$AA$37)&gt;=$T77),$W77,IF(AND($S77&lt;&gt;"",EDATE($D77,Milestones!$AA$37)&gt;=$S77),$V77,$U77)))=Milestones!$AB$37),UPPER(TEXT(EDATE($D77,Milestones!$AA$37),"dd mmm yy"))&amp;" "&amp;Milestones!$AB$37&amp;" "&amp;Milestones!$AC$37&amp;";  ","")&amp;IF(AND(EDATE($D77,Milestones!$AA$38)&lt;=AsOfDate,IF($R77=0,$X77,IF(AND($T77&lt;&gt;"",EDATE($D77,Milestones!$AA$38)&gt;=$T77),$W77,IF(AND($S77&lt;&gt;"",EDATE($D77,Milestones!$AA$38)&gt;=$S77),$V77,$U77)))=Milestones!$AB$38),UPPER(TEXT(EDATE($D77,Milestones!$AA$38),"dd mmm yy"))&amp;" "&amp;Milestones!$AB$38&amp;" "&amp;Milestones!$AC$38&amp;";  ","")&amp;IF(AND(EDATE($D77,Milestones!$AA$39)&lt;=AsOfDate,IF($R77=0,$X77,IF(AND($T77&lt;&gt;"",EDATE($D77,Milestones!$AA$39)&gt;=$T77),$W77,IF(AND($S77&lt;&gt;"",EDATE($D77,Milestones!$AA$39)&gt;=$S77),$V77,$U77)))=Milestones!$AB$39),UPPER(TEXT(EDATE($D77,Milestones!$AA$39),"dd mmm yy"))&amp;" "&amp;Milestones!$AB$39&amp;" "&amp;Milestones!$AC$39&amp;";  ",""))</f>
        <v/>
      </c>
      <c r="J77" s="0" t="str">
        <f aca="false">IF(OR($A77="",$D77=""),"",IF(AND(EDATE($D77,Milestones!$AA$40)&lt;=AsOfDate,IF($R77=0,$X77,IF(AND($T77&lt;&gt;"",EDATE($D77,Milestones!$AA$40)&gt;=$T77),$W77,IF(AND($S77&lt;&gt;"",EDATE($D77,Milestones!$AA$40)&gt;=$S77),$V77,$U77)))=Milestones!$AB$40),UPPER(TEXT(EDATE($D77,Milestones!$AA$40),"dd mmm yy"))&amp;" "&amp;Milestones!$AB$40&amp;" "&amp;Milestones!$AC$40&amp;";  ","")&amp;IF(AND(EDATE($D77,Milestones!$AA$41)&lt;=AsOfDate,IF($R77=0,$X77,IF(AND($T77&lt;&gt;"",EDATE($D77,Milestones!$AA$41)&gt;=$T77),$W77,IF(AND($S77&lt;&gt;"",EDATE($D77,Milestones!$AA$41)&gt;=$S77),$V77,$U77)))=Milestones!$AB$41),UPPER(TEXT(EDATE($D77,Milestones!$AA$41),"dd mmm yy"))&amp;" "&amp;Milestones!$AB$41&amp;" "&amp;Milestones!$AC$41&amp;";  ","")&amp;IF(AND(EDATE($D77,Milestones!$AA$42)&lt;=AsOfDate,IF($R77=0,$X77,IF(AND($T77&lt;&gt;"",EDATE($D77,Milestones!$AA$42)&gt;=$T77),$W77,IF(AND($S77&lt;&gt;"",EDATE($D77,Milestones!$AA$42)&gt;=$S77),$V77,$U77)))=Milestones!$AB$42),UPPER(TEXT(EDATE($D77,Milestones!$AA$42),"dd mmm yy"))&amp;" "&amp;Milestones!$AB$42&amp;" "&amp;Milestones!$AC$42&amp;";  ","")&amp;IF(AND(EDATE($D77,Milestones!$AA$43)&lt;=AsOfDate,IF($R77=0,$X77,IF(AND($T77&lt;&gt;"",EDATE($D77,Milestones!$AA$43)&gt;=$T77),$W77,IF(AND($S77&lt;&gt;"",EDATE($D77,Milestones!$AA$43)&gt;=$S77),$V77,$U77)))=Milestones!$AB$43),UPPER(TEXT(EDATE($D77,Milestones!$AA$43),"dd mmm yy"))&amp;" "&amp;Milestones!$AB$43&amp;" "&amp;Milestones!$AC$43&amp;";  ","")&amp;IF(AND(EDATE($D77,Milestones!$AA$44)&lt;=AsOfDate,IF($R77=0,$X77,IF(AND($T77&lt;&gt;"",EDATE($D77,Milestones!$AA$44)&gt;=$T77),$W77,IF(AND($S77&lt;&gt;"",EDATE($D77,Milestones!$AA$44)&gt;=$S77),$V77,$U77)))=Milestones!$AB$44),UPPER(TEXT(EDATE($D77,Milestones!$AA$44),"dd mmm yy"))&amp;" "&amp;Milestones!$AB$44&amp;" "&amp;Milestones!$AC$44&amp;";  ","")&amp;IF(AND(EDATE($D77,Milestones!$AA$45)&lt;=AsOfDate,IF($R77=0,$X77,IF(AND($T77&lt;&gt;"",EDATE($D77,Milestones!$AA$45)&gt;=$T77),$W77,IF(AND($S77&lt;&gt;"",EDATE($D77,Milestones!$AA$45)&gt;=$S77),$V77,$U77)))=Milestones!$AB$45),UPPER(TEXT(EDATE($D77,Milestones!$AA$45),"dd mmm yy"))&amp;" "&amp;Milestones!$AB$45&amp;" "&amp;Milestones!$AC$45&amp;";  ","")&amp;IF(AND(EDATE($D77,Milestones!$AA$46)&lt;=AsOfDate,IF($R77=0,$X77,IF(AND($T77&lt;&gt;"",EDATE($D77,Milestones!$AA$46)&gt;=$T77),$W77,IF(AND($S77&lt;&gt;"",EDATE($D77,Milestones!$AA$46)&gt;=$S77),$V77,$U77)))=Milestones!$AB$46),UPPER(TEXT(EDATE($D77,Milestones!$AA$46),"dd mmm yy"))&amp;" "&amp;Milestones!$AB$46&amp;" "&amp;Milestones!$AC$46&amp;";  ","")&amp;IF(AND(EDATE($D77,Milestones!$AA$47)&lt;=AsOfDate,IF($R77=0,$X77,IF(AND($T77&lt;&gt;"",EDATE($D77,Milestones!$AA$47)&gt;=$T77),$W77,IF(AND($S77&lt;&gt;"",EDATE($D77,Milestones!$AA$47)&gt;=$S77),$V77,$U77)))=Milestones!$AB$47),UPPER(TEXT(EDATE($D77,Milestones!$AA$47),"dd mmm yy"))&amp;" "&amp;Milestones!$AB$47&amp;" "&amp;Milestones!$AC$47&amp;";  ","")&amp;IF(AND(EDATE($D77,Milestones!$AA$48)&lt;=AsOfDate,IF($R77=0,$X77,IF(AND($T77&lt;&gt;"",EDATE($D77,Milestones!$AA$48)&gt;=$T77),$W77,IF(AND($S77&lt;&gt;"",EDATE($D77,Milestones!$AA$48)&gt;=$S77),$V77,$U77)))=Milestones!$AB$48),UPPER(TEXT(EDATE($D77,Milestones!$AA$48),"dd mmm yy"))&amp;" "&amp;Milestones!$AB$48&amp;" "&amp;Milestones!$AC$48&amp;";  ","")&amp;IF(AND(EDATE($D77,Milestones!$AA$49)&lt;=AsOfDate,IF($R77=0,$X77,IF(AND($T77&lt;&gt;"",EDATE($D77,Milestones!$AA$49)&gt;=$T77),$W77,IF(AND($S77&lt;&gt;"",EDATE($D77,Milestones!$AA$49)&gt;=$S77),$V77,$U77)))=Milestones!$AB$49),UPPER(TEXT(EDATE($D77,Milestones!$AA$49),"dd mmm yy"))&amp;" "&amp;Milestones!$AB$49&amp;" "&amp;Milestones!$AC$49&amp;";  ","")&amp;IF(AND(EDATE($D77,Milestones!$AA$50)&lt;=AsOfDate,IF($R77=0,$X77,IF(AND($T77&lt;&gt;"",EDATE($D77,Milestones!$AA$50)&gt;=$T77),$W77,IF(AND($S77&lt;&gt;"",EDATE($D77,Milestones!$AA$50)&gt;=$S77),$V77,$U77)))=Milestones!$AB$50),UPPER(TEXT(EDATE($D77,Milestones!$AA$50),"dd mmm yy"))&amp;" "&amp;Milestones!$AB$50&amp;" "&amp;Milestones!$AC$50&amp;";  ","")&amp;IF(AND(EDATE($D77,Milestones!$AA$51)&lt;=AsOfDate,IF($R77=0,$X77,IF(AND($T77&lt;&gt;"",EDATE($D77,Milestones!$AA$51)&gt;=$T77),$W77,IF(AND($S77&lt;&gt;"",EDATE($D77,Milestones!$AA$51)&gt;=$S77),$V77,$U77)))=Milestones!$AB$51),UPPER(TEXT(EDATE($D77,Milestones!$AA$51),"dd mmm yy"))&amp;" "&amp;Milestones!$AB$51&amp;" "&amp;Milestones!$AC$51&amp;";  ","")&amp;IF(AND(EDATE($D77,Milestones!$AA$52)&lt;=AsOfDate,IF($R77=0,$X77,IF(AND($T77&lt;&gt;"",EDATE($D77,Milestones!$AA$52)&gt;=$T77),$W77,IF(AND($S77&lt;&gt;"",EDATE($D77,Milestones!$AA$52)&gt;=$S77),$V77,$U77)))=Milestones!$AB$52),UPPER(TEXT(EDATE($D77,Milestones!$AA$52),"dd mmm yy"))&amp;" "&amp;Milestones!$AB$52&amp;" "&amp;Milestones!$AC$52&amp;";  ","")&amp;IF(AND(EDATE($D77,Milestones!$AA$53)&lt;=AsOfDate,IF($R77=0,$X77,IF(AND($T77&lt;&gt;"",EDATE($D77,Milestones!$AA$53)&gt;=$T77),$W77,IF(AND($S77&lt;&gt;"",EDATE($D77,Milestones!$AA$53)&gt;=$S77),$V77,$U77)))=Milestones!$AB$53),UPPER(TEXT(EDATE($D77,Milestones!$AA$53),"dd mmm yy"))&amp;" "&amp;Milestones!$AB$53&amp;" "&amp;Milestones!$AC$53&amp;";  ","")&amp;IF(AND(EDATE($D77,Milestones!$AA$54)&lt;=AsOfDate,IF($R77=0,$X77,IF(AND($T77&lt;&gt;"",EDATE($D77,Milestones!$AA$54)&gt;=$T77),$W77,IF(AND($S77&lt;&gt;"",EDATE($D77,Milestones!$AA$54)&gt;=$S77),$V77,$U77)))=Milestones!$AB$54),UPPER(TEXT(EDATE($D77,Milestones!$AA$54),"dd mmm yy"))&amp;" "&amp;Milestones!$AB$54&amp;" "&amp;Milestones!$AC$54&amp;";  ","")&amp;IF(AND(EDATE($D77,Milestones!$AA$55)&lt;=AsOfDate,IF($R77=0,$X77,IF(AND($T77&lt;&gt;"",EDATE($D77,Milestones!$AA$55)&gt;=$T77),$W77,IF(AND($S77&lt;&gt;"",EDATE($D77,Milestones!$AA$55)&gt;=$S77),$V77,$U77)))=Milestones!$AB$55),UPPER(TEXT(EDATE($D77,Milestones!$AA$55),"dd mmm yy"))&amp;" "&amp;Milestones!$AB$55&amp;" "&amp;Milestones!$AC$55&amp;";  ","")&amp;IF(AND(EDATE($D77,Milestones!$AA$56)&lt;=AsOfDate,IF($R77=0,$X77,IF(AND($T77&lt;&gt;"",EDATE($D77,Milestones!$AA$56)&gt;=$T77),$W77,IF(AND($S77&lt;&gt;"",EDATE($D77,Milestones!$AA$56)&gt;=$S77),$V77,$U77)))=Milestones!$AB$56),UPPER(TEXT(EDATE($D77,Milestones!$AA$56),"dd mmm yy"))&amp;" "&amp;Milestones!$AB$56&amp;" "&amp;Milestones!$AC$56&amp;";  ","")&amp;IF(AND(EDATE($D77,Milestones!$AA$57)&lt;=AsOfDate,IF($R77=0,$X77,IF(AND($T77&lt;&gt;"",EDATE($D77,Milestones!$AA$57)&gt;=$T77),$W77,IF(AND($S77&lt;&gt;"",EDATE($D77,Milestones!$AA$57)&gt;=$S77),$V77,$U77)))=Milestones!$AB$57),UPPER(TEXT(EDATE($D77,Milestones!$AA$57),"dd mmm yy"))&amp;" "&amp;Milestones!$AB$57&amp;" "&amp;Milestones!$AC$57&amp;";  ","")&amp;IF(AND(EDATE($D77,Milestones!$AA$58)&lt;=AsOfDate,IF($R77=0,$X77,IF(AND($T77&lt;&gt;"",EDATE($D77,Milestones!$AA$58)&gt;=$T77),$W77,IF(AND($S77&lt;&gt;"",EDATE($D77,Milestones!$AA$58)&gt;=$S77),$V77,$U77)))=Milestones!$AB$58),UPPER(TEXT(EDATE($D77,Milestones!$AA$58),"dd mmm yy"))&amp;" "&amp;Milestones!$AB$58&amp;" "&amp;Milestones!$AC$58&amp;";  ","")&amp;IF(AND(EDATE($D77,Milestones!$AA$59)&lt;=AsOfDate,IF($R77=0,$X77,IF(AND($T77&lt;&gt;"",EDATE($D77,Milestones!$AA$59)&gt;=$T77),$W77,IF(AND($S77&lt;&gt;"",EDATE($D77,Milestones!$AA$59)&gt;=$S77),$V77,$U77)))=Milestones!$AB$59),UPPER(TEXT(EDATE($D77,Milestones!$AA$59),"dd mmm yy"))&amp;" "&amp;Milestones!$AB$59&amp;" "&amp;Milestones!$AC$59&amp;";  ",""))</f>
        <v/>
      </c>
      <c r="K77" s="0" t="str">
        <f aca="false">IF(OR($A77="",$D77=""),"",IF(AND(EDATE($D77,Milestones!$AA$60)&lt;=AsOfDate,IF($R77=0,$X77,IF(AND($T77&lt;&gt;"",EDATE($D77,Milestones!$AA$60)&gt;=$T77),$W77,IF(AND($S77&lt;&gt;"",EDATE($D77,Milestones!$AA$60)&gt;=$S77),$V77,$U77)))=Milestones!$AB$60),UPPER(TEXT(EDATE($D77,Milestones!$AA$60),"dd mmm yy"))&amp;" "&amp;Milestones!$AB$60&amp;" "&amp;Milestones!$AC$60&amp;";  ","")&amp;IF(AND(EDATE($D77,Milestones!$AA$61)&lt;=AsOfDate,IF($R77=0,$X77,IF(AND($T77&lt;&gt;"",EDATE($D77,Milestones!$AA$61)&gt;=$T77),$W77,IF(AND($S77&lt;&gt;"",EDATE($D77,Milestones!$AA$61)&gt;=$S77),$V77,$U77)))=Milestones!$AB$61),UPPER(TEXT(EDATE($D77,Milestones!$AA$61),"dd mmm yy"))&amp;" "&amp;Milestones!$AB$61&amp;" "&amp;Milestones!$AC$61&amp;";  ","")&amp;IF(AND(EDATE($D77,Milestones!$AA$62)&lt;=AsOfDate,IF($R77=0,$X77,IF(AND($T77&lt;&gt;"",EDATE($D77,Milestones!$AA$62)&gt;=$T77),$W77,IF(AND($S77&lt;&gt;"",EDATE($D77,Milestones!$AA$62)&gt;=$S77),$V77,$U77)))=Milestones!$AB$62),UPPER(TEXT(EDATE($D77,Milestones!$AA$62),"dd mmm yy"))&amp;" "&amp;Milestones!$AB$62&amp;" "&amp;Milestones!$AC$62&amp;";  ","")&amp;IF(AND(EDATE($D77,Milestones!$AA$63)&lt;=AsOfDate,IF($R77=0,$X77,IF(AND($T77&lt;&gt;"",EDATE($D77,Milestones!$AA$63)&gt;=$T77),$W77,IF(AND($S77&lt;&gt;"",EDATE($D77,Milestones!$AA$63)&gt;=$S77),$V77,$U77)))=Milestones!$AB$63),UPPER(TEXT(EDATE($D77,Milestones!$AA$63),"dd mmm yy"))&amp;" "&amp;Milestones!$AB$63&amp;" "&amp;Milestones!$AC$63&amp;";  ","")&amp;IF(AND(EDATE($D77,Milestones!$AA$64)&lt;=AsOfDate,IF($R77=0,$X77,IF(AND($T77&lt;&gt;"",EDATE($D77,Milestones!$AA$64)&gt;=$T77),$W77,IF(AND($S77&lt;&gt;"",EDATE($D77,Milestones!$AA$64)&gt;=$S77),$V77,$U77)))=Milestones!$AB$64),UPPER(TEXT(EDATE($D77,Milestones!$AA$64),"dd mmm yy"))&amp;" "&amp;Milestones!$AB$64&amp;" "&amp;Milestones!$AC$64&amp;";  ","")&amp;IF(AND(EDATE($D77,Milestones!$AA$65)&lt;=AsOfDate,IF($R77=0,$X77,IF(AND($T77&lt;&gt;"",EDATE($D77,Milestones!$AA$65)&gt;=$T77),$W77,IF(AND($S77&lt;&gt;"",EDATE($D77,Milestones!$AA$65)&gt;=$S77),$V77,$U77)))=Milestones!$AB$65),UPPER(TEXT(EDATE($D77,Milestones!$AA$65),"dd mmm yy"))&amp;" "&amp;Milestones!$AB$65&amp;" "&amp;Milestones!$AC$65&amp;";  ","")&amp;IF(AND(EDATE($D77,Milestones!$AA$66)&lt;=AsOfDate,IF($R77=0,$X77,IF(AND($T77&lt;&gt;"",EDATE($D77,Milestones!$AA$66)&gt;=$T77),$W77,IF(AND($S77&lt;&gt;"",EDATE($D77,Milestones!$AA$66)&gt;=$S77),$V77,$U77)))=Milestones!$AB$66),UPPER(TEXT(EDATE($D77,Milestones!$AA$66),"dd mmm yy"))&amp;" "&amp;Milestones!$AB$66&amp;" "&amp;Milestones!$AC$66&amp;";  ","")&amp;IF(AND(EDATE($D77,Milestones!$AA$67)&lt;=AsOfDate,IF($R77=0,$X77,IF(AND($T77&lt;&gt;"",EDATE($D77,Milestones!$AA$67)&gt;=$T77),$W77,IF(AND($S77&lt;&gt;"",EDATE($D77,Milestones!$AA$67)&gt;=$S77),$V77,$U77)))=Milestones!$AB$67),UPPER(TEXT(EDATE($D77,Milestones!$AA$67),"dd mmm yy"))&amp;" "&amp;Milestones!$AB$67&amp;" "&amp;Milestones!$AC$67&amp;";  ","")&amp;IF(AND(EDATE($D77,Milestones!$AA$68)&lt;=AsOfDate,IF($R77=0,$X77,IF(AND($T77&lt;&gt;"",EDATE($D77,Milestones!$AA$68)&gt;=$T77),$W77,IF(AND($S77&lt;&gt;"",EDATE($D77,Milestones!$AA$68)&gt;=$S77),$V77,$U77)))=Milestones!$AB$68),UPPER(TEXT(EDATE($D77,Milestones!$AA$68),"dd mmm yy"))&amp;" "&amp;Milestones!$AB$68&amp;" "&amp;Milestones!$AC$68&amp;";  ","")&amp;IF(AND(EDATE($D77,Milestones!$AA$69)&lt;=AsOfDate,IF($R77=0,$X77,IF(AND($T77&lt;&gt;"",EDATE($D77,Milestones!$AA$69)&gt;=$T77),$W77,IF(AND($S77&lt;&gt;"",EDATE($D77,Milestones!$AA$69)&gt;=$S77),$V77,$U77)))=Milestones!$AB$69),UPPER(TEXT(EDATE($D77,Milestones!$AA$69),"dd mmm yy"))&amp;" "&amp;Milestones!$AB$69&amp;" "&amp;Milestones!$AC$69&amp;";  ","")&amp;IF(AND(EDATE($D77,Milestones!$AA$70)&lt;=AsOfDate,IF($R77=0,$X77,IF(AND($T77&lt;&gt;"",EDATE($D77,Milestones!$AA$70)&gt;=$T77),$W77,IF(AND($S77&lt;&gt;"",EDATE($D77,Milestones!$AA$70)&gt;=$S77),$V77,$U77)))=Milestones!$AB$70),UPPER(TEXT(EDATE($D77,Milestones!$AA$70),"dd mmm yy"))&amp;" "&amp;Milestones!$AB$70&amp;" "&amp;Milestones!$AC$70&amp;";  ","")&amp;IF(AND(EDATE($D77,Milestones!$AA$71)&lt;=AsOfDate,IF($R77=0,$X77,IF(AND($T77&lt;&gt;"",EDATE($D77,Milestones!$AA$71)&gt;=$T77),$W77,IF(AND($S77&lt;&gt;"",EDATE($D77,Milestones!$AA$71)&gt;=$S77),$V77,$U77)))=Milestones!$AB$71),UPPER(TEXT(EDATE($D77,Milestones!$AA$71),"dd mmm yy"))&amp;" "&amp;Milestones!$AB$71&amp;" "&amp;Milestones!$AC$71&amp;";  ","")&amp;IF(AND(EDATE($D77,Milestones!$AA$72)&lt;=AsOfDate,IF($R77=0,$X77,IF(AND($T77&lt;&gt;"",EDATE($D77,Milestones!$AA$72)&gt;=$T77),$W77,IF(AND($S77&lt;&gt;"",EDATE($D77,Milestones!$AA$72)&gt;=$S77),$V77,$U77)))=Milestones!$AB$72),UPPER(TEXT(EDATE($D77,Milestones!$AA$72),"dd mmm yy"))&amp;" "&amp;Milestones!$AB$72&amp;" "&amp;Milestones!$AC$72&amp;";  ","")&amp;IF(AND(EDATE($D77,Milestones!$AA$73)&lt;=AsOfDate,IF($R77=0,$X77,IF(AND($T77&lt;&gt;"",EDATE($D77,Milestones!$AA$73)&gt;=$T77),$W77,IF(AND($S77&lt;&gt;"",EDATE($D77,Milestones!$AA$73)&gt;=$S77),$V77,$U77)))=Milestones!$AB$73),UPPER(TEXT(EDATE($D77,Milestones!$AA$73),"dd mmm yy"))&amp;" "&amp;Milestones!$AB$73&amp;" "&amp;Milestones!$AC$73&amp;";  ","")&amp;IF(AND(EDATE($D77,Milestones!$AA$74)&lt;=AsOfDate,IF($R77=0,$X77,IF(AND($T77&lt;&gt;"",EDATE($D77,Milestones!$AA$74)&gt;=$T77),$W77,IF(AND($S77&lt;&gt;"",EDATE($D77,Milestones!$AA$74)&gt;=$S77),$V77,$U77)))=Milestones!$AB$74),UPPER(TEXT(EDATE($D77,Milestones!$AA$74),"dd mmm yy"))&amp;" "&amp;Milestones!$AB$74&amp;" "&amp;Milestones!$AC$74&amp;";  ","")&amp;IF(AND(EDATE($D77,Milestones!$AA$75)&lt;=AsOfDate,IF($R77=0,$X77,IF(AND($T77&lt;&gt;"",EDATE($D77,Milestones!$AA$75)&gt;=$T77),$W77,IF(AND($S77&lt;&gt;"",EDATE($D77,Milestones!$AA$75)&gt;=$S77),$V77,$U77)))=Milestones!$AB$75),UPPER(TEXT(EDATE($D77,Milestones!$AA$75),"dd mmm yy"))&amp;" "&amp;Milestones!$AB$75&amp;" "&amp;Milestones!$AC$75&amp;";  ","")&amp;IF(AND(EDATE($D77,Milestones!$AA$76)&lt;=AsOfDate,IF($R77=0,$X77,IF(AND($T77&lt;&gt;"",EDATE($D77,Milestones!$AA$76)&gt;=$T77),$W77,IF(AND($S77&lt;&gt;"",EDATE($D77,Milestones!$AA$76)&gt;=$S77),$V77,$U77)))=Milestones!$AB$76),UPPER(TEXT(EDATE($D77,Milestones!$AA$76),"dd mmm yy"))&amp;" "&amp;Milestones!$AB$76&amp;" "&amp;Milestones!$AC$76&amp;";  ","")&amp;IF(AND(EDATE($D77,Milestones!$AA$77)&lt;=AsOfDate,IF($R77=0,$X77,IF(AND($T77&lt;&gt;"",EDATE($D77,Milestones!$AA$77)&gt;=$T77),$W77,IF(AND($S77&lt;&gt;"",EDATE($D77,Milestones!$AA$77)&gt;=$S77),$V77,$U77)))=Milestones!$AB$77),UPPER(TEXT(EDATE($D77,Milestones!$AA$77),"dd mmm yy"))&amp;" "&amp;Milestones!$AB$77&amp;" "&amp;Milestones!$AC$77&amp;";  ","")&amp;IF(AND(EDATE($D77,Milestones!$AA$78)&lt;=AsOfDate,IF($R77=0,$X77,IF(AND($T77&lt;&gt;"",EDATE($D77,Milestones!$AA$78)&gt;=$T77),$W77,IF(AND($S77&lt;&gt;"",EDATE($D77,Milestones!$AA$78)&gt;=$S77),$V77,$U77)))=Milestones!$AB$78),UPPER(TEXT(EDATE($D77,Milestones!$AA$78),"dd mmm yy"))&amp;" "&amp;Milestones!$AB$78&amp;" "&amp;Milestones!$AC$78&amp;";  ","")&amp;IF(AND(EDATE($D77,Milestones!$AA$79)&lt;=AsOfDate,IF($R77=0,$X77,IF(AND($T77&lt;&gt;"",EDATE($D77,Milestones!$AA$79)&gt;=$T77),$W77,IF(AND($S77&lt;&gt;"",EDATE($D77,Milestones!$AA$79)&gt;=$S77),$V77,$U77)))=Milestones!$AB$79),UPPER(TEXT(EDATE($D77,Milestones!$AA$79),"dd mmm yy"))&amp;" "&amp;Milestones!$AB$79&amp;" "&amp;Milestones!$AC$79&amp;";  ",""))</f>
        <v/>
      </c>
      <c r="L77" s="0" t="str">
        <f aca="false">IF(OR($A77="",$D77=""),"",IF(AND(EDATE($D77,Milestones!$AA$80)&lt;=AsOfDate,IF($R77=0,$X77,IF(AND($T77&lt;&gt;"",EDATE($D77,Milestones!$AA$80)&gt;=$T77),$W77,IF(AND($S77&lt;&gt;"",EDATE($D77,Milestones!$AA$80)&gt;=$S77),$V77,$U77)))=Milestones!$AB$80),UPPER(TEXT(EDATE($D77,Milestones!$AA$80),"dd mmm yy"))&amp;" "&amp;Milestones!$AB$80&amp;" "&amp;Milestones!$AC$80&amp;";  ","")&amp;IF(AND(EDATE($D77,Milestones!$AA$81)&lt;=AsOfDate,IF($R77=0,$X77,IF(AND($T77&lt;&gt;"",EDATE($D77,Milestones!$AA$81)&gt;=$T77),$W77,IF(AND($S77&lt;&gt;"",EDATE($D77,Milestones!$AA$81)&gt;=$S77),$V77,$U77)))=Milestones!$AB$81),UPPER(TEXT(EDATE($D77,Milestones!$AA$81),"dd mmm yy"))&amp;" "&amp;Milestones!$AB$81&amp;" "&amp;Milestones!$AC$81&amp;";  ","")&amp;IF(AND(EDATE($D77,Milestones!$AA$82)&lt;=AsOfDate,IF($R77=0,$X77,IF(AND($T77&lt;&gt;"",EDATE($D77,Milestones!$AA$82)&gt;=$T77),$W77,IF(AND($S77&lt;&gt;"",EDATE($D77,Milestones!$AA$82)&gt;=$S77),$V77,$U77)))=Milestones!$AB$82),UPPER(TEXT(EDATE($D77,Milestones!$AA$82),"dd mmm yy"))&amp;" "&amp;Milestones!$AB$82&amp;" "&amp;Milestones!$AC$82&amp;";  ","")&amp;IF(AND(EDATE($D77,Milestones!$AA$83)&lt;=AsOfDate,IF($R77=0,$X77,IF(AND($T77&lt;&gt;"",EDATE($D77,Milestones!$AA$83)&gt;=$T77),$W77,IF(AND($S77&lt;&gt;"",EDATE($D77,Milestones!$AA$83)&gt;=$S77),$V77,$U77)))=Milestones!$AB$83),UPPER(TEXT(EDATE($D77,Milestones!$AA$83),"dd mmm yy"))&amp;" "&amp;Milestones!$AB$83&amp;" "&amp;Milestones!$AC$83&amp;";  ","")&amp;IF(AND(EDATE($D77,Milestones!$AA$84)&lt;=AsOfDate,IF($R77=0,$X77,IF(AND($T77&lt;&gt;"",EDATE($D77,Milestones!$AA$84)&gt;=$T77),$W77,IF(AND($S77&lt;&gt;"",EDATE($D77,Milestones!$AA$84)&gt;=$S77),$V77,$U77)))=Milestones!$AB$84),UPPER(TEXT(EDATE($D77,Milestones!$AA$84),"dd mmm yy"))&amp;" "&amp;Milestones!$AB$84&amp;" "&amp;Milestones!$AC$84&amp;";  ","")&amp;IF(AND(EDATE($D77,Milestones!$AA$85)&lt;=AsOfDate,IF($R77=0,$X77,IF(AND($T77&lt;&gt;"",EDATE($D77,Milestones!$AA$85)&gt;=$T77),$W77,IF(AND($S77&lt;&gt;"",EDATE($D77,Milestones!$AA$85)&gt;=$S77),$V77,$U77)))=Milestones!$AB$85),UPPER(TEXT(EDATE($D77,Milestones!$AA$85),"dd mmm yy"))&amp;" "&amp;Milestones!$AB$85&amp;" "&amp;Milestones!$AC$85&amp;";  ","")&amp;IF(AND(EDATE($D77,Milestones!$AA$86)&lt;=AsOfDate,IF($R77=0,$X77,IF(AND($T77&lt;&gt;"",EDATE($D77,Milestones!$AA$86)&gt;=$T77),$W77,IF(AND($S77&lt;&gt;"",EDATE($D77,Milestones!$AA$86)&gt;=$S77),$V77,$U77)))=Milestones!$AB$86),UPPER(TEXT(EDATE($D77,Milestones!$AA$86),"dd mmm yy"))&amp;" "&amp;Milestones!$AB$86&amp;" "&amp;Milestones!$AC$86&amp;";  ","")&amp;IF(AND(EDATE($D77,Milestones!$AA$87)&lt;=AsOfDate,IF($R77=0,$X77,IF(AND($T77&lt;&gt;"",EDATE($D77,Milestones!$AA$87)&gt;=$T77),$W77,IF(AND($S77&lt;&gt;"",EDATE($D77,Milestones!$AA$87)&gt;=$S77),$V77,$U77)))=Milestones!$AB$87),UPPER(TEXT(EDATE($D77,Milestones!$AA$87),"dd mmm yy"))&amp;" "&amp;Milestones!$AB$87&amp;" "&amp;Milestones!$AC$87&amp;";  ","")&amp;IF(AND(EDATE($D77,Milestones!$AA$88)&lt;=AsOfDate,IF($R77=0,$X77,IF(AND($T77&lt;&gt;"",EDATE($D77,Milestones!$AA$88)&gt;=$T77),$W77,IF(AND($S77&lt;&gt;"",EDATE($D77,Milestones!$AA$88)&gt;=$S77),$V77,$U77)))=Milestones!$AB$88),UPPER(TEXT(EDATE($D77,Milestones!$AA$88),"dd mmm yy"))&amp;" "&amp;Milestones!$AB$88&amp;" "&amp;Milestones!$AC$88&amp;";  ","")&amp;IF(AND(EDATE($D77,Milestones!$AA$89)&lt;=AsOfDate,IF($R77=0,$X77,IF(AND($T77&lt;&gt;"",EDATE($D77,Milestones!$AA$89)&gt;=$T77),$W77,IF(AND($S77&lt;&gt;"",EDATE($D77,Milestones!$AA$89)&gt;=$S77),$V77,$U77)))=Milestones!$AB$89),UPPER(TEXT(EDATE($D77,Milestones!$AA$89),"dd mmm yy"))&amp;" "&amp;Milestones!$AB$89&amp;" "&amp;Milestones!$AC$89&amp;";  ","")&amp;IF(AND(EDATE($D77,Milestones!$AA$90)&lt;=AsOfDate,IF($R77=0,$X77,IF(AND($T77&lt;&gt;"",EDATE($D77,Milestones!$AA$90)&gt;=$T77),$W77,IF(AND($S77&lt;&gt;"",EDATE($D77,Milestones!$AA$90)&gt;=$S77),$V77,$U77)))=Milestones!$AB$90),UPPER(TEXT(EDATE($D77,Milestones!$AA$90),"dd mmm yy"))&amp;" "&amp;Milestones!$AB$90&amp;" "&amp;Milestones!$AC$90&amp;";  ","")&amp;IF(AND(EDATE($D77,Milestones!$AA$91)&lt;=AsOfDate,IF($R77=0,$X77,IF(AND($T77&lt;&gt;"",EDATE($D77,Milestones!$AA$91)&gt;=$T77),$W77,IF(AND($S77&lt;&gt;"",EDATE($D77,Milestones!$AA$91)&gt;=$S77),$V77,$U77)))=Milestones!$AB$91),UPPER(TEXT(EDATE($D77,Milestones!$AA$91),"dd mmm yy"))&amp;" "&amp;Milestones!$AB$91&amp;" "&amp;Milestones!$AC$91&amp;";  ","")&amp;IF(AND(EDATE($D77,Milestones!$AA$92)&lt;=AsOfDate,IF($R77=0,$X77,IF(AND($T77&lt;&gt;"",EDATE($D77,Milestones!$AA$92)&gt;=$T77),$W77,IF(AND($S77&lt;&gt;"",EDATE($D77,Milestones!$AA$92)&gt;=$S77),$V77,$U77)))=Milestones!$AB$92),UPPER(TEXT(EDATE($D77,Milestones!$AA$92),"dd mmm yy"))&amp;" "&amp;Milestones!$AB$92&amp;" "&amp;Milestones!$AC$92&amp;";  ","")&amp;IF(AND(EDATE($D77,Milestones!$AA$93)&lt;=AsOfDate,IF($R77=0,$X77,IF(AND($T77&lt;&gt;"",EDATE($D77,Milestones!$AA$93)&gt;=$T77),$W77,IF(AND($S77&lt;&gt;"",EDATE($D77,Milestones!$AA$93)&gt;=$S77),$V77,$U77)))=Milestones!$AB$93),UPPER(TEXT(EDATE($D77,Milestones!$AA$93),"dd mmm yy"))&amp;" "&amp;Milestones!$AB$93&amp;" "&amp;Milestones!$AC$93&amp;";  ","")&amp;IF(AND(EDATE($D77,Milestones!$AA$94)&lt;=AsOfDate,IF($R77=0,$X77,IF(AND($T77&lt;&gt;"",EDATE($D77,Milestones!$AA$94)&gt;=$T77),$W77,IF(AND($S77&lt;&gt;"",EDATE($D77,Milestones!$AA$94)&gt;=$S77),$V77,$U77)))=Milestones!$AB$94),UPPER(TEXT(EDATE($D77,Milestones!$AA$94),"dd mmm yy"))&amp;" "&amp;Milestones!$AB$94&amp;" "&amp;Milestones!$AC$94&amp;";  ","")&amp;IF(AND(EDATE($D77,Milestones!$AA$95)&lt;=AsOfDate,IF($R77=0,$X77,IF(AND($T77&lt;&gt;"",EDATE($D77,Milestones!$AA$95)&gt;=$T77),$W77,IF(AND($S77&lt;&gt;"",EDATE($D77,Milestones!$AA$95)&gt;=$S77),$V77,$U77)))=Milestones!$AB$95),UPPER(TEXT(EDATE($D77,Milestones!$AA$95),"dd mmm yy"))&amp;" "&amp;Milestones!$AB$95&amp;" "&amp;Milestones!$AC$95&amp;";  ","")&amp;IF(AND(EDATE($D77,Milestones!$AA$96)&lt;=AsOfDate,IF($R77=0,$X77,IF(AND($T77&lt;&gt;"",EDATE($D77,Milestones!$AA$96)&gt;=$T77),$W77,IF(AND($S77&lt;&gt;"",EDATE($D77,Milestones!$AA$96)&gt;=$S77),$V77,$U77)))=Milestones!$AB$96),UPPER(TEXT(EDATE($D77,Milestones!$AA$96),"dd mmm yy"))&amp;" "&amp;Milestones!$AB$96&amp;" "&amp;Milestones!$AC$96&amp;";  ","")&amp;IF(AND(EDATE($D77,Milestones!$AA$97)&lt;=AsOfDate,IF($R77=0,$X77,IF(AND($T77&lt;&gt;"",EDATE($D77,Milestones!$AA$97)&gt;=$T77),$W77,IF(AND($S77&lt;&gt;"",EDATE($D77,Milestones!$AA$97)&gt;=$S77),$V77,$U77)))=Milestones!$AB$97),UPPER(TEXT(EDATE($D77,Milestones!$AA$97),"dd mmm yy"))&amp;" "&amp;Milestones!$AB$97&amp;" "&amp;Milestones!$AC$97&amp;";  ","")&amp;IF(AND(EDATE($D77,Milestones!$AA$98)&lt;=AsOfDate,IF($R77=0,$X77,IF(AND($T77&lt;&gt;"",EDATE($D77,Milestones!$AA$98)&gt;=$T77),$W77,IF(AND($S77&lt;&gt;"",EDATE($D77,Milestones!$AA$98)&gt;=$S77),$V77,$U77)))=Milestones!$AB$98),UPPER(TEXT(EDATE($D77,Milestones!$AA$98),"dd mmm yy"))&amp;" "&amp;Milestones!$AB$98&amp;" "&amp;Milestones!$AC$98&amp;";  ","")&amp;IF(AND(EDATE($D77,Milestones!$AA$99)&lt;=AsOfDate,IF($R77=0,$X77,IF(AND($T77&lt;&gt;"",EDATE($D77,Milestones!$AA$99)&gt;=$T77),$W77,IF(AND($S77&lt;&gt;"",EDATE($D77,Milestones!$AA$99)&gt;=$S77),$V77,$U77)))=Milestones!$AB$99),UPPER(TEXT(EDATE($D77,Milestones!$AA$99),"dd mmm yy"))&amp;" "&amp;Milestones!$AB$99&amp;" "&amp;Milestones!$AC$99&amp;";  ",""))</f>
        <v/>
      </c>
      <c r="M77" s="0" t="str">
        <f aca="false">IF(OR($A77="",$D77=""),"",IF(AND(EDATE($D77,Milestones!$AA$100)&lt;=AsOfDate,IF($R77=0,$X77,IF(AND($T77&lt;&gt;"",EDATE($D77,Milestones!$AA$100)&gt;=$T77),$W77,IF(AND($S77&lt;&gt;"",EDATE($D77,Milestones!$AA$100)&gt;=$S77),$V77,$U77)))=Milestones!$AB$100),UPPER(TEXT(EDATE($D77,Milestones!$AA$100),"dd mmm yy"))&amp;" "&amp;Milestones!$AB$100&amp;" "&amp;Milestones!$AC$100&amp;";  ","")&amp;IF(AND(EDATE($D77,Milestones!$AA$101)&lt;=AsOfDate,IF($R77=0,$X77,IF(AND($T77&lt;&gt;"",EDATE($D77,Milestones!$AA$101)&gt;=$T77),$W77,IF(AND($S77&lt;&gt;"",EDATE($D77,Milestones!$AA$101)&gt;=$S77),$V77,$U77)))=Milestones!$AB$101),UPPER(TEXT(EDATE($D77,Milestones!$AA$101),"dd mmm yy"))&amp;" "&amp;Milestones!$AB$101&amp;" "&amp;Milestones!$AC$101&amp;";  ","")&amp;IF(AND(EDATE($D77,Milestones!$AA$102)&lt;=AsOfDate,IF($R77=0,$X77,IF(AND($T77&lt;&gt;"",EDATE($D77,Milestones!$AA$102)&gt;=$T77),$W77,IF(AND($S77&lt;&gt;"",EDATE($D77,Milestones!$AA$102)&gt;=$S77),$V77,$U77)))=Milestones!$AB$102),UPPER(TEXT(EDATE($D77,Milestones!$AA$102),"dd mmm yy"))&amp;" "&amp;Milestones!$AB$102&amp;" "&amp;Milestones!$AC$102&amp;";  ","")&amp;IF(AND(EDATE($D77,Milestones!$AA$103)&lt;=AsOfDate,IF($R77=0,$X77,IF(AND($T77&lt;&gt;"",EDATE($D77,Milestones!$AA$103)&gt;=$T77),$W77,IF(AND($S77&lt;&gt;"",EDATE($D77,Milestones!$AA$103)&gt;=$S77),$V77,$U77)))=Milestones!$AB$103),UPPER(TEXT(EDATE($D77,Milestones!$AA$103),"dd mmm yy"))&amp;" "&amp;Milestones!$AB$103&amp;" "&amp;Milestones!$AC$103&amp;";  ","")&amp;IF(AND(EDATE($D77,Milestones!$AA$104)&lt;=AsOfDate,IF($R77=0,$X77,IF(AND($T77&lt;&gt;"",EDATE($D77,Milestones!$AA$104)&gt;=$T77),$W77,IF(AND($S77&lt;&gt;"",EDATE($D77,Milestones!$AA$104)&gt;=$S77),$V77,$U77)))=Milestones!$AB$104),UPPER(TEXT(EDATE($D77,Milestones!$AA$104),"dd mmm yy"))&amp;" "&amp;Milestones!$AB$104&amp;" "&amp;Milestones!$AC$104&amp;";  ","")&amp;IF(AND(EDATE($D77,Milestones!$AA$105)&lt;=AsOfDate,IF($R77=0,$X77,IF(AND($T77&lt;&gt;"",EDATE($D77,Milestones!$AA$105)&gt;=$T77),$W77,IF(AND($S77&lt;&gt;"",EDATE($D77,Milestones!$AA$105)&gt;=$S77),$V77,$U77)))=Milestones!$AB$105),UPPER(TEXT(EDATE($D77,Milestones!$AA$105),"dd mmm yy"))&amp;" "&amp;Milestones!$AB$105&amp;" "&amp;Milestones!$AC$105&amp;";  ","")&amp;IF(AND(EDATE($D77,Milestones!$AA$106)&lt;=AsOfDate,IF($R77=0,$X77,IF(AND($T77&lt;&gt;"",EDATE($D77,Milestones!$AA$106)&gt;=$T77),$W77,IF(AND($S77&lt;&gt;"",EDATE($D77,Milestones!$AA$106)&gt;=$S77),$V77,$U77)))=Milestones!$AB$106),UPPER(TEXT(EDATE($D77,Milestones!$AA$106),"dd mmm yy"))&amp;" "&amp;Milestones!$AB$106&amp;" "&amp;Milestones!$AC$106&amp;";  ","")&amp;IF(AND(EDATE($D77,Milestones!$AA$107)&lt;=AsOfDate,IF($R77=0,$X77,IF(AND($T77&lt;&gt;"",EDATE($D77,Milestones!$AA$107)&gt;=$T77),$W77,IF(AND($S77&lt;&gt;"",EDATE($D77,Milestones!$AA$107)&gt;=$S77),$V77,$U77)))=Milestones!$AB$107),UPPER(TEXT(EDATE($D77,Milestones!$AA$107),"dd mmm yy"))&amp;" "&amp;Milestones!$AB$107&amp;" "&amp;Milestones!$AC$107&amp;";  ","")&amp;IF(AND(EDATE($D77,Milestones!$AA$108)&lt;=AsOfDate,IF($R77=0,$X77,IF(AND($T77&lt;&gt;"",EDATE($D77,Milestones!$AA$108)&gt;=$T77),$W77,IF(AND($S77&lt;&gt;"",EDATE($D77,Milestones!$AA$108)&gt;=$S77),$V77,$U77)))=Milestones!$AB$108),UPPER(TEXT(EDATE($D77,Milestones!$AA$108),"dd mmm yy"))&amp;" "&amp;Milestones!$AB$108&amp;" "&amp;Milestones!$AC$108&amp;";  ","")&amp;IF(AND(EDATE($D77,Milestones!$AA$109)&lt;=AsOfDate,IF($R77=0,$X77,IF(AND($T77&lt;&gt;"",EDATE($D77,Milestones!$AA$109)&gt;=$T77),$W77,IF(AND($S77&lt;&gt;"",EDATE($D77,Milestones!$AA$109)&gt;=$S77),$V77,$U77)))=Milestones!$AB$109),UPPER(TEXT(EDATE($D77,Milestones!$AA$109),"dd mmm yy"))&amp;" "&amp;Milestones!$AB$109&amp;" "&amp;Milestones!$AC$109&amp;";  ","")&amp;IF(AND(EDATE($D77,Milestones!$AA$110)&lt;=AsOfDate,IF($R77=0,$X77,IF(AND($T77&lt;&gt;"",EDATE($D77,Milestones!$AA$110)&gt;=$T77),$W77,IF(AND($S77&lt;&gt;"",EDATE($D77,Milestones!$AA$110)&gt;=$S77),$V77,$U77)))=Milestones!$AB$110),UPPER(TEXT(EDATE($D77,Milestones!$AA$110),"dd mmm yy"))&amp;" "&amp;Milestones!$AB$110&amp;" "&amp;Milestones!$AC$110&amp;";  ","")&amp;IF(AND(EDATE($D77,Milestones!$AA$111)&lt;=AsOfDate,IF($R77=0,$X77,IF(AND($T77&lt;&gt;"",EDATE($D77,Milestones!$AA$111)&gt;=$T77),$W77,IF(AND($S77&lt;&gt;"",EDATE($D77,Milestones!$AA$111)&gt;=$S77),$V77,$U77)))=Milestones!$AB$111),UPPER(TEXT(EDATE($D77,Milestones!$AA$111),"dd mmm yy"))&amp;" "&amp;Milestones!$AB$111&amp;" "&amp;Milestones!$AC$111&amp;";  ","")&amp;IF(AND(EDATE($D77,Milestones!$AA$112)&lt;=AsOfDate,IF($R77=0,$X77,IF(AND($T77&lt;&gt;"",EDATE($D77,Milestones!$AA$112)&gt;=$T77),$W77,IF(AND($S77&lt;&gt;"",EDATE($D77,Milestones!$AA$112)&gt;=$S77),$V77,$U77)))=Milestones!$AB$112),UPPER(TEXT(EDATE($D77,Milestones!$AA$112),"dd mmm yy"))&amp;" "&amp;Milestones!$AB$112&amp;" "&amp;Milestones!$AC$112&amp;";  ","")&amp;IF(AND(EDATE($D77,Milestones!$AA$113)&lt;=AsOfDate,IF($R77=0,$X77,IF(AND($T77&lt;&gt;"",EDATE($D77,Milestones!$AA$113)&gt;=$T77),$W77,IF(AND($S77&lt;&gt;"",EDATE($D77,Milestones!$AA$113)&gt;=$S77),$V77,$U77)))=Milestones!$AB$113),UPPER(TEXT(EDATE($D77,Milestones!$AA$113),"dd mmm yy"))&amp;" "&amp;Milestones!$AB$113&amp;" "&amp;Milestones!$AC$113&amp;";  ","")&amp;IF(AND(EDATE($D77,Milestones!$AA$114)&lt;=AsOfDate,IF($R77=0,$X77,IF(AND($T77&lt;&gt;"",EDATE($D77,Milestones!$AA$114)&gt;=$T77),$W77,IF(AND($S77&lt;&gt;"",EDATE($D77,Milestones!$AA$114)&gt;=$S77),$V77,$U77)))=Milestones!$AB$114),UPPER(TEXT(EDATE($D77,Milestones!$AA$114),"dd mmm yy"))&amp;" "&amp;Milestones!$AB$114&amp;" "&amp;Milestones!$AC$114&amp;";  ","")&amp;IF(AND(EDATE($D77,Milestones!$AA$115)&lt;=AsOfDate,IF($R77=0,$X77,IF(AND($T77&lt;&gt;"",EDATE($D77,Milestones!$AA$115)&gt;=$T77),$W77,IF(AND($S77&lt;&gt;"",EDATE($D77,Milestones!$AA$115)&gt;=$S77),$V77,$U77)))=Milestones!$AB$115),UPPER(TEXT(EDATE($D77,Milestones!$AA$115),"dd mmm yy"))&amp;" "&amp;Milestones!$AB$115&amp;" "&amp;Milestones!$AC$115&amp;";  ","")&amp;IF(AND(EDATE($D77,Milestones!$AA$116)&lt;=AsOfDate,IF($R77=0,$X77,IF(AND($T77&lt;&gt;"",EDATE($D77,Milestones!$AA$116)&gt;=$T77),$W77,IF(AND($S77&lt;&gt;"",EDATE($D77,Milestones!$AA$116)&gt;=$S77),$V77,$U77)))=Milestones!$AB$116),UPPER(TEXT(EDATE($D77,Milestones!$AA$116),"dd mmm yy"))&amp;" "&amp;Milestones!$AB$116&amp;" "&amp;Milestones!$AC$116&amp;";  ","")&amp;IF(AND(EDATE($D77,Milestones!$AA$117)&lt;=AsOfDate,IF($R77=0,$X77,IF(AND($T77&lt;&gt;"",EDATE($D77,Milestones!$AA$117)&gt;=$T77),$W77,IF(AND($S77&lt;&gt;"",EDATE($D77,Milestones!$AA$117)&gt;=$S77),$V77,$U77)))=Milestones!$AB$117),UPPER(TEXT(EDATE($D77,Milestones!$AA$117),"dd mmm yy"))&amp;" "&amp;Milestones!$AB$117&amp;" "&amp;Milestones!$AC$117&amp;";  ","")&amp;IF(AND(EDATE($D77,Milestones!$AA$118)&lt;=AsOfDate,IF($R77=0,$X77,IF(AND($T77&lt;&gt;"",EDATE($D77,Milestones!$AA$118)&gt;=$T77),$W77,IF(AND($S77&lt;&gt;"",EDATE($D77,Milestones!$AA$118)&gt;=$S77),$V77,$U77)))=Milestones!$AB$118),UPPER(TEXT(EDATE($D77,Milestones!$AA$118),"dd mmm yy"))&amp;" "&amp;Milestones!$AB$118&amp;" "&amp;Milestones!$AC$118&amp;";  ","")&amp;IF(AND(EDATE($D77,Milestones!$AA$119)&lt;=AsOfDate,IF($R77=0,$X77,IF(AND($T77&lt;&gt;"",EDATE($D77,Milestones!$AA$119)&gt;=$T77),$W77,IF(AND($S77&lt;&gt;"",EDATE($D77,Milestones!$AA$119)&gt;=$S77),$V77,$U77)))=Milestones!$AB$119),UPPER(TEXT(EDATE($D77,Milestones!$AA$119),"dd mmm yy"))&amp;" "&amp;Milestones!$AB$119&amp;" "&amp;Milestones!$AC$119&amp;";  ",""))</f>
        <v/>
      </c>
      <c r="N77" s="0" t="str">
        <f aca="false">IF(OR($A77="",$D77=""),"",IF(AND(EDATE($D77,Milestones!$AA$120)&lt;=AsOfDate,IF($R77=0,$X77,IF(AND($T77&lt;&gt;"",EDATE($D77,Milestones!$AA$120)&gt;=$T77),$W77,IF(AND($S77&lt;&gt;"",EDATE($D77,Milestones!$AA$120)&gt;=$S77),$V77,$U77)))=Milestones!$AB$120),UPPER(TEXT(EDATE($D77,Milestones!$AA$120),"dd mmm yy"))&amp;" "&amp;Milestones!$AB$120&amp;" "&amp;Milestones!$AC$120&amp;";  ","")&amp;IF(AND(EDATE($D77,Milestones!$AA$121)&lt;=AsOfDate,IF($R77=0,$X77,IF(AND($T77&lt;&gt;"",EDATE($D77,Milestones!$AA$121)&gt;=$T77),$W77,IF(AND($S77&lt;&gt;"",EDATE($D77,Milestones!$AA$121)&gt;=$S77),$V77,$U77)))=Milestones!$AB$121),UPPER(TEXT(EDATE($D77,Milestones!$AA$121),"dd mmm yy"))&amp;" "&amp;Milestones!$AB$121&amp;" "&amp;Milestones!$AC$121&amp;";  ","")&amp;IF(AND(EDATE($D77,Milestones!$AA$122)&lt;=AsOfDate,IF($R77=0,$X77,IF(AND($T77&lt;&gt;"",EDATE($D77,Milestones!$AA$122)&gt;=$T77),$W77,IF(AND($S77&lt;&gt;"",EDATE($D77,Milestones!$AA$122)&gt;=$S77),$V77,$U77)))=Milestones!$AB$122),UPPER(TEXT(EDATE($D77,Milestones!$AA$122),"dd mmm yy"))&amp;" "&amp;Milestones!$AB$122&amp;" "&amp;Milestones!$AC$122&amp;";  ","")&amp;IF(AND(EDATE($D77,Milestones!$AA$123)&lt;=AsOfDate,IF($R77=0,$X77,IF(AND($T77&lt;&gt;"",EDATE($D77,Milestones!$AA$123)&gt;=$T77),$W77,IF(AND($S77&lt;&gt;"",EDATE($D77,Milestones!$AA$123)&gt;=$S77),$V77,$U77)))=Milestones!$AB$123),UPPER(TEXT(EDATE($D77,Milestones!$AA$123),"dd mmm yy"))&amp;" "&amp;Milestones!$AB$123&amp;" "&amp;Milestones!$AC$123&amp;";  ","")&amp;IF(AND(EDATE($D77,Milestones!$AA$124)&lt;=AsOfDate,IF($R77=0,$X77,IF(AND($T77&lt;&gt;"",EDATE($D77,Milestones!$AA$124)&gt;=$T77),$W77,IF(AND($S77&lt;&gt;"",EDATE($D77,Milestones!$AA$124)&gt;=$S77),$V77,$U77)))=Milestones!$AB$124),UPPER(TEXT(EDATE($D77,Milestones!$AA$124),"dd mmm yy"))&amp;" "&amp;Milestones!$AB$124&amp;" "&amp;Milestones!$AC$124&amp;";  ","")&amp;IF(AND(EDATE($D77,Milestones!$AA$125)&lt;=AsOfDate,IF($R77=0,$X77,IF(AND($T77&lt;&gt;"",EDATE($D77,Milestones!$AA$125)&gt;=$T77),$W77,IF(AND($S77&lt;&gt;"",EDATE($D77,Milestones!$AA$125)&gt;=$S77),$V77,$U77)))=Milestones!$AB$125),UPPER(TEXT(EDATE($D77,Milestones!$AA$125),"dd mmm yy"))&amp;" "&amp;Milestones!$AB$125&amp;" "&amp;Milestones!$AC$125&amp;";  ","")&amp;IF(AND(EDATE($D77,Milestones!$AA$126)&lt;=AsOfDate,IF($R77=0,$X77,IF(AND($T77&lt;&gt;"",EDATE($D77,Milestones!$AA$126)&gt;=$T77),$W77,IF(AND($S77&lt;&gt;"",EDATE($D77,Milestones!$AA$126)&gt;=$S77),$V77,$U77)))=Milestones!$AB$126),UPPER(TEXT(EDATE($D77,Milestones!$AA$126),"dd mmm yy"))&amp;" "&amp;Milestones!$AB$126&amp;" "&amp;Milestones!$AC$126&amp;";  ","")&amp;IF(AND(EDATE($D77,Milestones!$AA$127)&lt;=AsOfDate,IF($R77=0,$X77,IF(AND($T77&lt;&gt;"",EDATE($D77,Milestones!$AA$127)&gt;=$T77),$W77,IF(AND($S77&lt;&gt;"",EDATE($D77,Milestones!$AA$127)&gt;=$S77),$V77,$U77)))=Milestones!$AB$127),UPPER(TEXT(EDATE($D77,Milestones!$AA$127),"dd mmm yy"))&amp;" "&amp;Milestones!$AB$127&amp;" "&amp;Milestones!$AC$127&amp;";  ","")&amp;IF(AND(EDATE($D77,Milestones!$AA$128)&lt;=AsOfDate,IF($R77=0,$X77,IF(AND($T77&lt;&gt;"",EDATE($D77,Milestones!$AA$128)&gt;=$T77),$W77,IF(AND($S77&lt;&gt;"",EDATE($D77,Milestones!$AA$128)&gt;=$S77),$V77,$U77)))=Milestones!$AB$128),UPPER(TEXT(EDATE($D77,Milestones!$AA$128),"dd mmm yy"))&amp;" "&amp;Milestones!$AB$128&amp;" "&amp;Milestones!$AC$128&amp;";  ","")&amp;IF(AND(EDATE($D77,Milestones!$AA$129)&lt;=AsOfDate,IF($R77=0,$X77,IF(AND($T77&lt;&gt;"",EDATE($D77,Milestones!$AA$129)&gt;=$T77),$W77,IF(AND($S77&lt;&gt;"",EDATE($D77,Milestones!$AA$129)&gt;=$S77),$V77,$U77)))=Milestones!$AB$129),UPPER(TEXT(EDATE($D77,Milestones!$AA$129),"dd mmm yy"))&amp;" "&amp;Milestones!$AB$129&amp;" "&amp;Milestones!$AC$129&amp;";  ","")&amp;IF(AND(EDATE($D77,Milestones!$AA$130)&lt;=AsOfDate,IF($R77=0,$X77,IF(AND($T77&lt;&gt;"",EDATE($D77,Milestones!$AA$130)&gt;=$T77),$W77,IF(AND($S77&lt;&gt;"",EDATE($D77,Milestones!$AA$130)&gt;=$S77),$V77,$U77)))=Milestones!$AB$130),UPPER(TEXT(EDATE($D77,Milestones!$AA$130),"dd mmm yy"))&amp;" "&amp;Milestones!$AB$130&amp;" "&amp;Milestones!$AC$130&amp;";  ","")&amp;IF(AND(EDATE($D77,Milestones!$AA$131)&lt;=AsOfDate,IF($R77=0,$X77,IF(AND($T77&lt;&gt;"",EDATE($D77,Milestones!$AA$131)&gt;=$T77),$W77,IF(AND($S77&lt;&gt;"",EDATE($D77,Milestones!$AA$131)&gt;=$S77),$V77,$U77)))=Milestones!$AB$131),UPPER(TEXT(EDATE($D77,Milestones!$AA$131),"dd mmm yy"))&amp;" "&amp;Milestones!$AB$131&amp;" "&amp;Milestones!$AC$131&amp;";  ","")&amp;IF(AND(EDATE($D77,Milestones!$AA$132)&lt;=AsOfDate,IF($R77=0,$X77,IF(AND($T77&lt;&gt;"",EDATE($D77,Milestones!$AA$132)&gt;=$T77),$W77,IF(AND($S77&lt;&gt;"",EDATE($D77,Milestones!$AA$132)&gt;=$S77),$V77,$U77)))=Milestones!$AB$132),UPPER(TEXT(EDATE($D77,Milestones!$AA$132),"dd mmm yy"))&amp;" "&amp;Milestones!$AB$132&amp;" "&amp;Milestones!$AC$132&amp;";  ","")&amp;IF(AND(EDATE($D77,Milestones!$AA$133)&lt;=AsOfDate,IF($R77=0,$X77,IF(AND($T77&lt;&gt;"",EDATE($D77,Milestones!$AA$133)&gt;=$T77),$W77,IF(AND($S77&lt;&gt;"",EDATE($D77,Milestones!$AA$133)&gt;=$S77),$V77,$U77)))=Milestones!$AB$133),UPPER(TEXT(EDATE($D77,Milestones!$AA$133),"dd mmm yy"))&amp;" "&amp;Milestones!$AB$133&amp;" "&amp;Milestones!$AC$133&amp;";  ","")&amp;IF(AND(EDATE($D77,Milestones!$AA$134)&lt;=AsOfDate,IF($R77=0,$X77,IF(AND($T77&lt;&gt;"",EDATE($D77,Milestones!$AA$134)&gt;=$T77),$W77,IF(AND($S77&lt;&gt;"",EDATE($D77,Milestones!$AA$134)&gt;=$S77),$V77,$U77)))=Milestones!$AB$134),UPPER(TEXT(EDATE($D77,Milestones!$AA$134),"dd mmm yy"))&amp;" "&amp;Milestones!$AB$134&amp;" "&amp;Milestones!$AC$134&amp;";  ","")&amp;IF(AND(EDATE($D77,Milestones!$AA$135)&lt;=AsOfDate,IF($R77=0,$X77,IF(AND($T77&lt;&gt;"",EDATE($D77,Milestones!$AA$135)&gt;=$T77),$W77,IF(AND($S77&lt;&gt;"",EDATE($D77,Milestones!$AA$135)&gt;=$S77),$V77,$U77)))=Milestones!$AB$135),UPPER(TEXT(EDATE($D77,Milestones!$AA$135),"dd mmm yy"))&amp;" "&amp;Milestones!$AB$135&amp;" "&amp;Milestones!$AC$135&amp;";  ","")&amp;IF(AND(EDATE($D77,Milestones!$AA$136)&lt;=AsOfDate,IF($R77=0,$X77,IF(AND($T77&lt;&gt;"",EDATE($D77,Milestones!$AA$136)&gt;=$T77),$W77,IF(AND($S77&lt;&gt;"",EDATE($D77,Milestones!$AA$136)&gt;=$S77),$V77,$U77)))=Milestones!$AB$136),UPPER(TEXT(EDATE($D77,Milestones!$AA$136),"dd mmm yy"))&amp;" "&amp;Milestones!$AB$136&amp;" "&amp;Milestones!$AC$136&amp;";  ","")&amp;IF(AND(EDATE($D77,Milestones!$AA$137)&lt;=AsOfDate,IF($R77=0,$X77,IF(AND($T77&lt;&gt;"",EDATE($D77,Milestones!$AA$137)&gt;=$T77),$W77,IF(AND($S77&lt;&gt;"",EDATE($D77,Milestones!$AA$137)&gt;=$S77),$V77,$U77)))=Milestones!$AB$137),UPPER(TEXT(EDATE($D77,Milestones!$AA$137),"dd mmm yy"))&amp;" "&amp;Milestones!$AB$137&amp;" "&amp;Milestones!$AC$137&amp;";  ","")&amp;IF(AND(EDATE($D77,Milestones!$AA$138)&lt;=AsOfDate,IF($R77=0,$X77,IF(AND($T77&lt;&gt;"",EDATE($D77,Milestones!$AA$138)&gt;=$T77),$W77,IF(AND($S77&lt;&gt;"",EDATE($D77,Milestones!$AA$138)&gt;=$S77),$V77,$U77)))=Milestones!$AB$138),UPPER(TEXT(EDATE($D77,Milestones!$AA$138),"dd mmm yy"))&amp;" "&amp;Milestones!$AB$138&amp;" "&amp;Milestones!$AC$138&amp;";  ","")&amp;IF(AND(EDATE($D77,Milestones!$AA$139)&lt;=AsOfDate,IF($R77=0,$X77,IF(AND($T77&lt;&gt;"",EDATE($D77,Milestones!$AA$139)&gt;=$T77),$W77,IF(AND($S77&lt;&gt;"",EDATE($D77,Milestones!$AA$139)&gt;=$S77),$V77,$U77)))=Milestones!$AB$139),UPPER(TEXT(EDATE($D77,Milestones!$AA$139),"dd mmm yy"))&amp;" "&amp;Milestones!$AB$139&amp;" "&amp;Milestones!$AC$139&amp;";  ",""))</f>
        <v/>
      </c>
      <c r="O77" s="0" t="str">
        <f aca="false">IF(OR($A77="",$D77=""),"",IF(AND(EDATE($D77,Milestones!$AA$140)&lt;=AsOfDate,IF($R77=0,$X77,IF(AND($T77&lt;&gt;"",EDATE($D77,Milestones!$AA$140)&gt;=$T77),$W77,IF(AND($S77&lt;&gt;"",EDATE($D77,Milestones!$AA$140)&gt;=$S77),$V77,$U77)))=Milestones!$AB$140),UPPER(TEXT(EDATE($D77,Milestones!$AA$140),"dd mmm yy"))&amp;" "&amp;Milestones!$AB$140&amp;" "&amp;Milestones!$AC$140&amp;";  ","")&amp;IF(AND(EDATE($D77,Milestones!$AA$141)&lt;=AsOfDate,IF($R77=0,$X77,IF(AND($T77&lt;&gt;"",EDATE($D77,Milestones!$AA$141)&gt;=$T77),$W77,IF(AND($S77&lt;&gt;"",EDATE($D77,Milestones!$AA$141)&gt;=$S77),$V77,$U77)))=Milestones!$AB$141),UPPER(TEXT(EDATE($D77,Milestones!$AA$141),"dd mmm yy"))&amp;" "&amp;Milestones!$AB$141&amp;" "&amp;Milestones!$AC$141&amp;";  ","")&amp;IF(AND(EDATE($D77,Milestones!$AA$142)&lt;=AsOfDate,IF($R77=0,$X77,IF(AND($T77&lt;&gt;"",EDATE($D77,Milestones!$AA$142)&gt;=$T77),$W77,IF(AND($S77&lt;&gt;"",EDATE($D77,Milestones!$AA$142)&gt;=$S77),$V77,$U77)))=Milestones!$AB$142),UPPER(TEXT(EDATE($D77,Milestones!$AA$142),"dd mmm yy"))&amp;" "&amp;Milestones!$AB$142&amp;" "&amp;Milestones!$AC$142&amp;";  ","")&amp;IF(AND(EDATE($D77,Milestones!$AA$143)&lt;=AsOfDate,IF($R77=0,$X77,IF(AND($T77&lt;&gt;"",EDATE($D77,Milestones!$AA$143)&gt;=$T77),$W77,IF(AND($S77&lt;&gt;"",EDATE($D77,Milestones!$AA$143)&gt;=$S77),$V77,$U77)))=Milestones!$AB$143),UPPER(TEXT(EDATE($D77,Milestones!$AA$143),"dd mmm yy"))&amp;" "&amp;Milestones!$AB$143&amp;" "&amp;Milestones!$AC$143&amp;";  ","")&amp;IF(AND(EDATE($D77,Milestones!$AA$144)&lt;=AsOfDate,IF($R77=0,$X77,IF(AND($T77&lt;&gt;"",EDATE($D77,Milestones!$AA$144)&gt;=$T77),$W77,IF(AND($S77&lt;&gt;"",EDATE($D77,Milestones!$AA$144)&gt;=$S77),$V77,$U77)))=Milestones!$AB$144),UPPER(TEXT(EDATE($D77,Milestones!$AA$144),"dd mmm yy"))&amp;" "&amp;Milestones!$AB$144&amp;" "&amp;Milestones!$AC$144&amp;";  ","")&amp;IF(AND(EDATE($D77,Milestones!$AA$145)&lt;=AsOfDate,IF($R77=0,$X77,IF(AND($T77&lt;&gt;"",EDATE($D77,Milestones!$AA$145)&gt;=$T77),$W77,IF(AND($S77&lt;&gt;"",EDATE($D77,Milestones!$AA$145)&gt;=$S77),$V77,$U77)))=Milestones!$AB$145),UPPER(TEXT(EDATE($D77,Milestones!$AA$145),"dd mmm yy"))&amp;" "&amp;Milestones!$AB$145&amp;" "&amp;Milestones!$AC$145&amp;";  ","")&amp;IF(AND(EDATE($D77,Milestones!$AA$146)&lt;=AsOfDate,IF($R77=0,$X77,IF(AND($T77&lt;&gt;"",EDATE($D77,Milestones!$AA$146)&gt;=$T77),$W77,IF(AND($S77&lt;&gt;"",EDATE($D77,Milestones!$AA$146)&gt;=$S77),$V77,$U77)))=Milestones!$AB$146),UPPER(TEXT(EDATE($D77,Milestones!$AA$146),"dd mmm yy"))&amp;" "&amp;Milestones!$AB$146&amp;" "&amp;Milestones!$AC$146&amp;";  ","")&amp;IF(AND(EDATE($D77,Milestones!$AA$147)&lt;=AsOfDate,IF($R77=0,$X77,IF(AND($T77&lt;&gt;"",EDATE($D77,Milestones!$AA$147)&gt;=$T77),$W77,IF(AND($S77&lt;&gt;"",EDATE($D77,Milestones!$AA$147)&gt;=$S77),$V77,$U77)))=Milestones!$AB$147),UPPER(TEXT(EDATE($D77,Milestones!$AA$147),"dd mmm yy"))&amp;" "&amp;Milestones!$AB$147&amp;" "&amp;Milestones!$AC$147&amp;";  ","")&amp;IF(AND(EDATE($D77,Milestones!$AA$148)&lt;=AsOfDate,IF($R77=0,$X77,IF(AND($T77&lt;&gt;"",EDATE($D77,Milestones!$AA$148)&gt;=$T77),$W77,IF(AND($S77&lt;&gt;"",EDATE($D77,Milestones!$AA$148)&gt;=$S77),$V77,$U77)))=Milestones!$AB$148),UPPER(TEXT(EDATE($D77,Milestones!$AA$148),"dd mmm yy"))&amp;" "&amp;Milestones!$AB$148&amp;" "&amp;Milestones!$AC$148&amp;";  ","")&amp;IF(AND(EDATE($D77,Milestones!$AA$149)&lt;=AsOfDate,IF($R77=0,$X77,IF(AND($T77&lt;&gt;"",EDATE($D77,Milestones!$AA$149)&gt;=$T77),$W77,IF(AND($S77&lt;&gt;"",EDATE($D77,Milestones!$AA$149)&gt;=$S77),$V77,$U77)))=Milestones!$AB$149),UPPER(TEXT(EDATE($D77,Milestones!$AA$149),"dd mmm yy"))&amp;" "&amp;Milestones!$AB$149&amp;" "&amp;Milestones!$AC$149&amp;";  ","")&amp;IF(AND(EDATE($D77,Milestones!$AA$150)&lt;=AsOfDate,IF($R77=0,$X77,IF(AND($T77&lt;&gt;"",EDATE($D77,Milestones!$AA$150)&gt;=$T77),$W77,IF(AND($S77&lt;&gt;"",EDATE($D77,Milestones!$AA$150)&gt;=$S77),$V77,$U77)))=Milestones!$AB$150),UPPER(TEXT(EDATE($D77,Milestones!$AA$150),"dd mmm yy"))&amp;" "&amp;Milestones!$AB$150&amp;" "&amp;Milestones!$AC$150&amp;";  ","")&amp;IF(AND(EDATE($D77,Milestones!$AA$151)&lt;=AsOfDate,IF($R77=0,$X77,IF(AND($T77&lt;&gt;"",EDATE($D77,Milestones!$AA$151)&gt;=$T77),$W77,IF(AND($S77&lt;&gt;"",EDATE($D77,Milestones!$AA$151)&gt;=$S77),$V77,$U77)))=Milestones!$AB$151),UPPER(TEXT(EDATE($D77,Milestones!$AA$151),"dd mmm yy"))&amp;" "&amp;Milestones!$AB$151&amp;" "&amp;Milestones!$AC$151&amp;";  ","")&amp;IF(AND(EDATE($D77,Milestones!$AA$152)&lt;=AsOfDate,IF($R77=0,$X77,IF(AND($T77&lt;&gt;"",EDATE($D77,Milestones!$AA$152)&gt;=$T77),$W77,IF(AND($S77&lt;&gt;"",EDATE($D77,Milestones!$AA$152)&gt;=$S77),$V77,$U77)))=Milestones!$AB$152),UPPER(TEXT(EDATE($D77,Milestones!$AA$152),"dd mmm yy"))&amp;" "&amp;Milestones!$AB$152&amp;" "&amp;Milestones!$AC$152&amp;";  ","")&amp;IF(AND(EDATE($D77,Milestones!$AA$153)&lt;=AsOfDate,IF($R77=0,$X77,IF(AND($T77&lt;&gt;"",EDATE($D77,Milestones!$AA$153)&gt;=$T77),$W77,IF(AND($S77&lt;&gt;"",EDATE($D77,Milestones!$AA$153)&gt;=$S77),$V77,$U77)))=Milestones!$AB$153),UPPER(TEXT(EDATE($D77,Milestones!$AA$153),"dd mmm yy"))&amp;" "&amp;Milestones!$AB$153&amp;" "&amp;Milestones!$AC$153&amp;";  ","")&amp;IF(AND(EDATE($D77,Milestones!$AA$154)&lt;=AsOfDate,IF($R77=0,$X77,IF(AND($T77&lt;&gt;"",EDATE($D77,Milestones!$AA$154)&gt;=$T77),$W77,IF(AND($S77&lt;&gt;"",EDATE($D77,Milestones!$AA$154)&gt;=$S77),$V77,$U77)))=Milestones!$AB$154),UPPER(TEXT(EDATE($D77,Milestones!$AA$154),"dd mmm yy"))&amp;" "&amp;Milestones!$AB$154&amp;" "&amp;Milestones!$AC$154&amp;";  ","")&amp;IF(AND(EDATE($D77,Milestones!$AA$155)&lt;=AsOfDate,IF($R77=0,$X77,IF(AND($T77&lt;&gt;"",EDATE($D77,Milestones!$AA$155)&gt;=$T77),$W77,IF(AND($S77&lt;&gt;"",EDATE($D77,Milestones!$AA$155)&gt;=$S77),$V77,$U77)))=Milestones!$AB$155),UPPER(TEXT(EDATE($D77,Milestones!$AA$155),"dd mmm yy"))&amp;" "&amp;Milestones!$AB$155&amp;" "&amp;Milestones!$AC$155&amp;";  ","")&amp;IF(AND(EDATE($D77,Milestones!$AA$156)&lt;=AsOfDate,IF($R77=0,$X77,IF(AND($T77&lt;&gt;"",EDATE($D77,Milestones!$AA$156)&gt;=$T77),$W77,IF(AND($S77&lt;&gt;"",EDATE($D77,Milestones!$AA$156)&gt;=$S77),$V77,$U77)))=Milestones!$AB$156),UPPER(TEXT(EDATE($D77,Milestones!$AA$156),"dd mmm yy"))&amp;" "&amp;Milestones!$AB$156&amp;" "&amp;Milestones!$AC$156&amp;";  ","")&amp;IF(AND(EDATE($D77,Milestones!$AA$157)&lt;=AsOfDate,IF($R77=0,$X77,IF(AND($T77&lt;&gt;"",EDATE($D77,Milestones!$AA$157)&gt;=$T77),$W77,IF(AND($S77&lt;&gt;"",EDATE($D77,Milestones!$AA$157)&gt;=$S77),$V77,$U77)))=Milestones!$AB$157),UPPER(TEXT(EDATE($D77,Milestones!$AA$157),"dd mmm yy"))&amp;" "&amp;Milestones!$AB$157&amp;" "&amp;Milestones!$AC$157&amp;";  ","")&amp;IF(AND(EDATE($D77,Milestones!$AA$158)&lt;=AsOfDate,IF($R77=0,$X77,IF(AND($T77&lt;&gt;"",EDATE($D77,Milestones!$AA$158)&gt;=$T77),$W77,IF(AND($S77&lt;&gt;"",EDATE($D77,Milestones!$AA$158)&gt;=$S77),$V77,$U77)))=Milestones!$AB$158),UPPER(TEXT(EDATE($D77,Milestones!$AA$158),"dd mmm yy"))&amp;" "&amp;Milestones!$AB$158&amp;" "&amp;Milestones!$AC$158&amp;";  ","")&amp;IF(AND(EDATE($D77,Milestones!$AA$159)&lt;=AsOfDate,IF($R77=0,$X77,IF(AND($T77&lt;&gt;"",EDATE($D77,Milestones!$AA$159)&gt;=$T77),$W77,IF(AND($S77&lt;&gt;"",EDATE($D77,Milestones!$AA$159)&gt;=$S77),$V77,$U77)))=Milestones!$AB$159),UPPER(TEXT(EDATE($D77,Milestones!$AA$159),"dd mmm yy"))&amp;" "&amp;Milestones!$AB$159&amp;" "&amp;Milestones!$AC$159&amp;";  ",""))</f>
        <v/>
      </c>
      <c r="P77" s="0" t="str">
        <f aca="false">IF(OR($A77="",$D77=""),"",IF(AND(EDATE($D77,Milestones!$AA$160)&lt;=AsOfDate,IF($R77=0,$X77,IF(AND($T77&lt;&gt;"",EDATE($D77,Milestones!$AA$160)&gt;=$T77),$W77,IF(AND($S77&lt;&gt;"",EDATE($D77,Milestones!$AA$160)&gt;=$S77),$V77,$U77)))=Milestones!$AB$160),UPPER(TEXT(EDATE($D77,Milestones!$AA$160),"dd mmm yy"))&amp;" "&amp;Milestones!$AB$160&amp;" "&amp;Milestones!$AC$160&amp;";  ","")&amp;IF(AND(EDATE($D77,Milestones!$AA$161)&lt;=AsOfDate,IF($R77=0,$X77,IF(AND($T77&lt;&gt;"",EDATE($D77,Milestones!$AA$161)&gt;=$T77),$W77,IF(AND($S77&lt;&gt;"",EDATE($D77,Milestones!$AA$161)&gt;=$S77),$V77,$U77)))=Milestones!$AB$161),UPPER(TEXT(EDATE($D77,Milestones!$AA$161),"dd mmm yy"))&amp;" "&amp;Milestones!$AB$161&amp;" "&amp;Milestones!$AC$161&amp;";  ","")&amp;IF(AND(EDATE($D77,Milestones!$AA$162)&lt;=AsOfDate,IF($R77=0,$X77,IF(AND($T77&lt;&gt;"",EDATE($D77,Milestones!$AA$162)&gt;=$T77),$W77,IF(AND($S77&lt;&gt;"",EDATE($D77,Milestones!$AA$162)&gt;=$S77),$V77,$U77)))=Milestones!$AB$162),UPPER(TEXT(EDATE($D77,Milestones!$AA$162),"dd mmm yy"))&amp;" "&amp;Milestones!$AB$162&amp;" "&amp;Milestones!$AC$162&amp;";  ","")&amp;IF(AND(EDATE($D77,Milestones!$AA$163)&lt;=AsOfDate,IF($R77=0,$X77,IF(AND($T77&lt;&gt;"",EDATE($D77,Milestones!$AA$163)&gt;=$T77),$W77,IF(AND($S77&lt;&gt;"",EDATE($D77,Milestones!$AA$163)&gt;=$S77),$V77,$U77)))=Milestones!$AB$163),UPPER(TEXT(EDATE($D77,Milestones!$AA$163),"dd mmm yy"))&amp;" "&amp;Milestones!$AB$163&amp;" "&amp;Milestones!$AC$163&amp;";  ","")&amp;IF(AND(EDATE($D77,Milestones!$AA$164)&lt;=AsOfDate,IF($R77=0,$X77,IF(AND($T77&lt;&gt;"",EDATE($D77,Milestones!$AA$164)&gt;=$T77),$W77,IF(AND($S77&lt;&gt;"",EDATE($D77,Milestones!$AA$164)&gt;=$S77),$V77,$U77)))=Milestones!$AB$164),UPPER(TEXT(EDATE($D77,Milestones!$AA$164),"dd mmm yy"))&amp;" "&amp;Milestones!$AB$164&amp;" "&amp;Milestones!$AC$164&amp;";  ","")&amp;IF(AND(EDATE($D77,Milestones!$AA$165)&lt;=AsOfDate,IF($R77=0,$X77,IF(AND($T77&lt;&gt;"",EDATE($D77,Milestones!$AA$165)&gt;=$T77),$W77,IF(AND($S77&lt;&gt;"",EDATE($D77,Milestones!$AA$165)&gt;=$S77),$V77,$U77)))=Milestones!$AB$165),UPPER(TEXT(EDATE($D77,Milestones!$AA$165),"dd mmm yy"))&amp;" "&amp;Milestones!$AB$165&amp;" "&amp;Milestones!$AC$165&amp;";  ","")&amp;IF(AND(EDATE($D77,Milestones!$AA$166)&lt;=AsOfDate,IF($R77=0,$X77,IF(AND($T77&lt;&gt;"",EDATE($D77,Milestones!$AA$166)&gt;=$T77),$W77,IF(AND($S77&lt;&gt;"",EDATE($D77,Milestones!$AA$166)&gt;=$S77),$V77,$U77)))=Milestones!$AB$166),UPPER(TEXT(EDATE($D77,Milestones!$AA$166),"dd mmm yy"))&amp;" "&amp;Milestones!$AB$166&amp;" "&amp;Milestones!$AC$166&amp;";  ","")&amp;IF(AND(EDATE($D77,Milestones!$AA$167)&lt;=AsOfDate,IF($R77=0,$X77,IF(AND($T77&lt;&gt;"",EDATE($D77,Milestones!$AA$167)&gt;=$T77),$W77,IF(AND($S77&lt;&gt;"",EDATE($D77,Milestones!$AA$167)&gt;=$S77),$V77,$U77)))=Milestones!$AB$167),UPPER(TEXT(EDATE($D77,Milestones!$AA$167),"dd mmm yy"))&amp;" "&amp;Milestones!$AB$167&amp;" "&amp;Milestones!$AC$167&amp;";  ","")&amp;IF(AND(EDATE($D77,Milestones!$AA$168)&lt;=AsOfDate,IF($R77=0,$X77,IF(AND($T77&lt;&gt;"",EDATE($D77,Milestones!$AA$168)&gt;=$T77),$W77,IF(AND($S77&lt;&gt;"",EDATE($D77,Milestones!$AA$168)&gt;=$S77),$V77,$U77)))=Milestones!$AB$168),UPPER(TEXT(EDATE($D77,Milestones!$AA$168),"dd mmm yy"))&amp;" "&amp;Milestones!$AB$168&amp;" "&amp;Milestones!$AC$168&amp;";  ","")&amp;IF(AND(EDATE($D77,Milestones!$AA$169)&lt;=AsOfDate,IF($R77=0,$X77,IF(AND($T77&lt;&gt;"",EDATE($D77,Milestones!$AA$169)&gt;=$T77),$W77,IF(AND($S77&lt;&gt;"",EDATE($D77,Milestones!$AA$169)&gt;=$S77),$V77,$U77)))=Milestones!$AB$169),UPPER(TEXT(EDATE($D77,Milestones!$AA$169),"dd mmm yy"))&amp;" "&amp;Milestones!$AB$169&amp;" "&amp;Milestones!$AC$169&amp;";  ","")&amp;IF(AND(EDATE($D77,Milestones!$AA$170)&lt;=AsOfDate,IF($R77=0,$X77,IF(AND($T77&lt;&gt;"",EDATE($D77,Milestones!$AA$170)&gt;=$T77),$W77,IF(AND($S77&lt;&gt;"",EDATE($D77,Milestones!$AA$170)&gt;=$S77),$V77,$U77)))=Milestones!$AB$170),UPPER(TEXT(EDATE($D77,Milestones!$AA$170),"dd mmm yy"))&amp;" "&amp;Milestones!$AB$170&amp;" "&amp;Milestones!$AC$170&amp;";  ","")&amp;IF(AND(EDATE($D77,Milestones!$AA$171)&lt;=AsOfDate,IF($R77=0,$X77,IF(AND($T77&lt;&gt;"",EDATE($D77,Milestones!$AA$171)&gt;=$T77),$W77,IF(AND($S77&lt;&gt;"",EDATE($D77,Milestones!$AA$171)&gt;=$S77),$V77,$U77)))=Milestones!$AB$171),UPPER(TEXT(EDATE($D77,Milestones!$AA$171),"dd mmm yy"))&amp;" "&amp;Milestones!$AB$171&amp;" "&amp;Milestones!$AC$171&amp;";  ","")&amp;IF(AND(EDATE($D77,Milestones!$AA$172)&lt;=AsOfDate,IF($R77=0,$X77,IF(AND($T77&lt;&gt;"",EDATE($D77,Milestones!$AA$172)&gt;=$T77),$W77,IF(AND($S77&lt;&gt;"",EDATE($D77,Milestones!$AA$172)&gt;=$S77),$V77,$U77)))=Milestones!$AB$172),UPPER(TEXT(EDATE($D77,Milestones!$AA$172),"dd mmm yy"))&amp;" "&amp;Milestones!$AB$172&amp;" "&amp;Milestones!$AC$172&amp;";  ","")&amp;IF(AND(EDATE($D77,Milestones!$AA$173)&lt;=AsOfDate,IF($R77=0,$X77,IF(AND($T77&lt;&gt;"",EDATE($D77,Milestones!$AA$173)&gt;=$T77),$W77,IF(AND($S77&lt;&gt;"",EDATE($D77,Milestones!$AA$173)&gt;=$S77),$V77,$U77)))=Milestones!$AB$173),UPPER(TEXT(EDATE($D77,Milestones!$AA$173),"dd mmm yy"))&amp;" "&amp;Milestones!$AB$173&amp;" "&amp;Milestones!$AC$173&amp;";  ","")&amp;IF(AND(EDATE($D77,Milestones!$AA$174)&lt;=AsOfDate,IF($R77=0,$X77,IF(AND($T77&lt;&gt;"",EDATE($D77,Milestones!$AA$174)&gt;=$T77),$W77,IF(AND($S77&lt;&gt;"",EDATE($D77,Milestones!$AA$174)&gt;=$S77),$V77,$U77)))=Milestones!$AB$174),UPPER(TEXT(EDATE($D77,Milestones!$AA$174),"dd mmm yy"))&amp;" "&amp;Milestones!$AB$174&amp;" "&amp;Milestones!$AC$174&amp;";  ","")&amp;IF(AND(EDATE($D77,Milestones!$AA$175)&lt;=AsOfDate,IF($R77=0,$X77,IF(AND($T77&lt;&gt;"",EDATE($D77,Milestones!$AA$175)&gt;=$T77),$W77,IF(AND($S77&lt;&gt;"",EDATE($D77,Milestones!$AA$175)&gt;=$S77),$V77,$U77)))=Milestones!$AB$175),UPPER(TEXT(EDATE($D77,Milestones!$AA$175),"dd mmm yy"))&amp;" "&amp;Milestones!$AB$175&amp;" "&amp;Milestones!$AC$175&amp;";  ","")&amp;IF(AND(EDATE($D77,Milestones!$AA$176)&lt;=AsOfDate,IF($R77=0,$X77,IF(AND($T77&lt;&gt;"",EDATE($D77,Milestones!$AA$176)&gt;=$T77),$W77,IF(AND($S77&lt;&gt;"",EDATE($D77,Milestones!$AA$176)&gt;=$S77),$V77,$U77)))=Milestones!$AB$176),UPPER(TEXT(EDATE($D77,Milestones!$AA$176),"dd mmm yy"))&amp;" "&amp;Milestones!$AB$176&amp;" "&amp;Milestones!$AC$176&amp;";  ","")&amp;IF(AND(EDATE($D77,Milestones!$AA$177)&lt;=AsOfDate,IF($R77=0,$X77,IF(AND($T77&lt;&gt;"",EDATE($D77,Milestones!$AA$177)&gt;=$T77),$W77,IF(AND($S77&lt;&gt;"",EDATE($D77,Milestones!$AA$177)&gt;=$S77),$V77,$U77)))=Milestones!$AB$177),UPPER(TEXT(EDATE($D77,Milestones!$AA$177),"dd mmm yy"))&amp;" "&amp;Milestones!$AB$177&amp;" "&amp;Milestones!$AC$177&amp;";  ","")&amp;IF(AND(EDATE($D77,Milestones!$AA$178)&lt;=AsOfDate,IF($R77=0,$X77,IF(AND($T77&lt;&gt;"",EDATE($D77,Milestones!$AA$178)&gt;=$T77),$W77,IF(AND($S77&lt;&gt;"",EDATE($D77,Milestones!$AA$178)&gt;=$S77),$V77,$U77)))=Milestones!$AB$178),UPPER(TEXT(EDATE($D77,Milestones!$AA$178),"dd mmm yy"))&amp;" "&amp;Milestones!$AB$178&amp;" "&amp;Milestones!$AC$178&amp;";  ","")&amp;IF(AND(EDATE($D77,Milestones!$AA$179)&lt;=AsOfDate,IF($R77=0,$X77,IF(AND($T77&lt;&gt;"",EDATE($D77,Milestones!$AA$179)&gt;=$T77),$W77,IF(AND($S77&lt;&gt;"",EDATE($D77,Milestones!$AA$179)&gt;=$S77),$V77,$U77)))=Milestones!$AB$179),UPPER(TEXT(EDATE($D77,Milestones!$AA$179),"dd mmm yy"))&amp;" "&amp;Milestones!$AB$179&amp;" "&amp;Milestones!$AC$179&amp;";  ",""))</f>
        <v/>
      </c>
      <c r="Q77" s="0" t="str">
        <f aca="false">IF(OR($A77="",$D77=""),"",IF(AND(EDATE($D77,Milestones!$AA$180)&lt;=AsOfDate,IF($R77=0,$X77,IF(AND($T77&lt;&gt;"",EDATE($D77,Milestones!$AA$180)&gt;=$T77),$W77,IF(AND($S77&lt;&gt;"",EDATE($D77,Milestones!$AA$180)&gt;=$S77),$V77,$U77)))=Milestones!$AB$180),UPPER(TEXT(EDATE($D77,Milestones!$AA$180),"dd mmm yy"))&amp;" "&amp;Milestones!$AB$180&amp;" "&amp;Milestones!$AC$180&amp;";  ","")&amp;IF(AND(EDATE($D77,Milestones!$AA$181)&lt;=AsOfDate,IF($R77=0,$X77,IF(AND($T77&lt;&gt;"",EDATE($D77,Milestones!$AA$181)&gt;=$T77),$W77,IF(AND($S77&lt;&gt;"",EDATE($D77,Milestones!$AA$181)&gt;=$S77),$V77,$U77)))=Milestones!$AB$181),UPPER(TEXT(EDATE($D77,Milestones!$AA$181),"dd mmm yy"))&amp;" "&amp;Milestones!$AB$181&amp;" "&amp;Milestones!$AC$181&amp;";  ","")&amp;IF(AND(EDATE($D77,Milestones!$AA$182)&lt;=AsOfDate,IF($R77=0,$X77,IF(AND($T77&lt;&gt;"",EDATE($D77,Milestones!$AA$182)&gt;=$T77),$W77,IF(AND($S77&lt;&gt;"",EDATE($D77,Milestones!$AA$182)&gt;=$S77),$V77,$U77)))=Milestones!$AB$182),UPPER(TEXT(EDATE($D77,Milestones!$AA$182),"dd mmm yy"))&amp;" "&amp;Milestones!$AB$182&amp;" "&amp;Milestones!$AC$182&amp;";  ","")&amp;IF(AND(EDATE($D77,Milestones!$AA$183)&lt;=AsOfDate,IF($R77=0,$X77,IF(AND($T77&lt;&gt;"",EDATE($D77,Milestones!$AA$183)&gt;=$T77),$W77,IF(AND($S77&lt;&gt;"",EDATE($D77,Milestones!$AA$183)&gt;=$S77),$V77,$U77)))=Milestones!$AB$183),UPPER(TEXT(EDATE($D77,Milestones!$AA$183),"dd mmm yy"))&amp;" "&amp;Milestones!$AB$183&amp;" "&amp;Milestones!$AC$183&amp;";  ","")&amp;IF(AND(EDATE($D77,Milestones!$AA$184)&lt;=AsOfDate,IF($R77=0,$X77,IF(AND($T77&lt;&gt;"",EDATE($D77,Milestones!$AA$184)&gt;=$T77),$W77,IF(AND($S77&lt;&gt;"",EDATE($D77,Milestones!$AA$184)&gt;=$S77),$V77,$U77)))=Milestones!$AB$184),UPPER(TEXT(EDATE($D77,Milestones!$AA$184),"dd mmm yy"))&amp;" "&amp;Milestones!$AB$184&amp;" "&amp;Milestones!$AC$184&amp;";  ","")&amp;IF(AND(EDATE($D77,Milestones!$AA$185)&lt;=AsOfDate,IF($R77=0,$X77,IF(AND($T77&lt;&gt;"",EDATE($D77,Milestones!$AA$185)&gt;=$T77),$W77,IF(AND($S77&lt;&gt;"",EDATE($D77,Milestones!$AA$185)&gt;=$S77),$V77,$U77)))=Milestones!$AB$185),UPPER(TEXT(EDATE($D77,Milestones!$AA$185),"dd mmm yy"))&amp;" "&amp;Milestones!$AB$185&amp;" "&amp;Milestones!$AC$185&amp;";  ","")&amp;IF(AND(EDATE($D77,Milestones!$AA$186)&lt;=AsOfDate,IF($R77=0,$X77,IF(AND($T77&lt;&gt;"",EDATE($D77,Milestones!$AA$186)&gt;=$T77),$W77,IF(AND($S77&lt;&gt;"",EDATE($D77,Milestones!$AA$186)&gt;=$S77),$V77,$U77)))=Milestones!$AB$186),UPPER(TEXT(EDATE($D77,Milestones!$AA$186),"dd mmm yy"))&amp;" "&amp;Milestones!$AB$186&amp;" "&amp;Milestones!$AC$186&amp;";  ","")&amp;IF(AND(EDATE($D77,Milestones!$AA$187)&lt;=AsOfDate,IF($R77=0,$X77,IF(AND($T77&lt;&gt;"",EDATE($D77,Milestones!$AA$187)&gt;=$T77),$W77,IF(AND($S77&lt;&gt;"",EDATE($D77,Milestones!$AA$187)&gt;=$S77),$V77,$U77)))=Milestones!$AB$187),UPPER(TEXT(EDATE($D77,Milestones!$AA$187),"dd mmm yy"))&amp;" "&amp;Milestones!$AB$187&amp;" "&amp;Milestones!$AC$187&amp;";  ","")&amp;IF(AND(EDATE($D77,Milestones!$AA$188)&lt;=AsOfDate,IF($R77=0,$X77,IF(AND($T77&lt;&gt;"",EDATE($D77,Milestones!$AA$188)&gt;=$T77),$W77,IF(AND($S77&lt;&gt;"",EDATE($D77,Milestones!$AA$188)&gt;=$S77),$V77,$U77)))=Milestones!$AB$188),UPPER(TEXT(EDATE($D77,Milestones!$AA$188),"dd mmm yy"))&amp;" "&amp;Milestones!$AB$188&amp;" "&amp;Milestones!$AC$188&amp;";  ","")&amp;IF(AND(EDATE($D77,Milestones!$AA$189)&lt;=AsOfDate,IF($R77=0,$X77,IF(AND($T77&lt;&gt;"",EDATE($D77,Milestones!$AA$189)&gt;=$T77),$W77,IF(AND($S77&lt;&gt;"",EDATE($D77,Milestones!$AA$189)&gt;=$S77),$V77,$U77)))=Milestones!$AB$189),UPPER(TEXT(EDATE($D77,Milestones!$AA$189),"dd mmm yy"))&amp;" "&amp;Milestones!$AB$189&amp;" "&amp;Milestones!$AC$189&amp;";  ","")&amp;IF(AND(EDATE($D77,Milestones!$AA$190)&lt;=AsOfDate,IF($R77=0,$X77,IF(AND($T77&lt;&gt;"",EDATE($D77,Milestones!$AA$190)&gt;=$T77),$W77,IF(AND($S77&lt;&gt;"",EDATE($D77,Milestones!$AA$190)&gt;=$S77),$V77,$U77)))=Milestones!$AB$190),UPPER(TEXT(EDATE($D77,Milestones!$AA$190),"dd mmm yy"))&amp;" "&amp;Milestones!$AB$190&amp;" "&amp;Milestones!$AC$190&amp;";  ","")&amp;IF(AND(EDATE($D77,Milestones!$AA$191)&lt;=AsOfDate,IF($R77=0,$X77,IF(AND($T77&lt;&gt;"",EDATE($D77,Milestones!$AA$191)&gt;=$T77),$W77,IF(AND($S77&lt;&gt;"",EDATE($D77,Milestones!$AA$191)&gt;=$S77),$V77,$U77)))=Milestones!$AB$191),UPPER(TEXT(EDATE($D77,Milestones!$AA$191),"dd mmm yy"))&amp;" "&amp;Milestones!$AB$191&amp;" "&amp;Milestones!$AC$191&amp;";  ","")&amp;IF(AND(EDATE($D77,Milestones!$AA$192)&lt;=AsOfDate,IF($R77=0,$X77,IF(AND($T77&lt;&gt;"",EDATE($D77,Milestones!$AA$192)&gt;=$T77),$W77,IF(AND($S77&lt;&gt;"",EDATE($D77,Milestones!$AA$192)&gt;=$S77),$V77,$U77)))=Milestones!$AB$192),UPPER(TEXT(EDATE($D77,Milestones!$AA$192),"dd mmm yy"))&amp;" "&amp;Milestones!$AB$192&amp;" "&amp;Milestones!$AC$192&amp;";  ","")&amp;IF(AND(EDATE($D77,Milestones!$AA$193)&lt;=AsOfDate,IF($R77=0,$X77,IF(AND($T77&lt;&gt;"",EDATE($D77,Milestones!$AA$193)&gt;=$T77),$W77,IF(AND($S77&lt;&gt;"",EDATE($D77,Milestones!$AA$193)&gt;=$S77),$V77,$U77)))=Milestones!$AB$193),UPPER(TEXT(EDATE($D77,Milestones!$AA$193),"dd mmm yy"))&amp;" "&amp;Milestones!$AB$193&amp;" "&amp;Milestones!$AC$193&amp;";  ","")&amp;IF(AND(EDATE($D77,Milestones!$AA$194)&lt;=AsOfDate,IF($R77=0,$X77,IF(AND($T77&lt;&gt;"",EDATE($D77,Milestones!$AA$194)&gt;=$T77),$W77,IF(AND($S77&lt;&gt;"",EDATE($D77,Milestones!$AA$194)&gt;=$S77),$V77,$U77)))=Milestones!$AB$194),UPPER(TEXT(EDATE($D77,Milestones!$AA$194),"dd mmm yy"))&amp;" "&amp;Milestones!$AB$194&amp;" "&amp;Milestones!$AC$194&amp;";  ","")&amp;IF(AND(EDATE($D77,Milestones!$AA$195)&lt;=AsOfDate,IF($R77=0,$X77,IF(AND($T77&lt;&gt;"",EDATE($D77,Milestones!$AA$195)&gt;=$T77),$W77,IF(AND($S77&lt;&gt;"",EDATE($D77,Milestones!$AA$195)&gt;=$S77),$V77,$U77)))=Milestones!$AB$195),UPPER(TEXT(EDATE($D77,Milestones!$AA$195),"dd mmm yy"))&amp;" "&amp;Milestones!$AB$195&amp;" "&amp;Milestones!$AC$195&amp;";  ","")&amp;IF(AND(EDATE($D77,Milestones!$AA$196)&lt;=AsOfDate,IF($R77=0,$X77,IF(AND($T77&lt;&gt;"",EDATE($D77,Milestones!$AA$196)&gt;=$T77),$W77,IF(AND($S77&lt;&gt;"",EDATE($D77,Milestones!$AA$196)&gt;=$S77),$V77,$U77)))=Milestones!$AB$196),UPPER(TEXT(EDATE($D77,Milestones!$AA$196),"dd mmm yy"))&amp;" "&amp;Milestones!$AB$196&amp;" "&amp;Milestones!$AC$196&amp;";  ","")&amp;IF(AND(EDATE($D77,Milestones!$AA$197)&lt;=AsOfDate,IF($R77=0,$X77,IF(AND($T77&lt;&gt;"",EDATE($D77,Milestones!$AA$197)&gt;=$T77),$W77,IF(AND($S77&lt;&gt;"",EDATE($D77,Milestones!$AA$197)&gt;=$S77),$V77,$U77)))=Milestones!$AB$197),UPPER(TEXT(EDATE($D77,Milestones!$AA$197),"dd mmm yy"))&amp;" "&amp;Milestones!$AB$197&amp;" "&amp;Milestones!$AC$197&amp;";  ","")&amp;IF(AND(EDATE($D77,Milestones!$AA$198)&lt;=AsOfDate,IF($R77=0,$X77,IF(AND($T77&lt;&gt;"",EDATE($D77,Milestones!$AA$198)&gt;=$T77),$W77,IF(AND($S77&lt;&gt;"",EDATE($D77,Milestones!$AA$198)&gt;=$S77),$V77,$U77)))=Milestones!$AB$198),UPPER(TEXT(EDATE($D77,Milestones!$AA$198),"dd mmm yy"))&amp;" "&amp;Milestones!$AB$198&amp;" "&amp;Milestones!$AC$198&amp;";  ","")&amp;IF(AND(EDATE($D77,Milestones!$AA$199)&lt;=AsOfDate,IF($R77=0,$X77,IF(AND($T77&lt;&gt;"",EDATE($D77,Milestones!$AA$199)&gt;=$T77),$W77,IF(AND($S77&lt;&gt;"",EDATE($D77,Milestones!$AA$199)&gt;=$S77),$V77,$U77)))=Milestones!$AB$199),UPPER(TEXT(EDATE($D77,Milestones!$AA$199),"dd mmm yy"))&amp;" "&amp;Milestones!$AB$199&amp;" "&amp;Milestones!$AC$199&amp;";  ",""))</f>
        <v/>
      </c>
      <c r="R77" s="0" t="str">
        <f aca="false">IF(Staff!$A77="","",Staff!$AI77)</f>
        <v/>
      </c>
      <c r="S77" s="0" t="str">
        <f aca="false">IF(Staff!$A77="","",Staff!$AK77)</f>
        <v/>
      </c>
      <c r="T77" s="0" t="str">
        <f aca="false">IF(Staff!$A77="","",Staff!$AL77)</f>
        <v/>
      </c>
      <c r="U77" s="0" t="str">
        <f aca="false">IF(Staff!$A77="","",Staff!$AP77)</f>
        <v/>
      </c>
      <c r="V77" s="0" t="str">
        <f aca="false">IF(Staff!$A77="","",Staff!$AQ77)</f>
        <v/>
      </c>
      <c r="W77" s="0" t="str">
        <f aca="false">IF(Staff!$A77="","",Staff!$AR77)</f>
        <v/>
      </c>
      <c r="X77" s="0" t="str">
        <f aca="false">IF(Staff!$A77="","",Staff!$AS77)</f>
        <v/>
      </c>
    </row>
    <row r="78" customFormat="false" ht="15" hidden="false" customHeight="false" outlineLevel="0" collapsed="false">
      <c r="A78" s="14" t="str">
        <f aca="false">IF(Staff!$A78="","",Staff!$A78)</f>
        <v/>
      </c>
      <c r="B78" s="14" t="str">
        <f aca="false">IF(Staff!$A78="","",Staff!$B78)</f>
        <v/>
      </c>
      <c r="C78" s="14" t="str">
        <f aca="false">IF(Staff!$A78="","",Staff!$C78)</f>
        <v/>
      </c>
      <c r="D78" s="12" t="str">
        <f aca="false">IF(Staff!$A78="","",Staff!$AH78)</f>
        <v/>
      </c>
      <c r="E78" s="14" t="str">
        <f aca="false">IF(Staff!$A78="","",Staff!$O78)</f>
        <v/>
      </c>
      <c r="F78" s="14" t="str">
        <f aca="false">IF(E78="","",E78*HoursPerDay)</f>
        <v/>
      </c>
      <c r="G78" s="14" t="str">
        <f aca="false">IF(Staff!$A78="","",Staff!$AE78)</f>
        <v/>
      </c>
      <c r="H78" s="26" t="str">
        <f aca="false">IF($A78="","",I78&amp;J78&amp;K78&amp;L78&amp;M78&amp;N78&amp;O78&amp;P78&amp;Q78)</f>
        <v/>
      </c>
      <c r="I78" s="0" t="str">
        <f aca="false">IF(OR($A78="",$D78=""),"",IF(AND(EDATE($D78,Milestones!$AA$20)&lt;=AsOfDate,IF($R78=0,$X78,IF(AND($T78&lt;&gt;"",EDATE($D78,Milestones!$AA$20)&gt;=$T78),$W78,IF(AND($S78&lt;&gt;"",EDATE($D78,Milestones!$AA$20)&gt;=$S78),$V78,$U78)))=Milestones!$AB$20),UPPER(TEXT(EDATE($D78,Milestones!$AA$20),"dd mmm yy"))&amp;" "&amp;Milestones!$AB$20&amp;" "&amp;Milestones!$AC$20&amp;";  ","")&amp;IF(AND(EDATE($D78,Milestones!$AA$21)&lt;=AsOfDate,IF($R78=0,$X78,IF(AND($T78&lt;&gt;"",EDATE($D78,Milestones!$AA$21)&gt;=$T78),$W78,IF(AND($S78&lt;&gt;"",EDATE($D78,Milestones!$AA$21)&gt;=$S78),$V78,$U78)))=Milestones!$AB$21),UPPER(TEXT(EDATE($D78,Milestones!$AA$21),"dd mmm yy"))&amp;" "&amp;Milestones!$AB$21&amp;" "&amp;Milestones!$AC$21&amp;";  ","")&amp;IF(AND(EDATE($D78,Milestones!$AA$22)&lt;=AsOfDate,IF($R78=0,$X78,IF(AND($T78&lt;&gt;"",EDATE($D78,Milestones!$AA$22)&gt;=$T78),$W78,IF(AND($S78&lt;&gt;"",EDATE($D78,Milestones!$AA$22)&gt;=$S78),$V78,$U78)))=Milestones!$AB$22),UPPER(TEXT(EDATE($D78,Milestones!$AA$22),"dd mmm yy"))&amp;" "&amp;Milestones!$AB$22&amp;" "&amp;Milestones!$AC$22&amp;";  ","")&amp;IF(AND(EDATE($D78,Milestones!$AA$23)&lt;=AsOfDate,IF($R78=0,$X78,IF(AND($T78&lt;&gt;"",EDATE($D78,Milestones!$AA$23)&gt;=$T78),$W78,IF(AND($S78&lt;&gt;"",EDATE($D78,Milestones!$AA$23)&gt;=$S78),$V78,$U78)))=Milestones!$AB$23),UPPER(TEXT(EDATE($D78,Milestones!$AA$23),"dd mmm yy"))&amp;" "&amp;Milestones!$AB$23&amp;" "&amp;Milestones!$AC$23&amp;";  ","")&amp;IF(AND(EDATE($D78,Milestones!$AA$24)&lt;=AsOfDate,IF($R78=0,$X78,IF(AND($T78&lt;&gt;"",EDATE($D78,Milestones!$AA$24)&gt;=$T78),$W78,IF(AND($S78&lt;&gt;"",EDATE($D78,Milestones!$AA$24)&gt;=$S78),$V78,$U78)))=Milestones!$AB$24),UPPER(TEXT(EDATE($D78,Milestones!$AA$24),"dd mmm yy"))&amp;" "&amp;Milestones!$AB$24&amp;" "&amp;Milestones!$AC$24&amp;";  ","")&amp;IF(AND(EDATE($D78,Milestones!$AA$25)&lt;=AsOfDate,IF($R78=0,$X78,IF(AND($T78&lt;&gt;"",EDATE($D78,Milestones!$AA$25)&gt;=$T78),$W78,IF(AND($S78&lt;&gt;"",EDATE($D78,Milestones!$AA$25)&gt;=$S78),$V78,$U78)))=Milestones!$AB$25),UPPER(TEXT(EDATE($D78,Milestones!$AA$25),"dd mmm yy"))&amp;" "&amp;Milestones!$AB$25&amp;" "&amp;Milestones!$AC$25&amp;";  ","")&amp;IF(AND(EDATE($D78,Milestones!$AA$26)&lt;=AsOfDate,IF($R78=0,$X78,IF(AND($T78&lt;&gt;"",EDATE($D78,Milestones!$AA$26)&gt;=$T78),$W78,IF(AND($S78&lt;&gt;"",EDATE($D78,Milestones!$AA$26)&gt;=$S78),$V78,$U78)))=Milestones!$AB$26),UPPER(TEXT(EDATE($D78,Milestones!$AA$26),"dd mmm yy"))&amp;" "&amp;Milestones!$AB$26&amp;" "&amp;Milestones!$AC$26&amp;";  ","")&amp;IF(AND(EDATE($D78,Milestones!$AA$27)&lt;=AsOfDate,IF($R78=0,$X78,IF(AND($T78&lt;&gt;"",EDATE($D78,Milestones!$AA$27)&gt;=$T78),$W78,IF(AND($S78&lt;&gt;"",EDATE($D78,Milestones!$AA$27)&gt;=$S78),$V78,$U78)))=Milestones!$AB$27),UPPER(TEXT(EDATE($D78,Milestones!$AA$27),"dd mmm yy"))&amp;" "&amp;Milestones!$AB$27&amp;" "&amp;Milestones!$AC$27&amp;";  ","")&amp;IF(AND(EDATE($D78,Milestones!$AA$28)&lt;=AsOfDate,IF($R78=0,$X78,IF(AND($T78&lt;&gt;"",EDATE($D78,Milestones!$AA$28)&gt;=$T78),$W78,IF(AND($S78&lt;&gt;"",EDATE($D78,Milestones!$AA$28)&gt;=$S78),$V78,$U78)))=Milestones!$AB$28),UPPER(TEXT(EDATE($D78,Milestones!$AA$28),"dd mmm yy"))&amp;" "&amp;Milestones!$AB$28&amp;" "&amp;Milestones!$AC$28&amp;";  ","")&amp;IF(AND(EDATE($D78,Milestones!$AA$29)&lt;=AsOfDate,IF($R78=0,$X78,IF(AND($T78&lt;&gt;"",EDATE($D78,Milestones!$AA$29)&gt;=$T78),$W78,IF(AND($S78&lt;&gt;"",EDATE($D78,Milestones!$AA$29)&gt;=$S78),$V78,$U78)))=Milestones!$AB$29),UPPER(TEXT(EDATE($D78,Milestones!$AA$29),"dd mmm yy"))&amp;" "&amp;Milestones!$AB$29&amp;" "&amp;Milestones!$AC$29&amp;";  ","")&amp;IF(AND(EDATE($D78,Milestones!$AA$30)&lt;=AsOfDate,IF($R78=0,$X78,IF(AND($T78&lt;&gt;"",EDATE($D78,Milestones!$AA$30)&gt;=$T78),$W78,IF(AND($S78&lt;&gt;"",EDATE($D78,Milestones!$AA$30)&gt;=$S78),$V78,$U78)))=Milestones!$AB$30),UPPER(TEXT(EDATE($D78,Milestones!$AA$30),"dd mmm yy"))&amp;" "&amp;Milestones!$AB$30&amp;" "&amp;Milestones!$AC$30&amp;";  ","")&amp;IF(AND(EDATE($D78,Milestones!$AA$31)&lt;=AsOfDate,IF($R78=0,$X78,IF(AND($T78&lt;&gt;"",EDATE($D78,Milestones!$AA$31)&gt;=$T78),$W78,IF(AND($S78&lt;&gt;"",EDATE($D78,Milestones!$AA$31)&gt;=$S78),$V78,$U78)))=Milestones!$AB$31),UPPER(TEXT(EDATE($D78,Milestones!$AA$31),"dd mmm yy"))&amp;" "&amp;Milestones!$AB$31&amp;" "&amp;Milestones!$AC$31&amp;";  ","")&amp;IF(AND(EDATE($D78,Milestones!$AA$32)&lt;=AsOfDate,IF($R78=0,$X78,IF(AND($T78&lt;&gt;"",EDATE($D78,Milestones!$AA$32)&gt;=$T78),$W78,IF(AND($S78&lt;&gt;"",EDATE($D78,Milestones!$AA$32)&gt;=$S78),$V78,$U78)))=Milestones!$AB$32),UPPER(TEXT(EDATE($D78,Milestones!$AA$32),"dd mmm yy"))&amp;" "&amp;Milestones!$AB$32&amp;" "&amp;Milestones!$AC$32&amp;";  ","")&amp;IF(AND(EDATE($D78,Milestones!$AA$33)&lt;=AsOfDate,IF($R78=0,$X78,IF(AND($T78&lt;&gt;"",EDATE($D78,Milestones!$AA$33)&gt;=$T78),$W78,IF(AND($S78&lt;&gt;"",EDATE($D78,Milestones!$AA$33)&gt;=$S78),$V78,$U78)))=Milestones!$AB$33),UPPER(TEXT(EDATE($D78,Milestones!$AA$33),"dd mmm yy"))&amp;" "&amp;Milestones!$AB$33&amp;" "&amp;Milestones!$AC$33&amp;";  ","")&amp;IF(AND(EDATE($D78,Milestones!$AA$34)&lt;=AsOfDate,IF($R78=0,$X78,IF(AND($T78&lt;&gt;"",EDATE($D78,Milestones!$AA$34)&gt;=$T78),$W78,IF(AND($S78&lt;&gt;"",EDATE($D78,Milestones!$AA$34)&gt;=$S78),$V78,$U78)))=Milestones!$AB$34),UPPER(TEXT(EDATE($D78,Milestones!$AA$34),"dd mmm yy"))&amp;" "&amp;Milestones!$AB$34&amp;" "&amp;Milestones!$AC$34&amp;";  ","")&amp;IF(AND(EDATE($D78,Milestones!$AA$35)&lt;=AsOfDate,IF($R78=0,$X78,IF(AND($T78&lt;&gt;"",EDATE($D78,Milestones!$AA$35)&gt;=$T78),$W78,IF(AND($S78&lt;&gt;"",EDATE($D78,Milestones!$AA$35)&gt;=$S78),$V78,$U78)))=Milestones!$AB$35),UPPER(TEXT(EDATE($D78,Milestones!$AA$35),"dd mmm yy"))&amp;" "&amp;Milestones!$AB$35&amp;" "&amp;Milestones!$AC$35&amp;";  ","")&amp;IF(AND(EDATE($D78,Milestones!$AA$36)&lt;=AsOfDate,IF($R78=0,$X78,IF(AND($T78&lt;&gt;"",EDATE($D78,Milestones!$AA$36)&gt;=$T78),$W78,IF(AND($S78&lt;&gt;"",EDATE($D78,Milestones!$AA$36)&gt;=$S78),$V78,$U78)))=Milestones!$AB$36),UPPER(TEXT(EDATE($D78,Milestones!$AA$36),"dd mmm yy"))&amp;" "&amp;Milestones!$AB$36&amp;" "&amp;Milestones!$AC$36&amp;";  ","")&amp;IF(AND(EDATE($D78,Milestones!$AA$37)&lt;=AsOfDate,IF($R78=0,$X78,IF(AND($T78&lt;&gt;"",EDATE($D78,Milestones!$AA$37)&gt;=$T78),$W78,IF(AND($S78&lt;&gt;"",EDATE($D78,Milestones!$AA$37)&gt;=$S78),$V78,$U78)))=Milestones!$AB$37),UPPER(TEXT(EDATE($D78,Milestones!$AA$37),"dd mmm yy"))&amp;" "&amp;Milestones!$AB$37&amp;" "&amp;Milestones!$AC$37&amp;";  ","")&amp;IF(AND(EDATE($D78,Milestones!$AA$38)&lt;=AsOfDate,IF($R78=0,$X78,IF(AND($T78&lt;&gt;"",EDATE($D78,Milestones!$AA$38)&gt;=$T78),$W78,IF(AND($S78&lt;&gt;"",EDATE($D78,Milestones!$AA$38)&gt;=$S78),$V78,$U78)))=Milestones!$AB$38),UPPER(TEXT(EDATE($D78,Milestones!$AA$38),"dd mmm yy"))&amp;" "&amp;Milestones!$AB$38&amp;" "&amp;Milestones!$AC$38&amp;";  ","")&amp;IF(AND(EDATE($D78,Milestones!$AA$39)&lt;=AsOfDate,IF($R78=0,$X78,IF(AND($T78&lt;&gt;"",EDATE($D78,Milestones!$AA$39)&gt;=$T78),$W78,IF(AND($S78&lt;&gt;"",EDATE($D78,Milestones!$AA$39)&gt;=$S78),$V78,$U78)))=Milestones!$AB$39),UPPER(TEXT(EDATE($D78,Milestones!$AA$39),"dd mmm yy"))&amp;" "&amp;Milestones!$AB$39&amp;" "&amp;Milestones!$AC$39&amp;";  ",""))</f>
        <v/>
      </c>
      <c r="J78" s="0" t="str">
        <f aca="false">IF(OR($A78="",$D78=""),"",IF(AND(EDATE($D78,Milestones!$AA$40)&lt;=AsOfDate,IF($R78=0,$X78,IF(AND($T78&lt;&gt;"",EDATE($D78,Milestones!$AA$40)&gt;=$T78),$W78,IF(AND($S78&lt;&gt;"",EDATE($D78,Milestones!$AA$40)&gt;=$S78),$V78,$U78)))=Milestones!$AB$40),UPPER(TEXT(EDATE($D78,Milestones!$AA$40),"dd mmm yy"))&amp;" "&amp;Milestones!$AB$40&amp;" "&amp;Milestones!$AC$40&amp;";  ","")&amp;IF(AND(EDATE($D78,Milestones!$AA$41)&lt;=AsOfDate,IF($R78=0,$X78,IF(AND($T78&lt;&gt;"",EDATE($D78,Milestones!$AA$41)&gt;=$T78),$W78,IF(AND($S78&lt;&gt;"",EDATE($D78,Milestones!$AA$41)&gt;=$S78),$V78,$U78)))=Milestones!$AB$41),UPPER(TEXT(EDATE($D78,Milestones!$AA$41),"dd mmm yy"))&amp;" "&amp;Milestones!$AB$41&amp;" "&amp;Milestones!$AC$41&amp;";  ","")&amp;IF(AND(EDATE($D78,Milestones!$AA$42)&lt;=AsOfDate,IF($R78=0,$X78,IF(AND($T78&lt;&gt;"",EDATE($D78,Milestones!$AA$42)&gt;=$T78),$W78,IF(AND($S78&lt;&gt;"",EDATE($D78,Milestones!$AA$42)&gt;=$S78),$V78,$U78)))=Milestones!$AB$42),UPPER(TEXT(EDATE($D78,Milestones!$AA$42),"dd mmm yy"))&amp;" "&amp;Milestones!$AB$42&amp;" "&amp;Milestones!$AC$42&amp;";  ","")&amp;IF(AND(EDATE($D78,Milestones!$AA$43)&lt;=AsOfDate,IF($R78=0,$X78,IF(AND($T78&lt;&gt;"",EDATE($D78,Milestones!$AA$43)&gt;=$T78),$W78,IF(AND($S78&lt;&gt;"",EDATE($D78,Milestones!$AA$43)&gt;=$S78),$V78,$U78)))=Milestones!$AB$43),UPPER(TEXT(EDATE($D78,Milestones!$AA$43),"dd mmm yy"))&amp;" "&amp;Milestones!$AB$43&amp;" "&amp;Milestones!$AC$43&amp;";  ","")&amp;IF(AND(EDATE($D78,Milestones!$AA$44)&lt;=AsOfDate,IF($R78=0,$X78,IF(AND($T78&lt;&gt;"",EDATE($D78,Milestones!$AA$44)&gt;=$T78),$W78,IF(AND($S78&lt;&gt;"",EDATE($D78,Milestones!$AA$44)&gt;=$S78),$V78,$U78)))=Milestones!$AB$44),UPPER(TEXT(EDATE($D78,Milestones!$AA$44),"dd mmm yy"))&amp;" "&amp;Milestones!$AB$44&amp;" "&amp;Milestones!$AC$44&amp;";  ","")&amp;IF(AND(EDATE($D78,Milestones!$AA$45)&lt;=AsOfDate,IF($R78=0,$X78,IF(AND($T78&lt;&gt;"",EDATE($D78,Milestones!$AA$45)&gt;=$T78),$W78,IF(AND($S78&lt;&gt;"",EDATE($D78,Milestones!$AA$45)&gt;=$S78),$V78,$U78)))=Milestones!$AB$45),UPPER(TEXT(EDATE($D78,Milestones!$AA$45),"dd mmm yy"))&amp;" "&amp;Milestones!$AB$45&amp;" "&amp;Milestones!$AC$45&amp;";  ","")&amp;IF(AND(EDATE($D78,Milestones!$AA$46)&lt;=AsOfDate,IF($R78=0,$X78,IF(AND($T78&lt;&gt;"",EDATE($D78,Milestones!$AA$46)&gt;=$T78),$W78,IF(AND($S78&lt;&gt;"",EDATE($D78,Milestones!$AA$46)&gt;=$S78),$V78,$U78)))=Milestones!$AB$46),UPPER(TEXT(EDATE($D78,Milestones!$AA$46),"dd mmm yy"))&amp;" "&amp;Milestones!$AB$46&amp;" "&amp;Milestones!$AC$46&amp;";  ","")&amp;IF(AND(EDATE($D78,Milestones!$AA$47)&lt;=AsOfDate,IF($R78=0,$X78,IF(AND($T78&lt;&gt;"",EDATE($D78,Milestones!$AA$47)&gt;=$T78),$W78,IF(AND($S78&lt;&gt;"",EDATE($D78,Milestones!$AA$47)&gt;=$S78),$V78,$U78)))=Milestones!$AB$47),UPPER(TEXT(EDATE($D78,Milestones!$AA$47),"dd mmm yy"))&amp;" "&amp;Milestones!$AB$47&amp;" "&amp;Milestones!$AC$47&amp;";  ","")&amp;IF(AND(EDATE($D78,Milestones!$AA$48)&lt;=AsOfDate,IF($R78=0,$X78,IF(AND($T78&lt;&gt;"",EDATE($D78,Milestones!$AA$48)&gt;=$T78),$W78,IF(AND($S78&lt;&gt;"",EDATE($D78,Milestones!$AA$48)&gt;=$S78),$V78,$U78)))=Milestones!$AB$48),UPPER(TEXT(EDATE($D78,Milestones!$AA$48),"dd mmm yy"))&amp;" "&amp;Milestones!$AB$48&amp;" "&amp;Milestones!$AC$48&amp;";  ","")&amp;IF(AND(EDATE($D78,Milestones!$AA$49)&lt;=AsOfDate,IF($R78=0,$X78,IF(AND($T78&lt;&gt;"",EDATE($D78,Milestones!$AA$49)&gt;=$T78),$W78,IF(AND($S78&lt;&gt;"",EDATE($D78,Milestones!$AA$49)&gt;=$S78),$V78,$U78)))=Milestones!$AB$49),UPPER(TEXT(EDATE($D78,Milestones!$AA$49),"dd mmm yy"))&amp;" "&amp;Milestones!$AB$49&amp;" "&amp;Milestones!$AC$49&amp;";  ","")&amp;IF(AND(EDATE($D78,Milestones!$AA$50)&lt;=AsOfDate,IF($R78=0,$X78,IF(AND($T78&lt;&gt;"",EDATE($D78,Milestones!$AA$50)&gt;=$T78),$W78,IF(AND($S78&lt;&gt;"",EDATE($D78,Milestones!$AA$50)&gt;=$S78),$V78,$U78)))=Milestones!$AB$50),UPPER(TEXT(EDATE($D78,Milestones!$AA$50),"dd mmm yy"))&amp;" "&amp;Milestones!$AB$50&amp;" "&amp;Milestones!$AC$50&amp;";  ","")&amp;IF(AND(EDATE($D78,Milestones!$AA$51)&lt;=AsOfDate,IF($R78=0,$X78,IF(AND($T78&lt;&gt;"",EDATE($D78,Milestones!$AA$51)&gt;=$T78),$W78,IF(AND($S78&lt;&gt;"",EDATE($D78,Milestones!$AA$51)&gt;=$S78),$V78,$U78)))=Milestones!$AB$51),UPPER(TEXT(EDATE($D78,Milestones!$AA$51),"dd mmm yy"))&amp;" "&amp;Milestones!$AB$51&amp;" "&amp;Milestones!$AC$51&amp;";  ","")&amp;IF(AND(EDATE($D78,Milestones!$AA$52)&lt;=AsOfDate,IF($R78=0,$X78,IF(AND($T78&lt;&gt;"",EDATE($D78,Milestones!$AA$52)&gt;=$T78),$W78,IF(AND($S78&lt;&gt;"",EDATE($D78,Milestones!$AA$52)&gt;=$S78),$V78,$U78)))=Milestones!$AB$52),UPPER(TEXT(EDATE($D78,Milestones!$AA$52),"dd mmm yy"))&amp;" "&amp;Milestones!$AB$52&amp;" "&amp;Milestones!$AC$52&amp;";  ","")&amp;IF(AND(EDATE($D78,Milestones!$AA$53)&lt;=AsOfDate,IF($R78=0,$X78,IF(AND($T78&lt;&gt;"",EDATE($D78,Milestones!$AA$53)&gt;=$T78),$W78,IF(AND($S78&lt;&gt;"",EDATE($D78,Milestones!$AA$53)&gt;=$S78),$V78,$U78)))=Milestones!$AB$53),UPPER(TEXT(EDATE($D78,Milestones!$AA$53),"dd mmm yy"))&amp;" "&amp;Milestones!$AB$53&amp;" "&amp;Milestones!$AC$53&amp;";  ","")&amp;IF(AND(EDATE($D78,Milestones!$AA$54)&lt;=AsOfDate,IF($R78=0,$X78,IF(AND($T78&lt;&gt;"",EDATE($D78,Milestones!$AA$54)&gt;=$T78),$W78,IF(AND($S78&lt;&gt;"",EDATE($D78,Milestones!$AA$54)&gt;=$S78),$V78,$U78)))=Milestones!$AB$54),UPPER(TEXT(EDATE($D78,Milestones!$AA$54),"dd mmm yy"))&amp;" "&amp;Milestones!$AB$54&amp;" "&amp;Milestones!$AC$54&amp;";  ","")&amp;IF(AND(EDATE($D78,Milestones!$AA$55)&lt;=AsOfDate,IF($R78=0,$X78,IF(AND($T78&lt;&gt;"",EDATE($D78,Milestones!$AA$55)&gt;=$T78),$W78,IF(AND($S78&lt;&gt;"",EDATE($D78,Milestones!$AA$55)&gt;=$S78),$V78,$U78)))=Milestones!$AB$55),UPPER(TEXT(EDATE($D78,Milestones!$AA$55),"dd mmm yy"))&amp;" "&amp;Milestones!$AB$55&amp;" "&amp;Milestones!$AC$55&amp;";  ","")&amp;IF(AND(EDATE($D78,Milestones!$AA$56)&lt;=AsOfDate,IF($R78=0,$X78,IF(AND($T78&lt;&gt;"",EDATE($D78,Milestones!$AA$56)&gt;=$T78),$W78,IF(AND($S78&lt;&gt;"",EDATE($D78,Milestones!$AA$56)&gt;=$S78),$V78,$U78)))=Milestones!$AB$56),UPPER(TEXT(EDATE($D78,Milestones!$AA$56),"dd mmm yy"))&amp;" "&amp;Milestones!$AB$56&amp;" "&amp;Milestones!$AC$56&amp;";  ","")&amp;IF(AND(EDATE($D78,Milestones!$AA$57)&lt;=AsOfDate,IF($R78=0,$X78,IF(AND($T78&lt;&gt;"",EDATE($D78,Milestones!$AA$57)&gt;=$T78),$W78,IF(AND($S78&lt;&gt;"",EDATE($D78,Milestones!$AA$57)&gt;=$S78),$V78,$U78)))=Milestones!$AB$57),UPPER(TEXT(EDATE($D78,Milestones!$AA$57),"dd mmm yy"))&amp;" "&amp;Milestones!$AB$57&amp;" "&amp;Milestones!$AC$57&amp;";  ","")&amp;IF(AND(EDATE($D78,Milestones!$AA$58)&lt;=AsOfDate,IF($R78=0,$X78,IF(AND($T78&lt;&gt;"",EDATE($D78,Milestones!$AA$58)&gt;=$T78),$W78,IF(AND($S78&lt;&gt;"",EDATE($D78,Milestones!$AA$58)&gt;=$S78),$V78,$U78)))=Milestones!$AB$58),UPPER(TEXT(EDATE($D78,Milestones!$AA$58),"dd mmm yy"))&amp;" "&amp;Milestones!$AB$58&amp;" "&amp;Milestones!$AC$58&amp;";  ","")&amp;IF(AND(EDATE($D78,Milestones!$AA$59)&lt;=AsOfDate,IF($R78=0,$X78,IF(AND($T78&lt;&gt;"",EDATE($D78,Milestones!$AA$59)&gt;=$T78),$W78,IF(AND($S78&lt;&gt;"",EDATE($D78,Milestones!$AA$59)&gt;=$S78),$V78,$U78)))=Milestones!$AB$59),UPPER(TEXT(EDATE($D78,Milestones!$AA$59),"dd mmm yy"))&amp;" "&amp;Milestones!$AB$59&amp;" "&amp;Milestones!$AC$59&amp;";  ",""))</f>
        <v/>
      </c>
      <c r="K78" s="0" t="str">
        <f aca="false">IF(OR($A78="",$D78=""),"",IF(AND(EDATE($D78,Milestones!$AA$60)&lt;=AsOfDate,IF($R78=0,$X78,IF(AND($T78&lt;&gt;"",EDATE($D78,Milestones!$AA$60)&gt;=$T78),$W78,IF(AND($S78&lt;&gt;"",EDATE($D78,Milestones!$AA$60)&gt;=$S78),$V78,$U78)))=Milestones!$AB$60),UPPER(TEXT(EDATE($D78,Milestones!$AA$60),"dd mmm yy"))&amp;" "&amp;Milestones!$AB$60&amp;" "&amp;Milestones!$AC$60&amp;";  ","")&amp;IF(AND(EDATE($D78,Milestones!$AA$61)&lt;=AsOfDate,IF($R78=0,$X78,IF(AND($T78&lt;&gt;"",EDATE($D78,Milestones!$AA$61)&gt;=$T78),$W78,IF(AND($S78&lt;&gt;"",EDATE($D78,Milestones!$AA$61)&gt;=$S78),$V78,$U78)))=Milestones!$AB$61),UPPER(TEXT(EDATE($D78,Milestones!$AA$61),"dd mmm yy"))&amp;" "&amp;Milestones!$AB$61&amp;" "&amp;Milestones!$AC$61&amp;";  ","")&amp;IF(AND(EDATE($D78,Milestones!$AA$62)&lt;=AsOfDate,IF($R78=0,$X78,IF(AND($T78&lt;&gt;"",EDATE($D78,Milestones!$AA$62)&gt;=$T78),$W78,IF(AND($S78&lt;&gt;"",EDATE($D78,Milestones!$AA$62)&gt;=$S78),$V78,$U78)))=Milestones!$AB$62),UPPER(TEXT(EDATE($D78,Milestones!$AA$62),"dd mmm yy"))&amp;" "&amp;Milestones!$AB$62&amp;" "&amp;Milestones!$AC$62&amp;";  ","")&amp;IF(AND(EDATE($D78,Milestones!$AA$63)&lt;=AsOfDate,IF($R78=0,$X78,IF(AND($T78&lt;&gt;"",EDATE($D78,Milestones!$AA$63)&gt;=$T78),$W78,IF(AND($S78&lt;&gt;"",EDATE($D78,Milestones!$AA$63)&gt;=$S78),$V78,$U78)))=Milestones!$AB$63),UPPER(TEXT(EDATE($D78,Milestones!$AA$63),"dd mmm yy"))&amp;" "&amp;Milestones!$AB$63&amp;" "&amp;Milestones!$AC$63&amp;";  ","")&amp;IF(AND(EDATE($D78,Milestones!$AA$64)&lt;=AsOfDate,IF($R78=0,$X78,IF(AND($T78&lt;&gt;"",EDATE($D78,Milestones!$AA$64)&gt;=$T78),$W78,IF(AND($S78&lt;&gt;"",EDATE($D78,Milestones!$AA$64)&gt;=$S78),$V78,$U78)))=Milestones!$AB$64),UPPER(TEXT(EDATE($D78,Milestones!$AA$64),"dd mmm yy"))&amp;" "&amp;Milestones!$AB$64&amp;" "&amp;Milestones!$AC$64&amp;";  ","")&amp;IF(AND(EDATE($D78,Milestones!$AA$65)&lt;=AsOfDate,IF($R78=0,$X78,IF(AND($T78&lt;&gt;"",EDATE($D78,Milestones!$AA$65)&gt;=$T78),$W78,IF(AND($S78&lt;&gt;"",EDATE($D78,Milestones!$AA$65)&gt;=$S78),$V78,$U78)))=Milestones!$AB$65),UPPER(TEXT(EDATE($D78,Milestones!$AA$65),"dd mmm yy"))&amp;" "&amp;Milestones!$AB$65&amp;" "&amp;Milestones!$AC$65&amp;";  ","")&amp;IF(AND(EDATE($D78,Milestones!$AA$66)&lt;=AsOfDate,IF($R78=0,$X78,IF(AND($T78&lt;&gt;"",EDATE($D78,Milestones!$AA$66)&gt;=$T78),$W78,IF(AND($S78&lt;&gt;"",EDATE($D78,Milestones!$AA$66)&gt;=$S78),$V78,$U78)))=Milestones!$AB$66),UPPER(TEXT(EDATE($D78,Milestones!$AA$66),"dd mmm yy"))&amp;" "&amp;Milestones!$AB$66&amp;" "&amp;Milestones!$AC$66&amp;";  ","")&amp;IF(AND(EDATE($D78,Milestones!$AA$67)&lt;=AsOfDate,IF($R78=0,$X78,IF(AND($T78&lt;&gt;"",EDATE($D78,Milestones!$AA$67)&gt;=$T78),$W78,IF(AND($S78&lt;&gt;"",EDATE($D78,Milestones!$AA$67)&gt;=$S78),$V78,$U78)))=Milestones!$AB$67),UPPER(TEXT(EDATE($D78,Milestones!$AA$67),"dd mmm yy"))&amp;" "&amp;Milestones!$AB$67&amp;" "&amp;Milestones!$AC$67&amp;";  ","")&amp;IF(AND(EDATE($D78,Milestones!$AA$68)&lt;=AsOfDate,IF($R78=0,$X78,IF(AND($T78&lt;&gt;"",EDATE($D78,Milestones!$AA$68)&gt;=$T78),$W78,IF(AND($S78&lt;&gt;"",EDATE($D78,Milestones!$AA$68)&gt;=$S78),$V78,$U78)))=Milestones!$AB$68),UPPER(TEXT(EDATE($D78,Milestones!$AA$68),"dd mmm yy"))&amp;" "&amp;Milestones!$AB$68&amp;" "&amp;Milestones!$AC$68&amp;";  ","")&amp;IF(AND(EDATE($D78,Milestones!$AA$69)&lt;=AsOfDate,IF($R78=0,$X78,IF(AND($T78&lt;&gt;"",EDATE($D78,Milestones!$AA$69)&gt;=$T78),$W78,IF(AND($S78&lt;&gt;"",EDATE($D78,Milestones!$AA$69)&gt;=$S78),$V78,$U78)))=Milestones!$AB$69),UPPER(TEXT(EDATE($D78,Milestones!$AA$69),"dd mmm yy"))&amp;" "&amp;Milestones!$AB$69&amp;" "&amp;Milestones!$AC$69&amp;";  ","")&amp;IF(AND(EDATE($D78,Milestones!$AA$70)&lt;=AsOfDate,IF($R78=0,$X78,IF(AND($T78&lt;&gt;"",EDATE($D78,Milestones!$AA$70)&gt;=$T78),$W78,IF(AND($S78&lt;&gt;"",EDATE($D78,Milestones!$AA$70)&gt;=$S78),$V78,$U78)))=Milestones!$AB$70),UPPER(TEXT(EDATE($D78,Milestones!$AA$70),"dd mmm yy"))&amp;" "&amp;Milestones!$AB$70&amp;" "&amp;Milestones!$AC$70&amp;";  ","")&amp;IF(AND(EDATE($D78,Milestones!$AA$71)&lt;=AsOfDate,IF($R78=0,$X78,IF(AND($T78&lt;&gt;"",EDATE($D78,Milestones!$AA$71)&gt;=$T78),$W78,IF(AND($S78&lt;&gt;"",EDATE($D78,Milestones!$AA$71)&gt;=$S78),$V78,$U78)))=Milestones!$AB$71),UPPER(TEXT(EDATE($D78,Milestones!$AA$71),"dd mmm yy"))&amp;" "&amp;Milestones!$AB$71&amp;" "&amp;Milestones!$AC$71&amp;";  ","")&amp;IF(AND(EDATE($D78,Milestones!$AA$72)&lt;=AsOfDate,IF($R78=0,$X78,IF(AND($T78&lt;&gt;"",EDATE($D78,Milestones!$AA$72)&gt;=$T78),$W78,IF(AND($S78&lt;&gt;"",EDATE($D78,Milestones!$AA$72)&gt;=$S78),$V78,$U78)))=Milestones!$AB$72),UPPER(TEXT(EDATE($D78,Milestones!$AA$72),"dd mmm yy"))&amp;" "&amp;Milestones!$AB$72&amp;" "&amp;Milestones!$AC$72&amp;";  ","")&amp;IF(AND(EDATE($D78,Milestones!$AA$73)&lt;=AsOfDate,IF($R78=0,$X78,IF(AND($T78&lt;&gt;"",EDATE($D78,Milestones!$AA$73)&gt;=$T78),$W78,IF(AND($S78&lt;&gt;"",EDATE($D78,Milestones!$AA$73)&gt;=$S78),$V78,$U78)))=Milestones!$AB$73),UPPER(TEXT(EDATE($D78,Milestones!$AA$73),"dd mmm yy"))&amp;" "&amp;Milestones!$AB$73&amp;" "&amp;Milestones!$AC$73&amp;";  ","")&amp;IF(AND(EDATE($D78,Milestones!$AA$74)&lt;=AsOfDate,IF($R78=0,$X78,IF(AND($T78&lt;&gt;"",EDATE($D78,Milestones!$AA$74)&gt;=$T78),$W78,IF(AND($S78&lt;&gt;"",EDATE($D78,Milestones!$AA$74)&gt;=$S78),$V78,$U78)))=Milestones!$AB$74),UPPER(TEXT(EDATE($D78,Milestones!$AA$74),"dd mmm yy"))&amp;" "&amp;Milestones!$AB$74&amp;" "&amp;Milestones!$AC$74&amp;";  ","")&amp;IF(AND(EDATE($D78,Milestones!$AA$75)&lt;=AsOfDate,IF($R78=0,$X78,IF(AND($T78&lt;&gt;"",EDATE($D78,Milestones!$AA$75)&gt;=$T78),$W78,IF(AND($S78&lt;&gt;"",EDATE($D78,Milestones!$AA$75)&gt;=$S78),$V78,$U78)))=Milestones!$AB$75),UPPER(TEXT(EDATE($D78,Milestones!$AA$75),"dd mmm yy"))&amp;" "&amp;Milestones!$AB$75&amp;" "&amp;Milestones!$AC$75&amp;";  ","")&amp;IF(AND(EDATE($D78,Milestones!$AA$76)&lt;=AsOfDate,IF($R78=0,$X78,IF(AND($T78&lt;&gt;"",EDATE($D78,Milestones!$AA$76)&gt;=$T78),$W78,IF(AND($S78&lt;&gt;"",EDATE($D78,Milestones!$AA$76)&gt;=$S78),$V78,$U78)))=Milestones!$AB$76),UPPER(TEXT(EDATE($D78,Milestones!$AA$76),"dd mmm yy"))&amp;" "&amp;Milestones!$AB$76&amp;" "&amp;Milestones!$AC$76&amp;";  ","")&amp;IF(AND(EDATE($D78,Milestones!$AA$77)&lt;=AsOfDate,IF($R78=0,$X78,IF(AND($T78&lt;&gt;"",EDATE($D78,Milestones!$AA$77)&gt;=$T78),$W78,IF(AND($S78&lt;&gt;"",EDATE($D78,Milestones!$AA$77)&gt;=$S78),$V78,$U78)))=Milestones!$AB$77),UPPER(TEXT(EDATE($D78,Milestones!$AA$77),"dd mmm yy"))&amp;" "&amp;Milestones!$AB$77&amp;" "&amp;Milestones!$AC$77&amp;";  ","")&amp;IF(AND(EDATE($D78,Milestones!$AA$78)&lt;=AsOfDate,IF($R78=0,$X78,IF(AND($T78&lt;&gt;"",EDATE($D78,Milestones!$AA$78)&gt;=$T78),$W78,IF(AND($S78&lt;&gt;"",EDATE($D78,Milestones!$AA$78)&gt;=$S78),$V78,$U78)))=Milestones!$AB$78),UPPER(TEXT(EDATE($D78,Milestones!$AA$78),"dd mmm yy"))&amp;" "&amp;Milestones!$AB$78&amp;" "&amp;Milestones!$AC$78&amp;";  ","")&amp;IF(AND(EDATE($D78,Milestones!$AA$79)&lt;=AsOfDate,IF($R78=0,$X78,IF(AND($T78&lt;&gt;"",EDATE($D78,Milestones!$AA$79)&gt;=$T78),$W78,IF(AND($S78&lt;&gt;"",EDATE($D78,Milestones!$AA$79)&gt;=$S78),$V78,$U78)))=Milestones!$AB$79),UPPER(TEXT(EDATE($D78,Milestones!$AA$79),"dd mmm yy"))&amp;" "&amp;Milestones!$AB$79&amp;" "&amp;Milestones!$AC$79&amp;";  ",""))</f>
        <v/>
      </c>
      <c r="L78" s="0" t="str">
        <f aca="false">IF(OR($A78="",$D78=""),"",IF(AND(EDATE($D78,Milestones!$AA$80)&lt;=AsOfDate,IF($R78=0,$X78,IF(AND($T78&lt;&gt;"",EDATE($D78,Milestones!$AA$80)&gt;=$T78),$W78,IF(AND($S78&lt;&gt;"",EDATE($D78,Milestones!$AA$80)&gt;=$S78),$V78,$U78)))=Milestones!$AB$80),UPPER(TEXT(EDATE($D78,Milestones!$AA$80),"dd mmm yy"))&amp;" "&amp;Milestones!$AB$80&amp;" "&amp;Milestones!$AC$80&amp;";  ","")&amp;IF(AND(EDATE($D78,Milestones!$AA$81)&lt;=AsOfDate,IF($R78=0,$X78,IF(AND($T78&lt;&gt;"",EDATE($D78,Milestones!$AA$81)&gt;=$T78),$W78,IF(AND($S78&lt;&gt;"",EDATE($D78,Milestones!$AA$81)&gt;=$S78),$V78,$U78)))=Milestones!$AB$81),UPPER(TEXT(EDATE($D78,Milestones!$AA$81),"dd mmm yy"))&amp;" "&amp;Milestones!$AB$81&amp;" "&amp;Milestones!$AC$81&amp;";  ","")&amp;IF(AND(EDATE($D78,Milestones!$AA$82)&lt;=AsOfDate,IF($R78=0,$X78,IF(AND($T78&lt;&gt;"",EDATE($D78,Milestones!$AA$82)&gt;=$T78),$W78,IF(AND($S78&lt;&gt;"",EDATE($D78,Milestones!$AA$82)&gt;=$S78),$V78,$U78)))=Milestones!$AB$82),UPPER(TEXT(EDATE($D78,Milestones!$AA$82),"dd mmm yy"))&amp;" "&amp;Milestones!$AB$82&amp;" "&amp;Milestones!$AC$82&amp;";  ","")&amp;IF(AND(EDATE($D78,Milestones!$AA$83)&lt;=AsOfDate,IF($R78=0,$X78,IF(AND($T78&lt;&gt;"",EDATE($D78,Milestones!$AA$83)&gt;=$T78),$W78,IF(AND($S78&lt;&gt;"",EDATE($D78,Milestones!$AA$83)&gt;=$S78),$V78,$U78)))=Milestones!$AB$83),UPPER(TEXT(EDATE($D78,Milestones!$AA$83),"dd mmm yy"))&amp;" "&amp;Milestones!$AB$83&amp;" "&amp;Milestones!$AC$83&amp;";  ","")&amp;IF(AND(EDATE($D78,Milestones!$AA$84)&lt;=AsOfDate,IF($R78=0,$X78,IF(AND($T78&lt;&gt;"",EDATE($D78,Milestones!$AA$84)&gt;=$T78),$W78,IF(AND($S78&lt;&gt;"",EDATE($D78,Milestones!$AA$84)&gt;=$S78),$V78,$U78)))=Milestones!$AB$84),UPPER(TEXT(EDATE($D78,Milestones!$AA$84),"dd mmm yy"))&amp;" "&amp;Milestones!$AB$84&amp;" "&amp;Milestones!$AC$84&amp;";  ","")&amp;IF(AND(EDATE($D78,Milestones!$AA$85)&lt;=AsOfDate,IF($R78=0,$X78,IF(AND($T78&lt;&gt;"",EDATE($D78,Milestones!$AA$85)&gt;=$T78),$W78,IF(AND($S78&lt;&gt;"",EDATE($D78,Milestones!$AA$85)&gt;=$S78),$V78,$U78)))=Milestones!$AB$85),UPPER(TEXT(EDATE($D78,Milestones!$AA$85),"dd mmm yy"))&amp;" "&amp;Milestones!$AB$85&amp;" "&amp;Milestones!$AC$85&amp;";  ","")&amp;IF(AND(EDATE($D78,Milestones!$AA$86)&lt;=AsOfDate,IF($R78=0,$X78,IF(AND($T78&lt;&gt;"",EDATE($D78,Milestones!$AA$86)&gt;=$T78),$W78,IF(AND($S78&lt;&gt;"",EDATE($D78,Milestones!$AA$86)&gt;=$S78),$V78,$U78)))=Milestones!$AB$86),UPPER(TEXT(EDATE($D78,Milestones!$AA$86),"dd mmm yy"))&amp;" "&amp;Milestones!$AB$86&amp;" "&amp;Milestones!$AC$86&amp;";  ","")&amp;IF(AND(EDATE($D78,Milestones!$AA$87)&lt;=AsOfDate,IF($R78=0,$X78,IF(AND($T78&lt;&gt;"",EDATE($D78,Milestones!$AA$87)&gt;=$T78),$W78,IF(AND($S78&lt;&gt;"",EDATE($D78,Milestones!$AA$87)&gt;=$S78),$V78,$U78)))=Milestones!$AB$87),UPPER(TEXT(EDATE($D78,Milestones!$AA$87),"dd mmm yy"))&amp;" "&amp;Milestones!$AB$87&amp;" "&amp;Milestones!$AC$87&amp;";  ","")&amp;IF(AND(EDATE($D78,Milestones!$AA$88)&lt;=AsOfDate,IF($R78=0,$X78,IF(AND($T78&lt;&gt;"",EDATE($D78,Milestones!$AA$88)&gt;=$T78),$W78,IF(AND($S78&lt;&gt;"",EDATE($D78,Milestones!$AA$88)&gt;=$S78),$V78,$U78)))=Milestones!$AB$88),UPPER(TEXT(EDATE($D78,Milestones!$AA$88),"dd mmm yy"))&amp;" "&amp;Milestones!$AB$88&amp;" "&amp;Milestones!$AC$88&amp;";  ","")&amp;IF(AND(EDATE($D78,Milestones!$AA$89)&lt;=AsOfDate,IF($R78=0,$X78,IF(AND($T78&lt;&gt;"",EDATE($D78,Milestones!$AA$89)&gt;=$T78),$W78,IF(AND($S78&lt;&gt;"",EDATE($D78,Milestones!$AA$89)&gt;=$S78),$V78,$U78)))=Milestones!$AB$89),UPPER(TEXT(EDATE($D78,Milestones!$AA$89),"dd mmm yy"))&amp;" "&amp;Milestones!$AB$89&amp;" "&amp;Milestones!$AC$89&amp;";  ","")&amp;IF(AND(EDATE($D78,Milestones!$AA$90)&lt;=AsOfDate,IF($R78=0,$X78,IF(AND($T78&lt;&gt;"",EDATE($D78,Milestones!$AA$90)&gt;=$T78),$W78,IF(AND($S78&lt;&gt;"",EDATE($D78,Milestones!$AA$90)&gt;=$S78),$V78,$U78)))=Milestones!$AB$90),UPPER(TEXT(EDATE($D78,Milestones!$AA$90),"dd mmm yy"))&amp;" "&amp;Milestones!$AB$90&amp;" "&amp;Milestones!$AC$90&amp;";  ","")&amp;IF(AND(EDATE($D78,Milestones!$AA$91)&lt;=AsOfDate,IF($R78=0,$X78,IF(AND($T78&lt;&gt;"",EDATE($D78,Milestones!$AA$91)&gt;=$T78),$W78,IF(AND($S78&lt;&gt;"",EDATE($D78,Milestones!$AA$91)&gt;=$S78),$V78,$U78)))=Milestones!$AB$91),UPPER(TEXT(EDATE($D78,Milestones!$AA$91),"dd mmm yy"))&amp;" "&amp;Milestones!$AB$91&amp;" "&amp;Milestones!$AC$91&amp;";  ","")&amp;IF(AND(EDATE($D78,Milestones!$AA$92)&lt;=AsOfDate,IF($R78=0,$X78,IF(AND($T78&lt;&gt;"",EDATE($D78,Milestones!$AA$92)&gt;=$T78),$W78,IF(AND($S78&lt;&gt;"",EDATE($D78,Milestones!$AA$92)&gt;=$S78),$V78,$U78)))=Milestones!$AB$92),UPPER(TEXT(EDATE($D78,Milestones!$AA$92),"dd mmm yy"))&amp;" "&amp;Milestones!$AB$92&amp;" "&amp;Milestones!$AC$92&amp;";  ","")&amp;IF(AND(EDATE($D78,Milestones!$AA$93)&lt;=AsOfDate,IF($R78=0,$X78,IF(AND($T78&lt;&gt;"",EDATE($D78,Milestones!$AA$93)&gt;=$T78),$W78,IF(AND($S78&lt;&gt;"",EDATE($D78,Milestones!$AA$93)&gt;=$S78),$V78,$U78)))=Milestones!$AB$93),UPPER(TEXT(EDATE($D78,Milestones!$AA$93),"dd mmm yy"))&amp;" "&amp;Milestones!$AB$93&amp;" "&amp;Milestones!$AC$93&amp;";  ","")&amp;IF(AND(EDATE($D78,Milestones!$AA$94)&lt;=AsOfDate,IF($R78=0,$X78,IF(AND($T78&lt;&gt;"",EDATE($D78,Milestones!$AA$94)&gt;=$T78),$W78,IF(AND($S78&lt;&gt;"",EDATE($D78,Milestones!$AA$94)&gt;=$S78),$V78,$U78)))=Milestones!$AB$94),UPPER(TEXT(EDATE($D78,Milestones!$AA$94),"dd mmm yy"))&amp;" "&amp;Milestones!$AB$94&amp;" "&amp;Milestones!$AC$94&amp;";  ","")&amp;IF(AND(EDATE($D78,Milestones!$AA$95)&lt;=AsOfDate,IF($R78=0,$X78,IF(AND($T78&lt;&gt;"",EDATE($D78,Milestones!$AA$95)&gt;=$T78),$W78,IF(AND($S78&lt;&gt;"",EDATE($D78,Milestones!$AA$95)&gt;=$S78),$V78,$U78)))=Milestones!$AB$95),UPPER(TEXT(EDATE($D78,Milestones!$AA$95),"dd mmm yy"))&amp;" "&amp;Milestones!$AB$95&amp;" "&amp;Milestones!$AC$95&amp;";  ","")&amp;IF(AND(EDATE($D78,Milestones!$AA$96)&lt;=AsOfDate,IF($R78=0,$X78,IF(AND($T78&lt;&gt;"",EDATE($D78,Milestones!$AA$96)&gt;=$T78),$W78,IF(AND($S78&lt;&gt;"",EDATE($D78,Milestones!$AA$96)&gt;=$S78),$V78,$U78)))=Milestones!$AB$96),UPPER(TEXT(EDATE($D78,Milestones!$AA$96),"dd mmm yy"))&amp;" "&amp;Milestones!$AB$96&amp;" "&amp;Milestones!$AC$96&amp;";  ","")&amp;IF(AND(EDATE($D78,Milestones!$AA$97)&lt;=AsOfDate,IF($R78=0,$X78,IF(AND($T78&lt;&gt;"",EDATE($D78,Milestones!$AA$97)&gt;=$T78),$W78,IF(AND($S78&lt;&gt;"",EDATE($D78,Milestones!$AA$97)&gt;=$S78),$V78,$U78)))=Milestones!$AB$97),UPPER(TEXT(EDATE($D78,Milestones!$AA$97),"dd mmm yy"))&amp;" "&amp;Milestones!$AB$97&amp;" "&amp;Milestones!$AC$97&amp;";  ","")&amp;IF(AND(EDATE($D78,Milestones!$AA$98)&lt;=AsOfDate,IF($R78=0,$X78,IF(AND($T78&lt;&gt;"",EDATE($D78,Milestones!$AA$98)&gt;=$T78),$W78,IF(AND($S78&lt;&gt;"",EDATE($D78,Milestones!$AA$98)&gt;=$S78),$V78,$U78)))=Milestones!$AB$98),UPPER(TEXT(EDATE($D78,Milestones!$AA$98),"dd mmm yy"))&amp;" "&amp;Milestones!$AB$98&amp;" "&amp;Milestones!$AC$98&amp;";  ","")&amp;IF(AND(EDATE($D78,Milestones!$AA$99)&lt;=AsOfDate,IF($R78=0,$X78,IF(AND($T78&lt;&gt;"",EDATE($D78,Milestones!$AA$99)&gt;=$T78),$W78,IF(AND($S78&lt;&gt;"",EDATE($D78,Milestones!$AA$99)&gt;=$S78),$V78,$U78)))=Milestones!$AB$99),UPPER(TEXT(EDATE($D78,Milestones!$AA$99),"dd mmm yy"))&amp;" "&amp;Milestones!$AB$99&amp;" "&amp;Milestones!$AC$99&amp;";  ",""))</f>
        <v/>
      </c>
      <c r="M78" s="0" t="str">
        <f aca="false">IF(OR($A78="",$D78=""),"",IF(AND(EDATE($D78,Milestones!$AA$100)&lt;=AsOfDate,IF($R78=0,$X78,IF(AND($T78&lt;&gt;"",EDATE($D78,Milestones!$AA$100)&gt;=$T78),$W78,IF(AND($S78&lt;&gt;"",EDATE($D78,Milestones!$AA$100)&gt;=$S78),$V78,$U78)))=Milestones!$AB$100),UPPER(TEXT(EDATE($D78,Milestones!$AA$100),"dd mmm yy"))&amp;" "&amp;Milestones!$AB$100&amp;" "&amp;Milestones!$AC$100&amp;";  ","")&amp;IF(AND(EDATE($D78,Milestones!$AA$101)&lt;=AsOfDate,IF($R78=0,$X78,IF(AND($T78&lt;&gt;"",EDATE($D78,Milestones!$AA$101)&gt;=$T78),$W78,IF(AND($S78&lt;&gt;"",EDATE($D78,Milestones!$AA$101)&gt;=$S78),$V78,$U78)))=Milestones!$AB$101),UPPER(TEXT(EDATE($D78,Milestones!$AA$101),"dd mmm yy"))&amp;" "&amp;Milestones!$AB$101&amp;" "&amp;Milestones!$AC$101&amp;";  ","")&amp;IF(AND(EDATE($D78,Milestones!$AA$102)&lt;=AsOfDate,IF($R78=0,$X78,IF(AND($T78&lt;&gt;"",EDATE($D78,Milestones!$AA$102)&gt;=$T78),$W78,IF(AND($S78&lt;&gt;"",EDATE($D78,Milestones!$AA$102)&gt;=$S78),$V78,$U78)))=Milestones!$AB$102),UPPER(TEXT(EDATE($D78,Milestones!$AA$102),"dd mmm yy"))&amp;" "&amp;Milestones!$AB$102&amp;" "&amp;Milestones!$AC$102&amp;";  ","")&amp;IF(AND(EDATE($D78,Milestones!$AA$103)&lt;=AsOfDate,IF($R78=0,$X78,IF(AND($T78&lt;&gt;"",EDATE($D78,Milestones!$AA$103)&gt;=$T78),$W78,IF(AND($S78&lt;&gt;"",EDATE($D78,Milestones!$AA$103)&gt;=$S78),$V78,$U78)))=Milestones!$AB$103),UPPER(TEXT(EDATE($D78,Milestones!$AA$103),"dd mmm yy"))&amp;" "&amp;Milestones!$AB$103&amp;" "&amp;Milestones!$AC$103&amp;";  ","")&amp;IF(AND(EDATE($D78,Milestones!$AA$104)&lt;=AsOfDate,IF($R78=0,$X78,IF(AND($T78&lt;&gt;"",EDATE($D78,Milestones!$AA$104)&gt;=$T78),$W78,IF(AND($S78&lt;&gt;"",EDATE($D78,Milestones!$AA$104)&gt;=$S78),$V78,$U78)))=Milestones!$AB$104),UPPER(TEXT(EDATE($D78,Milestones!$AA$104),"dd mmm yy"))&amp;" "&amp;Milestones!$AB$104&amp;" "&amp;Milestones!$AC$104&amp;";  ","")&amp;IF(AND(EDATE($D78,Milestones!$AA$105)&lt;=AsOfDate,IF($R78=0,$X78,IF(AND($T78&lt;&gt;"",EDATE($D78,Milestones!$AA$105)&gt;=$T78),$W78,IF(AND($S78&lt;&gt;"",EDATE($D78,Milestones!$AA$105)&gt;=$S78),$V78,$U78)))=Milestones!$AB$105),UPPER(TEXT(EDATE($D78,Milestones!$AA$105),"dd mmm yy"))&amp;" "&amp;Milestones!$AB$105&amp;" "&amp;Milestones!$AC$105&amp;";  ","")&amp;IF(AND(EDATE($D78,Milestones!$AA$106)&lt;=AsOfDate,IF($R78=0,$X78,IF(AND($T78&lt;&gt;"",EDATE($D78,Milestones!$AA$106)&gt;=$T78),$W78,IF(AND($S78&lt;&gt;"",EDATE($D78,Milestones!$AA$106)&gt;=$S78),$V78,$U78)))=Milestones!$AB$106),UPPER(TEXT(EDATE($D78,Milestones!$AA$106),"dd mmm yy"))&amp;" "&amp;Milestones!$AB$106&amp;" "&amp;Milestones!$AC$106&amp;";  ","")&amp;IF(AND(EDATE($D78,Milestones!$AA$107)&lt;=AsOfDate,IF($R78=0,$X78,IF(AND($T78&lt;&gt;"",EDATE($D78,Milestones!$AA$107)&gt;=$T78),$W78,IF(AND($S78&lt;&gt;"",EDATE($D78,Milestones!$AA$107)&gt;=$S78),$V78,$U78)))=Milestones!$AB$107),UPPER(TEXT(EDATE($D78,Milestones!$AA$107),"dd mmm yy"))&amp;" "&amp;Milestones!$AB$107&amp;" "&amp;Milestones!$AC$107&amp;";  ","")&amp;IF(AND(EDATE($D78,Milestones!$AA$108)&lt;=AsOfDate,IF($R78=0,$X78,IF(AND($T78&lt;&gt;"",EDATE($D78,Milestones!$AA$108)&gt;=$T78),$W78,IF(AND($S78&lt;&gt;"",EDATE($D78,Milestones!$AA$108)&gt;=$S78),$V78,$U78)))=Milestones!$AB$108),UPPER(TEXT(EDATE($D78,Milestones!$AA$108),"dd mmm yy"))&amp;" "&amp;Milestones!$AB$108&amp;" "&amp;Milestones!$AC$108&amp;";  ","")&amp;IF(AND(EDATE($D78,Milestones!$AA$109)&lt;=AsOfDate,IF($R78=0,$X78,IF(AND($T78&lt;&gt;"",EDATE($D78,Milestones!$AA$109)&gt;=$T78),$W78,IF(AND($S78&lt;&gt;"",EDATE($D78,Milestones!$AA$109)&gt;=$S78),$V78,$U78)))=Milestones!$AB$109),UPPER(TEXT(EDATE($D78,Milestones!$AA$109),"dd mmm yy"))&amp;" "&amp;Milestones!$AB$109&amp;" "&amp;Milestones!$AC$109&amp;";  ","")&amp;IF(AND(EDATE($D78,Milestones!$AA$110)&lt;=AsOfDate,IF($R78=0,$X78,IF(AND($T78&lt;&gt;"",EDATE($D78,Milestones!$AA$110)&gt;=$T78),$W78,IF(AND($S78&lt;&gt;"",EDATE($D78,Milestones!$AA$110)&gt;=$S78),$V78,$U78)))=Milestones!$AB$110),UPPER(TEXT(EDATE($D78,Milestones!$AA$110),"dd mmm yy"))&amp;" "&amp;Milestones!$AB$110&amp;" "&amp;Milestones!$AC$110&amp;";  ","")&amp;IF(AND(EDATE($D78,Milestones!$AA$111)&lt;=AsOfDate,IF($R78=0,$X78,IF(AND($T78&lt;&gt;"",EDATE($D78,Milestones!$AA$111)&gt;=$T78),$W78,IF(AND($S78&lt;&gt;"",EDATE($D78,Milestones!$AA$111)&gt;=$S78),$V78,$U78)))=Milestones!$AB$111),UPPER(TEXT(EDATE($D78,Milestones!$AA$111),"dd mmm yy"))&amp;" "&amp;Milestones!$AB$111&amp;" "&amp;Milestones!$AC$111&amp;";  ","")&amp;IF(AND(EDATE($D78,Milestones!$AA$112)&lt;=AsOfDate,IF($R78=0,$X78,IF(AND($T78&lt;&gt;"",EDATE($D78,Milestones!$AA$112)&gt;=$T78),$W78,IF(AND($S78&lt;&gt;"",EDATE($D78,Milestones!$AA$112)&gt;=$S78),$V78,$U78)))=Milestones!$AB$112),UPPER(TEXT(EDATE($D78,Milestones!$AA$112),"dd mmm yy"))&amp;" "&amp;Milestones!$AB$112&amp;" "&amp;Milestones!$AC$112&amp;";  ","")&amp;IF(AND(EDATE($D78,Milestones!$AA$113)&lt;=AsOfDate,IF($R78=0,$X78,IF(AND($T78&lt;&gt;"",EDATE($D78,Milestones!$AA$113)&gt;=$T78),$W78,IF(AND($S78&lt;&gt;"",EDATE($D78,Milestones!$AA$113)&gt;=$S78),$V78,$U78)))=Milestones!$AB$113),UPPER(TEXT(EDATE($D78,Milestones!$AA$113),"dd mmm yy"))&amp;" "&amp;Milestones!$AB$113&amp;" "&amp;Milestones!$AC$113&amp;";  ","")&amp;IF(AND(EDATE($D78,Milestones!$AA$114)&lt;=AsOfDate,IF($R78=0,$X78,IF(AND($T78&lt;&gt;"",EDATE($D78,Milestones!$AA$114)&gt;=$T78),$W78,IF(AND($S78&lt;&gt;"",EDATE($D78,Milestones!$AA$114)&gt;=$S78),$V78,$U78)))=Milestones!$AB$114),UPPER(TEXT(EDATE($D78,Milestones!$AA$114),"dd mmm yy"))&amp;" "&amp;Milestones!$AB$114&amp;" "&amp;Milestones!$AC$114&amp;";  ","")&amp;IF(AND(EDATE($D78,Milestones!$AA$115)&lt;=AsOfDate,IF($R78=0,$X78,IF(AND($T78&lt;&gt;"",EDATE($D78,Milestones!$AA$115)&gt;=$T78),$W78,IF(AND($S78&lt;&gt;"",EDATE($D78,Milestones!$AA$115)&gt;=$S78),$V78,$U78)))=Milestones!$AB$115),UPPER(TEXT(EDATE($D78,Milestones!$AA$115),"dd mmm yy"))&amp;" "&amp;Milestones!$AB$115&amp;" "&amp;Milestones!$AC$115&amp;";  ","")&amp;IF(AND(EDATE($D78,Milestones!$AA$116)&lt;=AsOfDate,IF($R78=0,$X78,IF(AND($T78&lt;&gt;"",EDATE($D78,Milestones!$AA$116)&gt;=$T78),$W78,IF(AND($S78&lt;&gt;"",EDATE($D78,Milestones!$AA$116)&gt;=$S78),$V78,$U78)))=Milestones!$AB$116),UPPER(TEXT(EDATE($D78,Milestones!$AA$116),"dd mmm yy"))&amp;" "&amp;Milestones!$AB$116&amp;" "&amp;Milestones!$AC$116&amp;";  ","")&amp;IF(AND(EDATE($D78,Milestones!$AA$117)&lt;=AsOfDate,IF($R78=0,$X78,IF(AND($T78&lt;&gt;"",EDATE($D78,Milestones!$AA$117)&gt;=$T78),$W78,IF(AND($S78&lt;&gt;"",EDATE($D78,Milestones!$AA$117)&gt;=$S78),$V78,$U78)))=Milestones!$AB$117),UPPER(TEXT(EDATE($D78,Milestones!$AA$117),"dd mmm yy"))&amp;" "&amp;Milestones!$AB$117&amp;" "&amp;Milestones!$AC$117&amp;";  ","")&amp;IF(AND(EDATE($D78,Milestones!$AA$118)&lt;=AsOfDate,IF($R78=0,$X78,IF(AND($T78&lt;&gt;"",EDATE($D78,Milestones!$AA$118)&gt;=$T78),$W78,IF(AND($S78&lt;&gt;"",EDATE($D78,Milestones!$AA$118)&gt;=$S78),$V78,$U78)))=Milestones!$AB$118),UPPER(TEXT(EDATE($D78,Milestones!$AA$118),"dd mmm yy"))&amp;" "&amp;Milestones!$AB$118&amp;" "&amp;Milestones!$AC$118&amp;";  ","")&amp;IF(AND(EDATE($D78,Milestones!$AA$119)&lt;=AsOfDate,IF($R78=0,$X78,IF(AND($T78&lt;&gt;"",EDATE($D78,Milestones!$AA$119)&gt;=$T78),$W78,IF(AND($S78&lt;&gt;"",EDATE($D78,Milestones!$AA$119)&gt;=$S78),$V78,$U78)))=Milestones!$AB$119),UPPER(TEXT(EDATE($D78,Milestones!$AA$119),"dd mmm yy"))&amp;" "&amp;Milestones!$AB$119&amp;" "&amp;Milestones!$AC$119&amp;";  ",""))</f>
        <v/>
      </c>
      <c r="N78" s="0" t="str">
        <f aca="false">IF(OR($A78="",$D78=""),"",IF(AND(EDATE($D78,Milestones!$AA$120)&lt;=AsOfDate,IF($R78=0,$X78,IF(AND($T78&lt;&gt;"",EDATE($D78,Milestones!$AA$120)&gt;=$T78),$W78,IF(AND($S78&lt;&gt;"",EDATE($D78,Milestones!$AA$120)&gt;=$S78),$V78,$U78)))=Milestones!$AB$120),UPPER(TEXT(EDATE($D78,Milestones!$AA$120),"dd mmm yy"))&amp;" "&amp;Milestones!$AB$120&amp;" "&amp;Milestones!$AC$120&amp;";  ","")&amp;IF(AND(EDATE($D78,Milestones!$AA$121)&lt;=AsOfDate,IF($R78=0,$X78,IF(AND($T78&lt;&gt;"",EDATE($D78,Milestones!$AA$121)&gt;=$T78),$W78,IF(AND($S78&lt;&gt;"",EDATE($D78,Milestones!$AA$121)&gt;=$S78),$V78,$U78)))=Milestones!$AB$121),UPPER(TEXT(EDATE($D78,Milestones!$AA$121),"dd mmm yy"))&amp;" "&amp;Milestones!$AB$121&amp;" "&amp;Milestones!$AC$121&amp;";  ","")&amp;IF(AND(EDATE($D78,Milestones!$AA$122)&lt;=AsOfDate,IF($R78=0,$X78,IF(AND($T78&lt;&gt;"",EDATE($D78,Milestones!$AA$122)&gt;=$T78),$W78,IF(AND($S78&lt;&gt;"",EDATE($D78,Milestones!$AA$122)&gt;=$S78),$V78,$U78)))=Milestones!$AB$122),UPPER(TEXT(EDATE($D78,Milestones!$AA$122),"dd mmm yy"))&amp;" "&amp;Milestones!$AB$122&amp;" "&amp;Milestones!$AC$122&amp;";  ","")&amp;IF(AND(EDATE($D78,Milestones!$AA$123)&lt;=AsOfDate,IF($R78=0,$X78,IF(AND($T78&lt;&gt;"",EDATE($D78,Milestones!$AA$123)&gt;=$T78),$W78,IF(AND($S78&lt;&gt;"",EDATE($D78,Milestones!$AA$123)&gt;=$S78),$V78,$U78)))=Milestones!$AB$123),UPPER(TEXT(EDATE($D78,Milestones!$AA$123),"dd mmm yy"))&amp;" "&amp;Milestones!$AB$123&amp;" "&amp;Milestones!$AC$123&amp;";  ","")&amp;IF(AND(EDATE($D78,Milestones!$AA$124)&lt;=AsOfDate,IF($R78=0,$X78,IF(AND($T78&lt;&gt;"",EDATE($D78,Milestones!$AA$124)&gt;=$T78),$W78,IF(AND($S78&lt;&gt;"",EDATE($D78,Milestones!$AA$124)&gt;=$S78),$V78,$U78)))=Milestones!$AB$124),UPPER(TEXT(EDATE($D78,Milestones!$AA$124),"dd mmm yy"))&amp;" "&amp;Milestones!$AB$124&amp;" "&amp;Milestones!$AC$124&amp;";  ","")&amp;IF(AND(EDATE($D78,Milestones!$AA$125)&lt;=AsOfDate,IF($R78=0,$X78,IF(AND($T78&lt;&gt;"",EDATE($D78,Milestones!$AA$125)&gt;=$T78),$W78,IF(AND($S78&lt;&gt;"",EDATE($D78,Milestones!$AA$125)&gt;=$S78),$V78,$U78)))=Milestones!$AB$125),UPPER(TEXT(EDATE($D78,Milestones!$AA$125),"dd mmm yy"))&amp;" "&amp;Milestones!$AB$125&amp;" "&amp;Milestones!$AC$125&amp;";  ","")&amp;IF(AND(EDATE($D78,Milestones!$AA$126)&lt;=AsOfDate,IF($R78=0,$X78,IF(AND($T78&lt;&gt;"",EDATE($D78,Milestones!$AA$126)&gt;=$T78),$W78,IF(AND($S78&lt;&gt;"",EDATE($D78,Milestones!$AA$126)&gt;=$S78),$V78,$U78)))=Milestones!$AB$126),UPPER(TEXT(EDATE($D78,Milestones!$AA$126),"dd mmm yy"))&amp;" "&amp;Milestones!$AB$126&amp;" "&amp;Milestones!$AC$126&amp;";  ","")&amp;IF(AND(EDATE($D78,Milestones!$AA$127)&lt;=AsOfDate,IF($R78=0,$X78,IF(AND($T78&lt;&gt;"",EDATE($D78,Milestones!$AA$127)&gt;=$T78),$W78,IF(AND($S78&lt;&gt;"",EDATE($D78,Milestones!$AA$127)&gt;=$S78),$V78,$U78)))=Milestones!$AB$127),UPPER(TEXT(EDATE($D78,Milestones!$AA$127),"dd mmm yy"))&amp;" "&amp;Milestones!$AB$127&amp;" "&amp;Milestones!$AC$127&amp;";  ","")&amp;IF(AND(EDATE($D78,Milestones!$AA$128)&lt;=AsOfDate,IF($R78=0,$X78,IF(AND($T78&lt;&gt;"",EDATE($D78,Milestones!$AA$128)&gt;=$T78),$W78,IF(AND($S78&lt;&gt;"",EDATE($D78,Milestones!$AA$128)&gt;=$S78),$V78,$U78)))=Milestones!$AB$128),UPPER(TEXT(EDATE($D78,Milestones!$AA$128),"dd mmm yy"))&amp;" "&amp;Milestones!$AB$128&amp;" "&amp;Milestones!$AC$128&amp;";  ","")&amp;IF(AND(EDATE($D78,Milestones!$AA$129)&lt;=AsOfDate,IF($R78=0,$X78,IF(AND($T78&lt;&gt;"",EDATE($D78,Milestones!$AA$129)&gt;=$T78),$W78,IF(AND($S78&lt;&gt;"",EDATE($D78,Milestones!$AA$129)&gt;=$S78),$V78,$U78)))=Milestones!$AB$129),UPPER(TEXT(EDATE($D78,Milestones!$AA$129),"dd mmm yy"))&amp;" "&amp;Milestones!$AB$129&amp;" "&amp;Milestones!$AC$129&amp;";  ","")&amp;IF(AND(EDATE($D78,Milestones!$AA$130)&lt;=AsOfDate,IF($R78=0,$X78,IF(AND($T78&lt;&gt;"",EDATE($D78,Milestones!$AA$130)&gt;=$T78),$W78,IF(AND($S78&lt;&gt;"",EDATE($D78,Milestones!$AA$130)&gt;=$S78),$V78,$U78)))=Milestones!$AB$130),UPPER(TEXT(EDATE($D78,Milestones!$AA$130),"dd mmm yy"))&amp;" "&amp;Milestones!$AB$130&amp;" "&amp;Milestones!$AC$130&amp;";  ","")&amp;IF(AND(EDATE($D78,Milestones!$AA$131)&lt;=AsOfDate,IF($R78=0,$X78,IF(AND($T78&lt;&gt;"",EDATE($D78,Milestones!$AA$131)&gt;=$T78),$W78,IF(AND($S78&lt;&gt;"",EDATE($D78,Milestones!$AA$131)&gt;=$S78),$V78,$U78)))=Milestones!$AB$131),UPPER(TEXT(EDATE($D78,Milestones!$AA$131),"dd mmm yy"))&amp;" "&amp;Milestones!$AB$131&amp;" "&amp;Milestones!$AC$131&amp;";  ","")&amp;IF(AND(EDATE($D78,Milestones!$AA$132)&lt;=AsOfDate,IF($R78=0,$X78,IF(AND($T78&lt;&gt;"",EDATE($D78,Milestones!$AA$132)&gt;=$T78),$W78,IF(AND($S78&lt;&gt;"",EDATE($D78,Milestones!$AA$132)&gt;=$S78),$V78,$U78)))=Milestones!$AB$132),UPPER(TEXT(EDATE($D78,Milestones!$AA$132),"dd mmm yy"))&amp;" "&amp;Milestones!$AB$132&amp;" "&amp;Milestones!$AC$132&amp;";  ","")&amp;IF(AND(EDATE($D78,Milestones!$AA$133)&lt;=AsOfDate,IF($R78=0,$X78,IF(AND($T78&lt;&gt;"",EDATE($D78,Milestones!$AA$133)&gt;=$T78),$W78,IF(AND($S78&lt;&gt;"",EDATE($D78,Milestones!$AA$133)&gt;=$S78),$V78,$U78)))=Milestones!$AB$133),UPPER(TEXT(EDATE($D78,Milestones!$AA$133),"dd mmm yy"))&amp;" "&amp;Milestones!$AB$133&amp;" "&amp;Milestones!$AC$133&amp;";  ","")&amp;IF(AND(EDATE($D78,Milestones!$AA$134)&lt;=AsOfDate,IF($R78=0,$X78,IF(AND($T78&lt;&gt;"",EDATE($D78,Milestones!$AA$134)&gt;=$T78),$W78,IF(AND($S78&lt;&gt;"",EDATE($D78,Milestones!$AA$134)&gt;=$S78),$V78,$U78)))=Milestones!$AB$134),UPPER(TEXT(EDATE($D78,Milestones!$AA$134),"dd mmm yy"))&amp;" "&amp;Milestones!$AB$134&amp;" "&amp;Milestones!$AC$134&amp;";  ","")&amp;IF(AND(EDATE($D78,Milestones!$AA$135)&lt;=AsOfDate,IF($R78=0,$X78,IF(AND($T78&lt;&gt;"",EDATE($D78,Milestones!$AA$135)&gt;=$T78),$W78,IF(AND($S78&lt;&gt;"",EDATE($D78,Milestones!$AA$135)&gt;=$S78),$V78,$U78)))=Milestones!$AB$135),UPPER(TEXT(EDATE($D78,Milestones!$AA$135),"dd mmm yy"))&amp;" "&amp;Milestones!$AB$135&amp;" "&amp;Milestones!$AC$135&amp;";  ","")&amp;IF(AND(EDATE($D78,Milestones!$AA$136)&lt;=AsOfDate,IF($R78=0,$X78,IF(AND($T78&lt;&gt;"",EDATE($D78,Milestones!$AA$136)&gt;=$T78),$W78,IF(AND($S78&lt;&gt;"",EDATE($D78,Milestones!$AA$136)&gt;=$S78),$V78,$U78)))=Milestones!$AB$136),UPPER(TEXT(EDATE($D78,Milestones!$AA$136),"dd mmm yy"))&amp;" "&amp;Milestones!$AB$136&amp;" "&amp;Milestones!$AC$136&amp;";  ","")&amp;IF(AND(EDATE($D78,Milestones!$AA$137)&lt;=AsOfDate,IF($R78=0,$X78,IF(AND($T78&lt;&gt;"",EDATE($D78,Milestones!$AA$137)&gt;=$T78),$W78,IF(AND($S78&lt;&gt;"",EDATE($D78,Milestones!$AA$137)&gt;=$S78),$V78,$U78)))=Milestones!$AB$137),UPPER(TEXT(EDATE($D78,Milestones!$AA$137),"dd mmm yy"))&amp;" "&amp;Milestones!$AB$137&amp;" "&amp;Milestones!$AC$137&amp;";  ","")&amp;IF(AND(EDATE($D78,Milestones!$AA$138)&lt;=AsOfDate,IF($R78=0,$X78,IF(AND($T78&lt;&gt;"",EDATE($D78,Milestones!$AA$138)&gt;=$T78),$W78,IF(AND($S78&lt;&gt;"",EDATE($D78,Milestones!$AA$138)&gt;=$S78),$V78,$U78)))=Milestones!$AB$138),UPPER(TEXT(EDATE($D78,Milestones!$AA$138),"dd mmm yy"))&amp;" "&amp;Milestones!$AB$138&amp;" "&amp;Milestones!$AC$138&amp;";  ","")&amp;IF(AND(EDATE($D78,Milestones!$AA$139)&lt;=AsOfDate,IF($R78=0,$X78,IF(AND($T78&lt;&gt;"",EDATE($D78,Milestones!$AA$139)&gt;=$T78),$W78,IF(AND($S78&lt;&gt;"",EDATE($D78,Milestones!$AA$139)&gt;=$S78),$V78,$U78)))=Milestones!$AB$139),UPPER(TEXT(EDATE($D78,Milestones!$AA$139),"dd mmm yy"))&amp;" "&amp;Milestones!$AB$139&amp;" "&amp;Milestones!$AC$139&amp;";  ",""))</f>
        <v/>
      </c>
      <c r="O78" s="0" t="str">
        <f aca="false">IF(OR($A78="",$D78=""),"",IF(AND(EDATE($D78,Milestones!$AA$140)&lt;=AsOfDate,IF($R78=0,$X78,IF(AND($T78&lt;&gt;"",EDATE($D78,Milestones!$AA$140)&gt;=$T78),$W78,IF(AND($S78&lt;&gt;"",EDATE($D78,Milestones!$AA$140)&gt;=$S78),$V78,$U78)))=Milestones!$AB$140),UPPER(TEXT(EDATE($D78,Milestones!$AA$140),"dd mmm yy"))&amp;" "&amp;Milestones!$AB$140&amp;" "&amp;Milestones!$AC$140&amp;";  ","")&amp;IF(AND(EDATE($D78,Milestones!$AA$141)&lt;=AsOfDate,IF($R78=0,$X78,IF(AND($T78&lt;&gt;"",EDATE($D78,Milestones!$AA$141)&gt;=$T78),$W78,IF(AND($S78&lt;&gt;"",EDATE($D78,Milestones!$AA$141)&gt;=$S78),$V78,$U78)))=Milestones!$AB$141),UPPER(TEXT(EDATE($D78,Milestones!$AA$141),"dd mmm yy"))&amp;" "&amp;Milestones!$AB$141&amp;" "&amp;Milestones!$AC$141&amp;";  ","")&amp;IF(AND(EDATE($D78,Milestones!$AA$142)&lt;=AsOfDate,IF($R78=0,$X78,IF(AND($T78&lt;&gt;"",EDATE($D78,Milestones!$AA$142)&gt;=$T78),$W78,IF(AND($S78&lt;&gt;"",EDATE($D78,Milestones!$AA$142)&gt;=$S78),$V78,$U78)))=Milestones!$AB$142),UPPER(TEXT(EDATE($D78,Milestones!$AA$142),"dd mmm yy"))&amp;" "&amp;Milestones!$AB$142&amp;" "&amp;Milestones!$AC$142&amp;";  ","")&amp;IF(AND(EDATE($D78,Milestones!$AA$143)&lt;=AsOfDate,IF($R78=0,$X78,IF(AND($T78&lt;&gt;"",EDATE($D78,Milestones!$AA$143)&gt;=$T78),$W78,IF(AND($S78&lt;&gt;"",EDATE($D78,Milestones!$AA$143)&gt;=$S78),$V78,$U78)))=Milestones!$AB$143),UPPER(TEXT(EDATE($D78,Milestones!$AA$143),"dd mmm yy"))&amp;" "&amp;Milestones!$AB$143&amp;" "&amp;Milestones!$AC$143&amp;";  ","")&amp;IF(AND(EDATE($D78,Milestones!$AA$144)&lt;=AsOfDate,IF($R78=0,$X78,IF(AND($T78&lt;&gt;"",EDATE($D78,Milestones!$AA$144)&gt;=$T78),$W78,IF(AND($S78&lt;&gt;"",EDATE($D78,Milestones!$AA$144)&gt;=$S78),$V78,$U78)))=Milestones!$AB$144),UPPER(TEXT(EDATE($D78,Milestones!$AA$144),"dd mmm yy"))&amp;" "&amp;Milestones!$AB$144&amp;" "&amp;Milestones!$AC$144&amp;";  ","")&amp;IF(AND(EDATE($D78,Milestones!$AA$145)&lt;=AsOfDate,IF($R78=0,$X78,IF(AND($T78&lt;&gt;"",EDATE($D78,Milestones!$AA$145)&gt;=$T78),$W78,IF(AND($S78&lt;&gt;"",EDATE($D78,Milestones!$AA$145)&gt;=$S78),$V78,$U78)))=Milestones!$AB$145),UPPER(TEXT(EDATE($D78,Milestones!$AA$145),"dd mmm yy"))&amp;" "&amp;Milestones!$AB$145&amp;" "&amp;Milestones!$AC$145&amp;";  ","")&amp;IF(AND(EDATE($D78,Milestones!$AA$146)&lt;=AsOfDate,IF($R78=0,$X78,IF(AND($T78&lt;&gt;"",EDATE($D78,Milestones!$AA$146)&gt;=$T78),$W78,IF(AND($S78&lt;&gt;"",EDATE($D78,Milestones!$AA$146)&gt;=$S78),$V78,$U78)))=Milestones!$AB$146),UPPER(TEXT(EDATE($D78,Milestones!$AA$146),"dd mmm yy"))&amp;" "&amp;Milestones!$AB$146&amp;" "&amp;Milestones!$AC$146&amp;";  ","")&amp;IF(AND(EDATE($D78,Milestones!$AA$147)&lt;=AsOfDate,IF($R78=0,$X78,IF(AND($T78&lt;&gt;"",EDATE($D78,Milestones!$AA$147)&gt;=$T78),$W78,IF(AND($S78&lt;&gt;"",EDATE($D78,Milestones!$AA$147)&gt;=$S78),$V78,$U78)))=Milestones!$AB$147),UPPER(TEXT(EDATE($D78,Milestones!$AA$147),"dd mmm yy"))&amp;" "&amp;Milestones!$AB$147&amp;" "&amp;Milestones!$AC$147&amp;";  ","")&amp;IF(AND(EDATE($D78,Milestones!$AA$148)&lt;=AsOfDate,IF($R78=0,$X78,IF(AND($T78&lt;&gt;"",EDATE($D78,Milestones!$AA$148)&gt;=$T78),$W78,IF(AND($S78&lt;&gt;"",EDATE($D78,Milestones!$AA$148)&gt;=$S78),$V78,$U78)))=Milestones!$AB$148),UPPER(TEXT(EDATE($D78,Milestones!$AA$148),"dd mmm yy"))&amp;" "&amp;Milestones!$AB$148&amp;" "&amp;Milestones!$AC$148&amp;";  ","")&amp;IF(AND(EDATE($D78,Milestones!$AA$149)&lt;=AsOfDate,IF($R78=0,$X78,IF(AND($T78&lt;&gt;"",EDATE($D78,Milestones!$AA$149)&gt;=$T78),$W78,IF(AND($S78&lt;&gt;"",EDATE($D78,Milestones!$AA$149)&gt;=$S78),$V78,$U78)))=Milestones!$AB$149),UPPER(TEXT(EDATE($D78,Milestones!$AA$149),"dd mmm yy"))&amp;" "&amp;Milestones!$AB$149&amp;" "&amp;Milestones!$AC$149&amp;";  ","")&amp;IF(AND(EDATE($D78,Milestones!$AA$150)&lt;=AsOfDate,IF($R78=0,$X78,IF(AND($T78&lt;&gt;"",EDATE($D78,Milestones!$AA$150)&gt;=$T78),$W78,IF(AND($S78&lt;&gt;"",EDATE($D78,Milestones!$AA$150)&gt;=$S78),$V78,$U78)))=Milestones!$AB$150),UPPER(TEXT(EDATE($D78,Milestones!$AA$150),"dd mmm yy"))&amp;" "&amp;Milestones!$AB$150&amp;" "&amp;Milestones!$AC$150&amp;";  ","")&amp;IF(AND(EDATE($D78,Milestones!$AA$151)&lt;=AsOfDate,IF($R78=0,$X78,IF(AND($T78&lt;&gt;"",EDATE($D78,Milestones!$AA$151)&gt;=$T78),$W78,IF(AND($S78&lt;&gt;"",EDATE($D78,Milestones!$AA$151)&gt;=$S78),$V78,$U78)))=Milestones!$AB$151),UPPER(TEXT(EDATE($D78,Milestones!$AA$151),"dd mmm yy"))&amp;" "&amp;Milestones!$AB$151&amp;" "&amp;Milestones!$AC$151&amp;";  ","")&amp;IF(AND(EDATE($D78,Milestones!$AA$152)&lt;=AsOfDate,IF($R78=0,$X78,IF(AND($T78&lt;&gt;"",EDATE($D78,Milestones!$AA$152)&gt;=$T78),$W78,IF(AND($S78&lt;&gt;"",EDATE($D78,Milestones!$AA$152)&gt;=$S78),$V78,$U78)))=Milestones!$AB$152),UPPER(TEXT(EDATE($D78,Milestones!$AA$152),"dd mmm yy"))&amp;" "&amp;Milestones!$AB$152&amp;" "&amp;Milestones!$AC$152&amp;";  ","")&amp;IF(AND(EDATE($D78,Milestones!$AA$153)&lt;=AsOfDate,IF($R78=0,$X78,IF(AND($T78&lt;&gt;"",EDATE($D78,Milestones!$AA$153)&gt;=$T78),$W78,IF(AND($S78&lt;&gt;"",EDATE($D78,Milestones!$AA$153)&gt;=$S78),$V78,$U78)))=Milestones!$AB$153),UPPER(TEXT(EDATE($D78,Milestones!$AA$153),"dd mmm yy"))&amp;" "&amp;Milestones!$AB$153&amp;" "&amp;Milestones!$AC$153&amp;";  ","")&amp;IF(AND(EDATE($D78,Milestones!$AA$154)&lt;=AsOfDate,IF($R78=0,$X78,IF(AND($T78&lt;&gt;"",EDATE($D78,Milestones!$AA$154)&gt;=$T78),$W78,IF(AND($S78&lt;&gt;"",EDATE($D78,Milestones!$AA$154)&gt;=$S78),$V78,$U78)))=Milestones!$AB$154),UPPER(TEXT(EDATE($D78,Milestones!$AA$154),"dd mmm yy"))&amp;" "&amp;Milestones!$AB$154&amp;" "&amp;Milestones!$AC$154&amp;";  ","")&amp;IF(AND(EDATE($D78,Milestones!$AA$155)&lt;=AsOfDate,IF($R78=0,$X78,IF(AND($T78&lt;&gt;"",EDATE($D78,Milestones!$AA$155)&gt;=$T78),$W78,IF(AND($S78&lt;&gt;"",EDATE($D78,Milestones!$AA$155)&gt;=$S78),$V78,$U78)))=Milestones!$AB$155),UPPER(TEXT(EDATE($D78,Milestones!$AA$155),"dd mmm yy"))&amp;" "&amp;Milestones!$AB$155&amp;" "&amp;Milestones!$AC$155&amp;";  ","")&amp;IF(AND(EDATE($D78,Milestones!$AA$156)&lt;=AsOfDate,IF($R78=0,$X78,IF(AND($T78&lt;&gt;"",EDATE($D78,Milestones!$AA$156)&gt;=$T78),$W78,IF(AND($S78&lt;&gt;"",EDATE($D78,Milestones!$AA$156)&gt;=$S78),$V78,$U78)))=Milestones!$AB$156),UPPER(TEXT(EDATE($D78,Milestones!$AA$156),"dd mmm yy"))&amp;" "&amp;Milestones!$AB$156&amp;" "&amp;Milestones!$AC$156&amp;";  ","")&amp;IF(AND(EDATE($D78,Milestones!$AA$157)&lt;=AsOfDate,IF($R78=0,$X78,IF(AND($T78&lt;&gt;"",EDATE($D78,Milestones!$AA$157)&gt;=$T78),$W78,IF(AND($S78&lt;&gt;"",EDATE($D78,Milestones!$AA$157)&gt;=$S78),$V78,$U78)))=Milestones!$AB$157),UPPER(TEXT(EDATE($D78,Milestones!$AA$157),"dd mmm yy"))&amp;" "&amp;Milestones!$AB$157&amp;" "&amp;Milestones!$AC$157&amp;";  ","")&amp;IF(AND(EDATE($D78,Milestones!$AA$158)&lt;=AsOfDate,IF($R78=0,$X78,IF(AND($T78&lt;&gt;"",EDATE($D78,Milestones!$AA$158)&gt;=$T78),$W78,IF(AND($S78&lt;&gt;"",EDATE($D78,Milestones!$AA$158)&gt;=$S78),$V78,$U78)))=Milestones!$AB$158),UPPER(TEXT(EDATE($D78,Milestones!$AA$158),"dd mmm yy"))&amp;" "&amp;Milestones!$AB$158&amp;" "&amp;Milestones!$AC$158&amp;";  ","")&amp;IF(AND(EDATE($D78,Milestones!$AA$159)&lt;=AsOfDate,IF($R78=0,$X78,IF(AND($T78&lt;&gt;"",EDATE($D78,Milestones!$AA$159)&gt;=$T78),$W78,IF(AND($S78&lt;&gt;"",EDATE($D78,Milestones!$AA$159)&gt;=$S78),$V78,$U78)))=Milestones!$AB$159),UPPER(TEXT(EDATE($D78,Milestones!$AA$159),"dd mmm yy"))&amp;" "&amp;Milestones!$AB$159&amp;" "&amp;Milestones!$AC$159&amp;";  ",""))</f>
        <v/>
      </c>
      <c r="P78" s="0" t="str">
        <f aca="false">IF(OR($A78="",$D78=""),"",IF(AND(EDATE($D78,Milestones!$AA$160)&lt;=AsOfDate,IF($R78=0,$X78,IF(AND($T78&lt;&gt;"",EDATE($D78,Milestones!$AA$160)&gt;=$T78),$W78,IF(AND($S78&lt;&gt;"",EDATE($D78,Milestones!$AA$160)&gt;=$S78),$V78,$U78)))=Milestones!$AB$160),UPPER(TEXT(EDATE($D78,Milestones!$AA$160),"dd mmm yy"))&amp;" "&amp;Milestones!$AB$160&amp;" "&amp;Milestones!$AC$160&amp;";  ","")&amp;IF(AND(EDATE($D78,Milestones!$AA$161)&lt;=AsOfDate,IF($R78=0,$X78,IF(AND($T78&lt;&gt;"",EDATE($D78,Milestones!$AA$161)&gt;=$T78),$W78,IF(AND($S78&lt;&gt;"",EDATE($D78,Milestones!$AA$161)&gt;=$S78),$V78,$U78)))=Milestones!$AB$161),UPPER(TEXT(EDATE($D78,Milestones!$AA$161),"dd mmm yy"))&amp;" "&amp;Milestones!$AB$161&amp;" "&amp;Milestones!$AC$161&amp;";  ","")&amp;IF(AND(EDATE($D78,Milestones!$AA$162)&lt;=AsOfDate,IF($R78=0,$X78,IF(AND($T78&lt;&gt;"",EDATE($D78,Milestones!$AA$162)&gt;=$T78),$W78,IF(AND($S78&lt;&gt;"",EDATE($D78,Milestones!$AA$162)&gt;=$S78),$V78,$U78)))=Milestones!$AB$162),UPPER(TEXT(EDATE($D78,Milestones!$AA$162),"dd mmm yy"))&amp;" "&amp;Milestones!$AB$162&amp;" "&amp;Milestones!$AC$162&amp;";  ","")&amp;IF(AND(EDATE($D78,Milestones!$AA$163)&lt;=AsOfDate,IF($R78=0,$X78,IF(AND($T78&lt;&gt;"",EDATE($D78,Milestones!$AA$163)&gt;=$T78),$W78,IF(AND($S78&lt;&gt;"",EDATE($D78,Milestones!$AA$163)&gt;=$S78),$V78,$U78)))=Milestones!$AB$163),UPPER(TEXT(EDATE($D78,Milestones!$AA$163),"dd mmm yy"))&amp;" "&amp;Milestones!$AB$163&amp;" "&amp;Milestones!$AC$163&amp;";  ","")&amp;IF(AND(EDATE($D78,Milestones!$AA$164)&lt;=AsOfDate,IF($R78=0,$X78,IF(AND($T78&lt;&gt;"",EDATE($D78,Milestones!$AA$164)&gt;=$T78),$W78,IF(AND($S78&lt;&gt;"",EDATE($D78,Milestones!$AA$164)&gt;=$S78),$V78,$U78)))=Milestones!$AB$164),UPPER(TEXT(EDATE($D78,Milestones!$AA$164),"dd mmm yy"))&amp;" "&amp;Milestones!$AB$164&amp;" "&amp;Milestones!$AC$164&amp;";  ","")&amp;IF(AND(EDATE($D78,Milestones!$AA$165)&lt;=AsOfDate,IF($R78=0,$X78,IF(AND($T78&lt;&gt;"",EDATE($D78,Milestones!$AA$165)&gt;=$T78),$W78,IF(AND($S78&lt;&gt;"",EDATE($D78,Milestones!$AA$165)&gt;=$S78),$V78,$U78)))=Milestones!$AB$165),UPPER(TEXT(EDATE($D78,Milestones!$AA$165),"dd mmm yy"))&amp;" "&amp;Milestones!$AB$165&amp;" "&amp;Milestones!$AC$165&amp;";  ","")&amp;IF(AND(EDATE($D78,Milestones!$AA$166)&lt;=AsOfDate,IF($R78=0,$X78,IF(AND($T78&lt;&gt;"",EDATE($D78,Milestones!$AA$166)&gt;=$T78),$W78,IF(AND($S78&lt;&gt;"",EDATE($D78,Milestones!$AA$166)&gt;=$S78),$V78,$U78)))=Milestones!$AB$166),UPPER(TEXT(EDATE($D78,Milestones!$AA$166),"dd mmm yy"))&amp;" "&amp;Milestones!$AB$166&amp;" "&amp;Milestones!$AC$166&amp;";  ","")&amp;IF(AND(EDATE($D78,Milestones!$AA$167)&lt;=AsOfDate,IF($R78=0,$X78,IF(AND($T78&lt;&gt;"",EDATE($D78,Milestones!$AA$167)&gt;=$T78),$W78,IF(AND($S78&lt;&gt;"",EDATE($D78,Milestones!$AA$167)&gt;=$S78),$V78,$U78)))=Milestones!$AB$167),UPPER(TEXT(EDATE($D78,Milestones!$AA$167),"dd mmm yy"))&amp;" "&amp;Milestones!$AB$167&amp;" "&amp;Milestones!$AC$167&amp;";  ","")&amp;IF(AND(EDATE($D78,Milestones!$AA$168)&lt;=AsOfDate,IF($R78=0,$X78,IF(AND($T78&lt;&gt;"",EDATE($D78,Milestones!$AA$168)&gt;=$T78),$W78,IF(AND($S78&lt;&gt;"",EDATE($D78,Milestones!$AA$168)&gt;=$S78),$V78,$U78)))=Milestones!$AB$168),UPPER(TEXT(EDATE($D78,Milestones!$AA$168),"dd mmm yy"))&amp;" "&amp;Milestones!$AB$168&amp;" "&amp;Milestones!$AC$168&amp;";  ","")&amp;IF(AND(EDATE($D78,Milestones!$AA$169)&lt;=AsOfDate,IF($R78=0,$X78,IF(AND($T78&lt;&gt;"",EDATE($D78,Milestones!$AA$169)&gt;=$T78),$W78,IF(AND($S78&lt;&gt;"",EDATE($D78,Milestones!$AA$169)&gt;=$S78),$V78,$U78)))=Milestones!$AB$169),UPPER(TEXT(EDATE($D78,Milestones!$AA$169),"dd mmm yy"))&amp;" "&amp;Milestones!$AB$169&amp;" "&amp;Milestones!$AC$169&amp;";  ","")&amp;IF(AND(EDATE($D78,Milestones!$AA$170)&lt;=AsOfDate,IF($R78=0,$X78,IF(AND($T78&lt;&gt;"",EDATE($D78,Milestones!$AA$170)&gt;=$T78),$W78,IF(AND($S78&lt;&gt;"",EDATE($D78,Milestones!$AA$170)&gt;=$S78),$V78,$U78)))=Milestones!$AB$170),UPPER(TEXT(EDATE($D78,Milestones!$AA$170),"dd mmm yy"))&amp;" "&amp;Milestones!$AB$170&amp;" "&amp;Milestones!$AC$170&amp;";  ","")&amp;IF(AND(EDATE($D78,Milestones!$AA$171)&lt;=AsOfDate,IF($R78=0,$X78,IF(AND($T78&lt;&gt;"",EDATE($D78,Milestones!$AA$171)&gt;=$T78),$W78,IF(AND($S78&lt;&gt;"",EDATE($D78,Milestones!$AA$171)&gt;=$S78),$V78,$U78)))=Milestones!$AB$171),UPPER(TEXT(EDATE($D78,Milestones!$AA$171),"dd mmm yy"))&amp;" "&amp;Milestones!$AB$171&amp;" "&amp;Milestones!$AC$171&amp;";  ","")&amp;IF(AND(EDATE($D78,Milestones!$AA$172)&lt;=AsOfDate,IF($R78=0,$X78,IF(AND($T78&lt;&gt;"",EDATE($D78,Milestones!$AA$172)&gt;=$T78),$W78,IF(AND($S78&lt;&gt;"",EDATE($D78,Milestones!$AA$172)&gt;=$S78),$V78,$U78)))=Milestones!$AB$172),UPPER(TEXT(EDATE($D78,Milestones!$AA$172),"dd mmm yy"))&amp;" "&amp;Milestones!$AB$172&amp;" "&amp;Milestones!$AC$172&amp;";  ","")&amp;IF(AND(EDATE($D78,Milestones!$AA$173)&lt;=AsOfDate,IF($R78=0,$X78,IF(AND($T78&lt;&gt;"",EDATE($D78,Milestones!$AA$173)&gt;=$T78),$W78,IF(AND($S78&lt;&gt;"",EDATE($D78,Milestones!$AA$173)&gt;=$S78),$V78,$U78)))=Milestones!$AB$173),UPPER(TEXT(EDATE($D78,Milestones!$AA$173),"dd mmm yy"))&amp;" "&amp;Milestones!$AB$173&amp;" "&amp;Milestones!$AC$173&amp;";  ","")&amp;IF(AND(EDATE($D78,Milestones!$AA$174)&lt;=AsOfDate,IF($R78=0,$X78,IF(AND($T78&lt;&gt;"",EDATE($D78,Milestones!$AA$174)&gt;=$T78),$W78,IF(AND($S78&lt;&gt;"",EDATE($D78,Milestones!$AA$174)&gt;=$S78),$V78,$U78)))=Milestones!$AB$174),UPPER(TEXT(EDATE($D78,Milestones!$AA$174),"dd mmm yy"))&amp;" "&amp;Milestones!$AB$174&amp;" "&amp;Milestones!$AC$174&amp;";  ","")&amp;IF(AND(EDATE($D78,Milestones!$AA$175)&lt;=AsOfDate,IF($R78=0,$X78,IF(AND($T78&lt;&gt;"",EDATE($D78,Milestones!$AA$175)&gt;=$T78),$W78,IF(AND($S78&lt;&gt;"",EDATE($D78,Milestones!$AA$175)&gt;=$S78),$V78,$U78)))=Milestones!$AB$175),UPPER(TEXT(EDATE($D78,Milestones!$AA$175),"dd mmm yy"))&amp;" "&amp;Milestones!$AB$175&amp;" "&amp;Milestones!$AC$175&amp;";  ","")&amp;IF(AND(EDATE($D78,Milestones!$AA$176)&lt;=AsOfDate,IF($R78=0,$X78,IF(AND($T78&lt;&gt;"",EDATE($D78,Milestones!$AA$176)&gt;=$T78),$W78,IF(AND($S78&lt;&gt;"",EDATE($D78,Milestones!$AA$176)&gt;=$S78),$V78,$U78)))=Milestones!$AB$176),UPPER(TEXT(EDATE($D78,Milestones!$AA$176),"dd mmm yy"))&amp;" "&amp;Milestones!$AB$176&amp;" "&amp;Milestones!$AC$176&amp;";  ","")&amp;IF(AND(EDATE($D78,Milestones!$AA$177)&lt;=AsOfDate,IF($R78=0,$X78,IF(AND($T78&lt;&gt;"",EDATE($D78,Milestones!$AA$177)&gt;=$T78),$W78,IF(AND($S78&lt;&gt;"",EDATE($D78,Milestones!$AA$177)&gt;=$S78),$V78,$U78)))=Milestones!$AB$177),UPPER(TEXT(EDATE($D78,Milestones!$AA$177),"dd mmm yy"))&amp;" "&amp;Milestones!$AB$177&amp;" "&amp;Milestones!$AC$177&amp;";  ","")&amp;IF(AND(EDATE($D78,Milestones!$AA$178)&lt;=AsOfDate,IF($R78=0,$X78,IF(AND($T78&lt;&gt;"",EDATE($D78,Milestones!$AA$178)&gt;=$T78),$W78,IF(AND($S78&lt;&gt;"",EDATE($D78,Milestones!$AA$178)&gt;=$S78),$V78,$U78)))=Milestones!$AB$178),UPPER(TEXT(EDATE($D78,Milestones!$AA$178),"dd mmm yy"))&amp;" "&amp;Milestones!$AB$178&amp;" "&amp;Milestones!$AC$178&amp;";  ","")&amp;IF(AND(EDATE($D78,Milestones!$AA$179)&lt;=AsOfDate,IF($R78=0,$X78,IF(AND($T78&lt;&gt;"",EDATE($D78,Milestones!$AA$179)&gt;=$T78),$W78,IF(AND($S78&lt;&gt;"",EDATE($D78,Milestones!$AA$179)&gt;=$S78),$V78,$U78)))=Milestones!$AB$179),UPPER(TEXT(EDATE($D78,Milestones!$AA$179),"dd mmm yy"))&amp;" "&amp;Milestones!$AB$179&amp;" "&amp;Milestones!$AC$179&amp;";  ",""))</f>
        <v/>
      </c>
      <c r="Q78" s="0" t="str">
        <f aca="false">IF(OR($A78="",$D78=""),"",IF(AND(EDATE($D78,Milestones!$AA$180)&lt;=AsOfDate,IF($R78=0,$X78,IF(AND($T78&lt;&gt;"",EDATE($D78,Milestones!$AA$180)&gt;=$T78),$W78,IF(AND($S78&lt;&gt;"",EDATE($D78,Milestones!$AA$180)&gt;=$S78),$V78,$U78)))=Milestones!$AB$180),UPPER(TEXT(EDATE($D78,Milestones!$AA$180),"dd mmm yy"))&amp;" "&amp;Milestones!$AB$180&amp;" "&amp;Milestones!$AC$180&amp;";  ","")&amp;IF(AND(EDATE($D78,Milestones!$AA$181)&lt;=AsOfDate,IF($R78=0,$X78,IF(AND($T78&lt;&gt;"",EDATE($D78,Milestones!$AA$181)&gt;=$T78),$W78,IF(AND($S78&lt;&gt;"",EDATE($D78,Milestones!$AA$181)&gt;=$S78),$V78,$U78)))=Milestones!$AB$181),UPPER(TEXT(EDATE($D78,Milestones!$AA$181),"dd mmm yy"))&amp;" "&amp;Milestones!$AB$181&amp;" "&amp;Milestones!$AC$181&amp;";  ","")&amp;IF(AND(EDATE($D78,Milestones!$AA$182)&lt;=AsOfDate,IF($R78=0,$X78,IF(AND($T78&lt;&gt;"",EDATE($D78,Milestones!$AA$182)&gt;=$T78),$W78,IF(AND($S78&lt;&gt;"",EDATE($D78,Milestones!$AA$182)&gt;=$S78),$V78,$U78)))=Milestones!$AB$182),UPPER(TEXT(EDATE($D78,Milestones!$AA$182),"dd mmm yy"))&amp;" "&amp;Milestones!$AB$182&amp;" "&amp;Milestones!$AC$182&amp;";  ","")&amp;IF(AND(EDATE($D78,Milestones!$AA$183)&lt;=AsOfDate,IF($R78=0,$X78,IF(AND($T78&lt;&gt;"",EDATE($D78,Milestones!$AA$183)&gt;=$T78),$W78,IF(AND($S78&lt;&gt;"",EDATE($D78,Milestones!$AA$183)&gt;=$S78),$V78,$U78)))=Milestones!$AB$183),UPPER(TEXT(EDATE($D78,Milestones!$AA$183),"dd mmm yy"))&amp;" "&amp;Milestones!$AB$183&amp;" "&amp;Milestones!$AC$183&amp;";  ","")&amp;IF(AND(EDATE($D78,Milestones!$AA$184)&lt;=AsOfDate,IF($R78=0,$X78,IF(AND($T78&lt;&gt;"",EDATE($D78,Milestones!$AA$184)&gt;=$T78),$W78,IF(AND($S78&lt;&gt;"",EDATE($D78,Milestones!$AA$184)&gt;=$S78),$V78,$U78)))=Milestones!$AB$184),UPPER(TEXT(EDATE($D78,Milestones!$AA$184),"dd mmm yy"))&amp;" "&amp;Milestones!$AB$184&amp;" "&amp;Milestones!$AC$184&amp;";  ","")&amp;IF(AND(EDATE($D78,Milestones!$AA$185)&lt;=AsOfDate,IF($R78=0,$X78,IF(AND($T78&lt;&gt;"",EDATE($D78,Milestones!$AA$185)&gt;=$T78),$W78,IF(AND($S78&lt;&gt;"",EDATE($D78,Milestones!$AA$185)&gt;=$S78),$V78,$U78)))=Milestones!$AB$185),UPPER(TEXT(EDATE($D78,Milestones!$AA$185),"dd mmm yy"))&amp;" "&amp;Milestones!$AB$185&amp;" "&amp;Milestones!$AC$185&amp;";  ","")&amp;IF(AND(EDATE($D78,Milestones!$AA$186)&lt;=AsOfDate,IF($R78=0,$X78,IF(AND($T78&lt;&gt;"",EDATE($D78,Milestones!$AA$186)&gt;=$T78),$W78,IF(AND($S78&lt;&gt;"",EDATE($D78,Milestones!$AA$186)&gt;=$S78),$V78,$U78)))=Milestones!$AB$186),UPPER(TEXT(EDATE($D78,Milestones!$AA$186),"dd mmm yy"))&amp;" "&amp;Milestones!$AB$186&amp;" "&amp;Milestones!$AC$186&amp;";  ","")&amp;IF(AND(EDATE($D78,Milestones!$AA$187)&lt;=AsOfDate,IF($R78=0,$X78,IF(AND($T78&lt;&gt;"",EDATE($D78,Milestones!$AA$187)&gt;=$T78),$W78,IF(AND($S78&lt;&gt;"",EDATE($D78,Milestones!$AA$187)&gt;=$S78),$V78,$U78)))=Milestones!$AB$187),UPPER(TEXT(EDATE($D78,Milestones!$AA$187),"dd mmm yy"))&amp;" "&amp;Milestones!$AB$187&amp;" "&amp;Milestones!$AC$187&amp;";  ","")&amp;IF(AND(EDATE($D78,Milestones!$AA$188)&lt;=AsOfDate,IF($R78=0,$X78,IF(AND($T78&lt;&gt;"",EDATE($D78,Milestones!$AA$188)&gt;=$T78),$W78,IF(AND($S78&lt;&gt;"",EDATE($D78,Milestones!$AA$188)&gt;=$S78),$V78,$U78)))=Milestones!$AB$188),UPPER(TEXT(EDATE($D78,Milestones!$AA$188),"dd mmm yy"))&amp;" "&amp;Milestones!$AB$188&amp;" "&amp;Milestones!$AC$188&amp;";  ","")&amp;IF(AND(EDATE($D78,Milestones!$AA$189)&lt;=AsOfDate,IF($R78=0,$X78,IF(AND($T78&lt;&gt;"",EDATE($D78,Milestones!$AA$189)&gt;=$T78),$W78,IF(AND($S78&lt;&gt;"",EDATE($D78,Milestones!$AA$189)&gt;=$S78),$V78,$U78)))=Milestones!$AB$189),UPPER(TEXT(EDATE($D78,Milestones!$AA$189),"dd mmm yy"))&amp;" "&amp;Milestones!$AB$189&amp;" "&amp;Milestones!$AC$189&amp;";  ","")&amp;IF(AND(EDATE($D78,Milestones!$AA$190)&lt;=AsOfDate,IF($R78=0,$X78,IF(AND($T78&lt;&gt;"",EDATE($D78,Milestones!$AA$190)&gt;=$T78),$W78,IF(AND($S78&lt;&gt;"",EDATE($D78,Milestones!$AA$190)&gt;=$S78),$V78,$U78)))=Milestones!$AB$190),UPPER(TEXT(EDATE($D78,Milestones!$AA$190),"dd mmm yy"))&amp;" "&amp;Milestones!$AB$190&amp;" "&amp;Milestones!$AC$190&amp;";  ","")&amp;IF(AND(EDATE($D78,Milestones!$AA$191)&lt;=AsOfDate,IF($R78=0,$X78,IF(AND($T78&lt;&gt;"",EDATE($D78,Milestones!$AA$191)&gt;=$T78),$W78,IF(AND($S78&lt;&gt;"",EDATE($D78,Milestones!$AA$191)&gt;=$S78),$V78,$U78)))=Milestones!$AB$191),UPPER(TEXT(EDATE($D78,Milestones!$AA$191),"dd mmm yy"))&amp;" "&amp;Milestones!$AB$191&amp;" "&amp;Milestones!$AC$191&amp;";  ","")&amp;IF(AND(EDATE($D78,Milestones!$AA$192)&lt;=AsOfDate,IF($R78=0,$X78,IF(AND($T78&lt;&gt;"",EDATE($D78,Milestones!$AA$192)&gt;=$T78),$W78,IF(AND($S78&lt;&gt;"",EDATE($D78,Milestones!$AA$192)&gt;=$S78),$V78,$U78)))=Milestones!$AB$192),UPPER(TEXT(EDATE($D78,Milestones!$AA$192),"dd mmm yy"))&amp;" "&amp;Milestones!$AB$192&amp;" "&amp;Milestones!$AC$192&amp;";  ","")&amp;IF(AND(EDATE($D78,Milestones!$AA$193)&lt;=AsOfDate,IF($R78=0,$X78,IF(AND($T78&lt;&gt;"",EDATE($D78,Milestones!$AA$193)&gt;=$T78),$W78,IF(AND($S78&lt;&gt;"",EDATE($D78,Milestones!$AA$193)&gt;=$S78),$V78,$U78)))=Milestones!$AB$193),UPPER(TEXT(EDATE($D78,Milestones!$AA$193),"dd mmm yy"))&amp;" "&amp;Milestones!$AB$193&amp;" "&amp;Milestones!$AC$193&amp;";  ","")&amp;IF(AND(EDATE($D78,Milestones!$AA$194)&lt;=AsOfDate,IF($R78=0,$X78,IF(AND($T78&lt;&gt;"",EDATE($D78,Milestones!$AA$194)&gt;=$T78),$W78,IF(AND($S78&lt;&gt;"",EDATE($D78,Milestones!$AA$194)&gt;=$S78),$V78,$U78)))=Milestones!$AB$194),UPPER(TEXT(EDATE($D78,Milestones!$AA$194),"dd mmm yy"))&amp;" "&amp;Milestones!$AB$194&amp;" "&amp;Milestones!$AC$194&amp;";  ","")&amp;IF(AND(EDATE($D78,Milestones!$AA$195)&lt;=AsOfDate,IF($R78=0,$X78,IF(AND($T78&lt;&gt;"",EDATE($D78,Milestones!$AA$195)&gt;=$T78),$W78,IF(AND($S78&lt;&gt;"",EDATE($D78,Milestones!$AA$195)&gt;=$S78),$V78,$U78)))=Milestones!$AB$195),UPPER(TEXT(EDATE($D78,Milestones!$AA$195),"dd mmm yy"))&amp;" "&amp;Milestones!$AB$195&amp;" "&amp;Milestones!$AC$195&amp;";  ","")&amp;IF(AND(EDATE($D78,Milestones!$AA$196)&lt;=AsOfDate,IF($R78=0,$X78,IF(AND($T78&lt;&gt;"",EDATE($D78,Milestones!$AA$196)&gt;=$T78),$W78,IF(AND($S78&lt;&gt;"",EDATE($D78,Milestones!$AA$196)&gt;=$S78),$V78,$U78)))=Milestones!$AB$196),UPPER(TEXT(EDATE($D78,Milestones!$AA$196),"dd mmm yy"))&amp;" "&amp;Milestones!$AB$196&amp;" "&amp;Milestones!$AC$196&amp;";  ","")&amp;IF(AND(EDATE($D78,Milestones!$AA$197)&lt;=AsOfDate,IF($R78=0,$X78,IF(AND($T78&lt;&gt;"",EDATE($D78,Milestones!$AA$197)&gt;=$T78),$W78,IF(AND($S78&lt;&gt;"",EDATE($D78,Milestones!$AA$197)&gt;=$S78),$V78,$U78)))=Milestones!$AB$197),UPPER(TEXT(EDATE($D78,Milestones!$AA$197),"dd mmm yy"))&amp;" "&amp;Milestones!$AB$197&amp;" "&amp;Milestones!$AC$197&amp;";  ","")&amp;IF(AND(EDATE($D78,Milestones!$AA$198)&lt;=AsOfDate,IF($R78=0,$X78,IF(AND($T78&lt;&gt;"",EDATE($D78,Milestones!$AA$198)&gt;=$T78),$W78,IF(AND($S78&lt;&gt;"",EDATE($D78,Milestones!$AA$198)&gt;=$S78),$V78,$U78)))=Milestones!$AB$198),UPPER(TEXT(EDATE($D78,Milestones!$AA$198),"dd mmm yy"))&amp;" "&amp;Milestones!$AB$198&amp;" "&amp;Milestones!$AC$198&amp;";  ","")&amp;IF(AND(EDATE($D78,Milestones!$AA$199)&lt;=AsOfDate,IF($R78=0,$X78,IF(AND($T78&lt;&gt;"",EDATE($D78,Milestones!$AA$199)&gt;=$T78),$W78,IF(AND($S78&lt;&gt;"",EDATE($D78,Milestones!$AA$199)&gt;=$S78),$V78,$U78)))=Milestones!$AB$199),UPPER(TEXT(EDATE($D78,Milestones!$AA$199),"dd mmm yy"))&amp;" "&amp;Milestones!$AB$199&amp;" "&amp;Milestones!$AC$199&amp;";  ",""))</f>
        <v/>
      </c>
      <c r="R78" s="0" t="str">
        <f aca="false">IF(Staff!$A78="","",Staff!$AI78)</f>
        <v/>
      </c>
      <c r="S78" s="0" t="str">
        <f aca="false">IF(Staff!$A78="","",Staff!$AK78)</f>
        <v/>
      </c>
      <c r="T78" s="0" t="str">
        <f aca="false">IF(Staff!$A78="","",Staff!$AL78)</f>
        <v/>
      </c>
      <c r="U78" s="0" t="str">
        <f aca="false">IF(Staff!$A78="","",Staff!$AP78)</f>
        <v/>
      </c>
      <c r="V78" s="0" t="str">
        <f aca="false">IF(Staff!$A78="","",Staff!$AQ78)</f>
        <v/>
      </c>
      <c r="W78" s="0" t="str">
        <f aca="false">IF(Staff!$A78="","",Staff!$AR78)</f>
        <v/>
      </c>
      <c r="X78" s="0" t="str">
        <f aca="false">IF(Staff!$A78="","",Staff!$AS78)</f>
        <v/>
      </c>
    </row>
    <row r="79" customFormat="false" ht="15" hidden="false" customHeight="false" outlineLevel="0" collapsed="false">
      <c r="A79" s="14" t="str">
        <f aca="false">IF(Staff!$A79="","",Staff!$A79)</f>
        <v/>
      </c>
      <c r="B79" s="14" t="str">
        <f aca="false">IF(Staff!$A79="","",Staff!$B79)</f>
        <v/>
      </c>
      <c r="C79" s="14" t="str">
        <f aca="false">IF(Staff!$A79="","",Staff!$C79)</f>
        <v/>
      </c>
      <c r="D79" s="12" t="str">
        <f aca="false">IF(Staff!$A79="","",Staff!$AH79)</f>
        <v/>
      </c>
      <c r="E79" s="14" t="str">
        <f aca="false">IF(Staff!$A79="","",Staff!$O79)</f>
        <v/>
      </c>
      <c r="F79" s="14" t="str">
        <f aca="false">IF(E79="","",E79*HoursPerDay)</f>
        <v/>
      </c>
      <c r="G79" s="14" t="str">
        <f aca="false">IF(Staff!$A79="","",Staff!$AE79)</f>
        <v/>
      </c>
      <c r="H79" s="26" t="str">
        <f aca="false">IF($A79="","",I79&amp;J79&amp;K79&amp;L79&amp;M79&amp;N79&amp;O79&amp;P79&amp;Q79)</f>
        <v/>
      </c>
      <c r="I79" s="0" t="str">
        <f aca="false">IF(OR($A79="",$D79=""),"",IF(AND(EDATE($D79,Milestones!$AA$20)&lt;=AsOfDate,IF($R79=0,$X79,IF(AND($T79&lt;&gt;"",EDATE($D79,Milestones!$AA$20)&gt;=$T79),$W79,IF(AND($S79&lt;&gt;"",EDATE($D79,Milestones!$AA$20)&gt;=$S79),$V79,$U79)))=Milestones!$AB$20),UPPER(TEXT(EDATE($D79,Milestones!$AA$20),"dd mmm yy"))&amp;" "&amp;Milestones!$AB$20&amp;" "&amp;Milestones!$AC$20&amp;";  ","")&amp;IF(AND(EDATE($D79,Milestones!$AA$21)&lt;=AsOfDate,IF($R79=0,$X79,IF(AND($T79&lt;&gt;"",EDATE($D79,Milestones!$AA$21)&gt;=$T79),$W79,IF(AND($S79&lt;&gt;"",EDATE($D79,Milestones!$AA$21)&gt;=$S79),$V79,$U79)))=Milestones!$AB$21),UPPER(TEXT(EDATE($D79,Milestones!$AA$21),"dd mmm yy"))&amp;" "&amp;Milestones!$AB$21&amp;" "&amp;Milestones!$AC$21&amp;";  ","")&amp;IF(AND(EDATE($D79,Milestones!$AA$22)&lt;=AsOfDate,IF($R79=0,$X79,IF(AND($T79&lt;&gt;"",EDATE($D79,Milestones!$AA$22)&gt;=$T79),$W79,IF(AND($S79&lt;&gt;"",EDATE($D79,Milestones!$AA$22)&gt;=$S79),$V79,$U79)))=Milestones!$AB$22),UPPER(TEXT(EDATE($D79,Milestones!$AA$22),"dd mmm yy"))&amp;" "&amp;Milestones!$AB$22&amp;" "&amp;Milestones!$AC$22&amp;";  ","")&amp;IF(AND(EDATE($D79,Milestones!$AA$23)&lt;=AsOfDate,IF($R79=0,$X79,IF(AND($T79&lt;&gt;"",EDATE($D79,Milestones!$AA$23)&gt;=$T79),$W79,IF(AND($S79&lt;&gt;"",EDATE($D79,Milestones!$AA$23)&gt;=$S79),$V79,$U79)))=Milestones!$AB$23),UPPER(TEXT(EDATE($D79,Milestones!$AA$23),"dd mmm yy"))&amp;" "&amp;Milestones!$AB$23&amp;" "&amp;Milestones!$AC$23&amp;";  ","")&amp;IF(AND(EDATE($D79,Milestones!$AA$24)&lt;=AsOfDate,IF($R79=0,$X79,IF(AND($T79&lt;&gt;"",EDATE($D79,Milestones!$AA$24)&gt;=$T79),$W79,IF(AND($S79&lt;&gt;"",EDATE($D79,Milestones!$AA$24)&gt;=$S79),$V79,$U79)))=Milestones!$AB$24),UPPER(TEXT(EDATE($D79,Milestones!$AA$24),"dd mmm yy"))&amp;" "&amp;Milestones!$AB$24&amp;" "&amp;Milestones!$AC$24&amp;";  ","")&amp;IF(AND(EDATE($D79,Milestones!$AA$25)&lt;=AsOfDate,IF($R79=0,$X79,IF(AND($T79&lt;&gt;"",EDATE($D79,Milestones!$AA$25)&gt;=$T79),$W79,IF(AND($S79&lt;&gt;"",EDATE($D79,Milestones!$AA$25)&gt;=$S79),$V79,$U79)))=Milestones!$AB$25),UPPER(TEXT(EDATE($D79,Milestones!$AA$25),"dd mmm yy"))&amp;" "&amp;Milestones!$AB$25&amp;" "&amp;Milestones!$AC$25&amp;";  ","")&amp;IF(AND(EDATE($D79,Milestones!$AA$26)&lt;=AsOfDate,IF($R79=0,$X79,IF(AND($T79&lt;&gt;"",EDATE($D79,Milestones!$AA$26)&gt;=$T79),$W79,IF(AND($S79&lt;&gt;"",EDATE($D79,Milestones!$AA$26)&gt;=$S79),$V79,$U79)))=Milestones!$AB$26),UPPER(TEXT(EDATE($D79,Milestones!$AA$26),"dd mmm yy"))&amp;" "&amp;Milestones!$AB$26&amp;" "&amp;Milestones!$AC$26&amp;";  ","")&amp;IF(AND(EDATE($D79,Milestones!$AA$27)&lt;=AsOfDate,IF($R79=0,$X79,IF(AND($T79&lt;&gt;"",EDATE($D79,Milestones!$AA$27)&gt;=$T79),$W79,IF(AND($S79&lt;&gt;"",EDATE($D79,Milestones!$AA$27)&gt;=$S79),$V79,$U79)))=Milestones!$AB$27),UPPER(TEXT(EDATE($D79,Milestones!$AA$27),"dd mmm yy"))&amp;" "&amp;Milestones!$AB$27&amp;" "&amp;Milestones!$AC$27&amp;";  ","")&amp;IF(AND(EDATE($D79,Milestones!$AA$28)&lt;=AsOfDate,IF($R79=0,$X79,IF(AND($T79&lt;&gt;"",EDATE($D79,Milestones!$AA$28)&gt;=$T79),$W79,IF(AND($S79&lt;&gt;"",EDATE($D79,Milestones!$AA$28)&gt;=$S79),$V79,$U79)))=Milestones!$AB$28),UPPER(TEXT(EDATE($D79,Milestones!$AA$28),"dd mmm yy"))&amp;" "&amp;Milestones!$AB$28&amp;" "&amp;Milestones!$AC$28&amp;";  ","")&amp;IF(AND(EDATE($D79,Milestones!$AA$29)&lt;=AsOfDate,IF($R79=0,$X79,IF(AND($T79&lt;&gt;"",EDATE($D79,Milestones!$AA$29)&gt;=$T79),$W79,IF(AND($S79&lt;&gt;"",EDATE($D79,Milestones!$AA$29)&gt;=$S79),$V79,$U79)))=Milestones!$AB$29),UPPER(TEXT(EDATE($D79,Milestones!$AA$29),"dd mmm yy"))&amp;" "&amp;Milestones!$AB$29&amp;" "&amp;Milestones!$AC$29&amp;";  ","")&amp;IF(AND(EDATE($D79,Milestones!$AA$30)&lt;=AsOfDate,IF($R79=0,$X79,IF(AND($T79&lt;&gt;"",EDATE($D79,Milestones!$AA$30)&gt;=$T79),$W79,IF(AND($S79&lt;&gt;"",EDATE($D79,Milestones!$AA$30)&gt;=$S79),$V79,$U79)))=Milestones!$AB$30),UPPER(TEXT(EDATE($D79,Milestones!$AA$30),"dd mmm yy"))&amp;" "&amp;Milestones!$AB$30&amp;" "&amp;Milestones!$AC$30&amp;";  ","")&amp;IF(AND(EDATE($D79,Milestones!$AA$31)&lt;=AsOfDate,IF($R79=0,$X79,IF(AND($T79&lt;&gt;"",EDATE($D79,Milestones!$AA$31)&gt;=$T79),$W79,IF(AND($S79&lt;&gt;"",EDATE($D79,Milestones!$AA$31)&gt;=$S79),$V79,$U79)))=Milestones!$AB$31),UPPER(TEXT(EDATE($D79,Milestones!$AA$31),"dd mmm yy"))&amp;" "&amp;Milestones!$AB$31&amp;" "&amp;Milestones!$AC$31&amp;";  ","")&amp;IF(AND(EDATE($D79,Milestones!$AA$32)&lt;=AsOfDate,IF($R79=0,$X79,IF(AND($T79&lt;&gt;"",EDATE($D79,Milestones!$AA$32)&gt;=$T79),$W79,IF(AND($S79&lt;&gt;"",EDATE($D79,Milestones!$AA$32)&gt;=$S79),$V79,$U79)))=Milestones!$AB$32),UPPER(TEXT(EDATE($D79,Milestones!$AA$32),"dd mmm yy"))&amp;" "&amp;Milestones!$AB$32&amp;" "&amp;Milestones!$AC$32&amp;";  ","")&amp;IF(AND(EDATE($D79,Milestones!$AA$33)&lt;=AsOfDate,IF($R79=0,$X79,IF(AND($T79&lt;&gt;"",EDATE($D79,Milestones!$AA$33)&gt;=$T79),$W79,IF(AND($S79&lt;&gt;"",EDATE($D79,Milestones!$AA$33)&gt;=$S79),$V79,$U79)))=Milestones!$AB$33),UPPER(TEXT(EDATE($D79,Milestones!$AA$33),"dd mmm yy"))&amp;" "&amp;Milestones!$AB$33&amp;" "&amp;Milestones!$AC$33&amp;";  ","")&amp;IF(AND(EDATE($D79,Milestones!$AA$34)&lt;=AsOfDate,IF($R79=0,$X79,IF(AND($T79&lt;&gt;"",EDATE($D79,Milestones!$AA$34)&gt;=$T79),$W79,IF(AND($S79&lt;&gt;"",EDATE($D79,Milestones!$AA$34)&gt;=$S79),$V79,$U79)))=Milestones!$AB$34),UPPER(TEXT(EDATE($D79,Milestones!$AA$34),"dd mmm yy"))&amp;" "&amp;Milestones!$AB$34&amp;" "&amp;Milestones!$AC$34&amp;";  ","")&amp;IF(AND(EDATE($D79,Milestones!$AA$35)&lt;=AsOfDate,IF($R79=0,$X79,IF(AND($T79&lt;&gt;"",EDATE($D79,Milestones!$AA$35)&gt;=$T79),$W79,IF(AND($S79&lt;&gt;"",EDATE($D79,Milestones!$AA$35)&gt;=$S79),$V79,$U79)))=Milestones!$AB$35),UPPER(TEXT(EDATE($D79,Milestones!$AA$35),"dd mmm yy"))&amp;" "&amp;Milestones!$AB$35&amp;" "&amp;Milestones!$AC$35&amp;";  ","")&amp;IF(AND(EDATE($D79,Milestones!$AA$36)&lt;=AsOfDate,IF($R79=0,$X79,IF(AND($T79&lt;&gt;"",EDATE($D79,Milestones!$AA$36)&gt;=$T79),$W79,IF(AND($S79&lt;&gt;"",EDATE($D79,Milestones!$AA$36)&gt;=$S79),$V79,$U79)))=Milestones!$AB$36),UPPER(TEXT(EDATE($D79,Milestones!$AA$36),"dd mmm yy"))&amp;" "&amp;Milestones!$AB$36&amp;" "&amp;Milestones!$AC$36&amp;";  ","")&amp;IF(AND(EDATE($D79,Milestones!$AA$37)&lt;=AsOfDate,IF($R79=0,$X79,IF(AND($T79&lt;&gt;"",EDATE($D79,Milestones!$AA$37)&gt;=$T79),$W79,IF(AND($S79&lt;&gt;"",EDATE($D79,Milestones!$AA$37)&gt;=$S79),$V79,$U79)))=Milestones!$AB$37),UPPER(TEXT(EDATE($D79,Milestones!$AA$37),"dd mmm yy"))&amp;" "&amp;Milestones!$AB$37&amp;" "&amp;Milestones!$AC$37&amp;";  ","")&amp;IF(AND(EDATE($D79,Milestones!$AA$38)&lt;=AsOfDate,IF($R79=0,$X79,IF(AND($T79&lt;&gt;"",EDATE($D79,Milestones!$AA$38)&gt;=$T79),$W79,IF(AND($S79&lt;&gt;"",EDATE($D79,Milestones!$AA$38)&gt;=$S79),$V79,$U79)))=Milestones!$AB$38),UPPER(TEXT(EDATE($D79,Milestones!$AA$38),"dd mmm yy"))&amp;" "&amp;Milestones!$AB$38&amp;" "&amp;Milestones!$AC$38&amp;";  ","")&amp;IF(AND(EDATE($D79,Milestones!$AA$39)&lt;=AsOfDate,IF($R79=0,$X79,IF(AND($T79&lt;&gt;"",EDATE($D79,Milestones!$AA$39)&gt;=$T79),$W79,IF(AND($S79&lt;&gt;"",EDATE($D79,Milestones!$AA$39)&gt;=$S79),$V79,$U79)))=Milestones!$AB$39),UPPER(TEXT(EDATE($D79,Milestones!$AA$39),"dd mmm yy"))&amp;" "&amp;Milestones!$AB$39&amp;" "&amp;Milestones!$AC$39&amp;";  ",""))</f>
        <v/>
      </c>
      <c r="J79" s="0" t="str">
        <f aca="false">IF(OR($A79="",$D79=""),"",IF(AND(EDATE($D79,Milestones!$AA$40)&lt;=AsOfDate,IF($R79=0,$X79,IF(AND($T79&lt;&gt;"",EDATE($D79,Milestones!$AA$40)&gt;=$T79),$W79,IF(AND($S79&lt;&gt;"",EDATE($D79,Milestones!$AA$40)&gt;=$S79),$V79,$U79)))=Milestones!$AB$40),UPPER(TEXT(EDATE($D79,Milestones!$AA$40),"dd mmm yy"))&amp;" "&amp;Milestones!$AB$40&amp;" "&amp;Milestones!$AC$40&amp;";  ","")&amp;IF(AND(EDATE($D79,Milestones!$AA$41)&lt;=AsOfDate,IF($R79=0,$X79,IF(AND($T79&lt;&gt;"",EDATE($D79,Milestones!$AA$41)&gt;=$T79),$W79,IF(AND($S79&lt;&gt;"",EDATE($D79,Milestones!$AA$41)&gt;=$S79),$V79,$U79)))=Milestones!$AB$41),UPPER(TEXT(EDATE($D79,Milestones!$AA$41),"dd mmm yy"))&amp;" "&amp;Milestones!$AB$41&amp;" "&amp;Milestones!$AC$41&amp;";  ","")&amp;IF(AND(EDATE($D79,Milestones!$AA$42)&lt;=AsOfDate,IF($R79=0,$X79,IF(AND($T79&lt;&gt;"",EDATE($D79,Milestones!$AA$42)&gt;=$T79),$W79,IF(AND($S79&lt;&gt;"",EDATE($D79,Milestones!$AA$42)&gt;=$S79),$V79,$U79)))=Milestones!$AB$42),UPPER(TEXT(EDATE($D79,Milestones!$AA$42),"dd mmm yy"))&amp;" "&amp;Milestones!$AB$42&amp;" "&amp;Milestones!$AC$42&amp;";  ","")&amp;IF(AND(EDATE($D79,Milestones!$AA$43)&lt;=AsOfDate,IF($R79=0,$X79,IF(AND($T79&lt;&gt;"",EDATE($D79,Milestones!$AA$43)&gt;=$T79),$W79,IF(AND($S79&lt;&gt;"",EDATE($D79,Milestones!$AA$43)&gt;=$S79),$V79,$U79)))=Milestones!$AB$43),UPPER(TEXT(EDATE($D79,Milestones!$AA$43),"dd mmm yy"))&amp;" "&amp;Milestones!$AB$43&amp;" "&amp;Milestones!$AC$43&amp;";  ","")&amp;IF(AND(EDATE($D79,Milestones!$AA$44)&lt;=AsOfDate,IF($R79=0,$X79,IF(AND($T79&lt;&gt;"",EDATE($D79,Milestones!$AA$44)&gt;=$T79),$W79,IF(AND($S79&lt;&gt;"",EDATE($D79,Milestones!$AA$44)&gt;=$S79),$V79,$U79)))=Milestones!$AB$44),UPPER(TEXT(EDATE($D79,Milestones!$AA$44),"dd mmm yy"))&amp;" "&amp;Milestones!$AB$44&amp;" "&amp;Milestones!$AC$44&amp;";  ","")&amp;IF(AND(EDATE($D79,Milestones!$AA$45)&lt;=AsOfDate,IF($R79=0,$X79,IF(AND($T79&lt;&gt;"",EDATE($D79,Milestones!$AA$45)&gt;=$T79),$W79,IF(AND($S79&lt;&gt;"",EDATE($D79,Milestones!$AA$45)&gt;=$S79),$V79,$U79)))=Milestones!$AB$45),UPPER(TEXT(EDATE($D79,Milestones!$AA$45),"dd mmm yy"))&amp;" "&amp;Milestones!$AB$45&amp;" "&amp;Milestones!$AC$45&amp;";  ","")&amp;IF(AND(EDATE($D79,Milestones!$AA$46)&lt;=AsOfDate,IF($R79=0,$X79,IF(AND($T79&lt;&gt;"",EDATE($D79,Milestones!$AA$46)&gt;=$T79),$W79,IF(AND($S79&lt;&gt;"",EDATE($D79,Milestones!$AA$46)&gt;=$S79),$V79,$U79)))=Milestones!$AB$46),UPPER(TEXT(EDATE($D79,Milestones!$AA$46),"dd mmm yy"))&amp;" "&amp;Milestones!$AB$46&amp;" "&amp;Milestones!$AC$46&amp;";  ","")&amp;IF(AND(EDATE($D79,Milestones!$AA$47)&lt;=AsOfDate,IF($R79=0,$X79,IF(AND($T79&lt;&gt;"",EDATE($D79,Milestones!$AA$47)&gt;=$T79),$W79,IF(AND($S79&lt;&gt;"",EDATE($D79,Milestones!$AA$47)&gt;=$S79),$V79,$U79)))=Milestones!$AB$47),UPPER(TEXT(EDATE($D79,Milestones!$AA$47),"dd mmm yy"))&amp;" "&amp;Milestones!$AB$47&amp;" "&amp;Milestones!$AC$47&amp;";  ","")&amp;IF(AND(EDATE($D79,Milestones!$AA$48)&lt;=AsOfDate,IF($R79=0,$X79,IF(AND($T79&lt;&gt;"",EDATE($D79,Milestones!$AA$48)&gt;=$T79),$W79,IF(AND($S79&lt;&gt;"",EDATE($D79,Milestones!$AA$48)&gt;=$S79),$V79,$U79)))=Milestones!$AB$48),UPPER(TEXT(EDATE($D79,Milestones!$AA$48),"dd mmm yy"))&amp;" "&amp;Milestones!$AB$48&amp;" "&amp;Milestones!$AC$48&amp;";  ","")&amp;IF(AND(EDATE($D79,Milestones!$AA$49)&lt;=AsOfDate,IF($R79=0,$X79,IF(AND($T79&lt;&gt;"",EDATE($D79,Milestones!$AA$49)&gt;=$T79),$W79,IF(AND($S79&lt;&gt;"",EDATE($D79,Milestones!$AA$49)&gt;=$S79),$V79,$U79)))=Milestones!$AB$49),UPPER(TEXT(EDATE($D79,Milestones!$AA$49),"dd mmm yy"))&amp;" "&amp;Milestones!$AB$49&amp;" "&amp;Milestones!$AC$49&amp;";  ","")&amp;IF(AND(EDATE($D79,Milestones!$AA$50)&lt;=AsOfDate,IF($R79=0,$X79,IF(AND($T79&lt;&gt;"",EDATE($D79,Milestones!$AA$50)&gt;=$T79),$W79,IF(AND($S79&lt;&gt;"",EDATE($D79,Milestones!$AA$50)&gt;=$S79),$V79,$U79)))=Milestones!$AB$50),UPPER(TEXT(EDATE($D79,Milestones!$AA$50),"dd mmm yy"))&amp;" "&amp;Milestones!$AB$50&amp;" "&amp;Milestones!$AC$50&amp;";  ","")&amp;IF(AND(EDATE($D79,Milestones!$AA$51)&lt;=AsOfDate,IF($R79=0,$X79,IF(AND($T79&lt;&gt;"",EDATE($D79,Milestones!$AA$51)&gt;=$T79),$W79,IF(AND($S79&lt;&gt;"",EDATE($D79,Milestones!$AA$51)&gt;=$S79),$V79,$U79)))=Milestones!$AB$51),UPPER(TEXT(EDATE($D79,Milestones!$AA$51),"dd mmm yy"))&amp;" "&amp;Milestones!$AB$51&amp;" "&amp;Milestones!$AC$51&amp;";  ","")&amp;IF(AND(EDATE($D79,Milestones!$AA$52)&lt;=AsOfDate,IF($R79=0,$X79,IF(AND($T79&lt;&gt;"",EDATE($D79,Milestones!$AA$52)&gt;=$T79),$W79,IF(AND($S79&lt;&gt;"",EDATE($D79,Milestones!$AA$52)&gt;=$S79),$V79,$U79)))=Milestones!$AB$52),UPPER(TEXT(EDATE($D79,Milestones!$AA$52),"dd mmm yy"))&amp;" "&amp;Milestones!$AB$52&amp;" "&amp;Milestones!$AC$52&amp;";  ","")&amp;IF(AND(EDATE($D79,Milestones!$AA$53)&lt;=AsOfDate,IF($R79=0,$X79,IF(AND($T79&lt;&gt;"",EDATE($D79,Milestones!$AA$53)&gt;=$T79),$W79,IF(AND($S79&lt;&gt;"",EDATE($D79,Milestones!$AA$53)&gt;=$S79),$V79,$U79)))=Milestones!$AB$53),UPPER(TEXT(EDATE($D79,Milestones!$AA$53),"dd mmm yy"))&amp;" "&amp;Milestones!$AB$53&amp;" "&amp;Milestones!$AC$53&amp;";  ","")&amp;IF(AND(EDATE($D79,Milestones!$AA$54)&lt;=AsOfDate,IF($R79=0,$X79,IF(AND($T79&lt;&gt;"",EDATE($D79,Milestones!$AA$54)&gt;=$T79),$W79,IF(AND($S79&lt;&gt;"",EDATE($D79,Milestones!$AA$54)&gt;=$S79),$V79,$U79)))=Milestones!$AB$54),UPPER(TEXT(EDATE($D79,Milestones!$AA$54),"dd mmm yy"))&amp;" "&amp;Milestones!$AB$54&amp;" "&amp;Milestones!$AC$54&amp;";  ","")&amp;IF(AND(EDATE($D79,Milestones!$AA$55)&lt;=AsOfDate,IF($R79=0,$X79,IF(AND($T79&lt;&gt;"",EDATE($D79,Milestones!$AA$55)&gt;=$T79),$W79,IF(AND($S79&lt;&gt;"",EDATE($D79,Milestones!$AA$55)&gt;=$S79),$V79,$U79)))=Milestones!$AB$55),UPPER(TEXT(EDATE($D79,Milestones!$AA$55),"dd mmm yy"))&amp;" "&amp;Milestones!$AB$55&amp;" "&amp;Milestones!$AC$55&amp;";  ","")&amp;IF(AND(EDATE($D79,Milestones!$AA$56)&lt;=AsOfDate,IF($R79=0,$X79,IF(AND($T79&lt;&gt;"",EDATE($D79,Milestones!$AA$56)&gt;=$T79),$W79,IF(AND($S79&lt;&gt;"",EDATE($D79,Milestones!$AA$56)&gt;=$S79),$V79,$U79)))=Milestones!$AB$56),UPPER(TEXT(EDATE($D79,Milestones!$AA$56),"dd mmm yy"))&amp;" "&amp;Milestones!$AB$56&amp;" "&amp;Milestones!$AC$56&amp;";  ","")&amp;IF(AND(EDATE($D79,Milestones!$AA$57)&lt;=AsOfDate,IF($R79=0,$X79,IF(AND($T79&lt;&gt;"",EDATE($D79,Milestones!$AA$57)&gt;=$T79),$W79,IF(AND($S79&lt;&gt;"",EDATE($D79,Milestones!$AA$57)&gt;=$S79),$V79,$U79)))=Milestones!$AB$57),UPPER(TEXT(EDATE($D79,Milestones!$AA$57),"dd mmm yy"))&amp;" "&amp;Milestones!$AB$57&amp;" "&amp;Milestones!$AC$57&amp;";  ","")&amp;IF(AND(EDATE($D79,Milestones!$AA$58)&lt;=AsOfDate,IF($R79=0,$X79,IF(AND($T79&lt;&gt;"",EDATE($D79,Milestones!$AA$58)&gt;=$T79),$W79,IF(AND($S79&lt;&gt;"",EDATE($D79,Milestones!$AA$58)&gt;=$S79),$V79,$U79)))=Milestones!$AB$58),UPPER(TEXT(EDATE($D79,Milestones!$AA$58),"dd mmm yy"))&amp;" "&amp;Milestones!$AB$58&amp;" "&amp;Milestones!$AC$58&amp;";  ","")&amp;IF(AND(EDATE($D79,Milestones!$AA$59)&lt;=AsOfDate,IF($R79=0,$X79,IF(AND($T79&lt;&gt;"",EDATE($D79,Milestones!$AA$59)&gt;=$T79),$W79,IF(AND($S79&lt;&gt;"",EDATE($D79,Milestones!$AA$59)&gt;=$S79),$V79,$U79)))=Milestones!$AB$59),UPPER(TEXT(EDATE($D79,Milestones!$AA$59),"dd mmm yy"))&amp;" "&amp;Milestones!$AB$59&amp;" "&amp;Milestones!$AC$59&amp;";  ",""))</f>
        <v/>
      </c>
      <c r="K79" s="0" t="str">
        <f aca="false">IF(OR($A79="",$D79=""),"",IF(AND(EDATE($D79,Milestones!$AA$60)&lt;=AsOfDate,IF($R79=0,$X79,IF(AND($T79&lt;&gt;"",EDATE($D79,Milestones!$AA$60)&gt;=$T79),$W79,IF(AND($S79&lt;&gt;"",EDATE($D79,Milestones!$AA$60)&gt;=$S79),$V79,$U79)))=Milestones!$AB$60),UPPER(TEXT(EDATE($D79,Milestones!$AA$60),"dd mmm yy"))&amp;" "&amp;Milestones!$AB$60&amp;" "&amp;Milestones!$AC$60&amp;";  ","")&amp;IF(AND(EDATE($D79,Milestones!$AA$61)&lt;=AsOfDate,IF($R79=0,$X79,IF(AND($T79&lt;&gt;"",EDATE($D79,Milestones!$AA$61)&gt;=$T79),$W79,IF(AND($S79&lt;&gt;"",EDATE($D79,Milestones!$AA$61)&gt;=$S79),$V79,$U79)))=Milestones!$AB$61),UPPER(TEXT(EDATE($D79,Milestones!$AA$61),"dd mmm yy"))&amp;" "&amp;Milestones!$AB$61&amp;" "&amp;Milestones!$AC$61&amp;";  ","")&amp;IF(AND(EDATE($D79,Milestones!$AA$62)&lt;=AsOfDate,IF($R79=0,$X79,IF(AND($T79&lt;&gt;"",EDATE($D79,Milestones!$AA$62)&gt;=$T79),$W79,IF(AND($S79&lt;&gt;"",EDATE($D79,Milestones!$AA$62)&gt;=$S79),$V79,$U79)))=Milestones!$AB$62),UPPER(TEXT(EDATE($D79,Milestones!$AA$62),"dd mmm yy"))&amp;" "&amp;Milestones!$AB$62&amp;" "&amp;Milestones!$AC$62&amp;";  ","")&amp;IF(AND(EDATE($D79,Milestones!$AA$63)&lt;=AsOfDate,IF($R79=0,$X79,IF(AND($T79&lt;&gt;"",EDATE($D79,Milestones!$AA$63)&gt;=$T79),$W79,IF(AND($S79&lt;&gt;"",EDATE($D79,Milestones!$AA$63)&gt;=$S79),$V79,$U79)))=Milestones!$AB$63),UPPER(TEXT(EDATE($D79,Milestones!$AA$63),"dd mmm yy"))&amp;" "&amp;Milestones!$AB$63&amp;" "&amp;Milestones!$AC$63&amp;";  ","")&amp;IF(AND(EDATE($D79,Milestones!$AA$64)&lt;=AsOfDate,IF($R79=0,$X79,IF(AND($T79&lt;&gt;"",EDATE($D79,Milestones!$AA$64)&gt;=$T79),$W79,IF(AND($S79&lt;&gt;"",EDATE($D79,Milestones!$AA$64)&gt;=$S79),$V79,$U79)))=Milestones!$AB$64),UPPER(TEXT(EDATE($D79,Milestones!$AA$64),"dd mmm yy"))&amp;" "&amp;Milestones!$AB$64&amp;" "&amp;Milestones!$AC$64&amp;";  ","")&amp;IF(AND(EDATE($D79,Milestones!$AA$65)&lt;=AsOfDate,IF($R79=0,$X79,IF(AND($T79&lt;&gt;"",EDATE($D79,Milestones!$AA$65)&gt;=$T79),$W79,IF(AND($S79&lt;&gt;"",EDATE($D79,Milestones!$AA$65)&gt;=$S79),$V79,$U79)))=Milestones!$AB$65),UPPER(TEXT(EDATE($D79,Milestones!$AA$65),"dd mmm yy"))&amp;" "&amp;Milestones!$AB$65&amp;" "&amp;Milestones!$AC$65&amp;";  ","")&amp;IF(AND(EDATE($D79,Milestones!$AA$66)&lt;=AsOfDate,IF($R79=0,$X79,IF(AND($T79&lt;&gt;"",EDATE($D79,Milestones!$AA$66)&gt;=$T79),$W79,IF(AND($S79&lt;&gt;"",EDATE($D79,Milestones!$AA$66)&gt;=$S79),$V79,$U79)))=Milestones!$AB$66),UPPER(TEXT(EDATE($D79,Milestones!$AA$66),"dd mmm yy"))&amp;" "&amp;Milestones!$AB$66&amp;" "&amp;Milestones!$AC$66&amp;";  ","")&amp;IF(AND(EDATE($D79,Milestones!$AA$67)&lt;=AsOfDate,IF($R79=0,$X79,IF(AND($T79&lt;&gt;"",EDATE($D79,Milestones!$AA$67)&gt;=$T79),$W79,IF(AND($S79&lt;&gt;"",EDATE($D79,Milestones!$AA$67)&gt;=$S79),$V79,$U79)))=Milestones!$AB$67),UPPER(TEXT(EDATE($D79,Milestones!$AA$67),"dd mmm yy"))&amp;" "&amp;Milestones!$AB$67&amp;" "&amp;Milestones!$AC$67&amp;";  ","")&amp;IF(AND(EDATE($D79,Milestones!$AA$68)&lt;=AsOfDate,IF($R79=0,$X79,IF(AND($T79&lt;&gt;"",EDATE($D79,Milestones!$AA$68)&gt;=$T79),$W79,IF(AND($S79&lt;&gt;"",EDATE($D79,Milestones!$AA$68)&gt;=$S79),$V79,$U79)))=Milestones!$AB$68),UPPER(TEXT(EDATE($D79,Milestones!$AA$68),"dd mmm yy"))&amp;" "&amp;Milestones!$AB$68&amp;" "&amp;Milestones!$AC$68&amp;";  ","")&amp;IF(AND(EDATE($D79,Milestones!$AA$69)&lt;=AsOfDate,IF($R79=0,$X79,IF(AND($T79&lt;&gt;"",EDATE($D79,Milestones!$AA$69)&gt;=$T79),$W79,IF(AND($S79&lt;&gt;"",EDATE($D79,Milestones!$AA$69)&gt;=$S79),$V79,$U79)))=Milestones!$AB$69),UPPER(TEXT(EDATE($D79,Milestones!$AA$69),"dd mmm yy"))&amp;" "&amp;Milestones!$AB$69&amp;" "&amp;Milestones!$AC$69&amp;";  ","")&amp;IF(AND(EDATE($D79,Milestones!$AA$70)&lt;=AsOfDate,IF($R79=0,$X79,IF(AND($T79&lt;&gt;"",EDATE($D79,Milestones!$AA$70)&gt;=$T79),$W79,IF(AND($S79&lt;&gt;"",EDATE($D79,Milestones!$AA$70)&gt;=$S79),$V79,$U79)))=Milestones!$AB$70),UPPER(TEXT(EDATE($D79,Milestones!$AA$70),"dd mmm yy"))&amp;" "&amp;Milestones!$AB$70&amp;" "&amp;Milestones!$AC$70&amp;";  ","")&amp;IF(AND(EDATE($D79,Milestones!$AA$71)&lt;=AsOfDate,IF($R79=0,$X79,IF(AND($T79&lt;&gt;"",EDATE($D79,Milestones!$AA$71)&gt;=$T79),$W79,IF(AND($S79&lt;&gt;"",EDATE($D79,Milestones!$AA$71)&gt;=$S79),$V79,$U79)))=Milestones!$AB$71),UPPER(TEXT(EDATE($D79,Milestones!$AA$71),"dd mmm yy"))&amp;" "&amp;Milestones!$AB$71&amp;" "&amp;Milestones!$AC$71&amp;";  ","")&amp;IF(AND(EDATE($D79,Milestones!$AA$72)&lt;=AsOfDate,IF($R79=0,$X79,IF(AND($T79&lt;&gt;"",EDATE($D79,Milestones!$AA$72)&gt;=$T79),$W79,IF(AND($S79&lt;&gt;"",EDATE($D79,Milestones!$AA$72)&gt;=$S79),$V79,$U79)))=Milestones!$AB$72),UPPER(TEXT(EDATE($D79,Milestones!$AA$72),"dd mmm yy"))&amp;" "&amp;Milestones!$AB$72&amp;" "&amp;Milestones!$AC$72&amp;";  ","")&amp;IF(AND(EDATE($D79,Milestones!$AA$73)&lt;=AsOfDate,IF($R79=0,$X79,IF(AND($T79&lt;&gt;"",EDATE($D79,Milestones!$AA$73)&gt;=$T79),$W79,IF(AND($S79&lt;&gt;"",EDATE($D79,Milestones!$AA$73)&gt;=$S79),$V79,$U79)))=Milestones!$AB$73),UPPER(TEXT(EDATE($D79,Milestones!$AA$73),"dd mmm yy"))&amp;" "&amp;Milestones!$AB$73&amp;" "&amp;Milestones!$AC$73&amp;";  ","")&amp;IF(AND(EDATE($D79,Milestones!$AA$74)&lt;=AsOfDate,IF($R79=0,$X79,IF(AND($T79&lt;&gt;"",EDATE($D79,Milestones!$AA$74)&gt;=$T79),$W79,IF(AND($S79&lt;&gt;"",EDATE($D79,Milestones!$AA$74)&gt;=$S79),$V79,$U79)))=Milestones!$AB$74),UPPER(TEXT(EDATE($D79,Milestones!$AA$74),"dd mmm yy"))&amp;" "&amp;Milestones!$AB$74&amp;" "&amp;Milestones!$AC$74&amp;";  ","")&amp;IF(AND(EDATE($D79,Milestones!$AA$75)&lt;=AsOfDate,IF($R79=0,$X79,IF(AND($T79&lt;&gt;"",EDATE($D79,Milestones!$AA$75)&gt;=$T79),$W79,IF(AND($S79&lt;&gt;"",EDATE($D79,Milestones!$AA$75)&gt;=$S79),$V79,$U79)))=Milestones!$AB$75),UPPER(TEXT(EDATE($D79,Milestones!$AA$75),"dd mmm yy"))&amp;" "&amp;Milestones!$AB$75&amp;" "&amp;Milestones!$AC$75&amp;";  ","")&amp;IF(AND(EDATE($D79,Milestones!$AA$76)&lt;=AsOfDate,IF($R79=0,$X79,IF(AND($T79&lt;&gt;"",EDATE($D79,Milestones!$AA$76)&gt;=$T79),$W79,IF(AND($S79&lt;&gt;"",EDATE($D79,Milestones!$AA$76)&gt;=$S79),$V79,$U79)))=Milestones!$AB$76),UPPER(TEXT(EDATE($D79,Milestones!$AA$76),"dd mmm yy"))&amp;" "&amp;Milestones!$AB$76&amp;" "&amp;Milestones!$AC$76&amp;";  ","")&amp;IF(AND(EDATE($D79,Milestones!$AA$77)&lt;=AsOfDate,IF($R79=0,$X79,IF(AND($T79&lt;&gt;"",EDATE($D79,Milestones!$AA$77)&gt;=$T79),$W79,IF(AND($S79&lt;&gt;"",EDATE($D79,Milestones!$AA$77)&gt;=$S79),$V79,$U79)))=Milestones!$AB$77),UPPER(TEXT(EDATE($D79,Milestones!$AA$77),"dd mmm yy"))&amp;" "&amp;Milestones!$AB$77&amp;" "&amp;Milestones!$AC$77&amp;";  ","")&amp;IF(AND(EDATE($D79,Milestones!$AA$78)&lt;=AsOfDate,IF($R79=0,$X79,IF(AND($T79&lt;&gt;"",EDATE($D79,Milestones!$AA$78)&gt;=$T79),$W79,IF(AND($S79&lt;&gt;"",EDATE($D79,Milestones!$AA$78)&gt;=$S79),$V79,$U79)))=Milestones!$AB$78),UPPER(TEXT(EDATE($D79,Milestones!$AA$78),"dd mmm yy"))&amp;" "&amp;Milestones!$AB$78&amp;" "&amp;Milestones!$AC$78&amp;";  ","")&amp;IF(AND(EDATE($D79,Milestones!$AA$79)&lt;=AsOfDate,IF($R79=0,$X79,IF(AND($T79&lt;&gt;"",EDATE($D79,Milestones!$AA$79)&gt;=$T79),$W79,IF(AND($S79&lt;&gt;"",EDATE($D79,Milestones!$AA$79)&gt;=$S79),$V79,$U79)))=Milestones!$AB$79),UPPER(TEXT(EDATE($D79,Milestones!$AA$79),"dd mmm yy"))&amp;" "&amp;Milestones!$AB$79&amp;" "&amp;Milestones!$AC$79&amp;";  ",""))</f>
        <v/>
      </c>
      <c r="L79" s="0" t="str">
        <f aca="false">IF(OR($A79="",$D79=""),"",IF(AND(EDATE($D79,Milestones!$AA$80)&lt;=AsOfDate,IF($R79=0,$X79,IF(AND($T79&lt;&gt;"",EDATE($D79,Milestones!$AA$80)&gt;=$T79),$W79,IF(AND($S79&lt;&gt;"",EDATE($D79,Milestones!$AA$80)&gt;=$S79),$V79,$U79)))=Milestones!$AB$80),UPPER(TEXT(EDATE($D79,Milestones!$AA$80),"dd mmm yy"))&amp;" "&amp;Milestones!$AB$80&amp;" "&amp;Milestones!$AC$80&amp;";  ","")&amp;IF(AND(EDATE($D79,Milestones!$AA$81)&lt;=AsOfDate,IF($R79=0,$X79,IF(AND($T79&lt;&gt;"",EDATE($D79,Milestones!$AA$81)&gt;=$T79),$W79,IF(AND($S79&lt;&gt;"",EDATE($D79,Milestones!$AA$81)&gt;=$S79),$V79,$U79)))=Milestones!$AB$81),UPPER(TEXT(EDATE($D79,Milestones!$AA$81),"dd mmm yy"))&amp;" "&amp;Milestones!$AB$81&amp;" "&amp;Milestones!$AC$81&amp;";  ","")&amp;IF(AND(EDATE($D79,Milestones!$AA$82)&lt;=AsOfDate,IF($R79=0,$X79,IF(AND($T79&lt;&gt;"",EDATE($D79,Milestones!$AA$82)&gt;=$T79),$W79,IF(AND($S79&lt;&gt;"",EDATE($D79,Milestones!$AA$82)&gt;=$S79),$V79,$U79)))=Milestones!$AB$82),UPPER(TEXT(EDATE($D79,Milestones!$AA$82),"dd mmm yy"))&amp;" "&amp;Milestones!$AB$82&amp;" "&amp;Milestones!$AC$82&amp;";  ","")&amp;IF(AND(EDATE($D79,Milestones!$AA$83)&lt;=AsOfDate,IF($R79=0,$X79,IF(AND($T79&lt;&gt;"",EDATE($D79,Milestones!$AA$83)&gt;=$T79),$W79,IF(AND($S79&lt;&gt;"",EDATE($D79,Milestones!$AA$83)&gt;=$S79),$V79,$U79)))=Milestones!$AB$83),UPPER(TEXT(EDATE($D79,Milestones!$AA$83),"dd mmm yy"))&amp;" "&amp;Milestones!$AB$83&amp;" "&amp;Milestones!$AC$83&amp;";  ","")&amp;IF(AND(EDATE($D79,Milestones!$AA$84)&lt;=AsOfDate,IF($R79=0,$X79,IF(AND($T79&lt;&gt;"",EDATE($D79,Milestones!$AA$84)&gt;=$T79),$W79,IF(AND($S79&lt;&gt;"",EDATE($D79,Milestones!$AA$84)&gt;=$S79),$V79,$U79)))=Milestones!$AB$84),UPPER(TEXT(EDATE($D79,Milestones!$AA$84),"dd mmm yy"))&amp;" "&amp;Milestones!$AB$84&amp;" "&amp;Milestones!$AC$84&amp;";  ","")&amp;IF(AND(EDATE($D79,Milestones!$AA$85)&lt;=AsOfDate,IF($R79=0,$X79,IF(AND($T79&lt;&gt;"",EDATE($D79,Milestones!$AA$85)&gt;=$T79),$W79,IF(AND($S79&lt;&gt;"",EDATE($D79,Milestones!$AA$85)&gt;=$S79),$V79,$U79)))=Milestones!$AB$85),UPPER(TEXT(EDATE($D79,Milestones!$AA$85),"dd mmm yy"))&amp;" "&amp;Milestones!$AB$85&amp;" "&amp;Milestones!$AC$85&amp;";  ","")&amp;IF(AND(EDATE($D79,Milestones!$AA$86)&lt;=AsOfDate,IF($R79=0,$X79,IF(AND($T79&lt;&gt;"",EDATE($D79,Milestones!$AA$86)&gt;=$T79),$W79,IF(AND($S79&lt;&gt;"",EDATE($D79,Milestones!$AA$86)&gt;=$S79),$V79,$U79)))=Milestones!$AB$86),UPPER(TEXT(EDATE($D79,Milestones!$AA$86),"dd mmm yy"))&amp;" "&amp;Milestones!$AB$86&amp;" "&amp;Milestones!$AC$86&amp;";  ","")&amp;IF(AND(EDATE($D79,Milestones!$AA$87)&lt;=AsOfDate,IF($R79=0,$X79,IF(AND($T79&lt;&gt;"",EDATE($D79,Milestones!$AA$87)&gt;=$T79),$W79,IF(AND($S79&lt;&gt;"",EDATE($D79,Milestones!$AA$87)&gt;=$S79),$V79,$U79)))=Milestones!$AB$87),UPPER(TEXT(EDATE($D79,Milestones!$AA$87),"dd mmm yy"))&amp;" "&amp;Milestones!$AB$87&amp;" "&amp;Milestones!$AC$87&amp;";  ","")&amp;IF(AND(EDATE($D79,Milestones!$AA$88)&lt;=AsOfDate,IF($R79=0,$X79,IF(AND($T79&lt;&gt;"",EDATE($D79,Milestones!$AA$88)&gt;=$T79),$W79,IF(AND($S79&lt;&gt;"",EDATE($D79,Milestones!$AA$88)&gt;=$S79),$V79,$U79)))=Milestones!$AB$88),UPPER(TEXT(EDATE($D79,Milestones!$AA$88),"dd mmm yy"))&amp;" "&amp;Milestones!$AB$88&amp;" "&amp;Milestones!$AC$88&amp;";  ","")&amp;IF(AND(EDATE($D79,Milestones!$AA$89)&lt;=AsOfDate,IF($R79=0,$X79,IF(AND($T79&lt;&gt;"",EDATE($D79,Milestones!$AA$89)&gt;=$T79),$W79,IF(AND($S79&lt;&gt;"",EDATE($D79,Milestones!$AA$89)&gt;=$S79),$V79,$U79)))=Milestones!$AB$89),UPPER(TEXT(EDATE($D79,Milestones!$AA$89),"dd mmm yy"))&amp;" "&amp;Milestones!$AB$89&amp;" "&amp;Milestones!$AC$89&amp;";  ","")&amp;IF(AND(EDATE($D79,Milestones!$AA$90)&lt;=AsOfDate,IF($R79=0,$X79,IF(AND($T79&lt;&gt;"",EDATE($D79,Milestones!$AA$90)&gt;=$T79),$W79,IF(AND($S79&lt;&gt;"",EDATE($D79,Milestones!$AA$90)&gt;=$S79),$V79,$U79)))=Milestones!$AB$90),UPPER(TEXT(EDATE($D79,Milestones!$AA$90),"dd mmm yy"))&amp;" "&amp;Milestones!$AB$90&amp;" "&amp;Milestones!$AC$90&amp;";  ","")&amp;IF(AND(EDATE($D79,Milestones!$AA$91)&lt;=AsOfDate,IF($R79=0,$X79,IF(AND($T79&lt;&gt;"",EDATE($D79,Milestones!$AA$91)&gt;=$T79),$W79,IF(AND($S79&lt;&gt;"",EDATE($D79,Milestones!$AA$91)&gt;=$S79),$V79,$U79)))=Milestones!$AB$91),UPPER(TEXT(EDATE($D79,Milestones!$AA$91),"dd mmm yy"))&amp;" "&amp;Milestones!$AB$91&amp;" "&amp;Milestones!$AC$91&amp;";  ","")&amp;IF(AND(EDATE($D79,Milestones!$AA$92)&lt;=AsOfDate,IF($R79=0,$X79,IF(AND($T79&lt;&gt;"",EDATE($D79,Milestones!$AA$92)&gt;=$T79),$W79,IF(AND($S79&lt;&gt;"",EDATE($D79,Milestones!$AA$92)&gt;=$S79),$V79,$U79)))=Milestones!$AB$92),UPPER(TEXT(EDATE($D79,Milestones!$AA$92),"dd mmm yy"))&amp;" "&amp;Milestones!$AB$92&amp;" "&amp;Milestones!$AC$92&amp;";  ","")&amp;IF(AND(EDATE($D79,Milestones!$AA$93)&lt;=AsOfDate,IF($R79=0,$X79,IF(AND($T79&lt;&gt;"",EDATE($D79,Milestones!$AA$93)&gt;=$T79),$W79,IF(AND($S79&lt;&gt;"",EDATE($D79,Milestones!$AA$93)&gt;=$S79),$V79,$U79)))=Milestones!$AB$93),UPPER(TEXT(EDATE($D79,Milestones!$AA$93),"dd mmm yy"))&amp;" "&amp;Milestones!$AB$93&amp;" "&amp;Milestones!$AC$93&amp;";  ","")&amp;IF(AND(EDATE($D79,Milestones!$AA$94)&lt;=AsOfDate,IF($R79=0,$X79,IF(AND($T79&lt;&gt;"",EDATE($D79,Milestones!$AA$94)&gt;=$T79),$W79,IF(AND($S79&lt;&gt;"",EDATE($D79,Milestones!$AA$94)&gt;=$S79),$V79,$U79)))=Milestones!$AB$94),UPPER(TEXT(EDATE($D79,Milestones!$AA$94),"dd mmm yy"))&amp;" "&amp;Milestones!$AB$94&amp;" "&amp;Milestones!$AC$94&amp;";  ","")&amp;IF(AND(EDATE($D79,Milestones!$AA$95)&lt;=AsOfDate,IF($R79=0,$X79,IF(AND($T79&lt;&gt;"",EDATE($D79,Milestones!$AA$95)&gt;=$T79),$W79,IF(AND($S79&lt;&gt;"",EDATE($D79,Milestones!$AA$95)&gt;=$S79),$V79,$U79)))=Milestones!$AB$95),UPPER(TEXT(EDATE($D79,Milestones!$AA$95),"dd mmm yy"))&amp;" "&amp;Milestones!$AB$95&amp;" "&amp;Milestones!$AC$95&amp;";  ","")&amp;IF(AND(EDATE($D79,Milestones!$AA$96)&lt;=AsOfDate,IF($R79=0,$X79,IF(AND($T79&lt;&gt;"",EDATE($D79,Milestones!$AA$96)&gt;=$T79),$W79,IF(AND($S79&lt;&gt;"",EDATE($D79,Milestones!$AA$96)&gt;=$S79),$V79,$U79)))=Milestones!$AB$96),UPPER(TEXT(EDATE($D79,Milestones!$AA$96),"dd mmm yy"))&amp;" "&amp;Milestones!$AB$96&amp;" "&amp;Milestones!$AC$96&amp;";  ","")&amp;IF(AND(EDATE($D79,Milestones!$AA$97)&lt;=AsOfDate,IF($R79=0,$X79,IF(AND($T79&lt;&gt;"",EDATE($D79,Milestones!$AA$97)&gt;=$T79),$W79,IF(AND($S79&lt;&gt;"",EDATE($D79,Milestones!$AA$97)&gt;=$S79),$V79,$U79)))=Milestones!$AB$97),UPPER(TEXT(EDATE($D79,Milestones!$AA$97),"dd mmm yy"))&amp;" "&amp;Milestones!$AB$97&amp;" "&amp;Milestones!$AC$97&amp;";  ","")&amp;IF(AND(EDATE($D79,Milestones!$AA$98)&lt;=AsOfDate,IF($R79=0,$X79,IF(AND($T79&lt;&gt;"",EDATE($D79,Milestones!$AA$98)&gt;=$T79),$W79,IF(AND($S79&lt;&gt;"",EDATE($D79,Milestones!$AA$98)&gt;=$S79),$V79,$U79)))=Milestones!$AB$98),UPPER(TEXT(EDATE($D79,Milestones!$AA$98),"dd mmm yy"))&amp;" "&amp;Milestones!$AB$98&amp;" "&amp;Milestones!$AC$98&amp;";  ","")&amp;IF(AND(EDATE($D79,Milestones!$AA$99)&lt;=AsOfDate,IF($R79=0,$X79,IF(AND($T79&lt;&gt;"",EDATE($D79,Milestones!$AA$99)&gt;=$T79),$W79,IF(AND($S79&lt;&gt;"",EDATE($D79,Milestones!$AA$99)&gt;=$S79),$V79,$U79)))=Milestones!$AB$99),UPPER(TEXT(EDATE($D79,Milestones!$AA$99),"dd mmm yy"))&amp;" "&amp;Milestones!$AB$99&amp;" "&amp;Milestones!$AC$99&amp;";  ",""))</f>
        <v/>
      </c>
      <c r="M79" s="0" t="str">
        <f aca="false">IF(OR($A79="",$D79=""),"",IF(AND(EDATE($D79,Milestones!$AA$100)&lt;=AsOfDate,IF($R79=0,$X79,IF(AND($T79&lt;&gt;"",EDATE($D79,Milestones!$AA$100)&gt;=$T79),$W79,IF(AND($S79&lt;&gt;"",EDATE($D79,Milestones!$AA$100)&gt;=$S79),$V79,$U79)))=Milestones!$AB$100),UPPER(TEXT(EDATE($D79,Milestones!$AA$100),"dd mmm yy"))&amp;" "&amp;Milestones!$AB$100&amp;" "&amp;Milestones!$AC$100&amp;";  ","")&amp;IF(AND(EDATE($D79,Milestones!$AA$101)&lt;=AsOfDate,IF($R79=0,$X79,IF(AND($T79&lt;&gt;"",EDATE($D79,Milestones!$AA$101)&gt;=$T79),$W79,IF(AND($S79&lt;&gt;"",EDATE($D79,Milestones!$AA$101)&gt;=$S79),$V79,$U79)))=Milestones!$AB$101),UPPER(TEXT(EDATE($D79,Milestones!$AA$101),"dd mmm yy"))&amp;" "&amp;Milestones!$AB$101&amp;" "&amp;Milestones!$AC$101&amp;";  ","")&amp;IF(AND(EDATE($D79,Milestones!$AA$102)&lt;=AsOfDate,IF($R79=0,$X79,IF(AND($T79&lt;&gt;"",EDATE($D79,Milestones!$AA$102)&gt;=$T79),$W79,IF(AND($S79&lt;&gt;"",EDATE($D79,Milestones!$AA$102)&gt;=$S79),$V79,$U79)))=Milestones!$AB$102),UPPER(TEXT(EDATE($D79,Milestones!$AA$102),"dd mmm yy"))&amp;" "&amp;Milestones!$AB$102&amp;" "&amp;Milestones!$AC$102&amp;";  ","")&amp;IF(AND(EDATE($D79,Milestones!$AA$103)&lt;=AsOfDate,IF($R79=0,$X79,IF(AND($T79&lt;&gt;"",EDATE($D79,Milestones!$AA$103)&gt;=$T79),$W79,IF(AND($S79&lt;&gt;"",EDATE($D79,Milestones!$AA$103)&gt;=$S79),$V79,$U79)))=Milestones!$AB$103),UPPER(TEXT(EDATE($D79,Milestones!$AA$103),"dd mmm yy"))&amp;" "&amp;Milestones!$AB$103&amp;" "&amp;Milestones!$AC$103&amp;";  ","")&amp;IF(AND(EDATE($D79,Milestones!$AA$104)&lt;=AsOfDate,IF($R79=0,$X79,IF(AND($T79&lt;&gt;"",EDATE($D79,Milestones!$AA$104)&gt;=$T79),$W79,IF(AND($S79&lt;&gt;"",EDATE($D79,Milestones!$AA$104)&gt;=$S79),$V79,$U79)))=Milestones!$AB$104),UPPER(TEXT(EDATE($D79,Milestones!$AA$104),"dd mmm yy"))&amp;" "&amp;Milestones!$AB$104&amp;" "&amp;Milestones!$AC$104&amp;";  ","")&amp;IF(AND(EDATE($D79,Milestones!$AA$105)&lt;=AsOfDate,IF($R79=0,$X79,IF(AND($T79&lt;&gt;"",EDATE($D79,Milestones!$AA$105)&gt;=$T79),$W79,IF(AND($S79&lt;&gt;"",EDATE($D79,Milestones!$AA$105)&gt;=$S79),$V79,$U79)))=Milestones!$AB$105),UPPER(TEXT(EDATE($D79,Milestones!$AA$105),"dd mmm yy"))&amp;" "&amp;Milestones!$AB$105&amp;" "&amp;Milestones!$AC$105&amp;";  ","")&amp;IF(AND(EDATE($D79,Milestones!$AA$106)&lt;=AsOfDate,IF($R79=0,$X79,IF(AND($T79&lt;&gt;"",EDATE($D79,Milestones!$AA$106)&gt;=$T79),$W79,IF(AND($S79&lt;&gt;"",EDATE($D79,Milestones!$AA$106)&gt;=$S79),$V79,$U79)))=Milestones!$AB$106),UPPER(TEXT(EDATE($D79,Milestones!$AA$106),"dd mmm yy"))&amp;" "&amp;Milestones!$AB$106&amp;" "&amp;Milestones!$AC$106&amp;";  ","")&amp;IF(AND(EDATE($D79,Milestones!$AA$107)&lt;=AsOfDate,IF($R79=0,$X79,IF(AND($T79&lt;&gt;"",EDATE($D79,Milestones!$AA$107)&gt;=$T79),$W79,IF(AND($S79&lt;&gt;"",EDATE($D79,Milestones!$AA$107)&gt;=$S79),$V79,$U79)))=Milestones!$AB$107),UPPER(TEXT(EDATE($D79,Milestones!$AA$107),"dd mmm yy"))&amp;" "&amp;Milestones!$AB$107&amp;" "&amp;Milestones!$AC$107&amp;";  ","")&amp;IF(AND(EDATE($D79,Milestones!$AA$108)&lt;=AsOfDate,IF($R79=0,$X79,IF(AND($T79&lt;&gt;"",EDATE($D79,Milestones!$AA$108)&gt;=$T79),$W79,IF(AND($S79&lt;&gt;"",EDATE($D79,Milestones!$AA$108)&gt;=$S79),$V79,$U79)))=Milestones!$AB$108),UPPER(TEXT(EDATE($D79,Milestones!$AA$108),"dd mmm yy"))&amp;" "&amp;Milestones!$AB$108&amp;" "&amp;Milestones!$AC$108&amp;";  ","")&amp;IF(AND(EDATE($D79,Milestones!$AA$109)&lt;=AsOfDate,IF($R79=0,$X79,IF(AND($T79&lt;&gt;"",EDATE($D79,Milestones!$AA$109)&gt;=$T79),$W79,IF(AND($S79&lt;&gt;"",EDATE($D79,Milestones!$AA$109)&gt;=$S79),$V79,$U79)))=Milestones!$AB$109),UPPER(TEXT(EDATE($D79,Milestones!$AA$109),"dd mmm yy"))&amp;" "&amp;Milestones!$AB$109&amp;" "&amp;Milestones!$AC$109&amp;";  ","")&amp;IF(AND(EDATE($D79,Milestones!$AA$110)&lt;=AsOfDate,IF($R79=0,$X79,IF(AND($T79&lt;&gt;"",EDATE($D79,Milestones!$AA$110)&gt;=$T79),$W79,IF(AND($S79&lt;&gt;"",EDATE($D79,Milestones!$AA$110)&gt;=$S79),$V79,$U79)))=Milestones!$AB$110),UPPER(TEXT(EDATE($D79,Milestones!$AA$110),"dd mmm yy"))&amp;" "&amp;Milestones!$AB$110&amp;" "&amp;Milestones!$AC$110&amp;";  ","")&amp;IF(AND(EDATE($D79,Milestones!$AA$111)&lt;=AsOfDate,IF($R79=0,$X79,IF(AND($T79&lt;&gt;"",EDATE($D79,Milestones!$AA$111)&gt;=$T79),$W79,IF(AND($S79&lt;&gt;"",EDATE($D79,Milestones!$AA$111)&gt;=$S79),$V79,$U79)))=Milestones!$AB$111),UPPER(TEXT(EDATE($D79,Milestones!$AA$111),"dd mmm yy"))&amp;" "&amp;Milestones!$AB$111&amp;" "&amp;Milestones!$AC$111&amp;";  ","")&amp;IF(AND(EDATE($D79,Milestones!$AA$112)&lt;=AsOfDate,IF($R79=0,$X79,IF(AND($T79&lt;&gt;"",EDATE($D79,Milestones!$AA$112)&gt;=$T79),$W79,IF(AND($S79&lt;&gt;"",EDATE($D79,Milestones!$AA$112)&gt;=$S79),$V79,$U79)))=Milestones!$AB$112),UPPER(TEXT(EDATE($D79,Milestones!$AA$112),"dd mmm yy"))&amp;" "&amp;Milestones!$AB$112&amp;" "&amp;Milestones!$AC$112&amp;";  ","")&amp;IF(AND(EDATE($D79,Milestones!$AA$113)&lt;=AsOfDate,IF($R79=0,$X79,IF(AND($T79&lt;&gt;"",EDATE($D79,Milestones!$AA$113)&gt;=$T79),$W79,IF(AND($S79&lt;&gt;"",EDATE($D79,Milestones!$AA$113)&gt;=$S79),$V79,$U79)))=Milestones!$AB$113),UPPER(TEXT(EDATE($D79,Milestones!$AA$113),"dd mmm yy"))&amp;" "&amp;Milestones!$AB$113&amp;" "&amp;Milestones!$AC$113&amp;";  ","")&amp;IF(AND(EDATE($D79,Milestones!$AA$114)&lt;=AsOfDate,IF($R79=0,$X79,IF(AND($T79&lt;&gt;"",EDATE($D79,Milestones!$AA$114)&gt;=$T79),$W79,IF(AND($S79&lt;&gt;"",EDATE($D79,Milestones!$AA$114)&gt;=$S79),$V79,$U79)))=Milestones!$AB$114),UPPER(TEXT(EDATE($D79,Milestones!$AA$114),"dd mmm yy"))&amp;" "&amp;Milestones!$AB$114&amp;" "&amp;Milestones!$AC$114&amp;";  ","")&amp;IF(AND(EDATE($D79,Milestones!$AA$115)&lt;=AsOfDate,IF($R79=0,$X79,IF(AND($T79&lt;&gt;"",EDATE($D79,Milestones!$AA$115)&gt;=$T79),$W79,IF(AND($S79&lt;&gt;"",EDATE($D79,Milestones!$AA$115)&gt;=$S79),$V79,$U79)))=Milestones!$AB$115),UPPER(TEXT(EDATE($D79,Milestones!$AA$115),"dd mmm yy"))&amp;" "&amp;Milestones!$AB$115&amp;" "&amp;Milestones!$AC$115&amp;";  ","")&amp;IF(AND(EDATE($D79,Milestones!$AA$116)&lt;=AsOfDate,IF($R79=0,$X79,IF(AND($T79&lt;&gt;"",EDATE($D79,Milestones!$AA$116)&gt;=$T79),$W79,IF(AND($S79&lt;&gt;"",EDATE($D79,Milestones!$AA$116)&gt;=$S79),$V79,$U79)))=Milestones!$AB$116),UPPER(TEXT(EDATE($D79,Milestones!$AA$116),"dd mmm yy"))&amp;" "&amp;Milestones!$AB$116&amp;" "&amp;Milestones!$AC$116&amp;";  ","")&amp;IF(AND(EDATE($D79,Milestones!$AA$117)&lt;=AsOfDate,IF($R79=0,$X79,IF(AND($T79&lt;&gt;"",EDATE($D79,Milestones!$AA$117)&gt;=$T79),$W79,IF(AND($S79&lt;&gt;"",EDATE($D79,Milestones!$AA$117)&gt;=$S79),$V79,$U79)))=Milestones!$AB$117),UPPER(TEXT(EDATE($D79,Milestones!$AA$117),"dd mmm yy"))&amp;" "&amp;Milestones!$AB$117&amp;" "&amp;Milestones!$AC$117&amp;";  ","")&amp;IF(AND(EDATE($D79,Milestones!$AA$118)&lt;=AsOfDate,IF($R79=0,$X79,IF(AND($T79&lt;&gt;"",EDATE($D79,Milestones!$AA$118)&gt;=$T79),$W79,IF(AND($S79&lt;&gt;"",EDATE($D79,Milestones!$AA$118)&gt;=$S79),$V79,$U79)))=Milestones!$AB$118),UPPER(TEXT(EDATE($D79,Milestones!$AA$118),"dd mmm yy"))&amp;" "&amp;Milestones!$AB$118&amp;" "&amp;Milestones!$AC$118&amp;";  ","")&amp;IF(AND(EDATE($D79,Milestones!$AA$119)&lt;=AsOfDate,IF($R79=0,$X79,IF(AND($T79&lt;&gt;"",EDATE($D79,Milestones!$AA$119)&gt;=$T79),$W79,IF(AND($S79&lt;&gt;"",EDATE($D79,Milestones!$AA$119)&gt;=$S79),$V79,$U79)))=Milestones!$AB$119),UPPER(TEXT(EDATE($D79,Milestones!$AA$119),"dd mmm yy"))&amp;" "&amp;Milestones!$AB$119&amp;" "&amp;Milestones!$AC$119&amp;";  ",""))</f>
        <v/>
      </c>
      <c r="N79" s="0" t="str">
        <f aca="false">IF(OR($A79="",$D79=""),"",IF(AND(EDATE($D79,Milestones!$AA$120)&lt;=AsOfDate,IF($R79=0,$X79,IF(AND($T79&lt;&gt;"",EDATE($D79,Milestones!$AA$120)&gt;=$T79),$W79,IF(AND($S79&lt;&gt;"",EDATE($D79,Milestones!$AA$120)&gt;=$S79),$V79,$U79)))=Milestones!$AB$120),UPPER(TEXT(EDATE($D79,Milestones!$AA$120),"dd mmm yy"))&amp;" "&amp;Milestones!$AB$120&amp;" "&amp;Milestones!$AC$120&amp;";  ","")&amp;IF(AND(EDATE($D79,Milestones!$AA$121)&lt;=AsOfDate,IF($R79=0,$X79,IF(AND($T79&lt;&gt;"",EDATE($D79,Milestones!$AA$121)&gt;=$T79),$W79,IF(AND($S79&lt;&gt;"",EDATE($D79,Milestones!$AA$121)&gt;=$S79),$V79,$U79)))=Milestones!$AB$121),UPPER(TEXT(EDATE($D79,Milestones!$AA$121),"dd mmm yy"))&amp;" "&amp;Milestones!$AB$121&amp;" "&amp;Milestones!$AC$121&amp;";  ","")&amp;IF(AND(EDATE($D79,Milestones!$AA$122)&lt;=AsOfDate,IF($R79=0,$X79,IF(AND($T79&lt;&gt;"",EDATE($D79,Milestones!$AA$122)&gt;=$T79),$W79,IF(AND($S79&lt;&gt;"",EDATE($D79,Milestones!$AA$122)&gt;=$S79),$V79,$U79)))=Milestones!$AB$122),UPPER(TEXT(EDATE($D79,Milestones!$AA$122),"dd mmm yy"))&amp;" "&amp;Milestones!$AB$122&amp;" "&amp;Milestones!$AC$122&amp;";  ","")&amp;IF(AND(EDATE($D79,Milestones!$AA$123)&lt;=AsOfDate,IF($R79=0,$X79,IF(AND($T79&lt;&gt;"",EDATE($D79,Milestones!$AA$123)&gt;=$T79),$W79,IF(AND($S79&lt;&gt;"",EDATE($D79,Milestones!$AA$123)&gt;=$S79),$V79,$U79)))=Milestones!$AB$123),UPPER(TEXT(EDATE($D79,Milestones!$AA$123),"dd mmm yy"))&amp;" "&amp;Milestones!$AB$123&amp;" "&amp;Milestones!$AC$123&amp;";  ","")&amp;IF(AND(EDATE($D79,Milestones!$AA$124)&lt;=AsOfDate,IF($R79=0,$X79,IF(AND($T79&lt;&gt;"",EDATE($D79,Milestones!$AA$124)&gt;=$T79),$W79,IF(AND($S79&lt;&gt;"",EDATE($D79,Milestones!$AA$124)&gt;=$S79),$V79,$U79)))=Milestones!$AB$124),UPPER(TEXT(EDATE($D79,Milestones!$AA$124),"dd mmm yy"))&amp;" "&amp;Milestones!$AB$124&amp;" "&amp;Milestones!$AC$124&amp;";  ","")&amp;IF(AND(EDATE($D79,Milestones!$AA$125)&lt;=AsOfDate,IF($R79=0,$X79,IF(AND($T79&lt;&gt;"",EDATE($D79,Milestones!$AA$125)&gt;=$T79),$W79,IF(AND($S79&lt;&gt;"",EDATE($D79,Milestones!$AA$125)&gt;=$S79),$V79,$U79)))=Milestones!$AB$125),UPPER(TEXT(EDATE($D79,Milestones!$AA$125),"dd mmm yy"))&amp;" "&amp;Milestones!$AB$125&amp;" "&amp;Milestones!$AC$125&amp;";  ","")&amp;IF(AND(EDATE($D79,Milestones!$AA$126)&lt;=AsOfDate,IF($R79=0,$X79,IF(AND($T79&lt;&gt;"",EDATE($D79,Milestones!$AA$126)&gt;=$T79),$W79,IF(AND($S79&lt;&gt;"",EDATE($D79,Milestones!$AA$126)&gt;=$S79),$V79,$U79)))=Milestones!$AB$126),UPPER(TEXT(EDATE($D79,Milestones!$AA$126),"dd mmm yy"))&amp;" "&amp;Milestones!$AB$126&amp;" "&amp;Milestones!$AC$126&amp;";  ","")&amp;IF(AND(EDATE($D79,Milestones!$AA$127)&lt;=AsOfDate,IF($R79=0,$X79,IF(AND($T79&lt;&gt;"",EDATE($D79,Milestones!$AA$127)&gt;=$T79),$W79,IF(AND($S79&lt;&gt;"",EDATE($D79,Milestones!$AA$127)&gt;=$S79),$V79,$U79)))=Milestones!$AB$127),UPPER(TEXT(EDATE($D79,Milestones!$AA$127),"dd mmm yy"))&amp;" "&amp;Milestones!$AB$127&amp;" "&amp;Milestones!$AC$127&amp;";  ","")&amp;IF(AND(EDATE($D79,Milestones!$AA$128)&lt;=AsOfDate,IF($R79=0,$X79,IF(AND($T79&lt;&gt;"",EDATE($D79,Milestones!$AA$128)&gt;=$T79),$W79,IF(AND($S79&lt;&gt;"",EDATE($D79,Milestones!$AA$128)&gt;=$S79),$V79,$U79)))=Milestones!$AB$128),UPPER(TEXT(EDATE($D79,Milestones!$AA$128),"dd mmm yy"))&amp;" "&amp;Milestones!$AB$128&amp;" "&amp;Milestones!$AC$128&amp;";  ","")&amp;IF(AND(EDATE($D79,Milestones!$AA$129)&lt;=AsOfDate,IF($R79=0,$X79,IF(AND($T79&lt;&gt;"",EDATE($D79,Milestones!$AA$129)&gt;=$T79),$W79,IF(AND($S79&lt;&gt;"",EDATE($D79,Milestones!$AA$129)&gt;=$S79),$V79,$U79)))=Milestones!$AB$129),UPPER(TEXT(EDATE($D79,Milestones!$AA$129),"dd mmm yy"))&amp;" "&amp;Milestones!$AB$129&amp;" "&amp;Milestones!$AC$129&amp;";  ","")&amp;IF(AND(EDATE($D79,Milestones!$AA$130)&lt;=AsOfDate,IF($R79=0,$X79,IF(AND($T79&lt;&gt;"",EDATE($D79,Milestones!$AA$130)&gt;=$T79),$W79,IF(AND($S79&lt;&gt;"",EDATE($D79,Milestones!$AA$130)&gt;=$S79),$V79,$U79)))=Milestones!$AB$130),UPPER(TEXT(EDATE($D79,Milestones!$AA$130),"dd mmm yy"))&amp;" "&amp;Milestones!$AB$130&amp;" "&amp;Milestones!$AC$130&amp;";  ","")&amp;IF(AND(EDATE($D79,Milestones!$AA$131)&lt;=AsOfDate,IF($R79=0,$X79,IF(AND($T79&lt;&gt;"",EDATE($D79,Milestones!$AA$131)&gt;=$T79),$W79,IF(AND($S79&lt;&gt;"",EDATE($D79,Milestones!$AA$131)&gt;=$S79),$V79,$U79)))=Milestones!$AB$131),UPPER(TEXT(EDATE($D79,Milestones!$AA$131),"dd mmm yy"))&amp;" "&amp;Milestones!$AB$131&amp;" "&amp;Milestones!$AC$131&amp;";  ","")&amp;IF(AND(EDATE($D79,Milestones!$AA$132)&lt;=AsOfDate,IF($R79=0,$X79,IF(AND($T79&lt;&gt;"",EDATE($D79,Milestones!$AA$132)&gt;=$T79),$W79,IF(AND($S79&lt;&gt;"",EDATE($D79,Milestones!$AA$132)&gt;=$S79),$V79,$U79)))=Milestones!$AB$132),UPPER(TEXT(EDATE($D79,Milestones!$AA$132),"dd mmm yy"))&amp;" "&amp;Milestones!$AB$132&amp;" "&amp;Milestones!$AC$132&amp;";  ","")&amp;IF(AND(EDATE($D79,Milestones!$AA$133)&lt;=AsOfDate,IF($R79=0,$X79,IF(AND($T79&lt;&gt;"",EDATE($D79,Milestones!$AA$133)&gt;=$T79),$W79,IF(AND($S79&lt;&gt;"",EDATE($D79,Milestones!$AA$133)&gt;=$S79),$V79,$U79)))=Milestones!$AB$133),UPPER(TEXT(EDATE($D79,Milestones!$AA$133),"dd mmm yy"))&amp;" "&amp;Milestones!$AB$133&amp;" "&amp;Milestones!$AC$133&amp;";  ","")&amp;IF(AND(EDATE($D79,Milestones!$AA$134)&lt;=AsOfDate,IF($R79=0,$X79,IF(AND($T79&lt;&gt;"",EDATE($D79,Milestones!$AA$134)&gt;=$T79),$W79,IF(AND($S79&lt;&gt;"",EDATE($D79,Milestones!$AA$134)&gt;=$S79),$V79,$U79)))=Milestones!$AB$134),UPPER(TEXT(EDATE($D79,Milestones!$AA$134),"dd mmm yy"))&amp;" "&amp;Milestones!$AB$134&amp;" "&amp;Milestones!$AC$134&amp;";  ","")&amp;IF(AND(EDATE($D79,Milestones!$AA$135)&lt;=AsOfDate,IF($R79=0,$X79,IF(AND($T79&lt;&gt;"",EDATE($D79,Milestones!$AA$135)&gt;=$T79),$W79,IF(AND($S79&lt;&gt;"",EDATE($D79,Milestones!$AA$135)&gt;=$S79),$V79,$U79)))=Milestones!$AB$135),UPPER(TEXT(EDATE($D79,Milestones!$AA$135),"dd mmm yy"))&amp;" "&amp;Milestones!$AB$135&amp;" "&amp;Milestones!$AC$135&amp;";  ","")&amp;IF(AND(EDATE($D79,Milestones!$AA$136)&lt;=AsOfDate,IF($R79=0,$X79,IF(AND($T79&lt;&gt;"",EDATE($D79,Milestones!$AA$136)&gt;=$T79),$W79,IF(AND($S79&lt;&gt;"",EDATE($D79,Milestones!$AA$136)&gt;=$S79),$V79,$U79)))=Milestones!$AB$136),UPPER(TEXT(EDATE($D79,Milestones!$AA$136),"dd mmm yy"))&amp;" "&amp;Milestones!$AB$136&amp;" "&amp;Milestones!$AC$136&amp;";  ","")&amp;IF(AND(EDATE($D79,Milestones!$AA$137)&lt;=AsOfDate,IF($R79=0,$X79,IF(AND($T79&lt;&gt;"",EDATE($D79,Milestones!$AA$137)&gt;=$T79),$W79,IF(AND($S79&lt;&gt;"",EDATE($D79,Milestones!$AA$137)&gt;=$S79),$V79,$U79)))=Milestones!$AB$137),UPPER(TEXT(EDATE($D79,Milestones!$AA$137),"dd mmm yy"))&amp;" "&amp;Milestones!$AB$137&amp;" "&amp;Milestones!$AC$137&amp;";  ","")&amp;IF(AND(EDATE($D79,Milestones!$AA$138)&lt;=AsOfDate,IF($R79=0,$X79,IF(AND($T79&lt;&gt;"",EDATE($D79,Milestones!$AA$138)&gt;=$T79),$W79,IF(AND($S79&lt;&gt;"",EDATE($D79,Milestones!$AA$138)&gt;=$S79),$V79,$U79)))=Milestones!$AB$138),UPPER(TEXT(EDATE($D79,Milestones!$AA$138),"dd mmm yy"))&amp;" "&amp;Milestones!$AB$138&amp;" "&amp;Milestones!$AC$138&amp;";  ","")&amp;IF(AND(EDATE($D79,Milestones!$AA$139)&lt;=AsOfDate,IF($R79=0,$X79,IF(AND($T79&lt;&gt;"",EDATE($D79,Milestones!$AA$139)&gt;=$T79),$W79,IF(AND($S79&lt;&gt;"",EDATE($D79,Milestones!$AA$139)&gt;=$S79),$V79,$U79)))=Milestones!$AB$139),UPPER(TEXT(EDATE($D79,Milestones!$AA$139),"dd mmm yy"))&amp;" "&amp;Milestones!$AB$139&amp;" "&amp;Milestones!$AC$139&amp;";  ",""))</f>
        <v/>
      </c>
      <c r="O79" s="0" t="str">
        <f aca="false">IF(OR($A79="",$D79=""),"",IF(AND(EDATE($D79,Milestones!$AA$140)&lt;=AsOfDate,IF($R79=0,$X79,IF(AND($T79&lt;&gt;"",EDATE($D79,Milestones!$AA$140)&gt;=$T79),$W79,IF(AND($S79&lt;&gt;"",EDATE($D79,Milestones!$AA$140)&gt;=$S79),$V79,$U79)))=Milestones!$AB$140),UPPER(TEXT(EDATE($D79,Milestones!$AA$140),"dd mmm yy"))&amp;" "&amp;Milestones!$AB$140&amp;" "&amp;Milestones!$AC$140&amp;";  ","")&amp;IF(AND(EDATE($D79,Milestones!$AA$141)&lt;=AsOfDate,IF($R79=0,$X79,IF(AND($T79&lt;&gt;"",EDATE($D79,Milestones!$AA$141)&gt;=$T79),$W79,IF(AND($S79&lt;&gt;"",EDATE($D79,Milestones!$AA$141)&gt;=$S79),$V79,$U79)))=Milestones!$AB$141),UPPER(TEXT(EDATE($D79,Milestones!$AA$141),"dd mmm yy"))&amp;" "&amp;Milestones!$AB$141&amp;" "&amp;Milestones!$AC$141&amp;";  ","")&amp;IF(AND(EDATE($D79,Milestones!$AA$142)&lt;=AsOfDate,IF($R79=0,$X79,IF(AND($T79&lt;&gt;"",EDATE($D79,Milestones!$AA$142)&gt;=$T79),$W79,IF(AND($S79&lt;&gt;"",EDATE($D79,Milestones!$AA$142)&gt;=$S79),$V79,$U79)))=Milestones!$AB$142),UPPER(TEXT(EDATE($D79,Milestones!$AA$142),"dd mmm yy"))&amp;" "&amp;Milestones!$AB$142&amp;" "&amp;Milestones!$AC$142&amp;";  ","")&amp;IF(AND(EDATE($D79,Milestones!$AA$143)&lt;=AsOfDate,IF($R79=0,$X79,IF(AND($T79&lt;&gt;"",EDATE($D79,Milestones!$AA$143)&gt;=$T79),$W79,IF(AND($S79&lt;&gt;"",EDATE($D79,Milestones!$AA$143)&gt;=$S79),$V79,$U79)))=Milestones!$AB$143),UPPER(TEXT(EDATE($D79,Milestones!$AA$143),"dd mmm yy"))&amp;" "&amp;Milestones!$AB$143&amp;" "&amp;Milestones!$AC$143&amp;";  ","")&amp;IF(AND(EDATE($D79,Milestones!$AA$144)&lt;=AsOfDate,IF($R79=0,$X79,IF(AND($T79&lt;&gt;"",EDATE($D79,Milestones!$AA$144)&gt;=$T79),$W79,IF(AND($S79&lt;&gt;"",EDATE($D79,Milestones!$AA$144)&gt;=$S79),$V79,$U79)))=Milestones!$AB$144),UPPER(TEXT(EDATE($D79,Milestones!$AA$144),"dd mmm yy"))&amp;" "&amp;Milestones!$AB$144&amp;" "&amp;Milestones!$AC$144&amp;";  ","")&amp;IF(AND(EDATE($D79,Milestones!$AA$145)&lt;=AsOfDate,IF($R79=0,$X79,IF(AND($T79&lt;&gt;"",EDATE($D79,Milestones!$AA$145)&gt;=$T79),$W79,IF(AND($S79&lt;&gt;"",EDATE($D79,Milestones!$AA$145)&gt;=$S79),$V79,$U79)))=Milestones!$AB$145),UPPER(TEXT(EDATE($D79,Milestones!$AA$145),"dd mmm yy"))&amp;" "&amp;Milestones!$AB$145&amp;" "&amp;Milestones!$AC$145&amp;";  ","")&amp;IF(AND(EDATE($D79,Milestones!$AA$146)&lt;=AsOfDate,IF($R79=0,$X79,IF(AND($T79&lt;&gt;"",EDATE($D79,Milestones!$AA$146)&gt;=$T79),$W79,IF(AND($S79&lt;&gt;"",EDATE($D79,Milestones!$AA$146)&gt;=$S79),$V79,$U79)))=Milestones!$AB$146),UPPER(TEXT(EDATE($D79,Milestones!$AA$146),"dd mmm yy"))&amp;" "&amp;Milestones!$AB$146&amp;" "&amp;Milestones!$AC$146&amp;";  ","")&amp;IF(AND(EDATE($D79,Milestones!$AA$147)&lt;=AsOfDate,IF($R79=0,$X79,IF(AND($T79&lt;&gt;"",EDATE($D79,Milestones!$AA$147)&gt;=$T79),$W79,IF(AND($S79&lt;&gt;"",EDATE($D79,Milestones!$AA$147)&gt;=$S79),$V79,$U79)))=Milestones!$AB$147),UPPER(TEXT(EDATE($D79,Milestones!$AA$147),"dd mmm yy"))&amp;" "&amp;Milestones!$AB$147&amp;" "&amp;Milestones!$AC$147&amp;";  ","")&amp;IF(AND(EDATE($D79,Milestones!$AA$148)&lt;=AsOfDate,IF($R79=0,$X79,IF(AND($T79&lt;&gt;"",EDATE($D79,Milestones!$AA$148)&gt;=$T79),$W79,IF(AND($S79&lt;&gt;"",EDATE($D79,Milestones!$AA$148)&gt;=$S79),$V79,$U79)))=Milestones!$AB$148),UPPER(TEXT(EDATE($D79,Milestones!$AA$148),"dd mmm yy"))&amp;" "&amp;Milestones!$AB$148&amp;" "&amp;Milestones!$AC$148&amp;";  ","")&amp;IF(AND(EDATE($D79,Milestones!$AA$149)&lt;=AsOfDate,IF($R79=0,$X79,IF(AND($T79&lt;&gt;"",EDATE($D79,Milestones!$AA$149)&gt;=$T79),$W79,IF(AND($S79&lt;&gt;"",EDATE($D79,Milestones!$AA$149)&gt;=$S79),$V79,$U79)))=Milestones!$AB$149),UPPER(TEXT(EDATE($D79,Milestones!$AA$149),"dd mmm yy"))&amp;" "&amp;Milestones!$AB$149&amp;" "&amp;Milestones!$AC$149&amp;";  ","")&amp;IF(AND(EDATE($D79,Milestones!$AA$150)&lt;=AsOfDate,IF($R79=0,$X79,IF(AND($T79&lt;&gt;"",EDATE($D79,Milestones!$AA$150)&gt;=$T79),$W79,IF(AND($S79&lt;&gt;"",EDATE($D79,Milestones!$AA$150)&gt;=$S79),$V79,$U79)))=Milestones!$AB$150),UPPER(TEXT(EDATE($D79,Milestones!$AA$150),"dd mmm yy"))&amp;" "&amp;Milestones!$AB$150&amp;" "&amp;Milestones!$AC$150&amp;";  ","")&amp;IF(AND(EDATE($D79,Milestones!$AA$151)&lt;=AsOfDate,IF($R79=0,$X79,IF(AND($T79&lt;&gt;"",EDATE($D79,Milestones!$AA$151)&gt;=$T79),$W79,IF(AND($S79&lt;&gt;"",EDATE($D79,Milestones!$AA$151)&gt;=$S79),$V79,$U79)))=Milestones!$AB$151),UPPER(TEXT(EDATE($D79,Milestones!$AA$151),"dd mmm yy"))&amp;" "&amp;Milestones!$AB$151&amp;" "&amp;Milestones!$AC$151&amp;";  ","")&amp;IF(AND(EDATE($D79,Milestones!$AA$152)&lt;=AsOfDate,IF($R79=0,$X79,IF(AND($T79&lt;&gt;"",EDATE($D79,Milestones!$AA$152)&gt;=$T79),$W79,IF(AND($S79&lt;&gt;"",EDATE($D79,Milestones!$AA$152)&gt;=$S79),$V79,$U79)))=Milestones!$AB$152),UPPER(TEXT(EDATE($D79,Milestones!$AA$152),"dd mmm yy"))&amp;" "&amp;Milestones!$AB$152&amp;" "&amp;Milestones!$AC$152&amp;";  ","")&amp;IF(AND(EDATE($D79,Milestones!$AA$153)&lt;=AsOfDate,IF($R79=0,$X79,IF(AND($T79&lt;&gt;"",EDATE($D79,Milestones!$AA$153)&gt;=$T79),$W79,IF(AND($S79&lt;&gt;"",EDATE($D79,Milestones!$AA$153)&gt;=$S79),$V79,$U79)))=Milestones!$AB$153),UPPER(TEXT(EDATE($D79,Milestones!$AA$153),"dd mmm yy"))&amp;" "&amp;Milestones!$AB$153&amp;" "&amp;Milestones!$AC$153&amp;";  ","")&amp;IF(AND(EDATE($D79,Milestones!$AA$154)&lt;=AsOfDate,IF($R79=0,$X79,IF(AND($T79&lt;&gt;"",EDATE($D79,Milestones!$AA$154)&gt;=$T79),$W79,IF(AND($S79&lt;&gt;"",EDATE($D79,Milestones!$AA$154)&gt;=$S79),$V79,$U79)))=Milestones!$AB$154),UPPER(TEXT(EDATE($D79,Milestones!$AA$154),"dd mmm yy"))&amp;" "&amp;Milestones!$AB$154&amp;" "&amp;Milestones!$AC$154&amp;";  ","")&amp;IF(AND(EDATE($D79,Milestones!$AA$155)&lt;=AsOfDate,IF($R79=0,$X79,IF(AND($T79&lt;&gt;"",EDATE($D79,Milestones!$AA$155)&gt;=$T79),$W79,IF(AND($S79&lt;&gt;"",EDATE($D79,Milestones!$AA$155)&gt;=$S79),$V79,$U79)))=Milestones!$AB$155),UPPER(TEXT(EDATE($D79,Milestones!$AA$155),"dd mmm yy"))&amp;" "&amp;Milestones!$AB$155&amp;" "&amp;Milestones!$AC$155&amp;";  ","")&amp;IF(AND(EDATE($D79,Milestones!$AA$156)&lt;=AsOfDate,IF($R79=0,$X79,IF(AND($T79&lt;&gt;"",EDATE($D79,Milestones!$AA$156)&gt;=$T79),$W79,IF(AND($S79&lt;&gt;"",EDATE($D79,Milestones!$AA$156)&gt;=$S79),$V79,$U79)))=Milestones!$AB$156),UPPER(TEXT(EDATE($D79,Milestones!$AA$156),"dd mmm yy"))&amp;" "&amp;Milestones!$AB$156&amp;" "&amp;Milestones!$AC$156&amp;";  ","")&amp;IF(AND(EDATE($D79,Milestones!$AA$157)&lt;=AsOfDate,IF($R79=0,$X79,IF(AND($T79&lt;&gt;"",EDATE($D79,Milestones!$AA$157)&gt;=$T79),$W79,IF(AND($S79&lt;&gt;"",EDATE($D79,Milestones!$AA$157)&gt;=$S79),$V79,$U79)))=Milestones!$AB$157),UPPER(TEXT(EDATE($D79,Milestones!$AA$157),"dd mmm yy"))&amp;" "&amp;Milestones!$AB$157&amp;" "&amp;Milestones!$AC$157&amp;";  ","")&amp;IF(AND(EDATE($D79,Milestones!$AA$158)&lt;=AsOfDate,IF($R79=0,$X79,IF(AND($T79&lt;&gt;"",EDATE($D79,Milestones!$AA$158)&gt;=$T79),$W79,IF(AND($S79&lt;&gt;"",EDATE($D79,Milestones!$AA$158)&gt;=$S79),$V79,$U79)))=Milestones!$AB$158),UPPER(TEXT(EDATE($D79,Milestones!$AA$158),"dd mmm yy"))&amp;" "&amp;Milestones!$AB$158&amp;" "&amp;Milestones!$AC$158&amp;";  ","")&amp;IF(AND(EDATE($D79,Milestones!$AA$159)&lt;=AsOfDate,IF($R79=0,$X79,IF(AND($T79&lt;&gt;"",EDATE($D79,Milestones!$AA$159)&gt;=$T79),$W79,IF(AND($S79&lt;&gt;"",EDATE($D79,Milestones!$AA$159)&gt;=$S79),$V79,$U79)))=Milestones!$AB$159),UPPER(TEXT(EDATE($D79,Milestones!$AA$159),"dd mmm yy"))&amp;" "&amp;Milestones!$AB$159&amp;" "&amp;Milestones!$AC$159&amp;";  ",""))</f>
        <v/>
      </c>
      <c r="P79" s="0" t="str">
        <f aca="false">IF(OR($A79="",$D79=""),"",IF(AND(EDATE($D79,Milestones!$AA$160)&lt;=AsOfDate,IF($R79=0,$X79,IF(AND($T79&lt;&gt;"",EDATE($D79,Milestones!$AA$160)&gt;=$T79),$W79,IF(AND($S79&lt;&gt;"",EDATE($D79,Milestones!$AA$160)&gt;=$S79),$V79,$U79)))=Milestones!$AB$160),UPPER(TEXT(EDATE($D79,Milestones!$AA$160),"dd mmm yy"))&amp;" "&amp;Milestones!$AB$160&amp;" "&amp;Milestones!$AC$160&amp;";  ","")&amp;IF(AND(EDATE($D79,Milestones!$AA$161)&lt;=AsOfDate,IF($R79=0,$X79,IF(AND($T79&lt;&gt;"",EDATE($D79,Milestones!$AA$161)&gt;=$T79),$W79,IF(AND($S79&lt;&gt;"",EDATE($D79,Milestones!$AA$161)&gt;=$S79),$V79,$U79)))=Milestones!$AB$161),UPPER(TEXT(EDATE($D79,Milestones!$AA$161),"dd mmm yy"))&amp;" "&amp;Milestones!$AB$161&amp;" "&amp;Milestones!$AC$161&amp;";  ","")&amp;IF(AND(EDATE($D79,Milestones!$AA$162)&lt;=AsOfDate,IF($R79=0,$X79,IF(AND($T79&lt;&gt;"",EDATE($D79,Milestones!$AA$162)&gt;=$T79),$W79,IF(AND($S79&lt;&gt;"",EDATE($D79,Milestones!$AA$162)&gt;=$S79),$V79,$U79)))=Milestones!$AB$162),UPPER(TEXT(EDATE($D79,Milestones!$AA$162),"dd mmm yy"))&amp;" "&amp;Milestones!$AB$162&amp;" "&amp;Milestones!$AC$162&amp;";  ","")&amp;IF(AND(EDATE($D79,Milestones!$AA$163)&lt;=AsOfDate,IF($R79=0,$X79,IF(AND($T79&lt;&gt;"",EDATE($D79,Milestones!$AA$163)&gt;=$T79),$W79,IF(AND($S79&lt;&gt;"",EDATE($D79,Milestones!$AA$163)&gt;=$S79),$V79,$U79)))=Milestones!$AB$163),UPPER(TEXT(EDATE($D79,Milestones!$AA$163),"dd mmm yy"))&amp;" "&amp;Milestones!$AB$163&amp;" "&amp;Milestones!$AC$163&amp;";  ","")&amp;IF(AND(EDATE($D79,Milestones!$AA$164)&lt;=AsOfDate,IF($R79=0,$X79,IF(AND($T79&lt;&gt;"",EDATE($D79,Milestones!$AA$164)&gt;=$T79),$W79,IF(AND($S79&lt;&gt;"",EDATE($D79,Milestones!$AA$164)&gt;=$S79),$V79,$U79)))=Milestones!$AB$164),UPPER(TEXT(EDATE($D79,Milestones!$AA$164),"dd mmm yy"))&amp;" "&amp;Milestones!$AB$164&amp;" "&amp;Milestones!$AC$164&amp;";  ","")&amp;IF(AND(EDATE($D79,Milestones!$AA$165)&lt;=AsOfDate,IF($R79=0,$X79,IF(AND($T79&lt;&gt;"",EDATE($D79,Milestones!$AA$165)&gt;=$T79),$W79,IF(AND($S79&lt;&gt;"",EDATE($D79,Milestones!$AA$165)&gt;=$S79),$V79,$U79)))=Milestones!$AB$165),UPPER(TEXT(EDATE($D79,Milestones!$AA$165),"dd mmm yy"))&amp;" "&amp;Milestones!$AB$165&amp;" "&amp;Milestones!$AC$165&amp;";  ","")&amp;IF(AND(EDATE($D79,Milestones!$AA$166)&lt;=AsOfDate,IF($R79=0,$X79,IF(AND($T79&lt;&gt;"",EDATE($D79,Milestones!$AA$166)&gt;=$T79),$W79,IF(AND($S79&lt;&gt;"",EDATE($D79,Milestones!$AA$166)&gt;=$S79),$V79,$U79)))=Milestones!$AB$166),UPPER(TEXT(EDATE($D79,Milestones!$AA$166),"dd mmm yy"))&amp;" "&amp;Milestones!$AB$166&amp;" "&amp;Milestones!$AC$166&amp;";  ","")&amp;IF(AND(EDATE($D79,Milestones!$AA$167)&lt;=AsOfDate,IF($R79=0,$X79,IF(AND($T79&lt;&gt;"",EDATE($D79,Milestones!$AA$167)&gt;=$T79),$W79,IF(AND($S79&lt;&gt;"",EDATE($D79,Milestones!$AA$167)&gt;=$S79),$V79,$U79)))=Milestones!$AB$167),UPPER(TEXT(EDATE($D79,Milestones!$AA$167),"dd mmm yy"))&amp;" "&amp;Milestones!$AB$167&amp;" "&amp;Milestones!$AC$167&amp;";  ","")&amp;IF(AND(EDATE($D79,Milestones!$AA$168)&lt;=AsOfDate,IF($R79=0,$X79,IF(AND($T79&lt;&gt;"",EDATE($D79,Milestones!$AA$168)&gt;=$T79),$W79,IF(AND($S79&lt;&gt;"",EDATE($D79,Milestones!$AA$168)&gt;=$S79),$V79,$U79)))=Milestones!$AB$168),UPPER(TEXT(EDATE($D79,Milestones!$AA$168),"dd mmm yy"))&amp;" "&amp;Milestones!$AB$168&amp;" "&amp;Milestones!$AC$168&amp;";  ","")&amp;IF(AND(EDATE($D79,Milestones!$AA$169)&lt;=AsOfDate,IF($R79=0,$X79,IF(AND($T79&lt;&gt;"",EDATE($D79,Milestones!$AA$169)&gt;=$T79),$W79,IF(AND($S79&lt;&gt;"",EDATE($D79,Milestones!$AA$169)&gt;=$S79),$V79,$U79)))=Milestones!$AB$169),UPPER(TEXT(EDATE($D79,Milestones!$AA$169),"dd mmm yy"))&amp;" "&amp;Milestones!$AB$169&amp;" "&amp;Milestones!$AC$169&amp;";  ","")&amp;IF(AND(EDATE($D79,Milestones!$AA$170)&lt;=AsOfDate,IF($R79=0,$X79,IF(AND($T79&lt;&gt;"",EDATE($D79,Milestones!$AA$170)&gt;=$T79),$W79,IF(AND($S79&lt;&gt;"",EDATE($D79,Milestones!$AA$170)&gt;=$S79),$V79,$U79)))=Milestones!$AB$170),UPPER(TEXT(EDATE($D79,Milestones!$AA$170),"dd mmm yy"))&amp;" "&amp;Milestones!$AB$170&amp;" "&amp;Milestones!$AC$170&amp;";  ","")&amp;IF(AND(EDATE($D79,Milestones!$AA$171)&lt;=AsOfDate,IF($R79=0,$X79,IF(AND($T79&lt;&gt;"",EDATE($D79,Milestones!$AA$171)&gt;=$T79),$W79,IF(AND($S79&lt;&gt;"",EDATE($D79,Milestones!$AA$171)&gt;=$S79),$V79,$U79)))=Milestones!$AB$171),UPPER(TEXT(EDATE($D79,Milestones!$AA$171),"dd mmm yy"))&amp;" "&amp;Milestones!$AB$171&amp;" "&amp;Milestones!$AC$171&amp;";  ","")&amp;IF(AND(EDATE($D79,Milestones!$AA$172)&lt;=AsOfDate,IF($R79=0,$X79,IF(AND($T79&lt;&gt;"",EDATE($D79,Milestones!$AA$172)&gt;=$T79),$W79,IF(AND($S79&lt;&gt;"",EDATE($D79,Milestones!$AA$172)&gt;=$S79),$V79,$U79)))=Milestones!$AB$172),UPPER(TEXT(EDATE($D79,Milestones!$AA$172),"dd mmm yy"))&amp;" "&amp;Milestones!$AB$172&amp;" "&amp;Milestones!$AC$172&amp;";  ","")&amp;IF(AND(EDATE($D79,Milestones!$AA$173)&lt;=AsOfDate,IF($R79=0,$X79,IF(AND($T79&lt;&gt;"",EDATE($D79,Milestones!$AA$173)&gt;=$T79),$W79,IF(AND($S79&lt;&gt;"",EDATE($D79,Milestones!$AA$173)&gt;=$S79),$V79,$U79)))=Milestones!$AB$173),UPPER(TEXT(EDATE($D79,Milestones!$AA$173),"dd mmm yy"))&amp;" "&amp;Milestones!$AB$173&amp;" "&amp;Milestones!$AC$173&amp;";  ","")&amp;IF(AND(EDATE($D79,Milestones!$AA$174)&lt;=AsOfDate,IF($R79=0,$X79,IF(AND($T79&lt;&gt;"",EDATE($D79,Milestones!$AA$174)&gt;=$T79),$W79,IF(AND($S79&lt;&gt;"",EDATE($D79,Milestones!$AA$174)&gt;=$S79),$V79,$U79)))=Milestones!$AB$174),UPPER(TEXT(EDATE($D79,Milestones!$AA$174),"dd mmm yy"))&amp;" "&amp;Milestones!$AB$174&amp;" "&amp;Milestones!$AC$174&amp;";  ","")&amp;IF(AND(EDATE($D79,Milestones!$AA$175)&lt;=AsOfDate,IF($R79=0,$X79,IF(AND($T79&lt;&gt;"",EDATE($D79,Milestones!$AA$175)&gt;=$T79),$W79,IF(AND($S79&lt;&gt;"",EDATE($D79,Milestones!$AA$175)&gt;=$S79),$V79,$U79)))=Milestones!$AB$175),UPPER(TEXT(EDATE($D79,Milestones!$AA$175),"dd mmm yy"))&amp;" "&amp;Milestones!$AB$175&amp;" "&amp;Milestones!$AC$175&amp;";  ","")&amp;IF(AND(EDATE($D79,Milestones!$AA$176)&lt;=AsOfDate,IF($R79=0,$X79,IF(AND($T79&lt;&gt;"",EDATE($D79,Milestones!$AA$176)&gt;=$T79),$W79,IF(AND($S79&lt;&gt;"",EDATE($D79,Milestones!$AA$176)&gt;=$S79),$V79,$U79)))=Milestones!$AB$176),UPPER(TEXT(EDATE($D79,Milestones!$AA$176),"dd mmm yy"))&amp;" "&amp;Milestones!$AB$176&amp;" "&amp;Milestones!$AC$176&amp;";  ","")&amp;IF(AND(EDATE($D79,Milestones!$AA$177)&lt;=AsOfDate,IF($R79=0,$X79,IF(AND($T79&lt;&gt;"",EDATE($D79,Milestones!$AA$177)&gt;=$T79),$W79,IF(AND($S79&lt;&gt;"",EDATE($D79,Milestones!$AA$177)&gt;=$S79),$V79,$U79)))=Milestones!$AB$177),UPPER(TEXT(EDATE($D79,Milestones!$AA$177),"dd mmm yy"))&amp;" "&amp;Milestones!$AB$177&amp;" "&amp;Milestones!$AC$177&amp;";  ","")&amp;IF(AND(EDATE($D79,Milestones!$AA$178)&lt;=AsOfDate,IF($R79=0,$X79,IF(AND($T79&lt;&gt;"",EDATE($D79,Milestones!$AA$178)&gt;=$T79),$W79,IF(AND($S79&lt;&gt;"",EDATE($D79,Milestones!$AA$178)&gt;=$S79),$V79,$U79)))=Milestones!$AB$178),UPPER(TEXT(EDATE($D79,Milestones!$AA$178),"dd mmm yy"))&amp;" "&amp;Milestones!$AB$178&amp;" "&amp;Milestones!$AC$178&amp;";  ","")&amp;IF(AND(EDATE($D79,Milestones!$AA$179)&lt;=AsOfDate,IF($R79=0,$X79,IF(AND($T79&lt;&gt;"",EDATE($D79,Milestones!$AA$179)&gt;=$T79),$W79,IF(AND($S79&lt;&gt;"",EDATE($D79,Milestones!$AA$179)&gt;=$S79),$V79,$U79)))=Milestones!$AB$179),UPPER(TEXT(EDATE($D79,Milestones!$AA$179),"dd mmm yy"))&amp;" "&amp;Milestones!$AB$179&amp;" "&amp;Milestones!$AC$179&amp;";  ",""))</f>
        <v/>
      </c>
      <c r="Q79" s="0" t="str">
        <f aca="false">IF(OR($A79="",$D79=""),"",IF(AND(EDATE($D79,Milestones!$AA$180)&lt;=AsOfDate,IF($R79=0,$X79,IF(AND($T79&lt;&gt;"",EDATE($D79,Milestones!$AA$180)&gt;=$T79),$W79,IF(AND($S79&lt;&gt;"",EDATE($D79,Milestones!$AA$180)&gt;=$S79),$V79,$U79)))=Milestones!$AB$180),UPPER(TEXT(EDATE($D79,Milestones!$AA$180),"dd mmm yy"))&amp;" "&amp;Milestones!$AB$180&amp;" "&amp;Milestones!$AC$180&amp;";  ","")&amp;IF(AND(EDATE($D79,Milestones!$AA$181)&lt;=AsOfDate,IF($R79=0,$X79,IF(AND($T79&lt;&gt;"",EDATE($D79,Milestones!$AA$181)&gt;=$T79),$W79,IF(AND($S79&lt;&gt;"",EDATE($D79,Milestones!$AA$181)&gt;=$S79),$V79,$U79)))=Milestones!$AB$181),UPPER(TEXT(EDATE($D79,Milestones!$AA$181),"dd mmm yy"))&amp;" "&amp;Milestones!$AB$181&amp;" "&amp;Milestones!$AC$181&amp;";  ","")&amp;IF(AND(EDATE($D79,Milestones!$AA$182)&lt;=AsOfDate,IF($R79=0,$X79,IF(AND($T79&lt;&gt;"",EDATE($D79,Milestones!$AA$182)&gt;=$T79),$W79,IF(AND($S79&lt;&gt;"",EDATE($D79,Milestones!$AA$182)&gt;=$S79),$V79,$U79)))=Milestones!$AB$182),UPPER(TEXT(EDATE($D79,Milestones!$AA$182),"dd mmm yy"))&amp;" "&amp;Milestones!$AB$182&amp;" "&amp;Milestones!$AC$182&amp;";  ","")&amp;IF(AND(EDATE($D79,Milestones!$AA$183)&lt;=AsOfDate,IF($R79=0,$X79,IF(AND($T79&lt;&gt;"",EDATE($D79,Milestones!$AA$183)&gt;=$T79),$W79,IF(AND($S79&lt;&gt;"",EDATE($D79,Milestones!$AA$183)&gt;=$S79),$V79,$U79)))=Milestones!$AB$183),UPPER(TEXT(EDATE($D79,Milestones!$AA$183),"dd mmm yy"))&amp;" "&amp;Milestones!$AB$183&amp;" "&amp;Milestones!$AC$183&amp;";  ","")&amp;IF(AND(EDATE($D79,Milestones!$AA$184)&lt;=AsOfDate,IF($R79=0,$X79,IF(AND($T79&lt;&gt;"",EDATE($D79,Milestones!$AA$184)&gt;=$T79),$W79,IF(AND($S79&lt;&gt;"",EDATE($D79,Milestones!$AA$184)&gt;=$S79),$V79,$U79)))=Milestones!$AB$184),UPPER(TEXT(EDATE($D79,Milestones!$AA$184),"dd mmm yy"))&amp;" "&amp;Milestones!$AB$184&amp;" "&amp;Milestones!$AC$184&amp;";  ","")&amp;IF(AND(EDATE($D79,Milestones!$AA$185)&lt;=AsOfDate,IF($R79=0,$X79,IF(AND($T79&lt;&gt;"",EDATE($D79,Milestones!$AA$185)&gt;=$T79),$W79,IF(AND($S79&lt;&gt;"",EDATE($D79,Milestones!$AA$185)&gt;=$S79),$V79,$U79)))=Milestones!$AB$185),UPPER(TEXT(EDATE($D79,Milestones!$AA$185),"dd mmm yy"))&amp;" "&amp;Milestones!$AB$185&amp;" "&amp;Milestones!$AC$185&amp;";  ","")&amp;IF(AND(EDATE($D79,Milestones!$AA$186)&lt;=AsOfDate,IF($R79=0,$X79,IF(AND($T79&lt;&gt;"",EDATE($D79,Milestones!$AA$186)&gt;=$T79),$W79,IF(AND($S79&lt;&gt;"",EDATE($D79,Milestones!$AA$186)&gt;=$S79),$V79,$U79)))=Milestones!$AB$186),UPPER(TEXT(EDATE($D79,Milestones!$AA$186),"dd mmm yy"))&amp;" "&amp;Milestones!$AB$186&amp;" "&amp;Milestones!$AC$186&amp;";  ","")&amp;IF(AND(EDATE($D79,Milestones!$AA$187)&lt;=AsOfDate,IF($R79=0,$X79,IF(AND($T79&lt;&gt;"",EDATE($D79,Milestones!$AA$187)&gt;=$T79),$W79,IF(AND($S79&lt;&gt;"",EDATE($D79,Milestones!$AA$187)&gt;=$S79),$V79,$U79)))=Milestones!$AB$187),UPPER(TEXT(EDATE($D79,Milestones!$AA$187),"dd mmm yy"))&amp;" "&amp;Milestones!$AB$187&amp;" "&amp;Milestones!$AC$187&amp;";  ","")&amp;IF(AND(EDATE($D79,Milestones!$AA$188)&lt;=AsOfDate,IF($R79=0,$X79,IF(AND($T79&lt;&gt;"",EDATE($D79,Milestones!$AA$188)&gt;=$T79),$W79,IF(AND($S79&lt;&gt;"",EDATE($D79,Milestones!$AA$188)&gt;=$S79),$V79,$U79)))=Milestones!$AB$188),UPPER(TEXT(EDATE($D79,Milestones!$AA$188),"dd mmm yy"))&amp;" "&amp;Milestones!$AB$188&amp;" "&amp;Milestones!$AC$188&amp;";  ","")&amp;IF(AND(EDATE($D79,Milestones!$AA$189)&lt;=AsOfDate,IF($R79=0,$X79,IF(AND($T79&lt;&gt;"",EDATE($D79,Milestones!$AA$189)&gt;=$T79),$W79,IF(AND($S79&lt;&gt;"",EDATE($D79,Milestones!$AA$189)&gt;=$S79),$V79,$U79)))=Milestones!$AB$189),UPPER(TEXT(EDATE($D79,Milestones!$AA$189),"dd mmm yy"))&amp;" "&amp;Milestones!$AB$189&amp;" "&amp;Milestones!$AC$189&amp;";  ","")&amp;IF(AND(EDATE($D79,Milestones!$AA$190)&lt;=AsOfDate,IF($R79=0,$X79,IF(AND($T79&lt;&gt;"",EDATE($D79,Milestones!$AA$190)&gt;=$T79),$W79,IF(AND($S79&lt;&gt;"",EDATE($D79,Milestones!$AA$190)&gt;=$S79),$V79,$U79)))=Milestones!$AB$190),UPPER(TEXT(EDATE($D79,Milestones!$AA$190),"dd mmm yy"))&amp;" "&amp;Milestones!$AB$190&amp;" "&amp;Milestones!$AC$190&amp;";  ","")&amp;IF(AND(EDATE($D79,Milestones!$AA$191)&lt;=AsOfDate,IF($R79=0,$X79,IF(AND($T79&lt;&gt;"",EDATE($D79,Milestones!$AA$191)&gt;=$T79),$W79,IF(AND($S79&lt;&gt;"",EDATE($D79,Milestones!$AA$191)&gt;=$S79),$V79,$U79)))=Milestones!$AB$191),UPPER(TEXT(EDATE($D79,Milestones!$AA$191),"dd mmm yy"))&amp;" "&amp;Milestones!$AB$191&amp;" "&amp;Milestones!$AC$191&amp;";  ","")&amp;IF(AND(EDATE($D79,Milestones!$AA$192)&lt;=AsOfDate,IF($R79=0,$X79,IF(AND($T79&lt;&gt;"",EDATE($D79,Milestones!$AA$192)&gt;=$T79),$W79,IF(AND($S79&lt;&gt;"",EDATE($D79,Milestones!$AA$192)&gt;=$S79),$V79,$U79)))=Milestones!$AB$192),UPPER(TEXT(EDATE($D79,Milestones!$AA$192),"dd mmm yy"))&amp;" "&amp;Milestones!$AB$192&amp;" "&amp;Milestones!$AC$192&amp;";  ","")&amp;IF(AND(EDATE($D79,Milestones!$AA$193)&lt;=AsOfDate,IF($R79=0,$X79,IF(AND($T79&lt;&gt;"",EDATE($D79,Milestones!$AA$193)&gt;=$T79),$W79,IF(AND($S79&lt;&gt;"",EDATE($D79,Milestones!$AA$193)&gt;=$S79),$V79,$U79)))=Milestones!$AB$193),UPPER(TEXT(EDATE($D79,Milestones!$AA$193),"dd mmm yy"))&amp;" "&amp;Milestones!$AB$193&amp;" "&amp;Milestones!$AC$193&amp;";  ","")&amp;IF(AND(EDATE($D79,Milestones!$AA$194)&lt;=AsOfDate,IF($R79=0,$X79,IF(AND($T79&lt;&gt;"",EDATE($D79,Milestones!$AA$194)&gt;=$T79),$W79,IF(AND($S79&lt;&gt;"",EDATE($D79,Milestones!$AA$194)&gt;=$S79),$V79,$U79)))=Milestones!$AB$194),UPPER(TEXT(EDATE($D79,Milestones!$AA$194),"dd mmm yy"))&amp;" "&amp;Milestones!$AB$194&amp;" "&amp;Milestones!$AC$194&amp;";  ","")&amp;IF(AND(EDATE($D79,Milestones!$AA$195)&lt;=AsOfDate,IF($R79=0,$X79,IF(AND($T79&lt;&gt;"",EDATE($D79,Milestones!$AA$195)&gt;=$T79),$W79,IF(AND($S79&lt;&gt;"",EDATE($D79,Milestones!$AA$195)&gt;=$S79),$V79,$U79)))=Milestones!$AB$195),UPPER(TEXT(EDATE($D79,Milestones!$AA$195),"dd mmm yy"))&amp;" "&amp;Milestones!$AB$195&amp;" "&amp;Milestones!$AC$195&amp;";  ","")&amp;IF(AND(EDATE($D79,Milestones!$AA$196)&lt;=AsOfDate,IF($R79=0,$X79,IF(AND($T79&lt;&gt;"",EDATE($D79,Milestones!$AA$196)&gt;=$T79),$W79,IF(AND($S79&lt;&gt;"",EDATE($D79,Milestones!$AA$196)&gt;=$S79),$V79,$U79)))=Milestones!$AB$196),UPPER(TEXT(EDATE($D79,Milestones!$AA$196),"dd mmm yy"))&amp;" "&amp;Milestones!$AB$196&amp;" "&amp;Milestones!$AC$196&amp;";  ","")&amp;IF(AND(EDATE($D79,Milestones!$AA$197)&lt;=AsOfDate,IF($R79=0,$X79,IF(AND($T79&lt;&gt;"",EDATE($D79,Milestones!$AA$197)&gt;=$T79),$W79,IF(AND($S79&lt;&gt;"",EDATE($D79,Milestones!$AA$197)&gt;=$S79),$V79,$U79)))=Milestones!$AB$197),UPPER(TEXT(EDATE($D79,Milestones!$AA$197),"dd mmm yy"))&amp;" "&amp;Milestones!$AB$197&amp;" "&amp;Milestones!$AC$197&amp;";  ","")&amp;IF(AND(EDATE($D79,Milestones!$AA$198)&lt;=AsOfDate,IF($R79=0,$X79,IF(AND($T79&lt;&gt;"",EDATE($D79,Milestones!$AA$198)&gt;=$T79),$W79,IF(AND($S79&lt;&gt;"",EDATE($D79,Milestones!$AA$198)&gt;=$S79),$V79,$U79)))=Milestones!$AB$198),UPPER(TEXT(EDATE($D79,Milestones!$AA$198),"dd mmm yy"))&amp;" "&amp;Milestones!$AB$198&amp;" "&amp;Milestones!$AC$198&amp;";  ","")&amp;IF(AND(EDATE($D79,Milestones!$AA$199)&lt;=AsOfDate,IF($R79=0,$X79,IF(AND($T79&lt;&gt;"",EDATE($D79,Milestones!$AA$199)&gt;=$T79),$W79,IF(AND($S79&lt;&gt;"",EDATE($D79,Milestones!$AA$199)&gt;=$S79),$V79,$U79)))=Milestones!$AB$199),UPPER(TEXT(EDATE($D79,Milestones!$AA$199),"dd mmm yy"))&amp;" "&amp;Milestones!$AB$199&amp;" "&amp;Milestones!$AC$199&amp;";  ",""))</f>
        <v/>
      </c>
      <c r="R79" s="0" t="str">
        <f aca="false">IF(Staff!$A79="","",Staff!$AI79)</f>
        <v/>
      </c>
      <c r="S79" s="0" t="str">
        <f aca="false">IF(Staff!$A79="","",Staff!$AK79)</f>
        <v/>
      </c>
      <c r="T79" s="0" t="str">
        <f aca="false">IF(Staff!$A79="","",Staff!$AL79)</f>
        <v/>
      </c>
      <c r="U79" s="0" t="str">
        <f aca="false">IF(Staff!$A79="","",Staff!$AP79)</f>
        <v/>
      </c>
      <c r="V79" s="0" t="str">
        <f aca="false">IF(Staff!$A79="","",Staff!$AQ79)</f>
        <v/>
      </c>
      <c r="W79" s="0" t="str">
        <f aca="false">IF(Staff!$A79="","",Staff!$AR79)</f>
        <v/>
      </c>
      <c r="X79" s="0" t="str">
        <f aca="false">IF(Staff!$A79="","",Staff!$AS79)</f>
        <v/>
      </c>
    </row>
    <row r="80" customFormat="false" ht="15" hidden="false" customHeight="false" outlineLevel="0" collapsed="false">
      <c r="A80" s="14" t="str">
        <f aca="false">IF(Staff!$A80="","",Staff!$A80)</f>
        <v/>
      </c>
      <c r="B80" s="14" t="str">
        <f aca="false">IF(Staff!$A80="","",Staff!$B80)</f>
        <v/>
      </c>
      <c r="C80" s="14" t="str">
        <f aca="false">IF(Staff!$A80="","",Staff!$C80)</f>
        <v/>
      </c>
      <c r="D80" s="12" t="str">
        <f aca="false">IF(Staff!$A80="","",Staff!$AH80)</f>
        <v/>
      </c>
      <c r="E80" s="14" t="str">
        <f aca="false">IF(Staff!$A80="","",Staff!$O80)</f>
        <v/>
      </c>
      <c r="F80" s="14" t="str">
        <f aca="false">IF(E80="","",E80*HoursPerDay)</f>
        <v/>
      </c>
      <c r="G80" s="14" t="str">
        <f aca="false">IF(Staff!$A80="","",Staff!$AE80)</f>
        <v/>
      </c>
      <c r="H80" s="26" t="str">
        <f aca="false">IF($A80="","",I80&amp;J80&amp;K80&amp;L80&amp;M80&amp;N80&amp;O80&amp;P80&amp;Q80)</f>
        <v/>
      </c>
      <c r="I80" s="0" t="str">
        <f aca="false">IF(OR($A80="",$D80=""),"",IF(AND(EDATE($D80,Milestones!$AA$20)&lt;=AsOfDate,IF($R80=0,$X80,IF(AND($T80&lt;&gt;"",EDATE($D80,Milestones!$AA$20)&gt;=$T80),$W80,IF(AND($S80&lt;&gt;"",EDATE($D80,Milestones!$AA$20)&gt;=$S80),$V80,$U80)))=Milestones!$AB$20),UPPER(TEXT(EDATE($D80,Milestones!$AA$20),"dd mmm yy"))&amp;" "&amp;Milestones!$AB$20&amp;" "&amp;Milestones!$AC$20&amp;";  ","")&amp;IF(AND(EDATE($D80,Milestones!$AA$21)&lt;=AsOfDate,IF($R80=0,$X80,IF(AND($T80&lt;&gt;"",EDATE($D80,Milestones!$AA$21)&gt;=$T80),$W80,IF(AND($S80&lt;&gt;"",EDATE($D80,Milestones!$AA$21)&gt;=$S80),$V80,$U80)))=Milestones!$AB$21),UPPER(TEXT(EDATE($D80,Milestones!$AA$21),"dd mmm yy"))&amp;" "&amp;Milestones!$AB$21&amp;" "&amp;Milestones!$AC$21&amp;";  ","")&amp;IF(AND(EDATE($D80,Milestones!$AA$22)&lt;=AsOfDate,IF($R80=0,$X80,IF(AND($T80&lt;&gt;"",EDATE($D80,Milestones!$AA$22)&gt;=$T80),$W80,IF(AND($S80&lt;&gt;"",EDATE($D80,Milestones!$AA$22)&gt;=$S80),$V80,$U80)))=Milestones!$AB$22),UPPER(TEXT(EDATE($D80,Milestones!$AA$22),"dd mmm yy"))&amp;" "&amp;Milestones!$AB$22&amp;" "&amp;Milestones!$AC$22&amp;";  ","")&amp;IF(AND(EDATE($D80,Milestones!$AA$23)&lt;=AsOfDate,IF($R80=0,$X80,IF(AND($T80&lt;&gt;"",EDATE($D80,Milestones!$AA$23)&gt;=$T80),$W80,IF(AND($S80&lt;&gt;"",EDATE($D80,Milestones!$AA$23)&gt;=$S80),$V80,$U80)))=Milestones!$AB$23),UPPER(TEXT(EDATE($D80,Milestones!$AA$23),"dd mmm yy"))&amp;" "&amp;Milestones!$AB$23&amp;" "&amp;Milestones!$AC$23&amp;";  ","")&amp;IF(AND(EDATE($D80,Milestones!$AA$24)&lt;=AsOfDate,IF($R80=0,$X80,IF(AND($T80&lt;&gt;"",EDATE($D80,Milestones!$AA$24)&gt;=$T80),$W80,IF(AND($S80&lt;&gt;"",EDATE($D80,Milestones!$AA$24)&gt;=$S80),$V80,$U80)))=Milestones!$AB$24),UPPER(TEXT(EDATE($D80,Milestones!$AA$24),"dd mmm yy"))&amp;" "&amp;Milestones!$AB$24&amp;" "&amp;Milestones!$AC$24&amp;";  ","")&amp;IF(AND(EDATE($D80,Milestones!$AA$25)&lt;=AsOfDate,IF($R80=0,$X80,IF(AND($T80&lt;&gt;"",EDATE($D80,Milestones!$AA$25)&gt;=$T80),$W80,IF(AND($S80&lt;&gt;"",EDATE($D80,Milestones!$AA$25)&gt;=$S80),$V80,$U80)))=Milestones!$AB$25),UPPER(TEXT(EDATE($D80,Milestones!$AA$25),"dd mmm yy"))&amp;" "&amp;Milestones!$AB$25&amp;" "&amp;Milestones!$AC$25&amp;";  ","")&amp;IF(AND(EDATE($D80,Milestones!$AA$26)&lt;=AsOfDate,IF($R80=0,$X80,IF(AND($T80&lt;&gt;"",EDATE($D80,Milestones!$AA$26)&gt;=$T80),$W80,IF(AND($S80&lt;&gt;"",EDATE($D80,Milestones!$AA$26)&gt;=$S80),$V80,$U80)))=Milestones!$AB$26),UPPER(TEXT(EDATE($D80,Milestones!$AA$26),"dd mmm yy"))&amp;" "&amp;Milestones!$AB$26&amp;" "&amp;Milestones!$AC$26&amp;";  ","")&amp;IF(AND(EDATE($D80,Milestones!$AA$27)&lt;=AsOfDate,IF($R80=0,$X80,IF(AND($T80&lt;&gt;"",EDATE($D80,Milestones!$AA$27)&gt;=$T80),$W80,IF(AND($S80&lt;&gt;"",EDATE($D80,Milestones!$AA$27)&gt;=$S80),$V80,$U80)))=Milestones!$AB$27),UPPER(TEXT(EDATE($D80,Milestones!$AA$27),"dd mmm yy"))&amp;" "&amp;Milestones!$AB$27&amp;" "&amp;Milestones!$AC$27&amp;";  ","")&amp;IF(AND(EDATE($D80,Milestones!$AA$28)&lt;=AsOfDate,IF($R80=0,$X80,IF(AND($T80&lt;&gt;"",EDATE($D80,Milestones!$AA$28)&gt;=$T80),$W80,IF(AND($S80&lt;&gt;"",EDATE($D80,Milestones!$AA$28)&gt;=$S80),$V80,$U80)))=Milestones!$AB$28),UPPER(TEXT(EDATE($D80,Milestones!$AA$28),"dd mmm yy"))&amp;" "&amp;Milestones!$AB$28&amp;" "&amp;Milestones!$AC$28&amp;";  ","")&amp;IF(AND(EDATE($D80,Milestones!$AA$29)&lt;=AsOfDate,IF($R80=0,$X80,IF(AND($T80&lt;&gt;"",EDATE($D80,Milestones!$AA$29)&gt;=$T80),$W80,IF(AND($S80&lt;&gt;"",EDATE($D80,Milestones!$AA$29)&gt;=$S80),$V80,$U80)))=Milestones!$AB$29),UPPER(TEXT(EDATE($D80,Milestones!$AA$29),"dd mmm yy"))&amp;" "&amp;Milestones!$AB$29&amp;" "&amp;Milestones!$AC$29&amp;";  ","")&amp;IF(AND(EDATE($D80,Milestones!$AA$30)&lt;=AsOfDate,IF($R80=0,$X80,IF(AND($T80&lt;&gt;"",EDATE($D80,Milestones!$AA$30)&gt;=$T80),$W80,IF(AND($S80&lt;&gt;"",EDATE($D80,Milestones!$AA$30)&gt;=$S80),$V80,$U80)))=Milestones!$AB$30),UPPER(TEXT(EDATE($D80,Milestones!$AA$30),"dd mmm yy"))&amp;" "&amp;Milestones!$AB$30&amp;" "&amp;Milestones!$AC$30&amp;";  ","")&amp;IF(AND(EDATE($D80,Milestones!$AA$31)&lt;=AsOfDate,IF($R80=0,$X80,IF(AND($T80&lt;&gt;"",EDATE($D80,Milestones!$AA$31)&gt;=$T80),$W80,IF(AND($S80&lt;&gt;"",EDATE($D80,Milestones!$AA$31)&gt;=$S80),$V80,$U80)))=Milestones!$AB$31),UPPER(TEXT(EDATE($D80,Milestones!$AA$31),"dd mmm yy"))&amp;" "&amp;Milestones!$AB$31&amp;" "&amp;Milestones!$AC$31&amp;";  ","")&amp;IF(AND(EDATE($D80,Milestones!$AA$32)&lt;=AsOfDate,IF($R80=0,$X80,IF(AND($T80&lt;&gt;"",EDATE($D80,Milestones!$AA$32)&gt;=$T80),$W80,IF(AND($S80&lt;&gt;"",EDATE($D80,Milestones!$AA$32)&gt;=$S80),$V80,$U80)))=Milestones!$AB$32),UPPER(TEXT(EDATE($D80,Milestones!$AA$32),"dd mmm yy"))&amp;" "&amp;Milestones!$AB$32&amp;" "&amp;Milestones!$AC$32&amp;";  ","")&amp;IF(AND(EDATE($D80,Milestones!$AA$33)&lt;=AsOfDate,IF($R80=0,$X80,IF(AND($T80&lt;&gt;"",EDATE($D80,Milestones!$AA$33)&gt;=$T80),$W80,IF(AND($S80&lt;&gt;"",EDATE($D80,Milestones!$AA$33)&gt;=$S80),$V80,$U80)))=Milestones!$AB$33),UPPER(TEXT(EDATE($D80,Milestones!$AA$33),"dd mmm yy"))&amp;" "&amp;Milestones!$AB$33&amp;" "&amp;Milestones!$AC$33&amp;";  ","")&amp;IF(AND(EDATE($D80,Milestones!$AA$34)&lt;=AsOfDate,IF($R80=0,$X80,IF(AND($T80&lt;&gt;"",EDATE($D80,Milestones!$AA$34)&gt;=$T80),$W80,IF(AND($S80&lt;&gt;"",EDATE($D80,Milestones!$AA$34)&gt;=$S80),$V80,$U80)))=Milestones!$AB$34),UPPER(TEXT(EDATE($D80,Milestones!$AA$34),"dd mmm yy"))&amp;" "&amp;Milestones!$AB$34&amp;" "&amp;Milestones!$AC$34&amp;";  ","")&amp;IF(AND(EDATE($D80,Milestones!$AA$35)&lt;=AsOfDate,IF($R80=0,$X80,IF(AND($T80&lt;&gt;"",EDATE($D80,Milestones!$AA$35)&gt;=$T80),$W80,IF(AND($S80&lt;&gt;"",EDATE($D80,Milestones!$AA$35)&gt;=$S80),$V80,$U80)))=Milestones!$AB$35),UPPER(TEXT(EDATE($D80,Milestones!$AA$35),"dd mmm yy"))&amp;" "&amp;Milestones!$AB$35&amp;" "&amp;Milestones!$AC$35&amp;";  ","")&amp;IF(AND(EDATE($D80,Milestones!$AA$36)&lt;=AsOfDate,IF($R80=0,$X80,IF(AND($T80&lt;&gt;"",EDATE($D80,Milestones!$AA$36)&gt;=$T80),$W80,IF(AND($S80&lt;&gt;"",EDATE($D80,Milestones!$AA$36)&gt;=$S80),$V80,$U80)))=Milestones!$AB$36),UPPER(TEXT(EDATE($D80,Milestones!$AA$36),"dd mmm yy"))&amp;" "&amp;Milestones!$AB$36&amp;" "&amp;Milestones!$AC$36&amp;";  ","")&amp;IF(AND(EDATE($D80,Milestones!$AA$37)&lt;=AsOfDate,IF($R80=0,$X80,IF(AND($T80&lt;&gt;"",EDATE($D80,Milestones!$AA$37)&gt;=$T80),$W80,IF(AND($S80&lt;&gt;"",EDATE($D80,Milestones!$AA$37)&gt;=$S80),$V80,$U80)))=Milestones!$AB$37),UPPER(TEXT(EDATE($D80,Milestones!$AA$37),"dd mmm yy"))&amp;" "&amp;Milestones!$AB$37&amp;" "&amp;Milestones!$AC$37&amp;";  ","")&amp;IF(AND(EDATE($D80,Milestones!$AA$38)&lt;=AsOfDate,IF($R80=0,$X80,IF(AND($T80&lt;&gt;"",EDATE($D80,Milestones!$AA$38)&gt;=$T80),$W80,IF(AND($S80&lt;&gt;"",EDATE($D80,Milestones!$AA$38)&gt;=$S80),$V80,$U80)))=Milestones!$AB$38),UPPER(TEXT(EDATE($D80,Milestones!$AA$38),"dd mmm yy"))&amp;" "&amp;Milestones!$AB$38&amp;" "&amp;Milestones!$AC$38&amp;";  ","")&amp;IF(AND(EDATE($D80,Milestones!$AA$39)&lt;=AsOfDate,IF($R80=0,$X80,IF(AND($T80&lt;&gt;"",EDATE($D80,Milestones!$AA$39)&gt;=$T80),$W80,IF(AND($S80&lt;&gt;"",EDATE($D80,Milestones!$AA$39)&gt;=$S80),$V80,$U80)))=Milestones!$AB$39),UPPER(TEXT(EDATE($D80,Milestones!$AA$39),"dd mmm yy"))&amp;" "&amp;Milestones!$AB$39&amp;" "&amp;Milestones!$AC$39&amp;";  ",""))</f>
        <v/>
      </c>
      <c r="J80" s="0" t="str">
        <f aca="false">IF(OR($A80="",$D80=""),"",IF(AND(EDATE($D80,Milestones!$AA$40)&lt;=AsOfDate,IF($R80=0,$X80,IF(AND($T80&lt;&gt;"",EDATE($D80,Milestones!$AA$40)&gt;=$T80),$W80,IF(AND($S80&lt;&gt;"",EDATE($D80,Milestones!$AA$40)&gt;=$S80),$V80,$U80)))=Milestones!$AB$40),UPPER(TEXT(EDATE($D80,Milestones!$AA$40),"dd mmm yy"))&amp;" "&amp;Milestones!$AB$40&amp;" "&amp;Milestones!$AC$40&amp;";  ","")&amp;IF(AND(EDATE($D80,Milestones!$AA$41)&lt;=AsOfDate,IF($R80=0,$X80,IF(AND($T80&lt;&gt;"",EDATE($D80,Milestones!$AA$41)&gt;=$T80),$W80,IF(AND($S80&lt;&gt;"",EDATE($D80,Milestones!$AA$41)&gt;=$S80),$V80,$U80)))=Milestones!$AB$41),UPPER(TEXT(EDATE($D80,Milestones!$AA$41),"dd mmm yy"))&amp;" "&amp;Milestones!$AB$41&amp;" "&amp;Milestones!$AC$41&amp;";  ","")&amp;IF(AND(EDATE($D80,Milestones!$AA$42)&lt;=AsOfDate,IF($R80=0,$X80,IF(AND($T80&lt;&gt;"",EDATE($D80,Milestones!$AA$42)&gt;=$T80),$W80,IF(AND($S80&lt;&gt;"",EDATE($D80,Milestones!$AA$42)&gt;=$S80),$V80,$U80)))=Milestones!$AB$42),UPPER(TEXT(EDATE($D80,Milestones!$AA$42),"dd mmm yy"))&amp;" "&amp;Milestones!$AB$42&amp;" "&amp;Milestones!$AC$42&amp;";  ","")&amp;IF(AND(EDATE($D80,Milestones!$AA$43)&lt;=AsOfDate,IF($R80=0,$X80,IF(AND($T80&lt;&gt;"",EDATE($D80,Milestones!$AA$43)&gt;=$T80),$W80,IF(AND($S80&lt;&gt;"",EDATE($D80,Milestones!$AA$43)&gt;=$S80),$V80,$U80)))=Milestones!$AB$43),UPPER(TEXT(EDATE($D80,Milestones!$AA$43),"dd mmm yy"))&amp;" "&amp;Milestones!$AB$43&amp;" "&amp;Milestones!$AC$43&amp;";  ","")&amp;IF(AND(EDATE($D80,Milestones!$AA$44)&lt;=AsOfDate,IF($R80=0,$X80,IF(AND($T80&lt;&gt;"",EDATE($D80,Milestones!$AA$44)&gt;=$T80),$W80,IF(AND($S80&lt;&gt;"",EDATE($D80,Milestones!$AA$44)&gt;=$S80),$V80,$U80)))=Milestones!$AB$44),UPPER(TEXT(EDATE($D80,Milestones!$AA$44),"dd mmm yy"))&amp;" "&amp;Milestones!$AB$44&amp;" "&amp;Milestones!$AC$44&amp;";  ","")&amp;IF(AND(EDATE($D80,Milestones!$AA$45)&lt;=AsOfDate,IF($R80=0,$X80,IF(AND($T80&lt;&gt;"",EDATE($D80,Milestones!$AA$45)&gt;=$T80),$W80,IF(AND($S80&lt;&gt;"",EDATE($D80,Milestones!$AA$45)&gt;=$S80),$V80,$U80)))=Milestones!$AB$45),UPPER(TEXT(EDATE($D80,Milestones!$AA$45),"dd mmm yy"))&amp;" "&amp;Milestones!$AB$45&amp;" "&amp;Milestones!$AC$45&amp;";  ","")&amp;IF(AND(EDATE($D80,Milestones!$AA$46)&lt;=AsOfDate,IF($R80=0,$X80,IF(AND($T80&lt;&gt;"",EDATE($D80,Milestones!$AA$46)&gt;=$T80),$W80,IF(AND($S80&lt;&gt;"",EDATE($D80,Milestones!$AA$46)&gt;=$S80),$V80,$U80)))=Milestones!$AB$46),UPPER(TEXT(EDATE($D80,Milestones!$AA$46),"dd mmm yy"))&amp;" "&amp;Milestones!$AB$46&amp;" "&amp;Milestones!$AC$46&amp;";  ","")&amp;IF(AND(EDATE($D80,Milestones!$AA$47)&lt;=AsOfDate,IF($R80=0,$X80,IF(AND($T80&lt;&gt;"",EDATE($D80,Milestones!$AA$47)&gt;=$T80),$W80,IF(AND($S80&lt;&gt;"",EDATE($D80,Milestones!$AA$47)&gt;=$S80),$V80,$U80)))=Milestones!$AB$47),UPPER(TEXT(EDATE($D80,Milestones!$AA$47),"dd mmm yy"))&amp;" "&amp;Milestones!$AB$47&amp;" "&amp;Milestones!$AC$47&amp;";  ","")&amp;IF(AND(EDATE($D80,Milestones!$AA$48)&lt;=AsOfDate,IF($R80=0,$X80,IF(AND($T80&lt;&gt;"",EDATE($D80,Milestones!$AA$48)&gt;=$T80),$W80,IF(AND($S80&lt;&gt;"",EDATE($D80,Milestones!$AA$48)&gt;=$S80),$V80,$U80)))=Milestones!$AB$48),UPPER(TEXT(EDATE($D80,Milestones!$AA$48),"dd mmm yy"))&amp;" "&amp;Milestones!$AB$48&amp;" "&amp;Milestones!$AC$48&amp;";  ","")&amp;IF(AND(EDATE($D80,Milestones!$AA$49)&lt;=AsOfDate,IF($R80=0,$X80,IF(AND($T80&lt;&gt;"",EDATE($D80,Milestones!$AA$49)&gt;=$T80),$W80,IF(AND($S80&lt;&gt;"",EDATE($D80,Milestones!$AA$49)&gt;=$S80),$V80,$U80)))=Milestones!$AB$49),UPPER(TEXT(EDATE($D80,Milestones!$AA$49),"dd mmm yy"))&amp;" "&amp;Milestones!$AB$49&amp;" "&amp;Milestones!$AC$49&amp;";  ","")&amp;IF(AND(EDATE($D80,Milestones!$AA$50)&lt;=AsOfDate,IF($R80=0,$X80,IF(AND($T80&lt;&gt;"",EDATE($D80,Milestones!$AA$50)&gt;=$T80),$W80,IF(AND($S80&lt;&gt;"",EDATE($D80,Milestones!$AA$50)&gt;=$S80),$V80,$U80)))=Milestones!$AB$50),UPPER(TEXT(EDATE($D80,Milestones!$AA$50),"dd mmm yy"))&amp;" "&amp;Milestones!$AB$50&amp;" "&amp;Milestones!$AC$50&amp;";  ","")&amp;IF(AND(EDATE($D80,Milestones!$AA$51)&lt;=AsOfDate,IF($R80=0,$X80,IF(AND($T80&lt;&gt;"",EDATE($D80,Milestones!$AA$51)&gt;=$T80),$W80,IF(AND($S80&lt;&gt;"",EDATE($D80,Milestones!$AA$51)&gt;=$S80),$V80,$U80)))=Milestones!$AB$51),UPPER(TEXT(EDATE($D80,Milestones!$AA$51),"dd mmm yy"))&amp;" "&amp;Milestones!$AB$51&amp;" "&amp;Milestones!$AC$51&amp;";  ","")&amp;IF(AND(EDATE($D80,Milestones!$AA$52)&lt;=AsOfDate,IF($R80=0,$X80,IF(AND($T80&lt;&gt;"",EDATE($D80,Milestones!$AA$52)&gt;=$T80),$W80,IF(AND($S80&lt;&gt;"",EDATE($D80,Milestones!$AA$52)&gt;=$S80),$V80,$U80)))=Milestones!$AB$52),UPPER(TEXT(EDATE($D80,Milestones!$AA$52),"dd mmm yy"))&amp;" "&amp;Milestones!$AB$52&amp;" "&amp;Milestones!$AC$52&amp;";  ","")&amp;IF(AND(EDATE($D80,Milestones!$AA$53)&lt;=AsOfDate,IF($R80=0,$X80,IF(AND($T80&lt;&gt;"",EDATE($D80,Milestones!$AA$53)&gt;=$T80),$W80,IF(AND($S80&lt;&gt;"",EDATE($D80,Milestones!$AA$53)&gt;=$S80),$V80,$U80)))=Milestones!$AB$53),UPPER(TEXT(EDATE($D80,Milestones!$AA$53),"dd mmm yy"))&amp;" "&amp;Milestones!$AB$53&amp;" "&amp;Milestones!$AC$53&amp;";  ","")&amp;IF(AND(EDATE($D80,Milestones!$AA$54)&lt;=AsOfDate,IF($R80=0,$X80,IF(AND($T80&lt;&gt;"",EDATE($D80,Milestones!$AA$54)&gt;=$T80),$W80,IF(AND($S80&lt;&gt;"",EDATE($D80,Milestones!$AA$54)&gt;=$S80),$V80,$U80)))=Milestones!$AB$54),UPPER(TEXT(EDATE($D80,Milestones!$AA$54),"dd mmm yy"))&amp;" "&amp;Milestones!$AB$54&amp;" "&amp;Milestones!$AC$54&amp;";  ","")&amp;IF(AND(EDATE($D80,Milestones!$AA$55)&lt;=AsOfDate,IF($R80=0,$X80,IF(AND($T80&lt;&gt;"",EDATE($D80,Milestones!$AA$55)&gt;=$T80),$W80,IF(AND($S80&lt;&gt;"",EDATE($D80,Milestones!$AA$55)&gt;=$S80),$V80,$U80)))=Milestones!$AB$55),UPPER(TEXT(EDATE($D80,Milestones!$AA$55),"dd mmm yy"))&amp;" "&amp;Milestones!$AB$55&amp;" "&amp;Milestones!$AC$55&amp;";  ","")&amp;IF(AND(EDATE($D80,Milestones!$AA$56)&lt;=AsOfDate,IF($R80=0,$X80,IF(AND($T80&lt;&gt;"",EDATE($D80,Milestones!$AA$56)&gt;=$T80),$W80,IF(AND($S80&lt;&gt;"",EDATE($D80,Milestones!$AA$56)&gt;=$S80),$V80,$U80)))=Milestones!$AB$56),UPPER(TEXT(EDATE($D80,Milestones!$AA$56),"dd mmm yy"))&amp;" "&amp;Milestones!$AB$56&amp;" "&amp;Milestones!$AC$56&amp;";  ","")&amp;IF(AND(EDATE($D80,Milestones!$AA$57)&lt;=AsOfDate,IF($R80=0,$X80,IF(AND($T80&lt;&gt;"",EDATE($D80,Milestones!$AA$57)&gt;=$T80),$W80,IF(AND($S80&lt;&gt;"",EDATE($D80,Milestones!$AA$57)&gt;=$S80),$V80,$U80)))=Milestones!$AB$57),UPPER(TEXT(EDATE($D80,Milestones!$AA$57),"dd mmm yy"))&amp;" "&amp;Milestones!$AB$57&amp;" "&amp;Milestones!$AC$57&amp;";  ","")&amp;IF(AND(EDATE($D80,Milestones!$AA$58)&lt;=AsOfDate,IF($R80=0,$X80,IF(AND($T80&lt;&gt;"",EDATE($D80,Milestones!$AA$58)&gt;=$T80),$W80,IF(AND($S80&lt;&gt;"",EDATE($D80,Milestones!$AA$58)&gt;=$S80),$V80,$U80)))=Milestones!$AB$58),UPPER(TEXT(EDATE($D80,Milestones!$AA$58),"dd mmm yy"))&amp;" "&amp;Milestones!$AB$58&amp;" "&amp;Milestones!$AC$58&amp;";  ","")&amp;IF(AND(EDATE($D80,Milestones!$AA$59)&lt;=AsOfDate,IF($R80=0,$X80,IF(AND($T80&lt;&gt;"",EDATE($D80,Milestones!$AA$59)&gt;=$T80),$W80,IF(AND($S80&lt;&gt;"",EDATE($D80,Milestones!$AA$59)&gt;=$S80),$V80,$U80)))=Milestones!$AB$59),UPPER(TEXT(EDATE($D80,Milestones!$AA$59),"dd mmm yy"))&amp;" "&amp;Milestones!$AB$59&amp;" "&amp;Milestones!$AC$59&amp;";  ",""))</f>
        <v/>
      </c>
      <c r="K80" s="0" t="str">
        <f aca="false">IF(OR($A80="",$D80=""),"",IF(AND(EDATE($D80,Milestones!$AA$60)&lt;=AsOfDate,IF($R80=0,$X80,IF(AND($T80&lt;&gt;"",EDATE($D80,Milestones!$AA$60)&gt;=$T80),$W80,IF(AND($S80&lt;&gt;"",EDATE($D80,Milestones!$AA$60)&gt;=$S80),$V80,$U80)))=Milestones!$AB$60),UPPER(TEXT(EDATE($D80,Milestones!$AA$60),"dd mmm yy"))&amp;" "&amp;Milestones!$AB$60&amp;" "&amp;Milestones!$AC$60&amp;";  ","")&amp;IF(AND(EDATE($D80,Milestones!$AA$61)&lt;=AsOfDate,IF($R80=0,$X80,IF(AND($T80&lt;&gt;"",EDATE($D80,Milestones!$AA$61)&gt;=$T80),$W80,IF(AND($S80&lt;&gt;"",EDATE($D80,Milestones!$AA$61)&gt;=$S80),$V80,$U80)))=Milestones!$AB$61),UPPER(TEXT(EDATE($D80,Milestones!$AA$61),"dd mmm yy"))&amp;" "&amp;Milestones!$AB$61&amp;" "&amp;Milestones!$AC$61&amp;";  ","")&amp;IF(AND(EDATE($D80,Milestones!$AA$62)&lt;=AsOfDate,IF($R80=0,$X80,IF(AND($T80&lt;&gt;"",EDATE($D80,Milestones!$AA$62)&gt;=$T80),$W80,IF(AND($S80&lt;&gt;"",EDATE($D80,Milestones!$AA$62)&gt;=$S80),$V80,$U80)))=Milestones!$AB$62),UPPER(TEXT(EDATE($D80,Milestones!$AA$62),"dd mmm yy"))&amp;" "&amp;Milestones!$AB$62&amp;" "&amp;Milestones!$AC$62&amp;";  ","")&amp;IF(AND(EDATE($D80,Milestones!$AA$63)&lt;=AsOfDate,IF($R80=0,$X80,IF(AND($T80&lt;&gt;"",EDATE($D80,Milestones!$AA$63)&gt;=$T80),$W80,IF(AND($S80&lt;&gt;"",EDATE($D80,Milestones!$AA$63)&gt;=$S80),$V80,$U80)))=Milestones!$AB$63),UPPER(TEXT(EDATE($D80,Milestones!$AA$63),"dd mmm yy"))&amp;" "&amp;Milestones!$AB$63&amp;" "&amp;Milestones!$AC$63&amp;";  ","")&amp;IF(AND(EDATE($D80,Milestones!$AA$64)&lt;=AsOfDate,IF($R80=0,$X80,IF(AND($T80&lt;&gt;"",EDATE($D80,Milestones!$AA$64)&gt;=$T80),$W80,IF(AND($S80&lt;&gt;"",EDATE($D80,Milestones!$AA$64)&gt;=$S80),$V80,$U80)))=Milestones!$AB$64),UPPER(TEXT(EDATE($D80,Milestones!$AA$64),"dd mmm yy"))&amp;" "&amp;Milestones!$AB$64&amp;" "&amp;Milestones!$AC$64&amp;";  ","")&amp;IF(AND(EDATE($D80,Milestones!$AA$65)&lt;=AsOfDate,IF($R80=0,$X80,IF(AND($T80&lt;&gt;"",EDATE($D80,Milestones!$AA$65)&gt;=$T80),$W80,IF(AND($S80&lt;&gt;"",EDATE($D80,Milestones!$AA$65)&gt;=$S80),$V80,$U80)))=Milestones!$AB$65),UPPER(TEXT(EDATE($D80,Milestones!$AA$65),"dd mmm yy"))&amp;" "&amp;Milestones!$AB$65&amp;" "&amp;Milestones!$AC$65&amp;";  ","")&amp;IF(AND(EDATE($D80,Milestones!$AA$66)&lt;=AsOfDate,IF($R80=0,$X80,IF(AND($T80&lt;&gt;"",EDATE($D80,Milestones!$AA$66)&gt;=$T80),$W80,IF(AND($S80&lt;&gt;"",EDATE($D80,Milestones!$AA$66)&gt;=$S80),$V80,$U80)))=Milestones!$AB$66),UPPER(TEXT(EDATE($D80,Milestones!$AA$66),"dd mmm yy"))&amp;" "&amp;Milestones!$AB$66&amp;" "&amp;Milestones!$AC$66&amp;";  ","")&amp;IF(AND(EDATE($D80,Milestones!$AA$67)&lt;=AsOfDate,IF($R80=0,$X80,IF(AND($T80&lt;&gt;"",EDATE($D80,Milestones!$AA$67)&gt;=$T80),$W80,IF(AND($S80&lt;&gt;"",EDATE($D80,Milestones!$AA$67)&gt;=$S80),$V80,$U80)))=Milestones!$AB$67),UPPER(TEXT(EDATE($D80,Milestones!$AA$67),"dd mmm yy"))&amp;" "&amp;Milestones!$AB$67&amp;" "&amp;Milestones!$AC$67&amp;";  ","")&amp;IF(AND(EDATE($D80,Milestones!$AA$68)&lt;=AsOfDate,IF($R80=0,$X80,IF(AND($T80&lt;&gt;"",EDATE($D80,Milestones!$AA$68)&gt;=$T80),$W80,IF(AND($S80&lt;&gt;"",EDATE($D80,Milestones!$AA$68)&gt;=$S80),$V80,$U80)))=Milestones!$AB$68),UPPER(TEXT(EDATE($D80,Milestones!$AA$68),"dd mmm yy"))&amp;" "&amp;Milestones!$AB$68&amp;" "&amp;Milestones!$AC$68&amp;";  ","")&amp;IF(AND(EDATE($D80,Milestones!$AA$69)&lt;=AsOfDate,IF($R80=0,$X80,IF(AND($T80&lt;&gt;"",EDATE($D80,Milestones!$AA$69)&gt;=$T80),$W80,IF(AND($S80&lt;&gt;"",EDATE($D80,Milestones!$AA$69)&gt;=$S80),$V80,$U80)))=Milestones!$AB$69),UPPER(TEXT(EDATE($D80,Milestones!$AA$69),"dd mmm yy"))&amp;" "&amp;Milestones!$AB$69&amp;" "&amp;Milestones!$AC$69&amp;";  ","")&amp;IF(AND(EDATE($D80,Milestones!$AA$70)&lt;=AsOfDate,IF($R80=0,$X80,IF(AND($T80&lt;&gt;"",EDATE($D80,Milestones!$AA$70)&gt;=$T80),$W80,IF(AND($S80&lt;&gt;"",EDATE($D80,Milestones!$AA$70)&gt;=$S80),$V80,$U80)))=Milestones!$AB$70),UPPER(TEXT(EDATE($D80,Milestones!$AA$70),"dd mmm yy"))&amp;" "&amp;Milestones!$AB$70&amp;" "&amp;Milestones!$AC$70&amp;";  ","")&amp;IF(AND(EDATE($D80,Milestones!$AA$71)&lt;=AsOfDate,IF($R80=0,$X80,IF(AND($T80&lt;&gt;"",EDATE($D80,Milestones!$AA$71)&gt;=$T80),$W80,IF(AND($S80&lt;&gt;"",EDATE($D80,Milestones!$AA$71)&gt;=$S80),$V80,$U80)))=Milestones!$AB$71),UPPER(TEXT(EDATE($D80,Milestones!$AA$71),"dd mmm yy"))&amp;" "&amp;Milestones!$AB$71&amp;" "&amp;Milestones!$AC$71&amp;";  ","")&amp;IF(AND(EDATE($D80,Milestones!$AA$72)&lt;=AsOfDate,IF($R80=0,$X80,IF(AND($T80&lt;&gt;"",EDATE($D80,Milestones!$AA$72)&gt;=$T80),$W80,IF(AND($S80&lt;&gt;"",EDATE($D80,Milestones!$AA$72)&gt;=$S80),$V80,$U80)))=Milestones!$AB$72),UPPER(TEXT(EDATE($D80,Milestones!$AA$72),"dd mmm yy"))&amp;" "&amp;Milestones!$AB$72&amp;" "&amp;Milestones!$AC$72&amp;";  ","")&amp;IF(AND(EDATE($D80,Milestones!$AA$73)&lt;=AsOfDate,IF($R80=0,$X80,IF(AND($T80&lt;&gt;"",EDATE($D80,Milestones!$AA$73)&gt;=$T80),$W80,IF(AND($S80&lt;&gt;"",EDATE($D80,Milestones!$AA$73)&gt;=$S80),$V80,$U80)))=Milestones!$AB$73),UPPER(TEXT(EDATE($D80,Milestones!$AA$73),"dd mmm yy"))&amp;" "&amp;Milestones!$AB$73&amp;" "&amp;Milestones!$AC$73&amp;";  ","")&amp;IF(AND(EDATE($D80,Milestones!$AA$74)&lt;=AsOfDate,IF($R80=0,$X80,IF(AND($T80&lt;&gt;"",EDATE($D80,Milestones!$AA$74)&gt;=$T80),$W80,IF(AND($S80&lt;&gt;"",EDATE($D80,Milestones!$AA$74)&gt;=$S80),$V80,$U80)))=Milestones!$AB$74),UPPER(TEXT(EDATE($D80,Milestones!$AA$74),"dd mmm yy"))&amp;" "&amp;Milestones!$AB$74&amp;" "&amp;Milestones!$AC$74&amp;";  ","")&amp;IF(AND(EDATE($D80,Milestones!$AA$75)&lt;=AsOfDate,IF($R80=0,$X80,IF(AND($T80&lt;&gt;"",EDATE($D80,Milestones!$AA$75)&gt;=$T80),$W80,IF(AND($S80&lt;&gt;"",EDATE($D80,Milestones!$AA$75)&gt;=$S80),$V80,$U80)))=Milestones!$AB$75),UPPER(TEXT(EDATE($D80,Milestones!$AA$75),"dd mmm yy"))&amp;" "&amp;Milestones!$AB$75&amp;" "&amp;Milestones!$AC$75&amp;";  ","")&amp;IF(AND(EDATE($D80,Milestones!$AA$76)&lt;=AsOfDate,IF($R80=0,$X80,IF(AND($T80&lt;&gt;"",EDATE($D80,Milestones!$AA$76)&gt;=$T80),$W80,IF(AND($S80&lt;&gt;"",EDATE($D80,Milestones!$AA$76)&gt;=$S80),$V80,$U80)))=Milestones!$AB$76),UPPER(TEXT(EDATE($D80,Milestones!$AA$76),"dd mmm yy"))&amp;" "&amp;Milestones!$AB$76&amp;" "&amp;Milestones!$AC$76&amp;";  ","")&amp;IF(AND(EDATE($D80,Milestones!$AA$77)&lt;=AsOfDate,IF($R80=0,$X80,IF(AND($T80&lt;&gt;"",EDATE($D80,Milestones!$AA$77)&gt;=$T80),$W80,IF(AND($S80&lt;&gt;"",EDATE($D80,Milestones!$AA$77)&gt;=$S80),$V80,$U80)))=Milestones!$AB$77),UPPER(TEXT(EDATE($D80,Milestones!$AA$77),"dd mmm yy"))&amp;" "&amp;Milestones!$AB$77&amp;" "&amp;Milestones!$AC$77&amp;";  ","")&amp;IF(AND(EDATE($D80,Milestones!$AA$78)&lt;=AsOfDate,IF($R80=0,$X80,IF(AND($T80&lt;&gt;"",EDATE($D80,Milestones!$AA$78)&gt;=$T80),$W80,IF(AND($S80&lt;&gt;"",EDATE($D80,Milestones!$AA$78)&gt;=$S80),$V80,$U80)))=Milestones!$AB$78),UPPER(TEXT(EDATE($D80,Milestones!$AA$78),"dd mmm yy"))&amp;" "&amp;Milestones!$AB$78&amp;" "&amp;Milestones!$AC$78&amp;";  ","")&amp;IF(AND(EDATE($D80,Milestones!$AA$79)&lt;=AsOfDate,IF($R80=0,$X80,IF(AND($T80&lt;&gt;"",EDATE($D80,Milestones!$AA$79)&gt;=$T80),$W80,IF(AND($S80&lt;&gt;"",EDATE($D80,Milestones!$AA$79)&gt;=$S80),$V80,$U80)))=Milestones!$AB$79),UPPER(TEXT(EDATE($D80,Milestones!$AA$79),"dd mmm yy"))&amp;" "&amp;Milestones!$AB$79&amp;" "&amp;Milestones!$AC$79&amp;";  ",""))</f>
        <v/>
      </c>
      <c r="L80" s="0" t="str">
        <f aca="false">IF(OR($A80="",$D80=""),"",IF(AND(EDATE($D80,Milestones!$AA$80)&lt;=AsOfDate,IF($R80=0,$X80,IF(AND($T80&lt;&gt;"",EDATE($D80,Milestones!$AA$80)&gt;=$T80),$W80,IF(AND($S80&lt;&gt;"",EDATE($D80,Milestones!$AA$80)&gt;=$S80),$V80,$U80)))=Milestones!$AB$80),UPPER(TEXT(EDATE($D80,Milestones!$AA$80),"dd mmm yy"))&amp;" "&amp;Milestones!$AB$80&amp;" "&amp;Milestones!$AC$80&amp;";  ","")&amp;IF(AND(EDATE($D80,Milestones!$AA$81)&lt;=AsOfDate,IF($R80=0,$X80,IF(AND($T80&lt;&gt;"",EDATE($D80,Milestones!$AA$81)&gt;=$T80),$W80,IF(AND($S80&lt;&gt;"",EDATE($D80,Milestones!$AA$81)&gt;=$S80),$V80,$U80)))=Milestones!$AB$81),UPPER(TEXT(EDATE($D80,Milestones!$AA$81),"dd mmm yy"))&amp;" "&amp;Milestones!$AB$81&amp;" "&amp;Milestones!$AC$81&amp;";  ","")&amp;IF(AND(EDATE($D80,Milestones!$AA$82)&lt;=AsOfDate,IF($R80=0,$X80,IF(AND($T80&lt;&gt;"",EDATE($D80,Milestones!$AA$82)&gt;=$T80),$W80,IF(AND($S80&lt;&gt;"",EDATE($D80,Milestones!$AA$82)&gt;=$S80),$V80,$U80)))=Milestones!$AB$82),UPPER(TEXT(EDATE($D80,Milestones!$AA$82),"dd mmm yy"))&amp;" "&amp;Milestones!$AB$82&amp;" "&amp;Milestones!$AC$82&amp;";  ","")&amp;IF(AND(EDATE($D80,Milestones!$AA$83)&lt;=AsOfDate,IF($R80=0,$X80,IF(AND($T80&lt;&gt;"",EDATE($D80,Milestones!$AA$83)&gt;=$T80),$W80,IF(AND($S80&lt;&gt;"",EDATE($D80,Milestones!$AA$83)&gt;=$S80),$V80,$U80)))=Milestones!$AB$83),UPPER(TEXT(EDATE($D80,Milestones!$AA$83),"dd mmm yy"))&amp;" "&amp;Milestones!$AB$83&amp;" "&amp;Milestones!$AC$83&amp;";  ","")&amp;IF(AND(EDATE($D80,Milestones!$AA$84)&lt;=AsOfDate,IF($R80=0,$X80,IF(AND($T80&lt;&gt;"",EDATE($D80,Milestones!$AA$84)&gt;=$T80),$W80,IF(AND($S80&lt;&gt;"",EDATE($D80,Milestones!$AA$84)&gt;=$S80),$V80,$U80)))=Milestones!$AB$84),UPPER(TEXT(EDATE($D80,Milestones!$AA$84),"dd mmm yy"))&amp;" "&amp;Milestones!$AB$84&amp;" "&amp;Milestones!$AC$84&amp;";  ","")&amp;IF(AND(EDATE($D80,Milestones!$AA$85)&lt;=AsOfDate,IF($R80=0,$X80,IF(AND($T80&lt;&gt;"",EDATE($D80,Milestones!$AA$85)&gt;=$T80),$W80,IF(AND($S80&lt;&gt;"",EDATE($D80,Milestones!$AA$85)&gt;=$S80),$V80,$U80)))=Milestones!$AB$85),UPPER(TEXT(EDATE($D80,Milestones!$AA$85),"dd mmm yy"))&amp;" "&amp;Milestones!$AB$85&amp;" "&amp;Milestones!$AC$85&amp;";  ","")&amp;IF(AND(EDATE($D80,Milestones!$AA$86)&lt;=AsOfDate,IF($R80=0,$X80,IF(AND($T80&lt;&gt;"",EDATE($D80,Milestones!$AA$86)&gt;=$T80),$W80,IF(AND($S80&lt;&gt;"",EDATE($D80,Milestones!$AA$86)&gt;=$S80),$V80,$U80)))=Milestones!$AB$86),UPPER(TEXT(EDATE($D80,Milestones!$AA$86),"dd mmm yy"))&amp;" "&amp;Milestones!$AB$86&amp;" "&amp;Milestones!$AC$86&amp;";  ","")&amp;IF(AND(EDATE($D80,Milestones!$AA$87)&lt;=AsOfDate,IF($R80=0,$X80,IF(AND($T80&lt;&gt;"",EDATE($D80,Milestones!$AA$87)&gt;=$T80),$W80,IF(AND($S80&lt;&gt;"",EDATE($D80,Milestones!$AA$87)&gt;=$S80),$V80,$U80)))=Milestones!$AB$87),UPPER(TEXT(EDATE($D80,Milestones!$AA$87),"dd mmm yy"))&amp;" "&amp;Milestones!$AB$87&amp;" "&amp;Milestones!$AC$87&amp;";  ","")&amp;IF(AND(EDATE($D80,Milestones!$AA$88)&lt;=AsOfDate,IF($R80=0,$X80,IF(AND($T80&lt;&gt;"",EDATE($D80,Milestones!$AA$88)&gt;=$T80),$W80,IF(AND($S80&lt;&gt;"",EDATE($D80,Milestones!$AA$88)&gt;=$S80),$V80,$U80)))=Milestones!$AB$88),UPPER(TEXT(EDATE($D80,Milestones!$AA$88),"dd mmm yy"))&amp;" "&amp;Milestones!$AB$88&amp;" "&amp;Milestones!$AC$88&amp;";  ","")&amp;IF(AND(EDATE($D80,Milestones!$AA$89)&lt;=AsOfDate,IF($R80=0,$X80,IF(AND($T80&lt;&gt;"",EDATE($D80,Milestones!$AA$89)&gt;=$T80),$W80,IF(AND($S80&lt;&gt;"",EDATE($D80,Milestones!$AA$89)&gt;=$S80),$V80,$U80)))=Milestones!$AB$89),UPPER(TEXT(EDATE($D80,Milestones!$AA$89),"dd mmm yy"))&amp;" "&amp;Milestones!$AB$89&amp;" "&amp;Milestones!$AC$89&amp;";  ","")&amp;IF(AND(EDATE($D80,Milestones!$AA$90)&lt;=AsOfDate,IF($R80=0,$X80,IF(AND($T80&lt;&gt;"",EDATE($D80,Milestones!$AA$90)&gt;=$T80),$W80,IF(AND($S80&lt;&gt;"",EDATE($D80,Milestones!$AA$90)&gt;=$S80),$V80,$U80)))=Milestones!$AB$90),UPPER(TEXT(EDATE($D80,Milestones!$AA$90),"dd mmm yy"))&amp;" "&amp;Milestones!$AB$90&amp;" "&amp;Milestones!$AC$90&amp;";  ","")&amp;IF(AND(EDATE($D80,Milestones!$AA$91)&lt;=AsOfDate,IF($R80=0,$X80,IF(AND($T80&lt;&gt;"",EDATE($D80,Milestones!$AA$91)&gt;=$T80),$W80,IF(AND($S80&lt;&gt;"",EDATE($D80,Milestones!$AA$91)&gt;=$S80),$V80,$U80)))=Milestones!$AB$91),UPPER(TEXT(EDATE($D80,Milestones!$AA$91),"dd mmm yy"))&amp;" "&amp;Milestones!$AB$91&amp;" "&amp;Milestones!$AC$91&amp;";  ","")&amp;IF(AND(EDATE($D80,Milestones!$AA$92)&lt;=AsOfDate,IF($R80=0,$X80,IF(AND($T80&lt;&gt;"",EDATE($D80,Milestones!$AA$92)&gt;=$T80),$W80,IF(AND($S80&lt;&gt;"",EDATE($D80,Milestones!$AA$92)&gt;=$S80),$V80,$U80)))=Milestones!$AB$92),UPPER(TEXT(EDATE($D80,Milestones!$AA$92),"dd mmm yy"))&amp;" "&amp;Milestones!$AB$92&amp;" "&amp;Milestones!$AC$92&amp;";  ","")&amp;IF(AND(EDATE($D80,Milestones!$AA$93)&lt;=AsOfDate,IF($R80=0,$X80,IF(AND($T80&lt;&gt;"",EDATE($D80,Milestones!$AA$93)&gt;=$T80),$W80,IF(AND($S80&lt;&gt;"",EDATE($D80,Milestones!$AA$93)&gt;=$S80),$V80,$U80)))=Milestones!$AB$93),UPPER(TEXT(EDATE($D80,Milestones!$AA$93),"dd mmm yy"))&amp;" "&amp;Milestones!$AB$93&amp;" "&amp;Milestones!$AC$93&amp;";  ","")&amp;IF(AND(EDATE($D80,Milestones!$AA$94)&lt;=AsOfDate,IF($R80=0,$X80,IF(AND($T80&lt;&gt;"",EDATE($D80,Milestones!$AA$94)&gt;=$T80),$W80,IF(AND($S80&lt;&gt;"",EDATE($D80,Milestones!$AA$94)&gt;=$S80),$V80,$U80)))=Milestones!$AB$94),UPPER(TEXT(EDATE($D80,Milestones!$AA$94),"dd mmm yy"))&amp;" "&amp;Milestones!$AB$94&amp;" "&amp;Milestones!$AC$94&amp;";  ","")&amp;IF(AND(EDATE($D80,Milestones!$AA$95)&lt;=AsOfDate,IF($R80=0,$X80,IF(AND($T80&lt;&gt;"",EDATE($D80,Milestones!$AA$95)&gt;=$T80),$W80,IF(AND($S80&lt;&gt;"",EDATE($D80,Milestones!$AA$95)&gt;=$S80),$V80,$U80)))=Milestones!$AB$95),UPPER(TEXT(EDATE($D80,Milestones!$AA$95),"dd mmm yy"))&amp;" "&amp;Milestones!$AB$95&amp;" "&amp;Milestones!$AC$95&amp;";  ","")&amp;IF(AND(EDATE($D80,Milestones!$AA$96)&lt;=AsOfDate,IF($R80=0,$X80,IF(AND($T80&lt;&gt;"",EDATE($D80,Milestones!$AA$96)&gt;=$T80),$W80,IF(AND($S80&lt;&gt;"",EDATE($D80,Milestones!$AA$96)&gt;=$S80),$V80,$U80)))=Milestones!$AB$96),UPPER(TEXT(EDATE($D80,Milestones!$AA$96),"dd mmm yy"))&amp;" "&amp;Milestones!$AB$96&amp;" "&amp;Milestones!$AC$96&amp;";  ","")&amp;IF(AND(EDATE($D80,Milestones!$AA$97)&lt;=AsOfDate,IF($R80=0,$X80,IF(AND($T80&lt;&gt;"",EDATE($D80,Milestones!$AA$97)&gt;=$T80),$W80,IF(AND($S80&lt;&gt;"",EDATE($D80,Milestones!$AA$97)&gt;=$S80),$V80,$U80)))=Milestones!$AB$97),UPPER(TEXT(EDATE($D80,Milestones!$AA$97),"dd mmm yy"))&amp;" "&amp;Milestones!$AB$97&amp;" "&amp;Milestones!$AC$97&amp;";  ","")&amp;IF(AND(EDATE($D80,Milestones!$AA$98)&lt;=AsOfDate,IF($R80=0,$X80,IF(AND($T80&lt;&gt;"",EDATE($D80,Milestones!$AA$98)&gt;=$T80),$W80,IF(AND($S80&lt;&gt;"",EDATE($D80,Milestones!$AA$98)&gt;=$S80),$V80,$U80)))=Milestones!$AB$98),UPPER(TEXT(EDATE($D80,Milestones!$AA$98),"dd mmm yy"))&amp;" "&amp;Milestones!$AB$98&amp;" "&amp;Milestones!$AC$98&amp;";  ","")&amp;IF(AND(EDATE($D80,Milestones!$AA$99)&lt;=AsOfDate,IF($R80=0,$X80,IF(AND($T80&lt;&gt;"",EDATE($D80,Milestones!$AA$99)&gt;=$T80),$W80,IF(AND($S80&lt;&gt;"",EDATE($D80,Milestones!$AA$99)&gt;=$S80),$V80,$U80)))=Milestones!$AB$99),UPPER(TEXT(EDATE($D80,Milestones!$AA$99),"dd mmm yy"))&amp;" "&amp;Milestones!$AB$99&amp;" "&amp;Milestones!$AC$99&amp;";  ",""))</f>
        <v/>
      </c>
      <c r="M80" s="0" t="str">
        <f aca="false">IF(OR($A80="",$D80=""),"",IF(AND(EDATE($D80,Milestones!$AA$100)&lt;=AsOfDate,IF($R80=0,$X80,IF(AND($T80&lt;&gt;"",EDATE($D80,Milestones!$AA$100)&gt;=$T80),$W80,IF(AND($S80&lt;&gt;"",EDATE($D80,Milestones!$AA$100)&gt;=$S80),$V80,$U80)))=Milestones!$AB$100),UPPER(TEXT(EDATE($D80,Milestones!$AA$100),"dd mmm yy"))&amp;" "&amp;Milestones!$AB$100&amp;" "&amp;Milestones!$AC$100&amp;";  ","")&amp;IF(AND(EDATE($D80,Milestones!$AA$101)&lt;=AsOfDate,IF($R80=0,$X80,IF(AND($T80&lt;&gt;"",EDATE($D80,Milestones!$AA$101)&gt;=$T80),$W80,IF(AND($S80&lt;&gt;"",EDATE($D80,Milestones!$AA$101)&gt;=$S80),$V80,$U80)))=Milestones!$AB$101),UPPER(TEXT(EDATE($D80,Milestones!$AA$101),"dd mmm yy"))&amp;" "&amp;Milestones!$AB$101&amp;" "&amp;Milestones!$AC$101&amp;";  ","")&amp;IF(AND(EDATE($D80,Milestones!$AA$102)&lt;=AsOfDate,IF($R80=0,$X80,IF(AND($T80&lt;&gt;"",EDATE($D80,Milestones!$AA$102)&gt;=$T80),$W80,IF(AND($S80&lt;&gt;"",EDATE($D80,Milestones!$AA$102)&gt;=$S80),$V80,$U80)))=Milestones!$AB$102),UPPER(TEXT(EDATE($D80,Milestones!$AA$102),"dd mmm yy"))&amp;" "&amp;Milestones!$AB$102&amp;" "&amp;Milestones!$AC$102&amp;";  ","")&amp;IF(AND(EDATE($D80,Milestones!$AA$103)&lt;=AsOfDate,IF($R80=0,$X80,IF(AND($T80&lt;&gt;"",EDATE($D80,Milestones!$AA$103)&gt;=$T80),$W80,IF(AND($S80&lt;&gt;"",EDATE($D80,Milestones!$AA$103)&gt;=$S80),$V80,$U80)))=Milestones!$AB$103),UPPER(TEXT(EDATE($D80,Milestones!$AA$103),"dd mmm yy"))&amp;" "&amp;Milestones!$AB$103&amp;" "&amp;Milestones!$AC$103&amp;";  ","")&amp;IF(AND(EDATE($D80,Milestones!$AA$104)&lt;=AsOfDate,IF($R80=0,$X80,IF(AND($T80&lt;&gt;"",EDATE($D80,Milestones!$AA$104)&gt;=$T80),$W80,IF(AND($S80&lt;&gt;"",EDATE($D80,Milestones!$AA$104)&gt;=$S80),$V80,$U80)))=Milestones!$AB$104),UPPER(TEXT(EDATE($D80,Milestones!$AA$104),"dd mmm yy"))&amp;" "&amp;Milestones!$AB$104&amp;" "&amp;Milestones!$AC$104&amp;";  ","")&amp;IF(AND(EDATE($D80,Milestones!$AA$105)&lt;=AsOfDate,IF($R80=0,$X80,IF(AND($T80&lt;&gt;"",EDATE($D80,Milestones!$AA$105)&gt;=$T80),$W80,IF(AND($S80&lt;&gt;"",EDATE($D80,Milestones!$AA$105)&gt;=$S80),$V80,$U80)))=Milestones!$AB$105),UPPER(TEXT(EDATE($D80,Milestones!$AA$105),"dd mmm yy"))&amp;" "&amp;Milestones!$AB$105&amp;" "&amp;Milestones!$AC$105&amp;";  ","")&amp;IF(AND(EDATE($D80,Milestones!$AA$106)&lt;=AsOfDate,IF($R80=0,$X80,IF(AND($T80&lt;&gt;"",EDATE($D80,Milestones!$AA$106)&gt;=$T80),$W80,IF(AND($S80&lt;&gt;"",EDATE($D80,Milestones!$AA$106)&gt;=$S80),$V80,$U80)))=Milestones!$AB$106),UPPER(TEXT(EDATE($D80,Milestones!$AA$106),"dd mmm yy"))&amp;" "&amp;Milestones!$AB$106&amp;" "&amp;Milestones!$AC$106&amp;";  ","")&amp;IF(AND(EDATE($D80,Milestones!$AA$107)&lt;=AsOfDate,IF($R80=0,$X80,IF(AND($T80&lt;&gt;"",EDATE($D80,Milestones!$AA$107)&gt;=$T80),$W80,IF(AND($S80&lt;&gt;"",EDATE($D80,Milestones!$AA$107)&gt;=$S80),$V80,$U80)))=Milestones!$AB$107),UPPER(TEXT(EDATE($D80,Milestones!$AA$107),"dd mmm yy"))&amp;" "&amp;Milestones!$AB$107&amp;" "&amp;Milestones!$AC$107&amp;";  ","")&amp;IF(AND(EDATE($D80,Milestones!$AA$108)&lt;=AsOfDate,IF($R80=0,$X80,IF(AND($T80&lt;&gt;"",EDATE($D80,Milestones!$AA$108)&gt;=$T80),$W80,IF(AND($S80&lt;&gt;"",EDATE($D80,Milestones!$AA$108)&gt;=$S80),$V80,$U80)))=Milestones!$AB$108),UPPER(TEXT(EDATE($D80,Milestones!$AA$108),"dd mmm yy"))&amp;" "&amp;Milestones!$AB$108&amp;" "&amp;Milestones!$AC$108&amp;";  ","")&amp;IF(AND(EDATE($D80,Milestones!$AA$109)&lt;=AsOfDate,IF($R80=0,$X80,IF(AND($T80&lt;&gt;"",EDATE($D80,Milestones!$AA$109)&gt;=$T80),$W80,IF(AND($S80&lt;&gt;"",EDATE($D80,Milestones!$AA$109)&gt;=$S80),$V80,$U80)))=Milestones!$AB$109),UPPER(TEXT(EDATE($D80,Milestones!$AA$109),"dd mmm yy"))&amp;" "&amp;Milestones!$AB$109&amp;" "&amp;Milestones!$AC$109&amp;";  ","")&amp;IF(AND(EDATE($D80,Milestones!$AA$110)&lt;=AsOfDate,IF($R80=0,$X80,IF(AND($T80&lt;&gt;"",EDATE($D80,Milestones!$AA$110)&gt;=$T80),$W80,IF(AND($S80&lt;&gt;"",EDATE($D80,Milestones!$AA$110)&gt;=$S80),$V80,$U80)))=Milestones!$AB$110),UPPER(TEXT(EDATE($D80,Milestones!$AA$110),"dd mmm yy"))&amp;" "&amp;Milestones!$AB$110&amp;" "&amp;Milestones!$AC$110&amp;";  ","")&amp;IF(AND(EDATE($D80,Milestones!$AA$111)&lt;=AsOfDate,IF($R80=0,$X80,IF(AND($T80&lt;&gt;"",EDATE($D80,Milestones!$AA$111)&gt;=$T80),$W80,IF(AND($S80&lt;&gt;"",EDATE($D80,Milestones!$AA$111)&gt;=$S80),$V80,$U80)))=Milestones!$AB$111),UPPER(TEXT(EDATE($D80,Milestones!$AA$111),"dd mmm yy"))&amp;" "&amp;Milestones!$AB$111&amp;" "&amp;Milestones!$AC$111&amp;";  ","")&amp;IF(AND(EDATE($D80,Milestones!$AA$112)&lt;=AsOfDate,IF($R80=0,$X80,IF(AND($T80&lt;&gt;"",EDATE($D80,Milestones!$AA$112)&gt;=$T80),$W80,IF(AND($S80&lt;&gt;"",EDATE($D80,Milestones!$AA$112)&gt;=$S80),$V80,$U80)))=Milestones!$AB$112),UPPER(TEXT(EDATE($D80,Milestones!$AA$112),"dd mmm yy"))&amp;" "&amp;Milestones!$AB$112&amp;" "&amp;Milestones!$AC$112&amp;";  ","")&amp;IF(AND(EDATE($D80,Milestones!$AA$113)&lt;=AsOfDate,IF($R80=0,$X80,IF(AND($T80&lt;&gt;"",EDATE($D80,Milestones!$AA$113)&gt;=$T80),$W80,IF(AND($S80&lt;&gt;"",EDATE($D80,Milestones!$AA$113)&gt;=$S80),$V80,$U80)))=Milestones!$AB$113),UPPER(TEXT(EDATE($D80,Milestones!$AA$113),"dd mmm yy"))&amp;" "&amp;Milestones!$AB$113&amp;" "&amp;Milestones!$AC$113&amp;";  ","")&amp;IF(AND(EDATE($D80,Milestones!$AA$114)&lt;=AsOfDate,IF($R80=0,$X80,IF(AND($T80&lt;&gt;"",EDATE($D80,Milestones!$AA$114)&gt;=$T80),$W80,IF(AND($S80&lt;&gt;"",EDATE($D80,Milestones!$AA$114)&gt;=$S80),$V80,$U80)))=Milestones!$AB$114),UPPER(TEXT(EDATE($D80,Milestones!$AA$114),"dd mmm yy"))&amp;" "&amp;Milestones!$AB$114&amp;" "&amp;Milestones!$AC$114&amp;";  ","")&amp;IF(AND(EDATE($D80,Milestones!$AA$115)&lt;=AsOfDate,IF($R80=0,$X80,IF(AND($T80&lt;&gt;"",EDATE($D80,Milestones!$AA$115)&gt;=$T80),$W80,IF(AND($S80&lt;&gt;"",EDATE($D80,Milestones!$AA$115)&gt;=$S80),$V80,$U80)))=Milestones!$AB$115),UPPER(TEXT(EDATE($D80,Milestones!$AA$115),"dd mmm yy"))&amp;" "&amp;Milestones!$AB$115&amp;" "&amp;Milestones!$AC$115&amp;";  ","")&amp;IF(AND(EDATE($D80,Milestones!$AA$116)&lt;=AsOfDate,IF($R80=0,$X80,IF(AND($T80&lt;&gt;"",EDATE($D80,Milestones!$AA$116)&gt;=$T80),$W80,IF(AND($S80&lt;&gt;"",EDATE($D80,Milestones!$AA$116)&gt;=$S80),$V80,$U80)))=Milestones!$AB$116),UPPER(TEXT(EDATE($D80,Milestones!$AA$116),"dd mmm yy"))&amp;" "&amp;Milestones!$AB$116&amp;" "&amp;Milestones!$AC$116&amp;";  ","")&amp;IF(AND(EDATE($D80,Milestones!$AA$117)&lt;=AsOfDate,IF($R80=0,$X80,IF(AND($T80&lt;&gt;"",EDATE($D80,Milestones!$AA$117)&gt;=$T80),$W80,IF(AND($S80&lt;&gt;"",EDATE($D80,Milestones!$AA$117)&gt;=$S80),$V80,$U80)))=Milestones!$AB$117),UPPER(TEXT(EDATE($D80,Milestones!$AA$117),"dd mmm yy"))&amp;" "&amp;Milestones!$AB$117&amp;" "&amp;Milestones!$AC$117&amp;";  ","")&amp;IF(AND(EDATE($D80,Milestones!$AA$118)&lt;=AsOfDate,IF($R80=0,$X80,IF(AND($T80&lt;&gt;"",EDATE($D80,Milestones!$AA$118)&gt;=$T80),$W80,IF(AND($S80&lt;&gt;"",EDATE($D80,Milestones!$AA$118)&gt;=$S80),$V80,$U80)))=Milestones!$AB$118),UPPER(TEXT(EDATE($D80,Milestones!$AA$118),"dd mmm yy"))&amp;" "&amp;Milestones!$AB$118&amp;" "&amp;Milestones!$AC$118&amp;";  ","")&amp;IF(AND(EDATE($D80,Milestones!$AA$119)&lt;=AsOfDate,IF($R80=0,$X80,IF(AND($T80&lt;&gt;"",EDATE($D80,Milestones!$AA$119)&gt;=$T80),$W80,IF(AND($S80&lt;&gt;"",EDATE($D80,Milestones!$AA$119)&gt;=$S80),$V80,$U80)))=Milestones!$AB$119),UPPER(TEXT(EDATE($D80,Milestones!$AA$119),"dd mmm yy"))&amp;" "&amp;Milestones!$AB$119&amp;" "&amp;Milestones!$AC$119&amp;";  ",""))</f>
        <v/>
      </c>
      <c r="N80" s="0" t="str">
        <f aca="false">IF(OR($A80="",$D80=""),"",IF(AND(EDATE($D80,Milestones!$AA$120)&lt;=AsOfDate,IF($R80=0,$X80,IF(AND($T80&lt;&gt;"",EDATE($D80,Milestones!$AA$120)&gt;=$T80),$W80,IF(AND($S80&lt;&gt;"",EDATE($D80,Milestones!$AA$120)&gt;=$S80),$V80,$U80)))=Milestones!$AB$120),UPPER(TEXT(EDATE($D80,Milestones!$AA$120),"dd mmm yy"))&amp;" "&amp;Milestones!$AB$120&amp;" "&amp;Milestones!$AC$120&amp;";  ","")&amp;IF(AND(EDATE($D80,Milestones!$AA$121)&lt;=AsOfDate,IF($R80=0,$X80,IF(AND($T80&lt;&gt;"",EDATE($D80,Milestones!$AA$121)&gt;=$T80),$W80,IF(AND($S80&lt;&gt;"",EDATE($D80,Milestones!$AA$121)&gt;=$S80),$V80,$U80)))=Milestones!$AB$121),UPPER(TEXT(EDATE($D80,Milestones!$AA$121),"dd mmm yy"))&amp;" "&amp;Milestones!$AB$121&amp;" "&amp;Milestones!$AC$121&amp;";  ","")&amp;IF(AND(EDATE($D80,Milestones!$AA$122)&lt;=AsOfDate,IF($R80=0,$X80,IF(AND($T80&lt;&gt;"",EDATE($D80,Milestones!$AA$122)&gt;=$T80),$W80,IF(AND($S80&lt;&gt;"",EDATE($D80,Milestones!$AA$122)&gt;=$S80),$V80,$U80)))=Milestones!$AB$122),UPPER(TEXT(EDATE($D80,Milestones!$AA$122),"dd mmm yy"))&amp;" "&amp;Milestones!$AB$122&amp;" "&amp;Milestones!$AC$122&amp;";  ","")&amp;IF(AND(EDATE($D80,Milestones!$AA$123)&lt;=AsOfDate,IF($R80=0,$X80,IF(AND($T80&lt;&gt;"",EDATE($D80,Milestones!$AA$123)&gt;=$T80),$W80,IF(AND($S80&lt;&gt;"",EDATE($D80,Milestones!$AA$123)&gt;=$S80),$V80,$U80)))=Milestones!$AB$123),UPPER(TEXT(EDATE($D80,Milestones!$AA$123),"dd mmm yy"))&amp;" "&amp;Milestones!$AB$123&amp;" "&amp;Milestones!$AC$123&amp;";  ","")&amp;IF(AND(EDATE($D80,Milestones!$AA$124)&lt;=AsOfDate,IF($R80=0,$X80,IF(AND($T80&lt;&gt;"",EDATE($D80,Milestones!$AA$124)&gt;=$T80),$W80,IF(AND($S80&lt;&gt;"",EDATE($D80,Milestones!$AA$124)&gt;=$S80),$V80,$U80)))=Milestones!$AB$124),UPPER(TEXT(EDATE($D80,Milestones!$AA$124),"dd mmm yy"))&amp;" "&amp;Milestones!$AB$124&amp;" "&amp;Milestones!$AC$124&amp;";  ","")&amp;IF(AND(EDATE($D80,Milestones!$AA$125)&lt;=AsOfDate,IF($R80=0,$X80,IF(AND($T80&lt;&gt;"",EDATE($D80,Milestones!$AA$125)&gt;=$T80),$W80,IF(AND($S80&lt;&gt;"",EDATE($D80,Milestones!$AA$125)&gt;=$S80),$V80,$U80)))=Milestones!$AB$125),UPPER(TEXT(EDATE($D80,Milestones!$AA$125),"dd mmm yy"))&amp;" "&amp;Milestones!$AB$125&amp;" "&amp;Milestones!$AC$125&amp;";  ","")&amp;IF(AND(EDATE($D80,Milestones!$AA$126)&lt;=AsOfDate,IF($R80=0,$X80,IF(AND($T80&lt;&gt;"",EDATE($D80,Milestones!$AA$126)&gt;=$T80),$W80,IF(AND($S80&lt;&gt;"",EDATE($D80,Milestones!$AA$126)&gt;=$S80),$V80,$U80)))=Milestones!$AB$126),UPPER(TEXT(EDATE($D80,Milestones!$AA$126),"dd mmm yy"))&amp;" "&amp;Milestones!$AB$126&amp;" "&amp;Milestones!$AC$126&amp;";  ","")&amp;IF(AND(EDATE($D80,Milestones!$AA$127)&lt;=AsOfDate,IF($R80=0,$X80,IF(AND($T80&lt;&gt;"",EDATE($D80,Milestones!$AA$127)&gt;=$T80),$W80,IF(AND($S80&lt;&gt;"",EDATE($D80,Milestones!$AA$127)&gt;=$S80),$V80,$U80)))=Milestones!$AB$127),UPPER(TEXT(EDATE($D80,Milestones!$AA$127),"dd mmm yy"))&amp;" "&amp;Milestones!$AB$127&amp;" "&amp;Milestones!$AC$127&amp;";  ","")&amp;IF(AND(EDATE($D80,Milestones!$AA$128)&lt;=AsOfDate,IF($R80=0,$X80,IF(AND($T80&lt;&gt;"",EDATE($D80,Milestones!$AA$128)&gt;=$T80),$W80,IF(AND($S80&lt;&gt;"",EDATE($D80,Milestones!$AA$128)&gt;=$S80),$V80,$U80)))=Milestones!$AB$128),UPPER(TEXT(EDATE($D80,Milestones!$AA$128),"dd mmm yy"))&amp;" "&amp;Milestones!$AB$128&amp;" "&amp;Milestones!$AC$128&amp;";  ","")&amp;IF(AND(EDATE($D80,Milestones!$AA$129)&lt;=AsOfDate,IF($R80=0,$X80,IF(AND($T80&lt;&gt;"",EDATE($D80,Milestones!$AA$129)&gt;=$T80),$W80,IF(AND($S80&lt;&gt;"",EDATE($D80,Milestones!$AA$129)&gt;=$S80),$V80,$U80)))=Milestones!$AB$129),UPPER(TEXT(EDATE($D80,Milestones!$AA$129),"dd mmm yy"))&amp;" "&amp;Milestones!$AB$129&amp;" "&amp;Milestones!$AC$129&amp;";  ","")&amp;IF(AND(EDATE($D80,Milestones!$AA$130)&lt;=AsOfDate,IF($R80=0,$X80,IF(AND($T80&lt;&gt;"",EDATE($D80,Milestones!$AA$130)&gt;=$T80),$W80,IF(AND($S80&lt;&gt;"",EDATE($D80,Milestones!$AA$130)&gt;=$S80),$V80,$U80)))=Milestones!$AB$130),UPPER(TEXT(EDATE($D80,Milestones!$AA$130),"dd mmm yy"))&amp;" "&amp;Milestones!$AB$130&amp;" "&amp;Milestones!$AC$130&amp;";  ","")&amp;IF(AND(EDATE($D80,Milestones!$AA$131)&lt;=AsOfDate,IF($R80=0,$X80,IF(AND($T80&lt;&gt;"",EDATE($D80,Milestones!$AA$131)&gt;=$T80),$W80,IF(AND($S80&lt;&gt;"",EDATE($D80,Milestones!$AA$131)&gt;=$S80),$V80,$U80)))=Milestones!$AB$131),UPPER(TEXT(EDATE($D80,Milestones!$AA$131),"dd mmm yy"))&amp;" "&amp;Milestones!$AB$131&amp;" "&amp;Milestones!$AC$131&amp;";  ","")&amp;IF(AND(EDATE($D80,Milestones!$AA$132)&lt;=AsOfDate,IF($R80=0,$X80,IF(AND($T80&lt;&gt;"",EDATE($D80,Milestones!$AA$132)&gt;=$T80),$W80,IF(AND($S80&lt;&gt;"",EDATE($D80,Milestones!$AA$132)&gt;=$S80),$V80,$U80)))=Milestones!$AB$132),UPPER(TEXT(EDATE($D80,Milestones!$AA$132),"dd mmm yy"))&amp;" "&amp;Milestones!$AB$132&amp;" "&amp;Milestones!$AC$132&amp;";  ","")&amp;IF(AND(EDATE($D80,Milestones!$AA$133)&lt;=AsOfDate,IF($R80=0,$X80,IF(AND($T80&lt;&gt;"",EDATE($D80,Milestones!$AA$133)&gt;=$T80),$W80,IF(AND($S80&lt;&gt;"",EDATE($D80,Milestones!$AA$133)&gt;=$S80),$V80,$U80)))=Milestones!$AB$133),UPPER(TEXT(EDATE($D80,Milestones!$AA$133),"dd mmm yy"))&amp;" "&amp;Milestones!$AB$133&amp;" "&amp;Milestones!$AC$133&amp;";  ","")&amp;IF(AND(EDATE($D80,Milestones!$AA$134)&lt;=AsOfDate,IF($R80=0,$X80,IF(AND($T80&lt;&gt;"",EDATE($D80,Milestones!$AA$134)&gt;=$T80),$W80,IF(AND($S80&lt;&gt;"",EDATE($D80,Milestones!$AA$134)&gt;=$S80),$V80,$U80)))=Milestones!$AB$134),UPPER(TEXT(EDATE($D80,Milestones!$AA$134),"dd mmm yy"))&amp;" "&amp;Milestones!$AB$134&amp;" "&amp;Milestones!$AC$134&amp;";  ","")&amp;IF(AND(EDATE($D80,Milestones!$AA$135)&lt;=AsOfDate,IF($R80=0,$X80,IF(AND($T80&lt;&gt;"",EDATE($D80,Milestones!$AA$135)&gt;=$T80),$W80,IF(AND($S80&lt;&gt;"",EDATE($D80,Milestones!$AA$135)&gt;=$S80),$V80,$U80)))=Milestones!$AB$135),UPPER(TEXT(EDATE($D80,Milestones!$AA$135),"dd mmm yy"))&amp;" "&amp;Milestones!$AB$135&amp;" "&amp;Milestones!$AC$135&amp;";  ","")&amp;IF(AND(EDATE($D80,Milestones!$AA$136)&lt;=AsOfDate,IF($R80=0,$X80,IF(AND($T80&lt;&gt;"",EDATE($D80,Milestones!$AA$136)&gt;=$T80),$W80,IF(AND($S80&lt;&gt;"",EDATE($D80,Milestones!$AA$136)&gt;=$S80),$V80,$U80)))=Milestones!$AB$136),UPPER(TEXT(EDATE($D80,Milestones!$AA$136),"dd mmm yy"))&amp;" "&amp;Milestones!$AB$136&amp;" "&amp;Milestones!$AC$136&amp;";  ","")&amp;IF(AND(EDATE($D80,Milestones!$AA$137)&lt;=AsOfDate,IF($R80=0,$X80,IF(AND($T80&lt;&gt;"",EDATE($D80,Milestones!$AA$137)&gt;=$T80),$W80,IF(AND($S80&lt;&gt;"",EDATE($D80,Milestones!$AA$137)&gt;=$S80),$V80,$U80)))=Milestones!$AB$137),UPPER(TEXT(EDATE($D80,Milestones!$AA$137),"dd mmm yy"))&amp;" "&amp;Milestones!$AB$137&amp;" "&amp;Milestones!$AC$137&amp;";  ","")&amp;IF(AND(EDATE($D80,Milestones!$AA$138)&lt;=AsOfDate,IF($R80=0,$X80,IF(AND($T80&lt;&gt;"",EDATE($D80,Milestones!$AA$138)&gt;=$T80),$W80,IF(AND($S80&lt;&gt;"",EDATE($D80,Milestones!$AA$138)&gt;=$S80),$V80,$U80)))=Milestones!$AB$138),UPPER(TEXT(EDATE($D80,Milestones!$AA$138),"dd mmm yy"))&amp;" "&amp;Milestones!$AB$138&amp;" "&amp;Milestones!$AC$138&amp;";  ","")&amp;IF(AND(EDATE($D80,Milestones!$AA$139)&lt;=AsOfDate,IF($R80=0,$X80,IF(AND($T80&lt;&gt;"",EDATE($D80,Milestones!$AA$139)&gt;=$T80),$W80,IF(AND($S80&lt;&gt;"",EDATE($D80,Milestones!$AA$139)&gt;=$S80),$V80,$U80)))=Milestones!$AB$139),UPPER(TEXT(EDATE($D80,Milestones!$AA$139),"dd mmm yy"))&amp;" "&amp;Milestones!$AB$139&amp;" "&amp;Milestones!$AC$139&amp;";  ",""))</f>
        <v/>
      </c>
      <c r="O80" s="0" t="str">
        <f aca="false">IF(OR($A80="",$D80=""),"",IF(AND(EDATE($D80,Milestones!$AA$140)&lt;=AsOfDate,IF($R80=0,$X80,IF(AND($T80&lt;&gt;"",EDATE($D80,Milestones!$AA$140)&gt;=$T80),$W80,IF(AND($S80&lt;&gt;"",EDATE($D80,Milestones!$AA$140)&gt;=$S80),$V80,$U80)))=Milestones!$AB$140),UPPER(TEXT(EDATE($D80,Milestones!$AA$140),"dd mmm yy"))&amp;" "&amp;Milestones!$AB$140&amp;" "&amp;Milestones!$AC$140&amp;";  ","")&amp;IF(AND(EDATE($D80,Milestones!$AA$141)&lt;=AsOfDate,IF($R80=0,$X80,IF(AND($T80&lt;&gt;"",EDATE($D80,Milestones!$AA$141)&gt;=$T80),$W80,IF(AND($S80&lt;&gt;"",EDATE($D80,Milestones!$AA$141)&gt;=$S80),$V80,$U80)))=Milestones!$AB$141),UPPER(TEXT(EDATE($D80,Milestones!$AA$141),"dd mmm yy"))&amp;" "&amp;Milestones!$AB$141&amp;" "&amp;Milestones!$AC$141&amp;";  ","")&amp;IF(AND(EDATE($D80,Milestones!$AA$142)&lt;=AsOfDate,IF($R80=0,$X80,IF(AND($T80&lt;&gt;"",EDATE($D80,Milestones!$AA$142)&gt;=$T80),$W80,IF(AND($S80&lt;&gt;"",EDATE($D80,Milestones!$AA$142)&gt;=$S80),$V80,$U80)))=Milestones!$AB$142),UPPER(TEXT(EDATE($D80,Milestones!$AA$142),"dd mmm yy"))&amp;" "&amp;Milestones!$AB$142&amp;" "&amp;Milestones!$AC$142&amp;";  ","")&amp;IF(AND(EDATE($D80,Milestones!$AA$143)&lt;=AsOfDate,IF($R80=0,$X80,IF(AND($T80&lt;&gt;"",EDATE($D80,Milestones!$AA$143)&gt;=$T80),$W80,IF(AND($S80&lt;&gt;"",EDATE($D80,Milestones!$AA$143)&gt;=$S80),$V80,$U80)))=Milestones!$AB$143),UPPER(TEXT(EDATE($D80,Milestones!$AA$143),"dd mmm yy"))&amp;" "&amp;Milestones!$AB$143&amp;" "&amp;Milestones!$AC$143&amp;";  ","")&amp;IF(AND(EDATE($D80,Milestones!$AA$144)&lt;=AsOfDate,IF($R80=0,$X80,IF(AND($T80&lt;&gt;"",EDATE($D80,Milestones!$AA$144)&gt;=$T80),$W80,IF(AND($S80&lt;&gt;"",EDATE($D80,Milestones!$AA$144)&gt;=$S80),$V80,$U80)))=Milestones!$AB$144),UPPER(TEXT(EDATE($D80,Milestones!$AA$144),"dd mmm yy"))&amp;" "&amp;Milestones!$AB$144&amp;" "&amp;Milestones!$AC$144&amp;";  ","")&amp;IF(AND(EDATE($D80,Milestones!$AA$145)&lt;=AsOfDate,IF($R80=0,$X80,IF(AND($T80&lt;&gt;"",EDATE($D80,Milestones!$AA$145)&gt;=$T80),$W80,IF(AND($S80&lt;&gt;"",EDATE($D80,Milestones!$AA$145)&gt;=$S80),$V80,$U80)))=Milestones!$AB$145),UPPER(TEXT(EDATE($D80,Milestones!$AA$145),"dd mmm yy"))&amp;" "&amp;Milestones!$AB$145&amp;" "&amp;Milestones!$AC$145&amp;";  ","")&amp;IF(AND(EDATE($D80,Milestones!$AA$146)&lt;=AsOfDate,IF($R80=0,$X80,IF(AND($T80&lt;&gt;"",EDATE($D80,Milestones!$AA$146)&gt;=$T80),$W80,IF(AND($S80&lt;&gt;"",EDATE($D80,Milestones!$AA$146)&gt;=$S80),$V80,$U80)))=Milestones!$AB$146),UPPER(TEXT(EDATE($D80,Milestones!$AA$146),"dd mmm yy"))&amp;" "&amp;Milestones!$AB$146&amp;" "&amp;Milestones!$AC$146&amp;";  ","")&amp;IF(AND(EDATE($D80,Milestones!$AA$147)&lt;=AsOfDate,IF($R80=0,$X80,IF(AND($T80&lt;&gt;"",EDATE($D80,Milestones!$AA$147)&gt;=$T80),$W80,IF(AND($S80&lt;&gt;"",EDATE($D80,Milestones!$AA$147)&gt;=$S80),$V80,$U80)))=Milestones!$AB$147),UPPER(TEXT(EDATE($D80,Milestones!$AA$147),"dd mmm yy"))&amp;" "&amp;Milestones!$AB$147&amp;" "&amp;Milestones!$AC$147&amp;";  ","")&amp;IF(AND(EDATE($D80,Milestones!$AA$148)&lt;=AsOfDate,IF($R80=0,$X80,IF(AND($T80&lt;&gt;"",EDATE($D80,Milestones!$AA$148)&gt;=$T80),$W80,IF(AND($S80&lt;&gt;"",EDATE($D80,Milestones!$AA$148)&gt;=$S80),$V80,$U80)))=Milestones!$AB$148),UPPER(TEXT(EDATE($D80,Milestones!$AA$148),"dd mmm yy"))&amp;" "&amp;Milestones!$AB$148&amp;" "&amp;Milestones!$AC$148&amp;";  ","")&amp;IF(AND(EDATE($D80,Milestones!$AA$149)&lt;=AsOfDate,IF($R80=0,$X80,IF(AND($T80&lt;&gt;"",EDATE($D80,Milestones!$AA$149)&gt;=$T80),$W80,IF(AND($S80&lt;&gt;"",EDATE($D80,Milestones!$AA$149)&gt;=$S80),$V80,$U80)))=Milestones!$AB$149),UPPER(TEXT(EDATE($D80,Milestones!$AA$149),"dd mmm yy"))&amp;" "&amp;Milestones!$AB$149&amp;" "&amp;Milestones!$AC$149&amp;";  ","")&amp;IF(AND(EDATE($D80,Milestones!$AA$150)&lt;=AsOfDate,IF($R80=0,$X80,IF(AND($T80&lt;&gt;"",EDATE($D80,Milestones!$AA$150)&gt;=$T80),$W80,IF(AND($S80&lt;&gt;"",EDATE($D80,Milestones!$AA$150)&gt;=$S80),$V80,$U80)))=Milestones!$AB$150),UPPER(TEXT(EDATE($D80,Milestones!$AA$150),"dd mmm yy"))&amp;" "&amp;Milestones!$AB$150&amp;" "&amp;Milestones!$AC$150&amp;";  ","")&amp;IF(AND(EDATE($D80,Milestones!$AA$151)&lt;=AsOfDate,IF($R80=0,$X80,IF(AND($T80&lt;&gt;"",EDATE($D80,Milestones!$AA$151)&gt;=$T80),$W80,IF(AND($S80&lt;&gt;"",EDATE($D80,Milestones!$AA$151)&gt;=$S80),$V80,$U80)))=Milestones!$AB$151),UPPER(TEXT(EDATE($D80,Milestones!$AA$151),"dd mmm yy"))&amp;" "&amp;Milestones!$AB$151&amp;" "&amp;Milestones!$AC$151&amp;";  ","")&amp;IF(AND(EDATE($D80,Milestones!$AA$152)&lt;=AsOfDate,IF($R80=0,$X80,IF(AND($T80&lt;&gt;"",EDATE($D80,Milestones!$AA$152)&gt;=$T80),$W80,IF(AND($S80&lt;&gt;"",EDATE($D80,Milestones!$AA$152)&gt;=$S80),$V80,$U80)))=Milestones!$AB$152),UPPER(TEXT(EDATE($D80,Milestones!$AA$152),"dd mmm yy"))&amp;" "&amp;Milestones!$AB$152&amp;" "&amp;Milestones!$AC$152&amp;";  ","")&amp;IF(AND(EDATE($D80,Milestones!$AA$153)&lt;=AsOfDate,IF($R80=0,$X80,IF(AND($T80&lt;&gt;"",EDATE($D80,Milestones!$AA$153)&gt;=$T80),$W80,IF(AND($S80&lt;&gt;"",EDATE($D80,Milestones!$AA$153)&gt;=$S80),$V80,$U80)))=Milestones!$AB$153),UPPER(TEXT(EDATE($D80,Milestones!$AA$153),"dd mmm yy"))&amp;" "&amp;Milestones!$AB$153&amp;" "&amp;Milestones!$AC$153&amp;";  ","")&amp;IF(AND(EDATE($D80,Milestones!$AA$154)&lt;=AsOfDate,IF($R80=0,$X80,IF(AND($T80&lt;&gt;"",EDATE($D80,Milestones!$AA$154)&gt;=$T80),$W80,IF(AND($S80&lt;&gt;"",EDATE($D80,Milestones!$AA$154)&gt;=$S80),$V80,$U80)))=Milestones!$AB$154),UPPER(TEXT(EDATE($D80,Milestones!$AA$154),"dd mmm yy"))&amp;" "&amp;Milestones!$AB$154&amp;" "&amp;Milestones!$AC$154&amp;";  ","")&amp;IF(AND(EDATE($D80,Milestones!$AA$155)&lt;=AsOfDate,IF($R80=0,$X80,IF(AND($T80&lt;&gt;"",EDATE($D80,Milestones!$AA$155)&gt;=$T80),$W80,IF(AND($S80&lt;&gt;"",EDATE($D80,Milestones!$AA$155)&gt;=$S80),$V80,$U80)))=Milestones!$AB$155),UPPER(TEXT(EDATE($D80,Milestones!$AA$155),"dd mmm yy"))&amp;" "&amp;Milestones!$AB$155&amp;" "&amp;Milestones!$AC$155&amp;";  ","")&amp;IF(AND(EDATE($D80,Milestones!$AA$156)&lt;=AsOfDate,IF($R80=0,$X80,IF(AND($T80&lt;&gt;"",EDATE($D80,Milestones!$AA$156)&gt;=$T80),$W80,IF(AND($S80&lt;&gt;"",EDATE($D80,Milestones!$AA$156)&gt;=$S80),$V80,$U80)))=Milestones!$AB$156),UPPER(TEXT(EDATE($D80,Milestones!$AA$156),"dd mmm yy"))&amp;" "&amp;Milestones!$AB$156&amp;" "&amp;Milestones!$AC$156&amp;";  ","")&amp;IF(AND(EDATE($D80,Milestones!$AA$157)&lt;=AsOfDate,IF($R80=0,$X80,IF(AND($T80&lt;&gt;"",EDATE($D80,Milestones!$AA$157)&gt;=$T80),$W80,IF(AND($S80&lt;&gt;"",EDATE($D80,Milestones!$AA$157)&gt;=$S80),$V80,$U80)))=Milestones!$AB$157),UPPER(TEXT(EDATE($D80,Milestones!$AA$157),"dd mmm yy"))&amp;" "&amp;Milestones!$AB$157&amp;" "&amp;Milestones!$AC$157&amp;";  ","")&amp;IF(AND(EDATE($D80,Milestones!$AA$158)&lt;=AsOfDate,IF($R80=0,$X80,IF(AND($T80&lt;&gt;"",EDATE($D80,Milestones!$AA$158)&gt;=$T80),$W80,IF(AND($S80&lt;&gt;"",EDATE($D80,Milestones!$AA$158)&gt;=$S80),$V80,$U80)))=Milestones!$AB$158),UPPER(TEXT(EDATE($D80,Milestones!$AA$158),"dd mmm yy"))&amp;" "&amp;Milestones!$AB$158&amp;" "&amp;Milestones!$AC$158&amp;";  ","")&amp;IF(AND(EDATE($D80,Milestones!$AA$159)&lt;=AsOfDate,IF($R80=0,$X80,IF(AND($T80&lt;&gt;"",EDATE($D80,Milestones!$AA$159)&gt;=$T80),$W80,IF(AND($S80&lt;&gt;"",EDATE($D80,Milestones!$AA$159)&gt;=$S80),$V80,$U80)))=Milestones!$AB$159),UPPER(TEXT(EDATE($D80,Milestones!$AA$159),"dd mmm yy"))&amp;" "&amp;Milestones!$AB$159&amp;" "&amp;Milestones!$AC$159&amp;";  ",""))</f>
        <v/>
      </c>
      <c r="P80" s="0" t="str">
        <f aca="false">IF(OR($A80="",$D80=""),"",IF(AND(EDATE($D80,Milestones!$AA$160)&lt;=AsOfDate,IF($R80=0,$X80,IF(AND($T80&lt;&gt;"",EDATE($D80,Milestones!$AA$160)&gt;=$T80),$W80,IF(AND($S80&lt;&gt;"",EDATE($D80,Milestones!$AA$160)&gt;=$S80),$V80,$U80)))=Milestones!$AB$160),UPPER(TEXT(EDATE($D80,Milestones!$AA$160),"dd mmm yy"))&amp;" "&amp;Milestones!$AB$160&amp;" "&amp;Milestones!$AC$160&amp;";  ","")&amp;IF(AND(EDATE($D80,Milestones!$AA$161)&lt;=AsOfDate,IF($R80=0,$X80,IF(AND($T80&lt;&gt;"",EDATE($D80,Milestones!$AA$161)&gt;=$T80),$W80,IF(AND($S80&lt;&gt;"",EDATE($D80,Milestones!$AA$161)&gt;=$S80),$V80,$U80)))=Milestones!$AB$161),UPPER(TEXT(EDATE($D80,Milestones!$AA$161),"dd mmm yy"))&amp;" "&amp;Milestones!$AB$161&amp;" "&amp;Milestones!$AC$161&amp;";  ","")&amp;IF(AND(EDATE($D80,Milestones!$AA$162)&lt;=AsOfDate,IF($R80=0,$X80,IF(AND($T80&lt;&gt;"",EDATE($D80,Milestones!$AA$162)&gt;=$T80),$W80,IF(AND($S80&lt;&gt;"",EDATE($D80,Milestones!$AA$162)&gt;=$S80),$V80,$U80)))=Milestones!$AB$162),UPPER(TEXT(EDATE($D80,Milestones!$AA$162),"dd mmm yy"))&amp;" "&amp;Milestones!$AB$162&amp;" "&amp;Milestones!$AC$162&amp;";  ","")&amp;IF(AND(EDATE($D80,Milestones!$AA$163)&lt;=AsOfDate,IF($R80=0,$X80,IF(AND($T80&lt;&gt;"",EDATE($D80,Milestones!$AA$163)&gt;=$T80),$W80,IF(AND($S80&lt;&gt;"",EDATE($D80,Milestones!$AA$163)&gt;=$S80),$V80,$U80)))=Milestones!$AB$163),UPPER(TEXT(EDATE($D80,Milestones!$AA$163),"dd mmm yy"))&amp;" "&amp;Milestones!$AB$163&amp;" "&amp;Milestones!$AC$163&amp;";  ","")&amp;IF(AND(EDATE($D80,Milestones!$AA$164)&lt;=AsOfDate,IF($R80=0,$X80,IF(AND($T80&lt;&gt;"",EDATE($D80,Milestones!$AA$164)&gt;=$T80),$W80,IF(AND($S80&lt;&gt;"",EDATE($D80,Milestones!$AA$164)&gt;=$S80),$V80,$U80)))=Milestones!$AB$164),UPPER(TEXT(EDATE($D80,Milestones!$AA$164),"dd mmm yy"))&amp;" "&amp;Milestones!$AB$164&amp;" "&amp;Milestones!$AC$164&amp;";  ","")&amp;IF(AND(EDATE($D80,Milestones!$AA$165)&lt;=AsOfDate,IF($R80=0,$X80,IF(AND($T80&lt;&gt;"",EDATE($D80,Milestones!$AA$165)&gt;=$T80),$W80,IF(AND($S80&lt;&gt;"",EDATE($D80,Milestones!$AA$165)&gt;=$S80),$V80,$U80)))=Milestones!$AB$165),UPPER(TEXT(EDATE($D80,Milestones!$AA$165),"dd mmm yy"))&amp;" "&amp;Milestones!$AB$165&amp;" "&amp;Milestones!$AC$165&amp;";  ","")&amp;IF(AND(EDATE($D80,Milestones!$AA$166)&lt;=AsOfDate,IF($R80=0,$X80,IF(AND($T80&lt;&gt;"",EDATE($D80,Milestones!$AA$166)&gt;=$T80),$W80,IF(AND($S80&lt;&gt;"",EDATE($D80,Milestones!$AA$166)&gt;=$S80),$V80,$U80)))=Milestones!$AB$166),UPPER(TEXT(EDATE($D80,Milestones!$AA$166),"dd mmm yy"))&amp;" "&amp;Milestones!$AB$166&amp;" "&amp;Milestones!$AC$166&amp;";  ","")&amp;IF(AND(EDATE($D80,Milestones!$AA$167)&lt;=AsOfDate,IF($R80=0,$X80,IF(AND($T80&lt;&gt;"",EDATE($D80,Milestones!$AA$167)&gt;=$T80),$W80,IF(AND($S80&lt;&gt;"",EDATE($D80,Milestones!$AA$167)&gt;=$S80),$V80,$U80)))=Milestones!$AB$167),UPPER(TEXT(EDATE($D80,Milestones!$AA$167),"dd mmm yy"))&amp;" "&amp;Milestones!$AB$167&amp;" "&amp;Milestones!$AC$167&amp;";  ","")&amp;IF(AND(EDATE($D80,Milestones!$AA$168)&lt;=AsOfDate,IF($R80=0,$X80,IF(AND($T80&lt;&gt;"",EDATE($D80,Milestones!$AA$168)&gt;=$T80),$W80,IF(AND($S80&lt;&gt;"",EDATE($D80,Milestones!$AA$168)&gt;=$S80),$V80,$U80)))=Milestones!$AB$168),UPPER(TEXT(EDATE($D80,Milestones!$AA$168),"dd mmm yy"))&amp;" "&amp;Milestones!$AB$168&amp;" "&amp;Milestones!$AC$168&amp;";  ","")&amp;IF(AND(EDATE($D80,Milestones!$AA$169)&lt;=AsOfDate,IF($R80=0,$X80,IF(AND($T80&lt;&gt;"",EDATE($D80,Milestones!$AA$169)&gt;=$T80),$W80,IF(AND($S80&lt;&gt;"",EDATE($D80,Milestones!$AA$169)&gt;=$S80),$V80,$U80)))=Milestones!$AB$169),UPPER(TEXT(EDATE($D80,Milestones!$AA$169),"dd mmm yy"))&amp;" "&amp;Milestones!$AB$169&amp;" "&amp;Milestones!$AC$169&amp;";  ","")&amp;IF(AND(EDATE($D80,Milestones!$AA$170)&lt;=AsOfDate,IF($R80=0,$X80,IF(AND($T80&lt;&gt;"",EDATE($D80,Milestones!$AA$170)&gt;=$T80),$W80,IF(AND($S80&lt;&gt;"",EDATE($D80,Milestones!$AA$170)&gt;=$S80),$V80,$U80)))=Milestones!$AB$170),UPPER(TEXT(EDATE($D80,Milestones!$AA$170),"dd mmm yy"))&amp;" "&amp;Milestones!$AB$170&amp;" "&amp;Milestones!$AC$170&amp;";  ","")&amp;IF(AND(EDATE($D80,Milestones!$AA$171)&lt;=AsOfDate,IF($R80=0,$X80,IF(AND($T80&lt;&gt;"",EDATE($D80,Milestones!$AA$171)&gt;=$T80),$W80,IF(AND($S80&lt;&gt;"",EDATE($D80,Milestones!$AA$171)&gt;=$S80),$V80,$U80)))=Milestones!$AB$171),UPPER(TEXT(EDATE($D80,Milestones!$AA$171),"dd mmm yy"))&amp;" "&amp;Milestones!$AB$171&amp;" "&amp;Milestones!$AC$171&amp;";  ","")&amp;IF(AND(EDATE($D80,Milestones!$AA$172)&lt;=AsOfDate,IF($R80=0,$X80,IF(AND($T80&lt;&gt;"",EDATE($D80,Milestones!$AA$172)&gt;=$T80),$W80,IF(AND($S80&lt;&gt;"",EDATE($D80,Milestones!$AA$172)&gt;=$S80),$V80,$U80)))=Milestones!$AB$172),UPPER(TEXT(EDATE($D80,Milestones!$AA$172),"dd mmm yy"))&amp;" "&amp;Milestones!$AB$172&amp;" "&amp;Milestones!$AC$172&amp;";  ","")&amp;IF(AND(EDATE($D80,Milestones!$AA$173)&lt;=AsOfDate,IF($R80=0,$X80,IF(AND($T80&lt;&gt;"",EDATE($D80,Milestones!$AA$173)&gt;=$T80),$W80,IF(AND($S80&lt;&gt;"",EDATE($D80,Milestones!$AA$173)&gt;=$S80),$V80,$U80)))=Milestones!$AB$173),UPPER(TEXT(EDATE($D80,Milestones!$AA$173),"dd mmm yy"))&amp;" "&amp;Milestones!$AB$173&amp;" "&amp;Milestones!$AC$173&amp;";  ","")&amp;IF(AND(EDATE($D80,Milestones!$AA$174)&lt;=AsOfDate,IF($R80=0,$X80,IF(AND($T80&lt;&gt;"",EDATE($D80,Milestones!$AA$174)&gt;=$T80),$W80,IF(AND($S80&lt;&gt;"",EDATE($D80,Milestones!$AA$174)&gt;=$S80),$V80,$U80)))=Milestones!$AB$174),UPPER(TEXT(EDATE($D80,Milestones!$AA$174),"dd mmm yy"))&amp;" "&amp;Milestones!$AB$174&amp;" "&amp;Milestones!$AC$174&amp;";  ","")&amp;IF(AND(EDATE($D80,Milestones!$AA$175)&lt;=AsOfDate,IF($R80=0,$X80,IF(AND($T80&lt;&gt;"",EDATE($D80,Milestones!$AA$175)&gt;=$T80),$W80,IF(AND($S80&lt;&gt;"",EDATE($D80,Milestones!$AA$175)&gt;=$S80),$V80,$U80)))=Milestones!$AB$175),UPPER(TEXT(EDATE($D80,Milestones!$AA$175),"dd mmm yy"))&amp;" "&amp;Milestones!$AB$175&amp;" "&amp;Milestones!$AC$175&amp;";  ","")&amp;IF(AND(EDATE($D80,Milestones!$AA$176)&lt;=AsOfDate,IF($R80=0,$X80,IF(AND($T80&lt;&gt;"",EDATE($D80,Milestones!$AA$176)&gt;=$T80),$W80,IF(AND($S80&lt;&gt;"",EDATE($D80,Milestones!$AA$176)&gt;=$S80),$V80,$U80)))=Milestones!$AB$176),UPPER(TEXT(EDATE($D80,Milestones!$AA$176),"dd mmm yy"))&amp;" "&amp;Milestones!$AB$176&amp;" "&amp;Milestones!$AC$176&amp;";  ","")&amp;IF(AND(EDATE($D80,Milestones!$AA$177)&lt;=AsOfDate,IF($R80=0,$X80,IF(AND($T80&lt;&gt;"",EDATE($D80,Milestones!$AA$177)&gt;=$T80),$W80,IF(AND($S80&lt;&gt;"",EDATE($D80,Milestones!$AA$177)&gt;=$S80),$V80,$U80)))=Milestones!$AB$177),UPPER(TEXT(EDATE($D80,Milestones!$AA$177),"dd mmm yy"))&amp;" "&amp;Milestones!$AB$177&amp;" "&amp;Milestones!$AC$177&amp;";  ","")&amp;IF(AND(EDATE($D80,Milestones!$AA$178)&lt;=AsOfDate,IF($R80=0,$X80,IF(AND($T80&lt;&gt;"",EDATE($D80,Milestones!$AA$178)&gt;=$T80),$W80,IF(AND($S80&lt;&gt;"",EDATE($D80,Milestones!$AA$178)&gt;=$S80),$V80,$U80)))=Milestones!$AB$178),UPPER(TEXT(EDATE($D80,Milestones!$AA$178),"dd mmm yy"))&amp;" "&amp;Milestones!$AB$178&amp;" "&amp;Milestones!$AC$178&amp;";  ","")&amp;IF(AND(EDATE($D80,Milestones!$AA$179)&lt;=AsOfDate,IF($R80=0,$X80,IF(AND($T80&lt;&gt;"",EDATE($D80,Milestones!$AA$179)&gt;=$T80),$W80,IF(AND($S80&lt;&gt;"",EDATE($D80,Milestones!$AA$179)&gt;=$S80),$V80,$U80)))=Milestones!$AB$179),UPPER(TEXT(EDATE($D80,Milestones!$AA$179),"dd mmm yy"))&amp;" "&amp;Milestones!$AB$179&amp;" "&amp;Milestones!$AC$179&amp;";  ",""))</f>
        <v/>
      </c>
      <c r="Q80" s="0" t="str">
        <f aca="false">IF(OR($A80="",$D80=""),"",IF(AND(EDATE($D80,Milestones!$AA$180)&lt;=AsOfDate,IF($R80=0,$X80,IF(AND($T80&lt;&gt;"",EDATE($D80,Milestones!$AA$180)&gt;=$T80),$W80,IF(AND($S80&lt;&gt;"",EDATE($D80,Milestones!$AA$180)&gt;=$S80),$V80,$U80)))=Milestones!$AB$180),UPPER(TEXT(EDATE($D80,Milestones!$AA$180),"dd mmm yy"))&amp;" "&amp;Milestones!$AB$180&amp;" "&amp;Milestones!$AC$180&amp;";  ","")&amp;IF(AND(EDATE($D80,Milestones!$AA$181)&lt;=AsOfDate,IF($R80=0,$X80,IF(AND($T80&lt;&gt;"",EDATE($D80,Milestones!$AA$181)&gt;=$T80),$W80,IF(AND($S80&lt;&gt;"",EDATE($D80,Milestones!$AA$181)&gt;=$S80),$V80,$U80)))=Milestones!$AB$181),UPPER(TEXT(EDATE($D80,Milestones!$AA$181),"dd mmm yy"))&amp;" "&amp;Milestones!$AB$181&amp;" "&amp;Milestones!$AC$181&amp;";  ","")&amp;IF(AND(EDATE($D80,Milestones!$AA$182)&lt;=AsOfDate,IF($R80=0,$X80,IF(AND($T80&lt;&gt;"",EDATE($D80,Milestones!$AA$182)&gt;=$T80),$W80,IF(AND($S80&lt;&gt;"",EDATE($D80,Milestones!$AA$182)&gt;=$S80),$V80,$U80)))=Milestones!$AB$182),UPPER(TEXT(EDATE($D80,Milestones!$AA$182),"dd mmm yy"))&amp;" "&amp;Milestones!$AB$182&amp;" "&amp;Milestones!$AC$182&amp;";  ","")&amp;IF(AND(EDATE($D80,Milestones!$AA$183)&lt;=AsOfDate,IF($R80=0,$X80,IF(AND($T80&lt;&gt;"",EDATE($D80,Milestones!$AA$183)&gt;=$T80),$W80,IF(AND($S80&lt;&gt;"",EDATE($D80,Milestones!$AA$183)&gt;=$S80),$V80,$U80)))=Milestones!$AB$183),UPPER(TEXT(EDATE($D80,Milestones!$AA$183),"dd mmm yy"))&amp;" "&amp;Milestones!$AB$183&amp;" "&amp;Milestones!$AC$183&amp;";  ","")&amp;IF(AND(EDATE($D80,Milestones!$AA$184)&lt;=AsOfDate,IF($R80=0,$X80,IF(AND($T80&lt;&gt;"",EDATE($D80,Milestones!$AA$184)&gt;=$T80),$W80,IF(AND($S80&lt;&gt;"",EDATE($D80,Milestones!$AA$184)&gt;=$S80),$V80,$U80)))=Milestones!$AB$184),UPPER(TEXT(EDATE($D80,Milestones!$AA$184),"dd mmm yy"))&amp;" "&amp;Milestones!$AB$184&amp;" "&amp;Milestones!$AC$184&amp;";  ","")&amp;IF(AND(EDATE($D80,Milestones!$AA$185)&lt;=AsOfDate,IF($R80=0,$X80,IF(AND($T80&lt;&gt;"",EDATE($D80,Milestones!$AA$185)&gt;=$T80),$W80,IF(AND($S80&lt;&gt;"",EDATE($D80,Milestones!$AA$185)&gt;=$S80),$V80,$U80)))=Milestones!$AB$185),UPPER(TEXT(EDATE($D80,Milestones!$AA$185),"dd mmm yy"))&amp;" "&amp;Milestones!$AB$185&amp;" "&amp;Milestones!$AC$185&amp;";  ","")&amp;IF(AND(EDATE($D80,Milestones!$AA$186)&lt;=AsOfDate,IF($R80=0,$X80,IF(AND($T80&lt;&gt;"",EDATE($D80,Milestones!$AA$186)&gt;=$T80),$W80,IF(AND($S80&lt;&gt;"",EDATE($D80,Milestones!$AA$186)&gt;=$S80),$V80,$U80)))=Milestones!$AB$186),UPPER(TEXT(EDATE($D80,Milestones!$AA$186),"dd mmm yy"))&amp;" "&amp;Milestones!$AB$186&amp;" "&amp;Milestones!$AC$186&amp;";  ","")&amp;IF(AND(EDATE($D80,Milestones!$AA$187)&lt;=AsOfDate,IF($R80=0,$X80,IF(AND($T80&lt;&gt;"",EDATE($D80,Milestones!$AA$187)&gt;=$T80),$W80,IF(AND($S80&lt;&gt;"",EDATE($D80,Milestones!$AA$187)&gt;=$S80),$V80,$U80)))=Milestones!$AB$187),UPPER(TEXT(EDATE($D80,Milestones!$AA$187),"dd mmm yy"))&amp;" "&amp;Milestones!$AB$187&amp;" "&amp;Milestones!$AC$187&amp;";  ","")&amp;IF(AND(EDATE($D80,Milestones!$AA$188)&lt;=AsOfDate,IF($R80=0,$X80,IF(AND($T80&lt;&gt;"",EDATE($D80,Milestones!$AA$188)&gt;=$T80),$W80,IF(AND($S80&lt;&gt;"",EDATE($D80,Milestones!$AA$188)&gt;=$S80),$V80,$U80)))=Milestones!$AB$188),UPPER(TEXT(EDATE($D80,Milestones!$AA$188),"dd mmm yy"))&amp;" "&amp;Milestones!$AB$188&amp;" "&amp;Milestones!$AC$188&amp;";  ","")&amp;IF(AND(EDATE($D80,Milestones!$AA$189)&lt;=AsOfDate,IF($R80=0,$X80,IF(AND($T80&lt;&gt;"",EDATE($D80,Milestones!$AA$189)&gt;=$T80),$W80,IF(AND($S80&lt;&gt;"",EDATE($D80,Milestones!$AA$189)&gt;=$S80),$V80,$U80)))=Milestones!$AB$189),UPPER(TEXT(EDATE($D80,Milestones!$AA$189),"dd mmm yy"))&amp;" "&amp;Milestones!$AB$189&amp;" "&amp;Milestones!$AC$189&amp;";  ","")&amp;IF(AND(EDATE($D80,Milestones!$AA$190)&lt;=AsOfDate,IF($R80=0,$X80,IF(AND($T80&lt;&gt;"",EDATE($D80,Milestones!$AA$190)&gt;=$T80),$W80,IF(AND($S80&lt;&gt;"",EDATE($D80,Milestones!$AA$190)&gt;=$S80),$V80,$U80)))=Milestones!$AB$190),UPPER(TEXT(EDATE($D80,Milestones!$AA$190),"dd mmm yy"))&amp;" "&amp;Milestones!$AB$190&amp;" "&amp;Milestones!$AC$190&amp;";  ","")&amp;IF(AND(EDATE($D80,Milestones!$AA$191)&lt;=AsOfDate,IF($R80=0,$X80,IF(AND($T80&lt;&gt;"",EDATE($D80,Milestones!$AA$191)&gt;=$T80),$W80,IF(AND($S80&lt;&gt;"",EDATE($D80,Milestones!$AA$191)&gt;=$S80),$V80,$U80)))=Milestones!$AB$191),UPPER(TEXT(EDATE($D80,Milestones!$AA$191),"dd mmm yy"))&amp;" "&amp;Milestones!$AB$191&amp;" "&amp;Milestones!$AC$191&amp;";  ","")&amp;IF(AND(EDATE($D80,Milestones!$AA$192)&lt;=AsOfDate,IF($R80=0,$X80,IF(AND($T80&lt;&gt;"",EDATE($D80,Milestones!$AA$192)&gt;=$T80),$W80,IF(AND($S80&lt;&gt;"",EDATE($D80,Milestones!$AA$192)&gt;=$S80),$V80,$U80)))=Milestones!$AB$192),UPPER(TEXT(EDATE($D80,Milestones!$AA$192),"dd mmm yy"))&amp;" "&amp;Milestones!$AB$192&amp;" "&amp;Milestones!$AC$192&amp;";  ","")&amp;IF(AND(EDATE($D80,Milestones!$AA$193)&lt;=AsOfDate,IF($R80=0,$X80,IF(AND($T80&lt;&gt;"",EDATE($D80,Milestones!$AA$193)&gt;=$T80),$W80,IF(AND($S80&lt;&gt;"",EDATE($D80,Milestones!$AA$193)&gt;=$S80),$V80,$U80)))=Milestones!$AB$193),UPPER(TEXT(EDATE($D80,Milestones!$AA$193),"dd mmm yy"))&amp;" "&amp;Milestones!$AB$193&amp;" "&amp;Milestones!$AC$193&amp;";  ","")&amp;IF(AND(EDATE($D80,Milestones!$AA$194)&lt;=AsOfDate,IF($R80=0,$X80,IF(AND($T80&lt;&gt;"",EDATE($D80,Milestones!$AA$194)&gt;=$T80),$W80,IF(AND($S80&lt;&gt;"",EDATE($D80,Milestones!$AA$194)&gt;=$S80),$V80,$U80)))=Milestones!$AB$194),UPPER(TEXT(EDATE($D80,Milestones!$AA$194),"dd mmm yy"))&amp;" "&amp;Milestones!$AB$194&amp;" "&amp;Milestones!$AC$194&amp;";  ","")&amp;IF(AND(EDATE($D80,Milestones!$AA$195)&lt;=AsOfDate,IF($R80=0,$X80,IF(AND($T80&lt;&gt;"",EDATE($D80,Milestones!$AA$195)&gt;=$T80),$W80,IF(AND($S80&lt;&gt;"",EDATE($D80,Milestones!$AA$195)&gt;=$S80),$V80,$U80)))=Milestones!$AB$195),UPPER(TEXT(EDATE($D80,Milestones!$AA$195),"dd mmm yy"))&amp;" "&amp;Milestones!$AB$195&amp;" "&amp;Milestones!$AC$195&amp;";  ","")&amp;IF(AND(EDATE($D80,Milestones!$AA$196)&lt;=AsOfDate,IF($R80=0,$X80,IF(AND($T80&lt;&gt;"",EDATE($D80,Milestones!$AA$196)&gt;=$T80),$W80,IF(AND($S80&lt;&gt;"",EDATE($D80,Milestones!$AA$196)&gt;=$S80),$V80,$U80)))=Milestones!$AB$196),UPPER(TEXT(EDATE($D80,Milestones!$AA$196),"dd mmm yy"))&amp;" "&amp;Milestones!$AB$196&amp;" "&amp;Milestones!$AC$196&amp;";  ","")&amp;IF(AND(EDATE($D80,Milestones!$AA$197)&lt;=AsOfDate,IF($R80=0,$X80,IF(AND($T80&lt;&gt;"",EDATE($D80,Milestones!$AA$197)&gt;=$T80),$W80,IF(AND($S80&lt;&gt;"",EDATE($D80,Milestones!$AA$197)&gt;=$S80),$V80,$U80)))=Milestones!$AB$197),UPPER(TEXT(EDATE($D80,Milestones!$AA$197),"dd mmm yy"))&amp;" "&amp;Milestones!$AB$197&amp;" "&amp;Milestones!$AC$197&amp;";  ","")&amp;IF(AND(EDATE($D80,Milestones!$AA$198)&lt;=AsOfDate,IF($R80=0,$X80,IF(AND($T80&lt;&gt;"",EDATE($D80,Milestones!$AA$198)&gt;=$T80),$W80,IF(AND($S80&lt;&gt;"",EDATE($D80,Milestones!$AA$198)&gt;=$S80),$V80,$U80)))=Milestones!$AB$198),UPPER(TEXT(EDATE($D80,Milestones!$AA$198),"dd mmm yy"))&amp;" "&amp;Milestones!$AB$198&amp;" "&amp;Milestones!$AC$198&amp;";  ","")&amp;IF(AND(EDATE($D80,Milestones!$AA$199)&lt;=AsOfDate,IF($R80=0,$X80,IF(AND($T80&lt;&gt;"",EDATE($D80,Milestones!$AA$199)&gt;=$T80),$W80,IF(AND($S80&lt;&gt;"",EDATE($D80,Milestones!$AA$199)&gt;=$S80),$V80,$U80)))=Milestones!$AB$199),UPPER(TEXT(EDATE($D80,Milestones!$AA$199),"dd mmm yy"))&amp;" "&amp;Milestones!$AB$199&amp;" "&amp;Milestones!$AC$199&amp;";  ",""))</f>
        <v/>
      </c>
      <c r="R80" s="0" t="str">
        <f aca="false">IF(Staff!$A80="","",Staff!$AI80)</f>
        <v/>
      </c>
      <c r="S80" s="0" t="str">
        <f aca="false">IF(Staff!$A80="","",Staff!$AK80)</f>
        <v/>
      </c>
      <c r="T80" s="0" t="str">
        <f aca="false">IF(Staff!$A80="","",Staff!$AL80)</f>
        <v/>
      </c>
      <c r="U80" s="0" t="str">
        <f aca="false">IF(Staff!$A80="","",Staff!$AP80)</f>
        <v/>
      </c>
      <c r="V80" s="0" t="str">
        <f aca="false">IF(Staff!$A80="","",Staff!$AQ80)</f>
        <v/>
      </c>
      <c r="W80" s="0" t="str">
        <f aca="false">IF(Staff!$A80="","",Staff!$AR80)</f>
        <v/>
      </c>
      <c r="X80" s="0" t="str">
        <f aca="false">IF(Staff!$A80="","",Staff!$AS80)</f>
        <v/>
      </c>
    </row>
    <row r="81" customFormat="false" ht="15" hidden="false" customHeight="false" outlineLevel="0" collapsed="false">
      <c r="A81" s="14" t="str">
        <f aca="false">IF(Staff!$A81="","",Staff!$A81)</f>
        <v/>
      </c>
      <c r="B81" s="14" t="str">
        <f aca="false">IF(Staff!$A81="","",Staff!$B81)</f>
        <v/>
      </c>
      <c r="C81" s="14" t="str">
        <f aca="false">IF(Staff!$A81="","",Staff!$C81)</f>
        <v/>
      </c>
      <c r="D81" s="12" t="str">
        <f aca="false">IF(Staff!$A81="","",Staff!$AH81)</f>
        <v/>
      </c>
      <c r="E81" s="14" t="str">
        <f aca="false">IF(Staff!$A81="","",Staff!$O81)</f>
        <v/>
      </c>
      <c r="F81" s="14" t="str">
        <f aca="false">IF(E81="","",E81*HoursPerDay)</f>
        <v/>
      </c>
      <c r="G81" s="14" t="str">
        <f aca="false">IF(Staff!$A81="","",Staff!$AE81)</f>
        <v/>
      </c>
      <c r="H81" s="26" t="str">
        <f aca="false">IF($A81="","",I81&amp;J81&amp;K81&amp;L81&amp;M81&amp;N81&amp;O81&amp;P81&amp;Q81)</f>
        <v/>
      </c>
      <c r="I81" s="0" t="str">
        <f aca="false">IF(OR($A81="",$D81=""),"",IF(AND(EDATE($D81,Milestones!$AA$20)&lt;=AsOfDate,IF($R81=0,$X81,IF(AND($T81&lt;&gt;"",EDATE($D81,Milestones!$AA$20)&gt;=$T81),$W81,IF(AND($S81&lt;&gt;"",EDATE($D81,Milestones!$AA$20)&gt;=$S81),$V81,$U81)))=Milestones!$AB$20),UPPER(TEXT(EDATE($D81,Milestones!$AA$20),"dd mmm yy"))&amp;" "&amp;Milestones!$AB$20&amp;" "&amp;Milestones!$AC$20&amp;";  ","")&amp;IF(AND(EDATE($D81,Milestones!$AA$21)&lt;=AsOfDate,IF($R81=0,$X81,IF(AND($T81&lt;&gt;"",EDATE($D81,Milestones!$AA$21)&gt;=$T81),$W81,IF(AND($S81&lt;&gt;"",EDATE($D81,Milestones!$AA$21)&gt;=$S81),$V81,$U81)))=Milestones!$AB$21),UPPER(TEXT(EDATE($D81,Milestones!$AA$21),"dd mmm yy"))&amp;" "&amp;Milestones!$AB$21&amp;" "&amp;Milestones!$AC$21&amp;";  ","")&amp;IF(AND(EDATE($D81,Milestones!$AA$22)&lt;=AsOfDate,IF($R81=0,$X81,IF(AND($T81&lt;&gt;"",EDATE($D81,Milestones!$AA$22)&gt;=$T81),$W81,IF(AND($S81&lt;&gt;"",EDATE($D81,Milestones!$AA$22)&gt;=$S81),$V81,$U81)))=Milestones!$AB$22),UPPER(TEXT(EDATE($D81,Milestones!$AA$22),"dd mmm yy"))&amp;" "&amp;Milestones!$AB$22&amp;" "&amp;Milestones!$AC$22&amp;";  ","")&amp;IF(AND(EDATE($D81,Milestones!$AA$23)&lt;=AsOfDate,IF($R81=0,$X81,IF(AND($T81&lt;&gt;"",EDATE($D81,Milestones!$AA$23)&gt;=$T81),$W81,IF(AND($S81&lt;&gt;"",EDATE($D81,Milestones!$AA$23)&gt;=$S81),$V81,$U81)))=Milestones!$AB$23),UPPER(TEXT(EDATE($D81,Milestones!$AA$23),"dd mmm yy"))&amp;" "&amp;Milestones!$AB$23&amp;" "&amp;Milestones!$AC$23&amp;";  ","")&amp;IF(AND(EDATE($D81,Milestones!$AA$24)&lt;=AsOfDate,IF($R81=0,$X81,IF(AND($T81&lt;&gt;"",EDATE($D81,Milestones!$AA$24)&gt;=$T81),$W81,IF(AND($S81&lt;&gt;"",EDATE($D81,Milestones!$AA$24)&gt;=$S81),$V81,$U81)))=Milestones!$AB$24),UPPER(TEXT(EDATE($D81,Milestones!$AA$24),"dd mmm yy"))&amp;" "&amp;Milestones!$AB$24&amp;" "&amp;Milestones!$AC$24&amp;";  ","")&amp;IF(AND(EDATE($D81,Milestones!$AA$25)&lt;=AsOfDate,IF($R81=0,$X81,IF(AND($T81&lt;&gt;"",EDATE($D81,Milestones!$AA$25)&gt;=$T81),$W81,IF(AND($S81&lt;&gt;"",EDATE($D81,Milestones!$AA$25)&gt;=$S81),$V81,$U81)))=Milestones!$AB$25),UPPER(TEXT(EDATE($D81,Milestones!$AA$25),"dd mmm yy"))&amp;" "&amp;Milestones!$AB$25&amp;" "&amp;Milestones!$AC$25&amp;";  ","")&amp;IF(AND(EDATE($D81,Milestones!$AA$26)&lt;=AsOfDate,IF($R81=0,$X81,IF(AND($T81&lt;&gt;"",EDATE($D81,Milestones!$AA$26)&gt;=$T81),$W81,IF(AND($S81&lt;&gt;"",EDATE($D81,Milestones!$AA$26)&gt;=$S81),$V81,$U81)))=Milestones!$AB$26),UPPER(TEXT(EDATE($D81,Milestones!$AA$26),"dd mmm yy"))&amp;" "&amp;Milestones!$AB$26&amp;" "&amp;Milestones!$AC$26&amp;";  ","")&amp;IF(AND(EDATE($D81,Milestones!$AA$27)&lt;=AsOfDate,IF($R81=0,$X81,IF(AND($T81&lt;&gt;"",EDATE($D81,Milestones!$AA$27)&gt;=$T81),$W81,IF(AND($S81&lt;&gt;"",EDATE($D81,Milestones!$AA$27)&gt;=$S81),$V81,$U81)))=Milestones!$AB$27),UPPER(TEXT(EDATE($D81,Milestones!$AA$27),"dd mmm yy"))&amp;" "&amp;Milestones!$AB$27&amp;" "&amp;Milestones!$AC$27&amp;";  ","")&amp;IF(AND(EDATE($D81,Milestones!$AA$28)&lt;=AsOfDate,IF($R81=0,$X81,IF(AND($T81&lt;&gt;"",EDATE($D81,Milestones!$AA$28)&gt;=$T81),$W81,IF(AND($S81&lt;&gt;"",EDATE($D81,Milestones!$AA$28)&gt;=$S81),$V81,$U81)))=Milestones!$AB$28),UPPER(TEXT(EDATE($D81,Milestones!$AA$28),"dd mmm yy"))&amp;" "&amp;Milestones!$AB$28&amp;" "&amp;Milestones!$AC$28&amp;";  ","")&amp;IF(AND(EDATE($D81,Milestones!$AA$29)&lt;=AsOfDate,IF($R81=0,$X81,IF(AND($T81&lt;&gt;"",EDATE($D81,Milestones!$AA$29)&gt;=$T81),$W81,IF(AND($S81&lt;&gt;"",EDATE($D81,Milestones!$AA$29)&gt;=$S81),$V81,$U81)))=Milestones!$AB$29),UPPER(TEXT(EDATE($D81,Milestones!$AA$29),"dd mmm yy"))&amp;" "&amp;Milestones!$AB$29&amp;" "&amp;Milestones!$AC$29&amp;";  ","")&amp;IF(AND(EDATE($D81,Milestones!$AA$30)&lt;=AsOfDate,IF($R81=0,$X81,IF(AND($T81&lt;&gt;"",EDATE($D81,Milestones!$AA$30)&gt;=$T81),$W81,IF(AND($S81&lt;&gt;"",EDATE($D81,Milestones!$AA$30)&gt;=$S81),$V81,$U81)))=Milestones!$AB$30),UPPER(TEXT(EDATE($D81,Milestones!$AA$30),"dd mmm yy"))&amp;" "&amp;Milestones!$AB$30&amp;" "&amp;Milestones!$AC$30&amp;";  ","")&amp;IF(AND(EDATE($D81,Milestones!$AA$31)&lt;=AsOfDate,IF($R81=0,$X81,IF(AND($T81&lt;&gt;"",EDATE($D81,Milestones!$AA$31)&gt;=$T81),$W81,IF(AND($S81&lt;&gt;"",EDATE($D81,Milestones!$AA$31)&gt;=$S81),$V81,$U81)))=Milestones!$AB$31),UPPER(TEXT(EDATE($D81,Milestones!$AA$31),"dd mmm yy"))&amp;" "&amp;Milestones!$AB$31&amp;" "&amp;Milestones!$AC$31&amp;";  ","")&amp;IF(AND(EDATE($D81,Milestones!$AA$32)&lt;=AsOfDate,IF($R81=0,$X81,IF(AND($T81&lt;&gt;"",EDATE($D81,Milestones!$AA$32)&gt;=$T81),$W81,IF(AND($S81&lt;&gt;"",EDATE($D81,Milestones!$AA$32)&gt;=$S81),$V81,$U81)))=Milestones!$AB$32),UPPER(TEXT(EDATE($D81,Milestones!$AA$32),"dd mmm yy"))&amp;" "&amp;Milestones!$AB$32&amp;" "&amp;Milestones!$AC$32&amp;";  ","")&amp;IF(AND(EDATE($D81,Milestones!$AA$33)&lt;=AsOfDate,IF($R81=0,$X81,IF(AND($T81&lt;&gt;"",EDATE($D81,Milestones!$AA$33)&gt;=$T81),$W81,IF(AND($S81&lt;&gt;"",EDATE($D81,Milestones!$AA$33)&gt;=$S81),$V81,$U81)))=Milestones!$AB$33),UPPER(TEXT(EDATE($D81,Milestones!$AA$33),"dd mmm yy"))&amp;" "&amp;Milestones!$AB$33&amp;" "&amp;Milestones!$AC$33&amp;";  ","")&amp;IF(AND(EDATE($D81,Milestones!$AA$34)&lt;=AsOfDate,IF($R81=0,$X81,IF(AND($T81&lt;&gt;"",EDATE($D81,Milestones!$AA$34)&gt;=$T81),$W81,IF(AND($S81&lt;&gt;"",EDATE($D81,Milestones!$AA$34)&gt;=$S81),$V81,$U81)))=Milestones!$AB$34),UPPER(TEXT(EDATE($D81,Milestones!$AA$34),"dd mmm yy"))&amp;" "&amp;Milestones!$AB$34&amp;" "&amp;Milestones!$AC$34&amp;";  ","")&amp;IF(AND(EDATE($D81,Milestones!$AA$35)&lt;=AsOfDate,IF($R81=0,$X81,IF(AND($T81&lt;&gt;"",EDATE($D81,Milestones!$AA$35)&gt;=$T81),$W81,IF(AND($S81&lt;&gt;"",EDATE($D81,Milestones!$AA$35)&gt;=$S81),$V81,$U81)))=Milestones!$AB$35),UPPER(TEXT(EDATE($D81,Milestones!$AA$35),"dd mmm yy"))&amp;" "&amp;Milestones!$AB$35&amp;" "&amp;Milestones!$AC$35&amp;";  ","")&amp;IF(AND(EDATE($D81,Milestones!$AA$36)&lt;=AsOfDate,IF($R81=0,$X81,IF(AND($T81&lt;&gt;"",EDATE($D81,Milestones!$AA$36)&gt;=$T81),$W81,IF(AND($S81&lt;&gt;"",EDATE($D81,Milestones!$AA$36)&gt;=$S81),$V81,$U81)))=Milestones!$AB$36),UPPER(TEXT(EDATE($D81,Milestones!$AA$36),"dd mmm yy"))&amp;" "&amp;Milestones!$AB$36&amp;" "&amp;Milestones!$AC$36&amp;";  ","")&amp;IF(AND(EDATE($D81,Milestones!$AA$37)&lt;=AsOfDate,IF($R81=0,$X81,IF(AND($T81&lt;&gt;"",EDATE($D81,Milestones!$AA$37)&gt;=$T81),$W81,IF(AND($S81&lt;&gt;"",EDATE($D81,Milestones!$AA$37)&gt;=$S81),$V81,$U81)))=Milestones!$AB$37),UPPER(TEXT(EDATE($D81,Milestones!$AA$37),"dd mmm yy"))&amp;" "&amp;Milestones!$AB$37&amp;" "&amp;Milestones!$AC$37&amp;";  ","")&amp;IF(AND(EDATE($D81,Milestones!$AA$38)&lt;=AsOfDate,IF($R81=0,$X81,IF(AND($T81&lt;&gt;"",EDATE($D81,Milestones!$AA$38)&gt;=$T81),$W81,IF(AND($S81&lt;&gt;"",EDATE($D81,Milestones!$AA$38)&gt;=$S81),$V81,$U81)))=Milestones!$AB$38),UPPER(TEXT(EDATE($D81,Milestones!$AA$38),"dd mmm yy"))&amp;" "&amp;Milestones!$AB$38&amp;" "&amp;Milestones!$AC$38&amp;";  ","")&amp;IF(AND(EDATE($D81,Milestones!$AA$39)&lt;=AsOfDate,IF($R81=0,$X81,IF(AND($T81&lt;&gt;"",EDATE($D81,Milestones!$AA$39)&gt;=$T81),$W81,IF(AND($S81&lt;&gt;"",EDATE($D81,Milestones!$AA$39)&gt;=$S81),$V81,$U81)))=Milestones!$AB$39),UPPER(TEXT(EDATE($D81,Milestones!$AA$39),"dd mmm yy"))&amp;" "&amp;Milestones!$AB$39&amp;" "&amp;Milestones!$AC$39&amp;";  ",""))</f>
        <v/>
      </c>
      <c r="J81" s="0" t="str">
        <f aca="false">IF(OR($A81="",$D81=""),"",IF(AND(EDATE($D81,Milestones!$AA$40)&lt;=AsOfDate,IF($R81=0,$X81,IF(AND($T81&lt;&gt;"",EDATE($D81,Milestones!$AA$40)&gt;=$T81),$W81,IF(AND($S81&lt;&gt;"",EDATE($D81,Milestones!$AA$40)&gt;=$S81),$V81,$U81)))=Milestones!$AB$40),UPPER(TEXT(EDATE($D81,Milestones!$AA$40),"dd mmm yy"))&amp;" "&amp;Milestones!$AB$40&amp;" "&amp;Milestones!$AC$40&amp;";  ","")&amp;IF(AND(EDATE($D81,Milestones!$AA$41)&lt;=AsOfDate,IF($R81=0,$X81,IF(AND($T81&lt;&gt;"",EDATE($D81,Milestones!$AA$41)&gt;=$T81),$W81,IF(AND($S81&lt;&gt;"",EDATE($D81,Milestones!$AA$41)&gt;=$S81),$V81,$U81)))=Milestones!$AB$41),UPPER(TEXT(EDATE($D81,Milestones!$AA$41),"dd mmm yy"))&amp;" "&amp;Milestones!$AB$41&amp;" "&amp;Milestones!$AC$41&amp;";  ","")&amp;IF(AND(EDATE($D81,Milestones!$AA$42)&lt;=AsOfDate,IF($R81=0,$X81,IF(AND($T81&lt;&gt;"",EDATE($D81,Milestones!$AA$42)&gt;=$T81),$W81,IF(AND($S81&lt;&gt;"",EDATE($D81,Milestones!$AA$42)&gt;=$S81),$V81,$U81)))=Milestones!$AB$42),UPPER(TEXT(EDATE($D81,Milestones!$AA$42),"dd mmm yy"))&amp;" "&amp;Milestones!$AB$42&amp;" "&amp;Milestones!$AC$42&amp;";  ","")&amp;IF(AND(EDATE($D81,Milestones!$AA$43)&lt;=AsOfDate,IF($R81=0,$X81,IF(AND($T81&lt;&gt;"",EDATE($D81,Milestones!$AA$43)&gt;=$T81),$W81,IF(AND($S81&lt;&gt;"",EDATE($D81,Milestones!$AA$43)&gt;=$S81),$V81,$U81)))=Milestones!$AB$43),UPPER(TEXT(EDATE($D81,Milestones!$AA$43),"dd mmm yy"))&amp;" "&amp;Milestones!$AB$43&amp;" "&amp;Milestones!$AC$43&amp;";  ","")&amp;IF(AND(EDATE($D81,Milestones!$AA$44)&lt;=AsOfDate,IF($R81=0,$X81,IF(AND($T81&lt;&gt;"",EDATE($D81,Milestones!$AA$44)&gt;=$T81),$W81,IF(AND($S81&lt;&gt;"",EDATE($D81,Milestones!$AA$44)&gt;=$S81),$V81,$U81)))=Milestones!$AB$44),UPPER(TEXT(EDATE($D81,Milestones!$AA$44),"dd mmm yy"))&amp;" "&amp;Milestones!$AB$44&amp;" "&amp;Milestones!$AC$44&amp;";  ","")&amp;IF(AND(EDATE($D81,Milestones!$AA$45)&lt;=AsOfDate,IF($R81=0,$X81,IF(AND($T81&lt;&gt;"",EDATE($D81,Milestones!$AA$45)&gt;=$T81),$W81,IF(AND($S81&lt;&gt;"",EDATE($D81,Milestones!$AA$45)&gt;=$S81),$V81,$U81)))=Milestones!$AB$45),UPPER(TEXT(EDATE($D81,Milestones!$AA$45),"dd mmm yy"))&amp;" "&amp;Milestones!$AB$45&amp;" "&amp;Milestones!$AC$45&amp;";  ","")&amp;IF(AND(EDATE($D81,Milestones!$AA$46)&lt;=AsOfDate,IF($R81=0,$X81,IF(AND($T81&lt;&gt;"",EDATE($D81,Milestones!$AA$46)&gt;=$T81),$W81,IF(AND($S81&lt;&gt;"",EDATE($D81,Milestones!$AA$46)&gt;=$S81),$V81,$U81)))=Milestones!$AB$46),UPPER(TEXT(EDATE($D81,Milestones!$AA$46),"dd mmm yy"))&amp;" "&amp;Milestones!$AB$46&amp;" "&amp;Milestones!$AC$46&amp;";  ","")&amp;IF(AND(EDATE($D81,Milestones!$AA$47)&lt;=AsOfDate,IF($R81=0,$X81,IF(AND($T81&lt;&gt;"",EDATE($D81,Milestones!$AA$47)&gt;=$T81),$W81,IF(AND($S81&lt;&gt;"",EDATE($D81,Milestones!$AA$47)&gt;=$S81),$V81,$U81)))=Milestones!$AB$47),UPPER(TEXT(EDATE($D81,Milestones!$AA$47),"dd mmm yy"))&amp;" "&amp;Milestones!$AB$47&amp;" "&amp;Milestones!$AC$47&amp;";  ","")&amp;IF(AND(EDATE($D81,Milestones!$AA$48)&lt;=AsOfDate,IF($R81=0,$X81,IF(AND($T81&lt;&gt;"",EDATE($D81,Milestones!$AA$48)&gt;=$T81),$W81,IF(AND($S81&lt;&gt;"",EDATE($D81,Milestones!$AA$48)&gt;=$S81),$V81,$U81)))=Milestones!$AB$48),UPPER(TEXT(EDATE($D81,Milestones!$AA$48),"dd mmm yy"))&amp;" "&amp;Milestones!$AB$48&amp;" "&amp;Milestones!$AC$48&amp;";  ","")&amp;IF(AND(EDATE($D81,Milestones!$AA$49)&lt;=AsOfDate,IF($R81=0,$X81,IF(AND($T81&lt;&gt;"",EDATE($D81,Milestones!$AA$49)&gt;=$T81),$W81,IF(AND($S81&lt;&gt;"",EDATE($D81,Milestones!$AA$49)&gt;=$S81),$V81,$U81)))=Milestones!$AB$49),UPPER(TEXT(EDATE($D81,Milestones!$AA$49),"dd mmm yy"))&amp;" "&amp;Milestones!$AB$49&amp;" "&amp;Milestones!$AC$49&amp;";  ","")&amp;IF(AND(EDATE($D81,Milestones!$AA$50)&lt;=AsOfDate,IF($R81=0,$X81,IF(AND($T81&lt;&gt;"",EDATE($D81,Milestones!$AA$50)&gt;=$T81),$W81,IF(AND($S81&lt;&gt;"",EDATE($D81,Milestones!$AA$50)&gt;=$S81),$V81,$U81)))=Milestones!$AB$50),UPPER(TEXT(EDATE($D81,Milestones!$AA$50),"dd mmm yy"))&amp;" "&amp;Milestones!$AB$50&amp;" "&amp;Milestones!$AC$50&amp;";  ","")&amp;IF(AND(EDATE($D81,Milestones!$AA$51)&lt;=AsOfDate,IF($R81=0,$X81,IF(AND($T81&lt;&gt;"",EDATE($D81,Milestones!$AA$51)&gt;=$T81),$W81,IF(AND($S81&lt;&gt;"",EDATE($D81,Milestones!$AA$51)&gt;=$S81),$V81,$U81)))=Milestones!$AB$51),UPPER(TEXT(EDATE($D81,Milestones!$AA$51),"dd mmm yy"))&amp;" "&amp;Milestones!$AB$51&amp;" "&amp;Milestones!$AC$51&amp;";  ","")&amp;IF(AND(EDATE($D81,Milestones!$AA$52)&lt;=AsOfDate,IF($R81=0,$X81,IF(AND($T81&lt;&gt;"",EDATE($D81,Milestones!$AA$52)&gt;=$T81),$W81,IF(AND($S81&lt;&gt;"",EDATE($D81,Milestones!$AA$52)&gt;=$S81),$V81,$U81)))=Milestones!$AB$52),UPPER(TEXT(EDATE($D81,Milestones!$AA$52),"dd mmm yy"))&amp;" "&amp;Milestones!$AB$52&amp;" "&amp;Milestones!$AC$52&amp;";  ","")&amp;IF(AND(EDATE($D81,Milestones!$AA$53)&lt;=AsOfDate,IF($R81=0,$X81,IF(AND($T81&lt;&gt;"",EDATE($D81,Milestones!$AA$53)&gt;=$T81),$W81,IF(AND($S81&lt;&gt;"",EDATE($D81,Milestones!$AA$53)&gt;=$S81),$V81,$U81)))=Milestones!$AB$53),UPPER(TEXT(EDATE($D81,Milestones!$AA$53),"dd mmm yy"))&amp;" "&amp;Milestones!$AB$53&amp;" "&amp;Milestones!$AC$53&amp;";  ","")&amp;IF(AND(EDATE($D81,Milestones!$AA$54)&lt;=AsOfDate,IF($R81=0,$X81,IF(AND($T81&lt;&gt;"",EDATE($D81,Milestones!$AA$54)&gt;=$T81),$W81,IF(AND($S81&lt;&gt;"",EDATE($D81,Milestones!$AA$54)&gt;=$S81),$V81,$U81)))=Milestones!$AB$54),UPPER(TEXT(EDATE($D81,Milestones!$AA$54),"dd mmm yy"))&amp;" "&amp;Milestones!$AB$54&amp;" "&amp;Milestones!$AC$54&amp;";  ","")&amp;IF(AND(EDATE($D81,Milestones!$AA$55)&lt;=AsOfDate,IF($R81=0,$X81,IF(AND($T81&lt;&gt;"",EDATE($D81,Milestones!$AA$55)&gt;=$T81),$W81,IF(AND($S81&lt;&gt;"",EDATE($D81,Milestones!$AA$55)&gt;=$S81),$V81,$U81)))=Milestones!$AB$55),UPPER(TEXT(EDATE($D81,Milestones!$AA$55),"dd mmm yy"))&amp;" "&amp;Milestones!$AB$55&amp;" "&amp;Milestones!$AC$55&amp;";  ","")&amp;IF(AND(EDATE($D81,Milestones!$AA$56)&lt;=AsOfDate,IF($R81=0,$X81,IF(AND($T81&lt;&gt;"",EDATE($D81,Milestones!$AA$56)&gt;=$T81),$W81,IF(AND($S81&lt;&gt;"",EDATE($D81,Milestones!$AA$56)&gt;=$S81),$V81,$U81)))=Milestones!$AB$56),UPPER(TEXT(EDATE($D81,Milestones!$AA$56),"dd mmm yy"))&amp;" "&amp;Milestones!$AB$56&amp;" "&amp;Milestones!$AC$56&amp;";  ","")&amp;IF(AND(EDATE($D81,Milestones!$AA$57)&lt;=AsOfDate,IF($R81=0,$X81,IF(AND($T81&lt;&gt;"",EDATE($D81,Milestones!$AA$57)&gt;=$T81),$W81,IF(AND($S81&lt;&gt;"",EDATE($D81,Milestones!$AA$57)&gt;=$S81),$V81,$U81)))=Milestones!$AB$57),UPPER(TEXT(EDATE($D81,Milestones!$AA$57),"dd mmm yy"))&amp;" "&amp;Milestones!$AB$57&amp;" "&amp;Milestones!$AC$57&amp;";  ","")&amp;IF(AND(EDATE($D81,Milestones!$AA$58)&lt;=AsOfDate,IF($R81=0,$X81,IF(AND($T81&lt;&gt;"",EDATE($D81,Milestones!$AA$58)&gt;=$T81),$W81,IF(AND($S81&lt;&gt;"",EDATE($D81,Milestones!$AA$58)&gt;=$S81),$V81,$U81)))=Milestones!$AB$58),UPPER(TEXT(EDATE($D81,Milestones!$AA$58),"dd mmm yy"))&amp;" "&amp;Milestones!$AB$58&amp;" "&amp;Milestones!$AC$58&amp;";  ","")&amp;IF(AND(EDATE($D81,Milestones!$AA$59)&lt;=AsOfDate,IF($R81=0,$X81,IF(AND($T81&lt;&gt;"",EDATE($D81,Milestones!$AA$59)&gt;=$T81),$W81,IF(AND($S81&lt;&gt;"",EDATE($D81,Milestones!$AA$59)&gt;=$S81),$V81,$U81)))=Milestones!$AB$59),UPPER(TEXT(EDATE($D81,Milestones!$AA$59),"dd mmm yy"))&amp;" "&amp;Milestones!$AB$59&amp;" "&amp;Milestones!$AC$59&amp;";  ",""))</f>
        <v/>
      </c>
      <c r="K81" s="0" t="str">
        <f aca="false">IF(OR($A81="",$D81=""),"",IF(AND(EDATE($D81,Milestones!$AA$60)&lt;=AsOfDate,IF($R81=0,$X81,IF(AND($T81&lt;&gt;"",EDATE($D81,Milestones!$AA$60)&gt;=$T81),$W81,IF(AND($S81&lt;&gt;"",EDATE($D81,Milestones!$AA$60)&gt;=$S81),$V81,$U81)))=Milestones!$AB$60),UPPER(TEXT(EDATE($D81,Milestones!$AA$60),"dd mmm yy"))&amp;" "&amp;Milestones!$AB$60&amp;" "&amp;Milestones!$AC$60&amp;";  ","")&amp;IF(AND(EDATE($D81,Milestones!$AA$61)&lt;=AsOfDate,IF($R81=0,$X81,IF(AND($T81&lt;&gt;"",EDATE($D81,Milestones!$AA$61)&gt;=$T81),$W81,IF(AND($S81&lt;&gt;"",EDATE($D81,Milestones!$AA$61)&gt;=$S81),$V81,$U81)))=Milestones!$AB$61),UPPER(TEXT(EDATE($D81,Milestones!$AA$61),"dd mmm yy"))&amp;" "&amp;Milestones!$AB$61&amp;" "&amp;Milestones!$AC$61&amp;";  ","")&amp;IF(AND(EDATE($D81,Milestones!$AA$62)&lt;=AsOfDate,IF($R81=0,$X81,IF(AND($T81&lt;&gt;"",EDATE($D81,Milestones!$AA$62)&gt;=$T81),$W81,IF(AND($S81&lt;&gt;"",EDATE($D81,Milestones!$AA$62)&gt;=$S81),$V81,$U81)))=Milestones!$AB$62),UPPER(TEXT(EDATE($D81,Milestones!$AA$62),"dd mmm yy"))&amp;" "&amp;Milestones!$AB$62&amp;" "&amp;Milestones!$AC$62&amp;";  ","")&amp;IF(AND(EDATE($D81,Milestones!$AA$63)&lt;=AsOfDate,IF($R81=0,$X81,IF(AND($T81&lt;&gt;"",EDATE($D81,Milestones!$AA$63)&gt;=$T81),$W81,IF(AND($S81&lt;&gt;"",EDATE($D81,Milestones!$AA$63)&gt;=$S81),$V81,$U81)))=Milestones!$AB$63),UPPER(TEXT(EDATE($D81,Milestones!$AA$63),"dd mmm yy"))&amp;" "&amp;Milestones!$AB$63&amp;" "&amp;Milestones!$AC$63&amp;";  ","")&amp;IF(AND(EDATE($D81,Milestones!$AA$64)&lt;=AsOfDate,IF($R81=0,$X81,IF(AND($T81&lt;&gt;"",EDATE($D81,Milestones!$AA$64)&gt;=$T81),$W81,IF(AND($S81&lt;&gt;"",EDATE($D81,Milestones!$AA$64)&gt;=$S81),$V81,$U81)))=Milestones!$AB$64),UPPER(TEXT(EDATE($D81,Milestones!$AA$64),"dd mmm yy"))&amp;" "&amp;Milestones!$AB$64&amp;" "&amp;Milestones!$AC$64&amp;";  ","")&amp;IF(AND(EDATE($D81,Milestones!$AA$65)&lt;=AsOfDate,IF($R81=0,$X81,IF(AND($T81&lt;&gt;"",EDATE($D81,Milestones!$AA$65)&gt;=$T81),$W81,IF(AND($S81&lt;&gt;"",EDATE($D81,Milestones!$AA$65)&gt;=$S81),$V81,$U81)))=Milestones!$AB$65),UPPER(TEXT(EDATE($D81,Milestones!$AA$65),"dd mmm yy"))&amp;" "&amp;Milestones!$AB$65&amp;" "&amp;Milestones!$AC$65&amp;";  ","")&amp;IF(AND(EDATE($D81,Milestones!$AA$66)&lt;=AsOfDate,IF($R81=0,$X81,IF(AND($T81&lt;&gt;"",EDATE($D81,Milestones!$AA$66)&gt;=$T81),$W81,IF(AND($S81&lt;&gt;"",EDATE($D81,Milestones!$AA$66)&gt;=$S81),$V81,$U81)))=Milestones!$AB$66),UPPER(TEXT(EDATE($D81,Milestones!$AA$66),"dd mmm yy"))&amp;" "&amp;Milestones!$AB$66&amp;" "&amp;Milestones!$AC$66&amp;";  ","")&amp;IF(AND(EDATE($D81,Milestones!$AA$67)&lt;=AsOfDate,IF($R81=0,$X81,IF(AND($T81&lt;&gt;"",EDATE($D81,Milestones!$AA$67)&gt;=$T81),$W81,IF(AND($S81&lt;&gt;"",EDATE($D81,Milestones!$AA$67)&gt;=$S81),$V81,$U81)))=Milestones!$AB$67),UPPER(TEXT(EDATE($D81,Milestones!$AA$67),"dd mmm yy"))&amp;" "&amp;Milestones!$AB$67&amp;" "&amp;Milestones!$AC$67&amp;";  ","")&amp;IF(AND(EDATE($D81,Milestones!$AA$68)&lt;=AsOfDate,IF($R81=0,$X81,IF(AND($T81&lt;&gt;"",EDATE($D81,Milestones!$AA$68)&gt;=$T81),$W81,IF(AND($S81&lt;&gt;"",EDATE($D81,Milestones!$AA$68)&gt;=$S81),$V81,$U81)))=Milestones!$AB$68),UPPER(TEXT(EDATE($D81,Milestones!$AA$68),"dd mmm yy"))&amp;" "&amp;Milestones!$AB$68&amp;" "&amp;Milestones!$AC$68&amp;";  ","")&amp;IF(AND(EDATE($D81,Milestones!$AA$69)&lt;=AsOfDate,IF($R81=0,$X81,IF(AND($T81&lt;&gt;"",EDATE($D81,Milestones!$AA$69)&gt;=$T81),$W81,IF(AND($S81&lt;&gt;"",EDATE($D81,Milestones!$AA$69)&gt;=$S81),$V81,$U81)))=Milestones!$AB$69),UPPER(TEXT(EDATE($D81,Milestones!$AA$69),"dd mmm yy"))&amp;" "&amp;Milestones!$AB$69&amp;" "&amp;Milestones!$AC$69&amp;";  ","")&amp;IF(AND(EDATE($D81,Milestones!$AA$70)&lt;=AsOfDate,IF($R81=0,$X81,IF(AND($T81&lt;&gt;"",EDATE($D81,Milestones!$AA$70)&gt;=$T81),$W81,IF(AND($S81&lt;&gt;"",EDATE($D81,Milestones!$AA$70)&gt;=$S81),$V81,$U81)))=Milestones!$AB$70),UPPER(TEXT(EDATE($D81,Milestones!$AA$70),"dd mmm yy"))&amp;" "&amp;Milestones!$AB$70&amp;" "&amp;Milestones!$AC$70&amp;";  ","")&amp;IF(AND(EDATE($D81,Milestones!$AA$71)&lt;=AsOfDate,IF($R81=0,$X81,IF(AND($T81&lt;&gt;"",EDATE($D81,Milestones!$AA$71)&gt;=$T81),$W81,IF(AND($S81&lt;&gt;"",EDATE($D81,Milestones!$AA$71)&gt;=$S81),$V81,$U81)))=Milestones!$AB$71),UPPER(TEXT(EDATE($D81,Milestones!$AA$71),"dd mmm yy"))&amp;" "&amp;Milestones!$AB$71&amp;" "&amp;Milestones!$AC$71&amp;";  ","")&amp;IF(AND(EDATE($D81,Milestones!$AA$72)&lt;=AsOfDate,IF($R81=0,$X81,IF(AND($T81&lt;&gt;"",EDATE($D81,Milestones!$AA$72)&gt;=$T81),$W81,IF(AND($S81&lt;&gt;"",EDATE($D81,Milestones!$AA$72)&gt;=$S81),$V81,$U81)))=Milestones!$AB$72),UPPER(TEXT(EDATE($D81,Milestones!$AA$72),"dd mmm yy"))&amp;" "&amp;Milestones!$AB$72&amp;" "&amp;Milestones!$AC$72&amp;";  ","")&amp;IF(AND(EDATE($D81,Milestones!$AA$73)&lt;=AsOfDate,IF($R81=0,$X81,IF(AND($T81&lt;&gt;"",EDATE($D81,Milestones!$AA$73)&gt;=$T81),$W81,IF(AND($S81&lt;&gt;"",EDATE($D81,Milestones!$AA$73)&gt;=$S81),$V81,$U81)))=Milestones!$AB$73),UPPER(TEXT(EDATE($D81,Milestones!$AA$73),"dd mmm yy"))&amp;" "&amp;Milestones!$AB$73&amp;" "&amp;Milestones!$AC$73&amp;";  ","")&amp;IF(AND(EDATE($D81,Milestones!$AA$74)&lt;=AsOfDate,IF($R81=0,$X81,IF(AND($T81&lt;&gt;"",EDATE($D81,Milestones!$AA$74)&gt;=$T81),$W81,IF(AND($S81&lt;&gt;"",EDATE($D81,Milestones!$AA$74)&gt;=$S81),$V81,$U81)))=Milestones!$AB$74),UPPER(TEXT(EDATE($D81,Milestones!$AA$74),"dd mmm yy"))&amp;" "&amp;Milestones!$AB$74&amp;" "&amp;Milestones!$AC$74&amp;";  ","")&amp;IF(AND(EDATE($D81,Milestones!$AA$75)&lt;=AsOfDate,IF($R81=0,$X81,IF(AND($T81&lt;&gt;"",EDATE($D81,Milestones!$AA$75)&gt;=$T81),$W81,IF(AND($S81&lt;&gt;"",EDATE($D81,Milestones!$AA$75)&gt;=$S81),$V81,$U81)))=Milestones!$AB$75),UPPER(TEXT(EDATE($D81,Milestones!$AA$75),"dd mmm yy"))&amp;" "&amp;Milestones!$AB$75&amp;" "&amp;Milestones!$AC$75&amp;";  ","")&amp;IF(AND(EDATE($D81,Milestones!$AA$76)&lt;=AsOfDate,IF($R81=0,$X81,IF(AND($T81&lt;&gt;"",EDATE($D81,Milestones!$AA$76)&gt;=$T81),$W81,IF(AND($S81&lt;&gt;"",EDATE($D81,Milestones!$AA$76)&gt;=$S81),$V81,$U81)))=Milestones!$AB$76),UPPER(TEXT(EDATE($D81,Milestones!$AA$76),"dd mmm yy"))&amp;" "&amp;Milestones!$AB$76&amp;" "&amp;Milestones!$AC$76&amp;";  ","")&amp;IF(AND(EDATE($D81,Milestones!$AA$77)&lt;=AsOfDate,IF($R81=0,$X81,IF(AND($T81&lt;&gt;"",EDATE($D81,Milestones!$AA$77)&gt;=$T81),$W81,IF(AND($S81&lt;&gt;"",EDATE($D81,Milestones!$AA$77)&gt;=$S81),$V81,$U81)))=Milestones!$AB$77),UPPER(TEXT(EDATE($D81,Milestones!$AA$77),"dd mmm yy"))&amp;" "&amp;Milestones!$AB$77&amp;" "&amp;Milestones!$AC$77&amp;";  ","")&amp;IF(AND(EDATE($D81,Milestones!$AA$78)&lt;=AsOfDate,IF($R81=0,$X81,IF(AND($T81&lt;&gt;"",EDATE($D81,Milestones!$AA$78)&gt;=$T81),$W81,IF(AND($S81&lt;&gt;"",EDATE($D81,Milestones!$AA$78)&gt;=$S81),$V81,$U81)))=Milestones!$AB$78),UPPER(TEXT(EDATE($D81,Milestones!$AA$78),"dd mmm yy"))&amp;" "&amp;Milestones!$AB$78&amp;" "&amp;Milestones!$AC$78&amp;";  ","")&amp;IF(AND(EDATE($D81,Milestones!$AA$79)&lt;=AsOfDate,IF($R81=0,$X81,IF(AND($T81&lt;&gt;"",EDATE($D81,Milestones!$AA$79)&gt;=$T81),$W81,IF(AND($S81&lt;&gt;"",EDATE($D81,Milestones!$AA$79)&gt;=$S81),$V81,$U81)))=Milestones!$AB$79),UPPER(TEXT(EDATE($D81,Milestones!$AA$79),"dd mmm yy"))&amp;" "&amp;Milestones!$AB$79&amp;" "&amp;Milestones!$AC$79&amp;";  ",""))</f>
        <v/>
      </c>
      <c r="L81" s="0" t="str">
        <f aca="false">IF(OR($A81="",$D81=""),"",IF(AND(EDATE($D81,Milestones!$AA$80)&lt;=AsOfDate,IF($R81=0,$X81,IF(AND($T81&lt;&gt;"",EDATE($D81,Milestones!$AA$80)&gt;=$T81),$W81,IF(AND($S81&lt;&gt;"",EDATE($D81,Milestones!$AA$80)&gt;=$S81),$V81,$U81)))=Milestones!$AB$80),UPPER(TEXT(EDATE($D81,Milestones!$AA$80),"dd mmm yy"))&amp;" "&amp;Milestones!$AB$80&amp;" "&amp;Milestones!$AC$80&amp;";  ","")&amp;IF(AND(EDATE($D81,Milestones!$AA$81)&lt;=AsOfDate,IF($R81=0,$X81,IF(AND($T81&lt;&gt;"",EDATE($D81,Milestones!$AA$81)&gt;=$T81),$W81,IF(AND($S81&lt;&gt;"",EDATE($D81,Milestones!$AA$81)&gt;=$S81),$V81,$U81)))=Milestones!$AB$81),UPPER(TEXT(EDATE($D81,Milestones!$AA$81),"dd mmm yy"))&amp;" "&amp;Milestones!$AB$81&amp;" "&amp;Milestones!$AC$81&amp;";  ","")&amp;IF(AND(EDATE($D81,Milestones!$AA$82)&lt;=AsOfDate,IF($R81=0,$X81,IF(AND($T81&lt;&gt;"",EDATE($D81,Milestones!$AA$82)&gt;=$T81),$W81,IF(AND($S81&lt;&gt;"",EDATE($D81,Milestones!$AA$82)&gt;=$S81),$V81,$U81)))=Milestones!$AB$82),UPPER(TEXT(EDATE($D81,Milestones!$AA$82),"dd mmm yy"))&amp;" "&amp;Milestones!$AB$82&amp;" "&amp;Milestones!$AC$82&amp;";  ","")&amp;IF(AND(EDATE($D81,Milestones!$AA$83)&lt;=AsOfDate,IF($R81=0,$X81,IF(AND($T81&lt;&gt;"",EDATE($D81,Milestones!$AA$83)&gt;=$T81),$W81,IF(AND($S81&lt;&gt;"",EDATE($D81,Milestones!$AA$83)&gt;=$S81),$V81,$U81)))=Milestones!$AB$83),UPPER(TEXT(EDATE($D81,Milestones!$AA$83),"dd mmm yy"))&amp;" "&amp;Milestones!$AB$83&amp;" "&amp;Milestones!$AC$83&amp;";  ","")&amp;IF(AND(EDATE($D81,Milestones!$AA$84)&lt;=AsOfDate,IF($R81=0,$X81,IF(AND($T81&lt;&gt;"",EDATE($D81,Milestones!$AA$84)&gt;=$T81),$W81,IF(AND($S81&lt;&gt;"",EDATE($D81,Milestones!$AA$84)&gt;=$S81),$V81,$U81)))=Milestones!$AB$84),UPPER(TEXT(EDATE($D81,Milestones!$AA$84),"dd mmm yy"))&amp;" "&amp;Milestones!$AB$84&amp;" "&amp;Milestones!$AC$84&amp;";  ","")&amp;IF(AND(EDATE($D81,Milestones!$AA$85)&lt;=AsOfDate,IF($R81=0,$X81,IF(AND($T81&lt;&gt;"",EDATE($D81,Milestones!$AA$85)&gt;=$T81),$W81,IF(AND($S81&lt;&gt;"",EDATE($D81,Milestones!$AA$85)&gt;=$S81),$V81,$U81)))=Milestones!$AB$85),UPPER(TEXT(EDATE($D81,Milestones!$AA$85),"dd mmm yy"))&amp;" "&amp;Milestones!$AB$85&amp;" "&amp;Milestones!$AC$85&amp;";  ","")&amp;IF(AND(EDATE($D81,Milestones!$AA$86)&lt;=AsOfDate,IF($R81=0,$X81,IF(AND($T81&lt;&gt;"",EDATE($D81,Milestones!$AA$86)&gt;=$T81),$W81,IF(AND($S81&lt;&gt;"",EDATE($D81,Milestones!$AA$86)&gt;=$S81),$V81,$U81)))=Milestones!$AB$86),UPPER(TEXT(EDATE($D81,Milestones!$AA$86),"dd mmm yy"))&amp;" "&amp;Milestones!$AB$86&amp;" "&amp;Milestones!$AC$86&amp;";  ","")&amp;IF(AND(EDATE($D81,Milestones!$AA$87)&lt;=AsOfDate,IF($R81=0,$X81,IF(AND($T81&lt;&gt;"",EDATE($D81,Milestones!$AA$87)&gt;=$T81),$W81,IF(AND($S81&lt;&gt;"",EDATE($D81,Milestones!$AA$87)&gt;=$S81),$V81,$U81)))=Milestones!$AB$87),UPPER(TEXT(EDATE($D81,Milestones!$AA$87),"dd mmm yy"))&amp;" "&amp;Milestones!$AB$87&amp;" "&amp;Milestones!$AC$87&amp;";  ","")&amp;IF(AND(EDATE($D81,Milestones!$AA$88)&lt;=AsOfDate,IF($R81=0,$X81,IF(AND($T81&lt;&gt;"",EDATE($D81,Milestones!$AA$88)&gt;=$T81),$W81,IF(AND($S81&lt;&gt;"",EDATE($D81,Milestones!$AA$88)&gt;=$S81),$V81,$U81)))=Milestones!$AB$88),UPPER(TEXT(EDATE($D81,Milestones!$AA$88),"dd mmm yy"))&amp;" "&amp;Milestones!$AB$88&amp;" "&amp;Milestones!$AC$88&amp;";  ","")&amp;IF(AND(EDATE($D81,Milestones!$AA$89)&lt;=AsOfDate,IF($R81=0,$X81,IF(AND($T81&lt;&gt;"",EDATE($D81,Milestones!$AA$89)&gt;=$T81),$W81,IF(AND($S81&lt;&gt;"",EDATE($D81,Milestones!$AA$89)&gt;=$S81),$V81,$U81)))=Milestones!$AB$89),UPPER(TEXT(EDATE($D81,Milestones!$AA$89),"dd mmm yy"))&amp;" "&amp;Milestones!$AB$89&amp;" "&amp;Milestones!$AC$89&amp;";  ","")&amp;IF(AND(EDATE($D81,Milestones!$AA$90)&lt;=AsOfDate,IF($R81=0,$X81,IF(AND($T81&lt;&gt;"",EDATE($D81,Milestones!$AA$90)&gt;=$T81),$W81,IF(AND($S81&lt;&gt;"",EDATE($D81,Milestones!$AA$90)&gt;=$S81),$V81,$U81)))=Milestones!$AB$90),UPPER(TEXT(EDATE($D81,Milestones!$AA$90),"dd mmm yy"))&amp;" "&amp;Milestones!$AB$90&amp;" "&amp;Milestones!$AC$90&amp;";  ","")&amp;IF(AND(EDATE($D81,Milestones!$AA$91)&lt;=AsOfDate,IF($R81=0,$X81,IF(AND($T81&lt;&gt;"",EDATE($D81,Milestones!$AA$91)&gt;=$T81),$W81,IF(AND($S81&lt;&gt;"",EDATE($D81,Milestones!$AA$91)&gt;=$S81),$V81,$U81)))=Milestones!$AB$91),UPPER(TEXT(EDATE($D81,Milestones!$AA$91),"dd mmm yy"))&amp;" "&amp;Milestones!$AB$91&amp;" "&amp;Milestones!$AC$91&amp;";  ","")&amp;IF(AND(EDATE($D81,Milestones!$AA$92)&lt;=AsOfDate,IF($R81=0,$X81,IF(AND($T81&lt;&gt;"",EDATE($D81,Milestones!$AA$92)&gt;=$T81),$W81,IF(AND($S81&lt;&gt;"",EDATE($D81,Milestones!$AA$92)&gt;=$S81),$V81,$U81)))=Milestones!$AB$92),UPPER(TEXT(EDATE($D81,Milestones!$AA$92),"dd mmm yy"))&amp;" "&amp;Milestones!$AB$92&amp;" "&amp;Milestones!$AC$92&amp;";  ","")&amp;IF(AND(EDATE($D81,Milestones!$AA$93)&lt;=AsOfDate,IF($R81=0,$X81,IF(AND($T81&lt;&gt;"",EDATE($D81,Milestones!$AA$93)&gt;=$T81),$W81,IF(AND($S81&lt;&gt;"",EDATE($D81,Milestones!$AA$93)&gt;=$S81),$V81,$U81)))=Milestones!$AB$93),UPPER(TEXT(EDATE($D81,Milestones!$AA$93),"dd mmm yy"))&amp;" "&amp;Milestones!$AB$93&amp;" "&amp;Milestones!$AC$93&amp;";  ","")&amp;IF(AND(EDATE($D81,Milestones!$AA$94)&lt;=AsOfDate,IF($R81=0,$X81,IF(AND($T81&lt;&gt;"",EDATE($D81,Milestones!$AA$94)&gt;=$T81),$W81,IF(AND($S81&lt;&gt;"",EDATE($D81,Milestones!$AA$94)&gt;=$S81),$V81,$U81)))=Milestones!$AB$94),UPPER(TEXT(EDATE($D81,Milestones!$AA$94),"dd mmm yy"))&amp;" "&amp;Milestones!$AB$94&amp;" "&amp;Milestones!$AC$94&amp;";  ","")&amp;IF(AND(EDATE($D81,Milestones!$AA$95)&lt;=AsOfDate,IF($R81=0,$X81,IF(AND($T81&lt;&gt;"",EDATE($D81,Milestones!$AA$95)&gt;=$T81),$W81,IF(AND($S81&lt;&gt;"",EDATE($D81,Milestones!$AA$95)&gt;=$S81),$V81,$U81)))=Milestones!$AB$95),UPPER(TEXT(EDATE($D81,Milestones!$AA$95),"dd mmm yy"))&amp;" "&amp;Milestones!$AB$95&amp;" "&amp;Milestones!$AC$95&amp;";  ","")&amp;IF(AND(EDATE($D81,Milestones!$AA$96)&lt;=AsOfDate,IF($R81=0,$X81,IF(AND($T81&lt;&gt;"",EDATE($D81,Milestones!$AA$96)&gt;=$T81),$W81,IF(AND($S81&lt;&gt;"",EDATE($D81,Milestones!$AA$96)&gt;=$S81),$V81,$U81)))=Milestones!$AB$96),UPPER(TEXT(EDATE($D81,Milestones!$AA$96),"dd mmm yy"))&amp;" "&amp;Milestones!$AB$96&amp;" "&amp;Milestones!$AC$96&amp;";  ","")&amp;IF(AND(EDATE($D81,Milestones!$AA$97)&lt;=AsOfDate,IF($R81=0,$X81,IF(AND($T81&lt;&gt;"",EDATE($D81,Milestones!$AA$97)&gt;=$T81),$W81,IF(AND($S81&lt;&gt;"",EDATE($D81,Milestones!$AA$97)&gt;=$S81),$V81,$U81)))=Milestones!$AB$97),UPPER(TEXT(EDATE($D81,Milestones!$AA$97),"dd mmm yy"))&amp;" "&amp;Milestones!$AB$97&amp;" "&amp;Milestones!$AC$97&amp;";  ","")&amp;IF(AND(EDATE($D81,Milestones!$AA$98)&lt;=AsOfDate,IF($R81=0,$X81,IF(AND($T81&lt;&gt;"",EDATE($D81,Milestones!$AA$98)&gt;=$T81),$W81,IF(AND($S81&lt;&gt;"",EDATE($D81,Milestones!$AA$98)&gt;=$S81),$V81,$U81)))=Milestones!$AB$98),UPPER(TEXT(EDATE($D81,Milestones!$AA$98),"dd mmm yy"))&amp;" "&amp;Milestones!$AB$98&amp;" "&amp;Milestones!$AC$98&amp;";  ","")&amp;IF(AND(EDATE($D81,Milestones!$AA$99)&lt;=AsOfDate,IF($R81=0,$X81,IF(AND($T81&lt;&gt;"",EDATE($D81,Milestones!$AA$99)&gt;=$T81),$W81,IF(AND($S81&lt;&gt;"",EDATE($D81,Milestones!$AA$99)&gt;=$S81),$V81,$U81)))=Milestones!$AB$99),UPPER(TEXT(EDATE($D81,Milestones!$AA$99),"dd mmm yy"))&amp;" "&amp;Milestones!$AB$99&amp;" "&amp;Milestones!$AC$99&amp;";  ",""))</f>
        <v/>
      </c>
      <c r="M81" s="0" t="str">
        <f aca="false">IF(OR($A81="",$D81=""),"",IF(AND(EDATE($D81,Milestones!$AA$100)&lt;=AsOfDate,IF($R81=0,$X81,IF(AND($T81&lt;&gt;"",EDATE($D81,Milestones!$AA$100)&gt;=$T81),$W81,IF(AND($S81&lt;&gt;"",EDATE($D81,Milestones!$AA$100)&gt;=$S81),$V81,$U81)))=Milestones!$AB$100),UPPER(TEXT(EDATE($D81,Milestones!$AA$100),"dd mmm yy"))&amp;" "&amp;Milestones!$AB$100&amp;" "&amp;Milestones!$AC$100&amp;";  ","")&amp;IF(AND(EDATE($D81,Milestones!$AA$101)&lt;=AsOfDate,IF($R81=0,$X81,IF(AND($T81&lt;&gt;"",EDATE($D81,Milestones!$AA$101)&gt;=$T81),$W81,IF(AND($S81&lt;&gt;"",EDATE($D81,Milestones!$AA$101)&gt;=$S81),$V81,$U81)))=Milestones!$AB$101),UPPER(TEXT(EDATE($D81,Milestones!$AA$101),"dd mmm yy"))&amp;" "&amp;Milestones!$AB$101&amp;" "&amp;Milestones!$AC$101&amp;";  ","")&amp;IF(AND(EDATE($D81,Milestones!$AA$102)&lt;=AsOfDate,IF($R81=0,$X81,IF(AND($T81&lt;&gt;"",EDATE($D81,Milestones!$AA$102)&gt;=$T81),$W81,IF(AND($S81&lt;&gt;"",EDATE($D81,Milestones!$AA$102)&gt;=$S81),$V81,$U81)))=Milestones!$AB$102),UPPER(TEXT(EDATE($D81,Milestones!$AA$102),"dd mmm yy"))&amp;" "&amp;Milestones!$AB$102&amp;" "&amp;Milestones!$AC$102&amp;";  ","")&amp;IF(AND(EDATE($D81,Milestones!$AA$103)&lt;=AsOfDate,IF($R81=0,$X81,IF(AND($T81&lt;&gt;"",EDATE($D81,Milestones!$AA$103)&gt;=$T81),$W81,IF(AND($S81&lt;&gt;"",EDATE($D81,Milestones!$AA$103)&gt;=$S81),$V81,$U81)))=Milestones!$AB$103),UPPER(TEXT(EDATE($D81,Milestones!$AA$103),"dd mmm yy"))&amp;" "&amp;Milestones!$AB$103&amp;" "&amp;Milestones!$AC$103&amp;";  ","")&amp;IF(AND(EDATE($D81,Milestones!$AA$104)&lt;=AsOfDate,IF($R81=0,$X81,IF(AND($T81&lt;&gt;"",EDATE($D81,Milestones!$AA$104)&gt;=$T81),$W81,IF(AND($S81&lt;&gt;"",EDATE($D81,Milestones!$AA$104)&gt;=$S81),$V81,$U81)))=Milestones!$AB$104),UPPER(TEXT(EDATE($D81,Milestones!$AA$104),"dd mmm yy"))&amp;" "&amp;Milestones!$AB$104&amp;" "&amp;Milestones!$AC$104&amp;";  ","")&amp;IF(AND(EDATE($D81,Milestones!$AA$105)&lt;=AsOfDate,IF($R81=0,$X81,IF(AND($T81&lt;&gt;"",EDATE($D81,Milestones!$AA$105)&gt;=$T81),$W81,IF(AND($S81&lt;&gt;"",EDATE($D81,Milestones!$AA$105)&gt;=$S81),$V81,$U81)))=Milestones!$AB$105),UPPER(TEXT(EDATE($D81,Milestones!$AA$105),"dd mmm yy"))&amp;" "&amp;Milestones!$AB$105&amp;" "&amp;Milestones!$AC$105&amp;";  ","")&amp;IF(AND(EDATE($D81,Milestones!$AA$106)&lt;=AsOfDate,IF($R81=0,$X81,IF(AND($T81&lt;&gt;"",EDATE($D81,Milestones!$AA$106)&gt;=$T81),$W81,IF(AND($S81&lt;&gt;"",EDATE($D81,Milestones!$AA$106)&gt;=$S81),$V81,$U81)))=Milestones!$AB$106),UPPER(TEXT(EDATE($D81,Milestones!$AA$106),"dd mmm yy"))&amp;" "&amp;Milestones!$AB$106&amp;" "&amp;Milestones!$AC$106&amp;";  ","")&amp;IF(AND(EDATE($D81,Milestones!$AA$107)&lt;=AsOfDate,IF($R81=0,$X81,IF(AND($T81&lt;&gt;"",EDATE($D81,Milestones!$AA$107)&gt;=$T81),$W81,IF(AND($S81&lt;&gt;"",EDATE($D81,Milestones!$AA$107)&gt;=$S81),$V81,$U81)))=Milestones!$AB$107),UPPER(TEXT(EDATE($D81,Milestones!$AA$107),"dd mmm yy"))&amp;" "&amp;Milestones!$AB$107&amp;" "&amp;Milestones!$AC$107&amp;";  ","")&amp;IF(AND(EDATE($D81,Milestones!$AA$108)&lt;=AsOfDate,IF($R81=0,$X81,IF(AND($T81&lt;&gt;"",EDATE($D81,Milestones!$AA$108)&gt;=$T81),$W81,IF(AND($S81&lt;&gt;"",EDATE($D81,Milestones!$AA$108)&gt;=$S81),$V81,$U81)))=Milestones!$AB$108),UPPER(TEXT(EDATE($D81,Milestones!$AA$108),"dd mmm yy"))&amp;" "&amp;Milestones!$AB$108&amp;" "&amp;Milestones!$AC$108&amp;";  ","")&amp;IF(AND(EDATE($D81,Milestones!$AA$109)&lt;=AsOfDate,IF($R81=0,$X81,IF(AND($T81&lt;&gt;"",EDATE($D81,Milestones!$AA$109)&gt;=$T81),$W81,IF(AND($S81&lt;&gt;"",EDATE($D81,Milestones!$AA$109)&gt;=$S81),$V81,$U81)))=Milestones!$AB$109),UPPER(TEXT(EDATE($D81,Milestones!$AA$109),"dd mmm yy"))&amp;" "&amp;Milestones!$AB$109&amp;" "&amp;Milestones!$AC$109&amp;";  ","")&amp;IF(AND(EDATE($D81,Milestones!$AA$110)&lt;=AsOfDate,IF($R81=0,$X81,IF(AND($T81&lt;&gt;"",EDATE($D81,Milestones!$AA$110)&gt;=$T81),$W81,IF(AND($S81&lt;&gt;"",EDATE($D81,Milestones!$AA$110)&gt;=$S81),$V81,$U81)))=Milestones!$AB$110),UPPER(TEXT(EDATE($D81,Milestones!$AA$110),"dd mmm yy"))&amp;" "&amp;Milestones!$AB$110&amp;" "&amp;Milestones!$AC$110&amp;";  ","")&amp;IF(AND(EDATE($D81,Milestones!$AA$111)&lt;=AsOfDate,IF($R81=0,$X81,IF(AND($T81&lt;&gt;"",EDATE($D81,Milestones!$AA$111)&gt;=$T81),$W81,IF(AND($S81&lt;&gt;"",EDATE($D81,Milestones!$AA$111)&gt;=$S81),$V81,$U81)))=Milestones!$AB$111),UPPER(TEXT(EDATE($D81,Milestones!$AA$111),"dd mmm yy"))&amp;" "&amp;Milestones!$AB$111&amp;" "&amp;Milestones!$AC$111&amp;";  ","")&amp;IF(AND(EDATE($D81,Milestones!$AA$112)&lt;=AsOfDate,IF($R81=0,$X81,IF(AND($T81&lt;&gt;"",EDATE($D81,Milestones!$AA$112)&gt;=$T81),$W81,IF(AND($S81&lt;&gt;"",EDATE($D81,Milestones!$AA$112)&gt;=$S81),$V81,$U81)))=Milestones!$AB$112),UPPER(TEXT(EDATE($D81,Milestones!$AA$112),"dd mmm yy"))&amp;" "&amp;Milestones!$AB$112&amp;" "&amp;Milestones!$AC$112&amp;";  ","")&amp;IF(AND(EDATE($D81,Milestones!$AA$113)&lt;=AsOfDate,IF($R81=0,$X81,IF(AND($T81&lt;&gt;"",EDATE($D81,Milestones!$AA$113)&gt;=$T81),$W81,IF(AND($S81&lt;&gt;"",EDATE($D81,Milestones!$AA$113)&gt;=$S81),$V81,$U81)))=Milestones!$AB$113),UPPER(TEXT(EDATE($D81,Milestones!$AA$113),"dd mmm yy"))&amp;" "&amp;Milestones!$AB$113&amp;" "&amp;Milestones!$AC$113&amp;";  ","")&amp;IF(AND(EDATE($D81,Milestones!$AA$114)&lt;=AsOfDate,IF($R81=0,$X81,IF(AND($T81&lt;&gt;"",EDATE($D81,Milestones!$AA$114)&gt;=$T81),$W81,IF(AND($S81&lt;&gt;"",EDATE($D81,Milestones!$AA$114)&gt;=$S81),$V81,$U81)))=Milestones!$AB$114),UPPER(TEXT(EDATE($D81,Milestones!$AA$114),"dd mmm yy"))&amp;" "&amp;Milestones!$AB$114&amp;" "&amp;Milestones!$AC$114&amp;";  ","")&amp;IF(AND(EDATE($D81,Milestones!$AA$115)&lt;=AsOfDate,IF($R81=0,$X81,IF(AND($T81&lt;&gt;"",EDATE($D81,Milestones!$AA$115)&gt;=$T81),$W81,IF(AND($S81&lt;&gt;"",EDATE($D81,Milestones!$AA$115)&gt;=$S81),$V81,$U81)))=Milestones!$AB$115),UPPER(TEXT(EDATE($D81,Milestones!$AA$115),"dd mmm yy"))&amp;" "&amp;Milestones!$AB$115&amp;" "&amp;Milestones!$AC$115&amp;";  ","")&amp;IF(AND(EDATE($D81,Milestones!$AA$116)&lt;=AsOfDate,IF($R81=0,$X81,IF(AND($T81&lt;&gt;"",EDATE($D81,Milestones!$AA$116)&gt;=$T81),$W81,IF(AND($S81&lt;&gt;"",EDATE($D81,Milestones!$AA$116)&gt;=$S81),$V81,$U81)))=Milestones!$AB$116),UPPER(TEXT(EDATE($D81,Milestones!$AA$116),"dd mmm yy"))&amp;" "&amp;Milestones!$AB$116&amp;" "&amp;Milestones!$AC$116&amp;";  ","")&amp;IF(AND(EDATE($D81,Milestones!$AA$117)&lt;=AsOfDate,IF($R81=0,$X81,IF(AND($T81&lt;&gt;"",EDATE($D81,Milestones!$AA$117)&gt;=$T81),$W81,IF(AND($S81&lt;&gt;"",EDATE($D81,Milestones!$AA$117)&gt;=$S81),$V81,$U81)))=Milestones!$AB$117),UPPER(TEXT(EDATE($D81,Milestones!$AA$117),"dd mmm yy"))&amp;" "&amp;Milestones!$AB$117&amp;" "&amp;Milestones!$AC$117&amp;";  ","")&amp;IF(AND(EDATE($D81,Milestones!$AA$118)&lt;=AsOfDate,IF($R81=0,$X81,IF(AND($T81&lt;&gt;"",EDATE($D81,Milestones!$AA$118)&gt;=$T81),$W81,IF(AND($S81&lt;&gt;"",EDATE($D81,Milestones!$AA$118)&gt;=$S81),$V81,$U81)))=Milestones!$AB$118),UPPER(TEXT(EDATE($D81,Milestones!$AA$118),"dd mmm yy"))&amp;" "&amp;Milestones!$AB$118&amp;" "&amp;Milestones!$AC$118&amp;";  ","")&amp;IF(AND(EDATE($D81,Milestones!$AA$119)&lt;=AsOfDate,IF($R81=0,$X81,IF(AND($T81&lt;&gt;"",EDATE($D81,Milestones!$AA$119)&gt;=$T81),$W81,IF(AND($S81&lt;&gt;"",EDATE($D81,Milestones!$AA$119)&gt;=$S81),$V81,$U81)))=Milestones!$AB$119),UPPER(TEXT(EDATE($D81,Milestones!$AA$119),"dd mmm yy"))&amp;" "&amp;Milestones!$AB$119&amp;" "&amp;Milestones!$AC$119&amp;";  ",""))</f>
        <v/>
      </c>
      <c r="N81" s="0" t="str">
        <f aca="false">IF(OR($A81="",$D81=""),"",IF(AND(EDATE($D81,Milestones!$AA$120)&lt;=AsOfDate,IF($R81=0,$X81,IF(AND($T81&lt;&gt;"",EDATE($D81,Milestones!$AA$120)&gt;=$T81),$W81,IF(AND($S81&lt;&gt;"",EDATE($D81,Milestones!$AA$120)&gt;=$S81),$V81,$U81)))=Milestones!$AB$120),UPPER(TEXT(EDATE($D81,Milestones!$AA$120),"dd mmm yy"))&amp;" "&amp;Milestones!$AB$120&amp;" "&amp;Milestones!$AC$120&amp;";  ","")&amp;IF(AND(EDATE($D81,Milestones!$AA$121)&lt;=AsOfDate,IF($R81=0,$X81,IF(AND($T81&lt;&gt;"",EDATE($D81,Milestones!$AA$121)&gt;=$T81),$W81,IF(AND($S81&lt;&gt;"",EDATE($D81,Milestones!$AA$121)&gt;=$S81),$V81,$U81)))=Milestones!$AB$121),UPPER(TEXT(EDATE($D81,Milestones!$AA$121),"dd mmm yy"))&amp;" "&amp;Milestones!$AB$121&amp;" "&amp;Milestones!$AC$121&amp;";  ","")&amp;IF(AND(EDATE($D81,Milestones!$AA$122)&lt;=AsOfDate,IF($R81=0,$X81,IF(AND($T81&lt;&gt;"",EDATE($D81,Milestones!$AA$122)&gt;=$T81),$W81,IF(AND($S81&lt;&gt;"",EDATE($D81,Milestones!$AA$122)&gt;=$S81),$V81,$U81)))=Milestones!$AB$122),UPPER(TEXT(EDATE($D81,Milestones!$AA$122),"dd mmm yy"))&amp;" "&amp;Milestones!$AB$122&amp;" "&amp;Milestones!$AC$122&amp;";  ","")&amp;IF(AND(EDATE($D81,Milestones!$AA$123)&lt;=AsOfDate,IF($R81=0,$X81,IF(AND($T81&lt;&gt;"",EDATE($D81,Milestones!$AA$123)&gt;=$T81),$W81,IF(AND($S81&lt;&gt;"",EDATE($D81,Milestones!$AA$123)&gt;=$S81),$V81,$U81)))=Milestones!$AB$123),UPPER(TEXT(EDATE($D81,Milestones!$AA$123),"dd mmm yy"))&amp;" "&amp;Milestones!$AB$123&amp;" "&amp;Milestones!$AC$123&amp;";  ","")&amp;IF(AND(EDATE($D81,Milestones!$AA$124)&lt;=AsOfDate,IF($R81=0,$X81,IF(AND($T81&lt;&gt;"",EDATE($D81,Milestones!$AA$124)&gt;=$T81),$W81,IF(AND($S81&lt;&gt;"",EDATE($D81,Milestones!$AA$124)&gt;=$S81),$V81,$U81)))=Milestones!$AB$124),UPPER(TEXT(EDATE($D81,Milestones!$AA$124),"dd mmm yy"))&amp;" "&amp;Milestones!$AB$124&amp;" "&amp;Milestones!$AC$124&amp;";  ","")&amp;IF(AND(EDATE($D81,Milestones!$AA$125)&lt;=AsOfDate,IF($R81=0,$X81,IF(AND($T81&lt;&gt;"",EDATE($D81,Milestones!$AA$125)&gt;=$T81),$W81,IF(AND($S81&lt;&gt;"",EDATE($D81,Milestones!$AA$125)&gt;=$S81),$V81,$U81)))=Milestones!$AB$125),UPPER(TEXT(EDATE($D81,Milestones!$AA$125),"dd mmm yy"))&amp;" "&amp;Milestones!$AB$125&amp;" "&amp;Milestones!$AC$125&amp;";  ","")&amp;IF(AND(EDATE($D81,Milestones!$AA$126)&lt;=AsOfDate,IF($R81=0,$X81,IF(AND($T81&lt;&gt;"",EDATE($D81,Milestones!$AA$126)&gt;=$T81),$W81,IF(AND($S81&lt;&gt;"",EDATE($D81,Milestones!$AA$126)&gt;=$S81),$V81,$U81)))=Milestones!$AB$126),UPPER(TEXT(EDATE($D81,Milestones!$AA$126),"dd mmm yy"))&amp;" "&amp;Milestones!$AB$126&amp;" "&amp;Milestones!$AC$126&amp;";  ","")&amp;IF(AND(EDATE($D81,Milestones!$AA$127)&lt;=AsOfDate,IF($R81=0,$X81,IF(AND($T81&lt;&gt;"",EDATE($D81,Milestones!$AA$127)&gt;=$T81),$W81,IF(AND($S81&lt;&gt;"",EDATE($D81,Milestones!$AA$127)&gt;=$S81),$V81,$U81)))=Milestones!$AB$127),UPPER(TEXT(EDATE($D81,Milestones!$AA$127),"dd mmm yy"))&amp;" "&amp;Milestones!$AB$127&amp;" "&amp;Milestones!$AC$127&amp;";  ","")&amp;IF(AND(EDATE($D81,Milestones!$AA$128)&lt;=AsOfDate,IF($R81=0,$X81,IF(AND($T81&lt;&gt;"",EDATE($D81,Milestones!$AA$128)&gt;=$T81),$W81,IF(AND($S81&lt;&gt;"",EDATE($D81,Milestones!$AA$128)&gt;=$S81),$V81,$U81)))=Milestones!$AB$128),UPPER(TEXT(EDATE($D81,Milestones!$AA$128),"dd mmm yy"))&amp;" "&amp;Milestones!$AB$128&amp;" "&amp;Milestones!$AC$128&amp;";  ","")&amp;IF(AND(EDATE($D81,Milestones!$AA$129)&lt;=AsOfDate,IF($R81=0,$X81,IF(AND($T81&lt;&gt;"",EDATE($D81,Milestones!$AA$129)&gt;=$T81),$W81,IF(AND($S81&lt;&gt;"",EDATE($D81,Milestones!$AA$129)&gt;=$S81),$V81,$U81)))=Milestones!$AB$129),UPPER(TEXT(EDATE($D81,Milestones!$AA$129),"dd mmm yy"))&amp;" "&amp;Milestones!$AB$129&amp;" "&amp;Milestones!$AC$129&amp;";  ","")&amp;IF(AND(EDATE($D81,Milestones!$AA$130)&lt;=AsOfDate,IF($R81=0,$X81,IF(AND($T81&lt;&gt;"",EDATE($D81,Milestones!$AA$130)&gt;=$T81),$W81,IF(AND($S81&lt;&gt;"",EDATE($D81,Milestones!$AA$130)&gt;=$S81),$V81,$U81)))=Milestones!$AB$130),UPPER(TEXT(EDATE($D81,Milestones!$AA$130),"dd mmm yy"))&amp;" "&amp;Milestones!$AB$130&amp;" "&amp;Milestones!$AC$130&amp;";  ","")&amp;IF(AND(EDATE($D81,Milestones!$AA$131)&lt;=AsOfDate,IF($R81=0,$X81,IF(AND($T81&lt;&gt;"",EDATE($D81,Milestones!$AA$131)&gt;=$T81),$W81,IF(AND($S81&lt;&gt;"",EDATE($D81,Milestones!$AA$131)&gt;=$S81),$V81,$U81)))=Milestones!$AB$131),UPPER(TEXT(EDATE($D81,Milestones!$AA$131),"dd mmm yy"))&amp;" "&amp;Milestones!$AB$131&amp;" "&amp;Milestones!$AC$131&amp;";  ","")&amp;IF(AND(EDATE($D81,Milestones!$AA$132)&lt;=AsOfDate,IF($R81=0,$X81,IF(AND($T81&lt;&gt;"",EDATE($D81,Milestones!$AA$132)&gt;=$T81),$W81,IF(AND($S81&lt;&gt;"",EDATE($D81,Milestones!$AA$132)&gt;=$S81),$V81,$U81)))=Milestones!$AB$132),UPPER(TEXT(EDATE($D81,Milestones!$AA$132),"dd mmm yy"))&amp;" "&amp;Milestones!$AB$132&amp;" "&amp;Milestones!$AC$132&amp;";  ","")&amp;IF(AND(EDATE($D81,Milestones!$AA$133)&lt;=AsOfDate,IF($R81=0,$X81,IF(AND($T81&lt;&gt;"",EDATE($D81,Milestones!$AA$133)&gt;=$T81),$W81,IF(AND($S81&lt;&gt;"",EDATE($D81,Milestones!$AA$133)&gt;=$S81),$V81,$U81)))=Milestones!$AB$133),UPPER(TEXT(EDATE($D81,Milestones!$AA$133),"dd mmm yy"))&amp;" "&amp;Milestones!$AB$133&amp;" "&amp;Milestones!$AC$133&amp;";  ","")&amp;IF(AND(EDATE($D81,Milestones!$AA$134)&lt;=AsOfDate,IF($R81=0,$X81,IF(AND($T81&lt;&gt;"",EDATE($D81,Milestones!$AA$134)&gt;=$T81),$W81,IF(AND($S81&lt;&gt;"",EDATE($D81,Milestones!$AA$134)&gt;=$S81),$V81,$U81)))=Milestones!$AB$134),UPPER(TEXT(EDATE($D81,Milestones!$AA$134),"dd mmm yy"))&amp;" "&amp;Milestones!$AB$134&amp;" "&amp;Milestones!$AC$134&amp;";  ","")&amp;IF(AND(EDATE($D81,Milestones!$AA$135)&lt;=AsOfDate,IF($R81=0,$X81,IF(AND($T81&lt;&gt;"",EDATE($D81,Milestones!$AA$135)&gt;=$T81),$W81,IF(AND($S81&lt;&gt;"",EDATE($D81,Milestones!$AA$135)&gt;=$S81),$V81,$U81)))=Milestones!$AB$135),UPPER(TEXT(EDATE($D81,Milestones!$AA$135),"dd mmm yy"))&amp;" "&amp;Milestones!$AB$135&amp;" "&amp;Milestones!$AC$135&amp;";  ","")&amp;IF(AND(EDATE($D81,Milestones!$AA$136)&lt;=AsOfDate,IF($R81=0,$X81,IF(AND($T81&lt;&gt;"",EDATE($D81,Milestones!$AA$136)&gt;=$T81),$W81,IF(AND($S81&lt;&gt;"",EDATE($D81,Milestones!$AA$136)&gt;=$S81),$V81,$U81)))=Milestones!$AB$136),UPPER(TEXT(EDATE($D81,Milestones!$AA$136),"dd mmm yy"))&amp;" "&amp;Milestones!$AB$136&amp;" "&amp;Milestones!$AC$136&amp;";  ","")&amp;IF(AND(EDATE($D81,Milestones!$AA$137)&lt;=AsOfDate,IF($R81=0,$X81,IF(AND($T81&lt;&gt;"",EDATE($D81,Milestones!$AA$137)&gt;=$T81),$W81,IF(AND($S81&lt;&gt;"",EDATE($D81,Milestones!$AA$137)&gt;=$S81),$V81,$U81)))=Milestones!$AB$137),UPPER(TEXT(EDATE($D81,Milestones!$AA$137),"dd mmm yy"))&amp;" "&amp;Milestones!$AB$137&amp;" "&amp;Milestones!$AC$137&amp;";  ","")&amp;IF(AND(EDATE($D81,Milestones!$AA$138)&lt;=AsOfDate,IF($R81=0,$X81,IF(AND($T81&lt;&gt;"",EDATE($D81,Milestones!$AA$138)&gt;=$T81),$W81,IF(AND($S81&lt;&gt;"",EDATE($D81,Milestones!$AA$138)&gt;=$S81),$V81,$U81)))=Milestones!$AB$138),UPPER(TEXT(EDATE($D81,Milestones!$AA$138),"dd mmm yy"))&amp;" "&amp;Milestones!$AB$138&amp;" "&amp;Milestones!$AC$138&amp;";  ","")&amp;IF(AND(EDATE($D81,Milestones!$AA$139)&lt;=AsOfDate,IF($R81=0,$X81,IF(AND($T81&lt;&gt;"",EDATE($D81,Milestones!$AA$139)&gt;=$T81),$W81,IF(AND($S81&lt;&gt;"",EDATE($D81,Milestones!$AA$139)&gt;=$S81),$V81,$U81)))=Milestones!$AB$139),UPPER(TEXT(EDATE($D81,Milestones!$AA$139),"dd mmm yy"))&amp;" "&amp;Milestones!$AB$139&amp;" "&amp;Milestones!$AC$139&amp;";  ",""))</f>
        <v/>
      </c>
      <c r="O81" s="0" t="str">
        <f aca="false">IF(OR($A81="",$D81=""),"",IF(AND(EDATE($D81,Milestones!$AA$140)&lt;=AsOfDate,IF($R81=0,$X81,IF(AND($T81&lt;&gt;"",EDATE($D81,Milestones!$AA$140)&gt;=$T81),$W81,IF(AND($S81&lt;&gt;"",EDATE($D81,Milestones!$AA$140)&gt;=$S81),$V81,$U81)))=Milestones!$AB$140),UPPER(TEXT(EDATE($D81,Milestones!$AA$140),"dd mmm yy"))&amp;" "&amp;Milestones!$AB$140&amp;" "&amp;Milestones!$AC$140&amp;";  ","")&amp;IF(AND(EDATE($D81,Milestones!$AA$141)&lt;=AsOfDate,IF($R81=0,$X81,IF(AND($T81&lt;&gt;"",EDATE($D81,Milestones!$AA$141)&gt;=$T81),$W81,IF(AND($S81&lt;&gt;"",EDATE($D81,Milestones!$AA$141)&gt;=$S81),$V81,$U81)))=Milestones!$AB$141),UPPER(TEXT(EDATE($D81,Milestones!$AA$141),"dd mmm yy"))&amp;" "&amp;Milestones!$AB$141&amp;" "&amp;Milestones!$AC$141&amp;";  ","")&amp;IF(AND(EDATE($D81,Milestones!$AA$142)&lt;=AsOfDate,IF($R81=0,$X81,IF(AND($T81&lt;&gt;"",EDATE($D81,Milestones!$AA$142)&gt;=$T81),$W81,IF(AND($S81&lt;&gt;"",EDATE($D81,Milestones!$AA$142)&gt;=$S81),$V81,$U81)))=Milestones!$AB$142),UPPER(TEXT(EDATE($D81,Milestones!$AA$142),"dd mmm yy"))&amp;" "&amp;Milestones!$AB$142&amp;" "&amp;Milestones!$AC$142&amp;";  ","")&amp;IF(AND(EDATE($D81,Milestones!$AA$143)&lt;=AsOfDate,IF($R81=0,$X81,IF(AND($T81&lt;&gt;"",EDATE($D81,Milestones!$AA$143)&gt;=$T81),$W81,IF(AND($S81&lt;&gt;"",EDATE($D81,Milestones!$AA$143)&gt;=$S81),$V81,$U81)))=Milestones!$AB$143),UPPER(TEXT(EDATE($D81,Milestones!$AA$143),"dd mmm yy"))&amp;" "&amp;Milestones!$AB$143&amp;" "&amp;Milestones!$AC$143&amp;";  ","")&amp;IF(AND(EDATE($D81,Milestones!$AA$144)&lt;=AsOfDate,IF($R81=0,$X81,IF(AND($T81&lt;&gt;"",EDATE($D81,Milestones!$AA$144)&gt;=$T81),$W81,IF(AND($S81&lt;&gt;"",EDATE($D81,Milestones!$AA$144)&gt;=$S81),$V81,$U81)))=Milestones!$AB$144),UPPER(TEXT(EDATE($D81,Milestones!$AA$144),"dd mmm yy"))&amp;" "&amp;Milestones!$AB$144&amp;" "&amp;Milestones!$AC$144&amp;";  ","")&amp;IF(AND(EDATE($D81,Milestones!$AA$145)&lt;=AsOfDate,IF($R81=0,$X81,IF(AND($T81&lt;&gt;"",EDATE($D81,Milestones!$AA$145)&gt;=$T81),$W81,IF(AND($S81&lt;&gt;"",EDATE($D81,Milestones!$AA$145)&gt;=$S81),$V81,$U81)))=Milestones!$AB$145),UPPER(TEXT(EDATE($D81,Milestones!$AA$145),"dd mmm yy"))&amp;" "&amp;Milestones!$AB$145&amp;" "&amp;Milestones!$AC$145&amp;";  ","")&amp;IF(AND(EDATE($D81,Milestones!$AA$146)&lt;=AsOfDate,IF($R81=0,$X81,IF(AND($T81&lt;&gt;"",EDATE($D81,Milestones!$AA$146)&gt;=$T81),$W81,IF(AND($S81&lt;&gt;"",EDATE($D81,Milestones!$AA$146)&gt;=$S81),$V81,$U81)))=Milestones!$AB$146),UPPER(TEXT(EDATE($D81,Milestones!$AA$146),"dd mmm yy"))&amp;" "&amp;Milestones!$AB$146&amp;" "&amp;Milestones!$AC$146&amp;";  ","")&amp;IF(AND(EDATE($D81,Milestones!$AA$147)&lt;=AsOfDate,IF($R81=0,$X81,IF(AND($T81&lt;&gt;"",EDATE($D81,Milestones!$AA$147)&gt;=$T81),$W81,IF(AND($S81&lt;&gt;"",EDATE($D81,Milestones!$AA$147)&gt;=$S81),$V81,$U81)))=Milestones!$AB$147),UPPER(TEXT(EDATE($D81,Milestones!$AA$147),"dd mmm yy"))&amp;" "&amp;Milestones!$AB$147&amp;" "&amp;Milestones!$AC$147&amp;";  ","")&amp;IF(AND(EDATE($D81,Milestones!$AA$148)&lt;=AsOfDate,IF($R81=0,$X81,IF(AND($T81&lt;&gt;"",EDATE($D81,Milestones!$AA$148)&gt;=$T81),$W81,IF(AND($S81&lt;&gt;"",EDATE($D81,Milestones!$AA$148)&gt;=$S81),$V81,$U81)))=Milestones!$AB$148),UPPER(TEXT(EDATE($D81,Milestones!$AA$148),"dd mmm yy"))&amp;" "&amp;Milestones!$AB$148&amp;" "&amp;Milestones!$AC$148&amp;";  ","")&amp;IF(AND(EDATE($D81,Milestones!$AA$149)&lt;=AsOfDate,IF($R81=0,$X81,IF(AND($T81&lt;&gt;"",EDATE($D81,Milestones!$AA$149)&gt;=$T81),$W81,IF(AND($S81&lt;&gt;"",EDATE($D81,Milestones!$AA$149)&gt;=$S81),$V81,$U81)))=Milestones!$AB$149),UPPER(TEXT(EDATE($D81,Milestones!$AA$149),"dd mmm yy"))&amp;" "&amp;Milestones!$AB$149&amp;" "&amp;Milestones!$AC$149&amp;";  ","")&amp;IF(AND(EDATE($D81,Milestones!$AA$150)&lt;=AsOfDate,IF($R81=0,$X81,IF(AND($T81&lt;&gt;"",EDATE($D81,Milestones!$AA$150)&gt;=$T81),$W81,IF(AND($S81&lt;&gt;"",EDATE($D81,Milestones!$AA$150)&gt;=$S81),$V81,$U81)))=Milestones!$AB$150),UPPER(TEXT(EDATE($D81,Milestones!$AA$150),"dd mmm yy"))&amp;" "&amp;Milestones!$AB$150&amp;" "&amp;Milestones!$AC$150&amp;";  ","")&amp;IF(AND(EDATE($D81,Milestones!$AA$151)&lt;=AsOfDate,IF($R81=0,$X81,IF(AND($T81&lt;&gt;"",EDATE($D81,Milestones!$AA$151)&gt;=$T81),$W81,IF(AND($S81&lt;&gt;"",EDATE($D81,Milestones!$AA$151)&gt;=$S81),$V81,$U81)))=Milestones!$AB$151),UPPER(TEXT(EDATE($D81,Milestones!$AA$151),"dd mmm yy"))&amp;" "&amp;Milestones!$AB$151&amp;" "&amp;Milestones!$AC$151&amp;";  ","")&amp;IF(AND(EDATE($D81,Milestones!$AA$152)&lt;=AsOfDate,IF($R81=0,$X81,IF(AND($T81&lt;&gt;"",EDATE($D81,Milestones!$AA$152)&gt;=$T81),$W81,IF(AND($S81&lt;&gt;"",EDATE($D81,Milestones!$AA$152)&gt;=$S81),$V81,$U81)))=Milestones!$AB$152),UPPER(TEXT(EDATE($D81,Milestones!$AA$152),"dd mmm yy"))&amp;" "&amp;Milestones!$AB$152&amp;" "&amp;Milestones!$AC$152&amp;";  ","")&amp;IF(AND(EDATE($D81,Milestones!$AA$153)&lt;=AsOfDate,IF($R81=0,$X81,IF(AND($T81&lt;&gt;"",EDATE($D81,Milestones!$AA$153)&gt;=$T81),$W81,IF(AND($S81&lt;&gt;"",EDATE($D81,Milestones!$AA$153)&gt;=$S81),$V81,$U81)))=Milestones!$AB$153),UPPER(TEXT(EDATE($D81,Milestones!$AA$153),"dd mmm yy"))&amp;" "&amp;Milestones!$AB$153&amp;" "&amp;Milestones!$AC$153&amp;";  ","")&amp;IF(AND(EDATE($D81,Milestones!$AA$154)&lt;=AsOfDate,IF($R81=0,$X81,IF(AND($T81&lt;&gt;"",EDATE($D81,Milestones!$AA$154)&gt;=$T81),$W81,IF(AND($S81&lt;&gt;"",EDATE($D81,Milestones!$AA$154)&gt;=$S81),$V81,$U81)))=Milestones!$AB$154),UPPER(TEXT(EDATE($D81,Milestones!$AA$154),"dd mmm yy"))&amp;" "&amp;Milestones!$AB$154&amp;" "&amp;Milestones!$AC$154&amp;";  ","")&amp;IF(AND(EDATE($D81,Milestones!$AA$155)&lt;=AsOfDate,IF($R81=0,$X81,IF(AND($T81&lt;&gt;"",EDATE($D81,Milestones!$AA$155)&gt;=$T81),$W81,IF(AND($S81&lt;&gt;"",EDATE($D81,Milestones!$AA$155)&gt;=$S81),$V81,$U81)))=Milestones!$AB$155),UPPER(TEXT(EDATE($D81,Milestones!$AA$155),"dd mmm yy"))&amp;" "&amp;Milestones!$AB$155&amp;" "&amp;Milestones!$AC$155&amp;";  ","")&amp;IF(AND(EDATE($D81,Milestones!$AA$156)&lt;=AsOfDate,IF($R81=0,$X81,IF(AND($T81&lt;&gt;"",EDATE($D81,Milestones!$AA$156)&gt;=$T81),$W81,IF(AND($S81&lt;&gt;"",EDATE($D81,Milestones!$AA$156)&gt;=$S81),$V81,$U81)))=Milestones!$AB$156),UPPER(TEXT(EDATE($D81,Milestones!$AA$156),"dd mmm yy"))&amp;" "&amp;Milestones!$AB$156&amp;" "&amp;Milestones!$AC$156&amp;";  ","")&amp;IF(AND(EDATE($D81,Milestones!$AA$157)&lt;=AsOfDate,IF($R81=0,$X81,IF(AND($T81&lt;&gt;"",EDATE($D81,Milestones!$AA$157)&gt;=$T81),$W81,IF(AND($S81&lt;&gt;"",EDATE($D81,Milestones!$AA$157)&gt;=$S81),$V81,$U81)))=Milestones!$AB$157),UPPER(TEXT(EDATE($D81,Milestones!$AA$157),"dd mmm yy"))&amp;" "&amp;Milestones!$AB$157&amp;" "&amp;Milestones!$AC$157&amp;";  ","")&amp;IF(AND(EDATE($D81,Milestones!$AA$158)&lt;=AsOfDate,IF($R81=0,$X81,IF(AND($T81&lt;&gt;"",EDATE($D81,Milestones!$AA$158)&gt;=$T81),$W81,IF(AND($S81&lt;&gt;"",EDATE($D81,Milestones!$AA$158)&gt;=$S81),$V81,$U81)))=Milestones!$AB$158),UPPER(TEXT(EDATE($D81,Milestones!$AA$158),"dd mmm yy"))&amp;" "&amp;Milestones!$AB$158&amp;" "&amp;Milestones!$AC$158&amp;";  ","")&amp;IF(AND(EDATE($D81,Milestones!$AA$159)&lt;=AsOfDate,IF($R81=0,$X81,IF(AND($T81&lt;&gt;"",EDATE($D81,Milestones!$AA$159)&gt;=$T81),$W81,IF(AND($S81&lt;&gt;"",EDATE($D81,Milestones!$AA$159)&gt;=$S81),$V81,$U81)))=Milestones!$AB$159),UPPER(TEXT(EDATE($D81,Milestones!$AA$159),"dd mmm yy"))&amp;" "&amp;Milestones!$AB$159&amp;" "&amp;Milestones!$AC$159&amp;";  ",""))</f>
        <v/>
      </c>
      <c r="P81" s="0" t="str">
        <f aca="false">IF(OR($A81="",$D81=""),"",IF(AND(EDATE($D81,Milestones!$AA$160)&lt;=AsOfDate,IF($R81=0,$X81,IF(AND($T81&lt;&gt;"",EDATE($D81,Milestones!$AA$160)&gt;=$T81),$W81,IF(AND($S81&lt;&gt;"",EDATE($D81,Milestones!$AA$160)&gt;=$S81),$V81,$U81)))=Milestones!$AB$160),UPPER(TEXT(EDATE($D81,Milestones!$AA$160),"dd mmm yy"))&amp;" "&amp;Milestones!$AB$160&amp;" "&amp;Milestones!$AC$160&amp;";  ","")&amp;IF(AND(EDATE($D81,Milestones!$AA$161)&lt;=AsOfDate,IF($R81=0,$X81,IF(AND($T81&lt;&gt;"",EDATE($D81,Milestones!$AA$161)&gt;=$T81),$W81,IF(AND($S81&lt;&gt;"",EDATE($D81,Milestones!$AA$161)&gt;=$S81),$V81,$U81)))=Milestones!$AB$161),UPPER(TEXT(EDATE($D81,Milestones!$AA$161),"dd mmm yy"))&amp;" "&amp;Milestones!$AB$161&amp;" "&amp;Milestones!$AC$161&amp;";  ","")&amp;IF(AND(EDATE($D81,Milestones!$AA$162)&lt;=AsOfDate,IF($R81=0,$X81,IF(AND($T81&lt;&gt;"",EDATE($D81,Milestones!$AA$162)&gt;=$T81),$W81,IF(AND($S81&lt;&gt;"",EDATE($D81,Milestones!$AA$162)&gt;=$S81),$V81,$U81)))=Milestones!$AB$162),UPPER(TEXT(EDATE($D81,Milestones!$AA$162),"dd mmm yy"))&amp;" "&amp;Milestones!$AB$162&amp;" "&amp;Milestones!$AC$162&amp;";  ","")&amp;IF(AND(EDATE($D81,Milestones!$AA$163)&lt;=AsOfDate,IF($R81=0,$X81,IF(AND($T81&lt;&gt;"",EDATE($D81,Milestones!$AA$163)&gt;=$T81),$W81,IF(AND($S81&lt;&gt;"",EDATE($D81,Milestones!$AA$163)&gt;=$S81),$V81,$U81)))=Milestones!$AB$163),UPPER(TEXT(EDATE($D81,Milestones!$AA$163),"dd mmm yy"))&amp;" "&amp;Milestones!$AB$163&amp;" "&amp;Milestones!$AC$163&amp;";  ","")&amp;IF(AND(EDATE($D81,Milestones!$AA$164)&lt;=AsOfDate,IF($R81=0,$X81,IF(AND($T81&lt;&gt;"",EDATE($D81,Milestones!$AA$164)&gt;=$T81),$W81,IF(AND($S81&lt;&gt;"",EDATE($D81,Milestones!$AA$164)&gt;=$S81),$V81,$U81)))=Milestones!$AB$164),UPPER(TEXT(EDATE($D81,Milestones!$AA$164),"dd mmm yy"))&amp;" "&amp;Milestones!$AB$164&amp;" "&amp;Milestones!$AC$164&amp;";  ","")&amp;IF(AND(EDATE($D81,Milestones!$AA$165)&lt;=AsOfDate,IF($R81=0,$X81,IF(AND($T81&lt;&gt;"",EDATE($D81,Milestones!$AA$165)&gt;=$T81),$W81,IF(AND($S81&lt;&gt;"",EDATE($D81,Milestones!$AA$165)&gt;=$S81),$V81,$U81)))=Milestones!$AB$165),UPPER(TEXT(EDATE($D81,Milestones!$AA$165),"dd mmm yy"))&amp;" "&amp;Milestones!$AB$165&amp;" "&amp;Milestones!$AC$165&amp;";  ","")&amp;IF(AND(EDATE($D81,Milestones!$AA$166)&lt;=AsOfDate,IF($R81=0,$X81,IF(AND($T81&lt;&gt;"",EDATE($D81,Milestones!$AA$166)&gt;=$T81),$W81,IF(AND($S81&lt;&gt;"",EDATE($D81,Milestones!$AA$166)&gt;=$S81),$V81,$U81)))=Milestones!$AB$166),UPPER(TEXT(EDATE($D81,Milestones!$AA$166),"dd mmm yy"))&amp;" "&amp;Milestones!$AB$166&amp;" "&amp;Milestones!$AC$166&amp;";  ","")&amp;IF(AND(EDATE($D81,Milestones!$AA$167)&lt;=AsOfDate,IF($R81=0,$X81,IF(AND($T81&lt;&gt;"",EDATE($D81,Milestones!$AA$167)&gt;=$T81),$W81,IF(AND($S81&lt;&gt;"",EDATE($D81,Milestones!$AA$167)&gt;=$S81),$V81,$U81)))=Milestones!$AB$167),UPPER(TEXT(EDATE($D81,Milestones!$AA$167),"dd mmm yy"))&amp;" "&amp;Milestones!$AB$167&amp;" "&amp;Milestones!$AC$167&amp;";  ","")&amp;IF(AND(EDATE($D81,Milestones!$AA$168)&lt;=AsOfDate,IF($R81=0,$X81,IF(AND($T81&lt;&gt;"",EDATE($D81,Milestones!$AA$168)&gt;=$T81),$W81,IF(AND($S81&lt;&gt;"",EDATE($D81,Milestones!$AA$168)&gt;=$S81),$V81,$U81)))=Milestones!$AB$168),UPPER(TEXT(EDATE($D81,Milestones!$AA$168),"dd mmm yy"))&amp;" "&amp;Milestones!$AB$168&amp;" "&amp;Milestones!$AC$168&amp;";  ","")&amp;IF(AND(EDATE($D81,Milestones!$AA$169)&lt;=AsOfDate,IF($R81=0,$X81,IF(AND($T81&lt;&gt;"",EDATE($D81,Milestones!$AA$169)&gt;=$T81),$W81,IF(AND($S81&lt;&gt;"",EDATE($D81,Milestones!$AA$169)&gt;=$S81),$V81,$U81)))=Milestones!$AB$169),UPPER(TEXT(EDATE($D81,Milestones!$AA$169),"dd mmm yy"))&amp;" "&amp;Milestones!$AB$169&amp;" "&amp;Milestones!$AC$169&amp;";  ","")&amp;IF(AND(EDATE($D81,Milestones!$AA$170)&lt;=AsOfDate,IF($R81=0,$X81,IF(AND($T81&lt;&gt;"",EDATE($D81,Milestones!$AA$170)&gt;=$T81),$W81,IF(AND($S81&lt;&gt;"",EDATE($D81,Milestones!$AA$170)&gt;=$S81),$V81,$U81)))=Milestones!$AB$170),UPPER(TEXT(EDATE($D81,Milestones!$AA$170),"dd mmm yy"))&amp;" "&amp;Milestones!$AB$170&amp;" "&amp;Milestones!$AC$170&amp;";  ","")&amp;IF(AND(EDATE($D81,Milestones!$AA$171)&lt;=AsOfDate,IF($R81=0,$X81,IF(AND($T81&lt;&gt;"",EDATE($D81,Milestones!$AA$171)&gt;=$T81),$W81,IF(AND($S81&lt;&gt;"",EDATE($D81,Milestones!$AA$171)&gt;=$S81),$V81,$U81)))=Milestones!$AB$171),UPPER(TEXT(EDATE($D81,Milestones!$AA$171),"dd mmm yy"))&amp;" "&amp;Milestones!$AB$171&amp;" "&amp;Milestones!$AC$171&amp;";  ","")&amp;IF(AND(EDATE($D81,Milestones!$AA$172)&lt;=AsOfDate,IF($R81=0,$X81,IF(AND($T81&lt;&gt;"",EDATE($D81,Milestones!$AA$172)&gt;=$T81),$W81,IF(AND($S81&lt;&gt;"",EDATE($D81,Milestones!$AA$172)&gt;=$S81),$V81,$U81)))=Milestones!$AB$172),UPPER(TEXT(EDATE($D81,Milestones!$AA$172),"dd mmm yy"))&amp;" "&amp;Milestones!$AB$172&amp;" "&amp;Milestones!$AC$172&amp;";  ","")&amp;IF(AND(EDATE($D81,Milestones!$AA$173)&lt;=AsOfDate,IF($R81=0,$X81,IF(AND($T81&lt;&gt;"",EDATE($D81,Milestones!$AA$173)&gt;=$T81),$W81,IF(AND($S81&lt;&gt;"",EDATE($D81,Milestones!$AA$173)&gt;=$S81),$V81,$U81)))=Milestones!$AB$173),UPPER(TEXT(EDATE($D81,Milestones!$AA$173),"dd mmm yy"))&amp;" "&amp;Milestones!$AB$173&amp;" "&amp;Milestones!$AC$173&amp;";  ","")&amp;IF(AND(EDATE($D81,Milestones!$AA$174)&lt;=AsOfDate,IF($R81=0,$X81,IF(AND($T81&lt;&gt;"",EDATE($D81,Milestones!$AA$174)&gt;=$T81),$W81,IF(AND($S81&lt;&gt;"",EDATE($D81,Milestones!$AA$174)&gt;=$S81),$V81,$U81)))=Milestones!$AB$174),UPPER(TEXT(EDATE($D81,Milestones!$AA$174),"dd mmm yy"))&amp;" "&amp;Milestones!$AB$174&amp;" "&amp;Milestones!$AC$174&amp;";  ","")&amp;IF(AND(EDATE($D81,Milestones!$AA$175)&lt;=AsOfDate,IF($R81=0,$X81,IF(AND($T81&lt;&gt;"",EDATE($D81,Milestones!$AA$175)&gt;=$T81),$W81,IF(AND($S81&lt;&gt;"",EDATE($D81,Milestones!$AA$175)&gt;=$S81),$V81,$U81)))=Milestones!$AB$175),UPPER(TEXT(EDATE($D81,Milestones!$AA$175),"dd mmm yy"))&amp;" "&amp;Milestones!$AB$175&amp;" "&amp;Milestones!$AC$175&amp;";  ","")&amp;IF(AND(EDATE($D81,Milestones!$AA$176)&lt;=AsOfDate,IF($R81=0,$X81,IF(AND($T81&lt;&gt;"",EDATE($D81,Milestones!$AA$176)&gt;=$T81),$W81,IF(AND($S81&lt;&gt;"",EDATE($D81,Milestones!$AA$176)&gt;=$S81),$V81,$U81)))=Milestones!$AB$176),UPPER(TEXT(EDATE($D81,Milestones!$AA$176),"dd mmm yy"))&amp;" "&amp;Milestones!$AB$176&amp;" "&amp;Milestones!$AC$176&amp;";  ","")&amp;IF(AND(EDATE($D81,Milestones!$AA$177)&lt;=AsOfDate,IF($R81=0,$X81,IF(AND($T81&lt;&gt;"",EDATE($D81,Milestones!$AA$177)&gt;=$T81),$W81,IF(AND($S81&lt;&gt;"",EDATE($D81,Milestones!$AA$177)&gt;=$S81),$V81,$U81)))=Milestones!$AB$177),UPPER(TEXT(EDATE($D81,Milestones!$AA$177),"dd mmm yy"))&amp;" "&amp;Milestones!$AB$177&amp;" "&amp;Milestones!$AC$177&amp;";  ","")&amp;IF(AND(EDATE($D81,Milestones!$AA$178)&lt;=AsOfDate,IF($R81=0,$X81,IF(AND($T81&lt;&gt;"",EDATE($D81,Milestones!$AA$178)&gt;=$T81),$W81,IF(AND($S81&lt;&gt;"",EDATE($D81,Milestones!$AA$178)&gt;=$S81),$V81,$U81)))=Milestones!$AB$178),UPPER(TEXT(EDATE($D81,Milestones!$AA$178),"dd mmm yy"))&amp;" "&amp;Milestones!$AB$178&amp;" "&amp;Milestones!$AC$178&amp;";  ","")&amp;IF(AND(EDATE($D81,Milestones!$AA$179)&lt;=AsOfDate,IF($R81=0,$X81,IF(AND($T81&lt;&gt;"",EDATE($D81,Milestones!$AA$179)&gt;=$T81),$W81,IF(AND($S81&lt;&gt;"",EDATE($D81,Milestones!$AA$179)&gt;=$S81),$V81,$U81)))=Milestones!$AB$179),UPPER(TEXT(EDATE($D81,Milestones!$AA$179),"dd mmm yy"))&amp;" "&amp;Milestones!$AB$179&amp;" "&amp;Milestones!$AC$179&amp;";  ",""))</f>
        <v/>
      </c>
      <c r="Q81" s="0" t="str">
        <f aca="false">IF(OR($A81="",$D81=""),"",IF(AND(EDATE($D81,Milestones!$AA$180)&lt;=AsOfDate,IF($R81=0,$X81,IF(AND($T81&lt;&gt;"",EDATE($D81,Milestones!$AA$180)&gt;=$T81),$W81,IF(AND($S81&lt;&gt;"",EDATE($D81,Milestones!$AA$180)&gt;=$S81),$V81,$U81)))=Milestones!$AB$180),UPPER(TEXT(EDATE($D81,Milestones!$AA$180),"dd mmm yy"))&amp;" "&amp;Milestones!$AB$180&amp;" "&amp;Milestones!$AC$180&amp;";  ","")&amp;IF(AND(EDATE($D81,Milestones!$AA$181)&lt;=AsOfDate,IF($R81=0,$X81,IF(AND($T81&lt;&gt;"",EDATE($D81,Milestones!$AA$181)&gt;=$T81),$W81,IF(AND($S81&lt;&gt;"",EDATE($D81,Milestones!$AA$181)&gt;=$S81),$V81,$U81)))=Milestones!$AB$181),UPPER(TEXT(EDATE($D81,Milestones!$AA$181),"dd mmm yy"))&amp;" "&amp;Milestones!$AB$181&amp;" "&amp;Milestones!$AC$181&amp;";  ","")&amp;IF(AND(EDATE($D81,Milestones!$AA$182)&lt;=AsOfDate,IF($R81=0,$X81,IF(AND($T81&lt;&gt;"",EDATE($D81,Milestones!$AA$182)&gt;=$T81),$W81,IF(AND($S81&lt;&gt;"",EDATE($D81,Milestones!$AA$182)&gt;=$S81),$V81,$U81)))=Milestones!$AB$182),UPPER(TEXT(EDATE($D81,Milestones!$AA$182),"dd mmm yy"))&amp;" "&amp;Milestones!$AB$182&amp;" "&amp;Milestones!$AC$182&amp;";  ","")&amp;IF(AND(EDATE($D81,Milestones!$AA$183)&lt;=AsOfDate,IF($R81=0,$X81,IF(AND($T81&lt;&gt;"",EDATE($D81,Milestones!$AA$183)&gt;=$T81),$W81,IF(AND($S81&lt;&gt;"",EDATE($D81,Milestones!$AA$183)&gt;=$S81),$V81,$U81)))=Milestones!$AB$183),UPPER(TEXT(EDATE($D81,Milestones!$AA$183),"dd mmm yy"))&amp;" "&amp;Milestones!$AB$183&amp;" "&amp;Milestones!$AC$183&amp;";  ","")&amp;IF(AND(EDATE($D81,Milestones!$AA$184)&lt;=AsOfDate,IF($R81=0,$X81,IF(AND($T81&lt;&gt;"",EDATE($D81,Milestones!$AA$184)&gt;=$T81),$W81,IF(AND($S81&lt;&gt;"",EDATE($D81,Milestones!$AA$184)&gt;=$S81),$V81,$U81)))=Milestones!$AB$184),UPPER(TEXT(EDATE($D81,Milestones!$AA$184),"dd mmm yy"))&amp;" "&amp;Milestones!$AB$184&amp;" "&amp;Milestones!$AC$184&amp;";  ","")&amp;IF(AND(EDATE($D81,Milestones!$AA$185)&lt;=AsOfDate,IF($R81=0,$X81,IF(AND($T81&lt;&gt;"",EDATE($D81,Milestones!$AA$185)&gt;=$T81),$W81,IF(AND($S81&lt;&gt;"",EDATE($D81,Milestones!$AA$185)&gt;=$S81),$V81,$U81)))=Milestones!$AB$185),UPPER(TEXT(EDATE($D81,Milestones!$AA$185),"dd mmm yy"))&amp;" "&amp;Milestones!$AB$185&amp;" "&amp;Milestones!$AC$185&amp;";  ","")&amp;IF(AND(EDATE($D81,Milestones!$AA$186)&lt;=AsOfDate,IF($R81=0,$X81,IF(AND($T81&lt;&gt;"",EDATE($D81,Milestones!$AA$186)&gt;=$T81),$W81,IF(AND($S81&lt;&gt;"",EDATE($D81,Milestones!$AA$186)&gt;=$S81),$V81,$U81)))=Milestones!$AB$186),UPPER(TEXT(EDATE($D81,Milestones!$AA$186),"dd mmm yy"))&amp;" "&amp;Milestones!$AB$186&amp;" "&amp;Milestones!$AC$186&amp;";  ","")&amp;IF(AND(EDATE($D81,Milestones!$AA$187)&lt;=AsOfDate,IF($R81=0,$X81,IF(AND($T81&lt;&gt;"",EDATE($D81,Milestones!$AA$187)&gt;=$T81),$W81,IF(AND($S81&lt;&gt;"",EDATE($D81,Milestones!$AA$187)&gt;=$S81),$V81,$U81)))=Milestones!$AB$187),UPPER(TEXT(EDATE($D81,Milestones!$AA$187),"dd mmm yy"))&amp;" "&amp;Milestones!$AB$187&amp;" "&amp;Milestones!$AC$187&amp;";  ","")&amp;IF(AND(EDATE($D81,Milestones!$AA$188)&lt;=AsOfDate,IF($R81=0,$X81,IF(AND($T81&lt;&gt;"",EDATE($D81,Milestones!$AA$188)&gt;=$T81),$W81,IF(AND($S81&lt;&gt;"",EDATE($D81,Milestones!$AA$188)&gt;=$S81),$V81,$U81)))=Milestones!$AB$188),UPPER(TEXT(EDATE($D81,Milestones!$AA$188),"dd mmm yy"))&amp;" "&amp;Milestones!$AB$188&amp;" "&amp;Milestones!$AC$188&amp;";  ","")&amp;IF(AND(EDATE($D81,Milestones!$AA$189)&lt;=AsOfDate,IF($R81=0,$X81,IF(AND($T81&lt;&gt;"",EDATE($D81,Milestones!$AA$189)&gt;=$T81),$W81,IF(AND($S81&lt;&gt;"",EDATE($D81,Milestones!$AA$189)&gt;=$S81),$V81,$U81)))=Milestones!$AB$189),UPPER(TEXT(EDATE($D81,Milestones!$AA$189),"dd mmm yy"))&amp;" "&amp;Milestones!$AB$189&amp;" "&amp;Milestones!$AC$189&amp;";  ","")&amp;IF(AND(EDATE($D81,Milestones!$AA$190)&lt;=AsOfDate,IF($R81=0,$X81,IF(AND($T81&lt;&gt;"",EDATE($D81,Milestones!$AA$190)&gt;=$T81),$W81,IF(AND($S81&lt;&gt;"",EDATE($D81,Milestones!$AA$190)&gt;=$S81),$V81,$U81)))=Milestones!$AB$190),UPPER(TEXT(EDATE($D81,Milestones!$AA$190),"dd mmm yy"))&amp;" "&amp;Milestones!$AB$190&amp;" "&amp;Milestones!$AC$190&amp;";  ","")&amp;IF(AND(EDATE($D81,Milestones!$AA$191)&lt;=AsOfDate,IF($R81=0,$X81,IF(AND($T81&lt;&gt;"",EDATE($D81,Milestones!$AA$191)&gt;=$T81),$W81,IF(AND($S81&lt;&gt;"",EDATE($D81,Milestones!$AA$191)&gt;=$S81),$V81,$U81)))=Milestones!$AB$191),UPPER(TEXT(EDATE($D81,Milestones!$AA$191),"dd mmm yy"))&amp;" "&amp;Milestones!$AB$191&amp;" "&amp;Milestones!$AC$191&amp;";  ","")&amp;IF(AND(EDATE($D81,Milestones!$AA$192)&lt;=AsOfDate,IF($R81=0,$X81,IF(AND($T81&lt;&gt;"",EDATE($D81,Milestones!$AA$192)&gt;=$T81),$W81,IF(AND($S81&lt;&gt;"",EDATE($D81,Milestones!$AA$192)&gt;=$S81),$V81,$U81)))=Milestones!$AB$192),UPPER(TEXT(EDATE($D81,Milestones!$AA$192),"dd mmm yy"))&amp;" "&amp;Milestones!$AB$192&amp;" "&amp;Milestones!$AC$192&amp;";  ","")&amp;IF(AND(EDATE($D81,Milestones!$AA$193)&lt;=AsOfDate,IF($R81=0,$X81,IF(AND($T81&lt;&gt;"",EDATE($D81,Milestones!$AA$193)&gt;=$T81),$W81,IF(AND($S81&lt;&gt;"",EDATE($D81,Milestones!$AA$193)&gt;=$S81),$V81,$U81)))=Milestones!$AB$193),UPPER(TEXT(EDATE($D81,Milestones!$AA$193),"dd mmm yy"))&amp;" "&amp;Milestones!$AB$193&amp;" "&amp;Milestones!$AC$193&amp;";  ","")&amp;IF(AND(EDATE($D81,Milestones!$AA$194)&lt;=AsOfDate,IF($R81=0,$X81,IF(AND($T81&lt;&gt;"",EDATE($D81,Milestones!$AA$194)&gt;=$T81),$W81,IF(AND($S81&lt;&gt;"",EDATE($D81,Milestones!$AA$194)&gt;=$S81),$V81,$U81)))=Milestones!$AB$194),UPPER(TEXT(EDATE($D81,Milestones!$AA$194),"dd mmm yy"))&amp;" "&amp;Milestones!$AB$194&amp;" "&amp;Milestones!$AC$194&amp;";  ","")&amp;IF(AND(EDATE($D81,Milestones!$AA$195)&lt;=AsOfDate,IF($R81=0,$X81,IF(AND($T81&lt;&gt;"",EDATE($D81,Milestones!$AA$195)&gt;=$T81),$W81,IF(AND($S81&lt;&gt;"",EDATE($D81,Milestones!$AA$195)&gt;=$S81),$V81,$U81)))=Milestones!$AB$195),UPPER(TEXT(EDATE($D81,Milestones!$AA$195),"dd mmm yy"))&amp;" "&amp;Milestones!$AB$195&amp;" "&amp;Milestones!$AC$195&amp;";  ","")&amp;IF(AND(EDATE($D81,Milestones!$AA$196)&lt;=AsOfDate,IF($R81=0,$X81,IF(AND($T81&lt;&gt;"",EDATE($D81,Milestones!$AA$196)&gt;=$T81),$W81,IF(AND($S81&lt;&gt;"",EDATE($D81,Milestones!$AA$196)&gt;=$S81),$V81,$U81)))=Milestones!$AB$196),UPPER(TEXT(EDATE($D81,Milestones!$AA$196),"dd mmm yy"))&amp;" "&amp;Milestones!$AB$196&amp;" "&amp;Milestones!$AC$196&amp;";  ","")&amp;IF(AND(EDATE($D81,Milestones!$AA$197)&lt;=AsOfDate,IF($R81=0,$X81,IF(AND($T81&lt;&gt;"",EDATE($D81,Milestones!$AA$197)&gt;=$T81),$W81,IF(AND($S81&lt;&gt;"",EDATE($D81,Milestones!$AA$197)&gt;=$S81),$V81,$U81)))=Milestones!$AB$197),UPPER(TEXT(EDATE($D81,Milestones!$AA$197),"dd mmm yy"))&amp;" "&amp;Milestones!$AB$197&amp;" "&amp;Milestones!$AC$197&amp;";  ","")&amp;IF(AND(EDATE($D81,Milestones!$AA$198)&lt;=AsOfDate,IF($R81=0,$X81,IF(AND($T81&lt;&gt;"",EDATE($D81,Milestones!$AA$198)&gt;=$T81),$W81,IF(AND($S81&lt;&gt;"",EDATE($D81,Milestones!$AA$198)&gt;=$S81),$V81,$U81)))=Milestones!$AB$198),UPPER(TEXT(EDATE($D81,Milestones!$AA$198),"dd mmm yy"))&amp;" "&amp;Milestones!$AB$198&amp;" "&amp;Milestones!$AC$198&amp;";  ","")&amp;IF(AND(EDATE($D81,Milestones!$AA$199)&lt;=AsOfDate,IF($R81=0,$X81,IF(AND($T81&lt;&gt;"",EDATE($D81,Milestones!$AA$199)&gt;=$T81),$W81,IF(AND($S81&lt;&gt;"",EDATE($D81,Milestones!$AA$199)&gt;=$S81),$V81,$U81)))=Milestones!$AB$199),UPPER(TEXT(EDATE($D81,Milestones!$AA$199),"dd mmm yy"))&amp;" "&amp;Milestones!$AB$199&amp;" "&amp;Milestones!$AC$199&amp;";  ",""))</f>
        <v/>
      </c>
      <c r="R81" s="0" t="str">
        <f aca="false">IF(Staff!$A81="","",Staff!$AI81)</f>
        <v/>
      </c>
      <c r="S81" s="0" t="str">
        <f aca="false">IF(Staff!$A81="","",Staff!$AK81)</f>
        <v/>
      </c>
      <c r="T81" s="0" t="str">
        <f aca="false">IF(Staff!$A81="","",Staff!$AL81)</f>
        <v/>
      </c>
      <c r="U81" s="0" t="str">
        <f aca="false">IF(Staff!$A81="","",Staff!$AP81)</f>
        <v/>
      </c>
      <c r="V81" s="0" t="str">
        <f aca="false">IF(Staff!$A81="","",Staff!$AQ81)</f>
        <v/>
      </c>
      <c r="W81" s="0" t="str">
        <f aca="false">IF(Staff!$A81="","",Staff!$AR81)</f>
        <v/>
      </c>
      <c r="X81" s="0" t="str">
        <f aca="false">IF(Staff!$A81="","",Staff!$AS81)</f>
        <v/>
      </c>
    </row>
    <row r="82" customFormat="false" ht="15" hidden="false" customHeight="false" outlineLevel="0" collapsed="false">
      <c r="A82" s="14" t="str">
        <f aca="false">IF(Staff!$A82="","",Staff!$A82)</f>
        <v/>
      </c>
      <c r="B82" s="14" t="str">
        <f aca="false">IF(Staff!$A82="","",Staff!$B82)</f>
        <v/>
      </c>
      <c r="C82" s="14" t="str">
        <f aca="false">IF(Staff!$A82="","",Staff!$C82)</f>
        <v/>
      </c>
      <c r="D82" s="12" t="str">
        <f aca="false">IF(Staff!$A82="","",Staff!$AH82)</f>
        <v/>
      </c>
      <c r="E82" s="14" t="str">
        <f aca="false">IF(Staff!$A82="","",Staff!$O82)</f>
        <v/>
      </c>
      <c r="F82" s="14" t="str">
        <f aca="false">IF(E82="","",E82*HoursPerDay)</f>
        <v/>
      </c>
      <c r="G82" s="14" t="str">
        <f aca="false">IF(Staff!$A82="","",Staff!$AE82)</f>
        <v/>
      </c>
      <c r="H82" s="26" t="str">
        <f aca="false">IF($A82="","",I82&amp;J82&amp;K82&amp;L82&amp;M82&amp;N82&amp;O82&amp;P82&amp;Q82)</f>
        <v/>
      </c>
      <c r="I82" s="0" t="str">
        <f aca="false">IF(OR($A82="",$D82=""),"",IF(AND(EDATE($D82,Milestones!$AA$20)&lt;=AsOfDate,IF($R82=0,$X82,IF(AND($T82&lt;&gt;"",EDATE($D82,Milestones!$AA$20)&gt;=$T82),$W82,IF(AND($S82&lt;&gt;"",EDATE($D82,Milestones!$AA$20)&gt;=$S82),$V82,$U82)))=Milestones!$AB$20),UPPER(TEXT(EDATE($D82,Milestones!$AA$20),"dd mmm yy"))&amp;" "&amp;Milestones!$AB$20&amp;" "&amp;Milestones!$AC$20&amp;";  ","")&amp;IF(AND(EDATE($D82,Milestones!$AA$21)&lt;=AsOfDate,IF($R82=0,$X82,IF(AND($T82&lt;&gt;"",EDATE($D82,Milestones!$AA$21)&gt;=$T82),$W82,IF(AND($S82&lt;&gt;"",EDATE($D82,Milestones!$AA$21)&gt;=$S82),$V82,$U82)))=Milestones!$AB$21),UPPER(TEXT(EDATE($D82,Milestones!$AA$21),"dd mmm yy"))&amp;" "&amp;Milestones!$AB$21&amp;" "&amp;Milestones!$AC$21&amp;";  ","")&amp;IF(AND(EDATE($D82,Milestones!$AA$22)&lt;=AsOfDate,IF($R82=0,$X82,IF(AND($T82&lt;&gt;"",EDATE($D82,Milestones!$AA$22)&gt;=$T82),$W82,IF(AND($S82&lt;&gt;"",EDATE($D82,Milestones!$AA$22)&gt;=$S82),$V82,$U82)))=Milestones!$AB$22),UPPER(TEXT(EDATE($D82,Milestones!$AA$22),"dd mmm yy"))&amp;" "&amp;Milestones!$AB$22&amp;" "&amp;Milestones!$AC$22&amp;";  ","")&amp;IF(AND(EDATE($D82,Milestones!$AA$23)&lt;=AsOfDate,IF($R82=0,$X82,IF(AND($T82&lt;&gt;"",EDATE($D82,Milestones!$AA$23)&gt;=$T82),$W82,IF(AND($S82&lt;&gt;"",EDATE($D82,Milestones!$AA$23)&gt;=$S82),$V82,$U82)))=Milestones!$AB$23),UPPER(TEXT(EDATE($D82,Milestones!$AA$23),"dd mmm yy"))&amp;" "&amp;Milestones!$AB$23&amp;" "&amp;Milestones!$AC$23&amp;";  ","")&amp;IF(AND(EDATE($D82,Milestones!$AA$24)&lt;=AsOfDate,IF($R82=0,$X82,IF(AND($T82&lt;&gt;"",EDATE($D82,Milestones!$AA$24)&gt;=$T82),$W82,IF(AND($S82&lt;&gt;"",EDATE($D82,Milestones!$AA$24)&gt;=$S82),$V82,$U82)))=Milestones!$AB$24),UPPER(TEXT(EDATE($D82,Milestones!$AA$24),"dd mmm yy"))&amp;" "&amp;Milestones!$AB$24&amp;" "&amp;Milestones!$AC$24&amp;";  ","")&amp;IF(AND(EDATE($D82,Milestones!$AA$25)&lt;=AsOfDate,IF($R82=0,$X82,IF(AND($T82&lt;&gt;"",EDATE($D82,Milestones!$AA$25)&gt;=$T82),$W82,IF(AND($S82&lt;&gt;"",EDATE($D82,Milestones!$AA$25)&gt;=$S82),$V82,$U82)))=Milestones!$AB$25),UPPER(TEXT(EDATE($D82,Milestones!$AA$25),"dd mmm yy"))&amp;" "&amp;Milestones!$AB$25&amp;" "&amp;Milestones!$AC$25&amp;";  ","")&amp;IF(AND(EDATE($D82,Milestones!$AA$26)&lt;=AsOfDate,IF($R82=0,$X82,IF(AND($T82&lt;&gt;"",EDATE($D82,Milestones!$AA$26)&gt;=$T82),$W82,IF(AND($S82&lt;&gt;"",EDATE($D82,Milestones!$AA$26)&gt;=$S82),$V82,$U82)))=Milestones!$AB$26),UPPER(TEXT(EDATE($D82,Milestones!$AA$26),"dd mmm yy"))&amp;" "&amp;Milestones!$AB$26&amp;" "&amp;Milestones!$AC$26&amp;";  ","")&amp;IF(AND(EDATE($D82,Milestones!$AA$27)&lt;=AsOfDate,IF($R82=0,$X82,IF(AND($T82&lt;&gt;"",EDATE($D82,Milestones!$AA$27)&gt;=$T82),$W82,IF(AND($S82&lt;&gt;"",EDATE($D82,Milestones!$AA$27)&gt;=$S82),$V82,$U82)))=Milestones!$AB$27),UPPER(TEXT(EDATE($D82,Milestones!$AA$27),"dd mmm yy"))&amp;" "&amp;Milestones!$AB$27&amp;" "&amp;Milestones!$AC$27&amp;";  ","")&amp;IF(AND(EDATE($D82,Milestones!$AA$28)&lt;=AsOfDate,IF($R82=0,$X82,IF(AND($T82&lt;&gt;"",EDATE($D82,Milestones!$AA$28)&gt;=$T82),$W82,IF(AND($S82&lt;&gt;"",EDATE($D82,Milestones!$AA$28)&gt;=$S82),$V82,$U82)))=Milestones!$AB$28),UPPER(TEXT(EDATE($D82,Milestones!$AA$28),"dd mmm yy"))&amp;" "&amp;Milestones!$AB$28&amp;" "&amp;Milestones!$AC$28&amp;";  ","")&amp;IF(AND(EDATE($D82,Milestones!$AA$29)&lt;=AsOfDate,IF($R82=0,$X82,IF(AND($T82&lt;&gt;"",EDATE($D82,Milestones!$AA$29)&gt;=$T82),$W82,IF(AND($S82&lt;&gt;"",EDATE($D82,Milestones!$AA$29)&gt;=$S82),$V82,$U82)))=Milestones!$AB$29),UPPER(TEXT(EDATE($D82,Milestones!$AA$29),"dd mmm yy"))&amp;" "&amp;Milestones!$AB$29&amp;" "&amp;Milestones!$AC$29&amp;";  ","")&amp;IF(AND(EDATE($D82,Milestones!$AA$30)&lt;=AsOfDate,IF($R82=0,$X82,IF(AND($T82&lt;&gt;"",EDATE($D82,Milestones!$AA$30)&gt;=$T82),$W82,IF(AND($S82&lt;&gt;"",EDATE($D82,Milestones!$AA$30)&gt;=$S82),$V82,$U82)))=Milestones!$AB$30),UPPER(TEXT(EDATE($D82,Milestones!$AA$30),"dd mmm yy"))&amp;" "&amp;Milestones!$AB$30&amp;" "&amp;Milestones!$AC$30&amp;";  ","")&amp;IF(AND(EDATE($D82,Milestones!$AA$31)&lt;=AsOfDate,IF($R82=0,$X82,IF(AND($T82&lt;&gt;"",EDATE($D82,Milestones!$AA$31)&gt;=$T82),$W82,IF(AND($S82&lt;&gt;"",EDATE($D82,Milestones!$AA$31)&gt;=$S82),$V82,$U82)))=Milestones!$AB$31),UPPER(TEXT(EDATE($D82,Milestones!$AA$31),"dd mmm yy"))&amp;" "&amp;Milestones!$AB$31&amp;" "&amp;Milestones!$AC$31&amp;";  ","")&amp;IF(AND(EDATE($D82,Milestones!$AA$32)&lt;=AsOfDate,IF($R82=0,$X82,IF(AND($T82&lt;&gt;"",EDATE($D82,Milestones!$AA$32)&gt;=$T82),$W82,IF(AND($S82&lt;&gt;"",EDATE($D82,Milestones!$AA$32)&gt;=$S82),$V82,$U82)))=Milestones!$AB$32),UPPER(TEXT(EDATE($D82,Milestones!$AA$32),"dd mmm yy"))&amp;" "&amp;Milestones!$AB$32&amp;" "&amp;Milestones!$AC$32&amp;";  ","")&amp;IF(AND(EDATE($D82,Milestones!$AA$33)&lt;=AsOfDate,IF($R82=0,$X82,IF(AND($T82&lt;&gt;"",EDATE($D82,Milestones!$AA$33)&gt;=$T82),$W82,IF(AND($S82&lt;&gt;"",EDATE($D82,Milestones!$AA$33)&gt;=$S82),$V82,$U82)))=Milestones!$AB$33),UPPER(TEXT(EDATE($D82,Milestones!$AA$33),"dd mmm yy"))&amp;" "&amp;Milestones!$AB$33&amp;" "&amp;Milestones!$AC$33&amp;";  ","")&amp;IF(AND(EDATE($D82,Milestones!$AA$34)&lt;=AsOfDate,IF($R82=0,$X82,IF(AND($T82&lt;&gt;"",EDATE($D82,Milestones!$AA$34)&gt;=$T82),$W82,IF(AND($S82&lt;&gt;"",EDATE($D82,Milestones!$AA$34)&gt;=$S82),$V82,$U82)))=Milestones!$AB$34),UPPER(TEXT(EDATE($D82,Milestones!$AA$34),"dd mmm yy"))&amp;" "&amp;Milestones!$AB$34&amp;" "&amp;Milestones!$AC$34&amp;";  ","")&amp;IF(AND(EDATE($D82,Milestones!$AA$35)&lt;=AsOfDate,IF($R82=0,$X82,IF(AND($T82&lt;&gt;"",EDATE($D82,Milestones!$AA$35)&gt;=$T82),$W82,IF(AND($S82&lt;&gt;"",EDATE($D82,Milestones!$AA$35)&gt;=$S82),$V82,$U82)))=Milestones!$AB$35),UPPER(TEXT(EDATE($D82,Milestones!$AA$35),"dd mmm yy"))&amp;" "&amp;Milestones!$AB$35&amp;" "&amp;Milestones!$AC$35&amp;";  ","")&amp;IF(AND(EDATE($D82,Milestones!$AA$36)&lt;=AsOfDate,IF($R82=0,$X82,IF(AND($T82&lt;&gt;"",EDATE($D82,Milestones!$AA$36)&gt;=$T82),$W82,IF(AND($S82&lt;&gt;"",EDATE($D82,Milestones!$AA$36)&gt;=$S82),$V82,$U82)))=Milestones!$AB$36),UPPER(TEXT(EDATE($D82,Milestones!$AA$36),"dd mmm yy"))&amp;" "&amp;Milestones!$AB$36&amp;" "&amp;Milestones!$AC$36&amp;";  ","")&amp;IF(AND(EDATE($D82,Milestones!$AA$37)&lt;=AsOfDate,IF($R82=0,$X82,IF(AND($T82&lt;&gt;"",EDATE($D82,Milestones!$AA$37)&gt;=$T82),$W82,IF(AND($S82&lt;&gt;"",EDATE($D82,Milestones!$AA$37)&gt;=$S82),$V82,$U82)))=Milestones!$AB$37),UPPER(TEXT(EDATE($D82,Milestones!$AA$37),"dd mmm yy"))&amp;" "&amp;Milestones!$AB$37&amp;" "&amp;Milestones!$AC$37&amp;";  ","")&amp;IF(AND(EDATE($D82,Milestones!$AA$38)&lt;=AsOfDate,IF($R82=0,$X82,IF(AND($T82&lt;&gt;"",EDATE($D82,Milestones!$AA$38)&gt;=$T82),$W82,IF(AND($S82&lt;&gt;"",EDATE($D82,Milestones!$AA$38)&gt;=$S82),$V82,$U82)))=Milestones!$AB$38),UPPER(TEXT(EDATE($D82,Milestones!$AA$38),"dd mmm yy"))&amp;" "&amp;Milestones!$AB$38&amp;" "&amp;Milestones!$AC$38&amp;";  ","")&amp;IF(AND(EDATE($D82,Milestones!$AA$39)&lt;=AsOfDate,IF($R82=0,$X82,IF(AND($T82&lt;&gt;"",EDATE($D82,Milestones!$AA$39)&gt;=$T82),$W82,IF(AND($S82&lt;&gt;"",EDATE($D82,Milestones!$AA$39)&gt;=$S82),$V82,$U82)))=Milestones!$AB$39),UPPER(TEXT(EDATE($D82,Milestones!$AA$39),"dd mmm yy"))&amp;" "&amp;Milestones!$AB$39&amp;" "&amp;Milestones!$AC$39&amp;";  ",""))</f>
        <v/>
      </c>
      <c r="J82" s="0" t="str">
        <f aca="false">IF(OR($A82="",$D82=""),"",IF(AND(EDATE($D82,Milestones!$AA$40)&lt;=AsOfDate,IF($R82=0,$X82,IF(AND($T82&lt;&gt;"",EDATE($D82,Milestones!$AA$40)&gt;=$T82),$W82,IF(AND($S82&lt;&gt;"",EDATE($D82,Milestones!$AA$40)&gt;=$S82),$V82,$U82)))=Milestones!$AB$40),UPPER(TEXT(EDATE($D82,Milestones!$AA$40),"dd mmm yy"))&amp;" "&amp;Milestones!$AB$40&amp;" "&amp;Milestones!$AC$40&amp;";  ","")&amp;IF(AND(EDATE($D82,Milestones!$AA$41)&lt;=AsOfDate,IF($R82=0,$X82,IF(AND($T82&lt;&gt;"",EDATE($D82,Milestones!$AA$41)&gt;=$T82),$W82,IF(AND($S82&lt;&gt;"",EDATE($D82,Milestones!$AA$41)&gt;=$S82),$V82,$U82)))=Milestones!$AB$41),UPPER(TEXT(EDATE($D82,Milestones!$AA$41),"dd mmm yy"))&amp;" "&amp;Milestones!$AB$41&amp;" "&amp;Milestones!$AC$41&amp;";  ","")&amp;IF(AND(EDATE($D82,Milestones!$AA$42)&lt;=AsOfDate,IF($R82=0,$X82,IF(AND($T82&lt;&gt;"",EDATE($D82,Milestones!$AA$42)&gt;=$T82),$W82,IF(AND($S82&lt;&gt;"",EDATE($D82,Milestones!$AA$42)&gt;=$S82),$V82,$U82)))=Milestones!$AB$42),UPPER(TEXT(EDATE($D82,Milestones!$AA$42),"dd mmm yy"))&amp;" "&amp;Milestones!$AB$42&amp;" "&amp;Milestones!$AC$42&amp;";  ","")&amp;IF(AND(EDATE($D82,Milestones!$AA$43)&lt;=AsOfDate,IF($R82=0,$X82,IF(AND($T82&lt;&gt;"",EDATE($D82,Milestones!$AA$43)&gt;=$T82),$W82,IF(AND($S82&lt;&gt;"",EDATE($D82,Milestones!$AA$43)&gt;=$S82),$V82,$U82)))=Milestones!$AB$43),UPPER(TEXT(EDATE($D82,Milestones!$AA$43),"dd mmm yy"))&amp;" "&amp;Milestones!$AB$43&amp;" "&amp;Milestones!$AC$43&amp;";  ","")&amp;IF(AND(EDATE($D82,Milestones!$AA$44)&lt;=AsOfDate,IF($R82=0,$X82,IF(AND($T82&lt;&gt;"",EDATE($D82,Milestones!$AA$44)&gt;=$T82),$W82,IF(AND($S82&lt;&gt;"",EDATE($D82,Milestones!$AA$44)&gt;=$S82),$V82,$U82)))=Milestones!$AB$44),UPPER(TEXT(EDATE($D82,Milestones!$AA$44),"dd mmm yy"))&amp;" "&amp;Milestones!$AB$44&amp;" "&amp;Milestones!$AC$44&amp;";  ","")&amp;IF(AND(EDATE($D82,Milestones!$AA$45)&lt;=AsOfDate,IF($R82=0,$X82,IF(AND($T82&lt;&gt;"",EDATE($D82,Milestones!$AA$45)&gt;=$T82),$W82,IF(AND($S82&lt;&gt;"",EDATE($D82,Milestones!$AA$45)&gt;=$S82),$V82,$U82)))=Milestones!$AB$45),UPPER(TEXT(EDATE($D82,Milestones!$AA$45),"dd mmm yy"))&amp;" "&amp;Milestones!$AB$45&amp;" "&amp;Milestones!$AC$45&amp;";  ","")&amp;IF(AND(EDATE($D82,Milestones!$AA$46)&lt;=AsOfDate,IF($R82=0,$X82,IF(AND($T82&lt;&gt;"",EDATE($D82,Milestones!$AA$46)&gt;=$T82),$W82,IF(AND($S82&lt;&gt;"",EDATE($D82,Milestones!$AA$46)&gt;=$S82),$V82,$U82)))=Milestones!$AB$46),UPPER(TEXT(EDATE($D82,Milestones!$AA$46),"dd mmm yy"))&amp;" "&amp;Milestones!$AB$46&amp;" "&amp;Milestones!$AC$46&amp;";  ","")&amp;IF(AND(EDATE($D82,Milestones!$AA$47)&lt;=AsOfDate,IF($R82=0,$X82,IF(AND($T82&lt;&gt;"",EDATE($D82,Milestones!$AA$47)&gt;=$T82),$W82,IF(AND($S82&lt;&gt;"",EDATE($D82,Milestones!$AA$47)&gt;=$S82),$V82,$U82)))=Milestones!$AB$47),UPPER(TEXT(EDATE($D82,Milestones!$AA$47),"dd mmm yy"))&amp;" "&amp;Milestones!$AB$47&amp;" "&amp;Milestones!$AC$47&amp;";  ","")&amp;IF(AND(EDATE($D82,Milestones!$AA$48)&lt;=AsOfDate,IF($R82=0,$X82,IF(AND($T82&lt;&gt;"",EDATE($D82,Milestones!$AA$48)&gt;=$T82),$W82,IF(AND($S82&lt;&gt;"",EDATE($D82,Milestones!$AA$48)&gt;=$S82),$V82,$U82)))=Milestones!$AB$48),UPPER(TEXT(EDATE($D82,Milestones!$AA$48),"dd mmm yy"))&amp;" "&amp;Milestones!$AB$48&amp;" "&amp;Milestones!$AC$48&amp;";  ","")&amp;IF(AND(EDATE($D82,Milestones!$AA$49)&lt;=AsOfDate,IF($R82=0,$X82,IF(AND($T82&lt;&gt;"",EDATE($D82,Milestones!$AA$49)&gt;=$T82),$W82,IF(AND($S82&lt;&gt;"",EDATE($D82,Milestones!$AA$49)&gt;=$S82),$V82,$U82)))=Milestones!$AB$49),UPPER(TEXT(EDATE($D82,Milestones!$AA$49),"dd mmm yy"))&amp;" "&amp;Milestones!$AB$49&amp;" "&amp;Milestones!$AC$49&amp;";  ","")&amp;IF(AND(EDATE($D82,Milestones!$AA$50)&lt;=AsOfDate,IF($R82=0,$X82,IF(AND($T82&lt;&gt;"",EDATE($D82,Milestones!$AA$50)&gt;=$T82),$W82,IF(AND($S82&lt;&gt;"",EDATE($D82,Milestones!$AA$50)&gt;=$S82),$V82,$U82)))=Milestones!$AB$50),UPPER(TEXT(EDATE($D82,Milestones!$AA$50),"dd mmm yy"))&amp;" "&amp;Milestones!$AB$50&amp;" "&amp;Milestones!$AC$50&amp;";  ","")&amp;IF(AND(EDATE($D82,Milestones!$AA$51)&lt;=AsOfDate,IF($R82=0,$X82,IF(AND($T82&lt;&gt;"",EDATE($D82,Milestones!$AA$51)&gt;=$T82),$W82,IF(AND($S82&lt;&gt;"",EDATE($D82,Milestones!$AA$51)&gt;=$S82),$V82,$U82)))=Milestones!$AB$51),UPPER(TEXT(EDATE($D82,Milestones!$AA$51),"dd mmm yy"))&amp;" "&amp;Milestones!$AB$51&amp;" "&amp;Milestones!$AC$51&amp;";  ","")&amp;IF(AND(EDATE($D82,Milestones!$AA$52)&lt;=AsOfDate,IF($R82=0,$X82,IF(AND($T82&lt;&gt;"",EDATE($D82,Milestones!$AA$52)&gt;=$T82),$W82,IF(AND($S82&lt;&gt;"",EDATE($D82,Milestones!$AA$52)&gt;=$S82),$V82,$U82)))=Milestones!$AB$52),UPPER(TEXT(EDATE($D82,Milestones!$AA$52),"dd mmm yy"))&amp;" "&amp;Milestones!$AB$52&amp;" "&amp;Milestones!$AC$52&amp;";  ","")&amp;IF(AND(EDATE($D82,Milestones!$AA$53)&lt;=AsOfDate,IF($R82=0,$X82,IF(AND($T82&lt;&gt;"",EDATE($D82,Milestones!$AA$53)&gt;=$T82),$W82,IF(AND($S82&lt;&gt;"",EDATE($D82,Milestones!$AA$53)&gt;=$S82),$V82,$U82)))=Milestones!$AB$53),UPPER(TEXT(EDATE($D82,Milestones!$AA$53),"dd mmm yy"))&amp;" "&amp;Milestones!$AB$53&amp;" "&amp;Milestones!$AC$53&amp;";  ","")&amp;IF(AND(EDATE($D82,Milestones!$AA$54)&lt;=AsOfDate,IF($R82=0,$X82,IF(AND($T82&lt;&gt;"",EDATE($D82,Milestones!$AA$54)&gt;=$T82),$W82,IF(AND($S82&lt;&gt;"",EDATE($D82,Milestones!$AA$54)&gt;=$S82),$V82,$U82)))=Milestones!$AB$54),UPPER(TEXT(EDATE($D82,Milestones!$AA$54),"dd mmm yy"))&amp;" "&amp;Milestones!$AB$54&amp;" "&amp;Milestones!$AC$54&amp;";  ","")&amp;IF(AND(EDATE($D82,Milestones!$AA$55)&lt;=AsOfDate,IF($R82=0,$X82,IF(AND($T82&lt;&gt;"",EDATE($D82,Milestones!$AA$55)&gt;=$T82),$W82,IF(AND($S82&lt;&gt;"",EDATE($D82,Milestones!$AA$55)&gt;=$S82),$V82,$U82)))=Milestones!$AB$55),UPPER(TEXT(EDATE($D82,Milestones!$AA$55),"dd mmm yy"))&amp;" "&amp;Milestones!$AB$55&amp;" "&amp;Milestones!$AC$55&amp;";  ","")&amp;IF(AND(EDATE($D82,Milestones!$AA$56)&lt;=AsOfDate,IF($R82=0,$X82,IF(AND($T82&lt;&gt;"",EDATE($D82,Milestones!$AA$56)&gt;=$T82),$W82,IF(AND($S82&lt;&gt;"",EDATE($D82,Milestones!$AA$56)&gt;=$S82),$V82,$U82)))=Milestones!$AB$56),UPPER(TEXT(EDATE($D82,Milestones!$AA$56),"dd mmm yy"))&amp;" "&amp;Milestones!$AB$56&amp;" "&amp;Milestones!$AC$56&amp;";  ","")&amp;IF(AND(EDATE($D82,Milestones!$AA$57)&lt;=AsOfDate,IF($R82=0,$X82,IF(AND($T82&lt;&gt;"",EDATE($D82,Milestones!$AA$57)&gt;=$T82),$W82,IF(AND($S82&lt;&gt;"",EDATE($D82,Milestones!$AA$57)&gt;=$S82),$V82,$U82)))=Milestones!$AB$57),UPPER(TEXT(EDATE($D82,Milestones!$AA$57),"dd mmm yy"))&amp;" "&amp;Milestones!$AB$57&amp;" "&amp;Milestones!$AC$57&amp;";  ","")&amp;IF(AND(EDATE($D82,Milestones!$AA$58)&lt;=AsOfDate,IF($R82=0,$X82,IF(AND($T82&lt;&gt;"",EDATE($D82,Milestones!$AA$58)&gt;=$T82),$W82,IF(AND($S82&lt;&gt;"",EDATE($D82,Milestones!$AA$58)&gt;=$S82),$V82,$U82)))=Milestones!$AB$58),UPPER(TEXT(EDATE($D82,Milestones!$AA$58),"dd mmm yy"))&amp;" "&amp;Milestones!$AB$58&amp;" "&amp;Milestones!$AC$58&amp;";  ","")&amp;IF(AND(EDATE($D82,Milestones!$AA$59)&lt;=AsOfDate,IF($R82=0,$X82,IF(AND($T82&lt;&gt;"",EDATE($D82,Milestones!$AA$59)&gt;=$T82),$W82,IF(AND($S82&lt;&gt;"",EDATE($D82,Milestones!$AA$59)&gt;=$S82),$V82,$U82)))=Milestones!$AB$59),UPPER(TEXT(EDATE($D82,Milestones!$AA$59),"dd mmm yy"))&amp;" "&amp;Milestones!$AB$59&amp;" "&amp;Milestones!$AC$59&amp;";  ",""))</f>
        <v/>
      </c>
      <c r="K82" s="0" t="str">
        <f aca="false">IF(OR($A82="",$D82=""),"",IF(AND(EDATE($D82,Milestones!$AA$60)&lt;=AsOfDate,IF($R82=0,$X82,IF(AND($T82&lt;&gt;"",EDATE($D82,Milestones!$AA$60)&gt;=$T82),$W82,IF(AND($S82&lt;&gt;"",EDATE($D82,Milestones!$AA$60)&gt;=$S82),$V82,$U82)))=Milestones!$AB$60),UPPER(TEXT(EDATE($D82,Milestones!$AA$60),"dd mmm yy"))&amp;" "&amp;Milestones!$AB$60&amp;" "&amp;Milestones!$AC$60&amp;";  ","")&amp;IF(AND(EDATE($D82,Milestones!$AA$61)&lt;=AsOfDate,IF($R82=0,$X82,IF(AND($T82&lt;&gt;"",EDATE($D82,Milestones!$AA$61)&gt;=$T82),$W82,IF(AND($S82&lt;&gt;"",EDATE($D82,Milestones!$AA$61)&gt;=$S82),$V82,$U82)))=Milestones!$AB$61),UPPER(TEXT(EDATE($D82,Milestones!$AA$61),"dd mmm yy"))&amp;" "&amp;Milestones!$AB$61&amp;" "&amp;Milestones!$AC$61&amp;";  ","")&amp;IF(AND(EDATE($D82,Milestones!$AA$62)&lt;=AsOfDate,IF($R82=0,$X82,IF(AND($T82&lt;&gt;"",EDATE($D82,Milestones!$AA$62)&gt;=$T82),$W82,IF(AND($S82&lt;&gt;"",EDATE($D82,Milestones!$AA$62)&gt;=$S82),$V82,$U82)))=Milestones!$AB$62),UPPER(TEXT(EDATE($D82,Milestones!$AA$62),"dd mmm yy"))&amp;" "&amp;Milestones!$AB$62&amp;" "&amp;Milestones!$AC$62&amp;";  ","")&amp;IF(AND(EDATE($D82,Milestones!$AA$63)&lt;=AsOfDate,IF($R82=0,$X82,IF(AND($T82&lt;&gt;"",EDATE($D82,Milestones!$AA$63)&gt;=$T82),$W82,IF(AND($S82&lt;&gt;"",EDATE($D82,Milestones!$AA$63)&gt;=$S82),$V82,$U82)))=Milestones!$AB$63),UPPER(TEXT(EDATE($D82,Milestones!$AA$63),"dd mmm yy"))&amp;" "&amp;Milestones!$AB$63&amp;" "&amp;Milestones!$AC$63&amp;";  ","")&amp;IF(AND(EDATE($D82,Milestones!$AA$64)&lt;=AsOfDate,IF($R82=0,$X82,IF(AND($T82&lt;&gt;"",EDATE($D82,Milestones!$AA$64)&gt;=$T82),$W82,IF(AND($S82&lt;&gt;"",EDATE($D82,Milestones!$AA$64)&gt;=$S82),$V82,$U82)))=Milestones!$AB$64),UPPER(TEXT(EDATE($D82,Milestones!$AA$64),"dd mmm yy"))&amp;" "&amp;Milestones!$AB$64&amp;" "&amp;Milestones!$AC$64&amp;";  ","")&amp;IF(AND(EDATE($D82,Milestones!$AA$65)&lt;=AsOfDate,IF($R82=0,$X82,IF(AND($T82&lt;&gt;"",EDATE($D82,Milestones!$AA$65)&gt;=$T82),$W82,IF(AND($S82&lt;&gt;"",EDATE($D82,Milestones!$AA$65)&gt;=$S82),$V82,$U82)))=Milestones!$AB$65),UPPER(TEXT(EDATE($D82,Milestones!$AA$65),"dd mmm yy"))&amp;" "&amp;Milestones!$AB$65&amp;" "&amp;Milestones!$AC$65&amp;";  ","")&amp;IF(AND(EDATE($D82,Milestones!$AA$66)&lt;=AsOfDate,IF($R82=0,$X82,IF(AND($T82&lt;&gt;"",EDATE($D82,Milestones!$AA$66)&gt;=$T82),$W82,IF(AND($S82&lt;&gt;"",EDATE($D82,Milestones!$AA$66)&gt;=$S82),$V82,$U82)))=Milestones!$AB$66),UPPER(TEXT(EDATE($D82,Milestones!$AA$66),"dd mmm yy"))&amp;" "&amp;Milestones!$AB$66&amp;" "&amp;Milestones!$AC$66&amp;";  ","")&amp;IF(AND(EDATE($D82,Milestones!$AA$67)&lt;=AsOfDate,IF($R82=0,$X82,IF(AND($T82&lt;&gt;"",EDATE($D82,Milestones!$AA$67)&gt;=$T82),$W82,IF(AND($S82&lt;&gt;"",EDATE($D82,Milestones!$AA$67)&gt;=$S82),$V82,$U82)))=Milestones!$AB$67),UPPER(TEXT(EDATE($D82,Milestones!$AA$67),"dd mmm yy"))&amp;" "&amp;Milestones!$AB$67&amp;" "&amp;Milestones!$AC$67&amp;";  ","")&amp;IF(AND(EDATE($D82,Milestones!$AA$68)&lt;=AsOfDate,IF($R82=0,$X82,IF(AND($T82&lt;&gt;"",EDATE($D82,Milestones!$AA$68)&gt;=$T82),$W82,IF(AND($S82&lt;&gt;"",EDATE($D82,Milestones!$AA$68)&gt;=$S82),$V82,$U82)))=Milestones!$AB$68),UPPER(TEXT(EDATE($D82,Milestones!$AA$68),"dd mmm yy"))&amp;" "&amp;Milestones!$AB$68&amp;" "&amp;Milestones!$AC$68&amp;";  ","")&amp;IF(AND(EDATE($D82,Milestones!$AA$69)&lt;=AsOfDate,IF($R82=0,$X82,IF(AND($T82&lt;&gt;"",EDATE($D82,Milestones!$AA$69)&gt;=$T82),$W82,IF(AND($S82&lt;&gt;"",EDATE($D82,Milestones!$AA$69)&gt;=$S82),$V82,$U82)))=Milestones!$AB$69),UPPER(TEXT(EDATE($D82,Milestones!$AA$69),"dd mmm yy"))&amp;" "&amp;Milestones!$AB$69&amp;" "&amp;Milestones!$AC$69&amp;";  ","")&amp;IF(AND(EDATE($D82,Milestones!$AA$70)&lt;=AsOfDate,IF($R82=0,$X82,IF(AND($T82&lt;&gt;"",EDATE($D82,Milestones!$AA$70)&gt;=$T82),$W82,IF(AND($S82&lt;&gt;"",EDATE($D82,Milestones!$AA$70)&gt;=$S82),$V82,$U82)))=Milestones!$AB$70),UPPER(TEXT(EDATE($D82,Milestones!$AA$70),"dd mmm yy"))&amp;" "&amp;Milestones!$AB$70&amp;" "&amp;Milestones!$AC$70&amp;";  ","")&amp;IF(AND(EDATE($D82,Milestones!$AA$71)&lt;=AsOfDate,IF($R82=0,$X82,IF(AND($T82&lt;&gt;"",EDATE($D82,Milestones!$AA$71)&gt;=$T82),$W82,IF(AND($S82&lt;&gt;"",EDATE($D82,Milestones!$AA$71)&gt;=$S82),$V82,$U82)))=Milestones!$AB$71),UPPER(TEXT(EDATE($D82,Milestones!$AA$71),"dd mmm yy"))&amp;" "&amp;Milestones!$AB$71&amp;" "&amp;Milestones!$AC$71&amp;";  ","")&amp;IF(AND(EDATE($D82,Milestones!$AA$72)&lt;=AsOfDate,IF($R82=0,$X82,IF(AND($T82&lt;&gt;"",EDATE($D82,Milestones!$AA$72)&gt;=$T82),$W82,IF(AND($S82&lt;&gt;"",EDATE($D82,Milestones!$AA$72)&gt;=$S82),$V82,$U82)))=Milestones!$AB$72),UPPER(TEXT(EDATE($D82,Milestones!$AA$72),"dd mmm yy"))&amp;" "&amp;Milestones!$AB$72&amp;" "&amp;Milestones!$AC$72&amp;";  ","")&amp;IF(AND(EDATE($D82,Milestones!$AA$73)&lt;=AsOfDate,IF($R82=0,$X82,IF(AND($T82&lt;&gt;"",EDATE($D82,Milestones!$AA$73)&gt;=$T82),$W82,IF(AND($S82&lt;&gt;"",EDATE($D82,Milestones!$AA$73)&gt;=$S82),$V82,$U82)))=Milestones!$AB$73),UPPER(TEXT(EDATE($D82,Milestones!$AA$73),"dd mmm yy"))&amp;" "&amp;Milestones!$AB$73&amp;" "&amp;Milestones!$AC$73&amp;";  ","")&amp;IF(AND(EDATE($D82,Milestones!$AA$74)&lt;=AsOfDate,IF($R82=0,$X82,IF(AND($T82&lt;&gt;"",EDATE($D82,Milestones!$AA$74)&gt;=$T82),$W82,IF(AND($S82&lt;&gt;"",EDATE($D82,Milestones!$AA$74)&gt;=$S82),$V82,$U82)))=Milestones!$AB$74),UPPER(TEXT(EDATE($D82,Milestones!$AA$74),"dd mmm yy"))&amp;" "&amp;Milestones!$AB$74&amp;" "&amp;Milestones!$AC$74&amp;";  ","")&amp;IF(AND(EDATE($D82,Milestones!$AA$75)&lt;=AsOfDate,IF($R82=0,$X82,IF(AND($T82&lt;&gt;"",EDATE($D82,Milestones!$AA$75)&gt;=$T82),$W82,IF(AND($S82&lt;&gt;"",EDATE($D82,Milestones!$AA$75)&gt;=$S82),$V82,$U82)))=Milestones!$AB$75),UPPER(TEXT(EDATE($D82,Milestones!$AA$75),"dd mmm yy"))&amp;" "&amp;Milestones!$AB$75&amp;" "&amp;Milestones!$AC$75&amp;";  ","")&amp;IF(AND(EDATE($D82,Milestones!$AA$76)&lt;=AsOfDate,IF($R82=0,$X82,IF(AND($T82&lt;&gt;"",EDATE($D82,Milestones!$AA$76)&gt;=$T82),$W82,IF(AND($S82&lt;&gt;"",EDATE($D82,Milestones!$AA$76)&gt;=$S82),$V82,$U82)))=Milestones!$AB$76),UPPER(TEXT(EDATE($D82,Milestones!$AA$76),"dd mmm yy"))&amp;" "&amp;Milestones!$AB$76&amp;" "&amp;Milestones!$AC$76&amp;";  ","")&amp;IF(AND(EDATE($D82,Milestones!$AA$77)&lt;=AsOfDate,IF($R82=0,$X82,IF(AND($T82&lt;&gt;"",EDATE($D82,Milestones!$AA$77)&gt;=$T82),$W82,IF(AND($S82&lt;&gt;"",EDATE($D82,Milestones!$AA$77)&gt;=$S82),$V82,$U82)))=Milestones!$AB$77),UPPER(TEXT(EDATE($D82,Milestones!$AA$77),"dd mmm yy"))&amp;" "&amp;Milestones!$AB$77&amp;" "&amp;Milestones!$AC$77&amp;";  ","")&amp;IF(AND(EDATE($D82,Milestones!$AA$78)&lt;=AsOfDate,IF($R82=0,$X82,IF(AND($T82&lt;&gt;"",EDATE($D82,Milestones!$AA$78)&gt;=$T82),$W82,IF(AND($S82&lt;&gt;"",EDATE($D82,Milestones!$AA$78)&gt;=$S82),$V82,$U82)))=Milestones!$AB$78),UPPER(TEXT(EDATE($D82,Milestones!$AA$78),"dd mmm yy"))&amp;" "&amp;Milestones!$AB$78&amp;" "&amp;Milestones!$AC$78&amp;";  ","")&amp;IF(AND(EDATE($D82,Milestones!$AA$79)&lt;=AsOfDate,IF($R82=0,$X82,IF(AND($T82&lt;&gt;"",EDATE($D82,Milestones!$AA$79)&gt;=$T82),$W82,IF(AND($S82&lt;&gt;"",EDATE($D82,Milestones!$AA$79)&gt;=$S82),$V82,$U82)))=Milestones!$AB$79),UPPER(TEXT(EDATE($D82,Milestones!$AA$79),"dd mmm yy"))&amp;" "&amp;Milestones!$AB$79&amp;" "&amp;Milestones!$AC$79&amp;";  ",""))</f>
        <v/>
      </c>
      <c r="L82" s="0" t="str">
        <f aca="false">IF(OR($A82="",$D82=""),"",IF(AND(EDATE($D82,Milestones!$AA$80)&lt;=AsOfDate,IF($R82=0,$X82,IF(AND($T82&lt;&gt;"",EDATE($D82,Milestones!$AA$80)&gt;=$T82),$W82,IF(AND($S82&lt;&gt;"",EDATE($D82,Milestones!$AA$80)&gt;=$S82),$V82,$U82)))=Milestones!$AB$80),UPPER(TEXT(EDATE($D82,Milestones!$AA$80),"dd mmm yy"))&amp;" "&amp;Milestones!$AB$80&amp;" "&amp;Milestones!$AC$80&amp;";  ","")&amp;IF(AND(EDATE($D82,Milestones!$AA$81)&lt;=AsOfDate,IF($R82=0,$X82,IF(AND($T82&lt;&gt;"",EDATE($D82,Milestones!$AA$81)&gt;=$T82),$W82,IF(AND($S82&lt;&gt;"",EDATE($D82,Milestones!$AA$81)&gt;=$S82),$V82,$U82)))=Milestones!$AB$81),UPPER(TEXT(EDATE($D82,Milestones!$AA$81),"dd mmm yy"))&amp;" "&amp;Milestones!$AB$81&amp;" "&amp;Milestones!$AC$81&amp;";  ","")&amp;IF(AND(EDATE($D82,Milestones!$AA$82)&lt;=AsOfDate,IF($R82=0,$X82,IF(AND($T82&lt;&gt;"",EDATE($D82,Milestones!$AA$82)&gt;=$T82),$W82,IF(AND($S82&lt;&gt;"",EDATE($D82,Milestones!$AA$82)&gt;=$S82),$V82,$U82)))=Milestones!$AB$82),UPPER(TEXT(EDATE($D82,Milestones!$AA$82),"dd mmm yy"))&amp;" "&amp;Milestones!$AB$82&amp;" "&amp;Milestones!$AC$82&amp;";  ","")&amp;IF(AND(EDATE($D82,Milestones!$AA$83)&lt;=AsOfDate,IF($R82=0,$X82,IF(AND($T82&lt;&gt;"",EDATE($D82,Milestones!$AA$83)&gt;=$T82),$W82,IF(AND($S82&lt;&gt;"",EDATE($D82,Milestones!$AA$83)&gt;=$S82),$V82,$U82)))=Milestones!$AB$83),UPPER(TEXT(EDATE($D82,Milestones!$AA$83),"dd mmm yy"))&amp;" "&amp;Milestones!$AB$83&amp;" "&amp;Milestones!$AC$83&amp;";  ","")&amp;IF(AND(EDATE($D82,Milestones!$AA$84)&lt;=AsOfDate,IF($R82=0,$X82,IF(AND($T82&lt;&gt;"",EDATE($D82,Milestones!$AA$84)&gt;=$T82),$W82,IF(AND($S82&lt;&gt;"",EDATE($D82,Milestones!$AA$84)&gt;=$S82),$V82,$U82)))=Milestones!$AB$84),UPPER(TEXT(EDATE($D82,Milestones!$AA$84),"dd mmm yy"))&amp;" "&amp;Milestones!$AB$84&amp;" "&amp;Milestones!$AC$84&amp;";  ","")&amp;IF(AND(EDATE($D82,Milestones!$AA$85)&lt;=AsOfDate,IF($R82=0,$X82,IF(AND($T82&lt;&gt;"",EDATE($D82,Milestones!$AA$85)&gt;=$T82),$W82,IF(AND($S82&lt;&gt;"",EDATE($D82,Milestones!$AA$85)&gt;=$S82),$V82,$U82)))=Milestones!$AB$85),UPPER(TEXT(EDATE($D82,Milestones!$AA$85),"dd mmm yy"))&amp;" "&amp;Milestones!$AB$85&amp;" "&amp;Milestones!$AC$85&amp;";  ","")&amp;IF(AND(EDATE($D82,Milestones!$AA$86)&lt;=AsOfDate,IF($R82=0,$X82,IF(AND($T82&lt;&gt;"",EDATE($D82,Milestones!$AA$86)&gt;=$T82),$W82,IF(AND($S82&lt;&gt;"",EDATE($D82,Milestones!$AA$86)&gt;=$S82),$V82,$U82)))=Milestones!$AB$86),UPPER(TEXT(EDATE($D82,Milestones!$AA$86),"dd mmm yy"))&amp;" "&amp;Milestones!$AB$86&amp;" "&amp;Milestones!$AC$86&amp;";  ","")&amp;IF(AND(EDATE($D82,Milestones!$AA$87)&lt;=AsOfDate,IF($R82=0,$X82,IF(AND($T82&lt;&gt;"",EDATE($D82,Milestones!$AA$87)&gt;=$T82),$W82,IF(AND($S82&lt;&gt;"",EDATE($D82,Milestones!$AA$87)&gt;=$S82),$V82,$U82)))=Milestones!$AB$87),UPPER(TEXT(EDATE($D82,Milestones!$AA$87),"dd mmm yy"))&amp;" "&amp;Milestones!$AB$87&amp;" "&amp;Milestones!$AC$87&amp;";  ","")&amp;IF(AND(EDATE($D82,Milestones!$AA$88)&lt;=AsOfDate,IF($R82=0,$X82,IF(AND($T82&lt;&gt;"",EDATE($D82,Milestones!$AA$88)&gt;=$T82),$W82,IF(AND($S82&lt;&gt;"",EDATE($D82,Milestones!$AA$88)&gt;=$S82),$V82,$U82)))=Milestones!$AB$88),UPPER(TEXT(EDATE($D82,Milestones!$AA$88),"dd mmm yy"))&amp;" "&amp;Milestones!$AB$88&amp;" "&amp;Milestones!$AC$88&amp;";  ","")&amp;IF(AND(EDATE($D82,Milestones!$AA$89)&lt;=AsOfDate,IF($R82=0,$X82,IF(AND($T82&lt;&gt;"",EDATE($D82,Milestones!$AA$89)&gt;=$T82),$W82,IF(AND($S82&lt;&gt;"",EDATE($D82,Milestones!$AA$89)&gt;=$S82),$V82,$U82)))=Milestones!$AB$89),UPPER(TEXT(EDATE($D82,Milestones!$AA$89),"dd mmm yy"))&amp;" "&amp;Milestones!$AB$89&amp;" "&amp;Milestones!$AC$89&amp;";  ","")&amp;IF(AND(EDATE($D82,Milestones!$AA$90)&lt;=AsOfDate,IF($R82=0,$X82,IF(AND($T82&lt;&gt;"",EDATE($D82,Milestones!$AA$90)&gt;=$T82),$W82,IF(AND($S82&lt;&gt;"",EDATE($D82,Milestones!$AA$90)&gt;=$S82),$V82,$U82)))=Milestones!$AB$90),UPPER(TEXT(EDATE($D82,Milestones!$AA$90),"dd mmm yy"))&amp;" "&amp;Milestones!$AB$90&amp;" "&amp;Milestones!$AC$90&amp;";  ","")&amp;IF(AND(EDATE($D82,Milestones!$AA$91)&lt;=AsOfDate,IF($R82=0,$X82,IF(AND($T82&lt;&gt;"",EDATE($D82,Milestones!$AA$91)&gt;=$T82),$W82,IF(AND($S82&lt;&gt;"",EDATE($D82,Milestones!$AA$91)&gt;=$S82),$V82,$U82)))=Milestones!$AB$91),UPPER(TEXT(EDATE($D82,Milestones!$AA$91),"dd mmm yy"))&amp;" "&amp;Milestones!$AB$91&amp;" "&amp;Milestones!$AC$91&amp;";  ","")&amp;IF(AND(EDATE($D82,Milestones!$AA$92)&lt;=AsOfDate,IF($R82=0,$X82,IF(AND($T82&lt;&gt;"",EDATE($D82,Milestones!$AA$92)&gt;=$T82),$W82,IF(AND($S82&lt;&gt;"",EDATE($D82,Milestones!$AA$92)&gt;=$S82),$V82,$U82)))=Milestones!$AB$92),UPPER(TEXT(EDATE($D82,Milestones!$AA$92),"dd mmm yy"))&amp;" "&amp;Milestones!$AB$92&amp;" "&amp;Milestones!$AC$92&amp;";  ","")&amp;IF(AND(EDATE($D82,Milestones!$AA$93)&lt;=AsOfDate,IF($R82=0,$X82,IF(AND($T82&lt;&gt;"",EDATE($D82,Milestones!$AA$93)&gt;=$T82),$W82,IF(AND($S82&lt;&gt;"",EDATE($D82,Milestones!$AA$93)&gt;=$S82),$V82,$U82)))=Milestones!$AB$93),UPPER(TEXT(EDATE($D82,Milestones!$AA$93),"dd mmm yy"))&amp;" "&amp;Milestones!$AB$93&amp;" "&amp;Milestones!$AC$93&amp;";  ","")&amp;IF(AND(EDATE($D82,Milestones!$AA$94)&lt;=AsOfDate,IF($R82=0,$X82,IF(AND($T82&lt;&gt;"",EDATE($D82,Milestones!$AA$94)&gt;=$T82),$W82,IF(AND($S82&lt;&gt;"",EDATE($D82,Milestones!$AA$94)&gt;=$S82),$V82,$U82)))=Milestones!$AB$94),UPPER(TEXT(EDATE($D82,Milestones!$AA$94),"dd mmm yy"))&amp;" "&amp;Milestones!$AB$94&amp;" "&amp;Milestones!$AC$94&amp;";  ","")&amp;IF(AND(EDATE($D82,Milestones!$AA$95)&lt;=AsOfDate,IF($R82=0,$X82,IF(AND($T82&lt;&gt;"",EDATE($D82,Milestones!$AA$95)&gt;=$T82),$W82,IF(AND($S82&lt;&gt;"",EDATE($D82,Milestones!$AA$95)&gt;=$S82),$V82,$U82)))=Milestones!$AB$95),UPPER(TEXT(EDATE($D82,Milestones!$AA$95),"dd mmm yy"))&amp;" "&amp;Milestones!$AB$95&amp;" "&amp;Milestones!$AC$95&amp;";  ","")&amp;IF(AND(EDATE($D82,Milestones!$AA$96)&lt;=AsOfDate,IF($R82=0,$X82,IF(AND($T82&lt;&gt;"",EDATE($D82,Milestones!$AA$96)&gt;=$T82),$W82,IF(AND($S82&lt;&gt;"",EDATE($D82,Milestones!$AA$96)&gt;=$S82),$V82,$U82)))=Milestones!$AB$96),UPPER(TEXT(EDATE($D82,Milestones!$AA$96),"dd mmm yy"))&amp;" "&amp;Milestones!$AB$96&amp;" "&amp;Milestones!$AC$96&amp;";  ","")&amp;IF(AND(EDATE($D82,Milestones!$AA$97)&lt;=AsOfDate,IF($R82=0,$X82,IF(AND($T82&lt;&gt;"",EDATE($D82,Milestones!$AA$97)&gt;=$T82),$W82,IF(AND($S82&lt;&gt;"",EDATE($D82,Milestones!$AA$97)&gt;=$S82),$V82,$U82)))=Milestones!$AB$97),UPPER(TEXT(EDATE($D82,Milestones!$AA$97),"dd mmm yy"))&amp;" "&amp;Milestones!$AB$97&amp;" "&amp;Milestones!$AC$97&amp;";  ","")&amp;IF(AND(EDATE($D82,Milestones!$AA$98)&lt;=AsOfDate,IF($R82=0,$X82,IF(AND($T82&lt;&gt;"",EDATE($D82,Milestones!$AA$98)&gt;=$T82),$W82,IF(AND($S82&lt;&gt;"",EDATE($D82,Milestones!$AA$98)&gt;=$S82),$V82,$U82)))=Milestones!$AB$98),UPPER(TEXT(EDATE($D82,Milestones!$AA$98),"dd mmm yy"))&amp;" "&amp;Milestones!$AB$98&amp;" "&amp;Milestones!$AC$98&amp;";  ","")&amp;IF(AND(EDATE($D82,Milestones!$AA$99)&lt;=AsOfDate,IF($R82=0,$X82,IF(AND($T82&lt;&gt;"",EDATE($D82,Milestones!$AA$99)&gt;=$T82),$W82,IF(AND($S82&lt;&gt;"",EDATE($D82,Milestones!$AA$99)&gt;=$S82),$V82,$U82)))=Milestones!$AB$99),UPPER(TEXT(EDATE($D82,Milestones!$AA$99),"dd mmm yy"))&amp;" "&amp;Milestones!$AB$99&amp;" "&amp;Milestones!$AC$99&amp;";  ",""))</f>
        <v/>
      </c>
      <c r="M82" s="0" t="str">
        <f aca="false">IF(OR($A82="",$D82=""),"",IF(AND(EDATE($D82,Milestones!$AA$100)&lt;=AsOfDate,IF($R82=0,$X82,IF(AND($T82&lt;&gt;"",EDATE($D82,Milestones!$AA$100)&gt;=$T82),$W82,IF(AND($S82&lt;&gt;"",EDATE($D82,Milestones!$AA$100)&gt;=$S82),$V82,$U82)))=Milestones!$AB$100),UPPER(TEXT(EDATE($D82,Milestones!$AA$100),"dd mmm yy"))&amp;" "&amp;Milestones!$AB$100&amp;" "&amp;Milestones!$AC$100&amp;";  ","")&amp;IF(AND(EDATE($D82,Milestones!$AA$101)&lt;=AsOfDate,IF($R82=0,$X82,IF(AND($T82&lt;&gt;"",EDATE($D82,Milestones!$AA$101)&gt;=$T82),$W82,IF(AND($S82&lt;&gt;"",EDATE($D82,Milestones!$AA$101)&gt;=$S82),$V82,$U82)))=Milestones!$AB$101),UPPER(TEXT(EDATE($D82,Milestones!$AA$101),"dd mmm yy"))&amp;" "&amp;Milestones!$AB$101&amp;" "&amp;Milestones!$AC$101&amp;";  ","")&amp;IF(AND(EDATE($D82,Milestones!$AA$102)&lt;=AsOfDate,IF($R82=0,$X82,IF(AND($T82&lt;&gt;"",EDATE($D82,Milestones!$AA$102)&gt;=$T82),$W82,IF(AND($S82&lt;&gt;"",EDATE($D82,Milestones!$AA$102)&gt;=$S82),$V82,$U82)))=Milestones!$AB$102),UPPER(TEXT(EDATE($D82,Milestones!$AA$102),"dd mmm yy"))&amp;" "&amp;Milestones!$AB$102&amp;" "&amp;Milestones!$AC$102&amp;";  ","")&amp;IF(AND(EDATE($D82,Milestones!$AA$103)&lt;=AsOfDate,IF($R82=0,$X82,IF(AND($T82&lt;&gt;"",EDATE($D82,Milestones!$AA$103)&gt;=$T82),$W82,IF(AND($S82&lt;&gt;"",EDATE($D82,Milestones!$AA$103)&gt;=$S82),$V82,$U82)))=Milestones!$AB$103),UPPER(TEXT(EDATE($D82,Milestones!$AA$103),"dd mmm yy"))&amp;" "&amp;Milestones!$AB$103&amp;" "&amp;Milestones!$AC$103&amp;";  ","")&amp;IF(AND(EDATE($D82,Milestones!$AA$104)&lt;=AsOfDate,IF($R82=0,$X82,IF(AND($T82&lt;&gt;"",EDATE($D82,Milestones!$AA$104)&gt;=$T82),$W82,IF(AND($S82&lt;&gt;"",EDATE($D82,Milestones!$AA$104)&gt;=$S82),$V82,$U82)))=Milestones!$AB$104),UPPER(TEXT(EDATE($D82,Milestones!$AA$104),"dd mmm yy"))&amp;" "&amp;Milestones!$AB$104&amp;" "&amp;Milestones!$AC$104&amp;";  ","")&amp;IF(AND(EDATE($D82,Milestones!$AA$105)&lt;=AsOfDate,IF($R82=0,$X82,IF(AND($T82&lt;&gt;"",EDATE($D82,Milestones!$AA$105)&gt;=$T82),$W82,IF(AND($S82&lt;&gt;"",EDATE($D82,Milestones!$AA$105)&gt;=$S82),$V82,$U82)))=Milestones!$AB$105),UPPER(TEXT(EDATE($D82,Milestones!$AA$105),"dd mmm yy"))&amp;" "&amp;Milestones!$AB$105&amp;" "&amp;Milestones!$AC$105&amp;";  ","")&amp;IF(AND(EDATE($D82,Milestones!$AA$106)&lt;=AsOfDate,IF($R82=0,$X82,IF(AND($T82&lt;&gt;"",EDATE($D82,Milestones!$AA$106)&gt;=$T82),$W82,IF(AND($S82&lt;&gt;"",EDATE($D82,Milestones!$AA$106)&gt;=$S82),$V82,$U82)))=Milestones!$AB$106),UPPER(TEXT(EDATE($D82,Milestones!$AA$106),"dd mmm yy"))&amp;" "&amp;Milestones!$AB$106&amp;" "&amp;Milestones!$AC$106&amp;";  ","")&amp;IF(AND(EDATE($D82,Milestones!$AA$107)&lt;=AsOfDate,IF($R82=0,$X82,IF(AND($T82&lt;&gt;"",EDATE($D82,Milestones!$AA$107)&gt;=$T82),$W82,IF(AND($S82&lt;&gt;"",EDATE($D82,Milestones!$AA$107)&gt;=$S82),$V82,$U82)))=Milestones!$AB$107),UPPER(TEXT(EDATE($D82,Milestones!$AA$107),"dd mmm yy"))&amp;" "&amp;Milestones!$AB$107&amp;" "&amp;Milestones!$AC$107&amp;";  ","")&amp;IF(AND(EDATE($D82,Milestones!$AA$108)&lt;=AsOfDate,IF($R82=0,$X82,IF(AND($T82&lt;&gt;"",EDATE($D82,Milestones!$AA$108)&gt;=$T82),$W82,IF(AND($S82&lt;&gt;"",EDATE($D82,Milestones!$AA$108)&gt;=$S82),$V82,$U82)))=Milestones!$AB$108),UPPER(TEXT(EDATE($D82,Milestones!$AA$108),"dd mmm yy"))&amp;" "&amp;Milestones!$AB$108&amp;" "&amp;Milestones!$AC$108&amp;";  ","")&amp;IF(AND(EDATE($D82,Milestones!$AA$109)&lt;=AsOfDate,IF($R82=0,$X82,IF(AND($T82&lt;&gt;"",EDATE($D82,Milestones!$AA$109)&gt;=$T82),$W82,IF(AND($S82&lt;&gt;"",EDATE($D82,Milestones!$AA$109)&gt;=$S82),$V82,$U82)))=Milestones!$AB$109),UPPER(TEXT(EDATE($D82,Milestones!$AA$109),"dd mmm yy"))&amp;" "&amp;Milestones!$AB$109&amp;" "&amp;Milestones!$AC$109&amp;";  ","")&amp;IF(AND(EDATE($D82,Milestones!$AA$110)&lt;=AsOfDate,IF($R82=0,$X82,IF(AND($T82&lt;&gt;"",EDATE($D82,Milestones!$AA$110)&gt;=$T82),$W82,IF(AND($S82&lt;&gt;"",EDATE($D82,Milestones!$AA$110)&gt;=$S82),$V82,$U82)))=Milestones!$AB$110),UPPER(TEXT(EDATE($D82,Milestones!$AA$110),"dd mmm yy"))&amp;" "&amp;Milestones!$AB$110&amp;" "&amp;Milestones!$AC$110&amp;";  ","")&amp;IF(AND(EDATE($D82,Milestones!$AA$111)&lt;=AsOfDate,IF($R82=0,$X82,IF(AND($T82&lt;&gt;"",EDATE($D82,Milestones!$AA$111)&gt;=$T82),$W82,IF(AND($S82&lt;&gt;"",EDATE($D82,Milestones!$AA$111)&gt;=$S82),$V82,$U82)))=Milestones!$AB$111),UPPER(TEXT(EDATE($D82,Milestones!$AA$111),"dd mmm yy"))&amp;" "&amp;Milestones!$AB$111&amp;" "&amp;Milestones!$AC$111&amp;";  ","")&amp;IF(AND(EDATE($D82,Milestones!$AA$112)&lt;=AsOfDate,IF($R82=0,$X82,IF(AND($T82&lt;&gt;"",EDATE($D82,Milestones!$AA$112)&gt;=$T82),$W82,IF(AND($S82&lt;&gt;"",EDATE($D82,Milestones!$AA$112)&gt;=$S82),$V82,$U82)))=Milestones!$AB$112),UPPER(TEXT(EDATE($D82,Milestones!$AA$112),"dd mmm yy"))&amp;" "&amp;Milestones!$AB$112&amp;" "&amp;Milestones!$AC$112&amp;";  ","")&amp;IF(AND(EDATE($D82,Milestones!$AA$113)&lt;=AsOfDate,IF($R82=0,$X82,IF(AND($T82&lt;&gt;"",EDATE($D82,Milestones!$AA$113)&gt;=$T82),$W82,IF(AND($S82&lt;&gt;"",EDATE($D82,Milestones!$AA$113)&gt;=$S82),$V82,$U82)))=Milestones!$AB$113),UPPER(TEXT(EDATE($D82,Milestones!$AA$113),"dd mmm yy"))&amp;" "&amp;Milestones!$AB$113&amp;" "&amp;Milestones!$AC$113&amp;";  ","")&amp;IF(AND(EDATE($D82,Milestones!$AA$114)&lt;=AsOfDate,IF($R82=0,$X82,IF(AND($T82&lt;&gt;"",EDATE($D82,Milestones!$AA$114)&gt;=$T82),$W82,IF(AND($S82&lt;&gt;"",EDATE($D82,Milestones!$AA$114)&gt;=$S82),$V82,$U82)))=Milestones!$AB$114),UPPER(TEXT(EDATE($D82,Milestones!$AA$114),"dd mmm yy"))&amp;" "&amp;Milestones!$AB$114&amp;" "&amp;Milestones!$AC$114&amp;";  ","")&amp;IF(AND(EDATE($D82,Milestones!$AA$115)&lt;=AsOfDate,IF($R82=0,$X82,IF(AND($T82&lt;&gt;"",EDATE($D82,Milestones!$AA$115)&gt;=$T82),$W82,IF(AND($S82&lt;&gt;"",EDATE($D82,Milestones!$AA$115)&gt;=$S82),$V82,$U82)))=Milestones!$AB$115),UPPER(TEXT(EDATE($D82,Milestones!$AA$115),"dd mmm yy"))&amp;" "&amp;Milestones!$AB$115&amp;" "&amp;Milestones!$AC$115&amp;";  ","")&amp;IF(AND(EDATE($D82,Milestones!$AA$116)&lt;=AsOfDate,IF($R82=0,$X82,IF(AND($T82&lt;&gt;"",EDATE($D82,Milestones!$AA$116)&gt;=$T82),$W82,IF(AND($S82&lt;&gt;"",EDATE($D82,Milestones!$AA$116)&gt;=$S82),$V82,$U82)))=Milestones!$AB$116),UPPER(TEXT(EDATE($D82,Milestones!$AA$116),"dd mmm yy"))&amp;" "&amp;Milestones!$AB$116&amp;" "&amp;Milestones!$AC$116&amp;";  ","")&amp;IF(AND(EDATE($D82,Milestones!$AA$117)&lt;=AsOfDate,IF($R82=0,$X82,IF(AND($T82&lt;&gt;"",EDATE($D82,Milestones!$AA$117)&gt;=$T82),$W82,IF(AND($S82&lt;&gt;"",EDATE($D82,Milestones!$AA$117)&gt;=$S82),$V82,$U82)))=Milestones!$AB$117),UPPER(TEXT(EDATE($D82,Milestones!$AA$117),"dd mmm yy"))&amp;" "&amp;Milestones!$AB$117&amp;" "&amp;Milestones!$AC$117&amp;";  ","")&amp;IF(AND(EDATE($D82,Milestones!$AA$118)&lt;=AsOfDate,IF($R82=0,$X82,IF(AND($T82&lt;&gt;"",EDATE($D82,Milestones!$AA$118)&gt;=$T82),$W82,IF(AND($S82&lt;&gt;"",EDATE($D82,Milestones!$AA$118)&gt;=$S82),$V82,$U82)))=Milestones!$AB$118),UPPER(TEXT(EDATE($D82,Milestones!$AA$118),"dd mmm yy"))&amp;" "&amp;Milestones!$AB$118&amp;" "&amp;Milestones!$AC$118&amp;";  ","")&amp;IF(AND(EDATE($D82,Milestones!$AA$119)&lt;=AsOfDate,IF($R82=0,$X82,IF(AND($T82&lt;&gt;"",EDATE($D82,Milestones!$AA$119)&gt;=$T82),$W82,IF(AND($S82&lt;&gt;"",EDATE($D82,Milestones!$AA$119)&gt;=$S82),$V82,$U82)))=Milestones!$AB$119),UPPER(TEXT(EDATE($D82,Milestones!$AA$119),"dd mmm yy"))&amp;" "&amp;Milestones!$AB$119&amp;" "&amp;Milestones!$AC$119&amp;";  ",""))</f>
        <v/>
      </c>
      <c r="N82" s="0" t="str">
        <f aca="false">IF(OR($A82="",$D82=""),"",IF(AND(EDATE($D82,Milestones!$AA$120)&lt;=AsOfDate,IF($R82=0,$X82,IF(AND($T82&lt;&gt;"",EDATE($D82,Milestones!$AA$120)&gt;=$T82),$W82,IF(AND($S82&lt;&gt;"",EDATE($D82,Milestones!$AA$120)&gt;=$S82),$V82,$U82)))=Milestones!$AB$120),UPPER(TEXT(EDATE($D82,Milestones!$AA$120),"dd mmm yy"))&amp;" "&amp;Milestones!$AB$120&amp;" "&amp;Milestones!$AC$120&amp;";  ","")&amp;IF(AND(EDATE($D82,Milestones!$AA$121)&lt;=AsOfDate,IF($R82=0,$X82,IF(AND($T82&lt;&gt;"",EDATE($D82,Milestones!$AA$121)&gt;=$T82),$W82,IF(AND($S82&lt;&gt;"",EDATE($D82,Milestones!$AA$121)&gt;=$S82),$V82,$U82)))=Milestones!$AB$121),UPPER(TEXT(EDATE($D82,Milestones!$AA$121),"dd mmm yy"))&amp;" "&amp;Milestones!$AB$121&amp;" "&amp;Milestones!$AC$121&amp;";  ","")&amp;IF(AND(EDATE($D82,Milestones!$AA$122)&lt;=AsOfDate,IF($R82=0,$X82,IF(AND($T82&lt;&gt;"",EDATE($D82,Milestones!$AA$122)&gt;=$T82),$W82,IF(AND($S82&lt;&gt;"",EDATE($D82,Milestones!$AA$122)&gt;=$S82),$V82,$U82)))=Milestones!$AB$122),UPPER(TEXT(EDATE($D82,Milestones!$AA$122),"dd mmm yy"))&amp;" "&amp;Milestones!$AB$122&amp;" "&amp;Milestones!$AC$122&amp;";  ","")&amp;IF(AND(EDATE($D82,Milestones!$AA$123)&lt;=AsOfDate,IF($R82=0,$X82,IF(AND($T82&lt;&gt;"",EDATE($D82,Milestones!$AA$123)&gt;=$T82),$W82,IF(AND($S82&lt;&gt;"",EDATE($D82,Milestones!$AA$123)&gt;=$S82),$V82,$U82)))=Milestones!$AB$123),UPPER(TEXT(EDATE($D82,Milestones!$AA$123),"dd mmm yy"))&amp;" "&amp;Milestones!$AB$123&amp;" "&amp;Milestones!$AC$123&amp;";  ","")&amp;IF(AND(EDATE($D82,Milestones!$AA$124)&lt;=AsOfDate,IF($R82=0,$X82,IF(AND($T82&lt;&gt;"",EDATE($D82,Milestones!$AA$124)&gt;=$T82),$W82,IF(AND($S82&lt;&gt;"",EDATE($D82,Milestones!$AA$124)&gt;=$S82),$V82,$U82)))=Milestones!$AB$124),UPPER(TEXT(EDATE($D82,Milestones!$AA$124),"dd mmm yy"))&amp;" "&amp;Milestones!$AB$124&amp;" "&amp;Milestones!$AC$124&amp;";  ","")&amp;IF(AND(EDATE($D82,Milestones!$AA$125)&lt;=AsOfDate,IF($R82=0,$X82,IF(AND($T82&lt;&gt;"",EDATE($D82,Milestones!$AA$125)&gt;=$T82),$W82,IF(AND($S82&lt;&gt;"",EDATE($D82,Milestones!$AA$125)&gt;=$S82),$V82,$U82)))=Milestones!$AB$125),UPPER(TEXT(EDATE($D82,Milestones!$AA$125),"dd mmm yy"))&amp;" "&amp;Milestones!$AB$125&amp;" "&amp;Milestones!$AC$125&amp;";  ","")&amp;IF(AND(EDATE($D82,Milestones!$AA$126)&lt;=AsOfDate,IF($R82=0,$X82,IF(AND($T82&lt;&gt;"",EDATE($D82,Milestones!$AA$126)&gt;=$T82),$W82,IF(AND($S82&lt;&gt;"",EDATE($D82,Milestones!$AA$126)&gt;=$S82),$V82,$U82)))=Milestones!$AB$126),UPPER(TEXT(EDATE($D82,Milestones!$AA$126),"dd mmm yy"))&amp;" "&amp;Milestones!$AB$126&amp;" "&amp;Milestones!$AC$126&amp;";  ","")&amp;IF(AND(EDATE($D82,Milestones!$AA$127)&lt;=AsOfDate,IF($R82=0,$X82,IF(AND($T82&lt;&gt;"",EDATE($D82,Milestones!$AA$127)&gt;=$T82),$W82,IF(AND($S82&lt;&gt;"",EDATE($D82,Milestones!$AA$127)&gt;=$S82),$V82,$U82)))=Milestones!$AB$127),UPPER(TEXT(EDATE($D82,Milestones!$AA$127),"dd mmm yy"))&amp;" "&amp;Milestones!$AB$127&amp;" "&amp;Milestones!$AC$127&amp;";  ","")&amp;IF(AND(EDATE($D82,Milestones!$AA$128)&lt;=AsOfDate,IF($R82=0,$X82,IF(AND($T82&lt;&gt;"",EDATE($D82,Milestones!$AA$128)&gt;=$T82),$W82,IF(AND($S82&lt;&gt;"",EDATE($D82,Milestones!$AA$128)&gt;=$S82),$V82,$U82)))=Milestones!$AB$128),UPPER(TEXT(EDATE($D82,Milestones!$AA$128),"dd mmm yy"))&amp;" "&amp;Milestones!$AB$128&amp;" "&amp;Milestones!$AC$128&amp;";  ","")&amp;IF(AND(EDATE($D82,Milestones!$AA$129)&lt;=AsOfDate,IF($R82=0,$X82,IF(AND($T82&lt;&gt;"",EDATE($D82,Milestones!$AA$129)&gt;=$T82),$W82,IF(AND($S82&lt;&gt;"",EDATE($D82,Milestones!$AA$129)&gt;=$S82),$V82,$U82)))=Milestones!$AB$129),UPPER(TEXT(EDATE($D82,Milestones!$AA$129),"dd mmm yy"))&amp;" "&amp;Milestones!$AB$129&amp;" "&amp;Milestones!$AC$129&amp;";  ","")&amp;IF(AND(EDATE($D82,Milestones!$AA$130)&lt;=AsOfDate,IF($R82=0,$X82,IF(AND($T82&lt;&gt;"",EDATE($D82,Milestones!$AA$130)&gt;=$T82),$W82,IF(AND($S82&lt;&gt;"",EDATE($D82,Milestones!$AA$130)&gt;=$S82),$V82,$U82)))=Milestones!$AB$130),UPPER(TEXT(EDATE($D82,Milestones!$AA$130),"dd mmm yy"))&amp;" "&amp;Milestones!$AB$130&amp;" "&amp;Milestones!$AC$130&amp;";  ","")&amp;IF(AND(EDATE($D82,Milestones!$AA$131)&lt;=AsOfDate,IF($R82=0,$X82,IF(AND($T82&lt;&gt;"",EDATE($D82,Milestones!$AA$131)&gt;=$T82),$W82,IF(AND($S82&lt;&gt;"",EDATE($D82,Milestones!$AA$131)&gt;=$S82),$V82,$U82)))=Milestones!$AB$131),UPPER(TEXT(EDATE($D82,Milestones!$AA$131),"dd mmm yy"))&amp;" "&amp;Milestones!$AB$131&amp;" "&amp;Milestones!$AC$131&amp;";  ","")&amp;IF(AND(EDATE($D82,Milestones!$AA$132)&lt;=AsOfDate,IF($R82=0,$X82,IF(AND($T82&lt;&gt;"",EDATE($D82,Milestones!$AA$132)&gt;=$T82),$W82,IF(AND($S82&lt;&gt;"",EDATE($D82,Milestones!$AA$132)&gt;=$S82),$V82,$U82)))=Milestones!$AB$132),UPPER(TEXT(EDATE($D82,Milestones!$AA$132),"dd mmm yy"))&amp;" "&amp;Milestones!$AB$132&amp;" "&amp;Milestones!$AC$132&amp;";  ","")&amp;IF(AND(EDATE($D82,Milestones!$AA$133)&lt;=AsOfDate,IF($R82=0,$X82,IF(AND($T82&lt;&gt;"",EDATE($D82,Milestones!$AA$133)&gt;=$T82),$W82,IF(AND($S82&lt;&gt;"",EDATE($D82,Milestones!$AA$133)&gt;=$S82),$V82,$U82)))=Milestones!$AB$133),UPPER(TEXT(EDATE($D82,Milestones!$AA$133),"dd mmm yy"))&amp;" "&amp;Milestones!$AB$133&amp;" "&amp;Milestones!$AC$133&amp;";  ","")&amp;IF(AND(EDATE($D82,Milestones!$AA$134)&lt;=AsOfDate,IF($R82=0,$X82,IF(AND($T82&lt;&gt;"",EDATE($D82,Milestones!$AA$134)&gt;=$T82),$W82,IF(AND($S82&lt;&gt;"",EDATE($D82,Milestones!$AA$134)&gt;=$S82),$V82,$U82)))=Milestones!$AB$134),UPPER(TEXT(EDATE($D82,Milestones!$AA$134),"dd mmm yy"))&amp;" "&amp;Milestones!$AB$134&amp;" "&amp;Milestones!$AC$134&amp;";  ","")&amp;IF(AND(EDATE($D82,Milestones!$AA$135)&lt;=AsOfDate,IF($R82=0,$X82,IF(AND($T82&lt;&gt;"",EDATE($D82,Milestones!$AA$135)&gt;=$T82),$W82,IF(AND($S82&lt;&gt;"",EDATE($D82,Milestones!$AA$135)&gt;=$S82),$V82,$U82)))=Milestones!$AB$135),UPPER(TEXT(EDATE($D82,Milestones!$AA$135),"dd mmm yy"))&amp;" "&amp;Milestones!$AB$135&amp;" "&amp;Milestones!$AC$135&amp;";  ","")&amp;IF(AND(EDATE($D82,Milestones!$AA$136)&lt;=AsOfDate,IF($R82=0,$X82,IF(AND($T82&lt;&gt;"",EDATE($D82,Milestones!$AA$136)&gt;=$T82),$W82,IF(AND($S82&lt;&gt;"",EDATE($D82,Milestones!$AA$136)&gt;=$S82),$V82,$U82)))=Milestones!$AB$136),UPPER(TEXT(EDATE($D82,Milestones!$AA$136),"dd mmm yy"))&amp;" "&amp;Milestones!$AB$136&amp;" "&amp;Milestones!$AC$136&amp;";  ","")&amp;IF(AND(EDATE($D82,Milestones!$AA$137)&lt;=AsOfDate,IF($R82=0,$X82,IF(AND($T82&lt;&gt;"",EDATE($D82,Milestones!$AA$137)&gt;=$T82),$W82,IF(AND($S82&lt;&gt;"",EDATE($D82,Milestones!$AA$137)&gt;=$S82),$V82,$U82)))=Milestones!$AB$137),UPPER(TEXT(EDATE($D82,Milestones!$AA$137),"dd mmm yy"))&amp;" "&amp;Milestones!$AB$137&amp;" "&amp;Milestones!$AC$137&amp;";  ","")&amp;IF(AND(EDATE($D82,Milestones!$AA$138)&lt;=AsOfDate,IF($R82=0,$X82,IF(AND($T82&lt;&gt;"",EDATE($D82,Milestones!$AA$138)&gt;=$T82),$W82,IF(AND($S82&lt;&gt;"",EDATE($D82,Milestones!$AA$138)&gt;=$S82),$V82,$U82)))=Milestones!$AB$138),UPPER(TEXT(EDATE($D82,Milestones!$AA$138),"dd mmm yy"))&amp;" "&amp;Milestones!$AB$138&amp;" "&amp;Milestones!$AC$138&amp;";  ","")&amp;IF(AND(EDATE($D82,Milestones!$AA$139)&lt;=AsOfDate,IF($R82=0,$X82,IF(AND($T82&lt;&gt;"",EDATE($D82,Milestones!$AA$139)&gt;=$T82),$W82,IF(AND($S82&lt;&gt;"",EDATE($D82,Milestones!$AA$139)&gt;=$S82),$V82,$U82)))=Milestones!$AB$139),UPPER(TEXT(EDATE($D82,Milestones!$AA$139),"dd mmm yy"))&amp;" "&amp;Milestones!$AB$139&amp;" "&amp;Milestones!$AC$139&amp;";  ",""))</f>
        <v/>
      </c>
      <c r="O82" s="0" t="str">
        <f aca="false">IF(OR($A82="",$D82=""),"",IF(AND(EDATE($D82,Milestones!$AA$140)&lt;=AsOfDate,IF($R82=0,$X82,IF(AND($T82&lt;&gt;"",EDATE($D82,Milestones!$AA$140)&gt;=$T82),$W82,IF(AND($S82&lt;&gt;"",EDATE($D82,Milestones!$AA$140)&gt;=$S82),$V82,$U82)))=Milestones!$AB$140),UPPER(TEXT(EDATE($D82,Milestones!$AA$140),"dd mmm yy"))&amp;" "&amp;Milestones!$AB$140&amp;" "&amp;Milestones!$AC$140&amp;";  ","")&amp;IF(AND(EDATE($D82,Milestones!$AA$141)&lt;=AsOfDate,IF($R82=0,$X82,IF(AND($T82&lt;&gt;"",EDATE($D82,Milestones!$AA$141)&gt;=$T82),$W82,IF(AND($S82&lt;&gt;"",EDATE($D82,Milestones!$AA$141)&gt;=$S82),$V82,$U82)))=Milestones!$AB$141),UPPER(TEXT(EDATE($D82,Milestones!$AA$141),"dd mmm yy"))&amp;" "&amp;Milestones!$AB$141&amp;" "&amp;Milestones!$AC$141&amp;";  ","")&amp;IF(AND(EDATE($D82,Milestones!$AA$142)&lt;=AsOfDate,IF($R82=0,$X82,IF(AND($T82&lt;&gt;"",EDATE($D82,Milestones!$AA$142)&gt;=$T82),$W82,IF(AND($S82&lt;&gt;"",EDATE($D82,Milestones!$AA$142)&gt;=$S82),$V82,$U82)))=Milestones!$AB$142),UPPER(TEXT(EDATE($D82,Milestones!$AA$142),"dd mmm yy"))&amp;" "&amp;Milestones!$AB$142&amp;" "&amp;Milestones!$AC$142&amp;";  ","")&amp;IF(AND(EDATE($D82,Milestones!$AA$143)&lt;=AsOfDate,IF($R82=0,$X82,IF(AND($T82&lt;&gt;"",EDATE($D82,Milestones!$AA$143)&gt;=$T82),$W82,IF(AND($S82&lt;&gt;"",EDATE($D82,Milestones!$AA$143)&gt;=$S82),$V82,$U82)))=Milestones!$AB$143),UPPER(TEXT(EDATE($D82,Milestones!$AA$143),"dd mmm yy"))&amp;" "&amp;Milestones!$AB$143&amp;" "&amp;Milestones!$AC$143&amp;";  ","")&amp;IF(AND(EDATE($D82,Milestones!$AA$144)&lt;=AsOfDate,IF($R82=0,$X82,IF(AND($T82&lt;&gt;"",EDATE($D82,Milestones!$AA$144)&gt;=$T82),$W82,IF(AND($S82&lt;&gt;"",EDATE($D82,Milestones!$AA$144)&gt;=$S82),$V82,$U82)))=Milestones!$AB$144),UPPER(TEXT(EDATE($D82,Milestones!$AA$144),"dd mmm yy"))&amp;" "&amp;Milestones!$AB$144&amp;" "&amp;Milestones!$AC$144&amp;";  ","")&amp;IF(AND(EDATE($D82,Milestones!$AA$145)&lt;=AsOfDate,IF($R82=0,$X82,IF(AND($T82&lt;&gt;"",EDATE($D82,Milestones!$AA$145)&gt;=$T82),$W82,IF(AND($S82&lt;&gt;"",EDATE($D82,Milestones!$AA$145)&gt;=$S82),$V82,$U82)))=Milestones!$AB$145),UPPER(TEXT(EDATE($D82,Milestones!$AA$145),"dd mmm yy"))&amp;" "&amp;Milestones!$AB$145&amp;" "&amp;Milestones!$AC$145&amp;";  ","")&amp;IF(AND(EDATE($D82,Milestones!$AA$146)&lt;=AsOfDate,IF($R82=0,$X82,IF(AND($T82&lt;&gt;"",EDATE($D82,Milestones!$AA$146)&gt;=$T82),$W82,IF(AND($S82&lt;&gt;"",EDATE($D82,Milestones!$AA$146)&gt;=$S82),$V82,$U82)))=Milestones!$AB$146),UPPER(TEXT(EDATE($D82,Milestones!$AA$146),"dd mmm yy"))&amp;" "&amp;Milestones!$AB$146&amp;" "&amp;Milestones!$AC$146&amp;";  ","")&amp;IF(AND(EDATE($D82,Milestones!$AA$147)&lt;=AsOfDate,IF($R82=0,$X82,IF(AND($T82&lt;&gt;"",EDATE($D82,Milestones!$AA$147)&gt;=$T82),$W82,IF(AND($S82&lt;&gt;"",EDATE($D82,Milestones!$AA$147)&gt;=$S82),$V82,$U82)))=Milestones!$AB$147),UPPER(TEXT(EDATE($D82,Milestones!$AA$147),"dd mmm yy"))&amp;" "&amp;Milestones!$AB$147&amp;" "&amp;Milestones!$AC$147&amp;";  ","")&amp;IF(AND(EDATE($D82,Milestones!$AA$148)&lt;=AsOfDate,IF($R82=0,$X82,IF(AND($T82&lt;&gt;"",EDATE($D82,Milestones!$AA$148)&gt;=$T82),$W82,IF(AND($S82&lt;&gt;"",EDATE($D82,Milestones!$AA$148)&gt;=$S82),$V82,$U82)))=Milestones!$AB$148),UPPER(TEXT(EDATE($D82,Milestones!$AA$148),"dd mmm yy"))&amp;" "&amp;Milestones!$AB$148&amp;" "&amp;Milestones!$AC$148&amp;";  ","")&amp;IF(AND(EDATE($D82,Milestones!$AA$149)&lt;=AsOfDate,IF($R82=0,$X82,IF(AND($T82&lt;&gt;"",EDATE($D82,Milestones!$AA$149)&gt;=$T82),$W82,IF(AND($S82&lt;&gt;"",EDATE($D82,Milestones!$AA$149)&gt;=$S82),$V82,$U82)))=Milestones!$AB$149),UPPER(TEXT(EDATE($D82,Milestones!$AA$149),"dd mmm yy"))&amp;" "&amp;Milestones!$AB$149&amp;" "&amp;Milestones!$AC$149&amp;";  ","")&amp;IF(AND(EDATE($D82,Milestones!$AA$150)&lt;=AsOfDate,IF($R82=0,$X82,IF(AND($T82&lt;&gt;"",EDATE($D82,Milestones!$AA$150)&gt;=$T82),$W82,IF(AND($S82&lt;&gt;"",EDATE($D82,Milestones!$AA$150)&gt;=$S82),$V82,$U82)))=Milestones!$AB$150),UPPER(TEXT(EDATE($D82,Milestones!$AA$150),"dd mmm yy"))&amp;" "&amp;Milestones!$AB$150&amp;" "&amp;Milestones!$AC$150&amp;";  ","")&amp;IF(AND(EDATE($D82,Milestones!$AA$151)&lt;=AsOfDate,IF($R82=0,$X82,IF(AND($T82&lt;&gt;"",EDATE($D82,Milestones!$AA$151)&gt;=$T82),$W82,IF(AND($S82&lt;&gt;"",EDATE($D82,Milestones!$AA$151)&gt;=$S82),$V82,$U82)))=Milestones!$AB$151),UPPER(TEXT(EDATE($D82,Milestones!$AA$151),"dd mmm yy"))&amp;" "&amp;Milestones!$AB$151&amp;" "&amp;Milestones!$AC$151&amp;";  ","")&amp;IF(AND(EDATE($D82,Milestones!$AA$152)&lt;=AsOfDate,IF($R82=0,$X82,IF(AND($T82&lt;&gt;"",EDATE($D82,Milestones!$AA$152)&gt;=$T82),$W82,IF(AND($S82&lt;&gt;"",EDATE($D82,Milestones!$AA$152)&gt;=$S82),$V82,$U82)))=Milestones!$AB$152),UPPER(TEXT(EDATE($D82,Milestones!$AA$152),"dd mmm yy"))&amp;" "&amp;Milestones!$AB$152&amp;" "&amp;Milestones!$AC$152&amp;";  ","")&amp;IF(AND(EDATE($D82,Milestones!$AA$153)&lt;=AsOfDate,IF($R82=0,$X82,IF(AND($T82&lt;&gt;"",EDATE($D82,Milestones!$AA$153)&gt;=$T82),$W82,IF(AND($S82&lt;&gt;"",EDATE($D82,Milestones!$AA$153)&gt;=$S82),$V82,$U82)))=Milestones!$AB$153),UPPER(TEXT(EDATE($D82,Milestones!$AA$153),"dd mmm yy"))&amp;" "&amp;Milestones!$AB$153&amp;" "&amp;Milestones!$AC$153&amp;";  ","")&amp;IF(AND(EDATE($D82,Milestones!$AA$154)&lt;=AsOfDate,IF($R82=0,$X82,IF(AND($T82&lt;&gt;"",EDATE($D82,Milestones!$AA$154)&gt;=$T82),$W82,IF(AND($S82&lt;&gt;"",EDATE($D82,Milestones!$AA$154)&gt;=$S82),$V82,$U82)))=Milestones!$AB$154),UPPER(TEXT(EDATE($D82,Milestones!$AA$154),"dd mmm yy"))&amp;" "&amp;Milestones!$AB$154&amp;" "&amp;Milestones!$AC$154&amp;";  ","")&amp;IF(AND(EDATE($D82,Milestones!$AA$155)&lt;=AsOfDate,IF($R82=0,$X82,IF(AND($T82&lt;&gt;"",EDATE($D82,Milestones!$AA$155)&gt;=$T82),$W82,IF(AND($S82&lt;&gt;"",EDATE($D82,Milestones!$AA$155)&gt;=$S82),$V82,$U82)))=Milestones!$AB$155),UPPER(TEXT(EDATE($D82,Milestones!$AA$155),"dd mmm yy"))&amp;" "&amp;Milestones!$AB$155&amp;" "&amp;Milestones!$AC$155&amp;";  ","")&amp;IF(AND(EDATE($D82,Milestones!$AA$156)&lt;=AsOfDate,IF($R82=0,$X82,IF(AND($T82&lt;&gt;"",EDATE($D82,Milestones!$AA$156)&gt;=$T82),$W82,IF(AND($S82&lt;&gt;"",EDATE($D82,Milestones!$AA$156)&gt;=$S82),$V82,$U82)))=Milestones!$AB$156),UPPER(TEXT(EDATE($D82,Milestones!$AA$156),"dd mmm yy"))&amp;" "&amp;Milestones!$AB$156&amp;" "&amp;Milestones!$AC$156&amp;";  ","")&amp;IF(AND(EDATE($D82,Milestones!$AA$157)&lt;=AsOfDate,IF($R82=0,$X82,IF(AND($T82&lt;&gt;"",EDATE($D82,Milestones!$AA$157)&gt;=$T82),$W82,IF(AND($S82&lt;&gt;"",EDATE($D82,Milestones!$AA$157)&gt;=$S82),$V82,$U82)))=Milestones!$AB$157),UPPER(TEXT(EDATE($D82,Milestones!$AA$157),"dd mmm yy"))&amp;" "&amp;Milestones!$AB$157&amp;" "&amp;Milestones!$AC$157&amp;";  ","")&amp;IF(AND(EDATE($D82,Milestones!$AA$158)&lt;=AsOfDate,IF($R82=0,$X82,IF(AND($T82&lt;&gt;"",EDATE($D82,Milestones!$AA$158)&gt;=$T82),$W82,IF(AND($S82&lt;&gt;"",EDATE($D82,Milestones!$AA$158)&gt;=$S82),$V82,$U82)))=Milestones!$AB$158),UPPER(TEXT(EDATE($D82,Milestones!$AA$158),"dd mmm yy"))&amp;" "&amp;Milestones!$AB$158&amp;" "&amp;Milestones!$AC$158&amp;";  ","")&amp;IF(AND(EDATE($D82,Milestones!$AA$159)&lt;=AsOfDate,IF($R82=0,$X82,IF(AND($T82&lt;&gt;"",EDATE($D82,Milestones!$AA$159)&gt;=$T82),$W82,IF(AND($S82&lt;&gt;"",EDATE($D82,Milestones!$AA$159)&gt;=$S82),$V82,$U82)))=Milestones!$AB$159),UPPER(TEXT(EDATE($D82,Milestones!$AA$159),"dd mmm yy"))&amp;" "&amp;Milestones!$AB$159&amp;" "&amp;Milestones!$AC$159&amp;";  ",""))</f>
        <v/>
      </c>
      <c r="P82" s="0" t="str">
        <f aca="false">IF(OR($A82="",$D82=""),"",IF(AND(EDATE($D82,Milestones!$AA$160)&lt;=AsOfDate,IF($R82=0,$X82,IF(AND($T82&lt;&gt;"",EDATE($D82,Milestones!$AA$160)&gt;=$T82),$W82,IF(AND($S82&lt;&gt;"",EDATE($D82,Milestones!$AA$160)&gt;=$S82),$V82,$U82)))=Milestones!$AB$160),UPPER(TEXT(EDATE($D82,Milestones!$AA$160),"dd mmm yy"))&amp;" "&amp;Milestones!$AB$160&amp;" "&amp;Milestones!$AC$160&amp;";  ","")&amp;IF(AND(EDATE($D82,Milestones!$AA$161)&lt;=AsOfDate,IF($R82=0,$X82,IF(AND($T82&lt;&gt;"",EDATE($D82,Milestones!$AA$161)&gt;=$T82),$W82,IF(AND($S82&lt;&gt;"",EDATE($D82,Milestones!$AA$161)&gt;=$S82),$V82,$U82)))=Milestones!$AB$161),UPPER(TEXT(EDATE($D82,Milestones!$AA$161),"dd mmm yy"))&amp;" "&amp;Milestones!$AB$161&amp;" "&amp;Milestones!$AC$161&amp;";  ","")&amp;IF(AND(EDATE($D82,Milestones!$AA$162)&lt;=AsOfDate,IF($R82=0,$X82,IF(AND($T82&lt;&gt;"",EDATE($D82,Milestones!$AA$162)&gt;=$T82),$W82,IF(AND($S82&lt;&gt;"",EDATE($D82,Milestones!$AA$162)&gt;=$S82),$V82,$U82)))=Milestones!$AB$162),UPPER(TEXT(EDATE($D82,Milestones!$AA$162),"dd mmm yy"))&amp;" "&amp;Milestones!$AB$162&amp;" "&amp;Milestones!$AC$162&amp;";  ","")&amp;IF(AND(EDATE($D82,Milestones!$AA$163)&lt;=AsOfDate,IF($R82=0,$X82,IF(AND($T82&lt;&gt;"",EDATE($D82,Milestones!$AA$163)&gt;=$T82),$W82,IF(AND($S82&lt;&gt;"",EDATE($D82,Milestones!$AA$163)&gt;=$S82),$V82,$U82)))=Milestones!$AB$163),UPPER(TEXT(EDATE($D82,Milestones!$AA$163),"dd mmm yy"))&amp;" "&amp;Milestones!$AB$163&amp;" "&amp;Milestones!$AC$163&amp;";  ","")&amp;IF(AND(EDATE($D82,Milestones!$AA$164)&lt;=AsOfDate,IF($R82=0,$X82,IF(AND($T82&lt;&gt;"",EDATE($D82,Milestones!$AA$164)&gt;=$T82),$W82,IF(AND($S82&lt;&gt;"",EDATE($D82,Milestones!$AA$164)&gt;=$S82),$V82,$U82)))=Milestones!$AB$164),UPPER(TEXT(EDATE($D82,Milestones!$AA$164),"dd mmm yy"))&amp;" "&amp;Milestones!$AB$164&amp;" "&amp;Milestones!$AC$164&amp;";  ","")&amp;IF(AND(EDATE($D82,Milestones!$AA$165)&lt;=AsOfDate,IF($R82=0,$X82,IF(AND($T82&lt;&gt;"",EDATE($D82,Milestones!$AA$165)&gt;=$T82),$W82,IF(AND($S82&lt;&gt;"",EDATE($D82,Milestones!$AA$165)&gt;=$S82),$V82,$U82)))=Milestones!$AB$165),UPPER(TEXT(EDATE($D82,Milestones!$AA$165),"dd mmm yy"))&amp;" "&amp;Milestones!$AB$165&amp;" "&amp;Milestones!$AC$165&amp;";  ","")&amp;IF(AND(EDATE($D82,Milestones!$AA$166)&lt;=AsOfDate,IF($R82=0,$X82,IF(AND($T82&lt;&gt;"",EDATE($D82,Milestones!$AA$166)&gt;=$T82),$W82,IF(AND($S82&lt;&gt;"",EDATE($D82,Milestones!$AA$166)&gt;=$S82),$V82,$U82)))=Milestones!$AB$166),UPPER(TEXT(EDATE($D82,Milestones!$AA$166),"dd mmm yy"))&amp;" "&amp;Milestones!$AB$166&amp;" "&amp;Milestones!$AC$166&amp;";  ","")&amp;IF(AND(EDATE($D82,Milestones!$AA$167)&lt;=AsOfDate,IF($R82=0,$X82,IF(AND($T82&lt;&gt;"",EDATE($D82,Milestones!$AA$167)&gt;=$T82),$W82,IF(AND($S82&lt;&gt;"",EDATE($D82,Milestones!$AA$167)&gt;=$S82),$V82,$U82)))=Milestones!$AB$167),UPPER(TEXT(EDATE($D82,Milestones!$AA$167),"dd mmm yy"))&amp;" "&amp;Milestones!$AB$167&amp;" "&amp;Milestones!$AC$167&amp;";  ","")&amp;IF(AND(EDATE($D82,Milestones!$AA$168)&lt;=AsOfDate,IF($R82=0,$X82,IF(AND($T82&lt;&gt;"",EDATE($D82,Milestones!$AA$168)&gt;=$T82),$W82,IF(AND($S82&lt;&gt;"",EDATE($D82,Milestones!$AA$168)&gt;=$S82),$V82,$U82)))=Milestones!$AB$168),UPPER(TEXT(EDATE($D82,Milestones!$AA$168),"dd mmm yy"))&amp;" "&amp;Milestones!$AB$168&amp;" "&amp;Milestones!$AC$168&amp;";  ","")&amp;IF(AND(EDATE($D82,Milestones!$AA$169)&lt;=AsOfDate,IF($R82=0,$X82,IF(AND($T82&lt;&gt;"",EDATE($D82,Milestones!$AA$169)&gt;=$T82),$W82,IF(AND($S82&lt;&gt;"",EDATE($D82,Milestones!$AA$169)&gt;=$S82),$V82,$U82)))=Milestones!$AB$169),UPPER(TEXT(EDATE($D82,Milestones!$AA$169),"dd mmm yy"))&amp;" "&amp;Milestones!$AB$169&amp;" "&amp;Milestones!$AC$169&amp;";  ","")&amp;IF(AND(EDATE($D82,Milestones!$AA$170)&lt;=AsOfDate,IF($R82=0,$X82,IF(AND($T82&lt;&gt;"",EDATE($D82,Milestones!$AA$170)&gt;=$T82),$W82,IF(AND($S82&lt;&gt;"",EDATE($D82,Milestones!$AA$170)&gt;=$S82),$V82,$U82)))=Milestones!$AB$170),UPPER(TEXT(EDATE($D82,Milestones!$AA$170),"dd mmm yy"))&amp;" "&amp;Milestones!$AB$170&amp;" "&amp;Milestones!$AC$170&amp;";  ","")&amp;IF(AND(EDATE($D82,Milestones!$AA$171)&lt;=AsOfDate,IF($R82=0,$X82,IF(AND($T82&lt;&gt;"",EDATE($D82,Milestones!$AA$171)&gt;=$T82),$W82,IF(AND($S82&lt;&gt;"",EDATE($D82,Milestones!$AA$171)&gt;=$S82),$V82,$U82)))=Milestones!$AB$171),UPPER(TEXT(EDATE($D82,Milestones!$AA$171),"dd mmm yy"))&amp;" "&amp;Milestones!$AB$171&amp;" "&amp;Milestones!$AC$171&amp;";  ","")&amp;IF(AND(EDATE($D82,Milestones!$AA$172)&lt;=AsOfDate,IF($R82=0,$X82,IF(AND($T82&lt;&gt;"",EDATE($D82,Milestones!$AA$172)&gt;=$T82),$W82,IF(AND($S82&lt;&gt;"",EDATE($D82,Milestones!$AA$172)&gt;=$S82),$V82,$U82)))=Milestones!$AB$172),UPPER(TEXT(EDATE($D82,Milestones!$AA$172),"dd mmm yy"))&amp;" "&amp;Milestones!$AB$172&amp;" "&amp;Milestones!$AC$172&amp;";  ","")&amp;IF(AND(EDATE($D82,Milestones!$AA$173)&lt;=AsOfDate,IF($R82=0,$X82,IF(AND($T82&lt;&gt;"",EDATE($D82,Milestones!$AA$173)&gt;=$T82),$W82,IF(AND($S82&lt;&gt;"",EDATE($D82,Milestones!$AA$173)&gt;=$S82),$V82,$U82)))=Milestones!$AB$173),UPPER(TEXT(EDATE($D82,Milestones!$AA$173),"dd mmm yy"))&amp;" "&amp;Milestones!$AB$173&amp;" "&amp;Milestones!$AC$173&amp;";  ","")&amp;IF(AND(EDATE($D82,Milestones!$AA$174)&lt;=AsOfDate,IF($R82=0,$X82,IF(AND($T82&lt;&gt;"",EDATE($D82,Milestones!$AA$174)&gt;=$T82),$W82,IF(AND($S82&lt;&gt;"",EDATE($D82,Milestones!$AA$174)&gt;=$S82),$V82,$U82)))=Milestones!$AB$174),UPPER(TEXT(EDATE($D82,Milestones!$AA$174),"dd mmm yy"))&amp;" "&amp;Milestones!$AB$174&amp;" "&amp;Milestones!$AC$174&amp;";  ","")&amp;IF(AND(EDATE($D82,Milestones!$AA$175)&lt;=AsOfDate,IF($R82=0,$X82,IF(AND($T82&lt;&gt;"",EDATE($D82,Milestones!$AA$175)&gt;=$T82),$W82,IF(AND($S82&lt;&gt;"",EDATE($D82,Milestones!$AA$175)&gt;=$S82),$V82,$U82)))=Milestones!$AB$175),UPPER(TEXT(EDATE($D82,Milestones!$AA$175),"dd mmm yy"))&amp;" "&amp;Milestones!$AB$175&amp;" "&amp;Milestones!$AC$175&amp;";  ","")&amp;IF(AND(EDATE($D82,Milestones!$AA$176)&lt;=AsOfDate,IF($R82=0,$X82,IF(AND($T82&lt;&gt;"",EDATE($D82,Milestones!$AA$176)&gt;=$T82),$W82,IF(AND($S82&lt;&gt;"",EDATE($D82,Milestones!$AA$176)&gt;=$S82),$V82,$U82)))=Milestones!$AB$176),UPPER(TEXT(EDATE($D82,Milestones!$AA$176),"dd mmm yy"))&amp;" "&amp;Milestones!$AB$176&amp;" "&amp;Milestones!$AC$176&amp;";  ","")&amp;IF(AND(EDATE($D82,Milestones!$AA$177)&lt;=AsOfDate,IF($R82=0,$X82,IF(AND($T82&lt;&gt;"",EDATE($D82,Milestones!$AA$177)&gt;=$T82),$W82,IF(AND($S82&lt;&gt;"",EDATE($D82,Milestones!$AA$177)&gt;=$S82),$V82,$U82)))=Milestones!$AB$177),UPPER(TEXT(EDATE($D82,Milestones!$AA$177),"dd mmm yy"))&amp;" "&amp;Milestones!$AB$177&amp;" "&amp;Milestones!$AC$177&amp;";  ","")&amp;IF(AND(EDATE($D82,Milestones!$AA$178)&lt;=AsOfDate,IF($R82=0,$X82,IF(AND($T82&lt;&gt;"",EDATE($D82,Milestones!$AA$178)&gt;=$T82),$W82,IF(AND($S82&lt;&gt;"",EDATE($D82,Milestones!$AA$178)&gt;=$S82),$V82,$U82)))=Milestones!$AB$178),UPPER(TEXT(EDATE($D82,Milestones!$AA$178),"dd mmm yy"))&amp;" "&amp;Milestones!$AB$178&amp;" "&amp;Milestones!$AC$178&amp;";  ","")&amp;IF(AND(EDATE($D82,Milestones!$AA$179)&lt;=AsOfDate,IF($R82=0,$X82,IF(AND($T82&lt;&gt;"",EDATE($D82,Milestones!$AA$179)&gt;=$T82),$W82,IF(AND($S82&lt;&gt;"",EDATE($D82,Milestones!$AA$179)&gt;=$S82),$V82,$U82)))=Milestones!$AB$179),UPPER(TEXT(EDATE($D82,Milestones!$AA$179),"dd mmm yy"))&amp;" "&amp;Milestones!$AB$179&amp;" "&amp;Milestones!$AC$179&amp;";  ",""))</f>
        <v/>
      </c>
      <c r="Q82" s="0" t="str">
        <f aca="false">IF(OR($A82="",$D82=""),"",IF(AND(EDATE($D82,Milestones!$AA$180)&lt;=AsOfDate,IF($R82=0,$X82,IF(AND($T82&lt;&gt;"",EDATE($D82,Milestones!$AA$180)&gt;=$T82),$W82,IF(AND($S82&lt;&gt;"",EDATE($D82,Milestones!$AA$180)&gt;=$S82),$V82,$U82)))=Milestones!$AB$180),UPPER(TEXT(EDATE($D82,Milestones!$AA$180),"dd mmm yy"))&amp;" "&amp;Milestones!$AB$180&amp;" "&amp;Milestones!$AC$180&amp;";  ","")&amp;IF(AND(EDATE($D82,Milestones!$AA$181)&lt;=AsOfDate,IF($R82=0,$X82,IF(AND($T82&lt;&gt;"",EDATE($D82,Milestones!$AA$181)&gt;=$T82),$W82,IF(AND($S82&lt;&gt;"",EDATE($D82,Milestones!$AA$181)&gt;=$S82),$V82,$U82)))=Milestones!$AB$181),UPPER(TEXT(EDATE($D82,Milestones!$AA$181),"dd mmm yy"))&amp;" "&amp;Milestones!$AB$181&amp;" "&amp;Milestones!$AC$181&amp;";  ","")&amp;IF(AND(EDATE($D82,Milestones!$AA$182)&lt;=AsOfDate,IF($R82=0,$X82,IF(AND($T82&lt;&gt;"",EDATE($D82,Milestones!$AA$182)&gt;=$T82),$W82,IF(AND($S82&lt;&gt;"",EDATE($D82,Milestones!$AA$182)&gt;=$S82),$V82,$U82)))=Milestones!$AB$182),UPPER(TEXT(EDATE($D82,Milestones!$AA$182),"dd mmm yy"))&amp;" "&amp;Milestones!$AB$182&amp;" "&amp;Milestones!$AC$182&amp;";  ","")&amp;IF(AND(EDATE($D82,Milestones!$AA$183)&lt;=AsOfDate,IF($R82=0,$X82,IF(AND($T82&lt;&gt;"",EDATE($D82,Milestones!$AA$183)&gt;=$T82),$W82,IF(AND($S82&lt;&gt;"",EDATE($D82,Milestones!$AA$183)&gt;=$S82),$V82,$U82)))=Milestones!$AB$183),UPPER(TEXT(EDATE($D82,Milestones!$AA$183),"dd mmm yy"))&amp;" "&amp;Milestones!$AB$183&amp;" "&amp;Milestones!$AC$183&amp;";  ","")&amp;IF(AND(EDATE($D82,Milestones!$AA$184)&lt;=AsOfDate,IF($R82=0,$X82,IF(AND($T82&lt;&gt;"",EDATE($D82,Milestones!$AA$184)&gt;=$T82),$W82,IF(AND($S82&lt;&gt;"",EDATE($D82,Milestones!$AA$184)&gt;=$S82),$V82,$U82)))=Milestones!$AB$184),UPPER(TEXT(EDATE($D82,Milestones!$AA$184),"dd mmm yy"))&amp;" "&amp;Milestones!$AB$184&amp;" "&amp;Milestones!$AC$184&amp;";  ","")&amp;IF(AND(EDATE($D82,Milestones!$AA$185)&lt;=AsOfDate,IF($R82=0,$X82,IF(AND($T82&lt;&gt;"",EDATE($D82,Milestones!$AA$185)&gt;=$T82),$W82,IF(AND($S82&lt;&gt;"",EDATE($D82,Milestones!$AA$185)&gt;=$S82),$V82,$U82)))=Milestones!$AB$185),UPPER(TEXT(EDATE($D82,Milestones!$AA$185),"dd mmm yy"))&amp;" "&amp;Milestones!$AB$185&amp;" "&amp;Milestones!$AC$185&amp;";  ","")&amp;IF(AND(EDATE($D82,Milestones!$AA$186)&lt;=AsOfDate,IF($R82=0,$X82,IF(AND($T82&lt;&gt;"",EDATE($D82,Milestones!$AA$186)&gt;=$T82),$W82,IF(AND($S82&lt;&gt;"",EDATE($D82,Milestones!$AA$186)&gt;=$S82),$V82,$U82)))=Milestones!$AB$186),UPPER(TEXT(EDATE($D82,Milestones!$AA$186),"dd mmm yy"))&amp;" "&amp;Milestones!$AB$186&amp;" "&amp;Milestones!$AC$186&amp;";  ","")&amp;IF(AND(EDATE($D82,Milestones!$AA$187)&lt;=AsOfDate,IF($R82=0,$X82,IF(AND($T82&lt;&gt;"",EDATE($D82,Milestones!$AA$187)&gt;=$T82),$W82,IF(AND($S82&lt;&gt;"",EDATE($D82,Milestones!$AA$187)&gt;=$S82),$V82,$U82)))=Milestones!$AB$187),UPPER(TEXT(EDATE($D82,Milestones!$AA$187),"dd mmm yy"))&amp;" "&amp;Milestones!$AB$187&amp;" "&amp;Milestones!$AC$187&amp;";  ","")&amp;IF(AND(EDATE($D82,Milestones!$AA$188)&lt;=AsOfDate,IF($R82=0,$X82,IF(AND($T82&lt;&gt;"",EDATE($D82,Milestones!$AA$188)&gt;=$T82),$W82,IF(AND($S82&lt;&gt;"",EDATE($D82,Milestones!$AA$188)&gt;=$S82),$V82,$U82)))=Milestones!$AB$188),UPPER(TEXT(EDATE($D82,Milestones!$AA$188),"dd mmm yy"))&amp;" "&amp;Milestones!$AB$188&amp;" "&amp;Milestones!$AC$188&amp;";  ","")&amp;IF(AND(EDATE($D82,Milestones!$AA$189)&lt;=AsOfDate,IF($R82=0,$X82,IF(AND($T82&lt;&gt;"",EDATE($D82,Milestones!$AA$189)&gt;=$T82),$W82,IF(AND($S82&lt;&gt;"",EDATE($D82,Milestones!$AA$189)&gt;=$S82),$V82,$U82)))=Milestones!$AB$189),UPPER(TEXT(EDATE($D82,Milestones!$AA$189),"dd mmm yy"))&amp;" "&amp;Milestones!$AB$189&amp;" "&amp;Milestones!$AC$189&amp;";  ","")&amp;IF(AND(EDATE($D82,Milestones!$AA$190)&lt;=AsOfDate,IF($R82=0,$X82,IF(AND($T82&lt;&gt;"",EDATE($D82,Milestones!$AA$190)&gt;=$T82),$W82,IF(AND($S82&lt;&gt;"",EDATE($D82,Milestones!$AA$190)&gt;=$S82),$V82,$U82)))=Milestones!$AB$190),UPPER(TEXT(EDATE($D82,Milestones!$AA$190),"dd mmm yy"))&amp;" "&amp;Milestones!$AB$190&amp;" "&amp;Milestones!$AC$190&amp;";  ","")&amp;IF(AND(EDATE($D82,Milestones!$AA$191)&lt;=AsOfDate,IF($R82=0,$X82,IF(AND($T82&lt;&gt;"",EDATE($D82,Milestones!$AA$191)&gt;=$T82),$W82,IF(AND($S82&lt;&gt;"",EDATE($D82,Milestones!$AA$191)&gt;=$S82),$V82,$U82)))=Milestones!$AB$191),UPPER(TEXT(EDATE($D82,Milestones!$AA$191),"dd mmm yy"))&amp;" "&amp;Milestones!$AB$191&amp;" "&amp;Milestones!$AC$191&amp;";  ","")&amp;IF(AND(EDATE($D82,Milestones!$AA$192)&lt;=AsOfDate,IF($R82=0,$X82,IF(AND($T82&lt;&gt;"",EDATE($D82,Milestones!$AA$192)&gt;=$T82),$W82,IF(AND($S82&lt;&gt;"",EDATE($D82,Milestones!$AA$192)&gt;=$S82),$V82,$U82)))=Milestones!$AB$192),UPPER(TEXT(EDATE($D82,Milestones!$AA$192),"dd mmm yy"))&amp;" "&amp;Milestones!$AB$192&amp;" "&amp;Milestones!$AC$192&amp;";  ","")&amp;IF(AND(EDATE($D82,Milestones!$AA$193)&lt;=AsOfDate,IF($R82=0,$X82,IF(AND($T82&lt;&gt;"",EDATE($D82,Milestones!$AA$193)&gt;=$T82),$W82,IF(AND($S82&lt;&gt;"",EDATE($D82,Milestones!$AA$193)&gt;=$S82),$V82,$U82)))=Milestones!$AB$193),UPPER(TEXT(EDATE($D82,Milestones!$AA$193),"dd mmm yy"))&amp;" "&amp;Milestones!$AB$193&amp;" "&amp;Milestones!$AC$193&amp;";  ","")&amp;IF(AND(EDATE($D82,Milestones!$AA$194)&lt;=AsOfDate,IF($R82=0,$X82,IF(AND($T82&lt;&gt;"",EDATE($D82,Milestones!$AA$194)&gt;=$T82),$W82,IF(AND($S82&lt;&gt;"",EDATE($D82,Milestones!$AA$194)&gt;=$S82),$V82,$U82)))=Milestones!$AB$194),UPPER(TEXT(EDATE($D82,Milestones!$AA$194),"dd mmm yy"))&amp;" "&amp;Milestones!$AB$194&amp;" "&amp;Milestones!$AC$194&amp;";  ","")&amp;IF(AND(EDATE($D82,Milestones!$AA$195)&lt;=AsOfDate,IF($R82=0,$X82,IF(AND($T82&lt;&gt;"",EDATE($D82,Milestones!$AA$195)&gt;=$T82),$W82,IF(AND($S82&lt;&gt;"",EDATE($D82,Milestones!$AA$195)&gt;=$S82),$V82,$U82)))=Milestones!$AB$195),UPPER(TEXT(EDATE($D82,Milestones!$AA$195),"dd mmm yy"))&amp;" "&amp;Milestones!$AB$195&amp;" "&amp;Milestones!$AC$195&amp;";  ","")&amp;IF(AND(EDATE($D82,Milestones!$AA$196)&lt;=AsOfDate,IF($R82=0,$X82,IF(AND($T82&lt;&gt;"",EDATE($D82,Milestones!$AA$196)&gt;=$T82),$W82,IF(AND($S82&lt;&gt;"",EDATE($D82,Milestones!$AA$196)&gt;=$S82),$V82,$U82)))=Milestones!$AB$196),UPPER(TEXT(EDATE($D82,Milestones!$AA$196),"dd mmm yy"))&amp;" "&amp;Milestones!$AB$196&amp;" "&amp;Milestones!$AC$196&amp;";  ","")&amp;IF(AND(EDATE($D82,Milestones!$AA$197)&lt;=AsOfDate,IF($R82=0,$X82,IF(AND($T82&lt;&gt;"",EDATE($D82,Milestones!$AA$197)&gt;=$T82),$W82,IF(AND($S82&lt;&gt;"",EDATE($D82,Milestones!$AA$197)&gt;=$S82),$V82,$U82)))=Milestones!$AB$197),UPPER(TEXT(EDATE($D82,Milestones!$AA$197),"dd mmm yy"))&amp;" "&amp;Milestones!$AB$197&amp;" "&amp;Milestones!$AC$197&amp;";  ","")&amp;IF(AND(EDATE($D82,Milestones!$AA$198)&lt;=AsOfDate,IF($R82=0,$X82,IF(AND($T82&lt;&gt;"",EDATE($D82,Milestones!$AA$198)&gt;=$T82),$W82,IF(AND($S82&lt;&gt;"",EDATE($D82,Milestones!$AA$198)&gt;=$S82),$V82,$U82)))=Milestones!$AB$198),UPPER(TEXT(EDATE($D82,Milestones!$AA$198),"dd mmm yy"))&amp;" "&amp;Milestones!$AB$198&amp;" "&amp;Milestones!$AC$198&amp;";  ","")&amp;IF(AND(EDATE($D82,Milestones!$AA$199)&lt;=AsOfDate,IF($R82=0,$X82,IF(AND($T82&lt;&gt;"",EDATE($D82,Milestones!$AA$199)&gt;=$T82),$W82,IF(AND($S82&lt;&gt;"",EDATE($D82,Milestones!$AA$199)&gt;=$S82),$V82,$U82)))=Milestones!$AB$199),UPPER(TEXT(EDATE($D82,Milestones!$AA$199),"dd mmm yy"))&amp;" "&amp;Milestones!$AB$199&amp;" "&amp;Milestones!$AC$199&amp;";  ",""))</f>
        <v/>
      </c>
      <c r="R82" s="0" t="str">
        <f aca="false">IF(Staff!$A82="","",Staff!$AI82)</f>
        <v/>
      </c>
      <c r="S82" s="0" t="str">
        <f aca="false">IF(Staff!$A82="","",Staff!$AK82)</f>
        <v/>
      </c>
      <c r="T82" s="0" t="str">
        <f aca="false">IF(Staff!$A82="","",Staff!$AL82)</f>
        <v/>
      </c>
      <c r="U82" s="0" t="str">
        <f aca="false">IF(Staff!$A82="","",Staff!$AP82)</f>
        <v/>
      </c>
      <c r="V82" s="0" t="str">
        <f aca="false">IF(Staff!$A82="","",Staff!$AQ82)</f>
        <v/>
      </c>
      <c r="W82" s="0" t="str">
        <f aca="false">IF(Staff!$A82="","",Staff!$AR82)</f>
        <v/>
      </c>
      <c r="X82" s="0" t="str">
        <f aca="false">IF(Staff!$A82="","",Staff!$AS82)</f>
        <v/>
      </c>
    </row>
    <row r="83" customFormat="false" ht="15" hidden="false" customHeight="false" outlineLevel="0" collapsed="false">
      <c r="A83" s="14" t="str">
        <f aca="false">IF(Staff!$A83="","",Staff!$A83)</f>
        <v/>
      </c>
      <c r="B83" s="14" t="str">
        <f aca="false">IF(Staff!$A83="","",Staff!$B83)</f>
        <v/>
      </c>
      <c r="C83" s="14" t="str">
        <f aca="false">IF(Staff!$A83="","",Staff!$C83)</f>
        <v/>
      </c>
      <c r="D83" s="12" t="str">
        <f aca="false">IF(Staff!$A83="","",Staff!$AH83)</f>
        <v/>
      </c>
      <c r="E83" s="14" t="str">
        <f aca="false">IF(Staff!$A83="","",Staff!$O83)</f>
        <v/>
      </c>
      <c r="F83" s="14" t="str">
        <f aca="false">IF(E83="","",E83*HoursPerDay)</f>
        <v/>
      </c>
      <c r="G83" s="14" t="str">
        <f aca="false">IF(Staff!$A83="","",Staff!$AE83)</f>
        <v/>
      </c>
      <c r="H83" s="26" t="str">
        <f aca="false">IF($A83="","",I83&amp;J83&amp;K83&amp;L83&amp;M83&amp;N83&amp;O83&amp;P83&amp;Q83)</f>
        <v/>
      </c>
      <c r="I83" s="0" t="str">
        <f aca="false">IF(OR($A83="",$D83=""),"",IF(AND(EDATE($D83,Milestones!$AA$20)&lt;=AsOfDate,IF($R83=0,$X83,IF(AND($T83&lt;&gt;"",EDATE($D83,Milestones!$AA$20)&gt;=$T83),$W83,IF(AND($S83&lt;&gt;"",EDATE($D83,Milestones!$AA$20)&gt;=$S83),$V83,$U83)))=Milestones!$AB$20),UPPER(TEXT(EDATE($D83,Milestones!$AA$20),"dd mmm yy"))&amp;" "&amp;Milestones!$AB$20&amp;" "&amp;Milestones!$AC$20&amp;";  ","")&amp;IF(AND(EDATE($D83,Milestones!$AA$21)&lt;=AsOfDate,IF($R83=0,$X83,IF(AND($T83&lt;&gt;"",EDATE($D83,Milestones!$AA$21)&gt;=$T83),$W83,IF(AND($S83&lt;&gt;"",EDATE($D83,Milestones!$AA$21)&gt;=$S83),$V83,$U83)))=Milestones!$AB$21),UPPER(TEXT(EDATE($D83,Milestones!$AA$21),"dd mmm yy"))&amp;" "&amp;Milestones!$AB$21&amp;" "&amp;Milestones!$AC$21&amp;";  ","")&amp;IF(AND(EDATE($D83,Milestones!$AA$22)&lt;=AsOfDate,IF($R83=0,$X83,IF(AND($T83&lt;&gt;"",EDATE($D83,Milestones!$AA$22)&gt;=$T83),$W83,IF(AND($S83&lt;&gt;"",EDATE($D83,Milestones!$AA$22)&gt;=$S83),$V83,$U83)))=Milestones!$AB$22),UPPER(TEXT(EDATE($D83,Milestones!$AA$22),"dd mmm yy"))&amp;" "&amp;Milestones!$AB$22&amp;" "&amp;Milestones!$AC$22&amp;";  ","")&amp;IF(AND(EDATE($D83,Milestones!$AA$23)&lt;=AsOfDate,IF($R83=0,$X83,IF(AND($T83&lt;&gt;"",EDATE($D83,Milestones!$AA$23)&gt;=$T83),$W83,IF(AND($S83&lt;&gt;"",EDATE($D83,Milestones!$AA$23)&gt;=$S83),$V83,$U83)))=Milestones!$AB$23),UPPER(TEXT(EDATE($D83,Milestones!$AA$23),"dd mmm yy"))&amp;" "&amp;Milestones!$AB$23&amp;" "&amp;Milestones!$AC$23&amp;";  ","")&amp;IF(AND(EDATE($D83,Milestones!$AA$24)&lt;=AsOfDate,IF($R83=0,$X83,IF(AND($T83&lt;&gt;"",EDATE($D83,Milestones!$AA$24)&gt;=$T83),$W83,IF(AND($S83&lt;&gt;"",EDATE($D83,Milestones!$AA$24)&gt;=$S83),$V83,$U83)))=Milestones!$AB$24),UPPER(TEXT(EDATE($D83,Milestones!$AA$24),"dd mmm yy"))&amp;" "&amp;Milestones!$AB$24&amp;" "&amp;Milestones!$AC$24&amp;";  ","")&amp;IF(AND(EDATE($D83,Milestones!$AA$25)&lt;=AsOfDate,IF($R83=0,$X83,IF(AND($T83&lt;&gt;"",EDATE($D83,Milestones!$AA$25)&gt;=$T83),$W83,IF(AND($S83&lt;&gt;"",EDATE($D83,Milestones!$AA$25)&gt;=$S83),$V83,$U83)))=Milestones!$AB$25),UPPER(TEXT(EDATE($D83,Milestones!$AA$25),"dd mmm yy"))&amp;" "&amp;Milestones!$AB$25&amp;" "&amp;Milestones!$AC$25&amp;";  ","")&amp;IF(AND(EDATE($D83,Milestones!$AA$26)&lt;=AsOfDate,IF($R83=0,$X83,IF(AND($T83&lt;&gt;"",EDATE($D83,Milestones!$AA$26)&gt;=$T83),$W83,IF(AND($S83&lt;&gt;"",EDATE($D83,Milestones!$AA$26)&gt;=$S83),$V83,$U83)))=Milestones!$AB$26),UPPER(TEXT(EDATE($D83,Milestones!$AA$26),"dd mmm yy"))&amp;" "&amp;Milestones!$AB$26&amp;" "&amp;Milestones!$AC$26&amp;";  ","")&amp;IF(AND(EDATE($D83,Milestones!$AA$27)&lt;=AsOfDate,IF($R83=0,$X83,IF(AND($T83&lt;&gt;"",EDATE($D83,Milestones!$AA$27)&gt;=$T83),$W83,IF(AND($S83&lt;&gt;"",EDATE($D83,Milestones!$AA$27)&gt;=$S83),$V83,$U83)))=Milestones!$AB$27),UPPER(TEXT(EDATE($D83,Milestones!$AA$27),"dd mmm yy"))&amp;" "&amp;Milestones!$AB$27&amp;" "&amp;Milestones!$AC$27&amp;";  ","")&amp;IF(AND(EDATE($D83,Milestones!$AA$28)&lt;=AsOfDate,IF($R83=0,$X83,IF(AND($T83&lt;&gt;"",EDATE($D83,Milestones!$AA$28)&gt;=$T83),$W83,IF(AND($S83&lt;&gt;"",EDATE($D83,Milestones!$AA$28)&gt;=$S83),$V83,$U83)))=Milestones!$AB$28),UPPER(TEXT(EDATE($D83,Milestones!$AA$28),"dd mmm yy"))&amp;" "&amp;Milestones!$AB$28&amp;" "&amp;Milestones!$AC$28&amp;";  ","")&amp;IF(AND(EDATE($D83,Milestones!$AA$29)&lt;=AsOfDate,IF($R83=0,$X83,IF(AND($T83&lt;&gt;"",EDATE($D83,Milestones!$AA$29)&gt;=$T83),$W83,IF(AND($S83&lt;&gt;"",EDATE($D83,Milestones!$AA$29)&gt;=$S83),$V83,$U83)))=Milestones!$AB$29),UPPER(TEXT(EDATE($D83,Milestones!$AA$29),"dd mmm yy"))&amp;" "&amp;Milestones!$AB$29&amp;" "&amp;Milestones!$AC$29&amp;";  ","")&amp;IF(AND(EDATE($D83,Milestones!$AA$30)&lt;=AsOfDate,IF($R83=0,$X83,IF(AND($T83&lt;&gt;"",EDATE($D83,Milestones!$AA$30)&gt;=$T83),$W83,IF(AND($S83&lt;&gt;"",EDATE($D83,Milestones!$AA$30)&gt;=$S83),$V83,$U83)))=Milestones!$AB$30),UPPER(TEXT(EDATE($D83,Milestones!$AA$30),"dd mmm yy"))&amp;" "&amp;Milestones!$AB$30&amp;" "&amp;Milestones!$AC$30&amp;";  ","")&amp;IF(AND(EDATE($D83,Milestones!$AA$31)&lt;=AsOfDate,IF($R83=0,$X83,IF(AND($T83&lt;&gt;"",EDATE($D83,Milestones!$AA$31)&gt;=$T83),$W83,IF(AND($S83&lt;&gt;"",EDATE($D83,Milestones!$AA$31)&gt;=$S83),$V83,$U83)))=Milestones!$AB$31),UPPER(TEXT(EDATE($D83,Milestones!$AA$31),"dd mmm yy"))&amp;" "&amp;Milestones!$AB$31&amp;" "&amp;Milestones!$AC$31&amp;";  ","")&amp;IF(AND(EDATE($D83,Milestones!$AA$32)&lt;=AsOfDate,IF($R83=0,$X83,IF(AND($T83&lt;&gt;"",EDATE($D83,Milestones!$AA$32)&gt;=$T83),$W83,IF(AND($S83&lt;&gt;"",EDATE($D83,Milestones!$AA$32)&gt;=$S83),$V83,$U83)))=Milestones!$AB$32),UPPER(TEXT(EDATE($D83,Milestones!$AA$32),"dd mmm yy"))&amp;" "&amp;Milestones!$AB$32&amp;" "&amp;Milestones!$AC$32&amp;";  ","")&amp;IF(AND(EDATE($D83,Milestones!$AA$33)&lt;=AsOfDate,IF($R83=0,$X83,IF(AND($T83&lt;&gt;"",EDATE($D83,Milestones!$AA$33)&gt;=$T83),$W83,IF(AND($S83&lt;&gt;"",EDATE($D83,Milestones!$AA$33)&gt;=$S83),$V83,$U83)))=Milestones!$AB$33),UPPER(TEXT(EDATE($D83,Milestones!$AA$33),"dd mmm yy"))&amp;" "&amp;Milestones!$AB$33&amp;" "&amp;Milestones!$AC$33&amp;";  ","")&amp;IF(AND(EDATE($D83,Milestones!$AA$34)&lt;=AsOfDate,IF($R83=0,$X83,IF(AND($T83&lt;&gt;"",EDATE($D83,Milestones!$AA$34)&gt;=$T83),$W83,IF(AND($S83&lt;&gt;"",EDATE($D83,Milestones!$AA$34)&gt;=$S83),$V83,$U83)))=Milestones!$AB$34),UPPER(TEXT(EDATE($D83,Milestones!$AA$34),"dd mmm yy"))&amp;" "&amp;Milestones!$AB$34&amp;" "&amp;Milestones!$AC$34&amp;";  ","")&amp;IF(AND(EDATE($D83,Milestones!$AA$35)&lt;=AsOfDate,IF($R83=0,$X83,IF(AND($T83&lt;&gt;"",EDATE($D83,Milestones!$AA$35)&gt;=$T83),$W83,IF(AND($S83&lt;&gt;"",EDATE($D83,Milestones!$AA$35)&gt;=$S83),$V83,$U83)))=Milestones!$AB$35),UPPER(TEXT(EDATE($D83,Milestones!$AA$35),"dd mmm yy"))&amp;" "&amp;Milestones!$AB$35&amp;" "&amp;Milestones!$AC$35&amp;";  ","")&amp;IF(AND(EDATE($D83,Milestones!$AA$36)&lt;=AsOfDate,IF($R83=0,$X83,IF(AND($T83&lt;&gt;"",EDATE($D83,Milestones!$AA$36)&gt;=$T83),$W83,IF(AND($S83&lt;&gt;"",EDATE($D83,Milestones!$AA$36)&gt;=$S83),$V83,$U83)))=Milestones!$AB$36),UPPER(TEXT(EDATE($D83,Milestones!$AA$36),"dd mmm yy"))&amp;" "&amp;Milestones!$AB$36&amp;" "&amp;Milestones!$AC$36&amp;";  ","")&amp;IF(AND(EDATE($D83,Milestones!$AA$37)&lt;=AsOfDate,IF($R83=0,$X83,IF(AND($T83&lt;&gt;"",EDATE($D83,Milestones!$AA$37)&gt;=$T83),$W83,IF(AND($S83&lt;&gt;"",EDATE($D83,Milestones!$AA$37)&gt;=$S83),$V83,$U83)))=Milestones!$AB$37),UPPER(TEXT(EDATE($D83,Milestones!$AA$37),"dd mmm yy"))&amp;" "&amp;Milestones!$AB$37&amp;" "&amp;Milestones!$AC$37&amp;";  ","")&amp;IF(AND(EDATE($D83,Milestones!$AA$38)&lt;=AsOfDate,IF($R83=0,$X83,IF(AND($T83&lt;&gt;"",EDATE($D83,Milestones!$AA$38)&gt;=$T83),$W83,IF(AND($S83&lt;&gt;"",EDATE($D83,Milestones!$AA$38)&gt;=$S83),$V83,$U83)))=Milestones!$AB$38),UPPER(TEXT(EDATE($D83,Milestones!$AA$38),"dd mmm yy"))&amp;" "&amp;Milestones!$AB$38&amp;" "&amp;Milestones!$AC$38&amp;";  ","")&amp;IF(AND(EDATE($D83,Milestones!$AA$39)&lt;=AsOfDate,IF($R83=0,$X83,IF(AND($T83&lt;&gt;"",EDATE($D83,Milestones!$AA$39)&gt;=$T83),$W83,IF(AND($S83&lt;&gt;"",EDATE($D83,Milestones!$AA$39)&gt;=$S83),$V83,$U83)))=Milestones!$AB$39),UPPER(TEXT(EDATE($D83,Milestones!$AA$39),"dd mmm yy"))&amp;" "&amp;Milestones!$AB$39&amp;" "&amp;Milestones!$AC$39&amp;";  ",""))</f>
        <v/>
      </c>
      <c r="J83" s="0" t="str">
        <f aca="false">IF(OR($A83="",$D83=""),"",IF(AND(EDATE($D83,Milestones!$AA$40)&lt;=AsOfDate,IF($R83=0,$X83,IF(AND($T83&lt;&gt;"",EDATE($D83,Milestones!$AA$40)&gt;=$T83),$W83,IF(AND($S83&lt;&gt;"",EDATE($D83,Milestones!$AA$40)&gt;=$S83),$V83,$U83)))=Milestones!$AB$40),UPPER(TEXT(EDATE($D83,Milestones!$AA$40),"dd mmm yy"))&amp;" "&amp;Milestones!$AB$40&amp;" "&amp;Milestones!$AC$40&amp;";  ","")&amp;IF(AND(EDATE($D83,Milestones!$AA$41)&lt;=AsOfDate,IF($R83=0,$X83,IF(AND($T83&lt;&gt;"",EDATE($D83,Milestones!$AA$41)&gt;=$T83),$W83,IF(AND($S83&lt;&gt;"",EDATE($D83,Milestones!$AA$41)&gt;=$S83),$V83,$U83)))=Milestones!$AB$41),UPPER(TEXT(EDATE($D83,Milestones!$AA$41),"dd mmm yy"))&amp;" "&amp;Milestones!$AB$41&amp;" "&amp;Milestones!$AC$41&amp;";  ","")&amp;IF(AND(EDATE($D83,Milestones!$AA$42)&lt;=AsOfDate,IF($R83=0,$X83,IF(AND($T83&lt;&gt;"",EDATE($D83,Milestones!$AA$42)&gt;=$T83),$W83,IF(AND($S83&lt;&gt;"",EDATE($D83,Milestones!$AA$42)&gt;=$S83),$V83,$U83)))=Milestones!$AB$42),UPPER(TEXT(EDATE($D83,Milestones!$AA$42),"dd mmm yy"))&amp;" "&amp;Milestones!$AB$42&amp;" "&amp;Milestones!$AC$42&amp;";  ","")&amp;IF(AND(EDATE($D83,Milestones!$AA$43)&lt;=AsOfDate,IF($R83=0,$X83,IF(AND($T83&lt;&gt;"",EDATE($D83,Milestones!$AA$43)&gt;=$T83),$W83,IF(AND($S83&lt;&gt;"",EDATE($D83,Milestones!$AA$43)&gt;=$S83),$V83,$U83)))=Milestones!$AB$43),UPPER(TEXT(EDATE($D83,Milestones!$AA$43),"dd mmm yy"))&amp;" "&amp;Milestones!$AB$43&amp;" "&amp;Milestones!$AC$43&amp;";  ","")&amp;IF(AND(EDATE($D83,Milestones!$AA$44)&lt;=AsOfDate,IF($R83=0,$X83,IF(AND($T83&lt;&gt;"",EDATE($D83,Milestones!$AA$44)&gt;=$T83),$W83,IF(AND($S83&lt;&gt;"",EDATE($D83,Milestones!$AA$44)&gt;=$S83),$V83,$U83)))=Milestones!$AB$44),UPPER(TEXT(EDATE($D83,Milestones!$AA$44),"dd mmm yy"))&amp;" "&amp;Milestones!$AB$44&amp;" "&amp;Milestones!$AC$44&amp;";  ","")&amp;IF(AND(EDATE($D83,Milestones!$AA$45)&lt;=AsOfDate,IF($R83=0,$X83,IF(AND($T83&lt;&gt;"",EDATE($D83,Milestones!$AA$45)&gt;=$T83),$W83,IF(AND($S83&lt;&gt;"",EDATE($D83,Milestones!$AA$45)&gt;=$S83),$V83,$U83)))=Milestones!$AB$45),UPPER(TEXT(EDATE($D83,Milestones!$AA$45),"dd mmm yy"))&amp;" "&amp;Milestones!$AB$45&amp;" "&amp;Milestones!$AC$45&amp;";  ","")&amp;IF(AND(EDATE($D83,Milestones!$AA$46)&lt;=AsOfDate,IF($R83=0,$X83,IF(AND($T83&lt;&gt;"",EDATE($D83,Milestones!$AA$46)&gt;=$T83),$W83,IF(AND($S83&lt;&gt;"",EDATE($D83,Milestones!$AA$46)&gt;=$S83),$V83,$U83)))=Milestones!$AB$46),UPPER(TEXT(EDATE($D83,Milestones!$AA$46),"dd mmm yy"))&amp;" "&amp;Milestones!$AB$46&amp;" "&amp;Milestones!$AC$46&amp;";  ","")&amp;IF(AND(EDATE($D83,Milestones!$AA$47)&lt;=AsOfDate,IF($R83=0,$X83,IF(AND($T83&lt;&gt;"",EDATE($D83,Milestones!$AA$47)&gt;=$T83),$W83,IF(AND($S83&lt;&gt;"",EDATE($D83,Milestones!$AA$47)&gt;=$S83),$V83,$U83)))=Milestones!$AB$47),UPPER(TEXT(EDATE($D83,Milestones!$AA$47),"dd mmm yy"))&amp;" "&amp;Milestones!$AB$47&amp;" "&amp;Milestones!$AC$47&amp;";  ","")&amp;IF(AND(EDATE($D83,Milestones!$AA$48)&lt;=AsOfDate,IF($R83=0,$X83,IF(AND($T83&lt;&gt;"",EDATE($D83,Milestones!$AA$48)&gt;=$T83),$W83,IF(AND($S83&lt;&gt;"",EDATE($D83,Milestones!$AA$48)&gt;=$S83),$V83,$U83)))=Milestones!$AB$48),UPPER(TEXT(EDATE($D83,Milestones!$AA$48),"dd mmm yy"))&amp;" "&amp;Milestones!$AB$48&amp;" "&amp;Milestones!$AC$48&amp;";  ","")&amp;IF(AND(EDATE($D83,Milestones!$AA$49)&lt;=AsOfDate,IF($R83=0,$X83,IF(AND($T83&lt;&gt;"",EDATE($D83,Milestones!$AA$49)&gt;=$T83),$W83,IF(AND($S83&lt;&gt;"",EDATE($D83,Milestones!$AA$49)&gt;=$S83),$V83,$U83)))=Milestones!$AB$49),UPPER(TEXT(EDATE($D83,Milestones!$AA$49),"dd mmm yy"))&amp;" "&amp;Milestones!$AB$49&amp;" "&amp;Milestones!$AC$49&amp;";  ","")&amp;IF(AND(EDATE($D83,Milestones!$AA$50)&lt;=AsOfDate,IF($R83=0,$X83,IF(AND($T83&lt;&gt;"",EDATE($D83,Milestones!$AA$50)&gt;=$T83),$W83,IF(AND($S83&lt;&gt;"",EDATE($D83,Milestones!$AA$50)&gt;=$S83),$V83,$U83)))=Milestones!$AB$50),UPPER(TEXT(EDATE($D83,Milestones!$AA$50),"dd mmm yy"))&amp;" "&amp;Milestones!$AB$50&amp;" "&amp;Milestones!$AC$50&amp;";  ","")&amp;IF(AND(EDATE($D83,Milestones!$AA$51)&lt;=AsOfDate,IF($R83=0,$X83,IF(AND($T83&lt;&gt;"",EDATE($D83,Milestones!$AA$51)&gt;=$T83),$W83,IF(AND($S83&lt;&gt;"",EDATE($D83,Milestones!$AA$51)&gt;=$S83),$V83,$U83)))=Milestones!$AB$51),UPPER(TEXT(EDATE($D83,Milestones!$AA$51),"dd mmm yy"))&amp;" "&amp;Milestones!$AB$51&amp;" "&amp;Milestones!$AC$51&amp;";  ","")&amp;IF(AND(EDATE($D83,Milestones!$AA$52)&lt;=AsOfDate,IF($R83=0,$X83,IF(AND($T83&lt;&gt;"",EDATE($D83,Milestones!$AA$52)&gt;=$T83),$W83,IF(AND($S83&lt;&gt;"",EDATE($D83,Milestones!$AA$52)&gt;=$S83),$V83,$U83)))=Milestones!$AB$52),UPPER(TEXT(EDATE($D83,Milestones!$AA$52),"dd mmm yy"))&amp;" "&amp;Milestones!$AB$52&amp;" "&amp;Milestones!$AC$52&amp;";  ","")&amp;IF(AND(EDATE($D83,Milestones!$AA$53)&lt;=AsOfDate,IF($R83=0,$X83,IF(AND($T83&lt;&gt;"",EDATE($D83,Milestones!$AA$53)&gt;=$T83),$W83,IF(AND($S83&lt;&gt;"",EDATE($D83,Milestones!$AA$53)&gt;=$S83),$V83,$U83)))=Milestones!$AB$53),UPPER(TEXT(EDATE($D83,Milestones!$AA$53),"dd mmm yy"))&amp;" "&amp;Milestones!$AB$53&amp;" "&amp;Milestones!$AC$53&amp;";  ","")&amp;IF(AND(EDATE($D83,Milestones!$AA$54)&lt;=AsOfDate,IF($R83=0,$X83,IF(AND($T83&lt;&gt;"",EDATE($D83,Milestones!$AA$54)&gt;=$T83),$W83,IF(AND($S83&lt;&gt;"",EDATE($D83,Milestones!$AA$54)&gt;=$S83),$V83,$U83)))=Milestones!$AB$54),UPPER(TEXT(EDATE($D83,Milestones!$AA$54),"dd mmm yy"))&amp;" "&amp;Milestones!$AB$54&amp;" "&amp;Milestones!$AC$54&amp;";  ","")&amp;IF(AND(EDATE($D83,Milestones!$AA$55)&lt;=AsOfDate,IF($R83=0,$X83,IF(AND($T83&lt;&gt;"",EDATE($D83,Milestones!$AA$55)&gt;=$T83),$W83,IF(AND($S83&lt;&gt;"",EDATE($D83,Milestones!$AA$55)&gt;=$S83),$V83,$U83)))=Milestones!$AB$55),UPPER(TEXT(EDATE($D83,Milestones!$AA$55),"dd mmm yy"))&amp;" "&amp;Milestones!$AB$55&amp;" "&amp;Milestones!$AC$55&amp;";  ","")&amp;IF(AND(EDATE($D83,Milestones!$AA$56)&lt;=AsOfDate,IF($R83=0,$X83,IF(AND($T83&lt;&gt;"",EDATE($D83,Milestones!$AA$56)&gt;=$T83),$W83,IF(AND($S83&lt;&gt;"",EDATE($D83,Milestones!$AA$56)&gt;=$S83),$V83,$U83)))=Milestones!$AB$56),UPPER(TEXT(EDATE($D83,Milestones!$AA$56),"dd mmm yy"))&amp;" "&amp;Milestones!$AB$56&amp;" "&amp;Milestones!$AC$56&amp;";  ","")&amp;IF(AND(EDATE($D83,Milestones!$AA$57)&lt;=AsOfDate,IF($R83=0,$X83,IF(AND($T83&lt;&gt;"",EDATE($D83,Milestones!$AA$57)&gt;=$T83),$W83,IF(AND($S83&lt;&gt;"",EDATE($D83,Milestones!$AA$57)&gt;=$S83),$V83,$U83)))=Milestones!$AB$57),UPPER(TEXT(EDATE($D83,Milestones!$AA$57),"dd mmm yy"))&amp;" "&amp;Milestones!$AB$57&amp;" "&amp;Milestones!$AC$57&amp;";  ","")&amp;IF(AND(EDATE($D83,Milestones!$AA$58)&lt;=AsOfDate,IF($R83=0,$X83,IF(AND($T83&lt;&gt;"",EDATE($D83,Milestones!$AA$58)&gt;=$T83),$W83,IF(AND($S83&lt;&gt;"",EDATE($D83,Milestones!$AA$58)&gt;=$S83),$V83,$U83)))=Milestones!$AB$58),UPPER(TEXT(EDATE($D83,Milestones!$AA$58),"dd mmm yy"))&amp;" "&amp;Milestones!$AB$58&amp;" "&amp;Milestones!$AC$58&amp;";  ","")&amp;IF(AND(EDATE($D83,Milestones!$AA$59)&lt;=AsOfDate,IF($R83=0,$X83,IF(AND($T83&lt;&gt;"",EDATE($D83,Milestones!$AA$59)&gt;=$T83),$W83,IF(AND($S83&lt;&gt;"",EDATE($D83,Milestones!$AA$59)&gt;=$S83),$V83,$U83)))=Milestones!$AB$59),UPPER(TEXT(EDATE($D83,Milestones!$AA$59),"dd mmm yy"))&amp;" "&amp;Milestones!$AB$59&amp;" "&amp;Milestones!$AC$59&amp;";  ",""))</f>
        <v/>
      </c>
      <c r="K83" s="0" t="str">
        <f aca="false">IF(OR($A83="",$D83=""),"",IF(AND(EDATE($D83,Milestones!$AA$60)&lt;=AsOfDate,IF($R83=0,$X83,IF(AND($T83&lt;&gt;"",EDATE($D83,Milestones!$AA$60)&gt;=$T83),$W83,IF(AND($S83&lt;&gt;"",EDATE($D83,Milestones!$AA$60)&gt;=$S83),$V83,$U83)))=Milestones!$AB$60),UPPER(TEXT(EDATE($D83,Milestones!$AA$60),"dd mmm yy"))&amp;" "&amp;Milestones!$AB$60&amp;" "&amp;Milestones!$AC$60&amp;";  ","")&amp;IF(AND(EDATE($D83,Milestones!$AA$61)&lt;=AsOfDate,IF($R83=0,$X83,IF(AND($T83&lt;&gt;"",EDATE($D83,Milestones!$AA$61)&gt;=$T83),$W83,IF(AND($S83&lt;&gt;"",EDATE($D83,Milestones!$AA$61)&gt;=$S83),$V83,$U83)))=Milestones!$AB$61),UPPER(TEXT(EDATE($D83,Milestones!$AA$61),"dd mmm yy"))&amp;" "&amp;Milestones!$AB$61&amp;" "&amp;Milestones!$AC$61&amp;";  ","")&amp;IF(AND(EDATE($D83,Milestones!$AA$62)&lt;=AsOfDate,IF($R83=0,$X83,IF(AND($T83&lt;&gt;"",EDATE($D83,Milestones!$AA$62)&gt;=$T83),$W83,IF(AND($S83&lt;&gt;"",EDATE($D83,Milestones!$AA$62)&gt;=$S83),$V83,$U83)))=Milestones!$AB$62),UPPER(TEXT(EDATE($D83,Milestones!$AA$62),"dd mmm yy"))&amp;" "&amp;Milestones!$AB$62&amp;" "&amp;Milestones!$AC$62&amp;";  ","")&amp;IF(AND(EDATE($D83,Milestones!$AA$63)&lt;=AsOfDate,IF($R83=0,$X83,IF(AND($T83&lt;&gt;"",EDATE($D83,Milestones!$AA$63)&gt;=$T83),$W83,IF(AND($S83&lt;&gt;"",EDATE($D83,Milestones!$AA$63)&gt;=$S83),$V83,$U83)))=Milestones!$AB$63),UPPER(TEXT(EDATE($D83,Milestones!$AA$63),"dd mmm yy"))&amp;" "&amp;Milestones!$AB$63&amp;" "&amp;Milestones!$AC$63&amp;";  ","")&amp;IF(AND(EDATE($D83,Milestones!$AA$64)&lt;=AsOfDate,IF($R83=0,$X83,IF(AND($T83&lt;&gt;"",EDATE($D83,Milestones!$AA$64)&gt;=$T83),$W83,IF(AND($S83&lt;&gt;"",EDATE($D83,Milestones!$AA$64)&gt;=$S83),$V83,$U83)))=Milestones!$AB$64),UPPER(TEXT(EDATE($D83,Milestones!$AA$64),"dd mmm yy"))&amp;" "&amp;Milestones!$AB$64&amp;" "&amp;Milestones!$AC$64&amp;";  ","")&amp;IF(AND(EDATE($D83,Milestones!$AA$65)&lt;=AsOfDate,IF($R83=0,$X83,IF(AND($T83&lt;&gt;"",EDATE($D83,Milestones!$AA$65)&gt;=$T83),$W83,IF(AND($S83&lt;&gt;"",EDATE($D83,Milestones!$AA$65)&gt;=$S83),$V83,$U83)))=Milestones!$AB$65),UPPER(TEXT(EDATE($D83,Milestones!$AA$65),"dd mmm yy"))&amp;" "&amp;Milestones!$AB$65&amp;" "&amp;Milestones!$AC$65&amp;";  ","")&amp;IF(AND(EDATE($D83,Milestones!$AA$66)&lt;=AsOfDate,IF($R83=0,$X83,IF(AND($T83&lt;&gt;"",EDATE($D83,Milestones!$AA$66)&gt;=$T83),$W83,IF(AND($S83&lt;&gt;"",EDATE($D83,Milestones!$AA$66)&gt;=$S83),$V83,$U83)))=Milestones!$AB$66),UPPER(TEXT(EDATE($D83,Milestones!$AA$66),"dd mmm yy"))&amp;" "&amp;Milestones!$AB$66&amp;" "&amp;Milestones!$AC$66&amp;";  ","")&amp;IF(AND(EDATE($D83,Milestones!$AA$67)&lt;=AsOfDate,IF($R83=0,$X83,IF(AND($T83&lt;&gt;"",EDATE($D83,Milestones!$AA$67)&gt;=$T83),$W83,IF(AND($S83&lt;&gt;"",EDATE($D83,Milestones!$AA$67)&gt;=$S83),$V83,$U83)))=Milestones!$AB$67),UPPER(TEXT(EDATE($D83,Milestones!$AA$67),"dd mmm yy"))&amp;" "&amp;Milestones!$AB$67&amp;" "&amp;Milestones!$AC$67&amp;";  ","")&amp;IF(AND(EDATE($D83,Milestones!$AA$68)&lt;=AsOfDate,IF($R83=0,$X83,IF(AND($T83&lt;&gt;"",EDATE($D83,Milestones!$AA$68)&gt;=$T83),$W83,IF(AND($S83&lt;&gt;"",EDATE($D83,Milestones!$AA$68)&gt;=$S83),$V83,$U83)))=Milestones!$AB$68),UPPER(TEXT(EDATE($D83,Milestones!$AA$68),"dd mmm yy"))&amp;" "&amp;Milestones!$AB$68&amp;" "&amp;Milestones!$AC$68&amp;";  ","")&amp;IF(AND(EDATE($D83,Milestones!$AA$69)&lt;=AsOfDate,IF($R83=0,$X83,IF(AND($T83&lt;&gt;"",EDATE($D83,Milestones!$AA$69)&gt;=$T83),$W83,IF(AND($S83&lt;&gt;"",EDATE($D83,Milestones!$AA$69)&gt;=$S83),$V83,$U83)))=Milestones!$AB$69),UPPER(TEXT(EDATE($D83,Milestones!$AA$69),"dd mmm yy"))&amp;" "&amp;Milestones!$AB$69&amp;" "&amp;Milestones!$AC$69&amp;";  ","")&amp;IF(AND(EDATE($D83,Milestones!$AA$70)&lt;=AsOfDate,IF($R83=0,$X83,IF(AND($T83&lt;&gt;"",EDATE($D83,Milestones!$AA$70)&gt;=$T83),$W83,IF(AND($S83&lt;&gt;"",EDATE($D83,Milestones!$AA$70)&gt;=$S83),$V83,$U83)))=Milestones!$AB$70),UPPER(TEXT(EDATE($D83,Milestones!$AA$70),"dd mmm yy"))&amp;" "&amp;Milestones!$AB$70&amp;" "&amp;Milestones!$AC$70&amp;";  ","")&amp;IF(AND(EDATE($D83,Milestones!$AA$71)&lt;=AsOfDate,IF($R83=0,$X83,IF(AND($T83&lt;&gt;"",EDATE($D83,Milestones!$AA$71)&gt;=$T83),$W83,IF(AND($S83&lt;&gt;"",EDATE($D83,Milestones!$AA$71)&gt;=$S83),$V83,$U83)))=Milestones!$AB$71),UPPER(TEXT(EDATE($D83,Milestones!$AA$71),"dd mmm yy"))&amp;" "&amp;Milestones!$AB$71&amp;" "&amp;Milestones!$AC$71&amp;";  ","")&amp;IF(AND(EDATE($D83,Milestones!$AA$72)&lt;=AsOfDate,IF($R83=0,$X83,IF(AND($T83&lt;&gt;"",EDATE($D83,Milestones!$AA$72)&gt;=$T83),$W83,IF(AND($S83&lt;&gt;"",EDATE($D83,Milestones!$AA$72)&gt;=$S83),$V83,$U83)))=Milestones!$AB$72),UPPER(TEXT(EDATE($D83,Milestones!$AA$72),"dd mmm yy"))&amp;" "&amp;Milestones!$AB$72&amp;" "&amp;Milestones!$AC$72&amp;";  ","")&amp;IF(AND(EDATE($D83,Milestones!$AA$73)&lt;=AsOfDate,IF($R83=0,$X83,IF(AND($T83&lt;&gt;"",EDATE($D83,Milestones!$AA$73)&gt;=$T83),$W83,IF(AND($S83&lt;&gt;"",EDATE($D83,Milestones!$AA$73)&gt;=$S83),$V83,$U83)))=Milestones!$AB$73),UPPER(TEXT(EDATE($D83,Milestones!$AA$73),"dd mmm yy"))&amp;" "&amp;Milestones!$AB$73&amp;" "&amp;Milestones!$AC$73&amp;";  ","")&amp;IF(AND(EDATE($D83,Milestones!$AA$74)&lt;=AsOfDate,IF($R83=0,$X83,IF(AND($T83&lt;&gt;"",EDATE($D83,Milestones!$AA$74)&gt;=$T83),$W83,IF(AND($S83&lt;&gt;"",EDATE($D83,Milestones!$AA$74)&gt;=$S83),$V83,$U83)))=Milestones!$AB$74),UPPER(TEXT(EDATE($D83,Milestones!$AA$74),"dd mmm yy"))&amp;" "&amp;Milestones!$AB$74&amp;" "&amp;Milestones!$AC$74&amp;";  ","")&amp;IF(AND(EDATE($D83,Milestones!$AA$75)&lt;=AsOfDate,IF($R83=0,$X83,IF(AND($T83&lt;&gt;"",EDATE($D83,Milestones!$AA$75)&gt;=$T83),$W83,IF(AND($S83&lt;&gt;"",EDATE($D83,Milestones!$AA$75)&gt;=$S83),$V83,$U83)))=Milestones!$AB$75),UPPER(TEXT(EDATE($D83,Milestones!$AA$75),"dd mmm yy"))&amp;" "&amp;Milestones!$AB$75&amp;" "&amp;Milestones!$AC$75&amp;";  ","")&amp;IF(AND(EDATE($D83,Milestones!$AA$76)&lt;=AsOfDate,IF($R83=0,$X83,IF(AND($T83&lt;&gt;"",EDATE($D83,Milestones!$AA$76)&gt;=$T83),$W83,IF(AND($S83&lt;&gt;"",EDATE($D83,Milestones!$AA$76)&gt;=$S83),$V83,$U83)))=Milestones!$AB$76),UPPER(TEXT(EDATE($D83,Milestones!$AA$76),"dd mmm yy"))&amp;" "&amp;Milestones!$AB$76&amp;" "&amp;Milestones!$AC$76&amp;";  ","")&amp;IF(AND(EDATE($D83,Milestones!$AA$77)&lt;=AsOfDate,IF($R83=0,$X83,IF(AND($T83&lt;&gt;"",EDATE($D83,Milestones!$AA$77)&gt;=$T83),$W83,IF(AND($S83&lt;&gt;"",EDATE($D83,Milestones!$AA$77)&gt;=$S83),$V83,$U83)))=Milestones!$AB$77),UPPER(TEXT(EDATE($D83,Milestones!$AA$77),"dd mmm yy"))&amp;" "&amp;Milestones!$AB$77&amp;" "&amp;Milestones!$AC$77&amp;";  ","")&amp;IF(AND(EDATE($D83,Milestones!$AA$78)&lt;=AsOfDate,IF($R83=0,$X83,IF(AND($T83&lt;&gt;"",EDATE($D83,Milestones!$AA$78)&gt;=$T83),$W83,IF(AND($S83&lt;&gt;"",EDATE($D83,Milestones!$AA$78)&gt;=$S83),$V83,$U83)))=Milestones!$AB$78),UPPER(TEXT(EDATE($D83,Milestones!$AA$78),"dd mmm yy"))&amp;" "&amp;Milestones!$AB$78&amp;" "&amp;Milestones!$AC$78&amp;";  ","")&amp;IF(AND(EDATE($D83,Milestones!$AA$79)&lt;=AsOfDate,IF($R83=0,$X83,IF(AND($T83&lt;&gt;"",EDATE($D83,Milestones!$AA$79)&gt;=$T83),$W83,IF(AND($S83&lt;&gt;"",EDATE($D83,Milestones!$AA$79)&gt;=$S83),$V83,$U83)))=Milestones!$AB$79),UPPER(TEXT(EDATE($D83,Milestones!$AA$79),"dd mmm yy"))&amp;" "&amp;Milestones!$AB$79&amp;" "&amp;Milestones!$AC$79&amp;";  ",""))</f>
        <v/>
      </c>
      <c r="L83" s="0" t="str">
        <f aca="false">IF(OR($A83="",$D83=""),"",IF(AND(EDATE($D83,Milestones!$AA$80)&lt;=AsOfDate,IF($R83=0,$X83,IF(AND($T83&lt;&gt;"",EDATE($D83,Milestones!$AA$80)&gt;=$T83),$W83,IF(AND($S83&lt;&gt;"",EDATE($D83,Milestones!$AA$80)&gt;=$S83),$V83,$U83)))=Milestones!$AB$80),UPPER(TEXT(EDATE($D83,Milestones!$AA$80),"dd mmm yy"))&amp;" "&amp;Milestones!$AB$80&amp;" "&amp;Milestones!$AC$80&amp;";  ","")&amp;IF(AND(EDATE($D83,Milestones!$AA$81)&lt;=AsOfDate,IF($R83=0,$X83,IF(AND($T83&lt;&gt;"",EDATE($D83,Milestones!$AA$81)&gt;=$T83),$W83,IF(AND($S83&lt;&gt;"",EDATE($D83,Milestones!$AA$81)&gt;=$S83),$V83,$U83)))=Milestones!$AB$81),UPPER(TEXT(EDATE($D83,Milestones!$AA$81),"dd mmm yy"))&amp;" "&amp;Milestones!$AB$81&amp;" "&amp;Milestones!$AC$81&amp;";  ","")&amp;IF(AND(EDATE($D83,Milestones!$AA$82)&lt;=AsOfDate,IF($R83=0,$X83,IF(AND($T83&lt;&gt;"",EDATE($D83,Milestones!$AA$82)&gt;=$T83),$W83,IF(AND($S83&lt;&gt;"",EDATE($D83,Milestones!$AA$82)&gt;=$S83),$V83,$U83)))=Milestones!$AB$82),UPPER(TEXT(EDATE($D83,Milestones!$AA$82),"dd mmm yy"))&amp;" "&amp;Milestones!$AB$82&amp;" "&amp;Milestones!$AC$82&amp;";  ","")&amp;IF(AND(EDATE($D83,Milestones!$AA$83)&lt;=AsOfDate,IF($R83=0,$X83,IF(AND($T83&lt;&gt;"",EDATE($D83,Milestones!$AA$83)&gt;=$T83),$W83,IF(AND($S83&lt;&gt;"",EDATE($D83,Milestones!$AA$83)&gt;=$S83),$V83,$U83)))=Milestones!$AB$83),UPPER(TEXT(EDATE($D83,Milestones!$AA$83),"dd mmm yy"))&amp;" "&amp;Milestones!$AB$83&amp;" "&amp;Milestones!$AC$83&amp;";  ","")&amp;IF(AND(EDATE($D83,Milestones!$AA$84)&lt;=AsOfDate,IF($R83=0,$X83,IF(AND($T83&lt;&gt;"",EDATE($D83,Milestones!$AA$84)&gt;=$T83),$W83,IF(AND($S83&lt;&gt;"",EDATE($D83,Milestones!$AA$84)&gt;=$S83),$V83,$U83)))=Milestones!$AB$84),UPPER(TEXT(EDATE($D83,Milestones!$AA$84),"dd mmm yy"))&amp;" "&amp;Milestones!$AB$84&amp;" "&amp;Milestones!$AC$84&amp;";  ","")&amp;IF(AND(EDATE($D83,Milestones!$AA$85)&lt;=AsOfDate,IF($R83=0,$X83,IF(AND($T83&lt;&gt;"",EDATE($D83,Milestones!$AA$85)&gt;=$T83),$W83,IF(AND($S83&lt;&gt;"",EDATE($D83,Milestones!$AA$85)&gt;=$S83),$V83,$U83)))=Milestones!$AB$85),UPPER(TEXT(EDATE($D83,Milestones!$AA$85),"dd mmm yy"))&amp;" "&amp;Milestones!$AB$85&amp;" "&amp;Milestones!$AC$85&amp;";  ","")&amp;IF(AND(EDATE($D83,Milestones!$AA$86)&lt;=AsOfDate,IF($R83=0,$X83,IF(AND($T83&lt;&gt;"",EDATE($D83,Milestones!$AA$86)&gt;=$T83),$W83,IF(AND($S83&lt;&gt;"",EDATE($D83,Milestones!$AA$86)&gt;=$S83),$V83,$U83)))=Milestones!$AB$86),UPPER(TEXT(EDATE($D83,Milestones!$AA$86),"dd mmm yy"))&amp;" "&amp;Milestones!$AB$86&amp;" "&amp;Milestones!$AC$86&amp;";  ","")&amp;IF(AND(EDATE($D83,Milestones!$AA$87)&lt;=AsOfDate,IF($R83=0,$X83,IF(AND($T83&lt;&gt;"",EDATE($D83,Milestones!$AA$87)&gt;=$T83),$W83,IF(AND($S83&lt;&gt;"",EDATE($D83,Milestones!$AA$87)&gt;=$S83),$V83,$U83)))=Milestones!$AB$87),UPPER(TEXT(EDATE($D83,Milestones!$AA$87),"dd mmm yy"))&amp;" "&amp;Milestones!$AB$87&amp;" "&amp;Milestones!$AC$87&amp;";  ","")&amp;IF(AND(EDATE($D83,Milestones!$AA$88)&lt;=AsOfDate,IF($R83=0,$X83,IF(AND($T83&lt;&gt;"",EDATE($D83,Milestones!$AA$88)&gt;=$T83),$W83,IF(AND($S83&lt;&gt;"",EDATE($D83,Milestones!$AA$88)&gt;=$S83),$V83,$U83)))=Milestones!$AB$88),UPPER(TEXT(EDATE($D83,Milestones!$AA$88),"dd mmm yy"))&amp;" "&amp;Milestones!$AB$88&amp;" "&amp;Milestones!$AC$88&amp;";  ","")&amp;IF(AND(EDATE($D83,Milestones!$AA$89)&lt;=AsOfDate,IF($R83=0,$X83,IF(AND($T83&lt;&gt;"",EDATE($D83,Milestones!$AA$89)&gt;=$T83),$W83,IF(AND($S83&lt;&gt;"",EDATE($D83,Milestones!$AA$89)&gt;=$S83),$V83,$U83)))=Milestones!$AB$89),UPPER(TEXT(EDATE($D83,Milestones!$AA$89),"dd mmm yy"))&amp;" "&amp;Milestones!$AB$89&amp;" "&amp;Milestones!$AC$89&amp;";  ","")&amp;IF(AND(EDATE($D83,Milestones!$AA$90)&lt;=AsOfDate,IF($R83=0,$X83,IF(AND($T83&lt;&gt;"",EDATE($D83,Milestones!$AA$90)&gt;=$T83),$W83,IF(AND($S83&lt;&gt;"",EDATE($D83,Milestones!$AA$90)&gt;=$S83),$V83,$U83)))=Milestones!$AB$90),UPPER(TEXT(EDATE($D83,Milestones!$AA$90),"dd mmm yy"))&amp;" "&amp;Milestones!$AB$90&amp;" "&amp;Milestones!$AC$90&amp;";  ","")&amp;IF(AND(EDATE($D83,Milestones!$AA$91)&lt;=AsOfDate,IF($R83=0,$X83,IF(AND($T83&lt;&gt;"",EDATE($D83,Milestones!$AA$91)&gt;=$T83),$W83,IF(AND($S83&lt;&gt;"",EDATE($D83,Milestones!$AA$91)&gt;=$S83),$V83,$U83)))=Milestones!$AB$91),UPPER(TEXT(EDATE($D83,Milestones!$AA$91),"dd mmm yy"))&amp;" "&amp;Milestones!$AB$91&amp;" "&amp;Milestones!$AC$91&amp;";  ","")&amp;IF(AND(EDATE($D83,Milestones!$AA$92)&lt;=AsOfDate,IF($R83=0,$X83,IF(AND($T83&lt;&gt;"",EDATE($D83,Milestones!$AA$92)&gt;=$T83),$W83,IF(AND($S83&lt;&gt;"",EDATE($D83,Milestones!$AA$92)&gt;=$S83),$V83,$U83)))=Milestones!$AB$92),UPPER(TEXT(EDATE($D83,Milestones!$AA$92),"dd mmm yy"))&amp;" "&amp;Milestones!$AB$92&amp;" "&amp;Milestones!$AC$92&amp;";  ","")&amp;IF(AND(EDATE($D83,Milestones!$AA$93)&lt;=AsOfDate,IF($R83=0,$X83,IF(AND($T83&lt;&gt;"",EDATE($D83,Milestones!$AA$93)&gt;=$T83),$W83,IF(AND($S83&lt;&gt;"",EDATE($D83,Milestones!$AA$93)&gt;=$S83),$V83,$U83)))=Milestones!$AB$93),UPPER(TEXT(EDATE($D83,Milestones!$AA$93),"dd mmm yy"))&amp;" "&amp;Milestones!$AB$93&amp;" "&amp;Milestones!$AC$93&amp;";  ","")&amp;IF(AND(EDATE($D83,Milestones!$AA$94)&lt;=AsOfDate,IF($R83=0,$X83,IF(AND($T83&lt;&gt;"",EDATE($D83,Milestones!$AA$94)&gt;=$T83),$W83,IF(AND($S83&lt;&gt;"",EDATE($D83,Milestones!$AA$94)&gt;=$S83),$V83,$U83)))=Milestones!$AB$94),UPPER(TEXT(EDATE($D83,Milestones!$AA$94),"dd mmm yy"))&amp;" "&amp;Milestones!$AB$94&amp;" "&amp;Milestones!$AC$94&amp;";  ","")&amp;IF(AND(EDATE($D83,Milestones!$AA$95)&lt;=AsOfDate,IF($R83=0,$X83,IF(AND($T83&lt;&gt;"",EDATE($D83,Milestones!$AA$95)&gt;=$T83),$W83,IF(AND($S83&lt;&gt;"",EDATE($D83,Milestones!$AA$95)&gt;=$S83),$V83,$U83)))=Milestones!$AB$95),UPPER(TEXT(EDATE($D83,Milestones!$AA$95),"dd mmm yy"))&amp;" "&amp;Milestones!$AB$95&amp;" "&amp;Milestones!$AC$95&amp;";  ","")&amp;IF(AND(EDATE($D83,Milestones!$AA$96)&lt;=AsOfDate,IF($R83=0,$X83,IF(AND($T83&lt;&gt;"",EDATE($D83,Milestones!$AA$96)&gt;=$T83),$W83,IF(AND($S83&lt;&gt;"",EDATE($D83,Milestones!$AA$96)&gt;=$S83),$V83,$U83)))=Milestones!$AB$96),UPPER(TEXT(EDATE($D83,Milestones!$AA$96),"dd mmm yy"))&amp;" "&amp;Milestones!$AB$96&amp;" "&amp;Milestones!$AC$96&amp;";  ","")&amp;IF(AND(EDATE($D83,Milestones!$AA$97)&lt;=AsOfDate,IF($R83=0,$X83,IF(AND($T83&lt;&gt;"",EDATE($D83,Milestones!$AA$97)&gt;=$T83),$W83,IF(AND($S83&lt;&gt;"",EDATE($D83,Milestones!$AA$97)&gt;=$S83),$V83,$U83)))=Milestones!$AB$97),UPPER(TEXT(EDATE($D83,Milestones!$AA$97),"dd mmm yy"))&amp;" "&amp;Milestones!$AB$97&amp;" "&amp;Milestones!$AC$97&amp;";  ","")&amp;IF(AND(EDATE($D83,Milestones!$AA$98)&lt;=AsOfDate,IF($R83=0,$X83,IF(AND($T83&lt;&gt;"",EDATE($D83,Milestones!$AA$98)&gt;=$T83),$W83,IF(AND($S83&lt;&gt;"",EDATE($D83,Milestones!$AA$98)&gt;=$S83),$V83,$U83)))=Milestones!$AB$98),UPPER(TEXT(EDATE($D83,Milestones!$AA$98),"dd mmm yy"))&amp;" "&amp;Milestones!$AB$98&amp;" "&amp;Milestones!$AC$98&amp;";  ","")&amp;IF(AND(EDATE($D83,Milestones!$AA$99)&lt;=AsOfDate,IF($R83=0,$X83,IF(AND($T83&lt;&gt;"",EDATE($D83,Milestones!$AA$99)&gt;=$T83),$W83,IF(AND($S83&lt;&gt;"",EDATE($D83,Milestones!$AA$99)&gt;=$S83),$V83,$U83)))=Milestones!$AB$99),UPPER(TEXT(EDATE($D83,Milestones!$AA$99),"dd mmm yy"))&amp;" "&amp;Milestones!$AB$99&amp;" "&amp;Milestones!$AC$99&amp;";  ",""))</f>
        <v/>
      </c>
      <c r="M83" s="0" t="str">
        <f aca="false">IF(OR($A83="",$D83=""),"",IF(AND(EDATE($D83,Milestones!$AA$100)&lt;=AsOfDate,IF($R83=0,$X83,IF(AND($T83&lt;&gt;"",EDATE($D83,Milestones!$AA$100)&gt;=$T83),$W83,IF(AND($S83&lt;&gt;"",EDATE($D83,Milestones!$AA$100)&gt;=$S83),$V83,$U83)))=Milestones!$AB$100),UPPER(TEXT(EDATE($D83,Milestones!$AA$100),"dd mmm yy"))&amp;" "&amp;Milestones!$AB$100&amp;" "&amp;Milestones!$AC$100&amp;";  ","")&amp;IF(AND(EDATE($D83,Milestones!$AA$101)&lt;=AsOfDate,IF($R83=0,$X83,IF(AND($T83&lt;&gt;"",EDATE($D83,Milestones!$AA$101)&gt;=$T83),$W83,IF(AND($S83&lt;&gt;"",EDATE($D83,Milestones!$AA$101)&gt;=$S83),$V83,$U83)))=Milestones!$AB$101),UPPER(TEXT(EDATE($D83,Milestones!$AA$101),"dd mmm yy"))&amp;" "&amp;Milestones!$AB$101&amp;" "&amp;Milestones!$AC$101&amp;";  ","")&amp;IF(AND(EDATE($D83,Milestones!$AA$102)&lt;=AsOfDate,IF($R83=0,$X83,IF(AND($T83&lt;&gt;"",EDATE($D83,Milestones!$AA$102)&gt;=$T83),$W83,IF(AND($S83&lt;&gt;"",EDATE($D83,Milestones!$AA$102)&gt;=$S83),$V83,$U83)))=Milestones!$AB$102),UPPER(TEXT(EDATE($D83,Milestones!$AA$102),"dd mmm yy"))&amp;" "&amp;Milestones!$AB$102&amp;" "&amp;Milestones!$AC$102&amp;";  ","")&amp;IF(AND(EDATE($D83,Milestones!$AA$103)&lt;=AsOfDate,IF($R83=0,$X83,IF(AND($T83&lt;&gt;"",EDATE($D83,Milestones!$AA$103)&gt;=$T83),$W83,IF(AND($S83&lt;&gt;"",EDATE($D83,Milestones!$AA$103)&gt;=$S83),$V83,$U83)))=Milestones!$AB$103),UPPER(TEXT(EDATE($D83,Milestones!$AA$103),"dd mmm yy"))&amp;" "&amp;Milestones!$AB$103&amp;" "&amp;Milestones!$AC$103&amp;";  ","")&amp;IF(AND(EDATE($D83,Milestones!$AA$104)&lt;=AsOfDate,IF($R83=0,$X83,IF(AND($T83&lt;&gt;"",EDATE($D83,Milestones!$AA$104)&gt;=$T83),$W83,IF(AND($S83&lt;&gt;"",EDATE($D83,Milestones!$AA$104)&gt;=$S83),$V83,$U83)))=Milestones!$AB$104),UPPER(TEXT(EDATE($D83,Milestones!$AA$104),"dd mmm yy"))&amp;" "&amp;Milestones!$AB$104&amp;" "&amp;Milestones!$AC$104&amp;";  ","")&amp;IF(AND(EDATE($D83,Milestones!$AA$105)&lt;=AsOfDate,IF($R83=0,$X83,IF(AND($T83&lt;&gt;"",EDATE($D83,Milestones!$AA$105)&gt;=$T83),$W83,IF(AND($S83&lt;&gt;"",EDATE($D83,Milestones!$AA$105)&gt;=$S83),$V83,$U83)))=Milestones!$AB$105),UPPER(TEXT(EDATE($D83,Milestones!$AA$105),"dd mmm yy"))&amp;" "&amp;Milestones!$AB$105&amp;" "&amp;Milestones!$AC$105&amp;";  ","")&amp;IF(AND(EDATE($D83,Milestones!$AA$106)&lt;=AsOfDate,IF($R83=0,$X83,IF(AND($T83&lt;&gt;"",EDATE($D83,Milestones!$AA$106)&gt;=$T83),$W83,IF(AND($S83&lt;&gt;"",EDATE($D83,Milestones!$AA$106)&gt;=$S83),$V83,$U83)))=Milestones!$AB$106),UPPER(TEXT(EDATE($D83,Milestones!$AA$106),"dd mmm yy"))&amp;" "&amp;Milestones!$AB$106&amp;" "&amp;Milestones!$AC$106&amp;";  ","")&amp;IF(AND(EDATE($D83,Milestones!$AA$107)&lt;=AsOfDate,IF($R83=0,$X83,IF(AND($T83&lt;&gt;"",EDATE($D83,Milestones!$AA$107)&gt;=$T83),$W83,IF(AND($S83&lt;&gt;"",EDATE($D83,Milestones!$AA$107)&gt;=$S83),$V83,$U83)))=Milestones!$AB$107),UPPER(TEXT(EDATE($D83,Milestones!$AA$107),"dd mmm yy"))&amp;" "&amp;Milestones!$AB$107&amp;" "&amp;Milestones!$AC$107&amp;";  ","")&amp;IF(AND(EDATE($D83,Milestones!$AA$108)&lt;=AsOfDate,IF($R83=0,$X83,IF(AND($T83&lt;&gt;"",EDATE($D83,Milestones!$AA$108)&gt;=$T83),$W83,IF(AND($S83&lt;&gt;"",EDATE($D83,Milestones!$AA$108)&gt;=$S83),$V83,$U83)))=Milestones!$AB$108),UPPER(TEXT(EDATE($D83,Milestones!$AA$108),"dd mmm yy"))&amp;" "&amp;Milestones!$AB$108&amp;" "&amp;Milestones!$AC$108&amp;";  ","")&amp;IF(AND(EDATE($D83,Milestones!$AA$109)&lt;=AsOfDate,IF($R83=0,$X83,IF(AND($T83&lt;&gt;"",EDATE($D83,Milestones!$AA$109)&gt;=$T83),$W83,IF(AND($S83&lt;&gt;"",EDATE($D83,Milestones!$AA$109)&gt;=$S83),$V83,$U83)))=Milestones!$AB$109),UPPER(TEXT(EDATE($D83,Milestones!$AA$109),"dd mmm yy"))&amp;" "&amp;Milestones!$AB$109&amp;" "&amp;Milestones!$AC$109&amp;";  ","")&amp;IF(AND(EDATE($D83,Milestones!$AA$110)&lt;=AsOfDate,IF($R83=0,$X83,IF(AND($T83&lt;&gt;"",EDATE($D83,Milestones!$AA$110)&gt;=$T83),$W83,IF(AND($S83&lt;&gt;"",EDATE($D83,Milestones!$AA$110)&gt;=$S83),$V83,$U83)))=Milestones!$AB$110),UPPER(TEXT(EDATE($D83,Milestones!$AA$110),"dd mmm yy"))&amp;" "&amp;Milestones!$AB$110&amp;" "&amp;Milestones!$AC$110&amp;";  ","")&amp;IF(AND(EDATE($D83,Milestones!$AA$111)&lt;=AsOfDate,IF($R83=0,$X83,IF(AND($T83&lt;&gt;"",EDATE($D83,Milestones!$AA$111)&gt;=$T83),$W83,IF(AND($S83&lt;&gt;"",EDATE($D83,Milestones!$AA$111)&gt;=$S83),$V83,$U83)))=Milestones!$AB$111),UPPER(TEXT(EDATE($D83,Milestones!$AA$111),"dd mmm yy"))&amp;" "&amp;Milestones!$AB$111&amp;" "&amp;Milestones!$AC$111&amp;";  ","")&amp;IF(AND(EDATE($D83,Milestones!$AA$112)&lt;=AsOfDate,IF($R83=0,$X83,IF(AND($T83&lt;&gt;"",EDATE($D83,Milestones!$AA$112)&gt;=$T83),$W83,IF(AND($S83&lt;&gt;"",EDATE($D83,Milestones!$AA$112)&gt;=$S83),$V83,$U83)))=Milestones!$AB$112),UPPER(TEXT(EDATE($D83,Milestones!$AA$112),"dd mmm yy"))&amp;" "&amp;Milestones!$AB$112&amp;" "&amp;Milestones!$AC$112&amp;";  ","")&amp;IF(AND(EDATE($D83,Milestones!$AA$113)&lt;=AsOfDate,IF($R83=0,$X83,IF(AND($T83&lt;&gt;"",EDATE($D83,Milestones!$AA$113)&gt;=$T83),$W83,IF(AND($S83&lt;&gt;"",EDATE($D83,Milestones!$AA$113)&gt;=$S83),$V83,$U83)))=Milestones!$AB$113),UPPER(TEXT(EDATE($D83,Milestones!$AA$113),"dd mmm yy"))&amp;" "&amp;Milestones!$AB$113&amp;" "&amp;Milestones!$AC$113&amp;";  ","")&amp;IF(AND(EDATE($D83,Milestones!$AA$114)&lt;=AsOfDate,IF($R83=0,$X83,IF(AND($T83&lt;&gt;"",EDATE($D83,Milestones!$AA$114)&gt;=$T83),$W83,IF(AND($S83&lt;&gt;"",EDATE($D83,Milestones!$AA$114)&gt;=$S83),$V83,$U83)))=Milestones!$AB$114),UPPER(TEXT(EDATE($D83,Milestones!$AA$114),"dd mmm yy"))&amp;" "&amp;Milestones!$AB$114&amp;" "&amp;Milestones!$AC$114&amp;";  ","")&amp;IF(AND(EDATE($D83,Milestones!$AA$115)&lt;=AsOfDate,IF($R83=0,$X83,IF(AND($T83&lt;&gt;"",EDATE($D83,Milestones!$AA$115)&gt;=$T83),$W83,IF(AND($S83&lt;&gt;"",EDATE($D83,Milestones!$AA$115)&gt;=$S83),$V83,$U83)))=Milestones!$AB$115),UPPER(TEXT(EDATE($D83,Milestones!$AA$115),"dd mmm yy"))&amp;" "&amp;Milestones!$AB$115&amp;" "&amp;Milestones!$AC$115&amp;";  ","")&amp;IF(AND(EDATE($D83,Milestones!$AA$116)&lt;=AsOfDate,IF($R83=0,$X83,IF(AND($T83&lt;&gt;"",EDATE($D83,Milestones!$AA$116)&gt;=$T83),$W83,IF(AND($S83&lt;&gt;"",EDATE($D83,Milestones!$AA$116)&gt;=$S83),$V83,$U83)))=Milestones!$AB$116),UPPER(TEXT(EDATE($D83,Milestones!$AA$116),"dd mmm yy"))&amp;" "&amp;Milestones!$AB$116&amp;" "&amp;Milestones!$AC$116&amp;";  ","")&amp;IF(AND(EDATE($D83,Milestones!$AA$117)&lt;=AsOfDate,IF($R83=0,$X83,IF(AND($T83&lt;&gt;"",EDATE($D83,Milestones!$AA$117)&gt;=$T83),$W83,IF(AND($S83&lt;&gt;"",EDATE($D83,Milestones!$AA$117)&gt;=$S83),$V83,$U83)))=Milestones!$AB$117),UPPER(TEXT(EDATE($D83,Milestones!$AA$117),"dd mmm yy"))&amp;" "&amp;Milestones!$AB$117&amp;" "&amp;Milestones!$AC$117&amp;";  ","")&amp;IF(AND(EDATE($D83,Milestones!$AA$118)&lt;=AsOfDate,IF($R83=0,$X83,IF(AND($T83&lt;&gt;"",EDATE($D83,Milestones!$AA$118)&gt;=$T83),$W83,IF(AND($S83&lt;&gt;"",EDATE($D83,Milestones!$AA$118)&gt;=$S83),$V83,$U83)))=Milestones!$AB$118),UPPER(TEXT(EDATE($D83,Milestones!$AA$118),"dd mmm yy"))&amp;" "&amp;Milestones!$AB$118&amp;" "&amp;Milestones!$AC$118&amp;";  ","")&amp;IF(AND(EDATE($D83,Milestones!$AA$119)&lt;=AsOfDate,IF($R83=0,$X83,IF(AND($T83&lt;&gt;"",EDATE($D83,Milestones!$AA$119)&gt;=$T83),$W83,IF(AND($S83&lt;&gt;"",EDATE($D83,Milestones!$AA$119)&gt;=$S83),$V83,$U83)))=Milestones!$AB$119),UPPER(TEXT(EDATE($D83,Milestones!$AA$119),"dd mmm yy"))&amp;" "&amp;Milestones!$AB$119&amp;" "&amp;Milestones!$AC$119&amp;";  ",""))</f>
        <v/>
      </c>
      <c r="N83" s="0" t="str">
        <f aca="false">IF(OR($A83="",$D83=""),"",IF(AND(EDATE($D83,Milestones!$AA$120)&lt;=AsOfDate,IF($R83=0,$X83,IF(AND($T83&lt;&gt;"",EDATE($D83,Milestones!$AA$120)&gt;=$T83),$W83,IF(AND($S83&lt;&gt;"",EDATE($D83,Milestones!$AA$120)&gt;=$S83),$V83,$U83)))=Milestones!$AB$120),UPPER(TEXT(EDATE($D83,Milestones!$AA$120),"dd mmm yy"))&amp;" "&amp;Milestones!$AB$120&amp;" "&amp;Milestones!$AC$120&amp;";  ","")&amp;IF(AND(EDATE($D83,Milestones!$AA$121)&lt;=AsOfDate,IF($R83=0,$X83,IF(AND($T83&lt;&gt;"",EDATE($D83,Milestones!$AA$121)&gt;=$T83),$W83,IF(AND($S83&lt;&gt;"",EDATE($D83,Milestones!$AA$121)&gt;=$S83),$V83,$U83)))=Milestones!$AB$121),UPPER(TEXT(EDATE($D83,Milestones!$AA$121),"dd mmm yy"))&amp;" "&amp;Milestones!$AB$121&amp;" "&amp;Milestones!$AC$121&amp;";  ","")&amp;IF(AND(EDATE($D83,Milestones!$AA$122)&lt;=AsOfDate,IF($R83=0,$X83,IF(AND($T83&lt;&gt;"",EDATE($D83,Milestones!$AA$122)&gt;=$T83),$W83,IF(AND($S83&lt;&gt;"",EDATE($D83,Milestones!$AA$122)&gt;=$S83),$V83,$U83)))=Milestones!$AB$122),UPPER(TEXT(EDATE($D83,Milestones!$AA$122),"dd mmm yy"))&amp;" "&amp;Milestones!$AB$122&amp;" "&amp;Milestones!$AC$122&amp;";  ","")&amp;IF(AND(EDATE($D83,Milestones!$AA$123)&lt;=AsOfDate,IF($R83=0,$X83,IF(AND($T83&lt;&gt;"",EDATE($D83,Milestones!$AA$123)&gt;=$T83),$W83,IF(AND($S83&lt;&gt;"",EDATE($D83,Milestones!$AA$123)&gt;=$S83),$V83,$U83)))=Milestones!$AB$123),UPPER(TEXT(EDATE($D83,Milestones!$AA$123),"dd mmm yy"))&amp;" "&amp;Milestones!$AB$123&amp;" "&amp;Milestones!$AC$123&amp;";  ","")&amp;IF(AND(EDATE($D83,Milestones!$AA$124)&lt;=AsOfDate,IF($R83=0,$X83,IF(AND($T83&lt;&gt;"",EDATE($D83,Milestones!$AA$124)&gt;=$T83),$W83,IF(AND($S83&lt;&gt;"",EDATE($D83,Milestones!$AA$124)&gt;=$S83),$V83,$U83)))=Milestones!$AB$124),UPPER(TEXT(EDATE($D83,Milestones!$AA$124),"dd mmm yy"))&amp;" "&amp;Milestones!$AB$124&amp;" "&amp;Milestones!$AC$124&amp;";  ","")&amp;IF(AND(EDATE($D83,Milestones!$AA$125)&lt;=AsOfDate,IF($R83=0,$X83,IF(AND($T83&lt;&gt;"",EDATE($D83,Milestones!$AA$125)&gt;=$T83),$W83,IF(AND($S83&lt;&gt;"",EDATE($D83,Milestones!$AA$125)&gt;=$S83),$V83,$U83)))=Milestones!$AB$125),UPPER(TEXT(EDATE($D83,Milestones!$AA$125),"dd mmm yy"))&amp;" "&amp;Milestones!$AB$125&amp;" "&amp;Milestones!$AC$125&amp;";  ","")&amp;IF(AND(EDATE($D83,Milestones!$AA$126)&lt;=AsOfDate,IF($R83=0,$X83,IF(AND($T83&lt;&gt;"",EDATE($D83,Milestones!$AA$126)&gt;=$T83),$W83,IF(AND($S83&lt;&gt;"",EDATE($D83,Milestones!$AA$126)&gt;=$S83),$V83,$U83)))=Milestones!$AB$126),UPPER(TEXT(EDATE($D83,Milestones!$AA$126),"dd mmm yy"))&amp;" "&amp;Milestones!$AB$126&amp;" "&amp;Milestones!$AC$126&amp;";  ","")&amp;IF(AND(EDATE($D83,Milestones!$AA$127)&lt;=AsOfDate,IF($R83=0,$X83,IF(AND($T83&lt;&gt;"",EDATE($D83,Milestones!$AA$127)&gt;=$T83),$W83,IF(AND($S83&lt;&gt;"",EDATE($D83,Milestones!$AA$127)&gt;=$S83),$V83,$U83)))=Milestones!$AB$127),UPPER(TEXT(EDATE($D83,Milestones!$AA$127),"dd mmm yy"))&amp;" "&amp;Milestones!$AB$127&amp;" "&amp;Milestones!$AC$127&amp;";  ","")&amp;IF(AND(EDATE($D83,Milestones!$AA$128)&lt;=AsOfDate,IF($R83=0,$X83,IF(AND($T83&lt;&gt;"",EDATE($D83,Milestones!$AA$128)&gt;=$T83),$W83,IF(AND($S83&lt;&gt;"",EDATE($D83,Milestones!$AA$128)&gt;=$S83),$V83,$U83)))=Milestones!$AB$128),UPPER(TEXT(EDATE($D83,Milestones!$AA$128),"dd mmm yy"))&amp;" "&amp;Milestones!$AB$128&amp;" "&amp;Milestones!$AC$128&amp;";  ","")&amp;IF(AND(EDATE($D83,Milestones!$AA$129)&lt;=AsOfDate,IF($R83=0,$X83,IF(AND($T83&lt;&gt;"",EDATE($D83,Milestones!$AA$129)&gt;=$T83),$W83,IF(AND($S83&lt;&gt;"",EDATE($D83,Milestones!$AA$129)&gt;=$S83),$V83,$U83)))=Milestones!$AB$129),UPPER(TEXT(EDATE($D83,Milestones!$AA$129),"dd mmm yy"))&amp;" "&amp;Milestones!$AB$129&amp;" "&amp;Milestones!$AC$129&amp;";  ","")&amp;IF(AND(EDATE($D83,Milestones!$AA$130)&lt;=AsOfDate,IF($R83=0,$X83,IF(AND($T83&lt;&gt;"",EDATE($D83,Milestones!$AA$130)&gt;=$T83),$W83,IF(AND($S83&lt;&gt;"",EDATE($D83,Milestones!$AA$130)&gt;=$S83),$V83,$U83)))=Milestones!$AB$130),UPPER(TEXT(EDATE($D83,Milestones!$AA$130),"dd mmm yy"))&amp;" "&amp;Milestones!$AB$130&amp;" "&amp;Milestones!$AC$130&amp;";  ","")&amp;IF(AND(EDATE($D83,Milestones!$AA$131)&lt;=AsOfDate,IF($R83=0,$X83,IF(AND($T83&lt;&gt;"",EDATE($D83,Milestones!$AA$131)&gt;=$T83),$W83,IF(AND($S83&lt;&gt;"",EDATE($D83,Milestones!$AA$131)&gt;=$S83),$V83,$U83)))=Milestones!$AB$131),UPPER(TEXT(EDATE($D83,Milestones!$AA$131),"dd mmm yy"))&amp;" "&amp;Milestones!$AB$131&amp;" "&amp;Milestones!$AC$131&amp;";  ","")&amp;IF(AND(EDATE($D83,Milestones!$AA$132)&lt;=AsOfDate,IF($R83=0,$X83,IF(AND($T83&lt;&gt;"",EDATE($D83,Milestones!$AA$132)&gt;=$T83),$W83,IF(AND($S83&lt;&gt;"",EDATE($D83,Milestones!$AA$132)&gt;=$S83),$V83,$U83)))=Milestones!$AB$132),UPPER(TEXT(EDATE($D83,Milestones!$AA$132),"dd mmm yy"))&amp;" "&amp;Milestones!$AB$132&amp;" "&amp;Milestones!$AC$132&amp;";  ","")&amp;IF(AND(EDATE($D83,Milestones!$AA$133)&lt;=AsOfDate,IF($R83=0,$X83,IF(AND($T83&lt;&gt;"",EDATE($D83,Milestones!$AA$133)&gt;=$T83),$W83,IF(AND($S83&lt;&gt;"",EDATE($D83,Milestones!$AA$133)&gt;=$S83),$V83,$U83)))=Milestones!$AB$133),UPPER(TEXT(EDATE($D83,Milestones!$AA$133),"dd mmm yy"))&amp;" "&amp;Milestones!$AB$133&amp;" "&amp;Milestones!$AC$133&amp;";  ","")&amp;IF(AND(EDATE($D83,Milestones!$AA$134)&lt;=AsOfDate,IF($R83=0,$X83,IF(AND($T83&lt;&gt;"",EDATE($D83,Milestones!$AA$134)&gt;=$T83),$W83,IF(AND($S83&lt;&gt;"",EDATE($D83,Milestones!$AA$134)&gt;=$S83),$V83,$U83)))=Milestones!$AB$134),UPPER(TEXT(EDATE($D83,Milestones!$AA$134),"dd mmm yy"))&amp;" "&amp;Milestones!$AB$134&amp;" "&amp;Milestones!$AC$134&amp;";  ","")&amp;IF(AND(EDATE($D83,Milestones!$AA$135)&lt;=AsOfDate,IF($R83=0,$X83,IF(AND($T83&lt;&gt;"",EDATE($D83,Milestones!$AA$135)&gt;=$T83),$W83,IF(AND($S83&lt;&gt;"",EDATE($D83,Milestones!$AA$135)&gt;=$S83),$V83,$U83)))=Milestones!$AB$135),UPPER(TEXT(EDATE($D83,Milestones!$AA$135),"dd mmm yy"))&amp;" "&amp;Milestones!$AB$135&amp;" "&amp;Milestones!$AC$135&amp;";  ","")&amp;IF(AND(EDATE($D83,Milestones!$AA$136)&lt;=AsOfDate,IF($R83=0,$X83,IF(AND($T83&lt;&gt;"",EDATE($D83,Milestones!$AA$136)&gt;=$T83),$W83,IF(AND($S83&lt;&gt;"",EDATE($D83,Milestones!$AA$136)&gt;=$S83),$V83,$U83)))=Milestones!$AB$136),UPPER(TEXT(EDATE($D83,Milestones!$AA$136),"dd mmm yy"))&amp;" "&amp;Milestones!$AB$136&amp;" "&amp;Milestones!$AC$136&amp;";  ","")&amp;IF(AND(EDATE($D83,Milestones!$AA$137)&lt;=AsOfDate,IF($R83=0,$X83,IF(AND($T83&lt;&gt;"",EDATE($D83,Milestones!$AA$137)&gt;=$T83),$W83,IF(AND($S83&lt;&gt;"",EDATE($D83,Milestones!$AA$137)&gt;=$S83),$V83,$U83)))=Milestones!$AB$137),UPPER(TEXT(EDATE($D83,Milestones!$AA$137),"dd mmm yy"))&amp;" "&amp;Milestones!$AB$137&amp;" "&amp;Milestones!$AC$137&amp;";  ","")&amp;IF(AND(EDATE($D83,Milestones!$AA$138)&lt;=AsOfDate,IF($R83=0,$X83,IF(AND($T83&lt;&gt;"",EDATE($D83,Milestones!$AA$138)&gt;=$T83),$W83,IF(AND($S83&lt;&gt;"",EDATE($D83,Milestones!$AA$138)&gt;=$S83),$V83,$U83)))=Milestones!$AB$138),UPPER(TEXT(EDATE($D83,Milestones!$AA$138),"dd mmm yy"))&amp;" "&amp;Milestones!$AB$138&amp;" "&amp;Milestones!$AC$138&amp;";  ","")&amp;IF(AND(EDATE($D83,Milestones!$AA$139)&lt;=AsOfDate,IF($R83=0,$X83,IF(AND($T83&lt;&gt;"",EDATE($D83,Milestones!$AA$139)&gt;=$T83),$W83,IF(AND($S83&lt;&gt;"",EDATE($D83,Milestones!$AA$139)&gt;=$S83),$V83,$U83)))=Milestones!$AB$139),UPPER(TEXT(EDATE($D83,Milestones!$AA$139),"dd mmm yy"))&amp;" "&amp;Milestones!$AB$139&amp;" "&amp;Milestones!$AC$139&amp;";  ",""))</f>
        <v/>
      </c>
      <c r="O83" s="0" t="str">
        <f aca="false">IF(OR($A83="",$D83=""),"",IF(AND(EDATE($D83,Milestones!$AA$140)&lt;=AsOfDate,IF($R83=0,$X83,IF(AND($T83&lt;&gt;"",EDATE($D83,Milestones!$AA$140)&gt;=$T83),$W83,IF(AND($S83&lt;&gt;"",EDATE($D83,Milestones!$AA$140)&gt;=$S83),$V83,$U83)))=Milestones!$AB$140),UPPER(TEXT(EDATE($D83,Milestones!$AA$140),"dd mmm yy"))&amp;" "&amp;Milestones!$AB$140&amp;" "&amp;Milestones!$AC$140&amp;";  ","")&amp;IF(AND(EDATE($D83,Milestones!$AA$141)&lt;=AsOfDate,IF($R83=0,$X83,IF(AND($T83&lt;&gt;"",EDATE($D83,Milestones!$AA$141)&gt;=$T83),$W83,IF(AND($S83&lt;&gt;"",EDATE($D83,Milestones!$AA$141)&gt;=$S83),$V83,$U83)))=Milestones!$AB$141),UPPER(TEXT(EDATE($D83,Milestones!$AA$141),"dd mmm yy"))&amp;" "&amp;Milestones!$AB$141&amp;" "&amp;Milestones!$AC$141&amp;";  ","")&amp;IF(AND(EDATE($D83,Milestones!$AA$142)&lt;=AsOfDate,IF($R83=0,$X83,IF(AND($T83&lt;&gt;"",EDATE($D83,Milestones!$AA$142)&gt;=$T83),$W83,IF(AND($S83&lt;&gt;"",EDATE($D83,Milestones!$AA$142)&gt;=$S83),$V83,$U83)))=Milestones!$AB$142),UPPER(TEXT(EDATE($D83,Milestones!$AA$142),"dd mmm yy"))&amp;" "&amp;Milestones!$AB$142&amp;" "&amp;Milestones!$AC$142&amp;";  ","")&amp;IF(AND(EDATE($D83,Milestones!$AA$143)&lt;=AsOfDate,IF($R83=0,$X83,IF(AND($T83&lt;&gt;"",EDATE($D83,Milestones!$AA$143)&gt;=$T83),$W83,IF(AND($S83&lt;&gt;"",EDATE($D83,Milestones!$AA$143)&gt;=$S83),$V83,$U83)))=Milestones!$AB$143),UPPER(TEXT(EDATE($D83,Milestones!$AA$143),"dd mmm yy"))&amp;" "&amp;Milestones!$AB$143&amp;" "&amp;Milestones!$AC$143&amp;";  ","")&amp;IF(AND(EDATE($D83,Milestones!$AA$144)&lt;=AsOfDate,IF($R83=0,$X83,IF(AND($T83&lt;&gt;"",EDATE($D83,Milestones!$AA$144)&gt;=$T83),$W83,IF(AND($S83&lt;&gt;"",EDATE($D83,Milestones!$AA$144)&gt;=$S83),$V83,$U83)))=Milestones!$AB$144),UPPER(TEXT(EDATE($D83,Milestones!$AA$144),"dd mmm yy"))&amp;" "&amp;Milestones!$AB$144&amp;" "&amp;Milestones!$AC$144&amp;";  ","")&amp;IF(AND(EDATE($D83,Milestones!$AA$145)&lt;=AsOfDate,IF($R83=0,$X83,IF(AND($T83&lt;&gt;"",EDATE($D83,Milestones!$AA$145)&gt;=$T83),$W83,IF(AND($S83&lt;&gt;"",EDATE($D83,Milestones!$AA$145)&gt;=$S83),$V83,$U83)))=Milestones!$AB$145),UPPER(TEXT(EDATE($D83,Milestones!$AA$145),"dd mmm yy"))&amp;" "&amp;Milestones!$AB$145&amp;" "&amp;Milestones!$AC$145&amp;";  ","")&amp;IF(AND(EDATE($D83,Milestones!$AA$146)&lt;=AsOfDate,IF($R83=0,$X83,IF(AND($T83&lt;&gt;"",EDATE($D83,Milestones!$AA$146)&gt;=$T83),$W83,IF(AND($S83&lt;&gt;"",EDATE($D83,Milestones!$AA$146)&gt;=$S83),$V83,$U83)))=Milestones!$AB$146),UPPER(TEXT(EDATE($D83,Milestones!$AA$146),"dd mmm yy"))&amp;" "&amp;Milestones!$AB$146&amp;" "&amp;Milestones!$AC$146&amp;";  ","")&amp;IF(AND(EDATE($D83,Milestones!$AA$147)&lt;=AsOfDate,IF($R83=0,$X83,IF(AND($T83&lt;&gt;"",EDATE($D83,Milestones!$AA$147)&gt;=$T83),$W83,IF(AND($S83&lt;&gt;"",EDATE($D83,Milestones!$AA$147)&gt;=$S83),$V83,$U83)))=Milestones!$AB$147),UPPER(TEXT(EDATE($D83,Milestones!$AA$147),"dd mmm yy"))&amp;" "&amp;Milestones!$AB$147&amp;" "&amp;Milestones!$AC$147&amp;";  ","")&amp;IF(AND(EDATE($D83,Milestones!$AA$148)&lt;=AsOfDate,IF($R83=0,$X83,IF(AND($T83&lt;&gt;"",EDATE($D83,Milestones!$AA$148)&gt;=$T83),$W83,IF(AND($S83&lt;&gt;"",EDATE($D83,Milestones!$AA$148)&gt;=$S83),$V83,$U83)))=Milestones!$AB$148),UPPER(TEXT(EDATE($D83,Milestones!$AA$148),"dd mmm yy"))&amp;" "&amp;Milestones!$AB$148&amp;" "&amp;Milestones!$AC$148&amp;";  ","")&amp;IF(AND(EDATE($D83,Milestones!$AA$149)&lt;=AsOfDate,IF($R83=0,$X83,IF(AND($T83&lt;&gt;"",EDATE($D83,Milestones!$AA$149)&gt;=$T83),$W83,IF(AND($S83&lt;&gt;"",EDATE($D83,Milestones!$AA$149)&gt;=$S83),$V83,$U83)))=Milestones!$AB$149),UPPER(TEXT(EDATE($D83,Milestones!$AA$149),"dd mmm yy"))&amp;" "&amp;Milestones!$AB$149&amp;" "&amp;Milestones!$AC$149&amp;";  ","")&amp;IF(AND(EDATE($D83,Milestones!$AA$150)&lt;=AsOfDate,IF($R83=0,$X83,IF(AND($T83&lt;&gt;"",EDATE($D83,Milestones!$AA$150)&gt;=$T83),$W83,IF(AND($S83&lt;&gt;"",EDATE($D83,Milestones!$AA$150)&gt;=$S83),$V83,$U83)))=Milestones!$AB$150),UPPER(TEXT(EDATE($D83,Milestones!$AA$150),"dd mmm yy"))&amp;" "&amp;Milestones!$AB$150&amp;" "&amp;Milestones!$AC$150&amp;";  ","")&amp;IF(AND(EDATE($D83,Milestones!$AA$151)&lt;=AsOfDate,IF($R83=0,$X83,IF(AND($T83&lt;&gt;"",EDATE($D83,Milestones!$AA$151)&gt;=$T83),$W83,IF(AND($S83&lt;&gt;"",EDATE($D83,Milestones!$AA$151)&gt;=$S83),$V83,$U83)))=Milestones!$AB$151),UPPER(TEXT(EDATE($D83,Milestones!$AA$151),"dd mmm yy"))&amp;" "&amp;Milestones!$AB$151&amp;" "&amp;Milestones!$AC$151&amp;";  ","")&amp;IF(AND(EDATE($D83,Milestones!$AA$152)&lt;=AsOfDate,IF($R83=0,$X83,IF(AND($T83&lt;&gt;"",EDATE($D83,Milestones!$AA$152)&gt;=$T83),$W83,IF(AND($S83&lt;&gt;"",EDATE($D83,Milestones!$AA$152)&gt;=$S83),$V83,$U83)))=Milestones!$AB$152),UPPER(TEXT(EDATE($D83,Milestones!$AA$152),"dd mmm yy"))&amp;" "&amp;Milestones!$AB$152&amp;" "&amp;Milestones!$AC$152&amp;";  ","")&amp;IF(AND(EDATE($D83,Milestones!$AA$153)&lt;=AsOfDate,IF($R83=0,$X83,IF(AND($T83&lt;&gt;"",EDATE($D83,Milestones!$AA$153)&gt;=$T83),$W83,IF(AND($S83&lt;&gt;"",EDATE($D83,Milestones!$AA$153)&gt;=$S83),$V83,$U83)))=Milestones!$AB$153),UPPER(TEXT(EDATE($D83,Milestones!$AA$153),"dd mmm yy"))&amp;" "&amp;Milestones!$AB$153&amp;" "&amp;Milestones!$AC$153&amp;";  ","")&amp;IF(AND(EDATE($D83,Milestones!$AA$154)&lt;=AsOfDate,IF($R83=0,$X83,IF(AND($T83&lt;&gt;"",EDATE($D83,Milestones!$AA$154)&gt;=$T83),$W83,IF(AND($S83&lt;&gt;"",EDATE($D83,Milestones!$AA$154)&gt;=$S83),$V83,$U83)))=Milestones!$AB$154),UPPER(TEXT(EDATE($D83,Milestones!$AA$154),"dd mmm yy"))&amp;" "&amp;Milestones!$AB$154&amp;" "&amp;Milestones!$AC$154&amp;";  ","")&amp;IF(AND(EDATE($D83,Milestones!$AA$155)&lt;=AsOfDate,IF($R83=0,$X83,IF(AND($T83&lt;&gt;"",EDATE($D83,Milestones!$AA$155)&gt;=$T83),$W83,IF(AND($S83&lt;&gt;"",EDATE($D83,Milestones!$AA$155)&gt;=$S83),$V83,$U83)))=Milestones!$AB$155),UPPER(TEXT(EDATE($D83,Milestones!$AA$155),"dd mmm yy"))&amp;" "&amp;Milestones!$AB$155&amp;" "&amp;Milestones!$AC$155&amp;";  ","")&amp;IF(AND(EDATE($D83,Milestones!$AA$156)&lt;=AsOfDate,IF($R83=0,$X83,IF(AND($T83&lt;&gt;"",EDATE($D83,Milestones!$AA$156)&gt;=$T83),$W83,IF(AND($S83&lt;&gt;"",EDATE($D83,Milestones!$AA$156)&gt;=$S83),$V83,$U83)))=Milestones!$AB$156),UPPER(TEXT(EDATE($D83,Milestones!$AA$156),"dd mmm yy"))&amp;" "&amp;Milestones!$AB$156&amp;" "&amp;Milestones!$AC$156&amp;";  ","")&amp;IF(AND(EDATE($D83,Milestones!$AA$157)&lt;=AsOfDate,IF($R83=0,$X83,IF(AND($T83&lt;&gt;"",EDATE($D83,Milestones!$AA$157)&gt;=$T83),$W83,IF(AND($S83&lt;&gt;"",EDATE($D83,Milestones!$AA$157)&gt;=$S83),$V83,$U83)))=Milestones!$AB$157),UPPER(TEXT(EDATE($D83,Milestones!$AA$157),"dd mmm yy"))&amp;" "&amp;Milestones!$AB$157&amp;" "&amp;Milestones!$AC$157&amp;";  ","")&amp;IF(AND(EDATE($D83,Milestones!$AA$158)&lt;=AsOfDate,IF($R83=0,$X83,IF(AND($T83&lt;&gt;"",EDATE($D83,Milestones!$AA$158)&gt;=$T83),$W83,IF(AND($S83&lt;&gt;"",EDATE($D83,Milestones!$AA$158)&gt;=$S83),$V83,$U83)))=Milestones!$AB$158),UPPER(TEXT(EDATE($D83,Milestones!$AA$158),"dd mmm yy"))&amp;" "&amp;Milestones!$AB$158&amp;" "&amp;Milestones!$AC$158&amp;";  ","")&amp;IF(AND(EDATE($D83,Milestones!$AA$159)&lt;=AsOfDate,IF($R83=0,$X83,IF(AND($T83&lt;&gt;"",EDATE($D83,Milestones!$AA$159)&gt;=$T83),$W83,IF(AND($S83&lt;&gt;"",EDATE($D83,Milestones!$AA$159)&gt;=$S83),$V83,$U83)))=Milestones!$AB$159),UPPER(TEXT(EDATE($D83,Milestones!$AA$159),"dd mmm yy"))&amp;" "&amp;Milestones!$AB$159&amp;" "&amp;Milestones!$AC$159&amp;";  ",""))</f>
        <v/>
      </c>
      <c r="P83" s="0" t="str">
        <f aca="false">IF(OR($A83="",$D83=""),"",IF(AND(EDATE($D83,Milestones!$AA$160)&lt;=AsOfDate,IF($R83=0,$X83,IF(AND($T83&lt;&gt;"",EDATE($D83,Milestones!$AA$160)&gt;=$T83),$W83,IF(AND($S83&lt;&gt;"",EDATE($D83,Milestones!$AA$160)&gt;=$S83),$V83,$U83)))=Milestones!$AB$160),UPPER(TEXT(EDATE($D83,Milestones!$AA$160),"dd mmm yy"))&amp;" "&amp;Milestones!$AB$160&amp;" "&amp;Milestones!$AC$160&amp;";  ","")&amp;IF(AND(EDATE($D83,Milestones!$AA$161)&lt;=AsOfDate,IF($R83=0,$X83,IF(AND($T83&lt;&gt;"",EDATE($D83,Milestones!$AA$161)&gt;=$T83),$W83,IF(AND($S83&lt;&gt;"",EDATE($D83,Milestones!$AA$161)&gt;=$S83),$V83,$U83)))=Milestones!$AB$161),UPPER(TEXT(EDATE($D83,Milestones!$AA$161),"dd mmm yy"))&amp;" "&amp;Milestones!$AB$161&amp;" "&amp;Milestones!$AC$161&amp;";  ","")&amp;IF(AND(EDATE($D83,Milestones!$AA$162)&lt;=AsOfDate,IF($R83=0,$X83,IF(AND($T83&lt;&gt;"",EDATE($D83,Milestones!$AA$162)&gt;=$T83),$W83,IF(AND($S83&lt;&gt;"",EDATE($D83,Milestones!$AA$162)&gt;=$S83),$V83,$U83)))=Milestones!$AB$162),UPPER(TEXT(EDATE($D83,Milestones!$AA$162),"dd mmm yy"))&amp;" "&amp;Milestones!$AB$162&amp;" "&amp;Milestones!$AC$162&amp;";  ","")&amp;IF(AND(EDATE($D83,Milestones!$AA$163)&lt;=AsOfDate,IF($R83=0,$X83,IF(AND($T83&lt;&gt;"",EDATE($D83,Milestones!$AA$163)&gt;=$T83),$W83,IF(AND($S83&lt;&gt;"",EDATE($D83,Milestones!$AA$163)&gt;=$S83),$V83,$U83)))=Milestones!$AB$163),UPPER(TEXT(EDATE($D83,Milestones!$AA$163),"dd mmm yy"))&amp;" "&amp;Milestones!$AB$163&amp;" "&amp;Milestones!$AC$163&amp;";  ","")&amp;IF(AND(EDATE($D83,Milestones!$AA$164)&lt;=AsOfDate,IF($R83=0,$X83,IF(AND($T83&lt;&gt;"",EDATE($D83,Milestones!$AA$164)&gt;=$T83),$W83,IF(AND($S83&lt;&gt;"",EDATE($D83,Milestones!$AA$164)&gt;=$S83),$V83,$U83)))=Milestones!$AB$164),UPPER(TEXT(EDATE($D83,Milestones!$AA$164),"dd mmm yy"))&amp;" "&amp;Milestones!$AB$164&amp;" "&amp;Milestones!$AC$164&amp;";  ","")&amp;IF(AND(EDATE($D83,Milestones!$AA$165)&lt;=AsOfDate,IF($R83=0,$X83,IF(AND($T83&lt;&gt;"",EDATE($D83,Milestones!$AA$165)&gt;=$T83),$W83,IF(AND($S83&lt;&gt;"",EDATE($D83,Milestones!$AA$165)&gt;=$S83),$V83,$U83)))=Milestones!$AB$165),UPPER(TEXT(EDATE($D83,Milestones!$AA$165),"dd mmm yy"))&amp;" "&amp;Milestones!$AB$165&amp;" "&amp;Milestones!$AC$165&amp;";  ","")&amp;IF(AND(EDATE($D83,Milestones!$AA$166)&lt;=AsOfDate,IF($R83=0,$X83,IF(AND($T83&lt;&gt;"",EDATE($D83,Milestones!$AA$166)&gt;=$T83),$W83,IF(AND($S83&lt;&gt;"",EDATE($D83,Milestones!$AA$166)&gt;=$S83),$V83,$U83)))=Milestones!$AB$166),UPPER(TEXT(EDATE($D83,Milestones!$AA$166),"dd mmm yy"))&amp;" "&amp;Milestones!$AB$166&amp;" "&amp;Milestones!$AC$166&amp;";  ","")&amp;IF(AND(EDATE($D83,Milestones!$AA$167)&lt;=AsOfDate,IF($R83=0,$X83,IF(AND($T83&lt;&gt;"",EDATE($D83,Milestones!$AA$167)&gt;=$T83),$W83,IF(AND($S83&lt;&gt;"",EDATE($D83,Milestones!$AA$167)&gt;=$S83),$V83,$U83)))=Milestones!$AB$167),UPPER(TEXT(EDATE($D83,Milestones!$AA$167),"dd mmm yy"))&amp;" "&amp;Milestones!$AB$167&amp;" "&amp;Milestones!$AC$167&amp;";  ","")&amp;IF(AND(EDATE($D83,Milestones!$AA$168)&lt;=AsOfDate,IF($R83=0,$X83,IF(AND($T83&lt;&gt;"",EDATE($D83,Milestones!$AA$168)&gt;=$T83),$W83,IF(AND($S83&lt;&gt;"",EDATE($D83,Milestones!$AA$168)&gt;=$S83),$V83,$U83)))=Milestones!$AB$168),UPPER(TEXT(EDATE($D83,Milestones!$AA$168),"dd mmm yy"))&amp;" "&amp;Milestones!$AB$168&amp;" "&amp;Milestones!$AC$168&amp;";  ","")&amp;IF(AND(EDATE($D83,Milestones!$AA$169)&lt;=AsOfDate,IF($R83=0,$X83,IF(AND($T83&lt;&gt;"",EDATE($D83,Milestones!$AA$169)&gt;=$T83),$W83,IF(AND($S83&lt;&gt;"",EDATE($D83,Milestones!$AA$169)&gt;=$S83),$V83,$U83)))=Milestones!$AB$169),UPPER(TEXT(EDATE($D83,Milestones!$AA$169),"dd mmm yy"))&amp;" "&amp;Milestones!$AB$169&amp;" "&amp;Milestones!$AC$169&amp;";  ","")&amp;IF(AND(EDATE($D83,Milestones!$AA$170)&lt;=AsOfDate,IF($R83=0,$X83,IF(AND($T83&lt;&gt;"",EDATE($D83,Milestones!$AA$170)&gt;=$T83),$W83,IF(AND($S83&lt;&gt;"",EDATE($D83,Milestones!$AA$170)&gt;=$S83),$V83,$U83)))=Milestones!$AB$170),UPPER(TEXT(EDATE($D83,Milestones!$AA$170),"dd mmm yy"))&amp;" "&amp;Milestones!$AB$170&amp;" "&amp;Milestones!$AC$170&amp;";  ","")&amp;IF(AND(EDATE($D83,Milestones!$AA$171)&lt;=AsOfDate,IF($R83=0,$X83,IF(AND($T83&lt;&gt;"",EDATE($D83,Milestones!$AA$171)&gt;=$T83),$W83,IF(AND($S83&lt;&gt;"",EDATE($D83,Milestones!$AA$171)&gt;=$S83),$V83,$U83)))=Milestones!$AB$171),UPPER(TEXT(EDATE($D83,Milestones!$AA$171),"dd mmm yy"))&amp;" "&amp;Milestones!$AB$171&amp;" "&amp;Milestones!$AC$171&amp;";  ","")&amp;IF(AND(EDATE($D83,Milestones!$AA$172)&lt;=AsOfDate,IF($R83=0,$X83,IF(AND($T83&lt;&gt;"",EDATE($D83,Milestones!$AA$172)&gt;=$T83),$W83,IF(AND($S83&lt;&gt;"",EDATE($D83,Milestones!$AA$172)&gt;=$S83),$V83,$U83)))=Milestones!$AB$172),UPPER(TEXT(EDATE($D83,Milestones!$AA$172),"dd mmm yy"))&amp;" "&amp;Milestones!$AB$172&amp;" "&amp;Milestones!$AC$172&amp;";  ","")&amp;IF(AND(EDATE($D83,Milestones!$AA$173)&lt;=AsOfDate,IF($R83=0,$X83,IF(AND($T83&lt;&gt;"",EDATE($D83,Milestones!$AA$173)&gt;=$T83),$W83,IF(AND($S83&lt;&gt;"",EDATE($D83,Milestones!$AA$173)&gt;=$S83),$V83,$U83)))=Milestones!$AB$173),UPPER(TEXT(EDATE($D83,Milestones!$AA$173),"dd mmm yy"))&amp;" "&amp;Milestones!$AB$173&amp;" "&amp;Milestones!$AC$173&amp;";  ","")&amp;IF(AND(EDATE($D83,Milestones!$AA$174)&lt;=AsOfDate,IF($R83=0,$X83,IF(AND($T83&lt;&gt;"",EDATE($D83,Milestones!$AA$174)&gt;=$T83),$W83,IF(AND($S83&lt;&gt;"",EDATE($D83,Milestones!$AA$174)&gt;=$S83),$V83,$U83)))=Milestones!$AB$174),UPPER(TEXT(EDATE($D83,Milestones!$AA$174),"dd mmm yy"))&amp;" "&amp;Milestones!$AB$174&amp;" "&amp;Milestones!$AC$174&amp;";  ","")&amp;IF(AND(EDATE($D83,Milestones!$AA$175)&lt;=AsOfDate,IF($R83=0,$X83,IF(AND($T83&lt;&gt;"",EDATE($D83,Milestones!$AA$175)&gt;=$T83),$W83,IF(AND($S83&lt;&gt;"",EDATE($D83,Milestones!$AA$175)&gt;=$S83),$V83,$U83)))=Milestones!$AB$175),UPPER(TEXT(EDATE($D83,Milestones!$AA$175),"dd mmm yy"))&amp;" "&amp;Milestones!$AB$175&amp;" "&amp;Milestones!$AC$175&amp;";  ","")&amp;IF(AND(EDATE($D83,Milestones!$AA$176)&lt;=AsOfDate,IF($R83=0,$X83,IF(AND($T83&lt;&gt;"",EDATE($D83,Milestones!$AA$176)&gt;=$T83),$W83,IF(AND($S83&lt;&gt;"",EDATE($D83,Milestones!$AA$176)&gt;=$S83),$V83,$U83)))=Milestones!$AB$176),UPPER(TEXT(EDATE($D83,Milestones!$AA$176),"dd mmm yy"))&amp;" "&amp;Milestones!$AB$176&amp;" "&amp;Milestones!$AC$176&amp;";  ","")&amp;IF(AND(EDATE($D83,Milestones!$AA$177)&lt;=AsOfDate,IF($R83=0,$X83,IF(AND($T83&lt;&gt;"",EDATE($D83,Milestones!$AA$177)&gt;=$T83),$W83,IF(AND($S83&lt;&gt;"",EDATE($D83,Milestones!$AA$177)&gt;=$S83),$V83,$U83)))=Milestones!$AB$177),UPPER(TEXT(EDATE($D83,Milestones!$AA$177),"dd mmm yy"))&amp;" "&amp;Milestones!$AB$177&amp;" "&amp;Milestones!$AC$177&amp;";  ","")&amp;IF(AND(EDATE($D83,Milestones!$AA$178)&lt;=AsOfDate,IF($R83=0,$X83,IF(AND($T83&lt;&gt;"",EDATE($D83,Milestones!$AA$178)&gt;=$T83),$W83,IF(AND($S83&lt;&gt;"",EDATE($D83,Milestones!$AA$178)&gt;=$S83),$V83,$U83)))=Milestones!$AB$178),UPPER(TEXT(EDATE($D83,Milestones!$AA$178),"dd mmm yy"))&amp;" "&amp;Milestones!$AB$178&amp;" "&amp;Milestones!$AC$178&amp;";  ","")&amp;IF(AND(EDATE($D83,Milestones!$AA$179)&lt;=AsOfDate,IF($R83=0,$X83,IF(AND($T83&lt;&gt;"",EDATE($D83,Milestones!$AA$179)&gt;=$T83),$W83,IF(AND($S83&lt;&gt;"",EDATE($D83,Milestones!$AA$179)&gt;=$S83),$V83,$U83)))=Milestones!$AB$179),UPPER(TEXT(EDATE($D83,Milestones!$AA$179),"dd mmm yy"))&amp;" "&amp;Milestones!$AB$179&amp;" "&amp;Milestones!$AC$179&amp;";  ",""))</f>
        <v/>
      </c>
      <c r="Q83" s="0" t="str">
        <f aca="false">IF(OR($A83="",$D83=""),"",IF(AND(EDATE($D83,Milestones!$AA$180)&lt;=AsOfDate,IF($R83=0,$X83,IF(AND($T83&lt;&gt;"",EDATE($D83,Milestones!$AA$180)&gt;=$T83),$W83,IF(AND($S83&lt;&gt;"",EDATE($D83,Milestones!$AA$180)&gt;=$S83),$V83,$U83)))=Milestones!$AB$180),UPPER(TEXT(EDATE($D83,Milestones!$AA$180),"dd mmm yy"))&amp;" "&amp;Milestones!$AB$180&amp;" "&amp;Milestones!$AC$180&amp;";  ","")&amp;IF(AND(EDATE($D83,Milestones!$AA$181)&lt;=AsOfDate,IF($R83=0,$X83,IF(AND($T83&lt;&gt;"",EDATE($D83,Milestones!$AA$181)&gt;=$T83),$W83,IF(AND($S83&lt;&gt;"",EDATE($D83,Milestones!$AA$181)&gt;=$S83),$V83,$U83)))=Milestones!$AB$181),UPPER(TEXT(EDATE($D83,Milestones!$AA$181),"dd mmm yy"))&amp;" "&amp;Milestones!$AB$181&amp;" "&amp;Milestones!$AC$181&amp;";  ","")&amp;IF(AND(EDATE($D83,Milestones!$AA$182)&lt;=AsOfDate,IF($R83=0,$X83,IF(AND($T83&lt;&gt;"",EDATE($D83,Milestones!$AA$182)&gt;=$T83),$W83,IF(AND($S83&lt;&gt;"",EDATE($D83,Milestones!$AA$182)&gt;=$S83),$V83,$U83)))=Milestones!$AB$182),UPPER(TEXT(EDATE($D83,Milestones!$AA$182),"dd mmm yy"))&amp;" "&amp;Milestones!$AB$182&amp;" "&amp;Milestones!$AC$182&amp;";  ","")&amp;IF(AND(EDATE($D83,Milestones!$AA$183)&lt;=AsOfDate,IF($R83=0,$X83,IF(AND($T83&lt;&gt;"",EDATE($D83,Milestones!$AA$183)&gt;=$T83),$W83,IF(AND($S83&lt;&gt;"",EDATE($D83,Milestones!$AA$183)&gt;=$S83),$V83,$U83)))=Milestones!$AB$183),UPPER(TEXT(EDATE($D83,Milestones!$AA$183),"dd mmm yy"))&amp;" "&amp;Milestones!$AB$183&amp;" "&amp;Milestones!$AC$183&amp;";  ","")&amp;IF(AND(EDATE($D83,Milestones!$AA$184)&lt;=AsOfDate,IF($R83=0,$X83,IF(AND($T83&lt;&gt;"",EDATE($D83,Milestones!$AA$184)&gt;=$T83),$W83,IF(AND($S83&lt;&gt;"",EDATE($D83,Milestones!$AA$184)&gt;=$S83),$V83,$U83)))=Milestones!$AB$184),UPPER(TEXT(EDATE($D83,Milestones!$AA$184),"dd mmm yy"))&amp;" "&amp;Milestones!$AB$184&amp;" "&amp;Milestones!$AC$184&amp;";  ","")&amp;IF(AND(EDATE($D83,Milestones!$AA$185)&lt;=AsOfDate,IF($R83=0,$X83,IF(AND($T83&lt;&gt;"",EDATE($D83,Milestones!$AA$185)&gt;=$T83),$W83,IF(AND($S83&lt;&gt;"",EDATE($D83,Milestones!$AA$185)&gt;=$S83),$V83,$U83)))=Milestones!$AB$185),UPPER(TEXT(EDATE($D83,Milestones!$AA$185),"dd mmm yy"))&amp;" "&amp;Milestones!$AB$185&amp;" "&amp;Milestones!$AC$185&amp;";  ","")&amp;IF(AND(EDATE($D83,Milestones!$AA$186)&lt;=AsOfDate,IF($R83=0,$X83,IF(AND($T83&lt;&gt;"",EDATE($D83,Milestones!$AA$186)&gt;=$T83),$W83,IF(AND($S83&lt;&gt;"",EDATE($D83,Milestones!$AA$186)&gt;=$S83),$V83,$U83)))=Milestones!$AB$186),UPPER(TEXT(EDATE($D83,Milestones!$AA$186),"dd mmm yy"))&amp;" "&amp;Milestones!$AB$186&amp;" "&amp;Milestones!$AC$186&amp;";  ","")&amp;IF(AND(EDATE($D83,Milestones!$AA$187)&lt;=AsOfDate,IF($R83=0,$X83,IF(AND($T83&lt;&gt;"",EDATE($D83,Milestones!$AA$187)&gt;=$T83),$W83,IF(AND($S83&lt;&gt;"",EDATE($D83,Milestones!$AA$187)&gt;=$S83),$V83,$U83)))=Milestones!$AB$187),UPPER(TEXT(EDATE($D83,Milestones!$AA$187),"dd mmm yy"))&amp;" "&amp;Milestones!$AB$187&amp;" "&amp;Milestones!$AC$187&amp;";  ","")&amp;IF(AND(EDATE($D83,Milestones!$AA$188)&lt;=AsOfDate,IF($R83=0,$X83,IF(AND($T83&lt;&gt;"",EDATE($D83,Milestones!$AA$188)&gt;=$T83),$W83,IF(AND($S83&lt;&gt;"",EDATE($D83,Milestones!$AA$188)&gt;=$S83),$V83,$U83)))=Milestones!$AB$188),UPPER(TEXT(EDATE($D83,Milestones!$AA$188),"dd mmm yy"))&amp;" "&amp;Milestones!$AB$188&amp;" "&amp;Milestones!$AC$188&amp;";  ","")&amp;IF(AND(EDATE($D83,Milestones!$AA$189)&lt;=AsOfDate,IF($R83=0,$X83,IF(AND($T83&lt;&gt;"",EDATE($D83,Milestones!$AA$189)&gt;=$T83),$W83,IF(AND($S83&lt;&gt;"",EDATE($D83,Milestones!$AA$189)&gt;=$S83),$V83,$U83)))=Milestones!$AB$189),UPPER(TEXT(EDATE($D83,Milestones!$AA$189),"dd mmm yy"))&amp;" "&amp;Milestones!$AB$189&amp;" "&amp;Milestones!$AC$189&amp;";  ","")&amp;IF(AND(EDATE($D83,Milestones!$AA$190)&lt;=AsOfDate,IF($R83=0,$X83,IF(AND($T83&lt;&gt;"",EDATE($D83,Milestones!$AA$190)&gt;=$T83),$W83,IF(AND($S83&lt;&gt;"",EDATE($D83,Milestones!$AA$190)&gt;=$S83),$V83,$U83)))=Milestones!$AB$190),UPPER(TEXT(EDATE($D83,Milestones!$AA$190),"dd mmm yy"))&amp;" "&amp;Milestones!$AB$190&amp;" "&amp;Milestones!$AC$190&amp;";  ","")&amp;IF(AND(EDATE($D83,Milestones!$AA$191)&lt;=AsOfDate,IF($R83=0,$X83,IF(AND($T83&lt;&gt;"",EDATE($D83,Milestones!$AA$191)&gt;=$T83),$W83,IF(AND($S83&lt;&gt;"",EDATE($D83,Milestones!$AA$191)&gt;=$S83),$V83,$U83)))=Milestones!$AB$191),UPPER(TEXT(EDATE($D83,Milestones!$AA$191),"dd mmm yy"))&amp;" "&amp;Milestones!$AB$191&amp;" "&amp;Milestones!$AC$191&amp;";  ","")&amp;IF(AND(EDATE($D83,Milestones!$AA$192)&lt;=AsOfDate,IF($R83=0,$X83,IF(AND($T83&lt;&gt;"",EDATE($D83,Milestones!$AA$192)&gt;=$T83),$W83,IF(AND($S83&lt;&gt;"",EDATE($D83,Milestones!$AA$192)&gt;=$S83),$V83,$U83)))=Milestones!$AB$192),UPPER(TEXT(EDATE($D83,Milestones!$AA$192),"dd mmm yy"))&amp;" "&amp;Milestones!$AB$192&amp;" "&amp;Milestones!$AC$192&amp;";  ","")&amp;IF(AND(EDATE($D83,Milestones!$AA$193)&lt;=AsOfDate,IF($R83=0,$X83,IF(AND($T83&lt;&gt;"",EDATE($D83,Milestones!$AA$193)&gt;=$T83),$W83,IF(AND($S83&lt;&gt;"",EDATE($D83,Milestones!$AA$193)&gt;=$S83),$V83,$U83)))=Milestones!$AB$193),UPPER(TEXT(EDATE($D83,Milestones!$AA$193),"dd mmm yy"))&amp;" "&amp;Milestones!$AB$193&amp;" "&amp;Milestones!$AC$193&amp;";  ","")&amp;IF(AND(EDATE($D83,Milestones!$AA$194)&lt;=AsOfDate,IF($R83=0,$X83,IF(AND($T83&lt;&gt;"",EDATE($D83,Milestones!$AA$194)&gt;=$T83),$W83,IF(AND($S83&lt;&gt;"",EDATE($D83,Milestones!$AA$194)&gt;=$S83),$V83,$U83)))=Milestones!$AB$194),UPPER(TEXT(EDATE($D83,Milestones!$AA$194),"dd mmm yy"))&amp;" "&amp;Milestones!$AB$194&amp;" "&amp;Milestones!$AC$194&amp;";  ","")&amp;IF(AND(EDATE($D83,Milestones!$AA$195)&lt;=AsOfDate,IF($R83=0,$X83,IF(AND($T83&lt;&gt;"",EDATE($D83,Milestones!$AA$195)&gt;=$T83),$W83,IF(AND($S83&lt;&gt;"",EDATE($D83,Milestones!$AA$195)&gt;=$S83),$V83,$U83)))=Milestones!$AB$195),UPPER(TEXT(EDATE($D83,Milestones!$AA$195),"dd mmm yy"))&amp;" "&amp;Milestones!$AB$195&amp;" "&amp;Milestones!$AC$195&amp;";  ","")&amp;IF(AND(EDATE($D83,Milestones!$AA$196)&lt;=AsOfDate,IF($R83=0,$X83,IF(AND($T83&lt;&gt;"",EDATE($D83,Milestones!$AA$196)&gt;=$T83),$W83,IF(AND($S83&lt;&gt;"",EDATE($D83,Milestones!$AA$196)&gt;=$S83),$V83,$U83)))=Milestones!$AB$196),UPPER(TEXT(EDATE($D83,Milestones!$AA$196),"dd mmm yy"))&amp;" "&amp;Milestones!$AB$196&amp;" "&amp;Milestones!$AC$196&amp;";  ","")&amp;IF(AND(EDATE($D83,Milestones!$AA$197)&lt;=AsOfDate,IF($R83=0,$X83,IF(AND($T83&lt;&gt;"",EDATE($D83,Milestones!$AA$197)&gt;=$T83),$W83,IF(AND($S83&lt;&gt;"",EDATE($D83,Milestones!$AA$197)&gt;=$S83),$V83,$U83)))=Milestones!$AB$197),UPPER(TEXT(EDATE($D83,Milestones!$AA$197),"dd mmm yy"))&amp;" "&amp;Milestones!$AB$197&amp;" "&amp;Milestones!$AC$197&amp;";  ","")&amp;IF(AND(EDATE($D83,Milestones!$AA$198)&lt;=AsOfDate,IF($R83=0,$X83,IF(AND($T83&lt;&gt;"",EDATE($D83,Milestones!$AA$198)&gt;=$T83),$W83,IF(AND($S83&lt;&gt;"",EDATE($D83,Milestones!$AA$198)&gt;=$S83),$V83,$U83)))=Milestones!$AB$198),UPPER(TEXT(EDATE($D83,Milestones!$AA$198),"dd mmm yy"))&amp;" "&amp;Milestones!$AB$198&amp;" "&amp;Milestones!$AC$198&amp;";  ","")&amp;IF(AND(EDATE($D83,Milestones!$AA$199)&lt;=AsOfDate,IF($R83=0,$X83,IF(AND($T83&lt;&gt;"",EDATE($D83,Milestones!$AA$199)&gt;=$T83),$W83,IF(AND($S83&lt;&gt;"",EDATE($D83,Milestones!$AA$199)&gt;=$S83),$V83,$U83)))=Milestones!$AB$199),UPPER(TEXT(EDATE($D83,Milestones!$AA$199),"dd mmm yy"))&amp;" "&amp;Milestones!$AB$199&amp;" "&amp;Milestones!$AC$199&amp;";  ",""))</f>
        <v/>
      </c>
      <c r="R83" s="0" t="str">
        <f aca="false">IF(Staff!$A83="","",Staff!$AI83)</f>
        <v/>
      </c>
      <c r="S83" s="0" t="str">
        <f aca="false">IF(Staff!$A83="","",Staff!$AK83)</f>
        <v/>
      </c>
      <c r="T83" s="0" t="str">
        <f aca="false">IF(Staff!$A83="","",Staff!$AL83)</f>
        <v/>
      </c>
      <c r="U83" s="0" t="str">
        <f aca="false">IF(Staff!$A83="","",Staff!$AP83)</f>
        <v/>
      </c>
      <c r="V83" s="0" t="str">
        <f aca="false">IF(Staff!$A83="","",Staff!$AQ83)</f>
        <v/>
      </c>
      <c r="W83" s="0" t="str">
        <f aca="false">IF(Staff!$A83="","",Staff!$AR83)</f>
        <v/>
      </c>
      <c r="X83" s="0" t="str">
        <f aca="false">IF(Staff!$A83="","",Staff!$AS83)</f>
        <v/>
      </c>
    </row>
    <row r="84" customFormat="false" ht="15" hidden="false" customHeight="false" outlineLevel="0" collapsed="false">
      <c r="A84" s="14" t="str">
        <f aca="false">IF(Staff!$A84="","",Staff!$A84)</f>
        <v/>
      </c>
      <c r="B84" s="14" t="str">
        <f aca="false">IF(Staff!$A84="","",Staff!$B84)</f>
        <v/>
      </c>
      <c r="C84" s="14" t="str">
        <f aca="false">IF(Staff!$A84="","",Staff!$C84)</f>
        <v/>
      </c>
      <c r="D84" s="12" t="str">
        <f aca="false">IF(Staff!$A84="","",Staff!$AH84)</f>
        <v/>
      </c>
      <c r="E84" s="14" t="str">
        <f aca="false">IF(Staff!$A84="","",Staff!$O84)</f>
        <v/>
      </c>
      <c r="F84" s="14" t="str">
        <f aca="false">IF(E84="","",E84*HoursPerDay)</f>
        <v/>
      </c>
      <c r="G84" s="14" t="str">
        <f aca="false">IF(Staff!$A84="","",Staff!$AE84)</f>
        <v/>
      </c>
      <c r="H84" s="26" t="str">
        <f aca="false">IF($A84="","",I84&amp;J84&amp;K84&amp;L84&amp;M84&amp;N84&amp;O84&amp;P84&amp;Q84)</f>
        <v/>
      </c>
      <c r="I84" s="0" t="str">
        <f aca="false">IF(OR($A84="",$D84=""),"",IF(AND(EDATE($D84,Milestones!$AA$20)&lt;=AsOfDate,IF($R84=0,$X84,IF(AND($T84&lt;&gt;"",EDATE($D84,Milestones!$AA$20)&gt;=$T84),$W84,IF(AND($S84&lt;&gt;"",EDATE($D84,Milestones!$AA$20)&gt;=$S84),$V84,$U84)))=Milestones!$AB$20),UPPER(TEXT(EDATE($D84,Milestones!$AA$20),"dd mmm yy"))&amp;" "&amp;Milestones!$AB$20&amp;" "&amp;Milestones!$AC$20&amp;";  ","")&amp;IF(AND(EDATE($D84,Milestones!$AA$21)&lt;=AsOfDate,IF($R84=0,$X84,IF(AND($T84&lt;&gt;"",EDATE($D84,Milestones!$AA$21)&gt;=$T84),$W84,IF(AND($S84&lt;&gt;"",EDATE($D84,Milestones!$AA$21)&gt;=$S84),$V84,$U84)))=Milestones!$AB$21),UPPER(TEXT(EDATE($D84,Milestones!$AA$21),"dd mmm yy"))&amp;" "&amp;Milestones!$AB$21&amp;" "&amp;Milestones!$AC$21&amp;";  ","")&amp;IF(AND(EDATE($D84,Milestones!$AA$22)&lt;=AsOfDate,IF($R84=0,$X84,IF(AND($T84&lt;&gt;"",EDATE($D84,Milestones!$AA$22)&gt;=$T84),$W84,IF(AND($S84&lt;&gt;"",EDATE($D84,Milestones!$AA$22)&gt;=$S84),$V84,$U84)))=Milestones!$AB$22),UPPER(TEXT(EDATE($D84,Milestones!$AA$22),"dd mmm yy"))&amp;" "&amp;Milestones!$AB$22&amp;" "&amp;Milestones!$AC$22&amp;";  ","")&amp;IF(AND(EDATE($D84,Milestones!$AA$23)&lt;=AsOfDate,IF($R84=0,$X84,IF(AND($T84&lt;&gt;"",EDATE($D84,Milestones!$AA$23)&gt;=$T84),$W84,IF(AND($S84&lt;&gt;"",EDATE($D84,Milestones!$AA$23)&gt;=$S84),$V84,$U84)))=Milestones!$AB$23),UPPER(TEXT(EDATE($D84,Milestones!$AA$23),"dd mmm yy"))&amp;" "&amp;Milestones!$AB$23&amp;" "&amp;Milestones!$AC$23&amp;";  ","")&amp;IF(AND(EDATE($D84,Milestones!$AA$24)&lt;=AsOfDate,IF($R84=0,$X84,IF(AND($T84&lt;&gt;"",EDATE($D84,Milestones!$AA$24)&gt;=$T84),$W84,IF(AND($S84&lt;&gt;"",EDATE($D84,Milestones!$AA$24)&gt;=$S84),$V84,$U84)))=Milestones!$AB$24),UPPER(TEXT(EDATE($D84,Milestones!$AA$24),"dd mmm yy"))&amp;" "&amp;Milestones!$AB$24&amp;" "&amp;Milestones!$AC$24&amp;";  ","")&amp;IF(AND(EDATE($D84,Milestones!$AA$25)&lt;=AsOfDate,IF($R84=0,$X84,IF(AND($T84&lt;&gt;"",EDATE($D84,Milestones!$AA$25)&gt;=$T84),$W84,IF(AND($S84&lt;&gt;"",EDATE($D84,Milestones!$AA$25)&gt;=$S84),$V84,$U84)))=Milestones!$AB$25),UPPER(TEXT(EDATE($D84,Milestones!$AA$25),"dd mmm yy"))&amp;" "&amp;Milestones!$AB$25&amp;" "&amp;Milestones!$AC$25&amp;";  ","")&amp;IF(AND(EDATE($D84,Milestones!$AA$26)&lt;=AsOfDate,IF($R84=0,$X84,IF(AND($T84&lt;&gt;"",EDATE($D84,Milestones!$AA$26)&gt;=$T84),$W84,IF(AND($S84&lt;&gt;"",EDATE($D84,Milestones!$AA$26)&gt;=$S84),$V84,$U84)))=Milestones!$AB$26),UPPER(TEXT(EDATE($D84,Milestones!$AA$26),"dd mmm yy"))&amp;" "&amp;Milestones!$AB$26&amp;" "&amp;Milestones!$AC$26&amp;";  ","")&amp;IF(AND(EDATE($D84,Milestones!$AA$27)&lt;=AsOfDate,IF($R84=0,$X84,IF(AND($T84&lt;&gt;"",EDATE($D84,Milestones!$AA$27)&gt;=$T84),$W84,IF(AND($S84&lt;&gt;"",EDATE($D84,Milestones!$AA$27)&gt;=$S84),$V84,$U84)))=Milestones!$AB$27),UPPER(TEXT(EDATE($D84,Milestones!$AA$27),"dd mmm yy"))&amp;" "&amp;Milestones!$AB$27&amp;" "&amp;Milestones!$AC$27&amp;";  ","")&amp;IF(AND(EDATE($D84,Milestones!$AA$28)&lt;=AsOfDate,IF($R84=0,$X84,IF(AND($T84&lt;&gt;"",EDATE($D84,Milestones!$AA$28)&gt;=$T84),$W84,IF(AND($S84&lt;&gt;"",EDATE($D84,Milestones!$AA$28)&gt;=$S84),$V84,$U84)))=Milestones!$AB$28),UPPER(TEXT(EDATE($D84,Milestones!$AA$28),"dd mmm yy"))&amp;" "&amp;Milestones!$AB$28&amp;" "&amp;Milestones!$AC$28&amp;";  ","")&amp;IF(AND(EDATE($D84,Milestones!$AA$29)&lt;=AsOfDate,IF($R84=0,$X84,IF(AND($T84&lt;&gt;"",EDATE($D84,Milestones!$AA$29)&gt;=$T84),$W84,IF(AND($S84&lt;&gt;"",EDATE($D84,Milestones!$AA$29)&gt;=$S84),$V84,$U84)))=Milestones!$AB$29),UPPER(TEXT(EDATE($D84,Milestones!$AA$29),"dd mmm yy"))&amp;" "&amp;Milestones!$AB$29&amp;" "&amp;Milestones!$AC$29&amp;";  ","")&amp;IF(AND(EDATE($D84,Milestones!$AA$30)&lt;=AsOfDate,IF($R84=0,$X84,IF(AND($T84&lt;&gt;"",EDATE($D84,Milestones!$AA$30)&gt;=$T84),$W84,IF(AND($S84&lt;&gt;"",EDATE($D84,Milestones!$AA$30)&gt;=$S84),$V84,$U84)))=Milestones!$AB$30),UPPER(TEXT(EDATE($D84,Milestones!$AA$30),"dd mmm yy"))&amp;" "&amp;Milestones!$AB$30&amp;" "&amp;Milestones!$AC$30&amp;";  ","")&amp;IF(AND(EDATE($D84,Milestones!$AA$31)&lt;=AsOfDate,IF($R84=0,$X84,IF(AND($T84&lt;&gt;"",EDATE($D84,Milestones!$AA$31)&gt;=$T84),$W84,IF(AND($S84&lt;&gt;"",EDATE($D84,Milestones!$AA$31)&gt;=$S84),$V84,$U84)))=Milestones!$AB$31),UPPER(TEXT(EDATE($D84,Milestones!$AA$31),"dd mmm yy"))&amp;" "&amp;Milestones!$AB$31&amp;" "&amp;Milestones!$AC$31&amp;";  ","")&amp;IF(AND(EDATE($D84,Milestones!$AA$32)&lt;=AsOfDate,IF($R84=0,$X84,IF(AND($T84&lt;&gt;"",EDATE($D84,Milestones!$AA$32)&gt;=$T84),$W84,IF(AND($S84&lt;&gt;"",EDATE($D84,Milestones!$AA$32)&gt;=$S84),$V84,$U84)))=Milestones!$AB$32),UPPER(TEXT(EDATE($D84,Milestones!$AA$32),"dd mmm yy"))&amp;" "&amp;Milestones!$AB$32&amp;" "&amp;Milestones!$AC$32&amp;";  ","")&amp;IF(AND(EDATE($D84,Milestones!$AA$33)&lt;=AsOfDate,IF($R84=0,$X84,IF(AND($T84&lt;&gt;"",EDATE($D84,Milestones!$AA$33)&gt;=$T84),$W84,IF(AND($S84&lt;&gt;"",EDATE($D84,Milestones!$AA$33)&gt;=$S84),$V84,$U84)))=Milestones!$AB$33),UPPER(TEXT(EDATE($D84,Milestones!$AA$33),"dd mmm yy"))&amp;" "&amp;Milestones!$AB$33&amp;" "&amp;Milestones!$AC$33&amp;";  ","")&amp;IF(AND(EDATE($D84,Milestones!$AA$34)&lt;=AsOfDate,IF($R84=0,$X84,IF(AND($T84&lt;&gt;"",EDATE($D84,Milestones!$AA$34)&gt;=$T84),$W84,IF(AND($S84&lt;&gt;"",EDATE($D84,Milestones!$AA$34)&gt;=$S84),$V84,$U84)))=Milestones!$AB$34),UPPER(TEXT(EDATE($D84,Milestones!$AA$34),"dd mmm yy"))&amp;" "&amp;Milestones!$AB$34&amp;" "&amp;Milestones!$AC$34&amp;";  ","")&amp;IF(AND(EDATE($D84,Milestones!$AA$35)&lt;=AsOfDate,IF($R84=0,$X84,IF(AND($T84&lt;&gt;"",EDATE($D84,Milestones!$AA$35)&gt;=$T84),$W84,IF(AND($S84&lt;&gt;"",EDATE($D84,Milestones!$AA$35)&gt;=$S84),$V84,$U84)))=Milestones!$AB$35),UPPER(TEXT(EDATE($D84,Milestones!$AA$35),"dd mmm yy"))&amp;" "&amp;Milestones!$AB$35&amp;" "&amp;Milestones!$AC$35&amp;";  ","")&amp;IF(AND(EDATE($D84,Milestones!$AA$36)&lt;=AsOfDate,IF($R84=0,$X84,IF(AND($T84&lt;&gt;"",EDATE($D84,Milestones!$AA$36)&gt;=$T84),$W84,IF(AND($S84&lt;&gt;"",EDATE($D84,Milestones!$AA$36)&gt;=$S84),$V84,$U84)))=Milestones!$AB$36),UPPER(TEXT(EDATE($D84,Milestones!$AA$36),"dd mmm yy"))&amp;" "&amp;Milestones!$AB$36&amp;" "&amp;Milestones!$AC$36&amp;";  ","")&amp;IF(AND(EDATE($D84,Milestones!$AA$37)&lt;=AsOfDate,IF($R84=0,$X84,IF(AND($T84&lt;&gt;"",EDATE($D84,Milestones!$AA$37)&gt;=$T84),$W84,IF(AND($S84&lt;&gt;"",EDATE($D84,Milestones!$AA$37)&gt;=$S84),$V84,$U84)))=Milestones!$AB$37),UPPER(TEXT(EDATE($D84,Milestones!$AA$37),"dd mmm yy"))&amp;" "&amp;Milestones!$AB$37&amp;" "&amp;Milestones!$AC$37&amp;";  ","")&amp;IF(AND(EDATE($D84,Milestones!$AA$38)&lt;=AsOfDate,IF($R84=0,$X84,IF(AND($T84&lt;&gt;"",EDATE($D84,Milestones!$AA$38)&gt;=$T84),$W84,IF(AND($S84&lt;&gt;"",EDATE($D84,Milestones!$AA$38)&gt;=$S84),$V84,$U84)))=Milestones!$AB$38),UPPER(TEXT(EDATE($D84,Milestones!$AA$38),"dd mmm yy"))&amp;" "&amp;Milestones!$AB$38&amp;" "&amp;Milestones!$AC$38&amp;";  ","")&amp;IF(AND(EDATE($D84,Milestones!$AA$39)&lt;=AsOfDate,IF($R84=0,$X84,IF(AND($T84&lt;&gt;"",EDATE($D84,Milestones!$AA$39)&gt;=$T84),$W84,IF(AND($S84&lt;&gt;"",EDATE($D84,Milestones!$AA$39)&gt;=$S84),$V84,$U84)))=Milestones!$AB$39),UPPER(TEXT(EDATE($D84,Milestones!$AA$39),"dd mmm yy"))&amp;" "&amp;Milestones!$AB$39&amp;" "&amp;Milestones!$AC$39&amp;";  ",""))</f>
        <v/>
      </c>
      <c r="J84" s="0" t="str">
        <f aca="false">IF(OR($A84="",$D84=""),"",IF(AND(EDATE($D84,Milestones!$AA$40)&lt;=AsOfDate,IF($R84=0,$X84,IF(AND($T84&lt;&gt;"",EDATE($D84,Milestones!$AA$40)&gt;=$T84),$W84,IF(AND($S84&lt;&gt;"",EDATE($D84,Milestones!$AA$40)&gt;=$S84),$V84,$U84)))=Milestones!$AB$40),UPPER(TEXT(EDATE($D84,Milestones!$AA$40),"dd mmm yy"))&amp;" "&amp;Milestones!$AB$40&amp;" "&amp;Milestones!$AC$40&amp;";  ","")&amp;IF(AND(EDATE($D84,Milestones!$AA$41)&lt;=AsOfDate,IF($R84=0,$X84,IF(AND($T84&lt;&gt;"",EDATE($D84,Milestones!$AA$41)&gt;=$T84),$W84,IF(AND($S84&lt;&gt;"",EDATE($D84,Milestones!$AA$41)&gt;=$S84),$V84,$U84)))=Milestones!$AB$41),UPPER(TEXT(EDATE($D84,Milestones!$AA$41),"dd mmm yy"))&amp;" "&amp;Milestones!$AB$41&amp;" "&amp;Milestones!$AC$41&amp;";  ","")&amp;IF(AND(EDATE($D84,Milestones!$AA$42)&lt;=AsOfDate,IF($R84=0,$X84,IF(AND($T84&lt;&gt;"",EDATE($D84,Milestones!$AA$42)&gt;=$T84),$W84,IF(AND($S84&lt;&gt;"",EDATE($D84,Milestones!$AA$42)&gt;=$S84),$V84,$U84)))=Milestones!$AB$42),UPPER(TEXT(EDATE($D84,Milestones!$AA$42),"dd mmm yy"))&amp;" "&amp;Milestones!$AB$42&amp;" "&amp;Milestones!$AC$42&amp;";  ","")&amp;IF(AND(EDATE($D84,Milestones!$AA$43)&lt;=AsOfDate,IF($R84=0,$X84,IF(AND($T84&lt;&gt;"",EDATE($D84,Milestones!$AA$43)&gt;=$T84),$W84,IF(AND($S84&lt;&gt;"",EDATE($D84,Milestones!$AA$43)&gt;=$S84),$V84,$U84)))=Milestones!$AB$43),UPPER(TEXT(EDATE($D84,Milestones!$AA$43),"dd mmm yy"))&amp;" "&amp;Milestones!$AB$43&amp;" "&amp;Milestones!$AC$43&amp;";  ","")&amp;IF(AND(EDATE($D84,Milestones!$AA$44)&lt;=AsOfDate,IF($R84=0,$X84,IF(AND($T84&lt;&gt;"",EDATE($D84,Milestones!$AA$44)&gt;=$T84),$W84,IF(AND($S84&lt;&gt;"",EDATE($D84,Milestones!$AA$44)&gt;=$S84),$V84,$U84)))=Milestones!$AB$44),UPPER(TEXT(EDATE($D84,Milestones!$AA$44),"dd mmm yy"))&amp;" "&amp;Milestones!$AB$44&amp;" "&amp;Milestones!$AC$44&amp;";  ","")&amp;IF(AND(EDATE($D84,Milestones!$AA$45)&lt;=AsOfDate,IF($R84=0,$X84,IF(AND($T84&lt;&gt;"",EDATE($D84,Milestones!$AA$45)&gt;=$T84),$W84,IF(AND($S84&lt;&gt;"",EDATE($D84,Milestones!$AA$45)&gt;=$S84),$V84,$U84)))=Milestones!$AB$45),UPPER(TEXT(EDATE($D84,Milestones!$AA$45),"dd mmm yy"))&amp;" "&amp;Milestones!$AB$45&amp;" "&amp;Milestones!$AC$45&amp;";  ","")&amp;IF(AND(EDATE($D84,Milestones!$AA$46)&lt;=AsOfDate,IF($R84=0,$X84,IF(AND($T84&lt;&gt;"",EDATE($D84,Milestones!$AA$46)&gt;=$T84),$W84,IF(AND($S84&lt;&gt;"",EDATE($D84,Milestones!$AA$46)&gt;=$S84),$V84,$U84)))=Milestones!$AB$46),UPPER(TEXT(EDATE($D84,Milestones!$AA$46),"dd mmm yy"))&amp;" "&amp;Milestones!$AB$46&amp;" "&amp;Milestones!$AC$46&amp;";  ","")&amp;IF(AND(EDATE($D84,Milestones!$AA$47)&lt;=AsOfDate,IF($R84=0,$X84,IF(AND($T84&lt;&gt;"",EDATE($D84,Milestones!$AA$47)&gt;=$T84),$W84,IF(AND($S84&lt;&gt;"",EDATE($D84,Milestones!$AA$47)&gt;=$S84),$V84,$U84)))=Milestones!$AB$47),UPPER(TEXT(EDATE($D84,Milestones!$AA$47),"dd mmm yy"))&amp;" "&amp;Milestones!$AB$47&amp;" "&amp;Milestones!$AC$47&amp;";  ","")&amp;IF(AND(EDATE($D84,Milestones!$AA$48)&lt;=AsOfDate,IF($R84=0,$X84,IF(AND($T84&lt;&gt;"",EDATE($D84,Milestones!$AA$48)&gt;=$T84),$W84,IF(AND($S84&lt;&gt;"",EDATE($D84,Milestones!$AA$48)&gt;=$S84),$V84,$U84)))=Milestones!$AB$48),UPPER(TEXT(EDATE($D84,Milestones!$AA$48),"dd mmm yy"))&amp;" "&amp;Milestones!$AB$48&amp;" "&amp;Milestones!$AC$48&amp;";  ","")&amp;IF(AND(EDATE($D84,Milestones!$AA$49)&lt;=AsOfDate,IF($R84=0,$X84,IF(AND($T84&lt;&gt;"",EDATE($D84,Milestones!$AA$49)&gt;=$T84),$W84,IF(AND($S84&lt;&gt;"",EDATE($D84,Milestones!$AA$49)&gt;=$S84),$V84,$U84)))=Milestones!$AB$49),UPPER(TEXT(EDATE($D84,Milestones!$AA$49),"dd mmm yy"))&amp;" "&amp;Milestones!$AB$49&amp;" "&amp;Milestones!$AC$49&amp;";  ","")&amp;IF(AND(EDATE($D84,Milestones!$AA$50)&lt;=AsOfDate,IF($R84=0,$X84,IF(AND($T84&lt;&gt;"",EDATE($D84,Milestones!$AA$50)&gt;=$T84),$W84,IF(AND($S84&lt;&gt;"",EDATE($D84,Milestones!$AA$50)&gt;=$S84),$V84,$U84)))=Milestones!$AB$50),UPPER(TEXT(EDATE($D84,Milestones!$AA$50),"dd mmm yy"))&amp;" "&amp;Milestones!$AB$50&amp;" "&amp;Milestones!$AC$50&amp;";  ","")&amp;IF(AND(EDATE($D84,Milestones!$AA$51)&lt;=AsOfDate,IF($R84=0,$X84,IF(AND($T84&lt;&gt;"",EDATE($D84,Milestones!$AA$51)&gt;=$T84),$W84,IF(AND($S84&lt;&gt;"",EDATE($D84,Milestones!$AA$51)&gt;=$S84),$V84,$U84)))=Milestones!$AB$51),UPPER(TEXT(EDATE($D84,Milestones!$AA$51),"dd mmm yy"))&amp;" "&amp;Milestones!$AB$51&amp;" "&amp;Milestones!$AC$51&amp;";  ","")&amp;IF(AND(EDATE($D84,Milestones!$AA$52)&lt;=AsOfDate,IF($R84=0,$X84,IF(AND($T84&lt;&gt;"",EDATE($D84,Milestones!$AA$52)&gt;=$T84),$W84,IF(AND($S84&lt;&gt;"",EDATE($D84,Milestones!$AA$52)&gt;=$S84),$V84,$U84)))=Milestones!$AB$52),UPPER(TEXT(EDATE($D84,Milestones!$AA$52),"dd mmm yy"))&amp;" "&amp;Milestones!$AB$52&amp;" "&amp;Milestones!$AC$52&amp;";  ","")&amp;IF(AND(EDATE($D84,Milestones!$AA$53)&lt;=AsOfDate,IF($R84=0,$X84,IF(AND($T84&lt;&gt;"",EDATE($D84,Milestones!$AA$53)&gt;=$T84),$W84,IF(AND($S84&lt;&gt;"",EDATE($D84,Milestones!$AA$53)&gt;=$S84),$V84,$U84)))=Milestones!$AB$53),UPPER(TEXT(EDATE($D84,Milestones!$AA$53),"dd mmm yy"))&amp;" "&amp;Milestones!$AB$53&amp;" "&amp;Milestones!$AC$53&amp;";  ","")&amp;IF(AND(EDATE($D84,Milestones!$AA$54)&lt;=AsOfDate,IF($R84=0,$X84,IF(AND($T84&lt;&gt;"",EDATE($D84,Milestones!$AA$54)&gt;=$T84),$W84,IF(AND($S84&lt;&gt;"",EDATE($D84,Milestones!$AA$54)&gt;=$S84),$V84,$U84)))=Milestones!$AB$54),UPPER(TEXT(EDATE($D84,Milestones!$AA$54),"dd mmm yy"))&amp;" "&amp;Milestones!$AB$54&amp;" "&amp;Milestones!$AC$54&amp;";  ","")&amp;IF(AND(EDATE($D84,Milestones!$AA$55)&lt;=AsOfDate,IF($R84=0,$X84,IF(AND($T84&lt;&gt;"",EDATE($D84,Milestones!$AA$55)&gt;=$T84),$W84,IF(AND($S84&lt;&gt;"",EDATE($D84,Milestones!$AA$55)&gt;=$S84),$V84,$U84)))=Milestones!$AB$55),UPPER(TEXT(EDATE($D84,Milestones!$AA$55),"dd mmm yy"))&amp;" "&amp;Milestones!$AB$55&amp;" "&amp;Milestones!$AC$55&amp;";  ","")&amp;IF(AND(EDATE($D84,Milestones!$AA$56)&lt;=AsOfDate,IF($R84=0,$X84,IF(AND($T84&lt;&gt;"",EDATE($D84,Milestones!$AA$56)&gt;=$T84),$W84,IF(AND($S84&lt;&gt;"",EDATE($D84,Milestones!$AA$56)&gt;=$S84),$V84,$U84)))=Milestones!$AB$56),UPPER(TEXT(EDATE($D84,Milestones!$AA$56),"dd mmm yy"))&amp;" "&amp;Milestones!$AB$56&amp;" "&amp;Milestones!$AC$56&amp;";  ","")&amp;IF(AND(EDATE($D84,Milestones!$AA$57)&lt;=AsOfDate,IF($R84=0,$X84,IF(AND($T84&lt;&gt;"",EDATE($D84,Milestones!$AA$57)&gt;=$T84),$W84,IF(AND($S84&lt;&gt;"",EDATE($D84,Milestones!$AA$57)&gt;=$S84),$V84,$U84)))=Milestones!$AB$57),UPPER(TEXT(EDATE($D84,Milestones!$AA$57),"dd mmm yy"))&amp;" "&amp;Milestones!$AB$57&amp;" "&amp;Milestones!$AC$57&amp;";  ","")&amp;IF(AND(EDATE($D84,Milestones!$AA$58)&lt;=AsOfDate,IF($R84=0,$X84,IF(AND($T84&lt;&gt;"",EDATE($D84,Milestones!$AA$58)&gt;=$T84),$W84,IF(AND($S84&lt;&gt;"",EDATE($D84,Milestones!$AA$58)&gt;=$S84),$V84,$U84)))=Milestones!$AB$58),UPPER(TEXT(EDATE($D84,Milestones!$AA$58),"dd mmm yy"))&amp;" "&amp;Milestones!$AB$58&amp;" "&amp;Milestones!$AC$58&amp;";  ","")&amp;IF(AND(EDATE($D84,Milestones!$AA$59)&lt;=AsOfDate,IF($R84=0,$X84,IF(AND($T84&lt;&gt;"",EDATE($D84,Milestones!$AA$59)&gt;=$T84),$W84,IF(AND($S84&lt;&gt;"",EDATE($D84,Milestones!$AA$59)&gt;=$S84),$V84,$U84)))=Milestones!$AB$59),UPPER(TEXT(EDATE($D84,Milestones!$AA$59),"dd mmm yy"))&amp;" "&amp;Milestones!$AB$59&amp;" "&amp;Milestones!$AC$59&amp;";  ",""))</f>
        <v/>
      </c>
      <c r="K84" s="0" t="str">
        <f aca="false">IF(OR($A84="",$D84=""),"",IF(AND(EDATE($D84,Milestones!$AA$60)&lt;=AsOfDate,IF($R84=0,$X84,IF(AND($T84&lt;&gt;"",EDATE($D84,Milestones!$AA$60)&gt;=$T84),$W84,IF(AND($S84&lt;&gt;"",EDATE($D84,Milestones!$AA$60)&gt;=$S84),$V84,$U84)))=Milestones!$AB$60),UPPER(TEXT(EDATE($D84,Milestones!$AA$60),"dd mmm yy"))&amp;" "&amp;Milestones!$AB$60&amp;" "&amp;Milestones!$AC$60&amp;";  ","")&amp;IF(AND(EDATE($D84,Milestones!$AA$61)&lt;=AsOfDate,IF($R84=0,$X84,IF(AND($T84&lt;&gt;"",EDATE($D84,Milestones!$AA$61)&gt;=$T84),$W84,IF(AND($S84&lt;&gt;"",EDATE($D84,Milestones!$AA$61)&gt;=$S84),$V84,$U84)))=Milestones!$AB$61),UPPER(TEXT(EDATE($D84,Milestones!$AA$61),"dd mmm yy"))&amp;" "&amp;Milestones!$AB$61&amp;" "&amp;Milestones!$AC$61&amp;";  ","")&amp;IF(AND(EDATE($D84,Milestones!$AA$62)&lt;=AsOfDate,IF($R84=0,$X84,IF(AND($T84&lt;&gt;"",EDATE($D84,Milestones!$AA$62)&gt;=$T84),$W84,IF(AND($S84&lt;&gt;"",EDATE($D84,Milestones!$AA$62)&gt;=$S84),$V84,$U84)))=Milestones!$AB$62),UPPER(TEXT(EDATE($D84,Milestones!$AA$62),"dd mmm yy"))&amp;" "&amp;Milestones!$AB$62&amp;" "&amp;Milestones!$AC$62&amp;";  ","")&amp;IF(AND(EDATE($D84,Milestones!$AA$63)&lt;=AsOfDate,IF($R84=0,$X84,IF(AND($T84&lt;&gt;"",EDATE($D84,Milestones!$AA$63)&gt;=$T84),$W84,IF(AND($S84&lt;&gt;"",EDATE($D84,Milestones!$AA$63)&gt;=$S84),$V84,$U84)))=Milestones!$AB$63),UPPER(TEXT(EDATE($D84,Milestones!$AA$63),"dd mmm yy"))&amp;" "&amp;Milestones!$AB$63&amp;" "&amp;Milestones!$AC$63&amp;";  ","")&amp;IF(AND(EDATE($D84,Milestones!$AA$64)&lt;=AsOfDate,IF($R84=0,$X84,IF(AND($T84&lt;&gt;"",EDATE($D84,Milestones!$AA$64)&gt;=$T84),$W84,IF(AND($S84&lt;&gt;"",EDATE($D84,Milestones!$AA$64)&gt;=$S84),$V84,$U84)))=Milestones!$AB$64),UPPER(TEXT(EDATE($D84,Milestones!$AA$64),"dd mmm yy"))&amp;" "&amp;Milestones!$AB$64&amp;" "&amp;Milestones!$AC$64&amp;";  ","")&amp;IF(AND(EDATE($D84,Milestones!$AA$65)&lt;=AsOfDate,IF($R84=0,$X84,IF(AND($T84&lt;&gt;"",EDATE($D84,Milestones!$AA$65)&gt;=$T84),$W84,IF(AND($S84&lt;&gt;"",EDATE($D84,Milestones!$AA$65)&gt;=$S84),$V84,$U84)))=Milestones!$AB$65),UPPER(TEXT(EDATE($D84,Milestones!$AA$65),"dd mmm yy"))&amp;" "&amp;Milestones!$AB$65&amp;" "&amp;Milestones!$AC$65&amp;";  ","")&amp;IF(AND(EDATE($D84,Milestones!$AA$66)&lt;=AsOfDate,IF($R84=0,$X84,IF(AND($T84&lt;&gt;"",EDATE($D84,Milestones!$AA$66)&gt;=$T84),$W84,IF(AND($S84&lt;&gt;"",EDATE($D84,Milestones!$AA$66)&gt;=$S84),$V84,$U84)))=Milestones!$AB$66),UPPER(TEXT(EDATE($D84,Milestones!$AA$66),"dd mmm yy"))&amp;" "&amp;Milestones!$AB$66&amp;" "&amp;Milestones!$AC$66&amp;";  ","")&amp;IF(AND(EDATE($D84,Milestones!$AA$67)&lt;=AsOfDate,IF($R84=0,$X84,IF(AND($T84&lt;&gt;"",EDATE($D84,Milestones!$AA$67)&gt;=$T84),$W84,IF(AND($S84&lt;&gt;"",EDATE($D84,Milestones!$AA$67)&gt;=$S84),$V84,$U84)))=Milestones!$AB$67),UPPER(TEXT(EDATE($D84,Milestones!$AA$67),"dd mmm yy"))&amp;" "&amp;Milestones!$AB$67&amp;" "&amp;Milestones!$AC$67&amp;";  ","")&amp;IF(AND(EDATE($D84,Milestones!$AA$68)&lt;=AsOfDate,IF($R84=0,$X84,IF(AND($T84&lt;&gt;"",EDATE($D84,Milestones!$AA$68)&gt;=$T84),$W84,IF(AND($S84&lt;&gt;"",EDATE($D84,Milestones!$AA$68)&gt;=$S84),$V84,$U84)))=Milestones!$AB$68),UPPER(TEXT(EDATE($D84,Milestones!$AA$68),"dd mmm yy"))&amp;" "&amp;Milestones!$AB$68&amp;" "&amp;Milestones!$AC$68&amp;";  ","")&amp;IF(AND(EDATE($D84,Milestones!$AA$69)&lt;=AsOfDate,IF($R84=0,$X84,IF(AND($T84&lt;&gt;"",EDATE($D84,Milestones!$AA$69)&gt;=$T84),$W84,IF(AND($S84&lt;&gt;"",EDATE($D84,Milestones!$AA$69)&gt;=$S84),$V84,$U84)))=Milestones!$AB$69),UPPER(TEXT(EDATE($D84,Milestones!$AA$69),"dd mmm yy"))&amp;" "&amp;Milestones!$AB$69&amp;" "&amp;Milestones!$AC$69&amp;";  ","")&amp;IF(AND(EDATE($D84,Milestones!$AA$70)&lt;=AsOfDate,IF($R84=0,$X84,IF(AND($T84&lt;&gt;"",EDATE($D84,Milestones!$AA$70)&gt;=$T84),$W84,IF(AND($S84&lt;&gt;"",EDATE($D84,Milestones!$AA$70)&gt;=$S84),$V84,$U84)))=Milestones!$AB$70),UPPER(TEXT(EDATE($D84,Milestones!$AA$70),"dd mmm yy"))&amp;" "&amp;Milestones!$AB$70&amp;" "&amp;Milestones!$AC$70&amp;";  ","")&amp;IF(AND(EDATE($D84,Milestones!$AA$71)&lt;=AsOfDate,IF($R84=0,$X84,IF(AND($T84&lt;&gt;"",EDATE($D84,Milestones!$AA$71)&gt;=$T84),$W84,IF(AND($S84&lt;&gt;"",EDATE($D84,Milestones!$AA$71)&gt;=$S84),$V84,$U84)))=Milestones!$AB$71),UPPER(TEXT(EDATE($D84,Milestones!$AA$71),"dd mmm yy"))&amp;" "&amp;Milestones!$AB$71&amp;" "&amp;Milestones!$AC$71&amp;";  ","")&amp;IF(AND(EDATE($D84,Milestones!$AA$72)&lt;=AsOfDate,IF($R84=0,$X84,IF(AND($T84&lt;&gt;"",EDATE($D84,Milestones!$AA$72)&gt;=$T84),$W84,IF(AND($S84&lt;&gt;"",EDATE($D84,Milestones!$AA$72)&gt;=$S84),$V84,$U84)))=Milestones!$AB$72),UPPER(TEXT(EDATE($D84,Milestones!$AA$72),"dd mmm yy"))&amp;" "&amp;Milestones!$AB$72&amp;" "&amp;Milestones!$AC$72&amp;";  ","")&amp;IF(AND(EDATE($D84,Milestones!$AA$73)&lt;=AsOfDate,IF($R84=0,$X84,IF(AND($T84&lt;&gt;"",EDATE($D84,Milestones!$AA$73)&gt;=$T84),$W84,IF(AND($S84&lt;&gt;"",EDATE($D84,Milestones!$AA$73)&gt;=$S84),$V84,$U84)))=Milestones!$AB$73),UPPER(TEXT(EDATE($D84,Milestones!$AA$73),"dd mmm yy"))&amp;" "&amp;Milestones!$AB$73&amp;" "&amp;Milestones!$AC$73&amp;";  ","")&amp;IF(AND(EDATE($D84,Milestones!$AA$74)&lt;=AsOfDate,IF($R84=0,$X84,IF(AND($T84&lt;&gt;"",EDATE($D84,Milestones!$AA$74)&gt;=$T84),$W84,IF(AND($S84&lt;&gt;"",EDATE($D84,Milestones!$AA$74)&gt;=$S84),$V84,$U84)))=Milestones!$AB$74),UPPER(TEXT(EDATE($D84,Milestones!$AA$74),"dd mmm yy"))&amp;" "&amp;Milestones!$AB$74&amp;" "&amp;Milestones!$AC$74&amp;";  ","")&amp;IF(AND(EDATE($D84,Milestones!$AA$75)&lt;=AsOfDate,IF($R84=0,$X84,IF(AND($T84&lt;&gt;"",EDATE($D84,Milestones!$AA$75)&gt;=$T84),$W84,IF(AND($S84&lt;&gt;"",EDATE($D84,Milestones!$AA$75)&gt;=$S84),$V84,$U84)))=Milestones!$AB$75),UPPER(TEXT(EDATE($D84,Milestones!$AA$75),"dd mmm yy"))&amp;" "&amp;Milestones!$AB$75&amp;" "&amp;Milestones!$AC$75&amp;";  ","")&amp;IF(AND(EDATE($D84,Milestones!$AA$76)&lt;=AsOfDate,IF($R84=0,$X84,IF(AND($T84&lt;&gt;"",EDATE($D84,Milestones!$AA$76)&gt;=$T84),$W84,IF(AND($S84&lt;&gt;"",EDATE($D84,Milestones!$AA$76)&gt;=$S84),$V84,$U84)))=Milestones!$AB$76),UPPER(TEXT(EDATE($D84,Milestones!$AA$76),"dd mmm yy"))&amp;" "&amp;Milestones!$AB$76&amp;" "&amp;Milestones!$AC$76&amp;";  ","")&amp;IF(AND(EDATE($D84,Milestones!$AA$77)&lt;=AsOfDate,IF($R84=0,$X84,IF(AND($T84&lt;&gt;"",EDATE($D84,Milestones!$AA$77)&gt;=$T84),$W84,IF(AND($S84&lt;&gt;"",EDATE($D84,Milestones!$AA$77)&gt;=$S84),$V84,$U84)))=Milestones!$AB$77),UPPER(TEXT(EDATE($D84,Milestones!$AA$77),"dd mmm yy"))&amp;" "&amp;Milestones!$AB$77&amp;" "&amp;Milestones!$AC$77&amp;";  ","")&amp;IF(AND(EDATE($D84,Milestones!$AA$78)&lt;=AsOfDate,IF($R84=0,$X84,IF(AND($T84&lt;&gt;"",EDATE($D84,Milestones!$AA$78)&gt;=$T84),$W84,IF(AND($S84&lt;&gt;"",EDATE($D84,Milestones!$AA$78)&gt;=$S84),$V84,$U84)))=Milestones!$AB$78),UPPER(TEXT(EDATE($D84,Milestones!$AA$78),"dd mmm yy"))&amp;" "&amp;Milestones!$AB$78&amp;" "&amp;Milestones!$AC$78&amp;";  ","")&amp;IF(AND(EDATE($D84,Milestones!$AA$79)&lt;=AsOfDate,IF($R84=0,$X84,IF(AND($T84&lt;&gt;"",EDATE($D84,Milestones!$AA$79)&gt;=$T84),$W84,IF(AND($S84&lt;&gt;"",EDATE($D84,Milestones!$AA$79)&gt;=$S84),$V84,$U84)))=Milestones!$AB$79),UPPER(TEXT(EDATE($D84,Milestones!$AA$79),"dd mmm yy"))&amp;" "&amp;Milestones!$AB$79&amp;" "&amp;Milestones!$AC$79&amp;";  ",""))</f>
        <v/>
      </c>
      <c r="L84" s="0" t="str">
        <f aca="false">IF(OR($A84="",$D84=""),"",IF(AND(EDATE($D84,Milestones!$AA$80)&lt;=AsOfDate,IF($R84=0,$X84,IF(AND($T84&lt;&gt;"",EDATE($D84,Milestones!$AA$80)&gt;=$T84),$W84,IF(AND($S84&lt;&gt;"",EDATE($D84,Milestones!$AA$80)&gt;=$S84),$V84,$U84)))=Milestones!$AB$80),UPPER(TEXT(EDATE($D84,Milestones!$AA$80),"dd mmm yy"))&amp;" "&amp;Milestones!$AB$80&amp;" "&amp;Milestones!$AC$80&amp;";  ","")&amp;IF(AND(EDATE($D84,Milestones!$AA$81)&lt;=AsOfDate,IF($R84=0,$X84,IF(AND($T84&lt;&gt;"",EDATE($D84,Milestones!$AA$81)&gt;=$T84),$W84,IF(AND($S84&lt;&gt;"",EDATE($D84,Milestones!$AA$81)&gt;=$S84),$V84,$U84)))=Milestones!$AB$81),UPPER(TEXT(EDATE($D84,Milestones!$AA$81),"dd mmm yy"))&amp;" "&amp;Milestones!$AB$81&amp;" "&amp;Milestones!$AC$81&amp;";  ","")&amp;IF(AND(EDATE($D84,Milestones!$AA$82)&lt;=AsOfDate,IF($R84=0,$X84,IF(AND($T84&lt;&gt;"",EDATE($D84,Milestones!$AA$82)&gt;=$T84),$W84,IF(AND($S84&lt;&gt;"",EDATE($D84,Milestones!$AA$82)&gt;=$S84),$V84,$U84)))=Milestones!$AB$82),UPPER(TEXT(EDATE($D84,Milestones!$AA$82),"dd mmm yy"))&amp;" "&amp;Milestones!$AB$82&amp;" "&amp;Milestones!$AC$82&amp;";  ","")&amp;IF(AND(EDATE($D84,Milestones!$AA$83)&lt;=AsOfDate,IF($R84=0,$X84,IF(AND($T84&lt;&gt;"",EDATE($D84,Milestones!$AA$83)&gt;=$T84),$W84,IF(AND($S84&lt;&gt;"",EDATE($D84,Milestones!$AA$83)&gt;=$S84),$V84,$U84)))=Milestones!$AB$83),UPPER(TEXT(EDATE($D84,Milestones!$AA$83),"dd mmm yy"))&amp;" "&amp;Milestones!$AB$83&amp;" "&amp;Milestones!$AC$83&amp;";  ","")&amp;IF(AND(EDATE($D84,Milestones!$AA$84)&lt;=AsOfDate,IF($R84=0,$X84,IF(AND($T84&lt;&gt;"",EDATE($D84,Milestones!$AA$84)&gt;=$T84),$W84,IF(AND($S84&lt;&gt;"",EDATE($D84,Milestones!$AA$84)&gt;=$S84),$V84,$U84)))=Milestones!$AB$84),UPPER(TEXT(EDATE($D84,Milestones!$AA$84),"dd mmm yy"))&amp;" "&amp;Milestones!$AB$84&amp;" "&amp;Milestones!$AC$84&amp;";  ","")&amp;IF(AND(EDATE($D84,Milestones!$AA$85)&lt;=AsOfDate,IF($R84=0,$X84,IF(AND($T84&lt;&gt;"",EDATE($D84,Milestones!$AA$85)&gt;=$T84),$W84,IF(AND($S84&lt;&gt;"",EDATE($D84,Milestones!$AA$85)&gt;=$S84),$V84,$U84)))=Milestones!$AB$85),UPPER(TEXT(EDATE($D84,Milestones!$AA$85),"dd mmm yy"))&amp;" "&amp;Milestones!$AB$85&amp;" "&amp;Milestones!$AC$85&amp;";  ","")&amp;IF(AND(EDATE($D84,Milestones!$AA$86)&lt;=AsOfDate,IF($R84=0,$X84,IF(AND($T84&lt;&gt;"",EDATE($D84,Milestones!$AA$86)&gt;=$T84),$W84,IF(AND($S84&lt;&gt;"",EDATE($D84,Milestones!$AA$86)&gt;=$S84),$V84,$U84)))=Milestones!$AB$86),UPPER(TEXT(EDATE($D84,Milestones!$AA$86),"dd mmm yy"))&amp;" "&amp;Milestones!$AB$86&amp;" "&amp;Milestones!$AC$86&amp;";  ","")&amp;IF(AND(EDATE($D84,Milestones!$AA$87)&lt;=AsOfDate,IF($R84=0,$X84,IF(AND($T84&lt;&gt;"",EDATE($D84,Milestones!$AA$87)&gt;=$T84),$W84,IF(AND($S84&lt;&gt;"",EDATE($D84,Milestones!$AA$87)&gt;=$S84),$V84,$U84)))=Milestones!$AB$87),UPPER(TEXT(EDATE($D84,Milestones!$AA$87),"dd mmm yy"))&amp;" "&amp;Milestones!$AB$87&amp;" "&amp;Milestones!$AC$87&amp;";  ","")&amp;IF(AND(EDATE($D84,Milestones!$AA$88)&lt;=AsOfDate,IF($R84=0,$X84,IF(AND($T84&lt;&gt;"",EDATE($D84,Milestones!$AA$88)&gt;=$T84),$W84,IF(AND($S84&lt;&gt;"",EDATE($D84,Milestones!$AA$88)&gt;=$S84),$V84,$U84)))=Milestones!$AB$88),UPPER(TEXT(EDATE($D84,Milestones!$AA$88),"dd mmm yy"))&amp;" "&amp;Milestones!$AB$88&amp;" "&amp;Milestones!$AC$88&amp;";  ","")&amp;IF(AND(EDATE($D84,Milestones!$AA$89)&lt;=AsOfDate,IF($R84=0,$X84,IF(AND($T84&lt;&gt;"",EDATE($D84,Milestones!$AA$89)&gt;=$T84),$W84,IF(AND($S84&lt;&gt;"",EDATE($D84,Milestones!$AA$89)&gt;=$S84),$V84,$U84)))=Milestones!$AB$89),UPPER(TEXT(EDATE($D84,Milestones!$AA$89),"dd mmm yy"))&amp;" "&amp;Milestones!$AB$89&amp;" "&amp;Milestones!$AC$89&amp;";  ","")&amp;IF(AND(EDATE($D84,Milestones!$AA$90)&lt;=AsOfDate,IF($R84=0,$X84,IF(AND($T84&lt;&gt;"",EDATE($D84,Milestones!$AA$90)&gt;=$T84),$W84,IF(AND($S84&lt;&gt;"",EDATE($D84,Milestones!$AA$90)&gt;=$S84),$V84,$U84)))=Milestones!$AB$90),UPPER(TEXT(EDATE($D84,Milestones!$AA$90),"dd mmm yy"))&amp;" "&amp;Milestones!$AB$90&amp;" "&amp;Milestones!$AC$90&amp;";  ","")&amp;IF(AND(EDATE($D84,Milestones!$AA$91)&lt;=AsOfDate,IF($R84=0,$X84,IF(AND($T84&lt;&gt;"",EDATE($D84,Milestones!$AA$91)&gt;=$T84),$W84,IF(AND($S84&lt;&gt;"",EDATE($D84,Milestones!$AA$91)&gt;=$S84),$V84,$U84)))=Milestones!$AB$91),UPPER(TEXT(EDATE($D84,Milestones!$AA$91),"dd mmm yy"))&amp;" "&amp;Milestones!$AB$91&amp;" "&amp;Milestones!$AC$91&amp;";  ","")&amp;IF(AND(EDATE($D84,Milestones!$AA$92)&lt;=AsOfDate,IF($R84=0,$X84,IF(AND($T84&lt;&gt;"",EDATE($D84,Milestones!$AA$92)&gt;=$T84),$W84,IF(AND($S84&lt;&gt;"",EDATE($D84,Milestones!$AA$92)&gt;=$S84),$V84,$U84)))=Milestones!$AB$92),UPPER(TEXT(EDATE($D84,Milestones!$AA$92),"dd mmm yy"))&amp;" "&amp;Milestones!$AB$92&amp;" "&amp;Milestones!$AC$92&amp;";  ","")&amp;IF(AND(EDATE($D84,Milestones!$AA$93)&lt;=AsOfDate,IF($R84=0,$X84,IF(AND($T84&lt;&gt;"",EDATE($D84,Milestones!$AA$93)&gt;=$T84),$W84,IF(AND($S84&lt;&gt;"",EDATE($D84,Milestones!$AA$93)&gt;=$S84),$V84,$U84)))=Milestones!$AB$93),UPPER(TEXT(EDATE($D84,Milestones!$AA$93),"dd mmm yy"))&amp;" "&amp;Milestones!$AB$93&amp;" "&amp;Milestones!$AC$93&amp;";  ","")&amp;IF(AND(EDATE($D84,Milestones!$AA$94)&lt;=AsOfDate,IF($R84=0,$X84,IF(AND($T84&lt;&gt;"",EDATE($D84,Milestones!$AA$94)&gt;=$T84),$W84,IF(AND($S84&lt;&gt;"",EDATE($D84,Milestones!$AA$94)&gt;=$S84),$V84,$U84)))=Milestones!$AB$94),UPPER(TEXT(EDATE($D84,Milestones!$AA$94),"dd mmm yy"))&amp;" "&amp;Milestones!$AB$94&amp;" "&amp;Milestones!$AC$94&amp;";  ","")&amp;IF(AND(EDATE($D84,Milestones!$AA$95)&lt;=AsOfDate,IF($R84=0,$X84,IF(AND($T84&lt;&gt;"",EDATE($D84,Milestones!$AA$95)&gt;=$T84),$W84,IF(AND($S84&lt;&gt;"",EDATE($D84,Milestones!$AA$95)&gt;=$S84),$V84,$U84)))=Milestones!$AB$95),UPPER(TEXT(EDATE($D84,Milestones!$AA$95),"dd mmm yy"))&amp;" "&amp;Milestones!$AB$95&amp;" "&amp;Milestones!$AC$95&amp;";  ","")&amp;IF(AND(EDATE($D84,Milestones!$AA$96)&lt;=AsOfDate,IF($R84=0,$X84,IF(AND($T84&lt;&gt;"",EDATE($D84,Milestones!$AA$96)&gt;=$T84),$W84,IF(AND($S84&lt;&gt;"",EDATE($D84,Milestones!$AA$96)&gt;=$S84),$V84,$U84)))=Milestones!$AB$96),UPPER(TEXT(EDATE($D84,Milestones!$AA$96),"dd mmm yy"))&amp;" "&amp;Milestones!$AB$96&amp;" "&amp;Milestones!$AC$96&amp;";  ","")&amp;IF(AND(EDATE($D84,Milestones!$AA$97)&lt;=AsOfDate,IF($R84=0,$X84,IF(AND($T84&lt;&gt;"",EDATE($D84,Milestones!$AA$97)&gt;=$T84),$W84,IF(AND($S84&lt;&gt;"",EDATE($D84,Milestones!$AA$97)&gt;=$S84),$V84,$U84)))=Milestones!$AB$97),UPPER(TEXT(EDATE($D84,Milestones!$AA$97),"dd mmm yy"))&amp;" "&amp;Milestones!$AB$97&amp;" "&amp;Milestones!$AC$97&amp;";  ","")&amp;IF(AND(EDATE($D84,Milestones!$AA$98)&lt;=AsOfDate,IF($R84=0,$X84,IF(AND($T84&lt;&gt;"",EDATE($D84,Milestones!$AA$98)&gt;=$T84),$W84,IF(AND($S84&lt;&gt;"",EDATE($D84,Milestones!$AA$98)&gt;=$S84),$V84,$U84)))=Milestones!$AB$98),UPPER(TEXT(EDATE($D84,Milestones!$AA$98),"dd mmm yy"))&amp;" "&amp;Milestones!$AB$98&amp;" "&amp;Milestones!$AC$98&amp;";  ","")&amp;IF(AND(EDATE($D84,Milestones!$AA$99)&lt;=AsOfDate,IF($R84=0,$X84,IF(AND($T84&lt;&gt;"",EDATE($D84,Milestones!$AA$99)&gt;=$T84),$W84,IF(AND($S84&lt;&gt;"",EDATE($D84,Milestones!$AA$99)&gt;=$S84),$V84,$U84)))=Milestones!$AB$99),UPPER(TEXT(EDATE($D84,Milestones!$AA$99),"dd mmm yy"))&amp;" "&amp;Milestones!$AB$99&amp;" "&amp;Milestones!$AC$99&amp;";  ",""))</f>
        <v/>
      </c>
      <c r="M84" s="0" t="str">
        <f aca="false">IF(OR($A84="",$D84=""),"",IF(AND(EDATE($D84,Milestones!$AA$100)&lt;=AsOfDate,IF($R84=0,$X84,IF(AND($T84&lt;&gt;"",EDATE($D84,Milestones!$AA$100)&gt;=$T84),$W84,IF(AND($S84&lt;&gt;"",EDATE($D84,Milestones!$AA$100)&gt;=$S84),$V84,$U84)))=Milestones!$AB$100),UPPER(TEXT(EDATE($D84,Milestones!$AA$100),"dd mmm yy"))&amp;" "&amp;Milestones!$AB$100&amp;" "&amp;Milestones!$AC$100&amp;";  ","")&amp;IF(AND(EDATE($D84,Milestones!$AA$101)&lt;=AsOfDate,IF($R84=0,$X84,IF(AND($T84&lt;&gt;"",EDATE($D84,Milestones!$AA$101)&gt;=$T84),$W84,IF(AND($S84&lt;&gt;"",EDATE($D84,Milestones!$AA$101)&gt;=$S84),$V84,$U84)))=Milestones!$AB$101),UPPER(TEXT(EDATE($D84,Milestones!$AA$101),"dd mmm yy"))&amp;" "&amp;Milestones!$AB$101&amp;" "&amp;Milestones!$AC$101&amp;";  ","")&amp;IF(AND(EDATE($D84,Milestones!$AA$102)&lt;=AsOfDate,IF($R84=0,$X84,IF(AND($T84&lt;&gt;"",EDATE($D84,Milestones!$AA$102)&gt;=$T84),$W84,IF(AND($S84&lt;&gt;"",EDATE($D84,Milestones!$AA$102)&gt;=$S84),$V84,$U84)))=Milestones!$AB$102),UPPER(TEXT(EDATE($D84,Milestones!$AA$102),"dd mmm yy"))&amp;" "&amp;Milestones!$AB$102&amp;" "&amp;Milestones!$AC$102&amp;";  ","")&amp;IF(AND(EDATE($D84,Milestones!$AA$103)&lt;=AsOfDate,IF($R84=0,$X84,IF(AND($T84&lt;&gt;"",EDATE($D84,Milestones!$AA$103)&gt;=$T84),$W84,IF(AND($S84&lt;&gt;"",EDATE($D84,Milestones!$AA$103)&gt;=$S84),$V84,$U84)))=Milestones!$AB$103),UPPER(TEXT(EDATE($D84,Milestones!$AA$103),"dd mmm yy"))&amp;" "&amp;Milestones!$AB$103&amp;" "&amp;Milestones!$AC$103&amp;";  ","")&amp;IF(AND(EDATE($D84,Milestones!$AA$104)&lt;=AsOfDate,IF($R84=0,$X84,IF(AND($T84&lt;&gt;"",EDATE($D84,Milestones!$AA$104)&gt;=$T84),$W84,IF(AND($S84&lt;&gt;"",EDATE($D84,Milestones!$AA$104)&gt;=$S84),$V84,$U84)))=Milestones!$AB$104),UPPER(TEXT(EDATE($D84,Milestones!$AA$104),"dd mmm yy"))&amp;" "&amp;Milestones!$AB$104&amp;" "&amp;Milestones!$AC$104&amp;";  ","")&amp;IF(AND(EDATE($D84,Milestones!$AA$105)&lt;=AsOfDate,IF($R84=0,$X84,IF(AND($T84&lt;&gt;"",EDATE($D84,Milestones!$AA$105)&gt;=$T84),$W84,IF(AND($S84&lt;&gt;"",EDATE($D84,Milestones!$AA$105)&gt;=$S84),$V84,$U84)))=Milestones!$AB$105),UPPER(TEXT(EDATE($D84,Milestones!$AA$105),"dd mmm yy"))&amp;" "&amp;Milestones!$AB$105&amp;" "&amp;Milestones!$AC$105&amp;";  ","")&amp;IF(AND(EDATE($D84,Milestones!$AA$106)&lt;=AsOfDate,IF($R84=0,$X84,IF(AND($T84&lt;&gt;"",EDATE($D84,Milestones!$AA$106)&gt;=$T84),$W84,IF(AND($S84&lt;&gt;"",EDATE($D84,Milestones!$AA$106)&gt;=$S84),$V84,$U84)))=Milestones!$AB$106),UPPER(TEXT(EDATE($D84,Milestones!$AA$106),"dd mmm yy"))&amp;" "&amp;Milestones!$AB$106&amp;" "&amp;Milestones!$AC$106&amp;";  ","")&amp;IF(AND(EDATE($D84,Milestones!$AA$107)&lt;=AsOfDate,IF($R84=0,$X84,IF(AND($T84&lt;&gt;"",EDATE($D84,Milestones!$AA$107)&gt;=$T84),$W84,IF(AND($S84&lt;&gt;"",EDATE($D84,Milestones!$AA$107)&gt;=$S84),$V84,$U84)))=Milestones!$AB$107),UPPER(TEXT(EDATE($D84,Milestones!$AA$107),"dd mmm yy"))&amp;" "&amp;Milestones!$AB$107&amp;" "&amp;Milestones!$AC$107&amp;";  ","")&amp;IF(AND(EDATE($D84,Milestones!$AA$108)&lt;=AsOfDate,IF($R84=0,$X84,IF(AND($T84&lt;&gt;"",EDATE($D84,Milestones!$AA$108)&gt;=$T84),$W84,IF(AND($S84&lt;&gt;"",EDATE($D84,Milestones!$AA$108)&gt;=$S84),$V84,$U84)))=Milestones!$AB$108),UPPER(TEXT(EDATE($D84,Milestones!$AA$108),"dd mmm yy"))&amp;" "&amp;Milestones!$AB$108&amp;" "&amp;Milestones!$AC$108&amp;";  ","")&amp;IF(AND(EDATE($D84,Milestones!$AA$109)&lt;=AsOfDate,IF($R84=0,$X84,IF(AND($T84&lt;&gt;"",EDATE($D84,Milestones!$AA$109)&gt;=$T84),$W84,IF(AND($S84&lt;&gt;"",EDATE($D84,Milestones!$AA$109)&gt;=$S84),$V84,$U84)))=Milestones!$AB$109),UPPER(TEXT(EDATE($D84,Milestones!$AA$109),"dd mmm yy"))&amp;" "&amp;Milestones!$AB$109&amp;" "&amp;Milestones!$AC$109&amp;";  ","")&amp;IF(AND(EDATE($D84,Milestones!$AA$110)&lt;=AsOfDate,IF($R84=0,$X84,IF(AND($T84&lt;&gt;"",EDATE($D84,Milestones!$AA$110)&gt;=$T84),$W84,IF(AND($S84&lt;&gt;"",EDATE($D84,Milestones!$AA$110)&gt;=$S84),$V84,$U84)))=Milestones!$AB$110),UPPER(TEXT(EDATE($D84,Milestones!$AA$110),"dd mmm yy"))&amp;" "&amp;Milestones!$AB$110&amp;" "&amp;Milestones!$AC$110&amp;";  ","")&amp;IF(AND(EDATE($D84,Milestones!$AA$111)&lt;=AsOfDate,IF($R84=0,$X84,IF(AND($T84&lt;&gt;"",EDATE($D84,Milestones!$AA$111)&gt;=$T84),$W84,IF(AND($S84&lt;&gt;"",EDATE($D84,Milestones!$AA$111)&gt;=$S84),$V84,$U84)))=Milestones!$AB$111),UPPER(TEXT(EDATE($D84,Milestones!$AA$111),"dd mmm yy"))&amp;" "&amp;Milestones!$AB$111&amp;" "&amp;Milestones!$AC$111&amp;";  ","")&amp;IF(AND(EDATE($D84,Milestones!$AA$112)&lt;=AsOfDate,IF($R84=0,$X84,IF(AND($T84&lt;&gt;"",EDATE($D84,Milestones!$AA$112)&gt;=$T84),$W84,IF(AND($S84&lt;&gt;"",EDATE($D84,Milestones!$AA$112)&gt;=$S84),$V84,$U84)))=Milestones!$AB$112),UPPER(TEXT(EDATE($D84,Milestones!$AA$112),"dd mmm yy"))&amp;" "&amp;Milestones!$AB$112&amp;" "&amp;Milestones!$AC$112&amp;";  ","")&amp;IF(AND(EDATE($D84,Milestones!$AA$113)&lt;=AsOfDate,IF($R84=0,$X84,IF(AND($T84&lt;&gt;"",EDATE($D84,Milestones!$AA$113)&gt;=$T84),$W84,IF(AND($S84&lt;&gt;"",EDATE($D84,Milestones!$AA$113)&gt;=$S84),$V84,$U84)))=Milestones!$AB$113),UPPER(TEXT(EDATE($D84,Milestones!$AA$113),"dd mmm yy"))&amp;" "&amp;Milestones!$AB$113&amp;" "&amp;Milestones!$AC$113&amp;";  ","")&amp;IF(AND(EDATE($D84,Milestones!$AA$114)&lt;=AsOfDate,IF($R84=0,$X84,IF(AND($T84&lt;&gt;"",EDATE($D84,Milestones!$AA$114)&gt;=$T84),$W84,IF(AND($S84&lt;&gt;"",EDATE($D84,Milestones!$AA$114)&gt;=$S84),$V84,$U84)))=Milestones!$AB$114),UPPER(TEXT(EDATE($D84,Milestones!$AA$114),"dd mmm yy"))&amp;" "&amp;Milestones!$AB$114&amp;" "&amp;Milestones!$AC$114&amp;";  ","")&amp;IF(AND(EDATE($D84,Milestones!$AA$115)&lt;=AsOfDate,IF($R84=0,$X84,IF(AND($T84&lt;&gt;"",EDATE($D84,Milestones!$AA$115)&gt;=$T84),$W84,IF(AND($S84&lt;&gt;"",EDATE($D84,Milestones!$AA$115)&gt;=$S84),$V84,$U84)))=Milestones!$AB$115),UPPER(TEXT(EDATE($D84,Milestones!$AA$115),"dd mmm yy"))&amp;" "&amp;Milestones!$AB$115&amp;" "&amp;Milestones!$AC$115&amp;";  ","")&amp;IF(AND(EDATE($D84,Milestones!$AA$116)&lt;=AsOfDate,IF($R84=0,$X84,IF(AND($T84&lt;&gt;"",EDATE($D84,Milestones!$AA$116)&gt;=$T84),$W84,IF(AND($S84&lt;&gt;"",EDATE($D84,Milestones!$AA$116)&gt;=$S84),$V84,$U84)))=Milestones!$AB$116),UPPER(TEXT(EDATE($D84,Milestones!$AA$116),"dd mmm yy"))&amp;" "&amp;Milestones!$AB$116&amp;" "&amp;Milestones!$AC$116&amp;";  ","")&amp;IF(AND(EDATE($D84,Milestones!$AA$117)&lt;=AsOfDate,IF($R84=0,$X84,IF(AND($T84&lt;&gt;"",EDATE($D84,Milestones!$AA$117)&gt;=$T84),$W84,IF(AND($S84&lt;&gt;"",EDATE($D84,Milestones!$AA$117)&gt;=$S84),$V84,$U84)))=Milestones!$AB$117),UPPER(TEXT(EDATE($D84,Milestones!$AA$117),"dd mmm yy"))&amp;" "&amp;Milestones!$AB$117&amp;" "&amp;Milestones!$AC$117&amp;";  ","")&amp;IF(AND(EDATE($D84,Milestones!$AA$118)&lt;=AsOfDate,IF($R84=0,$X84,IF(AND($T84&lt;&gt;"",EDATE($D84,Milestones!$AA$118)&gt;=$T84),$W84,IF(AND($S84&lt;&gt;"",EDATE($D84,Milestones!$AA$118)&gt;=$S84),$V84,$U84)))=Milestones!$AB$118),UPPER(TEXT(EDATE($D84,Milestones!$AA$118),"dd mmm yy"))&amp;" "&amp;Milestones!$AB$118&amp;" "&amp;Milestones!$AC$118&amp;";  ","")&amp;IF(AND(EDATE($D84,Milestones!$AA$119)&lt;=AsOfDate,IF($R84=0,$X84,IF(AND($T84&lt;&gt;"",EDATE($D84,Milestones!$AA$119)&gt;=$T84),$W84,IF(AND($S84&lt;&gt;"",EDATE($D84,Milestones!$AA$119)&gt;=$S84),$V84,$U84)))=Milestones!$AB$119),UPPER(TEXT(EDATE($D84,Milestones!$AA$119),"dd mmm yy"))&amp;" "&amp;Milestones!$AB$119&amp;" "&amp;Milestones!$AC$119&amp;";  ",""))</f>
        <v/>
      </c>
      <c r="N84" s="0" t="str">
        <f aca="false">IF(OR($A84="",$D84=""),"",IF(AND(EDATE($D84,Milestones!$AA$120)&lt;=AsOfDate,IF($R84=0,$X84,IF(AND($T84&lt;&gt;"",EDATE($D84,Milestones!$AA$120)&gt;=$T84),$W84,IF(AND($S84&lt;&gt;"",EDATE($D84,Milestones!$AA$120)&gt;=$S84),$V84,$U84)))=Milestones!$AB$120),UPPER(TEXT(EDATE($D84,Milestones!$AA$120),"dd mmm yy"))&amp;" "&amp;Milestones!$AB$120&amp;" "&amp;Milestones!$AC$120&amp;";  ","")&amp;IF(AND(EDATE($D84,Milestones!$AA$121)&lt;=AsOfDate,IF($R84=0,$X84,IF(AND($T84&lt;&gt;"",EDATE($D84,Milestones!$AA$121)&gt;=$T84),$W84,IF(AND($S84&lt;&gt;"",EDATE($D84,Milestones!$AA$121)&gt;=$S84),$V84,$U84)))=Milestones!$AB$121),UPPER(TEXT(EDATE($D84,Milestones!$AA$121),"dd mmm yy"))&amp;" "&amp;Milestones!$AB$121&amp;" "&amp;Milestones!$AC$121&amp;";  ","")&amp;IF(AND(EDATE($D84,Milestones!$AA$122)&lt;=AsOfDate,IF($R84=0,$X84,IF(AND($T84&lt;&gt;"",EDATE($D84,Milestones!$AA$122)&gt;=$T84),$W84,IF(AND($S84&lt;&gt;"",EDATE($D84,Milestones!$AA$122)&gt;=$S84),$V84,$U84)))=Milestones!$AB$122),UPPER(TEXT(EDATE($D84,Milestones!$AA$122),"dd mmm yy"))&amp;" "&amp;Milestones!$AB$122&amp;" "&amp;Milestones!$AC$122&amp;";  ","")&amp;IF(AND(EDATE($D84,Milestones!$AA$123)&lt;=AsOfDate,IF($R84=0,$X84,IF(AND($T84&lt;&gt;"",EDATE($D84,Milestones!$AA$123)&gt;=$T84),$W84,IF(AND($S84&lt;&gt;"",EDATE($D84,Milestones!$AA$123)&gt;=$S84),$V84,$U84)))=Milestones!$AB$123),UPPER(TEXT(EDATE($D84,Milestones!$AA$123),"dd mmm yy"))&amp;" "&amp;Milestones!$AB$123&amp;" "&amp;Milestones!$AC$123&amp;";  ","")&amp;IF(AND(EDATE($D84,Milestones!$AA$124)&lt;=AsOfDate,IF($R84=0,$X84,IF(AND($T84&lt;&gt;"",EDATE($D84,Milestones!$AA$124)&gt;=$T84),$W84,IF(AND($S84&lt;&gt;"",EDATE($D84,Milestones!$AA$124)&gt;=$S84),$V84,$U84)))=Milestones!$AB$124),UPPER(TEXT(EDATE($D84,Milestones!$AA$124),"dd mmm yy"))&amp;" "&amp;Milestones!$AB$124&amp;" "&amp;Milestones!$AC$124&amp;";  ","")&amp;IF(AND(EDATE($D84,Milestones!$AA$125)&lt;=AsOfDate,IF($R84=0,$X84,IF(AND($T84&lt;&gt;"",EDATE($D84,Milestones!$AA$125)&gt;=$T84),$W84,IF(AND($S84&lt;&gt;"",EDATE($D84,Milestones!$AA$125)&gt;=$S84),$V84,$U84)))=Milestones!$AB$125),UPPER(TEXT(EDATE($D84,Milestones!$AA$125),"dd mmm yy"))&amp;" "&amp;Milestones!$AB$125&amp;" "&amp;Milestones!$AC$125&amp;";  ","")&amp;IF(AND(EDATE($D84,Milestones!$AA$126)&lt;=AsOfDate,IF($R84=0,$X84,IF(AND($T84&lt;&gt;"",EDATE($D84,Milestones!$AA$126)&gt;=$T84),$W84,IF(AND($S84&lt;&gt;"",EDATE($D84,Milestones!$AA$126)&gt;=$S84),$V84,$U84)))=Milestones!$AB$126),UPPER(TEXT(EDATE($D84,Milestones!$AA$126),"dd mmm yy"))&amp;" "&amp;Milestones!$AB$126&amp;" "&amp;Milestones!$AC$126&amp;";  ","")&amp;IF(AND(EDATE($D84,Milestones!$AA$127)&lt;=AsOfDate,IF($R84=0,$X84,IF(AND($T84&lt;&gt;"",EDATE($D84,Milestones!$AA$127)&gt;=$T84),$W84,IF(AND($S84&lt;&gt;"",EDATE($D84,Milestones!$AA$127)&gt;=$S84),$V84,$U84)))=Milestones!$AB$127),UPPER(TEXT(EDATE($D84,Milestones!$AA$127),"dd mmm yy"))&amp;" "&amp;Milestones!$AB$127&amp;" "&amp;Milestones!$AC$127&amp;";  ","")&amp;IF(AND(EDATE($D84,Milestones!$AA$128)&lt;=AsOfDate,IF($R84=0,$X84,IF(AND($T84&lt;&gt;"",EDATE($D84,Milestones!$AA$128)&gt;=$T84),$W84,IF(AND($S84&lt;&gt;"",EDATE($D84,Milestones!$AA$128)&gt;=$S84),$V84,$U84)))=Milestones!$AB$128),UPPER(TEXT(EDATE($D84,Milestones!$AA$128),"dd mmm yy"))&amp;" "&amp;Milestones!$AB$128&amp;" "&amp;Milestones!$AC$128&amp;";  ","")&amp;IF(AND(EDATE($D84,Milestones!$AA$129)&lt;=AsOfDate,IF($R84=0,$X84,IF(AND($T84&lt;&gt;"",EDATE($D84,Milestones!$AA$129)&gt;=$T84),$W84,IF(AND($S84&lt;&gt;"",EDATE($D84,Milestones!$AA$129)&gt;=$S84),$V84,$U84)))=Milestones!$AB$129),UPPER(TEXT(EDATE($D84,Milestones!$AA$129),"dd mmm yy"))&amp;" "&amp;Milestones!$AB$129&amp;" "&amp;Milestones!$AC$129&amp;";  ","")&amp;IF(AND(EDATE($D84,Milestones!$AA$130)&lt;=AsOfDate,IF($R84=0,$X84,IF(AND($T84&lt;&gt;"",EDATE($D84,Milestones!$AA$130)&gt;=$T84),$W84,IF(AND($S84&lt;&gt;"",EDATE($D84,Milestones!$AA$130)&gt;=$S84),$V84,$U84)))=Milestones!$AB$130),UPPER(TEXT(EDATE($D84,Milestones!$AA$130),"dd mmm yy"))&amp;" "&amp;Milestones!$AB$130&amp;" "&amp;Milestones!$AC$130&amp;";  ","")&amp;IF(AND(EDATE($D84,Milestones!$AA$131)&lt;=AsOfDate,IF($R84=0,$X84,IF(AND($T84&lt;&gt;"",EDATE($D84,Milestones!$AA$131)&gt;=$T84),$W84,IF(AND($S84&lt;&gt;"",EDATE($D84,Milestones!$AA$131)&gt;=$S84),$V84,$U84)))=Milestones!$AB$131),UPPER(TEXT(EDATE($D84,Milestones!$AA$131),"dd mmm yy"))&amp;" "&amp;Milestones!$AB$131&amp;" "&amp;Milestones!$AC$131&amp;";  ","")&amp;IF(AND(EDATE($D84,Milestones!$AA$132)&lt;=AsOfDate,IF($R84=0,$X84,IF(AND($T84&lt;&gt;"",EDATE($D84,Milestones!$AA$132)&gt;=$T84),$W84,IF(AND($S84&lt;&gt;"",EDATE($D84,Milestones!$AA$132)&gt;=$S84),$V84,$U84)))=Milestones!$AB$132),UPPER(TEXT(EDATE($D84,Milestones!$AA$132),"dd mmm yy"))&amp;" "&amp;Milestones!$AB$132&amp;" "&amp;Milestones!$AC$132&amp;";  ","")&amp;IF(AND(EDATE($D84,Milestones!$AA$133)&lt;=AsOfDate,IF($R84=0,$X84,IF(AND($T84&lt;&gt;"",EDATE($D84,Milestones!$AA$133)&gt;=$T84),$W84,IF(AND($S84&lt;&gt;"",EDATE($D84,Milestones!$AA$133)&gt;=$S84),$V84,$U84)))=Milestones!$AB$133),UPPER(TEXT(EDATE($D84,Milestones!$AA$133),"dd mmm yy"))&amp;" "&amp;Milestones!$AB$133&amp;" "&amp;Milestones!$AC$133&amp;";  ","")&amp;IF(AND(EDATE($D84,Milestones!$AA$134)&lt;=AsOfDate,IF($R84=0,$X84,IF(AND($T84&lt;&gt;"",EDATE($D84,Milestones!$AA$134)&gt;=$T84),$W84,IF(AND($S84&lt;&gt;"",EDATE($D84,Milestones!$AA$134)&gt;=$S84),$V84,$U84)))=Milestones!$AB$134),UPPER(TEXT(EDATE($D84,Milestones!$AA$134),"dd mmm yy"))&amp;" "&amp;Milestones!$AB$134&amp;" "&amp;Milestones!$AC$134&amp;";  ","")&amp;IF(AND(EDATE($D84,Milestones!$AA$135)&lt;=AsOfDate,IF($R84=0,$X84,IF(AND($T84&lt;&gt;"",EDATE($D84,Milestones!$AA$135)&gt;=$T84),$W84,IF(AND($S84&lt;&gt;"",EDATE($D84,Milestones!$AA$135)&gt;=$S84),$V84,$U84)))=Milestones!$AB$135),UPPER(TEXT(EDATE($D84,Milestones!$AA$135),"dd mmm yy"))&amp;" "&amp;Milestones!$AB$135&amp;" "&amp;Milestones!$AC$135&amp;";  ","")&amp;IF(AND(EDATE($D84,Milestones!$AA$136)&lt;=AsOfDate,IF($R84=0,$X84,IF(AND($T84&lt;&gt;"",EDATE($D84,Milestones!$AA$136)&gt;=$T84),$W84,IF(AND($S84&lt;&gt;"",EDATE($D84,Milestones!$AA$136)&gt;=$S84),$V84,$U84)))=Milestones!$AB$136),UPPER(TEXT(EDATE($D84,Milestones!$AA$136),"dd mmm yy"))&amp;" "&amp;Milestones!$AB$136&amp;" "&amp;Milestones!$AC$136&amp;";  ","")&amp;IF(AND(EDATE($D84,Milestones!$AA$137)&lt;=AsOfDate,IF($R84=0,$X84,IF(AND($T84&lt;&gt;"",EDATE($D84,Milestones!$AA$137)&gt;=$T84),$W84,IF(AND($S84&lt;&gt;"",EDATE($D84,Milestones!$AA$137)&gt;=$S84),$V84,$U84)))=Milestones!$AB$137),UPPER(TEXT(EDATE($D84,Milestones!$AA$137),"dd mmm yy"))&amp;" "&amp;Milestones!$AB$137&amp;" "&amp;Milestones!$AC$137&amp;";  ","")&amp;IF(AND(EDATE($D84,Milestones!$AA$138)&lt;=AsOfDate,IF($R84=0,$X84,IF(AND($T84&lt;&gt;"",EDATE($D84,Milestones!$AA$138)&gt;=$T84),$W84,IF(AND($S84&lt;&gt;"",EDATE($D84,Milestones!$AA$138)&gt;=$S84),$V84,$U84)))=Milestones!$AB$138),UPPER(TEXT(EDATE($D84,Milestones!$AA$138),"dd mmm yy"))&amp;" "&amp;Milestones!$AB$138&amp;" "&amp;Milestones!$AC$138&amp;";  ","")&amp;IF(AND(EDATE($D84,Milestones!$AA$139)&lt;=AsOfDate,IF($R84=0,$X84,IF(AND($T84&lt;&gt;"",EDATE($D84,Milestones!$AA$139)&gt;=$T84),$W84,IF(AND($S84&lt;&gt;"",EDATE($D84,Milestones!$AA$139)&gt;=$S84),$V84,$U84)))=Milestones!$AB$139),UPPER(TEXT(EDATE($D84,Milestones!$AA$139),"dd mmm yy"))&amp;" "&amp;Milestones!$AB$139&amp;" "&amp;Milestones!$AC$139&amp;";  ",""))</f>
        <v/>
      </c>
      <c r="O84" s="0" t="str">
        <f aca="false">IF(OR($A84="",$D84=""),"",IF(AND(EDATE($D84,Milestones!$AA$140)&lt;=AsOfDate,IF($R84=0,$X84,IF(AND($T84&lt;&gt;"",EDATE($D84,Milestones!$AA$140)&gt;=$T84),$W84,IF(AND($S84&lt;&gt;"",EDATE($D84,Milestones!$AA$140)&gt;=$S84),$V84,$U84)))=Milestones!$AB$140),UPPER(TEXT(EDATE($D84,Milestones!$AA$140),"dd mmm yy"))&amp;" "&amp;Milestones!$AB$140&amp;" "&amp;Milestones!$AC$140&amp;";  ","")&amp;IF(AND(EDATE($D84,Milestones!$AA$141)&lt;=AsOfDate,IF($R84=0,$X84,IF(AND($T84&lt;&gt;"",EDATE($D84,Milestones!$AA$141)&gt;=$T84),$W84,IF(AND($S84&lt;&gt;"",EDATE($D84,Milestones!$AA$141)&gt;=$S84),$V84,$U84)))=Milestones!$AB$141),UPPER(TEXT(EDATE($D84,Milestones!$AA$141),"dd mmm yy"))&amp;" "&amp;Milestones!$AB$141&amp;" "&amp;Milestones!$AC$141&amp;";  ","")&amp;IF(AND(EDATE($D84,Milestones!$AA$142)&lt;=AsOfDate,IF($R84=0,$X84,IF(AND($T84&lt;&gt;"",EDATE($D84,Milestones!$AA$142)&gt;=$T84),$W84,IF(AND($S84&lt;&gt;"",EDATE($D84,Milestones!$AA$142)&gt;=$S84),$V84,$U84)))=Milestones!$AB$142),UPPER(TEXT(EDATE($D84,Milestones!$AA$142),"dd mmm yy"))&amp;" "&amp;Milestones!$AB$142&amp;" "&amp;Milestones!$AC$142&amp;";  ","")&amp;IF(AND(EDATE($D84,Milestones!$AA$143)&lt;=AsOfDate,IF($R84=0,$X84,IF(AND($T84&lt;&gt;"",EDATE($D84,Milestones!$AA$143)&gt;=$T84),$W84,IF(AND($S84&lt;&gt;"",EDATE($D84,Milestones!$AA$143)&gt;=$S84),$V84,$U84)))=Milestones!$AB$143),UPPER(TEXT(EDATE($D84,Milestones!$AA$143),"dd mmm yy"))&amp;" "&amp;Milestones!$AB$143&amp;" "&amp;Milestones!$AC$143&amp;";  ","")&amp;IF(AND(EDATE($D84,Milestones!$AA$144)&lt;=AsOfDate,IF($R84=0,$X84,IF(AND($T84&lt;&gt;"",EDATE($D84,Milestones!$AA$144)&gt;=$T84),$W84,IF(AND($S84&lt;&gt;"",EDATE($D84,Milestones!$AA$144)&gt;=$S84),$V84,$U84)))=Milestones!$AB$144),UPPER(TEXT(EDATE($D84,Milestones!$AA$144),"dd mmm yy"))&amp;" "&amp;Milestones!$AB$144&amp;" "&amp;Milestones!$AC$144&amp;";  ","")&amp;IF(AND(EDATE($D84,Milestones!$AA$145)&lt;=AsOfDate,IF($R84=0,$X84,IF(AND($T84&lt;&gt;"",EDATE($D84,Milestones!$AA$145)&gt;=$T84),$W84,IF(AND($S84&lt;&gt;"",EDATE($D84,Milestones!$AA$145)&gt;=$S84),$V84,$U84)))=Milestones!$AB$145),UPPER(TEXT(EDATE($D84,Milestones!$AA$145),"dd mmm yy"))&amp;" "&amp;Milestones!$AB$145&amp;" "&amp;Milestones!$AC$145&amp;";  ","")&amp;IF(AND(EDATE($D84,Milestones!$AA$146)&lt;=AsOfDate,IF($R84=0,$X84,IF(AND($T84&lt;&gt;"",EDATE($D84,Milestones!$AA$146)&gt;=$T84),$W84,IF(AND($S84&lt;&gt;"",EDATE($D84,Milestones!$AA$146)&gt;=$S84),$V84,$U84)))=Milestones!$AB$146),UPPER(TEXT(EDATE($D84,Milestones!$AA$146),"dd mmm yy"))&amp;" "&amp;Milestones!$AB$146&amp;" "&amp;Milestones!$AC$146&amp;";  ","")&amp;IF(AND(EDATE($D84,Milestones!$AA$147)&lt;=AsOfDate,IF($R84=0,$X84,IF(AND($T84&lt;&gt;"",EDATE($D84,Milestones!$AA$147)&gt;=$T84),$W84,IF(AND($S84&lt;&gt;"",EDATE($D84,Milestones!$AA$147)&gt;=$S84),$V84,$U84)))=Milestones!$AB$147),UPPER(TEXT(EDATE($D84,Milestones!$AA$147),"dd mmm yy"))&amp;" "&amp;Milestones!$AB$147&amp;" "&amp;Milestones!$AC$147&amp;";  ","")&amp;IF(AND(EDATE($D84,Milestones!$AA$148)&lt;=AsOfDate,IF($R84=0,$X84,IF(AND($T84&lt;&gt;"",EDATE($D84,Milestones!$AA$148)&gt;=$T84),$W84,IF(AND($S84&lt;&gt;"",EDATE($D84,Milestones!$AA$148)&gt;=$S84),$V84,$U84)))=Milestones!$AB$148),UPPER(TEXT(EDATE($D84,Milestones!$AA$148),"dd mmm yy"))&amp;" "&amp;Milestones!$AB$148&amp;" "&amp;Milestones!$AC$148&amp;";  ","")&amp;IF(AND(EDATE($D84,Milestones!$AA$149)&lt;=AsOfDate,IF($R84=0,$X84,IF(AND($T84&lt;&gt;"",EDATE($D84,Milestones!$AA$149)&gt;=$T84),$W84,IF(AND($S84&lt;&gt;"",EDATE($D84,Milestones!$AA$149)&gt;=$S84),$V84,$U84)))=Milestones!$AB$149),UPPER(TEXT(EDATE($D84,Milestones!$AA$149),"dd mmm yy"))&amp;" "&amp;Milestones!$AB$149&amp;" "&amp;Milestones!$AC$149&amp;";  ","")&amp;IF(AND(EDATE($D84,Milestones!$AA$150)&lt;=AsOfDate,IF($R84=0,$X84,IF(AND($T84&lt;&gt;"",EDATE($D84,Milestones!$AA$150)&gt;=$T84),$W84,IF(AND($S84&lt;&gt;"",EDATE($D84,Milestones!$AA$150)&gt;=$S84),$V84,$U84)))=Milestones!$AB$150),UPPER(TEXT(EDATE($D84,Milestones!$AA$150),"dd mmm yy"))&amp;" "&amp;Milestones!$AB$150&amp;" "&amp;Milestones!$AC$150&amp;";  ","")&amp;IF(AND(EDATE($D84,Milestones!$AA$151)&lt;=AsOfDate,IF($R84=0,$X84,IF(AND($T84&lt;&gt;"",EDATE($D84,Milestones!$AA$151)&gt;=$T84),$W84,IF(AND($S84&lt;&gt;"",EDATE($D84,Milestones!$AA$151)&gt;=$S84),$V84,$U84)))=Milestones!$AB$151),UPPER(TEXT(EDATE($D84,Milestones!$AA$151),"dd mmm yy"))&amp;" "&amp;Milestones!$AB$151&amp;" "&amp;Milestones!$AC$151&amp;";  ","")&amp;IF(AND(EDATE($D84,Milestones!$AA$152)&lt;=AsOfDate,IF($R84=0,$X84,IF(AND($T84&lt;&gt;"",EDATE($D84,Milestones!$AA$152)&gt;=$T84),$W84,IF(AND($S84&lt;&gt;"",EDATE($D84,Milestones!$AA$152)&gt;=$S84),$V84,$U84)))=Milestones!$AB$152),UPPER(TEXT(EDATE($D84,Milestones!$AA$152),"dd mmm yy"))&amp;" "&amp;Milestones!$AB$152&amp;" "&amp;Milestones!$AC$152&amp;";  ","")&amp;IF(AND(EDATE($D84,Milestones!$AA$153)&lt;=AsOfDate,IF($R84=0,$X84,IF(AND($T84&lt;&gt;"",EDATE($D84,Milestones!$AA$153)&gt;=$T84),$W84,IF(AND($S84&lt;&gt;"",EDATE($D84,Milestones!$AA$153)&gt;=$S84),$V84,$U84)))=Milestones!$AB$153),UPPER(TEXT(EDATE($D84,Milestones!$AA$153),"dd mmm yy"))&amp;" "&amp;Milestones!$AB$153&amp;" "&amp;Milestones!$AC$153&amp;";  ","")&amp;IF(AND(EDATE($D84,Milestones!$AA$154)&lt;=AsOfDate,IF($R84=0,$X84,IF(AND($T84&lt;&gt;"",EDATE($D84,Milestones!$AA$154)&gt;=$T84),$W84,IF(AND($S84&lt;&gt;"",EDATE($D84,Milestones!$AA$154)&gt;=$S84),$V84,$U84)))=Milestones!$AB$154),UPPER(TEXT(EDATE($D84,Milestones!$AA$154),"dd mmm yy"))&amp;" "&amp;Milestones!$AB$154&amp;" "&amp;Milestones!$AC$154&amp;";  ","")&amp;IF(AND(EDATE($D84,Milestones!$AA$155)&lt;=AsOfDate,IF($R84=0,$X84,IF(AND($T84&lt;&gt;"",EDATE($D84,Milestones!$AA$155)&gt;=$T84),$W84,IF(AND($S84&lt;&gt;"",EDATE($D84,Milestones!$AA$155)&gt;=$S84),$V84,$U84)))=Milestones!$AB$155),UPPER(TEXT(EDATE($D84,Milestones!$AA$155),"dd mmm yy"))&amp;" "&amp;Milestones!$AB$155&amp;" "&amp;Milestones!$AC$155&amp;";  ","")&amp;IF(AND(EDATE($D84,Milestones!$AA$156)&lt;=AsOfDate,IF($R84=0,$X84,IF(AND($T84&lt;&gt;"",EDATE($D84,Milestones!$AA$156)&gt;=$T84),$W84,IF(AND($S84&lt;&gt;"",EDATE($D84,Milestones!$AA$156)&gt;=$S84),$V84,$U84)))=Milestones!$AB$156),UPPER(TEXT(EDATE($D84,Milestones!$AA$156),"dd mmm yy"))&amp;" "&amp;Milestones!$AB$156&amp;" "&amp;Milestones!$AC$156&amp;";  ","")&amp;IF(AND(EDATE($D84,Milestones!$AA$157)&lt;=AsOfDate,IF($R84=0,$X84,IF(AND($T84&lt;&gt;"",EDATE($D84,Milestones!$AA$157)&gt;=$T84),$W84,IF(AND($S84&lt;&gt;"",EDATE($D84,Milestones!$AA$157)&gt;=$S84),$V84,$U84)))=Milestones!$AB$157),UPPER(TEXT(EDATE($D84,Milestones!$AA$157),"dd mmm yy"))&amp;" "&amp;Milestones!$AB$157&amp;" "&amp;Milestones!$AC$157&amp;";  ","")&amp;IF(AND(EDATE($D84,Milestones!$AA$158)&lt;=AsOfDate,IF($R84=0,$X84,IF(AND($T84&lt;&gt;"",EDATE($D84,Milestones!$AA$158)&gt;=$T84),$W84,IF(AND($S84&lt;&gt;"",EDATE($D84,Milestones!$AA$158)&gt;=$S84),$V84,$U84)))=Milestones!$AB$158),UPPER(TEXT(EDATE($D84,Milestones!$AA$158),"dd mmm yy"))&amp;" "&amp;Milestones!$AB$158&amp;" "&amp;Milestones!$AC$158&amp;";  ","")&amp;IF(AND(EDATE($D84,Milestones!$AA$159)&lt;=AsOfDate,IF($R84=0,$X84,IF(AND($T84&lt;&gt;"",EDATE($D84,Milestones!$AA$159)&gt;=$T84),$W84,IF(AND($S84&lt;&gt;"",EDATE($D84,Milestones!$AA$159)&gt;=$S84),$V84,$U84)))=Milestones!$AB$159),UPPER(TEXT(EDATE($D84,Milestones!$AA$159),"dd mmm yy"))&amp;" "&amp;Milestones!$AB$159&amp;" "&amp;Milestones!$AC$159&amp;";  ",""))</f>
        <v/>
      </c>
      <c r="P84" s="0" t="str">
        <f aca="false">IF(OR($A84="",$D84=""),"",IF(AND(EDATE($D84,Milestones!$AA$160)&lt;=AsOfDate,IF($R84=0,$X84,IF(AND($T84&lt;&gt;"",EDATE($D84,Milestones!$AA$160)&gt;=$T84),$W84,IF(AND($S84&lt;&gt;"",EDATE($D84,Milestones!$AA$160)&gt;=$S84),$V84,$U84)))=Milestones!$AB$160),UPPER(TEXT(EDATE($D84,Milestones!$AA$160),"dd mmm yy"))&amp;" "&amp;Milestones!$AB$160&amp;" "&amp;Milestones!$AC$160&amp;";  ","")&amp;IF(AND(EDATE($D84,Milestones!$AA$161)&lt;=AsOfDate,IF($R84=0,$X84,IF(AND($T84&lt;&gt;"",EDATE($D84,Milestones!$AA$161)&gt;=$T84),$W84,IF(AND($S84&lt;&gt;"",EDATE($D84,Milestones!$AA$161)&gt;=$S84),$V84,$U84)))=Milestones!$AB$161),UPPER(TEXT(EDATE($D84,Milestones!$AA$161),"dd mmm yy"))&amp;" "&amp;Milestones!$AB$161&amp;" "&amp;Milestones!$AC$161&amp;";  ","")&amp;IF(AND(EDATE($D84,Milestones!$AA$162)&lt;=AsOfDate,IF($R84=0,$X84,IF(AND($T84&lt;&gt;"",EDATE($D84,Milestones!$AA$162)&gt;=$T84),$W84,IF(AND($S84&lt;&gt;"",EDATE($D84,Milestones!$AA$162)&gt;=$S84),$V84,$U84)))=Milestones!$AB$162),UPPER(TEXT(EDATE($D84,Milestones!$AA$162),"dd mmm yy"))&amp;" "&amp;Milestones!$AB$162&amp;" "&amp;Milestones!$AC$162&amp;";  ","")&amp;IF(AND(EDATE($D84,Milestones!$AA$163)&lt;=AsOfDate,IF($R84=0,$X84,IF(AND($T84&lt;&gt;"",EDATE($D84,Milestones!$AA$163)&gt;=$T84),$W84,IF(AND($S84&lt;&gt;"",EDATE($D84,Milestones!$AA$163)&gt;=$S84),$V84,$U84)))=Milestones!$AB$163),UPPER(TEXT(EDATE($D84,Milestones!$AA$163),"dd mmm yy"))&amp;" "&amp;Milestones!$AB$163&amp;" "&amp;Milestones!$AC$163&amp;";  ","")&amp;IF(AND(EDATE($D84,Milestones!$AA$164)&lt;=AsOfDate,IF($R84=0,$X84,IF(AND($T84&lt;&gt;"",EDATE($D84,Milestones!$AA$164)&gt;=$T84),$W84,IF(AND($S84&lt;&gt;"",EDATE($D84,Milestones!$AA$164)&gt;=$S84),$V84,$U84)))=Milestones!$AB$164),UPPER(TEXT(EDATE($D84,Milestones!$AA$164),"dd mmm yy"))&amp;" "&amp;Milestones!$AB$164&amp;" "&amp;Milestones!$AC$164&amp;";  ","")&amp;IF(AND(EDATE($D84,Milestones!$AA$165)&lt;=AsOfDate,IF($R84=0,$X84,IF(AND($T84&lt;&gt;"",EDATE($D84,Milestones!$AA$165)&gt;=$T84),$W84,IF(AND($S84&lt;&gt;"",EDATE($D84,Milestones!$AA$165)&gt;=$S84),$V84,$U84)))=Milestones!$AB$165),UPPER(TEXT(EDATE($D84,Milestones!$AA$165),"dd mmm yy"))&amp;" "&amp;Milestones!$AB$165&amp;" "&amp;Milestones!$AC$165&amp;";  ","")&amp;IF(AND(EDATE($D84,Milestones!$AA$166)&lt;=AsOfDate,IF($R84=0,$X84,IF(AND($T84&lt;&gt;"",EDATE($D84,Milestones!$AA$166)&gt;=$T84),$W84,IF(AND($S84&lt;&gt;"",EDATE($D84,Milestones!$AA$166)&gt;=$S84),$V84,$U84)))=Milestones!$AB$166),UPPER(TEXT(EDATE($D84,Milestones!$AA$166),"dd mmm yy"))&amp;" "&amp;Milestones!$AB$166&amp;" "&amp;Milestones!$AC$166&amp;";  ","")&amp;IF(AND(EDATE($D84,Milestones!$AA$167)&lt;=AsOfDate,IF($R84=0,$X84,IF(AND($T84&lt;&gt;"",EDATE($D84,Milestones!$AA$167)&gt;=$T84),$W84,IF(AND($S84&lt;&gt;"",EDATE($D84,Milestones!$AA$167)&gt;=$S84),$V84,$U84)))=Milestones!$AB$167),UPPER(TEXT(EDATE($D84,Milestones!$AA$167),"dd mmm yy"))&amp;" "&amp;Milestones!$AB$167&amp;" "&amp;Milestones!$AC$167&amp;";  ","")&amp;IF(AND(EDATE($D84,Milestones!$AA$168)&lt;=AsOfDate,IF($R84=0,$X84,IF(AND($T84&lt;&gt;"",EDATE($D84,Milestones!$AA$168)&gt;=$T84),$W84,IF(AND($S84&lt;&gt;"",EDATE($D84,Milestones!$AA$168)&gt;=$S84),$V84,$U84)))=Milestones!$AB$168),UPPER(TEXT(EDATE($D84,Milestones!$AA$168),"dd mmm yy"))&amp;" "&amp;Milestones!$AB$168&amp;" "&amp;Milestones!$AC$168&amp;";  ","")&amp;IF(AND(EDATE($D84,Milestones!$AA$169)&lt;=AsOfDate,IF($R84=0,$X84,IF(AND($T84&lt;&gt;"",EDATE($D84,Milestones!$AA$169)&gt;=$T84),$W84,IF(AND($S84&lt;&gt;"",EDATE($D84,Milestones!$AA$169)&gt;=$S84),$V84,$U84)))=Milestones!$AB$169),UPPER(TEXT(EDATE($D84,Milestones!$AA$169),"dd mmm yy"))&amp;" "&amp;Milestones!$AB$169&amp;" "&amp;Milestones!$AC$169&amp;";  ","")&amp;IF(AND(EDATE($D84,Milestones!$AA$170)&lt;=AsOfDate,IF($R84=0,$X84,IF(AND($T84&lt;&gt;"",EDATE($D84,Milestones!$AA$170)&gt;=$T84),$W84,IF(AND($S84&lt;&gt;"",EDATE($D84,Milestones!$AA$170)&gt;=$S84),$V84,$U84)))=Milestones!$AB$170),UPPER(TEXT(EDATE($D84,Milestones!$AA$170),"dd mmm yy"))&amp;" "&amp;Milestones!$AB$170&amp;" "&amp;Milestones!$AC$170&amp;";  ","")&amp;IF(AND(EDATE($D84,Milestones!$AA$171)&lt;=AsOfDate,IF($R84=0,$X84,IF(AND($T84&lt;&gt;"",EDATE($D84,Milestones!$AA$171)&gt;=$T84),$W84,IF(AND($S84&lt;&gt;"",EDATE($D84,Milestones!$AA$171)&gt;=$S84),$V84,$U84)))=Milestones!$AB$171),UPPER(TEXT(EDATE($D84,Milestones!$AA$171),"dd mmm yy"))&amp;" "&amp;Milestones!$AB$171&amp;" "&amp;Milestones!$AC$171&amp;";  ","")&amp;IF(AND(EDATE($D84,Milestones!$AA$172)&lt;=AsOfDate,IF($R84=0,$X84,IF(AND($T84&lt;&gt;"",EDATE($D84,Milestones!$AA$172)&gt;=$T84),$W84,IF(AND($S84&lt;&gt;"",EDATE($D84,Milestones!$AA$172)&gt;=$S84),$V84,$U84)))=Milestones!$AB$172),UPPER(TEXT(EDATE($D84,Milestones!$AA$172),"dd mmm yy"))&amp;" "&amp;Milestones!$AB$172&amp;" "&amp;Milestones!$AC$172&amp;";  ","")&amp;IF(AND(EDATE($D84,Milestones!$AA$173)&lt;=AsOfDate,IF($R84=0,$X84,IF(AND($T84&lt;&gt;"",EDATE($D84,Milestones!$AA$173)&gt;=$T84),$W84,IF(AND($S84&lt;&gt;"",EDATE($D84,Milestones!$AA$173)&gt;=$S84),$V84,$U84)))=Milestones!$AB$173),UPPER(TEXT(EDATE($D84,Milestones!$AA$173),"dd mmm yy"))&amp;" "&amp;Milestones!$AB$173&amp;" "&amp;Milestones!$AC$173&amp;";  ","")&amp;IF(AND(EDATE($D84,Milestones!$AA$174)&lt;=AsOfDate,IF($R84=0,$X84,IF(AND($T84&lt;&gt;"",EDATE($D84,Milestones!$AA$174)&gt;=$T84),$W84,IF(AND($S84&lt;&gt;"",EDATE($D84,Milestones!$AA$174)&gt;=$S84),$V84,$U84)))=Milestones!$AB$174),UPPER(TEXT(EDATE($D84,Milestones!$AA$174),"dd mmm yy"))&amp;" "&amp;Milestones!$AB$174&amp;" "&amp;Milestones!$AC$174&amp;";  ","")&amp;IF(AND(EDATE($D84,Milestones!$AA$175)&lt;=AsOfDate,IF($R84=0,$X84,IF(AND($T84&lt;&gt;"",EDATE($D84,Milestones!$AA$175)&gt;=$T84),$W84,IF(AND($S84&lt;&gt;"",EDATE($D84,Milestones!$AA$175)&gt;=$S84),$V84,$U84)))=Milestones!$AB$175),UPPER(TEXT(EDATE($D84,Milestones!$AA$175),"dd mmm yy"))&amp;" "&amp;Milestones!$AB$175&amp;" "&amp;Milestones!$AC$175&amp;";  ","")&amp;IF(AND(EDATE($D84,Milestones!$AA$176)&lt;=AsOfDate,IF($R84=0,$X84,IF(AND($T84&lt;&gt;"",EDATE($D84,Milestones!$AA$176)&gt;=$T84),$W84,IF(AND($S84&lt;&gt;"",EDATE($D84,Milestones!$AA$176)&gt;=$S84),$V84,$U84)))=Milestones!$AB$176),UPPER(TEXT(EDATE($D84,Milestones!$AA$176),"dd mmm yy"))&amp;" "&amp;Milestones!$AB$176&amp;" "&amp;Milestones!$AC$176&amp;";  ","")&amp;IF(AND(EDATE($D84,Milestones!$AA$177)&lt;=AsOfDate,IF($R84=0,$X84,IF(AND($T84&lt;&gt;"",EDATE($D84,Milestones!$AA$177)&gt;=$T84),$W84,IF(AND($S84&lt;&gt;"",EDATE($D84,Milestones!$AA$177)&gt;=$S84),$V84,$U84)))=Milestones!$AB$177),UPPER(TEXT(EDATE($D84,Milestones!$AA$177),"dd mmm yy"))&amp;" "&amp;Milestones!$AB$177&amp;" "&amp;Milestones!$AC$177&amp;";  ","")&amp;IF(AND(EDATE($D84,Milestones!$AA$178)&lt;=AsOfDate,IF($R84=0,$X84,IF(AND($T84&lt;&gt;"",EDATE($D84,Milestones!$AA$178)&gt;=$T84),$W84,IF(AND($S84&lt;&gt;"",EDATE($D84,Milestones!$AA$178)&gt;=$S84),$V84,$U84)))=Milestones!$AB$178),UPPER(TEXT(EDATE($D84,Milestones!$AA$178),"dd mmm yy"))&amp;" "&amp;Milestones!$AB$178&amp;" "&amp;Milestones!$AC$178&amp;";  ","")&amp;IF(AND(EDATE($D84,Milestones!$AA$179)&lt;=AsOfDate,IF($R84=0,$X84,IF(AND($T84&lt;&gt;"",EDATE($D84,Milestones!$AA$179)&gt;=$T84),$W84,IF(AND($S84&lt;&gt;"",EDATE($D84,Milestones!$AA$179)&gt;=$S84),$V84,$U84)))=Milestones!$AB$179),UPPER(TEXT(EDATE($D84,Milestones!$AA$179),"dd mmm yy"))&amp;" "&amp;Milestones!$AB$179&amp;" "&amp;Milestones!$AC$179&amp;";  ",""))</f>
        <v/>
      </c>
      <c r="Q84" s="0" t="str">
        <f aca="false">IF(OR($A84="",$D84=""),"",IF(AND(EDATE($D84,Milestones!$AA$180)&lt;=AsOfDate,IF($R84=0,$X84,IF(AND($T84&lt;&gt;"",EDATE($D84,Milestones!$AA$180)&gt;=$T84),$W84,IF(AND($S84&lt;&gt;"",EDATE($D84,Milestones!$AA$180)&gt;=$S84),$V84,$U84)))=Milestones!$AB$180),UPPER(TEXT(EDATE($D84,Milestones!$AA$180),"dd mmm yy"))&amp;" "&amp;Milestones!$AB$180&amp;" "&amp;Milestones!$AC$180&amp;";  ","")&amp;IF(AND(EDATE($D84,Milestones!$AA$181)&lt;=AsOfDate,IF($R84=0,$X84,IF(AND($T84&lt;&gt;"",EDATE($D84,Milestones!$AA$181)&gt;=$T84),$W84,IF(AND($S84&lt;&gt;"",EDATE($D84,Milestones!$AA$181)&gt;=$S84),$V84,$U84)))=Milestones!$AB$181),UPPER(TEXT(EDATE($D84,Milestones!$AA$181),"dd mmm yy"))&amp;" "&amp;Milestones!$AB$181&amp;" "&amp;Milestones!$AC$181&amp;";  ","")&amp;IF(AND(EDATE($D84,Milestones!$AA$182)&lt;=AsOfDate,IF($R84=0,$X84,IF(AND($T84&lt;&gt;"",EDATE($D84,Milestones!$AA$182)&gt;=$T84),$W84,IF(AND($S84&lt;&gt;"",EDATE($D84,Milestones!$AA$182)&gt;=$S84),$V84,$U84)))=Milestones!$AB$182),UPPER(TEXT(EDATE($D84,Milestones!$AA$182),"dd mmm yy"))&amp;" "&amp;Milestones!$AB$182&amp;" "&amp;Milestones!$AC$182&amp;";  ","")&amp;IF(AND(EDATE($D84,Milestones!$AA$183)&lt;=AsOfDate,IF($R84=0,$X84,IF(AND($T84&lt;&gt;"",EDATE($D84,Milestones!$AA$183)&gt;=$T84),$W84,IF(AND($S84&lt;&gt;"",EDATE($D84,Milestones!$AA$183)&gt;=$S84),$V84,$U84)))=Milestones!$AB$183),UPPER(TEXT(EDATE($D84,Milestones!$AA$183),"dd mmm yy"))&amp;" "&amp;Milestones!$AB$183&amp;" "&amp;Milestones!$AC$183&amp;";  ","")&amp;IF(AND(EDATE($D84,Milestones!$AA$184)&lt;=AsOfDate,IF($R84=0,$X84,IF(AND($T84&lt;&gt;"",EDATE($D84,Milestones!$AA$184)&gt;=$T84),$W84,IF(AND($S84&lt;&gt;"",EDATE($D84,Milestones!$AA$184)&gt;=$S84),$V84,$U84)))=Milestones!$AB$184),UPPER(TEXT(EDATE($D84,Milestones!$AA$184),"dd mmm yy"))&amp;" "&amp;Milestones!$AB$184&amp;" "&amp;Milestones!$AC$184&amp;";  ","")&amp;IF(AND(EDATE($D84,Milestones!$AA$185)&lt;=AsOfDate,IF($R84=0,$X84,IF(AND($T84&lt;&gt;"",EDATE($D84,Milestones!$AA$185)&gt;=$T84),$W84,IF(AND($S84&lt;&gt;"",EDATE($D84,Milestones!$AA$185)&gt;=$S84),$V84,$U84)))=Milestones!$AB$185),UPPER(TEXT(EDATE($D84,Milestones!$AA$185),"dd mmm yy"))&amp;" "&amp;Milestones!$AB$185&amp;" "&amp;Milestones!$AC$185&amp;";  ","")&amp;IF(AND(EDATE($D84,Milestones!$AA$186)&lt;=AsOfDate,IF($R84=0,$X84,IF(AND($T84&lt;&gt;"",EDATE($D84,Milestones!$AA$186)&gt;=$T84),$W84,IF(AND($S84&lt;&gt;"",EDATE($D84,Milestones!$AA$186)&gt;=$S84),$V84,$U84)))=Milestones!$AB$186),UPPER(TEXT(EDATE($D84,Milestones!$AA$186),"dd mmm yy"))&amp;" "&amp;Milestones!$AB$186&amp;" "&amp;Milestones!$AC$186&amp;";  ","")&amp;IF(AND(EDATE($D84,Milestones!$AA$187)&lt;=AsOfDate,IF($R84=0,$X84,IF(AND($T84&lt;&gt;"",EDATE($D84,Milestones!$AA$187)&gt;=$T84),$W84,IF(AND($S84&lt;&gt;"",EDATE($D84,Milestones!$AA$187)&gt;=$S84),$V84,$U84)))=Milestones!$AB$187),UPPER(TEXT(EDATE($D84,Milestones!$AA$187),"dd mmm yy"))&amp;" "&amp;Milestones!$AB$187&amp;" "&amp;Milestones!$AC$187&amp;";  ","")&amp;IF(AND(EDATE($D84,Milestones!$AA$188)&lt;=AsOfDate,IF($R84=0,$X84,IF(AND($T84&lt;&gt;"",EDATE($D84,Milestones!$AA$188)&gt;=$T84),$W84,IF(AND($S84&lt;&gt;"",EDATE($D84,Milestones!$AA$188)&gt;=$S84),$V84,$U84)))=Milestones!$AB$188),UPPER(TEXT(EDATE($D84,Milestones!$AA$188),"dd mmm yy"))&amp;" "&amp;Milestones!$AB$188&amp;" "&amp;Milestones!$AC$188&amp;";  ","")&amp;IF(AND(EDATE($D84,Milestones!$AA$189)&lt;=AsOfDate,IF($R84=0,$X84,IF(AND($T84&lt;&gt;"",EDATE($D84,Milestones!$AA$189)&gt;=$T84),$W84,IF(AND($S84&lt;&gt;"",EDATE($D84,Milestones!$AA$189)&gt;=$S84),$V84,$U84)))=Milestones!$AB$189),UPPER(TEXT(EDATE($D84,Milestones!$AA$189),"dd mmm yy"))&amp;" "&amp;Milestones!$AB$189&amp;" "&amp;Milestones!$AC$189&amp;";  ","")&amp;IF(AND(EDATE($D84,Milestones!$AA$190)&lt;=AsOfDate,IF($R84=0,$X84,IF(AND($T84&lt;&gt;"",EDATE($D84,Milestones!$AA$190)&gt;=$T84),$W84,IF(AND($S84&lt;&gt;"",EDATE($D84,Milestones!$AA$190)&gt;=$S84),$V84,$U84)))=Milestones!$AB$190),UPPER(TEXT(EDATE($D84,Milestones!$AA$190),"dd mmm yy"))&amp;" "&amp;Milestones!$AB$190&amp;" "&amp;Milestones!$AC$190&amp;";  ","")&amp;IF(AND(EDATE($D84,Milestones!$AA$191)&lt;=AsOfDate,IF($R84=0,$X84,IF(AND($T84&lt;&gt;"",EDATE($D84,Milestones!$AA$191)&gt;=$T84),$W84,IF(AND($S84&lt;&gt;"",EDATE($D84,Milestones!$AA$191)&gt;=$S84),$V84,$U84)))=Milestones!$AB$191),UPPER(TEXT(EDATE($D84,Milestones!$AA$191),"dd mmm yy"))&amp;" "&amp;Milestones!$AB$191&amp;" "&amp;Milestones!$AC$191&amp;";  ","")&amp;IF(AND(EDATE($D84,Milestones!$AA$192)&lt;=AsOfDate,IF($R84=0,$X84,IF(AND($T84&lt;&gt;"",EDATE($D84,Milestones!$AA$192)&gt;=$T84),$W84,IF(AND($S84&lt;&gt;"",EDATE($D84,Milestones!$AA$192)&gt;=$S84),$V84,$U84)))=Milestones!$AB$192),UPPER(TEXT(EDATE($D84,Milestones!$AA$192),"dd mmm yy"))&amp;" "&amp;Milestones!$AB$192&amp;" "&amp;Milestones!$AC$192&amp;";  ","")&amp;IF(AND(EDATE($D84,Milestones!$AA$193)&lt;=AsOfDate,IF($R84=0,$X84,IF(AND($T84&lt;&gt;"",EDATE($D84,Milestones!$AA$193)&gt;=$T84),$W84,IF(AND($S84&lt;&gt;"",EDATE($D84,Milestones!$AA$193)&gt;=$S84),$V84,$U84)))=Milestones!$AB$193),UPPER(TEXT(EDATE($D84,Milestones!$AA$193),"dd mmm yy"))&amp;" "&amp;Milestones!$AB$193&amp;" "&amp;Milestones!$AC$193&amp;";  ","")&amp;IF(AND(EDATE($D84,Milestones!$AA$194)&lt;=AsOfDate,IF($R84=0,$X84,IF(AND($T84&lt;&gt;"",EDATE($D84,Milestones!$AA$194)&gt;=$T84),$W84,IF(AND($S84&lt;&gt;"",EDATE($D84,Milestones!$AA$194)&gt;=$S84),$V84,$U84)))=Milestones!$AB$194),UPPER(TEXT(EDATE($D84,Milestones!$AA$194),"dd mmm yy"))&amp;" "&amp;Milestones!$AB$194&amp;" "&amp;Milestones!$AC$194&amp;";  ","")&amp;IF(AND(EDATE($D84,Milestones!$AA$195)&lt;=AsOfDate,IF($R84=0,$X84,IF(AND($T84&lt;&gt;"",EDATE($D84,Milestones!$AA$195)&gt;=$T84),$W84,IF(AND($S84&lt;&gt;"",EDATE($D84,Milestones!$AA$195)&gt;=$S84),$V84,$U84)))=Milestones!$AB$195),UPPER(TEXT(EDATE($D84,Milestones!$AA$195),"dd mmm yy"))&amp;" "&amp;Milestones!$AB$195&amp;" "&amp;Milestones!$AC$195&amp;";  ","")&amp;IF(AND(EDATE($D84,Milestones!$AA$196)&lt;=AsOfDate,IF($R84=0,$X84,IF(AND($T84&lt;&gt;"",EDATE($D84,Milestones!$AA$196)&gt;=$T84),$W84,IF(AND($S84&lt;&gt;"",EDATE($D84,Milestones!$AA$196)&gt;=$S84),$V84,$U84)))=Milestones!$AB$196),UPPER(TEXT(EDATE($D84,Milestones!$AA$196),"dd mmm yy"))&amp;" "&amp;Milestones!$AB$196&amp;" "&amp;Milestones!$AC$196&amp;";  ","")&amp;IF(AND(EDATE($D84,Milestones!$AA$197)&lt;=AsOfDate,IF($R84=0,$X84,IF(AND($T84&lt;&gt;"",EDATE($D84,Milestones!$AA$197)&gt;=$T84),$W84,IF(AND($S84&lt;&gt;"",EDATE($D84,Milestones!$AA$197)&gt;=$S84),$V84,$U84)))=Milestones!$AB$197),UPPER(TEXT(EDATE($D84,Milestones!$AA$197),"dd mmm yy"))&amp;" "&amp;Milestones!$AB$197&amp;" "&amp;Milestones!$AC$197&amp;";  ","")&amp;IF(AND(EDATE($D84,Milestones!$AA$198)&lt;=AsOfDate,IF($R84=0,$X84,IF(AND($T84&lt;&gt;"",EDATE($D84,Milestones!$AA$198)&gt;=$T84),$W84,IF(AND($S84&lt;&gt;"",EDATE($D84,Milestones!$AA$198)&gt;=$S84),$V84,$U84)))=Milestones!$AB$198),UPPER(TEXT(EDATE($D84,Milestones!$AA$198),"dd mmm yy"))&amp;" "&amp;Milestones!$AB$198&amp;" "&amp;Milestones!$AC$198&amp;";  ","")&amp;IF(AND(EDATE($D84,Milestones!$AA$199)&lt;=AsOfDate,IF($R84=0,$X84,IF(AND($T84&lt;&gt;"",EDATE($D84,Milestones!$AA$199)&gt;=$T84),$W84,IF(AND($S84&lt;&gt;"",EDATE($D84,Milestones!$AA$199)&gt;=$S84),$V84,$U84)))=Milestones!$AB$199),UPPER(TEXT(EDATE($D84,Milestones!$AA$199),"dd mmm yy"))&amp;" "&amp;Milestones!$AB$199&amp;" "&amp;Milestones!$AC$199&amp;";  ",""))</f>
        <v/>
      </c>
      <c r="R84" s="0" t="str">
        <f aca="false">IF(Staff!$A84="","",Staff!$AI84)</f>
        <v/>
      </c>
      <c r="S84" s="0" t="str">
        <f aca="false">IF(Staff!$A84="","",Staff!$AK84)</f>
        <v/>
      </c>
      <c r="T84" s="0" t="str">
        <f aca="false">IF(Staff!$A84="","",Staff!$AL84)</f>
        <v/>
      </c>
      <c r="U84" s="0" t="str">
        <f aca="false">IF(Staff!$A84="","",Staff!$AP84)</f>
        <v/>
      </c>
      <c r="V84" s="0" t="str">
        <f aca="false">IF(Staff!$A84="","",Staff!$AQ84)</f>
        <v/>
      </c>
      <c r="W84" s="0" t="str">
        <f aca="false">IF(Staff!$A84="","",Staff!$AR84)</f>
        <v/>
      </c>
      <c r="X84" s="0" t="str">
        <f aca="false">IF(Staff!$A84="","",Staff!$AS84)</f>
        <v/>
      </c>
    </row>
    <row r="85" customFormat="false" ht="15" hidden="false" customHeight="false" outlineLevel="0" collapsed="false">
      <c r="A85" s="14" t="str">
        <f aca="false">IF(Staff!$A85="","",Staff!$A85)</f>
        <v/>
      </c>
      <c r="B85" s="14" t="str">
        <f aca="false">IF(Staff!$A85="","",Staff!$B85)</f>
        <v/>
      </c>
      <c r="C85" s="14" t="str">
        <f aca="false">IF(Staff!$A85="","",Staff!$C85)</f>
        <v/>
      </c>
      <c r="D85" s="12" t="str">
        <f aca="false">IF(Staff!$A85="","",Staff!$AH85)</f>
        <v/>
      </c>
      <c r="E85" s="14" t="str">
        <f aca="false">IF(Staff!$A85="","",Staff!$O85)</f>
        <v/>
      </c>
      <c r="F85" s="14" t="str">
        <f aca="false">IF(E85="","",E85*HoursPerDay)</f>
        <v/>
      </c>
      <c r="G85" s="14" t="str">
        <f aca="false">IF(Staff!$A85="","",Staff!$AE85)</f>
        <v/>
      </c>
      <c r="H85" s="26" t="str">
        <f aca="false">IF($A85="","",I85&amp;J85&amp;K85&amp;L85&amp;M85&amp;N85&amp;O85&amp;P85&amp;Q85)</f>
        <v/>
      </c>
      <c r="I85" s="0" t="str">
        <f aca="false">IF(OR($A85="",$D85=""),"",IF(AND(EDATE($D85,Milestones!$AA$20)&lt;=AsOfDate,IF($R85=0,$X85,IF(AND($T85&lt;&gt;"",EDATE($D85,Milestones!$AA$20)&gt;=$T85),$W85,IF(AND($S85&lt;&gt;"",EDATE($D85,Milestones!$AA$20)&gt;=$S85),$V85,$U85)))=Milestones!$AB$20),UPPER(TEXT(EDATE($D85,Milestones!$AA$20),"dd mmm yy"))&amp;" "&amp;Milestones!$AB$20&amp;" "&amp;Milestones!$AC$20&amp;";  ","")&amp;IF(AND(EDATE($D85,Milestones!$AA$21)&lt;=AsOfDate,IF($R85=0,$X85,IF(AND($T85&lt;&gt;"",EDATE($D85,Milestones!$AA$21)&gt;=$T85),$W85,IF(AND($S85&lt;&gt;"",EDATE($D85,Milestones!$AA$21)&gt;=$S85),$V85,$U85)))=Milestones!$AB$21),UPPER(TEXT(EDATE($D85,Milestones!$AA$21),"dd mmm yy"))&amp;" "&amp;Milestones!$AB$21&amp;" "&amp;Milestones!$AC$21&amp;";  ","")&amp;IF(AND(EDATE($D85,Milestones!$AA$22)&lt;=AsOfDate,IF($R85=0,$X85,IF(AND($T85&lt;&gt;"",EDATE($D85,Milestones!$AA$22)&gt;=$T85),$W85,IF(AND($S85&lt;&gt;"",EDATE($D85,Milestones!$AA$22)&gt;=$S85),$V85,$U85)))=Milestones!$AB$22),UPPER(TEXT(EDATE($D85,Milestones!$AA$22),"dd mmm yy"))&amp;" "&amp;Milestones!$AB$22&amp;" "&amp;Milestones!$AC$22&amp;";  ","")&amp;IF(AND(EDATE($D85,Milestones!$AA$23)&lt;=AsOfDate,IF($R85=0,$X85,IF(AND($T85&lt;&gt;"",EDATE($D85,Milestones!$AA$23)&gt;=$T85),$W85,IF(AND($S85&lt;&gt;"",EDATE($D85,Milestones!$AA$23)&gt;=$S85),$V85,$U85)))=Milestones!$AB$23),UPPER(TEXT(EDATE($D85,Milestones!$AA$23),"dd mmm yy"))&amp;" "&amp;Milestones!$AB$23&amp;" "&amp;Milestones!$AC$23&amp;";  ","")&amp;IF(AND(EDATE($D85,Milestones!$AA$24)&lt;=AsOfDate,IF($R85=0,$X85,IF(AND($T85&lt;&gt;"",EDATE($D85,Milestones!$AA$24)&gt;=$T85),$W85,IF(AND($S85&lt;&gt;"",EDATE($D85,Milestones!$AA$24)&gt;=$S85),$V85,$U85)))=Milestones!$AB$24),UPPER(TEXT(EDATE($D85,Milestones!$AA$24),"dd mmm yy"))&amp;" "&amp;Milestones!$AB$24&amp;" "&amp;Milestones!$AC$24&amp;";  ","")&amp;IF(AND(EDATE($D85,Milestones!$AA$25)&lt;=AsOfDate,IF($R85=0,$X85,IF(AND($T85&lt;&gt;"",EDATE($D85,Milestones!$AA$25)&gt;=$T85),$W85,IF(AND($S85&lt;&gt;"",EDATE($D85,Milestones!$AA$25)&gt;=$S85),$V85,$U85)))=Milestones!$AB$25),UPPER(TEXT(EDATE($D85,Milestones!$AA$25),"dd mmm yy"))&amp;" "&amp;Milestones!$AB$25&amp;" "&amp;Milestones!$AC$25&amp;";  ","")&amp;IF(AND(EDATE($D85,Milestones!$AA$26)&lt;=AsOfDate,IF($R85=0,$X85,IF(AND($T85&lt;&gt;"",EDATE($D85,Milestones!$AA$26)&gt;=$T85),$W85,IF(AND($S85&lt;&gt;"",EDATE($D85,Milestones!$AA$26)&gt;=$S85),$V85,$U85)))=Milestones!$AB$26),UPPER(TEXT(EDATE($D85,Milestones!$AA$26),"dd mmm yy"))&amp;" "&amp;Milestones!$AB$26&amp;" "&amp;Milestones!$AC$26&amp;";  ","")&amp;IF(AND(EDATE($D85,Milestones!$AA$27)&lt;=AsOfDate,IF($R85=0,$X85,IF(AND($T85&lt;&gt;"",EDATE($D85,Milestones!$AA$27)&gt;=$T85),$W85,IF(AND($S85&lt;&gt;"",EDATE($D85,Milestones!$AA$27)&gt;=$S85),$V85,$U85)))=Milestones!$AB$27),UPPER(TEXT(EDATE($D85,Milestones!$AA$27),"dd mmm yy"))&amp;" "&amp;Milestones!$AB$27&amp;" "&amp;Milestones!$AC$27&amp;";  ","")&amp;IF(AND(EDATE($D85,Milestones!$AA$28)&lt;=AsOfDate,IF($R85=0,$X85,IF(AND($T85&lt;&gt;"",EDATE($D85,Milestones!$AA$28)&gt;=$T85),$W85,IF(AND($S85&lt;&gt;"",EDATE($D85,Milestones!$AA$28)&gt;=$S85),$V85,$U85)))=Milestones!$AB$28),UPPER(TEXT(EDATE($D85,Milestones!$AA$28),"dd mmm yy"))&amp;" "&amp;Milestones!$AB$28&amp;" "&amp;Milestones!$AC$28&amp;";  ","")&amp;IF(AND(EDATE($D85,Milestones!$AA$29)&lt;=AsOfDate,IF($R85=0,$X85,IF(AND($T85&lt;&gt;"",EDATE($D85,Milestones!$AA$29)&gt;=$T85),$W85,IF(AND($S85&lt;&gt;"",EDATE($D85,Milestones!$AA$29)&gt;=$S85),$V85,$U85)))=Milestones!$AB$29),UPPER(TEXT(EDATE($D85,Milestones!$AA$29),"dd mmm yy"))&amp;" "&amp;Milestones!$AB$29&amp;" "&amp;Milestones!$AC$29&amp;";  ","")&amp;IF(AND(EDATE($D85,Milestones!$AA$30)&lt;=AsOfDate,IF($R85=0,$X85,IF(AND($T85&lt;&gt;"",EDATE($D85,Milestones!$AA$30)&gt;=$T85),$W85,IF(AND($S85&lt;&gt;"",EDATE($D85,Milestones!$AA$30)&gt;=$S85),$V85,$U85)))=Milestones!$AB$30),UPPER(TEXT(EDATE($D85,Milestones!$AA$30),"dd mmm yy"))&amp;" "&amp;Milestones!$AB$30&amp;" "&amp;Milestones!$AC$30&amp;";  ","")&amp;IF(AND(EDATE($D85,Milestones!$AA$31)&lt;=AsOfDate,IF($R85=0,$X85,IF(AND($T85&lt;&gt;"",EDATE($D85,Milestones!$AA$31)&gt;=$T85),$W85,IF(AND($S85&lt;&gt;"",EDATE($D85,Milestones!$AA$31)&gt;=$S85),$V85,$U85)))=Milestones!$AB$31),UPPER(TEXT(EDATE($D85,Milestones!$AA$31),"dd mmm yy"))&amp;" "&amp;Milestones!$AB$31&amp;" "&amp;Milestones!$AC$31&amp;";  ","")&amp;IF(AND(EDATE($D85,Milestones!$AA$32)&lt;=AsOfDate,IF($R85=0,$X85,IF(AND($T85&lt;&gt;"",EDATE($D85,Milestones!$AA$32)&gt;=$T85),$W85,IF(AND($S85&lt;&gt;"",EDATE($D85,Milestones!$AA$32)&gt;=$S85),$V85,$U85)))=Milestones!$AB$32),UPPER(TEXT(EDATE($D85,Milestones!$AA$32),"dd mmm yy"))&amp;" "&amp;Milestones!$AB$32&amp;" "&amp;Milestones!$AC$32&amp;";  ","")&amp;IF(AND(EDATE($D85,Milestones!$AA$33)&lt;=AsOfDate,IF($R85=0,$X85,IF(AND($T85&lt;&gt;"",EDATE($D85,Milestones!$AA$33)&gt;=$T85),$W85,IF(AND($S85&lt;&gt;"",EDATE($D85,Milestones!$AA$33)&gt;=$S85),$V85,$U85)))=Milestones!$AB$33),UPPER(TEXT(EDATE($D85,Milestones!$AA$33),"dd mmm yy"))&amp;" "&amp;Milestones!$AB$33&amp;" "&amp;Milestones!$AC$33&amp;";  ","")&amp;IF(AND(EDATE($D85,Milestones!$AA$34)&lt;=AsOfDate,IF($R85=0,$X85,IF(AND($T85&lt;&gt;"",EDATE($D85,Milestones!$AA$34)&gt;=$T85),$W85,IF(AND($S85&lt;&gt;"",EDATE($D85,Milestones!$AA$34)&gt;=$S85),$V85,$U85)))=Milestones!$AB$34),UPPER(TEXT(EDATE($D85,Milestones!$AA$34),"dd mmm yy"))&amp;" "&amp;Milestones!$AB$34&amp;" "&amp;Milestones!$AC$34&amp;";  ","")&amp;IF(AND(EDATE($D85,Milestones!$AA$35)&lt;=AsOfDate,IF($R85=0,$X85,IF(AND($T85&lt;&gt;"",EDATE($D85,Milestones!$AA$35)&gt;=$T85),$W85,IF(AND($S85&lt;&gt;"",EDATE($D85,Milestones!$AA$35)&gt;=$S85),$V85,$U85)))=Milestones!$AB$35),UPPER(TEXT(EDATE($D85,Milestones!$AA$35),"dd mmm yy"))&amp;" "&amp;Milestones!$AB$35&amp;" "&amp;Milestones!$AC$35&amp;";  ","")&amp;IF(AND(EDATE($D85,Milestones!$AA$36)&lt;=AsOfDate,IF($R85=0,$X85,IF(AND($T85&lt;&gt;"",EDATE($D85,Milestones!$AA$36)&gt;=$T85),$W85,IF(AND($S85&lt;&gt;"",EDATE($D85,Milestones!$AA$36)&gt;=$S85),$V85,$U85)))=Milestones!$AB$36),UPPER(TEXT(EDATE($D85,Milestones!$AA$36),"dd mmm yy"))&amp;" "&amp;Milestones!$AB$36&amp;" "&amp;Milestones!$AC$36&amp;";  ","")&amp;IF(AND(EDATE($D85,Milestones!$AA$37)&lt;=AsOfDate,IF($R85=0,$X85,IF(AND($T85&lt;&gt;"",EDATE($D85,Milestones!$AA$37)&gt;=$T85),$W85,IF(AND($S85&lt;&gt;"",EDATE($D85,Milestones!$AA$37)&gt;=$S85),$V85,$U85)))=Milestones!$AB$37),UPPER(TEXT(EDATE($D85,Milestones!$AA$37),"dd mmm yy"))&amp;" "&amp;Milestones!$AB$37&amp;" "&amp;Milestones!$AC$37&amp;";  ","")&amp;IF(AND(EDATE($D85,Milestones!$AA$38)&lt;=AsOfDate,IF($R85=0,$X85,IF(AND($T85&lt;&gt;"",EDATE($D85,Milestones!$AA$38)&gt;=$T85),$W85,IF(AND($S85&lt;&gt;"",EDATE($D85,Milestones!$AA$38)&gt;=$S85),$V85,$U85)))=Milestones!$AB$38),UPPER(TEXT(EDATE($D85,Milestones!$AA$38),"dd mmm yy"))&amp;" "&amp;Milestones!$AB$38&amp;" "&amp;Milestones!$AC$38&amp;";  ","")&amp;IF(AND(EDATE($D85,Milestones!$AA$39)&lt;=AsOfDate,IF($R85=0,$X85,IF(AND($T85&lt;&gt;"",EDATE($D85,Milestones!$AA$39)&gt;=$T85),$W85,IF(AND($S85&lt;&gt;"",EDATE($D85,Milestones!$AA$39)&gt;=$S85),$V85,$U85)))=Milestones!$AB$39),UPPER(TEXT(EDATE($D85,Milestones!$AA$39),"dd mmm yy"))&amp;" "&amp;Milestones!$AB$39&amp;" "&amp;Milestones!$AC$39&amp;";  ",""))</f>
        <v/>
      </c>
      <c r="J85" s="0" t="str">
        <f aca="false">IF(OR($A85="",$D85=""),"",IF(AND(EDATE($D85,Milestones!$AA$40)&lt;=AsOfDate,IF($R85=0,$X85,IF(AND($T85&lt;&gt;"",EDATE($D85,Milestones!$AA$40)&gt;=$T85),$W85,IF(AND($S85&lt;&gt;"",EDATE($D85,Milestones!$AA$40)&gt;=$S85),$V85,$U85)))=Milestones!$AB$40),UPPER(TEXT(EDATE($D85,Milestones!$AA$40),"dd mmm yy"))&amp;" "&amp;Milestones!$AB$40&amp;" "&amp;Milestones!$AC$40&amp;";  ","")&amp;IF(AND(EDATE($D85,Milestones!$AA$41)&lt;=AsOfDate,IF($R85=0,$X85,IF(AND($T85&lt;&gt;"",EDATE($D85,Milestones!$AA$41)&gt;=$T85),$W85,IF(AND($S85&lt;&gt;"",EDATE($D85,Milestones!$AA$41)&gt;=$S85),$V85,$U85)))=Milestones!$AB$41),UPPER(TEXT(EDATE($D85,Milestones!$AA$41),"dd mmm yy"))&amp;" "&amp;Milestones!$AB$41&amp;" "&amp;Milestones!$AC$41&amp;";  ","")&amp;IF(AND(EDATE($D85,Milestones!$AA$42)&lt;=AsOfDate,IF($R85=0,$X85,IF(AND($T85&lt;&gt;"",EDATE($D85,Milestones!$AA$42)&gt;=$T85),$W85,IF(AND($S85&lt;&gt;"",EDATE($D85,Milestones!$AA$42)&gt;=$S85),$V85,$U85)))=Milestones!$AB$42),UPPER(TEXT(EDATE($D85,Milestones!$AA$42),"dd mmm yy"))&amp;" "&amp;Milestones!$AB$42&amp;" "&amp;Milestones!$AC$42&amp;";  ","")&amp;IF(AND(EDATE($D85,Milestones!$AA$43)&lt;=AsOfDate,IF($R85=0,$X85,IF(AND($T85&lt;&gt;"",EDATE($D85,Milestones!$AA$43)&gt;=$T85),$W85,IF(AND($S85&lt;&gt;"",EDATE($D85,Milestones!$AA$43)&gt;=$S85),$V85,$U85)))=Milestones!$AB$43),UPPER(TEXT(EDATE($D85,Milestones!$AA$43),"dd mmm yy"))&amp;" "&amp;Milestones!$AB$43&amp;" "&amp;Milestones!$AC$43&amp;";  ","")&amp;IF(AND(EDATE($D85,Milestones!$AA$44)&lt;=AsOfDate,IF($R85=0,$X85,IF(AND($T85&lt;&gt;"",EDATE($D85,Milestones!$AA$44)&gt;=$T85),$W85,IF(AND($S85&lt;&gt;"",EDATE($D85,Milestones!$AA$44)&gt;=$S85),$V85,$U85)))=Milestones!$AB$44),UPPER(TEXT(EDATE($D85,Milestones!$AA$44),"dd mmm yy"))&amp;" "&amp;Milestones!$AB$44&amp;" "&amp;Milestones!$AC$44&amp;";  ","")&amp;IF(AND(EDATE($D85,Milestones!$AA$45)&lt;=AsOfDate,IF($R85=0,$X85,IF(AND($T85&lt;&gt;"",EDATE($D85,Milestones!$AA$45)&gt;=$T85),$W85,IF(AND($S85&lt;&gt;"",EDATE($D85,Milestones!$AA$45)&gt;=$S85),$V85,$U85)))=Milestones!$AB$45),UPPER(TEXT(EDATE($D85,Milestones!$AA$45),"dd mmm yy"))&amp;" "&amp;Milestones!$AB$45&amp;" "&amp;Milestones!$AC$45&amp;";  ","")&amp;IF(AND(EDATE($D85,Milestones!$AA$46)&lt;=AsOfDate,IF($R85=0,$X85,IF(AND($T85&lt;&gt;"",EDATE($D85,Milestones!$AA$46)&gt;=$T85),$W85,IF(AND($S85&lt;&gt;"",EDATE($D85,Milestones!$AA$46)&gt;=$S85),$V85,$U85)))=Milestones!$AB$46),UPPER(TEXT(EDATE($D85,Milestones!$AA$46),"dd mmm yy"))&amp;" "&amp;Milestones!$AB$46&amp;" "&amp;Milestones!$AC$46&amp;";  ","")&amp;IF(AND(EDATE($D85,Milestones!$AA$47)&lt;=AsOfDate,IF($R85=0,$X85,IF(AND($T85&lt;&gt;"",EDATE($D85,Milestones!$AA$47)&gt;=$T85),$W85,IF(AND($S85&lt;&gt;"",EDATE($D85,Milestones!$AA$47)&gt;=$S85),$V85,$U85)))=Milestones!$AB$47),UPPER(TEXT(EDATE($D85,Milestones!$AA$47),"dd mmm yy"))&amp;" "&amp;Milestones!$AB$47&amp;" "&amp;Milestones!$AC$47&amp;";  ","")&amp;IF(AND(EDATE($D85,Milestones!$AA$48)&lt;=AsOfDate,IF($R85=0,$X85,IF(AND($T85&lt;&gt;"",EDATE($D85,Milestones!$AA$48)&gt;=$T85),$W85,IF(AND($S85&lt;&gt;"",EDATE($D85,Milestones!$AA$48)&gt;=$S85),$V85,$U85)))=Milestones!$AB$48),UPPER(TEXT(EDATE($D85,Milestones!$AA$48),"dd mmm yy"))&amp;" "&amp;Milestones!$AB$48&amp;" "&amp;Milestones!$AC$48&amp;";  ","")&amp;IF(AND(EDATE($D85,Milestones!$AA$49)&lt;=AsOfDate,IF($R85=0,$X85,IF(AND($T85&lt;&gt;"",EDATE($D85,Milestones!$AA$49)&gt;=$T85),$W85,IF(AND($S85&lt;&gt;"",EDATE($D85,Milestones!$AA$49)&gt;=$S85),$V85,$U85)))=Milestones!$AB$49),UPPER(TEXT(EDATE($D85,Milestones!$AA$49),"dd mmm yy"))&amp;" "&amp;Milestones!$AB$49&amp;" "&amp;Milestones!$AC$49&amp;";  ","")&amp;IF(AND(EDATE($D85,Milestones!$AA$50)&lt;=AsOfDate,IF($R85=0,$X85,IF(AND($T85&lt;&gt;"",EDATE($D85,Milestones!$AA$50)&gt;=$T85),$W85,IF(AND($S85&lt;&gt;"",EDATE($D85,Milestones!$AA$50)&gt;=$S85),$V85,$U85)))=Milestones!$AB$50),UPPER(TEXT(EDATE($D85,Milestones!$AA$50),"dd mmm yy"))&amp;" "&amp;Milestones!$AB$50&amp;" "&amp;Milestones!$AC$50&amp;";  ","")&amp;IF(AND(EDATE($D85,Milestones!$AA$51)&lt;=AsOfDate,IF($R85=0,$X85,IF(AND($T85&lt;&gt;"",EDATE($D85,Milestones!$AA$51)&gt;=$T85),$W85,IF(AND($S85&lt;&gt;"",EDATE($D85,Milestones!$AA$51)&gt;=$S85),$V85,$U85)))=Milestones!$AB$51),UPPER(TEXT(EDATE($D85,Milestones!$AA$51),"dd mmm yy"))&amp;" "&amp;Milestones!$AB$51&amp;" "&amp;Milestones!$AC$51&amp;";  ","")&amp;IF(AND(EDATE($D85,Milestones!$AA$52)&lt;=AsOfDate,IF($R85=0,$X85,IF(AND($T85&lt;&gt;"",EDATE($D85,Milestones!$AA$52)&gt;=$T85),$W85,IF(AND($S85&lt;&gt;"",EDATE($D85,Milestones!$AA$52)&gt;=$S85),$V85,$U85)))=Milestones!$AB$52),UPPER(TEXT(EDATE($D85,Milestones!$AA$52),"dd mmm yy"))&amp;" "&amp;Milestones!$AB$52&amp;" "&amp;Milestones!$AC$52&amp;";  ","")&amp;IF(AND(EDATE($D85,Milestones!$AA$53)&lt;=AsOfDate,IF($R85=0,$X85,IF(AND($T85&lt;&gt;"",EDATE($D85,Milestones!$AA$53)&gt;=$T85),$W85,IF(AND($S85&lt;&gt;"",EDATE($D85,Milestones!$AA$53)&gt;=$S85),$V85,$U85)))=Milestones!$AB$53),UPPER(TEXT(EDATE($D85,Milestones!$AA$53),"dd mmm yy"))&amp;" "&amp;Milestones!$AB$53&amp;" "&amp;Milestones!$AC$53&amp;";  ","")&amp;IF(AND(EDATE($D85,Milestones!$AA$54)&lt;=AsOfDate,IF($R85=0,$X85,IF(AND($T85&lt;&gt;"",EDATE($D85,Milestones!$AA$54)&gt;=$T85),$W85,IF(AND($S85&lt;&gt;"",EDATE($D85,Milestones!$AA$54)&gt;=$S85),$V85,$U85)))=Milestones!$AB$54),UPPER(TEXT(EDATE($D85,Milestones!$AA$54),"dd mmm yy"))&amp;" "&amp;Milestones!$AB$54&amp;" "&amp;Milestones!$AC$54&amp;";  ","")&amp;IF(AND(EDATE($D85,Milestones!$AA$55)&lt;=AsOfDate,IF($R85=0,$X85,IF(AND($T85&lt;&gt;"",EDATE($D85,Milestones!$AA$55)&gt;=$T85),$W85,IF(AND($S85&lt;&gt;"",EDATE($D85,Milestones!$AA$55)&gt;=$S85),$V85,$U85)))=Milestones!$AB$55),UPPER(TEXT(EDATE($D85,Milestones!$AA$55),"dd mmm yy"))&amp;" "&amp;Milestones!$AB$55&amp;" "&amp;Milestones!$AC$55&amp;";  ","")&amp;IF(AND(EDATE($D85,Milestones!$AA$56)&lt;=AsOfDate,IF($R85=0,$X85,IF(AND($T85&lt;&gt;"",EDATE($D85,Milestones!$AA$56)&gt;=$T85),$W85,IF(AND($S85&lt;&gt;"",EDATE($D85,Milestones!$AA$56)&gt;=$S85),$V85,$U85)))=Milestones!$AB$56),UPPER(TEXT(EDATE($D85,Milestones!$AA$56),"dd mmm yy"))&amp;" "&amp;Milestones!$AB$56&amp;" "&amp;Milestones!$AC$56&amp;";  ","")&amp;IF(AND(EDATE($D85,Milestones!$AA$57)&lt;=AsOfDate,IF($R85=0,$X85,IF(AND($T85&lt;&gt;"",EDATE($D85,Milestones!$AA$57)&gt;=$T85),$W85,IF(AND($S85&lt;&gt;"",EDATE($D85,Milestones!$AA$57)&gt;=$S85),$V85,$U85)))=Milestones!$AB$57),UPPER(TEXT(EDATE($D85,Milestones!$AA$57),"dd mmm yy"))&amp;" "&amp;Milestones!$AB$57&amp;" "&amp;Milestones!$AC$57&amp;";  ","")&amp;IF(AND(EDATE($D85,Milestones!$AA$58)&lt;=AsOfDate,IF($R85=0,$X85,IF(AND($T85&lt;&gt;"",EDATE($D85,Milestones!$AA$58)&gt;=$T85),$W85,IF(AND($S85&lt;&gt;"",EDATE($D85,Milestones!$AA$58)&gt;=$S85),$V85,$U85)))=Milestones!$AB$58),UPPER(TEXT(EDATE($D85,Milestones!$AA$58),"dd mmm yy"))&amp;" "&amp;Milestones!$AB$58&amp;" "&amp;Milestones!$AC$58&amp;";  ","")&amp;IF(AND(EDATE($D85,Milestones!$AA$59)&lt;=AsOfDate,IF($R85=0,$X85,IF(AND($T85&lt;&gt;"",EDATE($D85,Milestones!$AA$59)&gt;=$T85),$W85,IF(AND($S85&lt;&gt;"",EDATE($D85,Milestones!$AA$59)&gt;=$S85),$V85,$U85)))=Milestones!$AB$59),UPPER(TEXT(EDATE($D85,Milestones!$AA$59),"dd mmm yy"))&amp;" "&amp;Milestones!$AB$59&amp;" "&amp;Milestones!$AC$59&amp;";  ",""))</f>
        <v/>
      </c>
      <c r="K85" s="0" t="str">
        <f aca="false">IF(OR($A85="",$D85=""),"",IF(AND(EDATE($D85,Milestones!$AA$60)&lt;=AsOfDate,IF($R85=0,$X85,IF(AND($T85&lt;&gt;"",EDATE($D85,Milestones!$AA$60)&gt;=$T85),$W85,IF(AND($S85&lt;&gt;"",EDATE($D85,Milestones!$AA$60)&gt;=$S85),$V85,$U85)))=Milestones!$AB$60),UPPER(TEXT(EDATE($D85,Milestones!$AA$60),"dd mmm yy"))&amp;" "&amp;Milestones!$AB$60&amp;" "&amp;Milestones!$AC$60&amp;";  ","")&amp;IF(AND(EDATE($D85,Milestones!$AA$61)&lt;=AsOfDate,IF($R85=0,$X85,IF(AND($T85&lt;&gt;"",EDATE($D85,Milestones!$AA$61)&gt;=$T85),$W85,IF(AND($S85&lt;&gt;"",EDATE($D85,Milestones!$AA$61)&gt;=$S85),$V85,$U85)))=Milestones!$AB$61),UPPER(TEXT(EDATE($D85,Milestones!$AA$61),"dd mmm yy"))&amp;" "&amp;Milestones!$AB$61&amp;" "&amp;Milestones!$AC$61&amp;";  ","")&amp;IF(AND(EDATE($D85,Milestones!$AA$62)&lt;=AsOfDate,IF($R85=0,$X85,IF(AND($T85&lt;&gt;"",EDATE($D85,Milestones!$AA$62)&gt;=$T85),$W85,IF(AND($S85&lt;&gt;"",EDATE($D85,Milestones!$AA$62)&gt;=$S85),$V85,$U85)))=Milestones!$AB$62),UPPER(TEXT(EDATE($D85,Milestones!$AA$62),"dd mmm yy"))&amp;" "&amp;Milestones!$AB$62&amp;" "&amp;Milestones!$AC$62&amp;";  ","")&amp;IF(AND(EDATE($D85,Milestones!$AA$63)&lt;=AsOfDate,IF($R85=0,$X85,IF(AND($T85&lt;&gt;"",EDATE($D85,Milestones!$AA$63)&gt;=$T85),$W85,IF(AND($S85&lt;&gt;"",EDATE($D85,Milestones!$AA$63)&gt;=$S85),$V85,$U85)))=Milestones!$AB$63),UPPER(TEXT(EDATE($D85,Milestones!$AA$63),"dd mmm yy"))&amp;" "&amp;Milestones!$AB$63&amp;" "&amp;Milestones!$AC$63&amp;";  ","")&amp;IF(AND(EDATE($D85,Milestones!$AA$64)&lt;=AsOfDate,IF($R85=0,$X85,IF(AND($T85&lt;&gt;"",EDATE($D85,Milestones!$AA$64)&gt;=$T85),$W85,IF(AND($S85&lt;&gt;"",EDATE($D85,Milestones!$AA$64)&gt;=$S85),$V85,$U85)))=Milestones!$AB$64),UPPER(TEXT(EDATE($D85,Milestones!$AA$64),"dd mmm yy"))&amp;" "&amp;Milestones!$AB$64&amp;" "&amp;Milestones!$AC$64&amp;";  ","")&amp;IF(AND(EDATE($D85,Milestones!$AA$65)&lt;=AsOfDate,IF($R85=0,$X85,IF(AND($T85&lt;&gt;"",EDATE($D85,Milestones!$AA$65)&gt;=$T85),$W85,IF(AND($S85&lt;&gt;"",EDATE($D85,Milestones!$AA$65)&gt;=$S85),$V85,$U85)))=Milestones!$AB$65),UPPER(TEXT(EDATE($D85,Milestones!$AA$65),"dd mmm yy"))&amp;" "&amp;Milestones!$AB$65&amp;" "&amp;Milestones!$AC$65&amp;";  ","")&amp;IF(AND(EDATE($D85,Milestones!$AA$66)&lt;=AsOfDate,IF($R85=0,$X85,IF(AND($T85&lt;&gt;"",EDATE($D85,Milestones!$AA$66)&gt;=$T85),$W85,IF(AND($S85&lt;&gt;"",EDATE($D85,Milestones!$AA$66)&gt;=$S85),$V85,$U85)))=Milestones!$AB$66),UPPER(TEXT(EDATE($D85,Milestones!$AA$66),"dd mmm yy"))&amp;" "&amp;Milestones!$AB$66&amp;" "&amp;Milestones!$AC$66&amp;";  ","")&amp;IF(AND(EDATE($D85,Milestones!$AA$67)&lt;=AsOfDate,IF($R85=0,$X85,IF(AND($T85&lt;&gt;"",EDATE($D85,Milestones!$AA$67)&gt;=$T85),$W85,IF(AND($S85&lt;&gt;"",EDATE($D85,Milestones!$AA$67)&gt;=$S85),$V85,$U85)))=Milestones!$AB$67),UPPER(TEXT(EDATE($D85,Milestones!$AA$67),"dd mmm yy"))&amp;" "&amp;Milestones!$AB$67&amp;" "&amp;Milestones!$AC$67&amp;";  ","")&amp;IF(AND(EDATE($D85,Milestones!$AA$68)&lt;=AsOfDate,IF($R85=0,$X85,IF(AND($T85&lt;&gt;"",EDATE($D85,Milestones!$AA$68)&gt;=$T85),$W85,IF(AND($S85&lt;&gt;"",EDATE($D85,Milestones!$AA$68)&gt;=$S85),$V85,$U85)))=Milestones!$AB$68),UPPER(TEXT(EDATE($D85,Milestones!$AA$68),"dd mmm yy"))&amp;" "&amp;Milestones!$AB$68&amp;" "&amp;Milestones!$AC$68&amp;";  ","")&amp;IF(AND(EDATE($D85,Milestones!$AA$69)&lt;=AsOfDate,IF($R85=0,$X85,IF(AND($T85&lt;&gt;"",EDATE($D85,Milestones!$AA$69)&gt;=$T85),$W85,IF(AND($S85&lt;&gt;"",EDATE($D85,Milestones!$AA$69)&gt;=$S85),$V85,$U85)))=Milestones!$AB$69),UPPER(TEXT(EDATE($D85,Milestones!$AA$69),"dd mmm yy"))&amp;" "&amp;Milestones!$AB$69&amp;" "&amp;Milestones!$AC$69&amp;";  ","")&amp;IF(AND(EDATE($D85,Milestones!$AA$70)&lt;=AsOfDate,IF($R85=0,$X85,IF(AND($T85&lt;&gt;"",EDATE($D85,Milestones!$AA$70)&gt;=$T85),$W85,IF(AND($S85&lt;&gt;"",EDATE($D85,Milestones!$AA$70)&gt;=$S85),$V85,$U85)))=Milestones!$AB$70),UPPER(TEXT(EDATE($D85,Milestones!$AA$70),"dd mmm yy"))&amp;" "&amp;Milestones!$AB$70&amp;" "&amp;Milestones!$AC$70&amp;";  ","")&amp;IF(AND(EDATE($D85,Milestones!$AA$71)&lt;=AsOfDate,IF($R85=0,$X85,IF(AND($T85&lt;&gt;"",EDATE($D85,Milestones!$AA$71)&gt;=$T85),$W85,IF(AND($S85&lt;&gt;"",EDATE($D85,Milestones!$AA$71)&gt;=$S85),$V85,$U85)))=Milestones!$AB$71),UPPER(TEXT(EDATE($D85,Milestones!$AA$71),"dd mmm yy"))&amp;" "&amp;Milestones!$AB$71&amp;" "&amp;Milestones!$AC$71&amp;";  ","")&amp;IF(AND(EDATE($D85,Milestones!$AA$72)&lt;=AsOfDate,IF($R85=0,$X85,IF(AND($T85&lt;&gt;"",EDATE($D85,Milestones!$AA$72)&gt;=$T85),$W85,IF(AND($S85&lt;&gt;"",EDATE($D85,Milestones!$AA$72)&gt;=$S85),$V85,$U85)))=Milestones!$AB$72),UPPER(TEXT(EDATE($D85,Milestones!$AA$72),"dd mmm yy"))&amp;" "&amp;Milestones!$AB$72&amp;" "&amp;Milestones!$AC$72&amp;";  ","")&amp;IF(AND(EDATE($D85,Milestones!$AA$73)&lt;=AsOfDate,IF($R85=0,$X85,IF(AND($T85&lt;&gt;"",EDATE($D85,Milestones!$AA$73)&gt;=$T85),$W85,IF(AND($S85&lt;&gt;"",EDATE($D85,Milestones!$AA$73)&gt;=$S85),$V85,$U85)))=Milestones!$AB$73),UPPER(TEXT(EDATE($D85,Milestones!$AA$73),"dd mmm yy"))&amp;" "&amp;Milestones!$AB$73&amp;" "&amp;Milestones!$AC$73&amp;";  ","")&amp;IF(AND(EDATE($D85,Milestones!$AA$74)&lt;=AsOfDate,IF($R85=0,$X85,IF(AND($T85&lt;&gt;"",EDATE($D85,Milestones!$AA$74)&gt;=$T85),$W85,IF(AND($S85&lt;&gt;"",EDATE($D85,Milestones!$AA$74)&gt;=$S85),$V85,$U85)))=Milestones!$AB$74),UPPER(TEXT(EDATE($D85,Milestones!$AA$74),"dd mmm yy"))&amp;" "&amp;Milestones!$AB$74&amp;" "&amp;Milestones!$AC$74&amp;";  ","")&amp;IF(AND(EDATE($D85,Milestones!$AA$75)&lt;=AsOfDate,IF($R85=0,$X85,IF(AND($T85&lt;&gt;"",EDATE($D85,Milestones!$AA$75)&gt;=$T85),$W85,IF(AND($S85&lt;&gt;"",EDATE($D85,Milestones!$AA$75)&gt;=$S85),$V85,$U85)))=Milestones!$AB$75),UPPER(TEXT(EDATE($D85,Milestones!$AA$75),"dd mmm yy"))&amp;" "&amp;Milestones!$AB$75&amp;" "&amp;Milestones!$AC$75&amp;";  ","")&amp;IF(AND(EDATE($D85,Milestones!$AA$76)&lt;=AsOfDate,IF($R85=0,$X85,IF(AND($T85&lt;&gt;"",EDATE($D85,Milestones!$AA$76)&gt;=$T85),$W85,IF(AND($S85&lt;&gt;"",EDATE($D85,Milestones!$AA$76)&gt;=$S85),$V85,$U85)))=Milestones!$AB$76),UPPER(TEXT(EDATE($D85,Milestones!$AA$76),"dd mmm yy"))&amp;" "&amp;Milestones!$AB$76&amp;" "&amp;Milestones!$AC$76&amp;";  ","")&amp;IF(AND(EDATE($D85,Milestones!$AA$77)&lt;=AsOfDate,IF($R85=0,$X85,IF(AND($T85&lt;&gt;"",EDATE($D85,Milestones!$AA$77)&gt;=$T85),$W85,IF(AND($S85&lt;&gt;"",EDATE($D85,Milestones!$AA$77)&gt;=$S85),$V85,$U85)))=Milestones!$AB$77),UPPER(TEXT(EDATE($D85,Milestones!$AA$77),"dd mmm yy"))&amp;" "&amp;Milestones!$AB$77&amp;" "&amp;Milestones!$AC$77&amp;";  ","")&amp;IF(AND(EDATE($D85,Milestones!$AA$78)&lt;=AsOfDate,IF($R85=0,$X85,IF(AND($T85&lt;&gt;"",EDATE($D85,Milestones!$AA$78)&gt;=$T85),$W85,IF(AND($S85&lt;&gt;"",EDATE($D85,Milestones!$AA$78)&gt;=$S85),$V85,$U85)))=Milestones!$AB$78),UPPER(TEXT(EDATE($D85,Milestones!$AA$78),"dd mmm yy"))&amp;" "&amp;Milestones!$AB$78&amp;" "&amp;Milestones!$AC$78&amp;";  ","")&amp;IF(AND(EDATE($D85,Milestones!$AA$79)&lt;=AsOfDate,IF($R85=0,$X85,IF(AND($T85&lt;&gt;"",EDATE($D85,Milestones!$AA$79)&gt;=$T85),$W85,IF(AND($S85&lt;&gt;"",EDATE($D85,Milestones!$AA$79)&gt;=$S85),$V85,$U85)))=Milestones!$AB$79),UPPER(TEXT(EDATE($D85,Milestones!$AA$79),"dd mmm yy"))&amp;" "&amp;Milestones!$AB$79&amp;" "&amp;Milestones!$AC$79&amp;";  ",""))</f>
        <v/>
      </c>
      <c r="L85" s="0" t="str">
        <f aca="false">IF(OR($A85="",$D85=""),"",IF(AND(EDATE($D85,Milestones!$AA$80)&lt;=AsOfDate,IF($R85=0,$X85,IF(AND($T85&lt;&gt;"",EDATE($D85,Milestones!$AA$80)&gt;=$T85),$W85,IF(AND($S85&lt;&gt;"",EDATE($D85,Milestones!$AA$80)&gt;=$S85),$V85,$U85)))=Milestones!$AB$80),UPPER(TEXT(EDATE($D85,Milestones!$AA$80),"dd mmm yy"))&amp;" "&amp;Milestones!$AB$80&amp;" "&amp;Milestones!$AC$80&amp;";  ","")&amp;IF(AND(EDATE($D85,Milestones!$AA$81)&lt;=AsOfDate,IF($R85=0,$X85,IF(AND($T85&lt;&gt;"",EDATE($D85,Milestones!$AA$81)&gt;=$T85),$W85,IF(AND($S85&lt;&gt;"",EDATE($D85,Milestones!$AA$81)&gt;=$S85),$V85,$U85)))=Milestones!$AB$81),UPPER(TEXT(EDATE($D85,Milestones!$AA$81),"dd mmm yy"))&amp;" "&amp;Milestones!$AB$81&amp;" "&amp;Milestones!$AC$81&amp;";  ","")&amp;IF(AND(EDATE($D85,Milestones!$AA$82)&lt;=AsOfDate,IF($R85=0,$X85,IF(AND($T85&lt;&gt;"",EDATE($D85,Milestones!$AA$82)&gt;=$T85),$W85,IF(AND($S85&lt;&gt;"",EDATE($D85,Milestones!$AA$82)&gt;=$S85),$V85,$U85)))=Milestones!$AB$82),UPPER(TEXT(EDATE($D85,Milestones!$AA$82),"dd mmm yy"))&amp;" "&amp;Milestones!$AB$82&amp;" "&amp;Milestones!$AC$82&amp;";  ","")&amp;IF(AND(EDATE($D85,Milestones!$AA$83)&lt;=AsOfDate,IF($R85=0,$X85,IF(AND($T85&lt;&gt;"",EDATE($D85,Milestones!$AA$83)&gt;=$T85),$W85,IF(AND($S85&lt;&gt;"",EDATE($D85,Milestones!$AA$83)&gt;=$S85),$V85,$U85)))=Milestones!$AB$83),UPPER(TEXT(EDATE($D85,Milestones!$AA$83),"dd mmm yy"))&amp;" "&amp;Milestones!$AB$83&amp;" "&amp;Milestones!$AC$83&amp;";  ","")&amp;IF(AND(EDATE($D85,Milestones!$AA$84)&lt;=AsOfDate,IF($R85=0,$X85,IF(AND($T85&lt;&gt;"",EDATE($D85,Milestones!$AA$84)&gt;=$T85),$W85,IF(AND($S85&lt;&gt;"",EDATE($D85,Milestones!$AA$84)&gt;=$S85),$V85,$U85)))=Milestones!$AB$84),UPPER(TEXT(EDATE($D85,Milestones!$AA$84),"dd mmm yy"))&amp;" "&amp;Milestones!$AB$84&amp;" "&amp;Milestones!$AC$84&amp;";  ","")&amp;IF(AND(EDATE($D85,Milestones!$AA$85)&lt;=AsOfDate,IF($R85=0,$X85,IF(AND($T85&lt;&gt;"",EDATE($D85,Milestones!$AA$85)&gt;=$T85),$W85,IF(AND($S85&lt;&gt;"",EDATE($D85,Milestones!$AA$85)&gt;=$S85),$V85,$U85)))=Milestones!$AB$85),UPPER(TEXT(EDATE($D85,Milestones!$AA$85),"dd mmm yy"))&amp;" "&amp;Milestones!$AB$85&amp;" "&amp;Milestones!$AC$85&amp;";  ","")&amp;IF(AND(EDATE($D85,Milestones!$AA$86)&lt;=AsOfDate,IF($R85=0,$X85,IF(AND($T85&lt;&gt;"",EDATE($D85,Milestones!$AA$86)&gt;=$T85),$W85,IF(AND($S85&lt;&gt;"",EDATE($D85,Milestones!$AA$86)&gt;=$S85),$V85,$U85)))=Milestones!$AB$86),UPPER(TEXT(EDATE($D85,Milestones!$AA$86),"dd mmm yy"))&amp;" "&amp;Milestones!$AB$86&amp;" "&amp;Milestones!$AC$86&amp;";  ","")&amp;IF(AND(EDATE($D85,Milestones!$AA$87)&lt;=AsOfDate,IF($R85=0,$X85,IF(AND($T85&lt;&gt;"",EDATE($D85,Milestones!$AA$87)&gt;=$T85),$W85,IF(AND($S85&lt;&gt;"",EDATE($D85,Milestones!$AA$87)&gt;=$S85),$V85,$U85)))=Milestones!$AB$87),UPPER(TEXT(EDATE($D85,Milestones!$AA$87),"dd mmm yy"))&amp;" "&amp;Milestones!$AB$87&amp;" "&amp;Milestones!$AC$87&amp;";  ","")&amp;IF(AND(EDATE($D85,Milestones!$AA$88)&lt;=AsOfDate,IF($R85=0,$X85,IF(AND($T85&lt;&gt;"",EDATE($D85,Milestones!$AA$88)&gt;=$T85),$W85,IF(AND($S85&lt;&gt;"",EDATE($D85,Milestones!$AA$88)&gt;=$S85),$V85,$U85)))=Milestones!$AB$88),UPPER(TEXT(EDATE($D85,Milestones!$AA$88),"dd mmm yy"))&amp;" "&amp;Milestones!$AB$88&amp;" "&amp;Milestones!$AC$88&amp;";  ","")&amp;IF(AND(EDATE($D85,Milestones!$AA$89)&lt;=AsOfDate,IF($R85=0,$X85,IF(AND($T85&lt;&gt;"",EDATE($D85,Milestones!$AA$89)&gt;=$T85),$W85,IF(AND($S85&lt;&gt;"",EDATE($D85,Milestones!$AA$89)&gt;=$S85),$V85,$U85)))=Milestones!$AB$89),UPPER(TEXT(EDATE($D85,Milestones!$AA$89),"dd mmm yy"))&amp;" "&amp;Milestones!$AB$89&amp;" "&amp;Milestones!$AC$89&amp;";  ","")&amp;IF(AND(EDATE($D85,Milestones!$AA$90)&lt;=AsOfDate,IF($R85=0,$X85,IF(AND($T85&lt;&gt;"",EDATE($D85,Milestones!$AA$90)&gt;=$T85),$W85,IF(AND($S85&lt;&gt;"",EDATE($D85,Milestones!$AA$90)&gt;=$S85),$V85,$U85)))=Milestones!$AB$90),UPPER(TEXT(EDATE($D85,Milestones!$AA$90),"dd mmm yy"))&amp;" "&amp;Milestones!$AB$90&amp;" "&amp;Milestones!$AC$90&amp;";  ","")&amp;IF(AND(EDATE($D85,Milestones!$AA$91)&lt;=AsOfDate,IF($R85=0,$X85,IF(AND($T85&lt;&gt;"",EDATE($D85,Milestones!$AA$91)&gt;=$T85),$W85,IF(AND($S85&lt;&gt;"",EDATE($D85,Milestones!$AA$91)&gt;=$S85),$V85,$U85)))=Milestones!$AB$91),UPPER(TEXT(EDATE($D85,Milestones!$AA$91),"dd mmm yy"))&amp;" "&amp;Milestones!$AB$91&amp;" "&amp;Milestones!$AC$91&amp;";  ","")&amp;IF(AND(EDATE($D85,Milestones!$AA$92)&lt;=AsOfDate,IF($R85=0,$X85,IF(AND($T85&lt;&gt;"",EDATE($D85,Milestones!$AA$92)&gt;=$T85),$W85,IF(AND($S85&lt;&gt;"",EDATE($D85,Milestones!$AA$92)&gt;=$S85),$V85,$U85)))=Milestones!$AB$92),UPPER(TEXT(EDATE($D85,Milestones!$AA$92),"dd mmm yy"))&amp;" "&amp;Milestones!$AB$92&amp;" "&amp;Milestones!$AC$92&amp;";  ","")&amp;IF(AND(EDATE($D85,Milestones!$AA$93)&lt;=AsOfDate,IF($R85=0,$X85,IF(AND($T85&lt;&gt;"",EDATE($D85,Milestones!$AA$93)&gt;=$T85),$W85,IF(AND($S85&lt;&gt;"",EDATE($D85,Milestones!$AA$93)&gt;=$S85),$V85,$U85)))=Milestones!$AB$93),UPPER(TEXT(EDATE($D85,Milestones!$AA$93),"dd mmm yy"))&amp;" "&amp;Milestones!$AB$93&amp;" "&amp;Milestones!$AC$93&amp;";  ","")&amp;IF(AND(EDATE($D85,Milestones!$AA$94)&lt;=AsOfDate,IF($R85=0,$X85,IF(AND($T85&lt;&gt;"",EDATE($D85,Milestones!$AA$94)&gt;=$T85),$W85,IF(AND($S85&lt;&gt;"",EDATE($D85,Milestones!$AA$94)&gt;=$S85),$V85,$U85)))=Milestones!$AB$94),UPPER(TEXT(EDATE($D85,Milestones!$AA$94),"dd mmm yy"))&amp;" "&amp;Milestones!$AB$94&amp;" "&amp;Milestones!$AC$94&amp;";  ","")&amp;IF(AND(EDATE($D85,Milestones!$AA$95)&lt;=AsOfDate,IF($R85=0,$X85,IF(AND($T85&lt;&gt;"",EDATE($D85,Milestones!$AA$95)&gt;=$T85),$W85,IF(AND($S85&lt;&gt;"",EDATE($D85,Milestones!$AA$95)&gt;=$S85),$V85,$U85)))=Milestones!$AB$95),UPPER(TEXT(EDATE($D85,Milestones!$AA$95),"dd mmm yy"))&amp;" "&amp;Milestones!$AB$95&amp;" "&amp;Milestones!$AC$95&amp;";  ","")&amp;IF(AND(EDATE($D85,Milestones!$AA$96)&lt;=AsOfDate,IF($R85=0,$X85,IF(AND($T85&lt;&gt;"",EDATE($D85,Milestones!$AA$96)&gt;=$T85),$W85,IF(AND($S85&lt;&gt;"",EDATE($D85,Milestones!$AA$96)&gt;=$S85),$V85,$U85)))=Milestones!$AB$96),UPPER(TEXT(EDATE($D85,Milestones!$AA$96),"dd mmm yy"))&amp;" "&amp;Milestones!$AB$96&amp;" "&amp;Milestones!$AC$96&amp;";  ","")&amp;IF(AND(EDATE($D85,Milestones!$AA$97)&lt;=AsOfDate,IF($R85=0,$X85,IF(AND($T85&lt;&gt;"",EDATE($D85,Milestones!$AA$97)&gt;=$T85),$W85,IF(AND($S85&lt;&gt;"",EDATE($D85,Milestones!$AA$97)&gt;=$S85),$V85,$U85)))=Milestones!$AB$97),UPPER(TEXT(EDATE($D85,Milestones!$AA$97),"dd mmm yy"))&amp;" "&amp;Milestones!$AB$97&amp;" "&amp;Milestones!$AC$97&amp;";  ","")&amp;IF(AND(EDATE($D85,Milestones!$AA$98)&lt;=AsOfDate,IF($R85=0,$X85,IF(AND($T85&lt;&gt;"",EDATE($D85,Milestones!$AA$98)&gt;=$T85),$W85,IF(AND($S85&lt;&gt;"",EDATE($D85,Milestones!$AA$98)&gt;=$S85),$V85,$U85)))=Milestones!$AB$98),UPPER(TEXT(EDATE($D85,Milestones!$AA$98),"dd mmm yy"))&amp;" "&amp;Milestones!$AB$98&amp;" "&amp;Milestones!$AC$98&amp;";  ","")&amp;IF(AND(EDATE($D85,Milestones!$AA$99)&lt;=AsOfDate,IF($R85=0,$X85,IF(AND($T85&lt;&gt;"",EDATE($D85,Milestones!$AA$99)&gt;=$T85),$W85,IF(AND($S85&lt;&gt;"",EDATE($D85,Milestones!$AA$99)&gt;=$S85),$V85,$U85)))=Milestones!$AB$99),UPPER(TEXT(EDATE($D85,Milestones!$AA$99),"dd mmm yy"))&amp;" "&amp;Milestones!$AB$99&amp;" "&amp;Milestones!$AC$99&amp;";  ",""))</f>
        <v/>
      </c>
      <c r="M85" s="0" t="str">
        <f aca="false">IF(OR($A85="",$D85=""),"",IF(AND(EDATE($D85,Milestones!$AA$100)&lt;=AsOfDate,IF($R85=0,$X85,IF(AND($T85&lt;&gt;"",EDATE($D85,Milestones!$AA$100)&gt;=$T85),$W85,IF(AND($S85&lt;&gt;"",EDATE($D85,Milestones!$AA$100)&gt;=$S85),$V85,$U85)))=Milestones!$AB$100),UPPER(TEXT(EDATE($D85,Milestones!$AA$100),"dd mmm yy"))&amp;" "&amp;Milestones!$AB$100&amp;" "&amp;Milestones!$AC$100&amp;";  ","")&amp;IF(AND(EDATE($D85,Milestones!$AA$101)&lt;=AsOfDate,IF($R85=0,$X85,IF(AND($T85&lt;&gt;"",EDATE($D85,Milestones!$AA$101)&gt;=$T85),$W85,IF(AND($S85&lt;&gt;"",EDATE($D85,Milestones!$AA$101)&gt;=$S85),$V85,$U85)))=Milestones!$AB$101),UPPER(TEXT(EDATE($D85,Milestones!$AA$101),"dd mmm yy"))&amp;" "&amp;Milestones!$AB$101&amp;" "&amp;Milestones!$AC$101&amp;";  ","")&amp;IF(AND(EDATE($D85,Milestones!$AA$102)&lt;=AsOfDate,IF($R85=0,$X85,IF(AND($T85&lt;&gt;"",EDATE($D85,Milestones!$AA$102)&gt;=$T85),$W85,IF(AND($S85&lt;&gt;"",EDATE($D85,Milestones!$AA$102)&gt;=$S85),$V85,$U85)))=Milestones!$AB$102),UPPER(TEXT(EDATE($D85,Milestones!$AA$102),"dd mmm yy"))&amp;" "&amp;Milestones!$AB$102&amp;" "&amp;Milestones!$AC$102&amp;";  ","")&amp;IF(AND(EDATE($D85,Milestones!$AA$103)&lt;=AsOfDate,IF($R85=0,$X85,IF(AND($T85&lt;&gt;"",EDATE($D85,Milestones!$AA$103)&gt;=$T85),$W85,IF(AND($S85&lt;&gt;"",EDATE($D85,Milestones!$AA$103)&gt;=$S85),$V85,$U85)))=Milestones!$AB$103),UPPER(TEXT(EDATE($D85,Milestones!$AA$103),"dd mmm yy"))&amp;" "&amp;Milestones!$AB$103&amp;" "&amp;Milestones!$AC$103&amp;";  ","")&amp;IF(AND(EDATE($D85,Milestones!$AA$104)&lt;=AsOfDate,IF($R85=0,$X85,IF(AND($T85&lt;&gt;"",EDATE($D85,Milestones!$AA$104)&gt;=$T85),$W85,IF(AND($S85&lt;&gt;"",EDATE($D85,Milestones!$AA$104)&gt;=$S85),$V85,$U85)))=Milestones!$AB$104),UPPER(TEXT(EDATE($D85,Milestones!$AA$104),"dd mmm yy"))&amp;" "&amp;Milestones!$AB$104&amp;" "&amp;Milestones!$AC$104&amp;";  ","")&amp;IF(AND(EDATE($D85,Milestones!$AA$105)&lt;=AsOfDate,IF($R85=0,$X85,IF(AND($T85&lt;&gt;"",EDATE($D85,Milestones!$AA$105)&gt;=$T85),$W85,IF(AND($S85&lt;&gt;"",EDATE($D85,Milestones!$AA$105)&gt;=$S85),$V85,$U85)))=Milestones!$AB$105),UPPER(TEXT(EDATE($D85,Milestones!$AA$105),"dd mmm yy"))&amp;" "&amp;Milestones!$AB$105&amp;" "&amp;Milestones!$AC$105&amp;";  ","")&amp;IF(AND(EDATE($D85,Milestones!$AA$106)&lt;=AsOfDate,IF($R85=0,$X85,IF(AND($T85&lt;&gt;"",EDATE($D85,Milestones!$AA$106)&gt;=$T85),$W85,IF(AND($S85&lt;&gt;"",EDATE($D85,Milestones!$AA$106)&gt;=$S85),$V85,$U85)))=Milestones!$AB$106),UPPER(TEXT(EDATE($D85,Milestones!$AA$106),"dd mmm yy"))&amp;" "&amp;Milestones!$AB$106&amp;" "&amp;Milestones!$AC$106&amp;";  ","")&amp;IF(AND(EDATE($D85,Milestones!$AA$107)&lt;=AsOfDate,IF($R85=0,$X85,IF(AND($T85&lt;&gt;"",EDATE($D85,Milestones!$AA$107)&gt;=$T85),$W85,IF(AND($S85&lt;&gt;"",EDATE($D85,Milestones!$AA$107)&gt;=$S85),$V85,$U85)))=Milestones!$AB$107),UPPER(TEXT(EDATE($D85,Milestones!$AA$107),"dd mmm yy"))&amp;" "&amp;Milestones!$AB$107&amp;" "&amp;Milestones!$AC$107&amp;";  ","")&amp;IF(AND(EDATE($D85,Milestones!$AA$108)&lt;=AsOfDate,IF($R85=0,$X85,IF(AND($T85&lt;&gt;"",EDATE($D85,Milestones!$AA$108)&gt;=$T85),$W85,IF(AND($S85&lt;&gt;"",EDATE($D85,Milestones!$AA$108)&gt;=$S85),$V85,$U85)))=Milestones!$AB$108),UPPER(TEXT(EDATE($D85,Milestones!$AA$108),"dd mmm yy"))&amp;" "&amp;Milestones!$AB$108&amp;" "&amp;Milestones!$AC$108&amp;";  ","")&amp;IF(AND(EDATE($D85,Milestones!$AA$109)&lt;=AsOfDate,IF($R85=0,$X85,IF(AND($T85&lt;&gt;"",EDATE($D85,Milestones!$AA$109)&gt;=$T85),$W85,IF(AND($S85&lt;&gt;"",EDATE($D85,Milestones!$AA$109)&gt;=$S85),$V85,$U85)))=Milestones!$AB$109),UPPER(TEXT(EDATE($D85,Milestones!$AA$109),"dd mmm yy"))&amp;" "&amp;Milestones!$AB$109&amp;" "&amp;Milestones!$AC$109&amp;";  ","")&amp;IF(AND(EDATE($D85,Milestones!$AA$110)&lt;=AsOfDate,IF($R85=0,$X85,IF(AND($T85&lt;&gt;"",EDATE($D85,Milestones!$AA$110)&gt;=$T85),$W85,IF(AND($S85&lt;&gt;"",EDATE($D85,Milestones!$AA$110)&gt;=$S85),$V85,$U85)))=Milestones!$AB$110),UPPER(TEXT(EDATE($D85,Milestones!$AA$110),"dd mmm yy"))&amp;" "&amp;Milestones!$AB$110&amp;" "&amp;Milestones!$AC$110&amp;";  ","")&amp;IF(AND(EDATE($D85,Milestones!$AA$111)&lt;=AsOfDate,IF($R85=0,$X85,IF(AND($T85&lt;&gt;"",EDATE($D85,Milestones!$AA$111)&gt;=$T85),$W85,IF(AND($S85&lt;&gt;"",EDATE($D85,Milestones!$AA$111)&gt;=$S85),$V85,$U85)))=Milestones!$AB$111),UPPER(TEXT(EDATE($D85,Milestones!$AA$111),"dd mmm yy"))&amp;" "&amp;Milestones!$AB$111&amp;" "&amp;Milestones!$AC$111&amp;";  ","")&amp;IF(AND(EDATE($D85,Milestones!$AA$112)&lt;=AsOfDate,IF($R85=0,$X85,IF(AND($T85&lt;&gt;"",EDATE($D85,Milestones!$AA$112)&gt;=$T85),$W85,IF(AND($S85&lt;&gt;"",EDATE($D85,Milestones!$AA$112)&gt;=$S85),$V85,$U85)))=Milestones!$AB$112),UPPER(TEXT(EDATE($D85,Milestones!$AA$112),"dd mmm yy"))&amp;" "&amp;Milestones!$AB$112&amp;" "&amp;Milestones!$AC$112&amp;";  ","")&amp;IF(AND(EDATE($D85,Milestones!$AA$113)&lt;=AsOfDate,IF($R85=0,$X85,IF(AND($T85&lt;&gt;"",EDATE($D85,Milestones!$AA$113)&gt;=$T85),$W85,IF(AND($S85&lt;&gt;"",EDATE($D85,Milestones!$AA$113)&gt;=$S85),$V85,$U85)))=Milestones!$AB$113),UPPER(TEXT(EDATE($D85,Milestones!$AA$113),"dd mmm yy"))&amp;" "&amp;Milestones!$AB$113&amp;" "&amp;Milestones!$AC$113&amp;";  ","")&amp;IF(AND(EDATE($D85,Milestones!$AA$114)&lt;=AsOfDate,IF($R85=0,$X85,IF(AND($T85&lt;&gt;"",EDATE($D85,Milestones!$AA$114)&gt;=$T85),$W85,IF(AND($S85&lt;&gt;"",EDATE($D85,Milestones!$AA$114)&gt;=$S85),$V85,$U85)))=Milestones!$AB$114),UPPER(TEXT(EDATE($D85,Milestones!$AA$114),"dd mmm yy"))&amp;" "&amp;Milestones!$AB$114&amp;" "&amp;Milestones!$AC$114&amp;";  ","")&amp;IF(AND(EDATE($D85,Milestones!$AA$115)&lt;=AsOfDate,IF($R85=0,$X85,IF(AND($T85&lt;&gt;"",EDATE($D85,Milestones!$AA$115)&gt;=$T85),$W85,IF(AND($S85&lt;&gt;"",EDATE($D85,Milestones!$AA$115)&gt;=$S85),$V85,$U85)))=Milestones!$AB$115),UPPER(TEXT(EDATE($D85,Milestones!$AA$115),"dd mmm yy"))&amp;" "&amp;Milestones!$AB$115&amp;" "&amp;Milestones!$AC$115&amp;";  ","")&amp;IF(AND(EDATE($D85,Milestones!$AA$116)&lt;=AsOfDate,IF($R85=0,$X85,IF(AND($T85&lt;&gt;"",EDATE($D85,Milestones!$AA$116)&gt;=$T85),$W85,IF(AND($S85&lt;&gt;"",EDATE($D85,Milestones!$AA$116)&gt;=$S85),$V85,$U85)))=Milestones!$AB$116),UPPER(TEXT(EDATE($D85,Milestones!$AA$116),"dd mmm yy"))&amp;" "&amp;Milestones!$AB$116&amp;" "&amp;Milestones!$AC$116&amp;";  ","")&amp;IF(AND(EDATE($D85,Milestones!$AA$117)&lt;=AsOfDate,IF($R85=0,$X85,IF(AND($T85&lt;&gt;"",EDATE($D85,Milestones!$AA$117)&gt;=$T85),$W85,IF(AND($S85&lt;&gt;"",EDATE($D85,Milestones!$AA$117)&gt;=$S85),$V85,$U85)))=Milestones!$AB$117),UPPER(TEXT(EDATE($D85,Milestones!$AA$117),"dd mmm yy"))&amp;" "&amp;Milestones!$AB$117&amp;" "&amp;Milestones!$AC$117&amp;";  ","")&amp;IF(AND(EDATE($D85,Milestones!$AA$118)&lt;=AsOfDate,IF($R85=0,$X85,IF(AND($T85&lt;&gt;"",EDATE($D85,Milestones!$AA$118)&gt;=$T85),$W85,IF(AND($S85&lt;&gt;"",EDATE($D85,Milestones!$AA$118)&gt;=$S85),$V85,$U85)))=Milestones!$AB$118),UPPER(TEXT(EDATE($D85,Milestones!$AA$118),"dd mmm yy"))&amp;" "&amp;Milestones!$AB$118&amp;" "&amp;Milestones!$AC$118&amp;";  ","")&amp;IF(AND(EDATE($D85,Milestones!$AA$119)&lt;=AsOfDate,IF($R85=0,$X85,IF(AND($T85&lt;&gt;"",EDATE($D85,Milestones!$AA$119)&gt;=$T85),$W85,IF(AND($S85&lt;&gt;"",EDATE($D85,Milestones!$AA$119)&gt;=$S85),$V85,$U85)))=Milestones!$AB$119),UPPER(TEXT(EDATE($D85,Milestones!$AA$119),"dd mmm yy"))&amp;" "&amp;Milestones!$AB$119&amp;" "&amp;Milestones!$AC$119&amp;";  ",""))</f>
        <v/>
      </c>
      <c r="N85" s="0" t="str">
        <f aca="false">IF(OR($A85="",$D85=""),"",IF(AND(EDATE($D85,Milestones!$AA$120)&lt;=AsOfDate,IF($R85=0,$X85,IF(AND($T85&lt;&gt;"",EDATE($D85,Milestones!$AA$120)&gt;=$T85),$W85,IF(AND($S85&lt;&gt;"",EDATE($D85,Milestones!$AA$120)&gt;=$S85),$V85,$U85)))=Milestones!$AB$120),UPPER(TEXT(EDATE($D85,Milestones!$AA$120),"dd mmm yy"))&amp;" "&amp;Milestones!$AB$120&amp;" "&amp;Milestones!$AC$120&amp;";  ","")&amp;IF(AND(EDATE($D85,Milestones!$AA$121)&lt;=AsOfDate,IF($R85=0,$X85,IF(AND($T85&lt;&gt;"",EDATE($D85,Milestones!$AA$121)&gt;=$T85),$W85,IF(AND($S85&lt;&gt;"",EDATE($D85,Milestones!$AA$121)&gt;=$S85),$V85,$U85)))=Milestones!$AB$121),UPPER(TEXT(EDATE($D85,Milestones!$AA$121),"dd mmm yy"))&amp;" "&amp;Milestones!$AB$121&amp;" "&amp;Milestones!$AC$121&amp;";  ","")&amp;IF(AND(EDATE($D85,Milestones!$AA$122)&lt;=AsOfDate,IF($R85=0,$X85,IF(AND($T85&lt;&gt;"",EDATE($D85,Milestones!$AA$122)&gt;=$T85),$W85,IF(AND($S85&lt;&gt;"",EDATE($D85,Milestones!$AA$122)&gt;=$S85),$V85,$U85)))=Milestones!$AB$122),UPPER(TEXT(EDATE($D85,Milestones!$AA$122),"dd mmm yy"))&amp;" "&amp;Milestones!$AB$122&amp;" "&amp;Milestones!$AC$122&amp;";  ","")&amp;IF(AND(EDATE($D85,Milestones!$AA$123)&lt;=AsOfDate,IF($R85=0,$X85,IF(AND($T85&lt;&gt;"",EDATE($D85,Milestones!$AA$123)&gt;=$T85),$W85,IF(AND($S85&lt;&gt;"",EDATE($D85,Milestones!$AA$123)&gt;=$S85),$V85,$U85)))=Milestones!$AB$123),UPPER(TEXT(EDATE($D85,Milestones!$AA$123),"dd mmm yy"))&amp;" "&amp;Milestones!$AB$123&amp;" "&amp;Milestones!$AC$123&amp;";  ","")&amp;IF(AND(EDATE($D85,Milestones!$AA$124)&lt;=AsOfDate,IF($R85=0,$X85,IF(AND($T85&lt;&gt;"",EDATE($D85,Milestones!$AA$124)&gt;=$T85),$W85,IF(AND($S85&lt;&gt;"",EDATE($D85,Milestones!$AA$124)&gt;=$S85),$V85,$U85)))=Milestones!$AB$124),UPPER(TEXT(EDATE($D85,Milestones!$AA$124),"dd mmm yy"))&amp;" "&amp;Milestones!$AB$124&amp;" "&amp;Milestones!$AC$124&amp;";  ","")&amp;IF(AND(EDATE($D85,Milestones!$AA$125)&lt;=AsOfDate,IF($R85=0,$X85,IF(AND($T85&lt;&gt;"",EDATE($D85,Milestones!$AA$125)&gt;=$T85),$W85,IF(AND($S85&lt;&gt;"",EDATE($D85,Milestones!$AA$125)&gt;=$S85),$V85,$U85)))=Milestones!$AB$125),UPPER(TEXT(EDATE($D85,Milestones!$AA$125),"dd mmm yy"))&amp;" "&amp;Milestones!$AB$125&amp;" "&amp;Milestones!$AC$125&amp;";  ","")&amp;IF(AND(EDATE($D85,Milestones!$AA$126)&lt;=AsOfDate,IF($R85=0,$X85,IF(AND($T85&lt;&gt;"",EDATE($D85,Milestones!$AA$126)&gt;=$T85),$W85,IF(AND($S85&lt;&gt;"",EDATE($D85,Milestones!$AA$126)&gt;=$S85),$V85,$U85)))=Milestones!$AB$126),UPPER(TEXT(EDATE($D85,Milestones!$AA$126),"dd mmm yy"))&amp;" "&amp;Milestones!$AB$126&amp;" "&amp;Milestones!$AC$126&amp;";  ","")&amp;IF(AND(EDATE($D85,Milestones!$AA$127)&lt;=AsOfDate,IF($R85=0,$X85,IF(AND($T85&lt;&gt;"",EDATE($D85,Milestones!$AA$127)&gt;=$T85),$W85,IF(AND($S85&lt;&gt;"",EDATE($D85,Milestones!$AA$127)&gt;=$S85),$V85,$U85)))=Milestones!$AB$127),UPPER(TEXT(EDATE($D85,Milestones!$AA$127),"dd mmm yy"))&amp;" "&amp;Milestones!$AB$127&amp;" "&amp;Milestones!$AC$127&amp;";  ","")&amp;IF(AND(EDATE($D85,Milestones!$AA$128)&lt;=AsOfDate,IF($R85=0,$X85,IF(AND($T85&lt;&gt;"",EDATE($D85,Milestones!$AA$128)&gt;=$T85),$W85,IF(AND($S85&lt;&gt;"",EDATE($D85,Milestones!$AA$128)&gt;=$S85),$V85,$U85)))=Milestones!$AB$128),UPPER(TEXT(EDATE($D85,Milestones!$AA$128),"dd mmm yy"))&amp;" "&amp;Milestones!$AB$128&amp;" "&amp;Milestones!$AC$128&amp;";  ","")&amp;IF(AND(EDATE($D85,Milestones!$AA$129)&lt;=AsOfDate,IF($R85=0,$X85,IF(AND($T85&lt;&gt;"",EDATE($D85,Milestones!$AA$129)&gt;=$T85),$W85,IF(AND($S85&lt;&gt;"",EDATE($D85,Milestones!$AA$129)&gt;=$S85),$V85,$U85)))=Milestones!$AB$129),UPPER(TEXT(EDATE($D85,Milestones!$AA$129),"dd mmm yy"))&amp;" "&amp;Milestones!$AB$129&amp;" "&amp;Milestones!$AC$129&amp;";  ","")&amp;IF(AND(EDATE($D85,Milestones!$AA$130)&lt;=AsOfDate,IF($R85=0,$X85,IF(AND($T85&lt;&gt;"",EDATE($D85,Milestones!$AA$130)&gt;=$T85),$W85,IF(AND($S85&lt;&gt;"",EDATE($D85,Milestones!$AA$130)&gt;=$S85),$V85,$U85)))=Milestones!$AB$130),UPPER(TEXT(EDATE($D85,Milestones!$AA$130),"dd mmm yy"))&amp;" "&amp;Milestones!$AB$130&amp;" "&amp;Milestones!$AC$130&amp;";  ","")&amp;IF(AND(EDATE($D85,Milestones!$AA$131)&lt;=AsOfDate,IF($R85=0,$X85,IF(AND($T85&lt;&gt;"",EDATE($D85,Milestones!$AA$131)&gt;=$T85),$W85,IF(AND($S85&lt;&gt;"",EDATE($D85,Milestones!$AA$131)&gt;=$S85),$V85,$U85)))=Milestones!$AB$131),UPPER(TEXT(EDATE($D85,Milestones!$AA$131),"dd mmm yy"))&amp;" "&amp;Milestones!$AB$131&amp;" "&amp;Milestones!$AC$131&amp;";  ","")&amp;IF(AND(EDATE($D85,Milestones!$AA$132)&lt;=AsOfDate,IF($R85=0,$X85,IF(AND($T85&lt;&gt;"",EDATE($D85,Milestones!$AA$132)&gt;=$T85),$W85,IF(AND($S85&lt;&gt;"",EDATE($D85,Milestones!$AA$132)&gt;=$S85),$V85,$U85)))=Milestones!$AB$132),UPPER(TEXT(EDATE($D85,Milestones!$AA$132),"dd mmm yy"))&amp;" "&amp;Milestones!$AB$132&amp;" "&amp;Milestones!$AC$132&amp;";  ","")&amp;IF(AND(EDATE($D85,Milestones!$AA$133)&lt;=AsOfDate,IF($R85=0,$X85,IF(AND($T85&lt;&gt;"",EDATE($D85,Milestones!$AA$133)&gt;=$T85),$W85,IF(AND($S85&lt;&gt;"",EDATE($D85,Milestones!$AA$133)&gt;=$S85),$V85,$U85)))=Milestones!$AB$133),UPPER(TEXT(EDATE($D85,Milestones!$AA$133),"dd mmm yy"))&amp;" "&amp;Milestones!$AB$133&amp;" "&amp;Milestones!$AC$133&amp;";  ","")&amp;IF(AND(EDATE($D85,Milestones!$AA$134)&lt;=AsOfDate,IF($R85=0,$X85,IF(AND($T85&lt;&gt;"",EDATE($D85,Milestones!$AA$134)&gt;=$T85),$W85,IF(AND($S85&lt;&gt;"",EDATE($D85,Milestones!$AA$134)&gt;=$S85),$V85,$U85)))=Milestones!$AB$134),UPPER(TEXT(EDATE($D85,Milestones!$AA$134),"dd mmm yy"))&amp;" "&amp;Milestones!$AB$134&amp;" "&amp;Milestones!$AC$134&amp;";  ","")&amp;IF(AND(EDATE($D85,Milestones!$AA$135)&lt;=AsOfDate,IF($R85=0,$X85,IF(AND($T85&lt;&gt;"",EDATE($D85,Milestones!$AA$135)&gt;=$T85),$W85,IF(AND($S85&lt;&gt;"",EDATE($D85,Milestones!$AA$135)&gt;=$S85),$V85,$U85)))=Milestones!$AB$135),UPPER(TEXT(EDATE($D85,Milestones!$AA$135),"dd mmm yy"))&amp;" "&amp;Milestones!$AB$135&amp;" "&amp;Milestones!$AC$135&amp;";  ","")&amp;IF(AND(EDATE($D85,Milestones!$AA$136)&lt;=AsOfDate,IF($R85=0,$X85,IF(AND($T85&lt;&gt;"",EDATE($D85,Milestones!$AA$136)&gt;=$T85),$W85,IF(AND($S85&lt;&gt;"",EDATE($D85,Milestones!$AA$136)&gt;=$S85),$V85,$U85)))=Milestones!$AB$136),UPPER(TEXT(EDATE($D85,Milestones!$AA$136),"dd mmm yy"))&amp;" "&amp;Milestones!$AB$136&amp;" "&amp;Milestones!$AC$136&amp;";  ","")&amp;IF(AND(EDATE($D85,Milestones!$AA$137)&lt;=AsOfDate,IF($R85=0,$X85,IF(AND($T85&lt;&gt;"",EDATE($D85,Milestones!$AA$137)&gt;=$T85),$W85,IF(AND($S85&lt;&gt;"",EDATE($D85,Milestones!$AA$137)&gt;=$S85),$V85,$U85)))=Milestones!$AB$137),UPPER(TEXT(EDATE($D85,Milestones!$AA$137),"dd mmm yy"))&amp;" "&amp;Milestones!$AB$137&amp;" "&amp;Milestones!$AC$137&amp;";  ","")&amp;IF(AND(EDATE($D85,Milestones!$AA$138)&lt;=AsOfDate,IF($R85=0,$X85,IF(AND($T85&lt;&gt;"",EDATE($D85,Milestones!$AA$138)&gt;=$T85),$W85,IF(AND($S85&lt;&gt;"",EDATE($D85,Milestones!$AA$138)&gt;=$S85),$V85,$U85)))=Milestones!$AB$138),UPPER(TEXT(EDATE($D85,Milestones!$AA$138),"dd mmm yy"))&amp;" "&amp;Milestones!$AB$138&amp;" "&amp;Milestones!$AC$138&amp;";  ","")&amp;IF(AND(EDATE($D85,Milestones!$AA$139)&lt;=AsOfDate,IF($R85=0,$X85,IF(AND($T85&lt;&gt;"",EDATE($D85,Milestones!$AA$139)&gt;=$T85),$W85,IF(AND($S85&lt;&gt;"",EDATE($D85,Milestones!$AA$139)&gt;=$S85),$V85,$U85)))=Milestones!$AB$139),UPPER(TEXT(EDATE($D85,Milestones!$AA$139),"dd mmm yy"))&amp;" "&amp;Milestones!$AB$139&amp;" "&amp;Milestones!$AC$139&amp;";  ",""))</f>
        <v/>
      </c>
      <c r="O85" s="0" t="str">
        <f aca="false">IF(OR($A85="",$D85=""),"",IF(AND(EDATE($D85,Milestones!$AA$140)&lt;=AsOfDate,IF($R85=0,$X85,IF(AND($T85&lt;&gt;"",EDATE($D85,Milestones!$AA$140)&gt;=$T85),$W85,IF(AND($S85&lt;&gt;"",EDATE($D85,Milestones!$AA$140)&gt;=$S85),$V85,$U85)))=Milestones!$AB$140),UPPER(TEXT(EDATE($D85,Milestones!$AA$140),"dd mmm yy"))&amp;" "&amp;Milestones!$AB$140&amp;" "&amp;Milestones!$AC$140&amp;";  ","")&amp;IF(AND(EDATE($D85,Milestones!$AA$141)&lt;=AsOfDate,IF($R85=0,$X85,IF(AND($T85&lt;&gt;"",EDATE($D85,Milestones!$AA$141)&gt;=$T85),$W85,IF(AND($S85&lt;&gt;"",EDATE($D85,Milestones!$AA$141)&gt;=$S85),$V85,$U85)))=Milestones!$AB$141),UPPER(TEXT(EDATE($D85,Milestones!$AA$141),"dd mmm yy"))&amp;" "&amp;Milestones!$AB$141&amp;" "&amp;Milestones!$AC$141&amp;";  ","")&amp;IF(AND(EDATE($D85,Milestones!$AA$142)&lt;=AsOfDate,IF($R85=0,$X85,IF(AND($T85&lt;&gt;"",EDATE($D85,Milestones!$AA$142)&gt;=$T85),$W85,IF(AND($S85&lt;&gt;"",EDATE($D85,Milestones!$AA$142)&gt;=$S85),$V85,$U85)))=Milestones!$AB$142),UPPER(TEXT(EDATE($D85,Milestones!$AA$142),"dd mmm yy"))&amp;" "&amp;Milestones!$AB$142&amp;" "&amp;Milestones!$AC$142&amp;";  ","")&amp;IF(AND(EDATE($D85,Milestones!$AA$143)&lt;=AsOfDate,IF($R85=0,$X85,IF(AND($T85&lt;&gt;"",EDATE($D85,Milestones!$AA$143)&gt;=$T85),$W85,IF(AND($S85&lt;&gt;"",EDATE($D85,Milestones!$AA$143)&gt;=$S85),$V85,$U85)))=Milestones!$AB$143),UPPER(TEXT(EDATE($D85,Milestones!$AA$143),"dd mmm yy"))&amp;" "&amp;Milestones!$AB$143&amp;" "&amp;Milestones!$AC$143&amp;";  ","")&amp;IF(AND(EDATE($D85,Milestones!$AA$144)&lt;=AsOfDate,IF($R85=0,$X85,IF(AND($T85&lt;&gt;"",EDATE($D85,Milestones!$AA$144)&gt;=$T85),$W85,IF(AND($S85&lt;&gt;"",EDATE($D85,Milestones!$AA$144)&gt;=$S85),$V85,$U85)))=Milestones!$AB$144),UPPER(TEXT(EDATE($D85,Milestones!$AA$144),"dd mmm yy"))&amp;" "&amp;Milestones!$AB$144&amp;" "&amp;Milestones!$AC$144&amp;";  ","")&amp;IF(AND(EDATE($D85,Milestones!$AA$145)&lt;=AsOfDate,IF($R85=0,$X85,IF(AND($T85&lt;&gt;"",EDATE($D85,Milestones!$AA$145)&gt;=$T85),$W85,IF(AND($S85&lt;&gt;"",EDATE($D85,Milestones!$AA$145)&gt;=$S85),$V85,$U85)))=Milestones!$AB$145),UPPER(TEXT(EDATE($D85,Milestones!$AA$145),"dd mmm yy"))&amp;" "&amp;Milestones!$AB$145&amp;" "&amp;Milestones!$AC$145&amp;";  ","")&amp;IF(AND(EDATE($D85,Milestones!$AA$146)&lt;=AsOfDate,IF($R85=0,$X85,IF(AND($T85&lt;&gt;"",EDATE($D85,Milestones!$AA$146)&gt;=$T85),$W85,IF(AND($S85&lt;&gt;"",EDATE($D85,Milestones!$AA$146)&gt;=$S85),$V85,$U85)))=Milestones!$AB$146),UPPER(TEXT(EDATE($D85,Milestones!$AA$146),"dd mmm yy"))&amp;" "&amp;Milestones!$AB$146&amp;" "&amp;Milestones!$AC$146&amp;";  ","")&amp;IF(AND(EDATE($D85,Milestones!$AA$147)&lt;=AsOfDate,IF($R85=0,$X85,IF(AND($T85&lt;&gt;"",EDATE($D85,Milestones!$AA$147)&gt;=$T85),$W85,IF(AND($S85&lt;&gt;"",EDATE($D85,Milestones!$AA$147)&gt;=$S85),$V85,$U85)))=Milestones!$AB$147),UPPER(TEXT(EDATE($D85,Milestones!$AA$147),"dd mmm yy"))&amp;" "&amp;Milestones!$AB$147&amp;" "&amp;Milestones!$AC$147&amp;";  ","")&amp;IF(AND(EDATE($D85,Milestones!$AA$148)&lt;=AsOfDate,IF($R85=0,$X85,IF(AND($T85&lt;&gt;"",EDATE($D85,Milestones!$AA$148)&gt;=$T85),$W85,IF(AND($S85&lt;&gt;"",EDATE($D85,Milestones!$AA$148)&gt;=$S85),$V85,$U85)))=Milestones!$AB$148),UPPER(TEXT(EDATE($D85,Milestones!$AA$148),"dd mmm yy"))&amp;" "&amp;Milestones!$AB$148&amp;" "&amp;Milestones!$AC$148&amp;";  ","")&amp;IF(AND(EDATE($D85,Milestones!$AA$149)&lt;=AsOfDate,IF($R85=0,$X85,IF(AND($T85&lt;&gt;"",EDATE($D85,Milestones!$AA$149)&gt;=$T85),$W85,IF(AND($S85&lt;&gt;"",EDATE($D85,Milestones!$AA$149)&gt;=$S85),$V85,$U85)))=Milestones!$AB$149),UPPER(TEXT(EDATE($D85,Milestones!$AA$149),"dd mmm yy"))&amp;" "&amp;Milestones!$AB$149&amp;" "&amp;Milestones!$AC$149&amp;";  ","")&amp;IF(AND(EDATE($D85,Milestones!$AA$150)&lt;=AsOfDate,IF($R85=0,$X85,IF(AND($T85&lt;&gt;"",EDATE($D85,Milestones!$AA$150)&gt;=$T85),$W85,IF(AND($S85&lt;&gt;"",EDATE($D85,Milestones!$AA$150)&gt;=$S85),$V85,$U85)))=Milestones!$AB$150),UPPER(TEXT(EDATE($D85,Milestones!$AA$150),"dd mmm yy"))&amp;" "&amp;Milestones!$AB$150&amp;" "&amp;Milestones!$AC$150&amp;";  ","")&amp;IF(AND(EDATE($D85,Milestones!$AA$151)&lt;=AsOfDate,IF($R85=0,$X85,IF(AND($T85&lt;&gt;"",EDATE($D85,Milestones!$AA$151)&gt;=$T85),$W85,IF(AND($S85&lt;&gt;"",EDATE($D85,Milestones!$AA$151)&gt;=$S85),$V85,$U85)))=Milestones!$AB$151),UPPER(TEXT(EDATE($D85,Milestones!$AA$151),"dd mmm yy"))&amp;" "&amp;Milestones!$AB$151&amp;" "&amp;Milestones!$AC$151&amp;";  ","")&amp;IF(AND(EDATE($D85,Milestones!$AA$152)&lt;=AsOfDate,IF($R85=0,$X85,IF(AND($T85&lt;&gt;"",EDATE($D85,Milestones!$AA$152)&gt;=$T85),$W85,IF(AND($S85&lt;&gt;"",EDATE($D85,Milestones!$AA$152)&gt;=$S85),$V85,$U85)))=Milestones!$AB$152),UPPER(TEXT(EDATE($D85,Milestones!$AA$152),"dd mmm yy"))&amp;" "&amp;Milestones!$AB$152&amp;" "&amp;Milestones!$AC$152&amp;";  ","")&amp;IF(AND(EDATE($D85,Milestones!$AA$153)&lt;=AsOfDate,IF($R85=0,$X85,IF(AND($T85&lt;&gt;"",EDATE($D85,Milestones!$AA$153)&gt;=$T85),$W85,IF(AND($S85&lt;&gt;"",EDATE($D85,Milestones!$AA$153)&gt;=$S85),$V85,$U85)))=Milestones!$AB$153),UPPER(TEXT(EDATE($D85,Milestones!$AA$153),"dd mmm yy"))&amp;" "&amp;Milestones!$AB$153&amp;" "&amp;Milestones!$AC$153&amp;";  ","")&amp;IF(AND(EDATE($D85,Milestones!$AA$154)&lt;=AsOfDate,IF($R85=0,$X85,IF(AND($T85&lt;&gt;"",EDATE($D85,Milestones!$AA$154)&gt;=$T85),$W85,IF(AND($S85&lt;&gt;"",EDATE($D85,Milestones!$AA$154)&gt;=$S85),$V85,$U85)))=Milestones!$AB$154),UPPER(TEXT(EDATE($D85,Milestones!$AA$154),"dd mmm yy"))&amp;" "&amp;Milestones!$AB$154&amp;" "&amp;Milestones!$AC$154&amp;";  ","")&amp;IF(AND(EDATE($D85,Milestones!$AA$155)&lt;=AsOfDate,IF($R85=0,$X85,IF(AND($T85&lt;&gt;"",EDATE($D85,Milestones!$AA$155)&gt;=$T85),$W85,IF(AND($S85&lt;&gt;"",EDATE($D85,Milestones!$AA$155)&gt;=$S85),$V85,$U85)))=Milestones!$AB$155),UPPER(TEXT(EDATE($D85,Milestones!$AA$155),"dd mmm yy"))&amp;" "&amp;Milestones!$AB$155&amp;" "&amp;Milestones!$AC$155&amp;";  ","")&amp;IF(AND(EDATE($D85,Milestones!$AA$156)&lt;=AsOfDate,IF($R85=0,$X85,IF(AND($T85&lt;&gt;"",EDATE($D85,Milestones!$AA$156)&gt;=$T85),$W85,IF(AND($S85&lt;&gt;"",EDATE($D85,Milestones!$AA$156)&gt;=$S85),$V85,$U85)))=Milestones!$AB$156),UPPER(TEXT(EDATE($D85,Milestones!$AA$156),"dd mmm yy"))&amp;" "&amp;Milestones!$AB$156&amp;" "&amp;Milestones!$AC$156&amp;";  ","")&amp;IF(AND(EDATE($D85,Milestones!$AA$157)&lt;=AsOfDate,IF($R85=0,$X85,IF(AND($T85&lt;&gt;"",EDATE($D85,Milestones!$AA$157)&gt;=$T85),$W85,IF(AND($S85&lt;&gt;"",EDATE($D85,Milestones!$AA$157)&gt;=$S85),$V85,$U85)))=Milestones!$AB$157),UPPER(TEXT(EDATE($D85,Milestones!$AA$157),"dd mmm yy"))&amp;" "&amp;Milestones!$AB$157&amp;" "&amp;Milestones!$AC$157&amp;";  ","")&amp;IF(AND(EDATE($D85,Milestones!$AA$158)&lt;=AsOfDate,IF($R85=0,$X85,IF(AND($T85&lt;&gt;"",EDATE($D85,Milestones!$AA$158)&gt;=$T85),$W85,IF(AND($S85&lt;&gt;"",EDATE($D85,Milestones!$AA$158)&gt;=$S85),$V85,$U85)))=Milestones!$AB$158),UPPER(TEXT(EDATE($D85,Milestones!$AA$158),"dd mmm yy"))&amp;" "&amp;Milestones!$AB$158&amp;" "&amp;Milestones!$AC$158&amp;";  ","")&amp;IF(AND(EDATE($D85,Milestones!$AA$159)&lt;=AsOfDate,IF($R85=0,$X85,IF(AND($T85&lt;&gt;"",EDATE($D85,Milestones!$AA$159)&gt;=$T85),$W85,IF(AND($S85&lt;&gt;"",EDATE($D85,Milestones!$AA$159)&gt;=$S85),$V85,$U85)))=Milestones!$AB$159),UPPER(TEXT(EDATE($D85,Milestones!$AA$159),"dd mmm yy"))&amp;" "&amp;Milestones!$AB$159&amp;" "&amp;Milestones!$AC$159&amp;";  ",""))</f>
        <v/>
      </c>
      <c r="P85" s="0" t="str">
        <f aca="false">IF(OR($A85="",$D85=""),"",IF(AND(EDATE($D85,Milestones!$AA$160)&lt;=AsOfDate,IF($R85=0,$X85,IF(AND($T85&lt;&gt;"",EDATE($D85,Milestones!$AA$160)&gt;=$T85),$W85,IF(AND($S85&lt;&gt;"",EDATE($D85,Milestones!$AA$160)&gt;=$S85),$V85,$U85)))=Milestones!$AB$160),UPPER(TEXT(EDATE($D85,Milestones!$AA$160),"dd mmm yy"))&amp;" "&amp;Milestones!$AB$160&amp;" "&amp;Milestones!$AC$160&amp;";  ","")&amp;IF(AND(EDATE($D85,Milestones!$AA$161)&lt;=AsOfDate,IF($R85=0,$X85,IF(AND($T85&lt;&gt;"",EDATE($D85,Milestones!$AA$161)&gt;=$T85),$W85,IF(AND($S85&lt;&gt;"",EDATE($D85,Milestones!$AA$161)&gt;=$S85),$V85,$U85)))=Milestones!$AB$161),UPPER(TEXT(EDATE($D85,Milestones!$AA$161),"dd mmm yy"))&amp;" "&amp;Milestones!$AB$161&amp;" "&amp;Milestones!$AC$161&amp;";  ","")&amp;IF(AND(EDATE($D85,Milestones!$AA$162)&lt;=AsOfDate,IF($R85=0,$X85,IF(AND($T85&lt;&gt;"",EDATE($D85,Milestones!$AA$162)&gt;=$T85),$W85,IF(AND($S85&lt;&gt;"",EDATE($D85,Milestones!$AA$162)&gt;=$S85),$V85,$U85)))=Milestones!$AB$162),UPPER(TEXT(EDATE($D85,Milestones!$AA$162),"dd mmm yy"))&amp;" "&amp;Milestones!$AB$162&amp;" "&amp;Milestones!$AC$162&amp;";  ","")&amp;IF(AND(EDATE($D85,Milestones!$AA$163)&lt;=AsOfDate,IF($R85=0,$X85,IF(AND($T85&lt;&gt;"",EDATE($D85,Milestones!$AA$163)&gt;=$T85),$W85,IF(AND($S85&lt;&gt;"",EDATE($D85,Milestones!$AA$163)&gt;=$S85),$V85,$U85)))=Milestones!$AB$163),UPPER(TEXT(EDATE($D85,Milestones!$AA$163),"dd mmm yy"))&amp;" "&amp;Milestones!$AB$163&amp;" "&amp;Milestones!$AC$163&amp;";  ","")&amp;IF(AND(EDATE($D85,Milestones!$AA$164)&lt;=AsOfDate,IF($R85=0,$X85,IF(AND($T85&lt;&gt;"",EDATE($D85,Milestones!$AA$164)&gt;=$T85),$W85,IF(AND($S85&lt;&gt;"",EDATE($D85,Milestones!$AA$164)&gt;=$S85),$V85,$U85)))=Milestones!$AB$164),UPPER(TEXT(EDATE($D85,Milestones!$AA$164),"dd mmm yy"))&amp;" "&amp;Milestones!$AB$164&amp;" "&amp;Milestones!$AC$164&amp;";  ","")&amp;IF(AND(EDATE($D85,Milestones!$AA$165)&lt;=AsOfDate,IF($R85=0,$X85,IF(AND($T85&lt;&gt;"",EDATE($D85,Milestones!$AA$165)&gt;=$T85),$W85,IF(AND($S85&lt;&gt;"",EDATE($D85,Milestones!$AA$165)&gt;=$S85),$V85,$U85)))=Milestones!$AB$165),UPPER(TEXT(EDATE($D85,Milestones!$AA$165),"dd mmm yy"))&amp;" "&amp;Milestones!$AB$165&amp;" "&amp;Milestones!$AC$165&amp;";  ","")&amp;IF(AND(EDATE($D85,Milestones!$AA$166)&lt;=AsOfDate,IF($R85=0,$X85,IF(AND($T85&lt;&gt;"",EDATE($D85,Milestones!$AA$166)&gt;=$T85),$W85,IF(AND($S85&lt;&gt;"",EDATE($D85,Milestones!$AA$166)&gt;=$S85),$V85,$U85)))=Milestones!$AB$166),UPPER(TEXT(EDATE($D85,Milestones!$AA$166),"dd mmm yy"))&amp;" "&amp;Milestones!$AB$166&amp;" "&amp;Milestones!$AC$166&amp;";  ","")&amp;IF(AND(EDATE($D85,Milestones!$AA$167)&lt;=AsOfDate,IF($R85=0,$X85,IF(AND($T85&lt;&gt;"",EDATE($D85,Milestones!$AA$167)&gt;=$T85),$W85,IF(AND($S85&lt;&gt;"",EDATE($D85,Milestones!$AA$167)&gt;=$S85),$V85,$U85)))=Milestones!$AB$167),UPPER(TEXT(EDATE($D85,Milestones!$AA$167),"dd mmm yy"))&amp;" "&amp;Milestones!$AB$167&amp;" "&amp;Milestones!$AC$167&amp;";  ","")&amp;IF(AND(EDATE($D85,Milestones!$AA$168)&lt;=AsOfDate,IF($R85=0,$X85,IF(AND($T85&lt;&gt;"",EDATE($D85,Milestones!$AA$168)&gt;=$T85),$W85,IF(AND($S85&lt;&gt;"",EDATE($D85,Milestones!$AA$168)&gt;=$S85),$V85,$U85)))=Milestones!$AB$168),UPPER(TEXT(EDATE($D85,Milestones!$AA$168),"dd mmm yy"))&amp;" "&amp;Milestones!$AB$168&amp;" "&amp;Milestones!$AC$168&amp;";  ","")&amp;IF(AND(EDATE($D85,Milestones!$AA$169)&lt;=AsOfDate,IF($R85=0,$X85,IF(AND($T85&lt;&gt;"",EDATE($D85,Milestones!$AA$169)&gt;=$T85),$W85,IF(AND($S85&lt;&gt;"",EDATE($D85,Milestones!$AA$169)&gt;=$S85),$V85,$U85)))=Milestones!$AB$169),UPPER(TEXT(EDATE($D85,Milestones!$AA$169),"dd mmm yy"))&amp;" "&amp;Milestones!$AB$169&amp;" "&amp;Milestones!$AC$169&amp;";  ","")&amp;IF(AND(EDATE($D85,Milestones!$AA$170)&lt;=AsOfDate,IF($R85=0,$X85,IF(AND($T85&lt;&gt;"",EDATE($D85,Milestones!$AA$170)&gt;=$T85),$W85,IF(AND($S85&lt;&gt;"",EDATE($D85,Milestones!$AA$170)&gt;=$S85),$V85,$U85)))=Milestones!$AB$170),UPPER(TEXT(EDATE($D85,Milestones!$AA$170),"dd mmm yy"))&amp;" "&amp;Milestones!$AB$170&amp;" "&amp;Milestones!$AC$170&amp;";  ","")&amp;IF(AND(EDATE($D85,Milestones!$AA$171)&lt;=AsOfDate,IF($R85=0,$X85,IF(AND($T85&lt;&gt;"",EDATE($D85,Milestones!$AA$171)&gt;=$T85),$W85,IF(AND($S85&lt;&gt;"",EDATE($D85,Milestones!$AA$171)&gt;=$S85),$V85,$U85)))=Milestones!$AB$171),UPPER(TEXT(EDATE($D85,Milestones!$AA$171),"dd mmm yy"))&amp;" "&amp;Milestones!$AB$171&amp;" "&amp;Milestones!$AC$171&amp;";  ","")&amp;IF(AND(EDATE($D85,Milestones!$AA$172)&lt;=AsOfDate,IF($R85=0,$X85,IF(AND($T85&lt;&gt;"",EDATE($D85,Milestones!$AA$172)&gt;=$T85),$W85,IF(AND($S85&lt;&gt;"",EDATE($D85,Milestones!$AA$172)&gt;=$S85),$V85,$U85)))=Milestones!$AB$172),UPPER(TEXT(EDATE($D85,Milestones!$AA$172),"dd mmm yy"))&amp;" "&amp;Milestones!$AB$172&amp;" "&amp;Milestones!$AC$172&amp;";  ","")&amp;IF(AND(EDATE($D85,Milestones!$AA$173)&lt;=AsOfDate,IF($R85=0,$X85,IF(AND($T85&lt;&gt;"",EDATE($D85,Milestones!$AA$173)&gt;=$T85),$W85,IF(AND($S85&lt;&gt;"",EDATE($D85,Milestones!$AA$173)&gt;=$S85),$V85,$U85)))=Milestones!$AB$173),UPPER(TEXT(EDATE($D85,Milestones!$AA$173),"dd mmm yy"))&amp;" "&amp;Milestones!$AB$173&amp;" "&amp;Milestones!$AC$173&amp;";  ","")&amp;IF(AND(EDATE($D85,Milestones!$AA$174)&lt;=AsOfDate,IF($R85=0,$X85,IF(AND($T85&lt;&gt;"",EDATE($D85,Milestones!$AA$174)&gt;=$T85),$W85,IF(AND($S85&lt;&gt;"",EDATE($D85,Milestones!$AA$174)&gt;=$S85),$V85,$U85)))=Milestones!$AB$174),UPPER(TEXT(EDATE($D85,Milestones!$AA$174),"dd mmm yy"))&amp;" "&amp;Milestones!$AB$174&amp;" "&amp;Milestones!$AC$174&amp;";  ","")&amp;IF(AND(EDATE($D85,Milestones!$AA$175)&lt;=AsOfDate,IF($R85=0,$X85,IF(AND($T85&lt;&gt;"",EDATE($D85,Milestones!$AA$175)&gt;=$T85),$W85,IF(AND($S85&lt;&gt;"",EDATE($D85,Milestones!$AA$175)&gt;=$S85),$V85,$U85)))=Milestones!$AB$175),UPPER(TEXT(EDATE($D85,Milestones!$AA$175),"dd mmm yy"))&amp;" "&amp;Milestones!$AB$175&amp;" "&amp;Milestones!$AC$175&amp;";  ","")&amp;IF(AND(EDATE($D85,Milestones!$AA$176)&lt;=AsOfDate,IF($R85=0,$X85,IF(AND($T85&lt;&gt;"",EDATE($D85,Milestones!$AA$176)&gt;=$T85),$W85,IF(AND($S85&lt;&gt;"",EDATE($D85,Milestones!$AA$176)&gt;=$S85),$V85,$U85)))=Milestones!$AB$176),UPPER(TEXT(EDATE($D85,Milestones!$AA$176),"dd mmm yy"))&amp;" "&amp;Milestones!$AB$176&amp;" "&amp;Milestones!$AC$176&amp;";  ","")&amp;IF(AND(EDATE($D85,Milestones!$AA$177)&lt;=AsOfDate,IF($R85=0,$X85,IF(AND($T85&lt;&gt;"",EDATE($D85,Milestones!$AA$177)&gt;=$T85),$W85,IF(AND($S85&lt;&gt;"",EDATE($D85,Milestones!$AA$177)&gt;=$S85),$V85,$U85)))=Milestones!$AB$177),UPPER(TEXT(EDATE($D85,Milestones!$AA$177),"dd mmm yy"))&amp;" "&amp;Milestones!$AB$177&amp;" "&amp;Milestones!$AC$177&amp;";  ","")&amp;IF(AND(EDATE($D85,Milestones!$AA$178)&lt;=AsOfDate,IF($R85=0,$X85,IF(AND($T85&lt;&gt;"",EDATE($D85,Milestones!$AA$178)&gt;=$T85),$W85,IF(AND($S85&lt;&gt;"",EDATE($D85,Milestones!$AA$178)&gt;=$S85),$V85,$U85)))=Milestones!$AB$178),UPPER(TEXT(EDATE($D85,Milestones!$AA$178),"dd mmm yy"))&amp;" "&amp;Milestones!$AB$178&amp;" "&amp;Milestones!$AC$178&amp;";  ","")&amp;IF(AND(EDATE($D85,Milestones!$AA$179)&lt;=AsOfDate,IF($R85=0,$X85,IF(AND($T85&lt;&gt;"",EDATE($D85,Milestones!$AA$179)&gt;=$T85),$W85,IF(AND($S85&lt;&gt;"",EDATE($D85,Milestones!$AA$179)&gt;=$S85),$V85,$U85)))=Milestones!$AB$179),UPPER(TEXT(EDATE($D85,Milestones!$AA$179),"dd mmm yy"))&amp;" "&amp;Milestones!$AB$179&amp;" "&amp;Milestones!$AC$179&amp;";  ",""))</f>
        <v/>
      </c>
      <c r="Q85" s="0" t="str">
        <f aca="false">IF(OR($A85="",$D85=""),"",IF(AND(EDATE($D85,Milestones!$AA$180)&lt;=AsOfDate,IF($R85=0,$X85,IF(AND($T85&lt;&gt;"",EDATE($D85,Milestones!$AA$180)&gt;=$T85),$W85,IF(AND($S85&lt;&gt;"",EDATE($D85,Milestones!$AA$180)&gt;=$S85),$V85,$U85)))=Milestones!$AB$180),UPPER(TEXT(EDATE($D85,Milestones!$AA$180),"dd mmm yy"))&amp;" "&amp;Milestones!$AB$180&amp;" "&amp;Milestones!$AC$180&amp;";  ","")&amp;IF(AND(EDATE($D85,Milestones!$AA$181)&lt;=AsOfDate,IF($R85=0,$X85,IF(AND($T85&lt;&gt;"",EDATE($D85,Milestones!$AA$181)&gt;=$T85),$W85,IF(AND($S85&lt;&gt;"",EDATE($D85,Milestones!$AA$181)&gt;=$S85),$V85,$U85)))=Milestones!$AB$181),UPPER(TEXT(EDATE($D85,Milestones!$AA$181),"dd mmm yy"))&amp;" "&amp;Milestones!$AB$181&amp;" "&amp;Milestones!$AC$181&amp;";  ","")&amp;IF(AND(EDATE($D85,Milestones!$AA$182)&lt;=AsOfDate,IF($R85=0,$X85,IF(AND($T85&lt;&gt;"",EDATE($D85,Milestones!$AA$182)&gt;=$T85),$W85,IF(AND($S85&lt;&gt;"",EDATE($D85,Milestones!$AA$182)&gt;=$S85),$V85,$U85)))=Milestones!$AB$182),UPPER(TEXT(EDATE($D85,Milestones!$AA$182),"dd mmm yy"))&amp;" "&amp;Milestones!$AB$182&amp;" "&amp;Milestones!$AC$182&amp;";  ","")&amp;IF(AND(EDATE($D85,Milestones!$AA$183)&lt;=AsOfDate,IF($R85=0,$X85,IF(AND($T85&lt;&gt;"",EDATE($D85,Milestones!$AA$183)&gt;=$T85),$W85,IF(AND($S85&lt;&gt;"",EDATE($D85,Milestones!$AA$183)&gt;=$S85),$V85,$U85)))=Milestones!$AB$183),UPPER(TEXT(EDATE($D85,Milestones!$AA$183),"dd mmm yy"))&amp;" "&amp;Milestones!$AB$183&amp;" "&amp;Milestones!$AC$183&amp;";  ","")&amp;IF(AND(EDATE($D85,Milestones!$AA$184)&lt;=AsOfDate,IF($R85=0,$X85,IF(AND($T85&lt;&gt;"",EDATE($D85,Milestones!$AA$184)&gt;=$T85),$W85,IF(AND($S85&lt;&gt;"",EDATE($D85,Milestones!$AA$184)&gt;=$S85),$V85,$U85)))=Milestones!$AB$184),UPPER(TEXT(EDATE($D85,Milestones!$AA$184),"dd mmm yy"))&amp;" "&amp;Milestones!$AB$184&amp;" "&amp;Milestones!$AC$184&amp;";  ","")&amp;IF(AND(EDATE($D85,Milestones!$AA$185)&lt;=AsOfDate,IF($R85=0,$X85,IF(AND($T85&lt;&gt;"",EDATE($D85,Milestones!$AA$185)&gt;=$T85),$W85,IF(AND($S85&lt;&gt;"",EDATE($D85,Milestones!$AA$185)&gt;=$S85),$V85,$U85)))=Milestones!$AB$185),UPPER(TEXT(EDATE($D85,Milestones!$AA$185),"dd mmm yy"))&amp;" "&amp;Milestones!$AB$185&amp;" "&amp;Milestones!$AC$185&amp;";  ","")&amp;IF(AND(EDATE($D85,Milestones!$AA$186)&lt;=AsOfDate,IF($R85=0,$X85,IF(AND($T85&lt;&gt;"",EDATE($D85,Milestones!$AA$186)&gt;=$T85),$W85,IF(AND($S85&lt;&gt;"",EDATE($D85,Milestones!$AA$186)&gt;=$S85),$V85,$U85)))=Milestones!$AB$186),UPPER(TEXT(EDATE($D85,Milestones!$AA$186),"dd mmm yy"))&amp;" "&amp;Milestones!$AB$186&amp;" "&amp;Milestones!$AC$186&amp;";  ","")&amp;IF(AND(EDATE($D85,Milestones!$AA$187)&lt;=AsOfDate,IF($R85=0,$X85,IF(AND($T85&lt;&gt;"",EDATE($D85,Milestones!$AA$187)&gt;=$T85),$W85,IF(AND($S85&lt;&gt;"",EDATE($D85,Milestones!$AA$187)&gt;=$S85),$V85,$U85)))=Milestones!$AB$187),UPPER(TEXT(EDATE($D85,Milestones!$AA$187),"dd mmm yy"))&amp;" "&amp;Milestones!$AB$187&amp;" "&amp;Milestones!$AC$187&amp;";  ","")&amp;IF(AND(EDATE($D85,Milestones!$AA$188)&lt;=AsOfDate,IF($R85=0,$X85,IF(AND($T85&lt;&gt;"",EDATE($D85,Milestones!$AA$188)&gt;=$T85),$W85,IF(AND($S85&lt;&gt;"",EDATE($D85,Milestones!$AA$188)&gt;=$S85),$V85,$U85)))=Milestones!$AB$188),UPPER(TEXT(EDATE($D85,Milestones!$AA$188),"dd mmm yy"))&amp;" "&amp;Milestones!$AB$188&amp;" "&amp;Milestones!$AC$188&amp;";  ","")&amp;IF(AND(EDATE($D85,Milestones!$AA$189)&lt;=AsOfDate,IF($R85=0,$X85,IF(AND($T85&lt;&gt;"",EDATE($D85,Milestones!$AA$189)&gt;=$T85),$W85,IF(AND($S85&lt;&gt;"",EDATE($D85,Milestones!$AA$189)&gt;=$S85),$V85,$U85)))=Milestones!$AB$189),UPPER(TEXT(EDATE($D85,Milestones!$AA$189),"dd mmm yy"))&amp;" "&amp;Milestones!$AB$189&amp;" "&amp;Milestones!$AC$189&amp;";  ","")&amp;IF(AND(EDATE($D85,Milestones!$AA$190)&lt;=AsOfDate,IF($R85=0,$X85,IF(AND($T85&lt;&gt;"",EDATE($D85,Milestones!$AA$190)&gt;=$T85),$W85,IF(AND($S85&lt;&gt;"",EDATE($D85,Milestones!$AA$190)&gt;=$S85),$V85,$U85)))=Milestones!$AB$190),UPPER(TEXT(EDATE($D85,Milestones!$AA$190),"dd mmm yy"))&amp;" "&amp;Milestones!$AB$190&amp;" "&amp;Milestones!$AC$190&amp;";  ","")&amp;IF(AND(EDATE($D85,Milestones!$AA$191)&lt;=AsOfDate,IF($R85=0,$X85,IF(AND($T85&lt;&gt;"",EDATE($D85,Milestones!$AA$191)&gt;=$T85),$W85,IF(AND($S85&lt;&gt;"",EDATE($D85,Milestones!$AA$191)&gt;=$S85),$V85,$U85)))=Milestones!$AB$191),UPPER(TEXT(EDATE($D85,Milestones!$AA$191),"dd mmm yy"))&amp;" "&amp;Milestones!$AB$191&amp;" "&amp;Milestones!$AC$191&amp;";  ","")&amp;IF(AND(EDATE($D85,Milestones!$AA$192)&lt;=AsOfDate,IF($R85=0,$X85,IF(AND($T85&lt;&gt;"",EDATE($D85,Milestones!$AA$192)&gt;=$T85),$W85,IF(AND($S85&lt;&gt;"",EDATE($D85,Milestones!$AA$192)&gt;=$S85),$V85,$U85)))=Milestones!$AB$192),UPPER(TEXT(EDATE($D85,Milestones!$AA$192),"dd mmm yy"))&amp;" "&amp;Milestones!$AB$192&amp;" "&amp;Milestones!$AC$192&amp;";  ","")&amp;IF(AND(EDATE($D85,Milestones!$AA$193)&lt;=AsOfDate,IF($R85=0,$X85,IF(AND($T85&lt;&gt;"",EDATE($D85,Milestones!$AA$193)&gt;=$T85),$W85,IF(AND($S85&lt;&gt;"",EDATE($D85,Milestones!$AA$193)&gt;=$S85),$V85,$U85)))=Milestones!$AB$193),UPPER(TEXT(EDATE($D85,Milestones!$AA$193),"dd mmm yy"))&amp;" "&amp;Milestones!$AB$193&amp;" "&amp;Milestones!$AC$193&amp;";  ","")&amp;IF(AND(EDATE($D85,Milestones!$AA$194)&lt;=AsOfDate,IF($R85=0,$X85,IF(AND($T85&lt;&gt;"",EDATE($D85,Milestones!$AA$194)&gt;=$T85),$W85,IF(AND($S85&lt;&gt;"",EDATE($D85,Milestones!$AA$194)&gt;=$S85),$V85,$U85)))=Milestones!$AB$194),UPPER(TEXT(EDATE($D85,Milestones!$AA$194),"dd mmm yy"))&amp;" "&amp;Milestones!$AB$194&amp;" "&amp;Milestones!$AC$194&amp;";  ","")&amp;IF(AND(EDATE($D85,Milestones!$AA$195)&lt;=AsOfDate,IF($R85=0,$X85,IF(AND($T85&lt;&gt;"",EDATE($D85,Milestones!$AA$195)&gt;=$T85),$W85,IF(AND($S85&lt;&gt;"",EDATE($D85,Milestones!$AA$195)&gt;=$S85),$V85,$U85)))=Milestones!$AB$195),UPPER(TEXT(EDATE($D85,Milestones!$AA$195),"dd mmm yy"))&amp;" "&amp;Milestones!$AB$195&amp;" "&amp;Milestones!$AC$195&amp;";  ","")&amp;IF(AND(EDATE($D85,Milestones!$AA$196)&lt;=AsOfDate,IF($R85=0,$X85,IF(AND($T85&lt;&gt;"",EDATE($D85,Milestones!$AA$196)&gt;=$T85),$W85,IF(AND($S85&lt;&gt;"",EDATE($D85,Milestones!$AA$196)&gt;=$S85),$V85,$U85)))=Milestones!$AB$196),UPPER(TEXT(EDATE($D85,Milestones!$AA$196),"dd mmm yy"))&amp;" "&amp;Milestones!$AB$196&amp;" "&amp;Milestones!$AC$196&amp;";  ","")&amp;IF(AND(EDATE($D85,Milestones!$AA$197)&lt;=AsOfDate,IF($R85=0,$X85,IF(AND($T85&lt;&gt;"",EDATE($D85,Milestones!$AA$197)&gt;=$T85),$W85,IF(AND($S85&lt;&gt;"",EDATE($D85,Milestones!$AA$197)&gt;=$S85),$V85,$U85)))=Milestones!$AB$197),UPPER(TEXT(EDATE($D85,Milestones!$AA$197),"dd mmm yy"))&amp;" "&amp;Milestones!$AB$197&amp;" "&amp;Milestones!$AC$197&amp;";  ","")&amp;IF(AND(EDATE($D85,Milestones!$AA$198)&lt;=AsOfDate,IF($R85=0,$X85,IF(AND($T85&lt;&gt;"",EDATE($D85,Milestones!$AA$198)&gt;=$T85),$W85,IF(AND($S85&lt;&gt;"",EDATE($D85,Milestones!$AA$198)&gt;=$S85),$V85,$U85)))=Milestones!$AB$198),UPPER(TEXT(EDATE($D85,Milestones!$AA$198),"dd mmm yy"))&amp;" "&amp;Milestones!$AB$198&amp;" "&amp;Milestones!$AC$198&amp;";  ","")&amp;IF(AND(EDATE($D85,Milestones!$AA$199)&lt;=AsOfDate,IF($R85=0,$X85,IF(AND($T85&lt;&gt;"",EDATE($D85,Milestones!$AA$199)&gt;=$T85),$W85,IF(AND($S85&lt;&gt;"",EDATE($D85,Milestones!$AA$199)&gt;=$S85),$V85,$U85)))=Milestones!$AB$199),UPPER(TEXT(EDATE($D85,Milestones!$AA$199),"dd mmm yy"))&amp;" "&amp;Milestones!$AB$199&amp;" "&amp;Milestones!$AC$199&amp;";  ",""))</f>
        <v/>
      </c>
      <c r="R85" s="0" t="str">
        <f aca="false">IF(Staff!$A85="","",Staff!$AI85)</f>
        <v/>
      </c>
      <c r="S85" s="0" t="str">
        <f aca="false">IF(Staff!$A85="","",Staff!$AK85)</f>
        <v/>
      </c>
      <c r="T85" s="0" t="str">
        <f aca="false">IF(Staff!$A85="","",Staff!$AL85)</f>
        <v/>
      </c>
      <c r="U85" s="0" t="str">
        <f aca="false">IF(Staff!$A85="","",Staff!$AP85)</f>
        <v/>
      </c>
      <c r="V85" s="0" t="str">
        <f aca="false">IF(Staff!$A85="","",Staff!$AQ85)</f>
        <v/>
      </c>
      <c r="W85" s="0" t="str">
        <f aca="false">IF(Staff!$A85="","",Staff!$AR85)</f>
        <v/>
      </c>
      <c r="X85" s="0" t="str">
        <f aca="false">IF(Staff!$A85="","",Staff!$AS85)</f>
        <v/>
      </c>
    </row>
    <row r="86" customFormat="false" ht="15" hidden="false" customHeight="false" outlineLevel="0" collapsed="false">
      <c r="A86" s="14" t="str">
        <f aca="false">IF(Staff!$A86="","",Staff!$A86)</f>
        <v/>
      </c>
      <c r="B86" s="14" t="str">
        <f aca="false">IF(Staff!$A86="","",Staff!$B86)</f>
        <v/>
      </c>
      <c r="C86" s="14" t="str">
        <f aca="false">IF(Staff!$A86="","",Staff!$C86)</f>
        <v/>
      </c>
      <c r="D86" s="12" t="str">
        <f aca="false">IF(Staff!$A86="","",Staff!$AH86)</f>
        <v/>
      </c>
      <c r="E86" s="14" t="str">
        <f aca="false">IF(Staff!$A86="","",Staff!$O86)</f>
        <v/>
      </c>
      <c r="F86" s="14" t="str">
        <f aca="false">IF(E86="","",E86*HoursPerDay)</f>
        <v/>
      </c>
      <c r="G86" s="14" t="str">
        <f aca="false">IF(Staff!$A86="","",Staff!$AE86)</f>
        <v/>
      </c>
      <c r="H86" s="26" t="str">
        <f aca="false">IF($A86="","",I86&amp;J86&amp;K86&amp;L86&amp;M86&amp;N86&amp;O86&amp;P86&amp;Q86)</f>
        <v/>
      </c>
      <c r="I86" s="0" t="str">
        <f aca="false">IF(OR($A86="",$D86=""),"",IF(AND(EDATE($D86,Milestones!$AA$20)&lt;=AsOfDate,IF($R86=0,$X86,IF(AND($T86&lt;&gt;"",EDATE($D86,Milestones!$AA$20)&gt;=$T86),$W86,IF(AND($S86&lt;&gt;"",EDATE($D86,Milestones!$AA$20)&gt;=$S86),$V86,$U86)))=Milestones!$AB$20),UPPER(TEXT(EDATE($D86,Milestones!$AA$20),"dd mmm yy"))&amp;" "&amp;Milestones!$AB$20&amp;" "&amp;Milestones!$AC$20&amp;";  ","")&amp;IF(AND(EDATE($D86,Milestones!$AA$21)&lt;=AsOfDate,IF($R86=0,$X86,IF(AND($T86&lt;&gt;"",EDATE($D86,Milestones!$AA$21)&gt;=$T86),$W86,IF(AND($S86&lt;&gt;"",EDATE($D86,Milestones!$AA$21)&gt;=$S86),$V86,$U86)))=Milestones!$AB$21),UPPER(TEXT(EDATE($D86,Milestones!$AA$21),"dd mmm yy"))&amp;" "&amp;Milestones!$AB$21&amp;" "&amp;Milestones!$AC$21&amp;";  ","")&amp;IF(AND(EDATE($D86,Milestones!$AA$22)&lt;=AsOfDate,IF($R86=0,$X86,IF(AND($T86&lt;&gt;"",EDATE($D86,Milestones!$AA$22)&gt;=$T86),$W86,IF(AND($S86&lt;&gt;"",EDATE($D86,Milestones!$AA$22)&gt;=$S86),$V86,$U86)))=Milestones!$AB$22),UPPER(TEXT(EDATE($D86,Milestones!$AA$22),"dd mmm yy"))&amp;" "&amp;Milestones!$AB$22&amp;" "&amp;Milestones!$AC$22&amp;";  ","")&amp;IF(AND(EDATE($D86,Milestones!$AA$23)&lt;=AsOfDate,IF($R86=0,$X86,IF(AND($T86&lt;&gt;"",EDATE($D86,Milestones!$AA$23)&gt;=$T86),$W86,IF(AND($S86&lt;&gt;"",EDATE($D86,Milestones!$AA$23)&gt;=$S86),$V86,$U86)))=Milestones!$AB$23),UPPER(TEXT(EDATE($D86,Milestones!$AA$23),"dd mmm yy"))&amp;" "&amp;Milestones!$AB$23&amp;" "&amp;Milestones!$AC$23&amp;";  ","")&amp;IF(AND(EDATE($D86,Milestones!$AA$24)&lt;=AsOfDate,IF($R86=0,$X86,IF(AND($T86&lt;&gt;"",EDATE($D86,Milestones!$AA$24)&gt;=$T86),$W86,IF(AND($S86&lt;&gt;"",EDATE($D86,Milestones!$AA$24)&gt;=$S86),$V86,$U86)))=Milestones!$AB$24),UPPER(TEXT(EDATE($D86,Milestones!$AA$24),"dd mmm yy"))&amp;" "&amp;Milestones!$AB$24&amp;" "&amp;Milestones!$AC$24&amp;";  ","")&amp;IF(AND(EDATE($D86,Milestones!$AA$25)&lt;=AsOfDate,IF($R86=0,$X86,IF(AND($T86&lt;&gt;"",EDATE($D86,Milestones!$AA$25)&gt;=$T86),$W86,IF(AND($S86&lt;&gt;"",EDATE($D86,Milestones!$AA$25)&gt;=$S86),$V86,$U86)))=Milestones!$AB$25),UPPER(TEXT(EDATE($D86,Milestones!$AA$25),"dd mmm yy"))&amp;" "&amp;Milestones!$AB$25&amp;" "&amp;Milestones!$AC$25&amp;";  ","")&amp;IF(AND(EDATE($D86,Milestones!$AA$26)&lt;=AsOfDate,IF($R86=0,$X86,IF(AND($T86&lt;&gt;"",EDATE($D86,Milestones!$AA$26)&gt;=$T86),$W86,IF(AND($S86&lt;&gt;"",EDATE($D86,Milestones!$AA$26)&gt;=$S86),$V86,$U86)))=Milestones!$AB$26),UPPER(TEXT(EDATE($D86,Milestones!$AA$26),"dd mmm yy"))&amp;" "&amp;Milestones!$AB$26&amp;" "&amp;Milestones!$AC$26&amp;";  ","")&amp;IF(AND(EDATE($D86,Milestones!$AA$27)&lt;=AsOfDate,IF($R86=0,$X86,IF(AND($T86&lt;&gt;"",EDATE($D86,Milestones!$AA$27)&gt;=$T86),$W86,IF(AND($S86&lt;&gt;"",EDATE($D86,Milestones!$AA$27)&gt;=$S86),$V86,$U86)))=Milestones!$AB$27),UPPER(TEXT(EDATE($D86,Milestones!$AA$27),"dd mmm yy"))&amp;" "&amp;Milestones!$AB$27&amp;" "&amp;Milestones!$AC$27&amp;";  ","")&amp;IF(AND(EDATE($D86,Milestones!$AA$28)&lt;=AsOfDate,IF($R86=0,$X86,IF(AND($T86&lt;&gt;"",EDATE($D86,Milestones!$AA$28)&gt;=$T86),$W86,IF(AND($S86&lt;&gt;"",EDATE($D86,Milestones!$AA$28)&gt;=$S86),$V86,$U86)))=Milestones!$AB$28),UPPER(TEXT(EDATE($D86,Milestones!$AA$28),"dd mmm yy"))&amp;" "&amp;Milestones!$AB$28&amp;" "&amp;Milestones!$AC$28&amp;";  ","")&amp;IF(AND(EDATE($D86,Milestones!$AA$29)&lt;=AsOfDate,IF($R86=0,$X86,IF(AND($T86&lt;&gt;"",EDATE($D86,Milestones!$AA$29)&gt;=$T86),$W86,IF(AND($S86&lt;&gt;"",EDATE($D86,Milestones!$AA$29)&gt;=$S86),$V86,$U86)))=Milestones!$AB$29),UPPER(TEXT(EDATE($D86,Milestones!$AA$29),"dd mmm yy"))&amp;" "&amp;Milestones!$AB$29&amp;" "&amp;Milestones!$AC$29&amp;";  ","")&amp;IF(AND(EDATE($D86,Milestones!$AA$30)&lt;=AsOfDate,IF($R86=0,$X86,IF(AND($T86&lt;&gt;"",EDATE($D86,Milestones!$AA$30)&gt;=$T86),$W86,IF(AND($S86&lt;&gt;"",EDATE($D86,Milestones!$AA$30)&gt;=$S86),$V86,$U86)))=Milestones!$AB$30),UPPER(TEXT(EDATE($D86,Milestones!$AA$30),"dd mmm yy"))&amp;" "&amp;Milestones!$AB$30&amp;" "&amp;Milestones!$AC$30&amp;";  ","")&amp;IF(AND(EDATE($D86,Milestones!$AA$31)&lt;=AsOfDate,IF($R86=0,$X86,IF(AND($T86&lt;&gt;"",EDATE($D86,Milestones!$AA$31)&gt;=$T86),$W86,IF(AND($S86&lt;&gt;"",EDATE($D86,Milestones!$AA$31)&gt;=$S86),$V86,$U86)))=Milestones!$AB$31),UPPER(TEXT(EDATE($D86,Milestones!$AA$31),"dd mmm yy"))&amp;" "&amp;Milestones!$AB$31&amp;" "&amp;Milestones!$AC$31&amp;";  ","")&amp;IF(AND(EDATE($D86,Milestones!$AA$32)&lt;=AsOfDate,IF($R86=0,$X86,IF(AND($T86&lt;&gt;"",EDATE($D86,Milestones!$AA$32)&gt;=$T86),$W86,IF(AND($S86&lt;&gt;"",EDATE($D86,Milestones!$AA$32)&gt;=$S86),$V86,$U86)))=Milestones!$AB$32),UPPER(TEXT(EDATE($D86,Milestones!$AA$32),"dd mmm yy"))&amp;" "&amp;Milestones!$AB$32&amp;" "&amp;Milestones!$AC$32&amp;";  ","")&amp;IF(AND(EDATE($D86,Milestones!$AA$33)&lt;=AsOfDate,IF($R86=0,$X86,IF(AND($T86&lt;&gt;"",EDATE($D86,Milestones!$AA$33)&gt;=$T86),$W86,IF(AND($S86&lt;&gt;"",EDATE($D86,Milestones!$AA$33)&gt;=$S86),$V86,$U86)))=Milestones!$AB$33),UPPER(TEXT(EDATE($D86,Milestones!$AA$33),"dd mmm yy"))&amp;" "&amp;Milestones!$AB$33&amp;" "&amp;Milestones!$AC$33&amp;";  ","")&amp;IF(AND(EDATE($D86,Milestones!$AA$34)&lt;=AsOfDate,IF($R86=0,$X86,IF(AND($T86&lt;&gt;"",EDATE($D86,Milestones!$AA$34)&gt;=$T86),$W86,IF(AND($S86&lt;&gt;"",EDATE($D86,Milestones!$AA$34)&gt;=$S86),$V86,$U86)))=Milestones!$AB$34),UPPER(TEXT(EDATE($D86,Milestones!$AA$34),"dd mmm yy"))&amp;" "&amp;Milestones!$AB$34&amp;" "&amp;Milestones!$AC$34&amp;";  ","")&amp;IF(AND(EDATE($D86,Milestones!$AA$35)&lt;=AsOfDate,IF($R86=0,$X86,IF(AND($T86&lt;&gt;"",EDATE($D86,Milestones!$AA$35)&gt;=$T86),$W86,IF(AND($S86&lt;&gt;"",EDATE($D86,Milestones!$AA$35)&gt;=$S86),$V86,$U86)))=Milestones!$AB$35),UPPER(TEXT(EDATE($D86,Milestones!$AA$35),"dd mmm yy"))&amp;" "&amp;Milestones!$AB$35&amp;" "&amp;Milestones!$AC$35&amp;";  ","")&amp;IF(AND(EDATE($D86,Milestones!$AA$36)&lt;=AsOfDate,IF($R86=0,$X86,IF(AND($T86&lt;&gt;"",EDATE($D86,Milestones!$AA$36)&gt;=$T86),$W86,IF(AND($S86&lt;&gt;"",EDATE($D86,Milestones!$AA$36)&gt;=$S86),$V86,$U86)))=Milestones!$AB$36),UPPER(TEXT(EDATE($D86,Milestones!$AA$36),"dd mmm yy"))&amp;" "&amp;Milestones!$AB$36&amp;" "&amp;Milestones!$AC$36&amp;";  ","")&amp;IF(AND(EDATE($D86,Milestones!$AA$37)&lt;=AsOfDate,IF($R86=0,$X86,IF(AND($T86&lt;&gt;"",EDATE($D86,Milestones!$AA$37)&gt;=$T86),$W86,IF(AND($S86&lt;&gt;"",EDATE($D86,Milestones!$AA$37)&gt;=$S86),$V86,$U86)))=Milestones!$AB$37),UPPER(TEXT(EDATE($D86,Milestones!$AA$37),"dd mmm yy"))&amp;" "&amp;Milestones!$AB$37&amp;" "&amp;Milestones!$AC$37&amp;";  ","")&amp;IF(AND(EDATE($D86,Milestones!$AA$38)&lt;=AsOfDate,IF($R86=0,$X86,IF(AND($T86&lt;&gt;"",EDATE($D86,Milestones!$AA$38)&gt;=$T86),$W86,IF(AND($S86&lt;&gt;"",EDATE($D86,Milestones!$AA$38)&gt;=$S86),$V86,$U86)))=Milestones!$AB$38),UPPER(TEXT(EDATE($D86,Milestones!$AA$38),"dd mmm yy"))&amp;" "&amp;Milestones!$AB$38&amp;" "&amp;Milestones!$AC$38&amp;";  ","")&amp;IF(AND(EDATE($D86,Milestones!$AA$39)&lt;=AsOfDate,IF($R86=0,$X86,IF(AND($T86&lt;&gt;"",EDATE($D86,Milestones!$AA$39)&gt;=$T86),$W86,IF(AND($S86&lt;&gt;"",EDATE($D86,Milestones!$AA$39)&gt;=$S86),$V86,$U86)))=Milestones!$AB$39),UPPER(TEXT(EDATE($D86,Milestones!$AA$39),"dd mmm yy"))&amp;" "&amp;Milestones!$AB$39&amp;" "&amp;Milestones!$AC$39&amp;";  ",""))</f>
        <v/>
      </c>
      <c r="J86" s="0" t="str">
        <f aca="false">IF(OR($A86="",$D86=""),"",IF(AND(EDATE($D86,Milestones!$AA$40)&lt;=AsOfDate,IF($R86=0,$X86,IF(AND($T86&lt;&gt;"",EDATE($D86,Milestones!$AA$40)&gt;=$T86),$W86,IF(AND($S86&lt;&gt;"",EDATE($D86,Milestones!$AA$40)&gt;=$S86),$V86,$U86)))=Milestones!$AB$40),UPPER(TEXT(EDATE($D86,Milestones!$AA$40),"dd mmm yy"))&amp;" "&amp;Milestones!$AB$40&amp;" "&amp;Milestones!$AC$40&amp;";  ","")&amp;IF(AND(EDATE($D86,Milestones!$AA$41)&lt;=AsOfDate,IF($R86=0,$X86,IF(AND($T86&lt;&gt;"",EDATE($D86,Milestones!$AA$41)&gt;=$T86),$W86,IF(AND($S86&lt;&gt;"",EDATE($D86,Milestones!$AA$41)&gt;=$S86),$V86,$U86)))=Milestones!$AB$41),UPPER(TEXT(EDATE($D86,Milestones!$AA$41),"dd mmm yy"))&amp;" "&amp;Milestones!$AB$41&amp;" "&amp;Milestones!$AC$41&amp;";  ","")&amp;IF(AND(EDATE($D86,Milestones!$AA$42)&lt;=AsOfDate,IF($R86=0,$X86,IF(AND($T86&lt;&gt;"",EDATE($D86,Milestones!$AA$42)&gt;=$T86),$W86,IF(AND($S86&lt;&gt;"",EDATE($D86,Milestones!$AA$42)&gt;=$S86),$V86,$U86)))=Milestones!$AB$42),UPPER(TEXT(EDATE($D86,Milestones!$AA$42),"dd mmm yy"))&amp;" "&amp;Milestones!$AB$42&amp;" "&amp;Milestones!$AC$42&amp;";  ","")&amp;IF(AND(EDATE($D86,Milestones!$AA$43)&lt;=AsOfDate,IF($R86=0,$X86,IF(AND($T86&lt;&gt;"",EDATE($D86,Milestones!$AA$43)&gt;=$T86),$W86,IF(AND($S86&lt;&gt;"",EDATE($D86,Milestones!$AA$43)&gt;=$S86),$V86,$U86)))=Milestones!$AB$43),UPPER(TEXT(EDATE($D86,Milestones!$AA$43),"dd mmm yy"))&amp;" "&amp;Milestones!$AB$43&amp;" "&amp;Milestones!$AC$43&amp;";  ","")&amp;IF(AND(EDATE($D86,Milestones!$AA$44)&lt;=AsOfDate,IF($R86=0,$X86,IF(AND($T86&lt;&gt;"",EDATE($D86,Milestones!$AA$44)&gt;=$T86),$W86,IF(AND($S86&lt;&gt;"",EDATE($D86,Milestones!$AA$44)&gt;=$S86),$V86,$U86)))=Milestones!$AB$44),UPPER(TEXT(EDATE($D86,Milestones!$AA$44),"dd mmm yy"))&amp;" "&amp;Milestones!$AB$44&amp;" "&amp;Milestones!$AC$44&amp;";  ","")&amp;IF(AND(EDATE($D86,Milestones!$AA$45)&lt;=AsOfDate,IF($R86=0,$X86,IF(AND($T86&lt;&gt;"",EDATE($D86,Milestones!$AA$45)&gt;=$T86),$W86,IF(AND($S86&lt;&gt;"",EDATE($D86,Milestones!$AA$45)&gt;=$S86),$V86,$U86)))=Milestones!$AB$45),UPPER(TEXT(EDATE($D86,Milestones!$AA$45),"dd mmm yy"))&amp;" "&amp;Milestones!$AB$45&amp;" "&amp;Milestones!$AC$45&amp;";  ","")&amp;IF(AND(EDATE($D86,Milestones!$AA$46)&lt;=AsOfDate,IF($R86=0,$X86,IF(AND($T86&lt;&gt;"",EDATE($D86,Milestones!$AA$46)&gt;=$T86),$W86,IF(AND($S86&lt;&gt;"",EDATE($D86,Milestones!$AA$46)&gt;=$S86),$V86,$U86)))=Milestones!$AB$46),UPPER(TEXT(EDATE($D86,Milestones!$AA$46),"dd mmm yy"))&amp;" "&amp;Milestones!$AB$46&amp;" "&amp;Milestones!$AC$46&amp;";  ","")&amp;IF(AND(EDATE($D86,Milestones!$AA$47)&lt;=AsOfDate,IF($R86=0,$X86,IF(AND($T86&lt;&gt;"",EDATE($D86,Milestones!$AA$47)&gt;=$T86),$W86,IF(AND($S86&lt;&gt;"",EDATE($D86,Milestones!$AA$47)&gt;=$S86),$V86,$U86)))=Milestones!$AB$47),UPPER(TEXT(EDATE($D86,Milestones!$AA$47),"dd mmm yy"))&amp;" "&amp;Milestones!$AB$47&amp;" "&amp;Milestones!$AC$47&amp;";  ","")&amp;IF(AND(EDATE($D86,Milestones!$AA$48)&lt;=AsOfDate,IF($R86=0,$X86,IF(AND($T86&lt;&gt;"",EDATE($D86,Milestones!$AA$48)&gt;=$T86),$W86,IF(AND($S86&lt;&gt;"",EDATE($D86,Milestones!$AA$48)&gt;=$S86),$V86,$U86)))=Milestones!$AB$48),UPPER(TEXT(EDATE($D86,Milestones!$AA$48),"dd mmm yy"))&amp;" "&amp;Milestones!$AB$48&amp;" "&amp;Milestones!$AC$48&amp;";  ","")&amp;IF(AND(EDATE($D86,Milestones!$AA$49)&lt;=AsOfDate,IF($R86=0,$X86,IF(AND($T86&lt;&gt;"",EDATE($D86,Milestones!$AA$49)&gt;=$T86),$W86,IF(AND($S86&lt;&gt;"",EDATE($D86,Milestones!$AA$49)&gt;=$S86),$V86,$U86)))=Milestones!$AB$49),UPPER(TEXT(EDATE($D86,Milestones!$AA$49),"dd mmm yy"))&amp;" "&amp;Milestones!$AB$49&amp;" "&amp;Milestones!$AC$49&amp;";  ","")&amp;IF(AND(EDATE($D86,Milestones!$AA$50)&lt;=AsOfDate,IF($R86=0,$X86,IF(AND($T86&lt;&gt;"",EDATE($D86,Milestones!$AA$50)&gt;=$T86),$W86,IF(AND($S86&lt;&gt;"",EDATE($D86,Milestones!$AA$50)&gt;=$S86),$V86,$U86)))=Milestones!$AB$50),UPPER(TEXT(EDATE($D86,Milestones!$AA$50),"dd mmm yy"))&amp;" "&amp;Milestones!$AB$50&amp;" "&amp;Milestones!$AC$50&amp;";  ","")&amp;IF(AND(EDATE($D86,Milestones!$AA$51)&lt;=AsOfDate,IF($R86=0,$X86,IF(AND($T86&lt;&gt;"",EDATE($D86,Milestones!$AA$51)&gt;=$T86),$W86,IF(AND($S86&lt;&gt;"",EDATE($D86,Milestones!$AA$51)&gt;=$S86),$V86,$U86)))=Milestones!$AB$51),UPPER(TEXT(EDATE($D86,Milestones!$AA$51),"dd mmm yy"))&amp;" "&amp;Milestones!$AB$51&amp;" "&amp;Milestones!$AC$51&amp;";  ","")&amp;IF(AND(EDATE($D86,Milestones!$AA$52)&lt;=AsOfDate,IF($R86=0,$X86,IF(AND($T86&lt;&gt;"",EDATE($D86,Milestones!$AA$52)&gt;=$T86),$W86,IF(AND($S86&lt;&gt;"",EDATE($D86,Milestones!$AA$52)&gt;=$S86),$V86,$U86)))=Milestones!$AB$52),UPPER(TEXT(EDATE($D86,Milestones!$AA$52),"dd mmm yy"))&amp;" "&amp;Milestones!$AB$52&amp;" "&amp;Milestones!$AC$52&amp;";  ","")&amp;IF(AND(EDATE($D86,Milestones!$AA$53)&lt;=AsOfDate,IF($R86=0,$X86,IF(AND($T86&lt;&gt;"",EDATE($D86,Milestones!$AA$53)&gt;=$T86),$W86,IF(AND($S86&lt;&gt;"",EDATE($D86,Milestones!$AA$53)&gt;=$S86),$V86,$U86)))=Milestones!$AB$53),UPPER(TEXT(EDATE($D86,Milestones!$AA$53),"dd mmm yy"))&amp;" "&amp;Milestones!$AB$53&amp;" "&amp;Milestones!$AC$53&amp;";  ","")&amp;IF(AND(EDATE($D86,Milestones!$AA$54)&lt;=AsOfDate,IF($R86=0,$X86,IF(AND($T86&lt;&gt;"",EDATE($D86,Milestones!$AA$54)&gt;=$T86),$W86,IF(AND($S86&lt;&gt;"",EDATE($D86,Milestones!$AA$54)&gt;=$S86),$V86,$U86)))=Milestones!$AB$54),UPPER(TEXT(EDATE($D86,Milestones!$AA$54),"dd mmm yy"))&amp;" "&amp;Milestones!$AB$54&amp;" "&amp;Milestones!$AC$54&amp;";  ","")&amp;IF(AND(EDATE($D86,Milestones!$AA$55)&lt;=AsOfDate,IF($R86=0,$X86,IF(AND($T86&lt;&gt;"",EDATE($D86,Milestones!$AA$55)&gt;=$T86),$W86,IF(AND($S86&lt;&gt;"",EDATE($D86,Milestones!$AA$55)&gt;=$S86),$V86,$U86)))=Milestones!$AB$55),UPPER(TEXT(EDATE($D86,Milestones!$AA$55),"dd mmm yy"))&amp;" "&amp;Milestones!$AB$55&amp;" "&amp;Milestones!$AC$55&amp;";  ","")&amp;IF(AND(EDATE($D86,Milestones!$AA$56)&lt;=AsOfDate,IF($R86=0,$X86,IF(AND($T86&lt;&gt;"",EDATE($D86,Milestones!$AA$56)&gt;=$T86),$W86,IF(AND($S86&lt;&gt;"",EDATE($D86,Milestones!$AA$56)&gt;=$S86),$V86,$U86)))=Milestones!$AB$56),UPPER(TEXT(EDATE($D86,Milestones!$AA$56),"dd mmm yy"))&amp;" "&amp;Milestones!$AB$56&amp;" "&amp;Milestones!$AC$56&amp;";  ","")&amp;IF(AND(EDATE($D86,Milestones!$AA$57)&lt;=AsOfDate,IF($R86=0,$X86,IF(AND($T86&lt;&gt;"",EDATE($D86,Milestones!$AA$57)&gt;=$T86),$W86,IF(AND($S86&lt;&gt;"",EDATE($D86,Milestones!$AA$57)&gt;=$S86),$V86,$U86)))=Milestones!$AB$57),UPPER(TEXT(EDATE($D86,Milestones!$AA$57),"dd mmm yy"))&amp;" "&amp;Milestones!$AB$57&amp;" "&amp;Milestones!$AC$57&amp;";  ","")&amp;IF(AND(EDATE($D86,Milestones!$AA$58)&lt;=AsOfDate,IF($R86=0,$X86,IF(AND($T86&lt;&gt;"",EDATE($D86,Milestones!$AA$58)&gt;=$T86),$W86,IF(AND($S86&lt;&gt;"",EDATE($D86,Milestones!$AA$58)&gt;=$S86),$V86,$U86)))=Milestones!$AB$58),UPPER(TEXT(EDATE($D86,Milestones!$AA$58),"dd mmm yy"))&amp;" "&amp;Milestones!$AB$58&amp;" "&amp;Milestones!$AC$58&amp;";  ","")&amp;IF(AND(EDATE($D86,Milestones!$AA$59)&lt;=AsOfDate,IF($R86=0,$X86,IF(AND($T86&lt;&gt;"",EDATE($D86,Milestones!$AA$59)&gt;=$T86),$W86,IF(AND($S86&lt;&gt;"",EDATE($D86,Milestones!$AA$59)&gt;=$S86),$V86,$U86)))=Milestones!$AB$59),UPPER(TEXT(EDATE($D86,Milestones!$AA$59),"dd mmm yy"))&amp;" "&amp;Milestones!$AB$59&amp;" "&amp;Milestones!$AC$59&amp;";  ",""))</f>
        <v/>
      </c>
      <c r="K86" s="0" t="str">
        <f aca="false">IF(OR($A86="",$D86=""),"",IF(AND(EDATE($D86,Milestones!$AA$60)&lt;=AsOfDate,IF($R86=0,$X86,IF(AND($T86&lt;&gt;"",EDATE($D86,Milestones!$AA$60)&gt;=$T86),$W86,IF(AND($S86&lt;&gt;"",EDATE($D86,Milestones!$AA$60)&gt;=$S86),$V86,$U86)))=Milestones!$AB$60),UPPER(TEXT(EDATE($D86,Milestones!$AA$60),"dd mmm yy"))&amp;" "&amp;Milestones!$AB$60&amp;" "&amp;Milestones!$AC$60&amp;";  ","")&amp;IF(AND(EDATE($D86,Milestones!$AA$61)&lt;=AsOfDate,IF($R86=0,$X86,IF(AND($T86&lt;&gt;"",EDATE($D86,Milestones!$AA$61)&gt;=$T86),$W86,IF(AND($S86&lt;&gt;"",EDATE($D86,Milestones!$AA$61)&gt;=$S86),$V86,$U86)))=Milestones!$AB$61),UPPER(TEXT(EDATE($D86,Milestones!$AA$61),"dd mmm yy"))&amp;" "&amp;Milestones!$AB$61&amp;" "&amp;Milestones!$AC$61&amp;";  ","")&amp;IF(AND(EDATE($D86,Milestones!$AA$62)&lt;=AsOfDate,IF($R86=0,$X86,IF(AND($T86&lt;&gt;"",EDATE($D86,Milestones!$AA$62)&gt;=$T86),$W86,IF(AND($S86&lt;&gt;"",EDATE($D86,Milestones!$AA$62)&gt;=$S86),$V86,$U86)))=Milestones!$AB$62),UPPER(TEXT(EDATE($D86,Milestones!$AA$62),"dd mmm yy"))&amp;" "&amp;Milestones!$AB$62&amp;" "&amp;Milestones!$AC$62&amp;";  ","")&amp;IF(AND(EDATE($D86,Milestones!$AA$63)&lt;=AsOfDate,IF($R86=0,$X86,IF(AND($T86&lt;&gt;"",EDATE($D86,Milestones!$AA$63)&gt;=$T86),$W86,IF(AND($S86&lt;&gt;"",EDATE($D86,Milestones!$AA$63)&gt;=$S86),$V86,$U86)))=Milestones!$AB$63),UPPER(TEXT(EDATE($D86,Milestones!$AA$63),"dd mmm yy"))&amp;" "&amp;Milestones!$AB$63&amp;" "&amp;Milestones!$AC$63&amp;";  ","")&amp;IF(AND(EDATE($D86,Milestones!$AA$64)&lt;=AsOfDate,IF($R86=0,$X86,IF(AND($T86&lt;&gt;"",EDATE($D86,Milestones!$AA$64)&gt;=$T86),$W86,IF(AND($S86&lt;&gt;"",EDATE($D86,Milestones!$AA$64)&gt;=$S86),$V86,$U86)))=Milestones!$AB$64),UPPER(TEXT(EDATE($D86,Milestones!$AA$64),"dd mmm yy"))&amp;" "&amp;Milestones!$AB$64&amp;" "&amp;Milestones!$AC$64&amp;";  ","")&amp;IF(AND(EDATE($D86,Milestones!$AA$65)&lt;=AsOfDate,IF($R86=0,$X86,IF(AND($T86&lt;&gt;"",EDATE($D86,Milestones!$AA$65)&gt;=$T86),$W86,IF(AND($S86&lt;&gt;"",EDATE($D86,Milestones!$AA$65)&gt;=$S86),$V86,$U86)))=Milestones!$AB$65),UPPER(TEXT(EDATE($D86,Milestones!$AA$65),"dd mmm yy"))&amp;" "&amp;Milestones!$AB$65&amp;" "&amp;Milestones!$AC$65&amp;";  ","")&amp;IF(AND(EDATE($D86,Milestones!$AA$66)&lt;=AsOfDate,IF($R86=0,$X86,IF(AND($T86&lt;&gt;"",EDATE($D86,Milestones!$AA$66)&gt;=$T86),$W86,IF(AND($S86&lt;&gt;"",EDATE($D86,Milestones!$AA$66)&gt;=$S86),$V86,$U86)))=Milestones!$AB$66),UPPER(TEXT(EDATE($D86,Milestones!$AA$66),"dd mmm yy"))&amp;" "&amp;Milestones!$AB$66&amp;" "&amp;Milestones!$AC$66&amp;";  ","")&amp;IF(AND(EDATE($D86,Milestones!$AA$67)&lt;=AsOfDate,IF($R86=0,$X86,IF(AND($T86&lt;&gt;"",EDATE($D86,Milestones!$AA$67)&gt;=$T86),$W86,IF(AND($S86&lt;&gt;"",EDATE($D86,Milestones!$AA$67)&gt;=$S86),$V86,$U86)))=Milestones!$AB$67),UPPER(TEXT(EDATE($D86,Milestones!$AA$67),"dd mmm yy"))&amp;" "&amp;Milestones!$AB$67&amp;" "&amp;Milestones!$AC$67&amp;";  ","")&amp;IF(AND(EDATE($D86,Milestones!$AA$68)&lt;=AsOfDate,IF($R86=0,$X86,IF(AND($T86&lt;&gt;"",EDATE($D86,Milestones!$AA$68)&gt;=$T86),$W86,IF(AND($S86&lt;&gt;"",EDATE($D86,Milestones!$AA$68)&gt;=$S86),$V86,$U86)))=Milestones!$AB$68),UPPER(TEXT(EDATE($D86,Milestones!$AA$68),"dd mmm yy"))&amp;" "&amp;Milestones!$AB$68&amp;" "&amp;Milestones!$AC$68&amp;";  ","")&amp;IF(AND(EDATE($D86,Milestones!$AA$69)&lt;=AsOfDate,IF($R86=0,$X86,IF(AND($T86&lt;&gt;"",EDATE($D86,Milestones!$AA$69)&gt;=$T86),$W86,IF(AND($S86&lt;&gt;"",EDATE($D86,Milestones!$AA$69)&gt;=$S86),$V86,$U86)))=Milestones!$AB$69),UPPER(TEXT(EDATE($D86,Milestones!$AA$69),"dd mmm yy"))&amp;" "&amp;Milestones!$AB$69&amp;" "&amp;Milestones!$AC$69&amp;";  ","")&amp;IF(AND(EDATE($D86,Milestones!$AA$70)&lt;=AsOfDate,IF($R86=0,$X86,IF(AND($T86&lt;&gt;"",EDATE($D86,Milestones!$AA$70)&gt;=$T86),$W86,IF(AND($S86&lt;&gt;"",EDATE($D86,Milestones!$AA$70)&gt;=$S86),$V86,$U86)))=Milestones!$AB$70),UPPER(TEXT(EDATE($D86,Milestones!$AA$70),"dd mmm yy"))&amp;" "&amp;Milestones!$AB$70&amp;" "&amp;Milestones!$AC$70&amp;";  ","")&amp;IF(AND(EDATE($D86,Milestones!$AA$71)&lt;=AsOfDate,IF($R86=0,$X86,IF(AND($T86&lt;&gt;"",EDATE($D86,Milestones!$AA$71)&gt;=$T86),$W86,IF(AND($S86&lt;&gt;"",EDATE($D86,Milestones!$AA$71)&gt;=$S86),$V86,$U86)))=Milestones!$AB$71),UPPER(TEXT(EDATE($D86,Milestones!$AA$71),"dd mmm yy"))&amp;" "&amp;Milestones!$AB$71&amp;" "&amp;Milestones!$AC$71&amp;";  ","")&amp;IF(AND(EDATE($D86,Milestones!$AA$72)&lt;=AsOfDate,IF($R86=0,$X86,IF(AND($T86&lt;&gt;"",EDATE($D86,Milestones!$AA$72)&gt;=$T86),$W86,IF(AND($S86&lt;&gt;"",EDATE($D86,Milestones!$AA$72)&gt;=$S86),$V86,$U86)))=Milestones!$AB$72),UPPER(TEXT(EDATE($D86,Milestones!$AA$72),"dd mmm yy"))&amp;" "&amp;Milestones!$AB$72&amp;" "&amp;Milestones!$AC$72&amp;";  ","")&amp;IF(AND(EDATE($D86,Milestones!$AA$73)&lt;=AsOfDate,IF($R86=0,$X86,IF(AND($T86&lt;&gt;"",EDATE($D86,Milestones!$AA$73)&gt;=$T86),$W86,IF(AND($S86&lt;&gt;"",EDATE($D86,Milestones!$AA$73)&gt;=$S86),$V86,$U86)))=Milestones!$AB$73),UPPER(TEXT(EDATE($D86,Milestones!$AA$73),"dd mmm yy"))&amp;" "&amp;Milestones!$AB$73&amp;" "&amp;Milestones!$AC$73&amp;";  ","")&amp;IF(AND(EDATE($D86,Milestones!$AA$74)&lt;=AsOfDate,IF($R86=0,$X86,IF(AND($T86&lt;&gt;"",EDATE($D86,Milestones!$AA$74)&gt;=$T86),$W86,IF(AND($S86&lt;&gt;"",EDATE($D86,Milestones!$AA$74)&gt;=$S86),$V86,$U86)))=Milestones!$AB$74),UPPER(TEXT(EDATE($D86,Milestones!$AA$74),"dd mmm yy"))&amp;" "&amp;Milestones!$AB$74&amp;" "&amp;Milestones!$AC$74&amp;";  ","")&amp;IF(AND(EDATE($D86,Milestones!$AA$75)&lt;=AsOfDate,IF($R86=0,$X86,IF(AND($T86&lt;&gt;"",EDATE($D86,Milestones!$AA$75)&gt;=$T86),$W86,IF(AND($S86&lt;&gt;"",EDATE($D86,Milestones!$AA$75)&gt;=$S86),$V86,$U86)))=Milestones!$AB$75),UPPER(TEXT(EDATE($D86,Milestones!$AA$75),"dd mmm yy"))&amp;" "&amp;Milestones!$AB$75&amp;" "&amp;Milestones!$AC$75&amp;";  ","")&amp;IF(AND(EDATE($D86,Milestones!$AA$76)&lt;=AsOfDate,IF($R86=0,$X86,IF(AND($T86&lt;&gt;"",EDATE($D86,Milestones!$AA$76)&gt;=$T86),$W86,IF(AND($S86&lt;&gt;"",EDATE($D86,Milestones!$AA$76)&gt;=$S86),$V86,$U86)))=Milestones!$AB$76),UPPER(TEXT(EDATE($D86,Milestones!$AA$76),"dd mmm yy"))&amp;" "&amp;Milestones!$AB$76&amp;" "&amp;Milestones!$AC$76&amp;";  ","")&amp;IF(AND(EDATE($D86,Milestones!$AA$77)&lt;=AsOfDate,IF($R86=0,$X86,IF(AND($T86&lt;&gt;"",EDATE($D86,Milestones!$AA$77)&gt;=$T86),$W86,IF(AND($S86&lt;&gt;"",EDATE($D86,Milestones!$AA$77)&gt;=$S86),$V86,$U86)))=Milestones!$AB$77),UPPER(TEXT(EDATE($D86,Milestones!$AA$77),"dd mmm yy"))&amp;" "&amp;Milestones!$AB$77&amp;" "&amp;Milestones!$AC$77&amp;";  ","")&amp;IF(AND(EDATE($D86,Milestones!$AA$78)&lt;=AsOfDate,IF($R86=0,$X86,IF(AND($T86&lt;&gt;"",EDATE($D86,Milestones!$AA$78)&gt;=$T86),$W86,IF(AND($S86&lt;&gt;"",EDATE($D86,Milestones!$AA$78)&gt;=$S86),$V86,$U86)))=Milestones!$AB$78),UPPER(TEXT(EDATE($D86,Milestones!$AA$78),"dd mmm yy"))&amp;" "&amp;Milestones!$AB$78&amp;" "&amp;Milestones!$AC$78&amp;";  ","")&amp;IF(AND(EDATE($D86,Milestones!$AA$79)&lt;=AsOfDate,IF($R86=0,$X86,IF(AND($T86&lt;&gt;"",EDATE($D86,Milestones!$AA$79)&gt;=$T86),$W86,IF(AND($S86&lt;&gt;"",EDATE($D86,Milestones!$AA$79)&gt;=$S86),$V86,$U86)))=Milestones!$AB$79),UPPER(TEXT(EDATE($D86,Milestones!$AA$79),"dd mmm yy"))&amp;" "&amp;Milestones!$AB$79&amp;" "&amp;Milestones!$AC$79&amp;";  ",""))</f>
        <v/>
      </c>
      <c r="L86" s="0" t="str">
        <f aca="false">IF(OR($A86="",$D86=""),"",IF(AND(EDATE($D86,Milestones!$AA$80)&lt;=AsOfDate,IF($R86=0,$X86,IF(AND($T86&lt;&gt;"",EDATE($D86,Milestones!$AA$80)&gt;=$T86),$W86,IF(AND($S86&lt;&gt;"",EDATE($D86,Milestones!$AA$80)&gt;=$S86),$V86,$U86)))=Milestones!$AB$80),UPPER(TEXT(EDATE($D86,Milestones!$AA$80),"dd mmm yy"))&amp;" "&amp;Milestones!$AB$80&amp;" "&amp;Milestones!$AC$80&amp;";  ","")&amp;IF(AND(EDATE($D86,Milestones!$AA$81)&lt;=AsOfDate,IF($R86=0,$X86,IF(AND($T86&lt;&gt;"",EDATE($D86,Milestones!$AA$81)&gt;=$T86),$W86,IF(AND($S86&lt;&gt;"",EDATE($D86,Milestones!$AA$81)&gt;=$S86),$V86,$U86)))=Milestones!$AB$81),UPPER(TEXT(EDATE($D86,Milestones!$AA$81),"dd mmm yy"))&amp;" "&amp;Milestones!$AB$81&amp;" "&amp;Milestones!$AC$81&amp;";  ","")&amp;IF(AND(EDATE($D86,Milestones!$AA$82)&lt;=AsOfDate,IF($R86=0,$X86,IF(AND($T86&lt;&gt;"",EDATE($D86,Milestones!$AA$82)&gt;=$T86),$W86,IF(AND($S86&lt;&gt;"",EDATE($D86,Milestones!$AA$82)&gt;=$S86),$V86,$U86)))=Milestones!$AB$82),UPPER(TEXT(EDATE($D86,Milestones!$AA$82),"dd mmm yy"))&amp;" "&amp;Milestones!$AB$82&amp;" "&amp;Milestones!$AC$82&amp;";  ","")&amp;IF(AND(EDATE($D86,Milestones!$AA$83)&lt;=AsOfDate,IF($R86=0,$X86,IF(AND($T86&lt;&gt;"",EDATE($D86,Milestones!$AA$83)&gt;=$T86),$W86,IF(AND($S86&lt;&gt;"",EDATE($D86,Milestones!$AA$83)&gt;=$S86),$V86,$U86)))=Milestones!$AB$83),UPPER(TEXT(EDATE($D86,Milestones!$AA$83),"dd mmm yy"))&amp;" "&amp;Milestones!$AB$83&amp;" "&amp;Milestones!$AC$83&amp;";  ","")&amp;IF(AND(EDATE($D86,Milestones!$AA$84)&lt;=AsOfDate,IF($R86=0,$X86,IF(AND($T86&lt;&gt;"",EDATE($D86,Milestones!$AA$84)&gt;=$T86),$W86,IF(AND($S86&lt;&gt;"",EDATE($D86,Milestones!$AA$84)&gt;=$S86),$V86,$U86)))=Milestones!$AB$84),UPPER(TEXT(EDATE($D86,Milestones!$AA$84),"dd mmm yy"))&amp;" "&amp;Milestones!$AB$84&amp;" "&amp;Milestones!$AC$84&amp;";  ","")&amp;IF(AND(EDATE($D86,Milestones!$AA$85)&lt;=AsOfDate,IF($R86=0,$X86,IF(AND($T86&lt;&gt;"",EDATE($D86,Milestones!$AA$85)&gt;=$T86),$W86,IF(AND($S86&lt;&gt;"",EDATE($D86,Milestones!$AA$85)&gt;=$S86),$V86,$U86)))=Milestones!$AB$85),UPPER(TEXT(EDATE($D86,Milestones!$AA$85),"dd mmm yy"))&amp;" "&amp;Milestones!$AB$85&amp;" "&amp;Milestones!$AC$85&amp;";  ","")&amp;IF(AND(EDATE($D86,Milestones!$AA$86)&lt;=AsOfDate,IF($R86=0,$X86,IF(AND($T86&lt;&gt;"",EDATE($D86,Milestones!$AA$86)&gt;=$T86),$W86,IF(AND($S86&lt;&gt;"",EDATE($D86,Milestones!$AA$86)&gt;=$S86),$V86,$U86)))=Milestones!$AB$86),UPPER(TEXT(EDATE($D86,Milestones!$AA$86),"dd mmm yy"))&amp;" "&amp;Milestones!$AB$86&amp;" "&amp;Milestones!$AC$86&amp;";  ","")&amp;IF(AND(EDATE($D86,Milestones!$AA$87)&lt;=AsOfDate,IF($R86=0,$X86,IF(AND($T86&lt;&gt;"",EDATE($D86,Milestones!$AA$87)&gt;=$T86),$W86,IF(AND($S86&lt;&gt;"",EDATE($D86,Milestones!$AA$87)&gt;=$S86),$V86,$U86)))=Milestones!$AB$87),UPPER(TEXT(EDATE($D86,Milestones!$AA$87),"dd mmm yy"))&amp;" "&amp;Milestones!$AB$87&amp;" "&amp;Milestones!$AC$87&amp;";  ","")&amp;IF(AND(EDATE($D86,Milestones!$AA$88)&lt;=AsOfDate,IF($R86=0,$X86,IF(AND($T86&lt;&gt;"",EDATE($D86,Milestones!$AA$88)&gt;=$T86),$W86,IF(AND($S86&lt;&gt;"",EDATE($D86,Milestones!$AA$88)&gt;=$S86),$V86,$U86)))=Milestones!$AB$88),UPPER(TEXT(EDATE($D86,Milestones!$AA$88),"dd mmm yy"))&amp;" "&amp;Milestones!$AB$88&amp;" "&amp;Milestones!$AC$88&amp;";  ","")&amp;IF(AND(EDATE($D86,Milestones!$AA$89)&lt;=AsOfDate,IF($R86=0,$X86,IF(AND($T86&lt;&gt;"",EDATE($D86,Milestones!$AA$89)&gt;=$T86),$W86,IF(AND($S86&lt;&gt;"",EDATE($D86,Milestones!$AA$89)&gt;=$S86),$V86,$U86)))=Milestones!$AB$89),UPPER(TEXT(EDATE($D86,Milestones!$AA$89),"dd mmm yy"))&amp;" "&amp;Milestones!$AB$89&amp;" "&amp;Milestones!$AC$89&amp;";  ","")&amp;IF(AND(EDATE($D86,Milestones!$AA$90)&lt;=AsOfDate,IF($R86=0,$X86,IF(AND($T86&lt;&gt;"",EDATE($D86,Milestones!$AA$90)&gt;=$T86),$W86,IF(AND($S86&lt;&gt;"",EDATE($D86,Milestones!$AA$90)&gt;=$S86),$V86,$U86)))=Milestones!$AB$90),UPPER(TEXT(EDATE($D86,Milestones!$AA$90),"dd mmm yy"))&amp;" "&amp;Milestones!$AB$90&amp;" "&amp;Milestones!$AC$90&amp;";  ","")&amp;IF(AND(EDATE($D86,Milestones!$AA$91)&lt;=AsOfDate,IF($R86=0,$X86,IF(AND($T86&lt;&gt;"",EDATE($D86,Milestones!$AA$91)&gt;=$T86),$W86,IF(AND($S86&lt;&gt;"",EDATE($D86,Milestones!$AA$91)&gt;=$S86),$V86,$U86)))=Milestones!$AB$91),UPPER(TEXT(EDATE($D86,Milestones!$AA$91),"dd mmm yy"))&amp;" "&amp;Milestones!$AB$91&amp;" "&amp;Milestones!$AC$91&amp;";  ","")&amp;IF(AND(EDATE($D86,Milestones!$AA$92)&lt;=AsOfDate,IF($R86=0,$X86,IF(AND($T86&lt;&gt;"",EDATE($D86,Milestones!$AA$92)&gt;=$T86),$W86,IF(AND($S86&lt;&gt;"",EDATE($D86,Milestones!$AA$92)&gt;=$S86),$V86,$U86)))=Milestones!$AB$92),UPPER(TEXT(EDATE($D86,Milestones!$AA$92),"dd mmm yy"))&amp;" "&amp;Milestones!$AB$92&amp;" "&amp;Milestones!$AC$92&amp;";  ","")&amp;IF(AND(EDATE($D86,Milestones!$AA$93)&lt;=AsOfDate,IF($R86=0,$X86,IF(AND($T86&lt;&gt;"",EDATE($D86,Milestones!$AA$93)&gt;=$T86),$W86,IF(AND($S86&lt;&gt;"",EDATE($D86,Milestones!$AA$93)&gt;=$S86),$V86,$U86)))=Milestones!$AB$93),UPPER(TEXT(EDATE($D86,Milestones!$AA$93),"dd mmm yy"))&amp;" "&amp;Milestones!$AB$93&amp;" "&amp;Milestones!$AC$93&amp;";  ","")&amp;IF(AND(EDATE($D86,Milestones!$AA$94)&lt;=AsOfDate,IF($R86=0,$X86,IF(AND($T86&lt;&gt;"",EDATE($D86,Milestones!$AA$94)&gt;=$T86),$W86,IF(AND($S86&lt;&gt;"",EDATE($D86,Milestones!$AA$94)&gt;=$S86),$V86,$U86)))=Milestones!$AB$94),UPPER(TEXT(EDATE($D86,Milestones!$AA$94),"dd mmm yy"))&amp;" "&amp;Milestones!$AB$94&amp;" "&amp;Milestones!$AC$94&amp;";  ","")&amp;IF(AND(EDATE($D86,Milestones!$AA$95)&lt;=AsOfDate,IF($R86=0,$X86,IF(AND($T86&lt;&gt;"",EDATE($D86,Milestones!$AA$95)&gt;=$T86),$W86,IF(AND($S86&lt;&gt;"",EDATE($D86,Milestones!$AA$95)&gt;=$S86),$V86,$U86)))=Milestones!$AB$95),UPPER(TEXT(EDATE($D86,Milestones!$AA$95),"dd mmm yy"))&amp;" "&amp;Milestones!$AB$95&amp;" "&amp;Milestones!$AC$95&amp;";  ","")&amp;IF(AND(EDATE($D86,Milestones!$AA$96)&lt;=AsOfDate,IF($R86=0,$X86,IF(AND($T86&lt;&gt;"",EDATE($D86,Milestones!$AA$96)&gt;=$T86),$W86,IF(AND($S86&lt;&gt;"",EDATE($D86,Milestones!$AA$96)&gt;=$S86),$V86,$U86)))=Milestones!$AB$96),UPPER(TEXT(EDATE($D86,Milestones!$AA$96),"dd mmm yy"))&amp;" "&amp;Milestones!$AB$96&amp;" "&amp;Milestones!$AC$96&amp;";  ","")&amp;IF(AND(EDATE($D86,Milestones!$AA$97)&lt;=AsOfDate,IF($R86=0,$X86,IF(AND($T86&lt;&gt;"",EDATE($D86,Milestones!$AA$97)&gt;=$T86),$W86,IF(AND($S86&lt;&gt;"",EDATE($D86,Milestones!$AA$97)&gt;=$S86),$V86,$U86)))=Milestones!$AB$97),UPPER(TEXT(EDATE($D86,Milestones!$AA$97),"dd mmm yy"))&amp;" "&amp;Milestones!$AB$97&amp;" "&amp;Milestones!$AC$97&amp;";  ","")&amp;IF(AND(EDATE($D86,Milestones!$AA$98)&lt;=AsOfDate,IF($R86=0,$X86,IF(AND($T86&lt;&gt;"",EDATE($D86,Milestones!$AA$98)&gt;=$T86),$W86,IF(AND($S86&lt;&gt;"",EDATE($D86,Milestones!$AA$98)&gt;=$S86),$V86,$U86)))=Milestones!$AB$98),UPPER(TEXT(EDATE($D86,Milestones!$AA$98),"dd mmm yy"))&amp;" "&amp;Milestones!$AB$98&amp;" "&amp;Milestones!$AC$98&amp;";  ","")&amp;IF(AND(EDATE($D86,Milestones!$AA$99)&lt;=AsOfDate,IF($R86=0,$X86,IF(AND($T86&lt;&gt;"",EDATE($D86,Milestones!$AA$99)&gt;=$T86),$W86,IF(AND($S86&lt;&gt;"",EDATE($D86,Milestones!$AA$99)&gt;=$S86),$V86,$U86)))=Milestones!$AB$99),UPPER(TEXT(EDATE($D86,Milestones!$AA$99),"dd mmm yy"))&amp;" "&amp;Milestones!$AB$99&amp;" "&amp;Milestones!$AC$99&amp;";  ",""))</f>
        <v/>
      </c>
      <c r="M86" s="0" t="str">
        <f aca="false">IF(OR($A86="",$D86=""),"",IF(AND(EDATE($D86,Milestones!$AA$100)&lt;=AsOfDate,IF($R86=0,$X86,IF(AND($T86&lt;&gt;"",EDATE($D86,Milestones!$AA$100)&gt;=$T86),$W86,IF(AND($S86&lt;&gt;"",EDATE($D86,Milestones!$AA$100)&gt;=$S86),$V86,$U86)))=Milestones!$AB$100),UPPER(TEXT(EDATE($D86,Milestones!$AA$100),"dd mmm yy"))&amp;" "&amp;Milestones!$AB$100&amp;" "&amp;Milestones!$AC$100&amp;";  ","")&amp;IF(AND(EDATE($D86,Milestones!$AA$101)&lt;=AsOfDate,IF($R86=0,$X86,IF(AND($T86&lt;&gt;"",EDATE($D86,Milestones!$AA$101)&gt;=$T86),$W86,IF(AND($S86&lt;&gt;"",EDATE($D86,Milestones!$AA$101)&gt;=$S86),$V86,$U86)))=Milestones!$AB$101),UPPER(TEXT(EDATE($D86,Milestones!$AA$101),"dd mmm yy"))&amp;" "&amp;Milestones!$AB$101&amp;" "&amp;Milestones!$AC$101&amp;";  ","")&amp;IF(AND(EDATE($D86,Milestones!$AA$102)&lt;=AsOfDate,IF($R86=0,$X86,IF(AND($T86&lt;&gt;"",EDATE($D86,Milestones!$AA$102)&gt;=$T86),$W86,IF(AND($S86&lt;&gt;"",EDATE($D86,Milestones!$AA$102)&gt;=$S86),$V86,$U86)))=Milestones!$AB$102),UPPER(TEXT(EDATE($D86,Milestones!$AA$102),"dd mmm yy"))&amp;" "&amp;Milestones!$AB$102&amp;" "&amp;Milestones!$AC$102&amp;";  ","")&amp;IF(AND(EDATE($D86,Milestones!$AA$103)&lt;=AsOfDate,IF($R86=0,$X86,IF(AND($T86&lt;&gt;"",EDATE($D86,Milestones!$AA$103)&gt;=$T86),$W86,IF(AND($S86&lt;&gt;"",EDATE($D86,Milestones!$AA$103)&gt;=$S86),$V86,$U86)))=Milestones!$AB$103),UPPER(TEXT(EDATE($D86,Milestones!$AA$103),"dd mmm yy"))&amp;" "&amp;Milestones!$AB$103&amp;" "&amp;Milestones!$AC$103&amp;";  ","")&amp;IF(AND(EDATE($D86,Milestones!$AA$104)&lt;=AsOfDate,IF($R86=0,$X86,IF(AND($T86&lt;&gt;"",EDATE($D86,Milestones!$AA$104)&gt;=$T86),$W86,IF(AND($S86&lt;&gt;"",EDATE($D86,Milestones!$AA$104)&gt;=$S86),$V86,$U86)))=Milestones!$AB$104),UPPER(TEXT(EDATE($D86,Milestones!$AA$104),"dd mmm yy"))&amp;" "&amp;Milestones!$AB$104&amp;" "&amp;Milestones!$AC$104&amp;";  ","")&amp;IF(AND(EDATE($D86,Milestones!$AA$105)&lt;=AsOfDate,IF($R86=0,$X86,IF(AND($T86&lt;&gt;"",EDATE($D86,Milestones!$AA$105)&gt;=$T86),$W86,IF(AND($S86&lt;&gt;"",EDATE($D86,Milestones!$AA$105)&gt;=$S86),$V86,$U86)))=Milestones!$AB$105),UPPER(TEXT(EDATE($D86,Milestones!$AA$105),"dd mmm yy"))&amp;" "&amp;Milestones!$AB$105&amp;" "&amp;Milestones!$AC$105&amp;";  ","")&amp;IF(AND(EDATE($D86,Milestones!$AA$106)&lt;=AsOfDate,IF($R86=0,$X86,IF(AND($T86&lt;&gt;"",EDATE($D86,Milestones!$AA$106)&gt;=$T86),$W86,IF(AND($S86&lt;&gt;"",EDATE($D86,Milestones!$AA$106)&gt;=$S86),$V86,$U86)))=Milestones!$AB$106),UPPER(TEXT(EDATE($D86,Milestones!$AA$106),"dd mmm yy"))&amp;" "&amp;Milestones!$AB$106&amp;" "&amp;Milestones!$AC$106&amp;";  ","")&amp;IF(AND(EDATE($D86,Milestones!$AA$107)&lt;=AsOfDate,IF($R86=0,$X86,IF(AND($T86&lt;&gt;"",EDATE($D86,Milestones!$AA$107)&gt;=$T86),$W86,IF(AND($S86&lt;&gt;"",EDATE($D86,Milestones!$AA$107)&gt;=$S86),$V86,$U86)))=Milestones!$AB$107),UPPER(TEXT(EDATE($D86,Milestones!$AA$107),"dd mmm yy"))&amp;" "&amp;Milestones!$AB$107&amp;" "&amp;Milestones!$AC$107&amp;";  ","")&amp;IF(AND(EDATE($D86,Milestones!$AA$108)&lt;=AsOfDate,IF($R86=0,$X86,IF(AND($T86&lt;&gt;"",EDATE($D86,Milestones!$AA$108)&gt;=$T86),$W86,IF(AND($S86&lt;&gt;"",EDATE($D86,Milestones!$AA$108)&gt;=$S86),$V86,$U86)))=Milestones!$AB$108),UPPER(TEXT(EDATE($D86,Milestones!$AA$108),"dd mmm yy"))&amp;" "&amp;Milestones!$AB$108&amp;" "&amp;Milestones!$AC$108&amp;";  ","")&amp;IF(AND(EDATE($D86,Milestones!$AA$109)&lt;=AsOfDate,IF($R86=0,$X86,IF(AND($T86&lt;&gt;"",EDATE($D86,Milestones!$AA$109)&gt;=$T86),$W86,IF(AND($S86&lt;&gt;"",EDATE($D86,Milestones!$AA$109)&gt;=$S86),$V86,$U86)))=Milestones!$AB$109),UPPER(TEXT(EDATE($D86,Milestones!$AA$109),"dd mmm yy"))&amp;" "&amp;Milestones!$AB$109&amp;" "&amp;Milestones!$AC$109&amp;";  ","")&amp;IF(AND(EDATE($D86,Milestones!$AA$110)&lt;=AsOfDate,IF($R86=0,$X86,IF(AND($T86&lt;&gt;"",EDATE($D86,Milestones!$AA$110)&gt;=$T86),$W86,IF(AND($S86&lt;&gt;"",EDATE($D86,Milestones!$AA$110)&gt;=$S86),$V86,$U86)))=Milestones!$AB$110),UPPER(TEXT(EDATE($D86,Milestones!$AA$110),"dd mmm yy"))&amp;" "&amp;Milestones!$AB$110&amp;" "&amp;Milestones!$AC$110&amp;";  ","")&amp;IF(AND(EDATE($D86,Milestones!$AA$111)&lt;=AsOfDate,IF($R86=0,$X86,IF(AND($T86&lt;&gt;"",EDATE($D86,Milestones!$AA$111)&gt;=$T86),$W86,IF(AND($S86&lt;&gt;"",EDATE($D86,Milestones!$AA$111)&gt;=$S86),$V86,$U86)))=Milestones!$AB$111),UPPER(TEXT(EDATE($D86,Milestones!$AA$111),"dd mmm yy"))&amp;" "&amp;Milestones!$AB$111&amp;" "&amp;Milestones!$AC$111&amp;";  ","")&amp;IF(AND(EDATE($D86,Milestones!$AA$112)&lt;=AsOfDate,IF($R86=0,$X86,IF(AND($T86&lt;&gt;"",EDATE($D86,Milestones!$AA$112)&gt;=$T86),$W86,IF(AND($S86&lt;&gt;"",EDATE($D86,Milestones!$AA$112)&gt;=$S86),$V86,$U86)))=Milestones!$AB$112),UPPER(TEXT(EDATE($D86,Milestones!$AA$112),"dd mmm yy"))&amp;" "&amp;Milestones!$AB$112&amp;" "&amp;Milestones!$AC$112&amp;";  ","")&amp;IF(AND(EDATE($D86,Milestones!$AA$113)&lt;=AsOfDate,IF($R86=0,$X86,IF(AND($T86&lt;&gt;"",EDATE($D86,Milestones!$AA$113)&gt;=$T86),$W86,IF(AND($S86&lt;&gt;"",EDATE($D86,Milestones!$AA$113)&gt;=$S86),$V86,$U86)))=Milestones!$AB$113),UPPER(TEXT(EDATE($D86,Milestones!$AA$113),"dd mmm yy"))&amp;" "&amp;Milestones!$AB$113&amp;" "&amp;Milestones!$AC$113&amp;";  ","")&amp;IF(AND(EDATE($D86,Milestones!$AA$114)&lt;=AsOfDate,IF($R86=0,$X86,IF(AND($T86&lt;&gt;"",EDATE($D86,Milestones!$AA$114)&gt;=$T86),$W86,IF(AND($S86&lt;&gt;"",EDATE($D86,Milestones!$AA$114)&gt;=$S86),$V86,$U86)))=Milestones!$AB$114),UPPER(TEXT(EDATE($D86,Milestones!$AA$114),"dd mmm yy"))&amp;" "&amp;Milestones!$AB$114&amp;" "&amp;Milestones!$AC$114&amp;";  ","")&amp;IF(AND(EDATE($D86,Milestones!$AA$115)&lt;=AsOfDate,IF($R86=0,$X86,IF(AND($T86&lt;&gt;"",EDATE($D86,Milestones!$AA$115)&gt;=$T86),$W86,IF(AND($S86&lt;&gt;"",EDATE($D86,Milestones!$AA$115)&gt;=$S86),$V86,$U86)))=Milestones!$AB$115),UPPER(TEXT(EDATE($D86,Milestones!$AA$115),"dd mmm yy"))&amp;" "&amp;Milestones!$AB$115&amp;" "&amp;Milestones!$AC$115&amp;";  ","")&amp;IF(AND(EDATE($D86,Milestones!$AA$116)&lt;=AsOfDate,IF($R86=0,$X86,IF(AND($T86&lt;&gt;"",EDATE($D86,Milestones!$AA$116)&gt;=$T86),$W86,IF(AND($S86&lt;&gt;"",EDATE($D86,Milestones!$AA$116)&gt;=$S86),$V86,$U86)))=Milestones!$AB$116),UPPER(TEXT(EDATE($D86,Milestones!$AA$116),"dd mmm yy"))&amp;" "&amp;Milestones!$AB$116&amp;" "&amp;Milestones!$AC$116&amp;";  ","")&amp;IF(AND(EDATE($D86,Milestones!$AA$117)&lt;=AsOfDate,IF($R86=0,$X86,IF(AND($T86&lt;&gt;"",EDATE($D86,Milestones!$AA$117)&gt;=$T86),$W86,IF(AND($S86&lt;&gt;"",EDATE($D86,Milestones!$AA$117)&gt;=$S86),$V86,$U86)))=Milestones!$AB$117),UPPER(TEXT(EDATE($D86,Milestones!$AA$117),"dd mmm yy"))&amp;" "&amp;Milestones!$AB$117&amp;" "&amp;Milestones!$AC$117&amp;";  ","")&amp;IF(AND(EDATE($D86,Milestones!$AA$118)&lt;=AsOfDate,IF($R86=0,$X86,IF(AND($T86&lt;&gt;"",EDATE($D86,Milestones!$AA$118)&gt;=$T86),$W86,IF(AND($S86&lt;&gt;"",EDATE($D86,Milestones!$AA$118)&gt;=$S86),$V86,$U86)))=Milestones!$AB$118),UPPER(TEXT(EDATE($D86,Milestones!$AA$118),"dd mmm yy"))&amp;" "&amp;Milestones!$AB$118&amp;" "&amp;Milestones!$AC$118&amp;";  ","")&amp;IF(AND(EDATE($D86,Milestones!$AA$119)&lt;=AsOfDate,IF($R86=0,$X86,IF(AND($T86&lt;&gt;"",EDATE($D86,Milestones!$AA$119)&gt;=$T86),$W86,IF(AND($S86&lt;&gt;"",EDATE($D86,Milestones!$AA$119)&gt;=$S86),$V86,$U86)))=Milestones!$AB$119),UPPER(TEXT(EDATE($D86,Milestones!$AA$119),"dd mmm yy"))&amp;" "&amp;Milestones!$AB$119&amp;" "&amp;Milestones!$AC$119&amp;";  ",""))</f>
        <v/>
      </c>
      <c r="N86" s="0" t="str">
        <f aca="false">IF(OR($A86="",$D86=""),"",IF(AND(EDATE($D86,Milestones!$AA$120)&lt;=AsOfDate,IF($R86=0,$X86,IF(AND($T86&lt;&gt;"",EDATE($D86,Milestones!$AA$120)&gt;=$T86),$W86,IF(AND($S86&lt;&gt;"",EDATE($D86,Milestones!$AA$120)&gt;=$S86),$V86,$U86)))=Milestones!$AB$120),UPPER(TEXT(EDATE($D86,Milestones!$AA$120),"dd mmm yy"))&amp;" "&amp;Milestones!$AB$120&amp;" "&amp;Milestones!$AC$120&amp;";  ","")&amp;IF(AND(EDATE($D86,Milestones!$AA$121)&lt;=AsOfDate,IF($R86=0,$X86,IF(AND($T86&lt;&gt;"",EDATE($D86,Milestones!$AA$121)&gt;=$T86),$W86,IF(AND($S86&lt;&gt;"",EDATE($D86,Milestones!$AA$121)&gt;=$S86),$V86,$U86)))=Milestones!$AB$121),UPPER(TEXT(EDATE($D86,Milestones!$AA$121),"dd mmm yy"))&amp;" "&amp;Milestones!$AB$121&amp;" "&amp;Milestones!$AC$121&amp;";  ","")&amp;IF(AND(EDATE($D86,Milestones!$AA$122)&lt;=AsOfDate,IF($R86=0,$X86,IF(AND($T86&lt;&gt;"",EDATE($D86,Milestones!$AA$122)&gt;=$T86),$W86,IF(AND($S86&lt;&gt;"",EDATE($D86,Milestones!$AA$122)&gt;=$S86),$V86,$U86)))=Milestones!$AB$122),UPPER(TEXT(EDATE($D86,Milestones!$AA$122),"dd mmm yy"))&amp;" "&amp;Milestones!$AB$122&amp;" "&amp;Milestones!$AC$122&amp;";  ","")&amp;IF(AND(EDATE($D86,Milestones!$AA$123)&lt;=AsOfDate,IF($R86=0,$X86,IF(AND($T86&lt;&gt;"",EDATE($D86,Milestones!$AA$123)&gt;=$T86),$W86,IF(AND($S86&lt;&gt;"",EDATE($D86,Milestones!$AA$123)&gt;=$S86),$V86,$U86)))=Milestones!$AB$123),UPPER(TEXT(EDATE($D86,Milestones!$AA$123),"dd mmm yy"))&amp;" "&amp;Milestones!$AB$123&amp;" "&amp;Milestones!$AC$123&amp;";  ","")&amp;IF(AND(EDATE($D86,Milestones!$AA$124)&lt;=AsOfDate,IF($R86=0,$X86,IF(AND($T86&lt;&gt;"",EDATE($D86,Milestones!$AA$124)&gt;=$T86),$W86,IF(AND($S86&lt;&gt;"",EDATE($D86,Milestones!$AA$124)&gt;=$S86),$V86,$U86)))=Milestones!$AB$124),UPPER(TEXT(EDATE($D86,Milestones!$AA$124),"dd mmm yy"))&amp;" "&amp;Milestones!$AB$124&amp;" "&amp;Milestones!$AC$124&amp;";  ","")&amp;IF(AND(EDATE($D86,Milestones!$AA$125)&lt;=AsOfDate,IF($R86=0,$X86,IF(AND($T86&lt;&gt;"",EDATE($D86,Milestones!$AA$125)&gt;=$T86),$W86,IF(AND($S86&lt;&gt;"",EDATE($D86,Milestones!$AA$125)&gt;=$S86),$V86,$U86)))=Milestones!$AB$125),UPPER(TEXT(EDATE($D86,Milestones!$AA$125),"dd mmm yy"))&amp;" "&amp;Milestones!$AB$125&amp;" "&amp;Milestones!$AC$125&amp;";  ","")&amp;IF(AND(EDATE($D86,Milestones!$AA$126)&lt;=AsOfDate,IF($R86=0,$X86,IF(AND($T86&lt;&gt;"",EDATE($D86,Milestones!$AA$126)&gt;=$T86),$W86,IF(AND($S86&lt;&gt;"",EDATE($D86,Milestones!$AA$126)&gt;=$S86),$V86,$U86)))=Milestones!$AB$126),UPPER(TEXT(EDATE($D86,Milestones!$AA$126),"dd mmm yy"))&amp;" "&amp;Milestones!$AB$126&amp;" "&amp;Milestones!$AC$126&amp;";  ","")&amp;IF(AND(EDATE($D86,Milestones!$AA$127)&lt;=AsOfDate,IF($R86=0,$X86,IF(AND($T86&lt;&gt;"",EDATE($D86,Milestones!$AA$127)&gt;=$T86),$W86,IF(AND($S86&lt;&gt;"",EDATE($D86,Milestones!$AA$127)&gt;=$S86),$V86,$U86)))=Milestones!$AB$127),UPPER(TEXT(EDATE($D86,Milestones!$AA$127),"dd mmm yy"))&amp;" "&amp;Milestones!$AB$127&amp;" "&amp;Milestones!$AC$127&amp;";  ","")&amp;IF(AND(EDATE($D86,Milestones!$AA$128)&lt;=AsOfDate,IF($R86=0,$X86,IF(AND($T86&lt;&gt;"",EDATE($D86,Milestones!$AA$128)&gt;=$T86),$W86,IF(AND($S86&lt;&gt;"",EDATE($D86,Milestones!$AA$128)&gt;=$S86),$V86,$U86)))=Milestones!$AB$128),UPPER(TEXT(EDATE($D86,Milestones!$AA$128),"dd mmm yy"))&amp;" "&amp;Milestones!$AB$128&amp;" "&amp;Milestones!$AC$128&amp;";  ","")&amp;IF(AND(EDATE($D86,Milestones!$AA$129)&lt;=AsOfDate,IF($R86=0,$X86,IF(AND($T86&lt;&gt;"",EDATE($D86,Milestones!$AA$129)&gt;=$T86),$W86,IF(AND($S86&lt;&gt;"",EDATE($D86,Milestones!$AA$129)&gt;=$S86),$V86,$U86)))=Milestones!$AB$129),UPPER(TEXT(EDATE($D86,Milestones!$AA$129),"dd mmm yy"))&amp;" "&amp;Milestones!$AB$129&amp;" "&amp;Milestones!$AC$129&amp;";  ","")&amp;IF(AND(EDATE($D86,Milestones!$AA$130)&lt;=AsOfDate,IF($R86=0,$X86,IF(AND($T86&lt;&gt;"",EDATE($D86,Milestones!$AA$130)&gt;=$T86),$W86,IF(AND($S86&lt;&gt;"",EDATE($D86,Milestones!$AA$130)&gt;=$S86),$V86,$U86)))=Milestones!$AB$130),UPPER(TEXT(EDATE($D86,Milestones!$AA$130),"dd mmm yy"))&amp;" "&amp;Milestones!$AB$130&amp;" "&amp;Milestones!$AC$130&amp;";  ","")&amp;IF(AND(EDATE($D86,Milestones!$AA$131)&lt;=AsOfDate,IF($R86=0,$X86,IF(AND($T86&lt;&gt;"",EDATE($D86,Milestones!$AA$131)&gt;=$T86),$W86,IF(AND($S86&lt;&gt;"",EDATE($D86,Milestones!$AA$131)&gt;=$S86),$V86,$U86)))=Milestones!$AB$131),UPPER(TEXT(EDATE($D86,Milestones!$AA$131),"dd mmm yy"))&amp;" "&amp;Milestones!$AB$131&amp;" "&amp;Milestones!$AC$131&amp;";  ","")&amp;IF(AND(EDATE($D86,Milestones!$AA$132)&lt;=AsOfDate,IF($R86=0,$X86,IF(AND($T86&lt;&gt;"",EDATE($D86,Milestones!$AA$132)&gt;=$T86),$W86,IF(AND($S86&lt;&gt;"",EDATE($D86,Milestones!$AA$132)&gt;=$S86),$V86,$U86)))=Milestones!$AB$132),UPPER(TEXT(EDATE($D86,Milestones!$AA$132),"dd mmm yy"))&amp;" "&amp;Milestones!$AB$132&amp;" "&amp;Milestones!$AC$132&amp;";  ","")&amp;IF(AND(EDATE($D86,Milestones!$AA$133)&lt;=AsOfDate,IF($R86=0,$X86,IF(AND($T86&lt;&gt;"",EDATE($D86,Milestones!$AA$133)&gt;=$T86),$W86,IF(AND($S86&lt;&gt;"",EDATE($D86,Milestones!$AA$133)&gt;=$S86),$V86,$U86)))=Milestones!$AB$133),UPPER(TEXT(EDATE($D86,Milestones!$AA$133),"dd mmm yy"))&amp;" "&amp;Milestones!$AB$133&amp;" "&amp;Milestones!$AC$133&amp;";  ","")&amp;IF(AND(EDATE($D86,Milestones!$AA$134)&lt;=AsOfDate,IF($R86=0,$X86,IF(AND($T86&lt;&gt;"",EDATE($D86,Milestones!$AA$134)&gt;=$T86),$W86,IF(AND($S86&lt;&gt;"",EDATE($D86,Milestones!$AA$134)&gt;=$S86),$V86,$U86)))=Milestones!$AB$134),UPPER(TEXT(EDATE($D86,Milestones!$AA$134),"dd mmm yy"))&amp;" "&amp;Milestones!$AB$134&amp;" "&amp;Milestones!$AC$134&amp;";  ","")&amp;IF(AND(EDATE($D86,Milestones!$AA$135)&lt;=AsOfDate,IF($R86=0,$X86,IF(AND($T86&lt;&gt;"",EDATE($D86,Milestones!$AA$135)&gt;=$T86),$W86,IF(AND($S86&lt;&gt;"",EDATE($D86,Milestones!$AA$135)&gt;=$S86),$V86,$U86)))=Milestones!$AB$135),UPPER(TEXT(EDATE($D86,Milestones!$AA$135),"dd mmm yy"))&amp;" "&amp;Milestones!$AB$135&amp;" "&amp;Milestones!$AC$135&amp;";  ","")&amp;IF(AND(EDATE($D86,Milestones!$AA$136)&lt;=AsOfDate,IF($R86=0,$X86,IF(AND($T86&lt;&gt;"",EDATE($D86,Milestones!$AA$136)&gt;=$T86),$W86,IF(AND($S86&lt;&gt;"",EDATE($D86,Milestones!$AA$136)&gt;=$S86),$V86,$U86)))=Milestones!$AB$136),UPPER(TEXT(EDATE($D86,Milestones!$AA$136),"dd mmm yy"))&amp;" "&amp;Milestones!$AB$136&amp;" "&amp;Milestones!$AC$136&amp;";  ","")&amp;IF(AND(EDATE($D86,Milestones!$AA$137)&lt;=AsOfDate,IF($R86=0,$X86,IF(AND($T86&lt;&gt;"",EDATE($D86,Milestones!$AA$137)&gt;=$T86),$W86,IF(AND($S86&lt;&gt;"",EDATE($D86,Milestones!$AA$137)&gt;=$S86),$V86,$U86)))=Milestones!$AB$137),UPPER(TEXT(EDATE($D86,Milestones!$AA$137),"dd mmm yy"))&amp;" "&amp;Milestones!$AB$137&amp;" "&amp;Milestones!$AC$137&amp;";  ","")&amp;IF(AND(EDATE($D86,Milestones!$AA$138)&lt;=AsOfDate,IF($R86=0,$X86,IF(AND($T86&lt;&gt;"",EDATE($D86,Milestones!$AA$138)&gt;=$T86),$W86,IF(AND($S86&lt;&gt;"",EDATE($D86,Milestones!$AA$138)&gt;=$S86),$V86,$U86)))=Milestones!$AB$138),UPPER(TEXT(EDATE($D86,Milestones!$AA$138),"dd mmm yy"))&amp;" "&amp;Milestones!$AB$138&amp;" "&amp;Milestones!$AC$138&amp;";  ","")&amp;IF(AND(EDATE($D86,Milestones!$AA$139)&lt;=AsOfDate,IF($R86=0,$X86,IF(AND($T86&lt;&gt;"",EDATE($D86,Milestones!$AA$139)&gt;=$T86),$W86,IF(AND($S86&lt;&gt;"",EDATE($D86,Milestones!$AA$139)&gt;=$S86),$V86,$U86)))=Milestones!$AB$139),UPPER(TEXT(EDATE($D86,Milestones!$AA$139),"dd mmm yy"))&amp;" "&amp;Milestones!$AB$139&amp;" "&amp;Milestones!$AC$139&amp;";  ",""))</f>
        <v/>
      </c>
      <c r="O86" s="0" t="str">
        <f aca="false">IF(OR($A86="",$D86=""),"",IF(AND(EDATE($D86,Milestones!$AA$140)&lt;=AsOfDate,IF($R86=0,$X86,IF(AND($T86&lt;&gt;"",EDATE($D86,Milestones!$AA$140)&gt;=$T86),$W86,IF(AND($S86&lt;&gt;"",EDATE($D86,Milestones!$AA$140)&gt;=$S86),$V86,$U86)))=Milestones!$AB$140),UPPER(TEXT(EDATE($D86,Milestones!$AA$140),"dd mmm yy"))&amp;" "&amp;Milestones!$AB$140&amp;" "&amp;Milestones!$AC$140&amp;";  ","")&amp;IF(AND(EDATE($D86,Milestones!$AA$141)&lt;=AsOfDate,IF($R86=0,$X86,IF(AND($T86&lt;&gt;"",EDATE($D86,Milestones!$AA$141)&gt;=$T86),$W86,IF(AND($S86&lt;&gt;"",EDATE($D86,Milestones!$AA$141)&gt;=$S86),$V86,$U86)))=Milestones!$AB$141),UPPER(TEXT(EDATE($D86,Milestones!$AA$141),"dd mmm yy"))&amp;" "&amp;Milestones!$AB$141&amp;" "&amp;Milestones!$AC$141&amp;";  ","")&amp;IF(AND(EDATE($D86,Milestones!$AA$142)&lt;=AsOfDate,IF($R86=0,$X86,IF(AND($T86&lt;&gt;"",EDATE($D86,Milestones!$AA$142)&gt;=$T86),$W86,IF(AND($S86&lt;&gt;"",EDATE($D86,Milestones!$AA$142)&gt;=$S86),$V86,$U86)))=Milestones!$AB$142),UPPER(TEXT(EDATE($D86,Milestones!$AA$142),"dd mmm yy"))&amp;" "&amp;Milestones!$AB$142&amp;" "&amp;Milestones!$AC$142&amp;";  ","")&amp;IF(AND(EDATE($D86,Milestones!$AA$143)&lt;=AsOfDate,IF($R86=0,$X86,IF(AND($T86&lt;&gt;"",EDATE($D86,Milestones!$AA$143)&gt;=$T86),$W86,IF(AND($S86&lt;&gt;"",EDATE($D86,Milestones!$AA$143)&gt;=$S86),$V86,$U86)))=Milestones!$AB$143),UPPER(TEXT(EDATE($D86,Milestones!$AA$143),"dd mmm yy"))&amp;" "&amp;Milestones!$AB$143&amp;" "&amp;Milestones!$AC$143&amp;";  ","")&amp;IF(AND(EDATE($D86,Milestones!$AA$144)&lt;=AsOfDate,IF($R86=0,$X86,IF(AND($T86&lt;&gt;"",EDATE($D86,Milestones!$AA$144)&gt;=$T86),$W86,IF(AND($S86&lt;&gt;"",EDATE($D86,Milestones!$AA$144)&gt;=$S86),$V86,$U86)))=Milestones!$AB$144),UPPER(TEXT(EDATE($D86,Milestones!$AA$144),"dd mmm yy"))&amp;" "&amp;Milestones!$AB$144&amp;" "&amp;Milestones!$AC$144&amp;";  ","")&amp;IF(AND(EDATE($D86,Milestones!$AA$145)&lt;=AsOfDate,IF($R86=0,$X86,IF(AND($T86&lt;&gt;"",EDATE($D86,Milestones!$AA$145)&gt;=$T86),$W86,IF(AND($S86&lt;&gt;"",EDATE($D86,Milestones!$AA$145)&gt;=$S86),$V86,$U86)))=Milestones!$AB$145),UPPER(TEXT(EDATE($D86,Milestones!$AA$145),"dd mmm yy"))&amp;" "&amp;Milestones!$AB$145&amp;" "&amp;Milestones!$AC$145&amp;";  ","")&amp;IF(AND(EDATE($D86,Milestones!$AA$146)&lt;=AsOfDate,IF($R86=0,$X86,IF(AND($T86&lt;&gt;"",EDATE($D86,Milestones!$AA$146)&gt;=$T86),$W86,IF(AND($S86&lt;&gt;"",EDATE($D86,Milestones!$AA$146)&gt;=$S86),$V86,$U86)))=Milestones!$AB$146),UPPER(TEXT(EDATE($D86,Milestones!$AA$146),"dd mmm yy"))&amp;" "&amp;Milestones!$AB$146&amp;" "&amp;Milestones!$AC$146&amp;";  ","")&amp;IF(AND(EDATE($D86,Milestones!$AA$147)&lt;=AsOfDate,IF($R86=0,$X86,IF(AND($T86&lt;&gt;"",EDATE($D86,Milestones!$AA$147)&gt;=$T86),$W86,IF(AND($S86&lt;&gt;"",EDATE($D86,Milestones!$AA$147)&gt;=$S86),$V86,$U86)))=Milestones!$AB$147),UPPER(TEXT(EDATE($D86,Milestones!$AA$147),"dd mmm yy"))&amp;" "&amp;Milestones!$AB$147&amp;" "&amp;Milestones!$AC$147&amp;";  ","")&amp;IF(AND(EDATE($D86,Milestones!$AA$148)&lt;=AsOfDate,IF($R86=0,$X86,IF(AND($T86&lt;&gt;"",EDATE($D86,Milestones!$AA$148)&gt;=$T86),$W86,IF(AND($S86&lt;&gt;"",EDATE($D86,Milestones!$AA$148)&gt;=$S86),$V86,$U86)))=Milestones!$AB$148),UPPER(TEXT(EDATE($D86,Milestones!$AA$148),"dd mmm yy"))&amp;" "&amp;Milestones!$AB$148&amp;" "&amp;Milestones!$AC$148&amp;";  ","")&amp;IF(AND(EDATE($D86,Milestones!$AA$149)&lt;=AsOfDate,IF($R86=0,$X86,IF(AND($T86&lt;&gt;"",EDATE($D86,Milestones!$AA$149)&gt;=$T86),$W86,IF(AND($S86&lt;&gt;"",EDATE($D86,Milestones!$AA$149)&gt;=$S86),$V86,$U86)))=Milestones!$AB$149),UPPER(TEXT(EDATE($D86,Milestones!$AA$149),"dd mmm yy"))&amp;" "&amp;Milestones!$AB$149&amp;" "&amp;Milestones!$AC$149&amp;";  ","")&amp;IF(AND(EDATE($D86,Milestones!$AA$150)&lt;=AsOfDate,IF($R86=0,$X86,IF(AND($T86&lt;&gt;"",EDATE($D86,Milestones!$AA$150)&gt;=$T86),$W86,IF(AND($S86&lt;&gt;"",EDATE($D86,Milestones!$AA$150)&gt;=$S86),$V86,$U86)))=Milestones!$AB$150),UPPER(TEXT(EDATE($D86,Milestones!$AA$150),"dd mmm yy"))&amp;" "&amp;Milestones!$AB$150&amp;" "&amp;Milestones!$AC$150&amp;";  ","")&amp;IF(AND(EDATE($D86,Milestones!$AA$151)&lt;=AsOfDate,IF($R86=0,$X86,IF(AND($T86&lt;&gt;"",EDATE($D86,Milestones!$AA$151)&gt;=$T86),$W86,IF(AND($S86&lt;&gt;"",EDATE($D86,Milestones!$AA$151)&gt;=$S86),$V86,$U86)))=Milestones!$AB$151),UPPER(TEXT(EDATE($D86,Milestones!$AA$151),"dd mmm yy"))&amp;" "&amp;Milestones!$AB$151&amp;" "&amp;Milestones!$AC$151&amp;";  ","")&amp;IF(AND(EDATE($D86,Milestones!$AA$152)&lt;=AsOfDate,IF($R86=0,$X86,IF(AND($T86&lt;&gt;"",EDATE($D86,Milestones!$AA$152)&gt;=$T86),$W86,IF(AND($S86&lt;&gt;"",EDATE($D86,Milestones!$AA$152)&gt;=$S86),$V86,$U86)))=Milestones!$AB$152),UPPER(TEXT(EDATE($D86,Milestones!$AA$152),"dd mmm yy"))&amp;" "&amp;Milestones!$AB$152&amp;" "&amp;Milestones!$AC$152&amp;";  ","")&amp;IF(AND(EDATE($D86,Milestones!$AA$153)&lt;=AsOfDate,IF($R86=0,$X86,IF(AND($T86&lt;&gt;"",EDATE($D86,Milestones!$AA$153)&gt;=$T86),$W86,IF(AND($S86&lt;&gt;"",EDATE($D86,Milestones!$AA$153)&gt;=$S86),$V86,$U86)))=Milestones!$AB$153),UPPER(TEXT(EDATE($D86,Milestones!$AA$153),"dd mmm yy"))&amp;" "&amp;Milestones!$AB$153&amp;" "&amp;Milestones!$AC$153&amp;";  ","")&amp;IF(AND(EDATE($D86,Milestones!$AA$154)&lt;=AsOfDate,IF($R86=0,$X86,IF(AND($T86&lt;&gt;"",EDATE($D86,Milestones!$AA$154)&gt;=$T86),$W86,IF(AND($S86&lt;&gt;"",EDATE($D86,Milestones!$AA$154)&gt;=$S86),$V86,$U86)))=Milestones!$AB$154),UPPER(TEXT(EDATE($D86,Milestones!$AA$154),"dd mmm yy"))&amp;" "&amp;Milestones!$AB$154&amp;" "&amp;Milestones!$AC$154&amp;";  ","")&amp;IF(AND(EDATE($D86,Milestones!$AA$155)&lt;=AsOfDate,IF($R86=0,$X86,IF(AND($T86&lt;&gt;"",EDATE($D86,Milestones!$AA$155)&gt;=$T86),$W86,IF(AND($S86&lt;&gt;"",EDATE($D86,Milestones!$AA$155)&gt;=$S86),$V86,$U86)))=Milestones!$AB$155),UPPER(TEXT(EDATE($D86,Milestones!$AA$155),"dd mmm yy"))&amp;" "&amp;Milestones!$AB$155&amp;" "&amp;Milestones!$AC$155&amp;";  ","")&amp;IF(AND(EDATE($D86,Milestones!$AA$156)&lt;=AsOfDate,IF($R86=0,$X86,IF(AND($T86&lt;&gt;"",EDATE($D86,Milestones!$AA$156)&gt;=$T86),$W86,IF(AND($S86&lt;&gt;"",EDATE($D86,Milestones!$AA$156)&gt;=$S86),$V86,$U86)))=Milestones!$AB$156),UPPER(TEXT(EDATE($D86,Milestones!$AA$156),"dd mmm yy"))&amp;" "&amp;Milestones!$AB$156&amp;" "&amp;Milestones!$AC$156&amp;";  ","")&amp;IF(AND(EDATE($D86,Milestones!$AA$157)&lt;=AsOfDate,IF($R86=0,$X86,IF(AND($T86&lt;&gt;"",EDATE($D86,Milestones!$AA$157)&gt;=$T86),$W86,IF(AND($S86&lt;&gt;"",EDATE($D86,Milestones!$AA$157)&gt;=$S86),$V86,$U86)))=Milestones!$AB$157),UPPER(TEXT(EDATE($D86,Milestones!$AA$157),"dd mmm yy"))&amp;" "&amp;Milestones!$AB$157&amp;" "&amp;Milestones!$AC$157&amp;";  ","")&amp;IF(AND(EDATE($D86,Milestones!$AA$158)&lt;=AsOfDate,IF($R86=0,$X86,IF(AND($T86&lt;&gt;"",EDATE($D86,Milestones!$AA$158)&gt;=$T86),$W86,IF(AND($S86&lt;&gt;"",EDATE($D86,Milestones!$AA$158)&gt;=$S86),$V86,$U86)))=Milestones!$AB$158),UPPER(TEXT(EDATE($D86,Milestones!$AA$158),"dd mmm yy"))&amp;" "&amp;Milestones!$AB$158&amp;" "&amp;Milestones!$AC$158&amp;";  ","")&amp;IF(AND(EDATE($D86,Milestones!$AA$159)&lt;=AsOfDate,IF($R86=0,$X86,IF(AND($T86&lt;&gt;"",EDATE($D86,Milestones!$AA$159)&gt;=$T86),$W86,IF(AND($S86&lt;&gt;"",EDATE($D86,Milestones!$AA$159)&gt;=$S86),$V86,$U86)))=Milestones!$AB$159),UPPER(TEXT(EDATE($D86,Milestones!$AA$159),"dd mmm yy"))&amp;" "&amp;Milestones!$AB$159&amp;" "&amp;Milestones!$AC$159&amp;";  ",""))</f>
        <v/>
      </c>
      <c r="P86" s="0" t="str">
        <f aca="false">IF(OR($A86="",$D86=""),"",IF(AND(EDATE($D86,Milestones!$AA$160)&lt;=AsOfDate,IF($R86=0,$X86,IF(AND($T86&lt;&gt;"",EDATE($D86,Milestones!$AA$160)&gt;=$T86),$W86,IF(AND($S86&lt;&gt;"",EDATE($D86,Milestones!$AA$160)&gt;=$S86),$V86,$U86)))=Milestones!$AB$160),UPPER(TEXT(EDATE($D86,Milestones!$AA$160),"dd mmm yy"))&amp;" "&amp;Milestones!$AB$160&amp;" "&amp;Milestones!$AC$160&amp;";  ","")&amp;IF(AND(EDATE($D86,Milestones!$AA$161)&lt;=AsOfDate,IF($R86=0,$X86,IF(AND($T86&lt;&gt;"",EDATE($D86,Milestones!$AA$161)&gt;=$T86),$W86,IF(AND($S86&lt;&gt;"",EDATE($D86,Milestones!$AA$161)&gt;=$S86),$V86,$U86)))=Milestones!$AB$161),UPPER(TEXT(EDATE($D86,Milestones!$AA$161),"dd mmm yy"))&amp;" "&amp;Milestones!$AB$161&amp;" "&amp;Milestones!$AC$161&amp;";  ","")&amp;IF(AND(EDATE($D86,Milestones!$AA$162)&lt;=AsOfDate,IF($R86=0,$X86,IF(AND($T86&lt;&gt;"",EDATE($D86,Milestones!$AA$162)&gt;=$T86),$W86,IF(AND($S86&lt;&gt;"",EDATE($D86,Milestones!$AA$162)&gt;=$S86),$V86,$U86)))=Milestones!$AB$162),UPPER(TEXT(EDATE($D86,Milestones!$AA$162),"dd mmm yy"))&amp;" "&amp;Milestones!$AB$162&amp;" "&amp;Milestones!$AC$162&amp;";  ","")&amp;IF(AND(EDATE($D86,Milestones!$AA$163)&lt;=AsOfDate,IF($R86=0,$X86,IF(AND($T86&lt;&gt;"",EDATE($D86,Milestones!$AA$163)&gt;=$T86),$W86,IF(AND($S86&lt;&gt;"",EDATE($D86,Milestones!$AA$163)&gt;=$S86),$V86,$U86)))=Milestones!$AB$163),UPPER(TEXT(EDATE($D86,Milestones!$AA$163),"dd mmm yy"))&amp;" "&amp;Milestones!$AB$163&amp;" "&amp;Milestones!$AC$163&amp;";  ","")&amp;IF(AND(EDATE($D86,Milestones!$AA$164)&lt;=AsOfDate,IF($R86=0,$X86,IF(AND($T86&lt;&gt;"",EDATE($D86,Milestones!$AA$164)&gt;=$T86),$W86,IF(AND($S86&lt;&gt;"",EDATE($D86,Milestones!$AA$164)&gt;=$S86),$V86,$U86)))=Milestones!$AB$164),UPPER(TEXT(EDATE($D86,Milestones!$AA$164),"dd mmm yy"))&amp;" "&amp;Milestones!$AB$164&amp;" "&amp;Milestones!$AC$164&amp;";  ","")&amp;IF(AND(EDATE($D86,Milestones!$AA$165)&lt;=AsOfDate,IF($R86=0,$X86,IF(AND($T86&lt;&gt;"",EDATE($D86,Milestones!$AA$165)&gt;=$T86),$W86,IF(AND($S86&lt;&gt;"",EDATE($D86,Milestones!$AA$165)&gt;=$S86),$V86,$U86)))=Milestones!$AB$165),UPPER(TEXT(EDATE($D86,Milestones!$AA$165),"dd mmm yy"))&amp;" "&amp;Milestones!$AB$165&amp;" "&amp;Milestones!$AC$165&amp;";  ","")&amp;IF(AND(EDATE($D86,Milestones!$AA$166)&lt;=AsOfDate,IF($R86=0,$X86,IF(AND($T86&lt;&gt;"",EDATE($D86,Milestones!$AA$166)&gt;=$T86),$W86,IF(AND($S86&lt;&gt;"",EDATE($D86,Milestones!$AA$166)&gt;=$S86),$V86,$U86)))=Milestones!$AB$166),UPPER(TEXT(EDATE($D86,Milestones!$AA$166),"dd mmm yy"))&amp;" "&amp;Milestones!$AB$166&amp;" "&amp;Milestones!$AC$166&amp;";  ","")&amp;IF(AND(EDATE($D86,Milestones!$AA$167)&lt;=AsOfDate,IF($R86=0,$X86,IF(AND($T86&lt;&gt;"",EDATE($D86,Milestones!$AA$167)&gt;=$T86),$W86,IF(AND($S86&lt;&gt;"",EDATE($D86,Milestones!$AA$167)&gt;=$S86),$V86,$U86)))=Milestones!$AB$167),UPPER(TEXT(EDATE($D86,Milestones!$AA$167),"dd mmm yy"))&amp;" "&amp;Milestones!$AB$167&amp;" "&amp;Milestones!$AC$167&amp;";  ","")&amp;IF(AND(EDATE($D86,Milestones!$AA$168)&lt;=AsOfDate,IF($R86=0,$X86,IF(AND($T86&lt;&gt;"",EDATE($D86,Milestones!$AA$168)&gt;=$T86),$W86,IF(AND($S86&lt;&gt;"",EDATE($D86,Milestones!$AA$168)&gt;=$S86),$V86,$U86)))=Milestones!$AB$168),UPPER(TEXT(EDATE($D86,Milestones!$AA$168),"dd mmm yy"))&amp;" "&amp;Milestones!$AB$168&amp;" "&amp;Milestones!$AC$168&amp;";  ","")&amp;IF(AND(EDATE($D86,Milestones!$AA$169)&lt;=AsOfDate,IF($R86=0,$X86,IF(AND($T86&lt;&gt;"",EDATE($D86,Milestones!$AA$169)&gt;=$T86),$W86,IF(AND($S86&lt;&gt;"",EDATE($D86,Milestones!$AA$169)&gt;=$S86),$V86,$U86)))=Milestones!$AB$169),UPPER(TEXT(EDATE($D86,Milestones!$AA$169),"dd mmm yy"))&amp;" "&amp;Milestones!$AB$169&amp;" "&amp;Milestones!$AC$169&amp;";  ","")&amp;IF(AND(EDATE($D86,Milestones!$AA$170)&lt;=AsOfDate,IF($R86=0,$X86,IF(AND($T86&lt;&gt;"",EDATE($D86,Milestones!$AA$170)&gt;=$T86),$W86,IF(AND($S86&lt;&gt;"",EDATE($D86,Milestones!$AA$170)&gt;=$S86),$V86,$U86)))=Milestones!$AB$170),UPPER(TEXT(EDATE($D86,Milestones!$AA$170),"dd mmm yy"))&amp;" "&amp;Milestones!$AB$170&amp;" "&amp;Milestones!$AC$170&amp;";  ","")&amp;IF(AND(EDATE($D86,Milestones!$AA$171)&lt;=AsOfDate,IF($R86=0,$X86,IF(AND($T86&lt;&gt;"",EDATE($D86,Milestones!$AA$171)&gt;=$T86),$W86,IF(AND($S86&lt;&gt;"",EDATE($D86,Milestones!$AA$171)&gt;=$S86),$V86,$U86)))=Milestones!$AB$171),UPPER(TEXT(EDATE($D86,Milestones!$AA$171),"dd mmm yy"))&amp;" "&amp;Milestones!$AB$171&amp;" "&amp;Milestones!$AC$171&amp;";  ","")&amp;IF(AND(EDATE($D86,Milestones!$AA$172)&lt;=AsOfDate,IF($R86=0,$X86,IF(AND($T86&lt;&gt;"",EDATE($D86,Milestones!$AA$172)&gt;=$T86),$W86,IF(AND($S86&lt;&gt;"",EDATE($D86,Milestones!$AA$172)&gt;=$S86),$V86,$U86)))=Milestones!$AB$172),UPPER(TEXT(EDATE($D86,Milestones!$AA$172),"dd mmm yy"))&amp;" "&amp;Milestones!$AB$172&amp;" "&amp;Milestones!$AC$172&amp;";  ","")&amp;IF(AND(EDATE($D86,Milestones!$AA$173)&lt;=AsOfDate,IF($R86=0,$X86,IF(AND($T86&lt;&gt;"",EDATE($D86,Milestones!$AA$173)&gt;=$T86),$W86,IF(AND($S86&lt;&gt;"",EDATE($D86,Milestones!$AA$173)&gt;=$S86),$V86,$U86)))=Milestones!$AB$173),UPPER(TEXT(EDATE($D86,Milestones!$AA$173),"dd mmm yy"))&amp;" "&amp;Milestones!$AB$173&amp;" "&amp;Milestones!$AC$173&amp;";  ","")&amp;IF(AND(EDATE($D86,Milestones!$AA$174)&lt;=AsOfDate,IF($R86=0,$X86,IF(AND($T86&lt;&gt;"",EDATE($D86,Milestones!$AA$174)&gt;=$T86),$W86,IF(AND($S86&lt;&gt;"",EDATE($D86,Milestones!$AA$174)&gt;=$S86),$V86,$U86)))=Milestones!$AB$174),UPPER(TEXT(EDATE($D86,Milestones!$AA$174),"dd mmm yy"))&amp;" "&amp;Milestones!$AB$174&amp;" "&amp;Milestones!$AC$174&amp;";  ","")&amp;IF(AND(EDATE($D86,Milestones!$AA$175)&lt;=AsOfDate,IF($R86=0,$X86,IF(AND($T86&lt;&gt;"",EDATE($D86,Milestones!$AA$175)&gt;=$T86),$W86,IF(AND($S86&lt;&gt;"",EDATE($D86,Milestones!$AA$175)&gt;=$S86),$V86,$U86)))=Milestones!$AB$175),UPPER(TEXT(EDATE($D86,Milestones!$AA$175),"dd mmm yy"))&amp;" "&amp;Milestones!$AB$175&amp;" "&amp;Milestones!$AC$175&amp;";  ","")&amp;IF(AND(EDATE($D86,Milestones!$AA$176)&lt;=AsOfDate,IF($R86=0,$X86,IF(AND($T86&lt;&gt;"",EDATE($D86,Milestones!$AA$176)&gt;=$T86),$W86,IF(AND($S86&lt;&gt;"",EDATE($D86,Milestones!$AA$176)&gt;=$S86),$V86,$U86)))=Milestones!$AB$176),UPPER(TEXT(EDATE($D86,Milestones!$AA$176),"dd mmm yy"))&amp;" "&amp;Milestones!$AB$176&amp;" "&amp;Milestones!$AC$176&amp;";  ","")&amp;IF(AND(EDATE($D86,Milestones!$AA$177)&lt;=AsOfDate,IF($R86=0,$X86,IF(AND($T86&lt;&gt;"",EDATE($D86,Milestones!$AA$177)&gt;=$T86),$W86,IF(AND($S86&lt;&gt;"",EDATE($D86,Milestones!$AA$177)&gt;=$S86),$V86,$U86)))=Milestones!$AB$177),UPPER(TEXT(EDATE($D86,Milestones!$AA$177),"dd mmm yy"))&amp;" "&amp;Milestones!$AB$177&amp;" "&amp;Milestones!$AC$177&amp;";  ","")&amp;IF(AND(EDATE($D86,Milestones!$AA$178)&lt;=AsOfDate,IF($R86=0,$X86,IF(AND($T86&lt;&gt;"",EDATE($D86,Milestones!$AA$178)&gt;=$T86),$W86,IF(AND($S86&lt;&gt;"",EDATE($D86,Milestones!$AA$178)&gt;=$S86),$V86,$U86)))=Milestones!$AB$178),UPPER(TEXT(EDATE($D86,Milestones!$AA$178),"dd mmm yy"))&amp;" "&amp;Milestones!$AB$178&amp;" "&amp;Milestones!$AC$178&amp;";  ","")&amp;IF(AND(EDATE($D86,Milestones!$AA$179)&lt;=AsOfDate,IF($R86=0,$X86,IF(AND($T86&lt;&gt;"",EDATE($D86,Milestones!$AA$179)&gt;=$T86),$W86,IF(AND($S86&lt;&gt;"",EDATE($D86,Milestones!$AA$179)&gt;=$S86),$V86,$U86)))=Milestones!$AB$179),UPPER(TEXT(EDATE($D86,Milestones!$AA$179),"dd mmm yy"))&amp;" "&amp;Milestones!$AB$179&amp;" "&amp;Milestones!$AC$179&amp;";  ",""))</f>
        <v/>
      </c>
      <c r="Q86" s="0" t="str">
        <f aca="false">IF(OR($A86="",$D86=""),"",IF(AND(EDATE($D86,Milestones!$AA$180)&lt;=AsOfDate,IF($R86=0,$X86,IF(AND($T86&lt;&gt;"",EDATE($D86,Milestones!$AA$180)&gt;=$T86),$W86,IF(AND($S86&lt;&gt;"",EDATE($D86,Milestones!$AA$180)&gt;=$S86),$V86,$U86)))=Milestones!$AB$180),UPPER(TEXT(EDATE($D86,Milestones!$AA$180),"dd mmm yy"))&amp;" "&amp;Milestones!$AB$180&amp;" "&amp;Milestones!$AC$180&amp;";  ","")&amp;IF(AND(EDATE($D86,Milestones!$AA$181)&lt;=AsOfDate,IF($R86=0,$X86,IF(AND($T86&lt;&gt;"",EDATE($D86,Milestones!$AA$181)&gt;=$T86),$W86,IF(AND($S86&lt;&gt;"",EDATE($D86,Milestones!$AA$181)&gt;=$S86),$V86,$U86)))=Milestones!$AB$181),UPPER(TEXT(EDATE($D86,Milestones!$AA$181),"dd mmm yy"))&amp;" "&amp;Milestones!$AB$181&amp;" "&amp;Milestones!$AC$181&amp;";  ","")&amp;IF(AND(EDATE($D86,Milestones!$AA$182)&lt;=AsOfDate,IF($R86=0,$X86,IF(AND($T86&lt;&gt;"",EDATE($D86,Milestones!$AA$182)&gt;=$T86),$W86,IF(AND($S86&lt;&gt;"",EDATE($D86,Milestones!$AA$182)&gt;=$S86),$V86,$U86)))=Milestones!$AB$182),UPPER(TEXT(EDATE($D86,Milestones!$AA$182),"dd mmm yy"))&amp;" "&amp;Milestones!$AB$182&amp;" "&amp;Milestones!$AC$182&amp;";  ","")&amp;IF(AND(EDATE($D86,Milestones!$AA$183)&lt;=AsOfDate,IF($R86=0,$X86,IF(AND($T86&lt;&gt;"",EDATE($D86,Milestones!$AA$183)&gt;=$T86),$W86,IF(AND($S86&lt;&gt;"",EDATE($D86,Milestones!$AA$183)&gt;=$S86),$V86,$U86)))=Milestones!$AB$183),UPPER(TEXT(EDATE($D86,Milestones!$AA$183),"dd mmm yy"))&amp;" "&amp;Milestones!$AB$183&amp;" "&amp;Milestones!$AC$183&amp;";  ","")&amp;IF(AND(EDATE($D86,Milestones!$AA$184)&lt;=AsOfDate,IF($R86=0,$X86,IF(AND($T86&lt;&gt;"",EDATE($D86,Milestones!$AA$184)&gt;=$T86),$W86,IF(AND($S86&lt;&gt;"",EDATE($D86,Milestones!$AA$184)&gt;=$S86),$V86,$U86)))=Milestones!$AB$184),UPPER(TEXT(EDATE($D86,Milestones!$AA$184),"dd mmm yy"))&amp;" "&amp;Milestones!$AB$184&amp;" "&amp;Milestones!$AC$184&amp;";  ","")&amp;IF(AND(EDATE($D86,Milestones!$AA$185)&lt;=AsOfDate,IF($R86=0,$X86,IF(AND($T86&lt;&gt;"",EDATE($D86,Milestones!$AA$185)&gt;=$T86),$W86,IF(AND($S86&lt;&gt;"",EDATE($D86,Milestones!$AA$185)&gt;=$S86),$V86,$U86)))=Milestones!$AB$185),UPPER(TEXT(EDATE($D86,Milestones!$AA$185),"dd mmm yy"))&amp;" "&amp;Milestones!$AB$185&amp;" "&amp;Milestones!$AC$185&amp;";  ","")&amp;IF(AND(EDATE($D86,Milestones!$AA$186)&lt;=AsOfDate,IF($R86=0,$X86,IF(AND($T86&lt;&gt;"",EDATE($D86,Milestones!$AA$186)&gt;=$T86),$W86,IF(AND($S86&lt;&gt;"",EDATE($D86,Milestones!$AA$186)&gt;=$S86),$V86,$U86)))=Milestones!$AB$186),UPPER(TEXT(EDATE($D86,Milestones!$AA$186),"dd mmm yy"))&amp;" "&amp;Milestones!$AB$186&amp;" "&amp;Milestones!$AC$186&amp;";  ","")&amp;IF(AND(EDATE($D86,Milestones!$AA$187)&lt;=AsOfDate,IF($R86=0,$X86,IF(AND($T86&lt;&gt;"",EDATE($D86,Milestones!$AA$187)&gt;=$T86),$W86,IF(AND($S86&lt;&gt;"",EDATE($D86,Milestones!$AA$187)&gt;=$S86),$V86,$U86)))=Milestones!$AB$187),UPPER(TEXT(EDATE($D86,Milestones!$AA$187),"dd mmm yy"))&amp;" "&amp;Milestones!$AB$187&amp;" "&amp;Milestones!$AC$187&amp;";  ","")&amp;IF(AND(EDATE($D86,Milestones!$AA$188)&lt;=AsOfDate,IF($R86=0,$X86,IF(AND($T86&lt;&gt;"",EDATE($D86,Milestones!$AA$188)&gt;=$T86),$W86,IF(AND($S86&lt;&gt;"",EDATE($D86,Milestones!$AA$188)&gt;=$S86),$V86,$U86)))=Milestones!$AB$188),UPPER(TEXT(EDATE($D86,Milestones!$AA$188),"dd mmm yy"))&amp;" "&amp;Milestones!$AB$188&amp;" "&amp;Milestones!$AC$188&amp;";  ","")&amp;IF(AND(EDATE($D86,Milestones!$AA$189)&lt;=AsOfDate,IF($R86=0,$X86,IF(AND($T86&lt;&gt;"",EDATE($D86,Milestones!$AA$189)&gt;=$T86),$W86,IF(AND($S86&lt;&gt;"",EDATE($D86,Milestones!$AA$189)&gt;=$S86),$V86,$U86)))=Milestones!$AB$189),UPPER(TEXT(EDATE($D86,Milestones!$AA$189),"dd mmm yy"))&amp;" "&amp;Milestones!$AB$189&amp;" "&amp;Milestones!$AC$189&amp;";  ","")&amp;IF(AND(EDATE($D86,Milestones!$AA$190)&lt;=AsOfDate,IF($R86=0,$X86,IF(AND($T86&lt;&gt;"",EDATE($D86,Milestones!$AA$190)&gt;=$T86),$W86,IF(AND($S86&lt;&gt;"",EDATE($D86,Milestones!$AA$190)&gt;=$S86),$V86,$U86)))=Milestones!$AB$190),UPPER(TEXT(EDATE($D86,Milestones!$AA$190),"dd mmm yy"))&amp;" "&amp;Milestones!$AB$190&amp;" "&amp;Milestones!$AC$190&amp;";  ","")&amp;IF(AND(EDATE($D86,Milestones!$AA$191)&lt;=AsOfDate,IF($R86=0,$X86,IF(AND($T86&lt;&gt;"",EDATE($D86,Milestones!$AA$191)&gt;=$T86),$W86,IF(AND($S86&lt;&gt;"",EDATE($D86,Milestones!$AA$191)&gt;=$S86),$V86,$U86)))=Milestones!$AB$191),UPPER(TEXT(EDATE($D86,Milestones!$AA$191),"dd mmm yy"))&amp;" "&amp;Milestones!$AB$191&amp;" "&amp;Milestones!$AC$191&amp;";  ","")&amp;IF(AND(EDATE($D86,Milestones!$AA$192)&lt;=AsOfDate,IF($R86=0,$X86,IF(AND($T86&lt;&gt;"",EDATE($D86,Milestones!$AA$192)&gt;=$T86),$W86,IF(AND($S86&lt;&gt;"",EDATE($D86,Milestones!$AA$192)&gt;=$S86),$V86,$U86)))=Milestones!$AB$192),UPPER(TEXT(EDATE($D86,Milestones!$AA$192),"dd mmm yy"))&amp;" "&amp;Milestones!$AB$192&amp;" "&amp;Milestones!$AC$192&amp;";  ","")&amp;IF(AND(EDATE($D86,Milestones!$AA$193)&lt;=AsOfDate,IF($R86=0,$X86,IF(AND($T86&lt;&gt;"",EDATE($D86,Milestones!$AA$193)&gt;=$T86),$W86,IF(AND($S86&lt;&gt;"",EDATE($D86,Milestones!$AA$193)&gt;=$S86),$V86,$U86)))=Milestones!$AB$193),UPPER(TEXT(EDATE($D86,Milestones!$AA$193),"dd mmm yy"))&amp;" "&amp;Milestones!$AB$193&amp;" "&amp;Milestones!$AC$193&amp;";  ","")&amp;IF(AND(EDATE($D86,Milestones!$AA$194)&lt;=AsOfDate,IF($R86=0,$X86,IF(AND($T86&lt;&gt;"",EDATE($D86,Milestones!$AA$194)&gt;=$T86),$W86,IF(AND($S86&lt;&gt;"",EDATE($D86,Milestones!$AA$194)&gt;=$S86),$V86,$U86)))=Milestones!$AB$194),UPPER(TEXT(EDATE($D86,Milestones!$AA$194),"dd mmm yy"))&amp;" "&amp;Milestones!$AB$194&amp;" "&amp;Milestones!$AC$194&amp;";  ","")&amp;IF(AND(EDATE($D86,Milestones!$AA$195)&lt;=AsOfDate,IF($R86=0,$X86,IF(AND($T86&lt;&gt;"",EDATE($D86,Milestones!$AA$195)&gt;=$T86),$W86,IF(AND($S86&lt;&gt;"",EDATE($D86,Milestones!$AA$195)&gt;=$S86),$V86,$U86)))=Milestones!$AB$195),UPPER(TEXT(EDATE($D86,Milestones!$AA$195),"dd mmm yy"))&amp;" "&amp;Milestones!$AB$195&amp;" "&amp;Milestones!$AC$195&amp;";  ","")&amp;IF(AND(EDATE($D86,Milestones!$AA$196)&lt;=AsOfDate,IF($R86=0,$X86,IF(AND($T86&lt;&gt;"",EDATE($D86,Milestones!$AA$196)&gt;=$T86),$W86,IF(AND($S86&lt;&gt;"",EDATE($D86,Milestones!$AA$196)&gt;=$S86),$V86,$U86)))=Milestones!$AB$196),UPPER(TEXT(EDATE($D86,Milestones!$AA$196),"dd mmm yy"))&amp;" "&amp;Milestones!$AB$196&amp;" "&amp;Milestones!$AC$196&amp;";  ","")&amp;IF(AND(EDATE($D86,Milestones!$AA$197)&lt;=AsOfDate,IF($R86=0,$X86,IF(AND($T86&lt;&gt;"",EDATE($D86,Milestones!$AA$197)&gt;=$T86),$W86,IF(AND($S86&lt;&gt;"",EDATE($D86,Milestones!$AA$197)&gt;=$S86),$V86,$U86)))=Milestones!$AB$197),UPPER(TEXT(EDATE($D86,Milestones!$AA$197),"dd mmm yy"))&amp;" "&amp;Milestones!$AB$197&amp;" "&amp;Milestones!$AC$197&amp;";  ","")&amp;IF(AND(EDATE($D86,Milestones!$AA$198)&lt;=AsOfDate,IF($R86=0,$X86,IF(AND($T86&lt;&gt;"",EDATE($D86,Milestones!$AA$198)&gt;=$T86),$W86,IF(AND($S86&lt;&gt;"",EDATE($D86,Milestones!$AA$198)&gt;=$S86),$V86,$U86)))=Milestones!$AB$198),UPPER(TEXT(EDATE($D86,Milestones!$AA$198),"dd mmm yy"))&amp;" "&amp;Milestones!$AB$198&amp;" "&amp;Milestones!$AC$198&amp;";  ","")&amp;IF(AND(EDATE($D86,Milestones!$AA$199)&lt;=AsOfDate,IF($R86=0,$X86,IF(AND($T86&lt;&gt;"",EDATE($D86,Milestones!$AA$199)&gt;=$T86),$W86,IF(AND($S86&lt;&gt;"",EDATE($D86,Milestones!$AA$199)&gt;=$S86),$V86,$U86)))=Milestones!$AB$199),UPPER(TEXT(EDATE($D86,Milestones!$AA$199),"dd mmm yy"))&amp;" "&amp;Milestones!$AB$199&amp;" "&amp;Milestones!$AC$199&amp;";  ",""))</f>
        <v/>
      </c>
      <c r="R86" s="0" t="str">
        <f aca="false">IF(Staff!$A86="","",Staff!$AI86)</f>
        <v/>
      </c>
      <c r="S86" s="0" t="str">
        <f aca="false">IF(Staff!$A86="","",Staff!$AK86)</f>
        <v/>
      </c>
      <c r="T86" s="0" t="str">
        <f aca="false">IF(Staff!$A86="","",Staff!$AL86)</f>
        <v/>
      </c>
      <c r="U86" s="0" t="str">
        <f aca="false">IF(Staff!$A86="","",Staff!$AP86)</f>
        <v/>
      </c>
      <c r="V86" s="0" t="str">
        <f aca="false">IF(Staff!$A86="","",Staff!$AQ86)</f>
        <v/>
      </c>
      <c r="W86" s="0" t="str">
        <f aca="false">IF(Staff!$A86="","",Staff!$AR86)</f>
        <v/>
      </c>
      <c r="X86" s="0" t="str">
        <f aca="false">IF(Staff!$A86="","",Staff!$AS86)</f>
        <v/>
      </c>
    </row>
    <row r="87" customFormat="false" ht="15" hidden="false" customHeight="false" outlineLevel="0" collapsed="false">
      <c r="A87" s="14" t="str">
        <f aca="false">IF(Staff!$A87="","",Staff!$A87)</f>
        <v/>
      </c>
      <c r="B87" s="14" t="str">
        <f aca="false">IF(Staff!$A87="","",Staff!$B87)</f>
        <v/>
      </c>
      <c r="C87" s="14" t="str">
        <f aca="false">IF(Staff!$A87="","",Staff!$C87)</f>
        <v/>
      </c>
      <c r="D87" s="12" t="str">
        <f aca="false">IF(Staff!$A87="","",Staff!$AH87)</f>
        <v/>
      </c>
      <c r="E87" s="14" t="str">
        <f aca="false">IF(Staff!$A87="","",Staff!$O87)</f>
        <v/>
      </c>
      <c r="F87" s="14" t="str">
        <f aca="false">IF(E87="","",E87*HoursPerDay)</f>
        <v/>
      </c>
      <c r="G87" s="14" t="str">
        <f aca="false">IF(Staff!$A87="","",Staff!$AE87)</f>
        <v/>
      </c>
      <c r="H87" s="26" t="str">
        <f aca="false">IF($A87="","",I87&amp;J87&amp;K87&amp;L87&amp;M87&amp;N87&amp;O87&amp;P87&amp;Q87)</f>
        <v/>
      </c>
      <c r="I87" s="0" t="str">
        <f aca="false">IF(OR($A87="",$D87=""),"",IF(AND(EDATE($D87,Milestones!$AA$20)&lt;=AsOfDate,IF($R87=0,$X87,IF(AND($T87&lt;&gt;"",EDATE($D87,Milestones!$AA$20)&gt;=$T87),$W87,IF(AND($S87&lt;&gt;"",EDATE($D87,Milestones!$AA$20)&gt;=$S87),$V87,$U87)))=Milestones!$AB$20),UPPER(TEXT(EDATE($D87,Milestones!$AA$20),"dd mmm yy"))&amp;" "&amp;Milestones!$AB$20&amp;" "&amp;Milestones!$AC$20&amp;";  ","")&amp;IF(AND(EDATE($D87,Milestones!$AA$21)&lt;=AsOfDate,IF($R87=0,$X87,IF(AND($T87&lt;&gt;"",EDATE($D87,Milestones!$AA$21)&gt;=$T87),$W87,IF(AND($S87&lt;&gt;"",EDATE($D87,Milestones!$AA$21)&gt;=$S87),$V87,$U87)))=Milestones!$AB$21),UPPER(TEXT(EDATE($D87,Milestones!$AA$21),"dd mmm yy"))&amp;" "&amp;Milestones!$AB$21&amp;" "&amp;Milestones!$AC$21&amp;";  ","")&amp;IF(AND(EDATE($D87,Milestones!$AA$22)&lt;=AsOfDate,IF($R87=0,$X87,IF(AND($T87&lt;&gt;"",EDATE($D87,Milestones!$AA$22)&gt;=$T87),$W87,IF(AND($S87&lt;&gt;"",EDATE($D87,Milestones!$AA$22)&gt;=$S87),$V87,$U87)))=Milestones!$AB$22),UPPER(TEXT(EDATE($D87,Milestones!$AA$22),"dd mmm yy"))&amp;" "&amp;Milestones!$AB$22&amp;" "&amp;Milestones!$AC$22&amp;";  ","")&amp;IF(AND(EDATE($D87,Milestones!$AA$23)&lt;=AsOfDate,IF($R87=0,$X87,IF(AND($T87&lt;&gt;"",EDATE($D87,Milestones!$AA$23)&gt;=$T87),$W87,IF(AND($S87&lt;&gt;"",EDATE($D87,Milestones!$AA$23)&gt;=$S87),$V87,$U87)))=Milestones!$AB$23),UPPER(TEXT(EDATE($D87,Milestones!$AA$23),"dd mmm yy"))&amp;" "&amp;Milestones!$AB$23&amp;" "&amp;Milestones!$AC$23&amp;";  ","")&amp;IF(AND(EDATE($D87,Milestones!$AA$24)&lt;=AsOfDate,IF($R87=0,$X87,IF(AND($T87&lt;&gt;"",EDATE($D87,Milestones!$AA$24)&gt;=$T87),$W87,IF(AND($S87&lt;&gt;"",EDATE($D87,Milestones!$AA$24)&gt;=$S87),$V87,$U87)))=Milestones!$AB$24),UPPER(TEXT(EDATE($D87,Milestones!$AA$24),"dd mmm yy"))&amp;" "&amp;Milestones!$AB$24&amp;" "&amp;Milestones!$AC$24&amp;";  ","")&amp;IF(AND(EDATE($D87,Milestones!$AA$25)&lt;=AsOfDate,IF($R87=0,$X87,IF(AND($T87&lt;&gt;"",EDATE($D87,Milestones!$AA$25)&gt;=$T87),$W87,IF(AND($S87&lt;&gt;"",EDATE($D87,Milestones!$AA$25)&gt;=$S87),$V87,$U87)))=Milestones!$AB$25),UPPER(TEXT(EDATE($D87,Milestones!$AA$25),"dd mmm yy"))&amp;" "&amp;Milestones!$AB$25&amp;" "&amp;Milestones!$AC$25&amp;";  ","")&amp;IF(AND(EDATE($D87,Milestones!$AA$26)&lt;=AsOfDate,IF($R87=0,$X87,IF(AND($T87&lt;&gt;"",EDATE($D87,Milestones!$AA$26)&gt;=$T87),$W87,IF(AND($S87&lt;&gt;"",EDATE($D87,Milestones!$AA$26)&gt;=$S87),$V87,$U87)))=Milestones!$AB$26),UPPER(TEXT(EDATE($D87,Milestones!$AA$26),"dd mmm yy"))&amp;" "&amp;Milestones!$AB$26&amp;" "&amp;Milestones!$AC$26&amp;";  ","")&amp;IF(AND(EDATE($D87,Milestones!$AA$27)&lt;=AsOfDate,IF($R87=0,$X87,IF(AND($T87&lt;&gt;"",EDATE($D87,Milestones!$AA$27)&gt;=$T87),$W87,IF(AND($S87&lt;&gt;"",EDATE($D87,Milestones!$AA$27)&gt;=$S87),$V87,$U87)))=Milestones!$AB$27),UPPER(TEXT(EDATE($D87,Milestones!$AA$27),"dd mmm yy"))&amp;" "&amp;Milestones!$AB$27&amp;" "&amp;Milestones!$AC$27&amp;";  ","")&amp;IF(AND(EDATE($D87,Milestones!$AA$28)&lt;=AsOfDate,IF($R87=0,$X87,IF(AND($T87&lt;&gt;"",EDATE($D87,Milestones!$AA$28)&gt;=$T87),$W87,IF(AND($S87&lt;&gt;"",EDATE($D87,Milestones!$AA$28)&gt;=$S87),$V87,$U87)))=Milestones!$AB$28),UPPER(TEXT(EDATE($D87,Milestones!$AA$28),"dd mmm yy"))&amp;" "&amp;Milestones!$AB$28&amp;" "&amp;Milestones!$AC$28&amp;";  ","")&amp;IF(AND(EDATE($D87,Milestones!$AA$29)&lt;=AsOfDate,IF($R87=0,$X87,IF(AND($T87&lt;&gt;"",EDATE($D87,Milestones!$AA$29)&gt;=$T87),$W87,IF(AND($S87&lt;&gt;"",EDATE($D87,Milestones!$AA$29)&gt;=$S87),$V87,$U87)))=Milestones!$AB$29),UPPER(TEXT(EDATE($D87,Milestones!$AA$29),"dd mmm yy"))&amp;" "&amp;Milestones!$AB$29&amp;" "&amp;Milestones!$AC$29&amp;";  ","")&amp;IF(AND(EDATE($D87,Milestones!$AA$30)&lt;=AsOfDate,IF($R87=0,$X87,IF(AND($T87&lt;&gt;"",EDATE($D87,Milestones!$AA$30)&gt;=$T87),$W87,IF(AND($S87&lt;&gt;"",EDATE($D87,Milestones!$AA$30)&gt;=$S87),$V87,$U87)))=Milestones!$AB$30),UPPER(TEXT(EDATE($D87,Milestones!$AA$30),"dd mmm yy"))&amp;" "&amp;Milestones!$AB$30&amp;" "&amp;Milestones!$AC$30&amp;";  ","")&amp;IF(AND(EDATE($D87,Milestones!$AA$31)&lt;=AsOfDate,IF($R87=0,$X87,IF(AND($T87&lt;&gt;"",EDATE($D87,Milestones!$AA$31)&gt;=$T87),$W87,IF(AND($S87&lt;&gt;"",EDATE($D87,Milestones!$AA$31)&gt;=$S87),$V87,$U87)))=Milestones!$AB$31),UPPER(TEXT(EDATE($D87,Milestones!$AA$31),"dd mmm yy"))&amp;" "&amp;Milestones!$AB$31&amp;" "&amp;Milestones!$AC$31&amp;";  ","")&amp;IF(AND(EDATE($D87,Milestones!$AA$32)&lt;=AsOfDate,IF($R87=0,$X87,IF(AND($T87&lt;&gt;"",EDATE($D87,Milestones!$AA$32)&gt;=$T87),$W87,IF(AND($S87&lt;&gt;"",EDATE($D87,Milestones!$AA$32)&gt;=$S87),$V87,$U87)))=Milestones!$AB$32),UPPER(TEXT(EDATE($D87,Milestones!$AA$32),"dd mmm yy"))&amp;" "&amp;Milestones!$AB$32&amp;" "&amp;Milestones!$AC$32&amp;";  ","")&amp;IF(AND(EDATE($D87,Milestones!$AA$33)&lt;=AsOfDate,IF($R87=0,$X87,IF(AND($T87&lt;&gt;"",EDATE($D87,Milestones!$AA$33)&gt;=$T87),$W87,IF(AND($S87&lt;&gt;"",EDATE($D87,Milestones!$AA$33)&gt;=$S87),$V87,$U87)))=Milestones!$AB$33),UPPER(TEXT(EDATE($D87,Milestones!$AA$33),"dd mmm yy"))&amp;" "&amp;Milestones!$AB$33&amp;" "&amp;Milestones!$AC$33&amp;";  ","")&amp;IF(AND(EDATE($D87,Milestones!$AA$34)&lt;=AsOfDate,IF($R87=0,$X87,IF(AND($T87&lt;&gt;"",EDATE($D87,Milestones!$AA$34)&gt;=$T87),$W87,IF(AND($S87&lt;&gt;"",EDATE($D87,Milestones!$AA$34)&gt;=$S87),$V87,$U87)))=Milestones!$AB$34),UPPER(TEXT(EDATE($D87,Milestones!$AA$34),"dd mmm yy"))&amp;" "&amp;Milestones!$AB$34&amp;" "&amp;Milestones!$AC$34&amp;";  ","")&amp;IF(AND(EDATE($D87,Milestones!$AA$35)&lt;=AsOfDate,IF($R87=0,$X87,IF(AND($T87&lt;&gt;"",EDATE($D87,Milestones!$AA$35)&gt;=$T87),$W87,IF(AND($S87&lt;&gt;"",EDATE($D87,Milestones!$AA$35)&gt;=$S87),$V87,$U87)))=Milestones!$AB$35),UPPER(TEXT(EDATE($D87,Milestones!$AA$35),"dd mmm yy"))&amp;" "&amp;Milestones!$AB$35&amp;" "&amp;Milestones!$AC$35&amp;";  ","")&amp;IF(AND(EDATE($D87,Milestones!$AA$36)&lt;=AsOfDate,IF($R87=0,$X87,IF(AND($T87&lt;&gt;"",EDATE($D87,Milestones!$AA$36)&gt;=$T87),$W87,IF(AND($S87&lt;&gt;"",EDATE($D87,Milestones!$AA$36)&gt;=$S87),$V87,$U87)))=Milestones!$AB$36),UPPER(TEXT(EDATE($D87,Milestones!$AA$36),"dd mmm yy"))&amp;" "&amp;Milestones!$AB$36&amp;" "&amp;Milestones!$AC$36&amp;";  ","")&amp;IF(AND(EDATE($D87,Milestones!$AA$37)&lt;=AsOfDate,IF($R87=0,$X87,IF(AND($T87&lt;&gt;"",EDATE($D87,Milestones!$AA$37)&gt;=$T87),$W87,IF(AND($S87&lt;&gt;"",EDATE($D87,Milestones!$AA$37)&gt;=$S87),$V87,$U87)))=Milestones!$AB$37),UPPER(TEXT(EDATE($D87,Milestones!$AA$37),"dd mmm yy"))&amp;" "&amp;Milestones!$AB$37&amp;" "&amp;Milestones!$AC$37&amp;";  ","")&amp;IF(AND(EDATE($D87,Milestones!$AA$38)&lt;=AsOfDate,IF($R87=0,$X87,IF(AND($T87&lt;&gt;"",EDATE($D87,Milestones!$AA$38)&gt;=$T87),$W87,IF(AND($S87&lt;&gt;"",EDATE($D87,Milestones!$AA$38)&gt;=$S87),$V87,$U87)))=Milestones!$AB$38),UPPER(TEXT(EDATE($D87,Milestones!$AA$38),"dd mmm yy"))&amp;" "&amp;Milestones!$AB$38&amp;" "&amp;Milestones!$AC$38&amp;";  ","")&amp;IF(AND(EDATE($D87,Milestones!$AA$39)&lt;=AsOfDate,IF($R87=0,$X87,IF(AND($T87&lt;&gt;"",EDATE($D87,Milestones!$AA$39)&gt;=$T87),$W87,IF(AND($S87&lt;&gt;"",EDATE($D87,Milestones!$AA$39)&gt;=$S87),$V87,$U87)))=Milestones!$AB$39),UPPER(TEXT(EDATE($D87,Milestones!$AA$39),"dd mmm yy"))&amp;" "&amp;Milestones!$AB$39&amp;" "&amp;Milestones!$AC$39&amp;";  ",""))</f>
        <v/>
      </c>
      <c r="J87" s="0" t="str">
        <f aca="false">IF(OR($A87="",$D87=""),"",IF(AND(EDATE($D87,Milestones!$AA$40)&lt;=AsOfDate,IF($R87=0,$X87,IF(AND($T87&lt;&gt;"",EDATE($D87,Milestones!$AA$40)&gt;=$T87),$W87,IF(AND($S87&lt;&gt;"",EDATE($D87,Milestones!$AA$40)&gt;=$S87),$V87,$U87)))=Milestones!$AB$40),UPPER(TEXT(EDATE($D87,Milestones!$AA$40),"dd mmm yy"))&amp;" "&amp;Milestones!$AB$40&amp;" "&amp;Milestones!$AC$40&amp;";  ","")&amp;IF(AND(EDATE($D87,Milestones!$AA$41)&lt;=AsOfDate,IF($R87=0,$X87,IF(AND($T87&lt;&gt;"",EDATE($D87,Milestones!$AA$41)&gt;=$T87),$W87,IF(AND($S87&lt;&gt;"",EDATE($D87,Milestones!$AA$41)&gt;=$S87),$V87,$U87)))=Milestones!$AB$41),UPPER(TEXT(EDATE($D87,Milestones!$AA$41),"dd mmm yy"))&amp;" "&amp;Milestones!$AB$41&amp;" "&amp;Milestones!$AC$41&amp;";  ","")&amp;IF(AND(EDATE($D87,Milestones!$AA$42)&lt;=AsOfDate,IF($R87=0,$X87,IF(AND($T87&lt;&gt;"",EDATE($D87,Milestones!$AA$42)&gt;=$T87),$W87,IF(AND($S87&lt;&gt;"",EDATE($D87,Milestones!$AA$42)&gt;=$S87),$V87,$U87)))=Milestones!$AB$42),UPPER(TEXT(EDATE($D87,Milestones!$AA$42),"dd mmm yy"))&amp;" "&amp;Milestones!$AB$42&amp;" "&amp;Milestones!$AC$42&amp;";  ","")&amp;IF(AND(EDATE($D87,Milestones!$AA$43)&lt;=AsOfDate,IF($R87=0,$X87,IF(AND($T87&lt;&gt;"",EDATE($D87,Milestones!$AA$43)&gt;=$T87),$W87,IF(AND($S87&lt;&gt;"",EDATE($D87,Milestones!$AA$43)&gt;=$S87),$V87,$U87)))=Milestones!$AB$43),UPPER(TEXT(EDATE($D87,Milestones!$AA$43),"dd mmm yy"))&amp;" "&amp;Milestones!$AB$43&amp;" "&amp;Milestones!$AC$43&amp;";  ","")&amp;IF(AND(EDATE($D87,Milestones!$AA$44)&lt;=AsOfDate,IF($R87=0,$X87,IF(AND($T87&lt;&gt;"",EDATE($D87,Milestones!$AA$44)&gt;=$T87),$W87,IF(AND($S87&lt;&gt;"",EDATE($D87,Milestones!$AA$44)&gt;=$S87),$V87,$U87)))=Milestones!$AB$44),UPPER(TEXT(EDATE($D87,Milestones!$AA$44),"dd mmm yy"))&amp;" "&amp;Milestones!$AB$44&amp;" "&amp;Milestones!$AC$44&amp;";  ","")&amp;IF(AND(EDATE($D87,Milestones!$AA$45)&lt;=AsOfDate,IF($R87=0,$X87,IF(AND($T87&lt;&gt;"",EDATE($D87,Milestones!$AA$45)&gt;=$T87),$W87,IF(AND($S87&lt;&gt;"",EDATE($D87,Milestones!$AA$45)&gt;=$S87),$V87,$U87)))=Milestones!$AB$45),UPPER(TEXT(EDATE($D87,Milestones!$AA$45),"dd mmm yy"))&amp;" "&amp;Milestones!$AB$45&amp;" "&amp;Milestones!$AC$45&amp;";  ","")&amp;IF(AND(EDATE($D87,Milestones!$AA$46)&lt;=AsOfDate,IF($R87=0,$X87,IF(AND($T87&lt;&gt;"",EDATE($D87,Milestones!$AA$46)&gt;=$T87),$W87,IF(AND($S87&lt;&gt;"",EDATE($D87,Milestones!$AA$46)&gt;=$S87),$V87,$U87)))=Milestones!$AB$46),UPPER(TEXT(EDATE($D87,Milestones!$AA$46),"dd mmm yy"))&amp;" "&amp;Milestones!$AB$46&amp;" "&amp;Milestones!$AC$46&amp;";  ","")&amp;IF(AND(EDATE($D87,Milestones!$AA$47)&lt;=AsOfDate,IF($R87=0,$X87,IF(AND($T87&lt;&gt;"",EDATE($D87,Milestones!$AA$47)&gt;=$T87),$W87,IF(AND($S87&lt;&gt;"",EDATE($D87,Milestones!$AA$47)&gt;=$S87),$V87,$U87)))=Milestones!$AB$47),UPPER(TEXT(EDATE($D87,Milestones!$AA$47),"dd mmm yy"))&amp;" "&amp;Milestones!$AB$47&amp;" "&amp;Milestones!$AC$47&amp;";  ","")&amp;IF(AND(EDATE($D87,Milestones!$AA$48)&lt;=AsOfDate,IF($R87=0,$X87,IF(AND($T87&lt;&gt;"",EDATE($D87,Milestones!$AA$48)&gt;=$T87),$W87,IF(AND($S87&lt;&gt;"",EDATE($D87,Milestones!$AA$48)&gt;=$S87),$V87,$U87)))=Milestones!$AB$48),UPPER(TEXT(EDATE($D87,Milestones!$AA$48),"dd mmm yy"))&amp;" "&amp;Milestones!$AB$48&amp;" "&amp;Milestones!$AC$48&amp;";  ","")&amp;IF(AND(EDATE($D87,Milestones!$AA$49)&lt;=AsOfDate,IF($R87=0,$X87,IF(AND($T87&lt;&gt;"",EDATE($D87,Milestones!$AA$49)&gt;=$T87),$W87,IF(AND($S87&lt;&gt;"",EDATE($D87,Milestones!$AA$49)&gt;=$S87),$V87,$U87)))=Milestones!$AB$49),UPPER(TEXT(EDATE($D87,Milestones!$AA$49),"dd mmm yy"))&amp;" "&amp;Milestones!$AB$49&amp;" "&amp;Milestones!$AC$49&amp;";  ","")&amp;IF(AND(EDATE($D87,Milestones!$AA$50)&lt;=AsOfDate,IF($R87=0,$X87,IF(AND($T87&lt;&gt;"",EDATE($D87,Milestones!$AA$50)&gt;=$T87),$W87,IF(AND($S87&lt;&gt;"",EDATE($D87,Milestones!$AA$50)&gt;=$S87),$V87,$U87)))=Milestones!$AB$50),UPPER(TEXT(EDATE($D87,Milestones!$AA$50),"dd mmm yy"))&amp;" "&amp;Milestones!$AB$50&amp;" "&amp;Milestones!$AC$50&amp;";  ","")&amp;IF(AND(EDATE($D87,Milestones!$AA$51)&lt;=AsOfDate,IF($R87=0,$X87,IF(AND($T87&lt;&gt;"",EDATE($D87,Milestones!$AA$51)&gt;=$T87),$W87,IF(AND($S87&lt;&gt;"",EDATE($D87,Milestones!$AA$51)&gt;=$S87),$V87,$U87)))=Milestones!$AB$51),UPPER(TEXT(EDATE($D87,Milestones!$AA$51),"dd mmm yy"))&amp;" "&amp;Milestones!$AB$51&amp;" "&amp;Milestones!$AC$51&amp;";  ","")&amp;IF(AND(EDATE($D87,Milestones!$AA$52)&lt;=AsOfDate,IF($R87=0,$X87,IF(AND($T87&lt;&gt;"",EDATE($D87,Milestones!$AA$52)&gt;=$T87),$W87,IF(AND($S87&lt;&gt;"",EDATE($D87,Milestones!$AA$52)&gt;=$S87),$V87,$U87)))=Milestones!$AB$52),UPPER(TEXT(EDATE($D87,Milestones!$AA$52),"dd mmm yy"))&amp;" "&amp;Milestones!$AB$52&amp;" "&amp;Milestones!$AC$52&amp;";  ","")&amp;IF(AND(EDATE($D87,Milestones!$AA$53)&lt;=AsOfDate,IF($R87=0,$X87,IF(AND($T87&lt;&gt;"",EDATE($D87,Milestones!$AA$53)&gt;=$T87),$W87,IF(AND($S87&lt;&gt;"",EDATE($D87,Milestones!$AA$53)&gt;=$S87),$V87,$U87)))=Milestones!$AB$53),UPPER(TEXT(EDATE($D87,Milestones!$AA$53),"dd mmm yy"))&amp;" "&amp;Milestones!$AB$53&amp;" "&amp;Milestones!$AC$53&amp;";  ","")&amp;IF(AND(EDATE($D87,Milestones!$AA$54)&lt;=AsOfDate,IF($R87=0,$X87,IF(AND($T87&lt;&gt;"",EDATE($D87,Milestones!$AA$54)&gt;=$T87),$W87,IF(AND($S87&lt;&gt;"",EDATE($D87,Milestones!$AA$54)&gt;=$S87),$V87,$U87)))=Milestones!$AB$54),UPPER(TEXT(EDATE($D87,Milestones!$AA$54),"dd mmm yy"))&amp;" "&amp;Milestones!$AB$54&amp;" "&amp;Milestones!$AC$54&amp;";  ","")&amp;IF(AND(EDATE($D87,Milestones!$AA$55)&lt;=AsOfDate,IF($R87=0,$X87,IF(AND($T87&lt;&gt;"",EDATE($D87,Milestones!$AA$55)&gt;=$T87),$W87,IF(AND($S87&lt;&gt;"",EDATE($D87,Milestones!$AA$55)&gt;=$S87),$V87,$U87)))=Milestones!$AB$55),UPPER(TEXT(EDATE($D87,Milestones!$AA$55),"dd mmm yy"))&amp;" "&amp;Milestones!$AB$55&amp;" "&amp;Milestones!$AC$55&amp;";  ","")&amp;IF(AND(EDATE($D87,Milestones!$AA$56)&lt;=AsOfDate,IF($R87=0,$X87,IF(AND($T87&lt;&gt;"",EDATE($D87,Milestones!$AA$56)&gt;=$T87),$W87,IF(AND($S87&lt;&gt;"",EDATE($D87,Milestones!$AA$56)&gt;=$S87),$V87,$U87)))=Milestones!$AB$56),UPPER(TEXT(EDATE($D87,Milestones!$AA$56),"dd mmm yy"))&amp;" "&amp;Milestones!$AB$56&amp;" "&amp;Milestones!$AC$56&amp;";  ","")&amp;IF(AND(EDATE($D87,Milestones!$AA$57)&lt;=AsOfDate,IF($R87=0,$X87,IF(AND($T87&lt;&gt;"",EDATE($D87,Milestones!$AA$57)&gt;=$T87),$W87,IF(AND($S87&lt;&gt;"",EDATE($D87,Milestones!$AA$57)&gt;=$S87),$V87,$U87)))=Milestones!$AB$57),UPPER(TEXT(EDATE($D87,Milestones!$AA$57),"dd mmm yy"))&amp;" "&amp;Milestones!$AB$57&amp;" "&amp;Milestones!$AC$57&amp;";  ","")&amp;IF(AND(EDATE($D87,Milestones!$AA$58)&lt;=AsOfDate,IF($R87=0,$X87,IF(AND($T87&lt;&gt;"",EDATE($D87,Milestones!$AA$58)&gt;=$T87),$W87,IF(AND($S87&lt;&gt;"",EDATE($D87,Milestones!$AA$58)&gt;=$S87),$V87,$U87)))=Milestones!$AB$58),UPPER(TEXT(EDATE($D87,Milestones!$AA$58),"dd mmm yy"))&amp;" "&amp;Milestones!$AB$58&amp;" "&amp;Milestones!$AC$58&amp;";  ","")&amp;IF(AND(EDATE($D87,Milestones!$AA$59)&lt;=AsOfDate,IF($R87=0,$X87,IF(AND($T87&lt;&gt;"",EDATE($D87,Milestones!$AA$59)&gt;=$T87),$W87,IF(AND($S87&lt;&gt;"",EDATE($D87,Milestones!$AA$59)&gt;=$S87),$V87,$U87)))=Milestones!$AB$59),UPPER(TEXT(EDATE($D87,Milestones!$AA$59),"dd mmm yy"))&amp;" "&amp;Milestones!$AB$59&amp;" "&amp;Milestones!$AC$59&amp;";  ",""))</f>
        <v/>
      </c>
      <c r="K87" s="0" t="str">
        <f aca="false">IF(OR($A87="",$D87=""),"",IF(AND(EDATE($D87,Milestones!$AA$60)&lt;=AsOfDate,IF($R87=0,$X87,IF(AND($T87&lt;&gt;"",EDATE($D87,Milestones!$AA$60)&gt;=$T87),$W87,IF(AND($S87&lt;&gt;"",EDATE($D87,Milestones!$AA$60)&gt;=$S87),$V87,$U87)))=Milestones!$AB$60),UPPER(TEXT(EDATE($D87,Milestones!$AA$60),"dd mmm yy"))&amp;" "&amp;Milestones!$AB$60&amp;" "&amp;Milestones!$AC$60&amp;";  ","")&amp;IF(AND(EDATE($D87,Milestones!$AA$61)&lt;=AsOfDate,IF($R87=0,$X87,IF(AND($T87&lt;&gt;"",EDATE($D87,Milestones!$AA$61)&gt;=$T87),$W87,IF(AND($S87&lt;&gt;"",EDATE($D87,Milestones!$AA$61)&gt;=$S87),$V87,$U87)))=Milestones!$AB$61),UPPER(TEXT(EDATE($D87,Milestones!$AA$61),"dd mmm yy"))&amp;" "&amp;Milestones!$AB$61&amp;" "&amp;Milestones!$AC$61&amp;";  ","")&amp;IF(AND(EDATE($D87,Milestones!$AA$62)&lt;=AsOfDate,IF($R87=0,$X87,IF(AND($T87&lt;&gt;"",EDATE($D87,Milestones!$AA$62)&gt;=$T87),$W87,IF(AND($S87&lt;&gt;"",EDATE($D87,Milestones!$AA$62)&gt;=$S87),$V87,$U87)))=Milestones!$AB$62),UPPER(TEXT(EDATE($D87,Milestones!$AA$62),"dd mmm yy"))&amp;" "&amp;Milestones!$AB$62&amp;" "&amp;Milestones!$AC$62&amp;";  ","")&amp;IF(AND(EDATE($D87,Milestones!$AA$63)&lt;=AsOfDate,IF($R87=0,$X87,IF(AND($T87&lt;&gt;"",EDATE($D87,Milestones!$AA$63)&gt;=$T87),$W87,IF(AND($S87&lt;&gt;"",EDATE($D87,Milestones!$AA$63)&gt;=$S87),$V87,$U87)))=Milestones!$AB$63),UPPER(TEXT(EDATE($D87,Milestones!$AA$63),"dd mmm yy"))&amp;" "&amp;Milestones!$AB$63&amp;" "&amp;Milestones!$AC$63&amp;";  ","")&amp;IF(AND(EDATE($D87,Milestones!$AA$64)&lt;=AsOfDate,IF($R87=0,$X87,IF(AND($T87&lt;&gt;"",EDATE($D87,Milestones!$AA$64)&gt;=$T87),$W87,IF(AND($S87&lt;&gt;"",EDATE($D87,Milestones!$AA$64)&gt;=$S87),$V87,$U87)))=Milestones!$AB$64),UPPER(TEXT(EDATE($D87,Milestones!$AA$64),"dd mmm yy"))&amp;" "&amp;Milestones!$AB$64&amp;" "&amp;Milestones!$AC$64&amp;";  ","")&amp;IF(AND(EDATE($D87,Milestones!$AA$65)&lt;=AsOfDate,IF($R87=0,$X87,IF(AND($T87&lt;&gt;"",EDATE($D87,Milestones!$AA$65)&gt;=$T87),$W87,IF(AND($S87&lt;&gt;"",EDATE($D87,Milestones!$AA$65)&gt;=$S87),$V87,$U87)))=Milestones!$AB$65),UPPER(TEXT(EDATE($D87,Milestones!$AA$65),"dd mmm yy"))&amp;" "&amp;Milestones!$AB$65&amp;" "&amp;Milestones!$AC$65&amp;";  ","")&amp;IF(AND(EDATE($D87,Milestones!$AA$66)&lt;=AsOfDate,IF($R87=0,$X87,IF(AND($T87&lt;&gt;"",EDATE($D87,Milestones!$AA$66)&gt;=$T87),$W87,IF(AND($S87&lt;&gt;"",EDATE($D87,Milestones!$AA$66)&gt;=$S87),$V87,$U87)))=Milestones!$AB$66),UPPER(TEXT(EDATE($D87,Milestones!$AA$66),"dd mmm yy"))&amp;" "&amp;Milestones!$AB$66&amp;" "&amp;Milestones!$AC$66&amp;";  ","")&amp;IF(AND(EDATE($D87,Milestones!$AA$67)&lt;=AsOfDate,IF($R87=0,$X87,IF(AND($T87&lt;&gt;"",EDATE($D87,Milestones!$AA$67)&gt;=$T87),$W87,IF(AND($S87&lt;&gt;"",EDATE($D87,Milestones!$AA$67)&gt;=$S87),$V87,$U87)))=Milestones!$AB$67),UPPER(TEXT(EDATE($D87,Milestones!$AA$67),"dd mmm yy"))&amp;" "&amp;Milestones!$AB$67&amp;" "&amp;Milestones!$AC$67&amp;";  ","")&amp;IF(AND(EDATE($D87,Milestones!$AA$68)&lt;=AsOfDate,IF($R87=0,$X87,IF(AND($T87&lt;&gt;"",EDATE($D87,Milestones!$AA$68)&gt;=$T87),$W87,IF(AND($S87&lt;&gt;"",EDATE($D87,Milestones!$AA$68)&gt;=$S87),$V87,$U87)))=Milestones!$AB$68),UPPER(TEXT(EDATE($D87,Milestones!$AA$68),"dd mmm yy"))&amp;" "&amp;Milestones!$AB$68&amp;" "&amp;Milestones!$AC$68&amp;";  ","")&amp;IF(AND(EDATE($D87,Milestones!$AA$69)&lt;=AsOfDate,IF($R87=0,$X87,IF(AND($T87&lt;&gt;"",EDATE($D87,Milestones!$AA$69)&gt;=$T87),$W87,IF(AND($S87&lt;&gt;"",EDATE($D87,Milestones!$AA$69)&gt;=$S87),$V87,$U87)))=Milestones!$AB$69),UPPER(TEXT(EDATE($D87,Milestones!$AA$69),"dd mmm yy"))&amp;" "&amp;Milestones!$AB$69&amp;" "&amp;Milestones!$AC$69&amp;";  ","")&amp;IF(AND(EDATE($D87,Milestones!$AA$70)&lt;=AsOfDate,IF($R87=0,$X87,IF(AND($T87&lt;&gt;"",EDATE($D87,Milestones!$AA$70)&gt;=$T87),$W87,IF(AND($S87&lt;&gt;"",EDATE($D87,Milestones!$AA$70)&gt;=$S87),$V87,$U87)))=Milestones!$AB$70),UPPER(TEXT(EDATE($D87,Milestones!$AA$70),"dd mmm yy"))&amp;" "&amp;Milestones!$AB$70&amp;" "&amp;Milestones!$AC$70&amp;";  ","")&amp;IF(AND(EDATE($D87,Milestones!$AA$71)&lt;=AsOfDate,IF($R87=0,$X87,IF(AND($T87&lt;&gt;"",EDATE($D87,Milestones!$AA$71)&gt;=$T87),$W87,IF(AND($S87&lt;&gt;"",EDATE($D87,Milestones!$AA$71)&gt;=$S87),$V87,$U87)))=Milestones!$AB$71),UPPER(TEXT(EDATE($D87,Milestones!$AA$71),"dd mmm yy"))&amp;" "&amp;Milestones!$AB$71&amp;" "&amp;Milestones!$AC$71&amp;";  ","")&amp;IF(AND(EDATE($D87,Milestones!$AA$72)&lt;=AsOfDate,IF($R87=0,$X87,IF(AND($T87&lt;&gt;"",EDATE($D87,Milestones!$AA$72)&gt;=$T87),$W87,IF(AND($S87&lt;&gt;"",EDATE($D87,Milestones!$AA$72)&gt;=$S87),$V87,$U87)))=Milestones!$AB$72),UPPER(TEXT(EDATE($D87,Milestones!$AA$72),"dd mmm yy"))&amp;" "&amp;Milestones!$AB$72&amp;" "&amp;Milestones!$AC$72&amp;";  ","")&amp;IF(AND(EDATE($D87,Milestones!$AA$73)&lt;=AsOfDate,IF($R87=0,$X87,IF(AND($T87&lt;&gt;"",EDATE($D87,Milestones!$AA$73)&gt;=$T87),$W87,IF(AND($S87&lt;&gt;"",EDATE($D87,Milestones!$AA$73)&gt;=$S87),$V87,$U87)))=Milestones!$AB$73),UPPER(TEXT(EDATE($D87,Milestones!$AA$73),"dd mmm yy"))&amp;" "&amp;Milestones!$AB$73&amp;" "&amp;Milestones!$AC$73&amp;";  ","")&amp;IF(AND(EDATE($D87,Milestones!$AA$74)&lt;=AsOfDate,IF($R87=0,$X87,IF(AND($T87&lt;&gt;"",EDATE($D87,Milestones!$AA$74)&gt;=$T87),$W87,IF(AND($S87&lt;&gt;"",EDATE($D87,Milestones!$AA$74)&gt;=$S87),$V87,$U87)))=Milestones!$AB$74),UPPER(TEXT(EDATE($D87,Milestones!$AA$74),"dd mmm yy"))&amp;" "&amp;Milestones!$AB$74&amp;" "&amp;Milestones!$AC$74&amp;";  ","")&amp;IF(AND(EDATE($D87,Milestones!$AA$75)&lt;=AsOfDate,IF($R87=0,$X87,IF(AND($T87&lt;&gt;"",EDATE($D87,Milestones!$AA$75)&gt;=$T87),$W87,IF(AND($S87&lt;&gt;"",EDATE($D87,Milestones!$AA$75)&gt;=$S87),$V87,$U87)))=Milestones!$AB$75),UPPER(TEXT(EDATE($D87,Milestones!$AA$75),"dd mmm yy"))&amp;" "&amp;Milestones!$AB$75&amp;" "&amp;Milestones!$AC$75&amp;";  ","")&amp;IF(AND(EDATE($D87,Milestones!$AA$76)&lt;=AsOfDate,IF($R87=0,$X87,IF(AND($T87&lt;&gt;"",EDATE($D87,Milestones!$AA$76)&gt;=$T87),$W87,IF(AND($S87&lt;&gt;"",EDATE($D87,Milestones!$AA$76)&gt;=$S87),$V87,$U87)))=Milestones!$AB$76),UPPER(TEXT(EDATE($D87,Milestones!$AA$76),"dd mmm yy"))&amp;" "&amp;Milestones!$AB$76&amp;" "&amp;Milestones!$AC$76&amp;";  ","")&amp;IF(AND(EDATE($D87,Milestones!$AA$77)&lt;=AsOfDate,IF($R87=0,$X87,IF(AND($T87&lt;&gt;"",EDATE($D87,Milestones!$AA$77)&gt;=$T87),$W87,IF(AND($S87&lt;&gt;"",EDATE($D87,Milestones!$AA$77)&gt;=$S87),$V87,$U87)))=Milestones!$AB$77),UPPER(TEXT(EDATE($D87,Milestones!$AA$77),"dd mmm yy"))&amp;" "&amp;Milestones!$AB$77&amp;" "&amp;Milestones!$AC$77&amp;";  ","")&amp;IF(AND(EDATE($D87,Milestones!$AA$78)&lt;=AsOfDate,IF($R87=0,$X87,IF(AND($T87&lt;&gt;"",EDATE($D87,Milestones!$AA$78)&gt;=$T87),$W87,IF(AND($S87&lt;&gt;"",EDATE($D87,Milestones!$AA$78)&gt;=$S87),$V87,$U87)))=Milestones!$AB$78),UPPER(TEXT(EDATE($D87,Milestones!$AA$78),"dd mmm yy"))&amp;" "&amp;Milestones!$AB$78&amp;" "&amp;Milestones!$AC$78&amp;";  ","")&amp;IF(AND(EDATE($D87,Milestones!$AA$79)&lt;=AsOfDate,IF($R87=0,$X87,IF(AND($T87&lt;&gt;"",EDATE($D87,Milestones!$AA$79)&gt;=$T87),$W87,IF(AND($S87&lt;&gt;"",EDATE($D87,Milestones!$AA$79)&gt;=$S87),$V87,$U87)))=Milestones!$AB$79),UPPER(TEXT(EDATE($D87,Milestones!$AA$79),"dd mmm yy"))&amp;" "&amp;Milestones!$AB$79&amp;" "&amp;Milestones!$AC$79&amp;";  ",""))</f>
        <v/>
      </c>
      <c r="L87" s="0" t="str">
        <f aca="false">IF(OR($A87="",$D87=""),"",IF(AND(EDATE($D87,Milestones!$AA$80)&lt;=AsOfDate,IF($R87=0,$X87,IF(AND($T87&lt;&gt;"",EDATE($D87,Milestones!$AA$80)&gt;=$T87),$W87,IF(AND($S87&lt;&gt;"",EDATE($D87,Milestones!$AA$80)&gt;=$S87),$V87,$U87)))=Milestones!$AB$80),UPPER(TEXT(EDATE($D87,Milestones!$AA$80),"dd mmm yy"))&amp;" "&amp;Milestones!$AB$80&amp;" "&amp;Milestones!$AC$80&amp;";  ","")&amp;IF(AND(EDATE($D87,Milestones!$AA$81)&lt;=AsOfDate,IF($R87=0,$X87,IF(AND($T87&lt;&gt;"",EDATE($D87,Milestones!$AA$81)&gt;=$T87),$W87,IF(AND($S87&lt;&gt;"",EDATE($D87,Milestones!$AA$81)&gt;=$S87),$V87,$U87)))=Milestones!$AB$81),UPPER(TEXT(EDATE($D87,Milestones!$AA$81),"dd mmm yy"))&amp;" "&amp;Milestones!$AB$81&amp;" "&amp;Milestones!$AC$81&amp;";  ","")&amp;IF(AND(EDATE($D87,Milestones!$AA$82)&lt;=AsOfDate,IF($R87=0,$X87,IF(AND($T87&lt;&gt;"",EDATE($D87,Milestones!$AA$82)&gt;=$T87),$W87,IF(AND($S87&lt;&gt;"",EDATE($D87,Milestones!$AA$82)&gt;=$S87),$V87,$U87)))=Milestones!$AB$82),UPPER(TEXT(EDATE($D87,Milestones!$AA$82),"dd mmm yy"))&amp;" "&amp;Milestones!$AB$82&amp;" "&amp;Milestones!$AC$82&amp;";  ","")&amp;IF(AND(EDATE($D87,Milestones!$AA$83)&lt;=AsOfDate,IF($R87=0,$X87,IF(AND($T87&lt;&gt;"",EDATE($D87,Milestones!$AA$83)&gt;=$T87),$W87,IF(AND($S87&lt;&gt;"",EDATE($D87,Milestones!$AA$83)&gt;=$S87),$V87,$U87)))=Milestones!$AB$83),UPPER(TEXT(EDATE($D87,Milestones!$AA$83),"dd mmm yy"))&amp;" "&amp;Milestones!$AB$83&amp;" "&amp;Milestones!$AC$83&amp;";  ","")&amp;IF(AND(EDATE($D87,Milestones!$AA$84)&lt;=AsOfDate,IF($R87=0,$X87,IF(AND($T87&lt;&gt;"",EDATE($D87,Milestones!$AA$84)&gt;=$T87),$W87,IF(AND($S87&lt;&gt;"",EDATE($D87,Milestones!$AA$84)&gt;=$S87),$V87,$U87)))=Milestones!$AB$84),UPPER(TEXT(EDATE($D87,Milestones!$AA$84),"dd mmm yy"))&amp;" "&amp;Milestones!$AB$84&amp;" "&amp;Milestones!$AC$84&amp;";  ","")&amp;IF(AND(EDATE($D87,Milestones!$AA$85)&lt;=AsOfDate,IF($R87=0,$X87,IF(AND($T87&lt;&gt;"",EDATE($D87,Milestones!$AA$85)&gt;=$T87),$W87,IF(AND($S87&lt;&gt;"",EDATE($D87,Milestones!$AA$85)&gt;=$S87),$V87,$U87)))=Milestones!$AB$85),UPPER(TEXT(EDATE($D87,Milestones!$AA$85),"dd mmm yy"))&amp;" "&amp;Milestones!$AB$85&amp;" "&amp;Milestones!$AC$85&amp;";  ","")&amp;IF(AND(EDATE($D87,Milestones!$AA$86)&lt;=AsOfDate,IF($R87=0,$X87,IF(AND($T87&lt;&gt;"",EDATE($D87,Milestones!$AA$86)&gt;=$T87),$W87,IF(AND($S87&lt;&gt;"",EDATE($D87,Milestones!$AA$86)&gt;=$S87),$V87,$U87)))=Milestones!$AB$86),UPPER(TEXT(EDATE($D87,Milestones!$AA$86),"dd mmm yy"))&amp;" "&amp;Milestones!$AB$86&amp;" "&amp;Milestones!$AC$86&amp;";  ","")&amp;IF(AND(EDATE($D87,Milestones!$AA$87)&lt;=AsOfDate,IF($R87=0,$X87,IF(AND($T87&lt;&gt;"",EDATE($D87,Milestones!$AA$87)&gt;=$T87),$W87,IF(AND($S87&lt;&gt;"",EDATE($D87,Milestones!$AA$87)&gt;=$S87),$V87,$U87)))=Milestones!$AB$87),UPPER(TEXT(EDATE($D87,Milestones!$AA$87),"dd mmm yy"))&amp;" "&amp;Milestones!$AB$87&amp;" "&amp;Milestones!$AC$87&amp;";  ","")&amp;IF(AND(EDATE($D87,Milestones!$AA$88)&lt;=AsOfDate,IF($R87=0,$X87,IF(AND($T87&lt;&gt;"",EDATE($D87,Milestones!$AA$88)&gt;=$T87),$W87,IF(AND($S87&lt;&gt;"",EDATE($D87,Milestones!$AA$88)&gt;=$S87),$V87,$U87)))=Milestones!$AB$88),UPPER(TEXT(EDATE($D87,Milestones!$AA$88),"dd mmm yy"))&amp;" "&amp;Milestones!$AB$88&amp;" "&amp;Milestones!$AC$88&amp;";  ","")&amp;IF(AND(EDATE($D87,Milestones!$AA$89)&lt;=AsOfDate,IF($R87=0,$X87,IF(AND($T87&lt;&gt;"",EDATE($D87,Milestones!$AA$89)&gt;=$T87),$W87,IF(AND($S87&lt;&gt;"",EDATE($D87,Milestones!$AA$89)&gt;=$S87),$V87,$U87)))=Milestones!$AB$89),UPPER(TEXT(EDATE($D87,Milestones!$AA$89),"dd mmm yy"))&amp;" "&amp;Milestones!$AB$89&amp;" "&amp;Milestones!$AC$89&amp;";  ","")&amp;IF(AND(EDATE($D87,Milestones!$AA$90)&lt;=AsOfDate,IF($R87=0,$X87,IF(AND($T87&lt;&gt;"",EDATE($D87,Milestones!$AA$90)&gt;=$T87),$W87,IF(AND($S87&lt;&gt;"",EDATE($D87,Milestones!$AA$90)&gt;=$S87),$V87,$U87)))=Milestones!$AB$90),UPPER(TEXT(EDATE($D87,Milestones!$AA$90),"dd mmm yy"))&amp;" "&amp;Milestones!$AB$90&amp;" "&amp;Milestones!$AC$90&amp;";  ","")&amp;IF(AND(EDATE($D87,Milestones!$AA$91)&lt;=AsOfDate,IF($R87=0,$X87,IF(AND($T87&lt;&gt;"",EDATE($D87,Milestones!$AA$91)&gt;=$T87),$W87,IF(AND($S87&lt;&gt;"",EDATE($D87,Milestones!$AA$91)&gt;=$S87),$V87,$U87)))=Milestones!$AB$91),UPPER(TEXT(EDATE($D87,Milestones!$AA$91),"dd mmm yy"))&amp;" "&amp;Milestones!$AB$91&amp;" "&amp;Milestones!$AC$91&amp;";  ","")&amp;IF(AND(EDATE($D87,Milestones!$AA$92)&lt;=AsOfDate,IF($R87=0,$X87,IF(AND($T87&lt;&gt;"",EDATE($D87,Milestones!$AA$92)&gt;=$T87),$W87,IF(AND($S87&lt;&gt;"",EDATE($D87,Milestones!$AA$92)&gt;=$S87),$V87,$U87)))=Milestones!$AB$92),UPPER(TEXT(EDATE($D87,Milestones!$AA$92),"dd mmm yy"))&amp;" "&amp;Milestones!$AB$92&amp;" "&amp;Milestones!$AC$92&amp;";  ","")&amp;IF(AND(EDATE($D87,Milestones!$AA$93)&lt;=AsOfDate,IF($R87=0,$X87,IF(AND($T87&lt;&gt;"",EDATE($D87,Milestones!$AA$93)&gt;=$T87),$W87,IF(AND($S87&lt;&gt;"",EDATE($D87,Milestones!$AA$93)&gt;=$S87),$V87,$U87)))=Milestones!$AB$93),UPPER(TEXT(EDATE($D87,Milestones!$AA$93),"dd mmm yy"))&amp;" "&amp;Milestones!$AB$93&amp;" "&amp;Milestones!$AC$93&amp;";  ","")&amp;IF(AND(EDATE($D87,Milestones!$AA$94)&lt;=AsOfDate,IF($R87=0,$X87,IF(AND($T87&lt;&gt;"",EDATE($D87,Milestones!$AA$94)&gt;=$T87),$W87,IF(AND($S87&lt;&gt;"",EDATE($D87,Milestones!$AA$94)&gt;=$S87),$V87,$U87)))=Milestones!$AB$94),UPPER(TEXT(EDATE($D87,Milestones!$AA$94),"dd mmm yy"))&amp;" "&amp;Milestones!$AB$94&amp;" "&amp;Milestones!$AC$94&amp;";  ","")&amp;IF(AND(EDATE($D87,Milestones!$AA$95)&lt;=AsOfDate,IF($R87=0,$X87,IF(AND($T87&lt;&gt;"",EDATE($D87,Milestones!$AA$95)&gt;=$T87),$W87,IF(AND($S87&lt;&gt;"",EDATE($D87,Milestones!$AA$95)&gt;=$S87),$V87,$U87)))=Milestones!$AB$95),UPPER(TEXT(EDATE($D87,Milestones!$AA$95),"dd mmm yy"))&amp;" "&amp;Milestones!$AB$95&amp;" "&amp;Milestones!$AC$95&amp;";  ","")&amp;IF(AND(EDATE($D87,Milestones!$AA$96)&lt;=AsOfDate,IF($R87=0,$X87,IF(AND($T87&lt;&gt;"",EDATE($D87,Milestones!$AA$96)&gt;=$T87),$W87,IF(AND($S87&lt;&gt;"",EDATE($D87,Milestones!$AA$96)&gt;=$S87),$V87,$U87)))=Milestones!$AB$96),UPPER(TEXT(EDATE($D87,Milestones!$AA$96),"dd mmm yy"))&amp;" "&amp;Milestones!$AB$96&amp;" "&amp;Milestones!$AC$96&amp;";  ","")&amp;IF(AND(EDATE($D87,Milestones!$AA$97)&lt;=AsOfDate,IF($R87=0,$X87,IF(AND($T87&lt;&gt;"",EDATE($D87,Milestones!$AA$97)&gt;=$T87),$W87,IF(AND($S87&lt;&gt;"",EDATE($D87,Milestones!$AA$97)&gt;=$S87),$V87,$U87)))=Milestones!$AB$97),UPPER(TEXT(EDATE($D87,Milestones!$AA$97),"dd mmm yy"))&amp;" "&amp;Milestones!$AB$97&amp;" "&amp;Milestones!$AC$97&amp;";  ","")&amp;IF(AND(EDATE($D87,Milestones!$AA$98)&lt;=AsOfDate,IF($R87=0,$X87,IF(AND($T87&lt;&gt;"",EDATE($D87,Milestones!$AA$98)&gt;=$T87),$W87,IF(AND($S87&lt;&gt;"",EDATE($D87,Milestones!$AA$98)&gt;=$S87),$V87,$U87)))=Milestones!$AB$98),UPPER(TEXT(EDATE($D87,Milestones!$AA$98),"dd mmm yy"))&amp;" "&amp;Milestones!$AB$98&amp;" "&amp;Milestones!$AC$98&amp;";  ","")&amp;IF(AND(EDATE($D87,Milestones!$AA$99)&lt;=AsOfDate,IF($R87=0,$X87,IF(AND($T87&lt;&gt;"",EDATE($D87,Milestones!$AA$99)&gt;=$T87),$W87,IF(AND($S87&lt;&gt;"",EDATE($D87,Milestones!$AA$99)&gt;=$S87),$V87,$U87)))=Milestones!$AB$99),UPPER(TEXT(EDATE($D87,Milestones!$AA$99),"dd mmm yy"))&amp;" "&amp;Milestones!$AB$99&amp;" "&amp;Milestones!$AC$99&amp;";  ",""))</f>
        <v/>
      </c>
      <c r="M87" s="0" t="str">
        <f aca="false">IF(OR($A87="",$D87=""),"",IF(AND(EDATE($D87,Milestones!$AA$100)&lt;=AsOfDate,IF($R87=0,$X87,IF(AND($T87&lt;&gt;"",EDATE($D87,Milestones!$AA$100)&gt;=$T87),$W87,IF(AND($S87&lt;&gt;"",EDATE($D87,Milestones!$AA$100)&gt;=$S87),$V87,$U87)))=Milestones!$AB$100),UPPER(TEXT(EDATE($D87,Milestones!$AA$100),"dd mmm yy"))&amp;" "&amp;Milestones!$AB$100&amp;" "&amp;Milestones!$AC$100&amp;";  ","")&amp;IF(AND(EDATE($D87,Milestones!$AA$101)&lt;=AsOfDate,IF($R87=0,$X87,IF(AND($T87&lt;&gt;"",EDATE($D87,Milestones!$AA$101)&gt;=$T87),$W87,IF(AND($S87&lt;&gt;"",EDATE($D87,Milestones!$AA$101)&gt;=$S87),$V87,$U87)))=Milestones!$AB$101),UPPER(TEXT(EDATE($D87,Milestones!$AA$101),"dd mmm yy"))&amp;" "&amp;Milestones!$AB$101&amp;" "&amp;Milestones!$AC$101&amp;";  ","")&amp;IF(AND(EDATE($D87,Milestones!$AA$102)&lt;=AsOfDate,IF($R87=0,$X87,IF(AND($T87&lt;&gt;"",EDATE($D87,Milestones!$AA$102)&gt;=$T87),$W87,IF(AND($S87&lt;&gt;"",EDATE($D87,Milestones!$AA$102)&gt;=$S87),$V87,$U87)))=Milestones!$AB$102),UPPER(TEXT(EDATE($D87,Milestones!$AA$102),"dd mmm yy"))&amp;" "&amp;Milestones!$AB$102&amp;" "&amp;Milestones!$AC$102&amp;";  ","")&amp;IF(AND(EDATE($D87,Milestones!$AA$103)&lt;=AsOfDate,IF($R87=0,$X87,IF(AND($T87&lt;&gt;"",EDATE($D87,Milestones!$AA$103)&gt;=$T87),$W87,IF(AND($S87&lt;&gt;"",EDATE($D87,Milestones!$AA$103)&gt;=$S87),$V87,$U87)))=Milestones!$AB$103),UPPER(TEXT(EDATE($D87,Milestones!$AA$103),"dd mmm yy"))&amp;" "&amp;Milestones!$AB$103&amp;" "&amp;Milestones!$AC$103&amp;";  ","")&amp;IF(AND(EDATE($D87,Milestones!$AA$104)&lt;=AsOfDate,IF($R87=0,$X87,IF(AND($T87&lt;&gt;"",EDATE($D87,Milestones!$AA$104)&gt;=$T87),$W87,IF(AND($S87&lt;&gt;"",EDATE($D87,Milestones!$AA$104)&gt;=$S87),$V87,$U87)))=Milestones!$AB$104),UPPER(TEXT(EDATE($D87,Milestones!$AA$104),"dd mmm yy"))&amp;" "&amp;Milestones!$AB$104&amp;" "&amp;Milestones!$AC$104&amp;";  ","")&amp;IF(AND(EDATE($D87,Milestones!$AA$105)&lt;=AsOfDate,IF($R87=0,$X87,IF(AND($T87&lt;&gt;"",EDATE($D87,Milestones!$AA$105)&gt;=$T87),$W87,IF(AND($S87&lt;&gt;"",EDATE($D87,Milestones!$AA$105)&gt;=$S87),$V87,$U87)))=Milestones!$AB$105),UPPER(TEXT(EDATE($D87,Milestones!$AA$105),"dd mmm yy"))&amp;" "&amp;Milestones!$AB$105&amp;" "&amp;Milestones!$AC$105&amp;";  ","")&amp;IF(AND(EDATE($D87,Milestones!$AA$106)&lt;=AsOfDate,IF($R87=0,$X87,IF(AND($T87&lt;&gt;"",EDATE($D87,Milestones!$AA$106)&gt;=$T87),$W87,IF(AND($S87&lt;&gt;"",EDATE($D87,Milestones!$AA$106)&gt;=$S87),$V87,$U87)))=Milestones!$AB$106),UPPER(TEXT(EDATE($D87,Milestones!$AA$106),"dd mmm yy"))&amp;" "&amp;Milestones!$AB$106&amp;" "&amp;Milestones!$AC$106&amp;";  ","")&amp;IF(AND(EDATE($D87,Milestones!$AA$107)&lt;=AsOfDate,IF($R87=0,$X87,IF(AND($T87&lt;&gt;"",EDATE($D87,Milestones!$AA$107)&gt;=$T87),$W87,IF(AND($S87&lt;&gt;"",EDATE($D87,Milestones!$AA$107)&gt;=$S87),$V87,$U87)))=Milestones!$AB$107),UPPER(TEXT(EDATE($D87,Milestones!$AA$107),"dd mmm yy"))&amp;" "&amp;Milestones!$AB$107&amp;" "&amp;Milestones!$AC$107&amp;";  ","")&amp;IF(AND(EDATE($D87,Milestones!$AA$108)&lt;=AsOfDate,IF($R87=0,$X87,IF(AND($T87&lt;&gt;"",EDATE($D87,Milestones!$AA$108)&gt;=$T87),$W87,IF(AND($S87&lt;&gt;"",EDATE($D87,Milestones!$AA$108)&gt;=$S87),$V87,$U87)))=Milestones!$AB$108),UPPER(TEXT(EDATE($D87,Milestones!$AA$108),"dd mmm yy"))&amp;" "&amp;Milestones!$AB$108&amp;" "&amp;Milestones!$AC$108&amp;";  ","")&amp;IF(AND(EDATE($D87,Milestones!$AA$109)&lt;=AsOfDate,IF($R87=0,$X87,IF(AND($T87&lt;&gt;"",EDATE($D87,Milestones!$AA$109)&gt;=$T87),$W87,IF(AND($S87&lt;&gt;"",EDATE($D87,Milestones!$AA$109)&gt;=$S87),$V87,$U87)))=Milestones!$AB$109),UPPER(TEXT(EDATE($D87,Milestones!$AA$109),"dd mmm yy"))&amp;" "&amp;Milestones!$AB$109&amp;" "&amp;Milestones!$AC$109&amp;";  ","")&amp;IF(AND(EDATE($D87,Milestones!$AA$110)&lt;=AsOfDate,IF($R87=0,$X87,IF(AND($T87&lt;&gt;"",EDATE($D87,Milestones!$AA$110)&gt;=$T87),$W87,IF(AND($S87&lt;&gt;"",EDATE($D87,Milestones!$AA$110)&gt;=$S87),$V87,$U87)))=Milestones!$AB$110),UPPER(TEXT(EDATE($D87,Milestones!$AA$110),"dd mmm yy"))&amp;" "&amp;Milestones!$AB$110&amp;" "&amp;Milestones!$AC$110&amp;";  ","")&amp;IF(AND(EDATE($D87,Milestones!$AA$111)&lt;=AsOfDate,IF($R87=0,$X87,IF(AND($T87&lt;&gt;"",EDATE($D87,Milestones!$AA$111)&gt;=$T87),$W87,IF(AND($S87&lt;&gt;"",EDATE($D87,Milestones!$AA$111)&gt;=$S87),$V87,$U87)))=Milestones!$AB$111),UPPER(TEXT(EDATE($D87,Milestones!$AA$111),"dd mmm yy"))&amp;" "&amp;Milestones!$AB$111&amp;" "&amp;Milestones!$AC$111&amp;";  ","")&amp;IF(AND(EDATE($D87,Milestones!$AA$112)&lt;=AsOfDate,IF($R87=0,$X87,IF(AND($T87&lt;&gt;"",EDATE($D87,Milestones!$AA$112)&gt;=$T87),$W87,IF(AND($S87&lt;&gt;"",EDATE($D87,Milestones!$AA$112)&gt;=$S87),$V87,$U87)))=Milestones!$AB$112),UPPER(TEXT(EDATE($D87,Milestones!$AA$112),"dd mmm yy"))&amp;" "&amp;Milestones!$AB$112&amp;" "&amp;Milestones!$AC$112&amp;";  ","")&amp;IF(AND(EDATE($D87,Milestones!$AA$113)&lt;=AsOfDate,IF($R87=0,$X87,IF(AND($T87&lt;&gt;"",EDATE($D87,Milestones!$AA$113)&gt;=$T87),$W87,IF(AND($S87&lt;&gt;"",EDATE($D87,Milestones!$AA$113)&gt;=$S87),$V87,$U87)))=Milestones!$AB$113),UPPER(TEXT(EDATE($D87,Milestones!$AA$113),"dd mmm yy"))&amp;" "&amp;Milestones!$AB$113&amp;" "&amp;Milestones!$AC$113&amp;";  ","")&amp;IF(AND(EDATE($D87,Milestones!$AA$114)&lt;=AsOfDate,IF($R87=0,$X87,IF(AND($T87&lt;&gt;"",EDATE($D87,Milestones!$AA$114)&gt;=$T87),$W87,IF(AND($S87&lt;&gt;"",EDATE($D87,Milestones!$AA$114)&gt;=$S87),$V87,$U87)))=Milestones!$AB$114),UPPER(TEXT(EDATE($D87,Milestones!$AA$114),"dd mmm yy"))&amp;" "&amp;Milestones!$AB$114&amp;" "&amp;Milestones!$AC$114&amp;";  ","")&amp;IF(AND(EDATE($D87,Milestones!$AA$115)&lt;=AsOfDate,IF($R87=0,$X87,IF(AND($T87&lt;&gt;"",EDATE($D87,Milestones!$AA$115)&gt;=$T87),$W87,IF(AND($S87&lt;&gt;"",EDATE($D87,Milestones!$AA$115)&gt;=$S87),$V87,$U87)))=Milestones!$AB$115),UPPER(TEXT(EDATE($D87,Milestones!$AA$115),"dd mmm yy"))&amp;" "&amp;Milestones!$AB$115&amp;" "&amp;Milestones!$AC$115&amp;";  ","")&amp;IF(AND(EDATE($D87,Milestones!$AA$116)&lt;=AsOfDate,IF($R87=0,$X87,IF(AND($T87&lt;&gt;"",EDATE($D87,Milestones!$AA$116)&gt;=$T87),$W87,IF(AND($S87&lt;&gt;"",EDATE($D87,Milestones!$AA$116)&gt;=$S87),$V87,$U87)))=Milestones!$AB$116),UPPER(TEXT(EDATE($D87,Milestones!$AA$116),"dd mmm yy"))&amp;" "&amp;Milestones!$AB$116&amp;" "&amp;Milestones!$AC$116&amp;";  ","")&amp;IF(AND(EDATE($D87,Milestones!$AA$117)&lt;=AsOfDate,IF($R87=0,$X87,IF(AND($T87&lt;&gt;"",EDATE($D87,Milestones!$AA$117)&gt;=$T87),$W87,IF(AND($S87&lt;&gt;"",EDATE($D87,Milestones!$AA$117)&gt;=$S87),$V87,$U87)))=Milestones!$AB$117),UPPER(TEXT(EDATE($D87,Milestones!$AA$117),"dd mmm yy"))&amp;" "&amp;Milestones!$AB$117&amp;" "&amp;Milestones!$AC$117&amp;";  ","")&amp;IF(AND(EDATE($D87,Milestones!$AA$118)&lt;=AsOfDate,IF($R87=0,$X87,IF(AND($T87&lt;&gt;"",EDATE($D87,Milestones!$AA$118)&gt;=$T87),$W87,IF(AND($S87&lt;&gt;"",EDATE($D87,Milestones!$AA$118)&gt;=$S87),$V87,$U87)))=Milestones!$AB$118),UPPER(TEXT(EDATE($D87,Milestones!$AA$118),"dd mmm yy"))&amp;" "&amp;Milestones!$AB$118&amp;" "&amp;Milestones!$AC$118&amp;";  ","")&amp;IF(AND(EDATE($D87,Milestones!$AA$119)&lt;=AsOfDate,IF($R87=0,$X87,IF(AND($T87&lt;&gt;"",EDATE($D87,Milestones!$AA$119)&gt;=$T87),$W87,IF(AND($S87&lt;&gt;"",EDATE($D87,Milestones!$AA$119)&gt;=$S87),$V87,$U87)))=Milestones!$AB$119),UPPER(TEXT(EDATE($D87,Milestones!$AA$119),"dd mmm yy"))&amp;" "&amp;Milestones!$AB$119&amp;" "&amp;Milestones!$AC$119&amp;";  ",""))</f>
        <v/>
      </c>
      <c r="N87" s="0" t="str">
        <f aca="false">IF(OR($A87="",$D87=""),"",IF(AND(EDATE($D87,Milestones!$AA$120)&lt;=AsOfDate,IF($R87=0,$X87,IF(AND($T87&lt;&gt;"",EDATE($D87,Milestones!$AA$120)&gt;=$T87),$W87,IF(AND($S87&lt;&gt;"",EDATE($D87,Milestones!$AA$120)&gt;=$S87),$V87,$U87)))=Milestones!$AB$120),UPPER(TEXT(EDATE($D87,Milestones!$AA$120),"dd mmm yy"))&amp;" "&amp;Milestones!$AB$120&amp;" "&amp;Milestones!$AC$120&amp;";  ","")&amp;IF(AND(EDATE($D87,Milestones!$AA$121)&lt;=AsOfDate,IF($R87=0,$X87,IF(AND($T87&lt;&gt;"",EDATE($D87,Milestones!$AA$121)&gt;=$T87),$W87,IF(AND($S87&lt;&gt;"",EDATE($D87,Milestones!$AA$121)&gt;=$S87),$V87,$U87)))=Milestones!$AB$121),UPPER(TEXT(EDATE($D87,Milestones!$AA$121),"dd mmm yy"))&amp;" "&amp;Milestones!$AB$121&amp;" "&amp;Milestones!$AC$121&amp;";  ","")&amp;IF(AND(EDATE($D87,Milestones!$AA$122)&lt;=AsOfDate,IF($R87=0,$X87,IF(AND($T87&lt;&gt;"",EDATE($D87,Milestones!$AA$122)&gt;=$T87),$W87,IF(AND($S87&lt;&gt;"",EDATE($D87,Milestones!$AA$122)&gt;=$S87),$V87,$U87)))=Milestones!$AB$122),UPPER(TEXT(EDATE($D87,Milestones!$AA$122),"dd mmm yy"))&amp;" "&amp;Milestones!$AB$122&amp;" "&amp;Milestones!$AC$122&amp;";  ","")&amp;IF(AND(EDATE($D87,Milestones!$AA$123)&lt;=AsOfDate,IF($R87=0,$X87,IF(AND($T87&lt;&gt;"",EDATE($D87,Milestones!$AA$123)&gt;=$T87),$W87,IF(AND($S87&lt;&gt;"",EDATE($D87,Milestones!$AA$123)&gt;=$S87),$V87,$U87)))=Milestones!$AB$123),UPPER(TEXT(EDATE($D87,Milestones!$AA$123),"dd mmm yy"))&amp;" "&amp;Milestones!$AB$123&amp;" "&amp;Milestones!$AC$123&amp;";  ","")&amp;IF(AND(EDATE($D87,Milestones!$AA$124)&lt;=AsOfDate,IF($R87=0,$X87,IF(AND($T87&lt;&gt;"",EDATE($D87,Milestones!$AA$124)&gt;=$T87),$W87,IF(AND($S87&lt;&gt;"",EDATE($D87,Milestones!$AA$124)&gt;=$S87),$V87,$U87)))=Milestones!$AB$124),UPPER(TEXT(EDATE($D87,Milestones!$AA$124),"dd mmm yy"))&amp;" "&amp;Milestones!$AB$124&amp;" "&amp;Milestones!$AC$124&amp;";  ","")&amp;IF(AND(EDATE($D87,Milestones!$AA$125)&lt;=AsOfDate,IF($R87=0,$X87,IF(AND($T87&lt;&gt;"",EDATE($D87,Milestones!$AA$125)&gt;=$T87),$W87,IF(AND($S87&lt;&gt;"",EDATE($D87,Milestones!$AA$125)&gt;=$S87),$V87,$U87)))=Milestones!$AB$125),UPPER(TEXT(EDATE($D87,Milestones!$AA$125),"dd mmm yy"))&amp;" "&amp;Milestones!$AB$125&amp;" "&amp;Milestones!$AC$125&amp;";  ","")&amp;IF(AND(EDATE($D87,Milestones!$AA$126)&lt;=AsOfDate,IF($R87=0,$X87,IF(AND($T87&lt;&gt;"",EDATE($D87,Milestones!$AA$126)&gt;=$T87),$W87,IF(AND($S87&lt;&gt;"",EDATE($D87,Milestones!$AA$126)&gt;=$S87),$V87,$U87)))=Milestones!$AB$126),UPPER(TEXT(EDATE($D87,Milestones!$AA$126),"dd mmm yy"))&amp;" "&amp;Milestones!$AB$126&amp;" "&amp;Milestones!$AC$126&amp;";  ","")&amp;IF(AND(EDATE($D87,Milestones!$AA$127)&lt;=AsOfDate,IF($R87=0,$X87,IF(AND($T87&lt;&gt;"",EDATE($D87,Milestones!$AA$127)&gt;=$T87),$W87,IF(AND($S87&lt;&gt;"",EDATE($D87,Milestones!$AA$127)&gt;=$S87),$V87,$U87)))=Milestones!$AB$127),UPPER(TEXT(EDATE($D87,Milestones!$AA$127),"dd mmm yy"))&amp;" "&amp;Milestones!$AB$127&amp;" "&amp;Milestones!$AC$127&amp;";  ","")&amp;IF(AND(EDATE($D87,Milestones!$AA$128)&lt;=AsOfDate,IF($R87=0,$X87,IF(AND($T87&lt;&gt;"",EDATE($D87,Milestones!$AA$128)&gt;=$T87),$W87,IF(AND($S87&lt;&gt;"",EDATE($D87,Milestones!$AA$128)&gt;=$S87),$V87,$U87)))=Milestones!$AB$128),UPPER(TEXT(EDATE($D87,Milestones!$AA$128),"dd mmm yy"))&amp;" "&amp;Milestones!$AB$128&amp;" "&amp;Milestones!$AC$128&amp;";  ","")&amp;IF(AND(EDATE($D87,Milestones!$AA$129)&lt;=AsOfDate,IF($R87=0,$X87,IF(AND($T87&lt;&gt;"",EDATE($D87,Milestones!$AA$129)&gt;=$T87),$W87,IF(AND($S87&lt;&gt;"",EDATE($D87,Milestones!$AA$129)&gt;=$S87),$V87,$U87)))=Milestones!$AB$129),UPPER(TEXT(EDATE($D87,Milestones!$AA$129),"dd mmm yy"))&amp;" "&amp;Milestones!$AB$129&amp;" "&amp;Milestones!$AC$129&amp;";  ","")&amp;IF(AND(EDATE($D87,Milestones!$AA$130)&lt;=AsOfDate,IF($R87=0,$X87,IF(AND($T87&lt;&gt;"",EDATE($D87,Milestones!$AA$130)&gt;=$T87),$W87,IF(AND($S87&lt;&gt;"",EDATE($D87,Milestones!$AA$130)&gt;=$S87),$V87,$U87)))=Milestones!$AB$130),UPPER(TEXT(EDATE($D87,Milestones!$AA$130),"dd mmm yy"))&amp;" "&amp;Milestones!$AB$130&amp;" "&amp;Milestones!$AC$130&amp;";  ","")&amp;IF(AND(EDATE($D87,Milestones!$AA$131)&lt;=AsOfDate,IF($R87=0,$X87,IF(AND($T87&lt;&gt;"",EDATE($D87,Milestones!$AA$131)&gt;=$T87),$W87,IF(AND($S87&lt;&gt;"",EDATE($D87,Milestones!$AA$131)&gt;=$S87),$V87,$U87)))=Milestones!$AB$131),UPPER(TEXT(EDATE($D87,Milestones!$AA$131),"dd mmm yy"))&amp;" "&amp;Milestones!$AB$131&amp;" "&amp;Milestones!$AC$131&amp;";  ","")&amp;IF(AND(EDATE($D87,Milestones!$AA$132)&lt;=AsOfDate,IF($R87=0,$X87,IF(AND($T87&lt;&gt;"",EDATE($D87,Milestones!$AA$132)&gt;=$T87),$W87,IF(AND($S87&lt;&gt;"",EDATE($D87,Milestones!$AA$132)&gt;=$S87),$V87,$U87)))=Milestones!$AB$132),UPPER(TEXT(EDATE($D87,Milestones!$AA$132),"dd mmm yy"))&amp;" "&amp;Milestones!$AB$132&amp;" "&amp;Milestones!$AC$132&amp;";  ","")&amp;IF(AND(EDATE($D87,Milestones!$AA$133)&lt;=AsOfDate,IF($R87=0,$X87,IF(AND($T87&lt;&gt;"",EDATE($D87,Milestones!$AA$133)&gt;=$T87),$W87,IF(AND($S87&lt;&gt;"",EDATE($D87,Milestones!$AA$133)&gt;=$S87),$V87,$U87)))=Milestones!$AB$133),UPPER(TEXT(EDATE($D87,Milestones!$AA$133),"dd mmm yy"))&amp;" "&amp;Milestones!$AB$133&amp;" "&amp;Milestones!$AC$133&amp;";  ","")&amp;IF(AND(EDATE($D87,Milestones!$AA$134)&lt;=AsOfDate,IF($R87=0,$X87,IF(AND($T87&lt;&gt;"",EDATE($D87,Milestones!$AA$134)&gt;=$T87),$W87,IF(AND($S87&lt;&gt;"",EDATE($D87,Milestones!$AA$134)&gt;=$S87),$V87,$U87)))=Milestones!$AB$134),UPPER(TEXT(EDATE($D87,Milestones!$AA$134),"dd mmm yy"))&amp;" "&amp;Milestones!$AB$134&amp;" "&amp;Milestones!$AC$134&amp;";  ","")&amp;IF(AND(EDATE($D87,Milestones!$AA$135)&lt;=AsOfDate,IF($R87=0,$X87,IF(AND($T87&lt;&gt;"",EDATE($D87,Milestones!$AA$135)&gt;=$T87),$W87,IF(AND($S87&lt;&gt;"",EDATE($D87,Milestones!$AA$135)&gt;=$S87),$V87,$U87)))=Milestones!$AB$135),UPPER(TEXT(EDATE($D87,Milestones!$AA$135),"dd mmm yy"))&amp;" "&amp;Milestones!$AB$135&amp;" "&amp;Milestones!$AC$135&amp;";  ","")&amp;IF(AND(EDATE($D87,Milestones!$AA$136)&lt;=AsOfDate,IF($R87=0,$X87,IF(AND($T87&lt;&gt;"",EDATE($D87,Milestones!$AA$136)&gt;=$T87),$W87,IF(AND($S87&lt;&gt;"",EDATE($D87,Milestones!$AA$136)&gt;=$S87),$V87,$U87)))=Milestones!$AB$136),UPPER(TEXT(EDATE($D87,Milestones!$AA$136),"dd mmm yy"))&amp;" "&amp;Milestones!$AB$136&amp;" "&amp;Milestones!$AC$136&amp;";  ","")&amp;IF(AND(EDATE($D87,Milestones!$AA$137)&lt;=AsOfDate,IF($R87=0,$X87,IF(AND($T87&lt;&gt;"",EDATE($D87,Milestones!$AA$137)&gt;=$T87),$W87,IF(AND($S87&lt;&gt;"",EDATE($D87,Milestones!$AA$137)&gt;=$S87),$V87,$U87)))=Milestones!$AB$137),UPPER(TEXT(EDATE($D87,Milestones!$AA$137),"dd mmm yy"))&amp;" "&amp;Milestones!$AB$137&amp;" "&amp;Milestones!$AC$137&amp;";  ","")&amp;IF(AND(EDATE($D87,Milestones!$AA$138)&lt;=AsOfDate,IF($R87=0,$X87,IF(AND($T87&lt;&gt;"",EDATE($D87,Milestones!$AA$138)&gt;=$T87),$W87,IF(AND($S87&lt;&gt;"",EDATE($D87,Milestones!$AA$138)&gt;=$S87),$V87,$U87)))=Milestones!$AB$138),UPPER(TEXT(EDATE($D87,Milestones!$AA$138),"dd mmm yy"))&amp;" "&amp;Milestones!$AB$138&amp;" "&amp;Milestones!$AC$138&amp;";  ","")&amp;IF(AND(EDATE($D87,Milestones!$AA$139)&lt;=AsOfDate,IF($R87=0,$X87,IF(AND($T87&lt;&gt;"",EDATE($D87,Milestones!$AA$139)&gt;=$T87),$W87,IF(AND($S87&lt;&gt;"",EDATE($D87,Milestones!$AA$139)&gt;=$S87),$V87,$U87)))=Milestones!$AB$139),UPPER(TEXT(EDATE($D87,Milestones!$AA$139),"dd mmm yy"))&amp;" "&amp;Milestones!$AB$139&amp;" "&amp;Milestones!$AC$139&amp;";  ",""))</f>
        <v/>
      </c>
      <c r="O87" s="0" t="str">
        <f aca="false">IF(OR($A87="",$D87=""),"",IF(AND(EDATE($D87,Milestones!$AA$140)&lt;=AsOfDate,IF($R87=0,$X87,IF(AND($T87&lt;&gt;"",EDATE($D87,Milestones!$AA$140)&gt;=$T87),$W87,IF(AND($S87&lt;&gt;"",EDATE($D87,Milestones!$AA$140)&gt;=$S87),$V87,$U87)))=Milestones!$AB$140),UPPER(TEXT(EDATE($D87,Milestones!$AA$140),"dd mmm yy"))&amp;" "&amp;Milestones!$AB$140&amp;" "&amp;Milestones!$AC$140&amp;";  ","")&amp;IF(AND(EDATE($D87,Milestones!$AA$141)&lt;=AsOfDate,IF($R87=0,$X87,IF(AND($T87&lt;&gt;"",EDATE($D87,Milestones!$AA$141)&gt;=$T87),$W87,IF(AND($S87&lt;&gt;"",EDATE($D87,Milestones!$AA$141)&gt;=$S87),$V87,$U87)))=Milestones!$AB$141),UPPER(TEXT(EDATE($D87,Milestones!$AA$141),"dd mmm yy"))&amp;" "&amp;Milestones!$AB$141&amp;" "&amp;Milestones!$AC$141&amp;";  ","")&amp;IF(AND(EDATE($D87,Milestones!$AA$142)&lt;=AsOfDate,IF($R87=0,$X87,IF(AND($T87&lt;&gt;"",EDATE($D87,Milestones!$AA$142)&gt;=$T87),$W87,IF(AND($S87&lt;&gt;"",EDATE($D87,Milestones!$AA$142)&gt;=$S87),$V87,$U87)))=Milestones!$AB$142),UPPER(TEXT(EDATE($D87,Milestones!$AA$142),"dd mmm yy"))&amp;" "&amp;Milestones!$AB$142&amp;" "&amp;Milestones!$AC$142&amp;";  ","")&amp;IF(AND(EDATE($D87,Milestones!$AA$143)&lt;=AsOfDate,IF($R87=0,$X87,IF(AND($T87&lt;&gt;"",EDATE($D87,Milestones!$AA$143)&gt;=$T87),$W87,IF(AND($S87&lt;&gt;"",EDATE($D87,Milestones!$AA$143)&gt;=$S87),$V87,$U87)))=Milestones!$AB$143),UPPER(TEXT(EDATE($D87,Milestones!$AA$143),"dd mmm yy"))&amp;" "&amp;Milestones!$AB$143&amp;" "&amp;Milestones!$AC$143&amp;";  ","")&amp;IF(AND(EDATE($D87,Milestones!$AA$144)&lt;=AsOfDate,IF($R87=0,$X87,IF(AND($T87&lt;&gt;"",EDATE($D87,Milestones!$AA$144)&gt;=$T87),$W87,IF(AND($S87&lt;&gt;"",EDATE($D87,Milestones!$AA$144)&gt;=$S87),$V87,$U87)))=Milestones!$AB$144),UPPER(TEXT(EDATE($D87,Milestones!$AA$144),"dd mmm yy"))&amp;" "&amp;Milestones!$AB$144&amp;" "&amp;Milestones!$AC$144&amp;";  ","")&amp;IF(AND(EDATE($D87,Milestones!$AA$145)&lt;=AsOfDate,IF($R87=0,$X87,IF(AND($T87&lt;&gt;"",EDATE($D87,Milestones!$AA$145)&gt;=$T87),$W87,IF(AND($S87&lt;&gt;"",EDATE($D87,Milestones!$AA$145)&gt;=$S87),$V87,$U87)))=Milestones!$AB$145),UPPER(TEXT(EDATE($D87,Milestones!$AA$145),"dd mmm yy"))&amp;" "&amp;Milestones!$AB$145&amp;" "&amp;Milestones!$AC$145&amp;";  ","")&amp;IF(AND(EDATE($D87,Milestones!$AA$146)&lt;=AsOfDate,IF($R87=0,$X87,IF(AND($T87&lt;&gt;"",EDATE($D87,Milestones!$AA$146)&gt;=$T87),$W87,IF(AND($S87&lt;&gt;"",EDATE($D87,Milestones!$AA$146)&gt;=$S87),$V87,$U87)))=Milestones!$AB$146),UPPER(TEXT(EDATE($D87,Milestones!$AA$146),"dd mmm yy"))&amp;" "&amp;Milestones!$AB$146&amp;" "&amp;Milestones!$AC$146&amp;";  ","")&amp;IF(AND(EDATE($D87,Milestones!$AA$147)&lt;=AsOfDate,IF($R87=0,$X87,IF(AND($T87&lt;&gt;"",EDATE($D87,Milestones!$AA$147)&gt;=$T87),$W87,IF(AND($S87&lt;&gt;"",EDATE($D87,Milestones!$AA$147)&gt;=$S87),$V87,$U87)))=Milestones!$AB$147),UPPER(TEXT(EDATE($D87,Milestones!$AA$147),"dd mmm yy"))&amp;" "&amp;Milestones!$AB$147&amp;" "&amp;Milestones!$AC$147&amp;";  ","")&amp;IF(AND(EDATE($D87,Milestones!$AA$148)&lt;=AsOfDate,IF($R87=0,$X87,IF(AND($T87&lt;&gt;"",EDATE($D87,Milestones!$AA$148)&gt;=$T87),$W87,IF(AND($S87&lt;&gt;"",EDATE($D87,Milestones!$AA$148)&gt;=$S87),$V87,$U87)))=Milestones!$AB$148),UPPER(TEXT(EDATE($D87,Milestones!$AA$148),"dd mmm yy"))&amp;" "&amp;Milestones!$AB$148&amp;" "&amp;Milestones!$AC$148&amp;";  ","")&amp;IF(AND(EDATE($D87,Milestones!$AA$149)&lt;=AsOfDate,IF($R87=0,$X87,IF(AND($T87&lt;&gt;"",EDATE($D87,Milestones!$AA$149)&gt;=$T87),$W87,IF(AND($S87&lt;&gt;"",EDATE($D87,Milestones!$AA$149)&gt;=$S87),$V87,$U87)))=Milestones!$AB$149),UPPER(TEXT(EDATE($D87,Milestones!$AA$149),"dd mmm yy"))&amp;" "&amp;Milestones!$AB$149&amp;" "&amp;Milestones!$AC$149&amp;";  ","")&amp;IF(AND(EDATE($D87,Milestones!$AA$150)&lt;=AsOfDate,IF($R87=0,$X87,IF(AND($T87&lt;&gt;"",EDATE($D87,Milestones!$AA$150)&gt;=$T87),$W87,IF(AND($S87&lt;&gt;"",EDATE($D87,Milestones!$AA$150)&gt;=$S87),$V87,$U87)))=Milestones!$AB$150),UPPER(TEXT(EDATE($D87,Milestones!$AA$150),"dd mmm yy"))&amp;" "&amp;Milestones!$AB$150&amp;" "&amp;Milestones!$AC$150&amp;";  ","")&amp;IF(AND(EDATE($D87,Milestones!$AA$151)&lt;=AsOfDate,IF($R87=0,$X87,IF(AND($T87&lt;&gt;"",EDATE($D87,Milestones!$AA$151)&gt;=$T87),$W87,IF(AND($S87&lt;&gt;"",EDATE($D87,Milestones!$AA$151)&gt;=$S87),$V87,$U87)))=Milestones!$AB$151),UPPER(TEXT(EDATE($D87,Milestones!$AA$151),"dd mmm yy"))&amp;" "&amp;Milestones!$AB$151&amp;" "&amp;Milestones!$AC$151&amp;";  ","")&amp;IF(AND(EDATE($D87,Milestones!$AA$152)&lt;=AsOfDate,IF($R87=0,$X87,IF(AND($T87&lt;&gt;"",EDATE($D87,Milestones!$AA$152)&gt;=$T87),$W87,IF(AND($S87&lt;&gt;"",EDATE($D87,Milestones!$AA$152)&gt;=$S87),$V87,$U87)))=Milestones!$AB$152),UPPER(TEXT(EDATE($D87,Milestones!$AA$152),"dd mmm yy"))&amp;" "&amp;Milestones!$AB$152&amp;" "&amp;Milestones!$AC$152&amp;";  ","")&amp;IF(AND(EDATE($D87,Milestones!$AA$153)&lt;=AsOfDate,IF($R87=0,$X87,IF(AND($T87&lt;&gt;"",EDATE($D87,Milestones!$AA$153)&gt;=$T87),$W87,IF(AND($S87&lt;&gt;"",EDATE($D87,Milestones!$AA$153)&gt;=$S87),$V87,$U87)))=Milestones!$AB$153),UPPER(TEXT(EDATE($D87,Milestones!$AA$153),"dd mmm yy"))&amp;" "&amp;Milestones!$AB$153&amp;" "&amp;Milestones!$AC$153&amp;";  ","")&amp;IF(AND(EDATE($D87,Milestones!$AA$154)&lt;=AsOfDate,IF($R87=0,$X87,IF(AND($T87&lt;&gt;"",EDATE($D87,Milestones!$AA$154)&gt;=$T87),$W87,IF(AND($S87&lt;&gt;"",EDATE($D87,Milestones!$AA$154)&gt;=$S87),$V87,$U87)))=Milestones!$AB$154),UPPER(TEXT(EDATE($D87,Milestones!$AA$154),"dd mmm yy"))&amp;" "&amp;Milestones!$AB$154&amp;" "&amp;Milestones!$AC$154&amp;";  ","")&amp;IF(AND(EDATE($D87,Milestones!$AA$155)&lt;=AsOfDate,IF($R87=0,$X87,IF(AND($T87&lt;&gt;"",EDATE($D87,Milestones!$AA$155)&gt;=$T87),$W87,IF(AND($S87&lt;&gt;"",EDATE($D87,Milestones!$AA$155)&gt;=$S87),$V87,$U87)))=Milestones!$AB$155),UPPER(TEXT(EDATE($D87,Milestones!$AA$155),"dd mmm yy"))&amp;" "&amp;Milestones!$AB$155&amp;" "&amp;Milestones!$AC$155&amp;";  ","")&amp;IF(AND(EDATE($D87,Milestones!$AA$156)&lt;=AsOfDate,IF($R87=0,$X87,IF(AND($T87&lt;&gt;"",EDATE($D87,Milestones!$AA$156)&gt;=$T87),$W87,IF(AND($S87&lt;&gt;"",EDATE($D87,Milestones!$AA$156)&gt;=$S87),$V87,$U87)))=Milestones!$AB$156),UPPER(TEXT(EDATE($D87,Milestones!$AA$156),"dd mmm yy"))&amp;" "&amp;Milestones!$AB$156&amp;" "&amp;Milestones!$AC$156&amp;";  ","")&amp;IF(AND(EDATE($D87,Milestones!$AA$157)&lt;=AsOfDate,IF($R87=0,$X87,IF(AND($T87&lt;&gt;"",EDATE($D87,Milestones!$AA$157)&gt;=$T87),$W87,IF(AND($S87&lt;&gt;"",EDATE($D87,Milestones!$AA$157)&gt;=$S87),$V87,$U87)))=Milestones!$AB$157),UPPER(TEXT(EDATE($D87,Milestones!$AA$157),"dd mmm yy"))&amp;" "&amp;Milestones!$AB$157&amp;" "&amp;Milestones!$AC$157&amp;";  ","")&amp;IF(AND(EDATE($D87,Milestones!$AA$158)&lt;=AsOfDate,IF($R87=0,$X87,IF(AND($T87&lt;&gt;"",EDATE($D87,Milestones!$AA$158)&gt;=$T87),$W87,IF(AND($S87&lt;&gt;"",EDATE($D87,Milestones!$AA$158)&gt;=$S87),$V87,$U87)))=Milestones!$AB$158),UPPER(TEXT(EDATE($D87,Milestones!$AA$158),"dd mmm yy"))&amp;" "&amp;Milestones!$AB$158&amp;" "&amp;Milestones!$AC$158&amp;";  ","")&amp;IF(AND(EDATE($D87,Milestones!$AA$159)&lt;=AsOfDate,IF($R87=0,$X87,IF(AND($T87&lt;&gt;"",EDATE($D87,Milestones!$AA$159)&gt;=$T87),$W87,IF(AND($S87&lt;&gt;"",EDATE($D87,Milestones!$AA$159)&gt;=$S87),$V87,$U87)))=Milestones!$AB$159),UPPER(TEXT(EDATE($D87,Milestones!$AA$159),"dd mmm yy"))&amp;" "&amp;Milestones!$AB$159&amp;" "&amp;Milestones!$AC$159&amp;";  ",""))</f>
        <v/>
      </c>
      <c r="P87" s="0" t="str">
        <f aca="false">IF(OR($A87="",$D87=""),"",IF(AND(EDATE($D87,Milestones!$AA$160)&lt;=AsOfDate,IF($R87=0,$X87,IF(AND($T87&lt;&gt;"",EDATE($D87,Milestones!$AA$160)&gt;=$T87),$W87,IF(AND($S87&lt;&gt;"",EDATE($D87,Milestones!$AA$160)&gt;=$S87),$V87,$U87)))=Milestones!$AB$160),UPPER(TEXT(EDATE($D87,Milestones!$AA$160),"dd mmm yy"))&amp;" "&amp;Milestones!$AB$160&amp;" "&amp;Milestones!$AC$160&amp;";  ","")&amp;IF(AND(EDATE($D87,Milestones!$AA$161)&lt;=AsOfDate,IF($R87=0,$X87,IF(AND($T87&lt;&gt;"",EDATE($D87,Milestones!$AA$161)&gt;=$T87),$W87,IF(AND($S87&lt;&gt;"",EDATE($D87,Milestones!$AA$161)&gt;=$S87),$V87,$U87)))=Milestones!$AB$161),UPPER(TEXT(EDATE($D87,Milestones!$AA$161),"dd mmm yy"))&amp;" "&amp;Milestones!$AB$161&amp;" "&amp;Milestones!$AC$161&amp;";  ","")&amp;IF(AND(EDATE($D87,Milestones!$AA$162)&lt;=AsOfDate,IF($R87=0,$X87,IF(AND($T87&lt;&gt;"",EDATE($D87,Milestones!$AA$162)&gt;=$T87),$W87,IF(AND($S87&lt;&gt;"",EDATE($D87,Milestones!$AA$162)&gt;=$S87),$V87,$U87)))=Milestones!$AB$162),UPPER(TEXT(EDATE($D87,Milestones!$AA$162),"dd mmm yy"))&amp;" "&amp;Milestones!$AB$162&amp;" "&amp;Milestones!$AC$162&amp;";  ","")&amp;IF(AND(EDATE($D87,Milestones!$AA$163)&lt;=AsOfDate,IF($R87=0,$X87,IF(AND($T87&lt;&gt;"",EDATE($D87,Milestones!$AA$163)&gt;=$T87),$W87,IF(AND($S87&lt;&gt;"",EDATE($D87,Milestones!$AA$163)&gt;=$S87),$V87,$U87)))=Milestones!$AB$163),UPPER(TEXT(EDATE($D87,Milestones!$AA$163),"dd mmm yy"))&amp;" "&amp;Milestones!$AB$163&amp;" "&amp;Milestones!$AC$163&amp;";  ","")&amp;IF(AND(EDATE($D87,Milestones!$AA$164)&lt;=AsOfDate,IF($R87=0,$X87,IF(AND($T87&lt;&gt;"",EDATE($D87,Milestones!$AA$164)&gt;=$T87),$W87,IF(AND($S87&lt;&gt;"",EDATE($D87,Milestones!$AA$164)&gt;=$S87),$V87,$U87)))=Milestones!$AB$164),UPPER(TEXT(EDATE($D87,Milestones!$AA$164),"dd mmm yy"))&amp;" "&amp;Milestones!$AB$164&amp;" "&amp;Milestones!$AC$164&amp;";  ","")&amp;IF(AND(EDATE($D87,Milestones!$AA$165)&lt;=AsOfDate,IF($R87=0,$X87,IF(AND($T87&lt;&gt;"",EDATE($D87,Milestones!$AA$165)&gt;=$T87),$W87,IF(AND($S87&lt;&gt;"",EDATE($D87,Milestones!$AA$165)&gt;=$S87),$V87,$U87)))=Milestones!$AB$165),UPPER(TEXT(EDATE($D87,Milestones!$AA$165),"dd mmm yy"))&amp;" "&amp;Milestones!$AB$165&amp;" "&amp;Milestones!$AC$165&amp;";  ","")&amp;IF(AND(EDATE($D87,Milestones!$AA$166)&lt;=AsOfDate,IF($R87=0,$X87,IF(AND($T87&lt;&gt;"",EDATE($D87,Milestones!$AA$166)&gt;=$T87),$W87,IF(AND($S87&lt;&gt;"",EDATE($D87,Milestones!$AA$166)&gt;=$S87),$V87,$U87)))=Milestones!$AB$166),UPPER(TEXT(EDATE($D87,Milestones!$AA$166),"dd mmm yy"))&amp;" "&amp;Milestones!$AB$166&amp;" "&amp;Milestones!$AC$166&amp;";  ","")&amp;IF(AND(EDATE($D87,Milestones!$AA$167)&lt;=AsOfDate,IF($R87=0,$X87,IF(AND($T87&lt;&gt;"",EDATE($D87,Milestones!$AA$167)&gt;=$T87),$W87,IF(AND($S87&lt;&gt;"",EDATE($D87,Milestones!$AA$167)&gt;=$S87),$V87,$U87)))=Milestones!$AB$167),UPPER(TEXT(EDATE($D87,Milestones!$AA$167),"dd mmm yy"))&amp;" "&amp;Milestones!$AB$167&amp;" "&amp;Milestones!$AC$167&amp;";  ","")&amp;IF(AND(EDATE($D87,Milestones!$AA$168)&lt;=AsOfDate,IF($R87=0,$X87,IF(AND($T87&lt;&gt;"",EDATE($D87,Milestones!$AA$168)&gt;=$T87),$W87,IF(AND($S87&lt;&gt;"",EDATE($D87,Milestones!$AA$168)&gt;=$S87),$V87,$U87)))=Milestones!$AB$168),UPPER(TEXT(EDATE($D87,Milestones!$AA$168),"dd mmm yy"))&amp;" "&amp;Milestones!$AB$168&amp;" "&amp;Milestones!$AC$168&amp;";  ","")&amp;IF(AND(EDATE($D87,Milestones!$AA$169)&lt;=AsOfDate,IF($R87=0,$X87,IF(AND($T87&lt;&gt;"",EDATE($D87,Milestones!$AA$169)&gt;=$T87),$W87,IF(AND($S87&lt;&gt;"",EDATE($D87,Milestones!$AA$169)&gt;=$S87),$V87,$U87)))=Milestones!$AB$169),UPPER(TEXT(EDATE($D87,Milestones!$AA$169),"dd mmm yy"))&amp;" "&amp;Milestones!$AB$169&amp;" "&amp;Milestones!$AC$169&amp;";  ","")&amp;IF(AND(EDATE($D87,Milestones!$AA$170)&lt;=AsOfDate,IF($R87=0,$X87,IF(AND($T87&lt;&gt;"",EDATE($D87,Milestones!$AA$170)&gt;=$T87),$W87,IF(AND($S87&lt;&gt;"",EDATE($D87,Milestones!$AA$170)&gt;=$S87),$V87,$U87)))=Milestones!$AB$170),UPPER(TEXT(EDATE($D87,Milestones!$AA$170),"dd mmm yy"))&amp;" "&amp;Milestones!$AB$170&amp;" "&amp;Milestones!$AC$170&amp;";  ","")&amp;IF(AND(EDATE($D87,Milestones!$AA$171)&lt;=AsOfDate,IF($R87=0,$X87,IF(AND($T87&lt;&gt;"",EDATE($D87,Milestones!$AA$171)&gt;=$T87),$W87,IF(AND($S87&lt;&gt;"",EDATE($D87,Milestones!$AA$171)&gt;=$S87),$V87,$U87)))=Milestones!$AB$171),UPPER(TEXT(EDATE($D87,Milestones!$AA$171),"dd mmm yy"))&amp;" "&amp;Milestones!$AB$171&amp;" "&amp;Milestones!$AC$171&amp;";  ","")&amp;IF(AND(EDATE($D87,Milestones!$AA$172)&lt;=AsOfDate,IF($R87=0,$X87,IF(AND($T87&lt;&gt;"",EDATE($D87,Milestones!$AA$172)&gt;=$T87),$W87,IF(AND($S87&lt;&gt;"",EDATE($D87,Milestones!$AA$172)&gt;=$S87),$V87,$U87)))=Milestones!$AB$172),UPPER(TEXT(EDATE($D87,Milestones!$AA$172),"dd mmm yy"))&amp;" "&amp;Milestones!$AB$172&amp;" "&amp;Milestones!$AC$172&amp;";  ","")&amp;IF(AND(EDATE($D87,Milestones!$AA$173)&lt;=AsOfDate,IF($R87=0,$X87,IF(AND($T87&lt;&gt;"",EDATE($D87,Milestones!$AA$173)&gt;=$T87),$W87,IF(AND($S87&lt;&gt;"",EDATE($D87,Milestones!$AA$173)&gt;=$S87),$V87,$U87)))=Milestones!$AB$173),UPPER(TEXT(EDATE($D87,Milestones!$AA$173),"dd mmm yy"))&amp;" "&amp;Milestones!$AB$173&amp;" "&amp;Milestones!$AC$173&amp;";  ","")&amp;IF(AND(EDATE($D87,Milestones!$AA$174)&lt;=AsOfDate,IF($R87=0,$X87,IF(AND($T87&lt;&gt;"",EDATE($D87,Milestones!$AA$174)&gt;=$T87),$W87,IF(AND($S87&lt;&gt;"",EDATE($D87,Milestones!$AA$174)&gt;=$S87),$V87,$U87)))=Milestones!$AB$174),UPPER(TEXT(EDATE($D87,Milestones!$AA$174),"dd mmm yy"))&amp;" "&amp;Milestones!$AB$174&amp;" "&amp;Milestones!$AC$174&amp;";  ","")&amp;IF(AND(EDATE($D87,Milestones!$AA$175)&lt;=AsOfDate,IF($R87=0,$X87,IF(AND($T87&lt;&gt;"",EDATE($D87,Milestones!$AA$175)&gt;=$T87),$W87,IF(AND($S87&lt;&gt;"",EDATE($D87,Milestones!$AA$175)&gt;=$S87),$V87,$U87)))=Milestones!$AB$175),UPPER(TEXT(EDATE($D87,Milestones!$AA$175),"dd mmm yy"))&amp;" "&amp;Milestones!$AB$175&amp;" "&amp;Milestones!$AC$175&amp;";  ","")&amp;IF(AND(EDATE($D87,Milestones!$AA$176)&lt;=AsOfDate,IF($R87=0,$X87,IF(AND($T87&lt;&gt;"",EDATE($D87,Milestones!$AA$176)&gt;=$T87),$W87,IF(AND($S87&lt;&gt;"",EDATE($D87,Milestones!$AA$176)&gt;=$S87),$V87,$U87)))=Milestones!$AB$176),UPPER(TEXT(EDATE($D87,Milestones!$AA$176),"dd mmm yy"))&amp;" "&amp;Milestones!$AB$176&amp;" "&amp;Milestones!$AC$176&amp;";  ","")&amp;IF(AND(EDATE($D87,Milestones!$AA$177)&lt;=AsOfDate,IF($R87=0,$X87,IF(AND($T87&lt;&gt;"",EDATE($D87,Milestones!$AA$177)&gt;=$T87),$W87,IF(AND($S87&lt;&gt;"",EDATE($D87,Milestones!$AA$177)&gt;=$S87),$V87,$U87)))=Milestones!$AB$177),UPPER(TEXT(EDATE($D87,Milestones!$AA$177),"dd mmm yy"))&amp;" "&amp;Milestones!$AB$177&amp;" "&amp;Milestones!$AC$177&amp;";  ","")&amp;IF(AND(EDATE($D87,Milestones!$AA$178)&lt;=AsOfDate,IF($R87=0,$X87,IF(AND($T87&lt;&gt;"",EDATE($D87,Milestones!$AA$178)&gt;=$T87),$W87,IF(AND($S87&lt;&gt;"",EDATE($D87,Milestones!$AA$178)&gt;=$S87),$V87,$U87)))=Milestones!$AB$178),UPPER(TEXT(EDATE($D87,Milestones!$AA$178),"dd mmm yy"))&amp;" "&amp;Milestones!$AB$178&amp;" "&amp;Milestones!$AC$178&amp;";  ","")&amp;IF(AND(EDATE($D87,Milestones!$AA$179)&lt;=AsOfDate,IF($R87=0,$X87,IF(AND($T87&lt;&gt;"",EDATE($D87,Milestones!$AA$179)&gt;=$T87),$W87,IF(AND($S87&lt;&gt;"",EDATE($D87,Milestones!$AA$179)&gt;=$S87),$V87,$U87)))=Milestones!$AB$179),UPPER(TEXT(EDATE($D87,Milestones!$AA$179),"dd mmm yy"))&amp;" "&amp;Milestones!$AB$179&amp;" "&amp;Milestones!$AC$179&amp;";  ",""))</f>
        <v/>
      </c>
      <c r="Q87" s="0" t="str">
        <f aca="false">IF(OR($A87="",$D87=""),"",IF(AND(EDATE($D87,Milestones!$AA$180)&lt;=AsOfDate,IF($R87=0,$X87,IF(AND($T87&lt;&gt;"",EDATE($D87,Milestones!$AA$180)&gt;=$T87),$W87,IF(AND($S87&lt;&gt;"",EDATE($D87,Milestones!$AA$180)&gt;=$S87),$V87,$U87)))=Milestones!$AB$180),UPPER(TEXT(EDATE($D87,Milestones!$AA$180),"dd mmm yy"))&amp;" "&amp;Milestones!$AB$180&amp;" "&amp;Milestones!$AC$180&amp;";  ","")&amp;IF(AND(EDATE($D87,Milestones!$AA$181)&lt;=AsOfDate,IF($R87=0,$X87,IF(AND($T87&lt;&gt;"",EDATE($D87,Milestones!$AA$181)&gt;=$T87),$W87,IF(AND($S87&lt;&gt;"",EDATE($D87,Milestones!$AA$181)&gt;=$S87),$V87,$U87)))=Milestones!$AB$181),UPPER(TEXT(EDATE($D87,Milestones!$AA$181),"dd mmm yy"))&amp;" "&amp;Milestones!$AB$181&amp;" "&amp;Milestones!$AC$181&amp;";  ","")&amp;IF(AND(EDATE($D87,Milestones!$AA$182)&lt;=AsOfDate,IF($R87=0,$X87,IF(AND($T87&lt;&gt;"",EDATE($D87,Milestones!$AA$182)&gt;=$T87),$W87,IF(AND($S87&lt;&gt;"",EDATE($D87,Milestones!$AA$182)&gt;=$S87),$V87,$U87)))=Milestones!$AB$182),UPPER(TEXT(EDATE($D87,Milestones!$AA$182),"dd mmm yy"))&amp;" "&amp;Milestones!$AB$182&amp;" "&amp;Milestones!$AC$182&amp;";  ","")&amp;IF(AND(EDATE($D87,Milestones!$AA$183)&lt;=AsOfDate,IF($R87=0,$X87,IF(AND($T87&lt;&gt;"",EDATE($D87,Milestones!$AA$183)&gt;=$T87),$W87,IF(AND($S87&lt;&gt;"",EDATE($D87,Milestones!$AA$183)&gt;=$S87),$V87,$U87)))=Milestones!$AB$183),UPPER(TEXT(EDATE($D87,Milestones!$AA$183),"dd mmm yy"))&amp;" "&amp;Milestones!$AB$183&amp;" "&amp;Milestones!$AC$183&amp;";  ","")&amp;IF(AND(EDATE($D87,Milestones!$AA$184)&lt;=AsOfDate,IF($R87=0,$X87,IF(AND($T87&lt;&gt;"",EDATE($D87,Milestones!$AA$184)&gt;=$T87),$W87,IF(AND($S87&lt;&gt;"",EDATE($D87,Milestones!$AA$184)&gt;=$S87),$V87,$U87)))=Milestones!$AB$184),UPPER(TEXT(EDATE($D87,Milestones!$AA$184),"dd mmm yy"))&amp;" "&amp;Milestones!$AB$184&amp;" "&amp;Milestones!$AC$184&amp;";  ","")&amp;IF(AND(EDATE($D87,Milestones!$AA$185)&lt;=AsOfDate,IF($R87=0,$X87,IF(AND($T87&lt;&gt;"",EDATE($D87,Milestones!$AA$185)&gt;=$T87),$W87,IF(AND($S87&lt;&gt;"",EDATE($D87,Milestones!$AA$185)&gt;=$S87),$V87,$U87)))=Milestones!$AB$185),UPPER(TEXT(EDATE($D87,Milestones!$AA$185),"dd mmm yy"))&amp;" "&amp;Milestones!$AB$185&amp;" "&amp;Milestones!$AC$185&amp;";  ","")&amp;IF(AND(EDATE($D87,Milestones!$AA$186)&lt;=AsOfDate,IF($R87=0,$X87,IF(AND($T87&lt;&gt;"",EDATE($D87,Milestones!$AA$186)&gt;=$T87),$W87,IF(AND($S87&lt;&gt;"",EDATE($D87,Milestones!$AA$186)&gt;=$S87),$V87,$U87)))=Milestones!$AB$186),UPPER(TEXT(EDATE($D87,Milestones!$AA$186),"dd mmm yy"))&amp;" "&amp;Milestones!$AB$186&amp;" "&amp;Milestones!$AC$186&amp;";  ","")&amp;IF(AND(EDATE($D87,Milestones!$AA$187)&lt;=AsOfDate,IF($R87=0,$X87,IF(AND($T87&lt;&gt;"",EDATE($D87,Milestones!$AA$187)&gt;=$T87),$W87,IF(AND($S87&lt;&gt;"",EDATE($D87,Milestones!$AA$187)&gt;=$S87),$V87,$U87)))=Milestones!$AB$187),UPPER(TEXT(EDATE($D87,Milestones!$AA$187),"dd mmm yy"))&amp;" "&amp;Milestones!$AB$187&amp;" "&amp;Milestones!$AC$187&amp;";  ","")&amp;IF(AND(EDATE($D87,Milestones!$AA$188)&lt;=AsOfDate,IF($R87=0,$X87,IF(AND($T87&lt;&gt;"",EDATE($D87,Milestones!$AA$188)&gt;=$T87),$W87,IF(AND($S87&lt;&gt;"",EDATE($D87,Milestones!$AA$188)&gt;=$S87),$V87,$U87)))=Milestones!$AB$188),UPPER(TEXT(EDATE($D87,Milestones!$AA$188),"dd mmm yy"))&amp;" "&amp;Milestones!$AB$188&amp;" "&amp;Milestones!$AC$188&amp;";  ","")&amp;IF(AND(EDATE($D87,Milestones!$AA$189)&lt;=AsOfDate,IF($R87=0,$X87,IF(AND($T87&lt;&gt;"",EDATE($D87,Milestones!$AA$189)&gt;=$T87),$W87,IF(AND($S87&lt;&gt;"",EDATE($D87,Milestones!$AA$189)&gt;=$S87),$V87,$U87)))=Milestones!$AB$189),UPPER(TEXT(EDATE($D87,Milestones!$AA$189),"dd mmm yy"))&amp;" "&amp;Milestones!$AB$189&amp;" "&amp;Milestones!$AC$189&amp;";  ","")&amp;IF(AND(EDATE($D87,Milestones!$AA$190)&lt;=AsOfDate,IF($R87=0,$X87,IF(AND($T87&lt;&gt;"",EDATE($D87,Milestones!$AA$190)&gt;=$T87),$W87,IF(AND($S87&lt;&gt;"",EDATE($D87,Milestones!$AA$190)&gt;=$S87),$V87,$U87)))=Milestones!$AB$190),UPPER(TEXT(EDATE($D87,Milestones!$AA$190),"dd mmm yy"))&amp;" "&amp;Milestones!$AB$190&amp;" "&amp;Milestones!$AC$190&amp;";  ","")&amp;IF(AND(EDATE($D87,Milestones!$AA$191)&lt;=AsOfDate,IF($R87=0,$X87,IF(AND($T87&lt;&gt;"",EDATE($D87,Milestones!$AA$191)&gt;=$T87),$W87,IF(AND($S87&lt;&gt;"",EDATE($D87,Milestones!$AA$191)&gt;=$S87),$V87,$U87)))=Milestones!$AB$191),UPPER(TEXT(EDATE($D87,Milestones!$AA$191),"dd mmm yy"))&amp;" "&amp;Milestones!$AB$191&amp;" "&amp;Milestones!$AC$191&amp;";  ","")&amp;IF(AND(EDATE($D87,Milestones!$AA$192)&lt;=AsOfDate,IF($R87=0,$X87,IF(AND($T87&lt;&gt;"",EDATE($D87,Milestones!$AA$192)&gt;=$T87),$W87,IF(AND($S87&lt;&gt;"",EDATE($D87,Milestones!$AA$192)&gt;=$S87),$V87,$U87)))=Milestones!$AB$192),UPPER(TEXT(EDATE($D87,Milestones!$AA$192),"dd mmm yy"))&amp;" "&amp;Milestones!$AB$192&amp;" "&amp;Milestones!$AC$192&amp;";  ","")&amp;IF(AND(EDATE($D87,Milestones!$AA$193)&lt;=AsOfDate,IF($R87=0,$X87,IF(AND($T87&lt;&gt;"",EDATE($D87,Milestones!$AA$193)&gt;=$T87),$W87,IF(AND($S87&lt;&gt;"",EDATE($D87,Milestones!$AA$193)&gt;=$S87),$V87,$U87)))=Milestones!$AB$193),UPPER(TEXT(EDATE($D87,Milestones!$AA$193),"dd mmm yy"))&amp;" "&amp;Milestones!$AB$193&amp;" "&amp;Milestones!$AC$193&amp;";  ","")&amp;IF(AND(EDATE($D87,Milestones!$AA$194)&lt;=AsOfDate,IF($R87=0,$X87,IF(AND($T87&lt;&gt;"",EDATE($D87,Milestones!$AA$194)&gt;=$T87),$W87,IF(AND($S87&lt;&gt;"",EDATE($D87,Milestones!$AA$194)&gt;=$S87),$V87,$U87)))=Milestones!$AB$194),UPPER(TEXT(EDATE($D87,Milestones!$AA$194),"dd mmm yy"))&amp;" "&amp;Milestones!$AB$194&amp;" "&amp;Milestones!$AC$194&amp;";  ","")&amp;IF(AND(EDATE($D87,Milestones!$AA$195)&lt;=AsOfDate,IF($R87=0,$X87,IF(AND($T87&lt;&gt;"",EDATE($D87,Milestones!$AA$195)&gt;=$T87),$W87,IF(AND($S87&lt;&gt;"",EDATE($D87,Milestones!$AA$195)&gt;=$S87),$V87,$U87)))=Milestones!$AB$195),UPPER(TEXT(EDATE($D87,Milestones!$AA$195),"dd mmm yy"))&amp;" "&amp;Milestones!$AB$195&amp;" "&amp;Milestones!$AC$195&amp;";  ","")&amp;IF(AND(EDATE($D87,Milestones!$AA$196)&lt;=AsOfDate,IF($R87=0,$X87,IF(AND($T87&lt;&gt;"",EDATE($D87,Milestones!$AA$196)&gt;=$T87),$W87,IF(AND($S87&lt;&gt;"",EDATE($D87,Milestones!$AA$196)&gt;=$S87),$V87,$U87)))=Milestones!$AB$196),UPPER(TEXT(EDATE($D87,Milestones!$AA$196),"dd mmm yy"))&amp;" "&amp;Milestones!$AB$196&amp;" "&amp;Milestones!$AC$196&amp;";  ","")&amp;IF(AND(EDATE($D87,Milestones!$AA$197)&lt;=AsOfDate,IF($R87=0,$X87,IF(AND($T87&lt;&gt;"",EDATE($D87,Milestones!$AA$197)&gt;=$T87),$W87,IF(AND($S87&lt;&gt;"",EDATE($D87,Milestones!$AA$197)&gt;=$S87),$V87,$U87)))=Milestones!$AB$197),UPPER(TEXT(EDATE($D87,Milestones!$AA$197),"dd mmm yy"))&amp;" "&amp;Milestones!$AB$197&amp;" "&amp;Milestones!$AC$197&amp;";  ","")&amp;IF(AND(EDATE($D87,Milestones!$AA$198)&lt;=AsOfDate,IF($R87=0,$X87,IF(AND($T87&lt;&gt;"",EDATE($D87,Milestones!$AA$198)&gt;=$T87),$W87,IF(AND($S87&lt;&gt;"",EDATE($D87,Milestones!$AA$198)&gt;=$S87),$V87,$U87)))=Milestones!$AB$198),UPPER(TEXT(EDATE($D87,Milestones!$AA$198),"dd mmm yy"))&amp;" "&amp;Milestones!$AB$198&amp;" "&amp;Milestones!$AC$198&amp;";  ","")&amp;IF(AND(EDATE($D87,Milestones!$AA$199)&lt;=AsOfDate,IF($R87=0,$X87,IF(AND($T87&lt;&gt;"",EDATE($D87,Milestones!$AA$199)&gt;=$T87),$W87,IF(AND($S87&lt;&gt;"",EDATE($D87,Milestones!$AA$199)&gt;=$S87),$V87,$U87)))=Milestones!$AB$199),UPPER(TEXT(EDATE($D87,Milestones!$AA$199),"dd mmm yy"))&amp;" "&amp;Milestones!$AB$199&amp;" "&amp;Milestones!$AC$199&amp;";  ",""))</f>
        <v/>
      </c>
      <c r="R87" s="0" t="str">
        <f aca="false">IF(Staff!$A87="","",Staff!$AI87)</f>
        <v/>
      </c>
      <c r="S87" s="0" t="str">
        <f aca="false">IF(Staff!$A87="","",Staff!$AK87)</f>
        <v/>
      </c>
      <c r="T87" s="0" t="str">
        <f aca="false">IF(Staff!$A87="","",Staff!$AL87)</f>
        <v/>
      </c>
      <c r="U87" s="0" t="str">
        <f aca="false">IF(Staff!$A87="","",Staff!$AP87)</f>
        <v/>
      </c>
      <c r="V87" s="0" t="str">
        <f aca="false">IF(Staff!$A87="","",Staff!$AQ87)</f>
        <v/>
      </c>
      <c r="W87" s="0" t="str">
        <f aca="false">IF(Staff!$A87="","",Staff!$AR87)</f>
        <v/>
      </c>
      <c r="X87" s="0" t="str">
        <f aca="false">IF(Staff!$A87="","",Staff!$AS87)</f>
        <v/>
      </c>
    </row>
    <row r="88" customFormat="false" ht="15" hidden="false" customHeight="false" outlineLevel="0" collapsed="false">
      <c r="A88" s="14" t="str">
        <f aca="false">IF(Staff!$A88="","",Staff!$A88)</f>
        <v/>
      </c>
      <c r="B88" s="14" t="str">
        <f aca="false">IF(Staff!$A88="","",Staff!$B88)</f>
        <v/>
      </c>
      <c r="C88" s="14" t="str">
        <f aca="false">IF(Staff!$A88="","",Staff!$C88)</f>
        <v/>
      </c>
      <c r="D88" s="12" t="str">
        <f aca="false">IF(Staff!$A88="","",Staff!$AH88)</f>
        <v/>
      </c>
      <c r="E88" s="14" t="str">
        <f aca="false">IF(Staff!$A88="","",Staff!$O88)</f>
        <v/>
      </c>
      <c r="F88" s="14" t="str">
        <f aca="false">IF(E88="","",E88*HoursPerDay)</f>
        <v/>
      </c>
      <c r="G88" s="14" t="str">
        <f aca="false">IF(Staff!$A88="","",Staff!$AE88)</f>
        <v/>
      </c>
      <c r="H88" s="26" t="str">
        <f aca="false">IF($A88="","",I88&amp;J88&amp;K88&amp;L88&amp;M88&amp;N88&amp;O88&amp;P88&amp;Q88)</f>
        <v/>
      </c>
      <c r="I88" s="0" t="str">
        <f aca="false">IF(OR($A88="",$D88=""),"",IF(AND(EDATE($D88,Milestones!$AA$20)&lt;=AsOfDate,IF($R88=0,$X88,IF(AND($T88&lt;&gt;"",EDATE($D88,Milestones!$AA$20)&gt;=$T88),$W88,IF(AND($S88&lt;&gt;"",EDATE($D88,Milestones!$AA$20)&gt;=$S88),$V88,$U88)))=Milestones!$AB$20),UPPER(TEXT(EDATE($D88,Milestones!$AA$20),"dd mmm yy"))&amp;" "&amp;Milestones!$AB$20&amp;" "&amp;Milestones!$AC$20&amp;";  ","")&amp;IF(AND(EDATE($D88,Milestones!$AA$21)&lt;=AsOfDate,IF($R88=0,$X88,IF(AND($T88&lt;&gt;"",EDATE($D88,Milestones!$AA$21)&gt;=$T88),$W88,IF(AND($S88&lt;&gt;"",EDATE($D88,Milestones!$AA$21)&gt;=$S88),$V88,$U88)))=Milestones!$AB$21),UPPER(TEXT(EDATE($D88,Milestones!$AA$21),"dd mmm yy"))&amp;" "&amp;Milestones!$AB$21&amp;" "&amp;Milestones!$AC$21&amp;";  ","")&amp;IF(AND(EDATE($D88,Milestones!$AA$22)&lt;=AsOfDate,IF($R88=0,$X88,IF(AND($T88&lt;&gt;"",EDATE($D88,Milestones!$AA$22)&gt;=$T88),$W88,IF(AND($S88&lt;&gt;"",EDATE($D88,Milestones!$AA$22)&gt;=$S88),$V88,$U88)))=Milestones!$AB$22),UPPER(TEXT(EDATE($D88,Milestones!$AA$22),"dd mmm yy"))&amp;" "&amp;Milestones!$AB$22&amp;" "&amp;Milestones!$AC$22&amp;";  ","")&amp;IF(AND(EDATE($D88,Milestones!$AA$23)&lt;=AsOfDate,IF($R88=0,$X88,IF(AND($T88&lt;&gt;"",EDATE($D88,Milestones!$AA$23)&gt;=$T88),$W88,IF(AND($S88&lt;&gt;"",EDATE($D88,Milestones!$AA$23)&gt;=$S88),$V88,$U88)))=Milestones!$AB$23),UPPER(TEXT(EDATE($D88,Milestones!$AA$23),"dd mmm yy"))&amp;" "&amp;Milestones!$AB$23&amp;" "&amp;Milestones!$AC$23&amp;";  ","")&amp;IF(AND(EDATE($D88,Milestones!$AA$24)&lt;=AsOfDate,IF($R88=0,$X88,IF(AND($T88&lt;&gt;"",EDATE($D88,Milestones!$AA$24)&gt;=$T88),$W88,IF(AND($S88&lt;&gt;"",EDATE($D88,Milestones!$AA$24)&gt;=$S88),$V88,$U88)))=Milestones!$AB$24),UPPER(TEXT(EDATE($D88,Milestones!$AA$24),"dd mmm yy"))&amp;" "&amp;Milestones!$AB$24&amp;" "&amp;Milestones!$AC$24&amp;";  ","")&amp;IF(AND(EDATE($D88,Milestones!$AA$25)&lt;=AsOfDate,IF($R88=0,$X88,IF(AND($T88&lt;&gt;"",EDATE($D88,Milestones!$AA$25)&gt;=$T88),$W88,IF(AND($S88&lt;&gt;"",EDATE($D88,Milestones!$AA$25)&gt;=$S88),$V88,$U88)))=Milestones!$AB$25),UPPER(TEXT(EDATE($D88,Milestones!$AA$25),"dd mmm yy"))&amp;" "&amp;Milestones!$AB$25&amp;" "&amp;Milestones!$AC$25&amp;";  ","")&amp;IF(AND(EDATE($D88,Milestones!$AA$26)&lt;=AsOfDate,IF($R88=0,$X88,IF(AND($T88&lt;&gt;"",EDATE($D88,Milestones!$AA$26)&gt;=$T88),$W88,IF(AND($S88&lt;&gt;"",EDATE($D88,Milestones!$AA$26)&gt;=$S88),$V88,$U88)))=Milestones!$AB$26),UPPER(TEXT(EDATE($D88,Milestones!$AA$26),"dd mmm yy"))&amp;" "&amp;Milestones!$AB$26&amp;" "&amp;Milestones!$AC$26&amp;";  ","")&amp;IF(AND(EDATE($D88,Milestones!$AA$27)&lt;=AsOfDate,IF($R88=0,$X88,IF(AND($T88&lt;&gt;"",EDATE($D88,Milestones!$AA$27)&gt;=$T88),$W88,IF(AND($S88&lt;&gt;"",EDATE($D88,Milestones!$AA$27)&gt;=$S88),$V88,$U88)))=Milestones!$AB$27),UPPER(TEXT(EDATE($D88,Milestones!$AA$27),"dd mmm yy"))&amp;" "&amp;Milestones!$AB$27&amp;" "&amp;Milestones!$AC$27&amp;";  ","")&amp;IF(AND(EDATE($D88,Milestones!$AA$28)&lt;=AsOfDate,IF($R88=0,$X88,IF(AND($T88&lt;&gt;"",EDATE($D88,Milestones!$AA$28)&gt;=$T88),$W88,IF(AND($S88&lt;&gt;"",EDATE($D88,Milestones!$AA$28)&gt;=$S88),$V88,$U88)))=Milestones!$AB$28),UPPER(TEXT(EDATE($D88,Milestones!$AA$28),"dd mmm yy"))&amp;" "&amp;Milestones!$AB$28&amp;" "&amp;Milestones!$AC$28&amp;";  ","")&amp;IF(AND(EDATE($D88,Milestones!$AA$29)&lt;=AsOfDate,IF($R88=0,$X88,IF(AND($T88&lt;&gt;"",EDATE($D88,Milestones!$AA$29)&gt;=$T88),$W88,IF(AND($S88&lt;&gt;"",EDATE($D88,Milestones!$AA$29)&gt;=$S88),$V88,$U88)))=Milestones!$AB$29),UPPER(TEXT(EDATE($D88,Milestones!$AA$29),"dd mmm yy"))&amp;" "&amp;Milestones!$AB$29&amp;" "&amp;Milestones!$AC$29&amp;";  ","")&amp;IF(AND(EDATE($D88,Milestones!$AA$30)&lt;=AsOfDate,IF($R88=0,$X88,IF(AND($T88&lt;&gt;"",EDATE($D88,Milestones!$AA$30)&gt;=$T88),$W88,IF(AND($S88&lt;&gt;"",EDATE($D88,Milestones!$AA$30)&gt;=$S88),$V88,$U88)))=Milestones!$AB$30),UPPER(TEXT(EDATE($D88,Milestones!$AA$30),"dd mmm yy"))&amp;" "&amp;Milestones!$AB$30&amp;" "&amp;Milestones!$AC$30&amp;";  ","")&amp;IF(AND(EDATE($D88,Milestones!$AA$31)&lt;=AsOfDate,IF($R88=0,$X88,IF(AND($T88&lt;&gt;"",EDATE($D88,Milestones!$AA$31)&gt;=$T88),$W88,IF(AND($S88&lt;&gt;"",EDATE($D88,Milestones!$AA$31)&gt;=$S88),$V88,$U88)))=Milestones!$AB$31),UPPER(TEXT(EDATE($D88,Milestones!$AA$31),"dd mmm yy"))&amp;" "&amp;Milestones!$AB$31&amp;" "&amp;Milestones!$AC$31&amp;";  ","")&amp;IF(AND(EDATE($D88,Milestones!$AA$32)&lt;=AsOfDate,IF($R88=0,$X88,IF(AND($T88&lt;&gt;"",EDATE($D88,Milestones!$AA$32)&gt;=$T88),$W88,IF(AND($S88&lt;&gt;"",EDATE($D88,Milestones!$AA$32)&gt;=$S88),$V88,$U88)))=Milestones!$AB$32),UPPER(TEXT(EDATE($D88,Milestones!$AA$32),"dd mmm yy"))&amp;" "&amp;Milestones!$AB$32&amp;" "&amp;Milestones!$AC$32&amp;";  ","")&amp;IF(AND(EDATE($D88,Milestones!$AA$33)&lt;=AsOfDate,IF($R88=0,$X88,IF(AND($T88&lt;&gt;"",EDATE($D88,Milestones!$AA$33)&gt;=$T88),$W88,IF(AND($S88&lt;&gt;"",EDATE($D88,Milestones!$AA$33)&gt;=$S88),$V88,$U88)))=Milestones!$AB$33),UPPER(TEXT(EDATE($D88,Milestones!$AA$33),"dd mmm yy"))&amp;" "&amp;Milestones!$AB$33&amp;" "&amp;Milestones!$AC$33&amp;";  ","")&amp;IF(AND(EDATE($D88,Milestones!$AA$34)&lt;=AsOfDate,IF($R88=0,$X88,IF(AND($T88&lt;&gt;"",EDATE($D88,Milestones!$AA$34)&gt;=$T88),$W88,IF(AND($S88&lt;&gt;"",EDATE($D88,Milestones!$AA$34)&gt;=$S88),$V88,$U88)))=Milestones!$AB$34),UPPER(TEXT(EDATE($D88,Milestones!$AA$34),"dd mmm yy"))&amp;" "&amp;Milestones!$AB$34&amp;" "&amp;Milestones!$AC$34&amp;";  ","")&amp;IF(AND(EDATE($D88,Milestones!$AA$35)&lt;=AsOfDate,IF($R88=0,$X88,IF(AND($T88&lt;&gt;"",EDATE($D88,Milestones!$AA$35)&gt;=$T88),$W88,IF(AND($S88&lt;&gt;"",EDATE($D88,Milestones!$AA$35)&gt;=$S88),$V88,$U88)))=Milestones!$AB$35),UPPER(TEXT(EDATE($D88,Milestones!$AA$35),"dd mmm yy"))&amp;" "&amp;Milestones!$AB$35&amp;" "&amp;Milestones!$AC$35&amp;";  ","")&amp;IF(AND(EDATE($D88,Milestones!$AA$36)&lt;=AsOfDate,IF($R88=0,$X88,IF(AND($T88&lt;&gt;"",EDATE($D88,Milestones!$AA$36)&gt;=$T88),$W88,IF(AND($S88&lt;&gt;"",EDATE($D88,Milestones!$AA$36)&gt;=$S88),$V88,$U88)))=Milestones!$AB$36),UPPER(TEXT(EDATE($D88,Milestones!$AA$36),"dd mmm yy"))&amp;" "&amp;Milestones!$AB$36&amp;" "&amp;Milestones!$AC$36&amp;";  ","")&amp;IF(AND(EDATE($D88,Milestones!$AA$37)&lt;=AsOfDate,IF($R88=0,$X88,IF(AND($T88&lt;&gt;"",EDATE($D88,Milestones!$AA$37)&gt;=$T88),$W88,IF(AND($S88&lt;&gt;"",EDATE($D88,Milestones!$AA$37)&gt;=$S88),$V88,$U88)))=Milestones!$AB$37),UPPER(TEXT(EDATE($D88,Milestones!$AA$37),"dd mmm yy"))&amp;" "&amp;Milestones!$AB$37&amp;" "&amp;Milestones!$AC$37&amp;";  ","")&amp;IF(AND(EDATE($D88,Milestones!$AA$38)&lt;=AsOfDate,IF($R88=0,$X88,IF(AND($T88&lt;&gt;"",EDATE($D88,Milestones!$AA$38)&gt;=$T88),$W88,IF(AND($S88&lt;&gt;"",EDATE($D88,Milestones!$AA$38)&gt;=$S88),$V88,$U88)))=Milestones!$AB$38),UPPER(TEXT(EDATE($D88,Milestones!$AA$38),"dd mmm yy"))&amp;" "&amp;Milestones!$AB$38&amp;" "&amp;Milestones!$AC$38&amp;";  ","")&amp;IF(AND(EDATE($D88,Milestones!$AA$39)&lt;=AsOfDate,IF($R88=0,$X88,IF(AND($T88&lt;&gt;"",EDATE($D88,Milestones!$AA$39)&gt;=$T88),$W88,IF(AND($S88&lt;&gt;"",EDATE($D88,Milestones!$AA$39)&gt;=$S88),$V88,$U88)))=Milestones!$AB$39),UPPER(TEXT(EDATE($D88,Milestones!$AA$39),"dd mmm yy"))&amp;" "&amp;Milestones!$AB$39&amp;" "&amp;Milestones!$AC$39&amp;";  ",""))</f>
        <v/>
      </c>
      <c r="J88" s="0" t="str">
        <f aca="false">IF(OR($A88="",$D88=""),"",IF(AND(EDATE($D88,Milestones!$AA$40)&lt;=AsOfDate,IF($R88=0,$X88,IF(AND($T88&lt;&gt;"",EDATE($D88,Milestones!$AA$40)&gt;=$T88),$W88,IF(AND($S88&lt;&gt;"",EDATE($D88,Milestones!$AA$40)&gt;=$S88),$V88,$U88)))=Milestones!$AB$40),UPPER(TEXT(EDATE($D88,Milestones!$AA$40),"dd mmm yy"))&amp;" "&amp;Milestones!$AB$40&amp;" "&amp;Milestones!$AC$40&amp;";  ","")&amp;IF(AND(EDATE($D88,Milestones!$AA$41)&lt;=AsOfDate,IF($R88=0,$X88,IF(AND($T88&lt;&gt;"",EDATE($D88,Milestones!$AA$41)&gt;=$T88),$W88,IF(AND($S88&lt;&gt;"",EDATE($D88,Milestones!$AA$41)&gt;=$S88),$V88,$U88)))=Milestones!$AB$41),UPPER(TEXT(EDATE($D88,Milestones!$AA$41),"dd mmm yy"))&amp;" "&amp;Milestones!$AB$41&amp;" "&amp;Milestones!$AC$41&amp;";  ","")&amp;IF(AND(EDATE($D88,Milestones!$AA$42)&lt;=AsOfDate,IF($R88=0,$X88,IF(AND($T88&lt;&gt;"",EDATE($D88,Milestones!$AA$42)&gt;=$T88),$W88,IF(AND($S88&lt;&gt;"",EDATE($D88,Milestones!$AA$42)&gt;=$S88),$V88,$U88)))=Milestones!$AB$42),UPPER(TEXT(EDATE($D88,Milestones!$AA$42),"dd mmm yy"))&amp;" "&amp;Milestones!$AB$42&amp;" "&amp;Milestones!$AC$42&amp;";  ","")&amp;IF(AND(EDATE($D88,Milestones!$AA$43)&lt;=AsOfDate,IF($R88=0,$X88,IF(AND($T88&lt;&gt;"",EDATE($D88,Milestones!$AA$43)&gt;=$T88),$W88,IF(AND($S88&lt;&gt;"",EDATE($D88,Milestones!$AA$43)&gt;=$S88),$V88,$U88)))=Milestones!$AB$43),UPPER(TEXT(EDATE($D88,Milestones!$AA$43),"dd mmm yy"))&amp;" "&amp;Milestones!$AB$43&amp;" "&amp;Milestones!$AC$43&amp;";  ","")&amp;IF(AND(EDATE($D88,Milestones!$AA$44)&lt;=AsOfDate,IF($R88=0,$X88,IF(AND($T88&lt;&gt;"",EDATE($D88,Milestones!$AA$44)&gt;=$T88),$W88,IF(AND($S88&lt;&gt;"",EDATE($D88,Milestones!$AA$44)&gt;=$S88),$V88,$U88)))=Milestones!$AB$44),UPPER(TEXT(EDATE($D88,Milestones!$AA$44),"dd mmm yy"))&amp;" "&amp;Milestones!$AB$44&amp;" "&amp;Milestones!$AC$44&amp;";  ","")&amp;IF(AND(EDATE($D88,Milestones!$AA$45)&lt;=AsOfDate,IF($R88=0,$X88,IF(AND($T88&lt;&gt;"",EDATE($D88,Milestones!$AA$45)&gt;=$T88),$W88,IF(AND($S88&lt;&gt;"",EDATE($D88,Milestones!$AA$45)&gt;=$S88),$V88,$U88)))=Milestones!$AB$45),UPPER(TEXT(EDATE($D88,Milestones!$AA$45),"dd mmm yy"))&amp;" "&amp;Milestones!$AB$45&amp;" "&amp;Milestones!$AC$45&amp;";  ","")&amp;IF(AND(EDATE($D88,Milestones!$AA$46)&lt;=AsOfDate,IF($R88=0,$X88,IF(AND($T88&lt;&gt;"",EDATE($D88,Milestones!$AA$46)&gt;=$T88),$W88,IF(AND($S88&lt;&gt;"",EDATE($D88,Milestones!$AA$46)&gt;=$S88),$V88,$U88)))=Milestones!$AB$46),UPPER(TEXT(EDATE($D88,Milestones!$AA$46),"dd mmm yy"))&amp;" "&amp;Milestones!$AB$46&amp;" "&amp;Milestones!$AC$46&amp;";  ","")&amp;IF(AND(EDATE($D88,Milestones!$AA$47)&lt;=AsOfDate,IF($R88=0,$X88,IF(AND($T88&lt;&gt;"",EDATE($D88,Milestones!$AA$47)&gt;=$T88),$W88,IF(AND($S88&lt;&gt;"",EDATE($D88,Milestones!$AA$47)&gt;=$S88),$V88,$U88)))=Milestones!$AB$47),UPPER(TEXT(EDATE($D88,Milestones!$AA$47),"dd mmm yy"))&amp;" "&amp;Milestones!$AB$47&amp;" "&amp;Milestones!$AC$47&amp;";  ","")&amp;IF(AND(EDATE($D88,Milestones!$AA$48)&lt;=AsOfDate,IF($R88=0,$X88,IF(AND($T88&lt;&gt;"",EDATE($D88,Milestones!$AA$48)&gt;=$T88),$W88,IF(AND($S88&lt;&gt;"",EDATE($D88,Milestones!$AA$48)&gt;=$S88),$V88,$U88)))=Milestones!$AB$48),UPPER(TEXT(EDATE($D88,Milestones!$AA$48),"dd mmm yy"))&amp;" "&amp;Milestones!$AB$48&amp;" "&amp;Milestones!$AC$48&amp;";  ","")&amp;IF(AND(EDATE($D88,Milestones!$AA$49)&lt;=AsOfDate,IF($R88=0,$X88,IF(AND($T88&lt;&gt;"",EDATE($D88,Milestones!$AA$49)&gt;=$T88),$W88,IF(AND($S88&lt;&gt;"",EDATE($D88,Milestones!$AA$49)&gt;=$S88),$V88,$U88)))=Milestones!$AB$49),UPPER(TEXT(EDATE($D88,Milestones!$AA$49),"dd mmm yy"))&amp;" "&amp;Milestones!$AB$49&amp;" "&amp;Milestones!$AC$49&amp;";  ","")&amp;IF(AND(EDATE($D88,Milestones!$AA$50)&lt;=AsOfDate,IF($R88=0,$X88,IF(AND($T88&lt;&gt;"",EDATE($D88,Milestones!$AA$50)&gt;=$T88),$W88,IF(AND($S88&lt;&gt;"",EDATE($D88,Milestones!$AA$50)&gt;=$S88),$V88,$U88)))=Milestones!$AB$50),UPPER(TEXT(EDATE($D88,Milestones!$AA$50),"dd mmm yy"))&amp;" "&amp;Milestones!$AB$50&amp;" "&amp;Milestones!$AC$50&amp;";  ","")&amp;IF(AND(EDATE($D88,Milestones!$AA$51)&lt;=AsOfDate,IF($R88=0,$X88,IF(AND($T88&lt;&gt;"",EDATE($D88,Milestones!$AA$51)&gt;=$T88),$W88,IF(AND($S88&lt;&gt;"",EDATE($D88,Milestones!$AA$51)&gt;=$S88),$V88,$U88)))=Milestones!$AB$51),UPPER(TEXT(EDATE($D88,Milestones!$AA$51),"dd mmm yy"))&amp;" "&amp;Milestones!$AB$51&amp;" "&amp;Milestones!$AC$51&amp;";  ","")&amp;IF(AND(EDATE($D88,Milestones!$AA$52)&lt;=AsOfDate,IF($R88=0,$X88,IF(AND($T88&lt;&gt;"",EDATE($D88,Milestones!$AA$52)&gt;=$T88),$W88,IF(AND($S88&lt;&gt;"",EDATE($D88,Milestones!$AA$52)&gt;=$S88),$V88,$U88)))=Milestones!$AB$52),UPPER(TEXT(EDATE($D88,Milestones!$AA$52),"dd mmm yy"))&amp;" "&amp;Milestones!$AB$52&amp;" "&amp;Milestones!$AC$52&amp;";  ","")&amp;IF(AND(EDATE($D88,Milestones!$AA$53)&lt;=AsOfDate,IF($R88=0,$X88,IF(AND($T88&lt;&gt;"",EDATE($D88,Milestones!$AA$53)&gt;=$T88),$W88,IF(AND($S88&lt;&gt;"",EDATE($D88,Milestones!$AA$53)&gt;=$S88),$V88,$U88)))=Milestones!$AB$53),UPPER(TEXT(EDATE($D88,Milestones!$AA$53),"dd mmm yy"))&amp;" "&amp;Milestones!$AB$53&amp;" "&amp;Milestones!$AC$53&amp;";  ","")&amp;IF(AND(EDATE($D88,Milestones!$AA$54)&lt;=AsOfDate,IF($R88=0,$X88,IF(AND($T88&lt;&gt;"",EDATE($D88,Milestones!$AA$54)&gt;=$T88),$W88,IF(AND($S88&lt;&gt;"",EDATE($D88,Milestones!$AA$54)&gt;=$S88),$V88,$U88)))=Milestones!$AB$54),UPPER(TEXT(EDATE($D88,Milestones!$AA$54),"dd mmm yy"))&amp;" "&amp;Milestones!$AB$54&amp;" "&amp;Milestones!$AC$54&amp;";  ","")&amp;IF(AND(EDATE($D88,Milestones!$AA$55)&lt;=AsOfDate,IF($R88=0,$X88,IF(AND($T88&lt;&gt;"",EDATE($D88,Milestones!$AA$55)&gt;=$T88),$W88,IF(AND($S88&lt;&gt;"",EDATE($D88,Milestones!$AA$55)&gt;=$S88),$V88,$U88)))=Milestones!$AB$55),UPPER(TEXT(EDATE($D88,Milestones!$AA$55),"dd mmm yy"))&amp;" "&amp;Milestones!$AB$55&amp;" "&amp;Milestones!$AC$55&amp;";  ","")&amp;IF(AND(EDATE($D88,Milestones!$AA$56)&lt;=AsOfDate,IF($R88=0,$X88,IF(AND($T88&lt;&gt;"",EDATE($D88,Milestones!$AA$56)&gt;=$T88),$W88,IF(AND($S88&lt;&gt;"",EDATE($D88,Milestones!$AA$56)&gt;=$S88),$V88,$U88)))=Milestones!$AB$56),UPPER(TEXT(EDATE($D88,Milestones!$AA$56),"dd mmm yy"))&amp;" "&amp;Milestones!$AB$56&amp;" "&amp;Milestones!$AC$56&amp;";  ","")&amp;IF(AND(EDATE($D88,Milestones!$AA$57)&lt;=AsOfDate,IF($R88=0,$X88,IF(AND($T88&lt;&gt;"",EDATE($D88,Milestones!$AA$57)&gt;=$T88),$W88,IF(AND($S88&lt;&gt;"",EDATE($D88,Milestones!$AA$57)&gt;=$S88),$V88,$U88)))=Milestones!$AB$57),UPPER(TEXT(EDATE($D88,Milestones!$AA$57),"dd mmm yy"))&amp;" "&amp;Milestones!$AB$57&amp;" "&amp;Milestones!$AC$57&amp;";  ","")&amp;IF(AND(EDATE($D88,Milestones!$AA$58)&lt;=AsOfDate,IF($R88=0,$X88,IF(AND($T88&lt;&gt;"",EDATE($D88,Milestones!$AA$58)&gt;=$T88),$W88,IF(AND($S88&lt;&gt;"",EDATE($D88,Milestones!$AA$58)&gt;=$S88),$V88,$U88)))=Milestones!$AB$58),UPPER(TEXT(EDATE($D88,Milestones!$AA$58),"dd mmm yy"))&amp;" "&amp;Milestones!$AB$58&amp;" "&amp;Milestones!$AC$58&amp;";  ","")&amp;IF(AND(EDATE($D88,Milestones!$AA$59)&lt;=AsOfDate,IF($R88=0,$X88,IF(AND($T88&lt;&gt;"",EDATE($D88,Milestones!$AA$59)&gt;=$T88),$W88,IF(AND($S88&lt;&gt;"",EDATE($D88,Milestones!$AA$59)&gt;=$S88),$V88,$U88)))=Milestones!$AB$59),UPPER(TEXT(EDATE($D88,Milestones!$AA$59),"dd mmm yy"))&amp;" "&amp;Milestones!$AB$59&amp;" "&amp;Milestones!$AC$59&amp;";  ",""))</f>
        <v/>
      </c>
      <c r="K88" s="0" t="str">
        <f aca="false">IF(OR($A88="",$D88=""),"",IF(AND(EDATE($D88,Milestones!$AA$60)&lt;=AsOfDate,IF($R88=0,$X88,IF(AND($T88&lt;&gt;"",EDATE($D88,Milestones!$AA$60)&gt;=$T88),$W88,IF(AND($S88&lt;&gt;"",EDATE($D88,Milestones!$AA$60)&gt;=$S88),$V88,$U88)))=Milestones!$AB$60),UPPER(TEXT(EDATE($D88,Milestones!$AA$60),"dd mmm yy"))&amp;" "&amp;Milestones!$AB$60&amp;" "&amp;Milestones!$AC$60&amp;";  ","")&amp;IF(AND(EDATE($D88,Milestones!$AA$61)&lt;=AsOfDate,IF($R88=0,$X88,IF(AND($T88&lt;&gt;"",EDATE($D88,Milestones!$AA$61)&gt;=$T88),$W88,IF(AND($S88&lt;&gt;"",EDATE($D88,Milestones!$AA$61)&gt;=$S88),$V88,$U88)))=Milestones!$AB$61),UPPER(TEXT(EDATE($D88,Milestones!$AA$61),"dd mmm yy"))&amp;" "&amp;Milestones!$AB$61&amp;" "&amp;Milestones!$AC$61&amp;";  ","")&amp;IF(AND(EDATE($D88,Milestones!$AA$62)&lt;=AsOfDate,IF($R88=0,$X88,IF(AND($T88&lt;&gt;"",EDATE($D88,Milestones!$AA$62)&gt;=$T88),$W88,IF(AND($S88&lt;&gt;"",EDATE($D88,Milestones!$AA$62)&gt;=$S88),$V88,$U88)))=Milestones!$AB$62),UPPER(TEXT(EDATE($D88,Milestones!$AA$62),"dd mmm yy"))&amp;" "&amp;Milestones!$AB$62&amp;" "&amp;Milestones!$AC$62&amp;";  ","")&amp;IF(AND(EDATE($D88,Milestones!$AA$63)&lt;=AsOfDate,IF($R88=0,$X88,IF(AND($T88&lt;&gt;"",EDATE($D88,Milestones!$AA$63)&gt;=$T88),$W88,IF(AND($S88&lt;&gt;"",EDATE($D88,Milestones!$AA$63)&gt;=$S88),$V88,$U88)))=Milestones!$AB$63),UPPER(TEXT(EDATE($D88,Milestones!$AA$63),"dd mmm yy"))&amp;" "&amp;Milestones!$AB$63&amp;" "&amp;Milestones!$AC$63&amp;";  ","")&amp;IF(AND(EDATE($D88,Milestones!$AA$64)&lt;=AsOfDate,IF($R88=0,$X88,IF(AND($T88&lt;&gt;"",EDATE($D88,Milestones!$AA$64)&gt;=$T88),$W88,IF(AND($S88&lt;&gt;"",EDATE($D88,Milestones!$AA$64)&gt;=$S88),$V88,$U88)))=Milestones!$AB$64),UPPER(TEXT(EDATE($D88,Milestones!$AA$64),"dd mmm yy"))&amp;" "&amp;Milestones!$AB$64&amp;" "&amp;Milestones!$AC$64&amp;";  ","")&amp;IF(AND(EDATE($D88,Milestones!$AA$65)&lt;=AsOfDate,IF($R88=0,$X88,IF(AND($T88&lt;&gt;"",EDATE($D88,Milestones!$AA$65)&gt;=$T88),$W88,IF(AND($S88&lt;&gt;"",EDATE($D88,Milestones!$AA$65)&gt;=$S88),$V88,$U88)))=Milestones!$AB$65),UPPER(TEXT(EDATE($D88,Milestones!$AA$65),"dd mmm yy"))&amp;" "&amp;Milestones!$AB$65&amp;" "&amp;Milestones!$AC$65&amp;";  ","")&amp;IF(AND(EDATE($D88,Milestones!$AA$66)&lt;=AsOfDate,IF($R88=0,$X88,IF(AND($T88&lt;&gt;"",EDATE($D88,Milestones!$AA$66)&gt;=$T88),$W88,IF(AND($S88&lt;&gt;"",EDATE($D88,Milestones!$AA$66)&gt;=$S88),$V88,$U88)))=Milestones!$AB$66),UPPER(TEXT(EDATE($D88,Milestones!$AA$66),"dd mmm yy"))&amp;" "&amp;Milestones!$AB$66&amp;" "&amp;Milestones!$AC$66&amp;";  ","")&amp;IF(AND(EDATE($D88,Milestones!$AA$67)&lt;=AsOfDate,IF($R88=0,$X88,IF(AND($T88&lt;&gt;"",EDATE($D88,Milestones!$AA$67)&gt;=$T88),$W88,IF(AND($S88&lt;&gt;"",EDATE($D88,Milestones!$AA$67)&gt;=$S88),$V88,$U88)))=Milestones!$AB$67),UPPER(TEXT(EDATE($D88,Milestones!$AA$67),"dd mmm yy"))&amp;" "&amp;Milestones!$AB$67&amp;" "&amp;Milestones!$AC$67&amp;";  ","")&amp;IF(AND(EDATE($D88,Milestones!$AA$68)&lt;=AsOfDate,IF($R88=0,$X88,IF(AND($T88&lt;&gt;"",EDATE($D88,Milestones!$AA$68)&gt;=$T88),$W88,IF(AND($S88&lt;&gt;"",EDATE($D88,Milestones!$AA$68)&gt;=$S88),$V88,$U88)))=Milestones!$AB$68),UPPER(TEXT(EDATE($D88,Milestones!$AA$68),"dd mmm yy"))&amp;" "&amp;Milestones!$AB$68&amp;" "&amp;Milestones!$AC$68&amp;";  ","")&amp;IF(AND(EDATE($D88,Milestones!$AA$69)&lt;=AsOfDate,IF($R88=0,$X88,IF(AND($T88&lt;&gt;"",EDATE($D88,Milestones!$AA$69)&gt;=$T88),$W88,IF(AND($S88&lt;&gt;"",EDATE($D88,Milestones!$AA$69)&gt;=$S88),$V88,$U88)))=Milestones!$AB$69),UPPER(TEXT(EDATE($D88,Milestones!$AA$69),"dd mmm yy"))&amp;" "&amp;Milestones!$AB$69&amp;" "&amp;Milestones!$AC$69&amp;";  ","")&amp;IF(AND(EDATE($D88,Milestones!$AA$70)&lt;=AsOfDate,IF($R88=0,$X88,IF(AND($T88&lt;&gt;"",EDATE($D88,Milestones!$AA$70)&gt;=$T88),$W88,IF(AND($S88&lt;&gt;"",EDATE($D88,Milestones!$AA$70)&gt;=$S88),$V88,$U88)))=Milestones!$AB$70),UPPER(TEXT(EDATE($D88,Milestones!$AA$70),"dd mmm yy"))&amp;" "&amp;Milestones!$AB$70&amp;" "&amp;Milestones!$AC$70&amp;";  ","")&amp;IF(AND(EDATE($D88,Milestones!$AA$71)&lt;=AsOfDate,IF($R88=0,$X88,IF(AND($T88&lt;&gt;"",EDATE($D88,Milestones!$AA$71)&gt;=$T88),$W88,IF(AND($S88&lt;&gt;"",EDATE($D88,Milestones!$AA$71)&gt;=$S88),$V88,$U88)))=Milestones!$AB$71),UPPER(TEXT(EDATE($D88,Milestones!$AA$71),"dd mmm yy"))&amp;" "&amp;Milestones!$AB$71&amp;" "&amp;Milestones!$AC$71&amp;";  ","")&amp;IF(AND(EDATE($D88,Milestones!$AA$72)&lt;=AsOfDate,IF($R88=0,$X88,IF(AND($T88&lt;&gt;"",EDATE($D88,Milestones!$AA$72)&gt;=$T88),$W88,IF(AND($S88&lt;&gt;"",EDATE($D88,Milestones!$AA$72)&gt;=$S88),$V88,$U88)))=Milestones!$AB$72),UPPER(TEXT(EDATE($D88,Milestones!$AA$72),"dd mmm yy"))&amp;" "&amp;Milestones!$AB$72&amp;" "&amp;Milestones!$AC$72&amp;";  ","")&amp;IF(AND(EDATE($D88,Milestones!$AA$73)&lt;=AsOfDate,IF($R88=0,$X88,IF(AND($T88&lt;&gt;"",EDATE($D88,Milestones!$AA$73)&gt;=$T88),$W88,IF(AND($S88&lt;&gt;"",EDATE($D88,Milestones!$AA$73)&gt;=$S88),$V88,$U88)))=Milestones!$AB$73),UPPER(TEXT(EDATE($D88,Milestones!$AA$73),"dd mmm yy"))&amp;" "&amp;Milestones!$AB$73&amp;" "&amp;Milestones!$AC$73&amp;";  ","")&amp;IF(AND(EDATE($D88,Milestones!$AA$74)&lt;=AsOfDate,IF($R88=0,$X88,IF(AND($T88&lt;&gt;"",EDATE($D88,Milestones!$AA$74)&gt;=$T88),$W88,IF(AND($S88&lt;&gt;"",EDATE($D88,Milestones!$AA$74)&gt;=$S88),$V88,$U88)))=Milestones!$AB$74),UPPER(TEXT(EDATE($D88,Milestones!$AA$74),"dd mmm yy"))&amp;" "&amp;Milestones!$AB$74&amp;" "&amp;Milestones!$AC$74&amp;";  ","")&amp;IF(AND(EDATE($D88,Milestones!$AA$75)&lt;=AsOfDate,IF($R88=0,$X88,IF(AND($T88&lt;&gt;"",EDATE($D88,Milestones!$AA$75)&gt;=$T88),$W88,IF(AND($S88&lt;&gt;"",EDATE($D88,Milestones!$AA$75)&gt;=$S88),$V88,$U88)))=Milestones!$AB$75),UPPER(TEXT(EDATE($D88,Milestones!$AA$75),"dd mmm yy"))&amp;" "&amp;Milestones!$AB$75&amp;" "&amp;Milestones!$AC$75&amp;";  ","")&amp;IF(AND(EDATE($D88,Milestones!$AA$76)&lt;=AsOfDate,IF($R88=0,$X88,IF(AND($T88&lt;&gt;"",EDATE($D88,Milestones!$AA$76)&gt;=$T88),$W88,IF(AND($S88&lt;&gt;"",EDATE($D88,Milestones!$AA$76)&gt;=$S88),$V88,$U88)))=Milestones!$AB$76),UPPER(TEXT(EDATE($D88,Milestones!$AA$76),"dd mmm yy"))&amp;" "&amp;Milestones!$AB$76&amp;" "&amp;Milestones!$AC$76&amp;";  ","")&amp;IF(AND(EDATE($D88,Milestones!$AA$77)&lt;=AsOfDate,IF($R88=0,$X88,IF(AND($T88&lt;&gt;"",EDATE($D88,Milestones!$AA$77)&gt;=$T88),$W88,IF(AND($S88&lt;&gt;"",EDATE($D88,Milestones!$AA$77)&gt;=$S88),$V88,$U88)))=Milestones!$AB$77),UPPER(TEXT(EDATE($D88,Milestones!$AA$77),"dd mmm yy"))&amp;" "&amp;Milestones!$AB$77&amp;" "&amp;Milestones!$AC$77&amp;";  ","")&amp;IF(AND(EDATE($D88,Milestones!$AA$78)&lt;=AsOfDate,IF($R88=0,$X88,IF(AND($T88&lt;&gt;"",EDATE($D88,Milestones!$AA$78)&gt;=$T88),$W88,IF(AND($S88&lt;&gt;"",EDATE($D88,Milestones!$AA$78)&gt;=$S88),$V88,$U88)))=Milestones!$AB$78),UPPER(TEXT(EDATE($D88,Milestones!$AA$78),"dd mmm yy"))&amp;" "&amp;Milestones!$AB$78&amp;" "&amp;Milestones!$AC$78&amp;";  ","")&amp;IF(AND(EDATE($D88,Milestones!$AA$79)&lt;=AsOfDate,IF($R88=0,$X88,IF(AND($T88&lt;&gt;"",EDATE($D88,Milestones!$AA$79)&gt;=$T88),$W88,IF(AND($S88&lt;&gt;"",EDATE($D88,Milestones!$AA$79)&gt;=$S88),$V88,$U88)))=Milestones!$AB$79),UPPER(TEXT(EDATE($D88,Milestones!$AA$79),"dd mmm yy"))&amp;" "&amp;Milestones!$AB$79&amp;" "&amp;Milestones!$AC$79&amp;";  ",""))</f>
        <v/>
      </c>
      <c r="L88" s="0" t="str">
        <f aca="false">IF(OR($A88="",$D88=""),"",IF(AND(EDATE($D88,Milestones!$AA$80)&lt;=AsOfDate,IF($R88=0,$X88,IF(AND($T88&lt;&gt;"",EDATE($D88,Milestones!$AA$80)&gt;=$T88),$W88,IF(AND($S88&lt;&gt;"",EDATE($D88,Milestones!$AA$80)&gt;=$S88),$V88,$U88)))=Milestones!$AB$80),UPPER(TEXT(EDATE($D88,Milestones!$AA$80),"dd mmm yy"))&amp;" "&amp;Milestones!$AB$80&amp;" "&amp;Milestones!$AC$80&amp;";  ","")&amp;IF(AND(EDATE($D88,Milestones!$AA$81)&lt;=AsOfDate,IF($R88=0,$X88,IF(AND($T88&lt;&gt;"",EDATE($D88,Milestones!$AA$81)&gt;=$T88),$W88,IF(AND($S88&lt;&gt;"",EDATE($D88,Milestones!$AA$81)&gt;=$S88),$V88,$U88)))=Milestones!$AB$81),UPPER(TEXT(EDATE($D88,Milestones!$AA$81),"dd mmm yy"))&amp;" "&amp;Milestones!$AB$81&amp;" "&amp;Milestones!$AC$81&amp;";  ","")&amp;IF(AND(EDATE($D88,Milestones!$AA$82)&lt;=AsOfDate,IF($R88=0,$X88,IF(AND($T88&lt;&gt;"",EDATE($D88,Milestones!$AA$82)&gt;=$T88),$W88,IF(AND($S88&lt;&gt;"",EDATE($D88,Milestones!$AA$82)&gt;=$S88),$V88,$U88)))=Milestones!$AB$82),UPPER(TEXT(EDATE($D88,Milestones!$AA$82),"dd mmm yy"))&amp;" "&amp;Milestones!$AB$82&amp;" "&amp;Milestones!$AC$82&amp;";  ","")&amp;IF(AND(EDATE($D88,Milestones!$AA$83)&lt;=AsOfDate,IF($R88=0,$X88,IF(AND($T88&lt;&gt;"",EDATE($D88,Milestones!$AA$83)&gt;=$T88),$W88,IF(AND($S88&lt;&gt;"",EDATE($D88,Milestones!$AA$83)&gt;=$S88),$V88,$U88)))=Milestones!$AB$83),UPPER(TEXT(EDATE($D88,Milestones!$AA$83),"dd mmm yy"))&amp;" "&amp;Milestones!$AB$83&amp;" "&amp;Milestones!$AC$83&amp;";  ","")&amp;IF(AND(EDATE($D88,Milestones!$AA$84)&lt;=AsOfDate,IF($R88=0,$X88,IF(AND($T88&lt;&gt;"",EDATE($D88,Milestones!$AA$84)&gt;=$T88),$W88,IF(AND($S88&lt;&gt;"",EDATE($D88,Milestones!$AA$84)&gt;=$S88),$V88,$U88)))=Milestones!$AB$84),UPPER(TEXT(EDATE($D88,Milestones!$AA$84),"dd mmm yy"))&amp;" "&amp;Milestones!$AB$84&amp;" "&amp;Milestones!$AC$84&amp;";  ","")&amp;IF(AND(EDATE($D88,Milestones!$AA$85)&lt;=AsOfDate,IF($R88=0,$X88,IF(AND($T88&lt;&gt;"",EDATE($D88,Milestones!$AA$85)&gt;=$T88),$W88,IF(AND($S88&lt;&gt;"",EDATE($D88,Milestones!$AA$85)&gt;=$S88),$V88,$U88)))=Milestones!$AB$85),UPPER(TEXT(EDATE($D88,Milestones!$AA$85),"dd mmm yy"))&amp;" "&amp;Milestones!$AB$85&amp;" "&amp;Milestones!$AC$85&amp;";  ","")&amp;IF(AND(EDATE($D88,Milestones!$AA$86)&lt;=AsOfDate,IF($R88=0,$X88,IF(AND($T88&lt;&gt;"",EDATE($D88,Milestones!$AA$86)&gt;=$T88),$W88,IF(AND($S88&lt;&gt;"",EDATE($D88,Milestones!$AA$86)&gt;=$S88),$V88,$U88)))=Milestones!$AB$86),UPPER(TEXT(EDATE($D88,Milestones!$AA$86),"dd mmm yy"))&amp;" "&amp;Milestones!$AB$86&amp;" "&amp;Milestones!$AC$86&amp;";  ","")&amp;IF(AND(EDATE($D88,Milestones!$AA$87)&lt;=AsOfDate,IF($R88=0,$X88,IF(AND($T88&lt;&gt;"",EDATE($D88,Milestones!$AA$87)&gt;=$T88),$W88,IF(AND($S88&lt;&gt;"",EDATE($D88,Milestones!$AA$87)&gt;=$S88),$V88,$U88)))=Milestones!$AB$87),UPPER(TEXT(EDATE($D88,Milestones!$AA$87),"dd mmm yy"))&amp;" "&amp;Milestones!$AB$87&amp;" "&amp;Milestones!$AC$87&amp;";  ","")&amp;IF(AND(EDATE($D88,Milestones!$AA$88)&lt;=AsOfDate,IF($R88=0,$X88,IF(AND($T88&lt;&gt;"",EDATE($D88,Milestones!$AA$88)&gt;=$T88),$W88,IF(AND($S88&lt;&gt;"",EDATE($D88,Milestones!$AA$88)&gt;=$S88),$V88,$U88)))=Milestones!$AB$88),UPPER(TEXT(EDATE($D88,Milestones!$AA$88),"dd mmm yy"))&amp;" "&amp;Milestones!$AB$88&amp;" "&amp;Milestones!$AC$88&amp;";  ","")&amp;IF(AND(EDATE($D88,Milestones!$AA$89)&lt;=AsOfDate,IF($R88=0,$X88,IF(AND($T88&lt;&gt;"",EDATE($D88,Milestones!$AA$89)&gt;=$T88),$W88,IF(AND($S88&lt;&gt;"",EDATE($D88,Milestones!$AA$89)&gt;=$S88),$V88,$U88)))=Milestones!$AB$89),UPPER(TEXT(EDATE($D88,Milestones!$AA$89),"dd mmm yy"))&amp;" "&amp;Milestones!$AB$89&amp;" "&amp;Milestones!$AC$89&amp;";  ","")&amp;IF(AND(EDATE($D88,Milestones!$AA$90)&lt;=AsOfDate,IF($R88=0,$X88,IF(AND($T88&lt;&gt;"",EDATE($D88,Milestones!$AA$90)&gt;=$T88),$W88,IF(AND($S88&lt;&gt;"",EDATE($D88,Milestones!$AA$90)&gt;=$S88),$V88,$U88)))=Milestones!$AB$90),UPPER(TEXT(EDATE($D88,Milestones!$AA$90),"dd mmm yy"))&amp;" "&amp;Milestones!$AB$90&amp;" "&amp;Milestones!$AC$90&amp;";  ","")&amp;IF(AND(EDATE($D88,Milestones!$AA$91)&lt;=AsOfDate,IF($R88=0,$X88,IF(AND($T88&lt;&gt;"",EDATE($D88,Milestones!$AA$91)&gt;=$T88),$W88,IF(AND($S88&lt;&gt;"",EDATE($D88,Milestones!$AA$91)&gt;=$S88),$V88,$U88)))=Milestones!$AB$91),UPPER(TEXT(EDATE($D88,Milestones!$AA$91),"dd mmm yy"))&amp;" "&amp;Milestones!$AB$91&amp;" "&amp;Milestones!$AC$91&amp;";  ","")&amp;IF(AND(EDATE($D88,Milestones!$AA$92)&lt;=AsOfDate,IF($R88=0,$X88,IF(AND($T88&lt;&gt;"",EDATE($D88,Milestones!$AA$92)&gt;=$T88),$W88,IF(AND($S88&lt;&gt;"",EDATE($D88,Milestones!$AA$92)&gt;=$S88),$V88,$U88)))=Milestones!$AB$92),UPPER(TEXT(EDATE($D88,Milestones!$AA$92),"dd mmm yy"))&amp;" "&amp;Milestones!$AB$92&amp;" "&amp;Milestones!$AC$92&amp;";  ","")&amp;IF(AND(EDATE($D88,Milestones!$AA$93)&lt;=AsOfDate,IF($R88=0,$X88,IF(AND($T88&lt;&gt;"",EDATE($D88,Milestones!$AA$93)&gt;=$T88),$W88,IF(AND($S88&lt;&gt;"",EDATE($D88,Milestones!$AA$93)&gt;=$S88),$V88,$U88)))=Milestones!$AB$93),UPPER(TEXT(EDATE($D88,Milestones!$AA$93),"dd mmm yy"))&amp;" "&amp;Milestones!$AB$93&amp;" "&amp;Milestones!$AC$93&amp;";  ","")&amp;IF(AND(EDATE($D88,Milestones!$AA$94)&lt;=AsOfDate,IF($R88=0,$X88,IF(AND($T88&lt;&gt;"",EDATE($D88,Milestones!$AA$94)&gt;=$T88),$W88,IF(AND($S88&lt;&gt;"",EDATE($D88,Milestones!$AA$94)&gt;=$S88),$V88,$U88)))=Milestones!$AB$94),UPPER(TEXT(EDATE($D88,Milestones!$AA$94),"dd mmm yy"))&amp;" "&amp;Milestones!$AB$94&amp;" "&amp;Milestones!$AC$94&amp;";  ","")&amp;IF(AND(EDATE($D88,Milestones!$AA$95)&lt;=AsOfDate,IF($R88=0,$X88,IF(AND($T88&lt;&gt;"",EDATE($D88,Milestones!$AA$95)&gt;=$T88),$W88,IF(AND($S88&lt;&gt;"",EDATE($D88,Milestones!$AA$95)&gt;=$S88),$V88,$U88)))=Milestones!$AB$95),UPPER(TEXT(EDATE($D88,Milestones!$AA$95),"dd mmm yy"))&amp;" "&amp;Milestones!$AB$95&amp;" "&amp;Milestones!$AC$95&amp;";  ","")&amp;IF(AND(EDATE($D88,Milestones!$AA$96)&lt;=AsOfDate,IF($R88=0,$X88,IF(AND($T88&lt;&gt;"",EDATE($D88,Milestones!$AA$96)&gt;=$T88),$W88,IF(AND($S88&lt;&gt;"",EDATE($D88,Milestones!$AA$96)&gt;=$S88),$V88,$U88)))=Milestones!$AB$96),UPPER(TEXT(EDATE($D88,Milestones!$AA$96),"dd mmm yy"))&amp;" "&amp;Milestones!$AB$96&amp;" "&amp;Milestones!$AC$96&amp;";  ","")&amp;IF(AND(EDATE($D88,Milestones!$AA$97)&lt;=AsOfDate,IF($R88=0,$X88,IF(AND($T88&lt;&gt;"",EDATE($D88,Milestones!$AA$97)&gt;=$T88),$W88,IF(AND($S88&lt;&gt;"",EDATE($D88,Milestones!$AA$97)&gt;=$S88),$V88,$U88)))=Milestones!$AB$97),UPPER(TEXT(EDATE($D88,Milestones!$AA$97),"dd mmm yy"))&amp;" "&amp;Milestones!$AB$97&amp;" "&amp;Milestones!$AC$97&amp;";  ","")&amp;IF(AND(EDATE($D88,Milestones!$AA$98)&lt;=AsOfDate,IF($R88=0,$X88,IF(AND($T88&lt;&gt;"",EDATE($D88,Milestones!$AA$98)&gt;=$T88),$W88,IF(AND($S88&lt;&gt;"",EDATE($D88,Milestones!$AA$98)&gt;=$S88),$V88,$U88)))=Milestones!$AB$98),UPPER(TEXT(EDATE($D88,Milestones!$AA$98),"dd mmm yy"))&amp;" "&amp;Milestones!$AB$98&amp;" "&amp;Milestones!$AC$98&amp;";  ","")&amp;IF(AND(EDATE($D88,Milestones!$AA$99)&lt;=AsOfDate,IF($R88=0,$X88,IF(AND($T88&lt;&gt;"",EDATE($D88,Milestones!$AA$99)&gt;=$T88),$W88,IF(AND($S88&lt;&gt;"",EDATE($D88,Milestones!$AA$99)&gt;=$S88),$V88,$U88)))=Milestones!$AB$99),UPPER(TEXT(EDATE($D88,Milestones!$AA$99),"dd mmm yy"))&amp;" "&amp;Milestones!$AB$99&amp;" "&amp;Milestones!$AC$99&amp;";  ",""))</f>
        <v/>
      </c>
      <c r="M88" s="0" t="str">
        <f aca="false">IF(OR($A88="",$D88=""),"",IF(AND(EDATE($D88,Milestones!$AA$100)&lt;=AsOfDate,IF($R88=0,$X88,IF(AND($T88&lt;&gt;"",EDATE($D88,Milestones!$AA$100)&gt;=$T88),$W88,IF(AND($S88&lt;&gt;"",EDATE($D88,Milestones!$AA$100)&gt;=$S88),$V88,$U88)))=Milestones!$AB$100),UPPER(TEXT(EDATE($D88,Milestones!$AA$100),"dd mmm yy"))&amp;" "&amp;Milestones!$AB$100&amp;" "&amp;Milestones!$AC$100&amp;";  ","")&amp;IF(AND(EDATE($D88,Milestones!$AA$101)&lt;=AsOfDate,IF($R88=0,$X88,IF(AND($T88&lt;&gt;"",EDATE($D88,Milestones!$AA$101)&gt;=$T88),$W88,IF(AND($S88&lt;&gt;"",EDATE($D88,Milestones!$AA$101)&gt;=$S88),$V88,$U88)))=Milestones!$AB$101),UPPER(TEXT(EDATE($D88,Milestones!$AA$101),"dd mmm yy"))&amp;" "&amp;Milestones!$AB$101&amp;" "&amp;Milestones!$AC$101&amp;";  ","")&amp;IF(AND(EDATE($D88,Milestones!$AA$102)&lt;=AsOfDate,IF($R88=0,$X88,IF(AND($T88&lt;&gt;"",EDATE($D88,Milestones!$AA$102)&gt;=$T88),$W88,IF(AND($S88&lt;&gt;"",EDATE($D88,Milestones!$AA$102)&gt;=$S88),$V88,$U88)))=Milestones!$AB$102),UPPER(TEXT(EDATE($D88,Milestones!$AA$102),"dd mmm yy"))&amp;" "&amp;Milestones!$AB$102&amp;" "&amp;Milestones!$AC$102&amp;";  ","")&amp;IF(AND(EDATE($D88,Milestones!$AA$103)&lt;=AsOfDate,IF($R88=0,$X88,IF(AND($T88&lt;&gt;"",EDATE($D88,Milestones!$AA$103)&gt;=$T88),$W88,IF(AND($S88&lt;&gt;"",EDATE($D88,Milestones!$AA$103)&gt;=$S88),$V88,$U88)))=Milestones!$AB$103),UPPER(TEXT(EDATE($D88,Milestones!$AA$103),"dd mmm yy"))&amp;" "&amp;Milestones!$AB$103&amp;" "&amp;Milestones!$AC$103&amp;";  ","")&amp;IF(AND(EDATE($D88,Milestones!$AA$104)&lt;=AsOfDate,IF($R88=0,$X88,IF(AND($T88&lt;&gt;"",EDATE($D88,Milestones!$AA$104)&gt;=$T88),$W88,IF(AND($S88&lt;&gt;"",EDATE($D88,Milestones!$AA$104)&gt;=$S88),$V88,$U88)))=Milestones!$AB$104),UPPER(TEXT(EDATE($D88,Milestones!$AA$104),"dd mmm yy"))&amp;" "&amp;Milestones!$AB$104&amp;" "&amp;Milestones!$AC$104&amp;";  ","")&amp;IF(AND(EDATE($D88,Milestones!$AA$105)&lt;=AsOfDate,IF($R88=0,$X88,IF(AND($T88&lt;&gt;"",EDATE($D88,Milestones!$AA$105)&gt;=$T88),$W88,IF(AND($S88&lt;&gt;"",EDATE($D88,Milestones!$AA$105)&gt;=$S88),$V88,$U88)))=Milestones!$AB$105),UPPER(TEXT(EDATE($D88,Milestones!$AA$105),"dd mmm yy"))&amp;" "&amp;Milestones!$AB$105&amp;" "&amp;Milestones!$AC$105&amp;";  ","")&amp;IF(AND(EDATE($D88,Milestones!$AA$106)&lt;=AsOfDate,IF($R88=0,$X88,IF(AND($T88&lt;&gt;"",EDATE($D88,Milestones!$AA$106)&gt;=$T88),$W88,IF(AND($S88&lt;&gt;"",EDATE($D88,Milestones!$AA$106)&gt;=$S88),$V88,$U88)))=Milestones!$AB$106),UPPER(TEXT(EDATE($D88,Milestones!$AA$106),"dd mmm yy"))&amp;" "&amp;Milestones!$AB$106&amp;" "&amp;Milestones!$AC$106&amp;";  ","")&amp;IF(AND(EDATE($D88,Milestones!$AA$107)&lt;=AsOfDate,IF($R88=0,$X88,IF(AND($T88&lt;&gt;"",EDATE($D88,Milestones!$AA$107)&gt;=$T88),$W88,IF(AND($S88&lt;&gt;"",EDATE($D88,Milestones!$AA$107)&gt;=$S88),$V88,$U88)))=Milestones!$AB$107),UPPER(TEXT(EDATE($D88,Milestones!$AA$107),"dd mmm yy"))&amp;" "&amp;Milestones!$AB$107&amp;" "&amp;Milestones!$AC$107&amp;";  ","")&amp;IF(AND(EDATE($D88,Milestones!$AA$108)&lt;=AsOfDate,IF($R88=0,$X88,IF(AND($T88&lt;&gt;"",EDATE($D88,Milestones!$AA$108)&gt;=$T88),$W88,IF(AND($S88&lt;&gt;"",EDATE($D88,Milestones!$AA$108)&gt;=$S88),$V88,$U88)))=Milestones!$AB$108),UPPER(TEXT(EDATE($D88,Milestones!$AA$108),"dd mmm yy"))&amp;" "&amp;Milestones!$AB$108&amp;" "&amp;Milestones!$AC$108&amp;";  ","")&amp;IF(AND(EDATE($D88,Milestones!$AA$109)&lt;=AsOfDate,IF($R88=0,$X88,IF(AND($T88&lt;&gt;"",EDATE($D88,Milestones!$AA$109)&gt;=$T88),$W88,IF(AND($S88&lt;&gt;"",EDATE($D88,Milestones!$AA$109)&gt;=$S88),$V88,$U88)))=Milestones!$AB$109),UPPER(TEXT(EDATE($D88,Milestones!$AA$109),"dd mmm yy"))&amp;" "&amp;Milestones!$AB$109&amp;" "&amp;Milestones!$AC$109&amp;";  ","")&amp;IF(AND(EDATE($D88,Milestones!$AA$110)&lt;=AsOfDate,IF($R88=0,$X88,IF(AND($T88&lt;&gt;"",EDATE($D88,Milestones!$AA$110)&gt;=$T88),$W88,IF(AND($S88&lt;&gt;"",EDATE($D88,Milestones!$AA$110)&gt;=$S88),$V88,$U88)))=Milestones!$AB$110),UPPER(TEXT(EDATE($D88,Milestones!$AA$110),"dd mmm yy"))&amp;" "&amp;Milestones!$AB$110&amp;" "&amp;Milestones!$AC$110&amp;";  ","")&amp;IF(AND(EDATE($D88,Milestones!$AA$111)&lt;=AsOfDate,IF($R88=0,$X88,IF(AND($T88&lt;&gt;"",EDATE($D88,Milestones!$AA$111)&gt;=$T88),$W88,IF(AND($S88&lt;&gt;"",EDATE($D88,Milestones!$AA$111)&gt;=$S88),$V88,$U88)))=Milestones!$AB$111),UPPER(TEXT(EDATE($D88,Milestones!$AA$111),"dd mmm yy"))&amp;" "&amp;Milestones!$AB$111&amp;" "&amp;Milestones!$AC$111&amp;";  ","")&amp;IF(AND(EDATE($D88,Milestones!$AA$112)&lt;=AsOfDate,IF($R88=0,$X88,IF(AND($T88&lt;&gt;"",EDATE($D88,Milestones!$AA$112)&gt;=$T88),$W88,IF(AND($S88&lt;&gt;"",EDATE($D88,Milestones!$AA$112)&gt;=$S88),$V88,$U88)))=Milestones!$AB$112),UPPER(TEXT(EDATE($D88,Milestones!$AA$112),"dd mmm yy"))&amp;" "&amp;Milestones!$AB$112&amp;" "&amp;Milestones!$AC$112&amp;";  ","")&amp;IF(AND(EDATE($D88,Milestones!$AA$113)&lt;=AsOfDate,IF($R88=0,$X88,IF(AND($T88&lt;&gt;"",EDATE($D88,Milestones!$AA$113)&gt;=$T88),$W88,IF(AND($S88&lt;&gt;"",EDATE($D88,Milestones!$AA$113)&gt;=$S88),$V88,$U88)))=Milestones!$AB$113),UPPER(TEXT(EDATE($D88,Milestones!$AA$113),"dd mmm yy"))&amp;" "&amp;Milestones!$AB$113&amp;" "&amp;Milestones!$AC$113&amp;";  ","")&amp;IF(AND(EDATE($D88,Milestones!$AA$114)&lt;=AsOfDate,IF($R88=0,$X88,IF(AND($T88&lt;&gt;"",EDATE($D88,Milestones!$AA$114)&gt;=$T88),$W88,IF(AND($S88&lt;&gt;"",EDATE($D88,Milestones!$AA$114)&gt;=$S88),$V88,$U88)))=Milestones!$AB$114),UPPER(TEXT(EDATE($D88,Milestones!$AA$114),"dd mmm yy"))&amp;" "&amp;Milestones!$AB$114&amp;" "&amp;Milestones!$AC$114&amp;";  ","")&amp;IF(AND(EDATE($D88,Milestones!$AA$115)&lt;=AsOfDate,IF($R88=0,$X88,IF(AND($T88&lt;&gt;"",EDATE($D88,Milestones!$AA$115)&gt;=$T88),$W88,IF(AND($S88&lt;&gt;"",EDATE($D88,Milestones!$AA$115)&gt;=$S88),$V88,$U88)))=Milestones!$AB$115),UPPER(TEXT(EDATE($D88,Milestones!$AA$115),"dd mmm yy"))&amp;" "&amp;Milestones!$AB$115&amp;" "&amp;Milestones!$AC$115&amp;";  ","")&amp;IF(AND(EDATE($D88,Milestones!$AA$116)&lt;=AsOfDate,IF($R88=0,$X88,IF(AND($T88&lt;&gt;"",EDATE($D88,Milestones!$AA$116)&gt;=$T88),$W88,IF(AND($S88&lt;&gt;"",EDATE($D88,Milestones!$AA$116)&gt;=$S88),$V88,$U88)))=Milestones!$AB$116),UPPER(TEXT(EDATE($D88,Milestones!$AA$116),"dd mmm yy"))&amp;" "&amp;Milestones!$AB$116&amp;" "&amp;Milestones!$AC$116&amp;";  ","")&amp;IF(AND(EDATE($D88,Milestones!$AA$117)&lt;=AsOfDate,IF($R88=0,$X88,IF(AND($T88&lt;&gt;"",EDATE($D88,Milestones!$AA$117)&gt;=$T88),$W88,IF(AND($S88&lt;&gt;"",EDATE($D88,Milestones!$AA$117)&gt;=$S88),$V88,$U88)))=Milestones!$AB$117),UPPER(TEXT(EDATE($D88,Milestones!$AA$117),"dd mmm yy"))&amp;" "&amp;Milestones!$AB$117&amp;" "&amp;Milestones!$AC$117&amp;";  ","")&amp;IF(AND(EDATE($D88,Milestones!$AA$118)&lt;=AsOfDate,IF($R88=0,$X88,IF(AND($T88&lt;&gt;"",EDATE($D88,Milestones!$AA$118)&gt;=$T88),$W88,IF(AND($S88&lt;&gt;"",EDATE($D88,Milestones!$AA$118)&gt;=$S88),$V88,$U88)))=Milestones!$AB$118),UPPER(TEXT(EDATE($D88,Milestones!$AA$118),"dd mmm yy"))&amp;" "&amp;Milestones!$AB$118&amp;" "&amp;Milestones!$AC$118&amp;";  ","")&amp;IF(AND(EDATE($D88,Milestones!$AA$119)&lt;=AsOfDate,IF($R88=0,$X88,IF(AND($T88&lt;&gt;"",EDATE($D88,Milestones!$AA$119)&gt;=$T88),$W88,IF(AND($S88&lt;&gt;"",EDATE($D88,Milestones!$AA$119)&gt;=$S88),$V88,$U88)))=Milestones!$AB$119),UPPER(TEXT(EDATE($D88,Milestones!$AA$119),"dd mmm yy"))&amp;" "&amp;Milestones!$AB$119&amp;" "&amp;Milestones!$AC$119&amp;";  ",""))</f>
        <v/>
      </c>
      <c r="N88" s="0" t="str">
        <f aca="false">IF(OR($A88="",$D88=""),"",IF(AND(EDATE($D88,Milestones!$AA$120)&lt;=AsOfDate,IF($R88=0,$X88,IF(AND($T88&lt;&gt;"",EDATE($D88,Milestones!$AA$120)&gt;=$T88),$W88,IF(AND($S88&lt;&gt;"",EDATE($D88,Milestones!$AA$120)&gt;=$S88),$V88,$U88)))=Milestones!$AB$120),UPPER(TEXT(EDATE($D88,Milestones!$AA$120),"dd mmm yy"))&amp;" "&amp;Milestones!$AB$120&amp;" "&amp;Milestones!$AC$120&amp;";  ","")&amp;IF(AND(EDATE($D88,Milestones!$AA$121)&lt;=AsOfDate,IF($R88=0,$X88,IF(AND($T88&lt;&gt;"",EDATE($D88,Milestones!$AA$121)&gt;=$T88),$W88,IF(AND($S88&lt;&gt;"",EDATE($D88,Milestones!$AA$121)&gt;=$S88),$V88,$U88)))=Milestones!$AB$121),UPPER(TEXT(EDATE($D88,Milestones!$AA$121),"dd mmm yy"))&amp;" "&amp;Milestones!$AB$121&amp;" "&amp;Milestones!$AC$121&amp;";  ","")&amp;IF(AND(EDATE($D88,Milestones!$AA$122)&lt;=AsOfDate,IF($R88=0,$X88,IF(AND($T88&lt;&gt;"",EDATE($D88,Milestones!$AA$122)&gt;=$T88),$W88,IF(AND($S88&lt;&gt;"",EDATE($D88,Milestones!$AA$122)&gt;=$S88),$V88,$U88)))=Milestones!$AB$122),UPPER(TEXT(EDATE($D88,Milestones!$AA$122),"dd mmm yy"))&amp;" "&amp;Milestones!$AB$122&amp;" "&amp;Milestones!$AC$122&amp;";  ","")&amp;IF(AND(EDATE($D88,Milestones!$AA$123)&lt;=AsOfDate,IF($R88=0,$X88,IF(AND($T88&lt;&gt;"",EDATE($D88,Milestones!$AA$123)&gt;=$T88),$W88,IF(AND($S88&lt;&gt;"",EDATE($D88,Milestones!$AA$123)&gt;=$S88),$V88,$U88)))=Milestones!$AB$123),UPPER(TEXT(EDATE($D88,Milestones!$AA$123),"dd mmm yy"))&amp;" "&amp;Milestones!$AB$123&amp;" "&amp;Milestones!$AC$123&amp;";  ","")&amp;IF(AND(EDATE($D88,Milestones!$AA$124)&lt;=AsOfDate,IF($R88=0,$X88,IF(AND($T88&lt;&gt;"",EDATE($D88,Milestones!$AA$124)&gt;=$T88),$W88,IF(AND($S88&lt;&gt;"",EDATE($D88,Milestones!$AA$124)&gt;=$S88),$V88,$U88)))=Milestones!$AB$124),UPPER(TEXT(EDATE($D88,Milestones!$AA$124),"dd mmm yy"))&amp;" "&amp;Milestones!$AB$124&amp;" "&amp;Milestones!$AC$124&amp;";  ","")&amp;IF(AND(EDATE($D88,Milestones!$AA$125)&lt;=AsOfDate,IF($R88=0,$X88,IF(AND($T88&lt;&gt;"",EDATE($D88,Milestones!$AA$125)&gt;=$T88),$W88,IF(AND($S88&lt;&gt;"",EDATE($D88,Milestones!$AA$125)&gt;=$S88),$V88,$U88)))=Milestones!$AB$125),UPPER(TEXT(EDATE($D88,Milestones!$AA$125),"dd mmm yy"))&amp;" "&amp;Milestones!$AB$125&amp;" "&amp;Milestones!$AC$125&amp;";  ","")&amp;IF(AND(EDATE($D88,Milestones!$AA$126)&lt;=AsOfDate,IF($R88=0,$X88,IF(AND($T88&lt;&gt;"",EDATE($D88,Milestones!$AA$126)&gt;=$T88),$W88,IF(AND($S88&lt;&gt;"",EDATE($D88,Milestones!$AA$126)&gt;=$S88),$V88,$U88)))=Milestones!$AB$126),UPPER(TEXT(EDATE($D88,Milestones!$AA$126),"dd mmm yy"))&amp;" "&amp;Milestones!$AB$126&amp;" "&amp;Milestones!$AC$126&amp;";  ","")&amp;IF(AND(EDATE($D88,Milestones!$AA$127)&lt;=AsOfDate,IF($R88=0,$X88,IF(AND($T88&lt;&gt;"",EDATE($D88,Milestones!$AA$127)&gt;=$T88),$W88,IF(AND($S88&lt;&gt;"",EDATE($D88,Milestones!$AA$127)&gt;=$S88),$V88,$U88)))=Milestones!$AB$127),UPPER(TEXT(EDATE($D88,Milestones!$AA$127),"dd mmm yy"))&amp;" "&amp;Milestones!$AB$127&amp;" "&amp;Milestones!$AC$127&amp;";  ","")&amp;IF(AND(EDATE($D88,Milestones!$AA$128)&lt;=AsOfDate,IF($R88=0,$X88,IF(AND($T88&lt;&gt;"",EDATE($D88,Milestones!$AA$128)&gt;=$T88),$W88,IF(AND($S88&lt;&gt;"",EDATE($D88,Milestones!$AA$128)&gt;=$S88),$V88,$U88)))=Milestones!$AB$128),UPPER(TEXT(EDATE($D88,Milestones!$AA$128),"dd mmm yy"))&amp;" "&amp;Milestones!$AB$128&amp;" "&amp;Milestones!$AC$128&amp;";  ","")&amp;IF(AND(EDATE($D88,Milestones!$AA$129)&lt;=AsOfDate,IF($R88=0,$X88,IF(AND($T88&lt;&gt;"",EDATE($D88,Milestones!$AA$129)&gt;=$T88),$W88,IF(AND($S88&lt;&gt;"",EDATE($D88,Milestones!$AA$129)&gt;=$S88),$V88,$U88)))=Milestones!$AB$129),UPPER(TEXT(EDATE($D88,Milestones!$AA$129),"dd mmm yy"))&amp;" "&amp;Milestones!$AB$129&amp;" "&amp;Milestones!$AC$129&amp;";  ","")&amp;IF(AND(EDATE($D88,Milestones!$AA$130)&lt;=AsOfDate,IF($R88=0,$X88,IF(AND($T88&lt;&gt;"",EDATE($D88,Milestones!$AA$130)&gt;=$T88),$W88,IF(AND($S88&lt;&gt;"",EDATE($D88,Milestones!$AA$130)&gt;=$S88),$V88,$U88)))=Milestones!$AB$130),UPPER(TEXT(EDATE($D88,Milestones!$AA$130),"dd mmm yy"))&amp;" "&amp;Milestones!$AB$130&amp;" "&amp;Milestones!$AC$130&amp;";  ","")&amp;IF(AND(EDATE($D88,Milestones!$AA$131)&lt;=AsOfDate,IF($R88=0,$X88,IF(AND($T88&lt;&gt;"",EDATE($D88,Milestones!$AA$131)&gt;=$T88),$W88,IF(AND($S88&lt;&gt;"",EDATE($D88,Milestones!$AA$131)&gt;=$S88),$V88,$U88)))=Milestones!$AB$131),UPPER(TEXT(EDATE($D88,Milestones!$AA$131),"dd mmm yy"))&amp;" "&amp;Milestones!$AB$131&amp;" "&amp;Milestones!$AC$131&amp;";  ","")&amp;IF(AND(EDATE($D88,Milestones!$AA$132)&lt;=AsOfDate,IF($R88=0,$X88,IF(AND($T88&lt;&gt;"",EDATE($D88,Milestones!$AA$132)&gt;=$T88),$W88,IF(AND($S88&lt;&gt;"",EDATE($D88,Milestones!$AA$132)&gt;=$S88),$V88,$U88)))=Milestones!$AB$132),UPPER(TEXT(EDATE($D88,Milestones!$AA$132),"dd mmm yy"))&amp;" "&amp;Milestones!$AB$132&amp;" "&amp;Milestones!$AC$132&amp;";  ","")&amp;IF(AND(EDATE($D88,Milestones!$AA$133)&lt;=AsOfDate,IF($R88=0,$X88,IF(AND($T88&lt;&gt;"",EDATE($D88,Milestones!$AA$133)&gt;=$T88),$W88,IF(AND($S88&lt;&gt;"",EDATE($D88,Milestones!$AA$133)&gt;=$S88),$V88,$U88)))=Milestones!$AB$133),UPPER(TEXT(EDATE($D88,Milestones!$AA$133),"dd mmm yy"))&amp;" "&amp;Milestones!$AB$133&amp;" "&amp;Milestones!$AC$133&amp;";  ","")&amp;IF(AND(EDATE($D88,Milestones!$AA$134)&lt;=AsOfDate,IF($R88=0,$X88,IF(AND($T88&lt;&gt;"",EDATE($D88,Milestones!$AA$134)&gt;=$T88),$W88,IF(AND($S88&lt;&gt;"",EDATE($D88,Milestones!$AA$134)&gt;=$S88),$V88,$U88)))=Milestones!$AB$134),UPPER(TEXT(EDATE($D88,Milestones!$AA$134),"dd mmm yy"))&amp;" "&amp;Milestones!$AB$134&amp;" "&amp;Milestones!$AC$134&amp;";  ","")&amp;IF(AND(EDATE($D88,Milestones!$AA$135)&lt;=AsOfDate,IF($R88=0,$X88,IF(AND($T88&lt;&gt;"",EDATE($D88,Milestones!$AA$135)&gt;=$T88),$W88,IF(AND($S88&lt;&gt;"",EDATE($D88,Milestones!$AA$135)&gt;=$S88),$V88,$U88)))=Milestones!$AB$135),UPPER(TEXT(EDATE($D88,Milestones!$AA$135),"dd mmm yy"))&amp;" "&amp;Milestones!$AB$135&amp;" "&amp;Milestones!$AC$135&amp;";  ","")&amp;IF(AND(EDATE($D88,Milestones!$AA$136)&lt;=AsOfDate,IF($R88=0,$X88,IF(AND($T88&lt;&gt;"",EDATE($D88,Milestones!$AA$136)&gt;=$T88),$W88,IF(AND($S88&lt;&gt;"",EDATE($D88,Milestones!$AA$136)&gt;=$S88),$V88,$U88)))=Milestones!$AB$136),UPPER(TEXT(EDATE($D88,Milestones!$AA$136),"dd mmm yy"))&amp;" "&amp;Milestones!$AB$136&amp;" "&amp;Milestones!$AC$136&amp;";  ","")&amp;IF(AND(EDATE($D88,Milestones!$AA$137)&lt;=AsOfDate,IF($R88=0,$X88,IF(AND($T88&lt;&gt;"",EDATE($D88,Milestones!$AA$137)&gt;=$T88),$W88,IF(AND($S88&lt;&gt;"",EDATE($D88,Milestones!$AA$137)&gt;=$S88),$V88,$U88)))=Milestones!$AB$137),UPPER(TEXT(EDATE($D88,Milestones!$AA$137),"dd mmm yy"))&amp;" "&amp;Milestones!$AB$137&amp;" "&amp;Milestones!$AC$137&amp;";  ","")&amp;IF(AND(EDATE($D88,Milestones!$AA$138)&lt;=AsOfDate,IF($R88=0,$X88,IF(AND($T88&lt;&gt;"",EDATE($D88,Milestones!$AA$138)&gt;=$T88),$W88,IF(AND($S88&lt;&gt;"",EDATE($D88,Milestones!$AA$138)&gt;=$S88),$V88,$U88)))=Milestones!$AB$138),UPPER(TEXT(EDATE($D88,Milestones!$AA$138),"dd mmm yy"))&amp;" "&amp;Milestones!$AB$138&amp;" "&amp;Milestones!$AC$138&amp;";  ","")&amp;IF(AND(EDATE($D88,Milestones!$AA$139)&lt;=AsOfDate,IF($R88=0,$X88,IF(AND($T88&lt;&gt;"",EDATE($D88,Milestones!$AA$139)&gt;=$T88),$W88,IF(AND($S88&lt;&gt;"",EDATE($D88,Milestones!$AA$139)&gt;=$S88),$V88,$U88)))=Milestones!$AB$139),UPPER(TEXT(EDATE($D88,Milestones!$AA$139),"dd mmm yy"))&amp;" "&amp;Milestones!$AB$139&amp;" "&amp;Milestones!$AC$139&amp;";  ",""))</f>
        <v/>
      </c>
      <c r="O88" s="0" t="str">
        <f aca="false">IF(OR($A88="",$D88=""),"",IF(AND(EDATE($D88,Milestones!$AA$140)&lt;=AsOfDate,IF($R88=0,$X88,IF(AND($T88&lt;&gt;"",EDATE($D88,Milestones!$AA$140)&gt;=$T88),$W88,IF(AND($S88&lt;&gt;"",EDATE($D88,Milestones!$AA$140)&gt;=$S88),$V88,$U88)))=Milestones!$AB$140),UPPER(TEXT(EDATE($D88,Milestones!$AA$140),"dd mmm yy"))&amp;" "&amp;Milestones!$AB$140&amp;" "&amp;Milestones!$AC$140&amp;";  ","")&amp;IF(AND(EDATE($D88,Milestones!$AA$141)&lt;=AsOfDate,IF($R88=0,$X88,IF(AND($T88&lt;&gt;"",EDATE($D88,Milestones!$AA$141)&gt;=$T88),$W88,IF(AND($S88&lt;&gt;"",EDATE($D88,Milestones!$AA$141)&gt;=$S88),$V88,$U88)))=Milestones!$AB$141),UPPER(TEXT(EDATE($D88,Milestones!$AA$141),"dd mmm yy"))&amp;" "&amp;Milestones!$AB$141&amp;" "&amp;Milestones!$AC$141&amp;";  ","")&amp;IF(AND(EDATE($D88,Milestones!$AA$142)&lt;=AsOfDate,IF($R88=0,$X88,IF(AND($T88&lt;&gt;"",EDATE($D88,Milestones!$AA$142)&gt;=$T88),$W88,IF(AND($S88&lt;&gt;"",EDATE($D88,Milestones!$AA$142)&gt;=$S88),$V88,$U88)))=Milestones!$AB$142),UPPER(TEXT(EDATE($D88,Milestones!$AA$142),"dd mmm yy"))&amp;" "&amp;Milestones!$AB$142&amp;" "&amp;Milestones!$AC$142&amp;";  ","")&amp;IF(AND(EDATE($D88,Milestones!$AA$143)&lt;=AsOfDate,IF($R88=0,$X88,IF(AND($T88&lt;&gt;"",EDATE($D88,Milestones!$AA$143)&gt;=$T88),$W88,IF(AND($S88&lt;&gt;"",EDATE($D88,Milestones!$AA$143)&gt;=$S88),$V88,$U88)))=Milestones!$AB$143),UPPER(TEXT(EDATE($D88,Milestones!$AA$143),"dd mmm yy"))&amp;" "&amp;Milestones!$AB$143&amp;" "&amp;Milestones!$AC$143&amp;";  ","")&amp;IF(AND(EDATE($D88,Milestones!$AA$144)&lt;=AsOfDate,IF($R88=0,$X88,IF(AND($T88&lt;&gt;"",EDATE($D88,Milestones!$AA$144)&gt;=$T88),$W88,IF(AND($S88&lt;&gt;"",EDATE($D88,Milestones!$AA$144)&gt;=$S88),$V88,$U88)))=Milestones!$AB$144),UPPER(TEXT(EDATE($D88,Milestones!$AA$144),"dd mmm yy"))&amp;" "&amp;Milestones!$AB$144&amp;" "&amp;Milestones!$AC$144&amp;";  ","")&amp;IF(AND(EDATE($D88,Milestones!$AA$145)&lt;=AsOfDate,IF($R88=0,$X88,IF(AND($T88&lt;&gt;"",EDATE($D88,Milestones!$AA$145)&gt;=$T88),$W88,IF(AND($S88&lt;&gt;"",EDATE($D88,Milestones!$AA$145)&gt;=$S88),$V88,$U88)))=Milestones!$AB$145),UPPER(TEXT(EDATE($D88,Milestones!$AA$145),"dd mmm yy"))&amp;" "&amp;Milestones!$AB$145&amp;" "&amp;Milestones!$AC$145&amp;";  ","")&amp;IF(AND(EDATE($D88,Milestones!$AA$146)&lt;=AsOfDate,IF($R88=0,$X88,IF(AND($T88&lt;&gt;"",EDATE($D88,Milestones!$AA$146)&gt;=$T88),$W88,IF(AND($S88&lt;&gt;"",EDATE($D88,Milestones!$AA$146)&gt;=$S88),$V88,$U88)))=Milestones!$AB$146),UPPER(TEXT(EDATE($D88,Milestones!$AA$146),"dd mmm yy"))&amp;" "&amp;Milestones!$AB$146&amp;" "&amp;Milestones!$AC$146&amp;";  ","")&amp;IF(AND(EDATE($D88,Milestones!$AA$147)&lt;=AsOfDate,IF($R88=0,$X88,IF(AND($T88&lt;&gt;"",EDATE($D88,Milestones!$AA$147)&gt;=$T88),$W88,IF(AND($S88&lt;&gt;"",EDATE($D88,Milestones!$AA$147)&gt;=$S88),$V88,$U88)))=Milestones!$AB$147),UPPER(TEXT(EDATE($D88,Milestones!$AA$147),"dd mmm yy"))&amp;" "&amp;Milestones!$AB$147&amp;" "&amp;Milestones!$AC$147&amp;";  ","")&amp;IF(AND(EDATE($D88,Milestones!$AA$148)&lt;=AsOfDate,IF($R88=0,$X88,IF(AND($T88&lt;&gt;"",EDATE($D88,Milestones!$AA$148)&gt;=$T88),$W88,IF(AND($S88&lt;&gt;"",EDATE($D88,Milestones!$AA$148)&gt;=$S88),$V88,$U88)))=Milestones!$AB$148),UPPER(TEXT(EDATE($D88,Milestones!$AA$148),"dd mmm yy"))&amp;" "&amp;Milestones!$AB$148&amp;" "&amp;Milestones!$AC$148&amp;";  ","")&amp;IF(AND(EDATE($D88,Milestones!$AA$149)&lt;=AsOfDate,IF($R88=0,$X88,IF(AND($T88&lt;&gt;"",EDATE($D88,Milestones!$AA$149)&gt;=$T88),$W88,IF(AND($S88&lt;&gt;"",EDATE($D88,Milestones!$AA$149)&gt;=$S88),$V88,$U88)))=Milestones!$AB$149),UPPER(TEXT(EDATE($D88,Milestones!$AA$149),"dd mmm yy"))&amp;" "&amp;Milestones!$AB$149&amp;" "&amp;Milestones!$AC$149&amp;";  ","")&amp;IF(AND(EDATE($D88,Milestones!$AA$150)&lt;=AsOfDate,IF($R88=0,$X88,IF(AND($T88&lt;&gt;"",EDATE($D88,Milestones!$AA$150)&gt;=$T88),$W88,IF(AND($S88&lt;&gt;"",EDATE($D88,Milestones!$AA$150)&gt;=$S88),$V88,$U88)))=Milestones!$AB$150),UPPER(TEXT(EDATE($D88,Milestones!$AA$150),"dd mmm yy"))&amp;" "&amp;Milestones!$AB$150&amp;" "&amp;Milestones!$AC$150&amp;";  ","")&amp;IF(AND(EDATE($D88,Milestones!$AA$151)&lt;=AsOfDate,IF($R88=0,$X88,IF(AND($T88&lt;&gt;"",EDATE($D88,Milestones!$AA$151)&gt;=$T88),$W88,IF(AND($S88&lt;&gt;"",EDATE($D88,Milestones!$AA$151)&gt;=$S88),$V88,$U88)))=Milestones!$AB$151),UPPER(TEXT(EDATE($D88,Milestones!$AA$151),"dd mmm yy"))&amp;" "&amp;Milestones!$AB$151&amp;" "&amp;Milestones!$AC$151&amp;";  ","")&amp;IF(AND(EDATE($D88,Milestones!$AA$152)&lt;=AsOfDate,IF($R88=0,$X88,IF(AND($T88&lt;&gt;"",EDATE($D88,Milestones!$AA$152)&gt;=$T88),$W88,IF(AND($S88&lt;&gt;"",EDATE($D88,Milestones!$AA$152)&gt;=$S88),$V88,$U88)))=Milestones!$AB$152),UPPER(TEXT(EDATE($D88,Milestones!$AA$152),"dd mmm yy"))&amp;" "&amp;Milestones!$AB$152&amp;" "&amp;Milestones!$AC$152&amp;";  ","")&amp;IF(AND(EDATE($D88,Milestones!$AA$153)&lt;=AsOfDate,IF($R88=0,$X88,IF(AND($T88&lt;&gt;"",EDATE($D88,Milestones!$AA$153)&gt;=$T88),$W88,IF(AND($S88&lt;&gt;"",EDATE($D88,Milestones!$AA$153)&gt;=$S88),$V88,$U88)))=Milestones!$AB$153),UPPER(TEXT(EDATE($D88,Milestones!$AA$153),"dd mmm yy"))&amp;" "&amp;Milestones!$AB$153&amp;" "&amp;Milestones!$AC$153&amp;";  ","")&amp;IF(AND(EDATE($D88,Milestones!$AA$154)&lt;=AsOfDate,IF($R88=0,$X88,IF(AND($T88&lt;&gt;"",EDATE($D88,Milestones!$AA$154)&gt;=$T88),$W88,IF(AND($S88&lt;&gt;"",EDATE($D88,Milestones!$AA$154)&gt;=$S88),$V88,$U88)))=Milestones!$AB$154),UPPER(TEXT(EDATE($D88,Milestones!$AA$154),"dd mmm yy"))&amp;" "&amp;Milestones!$AB$154&amp;" "&amp;Milestones!$AC$154&amp;";  ","")&amp;IF(AND(EDATE($D88,Milestones!$AA$155)&lt;=AsOfDate,IF($R88=0,$X88,IF(AND($T88&lt;&gt;"",EDATE($D88,Milestones!$AA$155)&gt;=$T88),$W88,IF(AND($S88&lt;&gt;"",EDATE($D88,Milestones!$AA$155)&gt;=$S88),$V88,$U88)))=Milestones!$AB$155),UPPER(TEXT(EDATE($D88,Milestones!$AA$155),"dd mmm yy"))&amp;" "&amp;Milestones!$AB$155&amp;" "&amp;Milestones!$AC$155&amp;";  ","")&amp;IF(AND(EDATE($D88,Milestones!$AA$156)&lt;=AsOfDate,IF($R88=0,$X88,IF(AND($T88&lt;&gt;"",EDATE($D88,Milestones!$AA$156)&gt;=$T88),$W88,IF(AND($S88&lt;&gt;"",EDATE($D88,Milestones!$AA$156)&gt;=$S88),$V88,$U88)))=Milestones!$AB$156),UPPER(TEXT(EDATE($D88,Milestones!$AA$156),"dd mmm yy"))&amp;" "&amp;Milestones!$AB$156&amp;" "&amp;Milestones!$AC$156&amp;";  ","")&amp;IF(AND(EDATE($D88,Milestones!$AA$157)&lt;=AsOfDate,IF($R88=0,$X88,IF(AND($T88&lt;&gt;"",EDATE($D88,Milestones!$AA$157)&gt;=$T88),$W88,IF(AND($S88&lt;&gt;"",EDATE($D88,Milestones!$AA$157)&gt;=$S88),$V88,$U88)))=Milestones!$AB$157),UPPER(TEXT(EDATE($D88,Milestones!$AA$157),"dd mmm yy"))&amp;" "&amp;Milestones!$AB$157&amp;" "&amp;Milestones!$AC$157&amp;";  ","")&amp;IF(AND(EDATE($D88,Milestones!$AA$158)&lt;=AsOfDate,IF($R88=0,$X88,IF(AND($T88&lt;&gt;"",EDATE($D88,Milestones!$AA$158)&gt;=$T88),$W88,IF(AND($S88&lt;&gt;"",EDATE($D88,Milestones!$AA$158)&gt;=$S88),$V88,$U88)))=Milestones!$AB$158),UPPER(TEXT(EDATE($D88,Milestones!$AA$158),"dd mmm yy"))&amp;" "&amp;Milestones!$AB$158&amp;" "&amp;Milestones!$AC$158&amp;";  ","")&amp;IF(AND(EDATE($D88,Milestones!$AA$159)&lt;=AsOfDate,IF($R88=0,$X88,IF(AND($T88&lt;&gt;"",EDATE($D88,Milestones!$AA$159)&gt;=$T88),$W88,IF(AND($S88&lt;&gt;"",EDATE($D88,Milestones!$AA$159)&gt;=$S88),$V88,$U88)))=Milestones!$AB$159),UPPER(TEXT(EDATE($D88,Milestones!$AA$159),"dd mmm yy"))&amp;" "&amp;Milestones!$AB$159&amp;" "&amp;Milestones!$AC$159&amp;";  ",""))</f>
        <v/>
      </c>
      <c r="P88" s="0" t="str">
        <f aca="false">IF(OR($A88="",$D88=""),"",IF(AND(EDATE($D88,Milestones!$AA$160)&lt;=AsOfDate,IF($R88=0,$X88,IF(AND($T88&lt;&gt;"",EDATE($D88,Milestones!$AA$160)&gt;=$T88),$W88,IF(AND($S88&lt;&gt;"",EDATE($D88,Milestones!$AA$160)&gt;=$S88),$V88,$U88)))=Milestones!$AB$160),UPPER(TEXT(EDATE($D88,Milestones!$AA$160),"dd mmm yy"))&amp;" "&amp;Milestones!$AB$160&amp;" "&amp;Milestones!$AC$160&amp;";  ","")&amp;IF(AND(EDATE($D88,Milestones!$AA$161)&lt;=AsOfDate,IF($R88=0,$X88,IF(AND($T88&lt;&gt;"",EDATE($D88,Milestones!$AA$161)&gt;=$T88),$W88,IF(AND($S88&lt;&gt;"",EDATE($D88,Milestones!$AA$161)&gt;=$S88),$V88,$U88)))=Milestones!$AB$161),UPPER(TEXT(EDATE($D88,Milestones!$AA$161),"dd mmm yy"))&amp;" "&amp;Milestones!$AB$161&amp;" "&amp;Milestones!$AC$161&amp;";  ","")&amp;IF(AND(EDATE($D88,Milestones!$AA$162)&lt;=AsOfDate,IF($R88=0,$X88,IF(AND($T88&lt;&gt;"",EDATE($D88,Milestones!$AA$162)&gt;=$T88),$W88,IF(AND($S88&lt;&gt;"",EDATE($D88,Milestones!$AA$162)&gt;=$S88),$V88,$U88)))=Milestones!$AB$162),UPPER(TEXT(EDATE($D88,Milestones!$AA$162),"dd mmm yy"))&amp;" "&amp;Milestones!$AB$162&amp;" "&amp;Milestones!$AC$162&amp;";  ","")&amp;IF(AND(EDATE($D88,Milestones!$AA$163)&lt;=AsOfDate,IF($R88=0,$X88,IF(AND($T88&lt;&gt;"",EDATE($D88,Milestones!$AA$163)&gt;=$T88),$W88,IF(AND($S88&lt;&gt;"",EDATE($D88,Milestones!$AA$163)&gt;=$S88),$V88,$U88)))=Milestones!$AB$163),UPPER(TEXT(EDATE($D88,Milestones!$AA$163),"dd mmm yy"))&amp;" "&amp;Milestones!$AB$163&amp;" "&amp;Milestones!$AC$163&amp;";  ","")&amp;IF(AND(EDATE($D88,Milestones!$AA$164)&lt;=AsOfDate,IF($R88=0,$X88,IF(AND($T88&lt;&gt;"",EDATE($D88,Milestones!$AA$164)&gt;=$T88),$W88,IF(AND($S88&lt;&gt;"",EDATE($D88,Milestones!$AA$164)&gt;=$S88),$V88,$U88)))=Milestones!$AB$164),UPPER(TEXT(EDATE($D88,Milestones!$AA$164),"dd mmm yy"))&amp;" "&amp;Milestones!$AB$164&amp;" "&amp;Milestones!$AC$164&amp;";  ","")&amp;IF(AND(EDATE($D88,Milestones!$AA$165)&lt;=AsOfDate,IF($R88=0,$X88,IF(AND($T88&lt;&gt;"",EDATE($D88,Milestones!$AA$165)&gt;=$T88),$W88,IF(AND($S88&lt;&gt;"",EDATE($D88,Milestones!$AA$165)&gt;=$S88),$V88,$U88)))=Milestones!$AB$165),UPPER(TEXT(EDATE($D88,Milestones!$AA$165),"dd mmm yy"))&amp;" "&amp;Milestones!$AB$165&amp;" "&amp;Milestones!$AC$165&amp;";  ","")&amp;IF(AND(EDATE($D88,Milestones!$AA$166)&lt;=AsOfDate,IF($R88=0,$X88,IF(AND($T88&lt;&gt;"",EDATE($D88,Milestones!$AA$166)&gt;=$T88),$W88,IF(AND($S88&lt;&gt;"",EDATE($D88,Milestones!$AA$166)&gt;=$S88),$V88,$U88)))=Milestones!$AB$166),UPPER(TEXT(EDATE($D88,Milestones!$AA$166),"dd mmm yy"))&amp;" "&amp;Milestones!$AB$166&amp;" "&amp;Milestones!$AC$166&amp;";  ","")&amp;IF(AND(EDATE($D88,Milestones!$AA$167)&lt;=AsOfDate,IF($R88=0,$X88,IF(AND($T88&lt;&gt;"",EDATE($D88,Milestones!$AA$167)&gt;=$T88),$W88,IF(AND($S88&lt;&gt;"",EDATE($D88,Milestones!$AA$167)&gt;=$S88),$V88,$U88)))=Milestones!$AB$167),UPPER(TEXT(EDATE($D88,Milestones!$AA$167),"dd mmm yy"))&amp;" "&amp;Milestones!$AB$167&amp;" "&amp;Milestones!$AC$167&amp;";  ","")&amp;IF(AND(EDATE($D88,Milestones!$AA$168)&lt;=AsOfDate,IF($R88=0,$X88,IF(AND($T88&lt;&gt;"",EDATE($D88,Milestones!$AA$168)&gt;=$T88),$W88,IF(AND($S88&lt;&gt;"",EDATE($D88,Milestones!$AA$168)&gt;=$S88),$V88,$U88)))=Milestones!$AB$168),UPPER(TEXT(EDATE($D88,Milestones!$AA$168),"dd mmm yy"))&amp;" "&amp;Milestones!$AB$168&amp;" "&amp;Milestones!$AC$168&amp;";  ","")&amp;IF(AND(EDATE($D88,Milestones!$AA$169)&lt;=AsOfDate,IF($R88=0,$X88,IF(AND($T88&lt;&gt;"",EDATE($D88,Milestones!$AA$169)&gt;=$T88),$W88,IF(AND($S88&lt;&gt;"",EDATE($D88,Milestones!$AA$169)&gt;=$S88),$V88,$U88)))=Milestones!$AB$169),UPPER(TEXT(EDATE($D88,Milestones!$AA$169),"dd mmm yy"))&amp;" "&amp;Milestones!$AB$169&amp;" "&amp;Milestones!$AC$169&amp;";  ","")&amp;IF(AND(EDATE($D88,Milestones!$AA$170)&lt;=AsOfDate,IF($R88=0,$X88,IF(AND($T88&lt;&gt;"",EDATE($D88,Milestones!$AA$170)&gt;=$T88),$W88,IF(AND($S88&lt;&gt;"",EDATE($D88,Milestones!$AA$170)&gt;=$S88),$V88,$U88)))=Milestones!$AB$170),UPPER(TEXT(EDATE($D88,Milestones!$AA$170),"dd mmm yy"))&amp;" "&amp;Milestones!$AB$170&amp;" "&amp;Milestones!$AC$170&amp;";  ","")&amp;IF(AND(EDATE($D88,Milestones!$AA$171)&lt;=AsOfDate,IF($R88=0,$X88,IF(AND($T88&lt;&gt;"",EDATE($D88,Milestones!$AA$171)&gt;=$T88),$W88,IF(AND($S88&lt;&gt;"",EDATE($D88,Milestones!$AA$171)&gt;=$S88),$V88,$U88)))=Milestones!$AB$171),UPPER(TEXT(EDATE($D88,Milestones!$AA$171),"dd mmm yy"))&amp;" "&amp;Milestones!$AB$171&amp;" "&amp;Milestones!$AC$171&amp;";  ","")&amp;IF(AND(EDATE($D88,Milestones!$AA$172)&lt;=AsOfDate,IF($R88=0,$X88,IF(AND($T88&lt;&gt;"",EDATE($D88,Milestones!$AA$172)&gt;=$T88),$W88,IF(AND($S88&lt;&gt;"",EDATE($D88,Milestones!$AA$172)&gt;=$S88),$V88,$U88)))=Milestones!$AB$172),UPPER(TEXT(EDATE($D88,Milestones!$AA$172),"dd mmm yy"))&amp;" "&amp;Milestones!$AB$172&amp;" "&amp;Milestones!$AC$172&amp;";  ","")&amp;IF(AND(EDATE($D88,Milestones!$AA$173)&lt;=AsOfDate,IF($R88=0,$X88,IF(AND($T88&lt;&gt;"",EDATE($D88,Milestones!$AA$173)&gt;=$T88),$W88,IF(AND($S88&lt;&gt;"",EDATE($D88,Milestones!$AA$173)&gt;=$S88),$V88,$U88)))=Milestones!$AB$173),UPPER(TEXT(EDATE($D88,Milestones!$AA$173),"dd mmm yy"))&amp;" "&amp;Milestones!$AB$173&amp;" "&amp;Milestones!$AC$173&amp;";  ","")&amp;IF(AND(EDATE($D88,Milestones!$AA$174)&lt;=AsOfDate,IF($R88=0,$X88,IF(AND($T88&lt;&gt;"",EDATE($D88,Milestones!$AA$174)&gt;=$T88),$W88,IF(AND($S88&lt;&gt;"",EDATE($D88,Milestones!$AA$174)&gt;=$S88),$V88,$U88)))=Milestones!$AB$174),UPPER(TEXT(EDATE($D88,Milestones!$AA$174),"dd mmm yy"))&amp;" "&amp;Milestones!$AB$174&amp;" "&amp;Milestones!$AC$174&amp;";  ","")&amp;IF(AND(EDATE($D88,Milestones!$AA$175)&lt;=AsOfDate,IF($R88=0,$X88,IF(AND($T88&lt;&gt;"",EDATE($D88,Milestones!$AA$175)&gt;=$T88),$W88,IF(AND($S88&lt;&gt;"",EDATE($D88,Milestones!$AA$175)&gt;=$S88),$V88,$U88)))=Milestones!$AB$175),UPPER(TEXT(EDATE($D88,Milestones!$AA$175),"dd mmm yy"))&amp;" "&amp;Milestones!$AB$175&amp;" "&amp;Milestones!$AC$175&amp;";  ","")&amp;IF(AND(EDATE($D88,Milestones!$AA$176)&lt;=AsOfDate,IF($R88=0,$X88,IF(AND($T88&lt;&gt;"",EDATE($D88,Milestones!$AA$176)&gt;=$T88),$W88,IF(AND($S88&lt;&gt;"",EDATE($D88,Milestones!$AA$176)&gt;=$S88),$V88,$U88)))=Milestones!$AB$176),UPPER(TEXT(EDATE($D88,Milestones!$AA$176),"dd mmm yy"))&amp;" "&amp;Milestones!$AB$176&amp;" "&amp;Milestones!$AC$176&amp;";  ","")&amp;IF(AND(EDATE($D88,Milestones!$AA$177)&lt;=AsOfDate,IF($R88=0,$X88,IF(AND($T88&lt;&gt;"",EDATE($D88,Milestones!$AA$177)&gt;=$T88),$W88,IF(AND($S88&lt;&gt;"",EDATE($D88,Milestones!$AA$177)&gt;=$S88),$V88,$U88)))=Milestones!$AB$177),UPPER(TEXT(EDATE($D88,Milestones!$AA$177),"dd mmm yy"))&amp;" "&amp;Milestones!$AB$177&amp;" "&amp;Milestones!$AC$177&amp;";  ","")&amp;IF(AND(EDATE($D88,Milestones!$AA$178)&lt;=AsOfDate,IF($R88=0,$X88,IF(AND($T88&lt;&gt;"",EDATE($D88,Milestones!$AA$178)&gt;=$T88),$W88,IF(AND($S88&lt;&gt;"",EDATE($D88,Milestones!$AA$178)&gt;=$S88),$V88,$U88)))=Milestones!$AB$178),UPPER(TEXT(EDATE($D88,Milestones!$AA$178),"dd mmm yy"))&amp;" "&amp;Milestones!$AB$178&amp;" "&amp;Milestones!$AC$178&amp;";  ","")&amp;IF(AND(EDATE($D88,Milestones!$AA$179)&lt;=AsOfDate,IF($R88=0,$X88,IF(AND($T88&lt;&gt;"",EDATE($D88,Milestones!$AA$179)&gt;=$T88),$W88,IF(AND($S88&lt;&gt;"",EDATE($D88,Milestones!$AA$179)&gt;=$S88),$V88,$U88)))=Milestones!$AB$179),UPPER(TEXT(EDATE($D88,Milestones!$AA$179),"dd mmm yy"))&amp;" "&amp;Milestones!$AB$179&amp;" "&amp;Milestones!$AC$179&amp;";  ",""))</f>
        <v/>
      </c>
      <c r="Q88" s="0" t="str">
        <f aca="false">IF(OR($A88="",$D88=""),"",IF(AND(EDATE($D88,Milestones!$AA$180)&lt;=AsOfDate,IF($R88=0,$X88,IF(AND($T88&lt;&gt;"",EDATE($D88,Milestones!$AA$180)&gt;=$T88),$W88,IF(AND($S88&lt;&gt;"",EDATE($D88,Milestones!$AA$180)&gt;=$S88),$V88,$U88)))=Milestones!$AB$180),UPPER(TEXT(EDATE($D88,Milestones!$AA$180),"dd mmm yy"))&amp;" "&amp;Milestones!$AB$180&amp;" "&amp;Milestones!$AC$180&amp;";  ","")&amp;IF(AND(EDATE($D88,Milestones!$AA$181)&lt;=AsOfDate,IF($R88=0,$X88,IF(AND($T88&lt;&gt;"",EDATE($D88,Milestones!$AA$181)&gt;=$T88),$W88,IF(AND($S88&lt;&gt;"",EDATE($D88,Milestones!$AA$181)&gt;=$S88),$V88,$U88)))=Milestones!$AB$181),UPPER(TEXT(EDATE($D88,Milestones!$AA$181),"dd mmm yy"))&amp;" "&amp;Milestones!$AB$181&amp;" "&amp;Milestones!$AC$181&amp;";  ","")&amp;IF(AND(EDATE($D88,Milestones!$AA$182)&lt;=AsOfDate,IF($R88=0,$X88,IF(AND($T88&lt;&gt;"",EDATE($D88,Milestones!$AA$182)&gt;=$T88),$W88,IF(AND($S88&lt;&gt;"",EDATE($D88,Milestones!$AA$182)&gt;=$S88),$V88,$U88)))=Milestones!$AB$182),UPPER(TEXT(EDATE($D88,Milestones!$AA$182),"dd mmm yy"))&amp;" "&amp;Milestones!$AB$182&amp;" "&amp;Milestones!$AC$182&amp;";  ","")&amp;IF(AND(EDATE($D88,Milestones!$AA$183)&lt;=AsOfDate,IF($R88=0,$X88,IF(AND($T88&lt;&gt;"",EDATE($D88,Milestones!$AA$183)&gt;=$T88),$W88,IF(AND($S88&lt;&gt;"",EDATE($D88,Milestones!$AA$183)&gt;=$S88),$V88,$U88)))=Milestones!$AB$183),UPPER(TEXT(EDATE($D88,Milestones!$AA$183),"dd mmm yy"))&amp;" "&amp;Milestones!$AB$183&amp;" "&amp;Milestones!$AC$183&amp;";  ","")&amp;IF(AND(EDATE($D88,Milestones!$AA$184)&lt;=AsOfDate,IF($R88=0,$X88,IF(AND($T88&lt;&gt;"",EDATE($D88,Milestones!$AA$184)&gt;=$T88),$W88,IF(AND($S88&lt;&gt;"",EDATE($D88,Milestones!$AA$184)&gt;=$S88),$V88,$U88)))=Milestones!$AB$184),UPPER(TEXT(EDATE($D88,Milestones!$AA$184),"dd mmm yy"))&amp;" "&amp;Milestones!$AB$184&amp;" "&amp;Milestones!$AC$184&amp;";  ","")&amp;IF(AND(EDATE($D88,Milestones!$AA$185)&lt;=AsOfDate,IF($R88=0,$X88,IF(AND($T88&lt;&gt;"",EDATE($D88,Milestones!$AA$185)&gt;=$T88),$W88,IF(AND($S88&lt;&gt;"",EDATE($D88,Milestones!$AA$185)&gt;=$S88),$V88,$U88)))=Milestones!$AB$185),UPPER(TEXT(EDATE($D88,Milestones!$AA$185),"dd mmm yy"))&amp;" "&amp;Milestones!$AB$185&amp;" "&amp;Milestones!$AC$185&amp;";  ","")&amp;IF(AND(EDATE($D88,Milestones!$AA$186)&lt;=AsOfDate,IF($R88=0,$X88,IF(AND($T88&lt;&gt;"",EDATE($D88,Milestones!$AA$186)&gt;=$T88),$W88,IF(AND($S88&lt;&gt;"",EDATE($D88,Milestones!$AA$186)&gt;=$S88),$V88,$U88)))=Milestones!$AB$186),UPPER(TEXT(EDATE($D88,Milestones!$AA$186),"dd mmm yy"))&amp;" "&amp;Milestones!$AB$186&amp;" "&amp;Milestones!$AC$186&amp;";  ","")&amp;IF(AND(EDATE($D88,Milestones!$AA$187)&lt;=AsOfDate,IF($R88=0,$X88,IF(AND($T88&lt;&gt;"",EDATE($D88,Milestones!$AA$187)&gt;=$T88),$W88,IF(AND($S88&lt;&gt;"",EDATE($D88,Milestones!$AA$187)&gt;=$S88),$V88,$U88)))=Milestones!$AB$187),UPPER(TEXT(EDATE($D88,Milestones!$AA$187),"dd mmm yy"))&amp;" "&amp;Milestones!$AB$187&amp;" "&amp;Milestones!$AC$187&amp;";  ","")&amp;IF(AND(EDATE($D88,Milestones!$AA$188)&lt;=AsOfDate,IF($R88=0,$X88,IF(AND($T88&lt;&gt;"",EDATE($D88,Milestones!$AA$188)&gt;=$T88),$W88,IF(AND($S88&lt;&gt;"",EDATE($D88,Milestones!$AA$188)&gt;=$S88),$V88,$U88)))=Milestones!$AB$188),UPPER(TEXT(EDATE($D88,Milestones!$AA$188),"dd mmm yy"))&amp;" "&amp;Milestones!$AB$188&amp;" "&amp;Milestones!$AC$188&amp;";  ","")&amp;IF(AND(EDATE($D88,Milestones!$AA$189)&lt;=AsOfDate,IF($R88=0,$X88,IF(AND($T88&lt;&gt;"",EDATE($D88,Milestones!$AA$189)&gt;=$T88),$W88,IF(AND($S88&lt;&gt;"",EDATE($D88,Milestones!$AA$189)&gt;=$S88),$V88,$U88)))=Milestones!$AB$189),UPPER(TEXT(EDATE($D88,Milestones!$AA$189),"dd mmm yy"))&amp;" "&amp;Milestones!$AB$189&amp;" "&amp;Milestones!$AC$189&amp;";  ","")&amp;IF(AND(EDATE($D88,Milestones!$AA$190)&lt;=AsOfDate,IF($R88=0,$X88,IF(AND($T88&lt;&gt;"",EDATE($D88,Milestones!$AA$190)&gt;=$T88),$W88,IF(AND($S88&lt;&gt;"",EDATE($D88,Milestones!$AA$190)&gt;=$S88),$V88,$U88)))=Milestones!$AB$190),UPPER(TEXT(EDATE($D88,Milestones!$AA$190),"dd mmm yy"))&amp;" "&amp;Milestones!$AB$190&amp;" "&amp;Milestones!$AC$190&amp;";  ","")&amp;IF(AND(EDATE($D88,Milestones!$AA$191)&lt;=AsOfDate,IF($R88=0,$X88,IF(AND($T88&lt;&gt;"",EDATE($D88,Milestones!$AA$191)&gt;=$T88),$W88,IF(AND($S88&lt;&gt;"",EDATE($D88,Milestones!$AA$191)&gt;=$S88),$V88,$U88)))=Milestones!$AB$191),UPPER(TEXT(EDATE($D88,Milestones!$AA$191),"dd mmm yy"))&amp;" "&amp;Milestones!$AB$191&amp;" "&amp;Milestones!$AC$191&amp;";  ","")&amp;IF(AND(EDATE($D88,Milestones!$AA$192)&lt;=AsOfDate,IF($R88=0,$X88,IF(AND($T88&lt;&gt;"",EDATE($D88,Milestones!$AA$192)&gt;=$T88),$W88,IF(AND($S88&lt;&gt;"",EDATE($D88,Milestones!$AA$192)&gt;=$S88),$V88,$U88)))=Milestones!$AB$192),UPPER(TEXT(EDATE($D88,Milestones!$AA$192),"dd mmm yy"))&amp;" "&amp;Milestones!$AB$192&amp;" "&amp;Milestones!$AC$192&amp;";  ","")&amp;IF(AND(EDATE($D88,Milestones!$AA$193)&lt;=AsOfDate,IF($R88=0,$X88,IF(AND($T88&lt;&gt;"",EDATE($D88,Milestones!$AA$193)&gt;=$T88),$W88,IF(AND($S88&lt;&gt;"",EDATE($D88,Milestones!$AA$193)&gt;=$S88),$V88,$U88)))=Milestones!$AB$193),UPPER(TEXT(EDATE($D88,Milestones!$AA$193),"dd mmm yy"))&amp;" "&amp;Milestones!$AB$193&amp;" "&amp;Milestones!$AC$193&amp;";  ","")&amp;IF(AND(EDATE($D88,Milestones!$AA$194)&lt;=AsOfDate,IF($R88=0,$X88,IF(AND($T88&lt;&gt;"",EDATE($D88,Milestones!$AA$194)&gt;=$T88),$W88,IF(AND($S88&lt;&gt;"",EDATE($D88,Milestones!$AA$194)&gt;=$S88),$V88,$U88)))=Milestones!$AB$194),UPPER(TEXT(EDATE($D88,Milestones!$AA$194),"dd mmm yy"))&amp;" "&amp;Milestones!$AB$194&amp;" "&amp;Milestones!$AC$194&amp;";  ","")&amp;IF(AND(EDATE($D88,Milestones!$AA$195)&lt;=AsOfDate,IF($R88=0,$X88,IF(AND($T88&lt;&gt;"",EDATE($D88,Milestones!$AA$195)&gt;=$T88),$W88,IF(AND($S88&lt;&gt;"",EDATE($D88,Milestones!$AA$195)&gt;=$S88),$V88,$U88)))=Milestones!$AB$195),UPPER(TEXT(EDATE($D88,Milestones!$AA$195),"dd mmm yy"))&amp;" "&amp;Milestones!$AB$195&amp;" "&amp;Milestones!$AC$195&amp;";  ","")&amp;IF(AND(EDATE($D88,Milestones!$AA$196)&lt;=AsOfDate,IF($R88=0,$X88,IF(AND($T88&lt;&gt;"",EDATE($D88,Milestones!$AA$196)&gt;=$T88),$W88,IF(AND($S88&lt;&gt;"",EDATE($D88,Milestones!$AA$196)&gt;=$S88),$V88,$U88)))=Milestones!$AB$196),UPPER(TEXT(EDATE($D88,Milestones!$AA$196),"dd mmm yy"))&amp;" "&amp;Milestones!$AB$196&amp;" "&amp;Milestones!$AC$196&amp;";  ","")&amp;IF(AND(EDATE($D88,Milestones!$AA$197)&lt;=AsOfDate,IF($R88=0,$X88,IF(AND($T88&lt;&gt;"",EDATE($D88,Milestones!$AA$197)&gt;=$T88),$W88,IF(AND($S88&lt;&gt;"",EDATE($D88,Milestones!$AA$197)&gt;=$S88),$V88,$U88)))=Milestones!$AB$197),UPPER(TEXT(EDATE($D88,Milestones!$AA$197),"dd mmm yy"))&amp;" "&amp;Milestones!$AB$197&amp;" "&amp;Milestones!$AC$197&amp;";  ","")&amp;IF(AND(EDATE($D88,Milestones!$AA$198)&lt;=AsOfDate,IF($R88=0,$X88,IF(AND($T88&lt;&gt;"",EDATE($D88,Milestones!$AA$198)&gt;=$T88),$W88,IF(AND($S88&lt;&gt;"",EDATE($D88,Milestones!$AA$198)&gt;=$S88),$V88,$U88)))=Milestones!$AB$198),UPPER(TEXT(EDATE($D88,Milestones!$AA$198),"dd mmm yy"))&amp;" "&amp;Milestones!$AB$198&amp;" "&amp;Milestones!$AC$198&amp;";  ","")&amp;IF(AND(EDATE($D88,Milestones!$AA$199)&lt;=AsOfDate,IF($R88=0,$X88,IF(AND($T88&lt;&gt;"",EDATE($D88,Milestones!$AA$199)&gt;=$T88),$W88,IF(AND($S88&lt;&gt;"",EDATE($D88,Milestones!$AA$199)&gt;=$S88),$V88,$U88)))=Milestones!$AB$199),UPPER(TEXT(EDATE($D88,Milestones!$AA$199),"dd mmm yy"))&amp;" "&amp;Milestones!$AB$199&amp;" "&amp;Milestones!$AC$199&amp;";  ",""))</f>
        <v/>
      </c>
      <c r="R88" s="0" t="str">
        <f aca="false">IF(Staff!$A88="","",Staff!$AI88)</f>
        <v/>
      </c>
      <c r="S88" s="0" t="str">
        <f aca="false">IF(Staff!$A88="","",Staff!$AK88)</f>
        <v/>
      </c>
      <c r="T88" s="0" t="str">
        <f aca="false">IF(Staff!$A88="","",Staff!$AL88)</f>
        <v/>
      </c>
      <c r="U88" s="0" t="str">
        <f aca="false">IF(Staff!$A88="","",Staff!$AP88)</f>
        <v/>
      </c>
      <c r="V88" s="0" t="str">
        <f aca="false">IF(Staff!$A88="","",Staff!$AQ88)</f>
        <v/>
      </c>
      <c r="W88" s="0" t="str">
        <f aca="false">IF(Staff!$A88="","",Staff!$AR88)</f>
        <v/>
      </c>
      <c r="X88" s="0" t="str">
        <f aca="false">IF(Staff!$A88="","",Staff!$AS88)</f>
        <v/>
      </c>
    </row>
    <row r="89" customFormat="false" ht="15" hidden="false" customHeight="false" outlineLevel="0" collapsed="false">
      <c r="A89" s="14" t="str">
        <f aca="false">IF(Staff!$A89="","",Staff!$A89)</f>
        <v/>
      </c>
      <c r="B89" s="14" t="str">
        <f aca="false">IF(Staff!$A89="","",Staff!$B89)</f>
        <v/>
      </c>
      <c r="C89" s="14" t="str">
        <f aca="false">IF(Staff!$A89="","",Staff!$C89)</f>
        <v/>
      </c>
      <c r="D89" s="12" t="str">
        <f aca="false">IF(Staff!$A89="","",Staff!$AH89)</f>
        <v/>
      </c>
      <c r="E89" s="14" t="str">
        <f aca="false">IF(Staff!$A89="","",Staff!$O89)</f>
        <v/>
      </c>
      <c r="F89" s="14" t="str">
        <f aca="false">IF(E89="","",E89*HoursPerDay)</f>
        <v/>
      </c>
      <c r="G89" s="14" t="str">
        <f aca="false">IF(Staff!$A89="","",Staff!$AE89)</f>
        <v/>
      </c>
      <c r="H89" s="26" t="str">
        <f aca="false">IF($A89="","",I89&amp;J89&amp;K89&amp;L89&amp;M89&amp;N89&amp;O89&amp;P89&amp;Q89)</f>
        <v/>
      </c>
      <c r="I89" s="0" t="str">
        <f aca="false">IF(OR($A89="",$D89=""),"",IF(AND(EDATE($D89,Milestones!$AA$20)&lt;=AsOfDate,IF($R89=0,$X89,IF(AND($T89&lt;&gt;"",EDATE($D89,Milestones!$AA$20)&gt;=$T89),$W89,IF(AND($S89&lt;&gt;"",EDATE($D89,Milestones!$AA$20)&gt;=$S89),$V89,$U89)))=Milestones!$AB$20),UPPER(TEXT(EDATE($D89,Milestones!$AA$20),"dd mmm yy"))&amp;" "&amp;Milestones!$AB$20&amp;" "&amp;Milestones!$AC$20&amp;";  ","")&amp;IF(AND(EDATE($D89,Milestones!$AA$21)&lt;=AsOfDate,IF($R89=0,$X89,IF(AND($T89&lt;&gt;"",EDATE($D89,Milestones!$AA$21)&gt;=$T89),$W89,IF(AND($S89&lt;&gt;"",EDATE($D89,Milestones!$AA$21)&gt;=$S89),$V89,$U89)))=Milestones!$AB$21),UPPER(TEXT(EDATE($D89,Milestones!$AA$21),"dd mmm yy"))&amp;" "&amp;Milestones!$AB$21&amp;" "&amp;Milestones!$AC$21&amp;";  ","")&amp;IF(AND(EDATE($D89,Milestones!$AA$22)&lt;=AsOfDate,IF($R89=0,$X89,IF(AND($T89&lt;&gt;"",EDATE($D89,Milestones!$AA$22)&gt;=$T89),$W89,IF(AND($S89&lt;&gt;"",EDATE($D89,Milestones!$AA$22)&gt;=$S89),$V89,$U89)))=Milestones!$AB$22),UPPER(TEXT(EDATE($D89,Milestones!$AA$22),"dd mmm yy"))&amp;" "&amp;Milestones!$AB$22&amp;" "&amp;Milestones!$AC$22&amp;";  ","")&amp;IF(AND(EDATE($D89,Milestones!$AA$23)&lt;=AsOfDate,IF($R89=0,$X89,IF(AND($T89&lt;&gt;"",EDATE($D89,Milestones!$AA$23)&gt;=$T89),$W89,IF(AND($S89&lt;&gt;"",EDATE($D89,Milestones!$AA$23)&gt;=$S89),$V89,$U89)))=Milestones!$AB$23),UPPER(TEXT(EDATE($D89,Milestones!$AA$23),"dd mmm yy"))&amp;" "&amp;Milestones!$AB$23&amp;" "&amp;Milestones!$AC$23&amp;";  ","")&amp;IF(AND(EDATE($D89,Milestones!$AA$24)&lt;=AsOfDate,IF($R89=0,$X89,IF(AND($T89&lt;&gt;"",EDATE($D89,Milestones!$AA$24)&gt;=$T89),$W89,IF(AND($S89&lt;&gt;"",EDATE($D89,Milestones!$AA$24)&gt;=$S89),$V89,$U89)))=Milestones!$AB$24),UPPER(TEXT(EDATE($D89,Milestones!$AA$24),"dd mmm yy"))&amp;" "&amp;Milestones!$AB$24&amp;" "&amp;Milestones!$AC$24&amp;";  ","")&amp;IF(AND(EDATE($D89,Milestones!$AA$25)&lt;=AsOfDate,IF($R89=0,$X89,IF(AND($T89&lt;&gt;"",EDATE($D89,Milestones!$AA$25)&gt;=$T89),$W89,IF(AND($S89&lt;&gt;"",EDATE($D89,Milestones!$AA$25)&gt;=$S89),$V89,$U89)))=Milestones!$AB$25),UPPER(TEXT(EDATE($D89,Milestones!$AA$25),"dd mmm yy"))&amp;" "&amp;Milestones!$AB$25&amp;" "&amp;Milestones!$AC$25&amp;";  ","")&amp;IF(AND(EDATE($D89,Milestones!$AA$26)&lt;=AsOfDate,IF($R89=0,$X89,IF(AND($T89&lt;&gt;"",EDATE($D89,Milestones!$AA$26)&gt;=$T89),$W89,IF(AND($S89&lt;&gt;"",EDATE($D89,Milestones!$AA$26)&gt;=$S89),$V89,$U89)))=Milestones!$AB$26),UPPER(TEXT(EDATE($D89,Milestones!$AA$26),"dd mmm yy"))&amp;" "&amp;Milestones!$AB$26&amp;" "&amp;Milestones!$AC$26&amp;";  ","")&amp;IF(AND(EDATE($D89,Milestones!$AA$27)&lt;=AsOfDate,IF($R89=0,$X89,IF(AND($T89&lt;&gt;"",EDATE($D89,Milestones!$AA$27)&gt;=$T89),$W89,IF(AND($S89&lt;&gt;"",EDATE($D89,Milestones!$AA$27)&gt;=$S89),$V89,$U89)))=Milestones!$AB$27),UPPER(TEXT(EDATE($D89,Milestones!$AA$27),"dd mmm yy"))&amp;" "&amp;Milestones!$AB$27&amp;" "&amp;Milestones!$AC$27&amp;";  ","")&amp;IF(AND(EDATE($D89,Milestones!$AA$28)&lt;=AsOfDate,IF($R89=0,$X89,IF(AND($T89&lt;&gt;"",EDATE($D89,Milestones!$AA$28)&gt;=$T89),$W89,IF(AND($S89&lt;&gt;"",EDATE($D89,Milestones!$AA$28)&gt;=$S89),$V89,$U89)))=Milestones!$AB$28),UPPER(TEXT(EDATE($D89,Milestones!$AA$28),"dd mmm yy"))&amp;" "&amp;Milestones!$AB$28&amp;" "&amp;Milestones!$AC$28&amp;";  ","")&amp;IF(AND(EDATE($D89,Milestones!$AA$29)&lt;=AsOfDate,IF($R89=0,$X89,IF(AND($T89&lt;&gt;"",EDATE($D89,Milestones!$AA$29)&gt;=$T89),$W89,IF(AND($S89&lt;&gt;"",EDATE($D89,Milestones!$AA$29)&gt;=$S89),$V89,$U89)))=Milestones!$AB$29),UPPER(TEXT(EDATE($D89,Milestones!$AA$29),"dd mmm yy"))&amp;" "&amp;Milestones!$AB$29&amp;" "&amp;Milestones!$AC$29&amp;";  ","")&amp;IF(AND(EDATE($D89,Milestones!$AA$30)&lt;=AsOfDate,IF($R89=0,$X89,IF(AND($T89&lt;&gt;"",EDATE($D89,Milestones!$AA$30)&gt;=$T89),$W89,IF(AND($S89&lt;&gt;"",EDATE($D89,Milestones!$AA$30)&gt;=$S89),$V89,$U89)))=Milestones!$AB$30),UPPER(TEXT(EDATE($D89,Milestones!$AA$30),"dd mmm yy"))&amp;" "&amp;Milestones!$AB$30&amp;" "&amp;Milestones!$AC$30&amp;";  ","")&amp;IF(AND(EDATE($D89,Milestones!$AA$31)&lt;=AsOfDate,IF($R89=0,$X89,IF(AND($T89&lt;&gt;"",EDATE($D89,Milestones!$AA$31)&gt;=$T89),$W89,IF(AND($S89&lt;&gt;"",EDATE($D89,Milestones!$AA$31)&gt;=$S89),$V89,$U89)))=Milestones!$AB$31),UPPER(TEXT(EDATE($D89,Milestones!$AA$31),"dd mmm yy"))&amp;" "&amp;Milestones!$AB$31&amp;" "&amp;Milestones!$AC$31&amp;";  ","")&amp;IF(AND(EDATE($D89,Milestones!$AA$32)&lt;=AsOfDate,IF($R89=0,$X89,IF(AND($T89&lt;&gt;"",EDATE($D89,Milestones!$AA$32)&gt;=$T89),$W89,IF(AND($S89&lt;&gt;"",EDATE($D89,Milestones!$AA$32)&gt;=$S89),$V89,$U89)))=Milestones!$AB$32),UPPER(TEXT(EDATE($D89,Milestones!$AA$32),"dd mmm yy"))&amp;" "&amp;Milestones!$AB$32&amp;" "&amp;Milestones!$AC$32&amp;";  ","")&amp;IF(AND(EDATE($D89,Milestones!$AA$33)&lt;=AsOfDate,IF($R89=0,$X89,IF(AND($T89&lt;&gt;"",EDATE($D89,Milestones!$AA$33)&gt;=$T89),$W89,IF(AND($S89&lt;&gt;"",EDATE($D89,Milestones!$AA$33)&gt;=$S89),$V89,$U89)))=Milestones!$AB$33),UPPER(TEXT(EDATE($D89,Milestones!$AA$33),"dd mmm yy"))&amp;" "&amp;Milestones!$AB$33&amp;" "&amp;Milestones!$AC$33&amp;";  ","")&amp;IF(AND(EDATE($D89,Milestones!$AA$34)&lt;=AsOfDate,IF($R89=0,$X89,IF(AND($T89&lt;&gt;"",EDATE($D89,Milestones!$AA$34)&gt;=$T89),$W89,IF(AND($S89&lt;&gt;"",EDATE($D89,Milestones!$AA$34)&gt;=$S89),$V89,$U89)))=Milestones!$AB$34),UPPER(TEXT(EDATE($D89,Milestones!$AA$34),"dd mmm yy"))&amp;" "&amp;Milestones!$AB$34&amp;" "&amp;Milestones!$AC$34&amp;";  ","")&amp;IF(AND(EDATE($D89,Milestones!$AA$35)&lt;=AsOfDate,IF($R89=0,$X89,IF(AND($T89&lt;&gt;"",EDATE($D89,Milestones!$AA$35)&gt;=$T89),$W89,IF(AND($S89&lt;&gt;"",EDATE($D89,Milestones!$AA$35)&gt;=$S89),$V89,$U89)))=Milestones!$AB$35),UPPER(TEXT(EDATE($D89,Milestones!$AA$35),"dd mmm yy"))&amp;" "&amp;Milestones!$AB$35&amp;" "&amp;Milestones!$AC$35&amp;";  ","")&amp;IF(AND(EDATE($D89,Milestones!$AA$36)&lt;=AsOfDate,IF($R89=0,$X89,IF(AND($T89&lt;&gt;"",EDATE($D89,Milestones!$AA$36)&gt;=$T89),$W89,IF(AND($S89&lt;&gt;"",EDATE($D89,Milestones!$AA$36)&gt;=$S89),$V89,$U89)))=Milestones!$AB$36),UPPER(TEXT(EDATE($D89,Milestones!$AA$36),"dd mmm yy"))&amp;" "&amp;Milestones!$AB$36&amp;" "&amp;Milestones!$AC$36&amp;";  ","")&amp;IF(AND(EDATE($D89,Milestones!$AA$37)&lt;=AsOfDate,IF($R89=0,$X89,IF(AND($T89&lt;&gt;"",EDATE($D89,Milestones!$AA$37)&gt;=$T89),$W89,IF(AND($S89&lt;&gt;"",EDATE($D89,Milestones!$AA$37)&gt;=$S89),$V89,$U89)))=Milestones!$AB$37),UPPER(TEXT(EDATE($D89,Milestones!$AA$37),"dd mmm yy"))&amp;" "&amp;Milestones!$AB$37&amp;" "&amp;Milestones!$AC$37&amp;";  ","")&amp;IF(AND(EDATE($D89,Milestones!$AA$38)&lt;=AsOfDate,IF($R89=0,$X89,IF(AND($T89&lt;&gt;"",EDATE($D89,Milestones!$AA$38)&gt;=$T89),$W89,IF(AND($S89&lt;&gt;"",EDATE($D89,Milestones!$AA$38)&gt;=$S89),$V89,$U89)))=Milestones!$AB$38),UPPER(TEXT(EDATE($D89,Milestones!$AA$38),"dd mmm yy"))&amp;" "&amp;Milestones!$AB$38&amp;" "&amp;Milestones!$AC$38&amp;";  ","")&amp;IF(AND(EDATE($D89,Milestones!$AA$39)&lt;=AsOfDate,IF($R89=0,$X89,IF(AND($T89&lt;&gt;"",EDATE($D89,Milestones!$AA$39)&gt;=$T89),$W89,IF(AND($S89&lt;&gt;"",EDATE($D89,Milestones!$AA$39)&gt;=$S89),$V89,$U89)))=Milestones!$AB$39),UPPER(TEXT(EDATE($D89,Milestones!$AA$39),"dd mmm yy"))&amp;" "&amp;Milestones!$AB$39&amp;" "&amp;Milestones!$AC$39&amp;";  ",""))</f>
        <v/>
      </c>
      <c r="J89" s="0" t="str">
        <f aca="false">IF(OR($A89="",$D89=""),"",IF(AND(EDATE($D89,Milestones!$AA$40)&lt;=AsOfDate,IF($R89=0,$X89,IF(AND($T89&lt;&gt;"",EDATE($D89,Milestones!$AA$40)&gt;=$T89),$W89,IF(AND($S89&lt;&gt;"",EDATE($D89,Milestones!$AA$40)&gt;=$S89),$V89,$U89)))=Milestones!$AB$40),UPPER(TEXT(EDATE($D89,Milestones!$AA$40),"dd mmm yy"))&amp;" "&amp;Milestones!$AB$40&amp;" "&amp;Milestones!$AC$40&amp;";  ","")&amp;IF(AND(EDATE($D89,Milestones!$AA$41)&lt;=AsOfDate,IF($R89=0,$X89,IF(AND($T89&lt;&gt;"",EDATE($D89,Milestones!$AA$41)&gt;=$T89),$W89,IF(AND($S89&lt;&gt;"",EDATE($D89,Milestones!$AA$41)&gt;=$S89),$V89,$U89)))=Milestones!$AB$41),UPPER(TEXT(EDATE($D89,Milestones!$AA$41),"dd mmm yy"))&amp;" "&amp;Milestones!$AB$41&amp;" "&amp;Milestones!$AC$41&amp;";  ","")&amp;IF(AND(EDATE($D89,Milestones!$AA$42)&lt;=AsOfDate,IF($R89=0,$X89,IF(AND($T89&lt;&gt;"",EDATE($D89,Milestones!$AA$42)&gt;=$T89),$W89,IF(AND($S89&lt;&gt;"",EDATE($D89,Milestones!$AA$42)&gt;=$S89),$V89,$U89)))=Milestones!$AB$42),UPPER(TEXT(EDATE($D89,Milestones!$AA$42),"dd mmm yy"))&amp;" "&amp;Milestones!$AB$42&amp;" "&amp;Milestones!$AC$42&amp;";  ","")&amp;IF(AND(EDATE($D89,Milestones!$AA$43)&lt;=AsOfDate,IF($R89=0,$X89,IF(AND($T89&lt;&gt;"",EDATE($D89,Milestones!$AA$43)&gt;=$T89),$W89,IF(AND($S89&lt;&gt;"",EDATE($D89,Milestones!$AA$43)&gt;=$S89),$V89,$U89)))=Milestones!$AB$43),UPPER(TEXT(EDATE($D89,Milestones!$AA$43),"dd mmm yy"))&amp;" "&amp;Milestones!$AB$43&amp;" "&amp;Milestones!$AC$43&amp;";  ","")&amp;IF(AND(EDATE($D89,Milestones!$AA$44)&lt;=AsOfDate,IF($R89=0,$X89,IF(AND($T89&lt;&gt;"",EDATE($D89,Milestones!$AA$44)&gt;=$T89),$W89,IF(AND($S89&lt;&gt;"",EDATE($D89,Milestones!$AA$44)&gt;=$S89),$V89,$U89)))=Milestones!$AB$44),UPPER(TEXT(EDATE($D89,Milestones!$AA$44),"dd mmm yy"))&amp;" "&amp;Milestones!$AB$44&amp;" "&amp;Milestones!$AC$44&amp;";  ","")&amp;IF(AND(EDATE($D89,Milestones!$AA$45)&lt;=AsOfDate,IF($R89=0,$X89,IF(AND($T89&lt;&gt;"",EDATE($D89,Milestones!$AA$45)&gt;=$T89),$W89,IF(AND($S89&lt;&gt;"",EDATE($D89,Milestones!$AA$45)&gt;=$S89),$V89,$U89)))=Milestones!$AB$45),UPPER(TEXT(EDATE($D89,Milestones!$AA$45),"dd mmm yy"))&amp;" "&amp;Milestones!$AB$45&amp;" "&amp;Milestones!$AC$45&amp;";  ","")&amp;IF(AND(EDATE($D89,Milestones!$AA$46)&lt;=AsOfDate,IF($R89=0,$X89,IF(AND($T89&lt;&gt;"",EDATE($D89,Milestones!$AA$46)&gt;=$T89),$W89,IF(AND($S89&lt;&gt;"",EDATE($D89,Milestones!$AA$46)&gt;=$S89),$V89,$U89)))=Milestones!$AB$46),UPPER(TEXT(EDATE($D89,Milestones!$AA$46),"dd mmm yy"))&amp;" "&amp;Milestones!$AB$46&amp;" "&amp;Milestones!$AC$46&amp;";  ","")&amp;IF(AND(EDATE($D89,Milestones!$AA$47)&lt;=AsOfDate,IF($R89=0,$X89,IF(AND($T89&lt;&gt;"",EDATE($D89,Milestones!$AA$47)&gt;=$T89),$W89,IF(AND($S89&lt;&gt;"",EDATE($D89,Milestones!$AA$47)&gt;=$S89),$V89,$U89)))=Milestones!$AB$47),UPPER(TEXT(EDATE($D89,Milestones!$AA$47),"dd mmm yy"))&amp;" "&amp;Milestones!$AB$47&amp;" "&amp;Milestones!$AC$47&amp;";  ","")&amp;IF(AND(EDATE($D89,Milestones!$AA$48)&lt;=AsOfDate,IF($R89=0,$X89,IF(AND($T89&lt;&gt;"",EDATE($D89,Milestones!$AA$48)&gt;=$T89),$W89,IF(AND($S89&lt;&gt;"",EDATE($D89,Milestones!$AA$48)&gt;=$S89),$V89,$U89)))=Milestones!$AB$48),UPPER(TEXT(EDATE($D89,Milestones!$AA$48),"dd mmm yy"))&amp;" "&amp;Milestones!$AB$48&amp;" "&amp;Milestones!$AC$48&amp;";  ","")&amp;IF(AND(EDATE($D89,Milestones!$AA$49)&lt;=AsOfDate,IF($R89=0,$X89,IF(AND($T89&lt;&gt;"",EDATE($D89,Milestones!$AA$49)&gt;=$T89),$W89,IF(AND($S89&lt;&gt;"",EDATE($D89,Milestones!$AA$49)&gt;=$S89),$V89,$U89)))=Milestones!$AB$49),UPPER(TEXT(EDATE($D89,Milestones!$AA$49),"dd mmm yy"))&amp;" "&amp;Milestones!$AB$49&amp;" "&amp;Milestones!$AC$49&amp;";  ","")&amp;IF(AND(EDATE($D89,Milestones!$AA$50)&lt;=AsOfDate,IF($R89=0,$X89,IF(AND($T89&lt;&gt;"",EDATE($D89,Milestones!$AA$50)&gt;=$T89),$W89,IF(AND($S89&lt;&gt;"",EDATE($D89,Milestones!$AA$50)&gt;=$S89),$V89,$U89)))=Milestones!$AB$50),UPPER(TEXT(EDATE($D89,Milestones!$AA$50),"dd mmm yy"))&amp;" "&amp;Milestones!$AB$50&amp;" "&amp;Milestones!$AC$50&amp;";  ","")&amp;IF(AND(EDATE($D89,Milestones!$AA$51)&lt;=AsOfDate,IF($R89=0,$X89,IF(AND($T89&lt;&gt;"",EDATE($D89,Milestones!$AA$51)&gt;=$T89),$W89,IF(AND($S89&lt;&gt;"",EDATE($D89,Milestones!$AA$51)&gt;=$S89),$V89,$U89)))=Milestones!$AB$51),UPPER(TEXT(EDATE($D89,Milestones!$AA$51),"dd mmm yy"))&amp;" "&amp;Milestones!$AB$51&amp;" "&amp;Milestones!$AC$51&amp;";  ","")&amp;IF(AND(EDATE($D89,Milestones!$AA$52)&lt;=AsOfDate,IF($R89=0,$X89,IF(AND($T89&lt;&gt;"",EDATE($D89,Milestones!$AA$52)&gt;=$T89),$W89,IF(AND($S89&lt;&gt;"",EDATE($D89,Milestones!$AA$52)&gt;=$S89),$V89,$U89)))=Milestones!$AB$52),UPPER(TEXT(EDATE($D89,Milestones!$AA$52),"dd mmm yy"))&amp;" "&amp;Milestones!$AB$52&amp;" "&amp;Milestones!$AC$52&amp;";  ","")&amp;IF(AND(EDATE($D89,Milestones!$AA$53)&lt;=AsOfDate,IF($R89=0,$X89,IF(AND($T89&lt;&gt;"",EDATE($D89,Milestones!$AA$53)&gt;=$T89),$W89,IF(AND($S89&lt;&gt;"",EDATE($D89,Milestones!$AA$53)&gt;=$S89),$V89,$U89)))=Milestones!$AB$53),UPPER(TEXT(EDATE($D89,Milestones!$AA$53),"dd mmm yy"))&amp;" "&amp;Milestones!$AB$53&amp;" "&amp;Milestones!$AC$53&amp;";  ","")&amp;IF(AND(EDATE($D89,Milestones!$AA$54)&lt;=AsOfDate,IF($R89=0,$X89,IF(AND($T89&lt;&gt;"",EDATE($D89,Milestones!$AA$54)&gt;=$T89),$W89,IF(AND($S89&lt;&gt;"",EDATE($D89,Milestones!$AA$54)&gt;=$S89),$V89,$U89)))=Milestones!$AB$54),UPPER(TEXT(EDATE($D89,Milestones!$AA$54),"dd mmm yy"))&amp;" "&amp;Milestones!$AB$54&amp;" "&amp;Milestones!$AC$54&amp;";  ","")&amp;IF(AND(EDATE($D89,Milestones!$AA$55)&lt;=AsOfDate,IF($R89=0,$X89,IF(AND($T89&lt;&gt;"",EDATE($D89,Milestones!$AA$55)&gt;=$T89),$W89,IF(AND($S89&lt;&gt;"",EDATE($D89,Milestones!$AA$55)&gt;=$S89),$V89,$U89)))=Milestones!$AB$55),UPPER(TEXT(EDATE($D89,Milestones!$AA$55),"dd mmm yy"))&amp;" "&amp;Milestones!$AB$55&amp;" "&amp;Milestones!$AC$55&amp;";  ","")&amp;IF(AND(EDATE($D89,Milestones!$AA$56)&lt;=AsOfDate,IF($R89=0,$X89,IF(AND($T89&lt;&gt;"",EDATE($D89,Milestones!$AA$56)&gt;=$T89),$W89,IF(AND($S89&lt;&gt;"",EDATE($D89,Milestones!$AA$56)&gt;=$S89),$V89,$U89)))=Milestones!$AB$56),UPPER(TEXT(EDATE($D89,Milestones!$AA$56),"dd mmm yy"))&amp;" "&amp;Milestones!$AB$56&amp;" "&amp;Milestones!$AC$56&amp;";  ","")&amp;IF(AND(EDATE($D89,Milestones!$AA$57)&lt;=AsOfDate,IF($R89=0,$X89,IF(AND($T89&lt;&gt;"",EDATE($D89,Milestones!$AA$57)&gt;=$T89),$W89,IF(AND($S89&lt;&gt;"",EDATE($D89,Milestones!$AA$57)&gt;=$S89),$V89,$U89)))=Milestones!$AB$57),UPPER(TEXT(EDATE($D89,Milestones!$AA$57),"dd mmm yy"))&amp;" "&amp;Milestones!$AB$57&amp;" "&amp;Milestones!$AC$57&amp;";  ","")&amp;IF(AND(EDATE($D89,Milestones!$AA$58)&lt;=AsOfDate,IF($R89=0,$X89,IF(AND($T89&lt;&gt;"",EDATE($D89,Milestones!$AA$58)&gt;=$T89),$W89,IF(AND($S89&lt;&gt;"",EDATE($D89,Milestones!$AA$58)&gt;=$S89),$V89,$U89)))=Milestones!$AB$58),UPPER(TEXT(EDATE($D89,Milestones!$AA$58),"dd mmm yy"))&amp;" "&amp;Milestones!$AB$58&amp;" "&amp;Milestones!$AC$58&amp;";  ","")&amp;IF(AND(EDATE($D89,Milestones!$AA$59)&lt;=AsOfDate,IF($R89=0,$X89,IF(AND($T89&lt;&gt;"",EDATE($D89,Milestones!$AA$59)&gt;=$T89),$W89,IF(AND($S89&lt;&gt;"",EDATE($D89,Milestones!$AA$59)&gt;=$S89),$V89,$U89)))=Milestones!$AB$59),UPPER(TEXT(EDATE($D89,Milestones!$AA$59),"dd mmm yy"))&amp;" "&amp;Milestones!$AB$59&amp;" "&amp;Milestones!$AC$59&amp;";  ",""))</f>
        <v/>
      </c>
      <c r="K89" s="0" t="str">
        <f aca="false">IF(OR($A89="",$D89=""),"",IF(AND(EDATE($D89,Milestones!$AA$60)&lt;=AsOfDate,IF($R89=0,$X89,IF(AND($T89&lt;&gt;"",EDATE($D89,Milestones!$AA$60)&gt;=$T89),$W89,IF(AND($S89&lt;&gt;"",EDATE($D89,Milestones!$AA$60)&gt;=$S89),$V89,$U89)))=Milestones!$AB$60),UPPER(TEXT(EDATE($D89,Milestones!$AA$60),"dd mmm yy"))&amp;" "&amp;Milestones!$AB$60&amp;" "&amp;Milestones!$AC$60&amp;";  ","")&amp;IF(AND(EDATE($D89,Milestones!$AA$61)&lt;=AsOfDate,IF($R89=0,$X89,IF(AND($T89&lt;&gt;"",EDATE($D89,Milestones!$AA$61)&gt;=$T89),$W89,IF(AND($S89&lt;&gt;"",EDATE($D89,Milestones!$AA$61)&gt;=$S89),$V89,$U89)))=Milestones!$AB$61),UPPER(TEXT(EDATE($D89,Milestones!$AA$61),"dd mmm yy"))&amp;" "&amp;Milestones!$AB$61&amp;" "&amp;Milestones!$AC$61&amp;";  ","")&amp;IF(AND(EDATE($D89,Milestones!$AA$62)&lt;=AsOfDate,IF($R89=0,$X89,IF(AND($T89&lt;&gt;"",EDATE($D89,Milestones!$AA$62)&gt;=$T89),$W89,IF(AND($S89&lt;&gt;"",EDATE($D89,Milestones!$AA$62)&gt;=$S89),$V89,$U89)))=Milestones!$AB$62),UPPER(TEXT(EDATE($D89,Milestones!$AA$62),"dd mmm yy"))&amp;" "&amp;Milestones!$AB$62&amp;" "&amp;Milestones!$AC$62&amp;";  ","")&amp;IF(AND(EDATE($D89,Milestones!$AA$63)&lt;=AsOfDate,IF($R89=0,$X89,IF(AND($T89&lt;&gt;"",EDATE($D89,Milestones!$AA$63)&gt;=$T89),$W89,IF(AND($S89&lt;&gt;"",EDATE($D89,Milestones!$AA$63)&gt;=$S89),$V89,$U89)))=Milestones!$AB$63),UPPER(TEXT(EDATE($D89,Milestones!$AA$63),"dd mmm yy"))&amp;" "&amp;Milestones!$AB$63&amp;" "&amp;Milestones!$AC$63&amp;";  ","")&amp;IF(AND(EDATE($D89,Milestones!$AA$64)&lt;=AsOfDate,IF($R89=0,$X89,IF(AND($T89&lt;&gt;"",EDATE($D89,Milestones!$AA$64)&gt;=$T89),$W89,IF(AND($S89&lt;&gt;"",EDATE($D89,Milestones!$AA$64)&gt;=$S89),$V89,$U89)))=Milestones!$AB$64),UPPER(TEXT(EDATE($D89,Milestones!$AA$64),"dd mmm yy"))&amp;" "&amp;Milestones!$AB$64&amp;" "&amp;Milestones!$AC$64&amp;";  ","")&amp;IF(AND(EDATE($D89,Milestones!$AA$65)&lt;=AsOfDate,IF($R89=0,$X89,IF(AND($T89&lt;&gt;"",EDATE($D89,Milestones!$AA$65)&gt;=$T89),$W89,IF(AND($S89&lt;&gt;"",EDATE($D89,Milestones!$AA$65)&gt;=$S89),$V89,$U89)))=Milestones!$AB$65),UPPER(TEXT(EDATE($D89,Milestones!$AA$65),"dd mmm yy"))&amp;" "&amp;Milestones!$AB$65&amp;" "&amp;Milestones!$AC$65&amp;";  ","")&amp;IF(AND(EDATE($D89,Milestones!$AA$66)&lt;=AsOfDate,IF($R89=0,$X89,IF(AND($T89&lt;&gt;"",EDATE($D89,Milestones!$AA$66)&gt;=$T89),$W89,IF(AND($S89&lt;&gt;"",EDATE($D89,Milestones!$AA$66)&gt;=$S89),$V89,$U89)))=Milestones!$AB$66),UPPER(TEXT(EDATE($D89,Milestones!$AA$66),"dd mmm yy"))&amp;" "&amp;Milestones!$AB$66&amp;" "&amp;Milestones!$AC$66&amp;";  ","")&amp;IF(AND(EDATE($D89,Milestones!$AA$67)&lt;=AsOfDate,IF($R89=0,$X89,IF(AND($T89&lt;&gt;"",EDATE($D89,Milestones!$AA$67)&gt;=$T89),$W89,IF(AND($S89&lt;&gt;"",EDATE($D89,Milestones!$AA$67)&gt;=$S89),$V89,$U89)))=Milestones!$AB$67),UPPER(TEXT(EDATE($D89,Milestones!$AA$67),"dd mmm yy"))&amp;" "&amp;Milestones!$AB$67&amp;" "&amp;Milestones!$AC$67&amp;";  ","")&amp;IF(AND(EDATE($D89,Milestones!$AA$68)&lt;=AsOfDate,IF($R89=0,$X89,IF(AND($T89&lt;&gt;"",EDATE($D89,Milestones!$AA$68)&gt;=$T89),$W89,IF(AND($S89&lt;&gt;"",EDATE($D89,Milestones!$AA$68)&gt;=$S89),$V89,$U89)))=Milestones!$AB$68),UPPER(TEXT(EDATE($D89,Milestones!$AA$68),"dd mmm yy"))&amp;" "&amp;Milestones!$AB$68&amp;" "&amp;Milestones!$AC$68&amp;";  ","")&amp;IF(AND(EDATE($D89,Milestones!$AA$69)&lt;=AsOfDate,IF($R89=0,$X89,IF(AND($T89&lt;&gt;"",EDATE($D89,Milestones!$AA$69)&gt;=$T89),$W89,IF(AND($S89&lt;&gt;"",EDATE($D89,Milestones!$AA$69)&gt;=$S89),$V89,$U89)))=Milestones!$AB$69),UPPER(TEXT(EDATE($D89,Milestones!$AA$69),"dd mmm yy"))&amp;" "&amp;Milestones!$AB$69&amp;" "&amp;Milestones!$AC$69&amp;";  ","")&amp;IF(AND(EDATE($D89,Milestones!$AA$70)&lt;=AsOfDate,IF($R89=0,$X89,IF(AND($T89&lt;&gt;"",EDATE($D89,Milestones!$AA$70)&gt;=$T89),$W89,IF(AND($S89&lt;&gt;"",EDATE($D89,Milestones!$AA$70)&gt;=$S89),$V89,$U89)))=Milestones!$AB$70),UPPER(TEXT(EDATE($D89,Milestones!$AA$70),"dd mmm yy"))&amp;" "&amp;Milestones!$AB$70&amp;" "&amp;Milestones!$AC$70&amp;";  ","")&amp;IF(AND(EDATE($D89,Milestones!$AA$71)&lt;=AsOfDate,IF($R89=0,$X89,IF(AND($T89&lt;&gt;"",EDATE($D89,Milestones!$AA$71)&gt;=$T89),$W89,IF(AND($S89&lt;&gt;"",EDATE($D89,Milestones!$AA$71)&gt;=$S89),$V89,$U89)))=Milestones!$AB$71),UPPER(TEXT(EDATE($D89,Milestones!$AA$71),"dd mmm yy"))&amp;" "&amp;Milestones!$AB$71&amp;" "&amp;Milestones!$AC$71&amp;";  ","")&amp;IF(AND(EDATE($D89,Milestones!$AA$72)&lt;=AsOfDate,IF($R89=0,$X89,IF(AND($T89&lt;&gt;"",EDATE($D89,Milestones!$AA$72)&gt;=$T89),$W89,IF(AND($S89&lt;&gt;"",EDATE($D89,Milestones!$AA$72)&gt;=$S89),$V89,$U89)))=Milestones!$AB$72),UPPER(TEXT(EDATE($D89,Milestones!$AA$72),"dd mmm yy"))&amp;" "&amp;Milestones!$AB$72&amp;" "&amp;Milestones!$AC$72&amp;";  ","")&amp;IF(AND(EDATE($D89,Milestones!$AA$73)&lt;=AsOfDate,IF($R89=0,$X89,IF(AND($T89&lt;&gt;"",EDATE($D89,Milestones!$AA$73)&gt;=$T89),$W89,IF(AND($S89&lt;&gt;"",EDATE($D89,Milestones!$AA$73)&gt;=$S89),$V89,$U89)))=Milestones!$AB$73),UPPER(TEXT(EDATE($D89,Milestones!$AA$73),"dd mmm yy"))&amp;" "&amp;Milestones!$AB$73&amp;" "&amp;Milestones!$AC$73&amp;";  ","")&amp;IF(AND(EDATE($D89,Milestones!$AA$74)&lt;=AsOfDate,IF($R89=0,$X89,IF(AND($T89&lt;&gt;"",EDATE($D89,Milestones!$AA$74)&gt;=$T89),$W89,IF(AND($S89&lt;&gt;"",EDATE($D89,Milestones!$AA$74)&gt;=$S89),$V89,$U89)))=Milestones!$AB$74),UPPER(TEXT(EDATE($D89,Milestones!$AA$74),"dd mmm yy"))&amp;" "&amp;Milestones!$AB$74&amp;" "&amp;Milestones!$AC$74&amp;";  ","")&amp;IF(AND(EDATE($D89,Milestones!$AA$75)&lt;=AsOfDate,IF($R89=0,$X89,IF(AND($T89&lt;&gt;"",EDATE($D89,Milestones!$AA$75)&gt;=$T89),$W89,IF(AND($S89&lt;&gt;"",EDATE($D89,Milestones!$AA$75)&gt;=$S89),$V89,$U89)))=Milestones!$AB$75),UPPER(TEXT(EDATE($D89,Milestones!$AA$75),"dd mmm yy"))&amp;" "&amp;Milestones!$AB$75&amp;" "&amp;Milestones!$AC$75&amp;";  ","")&amp;IF(AND(EDATE($D89,Milestones!$AA$76)&lt;=AsOfDate,IF($R89=0,$X89,IF(AND($T89&lt;&gt;"",EDATE($D89,Milestones!$AA$76)&gt;=$T89),$W89,IF(AND($S89&lt;&gt;"",EDATE($D89,Milestones!$AA$76)&gt;=$S89),$V89,$U89)))=Milestones!$AB$76),UPPER(TEXT(EDATE($D89,Milestones!$AA$76),"dd mmm yy"))&amp;" "&amp;Milestones!$AB$76&amp;" "&amp;Milestones!$AC$76&amp;";  ","")&amp;IF(AND(EDATE($D89,Milestones!$AA$77)&lt;=AsOfDate,IF($R89=0,$X89,IF(AND($T89&lt;&gt;"",EDATE($D89,Milestones!$AA$77)&gt;=$T89),$W89,IF(AND($S89&lt;&gt;"",EDATE($D89,Milestones!$AA$77)&gt;=$S89),$V89,$U89)))=Milestones!$AB$77),UPPER(TEXT(EDATE($D89,Milestones!$AA$77),"dd mmm yy"))&amp;" "&amp;Milestones!$AB$77&amp;" "&amp;Milestones!$AC$77&amp;";  ","")&amp;IF(AND(EDATE($D89,Milestones!$AA$78)&lt;=AsOfDate,IF($R89=0,$X89,IF(AND($T89&lt;&gt;"",EDATE($D89,Milestones!$AA$78)&gt;=$T89),$W89,IF(AND($S89&lt;&gt;"",EDATE($D89,Milestones!$AA$78)&gt;=$S89),$V89,$U89)))=Milestones!$AB$78),UPPER(TEXT(EDATE($D89,Milestones!$AA$78),"dd mmm yy"))&amp;" "&amp;Milestones!$AB$78&amp;" "&amp;Milestones!$AC$78&amp;";  ","")&amp;IF(AND(EDATE($D89,Milestones!$AA$79)&lt;=AsOfDate,IF($R89=0,$X89,IF(AND($T89&lt;&gt;"",EDATE($D89,Milestones!$AA$79)&gt;=$T89),$W89,IF(AND($S89&lt;&gt;"",EDATE($D89,Milestones!$AA$79)&gt;=$S89),$V89,$U89)))=Milestones!$AB$79),UPPER(TEXT(EDATE($D89,Milestones!$AA$79),"dd mmm yy"))&amp;" "&amp;Milestones!$AB$79&amp;" "&amp;Milestones!$AC$79&amp;";  ",""))</f>
        <v/>
      </c>
      <c r="L89" s="0" t="str">
        <f aca="false">IF(OR($A89="",$D89=""),"",IF(AND(EDATE($D89,Milestones!$AA$80)&lt;=AsOfDate,IF($R89=0,$X89,IF(AND($T89&lt;&gt;"",EDATE($D89,Milestones!$AA$80)&gt;=$T89),$W89,IF(AND($S89&lt;&gt;"",EDATE($D89,Milestones!$AA$80)&gt;=$S89),$V89,$U89)))=Milestones!$AB$80),UPPER(TEXT(EDATE($D89,Milestones!$AA$80),"dd mmm yy"))&amp;" "&amp;Milestones!$AB$80&amp;" "&amp;Milestones!$AC$80&amp;";  ","")&amp;IF(AND(EDATE($D89,Milestones!$AA$81)&lt;=AsOfDate,IF($R89=0,$X89,IF(AND($T89&lt;&gt;"",EDATE($D89,Milestones!$AA$81)&gt;=$T89),$W89,IF(AND($S89&lt;&gt;"",EDATE($D89,Milestones!$AA$81)&gt;=$S89),$V89,$U89)))=Milestones!$AB$81),UPPER(TEXT(EDATE($D89,Milestones!$AA$81),"dd mmm yy"))&amp;" "&amp;Milestones!$AB$81&amp;" "&amp;Milestones!$AC$81&amp;";  ","")&amp;IF(AND(EDATE($D89,Milestones!$AA$82)&lt;=AsOfDate,IF($R89=0,$X89,IF(AND($T89&lt;&gt;"",EDATE($D89,Milestones!$AA$82)&gt;=$T89),$W89,IF(AND($S89&lt;&gt;"",EDATE($D89,Milestones!$AA$82)&gt;=$S89),$V89,$U89)))=Milestones!$AB$82),UPPER(TEXT(EDATE($D89,Milestones!$AA$82),"dd mmm yy"))&amp;" "&amp;Milestones!$AB$82&amp;" "&amp;Milestones!$AC$82&amp;";  ","")&amp;IF(AND(EDATE($D89,Milestones!$AA$83)&lt;=AsOfDate,IF($R89=0,$X89,IF(AND($T89&lt;&gt;"",EDATE($D89,Milestones!$AA$83)&gt;=$T89),$W89,IF(AND($S89&lt;&gt;"",EDATE($D89,Milestones!$AA$83)&gt;=$S89),$V89,$U89)))=Milestones!$AB$83),UPPER(TEXT(EDATE($D89,Milestones!$AA$83),"dd mmm yy"))&amp;" "&amp;Milestones!$AB$83&amp;" "&amp;Milestones!$AC$83&amp;";  ","")&amp;IF(AND(EDATE($D89,Milestones!$AA$84)&lt;=AsOfDate,IF($R89=0,$X89,IF(AND($T89&lt;&gt;"",EDATE($D89,Milestones!$AA$84)&gt;=$T89),$W89,IF(AND($S89&lt;&gt;"",EDATE($D89,Milestones!$AA$84)&gt;=$S89),$V89,$U89)))=Milestones!$AB$84),UPPER(TEXT(EDATE($D89,Milestones!$AA$84),"dd mmm yy"))&amp;" "&amp;Milestones!$AB$84&amp;" "&amp;Milestones!$AC$84&amp;";  ","")&amp;IF(AND(EDATE($D89,Milestones!$AA$85)&lt;=AsOfDate,IF($R89=0,$X89,IF(AND($T89&lt;&gt;"",EDATE($D89,Milestones!$AA$85)&gt;=$T89),$W89,IF(AND($S89&lt;&gt;"",EDATE($D89,Milestones!$AA$85)&gt;=$S89),$V89,$U89)))=Milestones!$AB$85),UPPER(TEXT(EDATE($D89,Milestones!$AA$85),"dd mmm yy"))&amp;" "&amp;Milestones!$AB$85&amp;" "&amp;Milestones!$AC$85&amp;";  ","")&amp;IF(AND(EDATE($D89,Milestones!$AA$86)&lt;=AsOfDate,IF($R89=0,$X89,IF(AND($T89&lt;&gt;"",EDATE($D89,Milestones!$AA$86)&gt;=$T89),$W89,IF(AND($S89&lt;&gt;"",EDATE($D89,Milestones!$AA$86)&gt;=$S89),$V89,$U89)))=Milestones!$AB$86),UPPER(TEXT(EDATE($D89,Milestones!$AA$86),"dd mmm yy"))&amp;" "&amp;Milestones!$AB$86&amp;" "&amp;Milestones!$AC$86&amp;";  ","")&amp;IF(AND(EDATE($D89,Milestones!$AA$87)&lt;=AsOfDate,IF($R89=0,$X89,IF(AND($T89&lt;&gt;"",EDATE($D89,Milestones!$AA$87)&gt;=$T89),$W89,IF(AND($S89&lt;&gt;"",EDATE($D89,Milestones!$AA$87)&gt;=$S89),$V89,$U89)))=Milestones!$AB$87),UPPER(TEXT(EDATE($D89,Milestones!$AA$87),"dd mmm yy"))&amp;" "&amp;Milestones!$AB$87&amp;" "&amp;Milestones!$AC$87&amp;";  ","")&amp;IF(AND(EDATE($D89,Milestones!$AA$88)&lt;=AsOfDate,IF($R89=0,$X89,IF(AND($T89&lt;&gt;"",EDATE($D89,Milestones!$AA$88)&gt;=$T89),$W89,IF(AND($S89&lt;&gt;"",EDATE($D89,Milestones!$AA$88)&gt;=$S89),$V89,$U89)))=Milestones!$AB$88),UPPER(TEXT(EDATE($D89,Milestones!$AA$88),"dd mmm yy"))&amp;" "&amp;Milestones!$AB$88&amp;" "&amp;Milestones!$AC$88&amp;";  ","")&amp;IF(AND(EDATE($D89,Milestones!$AA$89)&lt;=AsOfDate,IF($R89=0,$X89,IF(AND($T89&lt;&gt;"",EDATE($D89,Milestones!$AA$89)&gt;=$T89),$W89,IF(AND($S89&lt;&gt;"",EDATE($D89,Milestones!$AA$89)&gt;=$S89),$V89,$U89)))=Milestones!$AB$89),UPPER(TEXT(EDATE($D89,Milestones!$AA$89),"dd mmm yy"))&amp;" "&amp;Milestones!$AB$89&amp;" "&amp;Milestones!$AC$89&amp;";  ","")&amp;IF(AND(EDATE($D89,Milestones!$AA$90)&lt;=AsOfDate,IF($R89=0,$X89,IF(AND($T89&lt;&gt;"",EDATE($D89,Milestones!$AA$90)&gt;=$T89),$W89,IF(AND($S89&lt;&gt;"",EDATE($D89,Milestones!$AA$90)&gt;=$S89),$V89,$U89)))=Milestones!$AB$90),UPPER(TEXT(EDATE($D89,Milestones!$AA$90),"dd mmm yy"))&amp;" "&amp;Milestones!$AB$90&amp;" "&amp;Milestones!$AC$90&amp;";  ","")&amp;IF(AND(EDATE($D89,Milestones!$AA$91)&lt;=AsOfDate,IF($R89=0,$X89,IF(AND($T89&lt;&gt;"",EDATE($D89,Milestones!$AA$91)&gt;=$T89),$W89,IF(AND($S89&lt;&gt;"",EDATE($D89,Milestones!$AA$91)&gt;=$S89),$V89,$U89)))=Milestones!$AB$91),UPPER(TEXT(EDATE($D89,Milestones!$AA$91),"dd mmm yy"))&amp;" "&amp;Milestones!$AB$91&amp;" "&amp;Milestones!$AC$91&amp;";  ","")&amp;IF(AND(EDATE($D89,Milestones!$AA$92)&lt;=AsOfDate,IF($R89=0,$X89,IF(AND($T89&lt;&gt;"",EDATE($D89,Milestones!$AA$92)&gt;=$T89),$W89,IF(AND($S89&lt;&gt;"",EDATE($D89,Milestones!$AA$92)&gt;=$S89),$V89,$U89)))=Milestones!$AB$92),UPPER(TEXT(EDATE($D89,Milestones!$AA$92),"dd mmm yy"))&amp;" "&amp;Milestones!$AB$92&amp;" "&amp;Milestones!$AC$92&amp;";  ","")&amp;IF(AND(EDATE($D89,Milestones!$AA$93)&lt;=AsOfDate,IF($R89=0,$X89,IF(AND($T89&lt;&gt;"",EDATE($D89,Milestones!$AA$93)&gt;=$T89),$W89,IF(AND($S89&lt;&gt;"",EDATE($D89,Milestones!$AA$93)&gt;=$S89),$V89,$U89)))=Milestones!$AB$93),UPPER(TEXT(EDATE($D89,Milestones!$AA$93),"dd mmm yy"))&amp;" "&amp;Milestones!$AB$93&amp;" "&amp;Milestones!$AC$93&amp;";  ","")&amp;IF(AND(EDATE($D89,Milestones!$AA$94)&lt;=AsOfDate,IF($R89=0,$X89,IF(AND($T89&lt;&gt;"",EDATE($D89,Milestones!$AA$94)&gt;=$T89),$W89,IF(AND($S89&lt;&gt;"",EDATE($D89,Milestones!$AA$94)&gt;=$S89),$V89,$U89)))=Milestones!$AB$94),UPPER(TEXT(EDATE($D89,Milestones!$AA$94),"dd mmm yy"))&amp;" "&amp;Milestones!$AB$94&amp;" "&amp;Milestones!$AC$94&amp;";  ","")&amp;IF(AND(EDATE($D89,Milestones!$AA$95)&lt;=AsOfDate,IF($R89=0,$X89,IF(AND($T89&lt;&gt;"",EDATE($D89,Milestones!$AA$95)&gt;=$T89),$W89,IF(AND($S89&lt;&gt;"",EDATE($D89,Milestones!$AA$95)&gt;=$S89),$V89,$U89)))=Milestones!$AB$95),UPPER(TEXT(EDATE($D89,Milestones!$AA$95),"dd mmm yy"))&amp;" "&amp;Milestones!$AB$95&amp;" "&amp;Milestones!$AC$95&amp;";  ","")&amp;IF(AND(EDATE($D89,Milestones!$AA$96)&lt;=AsOfDate,IF($R89=0,$X89,IF(AND($T89&lt;&gt;"",EDATE($D89,Milestones!$AA$96)&gt;=$T89),$W89,IF(AND($S89&lt;&gt;"",EDATE($D89,Milestones!$AA$96)&gt;=$S89),$V89,$U89)))=Milestones!$AB$96),UPPER(TEXT(EDATE($D89,Milestones!$AA$96),"dd mmm yy"))&amp;" "&amp;Milestones!$AB$96&amp;" "&amp;Milestones!$AC$96&amp;";  ","")&amp;IF(AND(EDATE($D89,Milestones!$AA$97)&lt;=AsOfDate,IF($R89=0,$X89,IF(AND($T89&lt;&gt;"",EDATE($D89,Milestones!$AA$97)&gt;=$T89),$W89,IF(AND($S89&lt;&gt;"",EDATE($D89,Milestones!$AA$97)&gt;=$S89),$V89,$U89)))=Milestones!$AB$97),UPPER(TEXT(EDATE($D89,Milestones!$AA$97),"dd mmm yy"))&amp;" "&amp;Milestones!$AB$97&amp;" "&amp;Milestones!$AC$97&amp;";  ","")&amp;IF(AND(EDATE($D89,Milestones!$AA$98)&lt;=AsOfDate,IF($R89=0,$X89,IF(AND($T89&lt;&gt;"",EDATE($D89,Milestones!$AA$98)&gt;=$T89),$W89,IF(AND($S89&lt;&gt;"",EDATE($D89,Milestones!$AA$98)&gt;=$S89),$V89,$U89)))=Milestones!$AB$98),UPPER(TEXT(EDATE($D89,Milestones!$AA$98),"dd mmm yy"))&amp;" "&amp;Milestones!$AB$98&amp;" "&amp;Milestones!$AC$98&amp;";  ","")&amp;IF(AND(EDATE($D89,Milestones!$AA$99)&lt;=AsOfDate,IF($R89=0,$X89,IF(AND($T89&lt;&gt;"",EDATE($D89,Milestones!$AA$99)&gt;=$T89),$W89,IF(AND($S89&lt;&gt;"",EDATE($D89,Milestones!$AA$99)&gt;=$S89),$V89,$U89)))=Milestones!$AB$99),UPPER(TEXT(EDATE($D89,Milestones!$AA$99),"dd mmm yy"))&amp;" "&amp;Milestones!$AB$99&amp;" "&amp;Milestones!$AC$99&amp;";  ",""))</f>
        <v/>
      </c>
      <c r="M89" s="0" t="str">
        <f aca="false">IF(OR($A89="",$D89=""),"",IF(AND(EDATE($D89,Milestones!$AA$100)&lt;=AsOfDate,IF($R89=0,$X89,IF(AND($T89&lt;&gt;"",EDATE($D89,Milestones!$AA$100)&gt;=$T89),$W89,IF(AND($S89&lt;&gt;"",EDATE($D89,Milestones!$AA$100)&gt;=$S89),$V89,$U89)))=Milestones!$AB$100),UPPER(TEXT(EDATE($D89,Milestones!$AA$100),"dd mmm yy"))&amp;" "&amp;Milestones!$AB$100&amp;" "&amp;Milestones!$AC$100&amp;";  ","")&amp;IF(AND(EDATE($D89,Milestones!$AA$101)&lt;=AsOfDate,IF($R89=0,$X89,IF(AND($T89&lt;&gt;"",EDATE($D89,Milestones!$AA$101)&gt;=$T89),$W89,IF(AND($S89&lt;&gt;"",EDATE($D89,Milestones!$AA$101)&gt;=$S89),$V89,$U89)))=Milestones!$AB$101),UPPER(TEXT(EDATE($D89,Milestones!$AA$101),"dd mmm yy"))&amp;" "&amp;Milestones!$AB$101&amp;" "&amp;Milestones!$AC$101&amp;";  ","")&amp;IF(AND(EDATE($D89,Milestones!$AA$102)&lt;=AsOfDate,IF($R89=0,$X89,IF(AND($T89&lt;&gt;"",EDATE($D89,Milestones!$AA$102)&gt;=$T89),$W89,IF(AND($S89&lt;&gt;"",EDATE($D89,Milestones!$AA$102)&gt;=$S89),$V89,$U89)))=Milestones!$AB$102),UPPER(TEXT(EDATE($D89,Milestones!$AA$102),"dd mmm yy"))&amp;" "&amp;Milestones!$AB$102&amp;" "&amp;Milestones!$AC$102&amp;";  ","")&amp;IF(AND(EDATE($D89,Milestones!$AA$103)&lt;=AsOfDate,IF($R89=0,$X89,IF(AND($T89&lt;&gt;"",EDATE($D89,Milestones!$AA$103)&gt;=$T89),$W89,IF(AND($S89&lt;&gt;"",EDATE($D89,Milestones!$AA$103)&gt;=$S89),$V89,$U89)))=Milestones!$AB$103),UPPER(TEXT(EDATE($D89,Milestones!$AA$103),"dd mmm yy"))&amp;" "&amp;Milestones!$AB$103&amp;" "&amp;Milestones!$AC$103&amp;";  ","")&amp;IF(AND(EDATE($D89,Milestones!$AA$104)&lt;=AsOfDate,IF($R89=0,$X89,IF(AND($T89&lt;&gt;"",EDATE($D89,Milestones!$AA$104)&gt;=$T89),$W89,IF(AND($S89&lt;&gt;"",EDATE($D89,Milestones!$AA$104)&gt;=$S89),$V89,$U89)))=Milestones!$AB$104),UPPER(TEXT(EDATE($D89,Milestones!$AA$104),"dd mmm yy"))&amp;" "&amp;Milestones!$AB$104&amp;" "&amp;Milestones!$AC$104&amp;";  ","")&amp;IF(AND(EDATE($D89,Milestones!$AA$105)&lt;=AsOfDate,IF($R89=0,$X89,IF(AND($T89&lt;&gt;"",EDATE($D89,Milestones!$AA$105)&gt;=$T89),$W89,IF(AND($S89&lt;&gt;"",EDATE($D89,Milestones!$AA$105)&gt;=$S89),$V89,$U89)))=Milestones!$AB$105),UPPER(TEXT(EDATE($D89,Milestones!$AA$105),"dd mmm yy"))&amp;" "&amp;Milestones!$AB$105&amp;" "&amp;Milestones!$AC$105&amp;";  ","")&amp;IF(AND(EDATE($D89,Milestones!$AA$106)&lt;=AsOfDate,IF($R89=0,$X89,IF(AND($T89&lt;&gt;"",EDATE($D89,Milestones!$AA$106)&gt;=$T89),$W89,IF(AND($S89&lt;&gt;"",EDATE($D89,Milestones!$AA$106)&gt;=$S89),$V89,$U89)))=Milestones!$AB$106),UPPER(TEXT(EDATE($D89,Milestones!$AA$106),"dd mmm yy"))&amp;" "&amp;Milestones!$AB$106&amp;" "&amp;Milestones!$AC$106&amp;";  ","")&amp;IF(AND(EDATE($D89,Milestones!$AA$107)&lt;=AsOfDate,IF($R89=0,$X89,IF(AND($T89&lt;&gt;"",EDATE($D89,Milestones!$AA$107)&gt;=$T89),$W89,IF(AND($S89&lt;&gt;"",EDATE($D89,Milestones!$AA$107)&gt;=$S89),$V89,$U89)))=Milestones!$AB$107),UPPER(TEXT(EDATE($D89,Milestones!$AA$107),"dd mmm yy"))&amp;" "&amp;Milestones!$AB$107&amp;" "&amp;Milestones!$AC$107&amp;";  ","")&amp;IF(AND(EDATE($D89,Milestones!$AA$108)&lt;=AsOfDate,IF($R89=0,$X89,IF(AND($T89&lt;&gt;"",EDATE($D89,Milestones!$AA$108)&gt;=$T89),$W89,IF(AND($S89&lt;&gt;"",EDATE($D89,Milestones!$AA$108)&gt;=$S89),$V89,$U89)))=Milestones!$AB$108),UPPER(TEXT(EDATE($D89,Milestones!$AA$108),"dd mmm yy"))&amp;" "&amp;Milestones!$AB$108&amp;" "&amp;Milestones!$AC$108&amp;";  ","")&amp;IF(AND(EDATE($D89,Milestones!$AA$109)&lt;=AsOfDate,IF($R89=0,$X89,IF(AND($T89&lt;&gt;"",EDATE($D89,Milestones!$AA$109)&gt;=$T89),$W89,IF(AND($S89&lt;&gt;"",EDATE($D89,Milestones!$AA$109)&gt;=$S89),$V89,$U89)))=Milestones!$AB$109),UPPER(TEXT(EDATE($D89,Milestones!$AA$109),"dd mmm yy"))&amp;" "&amp;Milestones!$AB$109&amp;" "&amp;Milestones!$AC$109&amp;";  ","")&amp;IF(AND(EDATE($D89,Milestones!$AA$110)&lt;=AsOfDate,IF($R89=0,$X89,IF(AND($T89&lt;&gt;"",EDATE($D89,Milestones!$AA$110)&gt;=$T89),$W89,IF(AND($S89&lt;&gt;"",EDATE($D89,Milestones!$AA$110)&gt;=$S89),$V89,$U89)))=Milestones!$AB$110),UPPER(TEXT(EDATE($D89,Milestones!$AA$110),"dd mmm yy"))&amp;" "&amp;Milestones!$AB$110&amp;" "&amp;Milestones!$AC$110&amp;";  ","")&amp;IF(AND(EDATE($D89,Milestones!$AA$111)&lt;=AsOfDate,IF($R89=0,$X89,IF(AND($T89&lt;&gt;"",EDATE($D89,Milestones!$AA$111)&gt;=$T89),$W89,IF(AND($S89&lt;&gt;"",EDATE($D89,Milestones!$AA$111)&gt;=$S89),$V89,$U89)))=Milestones!$AB$111),UPPER(TEXT(EDATE($D89,Milestones!$AA$111),"dd mmm yy"))&amp;" "&amp;Milestones!$AB$111&amp;" "&amp;Milestones!$AC$111&amp;";  ","")&amp;IF(AND(EDATE($D89,Milestones!$AA$112)&lt;=AsOfDate,IF($R89=0,$X89,IF(AND($T89&lt;&gt;"",EDATE($D89,Milestones!$AA$112)&gt;=$T89),$W89,IF(AND($S89&lt;&gt;"",EDATE($D89,Milestones!$AA$112)&gt;=$S89),$V89,$U89)))=Milestones!$AB$112),UPPER(TEXT(EDATE($D89,Milestones!$AA$112),"dd mmm yy"))&amp;" "&amp;Milestones!$AB$112&amp;" "&amp;Milestones!$AC$112&amp;";  ","")&amp;IF(AND(EDATE($D89,Milestones!$AA$113)&lt;=AsOfDate,IF($R89=0,$X89,IF(AND($T89&lt;&gt;"",EDATE($D89,Milestones!$AA$113)&gt;=$T89),$W89,IF(AND($S89&lt;&gt;"",EDATE($D89,Milestones!$AA$113)&gt;=$S89),$V89,$U89)))=Milestones!$AB$113),UPPER(TEXT(EDATE($D89,Milestones!$AA$113),"dd mmm yy"))&amp;" "&amp;Milestones!$AB$113&amp;" "&amp;Milestones!$AC$113&amp;";  ","")&amp;IF(AND(EDATE($D89,Milestones!$AA$114)&lt;=AsOfDate,IF($R89=0,$X89,IF(AND($T89&lt;&gt;"",EDATE($D89,Milestones!$AA$114)&gt;=$T89),$W89,IF(AND($S89&lt;&gt;"",EDATE($D89,Milestones!$AA$114)&gt;=$S89),$V89,$U89)))=Milestones!$AB$114),UPPER(TEXT(EDATE($D89,Milestones!$AA$114),"dd mmm yy"))&amp;" "&amp;Milestones!$AB$114&amp;" "&amp;Milestones!$AC$114&amp;";  ","")&amp;IF(AND(EDATE($D89,Milestones!$AA$115)&lt;=AsOfDate,IF($R89=0,$X89,IF(AND($T89&lt;&gt;"",EDATE($D89,Milestones!$AA$115)&gt;=$T89),$W89,IF(AND($S89&lt;&gt;"",EDATE($D89,Milestones!$AA$115)&gt;=$S89),$V89,$U89)))=Milestones!$AB$115),UPPER(TEXT(EDATE($D89,Milestones!$AA$115),"dd mmm yy"))&amp;" "&amp;Milestones!$AB$115&amp;" "&amp;Milestones!$AC$115&amp;";  ","")&amp;IF(AND(EDATE($D89,Milestones!$AA$116)&lt;=AsOfDate,IF($R89=0,$X89,IF(AND($T89&lt;&gt;"",EDATE($D89,Milestones!$AA$116)&gt;=$T89),$W89,IF(AND($S89&lt;&gt;"",EDATE($D89,Milestones!$AA$116)&gt;=$S89),$V89,$U89)))=Milestones!$AB$116),UPPER(TEXT(EDATE($D89,Milestones!$AA$116),"dd mmm yy"))&amp;" "&amp;Milestones!$AB$116&amp;" "&amp;Milestones!$AC$116&amp;";  ","")&amp;IF(AND(EDATE($D89,Milestones!$AA$117)&lt;=AsOfDate,IF($R89=0,$X89,IF(AND($T89&lt;&gt;"",EDATE($D89,Milestones!$AA$117)&gt;=$T89),$W89,IF(AND($S89&lt;&gt;"",EDATE($D89,Milestones!$AA$117)&gt;=$S89),$V89,$U89)))=Milestones!$AB$117),UPPER(TEXT(EDATE($D89,Milestones!$AA$117),"dd mmm yy"))&amp;" "&amp;Milestones!$AB$117&amp;" "&amp;Milestones!$AC$117&amp;";  ","")&amp;IF(AND(EDATE($D89,Milestones!$AA$118)&lt;=AsOfDate,IF($R89=0,$X89,IF(AND($T89&lt;&gt;"",EDATE($D89,Milestones!$AA$118)&gt;=$T89),$W89,IF(AND($S89&lt;&gt;"",EDATE($D89,Milestones!$AA$118)&gt;=$S89),$V89,$U89)))=Milestones!$AB$118),UPPER(TEXT(EDATE($D89,Milestones!$AA$118),"dd mmm yy"))&amp;" "&amp;Milestones!$AB$118&amp;" "&amp;Milestones!$AC$118&amp;";  ","")&amp;IF(AND(EDATE($D89,Milestones!$AA$119)&lt;=AsOfDate,IF($R89=0,$X89,IF(AND($T89&lt;&gt;"",EDATE($D89,Milestones!$AA$119)&gt;=$T89),$W89,IF(AND($S89&lt;&gt;"",EDATE($D89,Milestones!$AA$119)&gt;=$S89),$V89,$U89)))=Milestones!$AB$119),UPPER(TEXT(EDATE($D89,Milestones!$AA$119),"dd mmm yy"))&amp;" "&amp;Milestones!$AB$119&amp;" "&amp;Milestones!$AC$119&amp;";  ",""))</f>
        <v/>
      </c>
      <c r="N89" s="0" t="str">
        <f aca="false">IF(OR($A89="",$D89=""),"",IF(AND(EDATE($D89,Milestones!$AA$120)&lt;=AsOfDate,IF($R89=0,$X89,IF(AND($T89&lt;&gt;"",EDATE($D89,Milestones!$AA$120)&gt;=$T89),$W89,IF(AND($S89&lt;&gt;"",EDATE($D89,Milestones!$AA$120)&gt;=$S89),$V89,$U89)))=Milestones!$AB$120),UPPER(TEXT(EDATE($D89,Milestones!$AA$120),"dd mmm yy"))&amp;" "&amp;Milestones!$AB$120&amp;" "&amp;Milestones!$AC$120&amp;";  ","")&amp;IF(AND(EDATE($D89,Milestones!$AA$121)&lt;=AsOfDate,IF($R89=0,$X89,IF(AND($T89&lt;&gt;"",EDATE($D89,Milestones!$AA$121)&gt;=$T89),$W89,IF(AND($S89&lt;&gt;"",EDATE($D89,Milestones!$AA$121)&gt;=$S89),$V89,$U89)))=Milestones!$AB$121),UPPER(TEXT(EDATE($D89,Milestones!$AA$121),"dd mmm yy"))&amp;" "&amp;Milestones!$AB$121&amp;" "&amp;Milestones!$AC$121&amp;";  ","")&amp;IF(AND(EDATE($D89,Milestones!$AA$122)&lt;=AsOfDate,IF($R89=0,$X89,IF(AND($T89&lt;&gt;"",EDATE($D89,Milestones!$AA$122)&gt;=$T89),$W89,IF(AND($S89&lt;&gt;"",EDATE($D89,Milestones!$AA$122)&gt;=$S89),$V89,$U89)))=Milestones!$AB$122),UPPER(TEXT(EDATE($D89,Milestones!$AA$122),"dd mmm yy"))&amp;" "&amp;Milestones!$AB$122&amp;" "&amp;Milestones!$AC$122&amp;";  ","")&amp;IF(AND(EDATE($D89,Milestones!$AA$123)&lt;=AsOfDate,IF($R89=0,$X89,IF(AND($T89&lt;&gt;"",EDATE($D89,Milestones!$AA$123)&gt;=$T89),$W89,IF(AND($S89&lt;&gt;"",EDATE($D89,Milestones!$AA$123)&gt;=$S89),$V89,$U89)))=Milestones!$AB$123),UPPER(TEXT(EDATE($D89,Milestones!$AA$123),"dd mmm yy"))&amp;" "&amp;Milestones!$AB$123&amp;" "&amp;Milestones!$AC$123&amp;";  ","")&amp;IF(AND(EDATE($D89,Milestones!$AA$124)&lt;=AsOfDate,IF($R89=0,$X89,IF(AND($T89&lt;&gt;"",EDATE($D89,Milestones!$AA$124)&gt;=$T89),$W89,IF(AND($S89&lt;&gt;"",EDATE($D89,Milestones!$AA$124)&gt;=$S89),$V89,$U89)))=Milestones!$AB$124),UPPER(TEXT(EDATE($D89,Milestones!$AA$124),"dd mmm yy"))&amp;" "&amp;Milestones!$AB$124&amp;" "&amp;Milestones!$AC$124&amp;";  ","")&amp;IF(AND(EDATE($D89,Milestones!$AA$125)&lt;=AsOfDate,IF($R89=0,$X89,IF(AND($T89&lt;&gt;"",EDATE($D89,Milestones!$AA$125)&gt;=$T89),$W89,IF(AND($S89&lt;&gt;"",EDATE($D89,Milestones!$AA$125)&gt;=$S89),$V89,$U89)))=Milestones!$AB$125),UPPER(TEXT(EDATE($D89,Milestones!$AA$125),"dd mmm yy"))&amp;" "&amp;Milestones!$AB$125&amp;" "&amp;Milestones!$AC$125&amp;";  ","")&amp;IF(AND(EDATE($D89,Milestones!$AA$126)&lt;=AsOfDate,IF($R89=0,$X89,IF(AND($T89&lt;&gt;"",EDATE($D89,Milestones!$AA$126)&gt;=$T89),$W89,IF(AND($S89&lt;&gt;"",EDATE($D89,Milestones!$AA$126)&gt;=$S89),$V89,$U89)))=Milestones!$AB$126),UPPER(TEXT(EDATE($D89,Milestones!$AA$126),"dd mmm yy"))&amp;" "&amp;Milestones!$AB$126&amp;" "&amp;Milestones!$AC$126&amp;";  ","")&amp;IF(AND(EDATE($D89,Milestones!$AA$127)&lt;=AsOfDate,IF($R89=0,$X89,IF(AND($T89&lt;&gt;"",EDATE($D89,Milestones!$AA$127)&gt;=$T89),$W89,IF(AND($S89&lt;&gt;"",EDATE($D89,Milestones!$AA$127)&gt;=$S89),$V89,$U89)))=Milestones!$AB$127),UPPER(TEXT(EDATE($D89,Milestones!$AA$127),"dd mmm yy"))&amp;" "&amp;Milestones!$AB$127&amp;" "&amp;Milestones!$AC$127&amp;";  ","")&amp;IF(AND(EDATE($D89,Milestones!$AA$128)&lt;=AsOfDate,IF($R89=0,$X89,IF(AND($T89&lt;&gt;"",EDATE($D89,Milestones!$AA$128)&gt;=$T89),$W89,IF(AND($S89&lt;&gt;"",EDATE($D89,Milestones!$AA$128)&gt;=$S89),$V89,$U89)))=Milestones!$AB$128),UPPER(TEXT(EDATE($D89,Milestones!$AA$128),"dd mmm yy"))&amp;" "&amp;Milestones!$AB$128&amp;" "&amp;Milestones!$AC$128&amp;";  ","")&amp;IF(AND(EDATE($D89,Milestones!$AA$129)&lt;=AsOfDate,IF($R89=0,$X89,IF(AND($T89&lt;&gt;"",EDATE($D89,Milestones!$AA$129)&gt;=$T89),$W89,IF(AND($S89&lt;&gt;"",EDATE($D89,Milestones!$AA$129)&gt;=$S89),$V89,$U89)))=Milestones!$AB$129),UPPER(TEXT(EDATE($D89,Milestones!$AA$129),"dd mmm yy"))&amp;" "&amp;Milestones!$AB$129&amp;" "&amp;Milestones!$AC$129&amp;";  ","")&amp;IF(AND(EDATE($D89,Milestones!$AA$130)&lt;=AsOfDate,IF($R89=0,$X89,IF(AND($T89&lt;&gt;"",EDATE($D89,Milestones!$AA$130)&gt;=$T89),$W89,IF(AND($S89&lt;&gt;"",EDATE($D89,Milestones!$AA$130)&gt;=$S89),$V89,$U89)))=Milestones!$AB$130),UPPER(TEXT(EDATE($D89,Milestones!$AA$130),"dd mmm yy"))&amp;" "&amp;Milestones!$AB$130&amp;" "&amp;Milestones!$AC$130&amp;";  ","")&amp;IF(AND(EDATE($D89,Milestones!$AA$131)&lt;=AsOfDate,IF($R89=0,$X89,IF(AND($T89&lt;&gt;"",EDATE($D89,Milestones!$AA$131)&gt;=$T89),$W89,IF(AND($S89&lt;&gt;"",EDATE($D89,Milestones!$AA$131)&gt;=$S89),$V89,$U89)))=Milestones!$AB$131),UPPER(TEXT(EDATE($D89,Milestones!$AA$131),"dd mmm yy"))&amp;" "&amp;Milestones!$AB$131&amp;" "&amp;Milestones!$AC$131&amp;";  ","")&amp;IF(AND(EDATE($D89,Milestones!$AA$132)&lt;=AsOfDate,IF($R89=0,$X89,IF(AND($T89&lt;&gt;"",EDATE($D89,Milestones!$AA$132)&gt;=$T89),$W89,IF(AND($S89&lt;&gt;"",EDATE($D89,Milestones!$AA$132)&gt;=$S89),$V89,$U89)))=Milestones!$AB$132),UPPER(TEXT(EDATE($D89,Milestones!$AA$132),"dd mmm yy"))&amp;" "&amp;Milestones!$AB$132&amp;" "&amp;Milestones!$AC$132&amp;";  ","")&amp;IF(AND(EDATE($D89,Milestones!$AA$133)&lt;=AsOfDate,IF($R89=0,$X89,IF(AND($T89&lt;&gt;"",EDATE($D89,Milestones!$AA$133)&gt;=$T89),$W89,IF(AND($S89&lt;&gt;"",EDATE($D89,Milestones!$AA$133)&gt;=$S89),$V89,$U89)))=Milestones!$AB$133),UPPER(TEXT(EDATE($D89,Milestones!$AA$133),"dd mmm yy"))&amp;" "&amp;Milestones!$AB$133&amp;" "&amp;Milestones!$AC$133&amp;";  ","")&amp;IF(AND(EDATE($D89,Milestones!$AA$134)&lt;=AsOfDate,IF($R89=0,$X89,IF(AND($T89&lt;&gt;"",EDATE($D89,Milestones!$AA$134)&gt;=$T89),$W89,IF(AND($S89&lt;&gt;"",EDATE($D89,Milestones!$AA$134)&gt;=$S89),$V89,$U89)))=Milestones!$AB$134),UPPER(TEXT(EDATE($D89,Milestones!$AA$134),"dd mmm yy"))&amp;" "&amp;Milestones!$AB$134&amp;" "&amp;Milestones!$AC$134&amp;";  ","")&amp;IF(AND(EDATE($D89,Milestones!$AA$135)&lt;=AsOfDate,IF($R89=0,$X89,IF(AND($T89&lt;&gt;"",EDATE($D89,Milestones!$AA$135)&gt;=$T89),$W89,IF(AND($S89&lt;&gt;"",EDATE($D89,Milestones!$AA$135)&gt;=$S89),$V89,$U89)))=Milestones!$AB$135),UPPER(TEXT(EDATE($D89,Milestones!$AA$135),"dd mmm yy"))&amp;" "&amp;Milestones!$AB$135&amp;" "&amp;Milestones!$AC$135&amp;";  ","")&amp;IF(AND(EDATE($D89,Milestones!$AA$136)&lt;=AsOfDate,IF($R89=0,$X89,IF(AND($T89&lt;&gt;"",EDATE($D89,Milestones!$AA$136)&gt;=$T89),$W89,IF(AND($S89&lt;&gt;"",EDATE($D89,Milestones!$AA$136)&gt;=$S89),$V89,$U89)))=Milestones!$AB$136),UPPER(TEXT(EDATE($D89,Milestones!$AA$136),"dd mmm yy"))&amp;" "&amp;Milestones!$AB$136&amp;" "&amp;Milestones!$AC$136&amp;";  ","")&amp;IF(AND(EDATE($D89,Milestones!$AA$137)&lt;=AsOfDate,IF($R89=0,$X89,IF(AND($T89&lt;&gt;"",EDATE($D89,Milestones!$AA$137)&gt;=$T89),$W89,IF(AND($S89&lt;&gt;"",EDATE($D89,Milestones!$AA$137)&gt;=$S89),$V89,$U89)))=Milestones!$AB$137),UPPER(TEXT(EDATE($D89,Milestones!$AA$137),"dd mmm yy"))&amp;" "&amp;Milestones!$AB$137&amp;" "&amp;Milestones!$AC$137&amp;";  ","")&amp;IF(AND(EDATE($D89,Milestones!$AA$138)&lt;=AsOfDate,IF($R89=0,$X89,IF(AND($T89&lt;&gt;"",EDATE($D89,Milestones!$AA$138)&gt;=$T89),$W89,IF(AND($S89&lt;&gt;"",EDATE($D89,Milestones!$AA$138)&gt;=$S89),$V89,$U89)))=Milestones!$AB$138),UPPER(TEXT(EDATE($D89,Milestones!$AA$138),"dd mmm yy"))&amp;" "&amp;Milestones!$AB$138&amp;" "&amp;Milestones!$AC$138&amp;";  ","")&amp;IF(AND(EDATE($D89,Milestones!$AA$139)&lt;=AsOfDate,IF($R89=0,$X89,IF(AND($T89&lt;&gt;"",EDATE($D89,Milestones!$AA$139)&gt;=$T89),$W89,IF(AND($S89&lt;&gt;"",EDATE($D89,Milestones!$AA$139)&gt;=$S89),$V89,$U89)))=Milestones!$AB$139),UPPER(TEXT(EDATE($D89,Milestones!$AA$139),"dd mmm yy"))&amp;" "&amp;Milestones!$AB$139&amp;" "&amp;Milestones!$AC$139&amp;";  ",""))</f>
        <v/>
      </c>
      <c r="O89" s="0" t="str">
        <f aca="false">IF(OR($A89="",$D89=""),"",IF(AND(EDATE($D89,Milestones!$AA$140)&lt;=AsOfDate,IF($R89=0,$X89,IF(AND($T89&lt;&gt;"",EDATE($D89,Milestones!$AA$140)&gt;=$T89),$W89,IF(AND($S89&lt;&gt;"",EDATE($D89,Milestones!$AA$140)&gt;=$S89),$V89,$U89)))=Milestones!$AB$140),UPPER(TEXT(EDATE($D89,Milestones!$AA$140),"dd mmm yy"))&amp;" "&amp;Milestones!$AB$140&amp;" "&amp;Milestones!$AC$140&amp;";  ","")&amp;IF(AND(EDATE($D89,Milestones!$AA$141)&lt;=AsOfDate,IF($R89=0,$X89,IF(AND($T89&lt;&gt;"",EDATE($D89,Milestones!$AA$141)&gt;=$T89),$W89,IF(AND($S89&lt;&gt;"",EDATE($D89,Milestones!$AA$141)&gt;=$S89),$V89,$U89)))=Milestones!$AB$141),UPPER(TEXT(EDATE($D89,Milestones!$AA$141),"dd mmm yy"))&amp;" "&amp;Milestones!$AB$141&amp;" "&amp;Milestones!$AC$141&amp;";  ","")&amp;IF(AND(EDATE($D89,Milestones!$AA$142)&lt;=AsOfDate,IF($R89=0,$X89,IF(AND($T89&lt;&gt;"",EDATE($D89,Milestones!$AA$142)&gt;=$T89),$W89,IF(AND($S89&lt;&gt;"",EDATE($D89,Milestones!$AA$142)&gt;=$S89),$V89,$U89)))=Milestones!$AB$142),UPPER(TEXT(EDATE($D89,Milestones!$AA$142),"dd mmm yy"))&amp;" "&amp;Milestones!$AB$142&amp;" "&amp;Milestones!$AC$142&amp;";  ","")&amp;IF(AND(EDATE($D89,Milestones!$AA$143)&lt;=AsOfDate,IF($R89=0,$X89,IF(AND($T89&lt;&gt;"",EDATE($D89,Milestones!$AA$143)&gt;=$T89),$W89,IF(AND($S89&lt;&gt;"",EDATE($D89,Milestones!$AA$143)&gt;=$S89),$V89,$U89)))=Milestones!$AB$143),UPPER(TEXT(EDATE($D89,Milestones!$AA$143),"dd mmm yy"))&amp;" "&amp;Milestones!$AB$143&amp;" "&amp;Milestones!$AC$143&amp;";  ","")&amp;IF(AND(EDATE($D89,Milestones!$AA$144)&lt;=AsOfDate,IF($R89=0,$X89,IF(AND($T89&lt;&gt;"",EDATE($D89,Milestones!$AA$144)&gt;=$T89),$W89,IF(AND($S89&lt;&gt;"",EDATE($D89,Milestones!$AA$144)&gt;=$S89),$V89,$U89)))=Milestones!$AB$144),UPPER(TEXT(EDATE($D89,Milestones!$AA$144),"dd mmm yy"))&amp;" "&amp;Milestones!$AB$144&amp;" "&amp;Milestones!$AC$144&amp;";  ","")&amp;IF(AND(EDATE($D89,Milestones!$AA$145)&lt;=AsOfDate,IF($R89=0,$X89,IF(AND($T89&lt;&gt;"",EDATE($D89,Milestones!$AA$145)&gt;=$T89),$W89,IF(AND($S89&lt;&gt;"",EDATE($D89,Milestones!$AA$145)&gt;=$S89),$V89,$U89)))=Milestones!$AB$145),UPPER(TEXT(EDATE($D89,Milestones!$AA$145),"dd mmm yy"))&amp;" "&amp;Milestones!$AB$145&amp;" "&amp;Milestones!$AC$145&amp;";  ","")&amp;IF(AND(EDATE($D89,Milestones!$AA$146)&lt;=AsOfDate,IF($R89=0,$X89,IF(AND($T89&lt;&gt;"",EDATE($D89,Milestones!$AA$146)&gt;=$T89),$W89,IF(AND($S89&lt;&gt;"",EDATE($D89,Milestones!$AA$146)&gt;=$S89),$V89,$U89)))=Milestones!$AB$146),UPPER(TEXT(EDATE($D89,Milestones!$AA$146),"dd mmm yy"))&amp;" "&amp;Milestones!$AB$146&amp;" "&amp;Milestones!$AC$146&amp;";  ","")&amp;IF(AND(EDATE($D89,Milestones!$AA$147)&lt;=AsOfDate,IF($R89=0,$X89,IF(AND($T89&lt;&gt;"",EDATE($D89,Milestones!$AA$147)&gt;=$T89),$W89,IF(AND($S89&lt;&gt;"",EDATE($D89,Milestones!$AA$147)&gt;=$S89),$V89,$U89)))=Milestones!$AB$147),UPPER(TEXT(EDATE($D89,Milestones!$AA$147),"dd mmm yy"))&amp;" "&amp;Milestones!$AB$147&amp;" "&amp;Milestones!$AC$147&amp;";  ","")&amp;IF(AND(EDATE($D89,Milestones!$AA$148)&lt;=AsOfDate,IF($R89=0,$X89,IF(AND($T89&lt;&gt;"",EDATE($D89,Milestones!$AA$148)&gt;=$T89),$W89,IF(AND($S89&lt;&gt;"",EDATE($D89,Milestones!$AA$148)&gt;=$S89),$V89,$U89)))=Milestones!$AB$148),UPPER(TEXT(EDATE($D89,Milestones!$AA$148),"dd mmm yy"))&amp;" "&amp;Milestones!$AB$148&amp;" "&amp;Milestones!$AC$148&amp;";  ","")&amp;IF(AND(EDATE($D89,Milestones!$AA$149)&lt;=AsOfDate,IF($R89=0,$X89,IF(AND($T89&lt;&gt;"",EDATE($D89,Milestones!$AA$149)&gt;=$T89),$W89,IF(AND($S89&lt;&gt;"",EDATE($D89,Milestones!$AA$149)&gt;=$S89),$V89,$U89)))=Milestones!$AB$149),UPPER(TEXT(EDATE($D89,Milestones!$AA$149),"dd mmm yy"))&amp;" "&amp;Milestones!$AB$149&amp;" "&amp;Milestones!$AC$149&amp;";  ","")&amp;IF(AND(EDATE($D89,Milestones!$AA$150)&lt;=AsOfDate,IF($R89=0,$X89,IF(AND($T89&lt;&gt;"",EDATE($D89,Milestones!$AA$150)&gt;=$T89),$W89,IF(AND($S89&lt;&gt;"",EDATE($D89,Milestones!$AA$150)&gt;=$S89),$V89,$U89)))=Milestones!$AB$150),UPPER(TEXT(EDATE($D89,Milestones!$AA$150),"dd mmm yy"))&amp;" "&amp;Milestones!$AB$150&amp;" "&amp;Milestones!$AC$150&amp;";  ","")&amp;IF(AND(EDATE($D89,Milestones!$AA$151)&lt;=AsOfDate,IF($R89=0,$X89,IF(AND($T89&lt;&gt;"",EDATE($D89,Milestones!$AA$151)&gt;=$T89),$W89,IF(AND($S89&lt;&gt;"",EDATE($D89,Milestones!$AA$151)&gt;=$S89),$V89,$U89)))=Milestones!$AB$151),UPPER(TEXT(EDATE($D89,Milestones!$AA$151),"dd mmm yy"))&amp;" "&amp;Milestones!$AB$151&amp;" "&amp;Milestones!$AC$151&amp;";  ","")&amp;IF(AND(EDATE($D89,Milestones!$AA$152)&lt;=AsOfDate,IF($R89=0,$X89,IF(AND($T89&lt;&gt;"",EDATE($D89,Milestones!$AA$152)&gt;=$T89),$W89,IF(AND($S89&lt;&gt;"",EDATE($D89,Milestones!$AA$152)&gt;=$S89),$V89,$U89)))=Milestones!$AB$152),UPPER(TEXT(EDATE($D89,Milestones!$AA$152),"dd mmm yy"))&amp;" "&amp;Milestones!$AB$152&amp;" "&amp;Milestones!$AC$152&amp;";  ","")&amp;IF(AND(EDATE($D89,Milestones!$AA$153)&lt;=AsOfDate,IF($R89=0,$X89,IF(AND($T89&lt;&gt;"",EDATE($D89,Milestones!$AA$153)&gt;=$T89),$W89,IF(AND($S89&lt;&gt;"",EDATE($D89,Milestones!$AA$153)&gt;=$S89),$V89,$U89)))=Milestones!$AB$153),UPPER(TEXT(EDATE($D89,Milestones!$AA$153),"dd mmm yy"))&amp;" "&amp;Milestones!$AB$153&amp;" "&amp;Milestones!$AC$153&amp;";  ","")&amp;IF(AND(EDATE($D89,Milestones!$AA$154)&lt;=AsOfDate,IF($R89=0,$X89,IF(AND($T89&lt;&gt;"",EDATE($D89,Milestones!$AA$154)&gt;=$T89),$W89,IF(AND($S89&lt;&gt;"",EDATE($D89,Milestones!$AA$154)&gt;=$S89),$V89,$U89)))=Milestones!$AB$154),UPPER(TEXT(EDATE($D89,Milestones!$AA$154),"dd mmm yy"))&amp;" "&amp;Milestones!$AB$154&amp;" "&amp;Milestones!$AC$154&amp;";  ","")&amp;IF(AND(EDATE($D89,Milestones!$AA$155)&lt;=AsOfDate,IF($R89=0,$X89,IF(AND($T89&lt;&gt;"",EDATE($D89,Milestones!$AA$155)&gt;=$T89),$W89,IF(AND($S89&lt;&gt;"",EDATE($D89,Milestones!$AA$155)&gt;=$S89),$V89,$U89)))=Milestones!$AB$155),UPPER(TEXT(EDATE($D89,Milestones!$AA$155),"dd mmm yy"))&amp;" "&amp;Milestones!$AB$155&amp;" "&amp;Milestones!$AC$155&amp;";  ","")&amp;IF(AND(EDATE($D89,Milestones!$AA$156)&lt;=AsOfDate,IF($R89=0,$X89,IF(AND($T89&lt;&gt;"",EDATE($D89,Milestones!$AA$156)&gt;=$T89),$W89,IF(AND($S89&lt;&gt;"",EDATE($D89,Milestones!$AA$156)&gt;=$S89),$V89,$U89)))=Milestones!$AB$156),UPPER(TEXT(EDATE($D89,Milestones!$AA$156),"dd mmm yy"))&amp;" "&amp;Milestones!$AB$156&amp;" "&amp;Milestones!$AC$156&amp;";  ","")&amp;IF(AND(EDATE($D89,Milestones!$AA$157)&lt;=AsOfDate,IF($R89=0,$X89,IF(AND($T89&lt;&gt;"",EDATE($D89,Milestones!$AA$157)&gt;=$T89),$W89,IF(AND($S89&lt;&gt;"",EDATE($D89,Milestones!$AA$157)&gt;=$S89),$V89,$U89)))=Milestones!$AB$157),UPPER(TEXT(EDATE($D89,Milestones!$AA$157),"dd mmm yy"))&amp;" "&amp;Milestones!$AB$157&amp;" "&amp;Milestones!$AC$157&amp;";  ","")&amp;IF(AND(EDATE($D89,Milestones!$AA$158)&lt;=AsOfDate,IF($R89=0,$X89,IF(AND($T89&lt;&gt;"",EDATE($D89,Milestones!$AA$158)&gt;=$T89),$W89,IF(AND($S89&lt;&gt;"",EDATE($D89,Milestones!$AA$158)&gt;=$S89),$V89,$U89)))=Milestones!$AB$158),UPPER(TEXT(EDATE($D89,Milestones!$AA$158),"dd mmm yy"))&amp;" "&amp;Milestones!$AB$158&amp;" "&amp;Milestones!$AC$158&amp;";  ","")&amp;IF(AND(EDATE($D89,Milestones!$AA$159)&lt;=AsOfDate,IF($R89=0,$X89,IF(AND($T89&lt;&gt;"",EDATE($D89,Milestones!$AA$159)&gt;=$T89),$W89,IF(AND($S89&lt;&gt;"",EDATE($D89,Milestones!$AA$159)&gt;=$S89),$V89,$U89)))=Milestones!$AB$159),UPPER(TEXT(EDATE($D89,Milestones!$AA$159),"dd mmm yy"))&amp;" "&amp;Milestones!$AB$159&amp;" "&amp;Milestones!$AC$159&amp;";  ",""))</f>
        <v/>
      </c>
      <c r="P89" s="0" t="str">
        <f aca="false">IF(OR($A89="",$D89=""),"",IF(AND(EDATE($D89,Milestones!$AA$160)&lt;=AsOfDate,IF($R89=0,$X89,IF(AND($T89&lt;&gt;"",EDATE($D89,Milestones!$AA$160)&gt;=$T89),$W89,IF(AND($S89&lt;&gt;"",EDATE($D89,Milestones!$AA$160)&gt;=$S89),$V89,$U89)))=Milestones!$AB$160),UPPER(TEXT(EDATE($D89,Milestones!$AA$160),"dd mmm yy"))&amp;" "&amp;Milestones!$AB$160&amp;" "&amp;Milestones!$AC$160&amp;";  ","")&amp;IF(AND(EDATE($D89,Milestones!$AA$161)&lt;=AsOfDate,IF($R89=0,$X89,IF(AND($T89&lt;&gt;"",EDATE($D89,Milestones!$AA$161)&gt;=$T89),$W89,IF(AND($S89&lt;&gt;"",EDATE($D89,Milestones!$AA$161)&gt;=$S89),$V89,$U89)))=Milestones!$AB$161),UPPER(TEXT(EDATE($D89,Milestones!$AA$161),"dd mmm yy"))&amp;" "&amp;Milestones!$AB$161&amp;" "&amp;Milestones!$AC$161&amp;";  ","")&amp;IF(AND(EDATE($D89,Milestones!$AA$162)&lt;=AsOfDate,IF($R89=0,$X89,IF(AND($T89&lt;&gt;"",EDATE($D89,Milestones!$AA$162)&gt;=$T89),$W89,IF(AND($S89&lt;&gt;"",EDATE($D89,Milestones!$AA$162)&gt;=$S89),$V89,$U89)))=Milestones!$AB$162),UPPER(TEXT(EDATE($D89,Milestones!$AA$162),"dd mmm yy"))&amp;" "&amp;Milestones!$AB$162&amp;" "&amp;Milestones!$AC$162&amp;";  ","")&amp;IF(AND(EDATE($D89,Milestones!$AA$163)&lt;=AsOfDate,IF($R89=0,$X89,IF(AND($T89&lt;&gt;"",EDATE($D89,Milestones!$AA$163)&gt;=$T89),$W89,IF(AND($S89&lt;&gt;"",EDATE($D89,Milestones!$AA$163)&gt;=$S89),$V89,$U89)))=Milestones!$AB$163),UPPER(TEXT(EDATE($D89,Milestones!$AA$163),"dd mmm yy"))&amp;" "&amp;Milestones!$AB$163&amp;" "&amp;Milestones!$AC$163&amp;";  ","")&amp;IF(AND(EDATE($D89,Milestones!$AA$164)&lt;=AsOfDate,IF($R89=0,$X89,IF(AND($T89&lt;&gt;"",EDATE($D89,Milestones!$AA$164)&gt;=$T89),$W89,IF(AND($S89&lt;&gt;"",EDATE($D89,Milestones!$AA$164)&gt;=$S89),$V89,$U89)))=Milestones!$AB$164),UPPER(TEXT(EDATE($D89,Milestones!$AA$164),"dd mmm yy"))&amp;" "&amp;Milestones!$AB$164&amp;" "&amp;Milestones!$AC$164&amp;";  ","")&amp;IF(AND(EDATE($D89,Milestones!$AA$165)&lt;=AsOfDate,IF($R89=0,$X89,IF(AND($T89&lt;&gt;"",EDATE($D89,Milestones!$AA$165)&gt;=$T89),$W89,IF(AND($S89&lt;&gt;"",EDATE($D89,Milestones!$AA$165)&gt;=$S89),$V89,$U89)))=Milestones!$AB$165),UPPER(TEXT(EDATE($D89,Milestones!$AA$165),"dd mmm yy"))&amp;" "&amp;Milestones!$AB$165&amp;" "&amp;Milestones!$AC$165&amp;";  ","")&amp;IF(AND(EDATE($D89,Milestones!$AA$166)&lt;=AsOfDate,IF($R89=0,$X89,IF(AND($T89&lt;&gt;"",EDATE($D89,Milestones!$AA$166)&gt;=$T89),$W89,IF(AND($S89&lt;&gt;"",EDATE($D89,Milestones!$AA$166)&gt;=$S89),$V89,$U89)))=Milestones!$AB$166),UPPER(TEXT(EDATE($D89,Milestones!$AA$166),"dd mmm yy"))&amp;" "&amp;Milestones!$AB$166&amp;" "&amp;Milestones!$AC$166&amp;";  ","")&amp;IF(AND(EDATE($D89,Milestones!$AA$167)&lt;=AsOfDate,IF($R89=0,$X89,IF(AND($T89&lt;&gt;"",EDATE($D89,Milestones!$AA$167)&gt;=$T89),$W89,IF(AND($S89&lt;&gt;"",EDATE($D89,Milestones!$AA$167)&gt;=$S89),$V89,$U89)))=Milestones!$AB$167),UPPER(TEXT(EDATE($D89,Milestones!$AA$167),"dd mmm yy"))&amp;" "&amp;Milestones!$AB$167&amp;" "&amp;Milestones!$AC$167&amp;";  ","")&amp;IF(AND(EDATE($D89,Milestones!$AA$168)&lt;=AsOfDate,IF($R89=0,$X89,IF(AND($T89&lt;&gt;"",EDATE($D89,Milestones!$AA$168)&gt;=$T89),$W89,IF(AND($S89&lt;&gt;"",EDATE($D89,Milestones!$AA$168)&gt;=$S89),$V89,$U89)))=Milestones!$AB$168),UPPER(TEXT(EDATE($D89,Milestones!$AA$168),"dd mmm yy"))&amp;" "&amp;Milestones!$AB$168&amp;" "&amp;Milestones!$AC$168&amp;";  ","")&amp;IF(AND(EDATE($D89,Milestones!$AA$169)&lt;=AsOfDate,IF($R89=0,$X89,IF(AND($T89&lt;&gt;"",EDATE($D89,Milestones!$AA$169)&gt;=$T89),$W89,IF(AND($S89&lt;&gt;"",EDATE($D89,Milestones!$AA$169)&gt;=$S89),$V89,$U89)))=Milestones!$AB$169),UPPER(TEXT(EDATE($D89,Milestones!$AA$169),"dd mmm yy"))&amp;" "&amp;Milestones!$AB$169&amp;" "&amp;Milestones!$AC$169&amp;";  ","")&amp;IF(AND(EDATE($D89,Milestones!$AA$170)&lt;=AsOfDate,IF($R89=0,$X89,IF(AND($T89&lt;&gt;"",EDATE($D89,Milestones!$AA$170)&gt;=$T89),$W89,IF(AND($S89&lt;&gt;"",EDATE($D89,Milestones!$AA$170)&gt;=$S89),$V89,$U89)))=Milestones!$AB$170),UPPER(TEXT(EDATE($D89,Milestones!$AA$170),"dd mmm yy"))&amp;" "&amp;Milestones!$AB$170&amp;" "&amp;Milestones!$AC$170&amp;";  ","")&amp;IF(AND(EDATE($D89,Milestones!$AA$171)&lt;=AsOfDate,IF($R89=0,$X89,IF(AND($T89&lt;&gt;"",EDATE($D89,Milestones!$AA$171)&gt;=$T89),$W89,IF(AND($S89&lt;&gt;"",EDATE($D89,Milestones!$AA$171)&gt;=$S89),$V89,$U89)))=Milestones!$AB$171),UPPER(TEXT(EDATE($D89,Milestones!$AA$171),"dd mmm yy"))&amp;" "&amp;Milestones!$AB$171&amp;" "&amp;Milestones!$AC$171&amp;";  ","")&amp;IF(AND(EDATE($D89,Milestones!$AA$172)&lt;=AsOfDate,IF($R89=0,$X89,IF(AND($T89&lt;&gt;"",EDATE($D89,Milestones!$AA$172)&gt;=$T89),$W89,IF(AND($S89&lt;&gt;"",EDATE($D89,Milestones!$AA$172)&gt;=$S89),$V89,$U89)))=Milestones!$AB$172),UPPER(TEXT(EDATE($D89,Milestones!$AA$172),"dd mmm yy"))&amp;" "&amp;Milestones!$AB$172&amp;" "&amp;Milestones!$AC$172&amp;";  ","")&amp;IF(AND(EDATE($D89,Milestones!$AA$173)&lt;=AsOfDate,IF($R89=0,$X89,IF(AND($T89&lt;&gt;"",EDATE($D89,Milestones!$AA$173)&gt;=$T89),$W89,IF(AND($S89&lt;&gt;"",EDATE($D89,Milestones!$AA$173)&gt;=$S89),$V89,$U89)))=Milestones!$AB$173),UPPER(TEXT(EDATE($D89,Milestones!$AA$173),"dd mmm yy"))&amp;" "&amp;Milestones!$AB$173&amp;" "&amp;Milestones!$AC$173&amp;";  ","")&amp;IF(AND(EDATE($D89,Milestones!$AA$174)&lt;=AsOfDate,IF($R89=0,$X89,IF(AND($T89&lt;&gt;"",EDATE($D89,Milestones!$AA$174)&gt;=$T89),$W89,IF(AND($S89&lt;&gt;"",EDATE($D89,Milestones!$AA$174)&gt;=$S89),$V89,$U89)))=Milestones!$AB$174),UPPER(TEXT(EDATE($D89,Milestones!$AA$174),"dd mmm yy"))&amp;" "&amp;Milestones!$AB$174&amp;" "&amp;Milestones!$AC$174&amp;";  ","")&amp;IF(AND(EDATE($D89,Milestones!$AA$175)&lt;=AsOfDate,IF($R89=0,$X89,IF(AND($T89&lt;&gt;"",EDATE($D89,Milestones!$AA$175)&gt;=$T89),$W89,IF(AND($S89&lt;&gt;"",EDATE($D89,Milestones!$AA$175)&gt;=$S89),$V89,$U89)))=Milestones!$AB$175),UPPER(TEXT(EDATE($D89,Milestones!$AA$175),"dd mmm yy"))&amp;" "&amp;Milestones!$AB$175&amp;" "&amp;Milestones!$AC$175&amp;";  ","")&amp;IF(AND(EDATE($D89,Milestones!$AA$176)&lt;=AsOfDate,IF($R89=0,$X89,IF(AND($T89&lt;&gt;"",EDATE($D89,Milestones!$AA$176)&gt;=$T89),$W89,IF(AND($S89&lt;&gt;"",EDATE($D89,Milestones!$AA$176)&gt;=$S89),$V89,$U89)))=Milestones!$AB$176),UPPER(TEXT(EDATE($D89,Milestones!$AA$176),"dd mmm yy"))&amp;" "&amp;Milestones!$AB$176&amp;" "&amp;Milestones!$AC$176&amp;";  ","")&amp;IF(AND(EDATE($D89,Milestones!$AA$177)&lt;=AsOfDate,IF($R89=0,$X89,IF(AND($T89&lt;&gt;"",EDATE($D89,Milestones!$AA$177)&gt;=$T89),$W89,IF(AND($S89&lt;&gt;"",EDATE($D89,Milestones!$AA$177)&gt;=$S89),$V89,$U89)))=Milestones!$AB$177),UPPER(TEXT(EDATE($D89,Milestones!$AA$177),"dd mmm yy"))&amp;" "&amp;Milestones!$AB$177&amp;" "&amp;Milestones!$AC$177&amp;";  ","")&amp;IF(AND(EDATE($D89,Milestones!$AA$178)&lt;=AsOfDate,IF($R89=0,$X89,IF(AND($T89&lt;&gt;"",EDATE($D89,Milestones!$AA$178)&gt;=$T89),$W89,IF(AND($S89&lt;&gt;"",EDATE($D89,Milestones!$AA$178)&gt;=$S89),$V89,$U89)))=Milestones!$AB$178),UPPER(TEXT(EDATE($D89,Milestones!$AA$178),"dd mmm yy"))&amp;" "&amp;Milestones!$AB$178&amp;" "&amp;Milestones!$AC$178&amp;";  ","")&amp;IF(AND(EDATE($D89,Milestones!$AA$179)&lt;=AsOfDate,IF($R89=0,$X89,IF(AND($T89&lt;&gt;"",EDATE($D89,Milestones!$AA$179)&gt;=$T89),$W89,IF(AND($S89&lt;&gt;"",EDATE($D89,Milestones!$AA$179)&gt;=$S89),$V89,$U89)))=Milestones!$AB$179),UPPER(TEXT(EDATE($D89,Milestones!$AA$179),"dd mmm yy"))&amp;" "&amp;Milestones!$AB$179&amp;" "&amp;Milestones!$AC$179&amp;";  ",""))</f>
        <v/>
      </c>
      <c r="Q89" s="0" t="str">
        <f aca="false">IF(OR($A89="",$D89=""),"",IF(AND(EDATE($D89,Milestones!$AA$180)&lt;=AsOfDate,IF($R89=0,$X89,IF(AND($T89&lt;&gt;"",EDATE($D89,Milestones!$AA$180)&gt;=$T89),$W89,IF(AND($S89&lt;&gt;"",EDATE($D89,Milestones!$AA$180)&gt;=$S89),$V89,$U89)))=Milestones!$AB$180),UPPER(TEXT(EDATE($D89,Milestones!$AA$180),"dd mmm yy"))&amp;" "&amp;Milestones!$AB$180&amp;" "&amp;Milestones!$AC$180&amp;";  ","")&amp;IF(AND(EDATE($D89,Milestones!$AA$181)&lt;=AsOfDate,IF($R89=0,$X89,IF(AND($T89&lt;&gt;"",EDATE($D89,Milestones!$AA$181)&gt;=$T89),$W89,IF(AND($S89&lt;&gt;"",EDATE($D89,Milestones!$AA$181)&gt;=$S89),$V89,$U89)))=Milestones!$AB$181),UPPER(TEXT(EDATE($D89,Milestones!$AA$181),"dd mmm yy"))&amp;" "&amp;Milestones!$AB$181&amp;" "&amp;Milestones!$AC$181&amp;";  ","")&amp;IF(AND(EDATE($D89,Milestones!$AA$182)&lt;=AsOfDate,IF($R89=0,$X89,IF(AND($T89&lt;&gt;"",EDATE($D89,Milestones!$AA$182)&gt;=$T89),$W89,IF(AND($S89&lt;&gt;"",EDATE($D89,Milestones!$AA$182)&gt;=$S89),$V89,$U89)))=Milestones!$AB$182),UPPER(TEXT(EDATE($D89,Milestones!$AA$182),"dd mmm yy"))&amp;" "&amp;Milestones!$AB$182&amp;" "&amp;Milestones!$AC$182&amp;";  ","")&amp;IF(AND(EDATE($D89,Milestones!$AA$183)&lt;=AsOfDate,IF($R89=0,$X89,IF(AND($T89&lt;&gt;"",EDATE($D89,Milestones!$AA$183)&gt;=$T89),$W89,IF(AND($S89&lt;&gt;"",EDATE($D89,Milestones!$AA$183)&gt;=$S89),$V89,$U89)))=Milestones!$AB$183),UPPER(TEXT(EDATE($D89,Milestones!$AA$183),"dd mmm yy"))&amp;" "&amp;Milestones!$AB$183&amp;" "&amp;Milestones!$AC$183&amp;";  ","")&amp;IF(AND(EDATE($D89,Milestones!$AA$184)&lt;=AsOfDate,IF($R89=0,$X89,IF(AND($T89&lt;&gt;"",EDATE($D89,Milestones!$AA$184)&gt;=$T89),$W89,IF(AND($S89&lt;&gt;"",EDATE($D89,Milestones!$AA$184)&gt;=$S89),$V89,$U89)))=Milestones!$AB$184),UPPER(TEXT(EDATE($D89,Milestones!$AA$184),"dd mmm yy"))&amp;" "&amp;Milestones!$AB$184&amp;" "&amp;Milestones!$AC$184&amp;";  ","")&amp;IF(AND(EDATE($D89,Milestones!$AA$185)&lt;=AsOfDate,IF($R89=0,$X89,IF(AND($T89&lt;&gt;"",EDATE($D89,Milestones!$AA$185)&gt;=$T89),$W89,IF(AND($S89&lt;&gt;"",EDATE($D89,Milestones!$AA$185)&gt;=$S89),$V89,$U89)))=Milestones!$AB$185),UPPER(TEXT(EDATE($D89,Milestones!$AA$185),"dd mmm yy"))&amp;" "&amp;Milestones!$AB$185&amp;" "&amp;Milestones!$AC$185&amp;";  ","")&amp;IF(AND(EDATE($D89,Milestones!$AA$186)&lt;=AsOfDate,IF($R89=0,$X89,IF(AND($T89&lt;&gt;"",EDATE($D89,Milestones!$AA$186)&gt;=$T89),$W89,IF(AND($S89&lt;&gt;"",EDATE($D89,Milestones!$AA$186)&gt;=$S89),$V89,$U89)))=Milestones!$AB$186),UPPER(TEXT(EDATE($D89,Milestones!$AA$186),"dd mmm yy"))&amp;" "&amp;Milestones!$AB$186&amp;" "&amp;Milestones!$AC$186&amp;";  ","")&amp;IF(AND(EDATE($D89,Milestones!$AA$187)&lt;=AsOfDate,IF($R89=0,$X89,IF(AND($T89&lt;&gt;"",EDATE($D89,Milestones!$AA$187)&gt;=$T89),$W89,IF(AND($S89&lt;&gt;"",EDATE($D89,Milestones!$AA$187)&gt;=$S89),$V89,$U89)))=Milestones!$AB$187),UPPER(TEXT(EDATE($D89,Milestones!$AA$187),"dd mmm yy"))&amp;" "&amp;Milestones!$AB$187&amp;" "&amp;Milestones!$AC$187&amp;";  ","")&amp;IF(AND(EDATE($D89,Milestones!$AA$188)&lt;=AsOfDate,IF($R89=0,$X89,IF(AND($T89&lt;&gt;"",EDATE($D89,Milestones!$AA$188)&gt;=$T89),$W89,IF(AND($S89&lt;&gt;"",EDATE($D89,Milestones!$AA$188)&gt;=$S89),$V89,$U89)))=Milestones!$AB$188),UPPER(TEXT(EDATE($D89,Milestones!$AA$188),"dd mmm yy"))&amp;" "&amp;Milestones!$AB$188&amp;" "&amp;Milestones!$AC$188&amp;";  ","")&amp;IF(AND(EDATE($D89,Milestones!$AA$189)&lt;=AsOfDate,IF($R89=0,$X89,IF(AND($T89&lt;&gt;"",EDATE($D89,Milestones!$AA$189)&gt;=$T89),$W89,IF(AND($S89&lt;&gt;"",EDATE($D89,Milestones!$AA$189)&gt;=$S89),$V89,$U89)))=Milestones!$AB$189),UPPER(TEXT(EDATE($D89,Milestones!$AA$189),"dd mmm yy"))&amp;" "&amp;Milestones!$AB$189&amp;" "&amp;Milestones!$AC$189&amp;";  ","")&amp;IF(AND(EDATE($D89,Milestones!$AA$190)&lt;=AsOfDate,IF($R89=0,$X89,IF(AND($T89&lt;&gt;"",EDATE($D89,Milestones!$AA$190)&gt;=$T89),$W89,IF(AND($S89&lt;&gt;"",EDATE($D89,Milestones!$AA$190)&gt;=$S89),$V89,$U89)))=Milestones!$AB$190),UPPER(TEXT(EDATE($D89,Milestones!$AA$190),"dd mmm yy"))&amp;" "&amp;Milestones!$AB$190&amp;" "&amp;Milestones!$AC$190&amp;";  ","")&amp;IF(AND(EDATE($D89,Milestones!$AA$191)&lt;=AsOfDate,IF($R89=0,$X89,IF(AND($T89&lt;&gt;"",EDATE($D89,Milestones!$AA$191)&gt;=$T89),$W89,IF(AND($S89&lt;&gt;"",EDATE($D89,Milestones!$AA$191)&gt;=$S89),$V89,$U89)))=Milestones!$AB$191),UPPER(TEXT(EDATE($D89,Milestones!$AA$191),"dd mmm yy"))&amp;" "&amp;Milestones!$AB$191&amp;" "&amp;Milestones!$AC$191&amp;";  ","")&amp;IF(AND(EDATE($D89,Milestones!$AA$192)&lt;=AsOfDate,IF($R89=0,$X89,IF(AND($T89&lt;&gt;"",EDATE($D89,Milestones!$AA$192)&gt;=$T89),$W89,IF(AND($S89&lt;&gt;"",EDATE($D89,Milestones!$AA$192)&gt;=$S89),$V89,$U89)))=Milestones!$AB$192),UPPER(TEXT(EDATE($D89,Milestones!$AA$192),"dd mmm yy"))&amp;" "&amp;Milestones!$AB$192&amp;" "&amp;Milestones!$AC$192&amp;";  ","")&amp;IF(AND(EDATE($D89,Milestones!$AA$193)&lt;=AsOfDate,IF($R89=0,$X89,IF(AND($T89&lt;&gt;"",EDATE($D89,Milestones!$AA$193)&gt;=$T89),$W89,IF(AND($S89&lt;&gt;"",EDATE($D89,Milestones!$AA$193)&gt;=$S89),$V89,$U89)))=Milestones!$AB$193),UPPER(TEXT(EDATE($D89,Milestones!$AA$193),"dd mmm yy"))&amp;" "&amp;Milestones!$AB$193&amp;" "&amp;Milestones!$AC$193&amp;";  ","")&amp;IF(AND(EDATE($D89,Milestones!$AA$194)&lt;=AsOfDate,IF($R89=0,$X89,IF(AND($T89&lt;&gt;"",EDATE($D89,Milestones!$AA$194)&gt;=$T89),$W89,IF(AND($S89&lt;&gt;"",EDATE($D89,Milestones!$AA$194)&gt;=$S89),$V89,$U89)))=Milestones!$AB$194),UPPER(TEXT(EDATE($D89,Milestones!$AA$194),"dd mmm yy"))&amp;" "&amp;Milestones!$AB$194&amp;" "&amp;Milestones!$AC$194&amp;";  ","")&amp;IF(AND(EDATE($D89,Milestones!$AA$195)&lt;=AsOfDate,IF($R89=0,$X89,IF(AND($T89&lt;&gt;"",EDATE($D89,Milestones!$AA$195)&gt;=$T89),$W89,IF(AND($S89&lt;&gt;"",EDATE($D89,Milestones!$AA$195)&gt;=$S89),$V89,$U89)))=Milestones!$AB$195),UPPER(TEXT(EDATE($D89,Milestones!$AA$195),"dd mmm yy"))&amp;" "&amp;Milestones!$AB$195&amp;" "&amp;Milestones!$AC$195&amp;";  ","")&amp;IF(AND(EDATE($D89,Milestones!$AA$196)&lt;=AsOfDate,IF($R89=0,$X89,IF(AND($T89&lt;&gt;"",EDATE($D89,Milestones!$AA$196)&gt;=$T89),$W89,IF(AND($S89&lt;&gt;"",EDATE($D89,Milestones!$AA$196)&gt;=$S89),$V89,$U89)))=Milestones!$AB$196),UPPER(TEXT(EDATE($D89,Milestones!$AA$196),"dd mmm yy"))&amp;" "&amp;Milestones!$AB$196&amp;" "&amp;Milestones!$AC$196&amp;";  ","")&amp;IF(AND(EDATE($D89,Milestones!$AA$197)&lt;=AsOfDate,IF($R89=0,$X89,IF(AND($T89&lt;&gt;"",EDATE($D89,Milestones!$AA$197)&gt;=$T89),$W89,IF(AND($S89&lt;&gt;"",EDATE($D89,Milestones!$AA$197)&gt;=$S89),$V89,$U89)))=Milestones!$AB$197),UPPER(TEXT(EDATE($D89,Milestones!$AA$197),"dd mmm yy"))&amp;" "&amp;Milestones!$AB$197&amp;" "&amp;Milestones!$AC$197&amp;";  ","")&amp;IF(AND(EDATE($D89,Milestones!$AA$198)&lt;=AsOfDate,IF($R89=0,$X89,IF(AND($T89&lt;&gt;"",EDATE($D89,Milestones!$AA$198)&gt;=$T89),$W89,IF(AND($S89&lt;&gt;"",EDATE($D89,Milestones!$AA$198)&gt;=$S89),$V89,$U89)))=Milestones!$AB$198),UPPER(TEXT(EDATE($D89,Milestones!$AA$198),"dd mmm yy"))&amp;" "&amp;Milestones!$AB$198&amp;" "&amp;Milestones!$AC$198&amp;";  ","")&amp;IF(AND(EDATE($D89,Milestones!$AA$199)&lt;=AsOfDate,IF($R89=0,$X89,IF(AND($T89&lt;&gt;"",EDATE($D89,Milestones!$AA$199)&gt;=$T89),$W89,IF(AND($S89&lt;&gt;"",EDATE($D89,Milestones!$AA$199)&gt;=$S89),$V89,$U89)))=Milestones!$AB$199),UPPER(TEXT(EDATE($D89,Milestones!$AA$199),"dd mmm yy"))&amp;" "&amp;Milestones!$AB$199&amp;" "&amp;Milestones!$AC$199&amp;";  ",""))</f>
        <v/>
      </c>
      <c r="R89" s="0" t="str">
        <f aca="false">IF(Staff!$A89="","",Staff!$AI89)</f>
        <v/>
      </c>
      <c r="S89" s="0" t="str">
        <f aca="false">IF(Staff!$A89="","",Staff!$AK89)</f>
        <v/>
      </c>
      <c r="T89" s="0" t="str">
        <f aca="false">IF(Staff!$A89="","",Staff!$AL89)</f>
        <v/>
      </c>
      <c r="U89" s="0" t="str">
        <f aca="false">IF(Staff!$A89="","",Staff!$AP89)</f>
        <v/>
      </c>
      <c r="V89" s="0" t="str">
        <f aca="false">IF(Staff!$A89="","",Staff!$AQ89)</f>
        <v/>
      </c>
      <c r="W89" s="0" t="str">
        <f aca="false">IF(Staff!$A89="","",Staff!$AR89)</f>
        <v/>
      </c>
      <c r="X89" s="0" t="str">
        <f aca="false">IF(Staff!$A89="","",Staff!$AS89)</f>
        <v/>
      </c>
    </row>
    <row r="90" customFormat="false" ht="15" hidden="false" customHeight="false" outlineLevel="0" collapsed="false">
      <c r="A90" s="14" t="str">
        <f aca="false">IF(Staff!$A90="","",Staff!$A90)</f>
        <v/>
      </c>
      <c r="B90" s="14" t="str">
        <f aca="false">IF(Staff!$A90="","",Staff!$B90)</f>
        <v/>
      </c>
      <c r="C90" s="14" t="str">
        <f aca="false">IF(Staff!$A90="","",Staff!$C90)</f>
        <v/>
      </c>
      <c r="D90" s="12" t="str">
        <f aca="false">IF(Staff!$A90="","",Staff!$AH90)</f>
        <v/>
      </c>
      <c r="E90" s="14" t="str">
        <f aca="false">IF(Staff!$A90="","",Staff!$O90)</f>
        <v/>
      </c>
      <c r="F90" s="14" t="str">
        <f aca="false">IF(E90="","",E90*HoursPerDay)</f>
        <v/>
      </c>
      <c r="G90" s="14" t="str">
        <f aca="false">IF(Staff!$A90="","",Staff!$AE90)</f>
        <v/>
      </c>
      <c r="H90" s="26" t="str">
        <f aca="false">IF($A90="","",I90&amp;J90&amp;K90&amp;L90&amp;M90&amp;N90&amp;O90&amp;P90&amp;Q90)</f>
        <v/>
      </c>
      <c r="I90" s="0" t="str">
        <f aca="false">IF(OR($A90="",$D90=""),"",IF(AND(EDATE($D90,Milestones!$AA$20)&lt;=AsOfDate,IF($R90=0,$X90,IF(AND($T90&lt;&gt;"",EDATE($D90,Milestones!$AA$20)&gt;=$T90),$W90,IF(AND($S90&lt;&gt;"",EDATE($D90,Milestones!$AA$20)&gt;=$S90),$V90,$U90)))=Milestones!$AB$20),UPPER(TEXT(EDATE($D90,Milestones!$AA$20),"dd mmm yy"))&amp;" "&amp;Milestones!$AB$20&amp;" "&amp;Milestones!$AC$20&amp;";  ","")&amp;IF(AND(EDATE($D90,Milestones!$AA$21)&lt;=AsOfDate,IF($R90=0,$X90,IF(AND($T90&lt;&gt;"",EDATE($D90,Milestones!$AA$21)&gt;=$T90),$W90,IF(AND($S90&lt;&gt;"",EDATE($D90,Milestones!$AA$21)&gt;=$S90),$V90,$U90)))=Milestones!$AB$21),UPPER(TEXT(EDATE($D90,Milestones!$AA$21),"dd mmm yy"))&amp;" "&amp;Milestones!$AB$21&amp;" "&amp;Milestones!$AC$21&amp;";  ","")&amp;IF(AND(EDATE($D90,Milestones!$AA$22)&lt;=AsOfDate,IF($R90=0,$X90,IF(AND($T90&lt;&gt;"",EDATE($D90,Milestones!$AA$22)&gt;=$T90),$W90,IF(AND($S90&lt;&gt;"",EDATE($D90,Milestones!$AA$22)&gt;=$S90),$V90,$U90)))=Milestones!$AB$22),UPPER(TEXT(EDATE($D90,Milestones!$AA$22),"dd mmm yy"))&amp;" "&amp;Milestones!$AB$22&amp;" "&amp;Milestones!$AC$22&amp;";  ","")&amp;IF(AND(EDATE($D90,Milestones!$AA$23)&lt;=AsOfDate,IF($R90=0,$X90,IF(AND($T90&lt;&gt;"",EDATE($D90,Milestones!$AA$23)&gt;=$T90),$W90,IF(AND($S90&lt;&gt;"",EDATE($D90,Milestones!$AA$23)&gt;=$S90),$V90,$U90)))=Milestones!$AB$23),UPPER(TEXT(EDATE($D90,Milestones!$AA$23),"dd mmm yy"))&amp;" "&amp;Milestones!$AB$23&amp;" "&amp;Milestones!$AC$23&amp;";  ","")&amp;IF(AND(EDATE($D90,Milestones!$AA$24)&lt;=AsOfDate,IF($R90=0,$X90,IF(AND($T90&lt;&gt;"",EDATE($D90,Milestones!$AA$24)&gt;=$T90),$W90,IF(AND($S90&lt;&gt;"",EDATE($D90,Milestones!$AA$24)&gt;=$S90),$V90,$U90)))=Milestones!$AB$24),UPPER(TEXT(EDATE($D90,Milestones!$AA$24),"dd mmm yy"))&amp;" "&amp;Milestones!$AB$24&amp;" "&amp;Milestones!$AC$24&amp;";  ","")&amp;IF(AND(EDATE($D90,Milestones!$AA$25)&lt;=AsOfDate,IF($R90=0,$X90,IF(AND($T90&lt;&gt;"",EDATE($D90,Milestones!$AA$25)&gt;=$T90),$W90,IF(AND($S90&lt;&gt;"",EDATE($D90,Milestones!$AA$25)&gt;=$S90),$V90,$U90)))=Milestones!$AB$25),UPPER(TEXT(EDATE($D90,Milestones!$AA$25),"dd mmm yy"))&amp;" "&amp;Milestones!$AB$25&amp;" "&amp;Milestones!$AC$25&amp;";  ","")&amp;IF(AND(EDATE($D90,Milestones!$AA$26)&lt;=AsOfDate,IF($R90=0,$X90,IF(AND($T90&lt;&gt;"",EDATE($D90,Milestones!$AA$26)&gt;=$T90),$W90,IF(AND($S90&lt;&gt;"",EDATE($D90,Milestones!$AA$26)&gt;=$S90),$V90,$U90)))=Milestones!$AB$26),UPPER(TEXT(EDATE($D90,Milestones!$AA$26),"dd mmm yy"))&amp;" "&amp;Milestones!$AB$26&amp;" "&amp;Milestones!$AC$26&amp;";  ","")&amp;IF(AND(EDATE($D90,Milestones!$AA$27)&lt;=AsOfDate,IF($R90=0,$X90,IF(AND($T90&lt;&gt;"",EDATE($D90,Milestones!$AA$27)&gt;=$T90),$W90,IF(AND($S90&lt;&gt;"",EDATE($D90,Milestones!$AA$27)&gt;=$S90),$V90,$U90)))=Milestones!$AB$27),UPPER(TEXT(EDATE($D90,Milestones!$AA$27),"dd mmm yy"))&amp;" "&amp;Milestones!$AB$27&amp;" "&amp;Milestones!$AC$27&amp;";  ","")&amp;IF(AND(EDATE($D90,Milestones!$AA$28)&lt;=AsOfDate,IF($R90=0,$X90,IF(AND($T90&lt;&gt;"",EDATE($D90,Milestones!$AA$28)&gt;=$T90),$W90,IF(AND($S90&lt;&gt;"",EDATE($D90,Milestones!$AA$28)&gt;=$S90),$V90,$U90)))=Milestones!$AB$28),UPPER(TEXT(EDATE($D90,Milestones!$AA$28),"dd mmm yy"))&amp;" "&amp;Milestones!$AB$28&amp;" "&amp;Milestones!$AC$28&amp;";  ","")&amp;IF(AND(EDATE($D90,Milestones!$AA$29)&lt;=AsOfDate,IF($R90=0,$X90,IF(AND($T90&lt;&gt;"",EDATE($D90,Milestones!$AA$29)&gt;=$T90),$W90,IF(AND($S90&lt;&gt;"",EDATE($D90,Milestones!$AA$29)&gt;=$S90),$V90,$U90)))=Milestones!$AB$29),UPPER(TEXT(EDATE($D90,Milestones!$AA$29),"dd mmm yy"))&amp;" "&amp;Milestones!$AB$29&amp;" "&amp;Milestones!$AC$29&amp;";  ","")&amp;IF(AND(EDATE($D90,Milestones!$AA$30)&lt;=AsOfDate,IF($R90=0,$X90,IF(AND($T90&lt;&gt;"",EDATE($D90,Milestones!$AA$30)&gt;=$T90),$W90,IF(AND($S90&lt;&gt;"",EDATE($D90,Milestones!$AA$30)&gt;=$S90),$V90,$U90)))=Milestones!$AB$30),UPPER(TEXT(EDATE($D90,Milestones!$AA$30),"dd mmm yy"))&amp;" "&amp;Milestones!$AB$30&amp;" "&amp;Milestones!$AC$30&amp;";  ","")&amp;IF(AND(EDATE($D90,Milestones!$AA$31)&lt;=AsOfDate,IF($R90=0,$X90,IF(AND($T90&lt;&gt;"",EDATE($D90,Milestones!$AA$31)&gt;=$T90),$W90,IF(AND($S90&lt;&gt;"",EDATE($D90,Milestones!$AA$31)&gt;=$S90),$V90,$U90)))=Milestones!$AB$31),UPPER(TEXT(EDATE($D90,Milestones!$AA$31),"dd mmm yy"))&amp;" "&amp;Milestones!$AB$31&amp;" "&amp;Milestones!$AC$31&amp;";  ","")&amp;IF(AND(EDATE($D90,Milestones!$AA$32)&lt;=AsOfDate,IF($R90=0,$X90,IF(AND($T90&lt;&gt;"",EDATE($D90,Milestones!$AA$32)&gt;=$T90),$W90,IF(AND($S90&lt;&gt;"",EDATE($D90,Milestones!$AA$32)&gt;=$S90),$V90,$U90)))=Milestones!$AB$32),UPPER(TEXT(EDATE($D90,Milestones!$AA$32),"dd mmm yy"))&amp;" "&amp;Milestones!$AB$32&amp;" "&amp;Milestones!$AC$32&amp;";  ","")&amp;IF(AND(EDATE($D90,Milestones!$AA$33)&lt;=AsOfDate,IF($R90=0,$X90,IF(AND($T90&lt;&gt;"",EDATE($D90,Milestones!$AA$33)&gt;=$T90),$W90,IF(AND($S90&lt;&gt;"",EDATE($D90,Milestones!$AA$33)&gt;=$S90),$V90,$U90)))=Milestones!$AB$33),UPPER(TEXT(EDATE($D90,Milestones!$AA$33),"dd mmm yy"))&amp;" "&amp;Milestones!$AB$33&amp;" "&amp;Milestones!$AC$33&amp;";  ","")&amp;IF(AND(EDATE($D90,Milestones!$AA$34)&lt;=AsOfDate,IF($R90=0,$X90,IF(AND($T90&lt;&gt;"",EDATE($D90,Milestones!$AA$34)&gt;=$T90),$W90,IF(AND($S90&lt;&gt;"",EDATE($D90,Milestones!$AA$34)&gt;=$S90),$V90,$U90)))=Milestones!$AB$34),UPPER(TEXT(EDATE($D90,Milestones!$AA$34),"dd mmm yy"))&amp;" "&amp;Milestones!$AB$34&amp;" "&amp;Milestones!$AC$34&amp;";  ","")&amp;IF(AND(EDATE($D90,Milestones!$AA$35)&lt;=AsOfDate,IF($R90=0,$X90,IF(AND($T90&lt;&gt;"",EDATE($D90,Milestones!$AA$35)&gt;=$T90),$W90,IF(AND($S90&lt;&gt;"",EDATE($D90,Milestones!$AA$35)&gt;=$S90),$V90,$U90)))=Milestones!$AB$35),UPPER(TEXT(EDATE($D90,Milestones!$AA$35),"dd mmm yy"))&amp;" "&amp;Milestones!$AB$35&amp;" "&amp;Milestones!$AC$35&amp;";  ","")&amp;IF(AND(EDATE($D90,Milestones!$AA$36)&lt;=AsOfDate,IF($R90=0,$X90,IF(AND($T90&lt;&gt;"",EDATE($D90,Milestones!$AA$36)&gt;=$T90),$W90,IF(AND($S90&lt;&gt;"",EDATE($D90,Milestones!$AA$36)&gt;=$S90),$V90,$U90)))=Milestones!$AB$36),UPPER(TEXT(EDATE($D90,Milestones!$AA$36),"dd mmm yy"))&amp;" "&amp;Milestones!$AB$36&amp;" "&amp;Milestones!$AC$36&amp;";  ","")&amp;IF(AND(EDATE($D90,Milestones!$AA$37)&lt;=AsOfDate,IF($R90=0,$X90,IF(AND($T90&lt;&gt;"",EDATE($D90,Milestones!$AA$37)&gt;=$T90),$W90,IF(AND($S90&lt;&gt;"",EDATE($D90,Milestones!$AA$37)&gt;=$S90),$V90,$U90)))=Milestones!$AB$37),UPPER(TEXT(EDATE($D90,Milestones!$AA$37),"dd mmm yy"))&amp;" "&amp;Milestones!$AB$37&amp;" "&amp;Milestones!$AC$37&amp;";  ","")&amp;IF(AND(EDATE($D90,Milestones!$AA$38)&lt;=AsOfDate,IF($R90=0,$X90,IF(AND($T90&lt;&gt;"",EDATE($D90,Milestones!$AA$38)&gt;=$T90),$W90,IF(AND($S90&lt;&gt;"",EDATE($D90,Milestones!$AA$38)&gt;=$S90),$V90,$U90)))=Milestones!$AB$38),UPPER(TEXT(EDATE($D90,Milestones!$AA$38),"dd mmm yy"))&amp;" "&amp;Milestones!$AB$38&amp;" "&amp;Milestones!$AC$38&amp;";  ","")&amp;IF(AND(EDATE($D90,Milestones!$AA$39)&lt;=AsOfDate,IF($R90=0,$X90,IF(AND($T90&lt;&gt;"",EDATE($D90,Milestones!$AA$39)&gt;=$T90),$W90,IF(AND($S90&lt;&gt;"",EDATE($D90,Milestones!$AA$39)&gt;=$S90),$V90,$U90)))=Milestones!$AB$39),UPPER(TEXT(EDATE($D90,Milestones!$AA$39),"dd mmm yy"))&amp;" "&amp;Milestones!$AB$39&amp;" "&amp;Milestones!$AC$39&amp;";  ",""))</f>
        <v/>
      </c>
      <c r="J90" s="0" t="str">
        <f aca="false">IF(OR($A90="",$D90=""),"",IF(AND(EDATE($D90,Milestones!$AA$40)&lt;=AsOfDate,IF($R90=0,$X90,IF(AND($T90&lt;&gt;"",EDATE($D90,Milestones!$AA$40)&gt;=$T90),$W90,IF(AND($S90&lt;&gt;"",EDATE($D90,Milestones!$AA$40)&gt;=$S90),$V90,$U90)))=Milestones!$AB$40),UPPER(TEXT(EDATE($D90,Milestones!$AA$40),"dd mmm yy"))&amp;" "&amp;Milestones!$AB$40&amp;" "&amp;Milestones!$AC$40&amp;";  ","")&amp;IF(AND(EDATE($D90,Milestones!$AA$41)&lt;=AsOfDate,IF($R90=0,$X90,IF(AND($T90&lt;&gt;"",EDATE($D90,Milestones!$AA$41)&gt;=$T90),$W90,IF(AND($S90&lt;&gt;"",EDATE($D90,Milestones!$AA$41)&gt;=$S90),$V90,$U90)))=Milestones!$AB$41),UPPER(TEXT(EDATE($D90,Milestones!$AA$41),"dd mmm yy"))&amp;" "&amp;Milestones!$AB$41&amp;" "&amp;Milestones!$AC$41&amp;";  ","")&amp;IF(AND(EDATE($D90,Milestones!$AA$42)&lt;=AsOfDate,IF($R90=0,$X90,IF(AND($T90&lt;&gt;"",EDATE($D90,Milestones!$AA$42)&gt;=$T90),$W90,IF(AND($S90&lt;&gt;"",EDATE($D90,Milestones!$AA$42)&gt;=$S90),$V90,$U90)))=Milestones!$AB$42),UPPER(TEXT(EDATE($D90,Milestones!$AA$42),"dd mmm yy"))&amp;" "&amp;Milestones!$AB$42&amp;" "&amp;Milestones!$AC$42&amp;";  ","")&amp;IF(AND(EDATE($D90,Milestones!$AA$43)&lt;=AsOfDate,IF($R90=0,$X90,IF(AND($T90&lt;&gt;"",EDATE($D90,Milestones!$AA$43)&gt;=$T90),$W90,IF(AND($S90&lt;&gt;"",EDATE($D90,Milestones!$AA$43)&gt;=$S90),$V90,$U90)))=Milestones!$AB$43),UPPER(TEXT(EDATE($D90,Milestones!$AA$43),"dd mmm yy"))&amp;" "&amp;Milestones!$AB$43&amp;" "&amp;Milestones!$AC$43&amp;";  ","")&amp;IF(AND(EDATE($D90,Milestones!$AA$44)&lt;=AsOfDate,IF($R90=0,$X90,IF(AND($T90&lt;&gt;"",EDATE($D90,Milestones!$AA$44)&gt;=$T90),$W90,IF(AND($S90&lt;&gt;"",EDATE($D90,Milestones!$AA$44)&gt;=$S90),$V90,$U90)))=Milestones!$AB$44),UPPER(TEXT(EDATE($D90,Milestones!$AA$44),"dd mmm yy"))&amp;" "&amp;Milestones!$AB$44&amp;" "&amp;Milestones!$AC$44&amp;";  ","")&amp;IF(AND(EDATE($D90,Milestones!$AA$45)&lt;=AsOfDate,IF($R90=0,$X90,IF(AND($T90&lt;&gt;"",EDATE($D90,Milestones!$AA$45)&gt;=$T90),$W90,IF(AND($S90&lt;&gt;"",EDATE($D90,Milestones!$AA$45)&gt;=$S90),$V90,$U90)))=Milestones!$AB$45),UPPER(TEXT(EDATE($D90,Milestones!$AA$45),"dd mmm yy"))&amp;" "&amp;Milestones!$AB$45&amp;" "&amp;Milestones!$AC$45&amp;";  ","")&amp;IF(AND(EDATE($D90,Milestones!$AA$46)&lt;=AsOfDate,IF($R90=0,$X90,IF(AND($T90&lt;&gt;"",EDATE($D90,Milestones!$AA$46)&gt;=$T90),$W90,IF(AND($S90&lt;&gt;"",EDATE($D90,Milestones!$AA$46)&gt;=$S90),$V90,$U90)))=Milestones!$AB$46),UPPER(TEXT(EDATE($D90,Milestones!$AA$46),"dd mmm yy"))&amp;" "&amp;Milestones!$AB$46&amp;" "&amp;Milestones!$AC$46&amp;";  ","")&amp;IF(AND(EDATE($D90,Milestones!$AA$47)&lt;=AsOfDate,IF($R90=0,$X90,IF(AND($T90&lt;&gt;"",EDATE($D90,Milestones!$AA$47)&gt;=$T90),$W90,IF(AND($S90&lt;&gt;"",EDATE($D90,Milestones!$AA$47)&gt;=$S90),$V90,$U90)))=Milestones!$AB$47),UPPER(TEXT(EDATE($D90,Milestones!$AA$47),"dd mmm yy"))&amp;" "&amp;Milestones!$AB$47&amp;" "&amp;Milestones!$AC$47&amp;";  ","")&amp;IF(AND(EDATE($D90,Milestones!$AA$48)&lt;=AsOfDate,IF($R90=0,$X90,IF(AND($T90&lt;&gt;"",EDATE($D90,Milestones!$AA$48)&gt;=$T90),$W90,IF(AND($S90&lt;&gt;"",EDATE($D90,Milestones!$AA$48)&gt;=$S90),$V90,$U90)))=Milestones!$AB$48),UPPER(TEXT(EDATE($D90,Milestones!$AA$48),"dd mmm yy"))&amp;" "&amp;Milestones!$AB$48&amp;" "&amp;Milestones!$AC$48&amp;";  ","")&amp;IF(AND(EDATE($D90,Milestones!$AA$49)&lt;=AsOfDate,IF($R90=0,$X90,IF(AND($T90&lt;&gt;"",EDATE($D90,Milestones!$AA$49)&gt;=$T90),$W90,IF(AND($S90&lt;&gt;"",EDATE($D90,Milestones!$AA$49)&gt;=$S90),$V90,$U90)))=Milestones!$AB$49),UPPER(TEXT(EDATE($D90,Milestones!$AA$49),"dd mmm yy"))&amp;" "&amp;Milestones!$AB$49&amp;" "&amp;Milestones!$AC$49&amp;";  ","")&amp;IF(AND(EDATE($D90,Milestones!$AA$50)&lt;=AsOfDate,IF($R90=0,$X90,IF(AND($T90&lt;&gt;"",EDATE($D90,Milestones!$AA$50)&gt;=$T90),$W90,IF(AND($S90&lt;&gt;"",EDATE($D90,Milestones!$AA$50)&gt;=$S90),$V90,$U90)))=Milestones!$AB$50),UPPER(TEXT(EDATE($D90,Milestones!$AA$50),"dd mmm yy"))&amp;" "&amp;Milestones!$AB$50&amp;" "&amp;Milestones!$AC$50&amp;";  ","")&amp;IF(AND(EDATE($D90,Milestones!$AA$51)&lt;=AsOfDate,IF($R90=0,$X90,IF(AND($T90&lt;&gt;"",EDATE($D90,Milestones!$AA$51)&gt;=$T90),$W90,IF(AND($S90&lt;&gt;"",EDATE($D90,Milestones!$AA$51)&gt;=$S90),$V90,$U90)))=Milestones!$AB$51),UPPER(TEXT(EDATE($D90,Milestones!$AA$51),"dd mmm yy"))&amp;" "&amp;Milestones!$AB$51&amp;" "&amp;Milestones!$AC$51&amp;";  ","")&amp;IF(AND(EDATE($D90,Milestones!$AA$52)&lt;=AsOfDate,IF($R90=0,$X90,IF(AND($T90&lt;&gt;"",EDATE($D90,Milestones!$AA$52)&gt;=$T90),$W90,IF(AND($S90&lt;&gt;"",EDATE($D90,Milestones!$AA$52)&gt;=$S90),$V90,$U90)))=Milestones!$AB$52),UPPER(TEXT(EDATE($D90,Milestones!$AA$52),"dd mmm yy"))&amp;" "&amp;Milestones!$AB$52&amp;" "&amp;Milestones!$AC$52&amp;";  ","")&amp;IF(AND(EDATE($D90,Milestones!$AA$53)&lt;=AsOfDate,IF($R90=0,$X90,IF(AND($T90&lt;&gt;"",EDATE($D90,Milestones!$AA$53)&gt;=$T90),$W90,IF(AND($S90&lt;&gt;"",EDATE($D90,Milestones!$AA$53)&gt;=$S90),$V90,$U90)))=Milestones!$AB$53),UPPER(TEXT(EDATE($D90,Milestones!$AA$53),"dd mmm yy"))&amp;" "&amp;Milestones!$AB$53&amp;" "&amp;Milestones!$AC$53&amp;";  ","")&amp;IF(AND(EDATE($D90,Milestones!$AA$54)&lt;=AsOfDate,IF($R90=0,$X90,IF(AND($T90&lt;&gt;"",EDATE($D90,Milestones!$AA$54)&gt;=$T90),$W90,IF(AND($S90&lt;&gt;"",EDATE($D90,Milestones!$AA$54)&gt;=$S90),$V90,$U90)))=Milestones!$AB$54),UPPER(TEXT(EDATE($D90,Milestones!$AA$54),"dd mmm yy"))&amp;" "&amp;Milestones!$AB$54&amp;" "&amp;Milestones!$AC$54&amp;";  ","")&amp;IF(AND(EDATE($D90,Milestones!$AA$55)&lt;=AsOfDate,IF($R90=0,$X90,IF(AND($T90&lt;&gt;"",EDATE($D90,Milestones!$AA$55)&gt;=$T90),$W90,IF(AND($S90&lt;&gt;"",EDATE($D90,Milestones!$AA$55)&gt;=$S90),$V90,$U90)))=Milestones!$AB$55),UPPER(TEXT(EDATE($D90,Milestones!$AA$55),"dd mmm yy"))&amp;" "&amp;Milestones!$AB$55&amp;" "&amp;Milestones!$AC$55&amp;";  ","")&amp;IF(AND(EDATE($D90,Milestones!$AA$56)&lt;=AsOfDate,IF($R90=0,$X90,IF(AND($T90&lt;&gt;"",EDATE($D90,Milestones!$AA$56)&gt;=$T90),$W90,IF(AND($S90&lt;&gt;"",EDATE($D90,Milestones!$AA$56)&gt;=$S90),$V90,$U90)))=Milestones!$AB$56),UPPER(TEXT(EDATE($D90,Milestones!$AA$56),"dd mmm yy"))&amp;" "&amp;Milestones!$AB$56&amp;" "&amp;Milestones!$AC$56&amp;";  ","")&amp;IF(AND(EDATE($D90,Milestones!$AA$57)&lt;=AsOfDate,IF($R90=0,$X90,IF(AND($T90&lt;&gt;"",EDATE($D90,Milestones!$AA$57)&gt;=$T90),$W90,IF(AND($S90&lt;&gt;"",EDATE($D90,Milestones!$AA$57)&gt;=$S90),$V90,$U90)))=Milestones!$AB$57),UPPER(TEXT(EDATE($D90,Milestones!$AA$57),"dd mmm yy"))&amp;" "&amp;Milestones!$AB$57&amp;" "&amp;Milestones!$AC$57&amp;";  ","")&amp;IF(AND(EDATE($D90,Milestones!$AA$58)&lt;=AsOfDate,IF($R90=0,$X90,IF(AND($T90&lt;&gt;"",EDATE($D90,Milestones!$AA$58)&gt;=$T90),$W90,IF(AND($S90&lt;&gt;"",EDATE($D90,Milestones!$AA$58)&gt;=$S90),$V90,$U90)))=Milestones!$AB$58),UPPER(TEXT(EDATE($D90,Milestones!$AA$58),"dd mmm yy"))&amp;" "&amp;Milestones!$AB$58&amp;" "&amp;Milestones!$AC$58&amp;";  ","")&amp;IF(AND(EDATE($D90,Milestones!$AA$59)&lt;=AsOfDate,IF($R90=0,$X90,IF(AND($T90&lt;&gt;"",EDATE($D90,Milestones!$AA$59)&gt;=$T90),$W90,IF(AND($S90&lt;&gt;"",EDATE($D90,Milestones!$AA$59)&gt;=$S90),$V90,$U90)))=Milestones!$AB$59),UPPER(TEXT(EDATE($D90,Milestones!$AA$59),"dd mmm yy"))&amp;" "&amp;Milestones!$AB$59&amp;" "&amp;Milestones!$AC$59&amp;";  ",""))</f>
        <v/>
      </c>
      <c r="K90" s="0" t="str">
        <f aca="false">IF(OR($A90="",$D90=""),"",IF(AND(EDATE($D90,Milestones!$AA$60)&lt;=AsOfDate,IF($R90=0,$X90,IF(AND($T90&lt;&gt;"",EDATE($D90,Milestones!$AA$60)&gt;=$T90),$W90,IF(AND($S90&lt;&gt;"",EDATE($D90,Milestones!$AA$60)&gt;=$S90),$V90,$U90)))=Milestones!$AB$60),UPPER(TEXT(EDATE($D90,Milestones!$AA$60),"dd mmm yy"))&amp;" "&amp;Milestones!$AB$60&amp;" "&amp;Milestones!$AC$60&amp;";  ","")&amp;IF(AND(EDATE($D90,Milestones!$AA$61)&lt;=AsOfDate,IF($R90=0,$X90,IF(AND($T90&lt;&gt;"",EDATE($D90,Milestones!$AA$61)&gt;=$T90),$W90,IF(AND($S90&lt;&gt;"",EDATE($D90,Milestones!$AA$61)&gt;=$S90),$V90,$U90)))=Milestones!$AB$61),UPPER(TEXT(EDATE($D90,Milestones!$AA$61),"dd mmm yy"))&amp;" "&amp;Milestones!$AB$61&amp;" "&amp;Milestones!$AC$61&amp;";  ","")&amp;IF(AND(EDATE($D90,Milestones!$AA$62)&lt;=AsOfDate,IF($R90=0,$X90,IF(AND($T90&lt;&gt;"",EDATE($D90,Milestones!$AA$62)&gt;=$T90),$W90,IF(AND($S90&lt;&gt;"",EDATE($D90,Milestones!$AA$62)&gt;=$S90),$V90,$U90)))=Milestones!$AB$62),UPPER(TEXT(EDATE($D90,Milestones!$AA$62),"dd mmm yy"))&amp;" "&amp;Milestones!$AB$62&amp;" "&amp;Milestones!$AC$62&amp;";  ","")&amp;IF(AND(EDATE($D90,Milestones!$AA$63)&lt;=AsOfDate,IF($R90=0,$X90,IF(AND($T90&lt;&gt;"",EDATE($D90,Milestones!$AA$63)&gt;=$T90),$W90,IF(AND($S90&lt;&gt;"",EDATE($D90,Milestones!$AA$63)&gt;=$S90),$V90,$U90)))=Milestones!$AB$63),UPPER(TEXT(EDATE($D90,Milestones!$AA$63),"dd mmm yy"))&amp;" "&amp;Milestones!$AB$63&amp;" "&amp;Milestones!$AC$63&amp;";  ","")&amp;IF(AND(EDATE($D90,Milestones!$AA$64)&lt;=AsOfDate,IF($R90=0,$X90,IF(AND($T90&lt;&gt;"",EDATE($D90,Milestones!$AA$64)&gt;=$T90),$W90,IF(AND($S90&lt;&gt;"",EDATE($D90,Milestones!$AA$64)&gt;=$S90),$V90,$U90)))=Milestones!$AB$64),UPPER(TEXT(EDATE($D90,Milestones!$AA$64),"dd mmm yy"))&amp;" "&amp;Milestones!$AB$64&amp;" "&amp;Milestones!$AC$64&amp;";  ","")&amp;IF(AND(EDATE($D90,Milestones!$AA$65)&lt;=AsOfDate,IF($R90=0,$X90,IF(AND($T90&lt;&gt;"",EDATE($D90,Milestones!$AA$65)&gt;=$T90),$W90,IF(AND($S90&lt;&gt;"",EDATE($D90,Milestones!$AA$65)&gt;=$S90),$V90,$U90)))=Milestones!$AB$65),UPPER(TEXT(EDATE($D90,Milestones!$AA$65),"dd mmm yy"))&amp;" "&amp;Milestones!$AB$65&amp;" "&amp;Milestones!$AC$65&amp;";  ","")&amp;IF(AND(EDATE($D90,Milestones!$AA$66)&lt;=AsOfDate,IF($R90=0,$X90,IF(AND($T90&lt;&gt;"",EDATE($D90,Milestones!$AA$66)&gt;=$T90),$W90,IF(AND($S90&lt;&gt;"",EDATE($D90,Milestones!$AA$66)&gt;=$S90),$V90,$U90)))=Milestones!$AB$66),UPPER(TEXT(EDATE($D90,Milestones!$AA$66),"dd mmm yy"))&amp;" "&amp;Milestones!$AB$66&amp;" "&amp;Milestones!$AC$66&amp;";  ","")&amp;IF(AND(EDATE($D90,Milestones!$AA$67)&lt;=AsOfDate,IF($R90=0,$X90,IF(AND($T90&lt;&gt;"",EDATE($D90,Milestones!$AA$67)&gt;=$T90),$W90,IF(AND($S90&lt;&gt;"",EDATE($D90,Milestones!$AA$67)&gt;=$S90),$V90,$U90)))=Milestones!$AB$67),UPPER(TEXT(EDATE($D90,Milestones!$AA$67),"dd mmm yy"))&amp;" "&amp;Milestones!$AB$67&amp;" "&amp;Milestones!$AC$67&amp;";  ","")&amp;IF(AND(EDATE($D90,Milestones!$AA$68)&lt;=AsOfDate,IF($R90=0,$X90,IF(AND($T90&lt;&gt;"",EDATE($D90,Milestones!$AA$68)&gt;=$T90),$W90,IF(AND($S90&lt;&gt;"",EDATE($D90,Milestones!$AA$68)&gt;=$S90),$V90,$U90)))=Milestones!$AB$68),UPPER(TEXT(EDATE($D90,Milestones!$AA$68),"dd mmm yy"))&amp;" "&amp;Milestones!$AB$68&amp;" "&amp;Milestones!$AC$68&amp;";  ","")&amp;IF(AND(EDATE($D90,Milestones!$AA$69)&lt;=AsOfDate,IF($R90=0,$X90,IF(AND($T90&lt;&gt;"",EDATE($D90,Milestones!$AA$69)&gt;=$T90),$W90,IF(AND($S90&lt;&gt;"",EDATE($D90,Milestones!$AA$69)&gt;=$S90),$V90,$U90)))=Milestones!$AB$69),UPPER(TEXT(EDATE($D90,Milestones!$AA$69),"dd mmm yy"))&amp;" "&amp;Milestones!$AB$69&amp;" "&amp;Milestones!$AC$69&amp;";  ","")&amp;IF(AND(EDATE($D90,Milestones!$AA$70)&lt;=AsOfDate,IF($R90=0,$X90,IF(AND($T90&lt;&gt;"",EDATE($D90,Milestones!$AA$70)&gt;=$T90),$W90,IF(AND($S90&lt;&gt;"",EDATE($D90,Milestones!$AA$70)&gt;=$S90),$V90,$U90)))=Milestones!$AB$70),UPPER(TEXT(EDATE($D90,Milestones!$AA$70),"dd mmm yy"))&amp;" "&amp;Milestones!$AB$70&amp;" "&amp;Milestones!$AC$70&amp;";  ","")&amp;IF(AND(EDATE($D90,Milestones!$AA$71)&lt;=AsOfDate,IF($R90=0,$X90,IF(AND($T90&lt;&gt;"",EDATE($D90,Milestones!$AA$71)&gt;=$T90),$W90,IF(AND($S90&lt;&gt;"",EDATE($D90,Milestones!$AA$71)&gt;=$S90),$V90,$U90)))=Milestones!$AB$71),UPPER(TEXT(EDATE($D90,Milestones!$AA$71),"dd mmm yy"))&amp;" "&amp;Milestones!$AB$71&amp;" "&amp;Milestones!$AC$71&amp;";  ","")&amp;IF(AND(EDATE($D90,Milestones!$AA$72)&lt;=AsOfDate,IF($R90=0,$X90,IF(AND($T90&lt;&gt;"",EDATE($D90,Milestones!$AA$72)&gt;=$T90),$W90,IF(AND($S90&lt;&gt;"",EDATE($D90,Milestones!$AA$72)&gt;=$S90),$V90,$U90)))=Milestones!$AB$72),UPPER(TEXT(EDATE($D90,Milestones!$AA$72),"dd mmm yy"))&amp;" "&amp;Milestones!$AB$72&amp;" "&amp;Milestones!$AC$72&amp;";  ","")&amp;IF(AND(EDATE($D90,Milestones!$AA$73)&lt;=AsOfDate,IF($R90=0,$X90,IF(AND($T90&lt;&gt;"",EDATE($D90,Milestones!$AA$73)&gt;=$T90),$W90,IF(AND($S90&lt;&gt;"",EDATE($D90,Milestones!$AA$73)&gt;=$S90),$V90,$U90)))=Milestones!$AB$73),UPPER(TEXT(EDATE($D90,Milestones!$AA$73),"dd mmm yy"))&amp;" "&amp;Milestones!$AB$73&amp;" "&amp;Milestones!$AC$73&amp;";  ","")&amp;IF(AND(EDATE($D90,Milestones!$AA$74)&lt;=AsOfDate,IF($R90=0,$X90,IF(AND($T90&lt;&gt;"",EDATE($D90,Milestones!$AA$74)&gt;=$T90),$W90,IF(AND($S90&lt;&gt;"",EDATE($D90,Milestones!$AA$74)&gt;=$S90),$V90,$U90)))=Milestones!$AB$74),UPPER(TEXT(EDATE($D90,Milestones!$AA$74),"dd mmm yy"))&amp;" "&amp;Milestones!$AB$74&amp;" "&amp;Milestones!$AC$74&amp;";  ","")&amp;IF(AND(EDATE($D90,Milestones!$AA$75)&lt;=AsOfDate,IF($R90=0,$X90,IF(AND($T90&lt;&gt;"",EDATE($D90,Milestones!$AA$75)&gt;=$T90),$W90,IF(AND($S90&lt;&gt;"",EDATE($D90,Milestones!$AA$75)&gt;=$S90),$V90,$U90)))=Milestones!$AB$75),UPPER(TEXT(EDATE($D90,Milestones!$AA$75),"dd mmm yy"))&amp;" "&amp;Milestones!$AB$75&amp;" "&amp;Milestones!$AC$75&amp;";  ","")&amp;IF(AND(EDATE($D90,Milestones!$AA$76)&lt;=AsOfDate,IF($R90=0,$X90,IF(AND($T90&lt;&gt;"",EDATE($D90,Milestones!$AA$76)&gt;=$T90),$W90,IF(AND($S90&lt;&gt;"",EDATE($D90,Milestones!$AA$76)&gt;=$S90),$V90,$U90)))=Milestones!$AB$76),UPPER(TEXT(EDATE($D90,Milestones!$AA$76),"dd mmm yy"))&amp;" "&amp;Milestones!$AB$76&amp;" "&amp;Milestones!$AC$76&amp;";  ","")&amp;IF(AND(EDATE($D90,Milestones!$AA$77)&lt;=AsOfDate,IF($R90=0,$X90,IF(AND($T90&lt;&gt;"",EDATE($D90,Milestones!$AA$77)&gt;=$T90),$W90,IF(AND($S90&lt;&gt;"",EDATE($D90,Milestones!$AA$77)&gt;=$S90),$V90,$U90)))=Milestones!$AB$77),UPPER(TEXT(EDATE($D90,Milestones!$AA$77),"dd mmm yy"))&amp;" "&amp;Milestones!$AB$77&amp;" "&amp;Milestones!$AC$77&amp;";  ","")&amp;IF(AND(EDATE($D90,Milestones!$AA$78)&lt;=AsOfDate,IF($R90=0,$X90,IF(AND($T90&lt;&gt;"",EDATE($D90,Milestones!$AA$78)&gt;=$T90),$W90,IF(AND($S90&lt;&gt;"",EDATE($D90,Milestones!$AA$78)&gt;=$S90),$V90,$U90)))=Milestones!$AB$78),UPPER(TEXT(EDATE($D90,Milestones!$AA$78),"dd mmm yy"))&amp;" "&amp;Milestones!$AB$78&amp;" "&amp;Milestones!$AC$78&amp;";  ","")&amp;IF(AND(EDATE($D90,Milestones!$AA$79)&lt;=AsOfDate,IF($R90=0,$X90,IF(AND($T90&lt;&gt;"",EDATE($D90,Milestones!$AA$79)&gt;=$T90),$W90,IF(AND($S90&lt;&gt;"",EDATE($D90,Milestones!$AA$79)&gt;=$S90),$V90,$U90)))=Milestones!$AB$79),UPPER(TEXT(EDATE($D90,Milestones!$AA$79),"dd mmm yy"))&amp;" "&amp;Milestones!$AB$79&amp;" "&amp;Milestones!$AC$79&amp;";  ",""))</f>
        <v/>
      </c>
      <c r="L90" s="0" t="str">
        <f aca="false">IF(OR($A90="",$D90=""),"",IF(AND(EDATE($D90,Milestones!$AA$80)&lt;=AsOfDate,IF($R90=0,$X90,IF(AND($T90&lt;&gt;"",EDATE($D90,Milestones!$AA$80)&gt;=$T90),$W90,IF(AND($S90&lt;&gt;"",EDATE($D90,Milestones!$AA$80)&gt;=$S90),$V90,$U90)))=Milestones!$AB$80),UPPER(TEXT(EDATE($D90,Milestones!$AA$80),"dd mmm yy"))&amp;" "&amp;Milestones!$AB$80&amp;" "&amp;Milestones!$AC$80&amp;";  ","")&amp;IF(AND(EDATE($D90,Milestones!$AA$81)&lt;=AsOfDate,IF($R90=0,$X90,IF(AND($T90&lt;&gt;"",EDATE($D90,Milestones!$AA$81)&gt;=$T90),$W90,IF(AND($S90&lt;&gt;"",EDATE($D90,Milestones!$AA$81)&gt;=$S90),$V90,$U90)))=Milestones!$AB$81),UPPER(TEXT(EDATE($D90,Milestones!$AA$81),"dd mmm yy"))&amp;" "&amp;Milestones!$AB$81&amp;" "&amp;Milestones!$AC$81&amp;";  ","")&amp;IF(AND(EDATE($D90,Milestones!$AA$82)&lt;=AsOfDate,IF($R90=0,$X90,IF(AND($T90&lt;&gt;"",EDATE($D90,Milestones!$AA$82)&gt;=$T90),$W90,IF(AND($S90&lt;&gt;"",EDATE($D90,Milestones!$AA$82)&gt;=$S90),$V90,$U90)))=Milestones!$AB$82),UPPER(TEXT(EDATE($D90,Milestones!$AA$82),"dd mmm yy"))&amp;" "&amp;Milestones!$AB$82&amp;" "&amp;Milestones!$AC$82&amp;";  ","")&amp;IF(AND(EDATE($D90,Milestones!$AA$83)&lt;=AsOfDate,IF($R90=0,$X90,IF(AND($T90&lt;&gt;"",EDATE($D90,Milestones!$AA$83)&gt;=$T90),$W90,IF(AND($S90&lt;&gt;"",EDATE($D90,Milestones!$AA$83)&gt;=$S90),$V90,$U90)))=Milestones!$AB$83),UPPER(TEXT(EDATE($D90,Milestones!$AA$83),"dd mmm yy"))&amp;" "&amp;Milestones!$AB$83&amp;" "&amp;Milestones!$AC$83&amp;";  ","")&amp;IF(AND(EDATE($D90,Milestones!$AA$84)&lt;=AsOfDate,IF($R90=0,$X90,IF(AND($T90&lt;&gt;"",EDATE($D90,Milestones!$AA$84)&gt;=$T90),$W90,IF(AND($S90&lt;&gt;"",EDATE($D90,Milestones!$AA$84)&gt;=$S90),$V90,$U90)))=Milestones!$AB$84),UPPER(TEXT(EDATE($D90,Milestones!$AA$84),"dd mmm yy"))&amp;" "&amp;Milestones!$AB$84&amp;" "&amp;Milestones!$AC$84&amp;";  ","")&amp;IF(AND(EDATE($D90,Milestones!$AA$85)&lt;=AsOfDate,IF($R90=0,$X90,IF(AND($T90&lt;&gt;"",EDATE($D90,Milestones!$AA$85)&gt;=$T90),$W90,IF(AND($S90&lt;&gt;"",EDATE($D90,Milestones!$AA$85)&gt;=$S90),$V90,$U90)))=Milestones!$AB$85),UPPER(TEXT(EDATE($D90,Milestones!$AA$85),"dd mmm yy"))&amp;" "&amp;Milestones!$AB$85&amp;" "&amp;Milestones!$AC$85&amp;";  ","")&amp;IF(AND(EDATE($D90,Milestones!$AA$86)&lt;=AsOfDate,IF($R90=0,$X90,IF(AND($T90&lt;&gt;"",EDATE($D90,Milestones!$AA$86)&gt;=$T90),$W90,IF(AND($S90&lt;&gt;"",EDATE($D90,Milestones!$AA$86)&gt;=$S90),$V90,$U90)))=Milestones!$AB$86),UPPER(TEXT(EDATE($D90,Milestones!$AA$86),"dd mmm yy"))&amp;" "&amp;Milestones!$AB$86&amp;" "&amp;Milestones!$AC$86&amp;";  ","")&amp;IF(AND(EDATE($D90,Milestones!$AA$87)&lt;=AsOfDate,IF($R90=0,$X90,IF(AND($T90&lt;&gt;"",EDATE($D90,Milestones!$AA$87)&gt;=$T90),$W90,IF(AND($S90&lt;&gt;"",EDATE($D90,Milestones!$AA$87)&gt;=$S90),$V90,$U90)))=Milestones!$AB$87),UPPER(TEXT(EDATE($D90,Milestones!$AA$87),"dd mmm yy"))&amp;" "&amp;Milestones!$AB$87&amp;" "&amp;Milestones!$AC$87&amp;";  ","")&amp;IF(AND(EDATE($D90,Milestones!$AA$88)&lt;=AsOfDate,IF($R90=0,$X90,IF(AND($T90&lt;&gt;"",EDATE($D90,Milestones!$AA$88)&gt;=$T90),$W90,IF(AND($S90&lt;&gt;"",EDATE($D90,Milestones!$AA$88)&gt;=$S90),$V90,$U90)))=Milestones!$AB$88),UPPER(TEXT(EDATE($D90,Milestones!$AA$88),"dd mmm yy"))&amp;" "&amp;Milestones!$AB$88&amp;" "&amp;Milestones!$AC$88&amp;";  ","")&amp;IF(AND(EDATE($D90,Milestones!$AA$89)&lt;=AsOfDate,IF($R90=0,$X90,IF(AND($T90&lt;&gt;"",EDATE($D90,Milestones!$AA$89)&gt;=$T90),$W90,IF(AND($S90&lt;&gt;"",EDATE($D90,Milestones!$AA$89)&gt;=$S90),$V90,$U90)))=Milestones!$AB$89),UPPER(TEXT(EDATE($D90,Milestones!$AA$89),"dd mmm yy"))&amp;" "&amp;Milestones!$AB$89&amp;" "&amp;Milestones!$AC$89&amp;";  ","")&amp;IF(AND(EDATE($D90,Milestones!$AA$90)&lt;=AsOfDate,IF($R90=0,$X90,IF(AND($T90&lt;&gt;"",EDATE($D90,Milestones!$AA$90)&gt;=$T90),$W90,IF(AND($S90&lt;&gt;"",EDATE($D90,Milestones!$AA$90)&gt;=$S90),$V90,$U90)))=Milestones!$AB$90),UPPER(TEXT(EDATE($D90,Milestones!$AA$90),"dd mmm yy"))&amp;" "&amp;Milestones!$AB$90&amp;" "&amp;Milestones!$AC$90&amp;";  ","")&amp;IF(AND(EDATE($D90,Milestones!$AA$91)&lt;=AsOfDate,IF($R90=0,$X90,IF(AND($T90&lt;&gt;"",EDATE($D90,Milestones!$AA$91)&gt;=$T90),$W90,IF(AND($S90&lt;&gt;"",EDATE($D90,Milestones!$AA$91)&gt;=$S90),$V90,$U90)))=Milestones!$AB$91),UPPER(TEXT(EDATE($D90,Milestones!$AA$91),"dd mmm yy"))&amp;" "&amp;Milestones!$AB$91&amp;" "&amp;Milestones!$AC$91&amp;";  ","")&amp;IF(AND(EDATE($D90,Milestones!$AA$92)&lt;=AsOfDate,IF($R90=0,$X90,IF(AND($T90&lt;&gt;"",EDATE($D90,Milestones!$AA$92)&gt;=$T90),$W90,IF(AND($S90&lt;&gt;"",EDATE($D90,Milestones!$AA$92)&gt;=$S90),$V90,$U90)))=Milestones!$AB$92),UPPER(TEXT(EDATE($D90,Milestones!$AA$92),"dd mmm yy"))&amp;" "&amp;Milestones!$AB$92&amp;" "&amp;Milestones!$AC$92&amp;";  ","")&amp;IF(AND(EDATE($D90,Milestones!$AA$93)&lt;=AsOfDate,IF($R90=0,$X90,IF(AND($T90&lt;&gt;"",EDATE($D90,Milestones!$AA$93)&gt;=$T90),$W90,IF(AND($S90&lt;&gt;"",EDATE($D90,Milestones!$AA$93)&gt;=$S90),$V90,$U90)))=Milestones!$AB$93),UPPER(TEXT(EDATE($D90,Milestones!$AA$93),"dd mmm yy"))&amp;" "&amp;Milestones!$AB$93&amp;" "&amp;Milestones!$AC$93&amp;";  ","")&amp;IF(AND(EDATE($D90,Milestones!$AA$94)&lt;=AsOfDate,IF($R90=0,$X90,IF(AND($T90&lt;&gt;"",EDATE($D90,Milestones!$AA$94)&gt;=$T90),$W90,IF(AND($S90&lt;&gt;"",EDATE($D90,Milestones!$AA$94)&gt;=$S90),$V90,$U90)))=Milestones!$AB$94),UPPER(TEXT(EDATE($D90,Milestones!$AA$94),"dd mmm yy"))&amp;" "&amp;Milestones!$AB$94&amp;" "&amp;Milestones!$AC$94&amp;";  ","")&amp;IF(AND(EDATE($D90,Milestones!$AA$95)&lt;=AsOfDate,IF($R90=0,$X90,IF(AND($T90&lt;&gt;"",EDATE($D90,Milestones!$AA$95)&gt;=$T90),$W90,IF(AND($S90&lt;&gt;"",EDATE($D90,Milestones!$AA$95)&gt;=$S90),$V90,$U90)))=Milestones!$AB$95),UPPER(TEXT(EDATE($D90,Milestones!$AA$95),"dd mmm yy"))&amp;" "&amp;Milestones!$AB$95&amp;" "&amp;Milestones!$AC$95&amp;";  ","")&amp;IF(AND(EDATE($D90,Milestones!$AA$96)&lt;=AsOfDate,IF($R90=0,$X90,IF(AND($T90&lt;&gt;"",EDATE($D90,Milestones!$AA$96)&gt;=$T90),$W90,IF(AND($S90&lt;&gt;"",EDATE($D90,Milestones!$AA$96)&gt;=$S90),$V90,$U90)))=Milestones!$AB$96),UPPER(TEXT(EDATE($D90,Milestones!$AA$96),"dd mmm yy"))&amp;" "&amp;Milestones!$AB$96&amp;" "&amp;Milestones!$AC$96&amp;";  ","")&amp;IF(AND(EDATE($D90,Milestones!$AA$97)&lt;=AsOfDate,IF($R90=0,$X90,IF(AND($T90&lt;&gt;"",EDATE($D90,Milestones!$AA$97)&gt;=$T90),$W90,IF(AND($S90&lt;&gt;"",EDATE($D90,Milestones!$AA$97)&gt;=$S90),$V90,$U90)))=Milestones!$AB$97),UPPER(TEXT(EDATE($D90,Milestones!$AA$97),"dd mmm yy"))&amp;" "&amp;Milestones!$AB$97&amp;" "&amp;Milestones!$AC$97&amp;";  ","")&amp;IF(AND(EDATE($D90,Milestones!$AA$98)&lt;=AsOfDate,IF($R90=0,$X90,IF(AND($T90&lt;&gt;"",EDATE($D90,Milestones!$AA$98)&gt;=$T90),$W90,IF(AND($S90&lt;&gt;"",EDATE($D90,Milestones!$AA$98)&gt;=$S90),$V90,$U90)))=Milestones!$AB$98),UPPER(TEXT(EDATE($D90,Milestones!$AA$98),"dd mmm yy"))&amp;" "&amp;Milestones!$AB$98&amp;" "&amp;Milestones!$AC$98&amp;";  ","")&amp;IF(AND(EDATE($D90,Milestones!$AA$99)&lt;=AsOfDate,IF($R90=0,$X90,IF(AND($T90&lt;&gt;"",EDATE($D90,Milestones!$AA$99)&gt;=$T90),$W90,IF(AND($S90&lt;&gt;"",EDATE($D90,Milestones!$AA$99)&gt;=$S90),$V90,$U90)))=Milestones!$AB$99),UPPER(TEXT(EDATE($D90,Milestones!$AA$99),"dd mmm yy"))&amp;" "&amp;Milestones!$AB$99&amp;" "&amp;Milestones!$AC$99&amp;";  ",""))</f>
        <v/>
      </c>
      <c r="M90" s="0" t="str">
        <f aca="false">IF(OR($A90="",$D90=""),"",IF(AND(EDATE($D90,Milestones!$AA$100)&lt;=AsOfDate,IF($R90=0,$X90,IF(AND($T90&lt;&gt;"",EDATE($D90,Milestones!$AA$100)&gt;=$T90),$W90,IF(AND($S90&lt;&gt;"",EDATE($D90,Milestones!$AA$100)&gt;=$S90),$V90,$U90)))=Milestones!$AB$100),UPPER(TEXT(EDATE($D90,Milestones!$AA$100),"dd mmm yy"))&amp;" "&amp;Milestones!$AB$100&amp;" "&amp;Milestones!$AC$100&amp;";  ","")&amp;IF(AND(EDATE($D90,Milestones!$AA$101)&lt;=AsOfDate,IF($R90=0,$X90,IF(AND($T90&lt;&gt;"",EDATE($D90,Milestones!$AA$101)&gt;=$T90),$W90,IF(AND($S90&lt;&gt;"",EDATE($D90,Milestones!$AA$101)&gt;=$S90),$V90,$U90)))=Milestones!$AB$101),UPPER(TEXT(EDATE($D90,Milestones!$AA$101),"dd mmm yy"))&amp;" "&amp;Milestones!$AB$101&amp;" "&amp;Milestones!$AC$101&amp;";  ","")&amp;IF(AND(EDATE($D90,Milestones!$AA$102)&lt;=AsOfDate,IF($R90=0,$X90,IF(AND($T90&lt;&gt;"",EDATE($D90,Milestones!$AA$102)&gt;=$T90),$W90,IF(AND($S90&lt;&gt;"",EDATE($D90,Milestones!$AA$102)&gt;=$S90),$V90,$U90)))=Milestones!$AB$102),UPPER(TEXT(EDATE($D90,Milestones!$AA$102),"dd mmm yy"))&amp;" "&amp;Milestones!$AB$102&amp;" "&amp;Milestones!$AC$102&amp;";  ","")&amp;IF(AND(EDATE($D90,Milestones!$AA$103)&lt;=AsOfDate,IF($R90=0,$X90,IF(AND($T90&lt;&gt;"",EDATE($D90,Milestones!$AA$103)&gt;=$T90),$W90,IF(AND($S90&lt;&gt;"",EDATE($D90,Milestones!$AA$103)&gt;=$S90),$V90,$U90)))=Milestones!$AB$103),UPPER(TEXT(EDATE($D90,Milestones!$AA$103),"dd mmm yy"))&amp;" "&amp;Milestones!$AB$103&amp;" "&amp;Milestones!$AC$103&amp;";  ","")&amp;IF(AND(EDATE($D90,Milestones!$AA$104)&lt;=AsOfDate,IF($R90=0,$X90,IF(AND($T90&lt;&gt;"",EDATE($D90,Milestones!$AA$104)&gt;=$T90),$W90,IF(AND($S90&lt;&gt;"",EDATE($D90,Milestones!$AA$104)&gt;=$S90),$V90,$U90)))=Milestones!$AB$104),UPPER(TEXT(EDATE($D90,Milestones!$AA$104),"dd mmm yy"))&amp;" "&amp;Milestones!$AB$104&amp;" "&amp;Milestones!$AC$104&amp;";  ","")&amp;IF(AND(EDATE($D90,Milestones!$AA$105)&lt;=AsOfDate,IF($R90=0,$X90,IF(AND($T90&lt;&gt;"",EDATE($D90,Milestones!$AA$105)&gt;=$T90),$W90,IF(AND($S90&lt;&gt;"",EDATE($D90,Milestones!$AA$105)&gt;=$S90),$V90,$U90)))=Milestones!$AB$105),UPPER(TEXT(EDATE($D90,Milestones!$AA$105),"dd mmm yy"))&amp;" "&amp;Milestones!$AB$105&amp;" "&amp;Milestones!$AC$105&amp;";  ","")&amp;IF(AND(EDATE($D90,Milestones!$AA$106)&lt;=AsOfDate,IF($R90=0,$X90,IF(AND($T90&lt;&gt;"",EDATE($D90,Milestones!$AA$106)&gt;=$T90),$W90,IF(AND($S90&lt;&gt;"",EDATE($D90,Milestones!$AA$106)&gt;=$S90),$V90,$U90)))=Milestones!$AB$106),UPPER(TEXT(EDATE($D90,Milestones!$AA$106),"dd mmm yy"))&amp;" "&amp;Milestones!$AB$106&amp;" "&amp;Milestones!$AC$106&amp;";  ","")&amp;IF(AND(EDATE($D90,Milestones!$AA$107)&lt;=AsOfDate,IF($R90=0,$X90,IF(AND($T90&lt;&gt;"",EDATE($D90,Milestones!$AA$107)&gt;=$T90),$W90,IF(AND($S90&lt;&gt;"",EDATE($D90,Milestones!$AA$107)&gt;=$S90),$V90,$U90)))=Milestones!$AB$107),UPPER(TEXT(EDATE($D90,Milestones!$AA$107),"dd mmm yy"))&amp;" "&amp;Milestones!$AB$107&amp;" "&amp;Milestones!$AC$107&amp;";  ","")&amp;IF(AND(EDATE($D90,Milestones!$AA$108)&lt;=AsOfDate,IF($R90=0,$X90,IF(AND($T90&lt;&gt;"",EDATE($D90,Milestones!$AA$108)&gt;=$T90),$W90,IF(AND($S90&lt;&gt;"",EDATE($D90,Milestones!$AA$108)&gt;=$S90),$V90,$U90)))=Milestones!$AB$108),UPPER(TEXT(EDATE($D90,Milestones!$AA$108),"dd mmm yy"))&amp;" "&amp;Milestones!$AB$108&amp;" "&amp;Milestones!$AC$108&amp;";  ","")&amp;IF(AND(EDATE($D90,Milestones!$AA$109)&lt;=AsOfDate,IF($R90=0,$X90,IF(AND($T90&lt;&gt;"",EDATE($D90,Milestones!$AA$109)&gt;=$T90),$W90,IF(AND($S90&lt;&gt;"",EDATE($D90,Milestones!$AA$109)&gt;=$S90),$V90,$U90)))=Milestones!$AB$109),UPPER(TEXT(EDATE($D90,Milestones!$AA$109),"dd mmm yy"))&amp;" "&amp;Milestones!$AB$109&amp;" "&amp;Milestones!$AC$109&amp;";  ","")&amp;IF(AND(EDATE($D90,Milestones!$AA$110)&lt;=AsOfDate,IF($R90=0,$X90,IF(AND($T90&lt;&gt;"",EDATE($D90,Milestones!$AA$110)&gt;=$T90),$W90,IF(AND($S90&lt;&gt;"",EDATE($D90,Milestones!$AA$110)&gt;=$S90),$V90,$U90)))=Milestones!$AB$110),UPPER(TEXT(EDATE($D90,Milestones!$AA$110),"dd mmm yy"))&amp;" "&amp;Milestones!$AB$110&amp;" "&amp;Milestones!$AC$110&amp;";  ","")&amp;IF(AND(EDATE($D90,Milestones!$AA$111)&lt;=AsOfDate,IF($R90=0,$X90,IF(AND($T90&lt;&gt;"",EDATE($D90,Milestones!$AA$111)&gt;=$T90),$W90,IF(AND($S90&lt;&gt;"",EDATE($D90,Milestones!$AA$111)&gt;=$S90),$V90,$U90)))=Milestones!$AB$111),UPPER(TEXT(EDATE($D90,Milestones!$AA$111),"dd mmm yy"))&amp;" "&amp;Milestones!$AB$111&amp;" "&amp;Milestones!$AC$111&amp;";  ","")&amp;IF(AND(EDATE($D90,Milestones!$AA$112)&lt;=AsOfDate,IF($R90=0,$X90,IF(AND($T90&lt;&gt;"",EDATE($D90,Milestones!$AA$112)&gt;=$T90),$W90,IF(AND($S90&lt;&gt;"",EDATE($D90,Milestones!$AA$112)&gt;=$S90),$V90,$U90)))=Milestones!$AB$112),UPPER(TEXT(EDATE($D90,Milestones!$AA$112),"dd mmm yy"))&amp;" "&amp;Milestones!$AB$112&amp;" "&amp;Milestones!$AC$112&amp;";  ","")&amp;IF(AND(EDATE($D90,Milestones!$AA$113)&lt;=AsOfDate,IF($R90=0,$X90,IF(AND($T90&lt;&gt;"",EDATE($D90,Milestones!$AA$113)&gt;=$T90),$W90,IF(AND($S90&lt;&gt;"",EDATE($D90,Milestones!$AA$113)&gt;=$S90),$V90,$U90)))=Milestones!$AB$113),UPPER(TEXT(EDATE($D90,Milestones!$AA$113),"dd mmm yy"))&amp;" "&amp;Milestones!$AB$113&amp;" "&amp;Milestones!$AC$113&amp;";  ","")&amp;IF(AND(EDATE($D90,Milestones!$AA$114)&lt;=AsOfDate,IF($R90=0,$X90,IF(AND($T90&lt;&gt;"",EDATE($D90,Milestones!$AA$114)&gt;=$T90),$W90,IF(AND($S90&lt;&gt;"",EDATE($D90,Milestones!$AA$114)&gt;=$S90),$V90,$U90)))=Milestones!$AB$114),UPPER(TEXT(EDATE($D90,Milestones!$AA$114),"dd mmm yy"))&amp;" "&amp;Milestones!$AB$114&amp;" "&amp;Milestones!$AC$114&amp;";  ","")&amp;IF(AND(EDATE($D90,Milestones!$AA$115)&lt;=AsOfDate,IF($R90=0,$X90,IF(AND($T90&lt;&gt;"",EDATE($D90,Milestones!$AA$115)&gt;=$T90),$W90,IF(AND($S90&lt;&gt;"",EDATE($D90,Milestones!$AA$115)&gt;=$S90),$V90,$U90)))=Milestones!$AB$115),UPPER(TEXT(EDATE($D90,Milestones!$AA$115),"dd mmm yy"))&amp;" "&amp;Milestones!$AB$115&amp;" "&amp;Milestones!$AC$115&amp;";  ","")&amp;IF(AND(EDATE($D90,Milestones!$AA$116)&lt;=AsOfDate,IF($R90=0,$X90,IF(AND($T90&lt;&gt;"",EDATE($D90,Milestones!$AA$116)&gt;=$T90),$W90,IF(AND($S90&lt;&gt;"",EDATE($D90,Milestones!$AA$116)&gt;=$S90),$V90,$U90)))=Milestones!$AB$116),UPPER(TEXT(EDATE($D90,Milestones!$AA$116),"dd mmm yy"))&amp;" "&amp;Milestones!$AB$116&amp;" "&amp;Milestones!$AC$116&amp;";  ","")&amp;IF(AND(EDATE($D90,Milestones!$AA$117)&lt;=AsOfDate,IF($R90=0,$X90,IF(AND($T90&lt;&gt;"",EDATE($D90,Milestones!$AA$117)&gt;=$T90),$W90,IF(AND($S90&lt;&gt;"",EDATE($D90,Milestones!$AA$117)&gt;=$S90),$V90,$U90)))=Milestones!$AB$117),UPPER(TEXT(EDATE($D90,Milestones!$AA$117),"dd mmm yy"))&amp;" "&amp;Milestones!$AB$117&amp;" "&amp;Milestones!$AC$117&amp;";  ","")&amp;IF(AND(EDATE($D90,Milestones!$AA$118)&lt;=AsOfDate,IF($R90=0,$X90,IF(AND($T90&lt;&gt;"",EDATE($D90,Milestones!$AA$118)&gt;=$T90),$W90,IF(AND($S90&lt;&gt;"",EDATE($D90,Milestones!$AA$118)&gt;=$S90),$V90,$U90)))=Milestones!$AB$118),UPPER(TEXT(EDATE($D90,Milestones!$AA$118),"dd mmm yy"))&amp;" "&amp;Milestones!$AB$118&amp;" "&amp;Milestones!$AC$118&amp;";  ","")&amp;IF(AND(EDATE($D90,Milestones!$AA$119)&lt;=AsOfDate,IF($R90=0,$X90,IF(AND($T90&lt;&gt;"",EDATE($D90,Milestones!$AA$119)&gt;=$T90),$W90,IF(AND($S90&lt;&gt;"",EDATE($D90,Milestones!$AA$119)&gt;=$S90),$V90,$U90)))=Milestones!$AB$119),UPPER(TEXT(EDATE($D90,Milestones!$AA$119),"dd mmm yy"))&amp;" "&amp;Milestones!$AB$119&amp;" "&amp;Milestones!$AC$119&amp;";  ",""))</f>
        <v/>
      </c>
      <c r="N90" s="0" t="str">
        <f aca="false">IF(OR($A90="",$D90=""),"",IF(AND(EDATE($D90,Milestones!$AA$120)&lt;=AsOfDate,IF($R90=0,$X90,IF(AND($T90&lt;&gt;"",EDATE($D90,Milestones!$AA$120)&gt;=$T90),$W90,IF(AND($S90&lt;&gt;"",EDATE($D90,Milestones!$AA$120)&gt;=$S90),$V90,$U90)))=Milestones!$AB$120),UPPER(TEXT(EDATE($D90,Milestones!$AA$120),"dd mmm yy"))&amp;" "&amp;Milestones!$AB$120&amp;" "&amp;Milestones!$AC$120&amp;";  ","")&amp;IF(AND(EDATE($D90,Milestones!$AA$121)&lt;=AsOfDate,IF($R90=0,$X90,IF(AND($T90&lt;&gt;"",EDATE($D90,Milestones!$AA$121)&gt;=$T90),$W90,IF(AND($S90&lt;&gt;"",EDATE($D90,Milestones!$AA$121)&gt;=$S90),$V90,$U90)))=Milestones!$AB$121),UPPER(TEXT(EDATE($D90,Milestones!$AA$121),"dd mmm yy"))&amp;" "&amp;Milestones!$AB$121&amp;" "&amp;Milestones!$AC$121&amp;";  ","")&amp;IF(AND(EDATE($D90,Milestones!$AA$122)&lt;=AsOfDate,IF($R90=0,$X90,IF(AND($T90&lt;&gt;"",EDATE($D90,Milestones!$AA$122)&gt;=$T90),$W90,IF(AND($S90&lt;&gt;"",EDATE($D90,Milestones!$AA$122)&gt;=$S90),$V90,$U90)))=Milestones!$AB$122),UPPER(TEXT(EDATE($D90,Milestones!$AA$122),"dd mmm yy"))&amp;" "&amp;Milestones!$AB$122&amp;" "&amp;Milestones!$AC$122&amp;";  ","")&amp;IF(AND(EDATE($D90,Milestones!$AA$123)&lt;=AsOfDate,IF($R90=0,$X90,IF(AND($T90&lt;&gt;"",EDATE($D90,Milestones!$AA$123)&gt;=$T90),$W90,IF(AND($S90&lt;&gt;"",EDATE($D90,Milestones!$AA$123)&gt;=$S90),$V90,$U90)))=Milestones!$AB$123),UPPER(TEXT(EDATE($D90,Milestones!$AA$123),"dd mmm yy"))&amp;" "&amp;Milestones!$AB$123&amp;" "&amp;Milestones!$AC$123&amp;";  ","")&amp;IF(AND(EDATE($D90,Milestones!$AA$124)&lt;=AsOfDate,IF($R90=0,$X90,IF(AND($T90&lt;&gt;"",EDATE($D90,Milestones!$AA$124)&gt;=$T90),$W90,IF(AND($S90&lt;&gt;"",EDATE($D90,Milestones!$AA$124)&gt;=$S90),$V90,$U90)))=Milestones!$AB$124),UPPER(TEXT(EDATE($D90,Milestones!$AA$124),"dd mmm yy"))&amp;" "&amp;Milestones!$AB$124&amp;" "&amp;Milestones!$AC$124&amp;";  ","")&amp;IF(AND(EDATE($D90,Milestones!$AA$125)&lt;=AsOfDate,IF($R90=0,$X90,IF(AND($T90&lt;&gt;"",EDATE($D90,Milestones!$AA$125)&gt;=$T90),$W90,IF(AND($S90&lt;&gt;"",EDATE($D90,Milestones!$AA$125)&gt;=$S90),$V90,$U90)))=Milestones!$AB$125),UPPER(TEXT(EDATE($D90,Milestones!$AA$125),"dd mmm yy"))&amp;" "&amp;Milestones!$AB$125&amp;" "&amp;Milestones!$AC$125&amp;";  ","")&amp;IF(AND(EDATE($D90,Milestones!$AA$126)&lt;=AsOfDate,IF($R90=0,$X90,IF(AND($T90&lt;&gt;"",EDATE($D90,Milestones!$AA$126)&gt;=$T90),$W90,IF(AND($S90&lt;&gt;"",EDATE($D90,Milestones!$AA$126)&gt;=$S90),$V90,$U90)))=Milestones!$AB$126),UPPER(TEXT(EDATE($D90,Milestones!$AA$126),"dd mmm yy"))&amp;" "&amp;Milestones!$AB$126&amp;" "&amp;Milestones!$AC$126&amp;";  ","")&amp;IF(AND(EDATE($D90,Milestones!$AA$127)&lt;=AsOfDate,IF($R90=0,$X90,IF(AND($T90&lt;&gt;"",EDATE($D90,Milestones!$AA$127)&gt;=$T90),$W90,IF(AND($S90&lt;&gt;"",EDATE($D90,Milestones!$AA$127)&gt;=$S90),$V90,$U90)))=Milestones!$AB$127),UPPER(TEXT(EDATE($D90,Milestones!$AA$127),"dd mmm yy"))&amp;" "&amp;Milestones!$AB$127&amp;" "&amp;Milestones!$AC$127&amp;";  ","")&amp;IF(AND(EDATE($D90,Milestones!$AA$128)&lt;=AsOfDate,IF($R90=0,$X90,IF(AND($T90&lt;&gt;"",EDATE($D90,Milestones!$AA$128)&gt;=$T90),$W90,IF(AND($S90&lt;&gt;"",EDATE($D90,Milestones!$AA$128)&gt;=$S90),$V90,$U90)))=Milestones!$AB$128),UPPER(TEXT(EDATE($D90,Milestones!$AA$128),"dd mmm yy"))&amp;" "&amp;Milestones!$AB$128&amp;" "&amp;Milestones!$AC$128&amp;";  ","")&amp;IF(AND(EDATE($D90,Milestones!$AA$129)&lt;=AsOfDate,IF($R90=0,$X90,IF(AND($T90&lt;&gt;"",EDATE($D90,Milestones!$AA$129)&gt;=$T90),$W90,IF(AND($S90&lt;&gt;"",EDATE($D90,Milestones!$AA$129)&gt;=$S90),$V90,$U90)))=Milestones!$AB$129),UPPER(TEXT(EDATE($D90,Milestones!$AA$129),"dd mmm yy"))&amp;" "&amp;Milestones!$AB$129&amp;" "&amp;Milestones!$AC$129&amp;";  ","")&amp;IF(AND(EDATE($D90,Milestones!$AA$130)&lt;=AsOfDate,IF($R90=0,$X90,IF(AND($T90&lt;&gt;"",EDATE($D90,Milestones!$AA$130)&gt;=$T90),$W90,IF(AND($S90&lt;&gt;"",EDATE($D90,Milestones!$AA$130)&gt;=$S90),$V90,$U90)))=Milestones!$AB$130),UPPER(TEXT(EDATE($D90,Milestones!$AA$130),"dd mmm yy"))&amp;" "&amp;Milestones!$AB$130&amp;" "&amp;Milestones!$AC$130&amp;";  ","")&amp;IF(AND(EDATE($D90,Milestones!$AA$131)&lt;=AsOfDate,IF($R90=0,$X90,IF(AND($T90&lt;&gt;"",EDATE($D90,Milestones!$AA$131)&gt;=$T90),$W90,IF(AND($S90&lt;&gt;"",EDATE($D90,Milestones!$AA$131)&gt;=$S90),$V90,$U90)))=Milestones!$AB$131),UPPER(TEXT(EDATE($D90,Milestones!$AA$131),"dd mmm yy"))&amp;" "&amp;Milestones!$AB$131&amp;" "&amp;Milestones!$AC$131&amp;";  ","")&amp;IF(AND(EDATE($D90,Milestones!$AA$132)&lt;=AsOfDate,IF($R90=0,$X90,IF(AND($T90&lt;&gt;"",EDATE($D90,Milestones!$AA$132)&gt;=$T90),$W90,IF(AND($S90&lt;&gt;"",EDATE($D90,Milestones!$AA$132)&gt;=$S90),$V90,$U90)))=Milestones!$AB$132),UPPER(TEXT(EDATE($D90,Milestones!$AA$132),"dd mmm yy"))&amp;" "&amp;Milestones!$AB$132&amp;" "&amp;Milestones!$AC$132&amp;";  ","")&amp;IF(AND(EDATE($D90,Milestones!$AA$133)&lt;=AsOfDate,IF($R90=0,$X90,IF(AND($T90&lt;&gt;"",EDATE($D90,Milestones!$AA$133)&gt;=$T90),$W90,IF(AND($S90&lt;&gt;"",EDATE($D90,Milestones!$AA$133)&gt;=$S90),$V90,$U90)))=Milestones!$AB$133),UPPER(TEXT(EDATE($D90,Milestones!$AA$133),"dd mmm yy"))&amp;" "&amp;Milestones!$AB$133&amp;" "&amp;Milestones!$AC$133&amp;";  ","")&amp;IF(AND(EDATE($D90,Milestones!$AA$134)&lt;=AsOfDate,IF($R90=0,$X90,IF(AND($T90&lt;&gt;"",EDATE($D90,Milestones!$AA$134)&gt;=$T90),$W90,IF(AND($S90&lt;&gt;"",EDATE($D90,Milestones!$AA$134)&gt;=$S90),$V90,$U90)))=Milestones!$AB$134),UPPER(TEXT(EDATE($D90,Milestones!$AA$134),"dd mmm yy"))&amp;" "&amp;Milestones!$AB$134&amp;" "&amp;Milestones!$AC$134&amp;";  ","")&amp;IF(AND(EDATE($D90,Milestones!$AA$135)&lt;=AsOfDate,IF($R90=0,$X90,IF(AND($T90&lt;&gt;"",EDATE($D90,Milestones!$AA$135)&gt;=$T90),$W90,IF(AND($S90&lt;&gt;"",EDATE($D90,Milestones!$AA$135)&gt;=$S90),$V90,$U90)))=Milestones!$AB$135),UPPER(TEXT(EDATE($D90,Milestones!$AA$135),"dd mmm yy"))&amp;" "&amp;Milestones!$AB$135&amp;" "&amp;Milestones!$AC$135&amp;";  ","")&amp;IF(AND(EDATE($D90,Milestones!$AA$136)&lt;=AsOfDate,IF($R90=0,$X90,IF(AND($T90&lt;&gt;"",EDATE($D90,Milestones!$AA$136)&gt;=$T90),$W90,IF(AND($S90&lt;&gt;"",EDATE($D90,Milestones!$AA$136)&gt;=$S90),$V90,$U90)))=Milestones!$AB$136),UPPER(TEXT(EDATE($D90,Milestones!$AA$136),"dd mmm yy"))&amp;" "&amp;Milestones!$AB$136&amp;" "&amp;Milestones!$AC$136&amp;";  ","")&amp;IF(AND(EDATE($D90,Milestones!$AA$137)&lt;=AsOfDate,IF($R90=0,$X90,IF(AND($T90&lt;&gt;"",EDATE($D90,Milestones!$AA$137)&gt;=$T90),$W90,IF(AND($S90&lt;&gt;"",EDATE($D90,Milestones!$AA$137)&gt;=$S90),$V90,$U90)))=Milestones!$AB$137),UPPER(TEXT(EDATE($D90,Milestones!$AA$137),"dd mmm yy"))&amp;" "&amp;Milestones!$AB$137&amp;" "&amp;Milestones!$AC$137&amp;";  ","")&amp;IF(AND(EDATE($D90,Milestones!$AA$138)&lt;=AsOfDate,IF($R90=0,$X90,IF(AND($T90&lt;&gt;"",EDATE($D90,Milestones!$AA$138)&gt;=$T90),$W90,IF(AND($S90&lt;&gt;"",EDATE($D90,Milestones!$AA$138)&gt;=$S90),$V90,$U90)))=Milestones!$AB$138),UPPER(TEXT(EDATE($D90,Milestones!$AA$138),"dd mmm yy"))&amp;" "&amp;Milestones!$AB$138&amp;" "&amp;Milestones!$AC$138&amp;";  ","")&amp;IF(AND(EDATE($D90,Milestones!$AA$139)&lt;=AsOfDate,IF($R90=0,$X90,IF(AND($T90&lt;&gt;"",EDATE($D90,Milestones!$AA$139)&gt;=$T90),$W90,IF(AND($S90&lt;&gt;"",EDATE($D90,Milestones!$AA$139)&gt;=$S90),$V90,$U90)))=Milestones!$AB$139),UPPER(TEXT(EDATE($D90,Milestones!$AA$139),"dd mmm yy"))&amp;" "&amp;Milestones!$AB$139&amp;" "&amp;Milestones!$AC$139&amp;";  ",""))</f>
        <v/>
      </c>
      <c r="O90" s="0" t="str">
        <f aca="false">IF(OR($A90="",$D90=""),"",IF(AND(EDATE($D90,Milestones!$AA$140)&lt;=AsOfDate,IF($R90=0,$X90,IF(AND($T90&lt;&gt;"",EDATE($D90,Milestones!$AA$140)&gt;=$T90),$W90,IF(AND($S90&lt;&gt;"",EDATE($D90,Milestones!$AA$140)&gt;=$S90),$V90,$U90)))=Milestones!$AB$140),UPPER(TEXT(EDATE($D90,Milestones!$AA$140),"dd mmm yy"))&amp;" "&amp;Milestones!$AB$140&amp;" "&amp;Milestones!$AC$140&amp;";  ","")&amp;IF(AND(EDATE($D90,Milestones!$AA$141)&lt;=AsOfDate,IF($R90=0,$X90,IF(AND($T90&lt;&gt;"",EDATE($D90,Milestones!$AA$141)&gt;=$T90),$W90,IF(AND($S90&lt;&gt;"",EDATE($D90,Milestones!$AA$141)&gt;=$S90),$V90,$U90)))=Milestones!$AB$141),UPPER(TEXT(EDATE($D90,Milestones!$AA$141),"dd mmm yy"))&amp;" "&amp;Milestones!$AB$141&amp;" "&amp;Milestones!$AC$141&amp;";  ","")&amp;IF(AND(EDATE($D90,Milestones!$AA$142)&lt;=AsOfDate,IF($R90=0,$X90,IF(AND($T90&lt;&gt;"",EDATE($D90,Milestones!$AA$142)&gt;=$T90),$W90,IF(AND($S90&lt;&gt;"",EDATE($D90,Milestones!$AA$142)&gt;=$S90),$V90,$U90)))=Milestones!$AB$142),UPPER(TEXT(EDATE($D90,Milestones!$AA$142),"dd mmm yy"))&amp;" "&amp;Milestones!$AB$142&amp;" "&amp;Milestones!$AC$142&amp;";  ","")&amp;IF(AND(EDATE($D90,Milestones!$AA$143)&lt;=AsOfDate,IF($R90=0,$X90,IF(AND($T90&lt;&gt;"",EDATE($D90,Milestones!$AA$143)&gt;=$T90),$W90,IF(AND($S90&lt;&gt;"",EDATE($D90,Milestones!$AA$143)&gt;=$S90),$V90,$U90)))=Milestones!$AB$143),UPPER(TEXT(EDATE($D90,Milestones!$AA$143),"dd mmm yy"))&amp;" "&amp;Milestones!$AB$143&amp;" "&amp;Milestones!$AC$143&amp;";  ","")&amp;IF(AND(EDATE($D90,Milestones!$AA$144)&lt;=AsOfDate,IF($R90=0,$X90,IF(AND($T90&lt;&gt;"",EDATE($D90,Milestones!$AA$144)&gt;=$T90),$W90,IF(AND($S90&lt;&gt;"",EDATE($D90,Milestones!$AA$144)&gt;=$S90),$V90,$U90)))=Milestones!$AB$144),UPPER(TEXT(EDATE($D90,Milestones!$AA$144),"dd mmm yy"))&amp;" "&amp;Milestones!$AB$144&amp;" "&amp;Milestones!$AC$144&amp;";  ","")&amp;IF(AND(EDATE($D90,Milestones!$AA$145)&lt;=AsOfDate,IF($R90=0,$X90,IF(AND($T90&lt;&gt;"",EDATE($D90,Milestones!$AA$145)&gt;=$T90),$W90,IF(AND($S90&lt;&gt;"",EDATE($D90,Milestones!$AA$145)&gt;=$S90),$V90,$U90)))=Milestones!$AB$145),UPPER(TEXT(EDATE($D90,Milestones!$AA$145),"dd mmm yy"))&amp;" "&amp;Milestones!$AB$145&amp;" "&amp;Milestones!$AC$145&amp;";  ","")&amp;IF(AND(EDATE($D90,Milestones!$AA$146)&lt;=AsOfDate,IF($R90=0,$X90,IF(AND($T90&lt;&gt;"",EDATE($D90,Milestones!$AA$146)&gt;=$T90),$W90,IF(AND($S90&lt;&gt;"",EDATE($D90,Milestones!$AA$146)&gt;=$S90),$V90,$U90)))=Milestones!$AB$146),UPPER(TEXT(EDATE($D90,Milestones!$AA$146),"dd mmm yy"))&amp;" "&amp;Milestones!$AB$146&amp;" "&amp;Milestones!$AC$146&amp;";  ","")&amp;IF(AND(EDATE($D90,Milestones!$AA$147)&lt;=AsOfDate,IF($R90=0,$X90,IF(AND($T90&lt;&gt;"",EDATE($D90,Milestones!$AA$147)&gt;=$T90),$W90,IF(AND($S90&lt;&gt;"",EDATE($D90,Milestones!$AA$147)&gt;=$S90),$V90,$U90)))=Milestones!$AB$147),UPPER(TEXT(EDATE($D90,Milestones!$AA$147),"dd mmm yy"))&amp;" "&amp;Milestones!$AB$147&amp;" "&amp;Milestones!$AC$147&amp;";  ","")&amp;IF(AND(EDATE($D90,Milestones!$AA$148)&lt;=AsOfDate,IF($R90=0,$X90,IF(AND($T90&lt;&gt;"",EDATE($D90,Milestones!$AA$148)&gt;=$T90),$W90,IF(AND($S90&lt;&gt;"",EDATE($D90,Milestones!$AA$148)&gt;=$S90),$V90,$U90)))=Milestones!$AB$148),UPPER(TEXT(EDATE($D90,Milestones!$AA$148),"dd mmm yy"))&amp;" "&amp;Milestones!$AB$148&amp;" "&amp;Milestones!$AC$148&amp;";  ","")&amp;IF(AND(EDATE($D90,Milestones!$AA$149)&lt;=AsOfDate,IF($R90=0,$X90,IF(AND($T90&lt;&gt;"",EDATE($D90,Milestones!$AA$149)&gt;=$T90),$W90,IF(AND($S90&lt;&gt;"",EDATE($D90,Milestones!$AA$149)&gt;=$S90),$V90,$U90)))=Milestones!$AB$149),UPPER(TEXT(EDATE($D90,Milestones!$AA$149),"dd mmm yy"))&amp;" "&amp;Milestones!$AB$149&amp;" "&amp;Milestones!$AC$149&amp;";  ","")&amp;IF(AND(EDATE($D90,Milestones!$AA$150)&lt;=AsOfDate,IF($R90=0,$X90,IF(AND($T90&lt;&gt;"",EDATE($D90,Milestones!$AA$150)&gt;=$T90),$W90,IF(AND($S90&lt;&gt;"",EDATE($D90,Milestones!$AA$150)&gt;=$S90),$V90,$U90)))=Milestones!$AB$150),UPPER(TEXT(EDATE($D90,Milestones!$AA$150),"dd mmm yy"))&amp;" "&amp;Milestones!$AB$150&amp;" "&amp;Milestones!$AC$150&amp;";  ","")&amp;IF(AND(EDATE($D90,Milestones!$AA$151)&lt;=AsOfDate,IF($R90=0,$X90,IF(AND($T90&lt;&gt;"",EDATE($D90,Milestones!$AA$151)&gt;=$T90),$W90,IF(AND($S90&lt;&gt;"",EDATE($D90,Milestones!$AA$151)&gt;=$S90),$V90,$U90)))=Milestones!$AB$151),UPPER(TEXT(EDATE($D90,Milestones!$AA$151),"dd mmm yy"))&amp;" "&amp;Milestones!$AB$151&amp;" "&amp;Milestones!$AC$151&amp;";  ","")&amp;IF(AND(EDATE($D90,Milestones!$AA$152)&lt;=AsOfDate,IF($R90=0,$X90,IF(AND($T90&lt;&gt;"",EDATE($D90,Milestones!$AA$152)&gt;=$T90),$W90,IF(AND($S90&lt;&gt;"",EDATE($D90,Milestones!$AA$152)&gt;=$S90),$V90,$U90)))=Milestones!$AB$152),UPPER(TEXT(EDATE($D90,Milestones!$AA$152),"dd mmm yy"))&amp;" "&amp;Milestones!$AB$152&amp;" "&amp;Milestones!$AC$152&amp;";  ","")&amp;IF(AND(EDATE($D90,Milestones!$AA$153)&lt;=AsOfDate,IF($R90=0,$X90,IF(AND($T90&lt;&gt;"",EDATE($D90,Milestones!$AA$153)&gt;=$T90),$W90,IF(AND($S90&lt;&gt;"",EDATE($D90,Milestones!$AA$153)&gt;=$S90),$V90,$U90)))=Milestones!$AB$153),UPPER(TEXT(EDATE($D90,Milestones!$AA$153),"dd mmm yy"))&amp;" "&amp;Milestones!$AB$153&amp;" "&amp;Milestones!$AC$153&amp;";  ","")&amp;IF(AND(EDATE($D90,Milestones!$AA$154)&lt;=AsOfDate,IF($R90=0,$X90,IF(AND($T90&lt;&gt;"",EDATE($D90,Milestones!$AA$154)&gt;=$T90),$W90,IF(AND($S90&lt;&gt;"",EDATE($D90,Milestones!$AA$154)&gt;=$S90),$V90,$U90)))=Milestones!$AB$154),UPPER(TEXT(EDATE($D90,Milestones!$AA$154),"dd mmm yy"))&amp;" "&amp;Milestones!$AB$154&amp;" "&amp;Milestones!$AC$154&amp;";  ","")&amp;IF(AND(EDATE($D90,Milestones!$AA$155)&lt;=AsOfDate,IF($R90=0,$X90,IF(AND($T90&lt;&gt;"",EDATE($D90,Milestones!$AA$155)&gt;=$T90),$W90,IF(AND($S90&lt;&gt;"",EDATE($D90,Milestones!$AA$155)&gt;=$S90),$V90,$U90)))=Milestones!$AB$155),UPPER(TEXT(EDATE($D90,Milestones!$AA$155),"dd mmm yy"))&amp;" "&amp;Milestones!$AB$155&amp;" "&amp;Milestones!$AC$155&amp;";  ","")&amp;IF(AND(EDATE($D90,Milestones!$AA$156)&lt;=AsOfDate,IF($R90=0,$X90,IF(AND($T90&lt;&gt;"",EDATE($D90,Milestones!$AA$156)&gt;=$T90),$W90,IF(AND($S90&lt;&gt;"",EDATE($D90,Milestones!$AA$156)&gt;=$S90),$V90,$U90)))=Milestones!$AB$156),UPPER(TEXT(EDATE($D90,Milestones!$AA$156),"dd mmm yy"))&amp;" "&amp;Milestones!$AB$156&amp;" "&amp;Milestones!$AC$156&amp;";  ","")&amp;IF(AND(EDATE($D90,Milestones!$AA$157)&lt;=AsOfDate,IF($R90=0,$X90,IF(AND($T90&lt;&gt;"",EDATE($D90,Milestones!$AA$157)&gt;=$T90),$W90,IF(AND($S90&lt;&gt;"",EDATE($D90,Milestones!$AA$157)&gt;=$S90),$V90,$U90)))=Milestones!$AB$157),UPPER(TEXT(EDATE($D90,Milestones!$AA$157),"dd mmm yy"))&amp;" "&amp;Milestones!$AB$157&amp;" "&amp;Milestones!$AC$157&amp;";  ","")&amp;IF(AND(EDATE($D90,Milestones!$AA$158)&lt;=AsOfDate,IF($R90=0,$X90,IF(AND($T90&lt;&gt;"",EDATE($D90,Milestones!$AA$158)&gt;=$T90),$W90,IF(AND($S90&lt;&gt;"",EDATE($D90,Milestones!$AA$158)&gt;=$S90),$V90,$U90)))=Milestones!$AB$158),UPPER(TEXT(EDATE($D90,Milestones!$AA$158),"dd mmm yy"))&amp;" "&amp;Milestones!$AB$158&amp;" "&amp;Milestones!$AC$158&amp;";  ","")&amp;IF(AND(EDATE($D90,Milestones!$AA$159)&lt;=AsOfDate,IF($R90=0,$X90,IF(AND($T90&lt;&gt;"",EDATE($D90,Milestones!$AA$159)&gt;=$T90),$W90,IF(AND($S90&lt;&gt;"",EDATE($D90,Milestones!$AA$159)&gt;=$S90),$V90,$U90)))=Milestones!$AB$159),UPPER(TEXT(EDATE($D90,Milestones!$AA$159),"dd mmm yy"))&amp;" "&amp;Milestones!$AB$159&amp;" "&amp;Milestones!$AC$159&amp;";  ",""))</f>
        <v/>
      </c>
      <c r="P90" s="0" t="str">
        <f aca="false">IF(OR($A90="",$D90=""),"",IF(AND(EDATE($D90,Milestones!$AA$160)&lt;=AsOfDate,IF($R90=0,$X90,IF(AND($T90&lt;&gt;"",EDATE($D90,Milestones!$AA$160)&gt;=$T90),$W90,IF(AND($S90&lt;&gt;"",EDATE($D90,Milestones!$AA$160)&gt;=$S90),$V90,$U90)))=Milestones!$AB$160),UPPER(TEXT(EDATE($D90,Milestones!$AA$160),"dd mmm yy"))&amp;" "&amp;Milestones!$AB$160&amp;" "&amp;Milestones!$AC$160&amp;";  ","")&amp;IF(AND(EDATE($D90,Milestones!$AA$161)&lt;=AsOfDate,IF($R90=0,$X90,IF(AND($T90&lt;&gt;"",EDATE($D90,Milestones!$AA$161)&gt;=$T90),$W90,IF(AND($S90&lt;&gt;"",EDATE($D90,Milestones!$AA$161)&gt;=$S90),$V90,$U90)))=Milestones!$AB$161),UPPER(TEXT(EDATE($D90,Milestones!$AA$161),"dd mmm yy"))&amp;" "&amp;Milestones!$AB$161&amp;" "&amp;Milestones!$AC$161&amp;";  ","")&amp;IF(AND(EDATE($D90,Milestones!$AA$162)&lt;=AsOfDate,IF($R90=0,$X90,IF(AND($T90&lt;&gt;"",EDATE($D90,Milestones!$AA$162)&gt;=$T90),$W90,IF(AND($S90&lt;&gt;"",EDATE($D90,Milestones!$AA$162)&gt;=$S90),$V90,$U90)))=Milestones!$AB$162),UPPER(TEXT(EDATE($D90,Milestones!$AA$162),"dd mmm yy"))&amp;" "&amp;Milestones!$AB$162&amp;" "&amp;Milestones!$AC$162&amp;";  ","")&amp;IF(AND(EDATE($D90,Milestones!$AA$163)&lt;=AsOfDate,IF($R90=0,$X90,IF(AND($T90&lt;&gt;"",EDATE($D90,Milestones!$AA$163)&gt;=$T90),$W90,IF(AND($S90&lt;&gt;"",EDATE($D90,Milestones!$AA$163)&gt;=$S90),$V90,$U90)))=Milestones!$AB$163),UPPER(TEXT(EDATE($D90,Milestones!$AA$163),"dd mmm yy"))&amp;" "&amp;Milestones!$AB$163&amp;" "&amp;Milestones!$AC$163&amp;";  ","")&amp;IF(AND(EDATE($D90,Milestones!$AA$164)&lt;=AsOfDate,IF($R90=0,$X90,IF(AND($T90&lt;&gt;"",EDATE($D90,Milestones!$AA$164)&gt;=$T90),$W90,IF(AND($S90&lt;&gt;"",EDATE($D90,Milestones!$AA$164)&gt;=$S90),$V90,$U90)))=Milestones!$AB$164),UPPER(TEXT(EDATE($D90,Milestones!$AA$164),"dd mmm yy"))&amp;" "&amp;Milestones!$AB$164&amp;" "&amp;Milestones!$AC$164&amp;";  ","")&amp;IF(AND(EDATE($D90,Milestones!$AA$165)&lt;=AsOfDate,IF($R90=0,$X90,IF(AND($T90&lt;&gt;"",EDATE($D90,Milestones!$AA$165)&gt;=$T90),$W90,IF(AND($S90&lt;&gt;"",EDATE($D90,Milestones!$AA$165)&gt;=$S90),$V90,$U90)))=Milestones!$AB$165),UPPER(TEXT(EDATE($D90,Milestones!$AA$165),"dd mmm yy"))&amp;" "&amp;Milestones!$AB$165&amp;" "&amp;Milestones!$AC$165&amp;";  ","")&amp;IF(AND(EDATE($D90,Milestones!$AA$166)&lt;=AsOfDate,IF($R90=0,$X90,IF(AND($T90&lt;&gt;"",EDATE($D90,Milestones!$AA$166)&gt;=$T90),$W90,IF(AND($S90&lt;&gt;"",EDATE($D90,Milestones!$AA$166)&gt;=$S90),$V90,$U90)))=Milestones!$AB$166),UPPER(TEXT(EDATE($D90,Milestones!$AA$166),"dd mmm yy"))&amp;" "&amp;Milestones!$AB$166&amp;" "&amp;Milestones!$AC$166&amp;";  ","")&amp;IF(AND(EDATE($D90,Milestones!$AA$167)&lt;=AsOfDate,IF($R90=0,$X90,IF(AND($T90&lt;&gt;"",EDATE($D90,Milestones!$AA$167)&gt;=$T90),$W90,IF(AND($S90&lt;&gt;"",EDATE($D90,Milestones!$AA$167)&gt;=$S90),$V90,$U90)))=Milestones!$AB$167),UPPER(TEXT(EDATE($D90,Milestones!$AA$167),"dd mmm yy"))&amp;" "&amp;Milestones!$AB$167&amp;" "&amp;Milestones!$AC$167&amp;";  ","")&amp;IF(AND(EDATE($D90,Milestones!$AA$168)&lt;=AsOfDate,IF($R90=0,$X90,IF(AND($T90&lt;&gt;"",EDATE($D90,Milestones!$AA$168)&gt;=$T90),$W90,IF(AND($S90&lt;&gt;"",EDATE($D90,Milestones!$AA$168)&gt;=$S90),$V90,$U90)))=Milestones!$AB$168),UPPER(TEXT(EDATE($D90,Milestones!$AA$168),"dd mmm yy"))&amp;" "&amp;Milestones!$AB$168&amp;" "&amp;Milestones!$AC$168&amp;";  ","")&amp;IF(AND(EDATE($D90,Milestones!$AA$169)&lt;=AsOfDate,IF($R90=0,$X90,IF(AND($T90&lt;&gt;"",EDATE($D90,Milestones!$AA$169)&gt;=$T90),$W90,IF(AND($S90&lt;&gt;"",EDATE($D90,Milestones!$AA$169)&gt;=$S90),$V90,$U90)))=Milestones!$AB$169),UPPER(TEXT(EDATE($D90,Milestones!$AA$169),"dd mmm yy"))&amp;" "&amp;Milestones!$AB$169&amp;" "&amp;Milestones!$AC$169&amp;";  ","")&amp;IF(AND(EDATE($D90,Milestones!$AA$170)&lt;=AsOfDate,IF($R90=0,$X90,IF(AND($T90&lt;&gt;"",EDATE($D90,Milestones!$AA$170)&gt;=$T90),$W90,IF(AND($S90&lt;&gt;"",EDATE($D90,Milestones!$AA$170)&gt;=$S90),$V90,$U90)))=Milestones!$AB$170),UPPER(TEXT(EDATE($D90,Milestones!$AA$170),"dd mmm yy"))&amp;" "&amp;Milestones!$AB$170&amp;" "&amp;Milestones!$AC$170&amp;";  ","")&amp;IF(AND(EDATE($D90,Milestones!$AA$171)&lt;=AsOfDate,IF($R90=0,$X90,IF(AND($T90&lt;&gt;"",EDATE($D90,Milestones!$AA$171)&gt;=$T90),$W90,IF(AND($S90&lt;&gt;"",EDATE($D90,Milestones!$AA$171)&gt;=$S90),$V90,$U90)))=Milestones!$AB$171),UPPER(TEXT(EDATE($D90,Milestones!$AA$171),"dd mmm yy"))&amp;" "&amp;Milestones!$AB$171&amp;" "&amp;Milestones!$AC$171&amp;";  ","")&amp;IF(AND(EDATE($D90,Milestones!$AA$172)&lt;=AsOfDate,IF($R90=0,$X90,IF(AND($T90&lt;&gt;"",EDATE($D90,Milestones!$AA$172)&gt;=$T90),$W90,IF(AND($S90&lt;&gt;"",EDATE($D90,Milestones!$AA$172)&gt;=$S90),$V90,$U90)))=Milestones!$AB$172),UPPER(TEXT(EDATE($D90,Milestones!$AA$172),"dd mmm yy"))&amp;" "&amp;Milestones!$AB$172&amp;" "&amp;Milestones!$AC$172&amp;";  ","")&amp;IF(AND(EDATE($D90,Milestones!$AA$173)&lt;=AsOfDate,IF($R90=0,$X90,IF(AND($T90&lt;&gt;"",EDATE($D90,Milestones!$AA$173)&gt;=$T90),$W90,IF(AND($S90&lt;&gt;"",EDATE($D90,Milestones!$AA$173)&gt;=$S90),$V90,$U90)))=Milestones!$AB$173),UPPER(TEXT(EDATE($D90,Milestones!$AA$173),"dd mmm yy"))&amp;" "&amp;Milestones!$AB$173&amp;" "&amp;Milestones!$AC$173&amp;";  ","")&amp;IF(AND(EDATE($D90,Milestones!$AA$174)&lt;=AsOfDate,IF($R90=0,$X90,IF(AND($T90&lt;&gt;"",EDATE($D90,Milestones!$AA$174)&gt;=$T90),$W90,IF(AND($S90&lt;&gt;"",EDATE($D90,Milestones!$AA$174)&gt;=$S90),$V90,$U90)))=Milestones!$AB$174),UPPER(TEXT(EDATE($D90,Milestones!$AA$174),"dd mmm yy"))&amp;" "&amp;Milestones!$AB$174&amp;" "&amp;Milestones!$AC$174&amp;";  ","")&amp;IF(AND(EDATE($D90,Milestones!$AA$175)&lt;=AsOfDate,IF($R90=0,$X90,IF(AND($T90&lt;&gt;"",EDATE($D90,Milestones!$AA$175)&gt;=$T90),$W90,IF(AND($S90&lt;&gt;"",EDATE($D90,Milestones!$AA$175)&gt;=$S90),$V90,$U90)))=Milestones!$AB$175),UPPER(TEXT(EDATE($D90,Milestones!$AA$175),"dd mmm yy"))&amp;" "&amp;Milestones!$AB$175&amp;" "&amp;Milestones!$AC$175&amp;";  ","")&amp;IF(AND(EDATE($D90,Milestones!$AA$176)&lt;=AsOfDate,IF($R90=0,$X90,IF(AND($T90&lt;&gt;"",EDATE($D90,Milestones!$AA$176)&gt;=$T90),$W90,IF(AND($S90&lt;&gt;"",EDATE($D90,Milestones!$AA$176)&gt;=$S90),$V90,$U90)))=Milestones!$AB$176),UPPER(TEXT(EDATE($D90,Milestones!$AA$176),"dd mmm yy"))&amp;" "&amp;Milestones!$AB$176&amp;" "&amp;Milestones!$AC$176&amp;";  ","")&amp;IF(AND(EDATE($D90,Milestones!$AA$177)&lt;=AsOfDate,IF($R90=0,$X90,IF(AND($T90&lt;&gt;"",EDATE($D90,Milestones!$AA$177)&gt;=$T90),$W90,IF(AND($S90&lt;&gt;"",EDATE($D90,Milestones!$AA$177)&gt;=$S90),$V90,$U90)))=Milestones!$AB$177),UPPER(TEXT(EDATE($D90,Milestones!$AA$177),"dd mmm yy"))&amp;" "&amp;Milestones!$AB$177&amp;" "&amp;Milestones!$AC$177&amp;";  ","")&amp;IF(AND(EDATE($D90,Milestones!$AA$178)&lt;=AsOfDate,IF($R90=0,$X90,IF(AND($T90&lt;&gt;"",EDATE($D90,Milestones!$AA$178)&gt;=$T90),$W90,IF(AND($S90&lt;&gt;"",EDATE($D90,Milestones!$AA$178)&gt;=$S90),$V90,$U90)))=Milestones!$AB$178),UPPER(TEXT(EDATE($D90,Milestones!$AA$178),"dd mmm yy"))&amp;" "&amp;Milestones!$AB$178&amp;" "&amp;Milestones!$AC$178&amp;";  ","")&amp;IF(AND(EDATE($D90,Milestones!$AA$179)&lt;=AsOfDate,IF($R90=0,$X90,IF(AND($T90&lt;&gt;"",EDATE($D90,Milestones!$AA$179)&gt;=$T90),$W90,IF(AND($S90&lt;&gt;"",EDATE($D90,Milestones!$AA$179)&gt;=$S90),$V90,$U90)))=Milestones!$AB$179),UPPER(TEXT(EDATE($D90,Milestones!$AA$179),"dd mmm yy"))&amp;" "&amp;Milestones!$AB$179&amp;" "&amp;Milestones!$AC$179&amp;";  ",""))</f>
        <v/>
      </c>
      <c r="Q90" s="0" t="str">
        <f aca="false">IF(OR($A90="",$D90=""),"",IF(AND(EDATE($D90,Milestones!$AA$180)&lt;=AsOfDate,IF($R90=0,$X90,IF(AND($T90&lt;&gt;"",EDATE($D90,Milestones!$AA$180)&gt;=$T90),$W90,IF(AND($S90&lt;&gt;"",EDATE($D90,Milestones!$AA$180)&gt;=$S90),$V90,$U90)))=Milestones!$AB$180),UPPER(TEXT(EDATE($D90,Milestones!$AA$180),"dd mmm yy"))&amp;" "&amp;Milestones!$AB$180&amp;" "&amp;Milestones!$AC$180&amp;";  ","")&amp;IF(AND(EDATE($D90,Milestones!$AA$181)&lt;=AsOfDate,IF($R90=0,$X90,IF(AND($T90&lt;&gt;"",EDATE($D90,Milestones!$AA$181)&gt;=$T90),$W90,IF(AND($S90&lt;&gt;"",EDATE($D90,Milestones!$AA$181)&gt;=$S90),$V90,$U90)))=Milestones!$AB$181),UPPER(TEXT(EDATE($D90,Milestones!$AA$181),"dd mmm yy"))&amp;" "&amp;Milestones!$AB$181&amp;" "&amp;Milestones!$AC$181&amp;";  ","")&amp;IF(AND(EDATE($D90,Milestones!$AA$182)&lt;=AsOfDate,IF($R90=0,$X90,IF(AND($T90&lt;&gt;"",EDATE($D90,Milestones!$AA$182)&gt;=$T90),$W90,IF(AND($S90&lt;&gt;"",EDATE($D90,Milestones!$AA$182)&gt;=$S90),$V90,$U90)))=Milestones!$AB$182),UPPER(TEXT(EDATE($D90,Milestones!$AA$182),"dd mmm yy"))&amp;" "&amp;Milestones!$AB$182&amp;" "&amp;Milestones!$AC$182&amp;";  ","")&amp;IF(AND(EDATE($D90,Milestones!$AA$183)&lt;=AsOfDate,IF($R90=0,$X90,IF(AND($T90&lt;&gt;"",EDATE($D90,Milestones!$AA$183)&gt;=$T90),$W90,IF(AND($S90&lt;&gt;"",EDATE($D90,Milestones!$AA$183)&gt;=$S90),$V90,$U90)))=Milestones!$AB$183),UPPER(TEXT(EDATE($D90,Milestones!$AA$183),"dd mmm yy"))&amp;" "&amp;Milestones!$AB$183&amp;" "&amp;Milestones!$AC$183&amp;";  ","")&amp;IF(AND(EDATE($D90,Milestones!$AA$184)&lt;=AsOfDate,IF($R90=0,$X90,IF(AND($T90&lt;&gt;"",EDATE($D90,Milestones!$AA$184)&gt;=$T90),$W90,IF(AND($S90&lt;&gt;"",EDATE($D90,Milestones!$AA$184)&gt;=$S90),$V90,$U90)))=Milestones!$AB$184),UPPER(TEXT(EDATE($D90,Milestones!$AA$184),"dd mmm yy"))&amp;" "&amp;Milestones!$AB$184&amp;" "&amp;Milestones!$AC$184&amp;";  ","")&amp;IF(AND(EDATE($D90,Milestones!$AA$185)&lt;=AsOfDate,IF($R90=0,$X90,IF(AND($T90&lt;&gt;"",EDATE($D90,Milestones!$AA$185)&gt;=$T90),$W90,IF(AND($S90&lt;&gt;"",EDATE($D90,Milestones!$AA$185)&gt;=$S90),$V90,$U90)))=Milestones!$AB$185),UPPER(TEXT(EDATE($D90,Milestones!$AA$185),"dd mmm yy"))&amp;" "&amp;Milestones!$AB$185&amp;" "&amp;Milestones!$AC$185&amp;";  ","")&amp;IF(AND(EDATE($D90,Milestones!$AA$186)&lt;=AsOfDate,IF($R90=0,$X90,IF(AND($T90&lt;&gt;"",EDATE($D90,Milestones!$AA$186)&gt;=$T90),$W90,IF(AND($S90&lt;&gt;"",EDATE($D90,Milestones!$AA$186)&gt;=$S90),$V90,$U90)))=Milestones!$AB$186),UPPER(TEXT(EDATE($D90,Milestones!$AA$186),"dd mmm yy"))&amp;" "&amp;Milestones!$AB$186&amp;" "&amp;Milestones!$AC$186&amp;";  ","")&amp;IF(AND(EDATE($D90,Milestones!$AA$187)&lt;=AsOfDate,IF($R90=0,$X90,IF(AND($T90&lt;&gt;"",EDATE($D90,Milestones!$AA$187)&gt;=$T90),$W90,IF(AND($S90&lt;&gt;"",EDATE($D90,Milestones!$AA$187)&gt;=$S90),$V90,$U90)))=Milestones!$AB$187),UPPER(TEXT(EDATE($D90,Milestones!$AA$187),"dd mmm yy"))&amp;" "&amp;Milestones!$AB$187&amp;" "&amp;Milestones!$AC$187&amp;";  ","")&amp;IF(AND(EDATE($D90,Milestones!$AA$188)&lt;=AsOfDate,IF($R90=0,$X90,IF(AND($T90&lt;&gt;"",EDATE($D90,Milestones!$AA$188)&gt;=$T90),$W90,IF(AND($S90&lt;&gt;"",EDATE($D90,Milestones!$AA$188)&gt;=$S90),$V90,$U90)))=Milestones!$AB$188),UPPER(TEXT(EDATE($D90,Milestones!$AA$188),"dd mmm yy"))&amp;" "&amp;Milestones!$AB$188&amp;" "&amp;Milestones!$AC$188&amp;";  ","")&amp;IF(AND(EDATE($D90,Milestones!$AA$189)&lt;=AsOfDate,IF($R90=0,$X90,IF(AND($T90&lt;&gt;"",EDATE($D90,Milestones!$AA$189)&gt;=$T90),$W90,IF(AND($S90&lt;&gt;"",EDATE($D90,Milestones!$AA$189)&gt;=$S90),$V90,$U90)))=Milestones!$AB$189),UPPER(TEXT(EDATE($D90,Milestones!$AA$189),"dd mmm yy"))&amp;" "&amp;Milestones!$AB$189&amp;" "&amp;Milestones!$AC$189&amp;";  ","")&amp;IF(AND(EDATE($D90,Milestones!$AA$190)&lt;=AsOfDate,IF($R90=0,$X90,IF(AND($T90&lt;&gt;"",EDATE($D90,Milestones!$AA$190)&gt;=$T90),$W90,IF(AND($S90&lt;&gt;"",EDATE($D90,Milestones!$AA$190)&gt;=$S90),$V90,$U90)))=Milestones!$AB$190),UPPER(TEXT(EDATE($D90,Milestones!$AA$190),"dd mmm yy"))&amp;" "&amp;Milestones!$AB$190&amp;" "&amp;Milestones!$AC$190&amp;";  ","")&amp;IF(AND(EDATE($D90,Milestones!$AA$191)&lt;=AsOfDate,IF($R90=0,$X90,IF(AND($T90&lt;&gt;"",EDATE($D90,Milestones!$AA$191)&gt;=$T90),$W90,IF(AND($S90&lt;&gt;"",EDATE($D90,Milestones!$AA$191)&gt;=$S90),$V90,$U90)))=Milestones!$AB$191),UPPER(TEXT(EDATE($D90,Milestones!$AA$191),"dd mmm yy"))&amp;" "&amp;Milestones!$AB$191&amp;" "&amp;Milestones!$AC$191&amp;";  ","")&amp;IF(AND(EDATE($D90,Milestones!$AA$192)&lt;=AsOfDate,IF($R90=0,$X90,IF(AND($T90&lt;&gt;"",EDATE($D90,Milestones!$AA$192)&gt;=$T90),$W90,IF(AND($S90&lt;&gt;"",EDATE($D90,Milestones!$AA$192)&gt;=$S90),$V90,$U90)))=Milestones!$AB$192),UPPER(TEXT(EDATE($D90,Milestones!$AA$192),"dd mmm yy"))&amp;" "&amp;Milestones!$AB$192&amp;" "&amp;Milestones!$AC$192&amp;";  ","")&amp;IF(AND(EDATE($D90,Milestones!$AA$193)&lt;=AsOfDate,IF($R90=0,$X90,IF(AND($T90&lt;&gt;"",EDATE($D90,Milestones!$AA$193)&gt;=$T90),$W90,IF(AND($S90&lt;&gt;"",EDATE($D90,Milestones!$AA$193)&gt;=$S90),$V90,$U90)))=Milestones!$AB$193),UPPER(TEXT(EDATE($D90,Milestones!$AA$193),"dd mmm yy"))&amp;" "&amp;Milestones!$AB$193&amp;" "&amp;Milestones!$AC$193&amp;";  ","")&amp;IF(AND(EDATE($D90,Milestones!$AA$194)&lt;=AsOfDate,IF($R90=0,$X90,IF(AND($T90&lt;&gt;"",EDATE($D90,Milestones!$AA$194)&gt;=$T90),$W90,IF(AND($S90&lt;&gt;"",EDATE($D90,Milestones!$AA$194)&gt;=$S90),$V90,$U90)))=Milestones!$AB$194),UPPER(TEXT(EDATE($D90,Milestones!$AA$194),"dd mmm yy"))&amp;" "&amp;Milestones!$AB$194&amp;" "&amp;Milestones!$AC$194&amp;";  ","")&amp;IF(AND(EDATE($D90,Milestones!$AA$195)&lt;=AsOfDate,IF($R90=0,$X90,IF(AND($T90&lt;&gt;"",EDATE($D90,Milestones!$AA$195)&gt;=$T90),$W90,IF(AND($S90&lt;&gt;"",EDATE($D90,Milestones!$AA$195)&gt;=$S90),$V90,$U90)))=Milestones!$AB$195),UPPER(TEXT(EDATE($D90,Milestones!$AA$195),"dd mmm yy"))&amp;" "&amp;Milestones!$AB$195&amp;" "&amp;Milestones!$AC$195&amp;";  ","")&amp;IF(AND(EDATE($D90,Milestones!$AA$196)&lt;=AsOfDate,IF($R90=0,$X90,IF(AND($T90&lt;&gt;"",EDATE($D90,Milestones!$AA$196)&gt;=$T90),$W90,IF(AND($S90&lt;&gt;"",EDATE($D90,Milestones!$AA$196)&gt;=$S90),$V90,$U90)))=Milestones!$AB$196),UPPER(TEXT(EDATE($D90,Milestones!$AA$196),"dd mmm yy"))&amp;" "&amp;Milestones!$AB$196&amp;" "&amp;Milestones!$AC$196&amp;";  ","")&amp;IF(AND(EDATE($D90,Milestones!$AA$197)&lt;=AsOfDate,IF($R90=0,$X90,IF(AND($T90&lt;&gt;"",EDATE($D90,Milestones!$AA$197)&gt;=$T90),$W90,IF(AND($S90&lt;&gt;"",EDATE($D90,Milestones!$AA$197)&gt;=$S90),$V90,$U90)))=Milestones!$AB$197),UPPER(TEXT(EDATE($D90,Milestones!$AA$197),"dd mmm yy"))&amp;" "&amp;Milestones!$AB$197&amp;" "&amp;Milestones!$AC$197&amp;";  ","")&amp;IF(AND(EDATE($D90,Milestones!$AA$198)&lt;=AsOfDate,IF($R90=0,$X90,IF(AND($T90&lt;&gt;"",EDATE($D90,Milestones!$AA$198)&gt;=$T90),$W90,IF(AND($S90&lt;&gt;"",EDATE($D90,Milestones!$AA$198)&gt;=$S90),$V90,$U90)))=Milestones!$AB$198),UPPER(TEXT(EDATE($D90,Milestones!$AA$198),"dd mmm yy"))&amp;" "&amp;Milestones!$AB$198&amp;" "&amp;Milestones!$AC$198&amp;";  ","")&amp;IF(AND(EDATE($D90,Milestones!$AA$199)&lt;=AsOfDate,IF($R90=0,$X90,IF(AND($T90&lt;&gt;"",EDATE($D90,Milestones!$AA$199)&gt;=$T90),$W90,IF(AND($S90&lt;&gt;"",EDATE($D90,Milestones!$AA$199)&gt;=$S90),$V90,$U90)))=Milestones!$AB$199),UPPER(TEXT(EDATE($D90,Milestones!$AA$199),"dd mmm yy"))&amp;" "&amp;Milestones!$AB$199&amp;" "&amp;Milestones!$AC$199&amp;";  ",""))</f>
        <v/>
      </c>
      <c r="R90" s="0" t="str">
        <f aca="false">IF(Staff!$A90="","",Staff!$AI90)</f>
        <v/>
      </c>
      <c r="S90" s="0" t="str">
        <f aca="false">IF(Staff!$A90="","",Staff!$AK90)</f>
        <v/>
      </c>
      <c r="T90" s="0" t="str">
        <f aca="false">IF(Staff!$A90="","",Staff!$AL90)</f>
        <v/>
      </c>
      <c r="U90" s="0" t="str">
        <f aca="false">IF(Staff!$A90="","",Staff!$AP90)</f>
        <v/>
      </c>
      <c r="V90" s="0" t="str">
        <f aca="false">IF(Staff!$A90="","",Staff!$AQ90)</f>
        <v/>
      </c>
      <c r="W90" s="0" t="str">
        <f aca="false">IF(Staff!$A90="","",Staff!$AR90)</f>
        <v/>
      </c>
      <c r="X90" s="0" t="str">
        <f aca="false">IF(Staff!$A90="","",Staff!$AS90)</f>
        <v/>
      </c>
    </row>
    <row r="91" customFormat="false" ht="15" hidden="false" customHeight="false" outlineLevel="0" collapsed="false">
      <c r="A91" s="14" t="str">
        <f aca="false">IF(Staff!$A91="","",Staff!$A91)</f>
        <v/>
      </c>
      <c r="B91" s="14" t="str">
        <f aca="false">IF(Staff!$A91="","",Staff!$B91)</f>
        <v/>
      </c>
      <c r="C91" s="14" t="str">
        <f aca="false">IF(Staff!$A91="","",Staff!$C91)</f>
        <v/>
      </c>
      <c r="D91" s="12" t="str">
        <f aca="false">IF(Staff!$A91="","",Staff!$AH91)</f>
        <v/>
      </c>
      <c r="E91" s="14" t="str">
        <f aca="false">IF(Staff!$A91="","",Staff!$O91)</f>
        <v/>
      </c>
      <c r="F91" s="14" t="str">
        <f aca="false">IF(E91="","",E91*HoursPerDay)</f>
        <v/>
      </c>
      <c r="G91" s="14" t="str">
        <f aca="false">IF(Staff!$A91="","",Staff!$AE91)</f>
        <v/>
      </c>
      <c r="H91" s="26" t="str">
        <f aca="false">IF($A91="","",I91&amp;J91&amp;K91&amp;L91&amp;M91&amp;N91&amp;O91&amp;P91&amp;Q91)</f>
        <v/>
      </c>
      <c r="I91" s="0" t="str">
        <f aca="false">IF(OR($A91="",$D91=""),"",IF(AND(EDATE($D91,Milestones!$AA$20)&lt;=AsOfDate,IF($R91=0,$X91,IF(AND($T91&lt;&gt;"",EDATE($D91,Milestones!$AA$20)&gt;=$T91),$W91,IF(AND($S91&lt;&gt;"",EDATE($D91,Milestones!$AA$20)&gt;=$S91),$V91,$U91)))=Milestones!$AB$20),UPPER(TEXT(EDATE($D91,Milestones!$AA$20),"dd mmm yy"))&amp;" "&amp;Milestones!$AB$20&amp;" "&amp;Milestones!$AC$20&amp;";  ","")&amp;IF(AND(EDATE($D91,Milestones!$AA$21)&lt;=AsOfDate,IF($R91=0,$X91,IF(AND($T91&lt;&gt;"",EDATE($D91,Milestones!$AA$21)&gt;=$T91),$W91,IF(AND($S91&lt;&gt;"",EDATE($D91,Milestones!$AA$21)&gt;=$S91),$V91,$U91)))=Milestones!$AB$21),UPPER(TEXT(EDATE($D91,Milestones!$AA$21),"dd mmm yy"))&amp;" "&amp;Milestones!$AB$21&amp;" "&amp;Milestones!$AC$21&amp;";  ","")&amp;IF(AND(EDATE($D91,Milestones!$AA$22)&lt;=AsOfDate,IF($R91=0,$X91,IF(AND($T91&lt;&gt;"",EDATE($D91,Milestones!$AA$22)&gt;=$T91),$W91,IF(AND($S91&lt;&gt;"",EDATE($D91,Milestones!$AA$22)&gt;=$S91),$V91,$U91)))=Milestones!$AB$22),UPPER(TEXT(EDATE($D91,Milestones!$AA$22),"dd mmm yy"))&amp;" "&amp;Milestones!$AB$22&amp;" "&amp;Milestones!$AC$22&amp;";  ","")&amp;IF(AND(EDATE($D91,Milestones!$AA$23)&lt;=AsOfDate,IF($R91=0,$X91,IF(AND($T91&lt;&gt;"",EDATE($D91,Milestones!$AA$23)&gt;=$T91),$W91,IF(AND($S91&lt;&gt;"",EDATE($D91,Milestones!$AA$23)&gt;=$S91),$V91,$U91)))=Milestones!$AB$23),UPPER(TEXT(EDATE($D91,Milestones!$AA$23),"dd mmm yy"))&amp;" "&amp;Milestones!$AB$23&amp;" "&amp;Milestones!$AC$23&amp;";  ","")&amp;IF(AND(EDATE($D91,Milestones!$AA$24)&lt;=AsOfDate,IF($R91=0,$X91,IF(AND($T91&lt;&gt;"",EDATE($D91,Milestones!$AA$24)&gt;=$T91),$W91,IF(AND($S91&lt;&gt;"",EDATE($D91,Milestones!$AA$24)&gt;=$S91),$V91,$U91)))=Milestones!$AB$24),UPPER(TEXT(EDATE($D91,Milestones!$AA$24),"dd mmm yy"))&amp;" "&amp;Milestones!$AB$24&amp;" "&amp;Milestones!$AC$24&amp;";  ","")&amp;IF(AND(EDATE($D91,Milestones!$AA$25)&lt;=AsOfDate,IF($R91=0,$X91,IF(AND($T91&lt;&gt;"",EDATE($D91,Milestones!$AA$25)&gt;=$T91),$W91,IF(AND($S91&lt;&gt;"",EDATE($D91,Milestones!$AA$25)&gt;=$S91),$V91,$U91)))=Milestones!$AB$25),UPPER(TEXT(EDATE($D91,Milestones!$AA$25),"dd mmm yy"))&amp;" "&amp;Milestones!$AB$25&amp;" "&amp;Milestones!$AC$25&amp;";  ","")&amp;IF(AND(EDATE($D91,Milestones!$AA$26)&lt;=AsOfDate,IF($R91=0,$X91,IF(AND($T91&lt;&gt;"",EDATE($D91,Milestones!$AA$26)&gt;=$T91),$W91,IF(AND($S91&lt;&gt;"",EDATE($D91,Milestones!$AA$26)&gt;=$S91),$V91,$U91)))=Milestones!$AB$26),UPPER(TEXT(EDATE($D91,Milestones!$AA$26),"dd mmm yy"))&amp;" "&amp;Milestones!$AB$26&amp;" "&amp;Milestones!$AC$26&amp;";  ","")&amp;IF(AND(EDATE($D91,Milestones!$AA$27)&lt;=AsOfDate,IF($R91=0,$X91,IF(AND($T91&lt;&gt;"",EDATE($D91,Milestones!$AA$27)&gt;=$T91),$W91,IF(AND($S91&lt;&gt;"",EDATE($D91,Milestones!$AA$27)&gt;=$S91),$V91,$U91)))=Milestones!$AB$27),UPPER(TEXT(EDATE($D91,Milestones!$AA$27),"dd mmm yy"))&amp;" "&amp;Milestones!$AB$27&amp;" "&amp;Milestones!$AC$27&amp;";  ","")&amp;IF(AND(EDATE($D91,Milestones!$AA$28)&lt;=AsOfDate,IF($R91=0,$X91,IF(AND($T91&lt;&gt;"",EDATE($D91,Milestones!$AA$28)&gt;=$T91),$W91,IF(AND($S91&lt;&gt;"",EDATE($D91,Milestones!$AA$28)&gt;=$S91),$V91,$U91)))=Milestones!$AB$28),UPPER(TEXT(EDATE($D91,Milestones!$AA$28),"dd mmm yy"))&amp;" "&amp;Milestones!$AB$28&amp;" "&amp;Milestones!$AC$28&amp;";  ","")&amp;IF(AND(EDATE($D91,Milestones!$AA$29)&lt;=AsOfDate,IF($R91=0,$X91,IF(AND($T91&lt;&gt;"",EDATE($D91,Milestones!$AA$29)&gt;=$T91),$W91,IF(AND($S91&lt;&gt;"",EDATE($D91,Milestones!$AA$29)&gt;=$S91),$V91,$U91)))=Milestones!$AB$29),UPPER(TEXT(EDATE($D91,Milestones!$AA$29),"dd mmm yy"))&amp;" "&amp;Milestones!$AB$29&amp;" "&amp;Milestones!$AC$29&amp;";  ","")&amp;IF(AND(EDATE($D91,Milestones!$AA$30)&lt;=AsOfDate,IF($R91=0,$X91,IF(AND($T91&lt;&gt;"",EDATE($D91,Milestones!$AA$30)&gt;=$T91),$W91,IF(AND($S91&lt;&gt;"",EDATE($D91,Milestones!$AA$30)&gt;=$S91),$V91,$U91)))=Milestones!$AB$30),UPPER(TEXT(EDATE($D91,Milestones!$AA$30),"dd mmm yy"))&amp;" "&amp;Milestones!$AB$30&amp;" "&amp;Milestones!$AC$30&amp;";  ","")&amp;IF(AND(EDATE($D91,Milestones!$AA$31)&lt;=AsOfDate,IF($R91=0,$X91,IF(AND($T91&lt;&gt;"",EDATE($D91,Milestones!$AA$31)&gt;=$T91),$W91,IF(AND($S91&lt;&gt;"",EDATE($D91,Milestones!$AA$31)&gt;=$S91),$V91,$U91)))=Milestones!$AB$31),UPPER(TEXT(EDATE($D91,Milestones!$AA$31),"dd mmm yy"))&amp;" "&amp;Milestones!$AB$31&amp;" "&amp;Milestones!$AC$31&amp;";  ","")&amp;IF(AND(EDATE($D91,Milestones!$AA$32)&lt;=AsOfDate,IF($R91=0,$X91,IF(AND($T91&lt;&gt;"",EDATE($D91,Milestones!$AA$32)&gt;=$T91),$W91,IF(AND($S91&lt;&gt;"",EDATE($D91,Milestones!$AA$32)&gt;=$S91),$V91,$U91)))=Milestones!$AB$32),UPPER(TEXT(EDATE($D91,Milestones!$AA$32),"dd mmm yy"))&amp;" "&amp;Milestones!$AB$32&amp;" "&amp;Milestones!$AC$32&amp;";  ","")&amp;IF(AND(EDATE($D91,Milestones!$AA$33)&lt;=AsOfDate,IF($R91=0,$X91,IF(AND($T91&lt;&gt;"",EDATE($D91,Milestones!$AA$33)&gt;=$T91),$W91,IF(AND($S91&lt;&gt;"",EDATE($D91,Milestones!$AA$33)&gt;=$S91),$V91,$U91)))=Milestones!$AB$33),UPPER(TEXT(EDATE($D91,Milestones!$AA$33),"dd mmm yy"))&amp;" "&amp;Milestones!$AB$33&amp;" "&amp;Milestones!$AC$33&amp;";  ","")&amp;IF(AND(EDATE($D91,Milestones!$AA$34)&lt;=AsOfDate,IF($R91=0,$X91,IF(AND($T91&lt;&gt;"",EDATE($D91,Milestones!$AA$34)&gt;=$T91),$W91,IF(AND($S91&lt;&gt;"",EDATE($D91,Milestones!$AA$34)&gt;=$S91),$V91,$U91)))=Milestones!$AB$34),UPPER(TEXT(EDATE($D91,Milestones!$AA$34),"dd mmm yy"))&amp;" "&amp;Milestones!$AB$34&amp;" "&amp;Milestones!$AC$34&amp;";  ","")&amp;IF(AND(EDATE($D91,Milestones!$AA$35)&lt;=AsOfDate,IF($R91=0,$X91,IF(AND($T91&lt;&gt;"",EDATE($D91,Milestones!$AA$35)&gt;=$T91),$W91,IF(AND($S91&lt;&gt;"",EDATE($D91,Milestones!$AA$35)&gt;=$S91),$V91,$U91)))=Milestones!$AB$35),UPPER(TEXT(EDATE($D91,Milestones!$AA$35),"dd mmm yy"))&amp;" "&amp;Milestones!$AB$35&amp;" "&amp;Milestones!$AC$35&amp;";  ","")&amp;IF(AND(EDATE($D91,Milestones!$AA$36)&lt;=AsOfDate,IF($R91=0,$X91,IF(AND($T91&lt;&gt;"",EDATE($D91,Milestones!$AA$36)&gt;=$T91),$W91,IF(AND($S91&lt;&gt;"",EDATE($D91,Milestones!$AA$36)&gt;=$S91),$V91,$U91)))=Milestones!$AB$36),UPPER(TEXT(EDATE($D91,Milestones!$AA$36),"dd mmm yy"))&amp;" "&amp;Milestones!$AB$36&amp;" "&amp;Milestones!$AC$36&amp;";  ","")&amp;IF(AND(EDATE($D91,Milestones!$AA$37)&lt;=AsOfDate,IF($R91=0,$X91,IF(AND($T91&lt;&gt;"",EDATE($D91,Milestones!$AA$37)&gt;=$T91),$W91,IF(AND($S91&lt;&gt;"",EDATE($D91,Milestones!$AA$37)&gt;=$S91),$V91,$U91)))=Milestones!$AB$37),UPPER(TEXT(EDATE($D91,Milestones!$AA$37),"dd mmm yy"))&amp;" "&amp;Milestones!$AB$37&amp;" "&amp;Milestones!$AC$37&amp;";  ","")&amp;IF(AND(EDATE($D91,Milestones!$AA$38)&lt;=AsOfDate,IF($R91=0,$X91,IF(AND($T91&lt;&gt;"",EDATE($D91,Milestones!$AA$38)&gt;=$T91),$W91,IF(AND($S91&lt;&gt;"",EDATE($D91,Milestones!$AA$38)&gt;=$S91),$V91,$U91)))=Milestones!$AB$38),UPPER(TEXT(EDATE($D91,Milestones!$AA$38),"dd mmm yy"))&amp;" "&amp;Milestones!$AB$38&amp;" "&amp;Milestones!$AC$38&amp;";  ","")&amp;IF(AND(EDATE($D91,Milestones!$AA$39)&lt;=AsOfDate,IF($R91=0,$X91,IF(AND($T91&lt;&gt;"",EDATE($D91,Milestones!$AA$39)&gt;=$T91),$W91,IF(AND($S91&lt;&gt;"",EDATE($D91,Milestones!$AA$39)&gt;=$S91),$V91,$U91)))=Milestones!$AB$39),UPPER(TEXT(EDATE($D91,Milestones!$AA$39),"dd mmm yy"))&amp;" "&amp;Milestones!$AB$39&amp;" "&amp;Milestones!$AC$39&amp;";  ",""))</f>
        <v/>
      </c>
      <c r="J91" s="0" t="str">
        <f aca="false">IF(OR($A91="",$D91=""),"",IF(AND(EDATE($D91,Milestones!$AA$40)&lt;=AsOfDate,IF($R91=0,$X91,IF(AND($T91&lt;&gt;"",EDATE($D91,Milestones!$AA$40)&gt;=$T91),$W91,IF(AND($S91&lt;&gt;"",EDATE($D91,Milestones!$AA$40)&gt;=$S91),$V91,$U91)))=Milestones!$AB$40),UPPER(TEXT(EDATE($D91,Milestones!$AA$40),"dd mmm yy"))&amp;" "&amp;Milestones!$AB$40&amp;" "&amp;Milestones!$AC$40&amp;";  ","")&amp;IF(AND(EDATE($D91,Milestones!$AA$41)&lt;=AsOfDate,IF($R91=0,$X91,IF(AND($T91&lt;&gt;"",EDATE($D91,Milestones!$AA$41)&gt;=$T91),$W91,IF(AND($S91&lt;&gt;"",EDATE($D91,Milestones!$AA$41)&gt;=$S91),$V91,$U91)))=Milestones!$AB$41),UPPER(TEXT(EDATE($D91,Milestones!$AA$41),"dd mmm yy"))&amp;" "&amp;Milestones!$AB$41&amp;" "&amp;Milestones!$AC$41&amp;";  ","")&amp;IF(AND(EDATE($D91,Milestones!$AA$42)&lt;=AsOfDate,IF($R91=0,$X91,IF(AND($T91&lt;&gt;"",EDATE($D91,Milestones!$AA$42)&gt;=$T91),$W91,IF(AND($S91&lt;&gt;"",EDATE($D91,Milestones!$AA$42)&gt;=$S91),$V91,$U91)))=Milestones!$AB$42),UPPER(TEXT(EDATE($D91,Milestones!$AA$42),"dd mmm yy"))&amp;" "&amp;Milestones!$AB$42&amp;" "&amp;Milestones!$AC$42&amp;";  ","")&amp;IF(AND(EDATE($D91,Milestones!$AA$43)&lt;=AsOfDate,IF($R91=0,$X91,IF(AND($T91&lt;&gt;"",EDATE($D91,Milestones!$AA$43)&gt;=$T91),$W91,IF(AND($S91&lt;&gt;"",EDATE($D91,Milestones!$AA$43)&gt;=$S91),$V91,$U91)))=Milestones!$AB$43),UPPER(TEXT(EDATE($D91,Milestones!$AA$43),"dd mmm yy"))&amp;" "&amp;Milestones!$AB$43&amp;" "&amp;Milestones!$AC$43&amp;";  ","")&amp;IF(AND(EDATE($D91,Milestones!$AA$44)&lt;=AsOfDate,IF($R91=0,$X91,IF(AND($T91&lt;&gt;"",EDATE($D91,Milestones!$AA$44)&gt;=$T91),$W91,IF(AND($S91&lt;&gt;"",EDATE($D91,Milestones!$AA$44)&gt;=$S91),$V91,$U91)))=Milestones!$AB$44),UPPER(TEXT(EDATE($D91,Milestones!$AA$44),"dd mmm yy"))&amp;" "&amp;Milestones!$AB$44&amp;" "&amp;Milestones!$AC$44&amp;";  ","")&amp;IF(AND(EDATE($D91,Milestones!$AA$45)&lt;=AsOfDate,IF($R91=0,$X91,IF(AND($T91&lt;&gt;"",EDATE($D91,Milestones!$AA$45)&gt;=$T91),$W91,IF(AND($S91&lt;&gt;"",EDATE($D91,Milestones!$AA$45)&gt;=$S91),$V91,$U91)))=Milestones!$AB$45),UPPER(TEXT(EDATE($D91,Milestones!$AA$45),"dd mmm yy"))&amp;" "&amp;Milestones!$AB$45&amp;" "&amp;Milestones!$AC$45&amp;";  ","")&amp;IF(AND(EDATE($D91,Milestones!$AA$46)&lt;=AsOfDate,IF($R91=0,$X91,IF(AND($T91&lt;&gt;"",EDATE($D91,Milestones!$AA$46)&gt;=$T91),$W91,IF(AND($S91&lt;&gt;"",EDATE($D91,Milestones!$AA$46)&gt;=$S91),$V91,$U91)))=Milestones!$AB$46),UPPER(TEXT(EDATE($D91,Milestones!$AA$46),"dd mmm yy"))&amp;" "&amp;Milestones!$AB$46&amp;" "&amp;Milestones!$AC$46&amp;";  ","")&amp;IF(AND(EDATE($D91,Milestones!$AA$47)&lt;=AsOfDate,IF($R91=0,$X91,IF(AND($T91&lt;&gt;"",EDATE($D91,Milestones!$AA$47)&gt;=$T91),$W91,IF(AND($S91&lt;&gt;"",EDATE($D91,Milestones!$AA$47)&gt;=$S91),$V91,$U91)))=Milestones!$AB$47),UPPER(TEXT(EDATE($D91,Milestones!$AA$47),"dd mmm yy"))&amp;" "&amp;Milestones!$AB$47&amp;" "&amp;Milestones!$AC$47&amp;";  ","")&amp;IF(AND(EDATE($D91,Milestones!$AA$48)&lt;=AsOfDate,IF($R91=0,$X91,IF(AND($T91&lt;&gt;"",EDATE($D91,Milestones!$AA$48)&gt;=$T91),$W91,IF(AND($S91&lt;&gt;"",EDATE($D91,Milestones!$AA$48)&gt;=$S91),$V91,$U91)))=Milestones!$AB$48),UPPER(TEXT(EDATE($D91,Milestones!$AA$48),"dd mmm yy"))&amp;" "&amp;Milestones!$AB$48&amp;" "&amp;Milestones!$AC$48&amp;";  ","")&amp;IF(AND(EDATE($D91,Milestones!$AA$49)&lt;=AsOfDate,IF($R91=0,$X91,IF(AND($T91&lt;&gt;"",EDATE($D91,Milestones!$AA$49)&gt;=$T91),$W91,IF(AND($S91&lt;&gt;"",EDATE($D91,Milestones!$AA$49)&gt;=$S91),$V91,$U91)))=Milestones!$AB$49),UPPER(TEXT(EDATE($D91,Milestones!$AA$49),"dd mmm yy"))&amp;" "&amp;Milestones!$AB$49&amp;" "&amp;Milestones!$AC$49&amp;";  ","")&amp;IF(AND(EDATE($D91,Milestones!$AA$50)&lt;=AsOfDate,IF($R91=0,$X91,IF(AND($T91&lt;&gt;"",EDATE($D91,Milestones!$AA$50)&gt;=$T91),$W91,IF(AND($S91&lt;&gt;"",EDATE($D91,Milestones!$AA$50)&gt;=$S91),$V91,$U91)))=Milestones!$AB$50),UPPER(TEXT(EDATE($D91,Milestones!$AA$50),"dd mmm yy"))&amp;" "&amp;Milestones!$AB$50&amp;" "&amp;Milestones!$AC$50&amp;";  ","")&amp;IF(AND(EDATE($D91,Milestones!$AA$51)&lt;=AsOfDate,IF($R91=0,$X91,IF(AND($T91&lt;&gt;"",EDATE($D91,Milestones!$AA$51)&gt;=$T91),$W91,IF(AND($S91&lt;&gt;"",EDATE($D91,Milestones!$AA$51)&gt;=$S91),$V91,$U91)))=Milestones!$AB$51),UPPER(TEXT(EDATE($D91,Milestones!$AA$51),"dd mmm yy"))&amp;" "&amp;Milestones!$AB$51&amp;" "&amp;Milestones!$AC$51&amp;";  ","")&amp;IF(AND(EDATE($D91,Milestones!$AA$52)&lt;=AsOfDate,IF($R91=0,$X91,IF(AND($T91&lt;&gt;"",EDATE($D91,Milestones!$AA$52)&gt;=$T91),$W91,IF(AND($S91&lt;&gt;"",EDATE($D91,Milestones!$AA$52)&gt;=$S91),$V91,$U91)))=Milestones!$AB$52),UPPER(TEXT(EDATE($D91,Milestones!$AA$52),"dd mmm yy"))&amp;" "&amp;Milestones!$AB$52&amp;" "&amp;Milestones!$AC$52&amp;";  ","")&amp;IF(AND(EDATE($D91,Milestones!$AA$53)&lt;=AsOfDate,IF($R91=0,$X91,IF(AND($T91&lt;&gt;"",EDATE($D91,Milestones!$AA$53)&gt;=$T91),$W91,IF(AND($S91&lt;&gt;"",EDATE($D91,Milestones!$AA$53)&gt;=$S91),$V91,$U91)))=Milestones!$AB$53),UPPER(TEXT(EDATE($D91,Milestones!$AA$53),"dd mmm yy"))&amp;" "&amp;Milestones!$AB$53&amp;" "&amp;Milestones!$AC$53&amp;";  ","")&amp;IF(AND(EDATE($D91,Milestones!$AA$54)&lt;=AsOfDate,IF($R91=0,$X91,IF(AND($T91&lt;&gt;"",EDATE($D91,Milestones!$AA$54)&gt;=$T91),$W91,IF(AND($S91&lt;&gt;"",EDATE($D91,Milestones!$AA$54)&gt;=$S91),$V91,$U91)))=Milestones!$AB$54),UPPER(TEXT(EDATE($D91,Milestones!$AA$54),"dd mmm yy"))&amp;" "&amp;Milestones!$AB$54&amp;" "&amp;Milestones!$AC$54&amp;";  ","")&amp;IF(AND(EDATE($D91,Milestones!$AA$55)&lt;=AsOfDate,IF($R91=0,$X91,IF(AND($T91&lt;&gt;"",EDATE($D91,Milestones!$AA$55)&gt;=$T91),$W91,IF(AND($S91&lt;&gt;"",EDATE($D91,Milestones!$AA$55)&gt;=$S91),$V91,$U91)))=Milestones!$AB$55),UPPER(TEXT(EDATE($D91,Milestones!$AA$55),"dd mmm yy"))&amp;" "&amp;Milestones!$AB$55&amp;" "&amp;Milestones!$AC$55&amp;";  ","")&amp;IF(AND(EDATE($D91,Milestones!$AA$56)&lt;=AsOfDate,IF($R91=0,$X91,IF(AND($T91&lt;&gt;"",EDATE($D91,Milestones!$AA$56)&gt;=$T91),$W91,IF(AND($S91&lt;&gt;"",EDATE($D91,Milestones!$AA$56)&gt;=$S91),$V91,$U91)))=Milestones!$AB$56),UPPER(TEXT(EDATE($D91,Milestones!$AA$56),"dd mmm yy"))&amp;" "&amp;Milestones!$AB$56&amp;" "&amp;Milestones!$AC$56&amp;";  ","")&amp;IF(AND(EDATE($D91,Milestones!$AA$57)&lt;=AsOfDate,IF($R91=0,$X91,IF(AND($T91&lt;&gt;"",EDATE($D91,Milestones!$AA$57)&gt;=$T91),$W91,IF(AND($S91&lt;&gt;"",EDATE($D91,Milestones!$AA$57)&gt;=$S91),$V91,$U91)))=Milestones!$AB$57),UPPER(TEXT(EDATE($D91,Milestones!$AA$57),"dd mmm yy"))&amp;" "&amp;Milestones!$AB$57&amp;" "&amp;Milestones!$AC$57&amp;";  ","")&amp;IF(AND(EDATE($D91,Milestones!$AA$58)&lt;=AsOfDate,IF($R91=0,$X91,IF(AND($T91&lt;&gt;"",EDATE($D91,Milestones!$AA$58)&gt;=$T91),$W91,IF(AND($S91&lt;&gt;"",EDATE($D91,Milestones!$AA$58)&gt;=$S91),$V91,$U91)))=Milestones!$AB$58),UPPER(TEXT(EDATE($D91,Milestones!$AA$58),"dd mmm yy"))&amp;" "&amp;Milestones!$AB$58&amp;" "&amp;Milestones!$AC$58&amp;";  ","")&amp;IF(AND(EDATE($D91,Milestones!$AA$59)&lt;=AsOfDate,IF($R91=0,$X91,IF(AND($T91&lt;&gt;"",EDATE($D91,Milestones!$AA$59)&gt;=$T91),$W91,IF(AND($S91&lt;&gt;"",EDATE($D91,Milestones!$AA$59)&gt;=$S91),$V91,$U91)))=Milestones!$AB$59),UPPER(TEXT(EDATE($D91,Milestones!$AA$59),"dd mmm yy"))&amp;" "&amp;Milestones!$AB$59&amp;" "&amp;Milestones!$AC$59&amp;";  ",""))</f>
        <v/>
      </c>
      <c r="K91" s="0" t="str">
        <f aca="false">IF(OR($A91="",$D91=""),"",IF(AND(EDATE($D91,Milestones!$AA$60)&lt;=AsOfDate,IF($R91=0,$X91,IF(AND($T91&lt;&gt;"",EDATE($D91,Milestones!$AA$60)&gt;=$T91),$W91,IF(AND($S91&lt;&gt;"",EDATE($D91,Milestones!$AA$60)&gt;=$S91),$V91,$U91)))=Milestones!$AB$60),UPPER(TEXT(EDATE($D91,Milestones!$AA$60),"dd mmm yy"))&amp;" "&amp;Milestones!$AB$60&amp;" "&amp;Milestones!$AC$60&amp;";  ","")&amp;IF(AND(EDATE($D91,Milestones!$AA$61)&lt;=AsOfDate,IF($R91=0,$X91,IF(AND($T91&lt;&gt;"",EDATE($D91,Milestones!$AA$61)&gt;=$T91),$W91,IF(AND($S91&lt;&gt;"",EDATE($D91,Milestones!$AA$61)&gt;=$S91),$V91,$U91)))=Milestones!$AB$61),UPPER(TEXT(EDATE($D91,Milestones!$AA$61),"dd mmm yy"))&amp;" "&amp;Milestones!$AB$61&amp;" "&amp;Milestones!$AC$61&amp;";  ","")&amp;IF(AND(EDATE($D91,Milestones!$AA$62)&lt;=AsOfDate,IF($R91=0,$X91,IF(AND($T91&lt;&gt;"",EDATE($D91,Milestones!$AA$62)&gt;=$T91),$W91,IF(AND($S91&lt;&gt;"",EDATE($D91,Milestones!$AA$62)&gt;=$S91),$V91,$U91)))=Milestones!$AB$62),UPPER(TEXT(EDATE($D91,Milestones!$AA$62),"dd mmm yy"))&amp;" "&amp;Milestones!$AB$62&amp;" "&amp;Milestones!$AC$62&amp;";  ","")&amp;IF(AND(EDATE($D91,Milestones!$AA$63)&lt;=AsOfDate,IF($R91=0,$X91,IF(AND($T91&lt;&gt;"",EDATE($D91,Milestones!$AA$63)&gt;=$T91),$W91,IF(AND($S91&lt;&gt;"",EDATE($D91,Milestones!$AA$63)&gt;=$S91),$V91,$U91)))=Milestones!$AB$63),UPPER(TEXT(EDATE($D91,Milestones!$AA$63),"dd mmm yy"))&amp;" "&amp;Milestones!$AB$63&amp;" "&amp;Milestones!$AC$63&amp;";  ","")&amp;IF(AND(EDATE($D91,Milestones!$AA$64)&lt;=AsOfDate,IF($R91=0,$X91,IF(AND($T91&lt;&gt;"",EDATE($D91,Milestones!$AA$64)&gt;=$T91),$W91,IF(AND($S91&lt;&gt;"",EDATE($D91,Milestones!$AA$64)&gt;=$S91),$V91,$U91)))=Milestones!$AB$64),UPPER(TEXT(EDATE($D91,Milestones!$AA$64),"dd mmm yy"))&amp;" "&amp;Milestones!$AB$64&amp;" "&amp;Milestones!$AC$64&amp;";  ","")&amp;IF(AND(EDATE($D91,Milestones!$AA$65)&lt;=AsOfDate,IF($R91=0,$X91,IF(AND($T91&lt;&gt;"",EDATE($D91,Milestones!$AA$65)&gt;=$T91),$W91,IF(AND($S91&lt;&gt;"",EDATE($D91,Milestones!$AA$65)&gt;=$S91),$V91,$U91)))=Milestones!$AB$65),UPPER(TEXT(EDATE($D91,Milestones!$AA$65),"dd mmm yy"))&amp;" "&amp;Milestones!$AB$65&amp;" "&amp;Milestones!$AC$65&amp;";  ","")&amp;IF(AND(EDATE($D91,Milestones!$AA$66)&lt;=AsOfDate,IF($R91=0,$X91,IF(AND($T91&lt;&gt;"",EDATE($D91,Milestones!$AA$66)&gt;=$T91),$W91,IF(AND($S91&lt;&gt;"",EDATE($D91,Milestones!$AA$66)&gt;=$S91),$V91,$U91)))=Milestones!$AB$66),UPPER(TEXT(EDATE($D91,Milestones!$AA$66),"dd mmm yy"))&amp;" "&amp;Milestones!$AB$66&amp;" "&amp;Milestones!$AC$66&amp;";  ","")&amp;IF(AND(EDATE($D91,Milestones!$AA$67)&lt;=AsOfDate,IF($R91=0,$X91,IF(AND($T91&lt;&gt;"",EDATE($D91,Milestones!$AA$67)&gt;=$T91),$W91,IF(AND($S91&lt;&gt;"",EDATE($D91,Milestones!$AA$67)&gt;=$S91),$V91,$U91)))=Milestones!$AB$67),UPPER(TEXT(EDATE($D91,Milestones!$AA$67),"dd mmm yy"))&amp;" "&amp;Milestones!$AB$67&amp;" "&amp;Milestones!$AC$67&amp;";  ","")&amp;IF(AND(EDATE($D91,Milestones!$AA$68)&lt;=AsOfDate,IF($R91=0,$X91,IF(AND($T91&lt;&gt;"",EDATE($D91,Milestones!$AA$68)&gt;=$T91),$W91,IF(AND($S91&lt;&gt;"",EDATE($D91,Milestones!$AA$68)&gt;=$S91),$V91,$U91)))=Milestones!$AB$68),UPPER(TEXT(EDATE($D91,Milestones!$AA$68),"dd mmm yy"))&amp;" "&amp;Milestones!$AB$68&amp;" "&amp;Milestones!$AC$68&amp;";  ","")&amp;IF(AND(EDATE($D91,Milestones!$AA$69)&lt;=AsOfDate,IF($R91=0,$X91,IF(AND($T91&lt;&gt;"",EDATE($D91,Milestones!$AA$69)&gt;=$T91),$W91,IF(AND($S91&lt;&gt;"",EDATE($D91,Milestones!$AA$69)&gt;=$S91),$V91,$U91)))=Milestones!$AB$69),UPPER(TEXT(EDATE($D91,Milestones!$AA$69),"dd mmm yy"))&amp;" "&amp;Milestones!$AB$69&amp;" "&amp;Milestones!$AC$69&amp;";  ","")&amp;IF(AND(EDATE($D91,Milestones!$AA$70)&lt;=AsOfDate,IF($R91=0,$X91,IF(AND($T91&lt;&gt;"",EDATE($D91,Milestones!$AA$70)&gt;=$T91),$W91,IF(AND($S91&lt;&gt;"",EDATE($D91,Milestones!$AA$70)&gt;=$S91),$V91,$U91)))=Milestones!$AB$70),UPPER(TEXT(EDATE($D91,Milestones!$AA$70),"dd mmm yy"))&amp;" "&amp;Milestones!$AB$70&amp;" "&amp;Milestones!$AC$70&amp;";  ","")&amp;IF(AND(EDATE($D91,Milestones!$AA$71)&lt;=AsOfDate,IF($R91=0,$X91,IF(AND($T91&lt;&gt;"",EDATE($D91,Milestones!$AA$71)&gt;=$T91),$W91,IF(AND($S91&lt;&gt;"",EDATE($D91,Milestones!$AA$71)&gt;=$S91),$V91,$U91)))=Milestones!$AB$71),UPPER(TEXT(EDATE($D91,Milestones!$AA$71),"dd mmm yy"))&amp;" "&amp;Milestones!$AB$71&amp;" "&amp;Milestones!$AC$71&amp;";  ","")&amp;IF(AND(EDATE($D91,Milestones!$AA$72)&lt;=AsOfDate,IF($R91=0,$X91,IF(AND($T91&lt;&gt;"",EDATE($D91,Milestones!$AA$72)&gt;=$T91),$W91,IF(AND($S91&lt;&gt;"",EDATE($D91,Milestones!$AA$72)&gt;=$S91),$V91,$U91)))=Milestones!$AB$72),UPPER(TEXT(EDATE($D91,Milestones!$AA$72),"dd mmm yy"))&amp;" "&amp;Milestones!$AB$72&amp;" "&amp;Milestones!$AC$72&amp;";  ","")&amp;IF(AND(EDATE($D91,Milestones!$AA$73)&lt;=AsOfDate,IF($R91=0,$X91,IF(AND($T91&lt;&gt;"",EDATE($D91,Milestones!$AA$73)&gt;=$T91),$W91,IF(AND($S91&lt;&gt;"",EDATE($D91,Milestones!$AA$73)&gt;=$S91),$V91,$U91)))=Milestones!$AB$73),UPPER(TEXT(EDATE($D91,Milestones!$AA$73),"dd mmm yy"))&amp;" "&amp;Milestones!$AB$73&amp;" "&amp;Milestones!$AC$73&amp;";  ","")&amp;IF(AND(EDATE($D91,Milestones!$AA$74)&lt;=AsOfDate,IF($R91=0,$X91,IF(AND($T91&lt;&gt;"",EDATE($D91,Milestones!$AA$74)&gt;=$T91),$W91,IF(AND($S91&lt;&gt;"",EDATE($D91,Milestones!$AA$74)&gt;=$S91),$V91,$U91)))=Milestones!$AB$74),UPPER(TEXT(EDATE($D91,Milestones!$AA$74),"dd mmm yy"))&amp;" "&amp;Milestones!$AB$74&amp;" "&amp;Milestones!$AC$74&amp;";  ","")&amp;IF(AND(EDATE($D91,Milestones!$AA$75)&lt;=AsOfDate,IF($R91=0,$X91,IF(AND($T91&lt;&gt;"",EDATE($D91,Milestones!$AA$75)&gt;=$T91),$W91,IF(AND($S91&lt;&gt;"",EDATE($D91,Milestones!$AA$75)&gt;=$S91),$V91,$U91)))=Milestones!$AB$75),UPPER(TEXT(EDATE($D91,Milestones!$AA$75),"dd mmm yy"))&amp;" "&amp;Milestones!$AB$75&amp;" "&amp;Milestones!$AC$75&amp;";  ","")&amp;IF(AND(EDATE($D91,Milestones!$AA$76)&lt;=AsOfDate,IF($R91=0,$X91,IF(AND($T91&lt;&gt;"",EDATE($D91,Milestones!$AA$76)&gt;=$T91),$W91,IF(AND($S91&lt;&gt;"",EDATE($D91,Milestones!$AA$76)&gt;=$S91),$V91,$U91)))=Milestones!$AB$76),UPPER(TEXT(EDATE($D91,Milestones!$AA$76),"dd mmm yy"))&amp;" "&amp;Milestones!$AB$76&amp;" "&amp;Milestones!$AC$76&amp;";  ","")&amp;IF(AND(EDATE($D91,Milestones!$AA$77)&lt;=AsOfDate,IF($R91=0,$X91,IF(AND($T91&lt;&gt;"",EDATE($D91,Milestones!$AA$77)&gt;=$T91),$W91,IF(AND($S91&lt;&gt;"",EDATE($D91,Milestones!$AA$77)&gt;=$S91),$V91,$U91)))=Milestones!$AB$77),UPPER(TEXT(EDATE($D91,Milestones!$AA$77),"dd mmm yy"))&amp;" "&amp;Milestones!$AB$77&amp;" "&amp;Milestones!$AC$77&amp;";  ","")&amp;IF(AND(EDATE($D91,Milestones!$AA$78)&lt;=AsOfDate,IF($R91=0,$X91,IF(AND($T91&lt;&gt;"",EDATE($D91,Milestones!$AA$78)&gt;=$T91),$W91,IF(AND($S91&lt;&gt;"",EDATE($D91,Milestones!$AA$78)&gt;=$S91),$V91,$U91)))=Milestones!$AB$78),UPPER(TEXT(EDATE($D91,Milestones!$AA$78),"dd mmm yy"))&amp;" "&amp;Milestones!$AB$78&amp;" "&amp;Milestones!$AC$78&amp;";  ","")&amp;IF(AND(EDATE($D91,Milestones!$AA$79)&lt;=AsOfDate,IF($R91=0,$X91,IF(AND($T91&lt;&gt;"",EDATE($D91,Milestones!$AA$79)&gt;=$T91),$W91,IF(AND($S91&lt;&gt;"",EDATE($D91,Milestones!$AA$79)&gt;=$S91),$V91,$U91)))=Milestones!$AB$79),UPPER(TEXT(EDATE($D91,Milestones!$AA$79),"dd mmm yy"))&amp;" "&amp;Milestones!$AB$79&amp;" "&amp;Milestones!$AC$79&amp;";  ",""))</f>
        <v/>
      </c>
      <c r="L91" s="0" t="str">
        <f aca="false">IF(OR($A91="",$D91=""),"",IF(AND(EDATE($D91,Milestones!$AA$80)&lt;=AsOfDate,IF($R91=0,$X91,IF(AND($T91&lt;&gt;"",EDATE($D91,Milestones!$AA$80)&gt;=$T91),$W91,IF(AND($S91&lt;&gt;"",EDATE($D91,Milestones!$AA$80)&gt;=$S91),$V91,$U91)))=Milestones!$AB$80),UPPER(TEXT(EDATE($D91,Milestones!$AA$80),"dd mmm yy"))&amp;" "&amp;Milestones!$AB$80&amp;" "&amp;Milestones!$AC$80&amp;";  ","")&amp;IF(AND(EDATE($D91,Milestones!$AA$81)&lt;=AsOfDate,IF($R91=0,$X91,IF(AND($T91&lt;&gt;"",EDATE($D91,Milestones!$AA$81)&gt;=$T91),$W91,IF(AND($S91&lt;&gt;"",EDATE($D91,Milestones!$AA$81)&gt;=$S91),$V91,$U91)))=Milestones!$AB$81),UPPER(TEXT(EDATE($D91,Milestones!$AA$81),"dd mmm yy"))&amp;" "&amp;Milestones!$AB$81&amp;" "&amp;Milestones!$AC$81&amp;";  ","")&amp;IF(AND(EDATE($D91,Milestones!$AA$82)&lt;=AsOfDate,IF($R91=0,$X91,IF(AND($T91&lt;&gt;"",EDATE($D91,Milestones!$AA$82)&gt;=$T91),$W91,IF(AND($S91&lt;&gt;"",EDATE($D91,Milestones!$AA$82)&gt;=$S91),$V91,$U91)))=Milestones!$AB$82),UPPER(TEXT(EDATE($D91,Milestones!$AA$82),"dd mmm yy"))&amp;" "&amp;Milestones!$AB$82&amp;" "&amp;Milestones!$AC$82&amp;";  ","")&amp;IF(AND(EDATE($D91,Milestones!$AA$83)&lt;=AsOfDate,IF($R91=0,$X91,IF(AND($T91&lt;&gt;"",EDATE($D91,Milestones!$AA$83)&gt;=$T91),$W91,IF(AND($S91&lt;&gt;"",EDATE($D91,Milestones!$AA$83)&gt;=$S91),$V91,$U91)))=Milestones!$AB$83),UPPER(TEXT(EDATE($D91,Milestones!$AA$83),"dd mmm yy"))&amp;" "&amp;Milestones!$AB$83&amp;" "&amp;Milestones!$AC$83&amp;";  ","")&amp;IF(AND(EDATE($D91,Milestones!$AA$84)&lt;=AsOfDate,IF($R91=0,$X91,IF(AND($T91&lt;&gt;"",EDATE($D91,Milestones!$AA$84)&gt;=$T91),$W91,IF(AND($S91&lt;&gt;"",EDATE($D91,Milestones!$AA$84)&gt;=$S91),$V91,$U91)))=Milestones!$AB$84),UPPER(TEXT(EDATE($D91,Milestones!$AA$84),"dd mmm yy"))&amp;" "&amp;Milestones!$AB$84&amp;" "&amp;Milestones!$AC$84&amp;";  ","")&amp;IF(AND(EDATE($D91,Milestones!$AA$85)&lt;=AsOfDate,IF($R91=0,$X91,IF(AND($T91&lt;&gt;"",EDATE($D91,Milestones!$AA$85)&gt;=$T91),$W91,IF(AND($S91&lt;&gt;"",EDATE($D91,Milestones!$AA$85)&gt;=$S91),$V91,$U91)))=Milestones!$AB$85),UPPER(TEXT(EDATE($D91,Milestones!$AA$85),"dd mmm yy"))&amp;" "&amp;Milestones!$AB$85&amp;" "&amp;Milestones!$AC$85&amp;";  ","")&amp;IF(AND(EDATE($D91,Milestones!$AA$86)&lt;=AsOfDate,IF($R91=0,$X91,IF(AND($T91&lt;&gt;"",EDATE($D91,Milestones!$AA$86)&gt;=$T91),$W91,IF(AND($S91&lt;&gt;"",EDATE($D91,Milestones!$AA$86)&gt;=$S91),$V91,$U91)))=Milestones!$AB$86),UPPER(TEXT(EDATE($D91,Milestones!$AA$86),"dd mmm yy"))&amp;" "&amp;Milestones!$AB$86&amp;" "&amp;Milestones!$AC$86&amp;";  ","")&amp;IF(AND(EDATE($D91,Milestones!$AA$87)&lt;=AsOfDate,IF($R91=0,$X91,IF(AND($T91&lt;&gt;"",EDATE($D91,Milestones!$AA$87)&gt;=$T91),$W91,IF(AND($S91&lt;&gt;"",EDATE($D91,Milestones!$AA$87)&gt;=$S91),$V91,$U91)))=Milestones!$AB$87),UPPER(TEXT(EDATE($D91,Milestones!$AA$87),"dd mmm yy"))&amp;" "&amp;Milestones!$AB$87&amp;" "&amp;Milestones!$AC$87&amp;";  ","")&amp;IF(AND(EDATE($D91,Milestones!$AA$88)&lt;=AsOfDate,IF($R91=0,$X91,IF(AND($T91&lt;&gt;"",EDATE($D91,Milestones!$AA$88)&gt;=$T91),$W91,IF(AND($S91&lt;&gt;"",EDATE($D91,Milestones!$AA$88)&gt;=$S91),$V91,$U91)))=Milestones!$AB$88),UPPER(TEXT(EDATE($D91,Milestones!$AA$88),"dd mmm yy"))&amp;" "&amp;Milestones!$AB$88&amp;" "&amp;Milestones!$AC$88&amp;";  ","")&amp;IF(AND(EDATE($D91,Milestones!$AA$89)&lt;=AsOfDate,IF($R91=0,$X91,IF(AND($T91&lt;&gt;"",EDATE($D91,Milestones!$AA$89)&gt;=$T91),$W91,IF(AND($S91&lt;&gt;"",EDATE($D91,Milestones!$AA$89)&gt;=$S91),$V91,$U91)))=Milestones!$AB$89),UPPER(TEXT(EDATE($D91,Milestones!$AA$89),"dd mmm yy"))&amp;" "&amp;Milestones!$AB$89&amp;" "&amp;Milestones!$AC$89&amp;";  ","")&amp;IF(AND(EDATE($D91,Milestones!$AA$90)&lt;=AsOfDate,IF($R91=0,$X91,IF(AND($T91&lt;&gt;"",EDATE($D91,Milestones!$AA$90)&gt;=$T91),$W91,IF(AND($S91&lt;&gt;"",EDATE($D91,Milestones!$AA$90)&gt;=$S91),$V91,$U91)))=Milestones!$AB$90),UPPER(TEXT(EDATE($D91,Milestones!$AA$90),"dd mmm yy"))&amp;" "&amp;Milestones!$AB$90&amp;" "&amp;Milestones!$AC$90&amp;";  ","")&amp;IF(AND(EDATE($D91,Milestones!$AA$91)&lt;=AsOfDate,IF($R91=0,$X91,IF(AND($T91&lt;&gt;"",EDATE($D91,Milestones!$AA$91)&gt;=$T91),$W91,IF(AND($S91&lt;&gt;"",EDATE($D91,Milestones!$AA$91)&gt;=$S91),$V91,$U91)))=Milestones!$AB$91),UPPER(TEXT(EDATE($D91,Milestones!$AA$91),"dd mmm yy"))&amp;" "&amp;Milestones!$AB$91&amp;" "&amp;Milestones!$AC$91&amp;";  ","")&amp;IF(AND(EDATE($D91,Milestones!$AA$92)&lt;=AsOfDate,IF($R91=0,$X91,IF(AND($T91&lt;&gt;"",EDATE($D91,Milestones!$AA$92)&gt;=$T91),$W91,IF(AND($S91&lt;&gt;"",EDATE($D91,Milestones!$AA$92)&gt;=$S91),$V91,$U91)))=Milestones!$AB$92),UPPER(TEXT(EDATE($D91,Milestones!$AA$92),"dd mmm yy"))&amp;" "&amp;Milestones!$AB$92&amp;" "&amp;Milestones!$AC$92&amp;";  ","")&amp;IF(AND(EDATE($D91,Milestones!$AA$93)&lt;=AsOfDate,IF($R91=0,$X91,IF(AND($T91&lt;&gt;"",EDATE($D91,Milestones!$AA$93)&gt;=$T91),$W91,IF(AND($S91&lt;&gt;"",EDATE($D91,Milestones!$AA$93)&gt;=$S91),$V91,$U91)))=Milestones!$AB$93),UPPER(TEXT(EDATE($D91,Milestones!$AA$93),"dd mmm yy"))&amp;" "&amp;Milestones!$AB$93&amp;" "&amp;Milestones!$AC$93&amp;";  ","")&amp;IF(AND(EDATE($D91,Milestones!$AA$94)&lt;=AsOfDate,IF($R91=0,$X91,IF(AND($T91&lt;&gt;"",EDATE($D91,Milestones!$AA$94)&gt;=$T91),$W91,IF(AND($S91&lt;&gt;"",EDATE($D91,Milestones!$AA$94)&gt;=$S91),$V91,$U91)))=Milestones!$AB$94),UPPER(TEXT(EDATE($D91,Milestones!$AA$94),"dd mmm yy"))&amp;" "&amp;Milestones!$AB$94&amp;" "&amp;Milestones!$AC$94&amp;";  ","")&amp;IF(AND(EDATE($D91,Milestones!$AA$95)&lt;=AsOfDate,IF($R91=0,$X91,IF(AND($T91&lt;&gt;"",EDATE($D91,Milestones!$AA$95)&gt;=$T91),$W91,IF(AND($S91&lt;&gt;"",EDATE($D91,Milestones!$AA$95)&gt;=$S91),$V91,$U91)))=Milestones!$AB$95),UPPER(TEXT(EDATE($D91,Milestones!$AA$95),"dd mmm yy"))&amp;" "&amp;Milestones!$AB$95&amp;" "&amp;Milestones!$AC$95&amp;";  ","")&amp;IF(AND(EDATE($D91,Milestones!$AA$96)&lt;=AsOfDate,IF($R91=0,$X91,IF(AND($T91&lt;&gt;"",EDATE($D91,Milestones!$AA$96)&gt;=$T91),$W91,IF(AND($S91&lt;&gt;"",EDATE($D91,Milestones!$AA$96)&gt;=$S91),$V91,$U91)))=Milestones!$AB$96),UPPER(TEXT(EDATE($D91,Milestones!$AA$96),"dd mmm yy"))&amp;" "&amp;Milestones!$AB$96&amp;" "&amp;Milestones!$AC$96&amp;";  ","")&amp;IF(AND(EDATE($D91,Milestones!$AA$97)&lt;=AsOfDate,IF($R91=0,$X91,IF(AND($T91&lt;&gt;"",EDATE($D91,Milestones!$AA$97)&gt;=$T91),$W91,IF(AND($S91&lt;&gt;"",EDATE($D91,Milestones!$AA$97)&gt;=$S91),$V91,$U91)))=Milestones!$AB$97),UPPER(TEXT(EDATE($D91,Milestones!$AA$97),"dd mmm yy"))&amp;" "&amp;Milestones!$AB$97&amp;" "&amp;Milestones!$AC$97&amp;";  ","")&amp;IF(AND(EDATE($D91,Milestones!$AA$98)&lt;=AsOfDate,IF($R91=0,$X91,IF(AND($T91&lt;&gt;"",EDATE($D91,Milestones!$AA$98)&gt;=$T91),$W91,IF(AND($S91&lt;&gt;"",EDATE($D91,Milestones!$AA$98)&gt;=$S91),$V91,$U91)))=Milestones!$AB$98),UPPER(TEXT(EDATE($D91,Milestones!$AA$98),"dd mmm yy"))&amp;" "&amp;Milestones!$AB$98&amp;" "&amp;Milestones!$AC$98&amp;";  ","")&amp;IF(AND(EDATE($D91,Milestones!$AA$99)&lt;=AsOfDate,IF($R91=0,$X91,IF(AND($T91&lt;&gt;"",EDATE($D91,Milestones!$AA$99)&gt;=$T91),$W91,IF(AND($S91&lt;&gt;"",EDATE($D91,Milestones!$AA$99)&gt;=$S91),$V91,$U91)))=Milestones!$AB$99),UPPER(TEXT(EDATE($D91,Milestones!$AA$99),"dd mmm yy"))&amp;" "&amp;Milestones!$AB$99&amp;" "&amp;Milestones!$AC$99&amp;";  ",""))</f>
        <v/>
      </c>
      <c r="M91" s="0" t="str">
        <f aca="false">IF(OR($A91="",$D91=""),"",IF(AND(EDATE($D91,Milestones!$AA$100)&lt;=AsOfDate,IF($R91=0,$X91,IF(AND($T91&lt;&gt;"",EDATE($D91,Milestones!$AA$100)&gt;=$T91),$W91,IF(AND($S91&lt;&gt;"",EDATE($D91,Milestones!$AA$100)&gt;=$S91),$V91,$U91)))=Milestones!$AB$100),UPPER(TEXT(EDATE($D91,Milestones!$AA$100),"dd mmm yy"))&amp;" "&amp;Milestones!$AB$100&amp;" "&amp;Milestones!$AC$100&amp;";  ","")&amp;IF(AND(EDATE($D91,Milestones!$AA$101)&lt;=AsOfDate,IF($R91=0,$X91,IF(AND($T91&lt;&gt;"",EDATE($D91,Milestones!$AA$101)&gt;=$T91),$W91,IF(AND($S91&lt;&gt;"",EDATE($D91,Milestones!$AA$101)&gt;=$S91),$V91,$U91)))=Milestones!$AB$101),UPPER(TEXT(EDATE($D91,Milestones!$AA$101),"dd mmm yy"))&amp;" "&amp;Milestones!$AB$101&amp;" "&amp;Milestones!$AC$101&amp;";  ","")&amp;IF(AND(EDATE($D91,Milestones!$AA$102)&lt;=AsOfDate,IF($R91=0,$X91,IF(AND($T91&lt;&gt;"",EDATE($D91,Milestones!$AA$102)&gt;=$T91),$W91,IF(AND($S91&lt;&gt;"",EDATE($D91,Milestones!$AA$102)&gt;=$S91),$V91,$U91)))=Milestones!$AB$102),UPPER(TEXT(EDATE($D91,Milestones!$AA$102),"dd mmm yy"))&amp;" "&amp;Milestones!$AB$102&amp;" "&amp;Milestones!$AC$102&amp;";  ","")&amp;IF(AND(EDATE($D91,Milestones!$AA$103)&lt;=AsOfDate,IF($R91=0,$X91,IF(AND($T91&lt;&gt;"",EDATE($D91,Milestones!$AA$103)&gt;=$T91),$W91,IF(AND($S91&lt;&gt;"",EDATE($D91,Milestones!$AA$103)&gt;=$S91),$V91,$U91)))=Milestones!$AB$103),UPPER(TEXT(EDATE($D91,Milestones!$AA$103),"dd mmm yy"))&amp;" "&amp;Milestones!$AB$103&amp;" "&amp;Milestones!$AC$103&amp;";  ","")&amp;IF(AND(EDATE($D91,Milestones!$AA$104)&lt;=AsOfDate,IF($R91=0,$X91,IF(AND($T91&lt;&gt;"",EDATE($D91,Milestones!$AA$104)&gt;=$T91),$W91,IF(AND($S91&lt;&gt;"",EDATE($D91,Milestones!$AA$104)&gt;=$S91),$V91,$U91)))=Milestones!$AB$104),UPPER(TEXT(EDATE($D91,Milestones!$AA$104),"dd mmm yy"))&amp;" "&amp;Milestones!$AB$104&amp;" "&amp;Milestones!$AC$104&amp;";  ","")&amp;IF(AND(EDATE($D91,Milestones!$AA$105)&lt;=AsOfDate,IF($R91=0,$X91,IF(AND($T91&lt;&gt;"",EDATE($D91,Milestones!$AA$105)&gt;=$T91),$W91,IF(AND($S91&lt;&gt;"",EDATE($D91,Milestones!$AA$105)&gt;=$S91),$V91,$U91)))=Milestones!$AB$105),UPPER(TEXT(EDATE($D91,Milestones!$AA$105),"dd mmm yy"))&amp;" "&amp;Milestones!$AB$105&amp;" "&amp;Milestones!$AC$105&amp;";  ","")&amp;IF(AND(EDATE($D91,Milestones!$AA$106)&lt;=AsOfDate,IF($R91=0,$X91,IF(AND($T91&lt;&gt;"",EDATE($D91,Milestones!$AA$106)&gt;=$T91),$W91,IF(AND($S91&lt;&gt;"",EDATE($D91,Milestones!$AA$106)&gt;=$S91),$V91,$U91)))=Milestones!$AB$106),UPPER(TEXT(EDATE($D91,Milestones!$AA$106),"dd mmm yy"))&amp;" "&amp;Milestones!$AB$106&amp;" "&amp;Milestones!$AC$106&amp;";  ","")&amp;IF(AND(EDATE($D91,Milestones!$AA$107)&lt;=AsOfDate,IF($R91=0,$X91,IF(AND($T91&lt;&gt;"",EDATE($D91,Milestones!$AA$107)&gt;=$T91),$W91,IF(AND($S91&lt;&gt;"",EDATE($D91,Milestones!$AA$107)&gt;=$S91),$V91,$U91)))=Milestones!$AB$107),UPPER(TEXT(EDATE($D91,Milestones!$AA$107),"dd mmm yy"))&amp;" "&amp;Milestones!$AB$107&amp;" "&amp;Milestones!$AC$107&amp;";  ","")&amp;IF(AND(EDATE($D91,Milestones!$AA$108)&lt;=AsOfDate,IF($R91=0,$X91,IF(AND($T91&lt;&gt;"",EDATE($D91,Milestones!$AA$108)&gt;=$T91),$W91,IF(AND($S91&lt;&gt;"",EDATE($D91,Milestones!$AA$108)&gt;=$S91),$V91,$U91)))=Milestones!$AB$108),UPPER(TEXT(EDATE($D91,Milestones!$AA$108),"dd mmm yy"))&amp;" "&amp;Milestones!$AB$108&amp;" "&amp;Milestones!$AC$108&amp;";  ","")&amp;IF(AND(EDATE($D91,Milestones!$AA$109)&lt;=AsOfDate,IF($R91=0,$X91,IF(AND($T91&lt;&gt;"",EDATE($D91,Milestones!$AA$109)&gt;=$T91),$W91,IF(AND($S91&lt;&gt;"",EDATE($D91,Milestones!$AA$109)&gt;=$S91),$V91,$U91)))=Milestones!$AB$109),UPPER(TEXT(EDATE($D91,Milestones!$AA$109),"dd mmm yy"))&amp;" "&amp;Milestones!$AB$109&amp;" "&amp;Milestones!$AC$109&amp;";  ","")&amp;IF(AND(EDATE($D91,Milestones!$AA$110)&lt;=AsOfDate,IF($R91=0,$X91,IF(AND($T91&lt;&gt;"",EDATE($D91,Milestones!$AA$110)&gt;=$T91),$W91,IF(AND($S91&lt;&gt;"",EDATE($D91,Milestones!$AA$110)&gt;=$S91),$V91,$U91)))=Milestones!$AB$110),UPPER(TEXT(EDATE($D91,Milestones!$AA$110),"dd mmm yy"))&amp;" "&amp;Milestones!$AB$110&amp;" "&amp;Milestones!$AC$110&amp;";  ","")&amp;IF(AND(EDATE($D91,Milestones!$AA$111)&lt;=AsOfDate,IF($R91=0,$X91,IF(AND($T91&lt;&gt;"",EDATE($D91,Milestones!$AA$111)&gt;=$T91),$W91,IF(AND($S91&lt;&gt;"",EDATE($D91,Milestones!$AA$111)&gt;=$S91),$V91,$U91)))=Milestones!$AB$111),UPPER(TEXT(EDATE($D91,Milestones!$AA$111),"dd mmm yy"))&amp;" "&amp;Milestones!$AB$111&amp;" "&amp;Milestones!$AC$111&amp;";  ","")&amp;IF(AND(EDATE($D91,Milestones!$AA$112)&lt;=AsOfDate,IF($R91=0,$X91,IF(AND($T91&lt;&gt;"",EDATE($D91,Milestones!$AA$112)&gt;=$T91),$W91,IF(AND($S91&lt;&gt;"",EDATE($D91,Milestones!$AA$112)&gt;=$S91),$V91,$U91)))=Milestones!$AB$112),UPPER(TEXT(EDATE($D91,Milestones!$AA$112),"dd mmm yy"))&amp;" "&amp;Milestones!$AB$112&amp;" "&amp;Milestones!$AC$112&amp;";  ","")&amp;IF(AND(EDATE($D91,Milestones!$AA$113)&lt;=AsOfDate,IF($R91=0,$X91,IF(AND($T91&lt;&gt;"",EDATE($D91,Milestones!$AA$113)&gt;=$T91),$W91,IF(AND($S91&lt;&gt;"",EDATE($D91,Milestones!$AA$113)&gt;=$S91),$V91,$U91)))=Milestones!$AB$113),UPPER(TEXT(EDATE($D91,Milestones!$AA$113),"dd mmm yy"))&amp;" "&amp;Milestones!$AB$113&amp;" "&amp;Milestones!$AC$113&amp;";  ","")&amp;IF(AND(EDATE($D91,Milestones!$AA$114)&lt;=AsOfDate,IF($R91=0,$X91,IF(AND($T91&lt;&gt;"",EDATE($D91,Milestones!$AA$114)&gt;=$T91),$W91,IF(AND($S91&lt;&gt;"",EDATE($D91,Milestones!$AA$114)&gt;=$S91),$V91,$U91)))=Milestones!$AB$114),UPPER(TEXT(EDATE($D91,Milestones!$AA$114),"dd mmm yy"))&amp;" "&amp;Milestones!$AB$114&amp;" "&amp;Milestones!$AC$114&amp;";  ","")&amp;IF(AND(EDATE($D91,Milestones!$AA$115)&lt;=AsOfDate,IF($R91=0,$X91,IF(AND($T91&lt;&gt;"",EDATE($D91,Milestones!$AA$115)&gt;=$T91),$W91,IF(AND($S91&lt;&gt;"",EDATE($D91,Milestones!$AA$115)&gt;=$S91),$V91,$U91)))=Milestones!$AB$115),UPPER(TEXT(EDATE($D91,Milestones!$AA$115),"dd mmm yy"))&amp;" "&amp;Milestones!$AB$115&amp;" "&amp;Milestones!$AC$115&amp;";  ","")&amp;IF(AND(EDATE($D91,Milestones!$AA$116)&lt;=AsOfDate,IF($R91=0,$X91,IF(AND($T91&lt;&gt;"",EDATE($D91,Milestones!$AA$116)&gt;=$T91),$W91,IF(AND($S91&lt;&gt;"",EDATE($D91,Milestones!$AA$116)&gt;=$S91),$V91,$U91)))=Milestones!$AB$116),UPPER(TEXT(EDATE($D91,Milestones!$AA$116),"dd mmm yy"))&amp;" "&amp;Milestones!$AB$116&amp;" "&amp;Milestones!$AC$116&amp;";  ","")&amp;IF(AND(EDATE($D91,Milestones!$AA$117)&lt;=AsOfDate,IF($R91=0,$X91,IF(AND($T91&lt;&gt;"",EDATE($D91,Milestones!$AA$117)&gt;=$T91),$W91,IF(AND($S91&lt;&gt;"",EDATE($D91,Milestones!$AA$117)&gt;=$S91),$V91,$U91)))=Milestones!$AB$117),UPPER(TEXT(EDATE($D91,Milestones!$AA$117),"dd mmm yy"))&amp;" "&amp;Milestones!$AB$117&amp;" "&amp;Milestones!$AC$117&amp;";  ","")&amp;IF(AND(EDATE($D91,Milestones!$AA$118)&lt;=AsOfDate,IF($R91=0,$X91,IF(AND($T91&lt;&gt;"",EDATE($D91,Milestones!$AA$118)&gt;=$T91),$W91,IF(AND($S91&lt;&gt;"",EDATE($D91,Milestones!$AA$118)&gt;=$S91),$V91,$U91)))=Milestones!$AB$118),UPPER(TEXT(EDATE($D91,Milestones!$AA$118),"dd mmm yy"))&amp;" "&amp;Milestones!$AB$118&amp;" "&amp;Milestones!$AC$118&amp;";  ","")&amp;IF(AND(EDATE($D91,Milestones!$AA$119)&lt;=AsOfDate,IF($R91=0,$X91,IF(AND($T91&lt;&gt;"",EDATE($D91,Milestones!$AA$119)&gt;=$T91),$W91,IF(AND($S91&lt;&gt;"",EDATE($D91,Milestones!$AA$119)&gt;=$S91),$V91,$U91)))=Milestones!$AB$119),UPPER(TEXT(EDATE($D91,Milestones!$AA$119),"dd mmm yy"))&amp;" "&amp;Milestones!$AB$119&amp;" "&amp;Milestones!$AC$119&amp;";  ",""))</f>
        <v/>
      </c>
      <c r="N91" s="0" t="str">
        <f aca="false">IF(OR($A91="",$D91=""),"",IF(AND(EDATE($D91,Milestones!$AA$120)&lt;=AsOfDate,IF($R91=0,$X91,IF(AND($T91&lt;&gt;"",EDATE($D91,Milestones!$AA$120)&gt;=$T91),$W91,IF(AND($S91&lt;&gt;"",EDATE($D91,Milestones!$AA$120)&gt;=$S91),$V91,$U91)))=Milestones!$AB$120),UPPER(TEXT(EDATE($D91,Milestones!$AA$120),"dd mmm yy"))&amp;" "&amp;Milestones!$AB$120&amp;" "&amp;Milestones!$AC$120&amp;";  ","")&amp;IF(AND(EDATE($D91,Milestones!$AA$121)&lt;=AsOfDate,IF($R91=0,$X91,IF(AND($T91&lt;&gt;"",EDATE($D91,Milestones!$AA$121)&gt;=$T91),$W91,IF(AND($S91&lt;&gt;"",EDATE($D91,Milestones!$AA$121)&gt;=$S91),$V91,$U91)))=Milestones!$AB$121),UPPER(TEXT(EDATE($D91,Milestones!$AA$121),"dd mmm yy"))&amp;" "&amp;Milestones!$AB$121&amp;" "&amp;Milestones!$AC$121&amp;";  ","")&amp;IF(AND(EDATE($D91,Milestones!$AA$122)&lt;=AsOfDate,IF($R91=0,$X91,IF(AND($T91&lt;&gt;"",EDATE($D91,Milestones!$AA$122)&gt;=$T91),$W91,IF(AND($S91&lt;&gt;"",EDATE($D91,Milestones!$AA$122)&gt;=$S91),$V91,$U91)))=Milestones!$AB$122),UPPER(TEXT(EDATE($D91,Milestones!$AA$122),"dd mmm yy"))&amp;" "&amp;Milestones!$AB$122&amp;" "&amp;Milestones!$AC$122&amp;";  ","")&amp;IF(AND(EDATE($D91,Milestones!$AA$123)&lt;=AsOfDate,IF($R91=0,$X91,IF(AND($T91&lt;&gt;"",EDATE($D91,Milestones!$AA$123)&gt;=$T91),$W91,IF(AND($S91&lt;&gt;"",EDATE($D91,Milestones!$AA$123)&gt;=$S91),$V91,$U91)))=Milestones!$AB$123),UPPER(TEXT(EDATE($D91,Milestones!$AA$123),"dd mmm yy"))&amp;" "&amp;Milestones!$AB$123&amp;" "&amp;Milestones!$AC$123&amp;";  ","")&amp;IF(AND(EDATE($D91,Milestones!$AA$124)&lt;=AsOfDate,IF($R91=0,$X91,IF(AND($T91&lt;&gt;"",EDATE($D91,Milestones!$AA$124)&gt;=$T91),$W91,IF(AND($S91&lt;&gt;"",EDATE($D91,Milestones!$AA$124)&gt;=$S91),$V91,$U91)))=Milestones!$AB$124),UPPER(TEXT(EDATE($D91,Milestones!$AA$124),"dd mmm yy"))&amp;" "&amp;Milestones!$AB$124&amp;" "&amp;Milestones!$AC$124&amp;";  ","")&amp;IF(AND(EDATE($D91,Milestones!$AA$125)&lt;=AsOfDate,IF($R91=0,$X91,IF(AND($T91&lt;&gt;"",EDATE($D91,Milestones!$AA$125)&gt;=$T91),$W91,IF(AND($S91&lt;&gt;"",EDATE($D91,Milestones!$AA$125)&gt;=$S91),$V91,$U91)))=Milestones!$AB$125),UPPER(TEXT(EDATE($D91,Milestones!$AA$125),"dd mmm yy"))&amp;" "&amp;Milestones!$AB$125&amp;" "&amp;Milestones!$AC$125&amp;";  ","")&amp;IF(AND(EDATE($D91,Milestones!$AA$126)&lt;=AsOfDate,IF($R91=0,$X91,IF(AND($T91&lt;&gt;"",EDATE($D91,Milestones!$AA$126)&gt;=$T91),$W91,IF(AND($S91&lt;&gt;"",EDATE($D91,Milestones!$AA$126)&gt;=$S91),$V91,$U91)))=Milestones!$AB$126),UPPER(TEXT(EDATE($D91,Milestones!$AA$126),"dd mmm yy"))&amp;" "&amp;Milestones!$AB$126&amp;" "&amp;Milestones!$AC$126&amp;";  ","")&amp;IF(AND(EDATE($D91,Milestones!$AA$127)&lt;=AsOfDate,IF($R91=0,$X91,IF(AND($T91&lt;&gt;"",EDATE($D91,Milestones!$AA$127)&gt;=$T91),$W91,IF(AND($S91&lt;&gt;"",EDATE($D91,Milestones!$AA$127)&gt;=$S91),$V91,$U91)))=Milestones!$AB$127),UPPER(TEXT(EDATE($D91,Milestones!$AA$127),"dd mmm yy"))&amp;" "&amp;Milestones!$AB$127&amp;" "&amp;Milestones!$AC$127&amp;";  ","")&amp;IF(AND(EDATE($D91,Milestones!$AA$128)&lt;=AsOfDate,IF($R91=0,$X91,IF(AND($T91&lt;&gt;"",EDATE($D91,Milestones!$AA$128)&gt;=$T91),$W91,IF(AND($S91&lt;&gt;"",EDATE($D91,Milestones!$AA$128)&gt;=$S91),$V91,$U91)))=Milestones!$AB$128),UPPER(TEXT(EDATE($D91,Milestones!$AA$128),"dd mmm yy"))&amp;" "&amp;Milestones!$AB$128&amp;" "&amp;Milestones!$AC$128&amp;";  ","")&amp;IF(AND(EDATE($D91,Milestones!$AA$129)&lt;=AsOfDate,IF($R91=0,$X91,IF(AND($T91&lt;&gt;"",EDATE($D91,Milestones!$AA$129)&gt;=$T91),$W91,IF(AND($S91&lt;&gt;"",EDATE($D91,Milestones!$AA$129)&gt;=$S91),$V91,$U91)))=Milestones!$AB$129),UPPER(TEXT(EDATE($D91,Milestones!$AA$129),"dd mmm yy"))&amp;" "&amp;Milestones!$AB$129&amp;" "&amp;Milestones!$AC$129&amp;";  ","")&amp;IF(AND(EDATE($D91,Milestones!$AA$130)&lt;=AsOfDate,IF($R91=0,$X91,IF(AND($T91&lt;&gt;"",EDATE($D91,Milestones!$AA$130)&gt;=$T91),$W91,IF(AND($S91&lt;&gt;"",EDATE($D91,Milestones!$AA$130)&gt;=$S91),$V91,$U91)))=Milestones!$AB$130),UPPER(TEXT(EDATE($D91,Milestones!$AA$130),"dd mmm yy"))&amp;" "&amp;Milestones!$AB$130&amp;" "&amp;Milestones!$AC$130&amp;";  ","")&amp;IF(AND(EDATE($D91,Milestones!$AA$131)&lt;=AsOfDate,IF($R91=0,$X91,IF(AND($T91&lt;&gt;"",EDATE($D91,Milestones!$AA$131)&gt;=$T91),$W91,IF(AND($S91&lt;&gt;"",EDATE($D91,Milestones!$AA$131)&gt;=$S91),$V91,$U91)))=Milestones!$AB$131),UPPER(TEXT(EDATE($D91,Milestones!$AA$131),"dd mmm yy"))&amp;" "&amp;Milestones!$AB$131&amp;" "&amp;Milestones!$AC$131&amp;";  ","")&amp;IF(AND(EDATE($D91,Milestones!$AA$132)&lt;=AsOfDate,IF($R91=0,$X91,IF(AND($T91&lt;&gt;"",EDATE($D91,Milestones!$AA$132)&gt;=$T91),$W91,IF(AND($S91&lt;&gt;"",EDATE($D91,Milestones!$AA$132)&gt;=$S91),$V91,$U91)))=Milestones!$AB$132),UPPER(TEXT(EDATE($D91,Milestones!$AA$132),"dd mmm yy"))&amp;" "&amp;Milestones!$AB$132&amp;" "&amp;Milestones!$AC$132&amp;";  ","")&amp;IF(AND(EDATE($D91,Milestones!$AA$133)&lt;=AsOfDate,IF($R91=0,$X91,IF(AND($T91&lt;&gt;"",EDATE($D91,Milestones!$AA$133)&gt;=$T91),$W91,IF(AND($S91&lt;&gt;"",EDATE($D91,Milestones!$AA$133)&gt;=$S91),$V91,$U91)))=Milestones!$AB$133),UPPER(TEXT(EDATE($D91,Milestones!$AA$133),"dd mmm yy"))&amp;" "&amp;Milestones!$AB$133&amp;" "&amp;Milestones!$AC$133&amp;";  ","")&amp;IF(AND(EDATE($D91,Milestones!$AA$134)&lt;=AsOfDate,IF($R91=0,$X91,IF(AND($T91&lt;&gt;"",EDATE($D91,Milestones!$AA$134)&gt;=$T91),$W91,IF(AND($S91&lt;&gt;"",EDATE($D91,Milestones!$AA$134)&gt;=$S91),$V91,$U91)))=Milestones!$AB$134),UPPER(TEXT(EDATE($D91,Milestones!$AA$134),"dd mmm yy"))&amp;" "&amp;Milestones!$AB$134&amp;" "&amp;Milestones!$AC$134&amp;";  ","")&amp;IF(AND(EDATE($D91,Milestones!$AA$135)&lt;=AsOfDate,IF($R91=0,$X91,IF(AND($T91&lt;&gt;"",EDATE($D91,Milestones!$AA$135)&gt;=$T91),$W91,IF(AND($S91&lt;&gt;"",EDATE($D91,Milestones!$AA$135)&gt;=$S91),$V91,$U91)))=Milestones!$AB$135),UPPER(TEXT(EDATE($D91,Milestones!$AA$135),"dd mmm yy"))&amp;" "&amp;Milestones!$AB$135&amp;" "&amp;Milestones!$AC$135&amp;";  ","")&amp;IF(AND(EDATE($D91,Milestones!$AA$136)&lt;=AsOfDate,IF($R91=0,$X91,IF(AND($T91&lt;&gt;"",EDATE($D91,Milestones!$AA$136)&gt;=$T91),$W91,IF(AND($S91&lt;&gt;"",EDATE($D91,Milestones!$AA$136)&gt;=$S91),$V91,$U91)))=Milestones!$AB$136),UPPER(TEXT(EDATE($D91,Milestones!$AA$136),"dd mmm yy"))&amp;" "&amp;Milestones!$AB$136&amp;" "&amp;Milestones!$AC$136&amp;";  ","")&amp;IF(AND(EDATE($D91,Milestones!$AA$137)&lt;=AsOfDate,IF($R91=0,$X91,IF(AND($T91&lt;&gt;"",EDATE($D91,Milestones!$AA$137)&gt;=$T91),$W91,IF(AND($S91&lt;&gt;"",EDATE($D91,Milestones!$AA$137)&gt;=$S91),$V91,$U91)))=Milestones!$AB$137),UPPER(TEXT(EDATE($D91,Milestones!$AA$137),"dd mmm yy"))&amp;" "&amp;Milestones!$AB$137&amp;" "&amp;Milestones!$AC$137&amp;";  ","")&amp;IF(AND(EDATE($D91,Milestones!$AA$138)&lt;=AsOfDate,IF($R91=0,$X91,IF(AND($T91&lt;&gt;"",EDATE($D91,Milestones!$AA$138)&gt;=$T91),$W91,IF(AND($S91&lt;&gt;"",EDATE($D91,Milestones!$AA$138)&gt;=$S91),$V91,$U91)))=Milestones!$AB$138),UPPER(TEXT(EDATE($D91,Milestones!$AA$138),"dd mmm yy"))&amp;" "&amp;Milestones!$AB$138&amp;" "&amp;Milestones!$AC$138&amp;";  ","")&amp;IF(AND(EDATE($D91,Milestones!$AA$139)&lt;=AsOfDate,IF($R91=0,$X91,IF(AND($T91&lt;&gt;"",EDATE($D91,Milestones!$AA$139)&gt;=$T91),$W91,IF(AND($S91&lt;&gt;"",EDATE($D91,Milestones!$AA$139)&gt;=$S91),$V91,$U91)))=Milestones!$AB$139),UPPER(TEXT(EDATE($D91,Milestones!$AA$139),"dd mmm yy"))&amp;" "&amp;Milestones!$AB$139&amp;" "&amp;Milestones!$AC$139&amp;";  ",""))</f>
        <v/>
      </c>
      <c r="O91" s="0" t="str">
        <f aca="false">IF(OR($A91="",$D91=""),"",IF(AND(EDATE($D91,Milestones!$AA$140)&lt;=AsOfDate,IF($R91=0,$X91,IF(AND($T91&lt;&gt;"",EDATE($D91,Milestones!$AA$140)&gt;=$T91),$W91,IF(AND($S91&lt;&gt;"",EDATE($D91,Milestones!$AA$140)&gt;=$S91),$V91,$U91)))=Milestones!$AB$140),UPPER(TEXT(EDATE($D91,Milestones!$AA$140),"dd mmm yy"))&amp;" "&amp;Milestones!$AB$140&amp;" "&amp;Milestones!$AC$140&amp;";  ","")&amp;IF(AND(EDATE($D91,Milestones!$AA$141)&lt;=AsOfDate,IF($R91=0,$X91,IF(AND($T91&lt;&gt;"",EDATE($D91,Milestones!$AA$141)&gt;=$T91),$W91,IF(AND($S91&lt;&gt;"",EDATE($D91,Milestones!$AA$141)&gt;=$S91),$V91,$U91)))=Milestones!$AB$141),UPPER(TEXT(EDATE($D91,Milestones!$AA$141),"dd mmm yy"))&amp;" "&amp;Milestones!$AB$141&amp;" "&amp;Milestones!$AC$141&amp;";  ","")&amp;IF(AND(EDATE($D91,Milestones!$AA$142)&lt;=AsOfDate,IF($R91=0,$X91,IF(AND($T91&lt;&gt;"",EDATE($D91,Milestones!$AA$142)&gt;=$T91),$W91,IF(AND($S91&lt;&gt;"",EDATE($D91,Milestones!$AA$142)&gt;=$S91),$V91,$U91)))=Milestones!$AB$142),UPPER(TEXT(EDATE($D91,Milestones!$AA$142),"dd mmm yy"))&amp;" "&amp;Milestones!$AB$142&amp;" "&amp;Milestones!$AC$142&amp;";  ","")&amp;IF(AND(EDATE($D91,Milestones!$AA$143)&lt;=AsOfDate,IF($R91=0,$X91,IF(AND($T91&lt;&gt;"",EDATE($D91,Milestones!$AA$143)&gt;=$T91),$W91,IF(AND($S91&lt;&gt;"",EDATE($D91,Milestones!$AA$143)&gt;=$S91),$V91,$U91)))=Milestones!$AB$143),UPPER(TEXT(EDATE($D91,Milestones!$AA$143),"dd mmm yy"))&amp;" "&amp;Milestones!$AB$143&amp;" "&amp;Milestones!$AC$143&amp;";  ","")&amp;IF(AND(EDATE($D91,Milestones!$AA$144)&lt;=AsOfDate,IF($R91=0,$X91,IF(AND($T91&lt;&gt;"",EDATE($D91,Milestones!$AA$144)&gt;=$T91),$W91,IF(AND($S91&lt;&gt;"",EDATE($D91,Milestones!$AA$144)&gt;=$S91),$V91,$U91)))=Milestones!$AB$144),UPPER(TEXT(EDATE($D91,Milestones!$AA$144),"dd mmm yy"))&amp;" "&amp;Milestones!$AB$144&amp;" "&amp;Milestones!$AC$144&amp;";  ","")&amp;IF(AND(EDATE($D91,Milestones!$AA$145)&lt;=AsOfDate,IF($R91=0,$X91,IF(AND($T91&lt;&gt;"",EDATE($D91,Milestones!$AA$145)&gt;=$T91),$W91,IF(AND($S91&lt;&gt;"",EDATE($D91,Milestones!$AA$145)&gt;=$S91),$V91,$U91)))=Milestones!$AB$145),UPPER(TEXT(EDATE($D91,Milestones!$AA$145),"dd mmm yy"))&amp;" "&amp;Milestones!$AB$145&amp;" "&amp;Milestones!$AC$145&amp;";  ","")&amp;IF(AND(EDATE($D91,Milestones!$AA$146)&lt;=AsOfDate,IF($R91=0,$X91,IF(AND($T91&lt;&gt;"",EDATE($D91,Milestones!$AA$146)&gt;=$T91),$W91,IF(AND($S91&lt;&gt;"",EDATE($D91,Milestones!$AA$146)&gt;=$S91),$V91,$U91)))=Milestones!$AB$146),UPPER(TEXT(EDATE($D91,Milestones!$AA$146),"dd mmm yy"))&amp;" "&amp;Milestones!$AB$146&amp;" "&amp;Milestones!$AC$146&amp;";  ","")&amp;IF(AND(EDATE($D91,Milestones!$AA$147)&lt;=AsOfDate,IF($R91=0,$X91,IF(AND($T91&lt;&gt;"",EDATE($D91,Milestones!$AA$147)&gt;=$T91),$W91,IF(AND($S91&lt;&gt;"",EDATE($D91,Milestones!$AA$147)&gt;=$S91),$V91,$U91)))=Milestones!$AB$147),UPPER(TEXT(EDATE($D91,Milestones!$AA$147),"dd mmm yy"))&amp;" "&amp;Milestones!$AB$147&amp;" "&amp;Milestones!$AC$147&amp;";  ","")&amp;IF(AND(EDATE($D91,Milestones!$AA$148)&lt;=AsOfDate,IF($R91=0,$X91,IF(AND($T91&lt;&gt;"",EDATE($D91,Milestones!$AA$148)&gt;=$T91),$W91,IF(AND($S91&lt;&gt;"",EDATE($D91,Milestones!$AA$148)&gt;=$S91),$V91,$U91)))=Milestones!$AB$148),UPPER(TEXT(EDATE($D91,Milestones!$AA$148),"dd mmm yy"))&amp;" "&amp;Milestones!$AB$148&amp;" "&amp;Milestones!$AC$148&amp;";  ","")&amp;IF(AND(EDATE($D91,Milestones!$AA$149)&lt;=AsOfDate,IF($R91=0,$X91,IF(AND($T91&lt;&gt;"",EDATE($D91,Milestones!$AA$149)&gt;=$T91),$W91,IF(AND($S91&lt;&gt;"",EDATE($D91,Milestones!$AA$149)&gt;=$S91),$V91,$U91)))=Milestones!$AB$149),UPPER(TEXT(EDATE($D91,Milestones!$AA$149),"dd mmm yy"))&amp;" "&amp;Milestones!$AB$149&amp;" "&amp;Milestones!$AC$149&amp;";  ","")&amp;IF(AND(EDATE($D91,Milestones!$AA$150)&lt;=AsOfDate,IF($R91=0,$X91,IF(AND($T91&lt;&gt;"",EDATE($D91,Milestones!$AA$150)&gt;=$T91),$W91,IF(AND($S91&lt;&gt;"",EDATE($D91,Milestones!$AA$150)&gt;=$S91),$V91,$U91)))=Milestones!$AB$150),UPPER(TEXT(EDATE($D91,Milestones!$AA$150),"dd mmm yy"))&amp;" "&amp;Milestones!$AB$150&amp;" "&amp;Milestones!$AC$150&amp;";  ","")&amp;IF(AND(EDATE($D91,Milestones!$AA$151)&lt;=AsOfDate,IF($R91=0,$X91,IF(AND($T91&lt;&gt;"",EDATE($D91,Milestones!$AA$151)&gt;=$T91),$W91,IF(AND($S91&lt;&gt;"",EDATE($D91,Milestones!$AA$151)&gt;=$S91),$V91,$U91)))=Milestones!$AB$151),UPPER(TEXT(EDATE($D91,Milestones!$AA$151),"dd mmm yy"))&amp;" "&amp;Milestones!$AB$151&amp;" "&amp;Milestones!$AC$151&amp;";  ","")&amp;IF(AND(EDATE($D91,Milestones!$AA$152)&lt;=AsOfDate,IF($R91=0,$X91,IF(AND($T91&lt;&gt;"",EDATE($D91,Milestones!$AA$152)&gt;=$T91),$W91,IF(AND($S91&lt;&gt;"",EDATE($D91,Milestones!$AA$152)&gt;=$S91),$V91,$U91)))=Milestones!$AB$152),UPPER(TEXT(EDATE($D91,Milestones!$AA$152),"dd mmm yy"))&amp;" "&amp;Milestones!$AB$152&amp;" "&amp;Milestones!$AC$152&amp;";  ","")&amp;IF(AND(EDATE($D91,Milestones!$AA$153)&lt;=AsOfDate,IF($R91=0,$X91,IF(AND($T91&lt;&gt;"",EDATE($D91,Milestones!$AA$153)&gt;=$T91),$W91,IF(AND($S91&lt;&gt;"",EDATE($D91,Milestones!$AA$153)&gt;=$S91),$V91,$U91)))=Milestones!$AB$153),UPPER(TEXT(EDATE($D91,Milestones!$AA$153),"dd mmm yy"))&amp;" "&amp;Milestones!$AB$153&amp;" "&amp;Milestones!$AC$153&amp;";  ","")&amp;IF(AND(EDATE($D91,Milestones!$AA$154)&lt;=AsOfDate,IF($R91=0,$X91,IF(AND($T91&lt;&gt;"",EDATE($D91,Milestones!$AA$154)&gt;=$T91),$W91,IF(AND($S91&lt;&gt;"",EDATE($D91,Milestones!$AA$154)&gt;=$S91),$V91,$U91)))=Milestones!$AB$154),UPPER(TEXT(EDATE($D91,Milestones!$AA$154),"dd mmm yy"))&amp;" "&amp;Milestones!$AB$154&amp;" "&amp;Milestones!$AC$154&amp;";  ","")&amp;IF(AND(EDATE($D91,Milestones!$AA$155)&lt;=AsOfDate,IF($R91=0,$X91,IF(AND($T91&lt;&gt;"",EDATE($D91,Milestones!$AA$155)&gt;=$T91),$W91,IF(AND($S91&lt;&gt;"",EDATE($D91,Milestones!$AA$155)&gt;=$S91),$V91,$U91)))=Milestones!$AB$155),UPPER(TEXT(EDATE($D91,Milestones!$AA$155),"dd mmm yy"))&amp;" "&amp;Milestones!$AB$155&amp;" "&amp;Milestones!$AC$155&amp;";  ","")&amp;IF(AND(EDATE($D91,Milestones!$AA$156)&lt;=AsOfDate,IF($R91=0,$X91,IF(AND($T91&lt;&gt;"",EDATE($D91,Milestones!$AA$156)&gt;=$T91),$W91,IF(AND($S91&lt;&gt;"",EDATE($D91,Milestones!$AA$156)&gt;=$S91),$V91,$U91)))=Milestones!$AB$156),UPPER(TEXT(EDATE($D91,Milestones!$AA$156),"dd mmm yy"))&amp;" "&amp;Milestones!$AB$156&amp;" "&amp;Milestones!$AC$156&amp;";  ","")&amp;IF(AND(EDATE($D91,Milestones!$AA$157)&lt;=AsOfDate,IF($R91=0,$X91,IF(AND($T91&lt;&gt;"",EDATE($D91,Milestones!$AA$157)&gt;=$T91),$W91,IF(AND($S91&lt;&gt;"",EDATE($D91,Milestones!$AA$157)&gt;=$S91),$V91,$U91)))=Milestones!$AB$157),UPPER(TEXT(EDATE($D91,Milestones!$AA$157),"dd mmm yy"))&amp;" "&amp;Milestones!$AB$157&amp;" "&amp;Milestones!$AC$157&amp;";  ","")&amp;IF(AND(EDATE($D91,Milestones!$AA$158)&lt;=AsOfDate,IF($R91=0,$X91,IF(AND($T91&lt;&gt;"",EDATE($D91,Milestones!$AA$158)&gt;=$T91),$W91,IF(AND($S91&lt;&gt;"",EDATE($D91,Milestones!$AA$158)&gt;=$S91),$V91,$U91)))=Milestones!$AB$158),UPPER(TEXT(EDATE($D91,Milestones!$AA$158),"dd mmm yy"))&amp;" "&amp;Milestones!$AB$158&amp;" "&amp;Milestones!$AC$158&amp;";  ","")&amp;IF(AND(EDATE($D91,Milestones!$AA$159)&lt;=AsOfDate,IF($R91=0,$X91,IF(AND($T91&lt;&gt;"",EDATE($D91,Milestones!$AA$159)&gt;=$T91),$W91,IF(AND($S91&lt;&gt;"",EDATE($D91,Milestones!$AA$159)&gt;=$S91),$V91,$U91)))=Milestones!$AB$159),UPPER(TEXT(EDATE($D91,Milestones!$AA$159),"dd mmm yy"))&amp;" "&amp;Milestones!$AB$159&amp;" "&amp;Milestones!$AC$159&amp;";  ",""))</f>
        <v/>
      </c>
      <c r="P91" s="0" t="str">
        <f aca="false">IF(OR($A91="",$D91=""),"",IF(AND(EDATE($D91,Milestones!$AA$160)&lt;=AsOfDate,IF($R91=0,$X91,IF(AND($T91&lt;&gt;"",EDATE($D91,Milestones!$AA$160)&gt;=$T91),$W91,IF(AND($S91&lt;&gt;"",EDATE($D91,Milestones!$AA$160)&gt;=$S91),$V91,$U91)))=Milestones!$AB$160),UPPER(TEXT(EDATE($D91,Milestones!$AA$160),"dd mmm yy"))&amp;" "&amp;Milestones!$AB$160&amp;" "&amp;Milestones!$AC$160&amp;";  ","")&amp;IF(AND(EDATE($D91,Milestones!$AA$161)&lt;=AsOfDate,IF($R91=0,$X91,IF(AND($T91&lt;&gt;"",EDATE($D91,Milestones!$AA$161)&gt;=$T91),$W91,IF(AND($S91&lt;&gt;"",EDATE($D91,Milestones!$AA$161)&gt;=$S91),$V91,$U91)))=Milestones!$AB$161),UPPER(TEXT(EDATE($D91,Milestones!$AA$161),"dd mmm yy"))&amp;" "&amp;Milestones!$AB$161&amp;" "&amp;Milestones!$AC$161&amp;";  ","")&amp;IF(AND(EDATE($D91,Milestones!$AA$162)&lt;=AsOfDate,IF($R91=0,$X91,IF(AND($T91&lt;&gt;"",EDATE($D91,Milestones!$AA$162)&gt;=$T91),$W91,IF(AND($S91&lt;&gt;"",EDATE($D91,Milestones!$AA$162)&gt;=$S91),$V91,$U91)))=Milestones!$AB$162),UPPER(TEXT(EDATE($D91,Milestones!$AA$162),"dd mmm yy"))&amp;" "&amp;Milestones!$AB$162&amp;" "&amp;Milestones!$AC$162&amp;";  ","")&amp;IF(AND(EDATE($D91,Milestones!$AA$163)&lt;=AsOfDate,IF($R91=0,$X91,IF(AND($T91&lt;&gt;"",EDATE($D91,Milestones!$AA$163)&gt;=$T91),$W91,IF(AND($S91&lt;&gt;"",EDATE($D91,Milestones!$AA$163)&gt;=$S91),$V91,$U91)))=Milestones!$AB$163),UPPER(TEXT(EDATE($D91,Milestones!$AA$163),"dd mmm yy"))&amp;" "&amp;Milestones!$AB$163&amp;" "&amp;Milestones!$AC$163&amp;";  ","")&amp;IF(AND(EDATE($D91,Milestones!$AA$164)&lt;=AsOfDate,IF($R91=0,$X91,IF(AND($T91&lt;&gt;"",EDATE($D91,Milestones!$AA$164)&gt;=$T91),$W91,IF(AND($S91&lt;&gt;"",EDATE($D91,Milestones!$AA$164)&gt;=$S91),$V91,$U91)))=Milestones!$AB$164),UPPER(TEXT(EDATE($D91,Milestones!$AA$164),"dd mmm yy"))&amp;" "&amp;Milestones!$AB$164&amp;" "&amp;Milestones!$AC$164&amp;";  ","")&amp;IF(AND(EDATE($D91,Milestones!$AA$165)&lt;=AsOfDate,IF($R91=0,$X91,IF(AND($T91&lt;&gt;"",EDATE($D91,Milestones!$AA$165)&gt;=$T91),$W91,IF(AND($S91&lt;&gt;"",EDATE($D91,Milestones!$AA$165)&gt;=$S91),$V91,$U91)))=Milestones!$AB$165),UPPER(TEXT(EDATE($D91,Milestones!$AA$165),"dd mmm yy"))&amp;" "&amp;Milestones!$AB$165&amp;" "&amp;Milestones!$AC$165&amp;";  ","")&amp;IF(AND(EDATE($D91,Milestones!$AA$166)&lt;=AsOfDate,IF($R91=0,$X91,IF(AND($T91&lt;&gt;"",EDATE($D91,Milestones!$AA$166)&gt;=$T91),$W91,IF(AND($S91&lt;&gt;"",EDATE($D91,Milestones!$AA$166)&gt;=$S91),$V91,$U91)))=Milestones!$AB$166),UPPER(TEXT(EDATE($D91,Milestones!$AA$166),"dd mmm yy"))&amp;" "&amp;Milestones!$AB$166&amp;" "&amp;Milestones!$AC$166&amp;";  ","")&amp;IF(AND(EDATE($D91,Milestones!$AA$167)&lt;=AsOfDate,IF($R91=0,$X91,IF(AND($T91&lt;&gt;"",EDATE($D91,Milestones!$AA$167)&gt;=$T91),$W91,IF(AND($S91&lt;&gt;"",EDATE($D91,Milestones!$AA$167)&gt;=$S91),$V91,$U91)))=Milestones!$AB$167),UPPER(TEXT(EDATE($D91,Milestones!$AA$167),"dd mmm yy"))&amp;" "&amp;Milestones!$AB$167&amp;" "&amp;Milestones!$AC$167&amp;";  ","")&amp;IF(AND(EDATE($D91,Milestones!$AA$168)&lt;=AsOfDate,IF($R91=0,$X91,IF(AND($T91&lt;&gt;"",EDATE($D91,Milestones!$AA$168)&gt;=$T91),$W91,IF(AND($S91&lt;&gt;"",EDATE($D91,Milestones!$AA$168)&gt;=$S91),$V91,$U91)))=Milestones!$AB$168),UPPER(TEXT(EDATE($D91,Milestones!$AA$168),"dd mmm yy"))&amp;" "&amp;Milestones!$AB$168&amp;" "&amp;Milestones!$AC$168&amp;";  ","")&amp;IF(AND(EDATE($D91,Milestones!$AA$169)&lt;=AsOfDate,IF($R91=0,$X91,IF(AND($T91&lt;&gt;"",EDATE($D91,Milestones!$AA$169)&gt;=$T91),$W91,IF(AND($S91&lt;&gt;"",EDATE($D91,Milestones!$AA$169)&gt;=$S91),$V91,$U91)))=Milestones!$AB$169),UPPER(TEXT(EDATE($D91,Milestones!$AA$169),"dd mmm yy"))&amp;" "&amp;Milestones!$AB$169&amp;" "&amp;Milestones!$AC$169&amp;";  ","")&amp;IF(AND(EDATE($D91,Milestones!$AA$170)&lt;=AsOfDate,IF($R91=0,$X91,IF(AND($T91&lt;&gt;"",EDATE($D91,Milestones!$AA$170)&gt;=$T91),$W91,IF(AND($S91&lt;&gt;"",EDATE($D91,Milestones!$AA$170)&gt;=$S91),$V91,$U91)))=Milestones!$AB$170),UPPER(TEXT(EDATE($D91,Milestones!$AA$170),"dd mmm yy"))&amp;" "&amp;Milestones!$AB$170&amp;" "&amp;Milestones!$AC$170&amp;";  ","")&amp;IF(AND(EDATE($D91,Milestones!$AA$171)&lt;=AsOfDate,IF($R91=0,$X91,IF(AND($T91&lt;&gt;"",EDATE($D91,Milestones!$AA$171)&gt;=$T91),$W91,IF(AND($S91&lt;&gt;"",EDATE($D91,Milestones!$AA$171)&gt;=$S91),$V91,$U91)))=Milestones!$AB$171),UPPER(TEXT(EDATE($D91,Milestones!$AA$171),"dd mmm yy"))&amp;" "&amp;Milestones!$AB$171&amp;" "&amp;Milestones!$AC$171&amp;";  ","")&amp;IF(AND(EDATE($D91,Milestones!$AA$172)&lt;=AsOfDate,IF($R91=0,$X91,IF(AND($T91&lt;&gt;"",EDATE($D91,Milestones!$AA$172)&gt;=$T91),$W91,IF(AND($S91&lt;&gt;"",EDATE($D91,Milestones!$AA$172)&gt;=$S91),$V91,$U91)))=Milestones!$AB$172),UPPER(TEXT(EDATE($D91,Milestones!$AA$172),"dd mmm yy"))&amp;" "&amp;Milestones!$AB$172&amp;" "&amp;Milestones!$AC$172&amp;";  ","")&amp;IF(AND(EDATE($D91,Milestones!$AA$173)&lt;=AsOfDate,IF($R91=0,$X91,IF(AND($T91&lt;&gt;"",EDATE($D91,Milestones!$AA$173)&gt;=$T91),$W91,IF(AND($S91&lt;&gt;"",EDATE($D91,Milestones!$AA$173)&gt;=$S91),$V91,$U91)))=Milestones!$AB$173),UPPER(TEXT(EDATE($D91,Milestones!$AA$173),"dd mmm yy"))&amp;" "&amp;Milestones!$AB$173&amp;" "&amp;Milestones!$AC$173&amp;";  ","")&amp;IF(AND(EDATE($D91,Milestones!$AA$174)&lt;=AsOfDate,IF($R91=0,$X91,IF(AND($T91&lt;&gt;"",EDATE($D91,Milestones!$AA$174)&gt;=$T91),$W91,IF(AND($S91&lt;&gt;"",EDATE($D91,Milestones!$AA$174)&gt;=$S91),$V91,$U91)))=Milestones!$AB$174),UPPER(TEXT(EDATE($D91,Milestones!$AA$174),"dd mmm yy"))&amp;" "&amp;Milestones!$AB$174&amp;" "&amp;Milestones!$AC$174&amp;";  ","")&amp;IF(AND(EDATE($D91,Milestones!$AA$175)&lt;=AsOfDate,IF($R91=0,$X91,IF(AND($T91&lt;&gt;"",EDATE($D91,Milestones!$AA$175)&gt;=$T91),$W91,IF(AND($S91&lt;&gt;"",EDATE($D91,Milestones!$AA$175)&gt;=$S91),$V91,$U91)))=Milestones!$AB$175),UPPER(TEXT(EDATE($D91,Milestones!$AA$175),"dd mmm yy"))&amp;" "&amp;Milestones!$AB$175&amp;" "&amp;Milestones!$AC$175&amp;";  ","")&amp;IF(AND(EDATE($D91,Milestones!$AA$176)&lt;=AsOfDate,IF($R91=0,$X91,IF(AND($T91&lt;&gt;"",EDATE($D91,Milestones!$AA$176)&gt;=$T91),$W91,IF(AND($S91&lt;&gt;"",EDATE($D91,Milestones!$AA$176)&gt;=$S91),$V91,$U91)))=Milestones!$AB$176),UPPER(TEXT(EDATE($D91,Milestones!$AA$176),"dd mmm yy"))&amp;" "&amp;Milestones!$AB$176&amp;" "&amp;Milestones!$AC$176&amp;";  ","")&amp;IF(AND(EDATE($D91,Milestones!$AA$177)&lt;=AsOfDate,IF($R91=0,$X91,IF(AND($T91&lt;&gt;"",EDATE($D91,Milestones!$AA$177)&gt;=$T91),$W91,IF(AND($S91&lt;&gt;"",EDATE($D91,Milestones!$AA$177)&gt;=$S91),$V91,$U91)))=Milestones!$AB$177),UPPER(TEXT(EDATE($D91,Milestones!$AA$177),"dd mmm yy"))&amp;" "&amp;Milestones!$AB$177&amp;" "&amp;Milestones!$AC$177&amp;";  ","")&amp;IF(AND(EDATE($D91,Milestones!$AA$178)&lt;=AsOfDate,IF($R91=0,$X91,IF(AND($T91&lt;&gt;"",EDATE($D91,Milestones!$AA$178)&gt;=$T91),$W91,IF(AND($S91&lt;&gt;"",EDATE($D91,Milestones!$AA$178)&gt;=$S91),$V91,$U91)))=Milestones!$AB$178),UPPER(TEXT(EDATE($D91,Milestones!$AA$178),"dd mmm yy"))&amp;" "&amp;Milestones!$AB$178&amp;" "&amp;Milestones!$AC$178&amp;";  ","")&amp;IF(AND(EDATE($D91,Milestones!$AA$179)&lt;=AsOfDate,IF($R91=0,$X91,IF(AND($T91&lt;&gt;"",EDATE($D91,Milestones!$AA$179)&gt;=$T91),$W91,IF(AND($S91&lt;&gt;"",EDATE($D91,Milestones!$AA$179)&gt;=$S91),$V91,$U91)))=Milestones!$AB$179),UPPER(TEXT(EDATE($D91,Milestones!$AA$179),"dd mmm yy"))&amp;" "&amp;Milestones!$AB$179&amp;" "&amp;Milestones!$AC$179&amp;";  ",""))</f>
        <v/>
      </c>
      <c r="Q91" s="0" t="str">
        <f aca="false">IF(OR($A91="",$D91=""),"",IF(AND(EDATE($D91,Milestones!$AA$180)&lt;=AsOfDate,IF($R91=0,$X91,IF(AND($T91&lt;&gt;"",EDATE($D91,Milestones!$AA$180)&gt;=$T91),$W91,IF(AND($S91&lt;&gt;"",EDATE($D91,Milestones!$AA$180)&gt;=$S91),$V91,$U91)))=Milestones!$AB$180),UPPER(TEXT(EDATE($D91,Milestones!$AA$180),"dd mmm yy"))&amp;" "&amp;Milestones!$AB$180&amp;" "&amp;Milestones!$AC$180&amp;";  ","")&amp;IF(AND(EDATE($D91,Milestones!$AA$181)&lt;=AsOfDate,IF($R91=0,$X91,IF(AND($T91&lt;&gt;"",EDATE($D91,Milestones!$AA$181)&gt;=$T91),$W91,IF(AND($S91&lt;&gt;"",EDATE($D91,Milestones!$AA$181)&gt;=$S91),$V91,$U91)))=Milestones!$AB$181),UPPER(TEXT(EDATE($D91,Milestones!$AA$181),"dd mmm yy"))&amp;" "&amp;Milestones!$AB$181&amp;" "&amp;Milestones!$AC$181&amp;";  ","")&amp;IF(AND(EDATE($D91,Milestones!$AA$182)&lt;=AsOfDate,IF($R91=0,$X91,IF(AND($T91&lt;&gt;"",EDATE($D91,Milestones!$AA$182)&gt;=$T91),$W91,IF(AND($S91&lt;&gt;"",EDATE($D91,Milestones!$AA$182)&gt;=$S91),$V91,$U91)))=Milestones!$AB$182),UPPER(TEXT(EDATE($D91,Milestones!$AA$182),"dd mmm yy"))&amp;" "&amp;Milestones!$AB$182&amp;" "&amp;Milestones!$AC$182&amp;";  ","")&amp;IF(AND(EDATE($D91,Milestones!$AA$183)&lt;=AsOfDate,IF($R91=0,$X91,IF(AND($T91&lt;&gt;"",EDATE($D91,Milestones!$AA$183)&gt;=$T91),$W91,IF(AND($S91&lt;&gt;"",EDATE($D91,Milestones!$AA$183)&gt;=$S91),$V91,$U91)))=Milestones!$AB$183),UPPER(TEXT(EDATE($D91,Milestones!$AA$183),"dd mmm yy"))&amp;" "&amp;Milestones!$AB$183&amp;" "&amp;Milestones!$AC$183&amp;";  ","")&amp;IF(AND(EDATE($D91,Milestones!$AA$184)&lt;=AsOfDate,IF($R91=0,$X91,IF(AND($T91&lt;&gt;"",EDATE($D91,Milestones!$AA$184)&gt;=$T91),$W91,IF(AND($S91&lt;&gt;"",EDATE($D91,Milestones!$AA$184)&gt;=$S91),$V91,$U91)))=Milestones!$AB$184),UPPER(TEXT(EDATE($D91,Milestones!$AA$184),"dd mmm yy"))&amp;" "&amp;Milestones!$AB$184&amp;" "&amp;Milestones!$AC$184&amp;";  ","")&amp;IF(AND(EDATE($D91,Milestones!$AA$185)&lt;=AsOfDate,IF($R91=0,$X91,IF(AND($T91&lt;&gt;"",EDATE($D91,Milestones!$AA$185)&gt;=$T91),$W91,IF(AND($S91&lt;&gt;"",EDATE($D91,Milestones!$AA$185)&gt;=$S91),$V91,$U91)))=Milestones!$AB$185),UPPER(TEXT(EDATE($D91,Milestones!$AA$185),"dd mmm yy"))&amp;" "&amp;Milestones!$AB$185&amp;" "&amp;Milestones!$AC$185&amp;";  ","")&amp;IF(AND(EDATE($D91,Milestones!$AA$186)&lt;=AsOfDate,IF($R91=0,$X91,IF(AND($T91&lt;&gt;"",EDATE($D91,Milestones!$AA$186)&gt;=$T91),$W91,IF(AND($S91&lt;&gt;"",EDATE($D91,Milestones!$AA$186)&gt;=$S91),$V91,$U91)))=Milestones!$AB$186),UPPER(TEXT(EDATE($D91,Milestones!$AA$186),"dd mmm yy"))&amp;" "&amp;Milestones!$AB$186&amp;" "&amp;Milestones!$AC$186&amp;";  ","")&amp;IF(AND(EDATE($D91,Milestones!$AA$187)&lt;=AsOfDate,IF($R91=0,$X91,IF(AND($T91&lt;&gt;"",EDATE($D91,Milestones!$AA$187)&gt;=$T91),$W91,IF(AND($S91&lt;&gt;"",EDATE($D91,Milestones!$AA$187)&gt;=$S91),$V91,$U91)))=Milestones!$AB$187),UPPER(TEXT(EDATE($D91,Milestones!$AA$187),"dd mmm yy"))&amp;" "&amp;Milestones!$AB$187&amp;" "&amp;Milestones!$AC$187&amp;";  ","")&amp;IF(AND(EDATE($D91,Milestones!$AA$188)&lt;=AsOfDate,IF($R91=0,$X91,IF(AND($T91&lt;&gt;"",EDATE($D91,Milestones!$AA$188)&gt;=$T91),$W91,IF(AND($S91&lt;&gt;"",EDATE($D91,Milestones!$AA$188)&gt;=$S91),$V91,$U91)))=Milestones!$AB$188),UPPER(TEXT(EDATE($D91,Milestones!$AA$188),"dd mmm yy"))&amp;" "&amp;Milestones!$AB$188&amp;" "&amp;Milestones!$AC$188&amp;";  ","")&amp;IF(AND(EDATE($D91,Milestones!$AA$189)&lt;=AsOfDate,IF($R91=0,$X91,IF(AND($T91&lt;&gt;"",EDATE($D91,Milestones!$AA$189)&gt;=$T91),$W91,IF(AND($S91&lt;&gt;"",EDATE($D91,Milestones!$AA$189)&gt;=$S91),$V91,$U91)))=Milestones!$AB$189),UPPER(TEXT(EDATE($D91,Milestones!$AA$189),"dd mmm yy"))&amp;" "&amp;Milestones!$AB$189&amp;" "&amp;Milestones!$AC$189&amp;";  ","")&amp;IF(AND(EDATE($D91,Milestones!$AA$190)&lt;=AsOfDate,IF($R91=0,$X91,IF(AND($T91&lt;&gt;"",EDATE($D91,Milestones!$AA$190)&gt;=$T91),$W91,IF(AND($S91&lt;&gt;"",EDATE($D91,Milestones!$AA$190)&gt;=$S91),$V91,$U91)))=Milestones!$AB$190),UPPER(TEXT(EDATE($D91,Milestones!$AA$190),"dd mmm yy"))&amp;" "&amp;Milestones!$AB$190&amp;" "&amp;Milestones!$AC$190&amp;";  ","")&amp;IF(AND(EDATE($D91,Milestones!$AA$191)&lt;=AsOfDate,IF($R91=0,$X91,IF(AND($T91&lt;&gt;"",EDATE($D91,Milestones!$AA$191)&gt;=$T91),$W91,IF(AND($S91&lt;&gt;"",EDATE($D91,Milestones!$AA$191)&gt;=$S91),$V91,$U91)))=Milestones!$AB$191),UPPER(TEXT(EDATE($D91,Milestones!$AA$191),"dd mmm yy"))&amp;" "&amp;Milestones!$AB$191&amp;" "&amp;Milestones!$AC$191&amp;";  ","")&amp;IF(AND(EDATE($D91,Milestones!$AA$192)&lt;=AsOfDate,IF($R91=0,$X91,IF(AND($T91&lt;&gt;"",EDATE($D91,Milestones!$AA$192)&gt;=$T91),$W91,IF(AND($S91&lt;&gt;"",EDATE($D91,Milestones!$AA$192)&gt;=$S91),$V91,$U91)))=Milestones!$AB$192),UPPER(TEXT(EDATE($D91,Milestones!$AA$192),"dd mmm yy"))&amp;" "&amp;Milestones!$AB$192&amp;" "&amp;Milestones!$AC$192&amp;";  ","")&amp;IF(AND(EDATE($D91,Milestones!$AA$193)&lt;=AsOfDate,IF($R91=0,$X91,IF(AND($T91&lt;&gt;"",EDATE($D91,Milestones!$AA$193)&gt;=$T91),$W91,IF(AND($S91&lt;&gt;"",EDATE($D91,Milestones!$AA$193)&gt;=$S91),$V91,$U91)))=Milestones!$AB$193),UPPER(TEXT(EDATE($D91,Milestones!$AA$193),"dd mmm yy"))&amp;" "&amp;Milestones!$AB$193&amp;" "&amp;Milestones!$AC$193&amp;";  ","")&amp;IF(AND(EDATE($D91,Milestones!$AA$194)&lt;=AsOfDate,IF($R91=0,$X91,IF(AND($T91&lt;&gt;"",EDATE($D91,Milestones!$AA$194)&gt;=$T91),$W91,IF(AND($S91&lt;&gt;"",EDATE($D91,Milestones!$AA$194)&gt;=$S91),$V91,$U91)))=Milestones!$AB$194),UPPER(TEXT(EDATE($D91,Milestones!$AA$194),"dd mmm yy"))&amp;" "&amp;Milestones!$AB$194&amp;" "&amp;Milestones!$AC$194&amp;";  ","")&amp;IF(AND(EDATE($D91,Milestones!$AA$195)&lt;=AsOfDate,IF($R91=0,$X91,IF(AND($T91&lt;&gt;"",EDATE($D91,Milestones!$AA$195)&gt;=$T91),$W91,IF(AND($S91&lt;&gt;"",EDATE($D91,Milestones!$AA$195)&gt;=$S91),$V91,$U91)))=Milestones!$AB$195),UPPER(TEXT(EDATE($D91,Milestones!$AA$195),"dd mmm yy"))&amp;" "&amp;Milestones!$AB$195&amp;" "&amp;Milestones!$AC$195&amp;";  ","")&amp;IF(AND(EDATE($D91,Milestones!$AA$196)&lt;=AsOfDate,IF($R91=0,$X91,IF(AND($T91&lt;&gt;"",EDATE($D91,Milestones!$AA$196)&gt;=$T91),$W91,IF(AND($S91&lt;&gt;"",EDATE($D91,Milestones!$AA$196)&gt;=$S91),$V91,$U91)))=Milestones!$AB$196),UPPER(TEXT(EDATE($D91,Milestones!$AA$196),"dd mmm yy"))&amp;" "&amp;Milestones!$AB$196&amp;" "&amp;Milestones!$AC$196&amp;";  ","")&amp;IF(AND(EDATE($D91,Milestones!$AA$197)&lt;=AsOfDate,IF($R91=0,$X91,IF(AND($T91&lt;&gt;"",EDATE($D91,Milestones!$AA$197)&gt;=$T91),$W91,IF(AND($S91&lt;&gt;"",EDATE($D91,Milestones!$AA$197)&gt;=$S91),$V91,$U91)))=Milestones!$AB$197),UPPER(TEXT(EDATE($D91,Milestones!$AA$197),"dd mmm yy"))&amp;" "&amp;Milestones!$AB$197&amp;" "&amp;Milestones!$AC$197&amp;";  ","")&amp;IF(AND(EDATE($D91,Milestones!$AA$198)&lt;=AsOfDate,IF($R91=0,$X91,IF(AND($T91&lt;&gt;"",EDATE($D91,Milestones!$AA$198)&gt;=$T91),$W91,IF(AND($S91&lt;&gt;"",EDATE($D91,Milestones!$AA$198)&gt;=$S91),$V91,$U91)))=Milestones!$AB$198),UPPER(TEXT(EDATE($D91,Milestones!$AA$198),"dd mmm yy"))&amp;" "&amp;Milestones!$AB$198&amp;" "&amp;Milestones!$AC$198&amp;";  ","")&amp;IF(AND(EDATE($D91,Milestones!$AA$199)&lt;=AsOfDate,IF($R91=0,$X91,IF(AND($T91&lt;&gt;"",EDATE($D91,Milestones!$AA$199)&gt;=$T91),$W91,IF(AND($S91&lt;&gt;"",EDATE($D91,Milestones!$AA$199)&gt;=$S91),$V91,$U91)))=Milestones!$AB$199),UPPER(TEXT(EDATE($D91,Milestones!$AA$199),"dd mmm yy"))&amp;" "&amp;Milestones!$AB$199&amp;" "&amp;Milestones!$AC$199&amp;";  ",""))</f>
        <v/>
      </c>
      <c r="R91" s="0" t="str">
        <f aca="false">IF(Staff!$A91="","",Staff!$AI91)</f>
        <v/>
      </c>
      <c r="S91" s="0" t="str">
        <f aca="false">IF(Staff!$A91="","",Staff!$AK91)</f>
        <v/>
      </c>
      <c r="T91" s="0" t="str">
        <f aca="false">IF(Staff!$A91="","",Staff!$AL91)</f>
        <v/>
      </c>
      <c r="U91" s="0" t="str">
        <f aca="false">IF(Staff!$A91="","",Staff!$AP91)</f>
        <v/>
      </c>
      <c r="V91" s="0" t="str">
        <f aca="false">IF(Staff!$A91="","",Staff!$AQ91)</f>
        <v/>
      </c>
      <c r="W91" s="0" t="str">
        <f aca="false">IF(Staff!$A91="","",Staff!$AR91)</f>
        <v/>
      </c>
      <c r="X91" s="0" t="str">
        <f aca="false">IF(Staff!$A91="","",Staff!$AS91)</f>
        <v/>
      </c>
    </row>
    <row r="92" customFormat="false" ht="15" hidden="false" customHeight="false" outlineLevel="0" collapsed="false">
      <c r="A92" s="14" t="str">
        <f aca="false">IF(Staff!$A92="","",Staff!$A92)</f>
        <v/>
      </c>
      <c r="B92" s="14" t="str">
        <f aca="false">IF(Staff!$A92="","",Staff!$B92)</f>
        <v/>
      </c>
      <c r="C92" s="14" t="str">
        <f aca="false">IF(Staff!$A92="","",Staff!$C92)</f>
        <v/>
      </c>
      <c r="D92" s="12" t="str">
        <f aca="false">IF(Staff!$A92="","",Staff!$AH92)</f>
        <v/>
      </c>
      <c r="E92" s="14" t="str">
        <f aca="false">IF(Staff!$A92="","",Staff!$O92)</f>
        <v/>
      </c>
      <c r="F92" s="14" t="str">
        <f aca="false">IF(E92="","",E92*HoursPerDay)</f>
        <v/>
      </c>
      <c r="G92" s="14" t="str">
        <f aca="false">IF(Staff!$A92="","",Staff!$AE92)</f>
        <v/>
      </c>
      <c r="H92" s="26" t="str">
        <f aca="false">IF($A92="","",I92&amp;J92&amp;K92&amp;L92&amp;M92&amp;N92&amp;O92&amp;P92&amp;Q92)</f>
        <v/>
      </c>
      <c r="I92" s="0" t="str">
        <f aca="false">IF(OR($A92="",$D92=""),"",IF(AND(EDATE($D92,Milestones!$AA$20)&lt;=AsOfDate,IF($R92=0,$X92,IF(AND($T92&lt;&gt;"",EDATE($D92,Milestones!$AA$20)&gt;=$T92),$W92,IF(AND($S92&lt;&gt;"",EDATE($D92,Milestones!$AA$20)&gt;=$S92),$V92,$U92)))=Milestones!$AB$20),UPPER(TEXT(EDATE($D92,Milestones!$AA$20),"dd mmm yy"))&amp;" "&amp;Milestones!$AB$20&amp;" "&amp;Milestones!$AC$20&amp;";  ","")&amp;IF(AND(EDATE($D92,Milestones!$AA$21)&lt;=AsOfDate,IF($R92=0,$X92,IF(AND($T92&lt;&gt;"",EDATE($D92,Milestones!$AA$21)&gt;=$T92),$W92,IF(AND($S92&lt;&gt;"",EDATE($D92,Milestones!$AA$21)&gt;=$S92),$V92,$U92)))=Milestones!$AB$21),UPPER(TEXT(EDATE($D92,Milestones!$AA$21),"dd mmm yy"))&amp;" "&amp;Milestones!$AB$21&amp;" "&amp;Milestones!$AC$21&amp;";  ","")&amp;IF(AND(EDATE($D92,Milestones!$AA$22)&lt;=AsOfDate,IF($R92=0,$X92,IF(AND($T92&lt;&gt;"",EDATE($D92,Milestones!$AA$22)&gt;=$T92),$W92,IF(AND($S92&lt;&gt;"",EDATE($D92,Milestones!$AA$22)&gt;=$S92),$V92,$U92)))=Milestones!$AB$22),UPPER(TEXT(EDATE($D92,Milestones!$AA$22),"dd mmm yy"))&amp;" "&amp;Milestones!$AB$22&amp;" "&amp;Milestones!$AC$22&amp;";  ","")&amp;IF(AND(EDATE($D92,Milestones!$AA$23)&lt;=AsOfDate,IF($R92=0,$X92,IF(AND($T92&lt;&gt;"",EDATE($D92,Milestones!$AA$23)&gt;=$T92),$W92,IF(AND($S92&lt;&gt;"",EDATE($D92,Milestones!$AA$23)&gt;=$S92),$V92,$U92)))=Milestones!$AB$23),UPPER(TEXT(EDATE($D92,Milestones!$AA$23),"dd mmm yy"))&amp;" "&amp;Milestones!$AB$23&amp;" "&amp;Milestones!$AC$23&amp;";  ","")&amp;IF(AND(EDATE($D92,Milestones!$AA$24)&lt;=AsOfDate,IF($R92=0,$X92,IF(AND($T92&lt;&gt;"",EDATE($D92,Milestones!$AA$24)&gt;=$T92),$W92,IF(AND($S92&lt;&gt;"",EDATE($D92,Milestones!$AA$24)&gt;=$S92),$V92,$U92)))=Milestones!$AB$24),UPPER(TEXT(EDATE($D92,Milestones!$AA$24),"dd mmm yy"))&amp;" "&amp;Milestones!$AB$24&amp;" "&amp;Milestones!$AC$24&amp;";  ","")&amp;IF(AND(EDATE($D92,Milestones!$AA$25)&lt;=AsOfDate,IF($R92=0,$X92,IF(AND($T92&lt;&gt;"",EDATE($D92,Milestones!$AA$25)&gt;=$T92),$W92,IF(AND($S92&lt;&gt;"",EDATE($D92,Milestones!$AA$25)&gt;=$S92),$V92,$U92)))=Milestones!$AB$25),UPPER(TEXT(EDATE($D92,Milestones!$AA$25),"dd mmm yy"))&amp;" "&amp;Milestones!$AB$25&amp;" "&amp;Milestones!$AC$25&amp;";  ","")&amp;IF(AND(EDATE($D92,Milestones!$AA$26)&lt;=AsOfDate,IF($R92=0,$X92,IF(AND($T92&lt;&gt;"",EDATE($D92,Milestones!$AA$26)&gt;=$T92),$W92,IF(AND($S92&lt;&gt;"",EDATE($D92,Milestones!$AA$26)&gt;=$S92),$V92,$U92)))=Milestones!$AB$26),UPPER(TEXT(EDATE($D92,Milestones!$AA$26),"dd mmm yy"))&amp;" "&amp;Milestones!$AB$26&amp;" "&amp;Milestones!$AC$26&amp;";  ","")&amp;IF(AND(EDATE($D92,Milestones!$AA$27)&lt;=AsOfDate,IF($R92=0,$X92,IF(AND($T92&lt;&gt;"",EDATE($D92,Milestones!$AA$27)&gt;=$T92),$W92,IF(AND($S92&lt;&gt;"",EDATE($D92,Milestones!$AA$27)&gt;=$S92),$V92,$U92)))=Milestones!$AB$27),UPPER(TEXT(EDATE($D92,Milestones!$AA$27),"dd mmm yy"))&amp;" "&amp;Milestones!$AB$27&amp;" "&amp;Milestones!$AC$27&amp;";  ","")&amp;IF(AND(EDATE($D92,Milestones!$AA$28)&lt;=AsOfDate,IF($R92=0,$X92,IF(AND($T92&lt;&gt;"",EDATE($D92,Milestones!$AA$28)&gt;=$T92),$W92,IF(AND($S92&lt;&gt;"",EDATE($D92,Milestones!$AA$28)&gt;=$S92),$V92,$U92)))=Milestones!$AB$28),UPPER(TEXT(EDATE($D92,Milestones!$AA$28),"dd mmm yy"))&amp;" "&amp;Milestones!$AB$28&amp;" "&amp;Milestones!$AC$28&amp;";  ","")&amp;IF(AND(EDATE($D92,Milestones!$AA$29)&lt;=AsOfDate,IF($R92=0,$X92,IF(AND($T92&lt;&gt;"",EDATE($D92,Milestones!$AA$29)&gt;=$T92),$W92,IF(AND($S92&lt;&gt;"",EDATE($D92,Milestones!$AA$29)&gt;=$S92),$V92,$U92)))=Milestones!$AB$29),UPPER(TEXT(EDATE($D92,Milestones!$AA$29),"dd mmm yy"))&amp;" "&amp;Milestones!$AB$29&amp;" "&amp;Milestones!$AC$29&amp;";  ","")&amp;IF(AND(EDATE($D92,Milestones!$AA$30)&lt;=AsOfDate,IF($R92=0,$X92,IF(AND($T92&lt;&gt;"",EDATE($D92,Milestones!$AA$30)&gt;=$T92),$W92,IF(AND($S92&lt;&gt;"",EDATE($D92,Milestones!$AA$30)&gt;=$S92),$V92,$U92)))=Milestones!$AB$30),UPPER(TEXT(EDATE($D92,Milestones!$AA$30),"dd mmm yy"))&amp;" "&amp;Milestones!$AB$30&amp;" "&amp;Milestones!$AC$30&amp;";  ","")&amp;IF(AND(EDATE($D92,Milestones!$AA$31)&lt;=AsOfDate,IF($R92=0,$X92,IF(AND($T92&lt;&gt;"",EDATE($D92,Milestones!$AA$31)&gt;=$T92),$W92,IF(AND($S92&lt;&gt;"",EDATE($D92,Milestones!$AA$31)&gt;=$S92),$V92,$U92)))=Milestones!$AB$31),UPPER(TEXT(EDATE($D92,Milestones!$AA$31),"dd mmm yy"))&amp;" "&amp;Milestones!$AB$31&amp;" "&amp;Milestones!$AC$31&amp;";  ","")&amp;IF(AND(EDATE($D92,Milestones!$AA$32)&lt;=AsOfDate,IF($R92=0,$X92,IF(AND($T92&lt;&gt;"",EDATE($D92,Milestones!$AA$32)&gt;=$T92),$W92,IF(AND($S92&lt;&gt;"",EDATE($D92,Milestones!$AA$32)&gt;=$S92),$V92,$U92)))=Milestones!$AB$32),UPPER(TEXT(EDATE($D92,Milestones!$AA$32),"dd mmm yy"))&amp;" "&amp;Milestones!$AB$32&amp;" "&amp;Milestones!$AC$32&amp;";  ","")&amp;IF(AND(EDATE($D92,Milestones!$AA$33)&lt;=AsOfDate,IF($R92=0,$X92,IF(AND($T92&lt;&gt;"",EDATE($D92,Milestones!$AA$33)&gt;=$T92),$W92,IF(AND($S92&lt;&gt;"",EDATE($D92,Milestones!$AA$33)&gt;=$S92),$V92,$U92)))=Milestones!$AB$33),UPPER(TEXT(EDATE($D92,Milestones!$AA$33),"dd mmm yy"))&amp;" "&amp;Milestones!$AB$33&amp;" "&amp;Milestones!$AC$33&amp;";  ","")&amp;IF(AND(EDATE($D92,Milestones!$AA$34)&lt;=AsOfDate,IF($R92=0,$X92,IF(AND($T92&lt;&gt;"",EDATE($D92,Milestones!$AA$34)&gt;=$T92),$W92,IF(AND($S92&lt;&gt;"",EDATE($D92,Milestones!$AA$34)&gt;=$S92),$V92,$U92)))=Milestones!$AB$34),UPPER(TEXT(EDATE($D92,Milestones!$AA$34),"dd mmm yy"))&amp;" "&amp;Milestones!$AB$34&amp;" "&amp;Milestones!$AC$34&amp;";  ","")&amp;IF(AND(EDATE($D92,Milestones!$AA$35)&lt;=AsOfDate,IF($R92=0,$X92,IF(AND($T92&lt;&gt;"",EDATE($D92,Milestones!$AA$35)&gt;=$T92),$W92,IF(AND($S92&lt;&gt;"",EDATE($D92,Milestones!$AA$35)&gt;=$S92),$V92,$U92)))=Milestones!$AB$35),UPPER(TEXT(EDATE($D92,Milestones!$AA$35),"dd mmm yy"))&amp;" "&amp;Milestones!$AB$35&amp;" "&amp;Milestones!$AC$35&amp;";  ","")&amp;IF(AND(EDATE($D92,Milestones!$AA$36)&lt;=AsOfDate,IF($R92=0,$X92,IF(AND($T92&lt;&gt;"",EDATE($D92,Milestones!$AA$36)&gt;=$T92),$W92,IF(AND($S92&lt;&gt;"",EDATE($D92,Milestones!$AA$36)&gt;=$S92),$V92,$U92)))=Milestones!$AB$36),UPPER(TEXT(EDATE($D92,Milestones!$AA$36),"dd mmm yy"))&amp;" "&amp;Milestones!$AB$36&amp;" "&amp;Milestones!$AC$36&amp;";  ","")&amp;IF(AND(EDATE($D92,Milestones!$AA$37)&lt;=AsOfDate,IF($R92=0,$X92,IF(AND($T92&lt;&gt;"",EDATE($D92,Milestones!$AA$37)&gt;=$T92),$W92,IF(AND($S92&lt;&gt;"",EDATE($D92,Milestones!$AA$37)&gt;=$S92),$V92,$U92)))=Milestones!$AB$37),UPPER(TEXT(EDATE($D92,Milestones!$AA$37),"dd mmm yy"))&amp;" "&amp;Milestones!$AB$37&amp;" "&amp;Milestones!$AC$37&amp;";  ","")&amp;IF(AND(EDATE($D92,Milestones!$AA$38)&lt;=AsOfDate,IF($R92=0,$X92,IF(AND($T92&lt;&gt;"",EDATE($D92,Milestones!$AA$38)&gt;=$T92),$W92,IF(AND($S92&lt;&gt;"",EDATE($D92,Milestones!$AA$38)&gt;=$S92),$V92,$U92)))=Milestones!$AB$38),UPPER(TEXT(EDATE($D92,Milestones!$AA$38),"dd mmm yy"))&amp;" "&amp;Milestones!$AB$38&amp;" "&amp;Milestones!$AC$38&amp;";  ","")&amp;IF(AND(EDATE($D92,Milestones!$AA$39)&lt;=AsOfDate,IF($R92=0,$X92,IF(AND($T92&lt;&gt;"",EDATE($D92,Milestones!$AA$39)&gt;=$T92),$W92,IF(AND($S92&lt;&gt;"",EDATE($D92,Milestones!$AA$39)&gt;=$S92),$V92,$U92)))=Milestones!$AB$39),UPPER(TEXT(EDATE($D92,Milestones!$AA$39),"dd mmm yy"))&amp;" "&amp;Milestones!$AB$39&amp;" "&amp;Milestones!$AC$39&amp;";  ",""))</f>
        <v/>
      </c>
      <c r="J92" s="0" t="str">
        <f aca="false">IF(OR($A92="",$D92=""),"",IF(AND(EDATE($D92,Milestones!$AA$40)&lt;=AsOfDate,IF($R92=0,$X92,IF(AND($T92&lt;&gt;"",EDATE($D92,Milestones!$AA$40)&gt;=$T92),$W92,IF(AND($S92&lt;&gt;"",EDATE($D92,Milestones!$AA$40)&gt;=$S92),$V92,$U92)))=Milestones!$AB$40),UPPER(TEXT(EDATE($D92,Milestones!$AA$40),"dd mmm yy"))&amp;" "&amp;Milestones!$AB$40&amp;" "&amp;Milestones!$AC$40&amp;";  ","")&amp;IF(AND(EDATE($D92,Milestones!$AA$41)&lt;=AsOfDate,IF($R92=0,$X92,IF(AND($T92&lt;&gt;"",EDATE($D92,Milestones!$AA$41)&gt;=$T92),$W92,IF(AND($S92&lt;&gt;"",EDATE($D92,Milestones!$AA$41)&gt;=$S92),$V92,$U92)))=Milestones!$AB$41),UPPER(TEXT(EDATE($D92,Milestones!$AA$41),"dd mmm yy"))&amp;" "&amp;Milestones!$AB$41&amp;" "&amp;Milestones!$AC$41&amp;";  ","")&amp;IF(AND(EDATE($D92,Milestones!$AA$42)&lt;=AsOfDate,IF($R92=0,$X92,IF(AND($T92&lt;&gt;"",EDATE($D92,Milestones!$AA$42)&gt;=$T92),$W92,IF(AND($S92&lt;&gt;"",EDATE($D92,Milestones!$AA$42)&gt;=$S92),$V92,$U92)))=Milestones!$AB$42),UPPER(TEXT(EDATE($D92,Milestones!$AA$42),"dd mmm yy"))&amp;" "&amp;Milestones!$AB$42&amp;" "&amp;Milestones!$AC$42&amp;";  ","")&amp;IF(AND(EDATE($D92,Milestones!$AA$43)&lt;=AsOfDate,IF($R92=0,$X92,IF(AND($T92&lt;&gt;"",EDATE($D92,Milestones!$AA$43)&gt;=$T92),$W92,IF(AND($S92&lt;&gt;"",EDATE($D92,Milestones!$AA$43)&gt;=$S92),$V92,$U92)))=Milestones!$AB$43),UPPER(TEXT(EDATE($D92,Milestones!$AA$43),"dd mmm yy"))&amp;" "&amp;Milestones!$AB$43&amp;" "&amp;Milestones!$AC$43&amp;";  ","")&amp;IF(AND(EDATE($D92,Milestones!$AA$44)&lt;=AsOfDate,IF($R92=0,$X92,IF(AND($T92&lt;&gt;"",EDATE($D92,Milestones!$AA$44)&gt;=$T92),$W92,IF(AND($S92&lt;&gt;"",EDATE($D92,Milestones!$AA$44)&gt;=$S92),$V92,$U92)))=Milestones!$AB$44),UPPER(TEXT(EDATE($D92,Milestones!$AA$44),"dd mmm yy"))&amp;" "&amp;Milestones!$AB$44&amp;" "&amp;Milestones!$AC$44&amp;";  ","")&amp;IF(AND(EDATE($D92,Milestones!$AA$45)&lt;=AsOfDate,IF($R92=0,$X92,IF(AND($T92&lt;&gt;"",EDATE($D92,Milestones!$AA$45)&gt;=$T92),$W92,IF(AND($S92&lt;&gt;"",EDATE($D92,Milestones!$AA$45)&gt;=$S92),$V92,$U92)))=Milestones!$AB$45),UPPER(TEXT(EDATE($D92,Milestones!$AA$45),"dd mmm yy"))&amp;" "&amp;Milestones!$AB$45&amp;" "&amp;Milestones!$AC$45&amp;";  ","")&amp;IF(AND(EDATE($D92,Milestones!$AA$46)&lt;=AsOfDate,IF($R92=0,$X92,IF(AND($T92&lt;&gt;"",EDATE($D92,Milestones!$AA$46)&gt;=$T92),$W92,IF(AND($S92&lt;&gt;"",EDATE($D92,Milestones!$AA$46)&gt;=$S92),$V92,$U92)))=Milestones!$AB$46),UPPER(TEXT(EDATE($D92,Milestones!$AA$46),"dd mmm yy"))&amp;" "&amp;Milestones!$AB$46&amp;" "&amp;Milestones!$AC$46&amp;";  ","")&amp;IF(AND(EDATE($D92,Milestones!$AA$47)&lt;=AsOfDate,IF($R92=0,$X92,IF(AND($T92&lt;&gt;"",EDATE($D92,Milestones!$AA$47)&gt;=$T92),$W92,IF(AND($S92&lt;&gt;"",EDATE($D92,Milestones!$AA$47)&gt;=$S92),$V92,$U92)))=Milestones!$AB$47),UPPER(TEXT(EDATE($D92,Milestones!$AA$47),"dd mmm yy"))&amp;" "&amp;Milestones!$AB$47&amp;" "&amp;Milestones!$AC$47&amp;";  ","")&amp;IF(AND(EDATE($D92,Milestones!$AA$48)&lt;=AsOfDate,IF($R92=0,$X92,IF(AND($T92&lt;&gt;"",EDATE($D92,Milestones!$AA$48)&gt;=$T92),$W92,IF(AND($S92&lt;&gt;"",EDATE($D92,Milestones!$AA$48)&gt;=$S92),$V92,$U92)))=Milestones!$AB$48),UPPER(TEXT(EDATE($D92,Milestones!$AA$48),"dd mmm yy"))&amp;" "&amp;Milestones!$AB$48&amp;" "&amp;Milestones!$AC$48&amp;";  ","")&amp;IF(AND(EDATE($D92,Milestones!$AA$49)&lt;=AsOfDate,IF($R92=0,$X92,IF(AND($T92&lt;&gt;"",EDATE($D92,Milestones!$AA$49)&gt;=$T92),$W92,IF(AND($S92&lt;&gt;"",EDATE($D92,Milestones!$AA$49)&gt;=$S92),$V92,$U92)))=Milestones!$AB$49),UPPER(TEXT(EDATE($D92,Milestones!$AA$49),"dd mmm yy"))&amp;" "&amp;Milestones!$AB$49&amp;" "&amp;Milestones!$AC$49&amp;";  ","")&amp;IF(AND(EDATE($D92,Milestones!$AA$50)&lt;=AsOfDate,IF($R92=0,$X92,IF(AND($T92&lt;&gt;"",EDATE($D92,Milestones!$AA$50)&gt;=$T92),$W92,IF(AND($S92&lt;&gt;"",EDATE($D92,Milestones!$AA$50)&gt;=$S92),$V92,$U92)))=Milestones!$AB$50),UPPER(TEXT(EDATE($D92,Milestones!$AA$50),"dd mmm yy"))&amp;" "&amp;Milestones!$AB$50&amp;" "&amp;Milestones!$AC$50&amp;";  ","")&amp;IF(AND(EDATE($D92,Milestones!$AA$51)&lt;=AsOfDate,IF($R92=0,$X92,IF(AND($T92&lt;&gt;"",EDATE($D92,Milestones!$AA$51)&gt;=$T92),$W92,IF(AND($S92&lt;&gt;"",EDATE($D92,Milestones!$AA$51)&gt;=$S92),$V92,$U92)))=Milestones!$AB$51),UPPER(TEXT(EDATE($D92,Milestones!$AA$51),"dd mmm yy"))&amp;" "&amp;Milestones!$AB$51&amp;" "&amp;Milestones!$AC$51&amp;";  ","")&amp;IF(AND(EDATE($D92,Milestones!$AA$52)&lt;=AsOfDate,IF($R92=0,$X92,IF(AND($T92&lt;&gt;"",EDATE($D92,Milestones!$AA$52)&gt;=$T92),$W92,IF(AND($S92&lt;&gt;"",EDATE($D92,Milestones!$AA$52)&gt;=$S92),$V92,$U92)))=Milestones!$AB$52),UPPER(TEXT(EDATE($D92,Milestones!$AA$52),"dd mmm yy"))&amp;" "&amp;Milestones!$AB$52&amp;" "&amp;Milestones!$AC$52&amp;";  ","")&amp;IF(AND(EDATE($D92,Milestones!$AA$53)&lt;=AsOfDate,IF($R92=0,$X92,IF(AND($T92&lt;&gt;"",EDATE($D92,Milestones!$AA$53)&gt;=$T92),$W92,IF(AND($S92&lt;&gt;"",EDATE($D92,Milestones!$AA$53)&gt;=$S92),$V92,$U92)))=Milestones!$AB$53),UPPER(TEXT(EDATE($D92,Milestones!$AA$53),"dd mmm yy"))&amp;" "&amp;Milestones!$AB$53&amp;" "&amp;Milestones!$AC$53&amp;";  ","")&amp;IF(AND(EDATE($D92,Milestones!$AA$54)&lt;=AsOfDate,IF($R92=0,$X92,IF(AND($T92&lt;&gt;"",EDATE($D92,Milestones!$AA$54)&gt;=$T92),$W92,IF(AND($S92&lt;&gt;"",EDATE($D92,Milestones!$AA$54)&gt;=$S92),$V92,$U92)))=Milestones!$AB$54),UPPER(TEXT(EDATE($D92,Milestones!$AA$54),"dd mmm yy"))&amp;" "&amp;Milestones!$AB$54&amp;" "&amp;Milestones!$AC$54&amp;";  ","")&amp;IF(AND(EDATE($D92,Milestones!$AA$55)&lt;=AsOfDate,IF($R92=0,$X92,IF(AND($T92&lt;&gt;"",EDATE($D92,Milestones!$AA$55)&gt;=$T92),$W92,IF(AND($S92&lt;&gt;"",EDATE($D92,Milestones!$AA$55)&gt;=$S92),$V92,$U92)))=Milestones!$AB$55),UPPER(TEXT(EDATE($D92,Milestones!$AA$55),"dd mmm yy"))&amp;" "&amp;Milestones!$AB$55&amp;" "&amp;Milestones!$AC$55&amp;";  ","")&amp;IF(AND(EDATE($D92,Milestones!$AA$56)&lt;=AsOfDate,IF($R92=0,$X92,IF(AND($T92&lt;&gt;"",EDATE($D92,Milestones!$AA$56)&gt;=$T92),$W92,IF(AND($S92&lt;&gt;"",EDATE($D92,Milestones!$AA$56)&gt;=$S92),$V92,$U92)))=Milestones!$AB$56),UPPER(TEXT(EDATE($D92,Milestones!$AA$56),"dd mmm yy"))&amp;" "&amp;Milestones!$AB$56&amp;" "&amp;Milestones!$AC$56&amp;";  ","")&amp;IF(AND(EDATE($D92,Milestones!$AA$57)&lt;=AsOfDate,IF($R92=0,$X92,IF(AND($T92&lt;&gt;"",EDATE($D92,Milestones!$AA$57)&gt;=$T92),$W92,IF(AND($S92&lt;&gt;"",EDATE($D92,Milestones!$AA$57)&gt;=$S92),$V92,$U92)))=Milestones!$AB$57),UPPER(TEXT(EDATE($D92,Milestones!$AA$57),"dd mmm yy"))&amp;" "&amp;Milestones!$AB$57&amp;" "&amp;Milestones!$AC$57&amp;";  ","")&amp;IF(AND(EDATE($D92,Milestones!$AA$58)&lt;=AsOfDate,IF($R92=0,$X92,IF(AND($T92&lt;&gt;"",EDATE($D92,Milestones!$AA$58)&gt;=$T92),$W92,IF(AND($S92&lt;&gt;"",EDATE($D92,Milestones!$AA$58)&gt;=$S92),$V92,$U92)))=Milestones!$AB$58),UPPER(TEXT(EDATE($D92,Milestones!$AA$58),"dd mmm yy"))&amp;" "&amp;Milestones!$AB$58&amp;" "&amp;Milestones!$AC$58&amp;";  ","")&amp;IF(AND(EDATE($D92,Milestones!$AA$59)&lt;=AsOfDate,IF($R92=0,$X92,IF(AND($T92&lt;&gt;"",EDATE($D92,Milestones!$AA$59)&gt;=$T92),$W92,IF(AND($S92&lt;&gt;"",EDATE($D92,Milestones!$AA$59)&gt;=$S92),$V92,$U92)))=Milestones!$AB$59),UPPER(TEXT(EDATE($D92,Milestones!$AA$59),"dd mmm yy"))&amp;" "&amp;Milestones!$AB$59&amp;" "&amp;Milestones!$AC$59&amp;";  ",""))</f>
        <v/>
      </c>
      <c r="K92" s="0" t="str">
        <f aca="false">IF(OR($A92="",$D92=""),"",IF(AND(EDATE($D92,Milestones!$AA$60)&lt;=AsOfDate,IF($R92=0,$X92,IF(AND($T92&lt;&gt;"",EDATE($D92,Milestones!$AA$60)&gt;=$T92),$W92,IF(AND($S92&lt;&gt;"",EDATE($D92,Milestones!$AA$60)&gt;=$S92),$V92,$U92)))=Milestones!$AB$60),UPPER(TEXT(EDATE($D92,Milestones!$AA$60),"dd mmm yy"))&amp;" "&amp;Milestones!$AB$60&amp;" "&amp;Milestones!$AC$60&amp;";  ","")&amp;IF(AND(EDATE($D92,Milestones!$AA$61)&lt;=AsOfDate,IF($R92=0,$X92,IF(AND($T92&lt;&gt;"",EDATE($D92,Milestones!$AA$61)&gt;=$T92),$W92,IF(AND($S92&lt;&gt;"",EDATE($D92,Milestones!$AA$61)&gt;=$S92),$V92,$U92)))=Milestones!$AB$61),UPPER(TEXT(EDATE($D92,Milestones!$AA$61),"dd mmm yy"))&amp;" "&amp;Milestones!$AB$61&amp;" "&amp;Milestones!$AC$61&amp;";  ","")&amp;IF(AND(EDATE($D92,Milestones!$AA$62)&lt;=AsOfDate,IF($R92=0,$X92,IF(AND($T92&lt;&gt;"",EDATE($D92,Milestones!$AA$62)&gt;=$T92),$W92,IF(AND($S92&lt;&gt;"",EDATE($D92,Milestones!$AA$62)&gt;=$S92),$V92,$U92)))=Milestones!$AB$62),UPPER(TEXT(EDATE($D92,Milestones!$AA$62),"dd mmm yy"))&amp;" "&amp;Milestones!$AB$62&amp;" "&amp;Milestones!$AC$62&amp;";  ","")&amp;IF(AND(EDATE($D92,Milestones!$AA$63)&lt;=AsOfDate,IF($R92=0,$X92,IF(AND($T92&lt;&gt;"",EDATE($D92,Milestones!$AA$63)&gt;=$T92),$W92,IF(AND($S92&lt;&gt;"",EDATE($D92,Milestones!$AA$63)&gt;=$S92),$V92,$U92)))=Milestones!$AB$63),UPPER(TEXT(EDATE($D92,Milestones!$AA$63),"dd mmm yy"))&amp;" "&amp;Milestones!$AB$63&amp;" "&amp;Milestones!$AC$63&amp;";  ","")&amp;IF(AND(EDATE($D92,Milestones!$AA$64)&lt;=AsOfDate,IF($R92=0,$X92,IF(AND($T92&lt;&gt;"",EDATE($D92,Milestones!$AA$64)&gt;=$T92),$W92,IF(AND($S92&lt;&gt;"",EDATE($D92,Milestones!$AA$64)&gt;=$S92),$V92,$U92)))=Milestones!$AB$64),UPPER(TEXT(EDATE($D92,Milestones!$AA$64),"dd mmm yy"))&amp;" "&amp;Milestones!$AB$64&amp;" "&amp;Milestones!$AC$64&amp;";  ","")&amp;IF(AND(EDATE($D92,Milestones!$AA$65)&lt;=AsOfDate,IF($R92=0,$X92,IF(AND($T92&lt;&gt;"",EDATE($D92,Milestones!$AA$65)&gt;=$T92),$W92,IF(AND($S92&lt;&gt;"",EDATE($D92,Milestones!$AA$65)&gt;=$S92),$V92,$U92)))=Milestones!$AB$65),UPPER(TEXT(EDATE($D92,Milestones!$AA$65),"dd mmm yy"))&amp;" "&amp;Milestones!$AB$65&amp;" "&amp;Milestones!$AC$65&amp;";  ","")&amp;IF(AND(EDATE($D92,Milestones!$AA$66)&lt;=AsOfDate,IF($R92=0,$X92,IF(AND($T92&lt;&gt;"",EDATE($D92,Milestones!$AA$66)&gt;=$T92),$W92,IF(AND($S92&lt;&gt;"",EDATE($D92,Milestones!$AA$66)&gt;=$S92),$V92,$U92)))=Milestones!$AB$66),UPPER(TEXT(EDATE($D92,Milestones!$AA$66),"dd mmm yy"))&amp;" "&amp;Milestones!$AB$66&amp;" "&amp;Milestones!$AC$66&amp;";  ","")&amp;IF(AND(EDATE($D92,Milestones!$AA$67)&lt;=AsOfDate,IF($R92=0,$X92,IF(AND($T92&lt;&gt;"",EDATE($D92,Milestones!$AA$67)&gt;=$T92),$W92,IF(AND($S92&lt;&gt;"",EDATE($D92,Milestones!$AA$67)&gt;=$S92),$V92,$U92)))=Milestones!$AB$67),UPPER(TEXT(EDATE($D92,Milestones!$AA$67),"dd mmm yy"))&amp;" "&amp;Milestones!$AB$67&amp;" "&amp;Milestones!$AC$67&amp;";  ","")&amp;IF(AND(EDATE($D92,Milestones!$AA$68)&lt;=AsOfDate,IF($R92=0,$X92,IF(AND($T92&lt;&gt;"",EDATE($D92,Milestones!$AA$68)&gt;=$T92),$W92,IF(AND($S92&lt;&gt;"",EDATE($D92,Milestones!$AA$68)&gt;=$S92),$V92,$U92)))=Milestones!$AB$68),UPPER(TEXT(EDATE($D92,Milestones!$AA$68),"dd mmm yy"))&amp;" "&amp;Milestones!$AB$68&amp;" "&amp;Milestones!$AC$68&amp;";  ","")&amp;IF(AND(EDATE($D92,Milestones!$AA$69)&lt;=AsOfDate,IF($R92=0,$X92,IF(AND($T92&lt;&gt;"",EDATE($D92,Milestones!$AA$69)&gt;=$T92),$W92,IF(AND($S92&lt;&gt;"",EDATE($D92,Milestones!$AA$69)&gt;=$S92),$V92,$U92)))=Milestones!$AB$69),UPPER(TEXT(EDATE($D92,Milestones!$AA$69),"dd mmm yy"))&amp;" "&amp;Milestones!$AB$69&amp;" "&amp;Milestones!$AC$69&amp;";  ","")&amp;IF(AND(EDATE($D92,Milestones!$AA$70)&lt;=AsOfDate,IF($R92=0,$X92,IF(AND($T92&lt;&gt;"",EDATE($D92,Milestones!$AA$70)&gt;=$T92),$W92,IF(AND($S92&lt;&gt;"",EDATE($D92,Milestones!$AA$70)&gt;=$S92),$V92,$U92)))=Milestones!$AB$70),UPPER(TEXT(EDATE($D92,Milestones!$AA$70),"dd mmm yy"))&amp;" "&amp;Milestones!$AB$70&amp;" "&amp;Milestones!$AC$70&amp;";  ","")&amp;IF(AND(EDATE($D92,Milestones!$AA$71)&lt;=AsOfDate,IF($R92=0,$X92,IF(AND($T92&lt;&gt;"",EDATE($D92,Milestones!$AA$71)&gt;=$T92),$W92,IF(AND($S92&lt;&gt;"",EDATE($D92,Milestones!$AA$71)&gt;=$S92),$V92,$U92)))=Milestones!$AB$71),UPPER(TEXT(EDATE($D92,Milestones!$AA$71),"dd mmm yy"))&amp;" "&amp;Milestones!$AB$71&amp;" "&amp;Milestones!$AC$71&amp;";  ","")&amp;IF(AND(EDATE($D92,Milestones!$AA$72)&lt;=AsOfDate,IF($R92=0,$X92,IF(AND($T92&lt;&gt;"",EDATE($D92,Milestones!$AA$72)&gt;=$T92),$W92,IF(AND($S92&lt;&gt;"",EDATE($D92,Milestones!$AA$72)&gt;=$S92),$V92,$U92)))=Milestones!$AB$72),UPPER(TEXT(EDATE($D92,Milestones!$AA$72),"dd mmm yy"))&amp;" "&amp;Milestones!$AB$72&amp;" "&amp;Milestones!$AC$72&amp;";  ","")&amp;IF(AND(EDATE($D92,Milestones!$AA$73)&lt;=AsOfDate,IF($R92=0,$X92,IF(AND($T92&lt;&gt;"",EDATE($D92,Milestones!$AA$73)&gt;=$T92),$W92,IF(AND($S92&lt;&gt;"",EDATE($D92,Milestones!$AA$73)&gt;=$S92),$V92,$U92)))=Milestones!$AB$73),UPPER(TEXT(EDATE($D92,Milestones!$AA$73),"dd mmm yy"))&amp;" "&amp;Milestones!$AB$73&amp;" "&amp;Milestones!$AC$73&amp;";  ","")&amp;IF(AND(EDATE($D92,Milestones!$AA$74)&lt;=AsOfDate,IF($R92=0,$X92,IF(AND($T92&lt;&gt;"",EDATE($D92,Milestones!$AA$74)&gt;=$T92),$W92,IF(AND($S92&lt;&gt;"",EDATE($D92,Milestones!$AA$74)&gt;=$S92),$V92,$U92)))=Milestones!$AB$74),UPPER(TEXT(EDATE($D92,Milestones!$AA$74),"dd mmm yy"))&amp;" "&amp;Milestones!$AB$74&amp;" "&amp;Milestones!$AC$74&amp;";  ","")&amp;IF(AND(EDATE($D92,Milestones!$AA$75)&lt;=AsOfDate,IF($R92=0,$X92,IF(AND($T92&lt;&gt;"",EDATE($D92,Milestones!$AA$75)&gt;=$T92),$W92,IF(AND($S92&lt;&gt;"",EDATE($D92,Milestones!$AA$75)&gt;=$S92),$V92,$U92)))=Milestones!$AB$75),UPPER(TEXT(EDATE($D92,Milestones!$AA$75),"dd mmm yy"))&amp;" "&amp;Milestones!$AB$75&amp;" "&amp;Milestones!$AC$75&amp;";  ","")&amp;IF(AND(EDATE($D92,Milestones!$AA$76)&lt;=AsOfDate,IF($R92=0,$X92,IF(AND($T92&lt;&gt;"",EDATE($D92,Milestones!$AA$76)&gt;=$T92),$W92,IF(AND($S92&lt;&gt;"",EDATE($D92,Milestones!$AA$76)&gt;=$S92),$V92,$U92)))=Milestones!$AB$76),UPPER(TEXT(EDATE($D92,Milestones!$AA$76),"dd mmm yy"))&amp;" "&amp;Milestones!$AB$76&amp;" "&amp;Milestones!$AC$76&amp;";  ","")&amp;IF(AND(EDATE($D92,Milestones!$AA$77)&lt;=AsOfDate,IF($R92=0,$X92,IF(AND($T92&lt;&gt;"",EDATE($D92,Milestones!$AA$77)&gt;=$T92),$W92,IF(AND($S92&lt;&gt;"",EDATE($D92,Milestones!$AA$77)&gt;=$S92),$V92,$U92)))=Milestones!$AB$77),UPPER(TEXT(EDATE($D92,Milestones!$AA$77),"dd mmm yy"))&amp;" "&amp;Milestones!$AB$77&amp;" "&amp;Milestones!$AC$77&amp;";  ","")&amp;IF(AND(EDATE($D92,Milestones!$AA$78)&lt;=AsOfDate,IF($R92=0,$X92,IF(AND($T92&lt;&gt;"",EDATE($D92,Milestones!$AA$78)&gt;=$T92),$W92,IF(AND($S92&lt;&gt;"",EDATE($D92,Milestones!$AA$78)&gt;=$S92),$V92,$U92)))=Milestones!$AB$78),UPPER(TEXT(EDATE($D92,Milestones!$AA$78),"dd mmm yy"))&amp;" "&amp;Milestones!$AB$78&amp;" "&amp;Milestones!$AC$78&amp;";  ","")&amp;IF(AND(EDATE($D92,Milestones!$AA$79)&lt;=AsOfDate,IF($R92=0,$X92,IF(AND($T92&lt;&gt;"",EDATE($D92,Milestones!$AA$79)&gt;=$T92),$W92,IF(AND($S92&lt;&gt;"",EDATE($D92,Milestones!$AA$79)&gt;=$S92),$V92,$U92)))=Milestones!$AB$79),UPPER(TEXT(EDATE($D92,Milestones!$AA$79),"dd mmm yy"))&amp;" "&amp;Milestones!$AB$79&amp;" "&amp;Milestones!$AC$79&amp;";  ",""))</f>
        <v/>
      </c>
      <c r="L92" s="0" t="str">
        <f aca="false">IF(OR($A92="",$D92=""),"",IF(AND(EDATE($D92,Milestones!$AA$80)&lt;=AsOfDate,IF($R92=0,$X92,IF(AND($T92&lt;&gt;"",EDATE($D92,Milestones!$AA$80)&gt;=$T92),$W92,IF(AND($S92&lt;&gt;"",EDATE($D92,Milestones!$AA$80)&gt;=$S92),$V92,$U92)))=Milestones!$AB$80),UPPER(TEXT(EDATE($D92,Milestones!$AA$80),"dd mmm yy"))&amp;" "&amp;Milestones!$AB$80&amp;" "&amp;Milestones!$AC$80&amp;";  ","")&amp;IF(AND(EDATE($D92,Milestones!$AA$81)&lt;=AsOfDate,IF($R92=0,$X92,IF(AND($T92&lt;&gt;"",EDATE($D92,Milestones!$AA$81)&gt;=$T92),$W92,IF(AND($S92&lt;&gt;"",EDATE($D92,Milestones!$AA$81)&gt;=$S92),$V92,$U92)))=Milestones!$AB$81),UPPER(TEXT(EDATE($D92,Milestones!$AA$81),"dd mmm yy"))&amp;" "&amp;Milestones!$AB$81&amp;" "&amp;Milestones!$AC$81&amp;";  ","")&amp;IF(AND(EDATE($D92,Milestones!$AA$82)&lt;=AsOfDate,IF($R92=0,$X92,IF(AND($T92&lt;&gt;"",EDATE($D92,Milestones!$AA$82)&gt;=$T92),$W92,IF(AND($S92&lt;&gt;"",EDATE($D92,Milestones!$AA$82)&gt;=$S92),$V92,$U92)))=Milestones!$AB$82),UPPER(TEXT(EDATE($D92,Milestones!$AA$82),"dd mmm yy"))&amp;" "&amp;Milestones!$AB$82&amp;" "&amp;Milestones!$AC$82&amp;";  ","")&amp;IF(AND(EDATE($D92,Milestones!$AA$83)&lt;=AsOfDate,IF($R92=0,$X92,IF(AND($T92&lt;&gt;"",EDATE($D92,Milestones!$AA$83)&gt;=$T92),$W92,IF(AND($S92&lt;&gt;"",EDATE($D92,Milestones!$AA$83)&gt;=$S92),$V92,$U92)))=Milestones!$AB$83),UPPER(TEXT(EDATE($D92,Milestones!$AA$83),"dd mmm yy"))&amp;" "&amp;Milestones!$AB$83&amp;" "&amp;Milestones!$AC$83&amp;";  ","")&amp;IF(AND(EDATE($D92,Milestones!$AA$84)&lt;=AsOfDate,IF($R92=0,$X92,IF(AND($T92&lt;&gt;"",EDATE($D92,Milestones!$AA$84)&gt;=$T92),$W92,IF(AND($S92&lt;&gt;"",EDATE($D92,Milestones!$AA$84)&gt;=$S92),$V92,$U92)))=Milestones!$AB$84),UPPER(TEXT(EDATE($D92,Milestones!$AA$84),"dd mmm yy"))&amp;" "&amp;Milestones!$AB$84&amp;" "&amp;Milestones!$AC$84&amp;";  ","")&amp;IF(AND(EDATE($D92,Milestones!$AA$85)&lt;=AsOfDate,IF($R92=0,$X92,IF(AND($T92&lt;&gt;"",EDATE($D92,Milestones!$AA$85)&gt;=$T92),$W92,IF(AND($S92&lt;&gt;"",EDATE($D92,Milestones!$AA$85)&gt;=$S92),$V92,$U92)))=Milestones!$AB$85),UPPER(TEXT(EDATE($D92,Milestones!$AA$85),"dd mmm yy"))&amp;" "&amp;Milestones!$AB$85&amp;" "&amp;Milestones!$AC$85&amp;";  ","")&amp;IF(AND(EDATE($D92,Milestones!$AA$86)&lt;=AsOfDate,IF($R92=0,$X92,IF(AND($T92&lt;&gt;"",EDATE($D92,Milestones!$AA$86)&gt;=$T92),$W92,IF(AND($S92&lt;&gt;"",EDATE($D92,Milestones!$AA$86)&gt;=$S92),$V92,$U92)))=Milestones!$AB$86),UPPER(TEXT(EDATE($D92,Milestones!$AA$86),"dd mmm yy"))&amp;" "&amp;Milestones!$AB$86&amp;" "&amp;Milestones!$AC$86&amp;";  ","")&amp;IF(AND(EDATE($D92,Milestones!$AA$87)&lt;=AsOfDate,IF($R92=0,$X92,IF(AND($T92&lt;&gt;"",EDATE($D92,Milestones!$AA$87)&gt;=$T92),$W92,IF(AND($S92&lt;&gt;"",EDATE($D92,Milestones!$AA$87)&gt;=$S92),$V92,$U92)))=Milestones!$AB$87),UPPER(TEXT(EDATE($D92,Milestones!$AA$87),"dd mmm yy"))&amp;" "&amp;Milestones!$AB$87&amp;" "&amp;Milestones!$AC$87&amp;";  ","")&amp;IF(AND(EDATE($D92,Milestones!$AA$88)&lt;=AsOfDate,IF($R92=0,$X92,IF(AND($T92&lt;&gt;"",EDATE($D92,Milestones!$AA$88)&gt;=$T92),$W92,IF(AND($S92&lt;&gt;"",EDATE($D92,Milestones!$AA$88)&gt;=$S92),$V92,$U92)))=Milestones!$AB$88),UPPER(TEXT(EDATE($D92,Milestones!$AA$88),"dd mmm yy"))&amp;" "&amp;Milestones!$AB$88&amp;" "&amp;Milestones!$AC$88&amp;";  ","")&amp;IF(AND(EDATE($D92,Milestones!$AA$89)&lt;=AsOfDate,IF($R92=0,$X92,IF(AND($T92&lt;&gt;"",EDATE($D92,Milestones!$AA$89)&gt;=$T92),$W92,IF(AND($S92&lt;&gt;"",EDATE($D92,Milestones!$AA$89)&gt;=$S92),$V92,$U92)))=Milestones!$AB$89),UPPER(TEXT(EDATE($D92,Milestones!$AA$89),"dd mmm yy"))&amp;" "&amp;Milestones!$AB$89&amp;" "&amp;Milestones!$AC$89&amp;";  ","")&amp;IF(AND(EDATE($D92,Milestones!$AA$90)&lt;=AsOfDate,IF($R92=0,$X92,IF(AND($T92&lt;&gt;"",EDATE($D92,Milestones!$AA$90)&gt;=$T92),$W92,IF(AND($S92&lt;&gt;"",EDATE($D92,Milestones!$AA$90)&gt;=$S92),$V92,$U92)))=Milestones!$AB$90),UPPER(TEXT(EDATE($D92,Milestones!$AA$90),"dd mmm yy"))&amp;" "&amp;Milestones!$AB$90&amp;" "&amp;Milestones!$AC$90&amp;";  ","")&amp;IF(AND(EDATE($D92,Milestones!$AA$91)&lt;=AsOfDate,IF($R92=0,$X92,IF(AND($T92&lt;&gt;"",EDATE($D92,Milestones!$AA$91)&gt;=$T92),$W92,IF(AND($S92&lt;&gt;"",EDATE($D92,Milestones!$AA$91)&gt;=$S92),$V92,$U92)))=Milestones!$AB$91),UPPER(TEXT(EDATE($D92,Milestones!$AA$91),"dd mmm yy"))&amp;" "&amp;Milestones!$AB$91&amp;" "&amp;Milestones!$AC$91&amp;";  ","")&amp;IF(AND(EDATE($D92,Milestones!$AA$92)&lt;=AsOfDate,IF($R92=0,$X92,IF(AND($T92&lt;&gt;"",EDATE($D92,Milestones!$AA$92)&gt;=$T92),$W92,IF(AND($S92&lt;&gt;"",EDATE($D92,Milestones!$AA$92)&gt;=$S92),$V92,$U92)))=Milestones!$AB$92),UPPER(TEXT(EDATE($D92,Milestones!$AA$92),"dd mmm yy"))&amp;" "&amp;Milestones!$AB$92&amp;" "&amp;Milestones!$AC$92&amp;";  ","")&amp;IF(AND(EDATE($D92,Milestones!$AA$93)&lt;=AsOfDate,IF($R92=0,$X92,IF(AND($T92&lt;&gt;"",EDATE($D92,Milestones!$AA$93)&gt;=$T92),$W92,IF(AND($S92&lt;&gt;"",EDATE($D92,Milestones!$AA$93)&gt;=$S92),$V92,$U92)))=Milestones!$AB$93),UPPER(TEXT(EDATE($D92,Milestones!$AA$93),"dd mmm yy"))&amp;" "&amp;Milestones!$AB$93&amp;" "&amp;Milestones!$AC$93&amp;";  ","")&amp;IF(AND(EDATE($D92,Milestones!$AA$94)&lt;=AsOfDate,IF($R92=0,$X92,IF(AND($T92&lt;&gt;"",EDATE($D92,Milestones!$AA$94)&gt;=$T92),$W92,IF(AND($S92&lt;&gt;"",EDATE($D92,Milestones!$AA$94)&gt;=$S92),$V92,$U92)))=Milestones!$AB$94),UPPER(TEXT(EDATE($D92,Milestones!$AA$94),"dd mmm yy"))&amp;" "&amp;Milestones!$AB$94&amp;" "&amp;Milestones!$AC$94&amp;";  ","")&amp;IF(AND(EDATE($D92,Milestones!$AA$95)&lt;=AsOfDate,IF($R92=0,$X92,IF(AND($T92&lt;&gt;"",EDATE($D92,Milestones!$AA$95)&gt;=$T92),$W92,IF(AND($S92&lt;&gt;"",EDATE($D92,Milestones!$AA$95)&gt;=$S92),$V92,$U92)))=Milestones!$AB$95),UPPER(TEXT(EDATE($D92,Milestones!$AA$95),"dd mmm yy"))&amp;" "&amp;Milestones!$AB$95&amp;" "&amp;Milestones!$AC$95&amp;";  ","")&amp;IF(AND(EDATE($D92,Milestones!$AA$96)&lt;=AsOfDate,IF($R92=0,$X92,IF(AND($T92&lt;&gt;"",EDATE($D92,Milestones!$AA$96)&gt;=$T92),$W92,IF(AND($S92&lt;&gt;"",EDATE($D92,Milestones!$AA$96)&gt;=$S92),$V92,$U92)))=Milestones!$AB$96),UPPER(TEXT(EDATE($D92,Milestones!$AA$96),"dd mmm yy"))&amp;" "&amp;Milestones!$AB$96&amp;" "&amp;Milestones!$AC$96&amp;";  ","")&amp;IF(AND(EDATE($D92,Milestones!$AA$97)&lt;=AsOfDate,IF($R92=0,$X92,IF(AND($T92&lt;&gt;"",EDATE($D92,Milestones!$AA$97)&gt;=$T92),$W92,IF(AND($S92&lt;&gt;"",EDATE($D92,Milestones!$AA$97)&gt;=$S92),$V92,$U92)))=Milestones!$AB$97),UPPER(TEXT(EDATE($D92,Milestones!$AA$97),"dd mmm yy"))&amp;" "&amp;Milestones!$AB$97&amp;" "&amp;Milestones!$AC$97&amp;";  ","")&amp;IF(AND(EDATE($D92,Milestones!$AA$98)&lt;=AsOfDate,IF($R92=0,$X92,IF(AND($T92&lt;&gt;"",EDATE($D92,Milestones!$AA$98)&gt;=$T92),$W92,IF(AND($S92&lt;&gt;"",EDATE($D92,Milestones!$AA$98)&gt;=$S92),$V92,$U92)))=Milestones!$AB$98),UPPER(TEXT(EDATE($D92,Milestones!$AA$98),"dd mmm yy"))&amp;" "&amp;Milestones!$AB$98&amp;" "&amp;Milestones!$AC$98&amp;";  ","")&amp;IF(AND(EDATE($D92,Milestones!$AA$99)&lt;=AsOfDate,IF($R92=0,$X92,IF(AND($T92&lt;&gt;"",EDATE($D92,Milestones!$AA$99)&gt;=$T92),$W92,IF(AND($S92&lt;&gt;"",EDATE($D92,Milestones!$AA$99)&gt;=$S92),$V92,$U92)))=Milestones!$AB$99),UPPER(TEXT(EDATE($D92,Milestones!$AA$99),"dd mmm yy"))&amp;" "&amp;Milestones!$AB$99&amp;" "&amp;Milestones!$AC$99&amp;";  ",""))</f>
        <v/>
      </c>
      <c r="M92" s="0" t="str">
        <f aca="false">IF(OR($A92="",$D92=""),"",IF(AND(EDATE($D92,Milestones!$AA$100)&lt;=AsOfDate,IF($R92=0,$X92,IF(AND($T92&lt;&gt;"",EDATE($D92,Milestones!$AA$100)&gt;=$T92),$W92,IF(AND($S92&lt;&gt;"",EDATE($D92,Milestones!$AA$100)&gt;=$S92),$V92,$U92)))=Milestones!$AB$100),UPPER(TEXT(EDATE($D92,Milestones!$AA$100),"dd mmm yy"))&amp;" "&amp;Milestones!$AB$100&amp;" "&amp;Milestones!$AC$100&amp;";  ","")&amp;IF(AND(EDATE($D92,Milestones!$AA$101)&lt;=AsOfDate,IF($R92=0,$X92,IF(AND($T92&lt;&gt;"",EDATE($D92,Milestones!$AA$101)&gt;=$T92),$W92,IF(AND($S92&lt;&gt;"",EDATE($D92,Milestones!$AA$101)&gt;=$S92),$V92,$U92)))=Milestones!$AB$101),UPPER(TEXT(EDATE($D92,Milestones!$AA$101),"dd mmm yy"))&amp;" "&amp;Milestones!$AB$101&amp;" "&amp;Milestones!$AC$101&amp;";  ","")&amp;IF(AND(EDATE($D92,Milestones!$AA$102)&lt;=AsOfDate,IF($R92=0,$X92,IF(AND($T92&lt;&gt;"",EDATE($D92,Milestones!$AA$102)&gt;=$T92),$W92,IF(AND($S92&lt;&gt;"",EDATE($D92,Milestones!$AA$102)&gt;=$S92),$V92,$U92)))=Milestones!$AB$102),UPPER(TEXT(EDATE($D92,Milestones!$AA$102),"dd mmm yy"))&amp;" "&amp;Milestones!$AB$102&amp;" "&amp;Milestones!$AC$102&amp;";  ","")&amp;IF(AND(EDATE($D92,Milestones!$AA$103)&lt;=AsOfDate,IF($R92=0,$X92,IF(AND($T92&lt;&gt;"",EDATE($D92,Milestones!$AA$103)&gt;=$T92),$W92,IF(AND($S92&lt;&gt;"",EDATE($D92,Milestones!$AA$103)&gt;=$S92),$V92,$U92)))=Milestones!$AB$103),UPPER(TEXT(EDATE($D92,Milestones!$AA$103),"dd mmm yy"))&amp;" "&amp;Milestones!$AB$103&amp;" "&amp;Milestones!$AC$103&amp;";  ","")&amp;IF(AND(EDATE($D92,Milestones!$AA$104)&lt;=AsOfDate,IF($R92=0,$X92,IF(AND($T92&lt;&gt;"",EDATE($D92,Milestones!$AA$104)&gt;=$T92),$W92,IF(AND($S92&lt;&gt;"",EDATE($D92,Milestones!$AA$104)&gt;=$S92),$V92,$U92)))=Milestones!$AB$104),UPPER(TEXT(EDATE($D92,Milestones!$AA$104),"dd mmm yy"))&amp;" "&amp;Milestones!$AB$104&amp;" "&amp;Milestones!$AC$104&amp;";  ","")&amp;IF(AND(EDATE($D92,Milestones!$AA$105)&lt;=AsOfDate,IF($R92=0,$X92,IF(AND($T92&lt;&gt;"",EDATE($D92,Milestones!$AA$105)&gt;=$T92),$W92,IF(AND($S92&lt;&gt;"",EDATE($D92,Milestones!$AA$105)&gt;=$S92),$V92,$U92)))=Milestones!$AB$105),UPPER(TEXT(EDATE($D92,Milestones!$AA$105),"dd mmm yy"))&amp;" "&amp;Milestones!$AB$105&amp;" "&amp;Milestones!$AC$105&amp;";  ","")&amp;IF(AND(EDATE($D92,Milestones!$AA$106)&lt;=AsOfDate,IF($R92=0,$X92,IF(AND($T92&lt;&gt;"",EDATE($D92,Milestones!$AA$106)&gt;=$T92),$W92,IF(AND($S92&lt;&gt;"",EDATE($D92,Milestones!$AA$106)&gt;=$S92),$V92,$U92)))=Milestones!$AB$106),UPPER(TEXT(EDATE($D92,Milestones!$AA$106),"dd mmm yy"))&amp;" "&amp;Milestones!$AB$106&amp;" "&amp;Milestones!$AC$106&amp;";  ","")&amp;IF(AND(EDATE($D92,Milestones!$AA$107)&lt;=AsOfDate,IF($R92=0,$X92,IF(AND($T92&lt;&gt;"",EDATE($D92,Milestones!$AA$107)&gt;=$T92),$W92,IF(AND($S92&lt;&gt;"",EDATE($D92,Milestones!$AA$107)&gt;=$S92),$V92,$U92)))=Milestones!$AB$107),UPPER(TEXT(EDATE($D92,Milestones!$AA$107),"dd mmm yy"))&amp;" "&amp;Milestones!$AB$107&amp;" "&amp;Milestones!$AC$107&amp;";  ","")&amp;IF(AND(EDATE($D92,Milestones!$AA$108)&lt;=AsOfDate,IF($R92=0,$X92,IF(AND($T92&lt;&gt;"",EDATE($D92,Milestones!$AA$108)&gt;=$T92),$W92,IF(AND($S92&lt;&gt;"",EDATE($D92,Milestones!$AA$108)&gt;=$S92),$V92,$U92)))=Milestones!$AB$108),UPPER(TEXT(EDATE($D92,Milestones!$AA$108),"dd mmm yy"))&amp;" "&amp;Milestones!$AB$108&amp;" "&amp;Milestones!$AC$108&amp;";  ","")&amp;IF(AND(EDATE($D92,Milestones!$AA$109)&lt;=AsOfDate,IF($R92=0,$X92,IF(AND($T92&lt;&gt;"",EDATE($D92,Milestones!$AA$109)&gt;=$T92),$W92,IF(AND($S92&lt;&gt;"",EDATE($D92,Milestones!$AA$109)&gt;=$S92),$V92,$U92)))=Milestones!$AB$109),UPPER(TEXT(EDATE($D92,Milestones!$AA$109),"dd mmm yy"))&amp;" "&amp;Milestones!$AB$109&amp;" "&amp;Milestones!$AC$109&amp;";  ","")&amp;IF(AND(EDATE($D92,Milestones!$AA$110)&lt;=AsOfDate,IF($R92=0,$X92,IF(AND($T92&lt;&gt;"",EDATE($D92,Milestones!$AA$110)&gt;=$T92),$W92,IF(AND($S92&lt;&gt;"",EDATE($D92,Milestones!$AA$110)&gt;=$S92),$V92,$U92)))=Milestones!$AB$110),UPPER(TEXT(EDATE($D92,Milestones!$AA$110),"dd mmm yy"))&amp;" "&amp;Milestones!$AB$110&amp;" "&amp;Milestones!$AC$110&amp;";  ","")&amp;IF(AND(EDATE($D92,Milestones!$AA$111)&lt;=AsOfDate,IF($R92=0,$X92,IF(AND($T92&lt;&gt;"",EDATE($D92,Milestones!$AA$111)&gt;=$T92),$W92,IF(AND($S92&lt;&gt;"",EDATE($D92,Milestones!$AA$111)&gt;=$S92),$V92,$U92)))=Milestones!$AB$111),UPPER(TEXT(EDATE($D92,Milestones!$AA$111),"dd mmm yy"))&amp;" "&amp;Milestones!$AB$111&amp;" "&amp;Milestones!$AC$111&amp;";  ","")&amp;IF(AND(EDATE($D92,Milestones!$AA$112)&lt;=AsOfDate,IF($R92=0,$X92,IF(AND($T92&lt;&gt;"",EDATE($D92,Milestones!$AA$112)&gt;=$T92),$W92,IF(AND($S92&lt;&gt;"",EDATE($D92,Milestones!$AA$112)&gt;=$S92),$V92,$U92)))=Milestones!$AB$112),UPPER(TEXT(EDATE($D92,Milestones!$AA$112),"dd mmm yy"))&amp;" "&amp;Milestones!$AB$112&amp;" "&amp;Milestones!$AC$112&amp;";  ","")&amp;IF(AND(EDATE($D92,Milestones!$AA$113)&lt;=AsOfDate,IF($R92=0,$X92,IF(AND($T92&lt;&gt;"",EDATE($D92,Milestones!$AA$113)&gt;=$T92),$W92,IF(AND($S92&lt;&gt;"",EDATE($D92,Milestones!$AA$113)&gt;=$S92),$V92,$U92)))=Milestones!$AB$113),UPPER(TEXT(EDATE($D92,Milestones!$AA$113),"dd mmm yy"))&amp;" "&amp;Milestones!$AB$113&amp;" "&amp;Milestones!$AC$113&amp;";  ","")&amp;IF(AND(EDATE($D92,Milestones!$AA$114)&lt;=AsOfDate,IF($R92=0,$X92,IF(AND($T92&lt;&gt;"",EDATE($D92,Milestones!$AA$114)&gt;=$T92),$W92,IF(AND($S92&lt;&gt;"",EDATE($D92,Milestones!$AA$114)&gt;=$S92),$V92,$U92)))=Milestones!$AB$114),UPPER(TEXT(EDATE($D92,Milestones!$AA$114),"dd mmm yy"))&amp;" "&amp;Milestones!$AB$114&amp;" "&amp;Milestones!$AC$114&amp;";  ","")&amp;IF(AND(EDATE($D92,Milestones!$AA$115)&lt;=AsOfDate,IF($R92=0,$X92,IF(AND($T92&lt;&gt;"",EDATE($D92,Milestones!$AA$115)&gt;=$T92),$W92,IF(AND($S92&lt;&gt;"",EDATE($D92,Milestones!$AA$115)&gt;=$S92),$V92,$U92)))=Milestones!$AB$115),UPPER(TEXT(EDATE($D92,Milestones!$AA$115),"dd mmm yy"))&amp;" "&amp;Milestones!$AB$115&amp;" "&amp;Milestones!$AC$115&amp;";  ","")&amp;IF(AND(EDATE($D92,Milestones!$AA$116)&lt;=AsOfDate,IF($R92=0,$X92,IF(AND($T92&lt;&gt;"",EDATE($D92,Milestones!$AA$116)&gt;=$T92),$W92,IF(AND($S92&lt;&gt;"",EDATE($D92,Milestones!$AA$116)&gt;=$S92),$V92,$U92)))=Milestones!$AB$116),UPPER(TEXT(EDATE($D92,Milestones!$AA$116),"dd mmm yy"))&amp;" "&amp;Milestones!$AB$116&amp;" "&amp;Milestones!$AC$116&amp;";  ","")&amp;IF(AND(EDATE($D92,Milestones!$AA$117)&lt;=AsOfDate,IF($R92=0,$X92,IF(AND($T92&lt;&gt;"",EDATE($D92,Milestones!$AA$117)&gt;=$T92),$W92,IF(AND($S92&lt;&gt;"",EDATE($D92,Milestones!$AA$117)&gt;=$S92),$V92,$U92)))=Milestones!$AB$117),UPPER(TEXT(EDATE($D92,Milestones!$AA$117),"dd mmm yy"))&amp;" "&amp;Milestones!$AB$117&amp;" "&amp;Milestones!$AC$117&amp;";  ","")&amp;IF(AND(EDATE($D92,Milestones!$AA$118)&lt;=AsOfDate,IF($R92=0,$X92,IF(AND($T92&lt;&gt;"",EDATE($D92,Milestones!$AA$118)&gt;=$T92),$W92,IF(AND($S92&lt;&gt;"",EDATE($D92,Milestones!$AA$118)&gt;=$S92),$V92,$U92)))=Milestones!$AB$118),UPPER(TEXT(EDATE($D92,Milestones!$AA$118),"dd mmm yy"))&amp;" "&amp;Milestones!$AB$118&amp;" "&amp;Milestones!$AC$118&amp;";  ","")&amp;IF(AND(EDATE($D92,Milestones!$AA$119)&lt;=AsOfDate,IF($R92=0,$X92,IF(AND($T92&lt;&gt;"",EDATE($D92,Milestones!$AA$119)&gt;=$T92),$W92,IF(AND($S92&lt;&gt;"",EDATE($D92,Milestones!$AA$119)&gt;=$S92),$V92,$U92)))=Milestones!$AB$119),UPPER(TEXT(EDATE($D92,Milestones!$AA$119),"dd mmm yy"))&amp;" "&amp;Milestones!$AB$119&amp;" "&amp;Milestones!$AC$119&amp;";  ",""))</f>
        <v/>
      </c>
      <c r="N92" s="0" t="str">
        <f aca="false">IF(OR($A92="",$D92=""),"",IF(AND(EDATE($D92,Milestones!$AA$120)&lt;=AsOfDate,IF($R92=0,$X92,IF(AND($T92&lt;&gt;"",EDATE($D92,Milestones!$AA$120)&gt;=$T92),$W92,IF(AND($S92&lt;&gt;"",EDATE($D92,Milestones!$AA$120)&gt;=$S92),$V92,$U92)))=Milestones!$AB$120),UPPER(TEXT(EDATE($D92,Milestones!$AA$120),"dd mmm yy"))&amp;" "&amp;Milestones!$AB$120&amp;" "&amp;Milestones!$AC$120&amp;";  ","")&amp;IF(AND(EDATE($D92,Milestones!$AA$121)&lt;=AsOfDate,IF($R92=0,$X92,IF(AND($T92&lt;&gt;"",EDATE($D92,Milestones!$AA$121)&gt;=$T92),$W92,IF(AND($S92&lt;&gt;"",EDATE($D92,Milestones!$AA$121)&gt;=$S92),$V92,$U92)))=Milestones!$AB$121),UPPER(TEXT(EDATE($D92,Milestones!$AA$121),"dd mmm yy"))&amp;" "&amp;Milestones!$AB$121&amp;" "&amp;Milestones!$AC$121&amp;";  ","")&amp;IF(AND(EDATE($D92,Milestones!$AA$122)&lt;=AsOfDate,IF($R92=0,$X92,IF(AND($T92&lt;&gt;"",EDATE($D92,Milestones!$AA$122)&gt;=$T92),$W92,IF(AND($S92&lt;&gt;"",EDATE($D92,Milestones!$AA$122)&gt;=$S92),$V92,$U92)))=Milestones!$AB$122),UPPER(TEXT(EDATE($D92,Milestones!$AA$122),"dd mmm yy"))&amp;" "&amp;Milestones!$AB$122&amp;" "&amp;Milestones!$AC$122&amp;";  ","")&amp;IF(AND(EDATE($D92,Milestones!$AA$123)&lt;=AsOfDate,IF($R92=0,$X92,IF(AND($T92&lt;&gt;"",EDATE($D92,Milestones!$AA$123)&gt;=$T92),$W92,IF(AND($S92&lt;&gt;"",EDATE($D92,Milestones!$AA$123)&gt;=$S92),$V92,$U92)))=Milestones!$AB$123),UPPER(TEXT(EDATE($D92,Milestones!$AA$123),"dd mmm yy"))&amp;" "&amp;Milestones!$AB$123&amp;" "&amp;Milestones!$AC$123&amp;";  ","")&amp;IF(AND(EDATE($D92,Milestones!$AA$124)&lt;=AsOfDate,IF($R92=0,$X92,IF(AND($T92&lt;&gt;"",EDATE($D92,Milestones!$AA$124)&gt;=$T92),$W92,IF(AND($S92&lt;&gt;"",EDATE($D92,Milestones!$AA$124)&gt;=$S92),$V92,$U92)))=Milestones!$AB$124),UPPER(TEXT(EDATE($D92,Milestones!$AA$124),"dd mmm yy"))&amp;" "&amp;Milestones!$AB$124&amp;" "&amp;Milestones!$AC$124&amp;";  ","")&amp;IF(AND(EDATE($D92,Milestones!$AA$125)&lt;=AsOfDate,IF($R92=0,$X92,IF(AND($T92&lt;&gt;"",EDATE($D92,Milestones!$AA$125)&gt;=$T92),$W92,IF(AND($S92&lt;&gt;"",EDATE($D92,Milestones!$AA$125)&gt;=$S92),$V92,$U92)))=Milestones!$AB$125),UPPER(TEXT(EDATE($D92,Milestones!$AA$125),"dd mmm yy"))&amp;" "&amp;Milestones!$AB$125&amp;" "&amp;Milestones!$AC$125&amp;";  ","")&amp;IF(AND(EDATE($D92,Milestones!$AA$126)&lt;=AsOfDate,IF($R92=0,$X92,IF(AND($T92&lt;&gt;"",EDATE($D92,Milestones!$AA$126)&gt;=$T92),$W92,IF(AND($S92&lt;&gt;"",EDATE($D92,Milestones!$AA$126)&gt;=$S92),$V92,$U92)))=Milestones!$AB$126),UPPER(TEXT(EDATE($D92,Milestones!$AA$126),"dd mmm yy"))&amp;" "&amp;Milestones!$AB$126&amp;" "&amp;Milestones!$AC$126&amp;";  ","")&amp;IF(AND(EDATE($D92,Milestones!$AA$127)&lt;=AsOfDate,IF($R92=0,$X92,IF(AND($T92&lt;&gt;"",EDATE($D92,Milestones!$AA$127)&gt;=$T92),$W92,IF(AND($S92&lt;&gt;"",EDATE($D92,Milestones!$AA$127)&gt;=$S92),$V92,$U92)))=Milestones!$AB$127),UPPER(TEXT(EDATE($D92,Milestones!$AA$127),"dd mmm yy"))&amp;" "&amp;Milestones!$AB$127&amp;" "&amp;Milestones!$AC$127&amp;";  ","")&amp;IF(AND(EDATE($D92,Milestones!$AA$128)&lt;=AsOfDate,IF($R92=0,$X92,IF(AND($T92&lt;&gt;"",EDATE($D92,Milestones!$AA$128)&gt;=$T92),$W92,IF(AND($S92&lt;&gt;"",EDATE($D92,Milestones!$AA$128)&gt;=$S92),$V92,$U92)))=Milestones!$AB$128),UPPER(TEXT(EDATE($D92,Milestones!$AA$128),"dd mmm yy"))&amp;" "&amp;Milestones!$AB$128&amp;" "&amp;Milestones!$AC$128&amp;";  ","")&amp;IF(AND(EDATE($D92,Milestones!$AA$129)&lt;=AsOfDate,IF($R92=0,$X92,IF(AND($T92&lt;&gt;"",EDATE($D92,Milestones!$AA$129)&gt;=$T92),$W92,IF(AND($S92&lt;&gt;"",EDATE($D92,Milestones!$AA$129)&gt;=$S92),$V92,$U92)))=Milestones!$AB$129),UPPER(TEXT(EDATE($D92,Milestones!$AA$129),"dd mmm yy"))&amp;" "&amp;Milestones!$AB$129&amp;" "&amp;Milestones!$AC$129&amp;";  ","")&amp;IF(AND(EDATE($D92,Milestones!$AA$130)&lt;=AsOfDate,IF($R92=0,$X92,IF(AND($T92&lt;&gt;"",EDATE($D92,Milestones!$AA$130)&gt;=$T92),$W92,IF(AND($S92&lt;&gt;"",EDATE($D92,Milestones!$AA$130)&gt;=$S92),$V92,$U92)))=Milestones!$AB$130),UPPER(TEXT(EDATE($D92,Milestones!$AA$130),"dd mmm yy"))&amp;" "&amp;Milestones!$AB$130&amp;" "&amp;Milestones!$AC$130&amp;";  ","")&amp;IF(AND(EDATE($D92,Milestones!$AA$131)&lt;=AsOfDate,IF($R92=0,$X92,IF(AND($T92&lt;&gt;"",EDATE($D92,Milestones!$AA$131)&gt;=$T92),$W92,IF(AND($S92&lt;&gt;"",EDATE($D92,Milestones!$AA$131)&gt;=$S92),$V92,$U92)))=Milestones!$AB$131),UPPER(TEXT(EDATE($D92,Milestones!$AA$131),"dd mmm yy"))&amp;" "&amp;Milestones!$AB$131&amp;" "&amp;Milestones!$AC$131&amp;";  ","")&amp;IF(AND(EDATE($D92,Milestones!$AA$132)&lt;=AsOfDate,IF($R92=0,$X92,IF(AND($T92&lt;&gt;"",EDATE($D92,Milestones!$AA$132)&gt;=$T92),$W92,IF(AND($S92&lt;&gt;"",EDATE($D92,Milestones!$AA$132)&gt;=$S92),$V92,$U92)))=Milestones!$AB$132),UPPER(TEXT(EDATE($D92,Milestones!$AA$132),"dd mmm yy"))&amp;" "&amp;Milestones!$AB$132&amp;" "&amp;Milestones!$AC$132&amp;";  ","")&amp;IF(AND(EDATE($D92,Milestones!$AA$133)&lt;=AsOfDate,IF($R92=0,$X92,IF(AND($T92&lt;&gt;"",EDATE($D92,Milestones!$AA$133)&gt;=$T92),$W92,IF(AND($S92&lt;&gt;"",EDATE($D92,Milestones!$AA$133)&gt;=$S92),$V92,$U92)))=Milestones!$AB$133),UPPER(TEXT(EDATE($D92,Milestones!$AA$133),"dd mmm yy"))&amp;" "&amp;Milestones!$AB$133&amp;" "&amp;Milestones!$AC$133&amp;";  ","")&amp;IF(AND(EDATE($D92,Milestones!$AA$134)&lt;=AsOfDate,IF($R92=0,$X92,IF(AND($T92&lt;&gt;"",EDATE($D92,Milestones!$AA$134)&gt;=$T92),$W92,IF(AND($S92&lt;&gt;"",EDATE($D92,Milestones!$AA$134)&gt;=$S92),$V92,$U92)))=Milestones!$AB$134),UPPER(TEXT(EDATE($D92,Milestones!$AA$134),"dd mmm yy"))&amp;" "&amp;Milestones!$AB$134&amp;" "&amp;Milestones!$AC$134&amp;";  ","")&amp;IF(AND(EDATE($D92,Milestones!$AA$135)&lt;=AsOfDate,IF($R92=0,$X92,IF(AND($T92&lt;&gt;"",EDATE($D92,Milestones!$AA$135)&gt;=$T92),$W92,IF(AND($S92&lt;&gt;"",EDATE($D92,Milestones!$AA$135)&gt;=$S92),$V92,$U92)))=Milestones!$AB$135),UPPER(TEXT(EDATE($D92,Milestones!$AA$135),"dd mmm yy"))&amp;" "&amp;Milestones!$AB$135&amp;" "&amp;Milestones!$AC$135&amp;";  ","")&amp;IF(AND(EDATE($D92,Milestones!$AA$136)&lt;=AsOfDate,IF($R92=0,$X92,IF(AND($T92&lt;&gt;"",EDATE($D92,Milestones!$AA$136)&gt;=$T92),$W92,IF(AND($S92&lt;&gt;"",EDATE($D92,Milestones!$AA$136)&gt;=$S92),$V92,$U92)))=Milestones!$AB$136),UPPER(TEXT(EDATE($D92,Milestones!$AA$136),"dd mmm yy"))&amp;" "&amp;Milestones!$AB$136&amp;" "&amp;Milestones!$AC$136&amp;";  ","")&amp;IF(AND(EDATE($D92,Milestones!$AA$137)&lt;=AsOfDate,IF($R92=0,$X92,IF(AND($T92&lt;&gt;"",EDATE($D92,Milestones!$AA$137)&gt;=$T92),$W92,IF(AND($S92&lt;&gt;"",EDATE($D92,Milestones!$AA$137)&gt;=$S92),$V92,$U92)))=Milestones!$AB$137),UPPER(TEXT(EDATE($D92,Milestones!$AA$137),"dd mmm yy"))&amp;" "&amp;Milestones!$AB$137&amp;" "&amp;Milestones!$AC$137&amp;";  ","")&amp;IF(AND(EDATE($D92,Milestones!$AA$138)&lt;=AsOfDate,IF($R92=0,$X92,IF(AND($T92&lt;&gt;"",EDATE($D92,Milestones!$AA$138)&gt;=$T92),$W92,IF(AND($S92&lt;&gt;"",EDATE($D92,Milestones!$AA$138)&gt;=$S92),$V92,$U92)))=Milestones!$AB$138),UPPER(TEXT(EDATE($D92,Milestones!$AA$138),"dd mmm yy"))&amp;" "&amp;Milestones!$AB$138&amp;" "&amp;Milestones!$AC$138&amp;";  ","")&amp;IF(AND(EDATE($D92,Milestones!$AA$139)&lt;=AsOfDate,IF($R92=0,$X92,IF(AND($T92&lt;&gt;"",EDATE($D92,Milestones!$AA$139)&gt;=$T92),$W92,IF(AND($S92&lt;&gt;"",EDATE($D92,Milestones!$AA$139)&gt;=$S92),$V92,$U92)))=Milestones!$AB$139),UPPER(TEXT(EDATE($D92,Milestones!$AA$139),"dd mmm yy"))&amp;" "&amp;Milestones!$AB$139&amp;" "&amp;Milestones!$AC$139&amp;";  ",""))</f>
        <v/>
      </c>
      <c r="O92" s="0" t="str">
        <f aca="false">IF(OR($A92="",$D92=""),"",IF(AND(EDATE($D92,Milestones!$AA$140)&lt;=AsOfDate,IF($R92=0,$X92,IF(AND($T92&lt;&gt;"",EDATE($D92,Milestones!$AA$140)&gt;=$T92),$W92,IF(AND($S92&lt;&gt;"",EDATE($D92,Milestones!$AA$140)&gt;=$S92),$V92,$U92)))=Milestones!$AB$140),UPPER(TEXT(EDATE($D92,Milestones!$AA$140),"dd mmm yy"))&amp;" "&amp;Milestones!$AB$140&amp;" "&amp;Milestones!$AC$140&amp;";  ","")&amp;IF(AND(EDATE($D92,Milestones!$AA$141)&lt;=AsOfDate,IF($R92=0,$X92,IF(AND($T92&lt;&gt;"",EDATE($D92,Milestones!$AA$141)&gt;=$T92),$W92,IF(AND($S92&lt;&gt;"",EDATE($D92,Milestones!$AA$141)&gt;=$S92),$V92,$U92)))=Milestones!$AB$141),UPPER(TEXT(EDATE($D92,Milestones!$AA$141),"dd mmm yy"))&amp;" "&amp;Milestones!$AB$141&amp;" "&amp;Milestones!$AC$141&amp;";  ","")&amp;IF(AND(EDATE($D92,Milestones!$AA$142)&lt;=AsOfDate,IF($R92=0,$X92,IF(AND($T92&lt;&gt;"",EDATE($D92,Milestones!$AA$142)&gt;=$T92),$W92,IF(AND($S92&lt;&gt;"",EDATE($D92,Milestones!$AA$142)&gt;=$S92),$V92,$U92)))=Milestones!$AB$142),UPPER(TEXT(EDATE($D92,Milestones!$AA$142),"dd mmm yy"))&amp;" "&amp;Milestones!$AB$142&amp;" "&amp;Milestones!$AC$142&amp;";  ","")&amp;IF(AND(EDATE($D92,Milestones!$AA$143)&lt;=AsOfDate,IF($R92=0,$X92,IF(AND($T92&lt;&gt;"",EDATE($D92,Milestones!$AA$143)&gt;=$T92),$W92,IF(AND($S92&lt;&gt;"",EDATE($D92,Milestones!$AA$143)&gt;=$S92),$V92,$U92)))=Milestones!$AB$143),UPPER(TEXT(EDATE($D92,Milestones!$AA$143),"dd mmm yy"))&amp;" "&amp;Milestones!$AB$143&amp;" "&amp;Milestones!$AC$143&amp;";  ","")&amp;IF(AND(EDATE($D92,Milestones!$AA$144)&lt;=AsOfDate,IF($R92=0,$X92,IF(AND($T92&lt;&gt;"",EDATE($D92,Milestones!$AA$144)&gt;=$T92),$W92,IF(AND($S92&lt;&gt;"",EDATE($D92,Milestones!$AA$144)&gt;=$S92),$V92,$U92)))=Milestones!$AB$144),UPPER(TEXT(EDATE($D92,Milestones!$AA$144),"dd mmm yy"))&amp;" "&amp;Milestones!$AB$144&amp;" "&amp;Milestones!$AC$144&amp;";  ","")&amp;IF(AND(EDATE($D92,Milestones!$AA$145)&lt;=AsOfDate,IF($R92=0,$X92,IF(AND($T92&lt;&gt;"",EDATE($D92,Milestones!$AA$145)&gt;=$T92),$W92,IF(AND($S92&lt;&gt;"",EDATE($D92,Milestones!$AA$145)&gt;=$S92),$V92,$U92)))=Milestones!$AB$145),UPPER(TEXT(EDATE($D92,Milestones!$AA$145),"dd mmm yy"))&amp;" "&amp;Milestones!$AB$145&amp;" "&amp;Milestones!$AC$145&amp;";  ","")&amp;IF(AND(EDATE($D92,Milestones!$AA$146)&lt;=AsOfDate,IF($R92=0,$X92,IF(AND($T92&lt;&gt;"",EDATE($D92,Milestones!$AA$146)&gt;=$T92),$W92,IF(AND($S92&lt;&gt;"",EDATE($D92,Milestones!$AA$146)&gt;=$S92),$V92,$U92)))=Milestones!$AB$146),UPPER(TEXT(EDATE($D92,Milestones!$AA$146),"dd mmm yy"))&amp;" "&amp;Milestones!$AB$146&amp;" "&amp;Milestones!$AC$146&amp;";  ","")&amp;IF(AND(EDATE($D92,Milestones!$AA$147)&lt;=AsOfDate,IF($R92=0,$X92,IF(AND($T92&lt;&gt;"",EDATE($D92,Milestones!$AA$147)&gt;=$T92),$W92,IF(AND($S92&lt;&gt;"",EDATE($D92,Milestones!$AA$147)&gt;=$S92),$V92,$U92)))=Milestones!$AB$147),UPPER(TEXT(EDATE($D92,Milestones!$AA$147),"dd mmm yy"))&amp;" "&amp;Milestones!$AB$147&amp;" "&amp;Milestones!$AC$147&amp;";  ","")&amp;IF(AND(EDATE($D92,Milestones!$AA$148)&lt;=AsOfDate,IF($R92=0,$X92,IF(AND($T92&lt;&gt;"",EDATE($D92,Milestones!$AA$148)&gt;=$T92),$W92,IF(AND($S92&lt;&gt;"",EDATE($D92,Milestones!$AA$148)&gt;=$S92),$V92,$U92)))=Milestones!$AB$148),UPPER(TEXT(EDATE($D92,Milestones!$AA$148),"dd mmm yy"))&amp;" "&amp;Milestones!$AB$148&amp;" "&amp;Milestones!$AC$148&amp;";  ","")&amp;IF(AND(EDATE($D92,Milestones!$AA$149)&lt;=AsOfDate,IF($R92=0,$X92,IF(AND($T92&lt;&gt;"",EDATE($D92,Milestones!$AA$149)&gt;=$T92),$W92,IF(AND($S92&lt;&gt;"",EDATE($D92,Milestones!$AA$149)&gt;=$S92),$V92,$U92)))=Milestones!$AB$149),UPPER(TEXT(EDATE($D92,Milestones!$AA$149),"dd mmm yy"))&amp;" "&amp;Milestones!$AB$149&amp;" "&amp;Milestones!$AC$149&amp;";  ","")&amp;IF(AND(EDATE($D92,Milestones!$AA$150)&lt;=AsOfDate,IF($R92=0,$X92,IF(AND($T92&lt;&gt;"",EDATE($D92,Milestones!$AA$150)&gt;=$T92),$W92,IF(AND($S92&lt;&gt;"",EDATE($D92,Milestones!$AA$150)&gt;=$S92),$V92,$U92)))=Milestones!$AB$150),UPPER(TEXT(EDATE($D92,Milestones!$AA$150),"dd mmm yy"))&amp;" "&amp;Milestones!$AB$150&amp;" "&amp;Milestones!$AC$150&amp;";  ","")&amp;IF(AND(EDATE($D92,Milestones!$AA$151)&lt;=AsOfDate,IF($R92=0,$X92,IF(AND($T92&lt;&gt;"",EDATE($D92,Milestones!$AA$151)&gt;=$T92),$W92,IF(AND($S92&lt;&gt;"",EDATE($D92,Milestones!$AA$151)&gt;=$S92),$V92,$U92)))=Milestones!$AB$151),UPPER(TEXT(EDATE($D92,Milestones!$AA$151),"dd mmm yy"))&amp;" "&amp;Milestones!$AB$151&amp;" "&amp;Milestones!$AC$151&amp;";  ","")&amp;IF(AND(EDATE($D92,Milestones!$AA$152)&lt;=AsOfDate,IF($R92=0,$X92,IF(AND($T92&lt;&gt;"",EDATE($D92,Milestones!$AA$152)&gt;=$T92),$W92,IF(AND($S92&lt;&gt;"",EDATE($D92,Milestones!$AA$152)&gt;=$S92),$V92,$U92)))=Milestones!$AB$152),UPPER(TEXT(EDATE($D92,Milestones!$AA$152),"dd mmm yy"))&amp;" "&amp;Milestones!$AB$152&amp;" "&amp;Milestones!$AC$152&amp;";  ","")&amp;IF(AND(EDATE($D92,Milestones!$AA$153)&lt;=AsOfDate,IF($R92=0,$X92,IF(AND($T92&lt;&gt;"",EDATE($D92,Milestones!$AA$153)&gt;=$T92),$W92,IF(AND($S92&lt;&gt;"",EDATE($D92,Milestones!$AA$153)&gt;=$S92),$V92,$U92)))=Milestones!$AB$153),UPPER(TEXT(EDATE($D92,Milestones!$AA$153),"dd mmm yy"))&amp;" "&amp;Milestones!$AB$153&amp;" "&amp;Milestones!$AC$153&amp;";  ","")&amp;IF(AND(EDATE($D92,Milestones!$AA$154)&lt;=AsOfDate,IF($R92=0,$X92,IF(AND($T92&lt;&gt;"",EDATE($D92,Milestones!$AA$154)&gt;=$T92),$W92,IF(AND($S92&lt;&gt;"",EDATE($D92,Milestones!$AA$154)&gt;=$S92),$V92,$U92)))=Milestones!$AB$154),UPPER(TEXT(EDATE($D92,Milestones!$AA$154),"dd mmm yy"))&amp;" "&amp;Milestones!$AB$154&amp;" "&amp;Milestones!$AC$154&amp;";  ","")&amp;IF(AND(EDATE($D92,Milestones!$AA$155)&lt;=AsOfDate,IF($R92=0,$X92,IF(AND($T92&lt;&gt;"",EDATE($D92,Milestones!$AA$155)&gt;=$T92),$W92,IF(AND($S92&lt;&gt;"",EDATE($D92,Milestones!$AA$155)&gt;=$S92),$V92,$U92)))=Milestones!$AB$155),UPPER(TEXT(EDATE($D92,Milestones!$AA$155),"dd mmm yy"))&amp;" "&amp;Milestones!$AB$155&amp;" "&amp;Milestones!$AC$155&amp;";  ","")&amp;IF(AND(EDATE($D92,Milestones!$AA$156)&lt;=AsOfDate,IF($R92=0,$X92,IF(AND($T92&lt;&gt;"",EDATE($D92,Milestones!$AA$156)&gt;=$T92),$W92,IF(AND($S92&lt;&gt;"",EDATE($D92,Milestones!$AA$156)&gt;=$S92),$V92,$U92)))=Milestones!$AB$156),UPPER(TEXT(EDATE($D92,Milestones!$AA$156),"dd mmm yy"))&amp;" "&amp;Milestones!$AB$156&amp;" "&amp;Milestones!$AC$156&amp;";  ","")&amp;IF(AND(EDATE($D92,Milestones!$AA$157)&lt;=AsOfDate,IF($R92=0,$X92,IF(AND($T92&lt;&gt;"",EDATE($D92,Milestones!$AA$157)&gt;=$T92),$W92,IF(AND($S92&lt;&gt;"",EDATE($D92,Milestones!$AA$157)&gt;=$S92),$V92,$U92)))=Milestones!$AB$157),UPPER(TEXT(EDATE($D92,Milestones!$AA$157),"dd mmm yy"))&amp;" "&amp;Milestones!$AB$157&amp;" "&amp;Milestones!$AC$157&amp;";  ","")&amp;IF(AND(EDATE($D92,Milestones!$AA$158)&lt;=AsOfDate,IF($R92=0,$X92,IF(AND($T92&lt;&gt;"",EDATE($D92,Milestones!$AA$158)&gt;=$T92),$W92,IF(AND($S92&lt;&gt;"",EDATE($D92,Milestones!$AA$158)&gt;=$S92),$V92,$U92)))=Milestones!$AB$158),UPPER(TEXT(EDATE($D92,Milestones!$AA$158),"dd mmm yy"))&amp;" "&amp;Milestones!$AB$158&amp;" "&amp;Milestones!$AC$158&amp;";  ","")&amp;IF(AND(EDATE($D92,Milestones!$AA$159)&lt;=AsOfDate,IF($R92=0,$X92,IF(AND($T92&lt;&gt;"",EDATE($D92,Milestones!$AA$159)&gt;=$T92),$W92,IF(AND($S92&lt;&gt;"",EDATE($D92,Milestones!$AA$159)&gt;=$S92),$V92,$U92)))=Milestones!$AB$159),UPPER(TEXT(EDATE($D92,Milestones!$AA$159),"dd mmm yy"))&amp;" "&amp;Milestones!$AB$159&amp;" "&amp;Milestones!$AC$159&amp;";  ",""))</f>
        <v/>
      </c>
      <c r="P92" s="0" t="str">
        <f aca="false">IF(OR($A92="",$D92=""),"",IF(AND(EDATE($D92,Milestones!$AA$160)&lt;=AsOfDate,IF($R92=0,$X92,IF(AND($T92&lt;&gt;"",EDATE($D92,Milestones!$AA$160)&gt;=$T92),$W92,IF(AND($S92&lt;&gt;"",EDATE($D92,Milestones!$AA$160)&gt;=$S92),$V92,$U92)))=Milestones!$AB$160),UPPER(TEXT(EDATE($D92,Milestones!$AA$160),"dd mmm yy"))&amp;" "&amp;Milestones!$AB$160&amp;" "&amp;Milestones!$AC$160&amp;";  ","")&amp;IF(AND(EDATE($D92,Milestones!$AA$161)&lt;=AsOfDate,IF($R92=0,$X92,IF(AND($T92&lt;&gt;"",EDATE($D92,Milestones!$AA$161)&gt;=$T92),$W92,IF(AND($S92&lt;&gt;"",EDATE($D92,Milestones!$AA$161)&gt;=$S92),$V92,$U92)))=Milestones!$AB$161),UPPER(TEXT(EDATE($D92,Milestones!$AA$161),"dd mmm yy"))&amp;" "&amp;Milestones!$AB$161&amp;" "&amp;Milestones!$AC$161&amp;";  ","")&amp;IF(AND(EDATE($D92,Milestones!$AA$162)&lt;=AsOfDate,IF($R92=0,$X92,IF(AND($T92&lt;&gt;"",EDATE($D92,Milestones!$AA$162)&gt;=$T92),$W92,IF(AND($S92&lt;&gt;"",EDATE($D92,Milestones!$AA$162)&gt;=$S92),$V92,$U92)))=Milestones!$AB$162),UPPER(TEXT(EDATE($D92,Milestones!$AA$162),"dd mmm yy"))&amp;" "&amp;Milestones!$AB$162&amp;" "&amp;Milestones!$AC$162&amp;";  ","")&amp;IF(AND(EDATE($D92,Milestones!$AA$163)&lt;=AsOfDate,IF($R92=0,$X92,IF(AND($T92&lt;&gt;"",EDATE($D92,Milestones!$AA$163)&gt;=$T92),$W92,IF(AND($S92&lt;&gt;"",EDATE($D92,Milestones!$AA$163)&gt;=$S92),$V92,$U92)))=Milestones!$AB$163),UPPER(TEXT(EDATE($D92,Milestones!$AA$163),"dd mmm yy"))&amp;" "&amp;Milestones!$AB$163&amp;" "&amp;Milestones!$AC$163&amp;";  ","")&amp;IF(AND(EDATE($D92,Milestones!$AA$164)&lt;=AsOfDate,IF($R92=0,$X92,IF(AND($T92&lt;&gt;"",EDATE($D92,Milestones!$AA$164)&gt;=$T92),$W92,IF(AND($S92&lt;&gt;"",EDATE($D92,Milestones!$AA$164)&gt;=$S92),$V92,$U92)))=Milestones!$AB$164),UPPER(TEXT(EDATE($D92,Milestones!$AA$164),"dd mmm yy"))&amp;" "&amp;Milestones!$AB$164&amp;" "&amp;Milestones!$AC$164&amp;";  ","")&amp;IF(AND(EDATE($D92,Milestones!$AA$165)&lt;=AsOfDate,IF($R92=0,$X92,IF(AND($T92&lt;&gt;"",EDATE($D92,Milestones!$AA$165)&gt;=$T92),$W92,IF(AND($S92&lt;&gt;"",EDATE($D92,Milestones!$AA$165)&gt;=$S92),$V92,$U92)))=Milestones!$AB$165),UPPER(TEXT(EDATE($D92,Milestones!$AA$165),"dd mmm yy"))&amp;" "&amp;Milestones!$AB$165&amp;" "&amp;Milestones!$AC$165&amp;";  ","")&amp;IF(AND(EDATE($D92,Milestones!$AA$166)&lt;=AsOfDate,IF($R92=0,$X92,IF(AND($T92&lt;&gt;"",EDATE($D92,Milestones!$AA$166)&gt;=$T92),$W92,IF(AND($S92&lt;&gt;"",EDATE($D92,Milestones!$AA$166)&gt;=$S92),$V92,$U92)))=Milestones!$AB$166),UPPER(TEXT(EDATE($D92,Milestones!$AA$166),"dd mmm yy"))&amp;" "&amp;Milestones!$AB$166&amp;" "&amp;Milestones!$AC$166&amp;";  ","")&amp;IF(AND(EDATE($D92,Milestones!$AA$167)&lt;=AsOfDate,IF($R92=0,$X92,IF(AND($T92&lt;&gt;"",EDATE($D92,Milestones!$AA$167)&gt;=$T92),$W92,IF(AND($S92&lt;&gt;"",EDATE($D92,Milestones!$AA$167)&gt;=$S92),$V92,$U92)))=Milestones!$AB$167),UPPER(TEXT(EDATE($D92,Milestones!$AA$167),"dd mmm yy"))&amp;" "&amp;Milestones!$AB$167&amp;" "&amp;Milestones!$AC$167&amp;";  ","")&amp;IF(AND(EDATE($D92,Milestones!$AA$168)&lt;=AsOfDate,IF($R92=0,$X92,IF(AND($T92&lt;&gt;"",EDATE($D92,Milestones!$AA$168)&gt;=$T92),$W92,IF(AND($S92&lt;&gt;"",EDATE($D92,Milestones!$AA$168)&gt;=$S92),$V92,$U92)))=Milestones!$AB$168),UPPER(TEXT(EDATE($D92,Milestones!$AA$168),"dd mmm yy"))&amp;" "&amp;Milestones!$AB$168&amp;" "&amp;Milestones!$AC$168&amp;";  ","")&amp;IF(AND(EDATE($D92,Milestones!$AA$169)&lt;=AsOfDate,IF($R92=0,$X92,IF(AND($T92&lt;&gt;"",EDATE($D92,Milestones!$AA$169)&gt;=$T92),$W92,IF(AND($S92&lt;&gt;"",EDATE($D92,Milestones!$AA$169)&gt;=$S92),$V92,$U92)))=Milestones!$AB$169),UPPER(TEXT(EDATE($D92,Milestones!$AA$169),"dd mmm yy"))&amp;" "&amp;Milestones!$AB$169&amp;" "&amp;Milestones!$AC$169&amp;";  ","")&amp;IF(AND(EDATE($D92,Milestones!$AA$170)&lt;=AsOfDate,IF($R92=0,$X92,IF(AND($T92&lt;&gt;"",EDATE($D92,Milestones!$AA$170)&gt;=$T92),$W92,IF(AND($S92&lt;&gt;"",EDATE($D92,Milestones!$AA$170)&gt;=$S92),$V92,$U92)))=Milestones!$AB$170),UPPER(TEXT(EDATE($D92,Milestones!$AA$170),"dd mmm yy"))&amp;" "&amp;Milestones!$AB$170&amp;" "&amp;Milestones!$AC$170&amp;";  ","")&amp;IF(AND(EDATE($D92,Milestones!$AA$171)&lt;=AsOfDate,IF($R92=0,$X92,IF(AND($T92&lt;&gt;"",EDATE($D92,Milestones!$AA$171)&gt;=$T92),$W92,IF(AND($S92&lt;&gt;"",EDATE($D92,Milestones!$AA$171)&gt;=$S92),$V92,$U92)))=Milestones!$AB$171),UPPER(TEXT(EDATE($D92,Milestones!$AA$171),"dd mmm yy"))&amp;" "&amp;Milestones!$AB$171&amp;" "&amp;Milestones!$AC$171&amp;";  ","")&amp;IF(AND(EDATE($D92,Milestones!$AA$172)&lt;=AsOfDate,IF($R92=0,$X92,IF(AND($T92&lt;&gt;"",EDATE($D92,Milestones!$AA$172)&gt;=$T92),$W92,IF(AND($S92&lt;&gt;"",EDATE($D92,Milestones!$AA$172)&gt;=$S92),$V92,$U92)))=Milestones!$AB$172),UPPER(TEXT(EDATE($D92,Milestones!$AA$172),"dd mmm yy"))&amp;" "&amp;Milestones!$AB$172&amp;" "&amp;Milestones!$AC$172&amp;";  ","")&amp;IF(AND(EDATE($D92,Milestones!$AA$173)&lt;=AsOfDate,IF($R92=0,$X92,IF(AND($T92&lt;&gt;"",EDATE($D92,Milestones!$AA$173)&gt;=$T92),$W92,IF(AND($S92&lt;&gt;"",EDATE($D92,Milestones!$AA$173)&gt;=$S92),$V92,$U92)))=Milestones!$AB$173),UPPER(TEXT(EDATE($D92,Milestones!$AA$173),"dd mmm yy"))&amp;" "&amp;Milestones!$AB$173&amp;" "&amp;Milestones!$AC$173&amp;";  ","")&amp;IF(AND(EDATE($D92,Milestones!$AA$174)&lt;=AsOfDate,IF($R92=0,$X92,IF(AND($T92&lt;&gt;"",EDATE($D92,Milestones!$AA$174)&gt;=$T92),$W92,IF(AND($S92&lt;&gt;"",EDATE($D92,Milestones!$AA$174)&gt;=$S92),$V92,$U92)))=Milestones!$AB$174),UPPER(TEXT(EDATE($D92,Milestones!$AA$174),"dd mmm yy"))&amp;" "&amp;Milestones!$AB$174&amp;" "&amp;Milestones!$AC$174&amp;";  ","")&amp;IF(AND(EDATE($D92,Milestones!$AA$175)&lt;=AsOfDate,IF($R92=0,$X92,IF(AND($T92&lt;&gt;"",EDATE($D92,Milestones!$AA$175)&gt;=$T92),$W92,IF(AND($S92&lt;&gt;"",EDATE($D92,Milestones!$AA$175)&gt;=$S92),$V92,$U92)))=Milestones!$AB$175),UPPER(TEXT(EDATE($D92,Milestones!$AA$175),"dd mmm yy"))&amp;" "&amp;Milestones!$AB$175&amp;" "&amp;Milestones!$AC$175&amp;";  ","")&amp;IF(AND(EDATE($D92,Milestones!$AA$176)&lt;=AsOfDate,IF($R92=0,$X92,IF(AND($T92&lt;&gt;"",EDATE($D92,Milestones!$AA$176)&gt;=$T92),$W92,IF(AND($S92&lt;&gt;"",EDATE($D92,Milestones!$AA$176)&gt;=$S92),$V92,$U92)))=Milestones!$AB$176),UPPER(TEXT(EDATE($D92,Milestones!$AA$176),"dd mmm yy"))&amp;" "&amp;Milestones!$AB$176&amp;" "&amp;Milestones!$AC$176&amp;";  ","")&amp;IF(AND(EDATE($D92,Milestones!$AA$177)&lt;=AsOfDate,IF($R92=0,$X92,IF(AND($T92&lt;&gt;"",EDATE($D92,Milestones!$AA$177)&gt;=$T92),$W92,IF(AND($S92&lt;&gt;"",EDATE($D92,Milestones!$AA$177)&gt;=$S92),$V92,$U92)))=Milestones!$AB$177),UPPER(TEXT(EDATE($D92,Milestones!$AA$177),"dd mmm yy"))&amp;" "&amp;Milestones!$AB$177&amp;" "&amp;Milestones!$AC$177&amp;";  ","")&amp;IF(AND(EDATE($D92,Milestones!$AA$178)&lt;=AsOfDate,IF($R92=0,$X92,IF(AND($T92&lt;&gt;"",EDATE($D92,Milestones!$AA$178)&gt;=$T92),$W92,IF(AND($S92&lt;&gt;"",EDATE($D92,Milestones!$AA$178)&gt;=$S92),$V92,$U92)))=Milestones!$AB$178),UPPER(TEXT(EDATE($D92,Milestones!$AA$178),"dd mmm yy"))&amp;" "&amp;Milestones!$AB$178&amp;" "&amp;Milestones!$AC$178&amp;";  ","")&amp;IF(AND(EDATE($D92,Milestones!$AA$179)&lt;=AsOfDate,IF($R92=0,$X92,IF(AND($T92&lt;&gt;"",EDATE($D92,Milestones!$AA$179)&gt;=$T92),$W92,IF(AND($S92&lt;&gt;"",EDATE($D92,Milestones!$AA$179)&gt;=$S92),$V92,$U92)))=Milestones!$AB$179),UPPER(TEXT(EDATE($D92,Milestones!$AA$179),"dd mmm yy"))&amp;" "&amp;Milestones!$AB$179&amp;" "&amp;Milestones!$AC$179&amp;";  ",""))</f>
        <v/>
      </c>
      <c r="Q92" s="0" t="str">
        <f aca="false">IF(OR($A92="",$D92=""),"",IF(AND(EDATE($D92,Milestones!$AA$180)&lt;=AsOfDate,IF($R92=0,$X92,IF(AND($T92&lt;&gt;"",EDATE($D92,Milestones!$AA$180)&gt;=$T92),$W92,IF(AND($S92&lt;&gt;"",EDATE($D92,Milestones!$AA$180)&gt;=$S92),$V92,$U92)))=Milestones!$AB$180),UPPER(TEXT(EDATE($D92,Milestones!$AA$180),"dd mmm yy"))&amp;" "&amp;Milestones!$AB$180&amp;" "&amp;Milestones!$AC$180&amp;";  ","")&amp;IF(AND(EDATE($D92,Milestones!$AA$181)&lt;=AsOfDate,IF($R92=0,$X92,IF(AND($T92&lt;&gt;"",EDATE($D92,Milestones!$AA$181)&gt;=$T92),$W92,IF(AND($S92&lt;&gt;"",EDATE($D92,Milestones!$AA$181)&gt;=$S92),$V92,$U92)))=Milestones!$AB$181),UPPER(TEXT(EDATE($D92,Milestones!$AA$181),"dd mmm yy"))&amp;" "&amp;Milestones!$AB$181&amp;" "&amp;Milestones!$AC$181&amp;";  ","")&amp;IF(AND(EDATE($D92,Milestones!$AA$182)&lt;=AsOfDate,IF($R92=0,$X92,IF(AND($T92&lt;&gt;"",EDATE($D92,Milestones!$AA$182)&gt;=$T92),$W92,IF(AND($S92&lt;&gt;"",EDATE($D92,Milestones!$AA$182)&gt;=$S92),$V92,$U92)))=Milestones!$AB$182),UPPER(TEXT(EDATE($D92,Milestones!$AA$182),"dd mmm yy"))&amp;" "&amp;Milestones!$AB$182&amp;" "&amp;Milestones!$AC$182&amp;";  ","")&amp;IF(AND(EDATE($D92,Milestones!$AA$183)&lt;=AsOfDate,IF($R92=0,$X92,IF(AND($T92&lt;&gt;"",EDATE($D92,Milestones!$AA$183)&gt;=$T92),$W92,IF(AND($S92&lt;&gt;"",EDATE($D92,Milestones!$AA$183)&gt;=$S92),$V92,$U92)))=Milestones!$AB$183),UPPER(TEXT(EDATE($D92,Milestones!$AA$183),"dd mmm yy"))&amp;" "&amp;Milestones!$AB$183&amp;" "&amp;Milestones!$AC$183&amp;";  ","")&amp;IF(AND(EDATE($D92,Milestones!$AA$184)&lt;=AsOfDate,IF($R92=0,$X92,IF(AND($T92&lt;&gt;"",EDATE($D92,Milestones!$AA$184)&gt;=$T92),$W92,IF(AND($S92&lt;&gt;"",EDATE($D92,Milestones!$AA$184)&gt;=$S92),$V92,$U92)))=Milestones!$AB$184),UPPER(TEXT(EDATE($D92,Milestones!$AA$184),"dd mmm yy"))&amp;" "&amp;Milestones!$AB$184&amp;" "&amp;Milestones!$AC$184&amp;";  ","")&amp;IF(AND(EDATE($D92,Milestones!$AA$185)&lt;=AsOfDate,IF($R92=0,$X92,IF(AND($T92&lt;&gt;"",EDATE($D92,Milestones!$AA$185)&gt;=$T92),$W92,IF(AND($S92&lt;&gt;"",EDATE($D92,Milestones!$AA$185)&gt;=$S92),$V92,$U92)))=Milestones!$AB$185),UPPER(TEXT(EDATE($D92,Milestones!$AA$185),"dd mmm yy"))&amp;" "&amp;Milestones!$AB$185&amp;" "&amp;Milestones!$AC$185&amp;";  ","")&amp;IF(AND(EDATE($D92,Milestones!$AA$186)&lt;=AsOfDate,IF($R92=0,$X92,IF(AND($T92&lt;&gt;"",EDATE($D92,Milestones!$AA$186)&gt;=$T92),$W92,IF(AND($S92&lt;&gt;"",EDATE($D92,Milestones!$AA$186)&gt;=$S92),$V92,$U92)))=Milestones!$AB$186),UPPER(TEXT(EDATE($D92,Milestones!$AA$186),"dd mmm yy"))&amp;" "&amp;Milestones!$AB$186&amp;" "&amp;Milestones!$AC$186&amp;";  ","")&amp;IF(AND(EDATE($D92,Milestones!$AA$187)&lt;=AsOfDate,IF($R92=0,$X92,IF(AND($T92&lt;&gt;"",EDATE($D92,Milestones!$AA$187)&gt;=$T92),$W92,IF(AND($S92&lt;&gt;"",EDATE($D92,Milestones!$AA$187)&gt;=$S92),$V92,$U92)))=Milestones!$AB$187),UPPER(TEXT(EDATE($D92,Milestones!$AA$187),"dd mmm yy"))&amp;" "&amp;Milestones!$AB$187&amp;" "&amp;Milestones!$AC$187&amp;";  ","")&amp;IF(AND(EDATE($D92,Milestones!$AA$188)&lt;=AsOfDate,IF($R92=0,$X92,IF(AND($T92&lt;&gt;"",EDATE($D92,Milestones!$AA$188)&gt;=$T92),$W92,IF(AND($S92&lt;&gt;"",EDATE($D92,Milestones!$AA$188)&gt;=$S92),$V92,$U92)))=Milestones!$AB$188),UPPER(TEXT(EDATE($D92,Milestones!$AA$188),"dd mmm yy"))&amp;" "&amp;Milestones!$AB$188&amp;" "&amp;Milestones!$AC$188&amp;";  ","")&amp;IF(AND(EDATE($D92,Milestones!$AA$189)&lt;=AsOfDate,IF($R92=0,$X92,IF(AND($T92&lt;&gt;"",EDATE($D92,Milestones!$AA$189)&gt;=$T92),$W92,IF(AND($S92&lt;&gt;"",EDATE($D92,Milestones!$AA$189)&gt;=$S92),$V92,$U92)))=Milestones!$AB$189),UPPER(TEXT(EDATE($D92,Milestones!$AA$189),"dd mmm yy"))&amp;" "&amp;Milestones!$AB$189&amp;" "&amp;Milestones!$AC$189&amp;";  ","")&amp;IF(AND(EDATE($D92,Milestones!$AA$190)&lt;=AsOfDate,IF($R92=0,$X92,IF(AND($T92&lt;&gt;"",EDATE($D92,Milestones!$AA$190)&gt;=$T92),$W92,IF(AND($S92&lt;&gt;"",EDATE($D92,Milestones!$AA$190)&gt;=$S92),$V92,$U92)))=Milestones!$AB$190),UPPER(TEXT(EDATE($D92,Milestones!$AA$190),"dd mmm yy"))&amp;" "&amp;Milestones!$AB$190&amp;" "&amp;Milestones!$AC$190&amp;";  ","")&amp;IF(AND(EDATE($D92,Milestones!$AA$191)&lt;=AsOfDate,IF($R92=0,$X92,IF(AND($T92&lt;&gt;"",EDATE($D92,Milestones!$AA$191)&gt;=$T92),$W92,IF(AND($S92&lt;&gt;"",EDATE($D92,Milestones!$AA$191)&gt;=$S92),$V92,$U92)))=Milestones!$AB$191),UPPER(TEXT(EDATE($D92,Milestones!$AA$191),"dd mmm yy"))&amp;" "&amp;Milestones!$AB$191&amp;" "&amp;Milestones!$AC$191&amp;";  ","")&amp;IF(AND(EDATE($D92,Milestones!$AA$192)&lt;=AsOfDate,IF($R92=0,$X92,IF(AND($T92&lt;&gt;"",EDATE($D92,Milestones!$AA$192)&gt;=$T92),$W92,IF(AND($S92&lt;&gt;"",EDATE($D92,Milestones!$AA$192)&gt;=$S92),$V92,$U92)))=Milestones!$AB$192),UPPER(TEXT(EDATE($D92,Milestones!$AA$192),"dd mmm yy"))&amp;" "&amp;Milestones!$AB$192&amp;" "&amp;Milestones!$AC$192&amp;";  ","")&amp;IF(AND(EDATE($D92,Milestones!$AA$193)&lt;=AsOfDate,IF($R92=0,$X92,IF(AND($T92&lt;&gt;"",EDATE($D92,Milestones!$AA$193)&gt;=$T92),$W92,IF(AND($S92&lt;&gt;"",EDATE($D92,Milestones!$AA$193)&gt;=$S92),$V92,$U92)))=Milestones!$AB$193),UPPER(TEXT(EDATE($D92,Milestones!$AA$193),"dd mmm yy"))&amp;" "&amp;Milestones!$AB$193&amp;" "&amp;Milestones!$AC$193&amp;";  ","")&amp;IF(AND(EDATE($D92,Milestones!$AA$194)&lt;=AsOfDate,IF($R92=0,$X92,IF(AND($T92&lt;&gt;"",EDATE($D92,Milestones!$AA$194)&gt;=$T92),$W92,IF(AND($S92&lt;&gt;"",EDATE($D92,Milestones!$AA$194)&gt;=$S92),$V92,$U92)))=Milestones!$AB$194),UPPER(TEXT(EDATE($D92,Milestones!$AA$194),"dd mmm yy"))&amp;" "&amp;Milestones!$AB$194&amp;" "&amp;Milestones!$AC$194&amp;";  ","")&amp;IF(AND(EDATE($D92,Milestones!$AA$195)&lt;=AsOfDate,IF($R92=0,$X92,IF(AND($T92&lt;&gt;"",EDATE($D92,Milestones!$AA$195)&gt;=$T92),$W92,IF(AND($S92&lt;&gt;"",EDATE($D92,Milestones!$AA$195)&gt;=$S92),$V92,$U92)))=Milestones!$AB$195),UPPER(TEXT(EDATE($D92,Milestones!$AA$195),"dd mmm yy"))&amp;" "&amp;Milestones!$AB$195&amp;" "&amp;Milestones!$AC$195&amp;";  ","")&amp;IF(AND(EDATE($D92,Milestones!$AA$196)&lt;=AsOfDate,IF($R92=0,$X92,IF(AND($T92&lt;&gt;"",EDATE($D92,Milestones!$AA$196)&gt;=$T92),$W92,IF(AND($S92&lt;&gt;"",EDATE($D92,Milestones!$AA$196)&gt;=$S92),$V92,$U92)))=Milestones!$AB$196),UPPER(TEXT(EDATE($D92,Milestones!$AA$196),"dd mmm yy"))&amp;" "&amp;Milestones!$AB$196&amp;" "&amp;Milestones!$AC$196&amp;";  ","")&amp;IF(AND(EDATE($D92,Milestones!$AA$197)&lt;=AsOfDate,IF($R92=0,$X92,IF(AND($T92&lt;&gt;"",EDATE($D92,Milestones!$AA$197)&gt;=$T92),$W92,IF(AND($S92&lt;&gt;"",EDATE($D92,Milestones!$AA$197)&gt;=$S92),$V92,$U92)))=Milestones!$AB$197),UPPER(TEXT(EDATE($D92,Milestones!$AA$197),"dd mmm yy"))&amp;" "&amp;Milestones!$AB$197&amp;" "&amp;Milestones!$AC$197&amp;";  ","")&amp;IF(AND(EDATE($D92,Milestones!$AA$198)&lt;=AsOfDate,IF($R92=0,$X92,IF(AND($T92&lt;&gt;"",EDATE($D92,Milestones!$AA$198)&gt;=$T92),$W92,IF(AND($S92&lt;&gt;"",EDATE($D92,Milestones!$AA$198)&gt;=$S92),$V92,$U92)))=Milestones!$AB$198),UPPER(TEXT(EDATE($D92,Milestones!$AA$198),"dd mmm yy"))&amp;" "&amp;Milestones!$AB$198&amp;" "&amp;Milestones!$AC$198&amp;";  ","")&amp;IF(AND(EDATE($D92,Milestones!$AA$199)&lt;=AsOfDate,IF($R92=0,$X92,IF(AND($T92&lt;&gt;"",EDATE($D92,Milestones!$AA$199)&gt;=$T92),$W92,IF(AND($S92&lt;&gt;"",EDATE($D92,Milestones!$AA$199)&gt;=$S92),$V92,$U92)))=Milestones!$AB$199),UPPER(TEXT(EDATE($D92,Milestones!$AA$199),"dd mmm yy"))&amp;" "&amp;Milestones!$AB$199&amp;" "&amp;Milestones!$AC$199&amp;";  ",""))</f>
        <v/>
      </c>
      <c r="R92" s="0" t="str">
        <f aca="false">IF(Staff!$A92="","",Staff!$AI92)</f>
        <v/>
      </c>
      <c r="S92" s="0" t="str">
        <f aca="false">IF(Staff!$A92="","",Staff!$AK92)</f>
        <v/>
      </c>
      <c r="T92" s="0" t="str">
        <f aca="false">IF(Staff!$A92="","",Staff!$AL92)</f>
        <v/>
      </c>
      <c r="U92" s="0" t="str">
        <f aca="false">IF(Staff!$A92="","",Staff!$AP92)</f>
        <v/>
      </c>
      <c r="V92" s="0" t="str">
        <f aca="false">IF(Staff!$A92="","",Staff!$AQ92)</f>
        <v/>
      </c>
      <c r="W92" s="0" t="str">
        <f aca="false">IF(Staff!$A92="","",Staff!$AR92)</f>
        <v/>
      </c>
      <c r="X92" s="0" t="str">
        <f aca="false">IF(Staff!$A92="","",Staff!$AS92)</f>
        <v/>
      </c>
    </row>
    <row r="93" customFormat="false" ht="15" hidden="false" customHeight="false" outlineLevel="0" collapsed="false">
      <c r="A93" s="14" t="str">
        <f aca="false">IF(Staff!$A93="","",Staff!$A93)</f>
        <v/>
      </c>
      <c r="B93" s="14" t="str">
        <f aca="false">IF(Staff!$A93="","",Staff!$B93)</f>
        <v/>
      </c>
      <c r="C93" s="14" t="str">
        <f aca="false">IF(Staff!$A93="","",Staff!$C93)</f>
        <v/>
      </c>
      <c r="D93" s="12" t="str">
        <f aca="false">IF(Staff!$A93="","",Staff!$AH93)</f>
        <v/>
      </c>
      <c r="E93" s="14" t="str">
        <f aca="false">IF(Staff!$A93="","",Staff!$O93)</f>
        <v/>
      </c>
      <c r="F93" s="14" t="str">
        <f aca="false">IF(E93="","",E93*HoursPerDay)</f>
        <v/>
      </c>
      <c r="G93" s="14" t="str">
        <f aca="false">IF(Staff!$A93="","",Staff!$AE93)</f>
        <v/>
      </c>
      <c r="H93" s="26" t="str">
        <f aca="false">IF($A93="","",I93&amp;J93&amp;K93&amp;L93&amp;M93&amp;N93&amp;O93&amp;P93&amp;Q93)</f>
        <v/>
      </c>
      <c r="I93" s="0" t="str">
        <f aca="false">IF(OR($A93="",$D93=""),"",IF(AND(EDATE($D93,Milestones!$AA$20)&lt;=AsOfDate,IF($R93=0,$X93,IF(AND($T93&lt;&gt;"",EDATE($D93,Milestones!$AA$20)&gt;=$T93),$W93,IF(AND($S93&lt;&gt;"",EDATE($D93,Milestones!$AA$20)&gt;=$S93),$V93,$U93)))=Milestones!$AB$20),UPPER(TEXT(EDATE($D93,Milestones!$AA$20),"dd mmm yy"))&amp;" "&amp;Milestones!$AB$20&amp;" "&amp;Milestones!$AC$20&amp;";  ","")&amp;IF(AND(EDATE($D93,Milestones!$AA$21)&lt;=AsOfDate,IF($R93=0,$X93,IF(AND($T93&lt;&gt;"",EDATE($D93,Milestones!$AA$21)&gt;=$T93),$W93,IF(AND($S93&lt;&gt;"",EDATE($D93,Milestones!$AA$21)&gt;=$S93),$V93,$U93)))=Milestones!$AB$21),UPPER(TEXT(EDATE($D93,Milestones!$AA$21),"dd mmm yy"))&amp;" "&amp;Milestones!$AB$21&amp;" "&amp;Milestones!$AC$21&amp;";  ","")&amp;IF(AND(EDATE($D93,Milestones!$AA$22)&lt;=AsOfDate,IF($R93=0,$X93,IF(AND($T93&lt;&gt;"",EDATE($D93,Milestones!$AA$22)&gt;=$T93),$W93,IF(AND($S93&lt;&gt;"",EDATE($D93,Milestones!$AA$22)&gt;=$S93),$V93,$U93)))=Milestones!$AB$22),UPPER(TEXT(EDATE($D93,Milestones!$AA$22),"dd mmm yy"))&amp;" "&amp;Milestones!$AB$22&amp;" "&amp;Milestones!$AC$22&amp;";  ","")&amp;IF(AND(EDATE($D93,Milestones!$AA$23)&lt;=AsOfDate,IF($R93=0,$X93,IF(AND($T93&lt;&gt;"",EDATE($D93,Milestones!$AA$23)&gt;=$T93),$W93,IF(AND($S93&lt;&gt;"",EDATE($D93,Milestones!$AA$23)&gt;=$S93),$V93,$U93)))=Milestones!$AB$23),UPPER(TEXT(EDATE($D93,Milestones!$AA$23),"dd mmm yy"))&amp;" "&amp;Milestones!$AB$23&amp;" "&amp;Milestones!$AC$23&amp;";  ","")&amp;IF(AND(EDATE($D93,Milestones!$AA$24)&lt;=AsOfDate,IF($R93=0,$X93,IF(AND($T93&lt;&gt;"",EDATE($D93,Milestones!$AA$24)&gt;=$T93),$W93,IF(AND($S93&lt;&gt;"",EDATE($D93,Milestones!$AA$24)&gt;=$S93),$V93,$U93)))=Milestones!$AB$24),UPPER(TEXT(EDATE($D93,Milestones!$AA$24),"dd mmm yy"))&amp;" "&amp;Milestones!$AB$24&amp;" "&amp;Milestones!$AC$24&amp;";  ","")&amp;IF(AND(EDATE($D93,Milestones!$AA$25)&lt;=AsOfDate,IF($R93=0,$X93,IF(AND($T93&lt;&gt;"",EDATE($D93,Milestones!$AA$25)&gt;=$T93),$W93,IF(AND($S93&lt;&gt;"",EDATE($D93,Milestones!$AA$25)&gt;=$S93),$V93,$U93)))=Milestones!$AB$25),UPPER(TEXT(EDATE($D93,Milestones!$AA$25),"dd mmm yy"))&amp;" "&amp;Milestones!$AB$25&amp;" "&amp;Milestones!$AC$25&amp;";  ","")&amp;IF(AND(EDATE($D93,Milestones!$AA$26)&lt;=AsOfDate,IF($R93=0,$X93,IF(AND($T93&lt;&gt;"",EDATE($D93,Milestones!$AA$26)&gt;=$T93),$W93,IF(AND($S93&lt;&gt;"",EDATE($D93,Milestones!$AA$26)&gt;=$S93),$V93,$U93)))=Milestones!$AB$26),UPPER(TEXT(EDATE($D93,Milestones!$AA$26),"dd mmm yy"))&amp;" "&amp;Milestones!$AB$26&amp;" "&amp;Milestones!$AC$26&amp;";  ","")&amp;IF(AND(EDATE($D93,Milestones!$AA$27)&lt;=AsOfDate,IF($R93=0,$X93,IF(AND($T93&lt;&gt;"",EDATE($D93,Milestones!$AA$27)&gt;=$T93),$W93,IF(AND($S93&lt;&gt;"",EDATE($D93,Milestones!$AA$27)&gt;=$S93),$V93,$U93)))=Milestones!$AB$27),UPPER(TEXT(EDATE($D93,Milestones!$AA$27),"dd mmm yy"))&amp;" "&amp;Milestones!$AB$27&amp;" "&amp;Milestones!$AC$27&amp;";  ","")&amp;IF(AND(EDATE($D93,Milestones!$AA$28)&lt;=AsOfDate,IF($R93=0,$X93,IF(AND($T93&lt;&gt;"",EDATE($D93,Milestones!$AA$28)&gt;=$T93),$W93,IF(AND($S93&lt;&gt;"",EDATE($D93,Milestones!$AA$28)&gt;=$S93),$V93,$U93)))=Milestones!$AB$28),UPPER(TEXT(EDATE($D93,Milestones!$AA$28),"dd mmm yy"))&amp;" "&amp;Milestones!$AB$28&amp;" "&amp;Milestones!$AC$28&amp;";  ","")&amp;IF(AND(EDATE($D93,Milestones!$AA$29)&lt;=AsOfDate,IF($R93=0,$X93,IF(AND($T93&lt;&gt;"",EDATE($D93,Milestones!$AA$29)&gt;=$T93),$W93,IF(AND($S93&lt;&gt;"",EDATE($D93,Milestones!$AA$29)&gt;=$S93),$V93,$U93)))=Milestones!$AB$29),UPPER(TEXT(EDATE($D93,Milestones!$AA$29),"dd mmm yy"))&amp;" "&amp;Milestones!$AB$29&amp;" "&amp;Milestones!$AC$29&amp;";  ","")&amp;IF(AND(EDATE($D93,Milestones!$AA$30)&lt;=AsOfDate,IF($R93=0,$X93,IF(AND($T93&lt;&gt;"",EDATE($D93,Milestones!$AA$30)&gt;=$T93),$W93,IF(AND($S93&lt;&gt;"",EDATE($D93,Milestones!$AA$30)&gt;=$S93),$V93,$U93)))=Milestones!$AB$30),UPPER(TEXT(EDATE($D93,Milestones!$AA$30),"dd mmm yy"))&amp;" "&amp;Milestones!$AB$30&amp;" "&amp;Milestones!$AC$30&amp;";  ","")&amp;IF(AND(EDATE($D93,Milestones!$AA$31)&lt;=AsOfDate,IF($R93=0,$X93,IF(AND($T93&lt;&gt;"",EDATE($D93,Milestones!$AA$31)&gt;=$T93),$W93,IF(AND($S93&lt;&gt;"",EDATE($D93,Milestones!$AA$31)&gt;=$S93),$V93,$U93)))=Milestones!$AB$31),UPPER(TEXT(EDATE($D93,Milestones!$AA$31),"dd mmm yy"))&amp;" "&amp;Milestones!$AB$31&amp;" "&amp;Milestones!$AC$31&amp;";  ","")&amp;IF(AND(EDATE($D93,Milestones!$AA$32)&lt;=AsOfDate,IF($R93=0,$X93,IF(AND($T93&lt;&gt;"",EDATE($D93,Milestones!$AA$32)&gt;=$T93),$W93,IF(AND($S93&lt;&gt;"",EDATE($D93,Milestones!$AA$32)&gt;=$S93),$V93,$U93)))=Milestones!$AB$32),UPPER(TEXT(EDATE($D93,Milestones!$AA$32),"dd mmm yy"))&amp;" "&amp;Milestones!$AB$32&amp;" "&amp;Milestones!$AC$32&amp;";  ","")&amp;IF(AND(EDATE($D93,Milestones!$AA$33)&lt;=AsOfDate,IF($R93=0,$X93,IF(AND($T93&lt;&gt;"",EDATE($D93,Milestones!$AA$33)&gt;=$T93),$W93,IF(AND($S93&lt;&gt;"",EDATE($D93,Milestones!$AA$33)&gt;=$S93),$V93,$U93)))=Milestones!$AB$33),UPPER(TEXT(EDATE($D93,Milestones!$AA$33),"dd mmm yy"))&amp;" "&amp;Milestones!$AB$33&amp;" "&amp;Milestones!$AC$33&amp;";  ","")&amp;IF(AND(EDATE($D93,Milestones!$AA$34)&lt;=AsOfDate,IF($R93=0,$X93,IF(AND($T93&lt;&gt;"",EDATE($D93,Milestones!$AA$34)&gt;=$T93),$W93,IF(AND($S93&lt;&gt;"",EDATE($D93,Milestones!$AA$34)&gt;=$S93),$V93,$U93)))=Milestones!$AB$34),UPPER(TEXT(EDATE($D93,Milestones!$AA$34),"dd mmm yy"))&amp;" "&amp;Milestones!$AB$34&amp;" "&amp;Milestones!$AC$34&amp;";  ","")&amp;IF(AND(EDATE($D93,Milestones!$AA$35)&lt;=AsOfDate,IF($R93=0,$X93,IF(AND($T93&lt;&gt;"",EDATE($D93,Milestones!$AA$35)&gt;=$T93),$W93,IF(AND($S93&lt;&gt;"",EDATE($D93,Milestones!$AA$35)&gt;=$S93),$V93,$U93)))=Milestones!$AB$35),UPPER(TEXT(EDATE($D93,Milestones!$AA$35),"dd mmm yy"))&amp;" "&amp;Milestones!$AB$35&amp;" "&amp;Milestones!$AC$35&amp;";  ","")&amp;IF(AND(EDATE($D93,Milestones!$AA$36)&lt;=AsOfDate,IF($R93=0,$X93,IF(AND($T93&lt;&gt;"",EDATE($D93,Milestones!$AA$36)&gt;=$T93),$W93,IF(AND($S93&lt;&gt;"",EDATE($D93,Milestones!$AA$36)&gt;=$S93),$V93,$U93)))=Milestones!$AB$36),UPPER(TEXT(EDATE($D93,Milestones!$AA$36),"dd mmm yy"))&amp;" "&amp;Milestones!$AB$36&amp;" "&amp;Milestones!$AC$36&amp;";  ","")&amp;IF(AND(EDATE($D93,Milestones!$AA$37)&lt;=AsOfDate,IF($R93=0,$X93,IF(AND($T93&lt;&gt;"",EDATE($D93,Milestones!$AA$37)&gt;=$T93),$W93,IF(AND($S93&lt;&gt;"",EDATE($D93,Milestones!$AA$37)&gt;=$S93),$V93,$U93)))=Milestones!$AB$37),UPPER(TEXT(EDATE($D93,Milestones!$AA$37),"dd mmm yy"))&amp;" "&amp;Milestones!$AB$37&amp;" "&amp;Milestones!$AC$37&amp;";  ","")&amp;IF(AND(EDATE($D93,Milestones!$AA$38)&lt;=AsOfDate,IF($R93=0,$X93,IF(AND($T93&lt;&gt;"",EDATE($D93,Milestones!$AA$38)&gt;=$T93),$W93,IF(AND($S93&lt;&gt;"",EDATE($D93,Milestones!$AA$38)&gt;=$S93),$V93,$U93)))=Milestones!$AB$38),UPPER(TEXT(EDATE($D93,Milestones!$AA$38),"dd mmm yy"))&amp;" "&amp;Milestones!$AB$38&amp;" "&amp;Milestones!$AC$38&amp;";  ","")&amp;IF(AND(EDATE($D93,Milestones!$AA$39)&lt;=AsOfDate,IF($R93=0,$X93,IF(AND($T93&lt;&gt;"",EDATE($D93,Milestones!$AA$39)&gt;=$T93),$W93,IF(AND($S93&lt;&gt;"",EDATE($D93,Milestones!$AA$39)&gt;=$S93),$V93,$U93)))=Milestones!$AB$39),UPPER(TEXT(EDATE($D93,Milestones!$AA$39),"dd mmm yy"))&amp;" "&amp;Milestones!$AB$39&amp;" "&amp;Milestones!$AC$39&amp;";  ",""))</f>
        <v/>
      </c>
      <c r="J93" s="0" t="str">
        <f aca="false">IF(OR($A93="",$D93=""),"",IF(AND(EDATE($D93,Milestones!$AA$40)&lt;=AsOfDate,IF($R93=0,$X93,IF(AND($T93&lt;&gt;"",EDATE($D93,Milestones!$AA$40)&gt;=$T93),$W93,IF(AND($S93&lt;&gt;"",EDATE($D93,Milestones!$AA$40)&gt;=$S93),$V93,$U93)))=Milestones!$AB$40),UPPER(TEXT(EDATE($D93,Milestones!$AA$40),"dd mmm yy"))&amp;" "&amp;Milestones!$AB$40&amp;" "&amp;Milestones!$AC$40&amp;";  ","")&amp;IF(AND(EDATE($D93,Milestones!$AA$41)&lt;=AsOfDate,IF($R93=0,$X93,IF(AND($T93&lt;&gt;"",EDATE($D93,Milestones!$AA$41)&gt;=$T93),$W93,IF(AND($S93&lt;&gt;"",EDATE($D93,Milestones!$AA$41)&gt;=$S93),$V93,$U93)))=Milestones!$AB$41),UPPER(TEXT(EDATE($D93,Milestones!$AA$41),"dd mmm yy"))&amp;" "&amp;Milestones!$AB$41&amp;" "&amp;Milestones!$AC$41&amp;";  ","")&amp;IF(AND(EDATE($D93,Milestones!$AA$42)&lt;=AsOfDate,IF($R93=0,$X93,IF(AND($T93&lt;&gt;"",EDATE($D93,Milestones!$AA$42)&gt;=$T93),$W93,IF(AND($S93&lt;&gt;"",EDATE($D93,Milestones!$AA$42)&gt;=$S93),$V93,$U93)))=Milestones!$AB$42),UPPER(TEXT(EDATE($D93,Milestones!$AA$42),"dd mmm yy"))&amp;" "&amp;Milestones!$AB$42&amp;" "&amp;Milestones!$AC$42&amp;";  ","")&amp;IF(AND(EDATE($D93,Milestones!$AA$43)&lt;=AsOfDate,IF($R93=0,$X93,IF(AND($T93&lt;&gt;"",EDATE($D93,Milestones!$AA$43)&gt;=$T93),$W93,IF(AND($S93&lt;&gt;"",EDATE($D93,Milestones!$AA$43)&gt;=$S93),$V93,$U93)))=Milestones!$AB$43),UPPER(TEXT(EDATE($D93,Milestones!$AA$43),"dd mmm yy"))&amp;" "&amp;Milestones!$AB$43&amp;" "&amp;Milestones!$AC$43&amp;";  ","")&amp;IF(AND(EDATE($D93,Milestones!$AA$44)&lt;=AsOfDate,IF($R93=0,$X93,IF(AND($T93&lt;&gt;"",EDATE($D93,Milestones!$AA$44)&gt;=$T93),$W93,IF(AND($S93&lt;&gt;"",EDATE($D93,Milestones!$AA$44)&gt;=$S93),$V93,$U93)))=Milestones!$AB$44),UPPER(TEXT(EDATE($D93,Milestones!$AA$44),"dd mmm yy"))&amp;" "&amp;Milestones!$AB$44&amp;" "&amp;Milestones!$AC$44&amp;";  ","")&amp;IF(AND(EDATE($D93,Milestones!$AA$45)&lt;=AsOfDate,IF($R93=0,$X93,IF(AND($T93&lt;&gt;"",EDATE($D93,Milestones!$AA$45)&gt;=$T93),$W93,IF(AND($S93&lt;&gt;"",EDATE($D93,Milestones!$AA$45)&gt;=$S93),$V93,$U93)))=Milestones!$AB$45),UPPER(TEXT(EDATE($D93,Milestones!$AA$45),"dd mmm yy"))&amp;" "&amp;Milestones!$AB$45&amp;" "&amp;Milestones!$AC$45&amp;";  ","")&amp;IF(AND(EDATE($D93,Milestones!$AA$46)&lt;=AsOfDate,IF($R93=0,$X93,IF(AND($T93&lt;&gt;"",EDATE($D93,Milestones!$AA$46)&gt;=$T93),$W93,IF(AND($S93&lt;&gt;"",EDATE($D93,Milestones!$AA$46)&gt;=$S93),$V93,$U93)))=Milestones!$AB$46),UPPER(TEXT(EDATE($D93,Milestones!$AA$46),"dd mmm yy"))&amp;" "&amp;Milestones!$AB$46&amp;" "&amp;Milestones!$AC$46&amp;";  ","")&amp;IF(AND(EDATE($D93,Milestones!$AA$47)&lt;=AsOfDate,IF($R93=0,$X93,IF(AND($T93&lt;&gt;"",EDATE($D93,Milestones!$AA$47)&gt;=$T93),$W93,IF(AND($S93&lt;&gt;"",EDATE($D93,Milestones!$AA$47)&gt;=$S93),$V93,$U93)))=Milestones!$AB$47),UPPER(TEXT(EDATE($D93,Milestones!$AA$47),"dd mmm yy"))&amp;" "&amp;Milestones!$AB$47&amp;" "&amp;Milestones!$AC$47&amp;";  ","")&amp;IF(AND(EDATE($D93,Milestones!$AA$48)&lt;=AsOfDate,IF($R93=0,$X93,IF(AND($T93&lt;&gt;"",EDATE($D93,Milestones!$AA$48)&gt;=$T93),$W93,IF(AND($S93&lt;&gt;"",EDATE($D93,Milestones!$AA$48)&gt;=$S93),$V93,$U93)))=Milestones!$AB$48),UPPER(TEXT(EDATE($D93,Milestones!$AA$48),"dd mmm yy"))&amp;" "&amp;Milestones!$AB$48&amp;" "&amp;Milestones!$AC$48&amp;";  ","")&amp;IF(AND(EDATE($D93,Milestones!$AA$49)&lt;=AsOfDate,IF($R93=0,$X93,IF(AND($T93&lt;&gt;"",EDATE($D93,Milestones!$AA$49)&gt;=$T93),$W93,IF(AND($S93&lt;&gt;"",EDATE($D93,Milestones!$AA$49)&gt;=$S93),$V93,$U93)))=Milestones!$AB$49),UPPER(TEXT(EDATE($D93,Milestones!$AA$49),"dd mmm yy"))&amp;" "&amp;Milestones!$AB$49&amp;" "&amp;Milestones!$AC$49&amp;";  ","")&amp;IF(AND(EDATE($D93,Milestones!$AA$50)&lt;=AsOfDate,IF($R93=0,$X93,IF(AND($T93&lt;&gt;"",EDATE($D93,Milestones!$AA$50)&gt;=$T93),$W93,IF(AND($S93&lt;&gt;"",EDATE($D93,Milestones!$AA$50)&gt;=$S93),$V93,$U93)))=Milestones!$AB$50),UPPER(TEXT(EDATE($D93,Milestones!$AA$50),"dd mmm yy"))&amp;" "&amp;Milestones!$AB$50&amp;" "&amp;Milestones!$AC$50&amp;";  ","")&amp;IF(AND(EDATE($D93,Milestones!$AA$51)&lt;=AsOfDate,IF($R93=0,$X93,IF(AND($T93&lt;&gt;"",EDATE($D93,Milestones!$AA$51)&gt;=$T93),$W93,IF(AND($S93&lt;&gt;"",EDATE($D93,Milestones!$AA$51)&gt;=$S93),$V93,$U93)))=Milestones!$AB$51),UPPER(TEXT(EDATE($D93,Milestones!$AA$51),"dd mmm yy"))&amp;" "&amp;Milestones!$AB$51&amp;" "&amp;Milestones!$AC$51&amp;";  ","")&amp;IF(AND(EDATE($D93,Milestones!$AA$52)&lt;=AsOfDate,IF($R93=0,$X93,IF(AND($T93&lt;&gt;"",EDATE($D93,Milestones!$AA$52)&gt;=$T93),$W93,IF(AND($S93&lt;&gt;"",EDATE($D93,Milestones!$AA$52)&gt;=$S93),$V93,$U93)))=Milestones!$AB$52),UPPER(TEXT(EDATE($D93,Milestones!$AA$52),"dd mmm yy"))&amp;" "&amp;Milestones!$AB$52&amp;" "&amp;Milestones!$AC$52&amp;";  ","")&amp;IF(AND(EDATE($D93,Milestones!$AA$53)&lt;=AsOfDate,IF($R93=0,$X93,IF(AND($T93&lt;&gt;"",EDATE($D93,Milestones!$AA$53)&gt;=$T93),$W93,IF(AND($S93&lt;&gt;"",EDATE($D93,Milestones!$AA$53)&gt;=$S93),$V93,$U93)))=Milestones!$AB$53),UPPER(TEXT(EDATE($D93,Milestones!$AA$53),"dd mmm yy"))&amp;" "&amp;Milestones!$AB$53&amp;" "&amp;Milestones!$AC$53&amp;";  ","")&amp;IF(AND(EDATE($D93,Milestones!$AA$54)&lt;=AsOfDate,IF($R93=0,$X93,IF(AND($T93&lt;&gt;"",EDATE($D93,Milestones!$AA$54)&gt;=$T93),$W93,IF(AND($S93&lt;&gt;"",EDATE($D93,Milestones!$AA$54)&gt;=$S93),$V93,$U93)))=Milestones!$AB$54),UPPER(TEXT(EDATE($D93,Milestones!$AA$54),"dd mmm yy"))&amp;" "&amp;Milestones!$AB$54&amp;" "&amp;Milestones!$AC$54&amp;";  ","")&amp;IF(AND(EDATE($D93,Milestones!$AA$55)&lt;=AsOfDate,IF($R93=0,$X93,IF(AND($T93&lt;&gt;"",EDATE($D93,Milestones!$AA$55)&gt;=$T93),$W93,IF(AND($S93&lt;&gt;"",EDATE($D93,Milestones!$AA$55)&gt;=$S93),$V93,$U93)))=Milestones!$AB$55),UPPER(TEXT(EDATE($D93,Milestones!$AA$55),"dd mmm yy"))&amp;" "&amp;Milestones!$AB$55&amp;" "&amp;Milestones!$AC$55&amp;";  ","")&amp;IF(AND(EDATE($D93,Milestones!$AA$56)&lt;=AsOfDate,IF($R93=0,$X93,IF(AND($T93&lt;&gt;"",EDATE($D93,Milestones!$AA$56)&gt;=$T93),$W93,IF(AND($S93&lt;&gt;"",EDATE($D93,Milestones!$AA$56)&gt;=$S93),$V93,$U93)))=Milestones!$AB$56),UPPER(TEXT(EDATE($D93,Milestones!$AA$56),"dd mmm yy"))&amp;" "&amp;Milestones!$AB$56&amp;" "&amp;Milestones!$AC$56&amp;";  ","")&amp;IF(AND(EDATE($D93,Milestones!$AA$57)&lt;=AsOfDate,IF($R93=0,$X93,IF(AND($T93&lt;&gt;"",EDATE($D93,Milestones!$AA$57)&gt;=$T93),$W93,IF(AND($S93&lt;&gt;"",EDATE($D93,Milestones!$AA$57)&gt;=$S93),$V93,$U93)))=Milestones!$AB$57),UPPER(TEXT(EDATE($D93,Milestones!$AA$57),"dd mmm yy"))&amp;" "&amp;Milestones!$AB$57&amp;" "&amp;Milestones!$AC$57&amp;";  ","")&amp;IF(AND(EDATE($D93,Milestones!$AA$58)&lt;=AsOfDate,IF($R93=0,$X93,IF(AND($T93&lt;&gt;"",EDATE($D93,Milestones!$AA$58)&gt;=$T93),$W93,IF(AND($S93&lt;&gt;"",EDATE($D93,Milestones!$AA$58)&gt;=$S93),$V93,$U93)))=Milestones!$AB$58),UPPER(TEXT(EDATE($D93,Milestones!$AA$58),"dd mmm yy"))&amp;" "&amp;Milestones!$AB$58&amp;" "&amp;Milestones!$AC$58&amp;";  ","")&amp;IF(AND(EDATE($D93,Milestones!$AA$59)&lt;=AsOfDate,IF($R93=0,$X93,IF(AND($T93&lt;&gt;"",EDATE($D93,Milestones!$AA$59)&gt;=$T93),$W93,IF(AND($S93&lt;&gt;"",EDATE($D93,Milestones!$AA$59)&gt;=$S93),$V93,$U93)))=Milestones!$AB$59),UPPER(TEXT(EDATE($D93,Milestones!$AA$59),"dd mmm yy"))&amp;" "&amp;Milestones!$AB$59&amp;" "&amp;Milestones!$AC$59&amp;";  ",""))</f>
        <v/>
      </c>
      <c r="K93" s="0" t="str">
        <f aca="false">IF(OR($A93="",$D93=""),"",IF(AND(EDATE($D93,Milestones!$AA$60)&lt;=AsOfDate,IF($R93=0,$X93,IF(AND($T93&lt;&gt;"",EDATE($D93,Milestones!$AA$60)&gt;=$T93),$W93,IF(AND($S93&lt;&gt;"",EDATE($D93,Milestones!$AA$60)&gt;=$S93),$V93,$U93)))=Milestones!$AB$60),UPPER(TEXT(EDATE($D93,Milestones!$AA$60),"dd mmm yy"))&amp;" "&amp;Milestones!$AB$60&amp;" "&amp;Milestones!$AC$60&amp;";  ","")&amp;IF(AND(EDATE($D93,Milestones!$AA$61)&lt;=AsOfDate,IF($R93=0,$X93,IF(AND($T93&lt;&gt;"",EDATE($D93,Milestones!$AA$61)&gt;=$T93),$W93,IF(AND($S93&lt;&gt;"",EDATE($D93,Milestones!$AA$61)&gt;=$S93),$V93,$U93)))=Milestones!$AB$61),UPPER(TEXT(EDATE($D93,Milestones!$AA$61),"dd mmm yy"))&amp;" "&amp;Milestones!$AB$61&amp;" "&amp;Milestones!$AC$61&amp;";  ","")&amp;IF(AND(EDATE($D93,Milestones!$AA$62)&lt;=AsOfDate,IF($R93=0,$X93,IF(AND($T93&lt;&gt;"",EDATE($D93,Milestones!$AA$62)&gt;=$T93),$W93,IF(AND($S93&lt;&gt;"",EDATE($D93,Milestones!$AA$62)&gt;=$S93),$V93,$U93)))=Milestones!$AB$62),UPPER(TEXT(EDATE($D93,Milestones!$AA$62),"dd mmm yy"))&amp;" "&amp;Milestones!$AB$62&amp;" "&amp;Milestones!$AC$62&amp;";  ","")&amp;IF(AND(EDATE($D93,Milestones!$AA$63)&lt;=AsOfDate,IF($R93=0,$X93,IF(AND($T93&lt;&gt;"",EDATE($D93,Milestones!$AA$63)&gt;=$T93),$W93,IF(AND($S93&lt;&gt;"",EDATE($D93,Milestones!$AA$63)&gt;=$S93),$V93,$U93)))=Milestones!$AB$63),UPPER(TEXT(EDATE($D93,Milestones!$AA$63),"dd mmm yy"))&amp;" "&amp;Milestones!$AB$63&amp;" "&amp;Milestones!$AC$63&amp;";  ","")&amp;IF(AND(EDATE($D93,Milestones!$AA$64)&lt;=AsOfDate,IF($R93=0,$X93,IF(AND($T93&lt;&gt;"",EDATE($D93,Milestones!$AA$64)&gt;=$T93),$W93,IF(AND($S93&lt;&gt;"",EDATE($D93,Milestones!$AA$64)&gt;=$S93),$V93,$U93)))=Milestones!$AB$64),UPPER(TEXT(EDATE($D93,Milestones!$AA$64),"dd mmm yy"))&amp;" "&amp;Milestones!$AB$64&amp;" "&amp;Milestones!$AC$64&amp;";  ","")&amp;IF(AND(EDATE($D93,Milestones!$AA$65)&lt;=AsOfDate,IF($R93=0,$X93,IF(AND($T93&lt;&gt;"",EDATE($D93,Milestones!$AA$65)&gt;=$T93),$W93,IF(AND($S93&lt;&gt;"",EDATE($D93,Milestones!$AA$65)&gt;=$S93),$V93,$U93)))=Milestones!$AB$65),UPPER(TEXT(EDATE($D93,Milestones!$AA$65),"dd mmm yy"))&amp;" "&amp;Milestones!$AB$65&amp;" "&amp;Milestones!$AC$65&amp;";  ","")&amp;IF(AND(EDATE($D93,Milestones!$AA$66)&lt;=AsOfDate,IF($R93=0,$X93,IF(AND($T93&lt;&gt;"",EDATE($D93,Milestones!$AA$66)&gt;=$T93),$W93,IF(AND($S93&lt;&gt;"",EDATE($D93,Milestones!$AA$66)&gt;=$S93),$V93,$U93)))=Milestones!$AB$66),UPPER(TEXT(EDATE($D93,Milestones!$AA$66),"dd mmm yy"))&amp;" "&amp;Milestones!$AB$66&amp;" "&amp;Milestones!$AC$66&amp;";  ","")&amp;IF(AND(EDATE($D93,Milestones!$AA$67)&lt;=AsOfDate,IF($R93=0,$X93,IF(AND($T93&lt;&gt;"",EDATE($D93,Milestones!$AA$67)&gt;=$T93),$W93,IF(AND($S93&lt;&gt;"",EDATE($D93,Milestones!$AA$67)&gt;=$S93),$V93,$U93)))=Milestones!$AB$67),UPPER(TEXT(EDATE($D93,Milestones!$AA$67),"dd mmm yy"))&amp;" "&amp;Milestones!$AB$67&amp;" "&amp;Milestones!$AC$67&amp;";  ","")&amp;IF(AND(EDATE($D93,Milestones!$AA$68)&lt;=AsOfDate,IF($R93=0,$X93,IF(AND($T93&lt;&gt;"",EDATE($D93,Milestones!$AA$68)&gt;=$T93),$W93,IF(AND($S93&lt;&gt;"",EDATE($D93,Milestones!$AA$68)&gt;=$S93),$V93,$U93)))=Milestones!$AB$68),UPPER(TEXT(EDATE($D93,Milestones!$AA$68),"dd mmm yy"))&amp;" "&amp;Milestones!$AB$68&amp;" "&amp;Milestones!$AC$68&amp;";  ","")&amp;IF(AND(EDATE($D93,Milestones!$AA$69)&lt;=AsOfDate,IF($R93=0,$X93,IF(AND($T93&lt;&gt;"",EDATE($D93,Milestones!$AA$69)&gt;=$T93),$W93,IF(AND($S93&lt;&gt;"",EDATE($D93,Milestones!$AA$69)&gt;=$S93),$V93,$U93)))=Milestones!$AB$69),UPPER(TEXT(EDATE($D93,Milestones!$AA$69),"dd mmm yy"))&amp;" "&amp;Milestones!$AB$69&amp;" "&amp;Milestones!$AC$69&amp;";  ","")&amp;IF(AND(EDATE($D93,Milestones!$AA$70)&lt;=AsOfDate,IF($R93=0,$X93,IF(AND($T93&lt;&gt;"",EDATE($D93,Milestones!$AA$70)&gt;=$T93),$W93,IF(AND($S93&lt;&gt;"",EDATE($D93,Milestones!$AA$70)&gt;=$S93),$V93,$U93)))=Milestones!$AB$70),UPPER(TEXT(EDATE($D93,Milestones!$AA$70),"dd mmm yy"))&amp;" "&amp;Milestones!$AB$70&amp;" "&amp;Milestones!$AC$70&amp;";  ","")&amp;IF(AND(EDATE($D93,Milestones!$AA$71)&lt;=AsOfDate,IF($R93=0,$X93,IF(AND($T93&lt;&gt;"",EDATE($D93,Milestones!$AA$71)&gt;=$T93),$W93,IF(AND($S93&lt;&gt;"",EDATE($D93,Milestones!$AA$71)&gt;=$S93),$V93,$U93)))=Milestones!$AB$71),UPPER(TEXT(EDATE($D93,Milestones!$AA$71),"dd mmm yy"))&amp;" "&amp;Milestones!$AB$71&amp;" "&amp;Milestones!$AC$71&amp;";  ","")&amp;IF(AND(EDATE($D93,Milestones!$AA$72)&lt;=AsOfDate,IF($R93=0,$X93,IF(AND($T93&lt;&gt;"",EDATE($D93,Milestones!$AA$72)&gt;=$T93),$W93,IF(AND($S93&lt;&gt;"",EDATE($D93,Milestones!$AA$72)&gt;=$S93),$V93,$U93)))=Milestones!$AB$72),UPPER(TEXT(EDATE($D93,Milestones!$AA$72),"dd mmm yy"))&amp;" "&amp;Milestones!$AB$72&amp;" "&amp;Milestones!$AC$72&amp;";  ","")&amp;IF(AND(EDATE($D93,Milestones!$AA$73)&lt;=AsOfDate,IF($R93=0,$X93,IF(AND($T93&lt;&gt;"",EDATE($D93,Milestones!$AA$73)&gt;=$T93),$W93,IF(AND($S93&lt;&gt;"",EDATE($D93,Milestones!$AA$73)&gt;=$S93),$V93,$U93)))=Milestones!$AB$73),UPPER(TEXT(EDATE($D93,Milestones!$AA$73),"dd mmm yy"))&amp;" "&amp;Milestones!$AB$73&amp;" "&amp;Milestones!$AC$73&amp;";  ","")&amp;IF(AND(EDATE($D93,Milestones!$AA$74)&lt;=AsOfDate,IF($R93=0,$X93,IF(AND($T93&lt;&gt;"",EDATE($D93,Milestones!$AA$74)&gt;=$T93),$W93,IF(AND($S93&lt;&gt;"",EDATE($D93,Milestones!$AA$74)&gt;=$S93),$V93,$U93)))=Milestones!$AB$74),UPPER(TEXT(EDATE($D93,Milestones!$AA$74),"dd mmm yy"))&amp;" "&amp;Milestones!$AB$74&amp;" "&amp;Milestones!$AC$74&amp;";  ","")&amp;IF(AND(EDATE($D93,Milestones!$AA$75)&lt;=AsOfDate,IF($R93=0,$X93,IF(AND($T93&lt;&gt;"",EDATE($D93,Milestones!$AA$75)&gt;=$T93),$W93,IF(AND($S93&lt;&gt;"",EDATE($D93,Milestones!$AA$75)&gt;=$S93),$V93,$U93)))=Milestones!$AB$75),UPPER(TEXT(EDATE($D93,Milestones!$AA$75),"dd mmm yy"))&amp;" "&amp;Milestones!$AB$75&amp;" "&amp;Milestones!$AC$75&amp;";  ","")&amp;IF(AND(EDATE($D93,Milestones!$AA$76)&lt;=AsOfDate,IF($R93=0,$X93,IF(AND($T93&lt;&gt;"",EDATE($D93,Milestones!$AA$76)&gt;=$T93),$W93,IF(AND($S93&lt;&gt;"",EDATE($D93,Milestones!$AA$76)&gt;=$S93),$V93,$U93)))=Milestones!$AB$76),UPPER(TEXT(EDATE($D93,Milestones!$AA$76),"dd mmm yy"))&amp;" "&amp;Milestones!$AB$76&amp;" "&amp;Milestones!$AC$76&amp;";  ","")&amp;IF(AND(EDATE($D93,Milestones!$AA$77)&lt;=AsOfDate,IF($R93=0,$X93,IF(AND($T93&lt;&gt;"",EDATE($D93,Milestones!$AA$77)&gt;=$T93),$W93,IF(AND($S93&lt;&gt;"",EDATE($D93,Milestones!$AA$77)&gt;=$S93),$V93,$U93)))=Milestones!$AB$77),UPPER(TEXT(EDATE($D93,Milestones!$AA$77),"dd mmm yy"))&amp;" "&amp;Milestones!$AB$77&amp;" "&amp;Milestones!$AC$77&amp;";  ","")&amp;IF(AND(EDATE($D93,Milestones!$AA$78)&lt;=AsOfDate,IF($R93=0,$X93,IF(AND($T93&lt;&gt;"",EDATE($D93,Milestones!$AA$78)&gt;=$T93),$W93,IF(AND($S93&lt;&gt;"",EDATE($D93,Milestones!$AA$78)&gt;=$S93),$V93,$U93)))=Milestones!$AB$78),UPPER(TEXT(EDATE($D93,Milestones!$AA$78),"dd mmm yy"))&amp;" "&amp;Milestones!$AB$78&amp;" "&amp;Milestones!$AC$78&amp;";  ","")&amp;IF(AND(EDATE($D93,Milestones!$AA$79)&lt;=AsOfDate,IF($R93=0,$X93,IF(AND($T93&lt;&gt;"",EDATE($D93,Milestones!$AA$79)&gt;=$T93),$W93,IF(AND($S93&lt;&gt;"",EDATE($D93,Milestones!$AA$79)&gt;=$S93),$V93,$U93)))=Milestones!$AB$79),UPPER(TEXT(EDATE($D93,Milestones!$AA$79),"dd mmm yy"))&amp;" "&amp;Milestones!$AB$79&amp;" "&amp;Milestones!$AC$79&amp;";  ",""))</f>
        <v/>
      </c>
      <c r="L93" s="0" t="str">
        <f aca="false">IF(OR($A93="",$D93=""),"",IF(AND(EDATE($D93,Milestones!$AA$80)&lt;=AsOfDate,IF($R93=0,$X93,IF(AND($T93&lt;&gt;"",EDATE($D93,Milestones!$AA$80)&gt;=$T93),$W93,IF(AND($S93&lt;&gt;"",EDATE($D93,Milestones!$AA$80)&gt;=$S93),$V93,$U93)))=Milestones!$AB$80),UPPER(TEXT(EDATE($D93,Milestones!$AA$80),"dd mmm yy"))&amp;" "&amp;Milestones!$AB$80&amp;" "&amp;Milestones!$AC$80&amp;";  ","")&amp;IF(AND(EDATE($D93,Milestones!$AA$81)&lt;=AsOfDate,IF($R93=0,$X93,IF(AND($T93&lt;&gt;"",EDATE($D93,Milestones!$AA$81)&gt;=$T93),$W93,IF(AND($S93&lt;&gt;"",EDATE($D93,Milestones!$AA$81)&gt;=$S93),$V93,$U93)))=Milestones!$AB$81),UPPER(TEXT(EDATE($D93,Milestones!$AA$81),"dd mmm yy"))&amp;" "&amp;Milestones!$AB$81&amp;" "&amp;Milestones!$AC$81&amp;";  ","")&amp;IF(AND(EDATE($D93,Milestones!$AA$82)&lt;=AsOfDate,IF($R93=0,$X93,IF(AND($T93&lt;&gt;"",EDATE($D93,Milestones!$AA$82)&gt;=$T93),$W93,IF(AND($S93&lt;&gt;"",EDATE($D93,Milestones!$AA$82)&gt;=$S93),$V93,$U93)))=Milestones!$AB$82),UPPER(TEXT(EDATE($D93,Milestones!$AA$82),"dd mmm yy"))&amp;" "&amp;Milestones!$AB$82&amp;" "&amp;Milestones!$AC$82&amp;";  ","")&amp;IF(AND(EDATE($D93,Milestones!$AA$83)&lt;=AsOfDate,IF($R93=0,$X93,IF(AND($T93&lt;&gt;"",EDATE($D93,Milestones!$AA$83)&gt;=$T93),$W93,IF(AND($S93&lt;&gt;"",EDATE($D93,Milestones!$AA$83)&gt;=$S93),$V93,$U93)))=Milestones!$AB$83),UPPER(TEXT(EDATE($D93,Milestones!$AA$83),"dd mmm yy"))&amp;" "&amp;Milestones!$AB$83&amp;" "&amp;Milestones!$AC$83&amp;";  ","")&amp;IF(AND(EDATE($D93,Milestones!$AA$84)&lt;=AsOfDate,IF($R93=0,$X93,IF(AND($T93&lt;&gt;"",EDATE($D93,Milestones!$AA$84)&gt;=$T93),$W93,IF(AND($S93&lt;&gt;"",EDATE($D93,Milestones!$AA$84)&gt;=$S93),$V93,$U93)))=Milestones!$AB$84),UPPER(TEXT(EDATE($D93,Milestones!$AA$84),"dd mmm yy"))&amp;" "&amp;Milestones!$AB$84&amp;" "&amp;Milestones!$AC$84&amp;";  ","")&amp;IF(AND(EDATE($D93,Milestones!$AA$85)&lt;=AsOfDate,IF($R93=0,$X93,IF(AND($T93&lt;&gt;"",EDATE($D93,Milestones!$AA$85)&gt;=$T93),$W93,IF(AND($S93&lt;&gt;"",EDATE($D93,Milestones!$AA$85)&gt;=$S93),$V93,$U93)))=Milestones!$AB$85),UPPER(TEXT(EDATE($D93,Milestones!$AA$85),"dd mmm yy"))&amp;" "&amp;Milestones!$AB$85&amp;" "&amp;Milestones!$AC$85&amp;";  ","")&amp;IF(AND(EDATE($D93,Milestones!$AA$86)&lt;=AsOfDate,IF($R93=0,$X93,IF(AND($T93&lt;&gt;"",EDATE($D93,Milestones!$AA$86)&gt;=$T93),$W93,IF(AND($S93&lt;&gt;"",EDATE($D93,Milestones!$AA$86)&gt;=$S93),$V93,$U93)))=Milestones!$AB$86),UPPER(TEXT(EDATE($D93,Milestones!$AA$86),"dd mmm yy"))&amp;" "&amp;Milestones!$AB$86&amp;" "&amp;Milestones!$AC$86&amp;";  ","")&amp;IF(AND(EDATE($D93,Milestones!$AA$87)&lt;=AsOfDate,IF($R93=0,$X93,IF(AND($T93&lt;&gt;"",EDATE($D93,Milestones!$AA$87)&gt;=$T93),$W93,IF(AND($S93&lt;&gt;"",EDATE($D93,Milestones!$AA$87)&gt;=$S93),$V93,$U93)))=Milestones!$AB$87),UPPER(TEXT(EDATE($D93,Milestones!$AA$87),"dd mmm yy"))&amp;" "&amp;Milestones!$AB$87&amp;" "&amp;Milestones!$AC$87&amp;";  ","")&amp;IF(AND(EDATE($D93,Milestones!$AA$88)&lt;=AsOfDate,IF($R93=0,$X93,IF(AND($T93&lt;&gt;"",EDATE($D93,Milestones!$AA$88)&gt;=$T93),$W93,IF(AND($S93&lt;&gt;"",EDATE($D93,Milestones!$AA$88)&gt;=$S93),$V93,$U93)))=Milestones!$AB$88),UPPER(TEXT(EDATE($D93,Milestones!$AA$88),"dd mmm yy"))&amp;" "&amp;Milestones!$AB$88&amp;" "&amp;Milestones!$AC$88&amp;";  ","")&amp;IF(AND(EDATE($D93,Milestones!$AA$89)&lt;=AsOfDate,IF($R93=0,$X93,IF(AND($T93&lt;&gt;"",EDATE($D93,Milestones!$AA$89)&gt;=$T93),$W93,IF(AND($S93&lt;&gt;"",EDATE($D93,Milestones!$AA$89)&gt;=$S93),$V93,$U93)))=Milestones!$AB$89),UPPER(TEXT(EDATE($D93,Milestones!$AA$89),"dd mmm yy"))&amp;" "&amp;Milestones!$AB$89&amp;" "&amp;Milestones!$AC$89&amp;";  ","")&amp;IF(AND(EDATE($D93,Milestones!$AA$90)&lt;=AsOfDate,IF($R93=0,$X93,IF(AND($T93&lt;&gt;"",EDATE($D93,Milestones!$AA$90)&gt;=$T93),$W93,IF(AND($S93&lt;&gt;"",EDATE($D93,Milestones!$AA$90)&gt;=$S93),$V93,$U93)))=Milestones!$AB$90),UPPER(TEXT(EDATE($D93,Milestones!$AA$90),"dd mmm yy"))&amp;" "&amp;Milestones!$AB$90&amp;" "&amp;Milestones!$AC$90&amp;";  ","")&amp;IF(AND(EDATE($D93,Milestones!$AA$91)&lt;=AsOfDate,IF($R93=0,$X93,IF(AND($T93&lt;&gt;"",EDATE($D93,Milestones!$AA$91)&gt;=$T93),$W93,IF(AND($S93&lt;&gt;"",EDATE($D93,Milestones!$AA$91)&gt;=$S93),$V93,$U93)))=Milestones!$AB$91),UPPER(TEXT(EDATE($D93,Milestones!$AA$91),"dd mmm yy"))&amp;" "&amp;Milestones!$AB$91&amp;" "&amp;Milestones!$AC$91&amp;";  ","")&amp;IF(AND(EDATE($D93,Milestones!$AA$92)&lt;=AsOfDate,IF($R93=0,$X93,IF(AND($T93&lt;&gt;"",EDATE($D93,Milestones!$AA$92)&gt;=$T93),$W93,IF(AND($S93&lt;&gt;"",EDATE($D93,Milestones!$AA$92)&gt;=$S93),$V93,$U93)))=Milestones!$AB$92),UPPER(TEXT(EDATE($D93,Milestones!$AA$92),"dd mmm yy"))&amp;" "&amp;Milestones!$AB$92&amp;" "&amp;Milestones!$AC$92&amp;";  ","")&amp;IF(AND(EDATE($D93,Milestones!$AA$93)&lt;=AsOfDate,IF($R93=0,$X93,IF(AND($T93&lt;&gt;"",EDATE($D93,Milestones!$AA$93)&gt;=$T93),$W93,IF(AND($S93&lt;&gt;"",EDATE($D93,Milestones!$AA$93)&gt;=$S93),$V93,$U93)))=Milestones!$AB$93),UPPER(TEXT(EDATE($D93,Milestones!$AA$93),"dd mmm yy"))&amp;" "&amp;Milestones!$AB$93&amp;" "&amp;Milestones!$AC$93&amp;";  ","")&amp;IF(AND(EDATE($D93,Milestones!$AA$94)&lt;=AsOfDate,IF($R93=0,$X93,IF(AND($T93&lt;&gt;"",EDATE($D93,Milestones!$AA$94)&gt;=$T93),$W93,IF(AND($S93&lt;&gt;"",EDATE($D93,Milestones!$AA$94)&gt;=$S93),$V93,$U93)))=Milestones!$AB$94),UPPER(TEXT(EDATE($D93,Milestones!$AA$94),"dd mmm yy"))&amp;" "&amp;Milestones!$AB$94&amp;" "&amp;Milestones!$AC$94&amp;";  ","")&amp;IF(AND(EDATE($D93,Milestones!$AA$95)&lt;=AsOfDate,IF($R93=0,$X93,IF(AND($T93&lt;&gt;"",EDATE($D93,Milestones!$AA$95)&gt;=$T93),$W93,IF(AND($S93&lt;&gt;"",EDATE($D93,Milestones!$AA$95)&gt;=$S93),$V93,$U93)))=Milestones!$AB$95),UPPER(TEXT(EDATE($D93,Milestones!$AA$95),"dd mmm yy"))&amp;" "&amp;Milestones!$AB$95&amp;" "&amp;Milestones!$AC$95&amp;";  ","")&amp;IF(AND(EDATE($D93,Milestones!$AA$96)&lt;=AsOfDate,IF($R93=0,$X93,IF(AND($T93&lt;&gt;"",EDATE($D93,Milestones!$AA$96)&gt;=$T93),$W93,IF(AND($S93&lt;&gt;"",EDATE($D93,Milestones!$AA$96)&gt;=$S93),$V93,$U93)))=Milestones!$AB$96),UPPER(TEXT(EDATE($D93,Milestones!$AA$96),"dd mmm yy"))&amp;" "&amp;Milestones!$AB$96&amp;" "&amp;Milestones!$AC$96&amp;";  ","")&amp;IF(AND(EDATE($D93,Milestones!$AA$97)&lt;=AsOfDate,IF($R93=0,$X93,IF(AND($T93&lt;&gt;"",EDATE($D93,Milestones!$AA$97)&gt;=$T93),$W93,IF(AND($S93&lt;&gt;"",EDATE($D93,Milestones!$AA$97)&gt;=$S93),$V93,$U93)))=Milestones!$AB$97),UPPER(TEXT(EDATE($D93,Milestones!$AA$97),"dd mmm yy"))&amp;" "&amp;Milestones!$AB$97&amp;" "&amp;Milestones!$AC$97&amp;";  ","")&amp;IF(AND(EDATE($D93,Milestones!$AA$98)&lt;=AsOfDate,IF($R93=0,$X93,IF(AND($T93&lt;&gt;"",EDATE($D93,Milestones!$AA$98)&gt;=$T93),$W93,IF(AND($S93&lt;&gt;"",EDATE($D93,Milestones!$AA$98)&gt;=$S93),$V93,$U93)))=Milestones!$AB$98),UPPER(TEXT(EDATE($D93,Milestones!$AA$98),"dd mmm yy"))&amp;" "&amp;Milestones!$AB$98&amp;" "&amp;Milestones!$AC$98&amp;";  ","")&amp;IF(AND(EDATE($D93,Milestones!$AA$99)&lt;=AsOfDate,IF($R93=0,$X93,IF(AND($T93&lt;&gt;"",EDATE($D93,Milestones!$AA$99)&gt;=$T93),$W93,IF(AND($S93&lt;&gt;"",EDATE($D93,Milestones!$AA$99)&gt;=$S93),$V93,$U93)))=Milestones!$AB$99),UPPER(TEXT(EDATE($D93,Milestones!$AA$99),"dd mmm yy"))&amp;" "&amp;Milestones!$AB$99&amp;" "&amp;Milestones!$AC$99&amp;";  ",""))</f>
        <v/>
      </c>
      <c r="M93" s="0" t="str">
        <f aca="false">IF(OR($A93="",$D93=""),"",IF(AND(EDATE($D93,Milestones!$AA$100)&lt;=AsOfDate,IF($R93=0,$X93,IF(AND($T93&lt;&gt;"",EDATE($D93,Milestones!$AA$100)&gt;=$T93),$W93,IF(AND($S93&lt;&gt;"",EDATE($D93,Milestones!$AA$100)&gt;=$S93),$V93,$U93)))=Milestones!$AB$100),UPPER(TEXT(EDATE($D93,Milestones!$AA$100),"dd mmm yy"))&amp;" "&amp;Milestones!$AB$100&amp;" "&amp;Milestones!$AC$100&amp;";  ","")&amp;IF(AND(EDATE($D93,Milestones!$AA$101)&lt;=AsOfDate,IF($R93=0,$X93,IF(AND($T93&lt;&gt;"",EDATE($D93,Milestones!$AA$101)&gt;=$T93),$W93,IF(AND($S93&lt;&gt;"",EDATE($D93,Milestones!$AA$101)&gt;=$S93),$V93,$U93)))=Milestones!$AB$101),UPPER(TEXT(EDATE($D93,Milestones!$AA$101),"dd mmm yy"))&amp;" "&amp;Milestones!$AB$101&amp;" "&amp;Milestones!$AC$101&amp;";  ","")&amp;IF(AND(EDATE($D93,Milestones!$AA$102)&lt;=AsOfDate,IF($R93=0,$X93,IF(AND($T93&lt;&gt;"",EDATE($D93,Milestones!$AA$102)&gt;=$T93),$W93,IF(AND($S93&lt;&gt;"",EDATE($D93,Milestones!$AA$102)&gt;=$S93),$V93,$U93)))=Milestones!$AB$102),UPPER(TEXT(EDATE($D93,Milestones!$AA$102),"dd mmm yy"))&amp;" "&amp;Milestones!$AB$102&amp;" "&amp;Milestones!$AC$102&amp;";  ","")&amp;IF(AND(EDATE($D93,Milestones!$AA$103)&lt;=AsOfDate,IF($R93=0,$X93,IF(AND($T93&lt;&gt;"",EDATE($D93,Milestones!$AA$103)&gt;=$T93),$W93,IF(AND($S93&lt;&gt;"",EDATE($D93,Milestones!$AA$103)&gt;=$S93),$V93,$U93)))=Milestones!$AB$103),UPPER(TEXT(EDATE($D93,Milestones!$AA$103),"dd mmm yy"))&amp;" "&amp;Milestones!$AB$103&amp;" "&amp;Milestones!$AC$103&amp;";  ","")&amp;IF(AND(EDATE($D93,Milestones!$AA$104)&lt;=AsOfDate,IF($R93=0,$X93,IF(AND($T93&lt;&gt;"",EDATE($D93,Milestones!$AA$104)&gt;=$T93),$W93,IF(AND($S93&lt;&gt;"",EDATE($D93,Milestones!$AA$104)&gt;=$S93),$V93,$U93)))=Milestones!$AB$104),UPPER(TEXT(EDATE($D93,Milestones!$AA$104),"dd mmm yy"))&amp;" "&amp;Milestones!$AB$104&amp;" "&amp;Milestones!$AC$104&amp;";  ","")&amp;IF(AND(EDATE($D93,Milestones!$AA$105)&lt;=AsOfDate,IF($R93=0,$X93,IF(AND($T93&lt;&gt;"",EDATE($D93,Milestones!$AA$105)&gt;=$T93),$W93,IF(AND($S93&lt;&gt;"",EDATE($D93,Milestones!$AA$105)&gt;=$S93),$V93,$U93)))=Milestones!$AB$105),UPPER(TEXT(EDATE($D93,Milestones!$AA$105),"dd mmm yy"))&amp;" "&amp;Milestones!$AB$105&amp;" "&amp;Milestones!$AC$105&amp;";  ","")&amp;IF(AND(EDATE($D93,Milestones!$AA$106)&lt;=AsOfDate,IF($R93=0,$X93,IF(AND($T93&lt;&gt;"",EDATE($D93,Milestones!$AA$106)&gt;=$T93),$W93,IF(AND($S93&lt;&gt;"",EDATE($D93,Milestones!$AA$106)&gt;=$S93),$V93,$U93)))=Milestones!$AB$106),UPPER(TEXT(EDATE($D93,Milestones!$AA$106),"dd mmm yy"))&amp;" "&amp;Milestones!$AB$106&amp;" "&amp;Milestones!$AC$106&amp;";  ","")&amp;IF(AND(EDATE($D93,Milestones!$AA$107)&lt;=AsOfDate,IF($R93=0,$X93,IF(AND($T93&lt;&gt;"",EDATE($D93,Milestones!$AA$107)&gt;=$T93),$W93,IF(AND($S93&lt;&gt;"",EDATE($D93,Milestones!$AA$107)&gt;=$S93),$V93,$U93)))=Milestones!$AB$107),UPPER(TEXT(EDATE($D93,Milestones!$AA$107),"dd mmm yy"))&amp;" "&amp;Milestones!$AB$107&amp;" "&amp;Milestones!$AC$107&amp;";  ","")&amp;IF(AND(EDATE($D93,Milestones!$AA$108)&lt;=AsOfDate,IF($R93=0,$X93,IF(AND($T93&lt;&gt;"",EDATE($D93,Milestones!$AA$108)&gt;=$T93),$W93,IF(AND($S93&lt;&gt;"",EDATE($D93,Milestones!$AA$108)&gt;=$S93),$V93,$U93)))=Milestones!$AB$108),UPPER(TEXT(EDATE($D93,Milestones!$AA$108),"dd mmm yy"))&amp;" "&amp;Milestones!$AB$108&amp;" "&amp;Milestones!$AC$108&amp;";  ","")&amp;IF(AND(EDATE($D93,Milestones!$AA$109)&lt;=AsOfDate,IF($R93=0,$X93,IF(AND($T93&lt;&gt;"",EDATE($D93,Milestones!$AA$109)&gt;=$T93),$W93,IF(AND($S93&lt;&gt;"",EDATE($D93,Milestones!$AA$109)&gt;=$S93),$V93,$U93)))=Milestones!$AB$109),UPPER(TEXT(EDATE($D93,Milestones!$AA$109),"dd mmm yy"))&amp;" "&amp;Milestones!$AB$109&amp;" "&amp;Milestones!$AC$109&amp;";  ","")&amp;IF(AND(EDATE($D93,Milestones!$AA$110)&lt;=AsOfDate,IF($R93=0,$X93,IF(AND($T93&lt;&gt;"",EDATE($D93,Milestones!$AA$110)&gt;=$T93),$W93,IF(AND($S93&lt;&gt;"",EDATE($D93,Milestones!$AA$110)&gt;=$S93),$V93,$U93)))=Milestones!$AB$110),UPPER(TEXT(EDATE($D93,Milestones!$AA$110),"dd mmm yy"))&amp;" "&amp;Milestones!$AB$110&amp;" "&amp;Milestones!$AC$110&amp;";  ","")&amp;IF(AND(EDATE($D93,Milestones!$AA$111)&lt;=AsOfDate,IF($R93=0,$X93,IF(AND($T93&lt;&gt;"",EDATE($D93,Milestones!$AA$111)&gt;=$T93),$W93,IF(AND($S93&lt;&gt;"",EDATE($D93,Milestones!$AA$111)&gt;=$S93),$V93,$U93)))=Milestones!$AB$111),UPPER(TEXT(EDATE($D93,Milestones!$AA$111),"dd mmm yy"))&amp;" "&amp;Milestones!$AB$111&amp;" "&amp;Milestones!$AC$111&amp;";  ","")&amp;IF(AND(EDATE($D93,Milestones!$AA$112)&lt;=AsOfDate,IF($R93=0,$X93,IF(AND($T93&lt;&gt;"",EDATE($D93,Milestones!$AA$112)&gt;=$T93),$W93,IF(AND($S93&lt;&gt;"",EDATE($D93,Milestones!$AA$112)&gt;=$S93),$V93,$U93)))=Milestones!$AB$112),UPPER(TEXT(EDATE($D93,Milestones!$AA$112),"dd mmm yy"))&amp;" "&amp;Milestones!$AB$112&amp;" "&amp;Milestones!$AC$112&amp;";  ","")&amp;IF(AND(EDATE($D93,Milestones!$AA$113)&lt;=AsOfDate,IF($R93=0,$X93,IF(AND($T93&lt;&gt;"",EDATE($D93,Milestones!$AA$113)&gt;=$T93),$W93,IF(AND($S93&lt;&gt;"",EDATE($D93,Milestones!$AA$113)&gt;=$S93),$V93,$U93)))=Milestones!$AB$113),UPPER(TEXT(EDATE($D93,Milestones!$AA$113),"dd mmm yy"))&amp;" "&amp;Milestones!$AB$113&amp;" "&amp;Milestones!$AC$113&amp;";  ","")&amp;IF(AND(EDATE($D93,Milestones!$AA$114)&lt;=AsOfDate,IF($R93=0,$X93,IF(AND($T93&lt;&gt;"",EDATE($D93,Milestones!$AA$114)&gt;=$T93),$W93,IF(AND($S93&lt;&gt;"",EDATE($D93,Milestones!$AA$114)&gt;=$S93),$V93,$U93)))=Milestones!$AB$114),UPPER(TEXT(EDATE($D93,Milestones!$AA$114),"dd mmm yy"))&amp;" "&amp;Milestones!$AB$114&amp;" "&amp;Milestones!$AC$114&amp;";  ","")&amp;IF(AND(EDATE($D93,Milestones!$AA$115)&lt;=AsOfDate,IF($R93=0,$X93,IF(AND($T93&lt;&gt;"",EDATE($D93,Milestones!$AA$115)&gt;=$T93),$W93,IF(AND($S93&lt;&gt;"",EDATE($D93,Milestones!$AA$115)&gt;=$S93),$V93,$U93)))=Milestones!$AB$115),UPPER(TEXT(EDATE($D93,Milestones!$AA$115),"dd mmm yy"))&amp;" "&amp;Milestones!$AB$115&amp;" "&amp;Milestones!$AC$115&amp;";  ","")&amp;IF(AND(EDATE($D93,Milestones!$AA$116)&lt;=AsOfDate,IF($R93=0,$X93,IF(AND($T93&lt;&gt;"",EDATE($D93,Milestones!$AA$116)&gt;=$T93),$W93,IF(AND($S93&lt;&gt;"",EDATE($D93,Milestones!$AA$116)&gt;=$S93),$V93,$U93)))=Milestones!$AB$116),UPPER(TEXT(EDATE($D93,Milestones!$AA$116),"dd mmm yy"))&amp;" "&amp;Milestones!$AB$116&amp;" "&amp;Milestones!$AC$116&amp;";  ","")&amp;IF(AND(EDATE($D93,Milestones!$AA$117)&lt;=AsOfDate,IF($R93=0,$X93,IF(AND($T93&lt;&gt;"",EDATE($D93,Milestones!$AA$117)&gt;=$T93),$W93,IF(AND($S93&lt;&gt;"",EDATE($D93,Milestones!$AA$117)&gt;=$S93),$V93,$U93)))=Milestones!$AB$117),UPPER(TEXT(EDATE($D93,Milestones!$AA$117),"dd mmm yy"))&amp;" "&amp;Milestones!$AB$117&amp;" "&amp;Milestones!$AC$117&amp;";  ","")&amp;IF(AND(EDATE($D93,Milestones!$AA$118)&lt;=AsOfDate,IF($R93=0,$X93,IF(AND($T93&lt;&gt;"",EDATE($D93,Milestones!$AA$118)&gt;=$T93),$W93,IF(AND($S93&lt;&gt;"",EDATE($D93,Milestones!$AA$118)&gt;=$S93),$V93,$U93)))=Milestones!$AB$118),UPPER(TEXT(EDATE($D93,Milestones!$AA$118),"dd mmm yy"))&amp;" "&amp;Milestones!$AB$118&amp;" "&amp;Milestones!$AC$118&amp;";  ","")&amp;IF(AND(EDATE($D93,Milestones!$AA$119)&lt;=AsOfDate,IF($R93=0,$X93,IF(AND($T93&lt;&gt;"",EDATE($D93,Milestones!$AA$119)&gt;=$T93),$W93,IF(AND($S93&lt;&gt;"",EDATE($D93,Milestones!$AA$119)&gt;=$S93),$V93,$U93)))=Milestones!$AB$119),UPPER(TEXT(EDATE($D93,Milestones!$AA$119),"dd mmm yy"))&amp;" "&amp;Milestones!$AB$119&amp;" "&amp;Milestones!$AC$119&amp;";  ",""))</f>
        <v/>
      </c>
      <c r="N93" s="0" t="str">
        <f aca="false">IF(OR($A93="",$D93=""),"",IF(AND(EDATE($D93,Milestones!$AA$120)&lt;=AsOfDate,IF($R93=0,$X93,IF(AND($T93&lt;&gt;"",EDATE($D93,Milestones!$AA$120)&gt;=$T93),$W93,IF(AND($S93&lt;&gt;"",EDATE($D93,Milestones!$AA$120)&gt;=$S93),$V93,$U93)))=Milestones!$AB$120),UPPER(TEXT(EDATE($D93,Milestones!$AA$120),"dd mmm yy"))&amp;" "&amp;Milestones!$AB$120&amp;" "&amp;Milestones!$AC$120&amp;";  ","")&amp;IF(AND(EDATE($D93,Milestones!$AA$121)&lt;=AsOfDate,IF($R93=0,$X93,IF(AND($T93&lt;&gt;"",EDATE($D93,Milestones!$AA$121)&gt;=$T93),$W93,IF(AND($S93&lt;&gt;"",EDATE($D93,Milestones!$AA$121)&gt;=$S93),$V93,$U93)))=Milestones!$AB$121),UPPER(TEXT(EDATE($D93,Milestones!$AA$121),"dd mmm yy"))&amp;" "&amp;Milestones!$AB$121&amp;" "&amp;Milestones!$AC$121&amp;";  ","")&amp;IF(AND(EDATE($D93,Milestones!$AA$122)&lt;=AsOfDate,IF($R93=0,$X93,IF(AND($T93&lt;&gt;"",EDATE($D93,Milestones!$AA$122)&gt;=$T93),$W93,IF(AND($S93&lt;&gt;"",EDATE($D93,Milestones!$AA$122)&gt;=$S93),$V93,$U93)))=Milestones!$AB$122),UPPER(TEXT(EDATE($D93,Milestones!$AA$122),"dd mmm yy"))&amp;" "&amp;Milestones!$AB$122&amp;" "&amp;Milestones!$AC$122&amp;";  ","")&amp;IF(AND(EDATE($D93,Milestones!$AA$123)&lt;=AsOfDate,IF($R93=0,$X93,IF(AND($T93&lt;&gt;"",EDATE($D93,Milestones!$AA$123)&gt;=$T93),$W93,IF(AND($S93&lt;&gt;"",EDATE($D93,Milestones!$AA$123)&gt;=$S93),$V93,$U93)))=Milestones!$AB$123),UPPER(TEXT(EDATE($D93,Milestones!$AA$123),"dd mmm yy"))&amp;" "&amp;Milestones!$AB$123&amp;" "&amp;Milestones!$AC$123&amp;";  ","")&amp;IF(AND(EDATE($D93,Milestones!$AA$124)&lt;=AsOfDate,IF($R93=0,$X93,IF(AND($T93&lt;&gt;"",EDATE($D93,Milestones!$AA$124)&gt;=$T93),$W93,IF(AND($S93&lt;&gt;"",EDATE($D93,Milestones!$AA$124)&gt;=$S93),$V93,$U93)))=Milestones!$AB$124),UPPER(TEXT(EDATE($D93,Milestones!$AA$124),"dd mmm yy"))&amp;" "&amp;Milestones!$AB$124&amp;" "&amp;Milestones!$AC$124&amp;";  ","")&amp;IF(AND(EDATE($D93,Milestones!$AA$125)&lt;=AsOfDate,IF($R93=0,$X93,IF(AND($T93&lt;&gt;"",EDATE($D93,Milestones!$AA$125)&gt;=$T93),$W93,IF(AND($S93&lt;&gt;"",EDATE($D93,Milestones!$AA$125)&gt;=$S93),$V93,$U93)))=Milestones!$AB$125),UPPER(TEXT(EDATE($D93,Milestones!$AA$125),"dd mmm yy"))&amp;" "&amp;Milestones!$AB$125&amp;" "&amp;Milestones!$AC$125&amp;";  ","")&amp;IF(AND(EDATE($D93,Milestones!$AA$126)&lt;=AsOfDate,IF($R93=0,$X93,IF(AND($T93&lt;&gt;"",EDATE($D93,Milestones!$AA$126)&gt;=$T93),$W93,IF(AND($S93&lt;&gt;"",EDATE($D93,Milestones!$AA$126)&gt;=$S93),$V93,$U93)))=Milestones!$AB$126),UPPER(TEXT(EDATE($D93,Milestones!$AA$126),"dd mmm yy"))&amp;" "&amp;Milestones!$AB$126&amp;" "&amp;Milestones!$AC$126&amp;";  ","")&amp;IF(AND(EDATE($D93,Milestones!$AA$127)&lt;=AsOfDate,IF($R93=0,$X93,IF(AND($T93&lt;&gt;"",EDATE($D93,Milestones!$AA$127)&gt;=$T93),$W93,IF(AND($S93&lt;&gt;"",EDATE($D93,Milestones!$AA$127)&gt;=$S93),$V93,$U93)))=Milestones!$AB$127),UPPER(TEXT(EDATE($D93,Milestones!$AA$127),"dd mmm yy"))&amp;" "&amp;Milestones!$AB$127&amp;" "&amp;Milestones!$AC$127&amp;";  ","")&amp;IF(AND(EDATE($D93,Milestones!$AA$128)&lt;=AsOfDate,IF($R93=0,$X93,IF(AND($T93&lt;&gt;"",EDATE($D93,Milestones!$AA$128)&gt;=$T93),$W93,IF(AND($S93&lt;&gt;"",EDATE($D93,Milestones!$AA$128)&gt;=$S93),$V93,$U93)))=Milestones!$AB$128),UPPER(TEXT(EDATE($D93,Milestones!$AA$128),"dd mmm yy"))&amp;" "&amp;Milestones!$AB$128&amp;" "&amp;Milestones!$AC$128&amp;";  ","")&amp;IF(AND(EDATE($D93,Milestones!$AA$129)&lt;=AsOfDate,IF($R93=0,$X93,IF(AND($T93&lt;&gt;"",EDATE($D93,Milestones!$AA$129)&gt;=$T93),$W93,IF(AND($S93&lt;&gt;"",EDATE($D93,Milestones!$AA$129)&gt;=$S93),$V93,$U93)))=Milestones!$AB$129),UPPER(TEXT(EDATE($D93,Milestones!$AA$129),"dd mmm yy"))&amp;" "&amp;Milestones!$AB$129&amp;" "&amp;Milestones!$AC$129&amp;";  ","")&amp;IF(AND(EDATE($D93,Milestones!$AA$130)&lt;=AsOfDate,IF($R93=0,$X93,IF(AND($T93&lt;&gt;"",EDATE($D93,Milestones!$AA$130)&gt;=$T93),$W93,IF(AND($S93&lt;&gt;"",EDATE($D93,Milestones!$AA$130)&gt;=$S93),$V93,$U93)))=Milestones!$AB$130),UPPER(TEXT(EDATE($D93,Milestones!$AA$130),"dd mmm yy"))&amp;" "&amp;Milestones!$AB$130&amp;" "&amp;Milestones!$AC$130&amp;";  ","")&amp;IF(AND(EDATE($D93,Milestones!$AA$131)&lt;=AsOfDate,IF($R93=0,$X93,IF(AND($T93&lt;&gt;"",EDATE($D93,Milestones!$AA$131)&gt;=$T93),$W93,IF(AND($S93&lt;&gt;"",EDATE($D93,Milestones!$AA$131)&gt;=$S93),$V93,$U93)))=Milestones!$AB$131),UPPER(TEXT(EDATE($D93,Milestones!$AA$131),"dd mmm yy"))&amp;" "&amp;Milestones!$AB$131&amp;" "&amp;Milestones!$AC$131&amp;";  ","")&amp;IF(AND(EDATE($D93,Milestones!$AA$132)&lt;=AsOfDate,IF($R93=0,$X93,IF(AND($T93&lt;&gt;"",EDATE($D93,Milestones!$AA$132)&gt;=$T93),$W93,IF(AND($S93&lt;&gt;"",EDATE($D93,Milestones!$AA$132)&gt;=$S93),$V93,$U93)))=Milestones!$AB$132),UPPER(TEXT(EDATE($D93,Milestones!$AA$132),"dd mmm yy"))&amp;" "&amp;Milestones!$AB$132&amp;" "&amp;Milestones!$AC$132&amp;";  ","")&amp;IF(AND(EDATE($D93,Milestones!$AA$133)&lt;=AsOfDate,IF($R93=0,$X93,IF(AND($T93&lt;&gt;"",EDATE($D93,Milestones!$AA$133)&gt;=$T93),$W93,IF(AND($S93&lt;&gt;"",EDATE($D93,Milestones!$AA$133)&gt;=$S93),$V93,$U93)))=Milestones!$AB$133),UPPER(TEXT(EDATE($D93,Milestones!$AA$133),"dd mmm yy"))&amp;" "&amp;Milestones!$AB$133&amp;" "&amp;Milestones!$AC$133&amp;";  ","")&amp;IF(AND(EDATE($D93,Milestones!$AA$134)&lt;=AsOfDate,IF($R93=0,$X93,IF(AND($T93&lt;&gt;"",EDATE($D93,Milestones!$AA$134)&gt;=$T93),$W93,IF(AND($S93&lt;&gt;"",EDATE($D93,Milestones!$AA$134)&gt;=$S93),$V93,$U93)))=Milestones!$AB$134),UPPER(TEXT(EDATE($D93,Milestones!$AA$134),"dd mmm yy"))&amp;" "&amp;Milestones!$AB$134&amp;" "&amp;Milestones!$AC$134&amp;";  ","")&amp;IF(AND(EDATE($D93,Milestones!$AA$135)&lt;=AsOfDate,IF($R93=0,$X93,IF(AND($T93&lt;&gt;"",EDATE($D93,Milestones!$AA$135)&gt;=$T93),$W93,IF(AND($S93&lt;&gt;"",EDATE($D93,Milestones!$AA$135)&gt;=$S93),$V93,$U93)))=Milestones!$AB$135),UPPER(TEXT(EDATE($D93,Milestones!$AA$135),"dd mmm yy"))&amp;" "&amp;Milestones!$AB$135&amp;" "&amp;Milestones!$AC$135&amp;";  ","")&amp;IF(AND(EDATE($D93,Milestones!$AA$136)&lt;=AsOfDate,IF($R93=0,$X93,IF(AND($T93&lt;&gt;"",EDATE($D93,Milestones!$AA$136)&gt;=$T93),$W93,IF(AND($S93&lt;&gt;"",EDATE($D93,Milestones!$AA$136)&gt;=$S93),$V93,$U93)))=Milestones!$AB$136),UPPER(TEXT(EDATE($D93,Milestones!$AA$136),"dd mmm yy"))&amp;" "&amp;Milestones!$AB$136&amp;" "&amp;Milestones!$AC$136&amp;";  ","")&amp;IF(AND(EDATE($D93,Milestones!$AA$137)&lt;=AsOfDate,IF($R93=0,$X93,IF(AND($T93&lt;&gt;"",EDATE($D93,Milestones!$AA$137)&gt;=$T93),$W93,IF(AND($S93&lt;&gt;"",EDATE($D93,Milestones!$AA$137)&gt;=$S93),$V93,$U93)))=Milestones!$AB$137),UPPER(TEXT(EDATE($D93,Milestones!$AA$137),"dd mmm yy"))&amp;" "&amp;Milestones!$AB$137&amp;" "&amp;Milestones!$AC$137&amp;";  ","")&amp;IF(AND(EDATE($D93,Milestones!$AA$138)&lt;=AsOfDate,IF($R93=0,$X93,IF(AND($T93&lt;&gt;"",EDATE($D93,Milestones!$AA$138)&gt;=$T93),$W93,IF(AND($S93&lt;&gt;"",EDATE($D93,Milestones!$AA$138)&gt;=$S93),$V93,$U93)))=Milestones!$AB$138),UPPER(TEXT(EDATE($D93,Milestones!$AA$138),"dd mmm yy"))&amp;" "&amp;Milestones!$AB$138&amp;" "&amp;Milestones!$AC$138&amp;";  ","")&amp;IF(AND(EDATE($D93,Milestones!$AA$139)&lt;=AsOfDate,IF($R93=0,$X93,IF(AND($T93&lt;&gt;"",EDATE($D93,Milestones!$AA$139)&gt;=$T93),$W93,IF(AND($S93&lt;&gt;"",EDATE($D93,Milestones!$AA$139)&gt;=$S93),$V93,$U93)))=Milestones!$AB$139),UPPER(TEXT(EDATE($D93,Milestones!$AA$139),"dd mmm yy"))&amp;" "&amp;Milestones!$AB$139&amp;" "&amp;Milestones!$AC$139&amp;";  ",""))</f>
        <v/>
      </c>
      <c r="O93" s="0" t="str">
        <f aca="false">IF(OR($A93="",$D93=""),"",IF(AND(EDATE($D93,Milestones!$AA$140)&lt;=AsOfDate,IF($R93=0,$X93,IF(AND($T93&lt;&gt;"",EDATE($D93,Milestones!$AA$140)&gt;=$T93),$W93,IF(AND($S93&lt;&gt;"",EDATE($D93,Milestones!$AA$140)&gt;=$S93),$V93,$U93)))=Milestones!$AB$140),UPPER(TEXT(EDATE($D93,Milestones!$AA$140),"dd mmm yy"))&amp;" "&amp;Milestones!$AB$140&amp;" "&amp;Milestones!$AC$140&amp;";  ","")&amp;IF(AND(EDATE($D93,Milestones!$AA$141)&lt;=AsOfDate,IF($R93=0,$X93,IF(AND($T93&lt;&gt;"",EDATE($D93,Milestones!$AA$141)&gt;=$T93),$W93,IF(AND($S93&lt;&gt;"",EDATE($D93,Milestones!$AA$141)&gt;=$S93),$V93,$U93)))=Milestones!$AB$141),UPPER(TEXT(EDATE($D93,Milestones!$AA$141),"dd mmm yy"))&amp;" "&amp;Milestones!$AB$141&amp;" "&amp;Milestones!$AC$141&amp;";  ","")&amp;IF(AND(EDATE($D93,Milestones!$AA$142)&lt;=AsOfDate,IF($R93=0,$X93,IF(AND($T93&lt;&gt;"",EDATE($D93,Milestones!$AA$142)&gt;=$T93),$W93,IF(AND($S93&lt;&gt;"",EDATE($D93,Milestones!$AA$142)&gt;=$S93),$V93,$U93)))=Milestones!$AB$142),UPPER(TEXT(EDATE($D93,Milestones!$AA$142),"dd mmm yy"))&amp;" "&amp;Milestones!$AB$142&amp;" "&amp;Milestones!$AC$142&amp;";  ","")&amp;IF(AND(EDATE($D93,Milestones!$AA$143)&lt;=AsOfDate,IF($R93=0,$X93,IF(AND($T93&lt;&gt;"",EDATE($D93,Milestones!$AA$143)&gt;=$T93),$W93,IF(AND($S93&lt;&gt;"",EDATE($D93,Milestones!$AA$143)&gt;=$S93),$V93,$U93)))=Milestones!$AB$143),UPPER(TEXT(EDATE($D93,Milestones!$AA$143),"dd mmm yy"))&amp;" "&amp;Milestones!$AB$143&amp;" "&amp;Milestones!$AC$143&amp;";  ","")&amp;IF(AND(EDATE($D93,Milestones!$AA$144)&lt;=AsOfDate,IF($R93=0,$X93,IF(AND($T93&lt;&gt;"",EDATE($D93,Milestones!$AA$144)&gt;=$T93),$W93,IF(AND($S93&lt;&gt;"",EDATE($D93,Milestones!$AA$144)&gt;=$S93),$V93,$U93)))=Milestones!$AB$144),UPPER(TEXT(EDATE($D93,Milestones!$AA$144),"dd mmm yy"))&amp;" "&amp;Milestones!$AB$144&amp;" "&amp;Milestones!$AC$144&amp;";  ","")&amp;IF(AND(EDATE($D93,Milestones!$AA$145)&lt;=AsOfDate,IF($R93=0,$X93,IF(AND($T93&lt;&gt;"",EDATE($D93,Milestones!$AA$145)&gt;=$T93),$W93,IF(AND($S93&lt;&gt;"",EDATE($D93,Milestones!$AA$145)&gt;=$S93),$V93,$U93)))=Milestones!$AB$145),UPPER(TEXT(EDATE($D93,Milestones!$AA$145),"dd mmm yy"))&amp;" "&amp;Milestones!$AB$145&amp;" "&amp;Milestones!$AC$145&amp;";  ","")&amp;IF(AND(EDATE($D93,Milestones!$AA$146)&lt;=AsOfDate,IF($R93=0,$X93,IF(AND($T93&lt;&gt;"",EDATE($D93,Milestones!$AA$146)&gt;=$T93),$W93,IF(AND($S93&lt;&gt;"",EDATE($D93,Milestones!$AA$146)&gt;=$S93),$V93,$U93)))=Milestones!$AB$146),UPPER(TEXT(EDATE($D93,Milestones!$AA$146),"dd mmm yy"))&amp;" "&amp;Milestones!$AB$146&amp;" "&amp;Milestones!$AC$146&amp;";  ","")&amp;IF(AND(EDATE($D93,Milestones!$AA$147)&lt;=AsOfDate,IF($R93=0,$X93,IF(AND($T93&lt;&gt;"",EDATE($D93,Milestones!$AA$147)&gt;=$T93),$W93,IF(AND($S93&lt;&gt;"",EDATE($D93,Milestones!$AA$147)&gt;=$S93),$V93,$U93)))=Milestones!$AB$147),UPPER(TEXT(EDATE($D93,Milestones!$AA$147),"dd mmm yy"))&amp;" "&amp;Milestones!$AB$147&amp;" "&amp;Milestones!$AC$147&amp;";  ","")&amp;IF(AND(EDATE($D93,Milestones!$AA$148)&lt;=AsOfDate,IF($R93=0,$X93,IF(AND($T93&lt;&gt;"",EDATE($D93,Milestones!$AA$148)&gt;=$T93),$W93,IF(AND($S93&lt;&gt;"",EDATE($D93,Milestones!$AA$148)&gt;=$S93),$V93,$U93)))=Milestones!$AB$148),UPPER(TEXT(EDATE($D93,Milestones!$AA$148),"dd mmm yy"))&amp;" "&amp;Milestones!$AB$148&amp;" "&amp;Milestones!$AC$148&amp;";  ","")&amp;IF(AND(EDATE($D93,Milestones!$AA$149)&lt;=AsOfDate,IF($R93=0,$X93,IF(AND($T93&lt;&gt;"",EDATE($D93,Milestones!$AA$149)&gt;=$T93),$W93,IF(AND($S93&lt;&gt;"",EDATE($D93,Milestones!$AA$149)&gt;=$S93),$V93,$U93)))=Milestones!$AB$149),UPPER(TEXT(EDATE($D93,Milestones!$AA$149),"dd mmm yy"))&amp;" "&amp;Milestones!$AB$149&amp;" "&amp;Milestones!$AC$149&amp;";  ","")&amp;IF(AND(EDATE($D93,Milestones!$AA$150)&lt;=AsOfDate,IF($R93=0,$X93,IF(AND($T93&lt;&gt;"",EDATE($D93,Milestones!$AA$150)&gt;=$T93),$W93,IF(AND($S93&lt;&gt;"",EDATE($D93,Milestones!$AA$150)&gt;=$S93),$V93,$U93)))=Milestones!$AB$150),UPPER(TEXT(EDATE($D93,Milestones!$AA$150),"dd mmm yy"))&amp;" "&amp;Milestones!$AB$150&amp;" "&amp;Milestones!$AC$150&amp;";  ","")&amp;IF(AND(EDATE($D93,Milestones!$AA$151)&lt;=AsOfDate,IF($R93=0,$X93,IF(AND($T93&lt;&gt;"",EDATE($D93,Milestones!$AA$151)&gt;=$T93),$W93,IF(AND($S93&lt;&gt;"",EDATE($D93,Milestones!$AA$151)&gt;=$S93),$V93,$U93)))=Milestones!$AB$151),UPPER(TEXT(EDATE($D93,Milestones!$AA$151),"dd mmm yy"))&amp;" "&amp;Milestones!$AB$151&amp;" "&amp;Milestones!$AC$151&amp;";  ","")&amp;IF(AND(EDATE($D93,Milestones!$AA$152)&lt;=AsOfDate,IF($R93=0,$X93,IF(AND($T93&lt;&gt;"",EDATE($D93,Milestones!$AA$152)&gt;=$T93),$W93,IF(AND($S93&lt;&gt;"",EDATE($D93,Milestones!$AA$152)&gt;=$S93),$V93,$U93)))=Milestones!$AB$152),UPPER(TEXT(EDATE($D93,Milestones!$AA$152),"dd mmm yy"))&amp;" "&amp;Milestones!$AB$152&amp;" "&amp;Milestones!$AC$152&amp;";  ","")&amp;IF(AND(EDATE($D93,Milestones!$AA$153)&lt;=AsOfDate,IF($R93=0,$X93,IF(AND($T93&lt;&gt;"",EDATE($D93,Milestones!$AA$153)&gt;=$T93),$W93,IF(AND($S93&lt;&gt;"",EDATE($D93,Milestones!$AA$153)&gt;=$S93),$V93,$U93)))=Milestones!$AB$153),UPPER(TEXT(EDATE($D93,Milestones!$AA$153),"dd mmm yy"))&amp;" "&amp;Milestones!$AB$153&amp;" "&amp;Milestones!$AC$153&amp;";  ","")&amp;IF(AND(EDATE($D93,Milestones!$AA$154)&lt;=AsOfDate,IF($R93=0,$X93,IF(AND($T93&lt;&gt;"",EDATE($D93,Milestones!$AA$154)&gt;=$T93),$W93,IF(AND($S93&lt;&gt;"",EDATE($D93,Milestones!$AA$154)&gt;=$S93),$V93,$U93)))=Milestones!$AB$154),UPPER(TEXT(EDATE($D93,Milestones!$AA$154),"dd mmm yy"))&amp;" "&amp;Milestones!$AB$154&amp;" "&amp;Milestones!$AC$154&amp;";  ","")&amp;IF(AND(EDATE($D93,Milestones!$AA$155)&lt;=AsOfDate,IF($R93=0,$X93,IF(AND($T93&lt;&gt;"",EDATE($D93,Milestones!$AA$155)&gt;=$T93),$W93,IF(AND($S93&lt;&gt;"",EDATE($D93,Milestones!$AA$155)&gt;=$S93),$V93,$U93)))=Milestones!$AB$155),UPPER(TEXT(EDATE($D93,Milestones!$AA$155),"dd mmm yy"))&amp;" "&amp;Milestones!$AB$155&amp;" "&amp;Milestones!$AC$155&amp;";  ","")&amp;IF(AND(EDATE($D93,Milestones!$AA$156)&lt;=AsOfDate,IF($R93=0,$X93,IF(AND($T93&lt;&gt;"",EDATE($D93,Milestones!$AA$156)&gt;=$T93),$W93,IF(AND($S93&lt;&gt;"",EDATE($D93,Milestones!$AA$156)&gt;=$S93),$V93,$U93)))=Milestones!$AB$156),UPPER(TEXT(EDATE($D93,Milestones!$AA$156),"dd mmm yy"))&amp;" "&amp;Milestones!$AB$156&amp;" "&amp;Milestones!$AC$156&amp;";  ","")&amp;IF(AND(EDATE($D93,Milestones!$AA$157)&lt;=AsOfDate,IF($R93=0,$X93,IF(AND($T93&lt;&gt;"",EDATE($D93,Milestones!$AA$157)&gt;=$T93),$W93,IF(AND($S93&lt;&gt;"",EDATE($D93,Milestones!$AA$157)&gt;=$S93),$V93,$U93)))=Milestones!$AB$157),UPPER(TEXT(EDATE($D93,Milestones!$AA$157),"dd mmm yy"))&amp;" "&amp;Milestones!$AB$157&amp;" "&amp;Milestones!$AC$157&amp;";  ","")&amp;IF(AND(EDATE($D93,Milestones!$AA$158)&lt;=AsOfDate,IF($R93=0,$X93,IF(AND($T93&lt;&gt;"",EDATE($D93,Milestones!$AA$158)&gt;=$T93),$W93,IF(AND($S93&lt;&gt;"",EDATE($D93,Milestones!$AA$158)&gt;=$S93),$V93,$U93)))=Milestones!$AB$158),UPPER(TEXT(EDATE($D93,Milestones!$AA$158),"dd mmm yy"))&amp;" "&amp;Milestones!$AB$158&amp;" "&amp;Milestones!$AC$158&amp;";  ","")&amp;IF(AND(EDATE($D93,Milestones!$AA$159)&lt;=AsOfDate,IF($R93=0,$X93,IF(AND($T93&lt;&gt;"",EDATE($D93,Milestones!$AA$159)&gt;=$T93),$W93,IF(AND($S93&lt;&gt;"",EDATE($D93,Milestones!$AA$159)&gt;=$S93),$V93,$U93)))=Milestones!$AB$159),UPPER(TEXT(EDATE($D93,Milestones!$AA$159),"dd mmm yy"))&amp;" "&amp;Milestones!$AB$159&amp;" "&amp;Milestones!$AC$159&amp;";  ",""))</f>
        <v/>
      </c>
      <c r="P93" s="0" t="str">
        <f aca="false">IF(OR($A93="",$D93=""),"",IF(AND(EDATE($D93,Milestones!$AA$160)&lt;=AsOfDate,IF($R93=0,$X93,IF(AND($T93&lt;&gt;"",EDATE($D93,Milestones!$AA$160)&gt;=$T93),$W93,IF(AND($S93&lt;&gt;"",EDATE($D93,Milestones!$AA$160)&gt;=$S93),$V93,$U93)))=Milestones!$AB$160),UPPER(TEXT(EDATE($D93,Milestones!$AA$160),"dd mmm yy"))&amp;" "&amp;Milestones!$AB$160&amp;" "&amp;Milestones!$AC$160&amp;";  ","")&amp;IF(AND(EDATE($D93,Milestones!$AA$161)&lt;=AsOfDate,IF($R93=0,$X93,IF(AND($T93&lt;&gt;"",EDATE($D93,Milestones!$AA$161)&gt;=$T93),$W93,IF(AND($S93&lt;&gt;"",EDATE($D93,Milestones!$AA$161)&gt;=$S93),$V93,$U93)))=Milestones!$AB$161),UPPER(TEXT(EDATE($D93,Milestones!$AA$161),"dd mmm yy"))&amp;" "&amp;Milestones!$AB$161&amp;" "&amp;Milestones!$AC$161&amp;";  ","")&amp;IF(AND(EDATE($D93,Milestones!$AA$162)&lt;=AsOfDate,IF($R93=0,$X93,IF(AND($T93&lt;&gt;"",EDATE($D93,Milestones!$AA$162)&gt;=$T93),$W93,IF(AND($S93&lt;&gt;"",EDATE($D93,Milestones!$AA$162)&gt;=$S93),$V93,$U93)))=Milestones!$AB$162),UPPER(TEXT(EDATE($D93,Milestones!$AA$162),"dd mmm yy"))&amp;" "&amp;Milestones!$AB$162&amp;" "&amp;Milestones!$AC$162&amp;";  ","")&amp;IF(AND(EDATE($D93,Milestones!$AA$163)&lt;=AsOfDate,IF($R93=0,$X93,IF(AND($T93&lt;&gt;"",EDATE($D93,Milestones!$AA$163)&gt;=$T93),$W93,IF(AND($S93&lt;&gt;"",EDATE($D93,Milestones!$AA$163)&gt;=$S93),$V93,$U93)))=Milestones!$AB$163),UPPER(TEXT(EDATE($D93,Milestones!$AA$163),"dd mmm yy"))&amp;" "&amp;Milestones!$AB$163&amp;" "&amp;Milestones!$AC$163&amp;";  ","")&amp;IF(AND(EDATE($D93,Milestones!$AA$164)&lt;=AsOfDate,IF($R93=0,$X93,IF(AND($T93&lt;&gt;"",EDATE($D93,Milestones!$AA$164)&gt;=$T93),$W93,IF(AND($S93&lt;&gt;"",EDATE($D93,Milestones!$AA$164)&gt;=$S93),$V93,$U93)))=Milestones!$AB$164),UPPER(TEXT(EDATE($D93,Milestones!$AA$164),"dd mmm yy"))&amp;" "&amp;Milestones!$AB$164&amp;" "&amp;Milestones!$AC$164&amp;";  ","")&amp;IF(AND(EDATE($D93,Milestones!$AA$165)&lt;=AsOfDate,IF($R93=0,$X93,IF(AND($T93&lt;&gt;"",EDATE($D93,Milestones!$AA$165)&gt;=$T93),$W93,IF(AND($S93&lt;&gt;"",EDATE($D93,Milestones!$AA$165)&gt;=$S93),$V93,$U93)))=Milestones!$AB$165),UPPER(TEXT(EDATE($D93,Milestones!$AA$165),"dd mmm yy"))&amp;" "&amp;Milestones!$AB$165&amp;" "&amp;Milestones!$AC$165&amp;";  ","")&amp;IF(AND(EDATE($D93,Milestones!$AA$166)&lt;=AsOfDate,IF($R93=0,$X93,IF(AND($T93&lt;&gt;"",EDATE($D93,Milestones!$AA$166)&gt;=$T93),$W93,IF(AND($S93&lt;&gt;"",EDATE($D93,Milestones!$AA$166)&gt;=$S93),$V93,$U93)))=Milestones!$AB$166),UPPER(TEXT(EDATE($D93,Milestones!$AA$166),"dd mmm yy"))&amp;" "&amp;Milestones!$AB$166&amp;" "&amp;Milestones!$AC$166&amp;";  ","")&amp;IF(AND(EDATE($D93,Milestones!$AA$167)&lt;=AsOfDate,IF($R93=0,$X93,IF(AND($T93&lt;&gt;"",EDATE($D93,Milestones!$AA$167)&gt;=$T93),$W93,IF(AND($S93&lt;&gt;"",EDATE($D93,Milestones!$AA$167)&gt;=$S93),$V93,$U93)))=Milestones!$AB$167),UPPER(TEXT(EDATE($D93,Milestones!$AA$167),"dd mmm yy"))&amp;" "&amp;Milestones!$AB$167&amp;" "&amp;Milestones!$AC$167&amp;";  ","")&amp;IF(AND(EDATE($D93,Milestones!$AA$168)&lt;=AsOfDate,IF($R93=0,$X93,IF(AND($T93&lt;&gt;"",EDATE($D93,Milestones!$AA$168)&gt;=$T93),$W93,IF(AND($S93&lt;&gt;"",EDATE($D93,Milestones!$AA$168)&gt;=$S93),$V93,$U93)))=Milestones!$AB$168),UPPER(TEXT(EDATE($D93,Milestones!$AA$168),"dd mmm yy"))&amp;" "&amp;Milestones!$AB$168&amp;" "&amp;Milestones!$AC$168&amp;";  ","")&amp;IF(AND(EDATE($D93,Milestones!$AA$169)&lt;=AsOfDate,IF($R93=0,$X93,IF(AND($T93&lt;&gt;"",EDATE($D93,Milestones!$AA$169)&gt;=$T93),$W93,IF(AND($S93&lt;&gt;"",EDATE($D93,Milestones!$AA$169)&gt;=$S93),$V93,$U93)))=Milestones!$AB$169),UPPER(TEXT(EDATE($D93,Milestones!$AA$169),"dd mmm yy"))&amp;" "&amp;Milestones!$AB$169&amp;" "&amp;Milestones!$AC$169&amp;";  ","")&amp;IF(AND(EDATE($D93,Milestones!$AA$170)&lt;=AsOfDate,IF($R93=0,$X93,IF(AND($T93&lt;&gt;"",EDATE($D93,Milestones!$AA$170)&gt;=$T93),$W93,IF(AND($S93&lt;&gt;"",EDATE($D93,Milestones!$AA$170)&gt;=$S93),$V93,$U93)))=Milestones!$AB$170),UPPER(TEXT(EDATE($D93,Milestones!$AA$170),"dd mmm yy"))&amp;" "&amp;Milestones!$AB$170&amp;" "&amp;Milestones!$AC$170&amp;";  ","")&amp;IF(AND(EDATE($D93,Milestones!$AA$171)&lt;=AsOfDate,IF($R93=0,$X93,IF(AND($T93&lt;&gt;"",EDATE($D93,Milestones!$AA$171)&gt;=$T93),$W93,IF(AND($S93&lt;&gt;"",EDATE($D93,Milestones!$AA$171)&gt;=$S93),$V93,$U93)))=Milestones!$AB$171),UPPER(TEXT(EDATE($D93,Milestones!$AA$171),"dd mmm yy"))&amp;" "&amp;Milestones!$AB$171&amp;" "&amp;Milestones!$AC$171&amp;";  ","")&amp;IF(AND(EDATE($D93,Milestones!$AA$172)&lt;=AsOfDate,IF($R93=0,$X93,IF(AND($T93&lt;&gt;"",EDATE($D93,Milestones!$AA$172)&gt;=$T93),$W93,IF(AND($S93&lt;&gt;"",EDATE($D93,Milestones!$AA$172)&gt;=$S93),$V93,$U93)))=Milestones!$AB$172),UPPER(TEXT(EDATE($D93,Milestones!$AA$172),"dd mmm yy"))&amp;" "&amp;Milestones!$AB$172&amp;" "&amp;Milestones!$AC$172&amp;";  ","")&amp;IF(AND(EDATE($D93,Milestones!$AA$173)&lt;=AsOfDate,IF($R93=0,$X93,IF(AND($T93&lt;&gt;"",EDATE($D93,Milestones!$AA$173)&gt;=$T93),$W93,IF(AND($S93&lt;&gt;"",EDATE($D93,Milestones!$AA$173)&gt;=$S93),$V93,$U93)))=Milestones!$AB$173),UPPER(TEXT(EDATE($D93,Milestones!$AA$173),"dd mmm yy"))&amp;" "&amp;Milestones!$AB$173&amp;" "&amp;Milestones!$AC$173&amp;";  ","")&amp;IF(AND(EDATE($D93,Milestones!$AA$174)&lt;=AsOfDate,IF($R93=0,$X93,IF(AND($T93&lt;&gt;"",EDATE($D93,Milestones!$AA$174)&gt;=$T93),$W93,IF(AND($S93&lt;&gt;"",EDATE($D93,Milestones!$AA$174)&gt;=$S93),$V93,$U93)))=Milestones!$AB$174),UPPER(TEXT(EDATE($D93,Milestones!$AA$174),"dd mmm yy"))&amp;" "&amp;Milestones!$AB$174&amp;" "&amp;Milestones!$AC$174&amp;";  ","")&amp;IF(AND(EDATE($D93,Milestones!$AA$175)&lt;=AsOfDate,IF($R93=0,$X93,IF(AND($T93&lt;&gt;"",EDATE($D93,Milestones!$AA$175)&gt;=$T93),$W93,IF(AND($S93&lt;&gt;"",EDATE($D93,Milestones!$AA$175)&gt;=$S93),$V93,$U93)))=Milestones!$AB$175),UPPER(TEXT(EDATE($D93,Milestones!$AA$175),"dd mmm yy"))&amp;" "&amp;Milestones!$AB$175&amp;" "&amp;Milestones!$AC$175&amp;";  ","")&amp;IF(AND(EDATE($D93,Milestones!$AA$176)&lt;=AsOfDate,IF($R93=0,$X93,IF(AND($T93&lt;&gt;"",EDATE($D93,Milestones!$AA$176)&gt;=$T93),$W93,IF(AND($S93&lt;&gt;"",EDATE($D93,Milestones!$AA$176)&gt;=$S93),$V93,$U93)))=Milestones!$AB$176),UPPER(TEXT(EDATE($D93,Milestones!$AA$176),"dd mmm yy"))&amp;" "&amp;Milestones!$AB$176&amp;" "&amp;Milestones!$AC$176&amp;";  ","")&amp;IF(AND(EDATE($D93,Milestones!$AA$177)&lt;=AsOfDate,IF($R93=0,$X93,IF(AND($T93&lt;&gt;"",EDATE($D93,Milestones!$AA$177)&gt;=$T93),$W93,IF(AND($S93&lt;&gt;"",EDATE($D93,Milestones!$AA$177)&gt;=$S93),$V93,$U93)))=Milestones!$AB$177),UPPER(TEXT(EDATE($D93,Milestones!$AA$177),"dd mmm yy"))&amp;" "&amp;Milestones!$AB$177&amp;" "&amp;Milestones!$AC$177&amp;";  ","")&amp;IF(AND(EDATE($D93,Milestones!$AA$178)&lt;=AsOfDate,IF($R93=0,$X93,IF(AND($T93&lt;&gt;"",EDATE($D93,Milestones!$AA$178)&gt;=$T93),$W93,IF(AND($S93&lt;&gt;"",EDATE($D93,Milestones!$AA$178)&gt;=$S93),$V93,$U93)))=Milestones!$AB$178),UPPER(TEXT(EDATE($D93,Milestones!$AA$178),"dd mmm yy"))&amp;" "&amp;Milestones!$AB$178&amp;" "&amp;Milestones!$AC$178&amp;";  ","")&amp;IF(AND(EDATE($D93,Milestones!$AA$179)&lt;=AsOfDate,IF($R93=0,$X93,IF(AND($T93&lt;&gt;"",EDATE($D93,Milestones!$AA$179)&gt;=$T93),$W93,IF(AND($S93&lt;&gt;"",EDATE($D93,Milestones!$AA$179)&gt;=$S93),$V93,$U93)))=Milestones!$AB$179),UPPER(TEXT(EDATE($D93,Milestones!$AA$179),"dd mmm yy"))&amp;" "&amp;Milestones!$AB$179&amp;" "&amp;Milestones!$AC$179&amp;";  ",""))</f>
        <v/>
      </c>
      <c r="Q93" s="0" t="str">
        <f aca="false">IF(OR($A93="",$D93=""),"",IF(AND(EDATE($D93,Milestones!$AA$180)&lt;=AsOfDate,IF($R93=0,$X93,IF(AND($T93&lt;&gt;"",EDATE($D93,Milestones!$AA$180)&gt;=$T93),$W93,IF(AND($S93&lt;&gt;"",EDATE($D93,Milestones!$AA$180)&gt;=$S93),$V93,$U93)))=Milestones!$AB$180),UPPER(TEXT(EDATE($D93,Milestones!$AA$180),"dd mmm yy"))&amp;" "&amp;Milestones!$AB$180&amp;" "&amp;Milestones!$AC$180&amp;";  ","")&amp;IF(AND(EDATE($D93,Milestones!$AA$181)&lt;=AsOfDate,IF($R93=0,$X93,IF(AND($T93&lt;&gt;"",EDATE($D93,Milestones!$AA$181)&gt;=$T93),$W93,IF(AND($S93&lt;&gt;"",EDATE($D93,Milestones!$AA$181)&gt;=$S93),$V93,$U93)))=Milestones!$AB$181),UPPER(TEXT(EDATE($D93,Milestones!$AA$181),"dd mmm yy"))&amp;" "&amp;Milestones!$AB$181&amp;" "&amp;Milestones!$AC$181&amp;";  ","")&amp;IF(AND(EDATE($D93,Milestones!$AA$182)&lt;=AsOfDate,IF($R93=0,$X93,IF(AND($T93&lt;&gt;"",EDATE($D93,Milestones!$AA$182)&gt;=$T93),$W93,IF(AND($S93&lt;&gt;"",EDATE($D93,Milestones!$AA$182)&gt;=$S93),$V93,$U93)))=Milestones!$AB$182),UPPER(TEXT(EDATE($D93,Milestones!$AA$182),"dd mmm yy"))&amp;" "&amp;Milestones!$AB$182&amp;" "&amp;Milestones!$AC$182&amp;";  ","")&amp;IF(AND(EDATE($D93,Milestones!$AA$183)&lt;=AsOfDate,IF($R93=0,$X93,IF(AND($T93&lt;&gt;"",EDATE($D93,Milestones!$AA$183)&gt;=$T93),$W93,IF(AND($S93&lt;&gt;"",EDATE($D93,Milestones!$AA$183)&gt;=$S93),$V93,$U93)))=Milestones!$AB$183),UPPER(TEXT(EDATE($D93,Milestones!$AA$183),"dd mmm yy"))&amp;" "&amp;Milestones!$AB$183&amp;" "&amp;Milestones!$AC$183&amp;";  ","")&amp;IF(AND(EDATE($D93,Milestones!$AA$184)&lt;=AsOfDate,IF($R93=0,$X93,IF(AND($T93&lt;&gt;"",EDATE($D93,Milestones!$AA$184)&gt;=$T93),$W93,IF(AND($S93&lt;&gt;"",EDATE($D93,Milestones!$AA$184)&gt;=$S93),$V93,$U93)))=Milestones!$AB$184),UPPER(TEXT(EDATE($D93,Milestones!$AA$184),"dd mmm yy"))&amp;" "&amp;Milestones!$AB$184&amp;" "&amp;Milestones!$AC$184&amp;";  ","")&amp;IF(AND(EDATE($D93,Milestones!$AA$185)&lt;=AsOfDate,IF($R93=0,$X93,IF(AND($T93&lt;&gt;"",EDATE($D93,Milestones!$AA$185)&gt;=$T93),$W93,IF(AND($S93&lt;&gt;"",EDATE($D93,Milestones!$AA$185)&gt;=$S93),$V93,$U93)))=Milestones!$AB$185),UPPER(TEXT(EDATE($D93,Milestones!$AA$185),"dd mmm yy"))&amp;" "&amp;Milestones!$AB$185&amp;" "&amp;Milestones!$AC$185&amp;";  ","")&amp;IF(AND(EDATE($D93,Milestones!$AA$186)&lt;=AsOfDate,IF($R93=0,$X93,IF(AND($T93&lt;&gt;"",EDATE($D93,Milestones!$AA$186)&gt;=$T93),$W93,IF(AND($S93&lt;&gt;"",EDATE($D93,Milestones!$AA$186)&gt;=$S93),$V93,$U93)))=Milestones!$AB$186),UPPER(TEXT(EDATE($D93,Milestones!$AA$186),"dd mmm yy"))&amp;" "&amp;Milestones!$AB$186&amp;" "&amp;Milestones!$AC$186&amp;";  ","")&amp;IF(AND(EDATE($D93,Milestones!$AA$187)&lt;=AsOfDate,IF($R93=0,$X93,IF(AND($T93&lt;&gt;"",EDATE($D93,Milestones!$AA$187)&gt;=$T93),$W93,IF(AND($S93&lt;&gt;"",EDATE($D93,Milestones!$AA$187)&gt;=$S93),$V93,$U93)))=Milestones!$AB$187),UPPER(TEXT(EDATE($D93,Milestones!$AA$187),"dd mmm yy"))&amp;" "&amp;Milestones!$AB$187&amp;" "&amp;Milestones!$AC$187&amp;";  ","")&amp;IF(AND(EDATE($D93,Milestones!$AA$188)&lt;=AsOfDate,IF($R93=0,$X93,IF(AND($T93&lt;&gt;"",EDATE($D93,Milestones!$AA$188)&gt;=$T93),$W93,IF(AND($S93&lt;&gt;"",EDATE($D93,Milestones!$AA$188)&gt;=$S93),$V93,$U93)))=Milestones!$AB$188),UPPER(TEXT(EDATE($D93,Milestones!$AA$188),"dd mmm yy"))&amp;" "&amp;Milestones!$AB$188&amp;" "&amp;Milestones!$AC$188&amp;";  ","")&amp;IF(AND(EDATE($D93,Milestones!$AA$189)&lt;=AsOfDate,IF($R93=0,$X93,IF(AND($T93&lt;&gt;"",EDATE($D93,Milestones!$AA$189)&gt;=$T93),$W93,IF(AND($S93&lt;&gt;"",EDATE($D93,Milestones!$AA$189)&gt;=$S93),$V93,$U93)))=Milestones!$AB$189),UPPER(TEXT(EDATE($D93,Milestones!$AA$189),"dd mmm yy"))&amp;" "&amp;Milestones!$AB$189&amp;" "&amp;Milestones!$AC$189&amp;";  ","")&amp;IF(AND(EDATE($D93,Milestones!$AA$190)&lt;=AsOfDate,IF($R93=0,$X93,IF(AND($T93&lt;&gt;"",EDATE($D93,Milestones!$AA$190)&gt;=$T93),$W93,IF(AND($S93&lt;&gt;"",EDATE($D93,Milestones!$AA$190)&gt;=$S93),$V93,$U93)))=Milestones!$AB$190),UPPER(TEXT(EDATE($D93,Milestones!$AA$190),"dd mmm yy"))&amp;" "&amp;Milestones!$AB$190&amp;" "&amp;Milestones!$AC$190&amp;";  ","")&amp;IF(AND(EDATE($D93,Milestones!$AA$191)&lt;=AsOfDate,IF($R93=0,$X93,IF(AND($T93&lt;&gt;"",EDATE($D93,Milestones!$AA$191)&gt;=$T93),$W93,IF(AND($S93&lt;&gt;"",EDATE($D93,Milestones!$AA$191)&gt;=$S93),$V93,$U93)))=Milestones!$AB$191),UPPER(TEXT(EDATE($D93,Milestones!$AA$191),"dd mmm yy"))&amp;" "&amp;Milestones!$AB$191&amp;" "&amp;Milestones!$AC$191&amp;";  ","")&amp;IF(AND(EDATE($D93,Milestones!$AA$192)&lt;=AsOfDate,IF($R93=0,$X93,IF(AND($T93&lt;&gt;"",EDATE($D93,Milestones!$AA$192)&gt;=$T93),$W93,IF(AND($S93&lt;&gt;"",EDATE($D93,Milestones!$AA$192)&gt;=$S93),$V93,$U93)))=Milestones!$AB$192),UPPER(TEXT(EDATE($D93,Milestones!$AA$192),"dd mmm yy"))&amp;" "&amp;Milestones!$AB$192&amp;" "&amp;Milestones!$AC$192&amp;";  ","")&amp;IF(AND(EDATE($D93,Milestones!$AA$193)&lt;=AsOfDate,IF($R93=0,$X93,IF(AND($T93&lt;&gt;"",EDATE($D93,Milestones!$AA$193)&gt;=$T93),$W93,IF(AND($S93&lt;&gt;"",EDATE($D93,Milestones!$AA$193)&gt;=$S93),$V93,$U93)))=Milestones!$AB$193),UPPER(TEXT(EDATE($D93,Milestones!$AA$193),"dd mmm yy"))&amp;" "&amp;Milestones!$AB$193&amp;" "&amp;Milestones!$AC$193&amp;";  ","")&amp;IF(AND(EDATE($D93,Milestones!$AA$194)&lt;=AsOfDate,IF($R93=0,$X93,IF(AND($T93&lt;&gt;"",EDATE($D93,Milestones!$AA$194)&gt;=$T93),$W93,IF(AND($S93&lt;&gt;"",EDATE($D93,Milestones!$AA$194)&gt;=$S93),$V93,$U93)))=Milestones!$AB$194),UPPER(TEXT(EDATE($D93,Milestones!$AA$194),"dd mmm yy"))&amp;" "&amp;Milestones!$AB$194&amp;" "&amp;Milestones!$AC$194&amp;";  ","")&amp;IF(AND(EDATE($D93,Milestones!$AA$195)&lt;=AsOfDate,IF($R93=0,$X93,IF(AND($T93&lt;&gt;"",EDATE($D93,Milestones!$AA$195)&gt;=$T93),$W93,IF(AND($S93&lt;&gt;"",EDATE($D93,Milestones!$AA$195)&gt;=$S93),$V93,$U93)))=Milestones!$AB$195),UPPER(TEXT(EDATE($D93,Milestones!$AA$195),"dd mmm yy"))&amp;" "&amp;Milestones!$AB$195&amp;" "&amp;Milestones!$AC$195&amp;";  ","")&amp;IF(AND(EDATE($D93,Milestones!$AA$196)&lt;=AsOfDate,IF($R93=0,$X93,IF(AND($T93&lt;&gt;"",EDATE($D93,Milestones!$AA$196)&gt;=$T93),$W93,IF(AND($S93&lt;&gt;"",EDATE($D93,Milestones!$AA$196)&gt;=$S93),$V93,$U93)))=Milestones!$AB$196),UPPER(TEXT(EDATE($D93,Milestones!$AA$196),"dd mmm yy"))&amp;" "&amp;Milestones!$AB$196&amp;" "&amp;Milestones!$AC$196&amp;";  ","")&amp;IF(AND(EDATE($D93,Milestones!$AA$197)&lt;=AsOfDate,IF($R93=0,$X93,IF(AND($T93&lt;&gt;"",EDATE($D93,Milestones!$AA$197)&gt;=$T93),$W93,IF(AND($S93&lt;&gt;"",EDATE($D93,Milestones!$AA$197)&gt;=$S93),$V93,$U93)))=Milestones!$AB$197),UPPER(TEXT(EDATE($D93,Milestones!$AA$197),"dd mmm yy"))&amp;" "&amp;Milestones!$AB$197&amp;" "&amp;Milestones!$AC$197&amp;";  ","")&amp;IF(AND(EDATE($D93,Milestones!$AA$198)&lt;=AsOfDate,IF($R93=0,$X93,IF(AND($T93&lt;&gt;"",EDATE($D93,Milestones!$AA$198)&gt;=$T93),$W93,IF(AND($S93&lt;&gt;"",EDATE($D93,Milestones!$AA$198)&gt;=$S93),$V93,$U93)))=Milestones!$AB$198),UPPER(TEXT(EDATE($D93,Milestones!$AA$198),"dd mmm yy"))&amp;" "&amp;Milestones!$AB$198&amp;" "&amp;Milestones!$AC$198&amp;";  ","")&amp;IF(AND(EDATE($D93,Milestones!$AA$199)&lt;=AsOfDate,IF($R93=0,$X93,IF(AND($T93&lt;&gt;"",EDATE($D93,Milestones!$AA$199)&gt;=$T93),$W93,IF(AND($S93&lt;&gt;"",EDATE($D93,Milestones!$AA$199)&gt;=$S93),$V93,$U93)))=Milestones!$AB$199),UPPER(TEXT(EDATE($D93,Milestones!$AA$199),"dd mmm yy"))&amp;" "&amp;Milestones!$AB$199&amp;" "&amp;Milestones!$AC$199&amp;";  ",""))</f>
        <v/>
      </c>
      <c r="R93" s="0" t="str">
        <f aca="false">IF(Staff!$A93="","",Staff!$AI93)</f>
        <v/>
      </c>
      <c r="S93" s="0" t="str">
        <f aca="false">IF(Staff!$A93="","",Staff!$AK93)</f>
        <v/>
      </c>
      <c r="T93" s="0" t="str">
        <f aca="false">IF(Staff!$A93="","",Staff!$AL93)</f>
        <v/>
      </c>
      <c r="U93" s="0" t="str">
        <f aca="false">IF(Staff!$A93="","",Staff!$AP93)</f>
        <v/>
      </c>
      <c r="V93" s="0" t="str">
        <f aca="false">IF(Staff!$A93="","",Staff!$AQ93)</f>
        <v/>
      </c>
      <c r="W93" s="0" t="str">
        <f aca="false">IF(Staff!$A93="","",Staff!$AR93)</f>
        <v/>
      </c>
      <c r="X93" s="0" t="str">
        <f aca="false">IF(Staff!$A93="","",Staff!$AS93)</f>
        <v/>
      </c>
    </row>
    <row r="94" customFormat="false" ht="15" hidden="false" customHeight="false" outlineLevel="0" collapsed="false">
      <c r="A94" s="14" t="str">
        <f aca="false">IF(Staff!$A94="","",Staff!$A94)</f>
        <v/>
      </c>
      <c r="B94" s="14" t="str">
        <f aca="false">IF(Staff!$A94="","",Staff!$B94)</f>
        <v/>
      </c>
      <c r="C94" s="14" t="str">
        <f aca="false">IF(Staff!$A94="","",Staff!$C94)</f>
        <v/>
      </c>
      <c r="D94" s="12" t="str">
        <f aca="false">IF(Staff!$A94="","",Staff!$AH94)</f>
        <v/>
      </c>
      <c r="E94" s="14" t="str">
        <f aca="false">IF(Staff!$A94="","",Staff!$O94)</f>
        <v/>
      </c>
      <c r="F94" s="14" t="str">
        <f aca="false">IF(E94="","",E94*HoursPerDay)</f>
        <v/>
      </c>
      <c r="G94" s="14" t="str">
        <f aca="false">IF(Staff!$A94="","",Staff!$AE94)</f>
        <v/>
      </c>
      <c r="H94" s="26" t="str">
        <f aca="false">IF($A94="","",I94&amp;J94&amp;K94&amp;L94&amp;M94&amp;N94&amp;O94&amp;P94&amp;Q94)</f>
        <v/>
      </c>
      <c r="I94" s="0" t="str">
        <f aca="false">IF(OR($A94="",$D94=""),"",IF(AND(EDATE($D94,Milestones!$AA$20)&lt;=AsOfDate,IF($R94=0,$X94,IF(AND($T94&lt;&gt;"",EDATE($D94,Milestones!$AA$20)&gt;=$T94),$W94,IF(AND($S94&lt;&gt;"",EDATE($D94,Milestones!$AA$20)&gt;=$S94),$V94,$U94)))=Milestones!$AB$20),UPPER(TEXT(EDATE($D94,Milestones!$AA$20),"dd mmm yy"))&amp;" "&amp;Milestones!$AB$20&amp;" "&amp;Milestones!$AC$20&amp;";  ","")&amp;IF(AND(EDATE($D94,Milestones!$AA$21)&lt;=AsOfDate,IF($R94=0,$X94,IF(AND($T94&lt;&gt;"",EDATE($D94,Milestones!$AA$21)&gt;=$T94),$W94,IF(AND($S94&lt;&gt;"",EDATE($D94,Milestones!$AA$21)&gt;=$S94),$V94,$U94)))=Milestones!$AB$21),UPPER(TEXT(EDATE($D94,Milestones!$AA$21),"dd mmm yy"))&amp;" "&amp;Milestones!$AB$21&amp;" "&amp;Milestones!$AC$21&amp;";  ","")&amp;IF(AND(EDATE($D94,Milestones!$AA$22)&lt;=AsOfDate,IF($R94=0,$X94,IF(AND($T94&lt;&gt;"",EDATE($D94,Milestones!$AA$22)&gt;=$T94),$W94,IF(AND($S94&lt;&gt;"",EDATE($D94,Milestones!$AA$22)&gt;=$S94),$V94,$U94)))=Milestones!$AB$22),UPPER(TEXT(EDATE($D94,Milestones!$AA$22),"dd mmm yy"))&amp;" "&amp;Milestones!$AB$22&amp;" "&amp;Milestones!$AC$22&amp;";  ","")&amp;IF(AND(EDATE($D94,Milestones!$AA$23)&lt;=AsOfDate,IF($R94=0,$X94,IF(AND($T94&lt;&gt;"",EDATE($D94,Milestones!$AA$23)&gt;=$T94),$W94,IF(AND($S94&lt;&gt;"",EDATE($D94,Milestones!$AA$23)&gt;=$S94),$V94,$U94)))=Milestones!$AB$23),UPPER(TEXT(EDATE($D94,Milestones!$AA$23),"dd mmm yy"))&amp;" "&amp;Milestones!$AB$23&amp;" "&amp;Milestones!$AC$23&amp;";  ","")&amp;IF(AND(EDATE($D94,Milestones!$AA$24)&lt;=AsOfDate,IF($R94=0,$X94,IF(AND($T94&lt;&gt;"",EDATE($D94,Milestones!$AA$24)&gt;=$T94),$W94,IF(AND($S94&lt;&gt;"",EDATE($D94,Milestones!$AA$24)&gt;=$S94),$V94,$U94)))=Milestones!$AB$24),UPPER(TEXT(EDATE($D94,Milestones!$AA$24),"dd mmm yy"))&amp;" "&amp;Milestones!$AB$24&amp;" "&amp;Milestones!$AC$24&amp;";  ","")&amp;IF(AND(EDATE($D94,Milestones!$AA$25)&lt;=AsOfDate,IF($R94=0,$X94,IF(AND($T94&lt;&gt;"",EDATE($D94,Milestones!$AA$25)&gt;=$T94),$W94,IF(AND($S94&lt;&gt;"",EDATE($D94,Milestones!$AA$25)&gt;=$S94),$V94,$U94)))=Milestones!$AB$25),UPPER(TEXT(EDATE($D94,Milestones!$AA$25),"dd mmm yy"))&amp;" "&amp;Milestones!$AB$25&amp;" "&amp;Milestones!$AC$25&amp;";  ","")&amp;IF(AND(EDATE($D94,Milestones!$AA$26)&lt;=AsOfDate,IF($R94=0,$X94,IF(AND($T94&lt;&gt;"",EDATE($D94,Milestones!$AA$26)&gt;=$T94),$W94,IF(AND($S94&lt;&gt;"",EDATE($D94,Milestones!$AA$26)&gt;=$S94),$V94,$U94)))=Milestones!$AB$26),UPPER(TEXT(EDATE($D94,Milestones!$AA$26),"dd mmm yy"))&amp;" "&amp;Milestones!$AB$26&amp;" "&amp;Milestones!$AC$26&amp;";  ","")&amp;IF(AND(EDATE($D94,Milestones!$AA$27)&lt;=AsOfDate,IF($R94=0,$X94,IF(AND($T94&lt;&gt;"",EDATE($D94,Milestones!$AA$27)&gt;=$T94),$W94,IF(AND($S94&lt;&gt;"",EDATE($D94,Milestones!$AA$27)&gt;=$S94),$V94,$U94)))=Milestones!$AB$27),UPPER(TEXT(EDATE($D94,Milestones!$AA$27),"dd mmm yy"))&amp;" "&amp;Milestones!$AB$27&amp;" "&amp;Milestones!$AC$27&amp;";  ","")&amp;IF(AND(EDATE($D94,Milestones!$AA$28)&lt;=AsOfDate,IF($R94=0,$X94,IF(AND($T94&lt;&gt;"",EDATE($D94,Milestones!$AA$28)&gt;=$T94),$W94,IF(AND($S94&lt;&gt;"",EDATE($D94,Milestones!$AA$28)&gt;=$S94),$V94,$U94)))=Milestones!$AB$28),UPPER(TEXT(EDATE($D94,Milestones!$AA$28),"dd mmm yy"))&amp;" "&amp;Milestones!$AB$28&amp;" "&amp;Milestones!$AC$28&amp;";  ","")&amp;IF(AND(EDATE($D94,Milestones!$AA$29)&lt;=AsOfDate,IF($R94=0,$X94,IF(AND($T94&lt;&gt;"",EDATE($D94,Milestones!$AA$29)&gt;=$T94),$W94,IF(AND($S94&lt;&gt;"",EDATE($D94,Milestones!$AA$29)&gt;=$S94),$V94,$U94)))=Milestones!$AB$29),UPPER(TEXT(EDATE($D94,Milestones!$AA$29),"dd mmm yy"))&amp;" "&amp;Milestones!$AB$29&amp;" "&amp;Milestones!$AC$29&amp;";  ","")&amp;IF(AND(EDATE($D94,Milestones!$AA$30)&lt;=AsOfDate,IF($R94=0,$X94,IF(AND($T94&lt;&gt;"",EDATE($D94,Milestones!$AA$30)&gt;=$T94),$W94,IF(AND($S94&lt;&gt;"",EDATE($D94,Milestones!$AA$30)&gt;=$S94),$V94,$U94)))=Milestones!$AB$30),UPPER(TEXT(EDATE($D94,Milestones!$AA$30),"dd mmm yy"))&amp;" "&amp;Milestones!$AB$30&amp;" "&amp;Milestones!$AC$30&amp;";  ","")&amp;IF(AND(EDATE($D94,Milestones!$AA$31)&lt;=AsOfDate,IF($R94=0,$X94,IF(AND($T94&lt;&gt;"",EDATE($D94,Milestones!$AA$31)&gt;=$T94),$W94,IF(AND($S94&lt;&gt;"",EDATE($D94,Milestones!$AA$31)&gt;=$S94),$V94,$U94)))=Milestones!$AB$31),UPPER(TEXT(EDATE($D94,Milestones!$AA$31),"dd mmm yy"))&amp;" "&amp;Milestones!$AB$31&amp;" "&amp;Milestones!$AC$31&amp;";  ","")&amp;IF(AND(EDATE($D94,Milestones!$AA$32)&lt;=AsOfDate,IF($R94=0,$X94,IF(AND($T94&lt;&gt;"",EDATE($D94,Milestones!$AA$32)&gt;=$T94),$W94,IF(AND($S94&lt;&gt;"",EDATE($D94,Milestones!$AA$32)&gt;=$S94),$V94,$U94)))=Milestones!$AB$32),UPPER(TEXT(EDATE($D94,Milestones!$AA$32),"dd mmm yy"))&amp;" "&amp;Milestones!$AB$32&amp;" "&amp;Milestones!$AC$32&amp;";  ","")&amp;IF(AND(EDATE($D94,Milestones!$AA$33)&lt;=AsOfDate,IF($R94=0,$X94,IF(AND($T94&lt;&gt;"",EDATE($D94,Milestones!$AA$33)&gt;=$T94),$W94,IF(AND($S94&lt;&gt;"",EDATE($D94,Milestones!$AA$33)&gt;=$S94),$V94,$U94)))=Milestones!$AB$33),UPPER(TEXT(EDATE($D94,Milestones!$AA$33),"dd mmm yy"))&amp;" "&amp;Milestones!$AB$33&amp;" "&amp;Milestones!$AC$33&amp;";  ","")&amp;IF(AND(EDATE($D94,Milestones!$AA$34)&lt;=AsOfDate,IF($R94=0,$X94,IF(AND($T94&lt;&gt;"",EDATE($D94,Milestones!$AA$34)&gt;=$T94),$W94,IF(AND($S94&lt;&gt;"",EDATE($D94,Milestones!$AA$34)&gt;=$S94),$V94,$U94)))=Milestones!$AB$34),UPPER(TEXT(EDATE($D94,Milestones!$AA$34),"dd mmm yy"))&amp;" "&amp;Milestones!$AB$34&amp;" "&amp;Milestones!$AC$34&amp;";  ","")&amp;IF(AND(EDATE($D94,Milestones!$AA$35)&lt;=AsOfDate,IF($R94=0,$X94,IF(AND($T94&lt;&gt;"",EDATE($D94,Milestones!$AA$35)&gt;=$T94),$W94,IF(AND($S94&lt;&gt;"",EDATE($D94,Milestones!$AA$35)&gt;=$S94),$V94,$U94)))=Milestones!$AB$35),UPPER(TEXT(EDATE($D94,Milestones!$AA$35),"dd mmm yy"))&amp;" "&amp;Milestones!$AB$35&amp;" "&amp;Milestones!$AC$35&amp;";  ","")&amp;IF(AND(EDATE($D94,Milestones!$AA$36)&lt;=AsOfDate,IF($R94=0,$X94,IF(AND($T94&lt;&gt;"",EDATE($D94,Milestones!$AA$36)&gt;=$T94),$W94,IF(AND($S94&lt;&gt;"",EDATE($D94,Milestones!$AA$36)&gt;=$S94),$V94,$U94)))=Milestones!$AB$36),UPPER(TEXT(EDATE($D94,Milestones!$AA$36),"dd mmm yy"))&amp;" "&amp;Milestones!$AB$36&amp;" "&amp;Milestones!$AC$36&amp;";  ","")&amp;IF(AND(EDATE($D94,Milestones!$AA$37)&lt;=AsOfDate,IF($R94=0,$X94,IF(AND($T94&lt;&gt;"",EDATE($D94,Milestones!$AA$37)&gt;=$T94),$W94,IF(AND($S94&lt;&gt;"",EDATE($D94,Milestones!$AA$37)&gt;=$S94),$V94,$U94)))=Milestones!$AB$37),UPPER(TEXT(EDATE($D94,Milestones!$AA$37),"dd mmm yy"))&amp;" "&amp;Milestones!$AB$37&amp;" "&amp;Milestones!$AC$37&amp;";  ","")&amp;IF(AND(EDATE($D94,Milestones!$AA$38)&lt;=AsOfDate,IF($R94=0,$X94,IF(AND($T94&lt;&gt;"",EDATE($D94,Milestones!$AA$38)&gt;=$T94),$W94,IF(AND($S94&lt;&gt;"",EDATE($D94,Milestones!$AA$38)&gt;=$S94),$V94,$U94)))=Milestones!$AB$38),UPPER(TEXT(EDATE($D94,Milestones!$AA$38),"dd mmm yy"))&amp;" "&amp;Milestones!$AB$38&amp;" "&amp;Milestones!$AC$38&amp;";  ","")&amp;IF(AND(EDATE($D94,Milestones!$AA$39)&lt;=AsOfDate,IF($R94=0,$X94,IF(AND($T94&lt;&gt;"",EDATE($D94,Milestones!$AA$39)&gt;=$T94),$W94,IF(AND($S94&lt;&gt;"",EDATE($D94,Milestones!$AA$39)&gt;=$S94),$V94,$U94)))=Milestones!$AB$39),UPPER(TEXT(EDATE($D94,Milestones!$AA$39),"dd mmm yy"))&amp;" "&amp;Milestones!$AB$39&amp;" "&amp;Milestones!$AC$39&amp;";  ",""))</f>
        <v/>
      </c>
      <c r="J94" s="0" t="str">
        <f aca="false">IF(OR($A94="",$D94=""),"",IF(AND(EDATE($D94,Milestones!$AA$40)&lt;=AsOfDate,IF($R94=0,$X94,IF(AND($T94&lt;&gt;"",EDATE($D94,Milestones!$AA$40)&gt;=$T94),$W94,IF(AND($S94&lt;&gt;"",EDATE($D94,Milestones!$AA$40)&gt;=$S94),$V94,$U94)))=Milestones!$AB$40),UPPER(TEXT(EDATE($D94,Milestones!$AA$40),"dd mmm yy"))&amp;" "&amp;Milestones!$AB$40&amp;" "&amp;Milestones!$AC$40&amp;";  ","")&amp;IF(AND(EDATE($D94,Milestones!$AA$41)&lt;=AsOfDate,IF($R94=0,$X94,IF(AND($T94&lt;&gt;"",EDATE($D94,Milestones!$AA$41)&gt;=$T94),$W94,IF(AND($S94&lt;&gt;"",EDATE($D94,Milestones!$AA$41)&gt;=$S94),$V94,$U94)))=Milestones!$AB$41),UPPER(TEXT(EDATE($D94,Milestones!$AA$41),"dd mmm yy"))&amp;" "&amp;Milestones!$AB$41&amp;" "&amp;Milestones!$AC$41&amp;";  ","")&amp;IF(AND(EDATE($D94,Milestones!$AA$42)&lt;=AsOfDate,IF($R94=0,$X94,IF(AND($T94&lt;&gt;"",EDATE($D94,Milestones!$AA$42)&gt;=$T94),$W94,IF(AND($S94&lt;&gt;"",EDATE($D94,Milestones!$AA$42)&gt;=$S94),$V94,$U94)))=Milestones!$AB$42),UPPER(TEXT(EDATE($D94,Milestones!$AA$42),"dd mmm yy"))&amp;" "&amp;Milestones!$AB$42&amp;" "&amp;Milestones!$AC$42&amp;";  ","")&amp;IF(AND(EDATE($D94,Milestones!$AA$43)&lt;=AsOfDate,IF($R94=0,$X94,IF(AND($T94&lt;&gt;"",EDATE($D94,Milestones!$AA$43)&gt;=$T94),$W94,IF(AND($S94&lt;&gt;"",EDATE($D94,Milestones!$AA$43)&gt;=$S94),$V94,$U94)))=Milestones!$AB$43),UPPER(TEXT(EDATE($D94,Milestones!$AA$43),"dd mmm yy"))&amp;" "&amp;Milestones!$AB$43&amp;" "&amp;Milestones!$AC$43&amp;";  ","")&amp;IF(AND(EDATE($D94,Milestones!$AA$44)&lt;=AsOfDate,IF($R94=0,$X94,IF(AND($T94&lt;&gt;"",EDATE($D94,Milestones!$AA$44)&gt;=$T94),$W94,IF(AND($S94&lt;&gt;"",EDATE($D94,Milestones!$AA$44)&gt;=$S94),$V94,$U94)))=Milestones!$AB$44),UPPER(TEXT(EDATE($D94,Milestones!$AA$44),"dd mmm yy"))&amp;" "&amp;Milestones!$AB$44&amp;" "&amp;Milestones!$AC$44&amp;";  ","")&amp;IF(AND(EDATE($D94,Milestones!$AA$45)&lt;=AsOfDate,IF($R94=0,$X94,IF(AND($T94&lt;&gt;"",EDATE($D94,Milestones!$AA$45)&gt;=$T94),$W94,IF(AND($S94&lt;&gt;"",EDATE($D94,Milestones!$AA$45)&gt;=$S94),$V94,$U94)))=Milestones!$AB$45),UPPER(TEXT(EDATE($D94,Milestones!$AA$45),"dd mmm yy"))&amp;" "&amp;Milestones!$AB$45&amp;" "&amp;Milestones!$AC$45&amp;";  ","")&amp;IF(AND(EDATE($D94,Milestones!$AA$46)&lt;=AsOfDate,IF($R94=0,$X94,IF(AND($T94&lt;&gt;"",EDATE($D94,Milestones!$AA$46)&gt;=$T94),$W94,IF(AND($S94&lt;&gt;"",EDATE($D94,Milestones!$AA$46)&gt;=$S94),$V94,$U94)))=Milestones!$AB$46),UPPER(TEXT(EDATE($D94,Milestones!$AA$46),"dd mmm yy"))&amp;" "&amp;Milestones!$AB$46&amp;" "&amp;Milestones!$AC$46&amp;";  ","")&amp;IF(AND(EDATE($D94,Milestones!$AA$47)&lt;=AsOfDate,IF($R94=0,$X94,IF(AND($T94&lt;&gt;"",EDATE($D94,Milestones!$AA$47)&gt;=$T94),$W94,IF(AND($S94&lt;&gt;"",EDATE($D94,Milestones!$AA$47)&gt;=$S94),$V94,$U94)))=Milestones!$AB$47),UPPER(TEXT(EDATE($D94,Milestones!$AA$47),"dd mmm yy"))&amp;" "&amp;Milestones!$AB$47&amp;" "&amp;Milestones!$AC$47&amp;";  ","")&amp;IF(AND(EDATE($D94,Milestones!$AA$48)&lt;=AsOfDate,IF($R94=0,$X94,IF(AND($T94&lt;&gt;"",EDATE($D94,Milestones!$AA$48)&gt;=$T94),$W94,IF(AND($S94&lt;&gt;"",EDATE($D94,Milestones!$AA$48)&gt;=$S94),$V94,$U94)))=Milestones!$AB$48),UPPER(TEXT(EDATE($D94,Milestones!$AA$48),"dd mmm yy"))&amp;" "&amp;Milestones!$AB$48&amp;" "&amp;Milestones!$AC$48&amp;";  ","")&amp;IF(AND(EDATE($D94,Milestones!$AA$49)&lt;=AsOfDate,IF($R94=0,$X94,IF(AND($T94&lt;&gt;"",EDATE($D94,Milestones!$AA$49)&gt;=$T94),$W94,IF(AND($S94&lt;&gt;"",EDATE($D94,Milestones!$AA$49)&gt;=$S94),$V94,$U94)))=Milestones!$AB$49),UPPER(TEXT(EDATE($D94,Milestones!$AA$49),"dd mmm yy"))&amp;" "&amp;Milestones!$AB$49&amp;" "&amp;Milestones!$AC$49&amp;";  ","")&amp;IF(AND(EDATE($D94,Milestones!$AA$50)&lt;=AsOfDate,IF($R94=0,$X94,IF(AND($T94&lt;&gt;"",EDATE($D94,Milestones!$AA$50)&gt;=$T94),$W94,IF(AND($S94&lt;&gt;"",EDATE($D94,Milestones!$AA$50)&gt;=$S94),$V94,$U94)))=Milestones!$AB$50),UPPER(TEXT(EDATE($D94,Milestones!$AA$50),"dd mmm yy"))&amp;" "&amp;Milestones!$AB$50&amp;" "&amp;Milestones!$AC$50&amp;";  ","")&amp;IF(AND(EDATE($D94,Milestones!$AA$51)&lt;=AsOfDate,IF($R94=0,$X94,IF(AND($T94&lt;&gt;"",EDATE($D94,Milestones!$AA$51)&gt;=$T94),$W94,IF(AND($S94&lt;&gt;"",EDATE($D94,Milestones!$AA$51)&gt;=$S94),$V94,$U94)))=Milestones!$AB$51),UPPER(TEXT(EDATE($D94,Milestones!$AA$51),"dd mmm yy"))&amp;" "&amp;Milestones!$AB$51&amp;" "&amp;Milestones!$AC$51&amp;";  ","")&amp;IF(AND(EDATE($D94,Milestones!$AA$52)&lt;=AsOfDate,IF($R94=0,$X94,IF(AND($T94&lt;&gt;"",EDATE($D94,Milestones!$AA$52)&gt;=$T94),$W94,IF(AND($S94&lt;&gt;"",EDATE($D94,Milestones!$AA$52)&gt;=$S94),$V94,$U94)))=Milestones!$AB$52),UPPER(TEXT(EDATE($D94,Milestones!$AA$52),"dd mmm yy"))&amp;" "&amp;Milestones!$AB$52&amp;" "&amp;Milestones!$AC$52&amp;";  ","")&amp;IF(AND(EDATE($D94,Milestones!$AA$53)&lt;=AsOfDate,IF($R94=0,$X94,IF(AND($T94&lt;&gt;"",EDATE($D94,Milestones!$AA$53)&gt;=$T94),$W94,IF(AND($S94&lt;&gt;"",EDATE($D94,Milestones!$AA$53)&gt;=$S94),$V94,$U94)))=Milestones!$AB$53),UPPER(TEXT(EDATE($D94,Milestones!$AA$53),"dd mmm yy"))&amp;" "&amp;Milestones!$AB$53&amp;" "&amp;Milestones!$AC$53&amp;";  ","")&amp;IF(AND(EDATE($D94,Milestones!$AA$54)&lt;=AsOfDate,IF($R94=0,$X94,IF(AND($T94&lt;&gt;"",EDATE($D94,Milestones!$AA$54)&gt;=$T94),$W94,IF(AND($S94&lt;&gt;"",EDATE($D94,Milestones!$AA$54)&gt;=$S94),$V94,$U94)))=Milestones!$AB$54),UPPER(TEXT(EDATE($D94,Milestones!$AA$54),"dd mmm yy"))&amp;" "&amp;Milestones!$AB$54&amp;" "&amp;Milestones!$AC$54&amp;";  ","")&amp;IF(AND(EDATE($D94,Milestones!$AA$55)&lt;=AsOfDate,IF($R94=0,$X94,IF(AND($T94&lt;&gt;"",EDATE($D94,Milestones!$AA$55)&gt;=$T94),$W94,IF(AND($S94&lt;&gt;"",EDATE($D94,Milestones!$AA$55)&gt;=$S94),$V94,$U94)))=Milestones!$AB$55),UPPER(TEXT(EDATE($D94,Milestones!$AA$55),"dd mmm yy"))&amp;" "&amp;Milestones!$AB$55&amp;" "&amp;Milestones!$AC$55&amp;";  ","")&amp;IF(AND(EDATE($D94,Milestones!$AA$56)&lt;=AsOfDate,IF($R94=0,$X94,IF(AND($T94&lt;&gt;"",EDATE($D94,Milestones!$AA$56)&gt;=$T94),$W94,IF(AND($S94&lt;&gt;"",EDATE($D94,Milestones!$AA$56)&gt;=$S94),$V94,$U94)))=Milestones!$AB$56),UPPER(TEXT(EDATE($D94,Milestones!$AA$56),"dd mmm yy"))&amp;" "&amp;Milestones!$AB$56&amp;" "&amp;Milestones!$AC$56&amp;";  ","")&amp;IF(AND(EDATE($D94,Milestones!$AA$57)&lt;=AsOfDate,IF($R94=0,$X94,IF(AND($T94&lt;&gt;"",EDATE($D94,Milestones!$AA$57)&gt;=$T94),$W94,IF(AND($S94&lt;&gt;"",EDATE($D94,Milestones!$AA$57)&gt;=$S94),$V94,$U94)))=Milestones!$AB$57),UPPER(TEXT(EDATE($D94,Milestones!$AA$57),"dd mmm yy"))&amp;" "&amp;Milestones!$AB$57&amp;" "&amp;Milestones!$AC$57&amp;";  ","")&amp;IF(AND(EDATE($D94,Milestones!$AA$58)&lt;=AsOfDate,IF($R94=0,$X94,IF(AND($T94&lt;&gt;"",EDATE($D94,Milestones!$AA$58)&gt;=$T94),$W94,IF(AND($S94&lt;&gt;"",EDATE($D94,Milestones!$AA$58)&gt;=$S94),$V94,$U94)))=Milestones!$AB$58),UPPER(TEXT(EDATE($D94,Milestones!$AA$58),"dd mmm yy"))&amp;" "&amp;Milestones!$AB$58&amp;" "&amp;Milestones!$AC$58&amp;";  ","")&amp;IF(AND(EDATE($D94,Milestones!$AA$59)&lt;=AsOfDate,IF($R94=0,$X94,IF(AND($T94&lt;&gt;"",EDATE($D94,Milestones!$AA$59)&gt;=$T94),$W94,IF(AND($S94&lt;&gt;"",EDATE($D94,Milestones!$AA$59)&gt;=$S94),$V94,$U94)))=Milestones!$AB$59),UPPER(TEXT(EDATE($D94,Milestones!$AA$59),"dd mmm yy"))&amp;" "&amp;Milestones!$AB$59&amp;" "&amp;Milestones!$AC$59&amp;";  ",""))</f>
        <v/>
      </c>
      <c r="K94" s="0" t="str">
        <f aca="false">IF(OR($A94="",$D94=""),"",IF(AND(EDATE($D94,Milestones!$AA$60)&lt;=AsOfDate,IF($R94=0,$X94,IF(AND($T94&lt;&gt;"",EDATE($D94,Milestones!$AA$60)&gt;=$T94),$W94,IF(AND($S94&lt;&gt;"",EDATE($D94,Milestones!$AA$60)&gt;=$S94),$V94,$U94)))=Milestones!$AB$60),UPPER(TEXT(EDATE($D94,Milestones!$AA$60),"dd mmm yy"))&amp;" "&amp;Milestones!$AB$60&amp;" "&amp;Milestones!$AC$60&amp;";  ","")&amp;IF(AND(EDATE($D94,Milestones!$AA$61)&lt;=AsOfDate,IF($R94=0,$X94,IF(AND($T94&lt;&gt;"",EDATE($D94,Milestones!$AA$61)&gt;=$T94),$W94,IF(AND($S94&lt;&gt;"",EDATE($D94,Milestones!$AA$61)&gt;=$S94),$V94,$U94)))=Milestones!$AB$61),UPPER(TEXT(EDATE($D94,Milestones!$AA$61),"dd mmm yy"))&amp;" "&amp;Milestones!$AB$61&amp;" "&amp;Milestones!$AC$61&amp;";  ","")&amp;IF(AND(EDATE($D94,Milestones!$AA$62)&lt;=AsOfDate,IF($R94=0,$X94,IF(AND($T94&lt;&gt;"",EDATE($D94,Milestones!$AA$62)&gt;=$T94),$W94,IF(AND($S94&lt;&gt;"",EDATE($D94,Milestones!$AA$62)&gt;=$S94),$V94,$U94)))=Milestones!$AB$62),UPPER(TEXT(EDATE($D94,Milestones!$AA$62),"dd mmm yy"))&amp;" "&amp;Milestones!$AB$62&amp;" "&amp;Milestones!$AC$62&amp;";  ","")&amp;IF(AND(EDATE($D94,Milestones!$AA$63)&lt;=AsOfDate,IF($R94=0,$X94,IF(AND($T94&lt;&gt;"",EDATE($D94,Milestones!$AA$63)&gt;=$T94),$W94,IF(AND($S94&lt;&gt;"",EDATE($D94,Milestones!$AA$63)&gt;=$S94),$V94,$U94)))=Milestones!$AB$63),UPPER(TEXT(EDATE($D94,Milestones!$AA$63),"dd mmm yy"))&amp;" "&amp;Milestones!$AB$63&amp;" "&amp;Milestones!$AC$63&amp;";  ","")&amp;IF(AND(EDATE($D94,Milestones!$AA$64)&lt;=AsOfDate,IF($R94=0,$X94,IF(AND($T94&lt;&gt;"",EDATE($D94,Milestones!$AA$64)&gt;=$T94),$W94,IF(AND($S94&lt;&gt;"",EDATE($D94,Milestones!$AA$64)&gt;=$S94),$V94,$U94)))=Milestones!$AB$64),UPPER(TEXT(EDATE($D94,Milestones!$AA$64),"dd mmm yy"))&amp;" "&amp;Milestones!$AB$64&amp;" "&amp;Milestones!$AC$64&amp;";  ","")&amp;IF(AND(EDATE($D94,Milestones!$AA$65)&lt;=AsOfDate,IF($R94=0,$X94,IF(AND($T94&lt;&gt;"",EDATE($D94,Milestones!$AA$65)&gt;=$T94),$W94,IF(AND($S94&lt;&gt;"",EDATE($D94,Milestones!$AA$65)&gt;=$S94),$V94,$U94)))=Milestones!$AB$65),UPPER(TEXT(EDATE($D94,Milestones!$AA$65),"dd mmm yy"))&amp;" "&amp;Milestones!$AB$65&amp;" "&amp;Milestones!$AC$65&amp;";  ","")&amp;IF(AND(EDATE($D94,Milestones!$AA$66)&lt;=AsOfDate,IF($R94=0,$X94,IF(AND($T94&lt;&gt;"",EDATE($D94,Milestones!$AA$66)&gt;=$T94),$W94,IF(AND($S94&lt;&gt;"",EDATE($D94,Milestones!$AA$66)&gt;=$S94),$V94,$U94)))=Milestones!$AB$66),UPPER(TEXT(EDATE($D94,Milestones!$AA$66),"dd mmm yy"))&amp;" "&amp;Milestones!$AB$66&amp;" "&amp;Milestones!$AC$66&amp;";  ","")&amp;IF(AND(EDATE($D94,Milestones!$AA$67)&lt;=AsOfDate,IF($R94=0,$X94,IF(AND($T94&lt;&gt;"",EDATE($D94,Milestones!$AA$67)&gt;=$T94),$W94,IF(AND($S94&lt;&gt;"",EDATE($D94,Milestones!$AA$67)&gt;=$S94),$V94,$U94)))=Milestones!$AB$67),UPPER(TEXT(EDATE($D94,Milestones!$AA$67),"dd mmm yy"))&amp;" "&amp;Milestones!$AB$67&amp;" "&amp;Milestones!$AC$67&amp;";  ","")&amp;IF(AND(EDATE($D94,Milestones!$AA$68)&lt;=AsOfDate,IF($R94=0,$X94,IF(AND($T94&lt;&gt;"",EDATE($D94,Milestones!$AA$68)&gt;=$T94),$W94,IF(AND($S94&lt;&gt;"",EDATE($D94,Milestones!$AA$68)&gt;=$S94),$V94,$U94)))=Milestones!$AB$68),UPPER(TEXT(EDATE($D94,Milestones!$AA$68),"dd mmm yy"))&amp;" "&amp;Milestones!$AB$68&amp;" "&amp;Milestones!$AC$68&amp;";  ","")&amp;IF(AND(EDATE($D94,Milestones!$AA$69)&lt;=AsOfDate,IF($R94=0,$X94,IF(AND($T94&lt;&gt;"",EDATE($D94,Milestones!$AA$69)&gt;=$T94),$W94,IF(AND($S94&lt;&gt;"",EDATE($D94,Milestones!$AA$69)&gt;=$S94),$V94,$U94)))=Milestones!$AB$69),UPPER(TEXT(EDATE($D94,Milestones!$AA$69),"dd mmm yy"))&amp;" "&amp;Milestones!$AB$69&amp;" "&amp;Milestones!$AC$69&amp;";  ","")&amp;IF(AND(EDATE($D94,Milestones!$AA$70)&lt;=AsOfDate,IF($R94=0,$X94,IF(AND($T94&lt;&gt;"",EDATE($D94,Milestones!$AA$70)&gt;=$T94),$W94,IF(AND($S94&lt;&gt;"",EDATE($D94,Milestones!$AA$70)&gt;=$S94),$V94,$U94)))=Milestones!$AB$70),UPPER(TEXT(EDATE($D94,Milestones!$AA$70),"dd mmm yy"))&amp;" "&amp;Milestones!$AB$70&amp;" "&amp;Milestones!$AC$70&amp;";  ","")&amp;IF(AND(EDATE($D94,Milestones!$AA$71)&lt;=AsOfDate,IF($R94=0,$X94,IF(AND($T94&lt;&gt;"",EDATE($D94,Milestones!$AA$71)&gt;=$T94),$W94,IF(AND($S94&lt;&gt;"",EDATE($D94,Milestones!$AA$71)&gt;=$S94),$V94,$U94)))=Milestones!$AB$71),UPPER(TEXT(EDATE($D94,Milestones!$AA$71),"dd mmm yy"))&amp;" "&amp;Milestones!$AB$71&amp;" "&amp;Milestones!$AC$71&amp;";  ","")&amp;IF(AND(EDATE($D94,Milestones!$AA$72)&lt;=AsOfDate,IF($R94=0,$X94,IF(AND($T94&lt;&gt;"",EDATE($D94,Milestones!$AA$72)&gt;=$T94),$W94,IF(AND($S94&lt;&gt;"",EDATE($D94,Milestones!$AA$72)&gt;=$S94),$V94,$U94)))=Milestones!$AB$72),UPPER(TEXT(EDATE($D94,Milestones!$AA$72),"dd mmm yy"))&amp;" "&amp;Milestones!$AB$72&amp;" "&amp;Milestones!$AC$72&amp;";  ","")&amp;IF(AND(EDATE($D94,Milestones!$AA$73)&lt;=AsOfDate,IF($R94=0,$X94,IF(AND($T94&lt;&gt;"",EDATE($D94,Milestones!$AA$73)&gt;=$T94),$W94,IF(AND($S94&lt;&gt;"",EDATE($D94,Milestones!$AA$73)&gt;=$S94),$V94,$U94)))=Milestones!$AB$73),UPPER(TEXT(EDATE($D94,Milestones!$AA$73),"dd mmm yy"))&amp;" "&amp;Milestones!$AB$73&amp;" "&amp;Milestones!$AC$73&amp;";  ","")&amp;IF(AND(EDATE($D94,Milestones!$AA$74)&lt;=AsOfDate,IF($R94=0,$X94,IF(AND($T94&lt;&gt;"",EDATE($D94,Milestones!$AA$74)&gt;=$T94),$W94,IF(AND($S94&lt;&gt;"",EDATE($D94,Milestones!$AA$74)&gt;=$S94),$V94,$U94)))=Milestones!$AB$74),UPPER(TEXT(EDATE($D94,Milestones!$AA$74),"dd mmm yy"))&amp;" "&amp;Milestones!$AB$74&amp;" "&amp;Milestones!$AC$74&amp;";  ","")&amp;IF(AND(EDATE($D94,Milestones!$AA$75)&lt;=AsOfDate,IF($R94=0,$X94,IF(AND($T94&lt;&gt;"",EDATE($D94,Milestones!$AA$75)&gt;=$T94),$W94,IF(AND($S94&lt;&gt;"",EDATE($D94,Milestones!$AA$75)&gt;=$S94),$V94,$U94)))=Milestones!$AB$75),UPPER(TEXT(EDATE($D94,Milestones!$AA$75),"dd mmm yy"))&amp;" "&amp;Milestones!$AB$75&amp;" "&amp;Milestones!$AC$75&amp;";  ","")&amp;IF(AND(EDATE($D94,Milestones!$AA$76)&lt;=AsOfDate,IF($R94=0,$X94,IF(AND($T94&lt;&gt;"",EDATE($D94,Milestones!$AA$76)&gt;=$T94),$W94,IF(AND($S94&lt;&gt;"",EDATE($D94,Milestones!$AA$76)&gt;=$S94),$V94,$U94)))=Milestones!$AB$76),UPPER(TEXT(EDATE($D94,Milestones!$AA$76),"dd mmm yy"))&amp;" "&amp;Milestones!$AB$76&amp;" "&amp;Milestones!$AC$76&amp;";  ","")&amp;IF(AND(EDATE($D94,Milestones!$AA$77)&lt;=AsOfDate,IF($R94=0,$X94,IF(AND($T94&lt;&gt;"",EDATE($D94,Milestones!$AA$77)&gt;=$T94),$W94,IF(AND($S94&lt;&gt;"",EDATE($D94,Milestones!$AA$77)&gt;=$S94),$V94,$U94)))=Milestones!$AB$77),UPPER(TEXT(EDATE($D94,Milestones!$AA$77),"dd mmm yy"))&amp;" "&amp;Milestones!$AB$77&amp;" "&amp;Milestones!$AC$77&amp;";  ","")&amp;IF(AND(EDATE($D94,Milestones!$AA$78)&lt;=AsOfDate,IF($R94=0,$X94,IF(AND($T94&lt;&gt;"",EDATE($D94,Milestones!$AA$78)&gt;=$T94),$W94,IF(AND($S94&lt;&gt;"",EDATE($D94,Milestones!$AA$78)&gt;=$S94),$V94,$U94)))=Milestones!$AB$78),UPPER(TEXT(EDATE($D94,Milestones!$AA$78),"dd mmm yy"))&amp;" "&amp;Milestones!$AB$78&amp;" "&amp;Milestones!$AC$78&amp;";  ","")&amp;IF(AND(EDATE($D94,Milestones!$AA$79)&lt;=AsOfDate,IF($R94=0,$X94,IF(AND($T94&lt;&gt;"",EDATE($D94,Milestones!$AA$79)&gt;=$T94),$W94,IF(AND($S94&lt;&gt;"",EDATE($D94,Milestones!$AA$79)&gt;=$S94),$V94,$U94)))=Milestones!$AB$79),UPPER(TEXT(EDATE($D94,Milestones!$AA$79),"dd mmm yy"))&amp;" "&amp;Milestones!$AB$79&amp;" "&amp;Milestones!$AC$79&amp;";  ",""))</f>
        <v/>
      </c>
      <c r="L94" s="0" t="str">
        <f aca="false">IF(OR($A94="",$D94=""),"",IF(AND(EDATE($D94,Milestones!$AA$80)&lt;=AsOfDate,IF($R94=0,$X94,IF(AND($T94&lt;&gt;"",EDATE($D94,Milestones!$AA$80)&gt;=$T94),$W94,IF(AND($S94&lt;&gt;"",EDATE($D94,Milestones!$AA$80)&gt;=$S94),$V94,$U94)))=Milestones!$AB$80),UPPER(TEXT(EDATE($D94,Milestones!$AA$80),"dd mmm yy"))&amp;" "&amp;Milestones!$AB$80&amp;" "&amp;Milestones!$AC$80&amp;";  ","")&amp;IF(AND(EDATE($D94,Milestones!$AA$81)&lt;=AsOfDate,IF($R94=0,$X94,IF(AND($T94&lt;&gt;"",EDATE($D94,Milestones!$AA$81)&gt;=$T94),$W94,IF(AND($S94&lt;&gt;"",EDATE($D94,Milestones!$AA$81)&gt;=$S94),$V94,$U94)))=Milestones!$AB$81),UPPER(TEXT(EDATE($D94,Milestones!$AA$81),"dd mmm yy"))&amp;" "&amp;Milestones!$AB$81&amp;" "&amp;Milestones!$AC$81&amp;";  ","")&amp;IF(AND(EDATE($D94,Milestones!$AA$82)&lt;=AsOfDate,IF($R94=0,$X94,IF(AND($T94&lt;&gt;"",EDATE($D94,Milestones!$AA$82)&gt;=$T94),$W94,IF(AND($S94&lt;&gt;"",EDATE($D94,Milestones!$AA$82)&gt;=$S94),$V94,$U94)))=Milestones!$AB$82),UPPER(TEXT(EDATE($D94,Milestones!$AA$82),"dd mmm yy"))&amp;" "&amp;Milestones!$AB$82&amp;" "&amp;Milestones!$AC$82&amp;";  ","")&amp;IF(AND(EDATE($D94,Milestones!$AA$83)&lt;=AsOfDate,IF($R94=0,$X94,IF(AND($T94&lt;&gt;"",EDATE($D94,Milestones!$AA$83)&gt;=$T94),$W94,IF(AND($S94&lt;&gt;"",EDATE($D94,Milestones!$AA$83)&gt;=$S94),$V94,$U94)))=Milestones!$AB$83),UPPER(TEXT(EDATE($D94,Milestones!$AA$83),"dd mmm yy"))&amp;" "&amp;Milestones!$AB$83&amp;" "&amp;Milestones!$AC$83&amp;";  ","")&amp;IF(AND(EDATE($D94,Milestones!$AA$84)&lt;=AsOfDate,IF($R94=0,$X94,IF(AND($T94&lt;&gt;"",EDATE($D94,Milestones!$AA$84)&gt;=$T94),$W94,IF(AND($S94&lt;&gt;"",EDATE($D94,Milestones!$AA$84)&gt;=$S94),$V94,$U94)))=Milestones!$AB$84),UPPER(TEXT(EDATE($D94,Milestones!$AA$84),"dd mmm yy"))&amp;" "&amp;Milestones!$AB$84&amp;" "&amp;Milestones!$AC$84&amp;";  ","")&amp;IF(AND(EDATE($D94,Milestones!$AA$85)&lt;=AsOfDate,IF($R94=0,$X94,IF(AND($T94&lt;&gt;"",EDATE($D94,Milestones!$AA$85)&gt;=$T94),$W94,IF(AND($S94&lt;&gt;"",EDATE($D94,Milestones!$AA$85)&gt;=$S94),$V94,$U94)))=Milestones!$AB$85),UPPER(TEXT(EDATE($D94,Milestones!$AA$85),"dd mmm yy"))&amp;" "&amp;Milestones!$AB$85&amp;" "&amp;Milestones!$AC$85&amp;";  ","")&amp;IF(AND(EDATE($D94,Milestones!$AA$86)&lt;=AsOfDate,IF($R94=0,$X94,IF(AND($T94&lt;&gt;"",EDATE($D94,Milestones!$AA$86)&gt;=$T94),$W94,IF(AND($S94&lt;&gt;"",EDATE($D94,Milestones!$AA$86)&gt;=$S94),$V94,$U94)))=Milestones!$AB$86),UPPER(TEXT(EDATE($D94,Milestones!$AA$86),"dd mmm yy"))&amp;" "&amp;Milestones!$AB$86&amp;" "&amp;Milestones!$AC$86&amp;";  ","")&amp;IF(AND(EDATE($D94,Milestones!$AA$87)&lt;=AsOfDate,IF($R94=0,$X94,IF(AND($T94&lt;&gt;"",EDATE($D94,Milestones!$AA$87)&gt;=$T94),$W94,IF(AND($S94&lt;&gt;"",EDATE($D94,Milestones!$AA$87)&gt;=$S94),$V94,$U94)))=Milestones!$AB$87),UPPER(TEXT(EDATE($D94,Milestones!$AA$87),"dd mmm yy"))&amp;" "&amp;Milestones!$AB$87&amp;" "&amp;Milestones!$AC$87&amp;";  ","")&amp;IF(AND(EDATE($D94,Milestones!$AA$88)&lt;=AsOfDate,IF($R94=0,$X94,IF(AND($T94&lt;&gt;"",EDATE($D94,Milestones!$AA$88)&gt;=$T94),$W94,IF(AND($S94&lt;&gt;"",EDATE($D94,Milestones!$AA$88)&gt;=$S94),$V94,$U94)))=Milestones!$AB$88),UPPER(TEXT(EDATE($D94,Milestones!$AA$88),"dd mmm yy"))&amp;" "&amp;Milestones!$AB$88&amp;" "&amp;Milestones!$AC$88&amp;";  ","")&amp;IF(AND(EDATE($D94,Milestones!$AA$89)&lt;=AsOfDate,IF($R94=0,$X94,IF(AND($T94&lt;&gt;"",EDATE($D94,Milestones!$AA$89)&gt;=$T94),$W94,IF(AND($S94&lt;&gt;"",EDATE($D94,Milestones!$AA$89)&gt;=$S94),$V94,$U94)))=Milestones!$AB$89),UPPER(TEXT(EDATE($D94,Milestones!$AA$89),"dd mmm yy"))&amp;" "&amp;Milestones!$AB$89&amp;" "&amp;Milestones!$AC$89&amp;";  ","")&amp;IF(AND(EDATE($D94,Milestones!$AA$90)&lt;=AsOfDate,IF($R94=0,$X94,IF(AND($T94&lt;&gt;"",EDATE($D94,Milestones!$AA$90)&gt;=$T94),$W94,IF(AND($S94&lt;&gt;"",EDATE($D94,Milestones!$AA$90)&gt;=$S94),$V94,$U94)))=Milestones!$AB$90),UPPER(TEXT(EDATE($D94,Milestones!$AA$90),"dd mmm yy"))&amp;" "&amp;Milestones!$AB$90&amp;" "&amp;Milestones!$AC$90&amp;";  ","")&amp;IF(AND(EDATE($D94,Milestones!$AA$91)&lt;=AsOfDate,IF($R94=0,$X94,IF(AND($T94&lt;&gt;"",EDATE($D94,Milestones!$AA$91)&gt;=$T94),$W94,IF(AND($S94&lt;&gt;"",EDATE($D94,Milestones!$AA$91)&gt;=$S94),$V94,$U94)))=Milestones!$AB$91),UPPER(TEXT(EDATE($D94,Milestones!$AA$91),"dd mmm yy"))&amp;" "&amp;Milestones!$AB$91&amp;" "&amp;Milestones!$AC$91&amp;";  ","")&amp;IF(AND(EDATE($D94,Milestones!$AA$92)&lt;=AsOfDate,IF($R94=0,$X94,IF(AND($T94&lt;&gt;"",EDATE($D94,Milestones!$AA$92)&gt;=$T94),$W94,IF(AND($S94&lt;&gt;"",EDATE($D94,Milestones!$AA$92)&gt;=$S94),$V94,$U94)))=Milestones!$AB$92),UPPER(TEXT(EDATE($D94,Milestones!$AA$92),"dd mmm yy"))&amp;" "&amp;Milestones!$AB$92&amp;" "&amp;Milestones!$AC$92&amp;";  ","")&amp;IF(AND(EDATE($D94,Milestones!$AA$93)&lt;=AsOfDate,IF($R94=0,$X94,IF(AND($T94&lt;&gt;"",EDATE($D94,Milestones!$AA$93)&gt;=$T94),$W94,IF(AND($S94&lt;&gt;"",EDATE($D94,Milestones!$AA$93)&gt;=$S94),$V94,$U94)))=Milestones!$AB$93),UPPER(TEXT(EDATE($D94,Milestones!$AA$93),"dd mmm yy"))&amp;" "&amp;Milestones!$AB$93&amp;" "&amp;Milestones!$AC$93&amp;";  ","")&amp;IF(AND(EDATE($D94,Milestones!$AA$94)&lt;=AsOfDate,IF($R94=0,$X94,IF(AND($T94&lt;&gt;"",EDATE($D94,Milestones!$AA$94)&gt;=$T94),$W94,IF(AND($S94&lt;&gt;"",EDATE($D94,Milestones!$AA$94)&gt;=$S94),$V94,$U94)))=Milestones!$AB$94),UPPER(TEXT(EDATE($D94,Milestones!$AA$94),"dd mmm yy"))&amp;" "&amp;Milestones!$AB$94&amp;" "&amp;Milestones!$AC$94&amp;";  ","")&amp;IF(AND(EDATE($D94,Milestones!$AA$95)&lt;=AsOfDate,IF($R94=0,$X94,IF(AND($T94&lt;&gt;"",EDATE($D94,Milestones!$AA$95)&gt;=$T94),$W94,IF(AND($S94&lt;&gt;"",EDATE($D94,Milestones!$AA$95)&gt;=$S94),$V94,$U94)))=Milestones!$AB$95),UPPER(TEXT(EDATE($D94,Milestones!$AA$95),"dd mmm yy"))&amp;" "&amp;Milestones!$AB$95&amp;" "&amp;Milestones!$AC$95&amp;";  ","")&amp;IF(AND(EDATE($D94,Milestones!$AA$96)&lt;=AsOfDate,IF($R94=0,$X94,IF(AND($T94&lt;&gt;"",EDATE($D94,Milestones!$AA$96)&gt;=$T94),$W94,IF(AND($S94&lt;&gt;"",EDATE($D94,Milestones!$AA$96)&gt;=$S94),$V94,$U94)))=Milestones!$AB$96),UPPER(TEXT(EDATE($D94,Milestones!$AA$96),"dd mmm yy"))&amp;" "&amp;Milestones!$AB$96&amp;" "&amp;Milestones!$AC$96&amp;";  ","")&amp;IF(AND(EDATE($D94,Milestones!$AA$97)&lt;=AsOfDate,IF($R94=0,$X94,IF(AND($T94&lt;&gt;"",EDATE($D94,Milestones!$AA$97)&gt;=$T94),$W94,IF(AND($S94&lt;&gt;"",EDATE($D94,Milestones!$AA$97)&gt;=$S94),$V94,$U94)))=Milestones!$AB$97),UPPER(TEXT(EDATE($D94,Milestones!$AA$97),"dd mmm yy"))&amp;" "&amp;Milestones!$AB$97&amp;" "&amp;Milestones!$AC$97&amp;";  ","")&amp;IF(AND(EDATE($D94,Milestones!$AA$98)&lt;=AsOfDate,IF($R94=0,$X94,IF(AND($T94&lt;&gt;"",EDATE($D94,Milestones!$AA$98)&gt;=$T94),$W94,IF(AND($S94&lt;&gt;"",EDATE($D94,Milestones!$AA$98)&gt;=$S94),$V94,$U94)))=Milestones!$AB$98),UPPER(TEXT(EDATE($D94,Milestones!$AA$98),"dd mmm yy"))&amp;" "&amp;Milestones!$AB$98&amp;" "&amp;Milestones!$AC$98&amp;";  ","")&amp;IF(AND(EDATE($D94,Milestones!$AA$99)&lt;=AsOfDate,IF($R94=0,$X94,IF(AND($T94&lt;&gt;"",EDATE($D94,Milestones!$AA$99)&gt;=$T94),$W94,IF(AND($S94&lt;&gt;"",EDATE($D94,Milestones!$AA$99)&gt;=$S94),$V94,$U94)))=Milestones!$AB$99),UPPER(TEXT(EDATE($D94,Milestones!$AA$99),"dd mmm yy"))&amp;" "&amp;Milestones!$AB$99&amp;" "&amp;Milestones!$AC$99&amp;";  ",""))</f>
        <v/>
      </c>
      <c r="M94" s="0" t="str">
        <f aca="false">IF(OR($A94="",$D94=""),"",IF(AND(EDATE($D94,Milestones!$AA$100)&lt;=AsOfDate,IF($R94=0,$X94,IF(AND($T94&lt;&gt;"",EDATE($D94,Milestones!$AA$100)&gt;=$T94),$W94,IF(AND($S94&lt;&gt;"",EDATE($D94,Milestones!$AA$100)&gt;=$S94),$V94,$U94)))=Milestones!$AB$100),UPPER(TEXT(EDATE($D94,Milestones!$AA$100),"dd mmm yy"))&amp;" "&amp;Milestones!$AB$100&amp;" "&amp;Milestones!$AC$100&amp;";  ","")&amp;IF(AND(EDATE($D94,Milestones!$AA$101)&lt;=AsOfDate,IF($R94=0,$X94,IF(AND($T94&lt;&gt;"",EDATE($D94,Milestones!$AA$101)&gt;=$T94),$W94,IF(AND($S94&lt;&gt;"",EDATE($D94,Milestones!$AA$101)&gt;=$S94),$V94,$U94)))=Milestones!$AB$101),UPPER(TEXT(EDATE($D94,Milestones!$AA$101),"dd mmm yy"))&amp;" "&amp;Milestones!$AB$101&amp;" "&amp;Milestones!$AC$101&amp;";  ","")&amp;IF(AND(EDATE($D94,Milestones!$AA$102)&lt;=AsOfDate,IF($R94=0,$X94,IF(AND($T94&lt;&gt;"",EDATE($D94,Milestones!$AA$102)&gt;=$T94),$W94,IF(AND($S94&lt;&gt;"",EDATE($D94,Milestones!$AA$102)&gt;=$S94),$V94,$U94)))=Milestones!$AB$102),UPPER(TEXT(EDATE($D94,Milestones!$AA$102),"dd mmm yy"))&amp;" "&amp;Milestones!$AB$102&amp;" "&amp;Milestones!$AC$102&amp;";  ","")&amp;IF(AND(EDATE($D94,Milestones!$AA$103)&lt;=AsOfDate,IF($R94=0,$X94,IF(AND($T94&lt;&gt;"",EDATE($D94,Milestones!$AA$103)&gt;=$T94),$W94,IF(AND($S94&lt;&gt;"",EDATE($D94,Milestones!$AA$103)&gt;=$S94),$V94,$U94)))=Milestones!$AB$103),UPPER(TEXT(EDATE($D94,Milestones!$AA$103),"dd mmm yy"))&amp;" "&amp;Milestones!$AB$103&amp;" "&amp;Milestones!$AC$103&amp;";  ","")&amp;IF(AND(EDATE($D94,Milestones!$AA$104)&lt;=AsOfDate,IF($R94=0,$X94,IF(AND($T94&lt;&gt;"",EDATE($D94,Milestones!$AA$104)&gt;=$T94),$W94,IF(AND($S94&lt;&gt;"",EDATE($D94,Milestones!$AA$104)&gt;=$S94),$V94,$U94)))=Milestones!$AB$104),UPPER(TEXT(EDATE($D94,Milestones!$AA$104),"dd mmm yy"))&amp;" "&amp;Milestones!$AB$104&amp;" "&amp;Milestones!$AC$104&amp;";  ","")&amp;IF(AND(EDATE($D94,Milestones!$AA$105)&lt;=AsOfDate,IF($R94=0,$X94,IF(AND($T94&lt;&gt;"",EDATE($D94,Milestones!$AA$105)&gt;=$T94),$W94,IF(AND($S94&lt;&gt;"",EDATE($D94,Milestones!$AA$105)&gt;=$S94),$V94,$U94)))=Milestones!$AB$105),UPPER(TEXT(EDATE($D94,Milestones!$AA$105),"dd mmm yy"))&amp;" "&amp;Milestones!$AB$105&amp;" "&amp;Milestones!$AC$105&amp;";  ","")&amp;IF(AND(EDATE($D94,Milestones!$AA$106)&lt;=AsOfDate,IF($R94=0,$X94,IF(AND($T94&lt;&gt;"",EDATE($D94,Milestones!$AA$106)&gt;=$T94),$W94,IF(AND($S94&lt;&gt;"",EDATE($D94,Milestones!$AA$106)&gt;=$S94),$V94,$U94)))=Milestones!$AB$106),UPPER(TEXT(EDATE($D94,Milestones!$AA$106),"dd mmm yy"))&amp;" "&amp;Milestones!$AB$106&amp;" "&amp;Milestones!$AC$106&amp;";  ","")&amp;IF(AND(EDATE($D94,Milestones!$AA$107)&lt;=AsOfDate,IF($R94=0,$X94,IF(AND($T94&lt;&gt;"",EDATE($D94,Milestones!$AA$107)&gt;=$T94),$W94,IF(AND($S94&lt;&gt;"",EDATE($D94,Milestones!$AA$107)&gt;=$S94),$V94,$U94)))=Milestones!$AB$107),UPPER(TEXT(EDATE($D94,Milestones!$AA$107),"dd mmm yy"))&amp;" "&amp;Milestones!$AB$107&amp;" "&amp;Milestones!$AC$107&amp;";  ","")&amp;IF(AND(EDATE($D94,Milestones!$AA$108)&lt;=AsOfDate,IF($R94=0,$X94,IF(AND($T94&lt;&gt;"",EDATE($D94,Milestones!$AA$108)&gt;=$T94),$W94,IF(AND($S94&lt;&gt;"",EDATE($D94,Milestones!$AA$108)&gt;=$S94),$V94,$U94)))=Milestones!$AB$108),UPPER(TEXT(EDATE($D94,Milestones!$AA$108),"dd mmm yy"))&amp;" "&amp;Milestones!$AB$108&amp;" "&amp;Milestones!$AC$108&amp;";  ","")&amp;IF(AND(EDATE($D94,Milestones!$AA$109)&lt;=AsOfDate,IF($R94=0,$X94,IF(AND($T94&lt;&gt;"",EDATE($D94,Milestones!$AA$109)&gt;=$T94),$W94,IF(AND($S94&lt;&gt;"",EDATE($D94,Milestones!$AA$109)&gt;=$S94),$V94,$U94)))=Milestones!$AB$109),UPPER(TEXT(EDATE($D94,Milestones!$AA$109),"dd mmm yy"))&amp;" "&amp;Milestones!$AB$109&amp;" "&amp;Milestones!$AC$109&amp;";  ","")&amp;IF(AND(EDATE($D94,Milestones!$AA$110)&lt;=AsOfDate,IF($R94=0,$X94,IF(AND($T94&lt;&gt;"",EDATE($D94,Milestones!$AA$110)&gt;=$T94),$W94,IF(AND($S94&lt;&gt;"",EDATE($D94,Milestones!$AA$110)&gt;=$S94),$V94,$U94)))=Milestones!$AB$110),UPPER(TEXT(EDATE($D94,Milestones!$AA$110),"dd mmm yy"))&amp;" "&amp;Milestones!$AB$110&amp;" "&amp;Milestones!$AC$110&amp;";  ","")&amp;IF(AND(EDATE($D94,Milestones!$AA$111)&lt;=AsOfDate,IF($R94=0,$X94,IF(AND($T94&lt;&gt;"",EDATE($D94,Milestones!$AA$111)&gt;=$T94),$W94,IF(AND($S94&lt;&gt;"",EDATE($D94,Milestones!$AA$111)&gt;=$S94),$V94,$U94)))=Milestones!$AB$111),UPPER(TEXT(EDATE($D94,Milestones!$AA$111),"dd mmm yy"))&amp;" "&amp;Milestones!$AB$111&amp;" "&amp;Milestones!$AC$111&amp;";  ","")&amp;IF(AND(EDATE($D94,Milestones!$AA$112)&lt;=AsOfDate,IF($R94=0,$X94,IF(AND($T94&lt;&gt;"",EDATE($D94,Milestones!$AA$112)&gt;=$T94),$W94,IF(AND($S94&lt;&gt;"",EDATE($D94,Milestones!$AA$112)&gt;=$S94),$V94,$U94)))=Milestones!$AB$112),UPPER(TEXT(EDATE($D94,Milestones!$AA$112),"dd mmm yy"))&amp;" "&amp;Milestones!$AB$112&amp;" "&amp;Milestones!$AC$112&amp;";  ","")&amp;IF(AND(EDATE($D94,Milestones!$AA$113)&lt;=AsOfDate,IF($R94=0,$X94,IF(AND($T94&lt;&gt;"",EDATE($D94,Milestones!$AA$113)&gt;=$T94),$W94,IF(AND($S94&lt;&gt;"",EDATE($D94,Milestones!$AA$113)&gt;=$S94),$V94,$U94)))=Milestones!$AB$113),UPPER(TEXT(EDATE($D94,Milestones!$AA$113),"dd mmm yy"))&amp;" "&amp;Milestones!$AB$113&amp;" "&amp;Milestones!$AC$113&amp;";  ","")&amp;IF(AND(EDATE($D94,Milestones!$AA$114)&lt;=AsOfDate,IF($R94=0,$X94,IF(AND($T94&lt;&gt;"",EDATE($D94,Milestones!$AA$114)&gt;=$T94),$W94,IF(AND($S94&lt;&gt;"",EDATE($D94,Milestones!$AA$114)&gt;=$S94),$V94,$U94)))=Milestones!$AB$114),UPPER(TEXT(EDATE($D94,Milestones!$AA$114),"dd mmm yy"))&amp;" "&amp;Milestones!$AB$114&amp;" "&amp;Milestones!$AC$114&amp;";  ","")&amp;IF(AND(EDATE($D94,Milestones!$AA$115)&lt;=AsOfDate,IF($R94=0,$X94,IF(AND($T94&lt;&gt;"",EDATE($D94,Milestones!$AA$115)&gt;=$T94),$W94,IF(AND($S94&lt;&gt;"",EDATE($D94,Milestones!$AA$115)&gt;=$S94),$V94,$U94)))=Milestones!$AB$115),UPPER(TEXT(EDATE($D94,Milestones!$AA$115),"dd mmm yy"))&amp;" "&amp;Milestones!$AB$115&amp;" "&amp;Milestones!$AC$115&amp;";  ","")&amp;IF(AND(EDATE($D94,Milestones!$AA$116)&lt;=AsOfDate,IF($R94=0,$X94,IF(AND($T94&lt;&gt;"",EDATE($D94,Milestones!$AA$116)&gt;=$T94),$W94,IF(AND($S94&lt;&gt;"",EDATE($D94,Milestones!$AA$116)&gt;=$S94),$V94,$U94)))=Milestones!$AB$116),UPPER(TEXT(EDATE($D94,Milestones!$AA$116),"dd mmm yy"))&amp;" "&amp;Milestones!$AB$116&amp;" "&amp;Milestones!$AC$116&amp;";  ","")&amp;IF(AND(EDATE($D94,Milestones!$AA$117)&lt;=AsOfDate,IF($R94=0,$X94,IF(AND($T94&lt;&gt;"",EDATE($D94,Milestones!$AA$117)&gt;=$T94),$W94,IF(AND($S94&lt;&gt;"",EDATE($D94,Milestones!$AA$117)&gt;=$S94),$V94,$U94)))=Milestones!$AB$117),UPPER(TEXT(EDATE($D94,Milestones!$AA$117),"dd mmm yy"))&amp;" "&amp;Milestones!$AB$117&amp;" "&amp;Milestones!$AC$117&amp;";  ","")&amp;IF(AND(EDATE($D94,Milestones!$AA$118)&lt;=AsOfDate,IF($R94=0,$X94,IF(AND($T94&lt;&gt;"",EDATE($D94,Milestones!$AA$118)&gt;=$T94),$W94,IF(AND($S94&lt;&gt;"",EDATE($D94,Milestones!$AA$118)&gt;=$S94),$V94,$U94)))=Milestones!$AB$118),UPPER(TEXT(EDATE($D94,Milestones!$AA$118),"dd mmm yy"))&amp;" "&amp;Milestones!$AB$118&amp;" "&amp;Milestones!$AC$118&amp;";  ","")&amp;IF(AND(EDATE($D94,Milestones!$AA$119)&lt;=AsOfDate,IF($R94=0,$X94,IF(AND($T94&lt;&gt;"",EDATE($D94,Milestones!$AA$119)&gt;=$T94),$W94,IF(AND($S94&lt;&gt;"",EDATE($D94,Milestones!$AA$119)&gt;=$S94),$V94,$U94)))=Milestones!$AB$119),UPPER(TEXT(EDATE($D94,Milestones!$AA$119),"dd mmm yy"))&amp;" "&amp;Milestones!$AB$119&amp;" "&amp;Milestones!$AC$119&amp;";  ",""))</f>
        <v/>
      </c>
      <c r="N94" s="0" t="str">
        <f aca="false">IF(OR($A94="",$D94=""),"",IF(AND(EDATE($D94,Milestones!$AA$120)&lt;=AsOfDate,IF($R94=0,$X94,IF(AND($T94&lt;&gt;"",EDATE($D94,Milestones!$AA$120)&gt;=$T94),$W94,IF(AND($S94&lt;&gt;"",EDATE($D94,Milestones!$AA$120)&gt;=$S94),$V94,$U94)))=Milestones!$AB$120),UPPER(TEXT(EDATE($D94,Milestones!$AA$120),"dd mmm yy"))&amp;" "&amp;Milestones!$AB$120&amp;" "&amp;Milestones!$AC$120&amp;";  ","")&amp;IF(AND(EDATE($D94,Milestones!$AA$121)&lt;=AsOfDate,IF($R94=0,$X94,IF(AND($T94&lt;&gt;"",EDATE($D94,Milestones!$AA$121)&gt;=$T94),$W94,IF(AND($S94&lt;&gt;"",EDATE($D94,Milestones!$AA$121)&gt;=$S94),$V94,$U94)))=Milestones!$AB$121),UPPER(TEXT(EDATE($D94,Milestones!$AA$121),"dd mmm yy"))&amp;" "&amp;Milestones!$AB$121&amp;" "&amp;Milestones!$AC$121&amp;";  ","")&amp;IF(AND(EDATE($D94,Milestones!$AA$122)&lt;=AsOfDate,IF($R94=0,$X94,IF(AND($T94&lt;&gt;"",EDATE($D94,Milestones!$AA$122)&gt;=$T94),$W94,IF(AND($S94&lt;&gt;"",EDATE($D94,Milestones!$AA$122)&gt;=$S94),$V94,$U94)))=Milestones!$AB$122),UPPER(TEXT(EDATE($D94,Milestones!$AA$122),"dd mmm yy"))&amp;" "&amp;Milestones!$AB$122&amp;" "&amp;Milestones!$AC$122&amp;";  ","")&amp;IF(AND(EDATE($D94,Milestones!$AA$123)&lt;=AsOfDate,IF($R94=0,$X94,IF(AND($T94&lt;&gt;"",EDATE($D94,Milestones!$AA$123)&gt;=$T94),$W94,IF(AND($S94&lt;&gt;"",EDATE($D94,Milestones!$AA$123)&gt;=$S94),$V94,$U94)))=Milestones!$AB$123),UPPER(TEXT(EDATE($D94,Milestones!$AA$123),"dd mmm yy"))&amp;" "&amp;Milestones!$AB$123&amp;" "&amp;Milestones!$AC$123&amp;";  ","")&amp;IF(AND(EDATE($D94,Milestones!$AA$124)&lt;=AsOfDate,IF($R94=0,$X94,IF(AND($T94&lt;&gt;"",EDATE($D94,Milestones!$AA$124)&gt;=$T94),$W94,IF(AND($S94&lt;&gt;"",EDATE($D94,Milestones!$AA$124)&gt;=$S94),$V94,$U94)))=Milestones!$AB$124),UPPER(TEXT(EDATE($D94,Milestones!$AA$124),"dd mmm yy"))&amp;" "&amp;Milestones!$AB$124&amp;" "&amp;Milestones!$AC$124&amp;";  ","")&amp;IF(AND(EDATE($D94,Milestones!$AA$125)&lt;=AsOfDate,IF($R94=0,$X94,IF(AND($T94&lt;&gt;"",EDATE($D94,Milestones!$AA$125)&gt;=$T94),$W94,IF(AND($S94&lt;&gt;"",EDATE($D94,Milestones!$AA$125)&gt;=$S94),$V94,$U94)))=Milestones!$AB$125),UPPER(TEXT(EDATE($D94,Milestones!$AA$125),"dd mmm yy"))&amp;" "&amp;Milestones!$AB$125&amp;" "&amp;Milestones!$AC$125&amp;";  ","")&amp;IF(AND(EDATE($D94,Milestones!$AA$126)&lt;=AsOfDate,IF($R94=0,$X94,IF(AND($T94&lt;&gt;"",EDATE($D94,Milestones!$AA$126)&gt;=$T94),$W94,IF(AND($S94&lt;&gt;"",EDATE($D94,Milestones!$AA$126)&gt;=$S94),$V94,$U94)))=Milestones!$AB$126),UPPER(TEXT(EDATE($D94,Milestones!$AA$126),"dd mmm yy"))&amp;" "&amp;Milestones!$AB$126&amp;" "&amp;Milestones!$AC$126&amp;";  ","")&amp;IF(AND(EDATE($D94,Milestones!$AA$127)&lt;=AsOfDate,IF($R94=0,$X94,IF(AND($T94&lt;&gt;"",EDATE($D94,Milestones!$AA$127)&gt;=$T94),$W94,IF(AND($S94&lt;&gt;"",EDATE($D94,Milestones!$AA$127)&gt;=$S94),$V94,$U94)))=Milestones!$AB$127),UPPER(TEXT(EDATE($D94,Milestones!$AA$127),"dd mmm yy"))&amp;" "&amp;Milestones!$AB$127&amp;" "&amp;Milestones!$AC$127&amp;";  ","")&amp;IF(AND(EDATE($D94,Milestones!$AA$128)&lt;=AsOfDate,IF($R94=0,$X94,IF(AND($T94&lt;&gt;"",EDATE($D94,Milestones!$AA$128)&gt;=$T94),$W94,IF(AND($S94&lt;&gt;"",EDATE($D94,Milestones!$AA$128)&gt;=$S94),$V94,$U94)))=Milestones!$AB$128),UPPER(TEXT(EDATE($D94,Milestones!$AA$128),"dd mmm yy"))&amp;" "&amp;Milestones!$AB$128&amp;" "&amp;Milestones!$AC$128&amp;";  ","")&amp;IF(AND(EDATE($D94,Milestones!$AA$129)&lt;=AsOfDate,IF($R94=0,$X94,IF(AND($T94&lt;&gt;"",EDATE($D94,Milestones!$AA$129)&gt;=$T94),$W94,IF(AND($S94&lt;&gt;"",EDATE($D94,Milestones!$AA$129)&gt;=$S94),$V94,$U94)))=Milestones!$AB$129),UPPER(TEXT(EDATE($D94,Milestones!$AA$129),"dd mmm yy"))&amp;" "&amp;Milestones!$AB$129&amp;" "&amp;Milestones!$AC$129&amp;";  ","")&amp;IF(AND(EDATE($D94,Milestones!$AA$130)&lt;=AsOfDate,IF($R94=0,$X94,IF(AND($T94&lt;&gt;"",EDATE($D94,Milestones!$AA$130)&gt;=$T94),$W94,IF(AND($S94&lt;&gt;"",EDATE($D94,Milestones!$AA$130)&gt;=$S94),$V94,$U94)))=Milestones!$AB$130),UPPER(TEXT(EDATE($D94,Milestones!$AA$130),"dd mmm yy"))&amp;" "&amp;Milestones!$AB$130&amp;" "&amp;Milestones!$AC$130&amp;";  ","")&amp;IF(AND(EDATE($D94,Milestones!$AA$131)&lt;=AsOfDate,IF($R94=0,$X94,IF(AND($T94&lt;&gt;"",EDATE($D94,Milestones!$AA$131)&gt;=$T94),$W94,IF(AND($S94&lt;&gt;"",EDATE($D94,Milestones!$AA$131)&gt;=$S94),$V94,$U94)))=Milestones!$AB$131),UPPER(TEXT(EDATE($D94,Milestones!$AA$131),"dd mmm yy"))&amp;" "&amp;Milestones!$AB$131&amp;" "&amp;Milestones!$AC$131&amp;";  ","")&amp;IF(AND(EDATE($D94,Milestones!$AA$132)&lt;=AsOfDate,IF($R94=0,$X94,IF(AND($T94&lt;&gt;"",EDATE($D94,Milestones!$AA$132)&gt;=$T94),$W94,IF(AND($S94&lt;&gt;"",EDATE($D94,Milestones!$AA$132)&gt;=$S94),$V94,$U94)))=Milestones!$AB$132),UPPER(TEXT(EDATE($D94,Milestones!$AA$132),"dd mmm yy"))&amp;" "&amp;Milestones!$AB$132&amp;" "&amp;Milestones!$AC$132&amp;";  ","")&amp;IF(AND(EDATE($D94,Milestones!$AA$133)&lt;=AsOfDate,IF($R94=0,$X94,IF(AND($T94&lt;&gt;"",EDATE($D94,Milestones!$AA$133)&gt;=$T94),$W94,IF(AND($S94&lt;&gt;"",EDATE($D94,Milestones!$AA$133)&gt;=$S94),$V94,$U94)))=Milestones!$AB$133),UPPER(TEXT(EDATE($D94,Milestones!$AA$133),"dd mmm yy"))&amp;" "&amp;Milestones!$AB$133&amp;" "&amp;Milestones!$AC$133&amp;";  ","")&amp;IF(AND(EDATE($D94,Milestones!$AA$134)&lt;=AsOfDate,IF($R94=0,$X94,IF(AND($T94&lt;&gt;"",EDATE($D94,Milestones!$AA$134)&gt;=$T94),$W94,IF(AND($S94&lt;&gt;"",EDATE($D94,Milestones!$AA$134)&gt;=$S94),$V94,$U94)))=Milestones!$AB$134),UPPER(TEXT(EDATE($D94,Milestones!$AA$134),"dd mmm yy"))&amp;" "&amp;Milestones!$AB$134&amp;" "&amp;Milestones!$AC$134&amp;";  ","")&amp;IF(AND(EDATE($D94,Milestones!$AA$135)&lt;=AsOfDate,IF($R94=0,$X94,IF(AND($T94&lt;&gt;"",EDATE($D94,Milestones!$AA$135)&gt;=$T94),$W94,IF(AND($S94&lt;&gt;"",EDATE($D94,Milestones!$AA$135)&gt;=$S94),$V94,$U94)))=Milestones!$AB$135),UPPER(TEXT(EDATE($D94,Milestones!$AA$135),"dd mmm yy"))&amp;" "&amp;Milestones!$AB$135&amp;" "&amp;Milestones!$AC$135&amp;";  ","")&amp;IF(AND(EDATE($D94,Milestones!$AA$136)&lt;=AsOfDate,IF($R94=0,$X94,IF(AND($T94&lt;&gt;"",EDATE($D94,Milestones!$AA$136)&gt;=$T94),$W94,IF(AND($S94&lt;&gt;"",EDATE($D94,Milestones!$AA$136)&gt;=$S94),$V94,$U94)))=Milestones!$AB$136),UPPER(TEXT(EDATE($D94,Milestones!$AA$136),"dd mmm yy"))&amp;" "&amp;Milestones!$AB$136&amp;" "&amp;Milestones!$AC$136&amp;";  ","")&amp;IF(AND(EDATE($D94,Milestones!$AA$137)&lt;=AsOfDate,IF($R94=0,$X94,IF(AND($T94&lt;&gt;"",EDATE($D94,Milestones!$AA$137)&gt;=$T94),$W94,IF(AND($S94&lt;&gt;"",EDATE($D94,Milestones!$AA$137)&gt;=$S94),$V94,$U94)))=Milestones!$AB$137),UPPER(TEXT(EDATE($D94,Milestones!$AA$137),"dd mmm yy"))&amp;" "&amp;Milestones!$AB$137&amp;" "&amp;Milestones!$AC$137&amp;";  ","")&amp;IF(AND(EDATE($D94,Milestones!$AA$138)&lt;=AsOfDate,IF($R94=0,$X94,IF(AND($T94&lt;&gt;"",EDATE($D94,Milestones!$AA$138)&gt;=$T94),$W94,IF(AND($S94&lt;&gt;"",EDATE($D94,Milestones!$AA$138)&gt;=$S94),$V94,$U94)))=Milestones!$AB$138),UPPER(TEXT(EDATE($D94,Milestones!$AA$138),"dd mmm yy"))&amp;" "&amp;Milestones!$AB$138&amp;" "&amp;Milestones!$AC$138&amp;";  ","")&amp;IF(AND(EDATE($D94,Milestones!$AA$139)&lt;=AsOfDate,IF($R94=0,$X94,IF(AND($T94&lt;&gt;"",EDATE($D94,Milestones!$AA$139)&gt;=$T94),$W94,IF(AND($S94&lt;&gt;"",EDATE($D94,Milestones!$AA$139)&gt;=$S94),$V94,$U94)))=Milestones!$AB$139),UPPER(TEXT(EDATE($D94,Milestones!$AA$139),"dd mmm yy"))&amp;" "&amp;Milestones!$AB$139&amp;" "&amp;Milestones!$AC$139&amp;";  ",""))</f>
        <v/>
      </c>
      <c r="O94" s="0" t="str">
        <f aca="false">IF(OR($A94="",$D94=""),"",IF(AND(EDATE($D94,Milestones!$AA$140)&lt;=AsOfDate,IF($R94=0,$X94,IF(AND($T94&lt;&gt;"",EDATE($D94,Milestones!$AA$140)&gt;=$T94),$W94,IF(AND($S94&lt;&gt;"",EDATE($D94,Milestones!$AA$140)&gt;=$S94),$V94,$U94)))=Milestones!$AB$140),UPPER(TEXT(EDATE($D94,Milestones!$AA$140),"dd mmm yy"))&amp;" "&amp;Milestones!$AB$140&amp;" "&amp;Milestones!$AC$140&amp;";  ","")&amp;IF(AND(EDATE($D94,Milestones!$AA$141)&lt;=AsOfDate,IF($R94=0,$X94,IF(AND($T94&lt;&gt;"",EDATE($D94,Milestones!$AA$141)&gt;=$T94),$W94,IF(AND($S94&lt;&gt;"",EDATE($D94,Milestones!$AA$141)&gt;=$S94),$V94,$U94)))=Milestones!$AB$141),UPPER(TEXT(EDATE($D94,Milestones!$AA$141),"dd mmm yy"))&amp;" "&amp;Milestones!$AB$141&amp;" "&amp;Milestones!$AC$141&amp;";  ","")&amp;IF(AND(EDATE($D94,Milestones!$AA$142)&lt;=AsOfDate,IF($R94=0,$X94,IF(AND($T94&lt;&gt;"",EDATE($D94,Milestones!$AA$142)&gt;=$T94),$W94,IF(AND($S94&lt;&gt;"",EDATE($D94,Milestones!$AA$142)&gt;=$S94),$V94,$U94)))=Milestones!$AB$142),UPPER(TEXT(EDATE($D94,Milestones!$AA$142),"dd mmm yy"))&amp;" "&amp;Milestones!$AB$142&amp;" "&amp;Milestones!$AC$142&amp;";  ","")&amp;IF(AND(EDATE($D94,Milestones!$AA$143)&lt;=AsOfDate,IF($R94=0,$X94,IF(AND($T94&lt;&gt;"",EDATE($D94,Milestones!$AA$143)&gt;=$T94),$W94,IF(AND($S94&lt;&gt;"",EDATE($D94,Milestones!$AA$143)&gt;=$S94),$V94,$U94)))=Milestones!$AB$143),UPPER(TEXT(EDATE($D94,Milestones!$AA$143),"dd mmm yy"))&amp;" "&amp;Milestones!$AB$143&amp;" "&amp;Milestones!$AC$143&amp;";  ","")&amp;IF(AND(EDATE($D94,Milestones!$AA$144)&lt;=AsOfDate,IF($R94=0,$X94,IF(AND($T94&lt;&gt;"",EDATE($D94,Milestones!$AA$144)&gt;=$T94),$W94,IF(AND($S94&lt;&gt;"",EDATE($D94,Milestones!$AA$144)&gt;=$S94),$V94,$U94)))=Milestones!$AB$144),UPPER(TEXT(EDATE($D94,Milestones!$AA$144),"dd mmm yy"))&amp;" "&amp;Milestones!$AB$144&amp;" "&amp;Milestones!$AC$144&amp;";  ","")&amp;IF(AND(EDATE($D94,Milestones!$AA$145)&lt;=AsOfDate,IF($R94=0,$X94,IF(AND($T94&lt;&gt;"",EDATE($D94,Milestones!$AA$145)&gt;=$T94),$W94,IF(AND($S94&lt;&gt;"",EDATE($D94,Milestones!$AA$145)&gt;=$S94),$V94,$U94)))=Milestones!$AB$145),UPPER(TEXT(EDATE($D94,Milestones!$AA$145),"dd mmm yy"))&amp;" "&amp;Milestones!$AB$145&amp;" "&amp;Milestones!$AC$145&amp;";  ","")&amp;IF(AND(EDATE($D94,Milestones!$AA$146)&lt;=AsOfDate,IF($R94=0,$X94,IF(AND($T94&lt;&gt;"",EDATE($D94,Milestones!$AA$146)&gt;=$T94),$W94,IF(AND($S94&lt;&gt;"",EDATE($D94,Milestones!$AA$146)&gt;=$S94),$V94,$U94)))=Milestones!$AB$146),UPPER(TEXT(EDATE($D94,Milestones!$AA$146),"dd mmm yy"))&amp;" "&amp;Milestones!$AB$146&amp;" "&amp;Milestones!$AC$146&amp;";  ","")&amp;IF(AND(EDATE($D94,Milestones!$AA$147)&lt;=AsOfDate,IF($R94=0,$X94,IF(AND($T94&lt;&gt;"",EDATE($D94,Milestones!$AA$147)&gt;=$T94),$W94,IF(AND($S94&lt;&gt;"",EDATE($D94,Milestones!$AA$147)&gt;=$S94),$V94,$U94)))=Milestones!$AB$147),UPPER(TEXT(EDATE($D94,Milestones!$AA$147),"dd mmm yy"))&amp;" "&amp;Milestones!$AB$147&amp;" "&amp;Milestones!$AC$147&amp;";  ","")&amp;IF(AND(EDATE($D94,Milestones!$AA$148)&lt;=AsOfDate,IF($R94=0,$X94,IF(AND($T94&lt;&gt;"",EDATE($D94,Milestones!$AA$148)&gt;=$T94),$W94,IF(AND($S94&lt;&gt;"",EDATE($D94,Milestones!$AA$148)&gt;=$S94),$V94,$U94)))=Milestones!$AB$148),UPPER(TEXT(EDATE($D94,Milestones!$AA$148),"dd mmm yy"))&amp;" "&amp;Milestones!$AB$148&amp;" "&amp;Milestones!$AC$148&amp;";  ","")&amp;IF(AND(EDATE($D94,Milestones!$AA$149)&lt;=AsOfDate,IF($R94=0,$X94,IF(AND($T94&lt;&gt;"",EDATE($D94,Milestones!$AA$149)&gt;=$T94),$W94,IF(AND($S94&lt;&gt;"",EDATE($D94,Milestones!$AA$149)&gt;=$S94),$V94,$U94)))=Milestones!$AB$149),UPPER(TEXT(EDATE($D94,Milestones!$AA$149),"dd mmm yy"))&amp;" "&amp;Milestones!$AB$149&amp;" "&amp;Milestones!$AC$149&amp;";  ","")&amp;IF(AND(EDATE($D94,Milestones!$AA$150)&lt;=AsOfDate,IF($R94=0,$X94,IF(AND($T94&lt;&gt;"",EDATE($D94,Milestones!$AA$150)&gt;=$T94),$W94,IF(AND($S94&lt;&gt;"",EDATE($D94,Milestones!$AA$150)&gt;=$S94),$V94,$U94)))=Milestones!$AB$150),UPPER(TEXT(EDATE($D94,Milestones!$AA$150),"dd mmm yy"))&amp;" "&amp;Milestones!$AB$150&amp;" "&amp;Milestones!$AC$150&amp;";  ","")&amp;IF(AND(EDATE($D94,Milestones!$AA$151)&lt;=AsOfDate,IF($R94=0,$X94,IF(AND($T94&lt;&gt;"",EDATE($D94,Milestones!$AA$151)&gt;=$T94),$W94,IF(AND($S94&lt;&gt;"",EDATE($D94,Milestones!$AA$151)&gt;=$S94),$V94,$U94)))=Milestones!$AB$151),UPPER(TEXT(EDATE($D94,Milestones!$AA$151),"dd mmm yy"))&amp;" "&amp;Milestones!$AB$151&amp;" "&amp;Milestones!$AC$151&amp;";  ","")&amp;IF(AND(EDATE($D94,Milestones!$AA$152)&lt;=AsOfDate,IF($R94=0,$X94,IF(AND($T94&lt;&gt;"",EDATE($D94,Milestones!$AA$152)&gt;=$T94),$W94,IF(AND($S94&lt;&gt;"",EDATE($D94,Milestones!$AA$152)&gt;=$S94),$V94,$U94)))=Milestones!$AB$152),UPPER(TEXT(EDATE($D94,Milestones!$AA$152),"dd mmm yy"))&amp;" "&amp;Milestones!$AB$152&amp;" "&amp;Milestones!$AC$152&amp;";  ","")&amp;IF(AND(EDATE($D94,Milestones!$AA$153)&lt;=AsOfDate,IF($R94=0,$X94,IF(AND($T94&lt;&gt;"",EDATE($D94,Milestones!$AA$153)&gt;=$T94),$W94,IF(AND($S94&lt;&gt;"",EDATE($D94,Milestones!$AA$153)&gt;=$S94),$V94,$U94)))=Milestones!$AB$153),UPPER(TEXT(EDATE($D94,Milestones!$AA$153),"dd mmm yy"))&amp;" "&amp;Milestones!$AB$153&amp;" "&amp;Milestones!$AC$153&amp;";  ","")&amp;IF(AND(EDATE($D94,Milestones!$AA$154)&lt;=AsOfDate,IF($R94=0,$X94,IF(AND($T94&lt;&gt;"",EDATE($D94,Milestones!$AA$154)&gt;=$T94),$W94,IF(AND($S94&lt;&gt;"",EDATE($D94,Milestones!$AA$154)&gt;=$S94),$V94,$U94)))=Milestones!$AB$154),UPPER(TEXT(EDATE($D94,Milestones!$AA$154),"dd mmm yy"))&amp;" "&amp;Milestones!$AB$154&amp;" "&amp;Milestones!$AC$154&amp;";  ","")&amp;IF(AND(EDATE($D94,Milestones!$AA$155)&lt;=AsOfDate,IF($R94=0,$X94,IF(AND($T94&lt;&gt;"",EDATE($D94,Milestones!$AA$155)&gt;=$T94),$W94,IF(AND($S94&lt;&gt;"",EDATE($D94,Milestones!$AA$155)&gt;=$S94),$V94,$U94)))=Milestones!$AB$155),UPPER(TEXT(EDATE($D94,Milestones!$AA$155),"dd mmm yy"))&amp;" "&amp;Milestones!$AB$155&amp;" "&amp;Milestones!$AC$155&amp;";  ","")&amp;IF(AND(EDATE($D94,Milestones!$AA$156)&lt;=AsOfDate,IF($R94=0,$X94,IF(AND($T94&lt;&gt;"",EDATE($D94,Milestones!$AA$156)&gt;=$T94),$W94,IF(AND($S94&lt;&gt;"",EDATE($D94,Milestones!$AA$156)&gt;=$S94),$V94,$U94)))=Milestones!$AB$156),UPPER(TEXT(EDATE($D94,Milestones!$AA$156),"dd mmm yy"))&amp;" "&amp;Milestones!$AB$156&amp;" "&amp;Milestones!$AC$156&amp;";  ","")&amp;IF(AND(EDATE($D94,Milestones!$AA$157)&lt;=AsOfDate,IF($R94=0,$X94,IF(AND($T94&lt;&gt;"",EDATE($D94,Milestones!$AA$157)&gt;=$T94),$W94,IF(AND($S94&lt;&gt;"",EDATE($D94,Milestones!$AA$157)&gt;=$S94),$V94,$U94)))=Milestones!$AB$157),UPPER(TEXT(EDATE($D94,Milestones!$AA$157),"dd mmm yy"))&amp;" "&amp;Milestones!$AB$157&amp;" "&amp;Milestones!$AC$157&amp;";  ","")&amp;IF(AND(EDATE($D94,Milestones!$AA$158)&lt;=AsOfDate,IF($R94=0,$X94,IF(AND($T94&lt;&gt;"",EDATE($D94,Milestones!$AA$158)&gt;=$T94),$W94,IF(AND($S94&lt;&gt;"",EDATE($D94,Milestones!$AA$158)&gt;=$S94),$V94,$U94)))=Milestones!$AB$158),UPPER(TEXT(EDATE($D94,Milestones!$AA$158),"dd mmm yy"))&amp;" "&amp;Milestones!$AB$158&amp;" "&amp;Milestones!$AC$158&amp;";  ","")&amp;IF(AND(EDATE($D94,Milestones!$AA$159)&lt;=AsOfDate,IF($R94=0,$X94,IF(AND($T94&lt;&gt;"",EDATE($D94,Milestones!$AA$159)&gt;=$T94),$W94,IF(AND($S94&lt;&gt;"",EDATE($D94,Milestones!$AA$159)&gt;=$S94),$V94,$U94)))=Milestones!$AB$159),UPPER(TEXT(EDATE($D94,Milestones!$AA$159),"dd mmm yy"))&amp;" "&amp;Milestones!$AB$159&amp;" "&amp;Milestones!$AC$159&amp;";  ",""))</f>
        <v/>
      </c>
      <c r="P94" s="0" t="str">
        <f aca="false">IF(OR($A94="",$D94=""),"",IF(AND(EDATE($D94,Milestones!$AA$160)&lt;=AsOfDate,IF($R94=0,$X94,IF(AND($T94&lt;&gt;"",EDATE($D94,Milestones!$AA$160)&gt;=$T94),$W94,IF(AND($S94&lt;&gt;"",EDATE($D94,Milestones!$AA$160)&gt;=$S94),$V94,$U94)))=Milestones!$AB$160),UPPER(TEXT(EDATE($D94,Milestones!$AA$160),"dd mmm yy"))&amp;" "&amp;Milestones!$AB$160&amp;" "&amp;Milestones!$AC$160&amp;";  ","")&amp;IF(AND(EDATE($D94,Milestones!$AA$161)&lt;=AsOfDate,IF($R94=0,$X94,IF(AND($T94&lt;&gt;"",EDATE($D94,Milestones!$AA$161)&gt;=$T94),$W94,IF(AND($S94&lt;&gt;"",EDATE($D94,Milestones!$AA$161)&gt;=$S94),$V94,$U94)))=Milestones!$AB$161),UPPER(TEXT(EDATE($D94,Milestones!$AA$161),"dd mmm yy"))&amp;" "&amp;Milestones!$AB$161&amp;" "&amp;Milestones!$AC$161&amp;";  ","")&amp;IF(AND(EDATE($D94,Milestones!$AA$162)&lt;=AsOfDate,IF($R94=0,$X94,IF(AND($T94&lt;&gt;"",EDATE($D94,Milestones!$AA$162)&gt;=$T94),$W94,IF(AND($S94&lt;&gt;"",EDATE($D94,Milestones!$AA$162)&gt;=$S94),$V94,$U94)))=Milestones!$AB$162),UPPER(TEXT(EDATE($D94,Milestones!$AA$162),"dd mmm yy"))&amp;" "&amp;Milestones!$AB$162&amp;" "&amp;Milestones!$AC$162&amp;";  ","")&amp;IF(AND(EDATE($D94,Milestones!$AA$163)&lt;=AsOfDate,IF($R94=0,$X94,IF(AND($T94&lt;&gt;"",EDATE($D94,Milestones!$AA$163)&gt;=$T94),$W94,IF(AND($S94&lt;&gt;"",EDATE($D94,Milestones!$AA$163)&gt;=$S94),$V94,$U94)))=Milestones!$AB$163),UPPER(TEXT(EDATE($D94,Milestones!$AA$163),"dd mmm yy"))&amp;" "&amp;Milestones!$AB$163&amp;" "&amp;Milestones!$AC$163&amp;";  ","")&amp;IF(AND(EDATE($D94,Milestones!$AA$164)&lt;=AsOfDate,IF($R94=0,$X94,IF(AND($T94&lt;&gt;"",EDATE($D94,Milestones!$AA$164)&gt;=$T94),$W94,IF(AND($S94&lt;&gt;"",EDATE($D94,Milestones!$AA$164)&gt;=$S94),$V94,$U94)))=Milestones!$AB$164),UPPER(TEXT(EDATE($D94,Milestones!$AA$164),"dd mmm yy"))&amp;" "&amp;Milestones!$AB$164&amp;" "&amp;Milestones!$AC$164&amp;";  ","")&amp;IF(AND(EDATE($D94,Milestones!$AA$165)&lt;=AsOfDate,IF($R94=0,$X94,IF(AND($T94&lt;&gt;"",EDATE($D94,Milestones!$AA$165)&gt;=$T94),$W94,IF(AND($S94&lt;&gt;"",EDATE($D94,Milestones!$AA$165)&gt;=$S94),$V94,$U94)))=Milestones!$AB$165),UPPER(TEXT(EDATE($D94,Milestones!$AA$165),"dd mmm yy"))&amp;" "&amp;Milestones!$AB$165&amp;" "&amp;Milestones!$AC$165&amp;";  ","")&amp;IF(AND(EDATE($D94,Milestones!$AA$166)&lt;=AsOfDate,IF($R94=0,$X94,IF(AND($T94&lt;&gt;"",EDATE($D94,Milestones!$AA$166)&gt;=$T94),$W94,IF(AND($S94&lt;&gt;"",EDATE($D94,Milestones!$AA$166)&gt;=$S94),$V94,$U94)))=Milestones!$AB$166),UPPER(TEXT(EDATE($D94,Milestones!$AA$166),"dd mmm yy"))&amp;" "&amp;Milestones!$AB$166&amp;" "&amp;Milestones!$AC$166&amp;";  ","")&amp;IF(AND(EDATE($D94,Milestones!$AA$167)&lt;=AsOfDate,IF($R94=0,$X94,IF(AND($T94&lt;&gt;"",EDATE($D94,Milestones!$AA$167)&gt;=$T94),$W94,IF(AND($S94&lt;&gt;"",EDATE($D94,Milestones!$AA$167)&gt;=$S94),$V94,$U94)))=Milestones!$AB$167),UPPER(TEXT(EDATE($D94,Milestones!$AA$167),"dd mmm yy"))&amp;" "&amp;Milestones!$AB$167&amp;" "&amp;Milestones!$AC$167&amp;";  ","")&amp;IF(AND(EDATE($D94,Milestones!$AA$168)&lt;=AsOfDate,IF($R94=0,$X94,IF(AND($T94&lt;&gt;"",EDATE($D94,Milestones!$AA$168)&gt;=$T94),$W94,IF(AND($S94&lt;&gt;"",EDATE($D94,Milestones!$AA$168)&gt;=$S94),$V94,$U94)))=Milestones!$AB$168),UPPER(TEXT(EDATE($D94,Milestones!$AA$168),"dd mmm yy"))&amp;" "&amp;Milestones!$AB$168&amp;" "&amp;Milestones!$AC$168&amp;";  ","")&amp;IF(AND(EDATE($D94,Milestones!$AA$169)&lt;=AsOfDate,IF($R94=0,$X94,IF(AND($T94&lt;&gt;"",EDATE($D94,Milestones!$AA$169)&gt;=$T94),$W94,IF(AND($S94&lt;&gt;"",EDATE($D94,Milestones!$AA$169)&gt;=$S94),$V94,$U94)))=Milestones!$AB$169),UPPER(TEXT(EDATE($D94,Milestones!$AA$169),"dd mmm yy"))&amp;" "&amp;Milestones!$AB$169&amp;" "&amp;Milestones!$AC$169&amp;";  ","")&amp;IF(AND(EDATE($D94,Milestones!$AA$170)&lt;=AsOfDate,IF($R94=0,$X94,IF(AND($T94&lt;&gt;"",EDATE($D94,Milestones!$AA$170)&gt;=$T94),$W94,IF(AND($S94&lt;&gt;"",EDATE($D94,Milestones!$AA$170)&gt;=$S94),$V94,$U94)))=Milestones!$AB$170),UPPER(TEXT(EDATE($D94,Milestones!$AA$170),"dd mmm yy"))&amp;" "&amp;Milestones!$AB$170&amp;" "&amp;Milestones!$AC$170&amp;";  ","")&amp;IF(AND(EDATE($D94,Milestones!$AA$171)&lt;=AsOfDate,IF($R94=0,$X94,IF(AND($T94&lt;&gt;"",EDATE($D94,Milestones!$AA$171)&gt;=$T94),$W94,IF(AND($S94&lt;&gt;"",EDATE($D94,Milestones!$AA$171)&gt;=$S94),$V94,$U94)))=Milestones!$AB$171),UPPER(TEXT(EDATE($D94,Milestones!$AA$171),"dd mmm yy"))&amp;" "&amp;Milestones!$AB$171&amp;" "&amp;Milestones!$AC$171&amp;";  ","")&amp;IF(AND(EDATE($D94,Milestones!$AA$172)&lt;=AsOfDate,IF($R94=0,$X94,IF(AND($T94&lt;&gt;"",EDATE($D94,Milestones!$AA$172)&gt;=$T94),$W94,IF(AND($S94&lt;&gt;"",EDATE($D94,Milestones!$AA$172)&gt;=$S94),$V94,$U94)))=Milestones!$AB$172),UPPER(TEXT(EDATE($D94,Milestones!$AA$172),"dd mmm yy"))&amp;" "&amp;Milestones!$AB$172&amp;" "&amp;Milestones!$AC$172&amp;";  ","")&amp;IF(AND(EDATE($D94,Milestones!$AA$173)&lt;=AsOfDate,IF($R94=0,$X94,IF(AND($T94&lt;&gt;"",EDATE($D94,Milestones!$AA$173)&gt;=$T94),$W94,IF(AND($S94&lt;&gt;"",EDATE($D94,Milestones!$AA$173)&gt;=$S94),$V94,$U94)))=Milestones!$AB$173),UPPER(TEXT(EDATE($D94,Milestones!$AA$173),"dd mmm yy"))&amp;" "&amp;Milestones!$AB$173&amp;" "&amp;Milestones!$AC$173&amp;";  ","")&amp;IF(AND(EDATE($D94,Milestones!$AA$174)&lt;=AsOfDate,IF($R94=0,$X94,IF(AND($T94&lt;&gt;"",EDATE($D94,Milestones!$AA$174)&gt;=$T94),$W94,IF(AND($S94&lt;&gt;"",EDATE($D94,Milestones!$AA$174)&gt;=$S94),$V94,$U94)))=Milestones!$AB$174),UPPER(TEXT(EDATE($D94,Milestones!$AA$174),"dd mmm yy"))&amp;" "&amp;Milestones!$AB$174&amp;" "&amp;Milestones!$AC$174&amp;";  ","")&amp;IF(AND(EDATE($D94,Milestones!$AA$175)&lt;=AsOfDate,IF($R94=0,$X94,IF(AND($T94&lt;&gt;"",EDATE($D94,Milestones!$AA$175)&gt;=$T94),$W94,IF(AND($S94&lt;&gt;"",EDATE($D94,Milestones!$AA$175)&gt;=$S94),$V94,$U94)))=Milestones!$AB$175),UPPER(TEXT(EDATE($D94,Milestones!$AA$175),"dd mmm yy"))&amp;" "&amp;Milestones!$AB$175&amp;" "&amp;Milestones!$AC$175&amp;";  ","")&amp;IF(AND(EDATE($D94,Milestones!$AA$176)&lt;=AsOfDate,IF($R94=0,$X94,IF(AND($T94&lt;&gt;"",EDATE($D94,Milestones!$AA$176)&gt;=$T94),$W94,IF(AND($S94&lt;&gt;"",EDATE($D94,Milestones!$AA$176)&gt;=$S94),$V94,$U94)))=Milestones!$AB$176),UPPER(TEXT(EDATE($D94,Milestones!$AA$176),"dd mmm yy"))&amp;" "&amp;Milestones!$AB$176&amp;" "&amp;Milestones!$AC$176&amp;";  ","")&amp;IF(AND(EDATE($D94,Milestones!$AA$177)&lt;=AsOfDate,IF($R94=0,$X94,IF(AND($T94&lt;&gt;"",EDATE($D94,Milestones!$AA$177)&gt;=$T94),$W94,IF(AND($S94&lt;&gt;"",EDATE($D94,Milestones!$AA$177)&gt;=$S94),$V94,$U94)))=Milestones!$AB$177),UPPER(TEXT(EDATE($D94,Milestones!$AA$177),"dd mmm yy"))&amp;" "&amp;Milestones!$AB$177&amp;" "&amp;Milestones!$AC$177&amp;";  ","")&amp;IF(AND(EDATE($D94,Milestones!$AA$178)&lt;=AsOfDate,IF($R94=0,$X94,IF(AND($T94&lt;&gt;"",EDATE($D94,Milestones!$AA$178)&gt;=$T94),$W94,IF(AND($S94&lt;&gt;"",EDATE($D94,Milestones!$AA$178)&gt;=$S94),$V94,$U94)))=Milestones!$AB$178),UPPER(TEXT(EDATE($D94,Milestones!$AA$178),"dd mmm yy"))&amp;" "&amp;Milestones!$AB$178&amp;" "&amp;Milestones!$AC$178&amp;";  ","")&amp;IF(AND(EDATE($D94,Milestones!$AA$179)&lt;=AsOfDate,IF($R94=0,$X94,IF(AND($T94&lt;&gt;"",EDATE($D94,Milestones!$AA$179)&gt;=$T94),$W94,IF(AND($S94&lt;&gt;"",EDATE($D94,Milestones!$AA$179)&gt;=$S94),$V94,$U94)))=Milestones!$AB$179),UPPER(TEXT(EDATE($D94,Milestones!$AA$179),"dd mmm yy"))&amp;" "&amp;Milestones!$AB$179&amp;" "&amp;Milestones!$AC$179&amp;";  ",""))</f>
        <v/>
      </c>
      <c r="Q94" s="0" t="str">
        <f aca="false">IF(OR($A94="",$D94=""),"",IF(AND(EDATE($D94,Milestones!$AA$180)&lt;=AsOfDate,IF($R94=0,$X94,IF(AND($T94&lt;&gt;"",EDATE($D94,Milestones!$AA$180)&gt;=$T94),$W94,IF(AND($S94&lt;&gt;"",EDATE($D94,Milestones!$AA$180)&gt;=$S94),$V94,$U94)))=Milestones!$AB$180),UPPER(TEXT(EDATE($D94,Milestones!$AA$180),"dd mmm yy"))&amp;" "&amp;Milestones!$AB$180&amp;" "&amp;Milestones!$AC$180&amp;";  ","")&amp;IF(AND(EDATE($D94,Milestones!$AA$181)&lt;=AsOfDate,IF($R94=0,$X94,IF(AND($T94&lt;&gt;"",EDATE($D94,Milestones!$AA$181)&gt;=$T94),$W94,IF(AND($S94&lt;&gt;"",EDATE($D94,Milestones!$AA$181)&gt;=$S94),$V94,$U94)))=Milestones!$AB$181),UPPER(TEXT(EDATE($D94,Milestones!$AA$181),"dd mmm yy"))&amp;" "&amp;Milestones!$AB$181&amp;" "&amp;Milestones!$AC$181&amp;";  ","")&amp;IF(AND(EDATE($D94,Milestones!$AA$182)&lt;=AsOfDate,IF($R94=0,$X94,IF(AND($T94&lt;&gt;"",EDATE($D94,Milestones!$AA$182)&gt;=$T94),$W94,IF(AND($S94&lt;&gt;"",EDATE($D94,Milestones!$AA$182)&gt;=$S94),$V94,$U94)))=Milestones!$AB$182),UPPER(TEXT(EDATE($D94,Milestones!$AA$182),"dd mmm yy"))&amp;" "&amp;Milestones!$AB$182&amp;" "&amp;Milestones!$AC$182&amp;";  ","")&amp;IF(AND(EDATE($D94,Milestones!$AA$183)&lt;=AsOfDate,IF($R94=0,$X94,IF(AND($T94&lt;&gt;"",EDATE($D94,Milestones!$AA$183)&gt;=$T94),$W94,IF(AND($S94&lt;&gt;"",EDATE($D94,Milestones!$AA$183)&gt;=$S94),$V94,$U94)))=Milestones!$AB$183),UPPER(TEXT(EDATE($D94,Milestones!$AA$183),"dd mmm yy"))&amp;" "&amp;Milestones!$AB$183&amp;" "&amp;Milestones!$AC$183&amp;";  ","")&amp;IF(AND(EDATE($D94,Milestones!$AA$184)&lt;=AsOfDate,IF($R94=0,$X94,IF(AND($T94&lt;&gt;"",EDATE($D94,Milestones!$AA$184)&gt;=$T94),$W94,IF(AND($S94&lt;&gt;"",EDATE($D94,Milestones!$AA$184)&gt;=$S94),$V94,$U94)))=Milestones!$AB$184),UPPER(TEXT(EDATE($D94,Milestones!$AA$184),"dd mmm yy"))&amp;" "&amp;Milestones!$AB$184&amp;" "&amp;Milestones!$AC$184&amp;";  ","")&amp;IF(AND(EDATE($D94,Milestones!$AA$185)&lt;=AsOfDate,IF($R94=0,$X94,IF(AND($T94&lt;&gt;"",EDATE($D94,Milestones!$AA$185)&gt;=$T94),$W94,IF(AND($S94&lt;&gt;"",EDATE($D94,Milestones!$AA$185)&gt;=$S94),$V94,$U94)))=Milestones!$AB$185),UPPER(TEXT(EDATE($D94,Milestones!$AA$185),"dd mmm yy"))&amp;" "&amp;Milestones!$AB$185&amp;" "&amp;Milestones!$AC$185&amp;";  ","")&amp;IF(AND(EDATE($D94,Milestones!$AA$186)&lt;=AsOfDate,IF($R94=0,$X94,IF(AND($T94&lt;&gt;"",EDATE($D94,Milestones!$AA$186)&gt;=$T94),$W94,IF(AND($S94&lt;&gt;"",EDATE($D94,Milestones!$AA$186)&gt;=$S94),$V94,$U94)))=Milestones!$AB$186),UPPER(TEXT(EDATE($D94,Milestones!$AA$186),"dd mmm yy"))&amp;" "&amp;Milestones!$AB$186&amp;" "&amp;Milestones!$AC$186&amp;";  ","")&amp;IF(AND(EDATE($D94,Milestones!$AA$187)&lt;=AsOfDate,IF($R94=0,$X94,IF(AND($T94&lt;&gt;"",EDATE($D94,Milestones!$AA$187)&gt;=$T94),$W94,IF(AND($S94&lt;&gt;"",EDATE($D94,Milestones!$AA$187)&gt;=$S94),$V94,$U94)))=Milestones!$AB$187),UPPER(TEXT(EDATE($D94,Milestones!$AA$187),"dd mmm yy"))&amp;" "&amp;Milestones!$AB$187&amp;" "&amp;Milestones!$AC$187&amp;";  ","")&amp;IF(AND(EDATE($D94,Milestones!$AA$188)&lt;=AsOfDate,IF($R94=0,$X94,IF(AND($T94&lt;&gt;"",EDATE($D94,Milestones!$AA$188)&gt;=$T94),$W94,IF(AND($S94&lt;&gt;"",EDATE($D94,Milestones!$AA$188)&gt;=$S94),$V94,$U94)))=Milestones!$AB$188),UPPER(TEXT(EDATE($D94,Milestones!$AA$188),"dd mmm yy"))&amp;" "&amp;Milestones!$AB$188&amp;" "&amp;Milestones!$AC$188&amp;";  ","")&amp;IF(AND(EDATE($D94,Milestones!$AA$189)&lt;=AsOfDate,IF($R94=0,$X94,IF(AND($T94&lt;&gt;"",EDATE($D94,Milestones!$AA$189)&gt;=$T94),$W94,IF(AND($S94&lt;&gt;"",EDATE($D94,Milestones!$AA$189)&gt;=$S94),$V94,$U94)))=Milestones!$AB$189),UPPER(TEXT(EDATE($D94,Milestones!$AA$189),"dd mmm yy"))&amp;" "&amp;Milestones!$AB$189&amp;" "&amp;Milestones!$AC$189&amp;";  ","")&amp;IF(AND(EDATE($D94,Milestones!$AA$190)&lt;=AsOfDate,IF($R94=0,$X94,IF(AND($T94&lt;&gt;"",EDATE($D94,Milestones!$AA$190)&gt;=$T94),$W94,IF(AND($S94&lt;&gt;"",EDATE($D94,Milestones!$AA$190)&gt;=$S94),$V94,$U94)))=Milestones!$AB$190),UPPER(TEXT(EDATE($D94,Milestones!$AA$190),"dd mmm yy"))&amp;" "&amp;Milestones!$AB$190&amp;" "&amp;Milestones!$AC$190&amp;";  ","")&amp;IF(AND(EDATE($D94,Milestones!$AA$191)&lt;=AsOfDate,IF($R94=0,$X94,IF(AND($T94&lt;&gt;"",EDATE($D94,Milestones!$AA$191)&gt;=$T94),$W94,IF(AND($S94&lt;&gt;"",EDATE($D94,Milestones!$AA$191)&gt;=$S94),$V94,$U94)))=Milestones!$AB$191),UPPER(TEXT(EDATE($D94,Milestones!$AA$191),"dd mmm yy"))&amp;" "&amp;Milestones!$AB$191&amp;" "&amp;Milestones!$AC$191&amp;";  ","")&amp;IF(AND(EDATE($D94,Milestones!$AA$192)&lt;=AsOfDate,IF($R94=0,$X94,IF(AND($T94&lt;&gt;"",EDATE($D94,Milestones!$AA$192)&gt;=$T94),$W94,IF(AND($S94&lt;&gt;"",EDATE($D94,Milestones!$AA$192)&gt;=$S94),$V94,$U94)))=Milestones!$AB$192),UPPER(TEXT(EDATE($D94,Milestones!$AA$192),"dd mmm yy"))&amp;" "&amp;Milestones!$AB$192&amp;" "&amp;Milestones!$AC$192&amp;";  ","")&amp;IF(AND(EDATE($D94,Milestones!$AA$193)&lt;=AsOfDate,IF($R94=0,$X94,IF(AND($T94&lt;&gt;"",EDATE($D94,Milestones!$AA$193)&gt;=$T94),$W94,IF(AND($S94&lt;&gt;"",EDATE($D94,Milestones!$AA$193)&gt;=$S94),$V94,$U94)))=Milestones!$AB$193),UPPER(TEXT(EDATE($D94,Milestones!$AA$193),"dd mmm yy"))&amp;" "&amp;Milestones!$AB$193&amp;" "&amp;Milestones!$AC$193&amp;";  ","")&amp;IF(AND(EDATE($D94,Milestones!$AA$194)&lt;=AsOfDate,IF($R94=0,$X94,IF(AND($T94&lt;&gt;"",EDATE($D94,Milestones!$AA$194)&gt;=$T94),$W94,IF(AND($S94&lt;&gt;"",EDATE($D94,Milestones!$AA$194)&gt;=$S94),$V94,$U94)))=Milestones!$AB$194),UPPER(TEXT(EDATE($D94,Milestones!$AA$194),"dd mmm yy"))&amp;" "&amp;Milestones!$AB$194&amp;" "&amp;Milestones!$AC$194&amp;";  ","")&amp;IF(AND(EDATE($D94,Milestones!$AA$195)&lt;=AsOfDate,IF($R94=0,$X94,IF(AND($T94&lt;&gt;"",EDATE($D94,Milestones!$AA$195)&gt;=$T94),$W94,IF(AND($S94&lt;&gt;"",EDATE($D94,Milestones!$AA$195)&gt;=$S94),$V94,$U94)))=Milestones!$AB$195),UPPER(TEXT(EDATE($D94,Milestones!$AA$195),"dd mmm yy"))&amp;" "&amp;Milestones!$AB$195&amp;" "&amp;Milestones!$AC$195&amp;";  ","")&amp;IF(AND(EDATE($D94,Milestones!$AA$196)&lt;=AsOfDate,IF($R94=0,$X94,IF(AND($T94&lt;&gt;"",EDATE($D94,Milestones!$AA$196)&gt;=$T94),$W94,IF(AND($S94&lt;&gt;"",EDATE($D94,Milestones!$AA$196)&gt;=$S94),$V94,$U94)))=Milestones!$AB$196),UPPER(TEXT(EDATE($D94,Milestones!$AA$196),"dd mmm yy"))&amp;" "&amp;Milestones!$AB$196&amp;" "&amp;Milestones!$AC$196&amp;";  ","")&amp;IF(AND(EDATE($D94,Milestones!$AA$197)&lt;=AsOfDate,IF($R94=0,$X94,IF(AND($T94&lt;&gt;"",EDATE($D94,Milestones!$AA$197)&gt;=$T94),$W94,IF(AND($S94&lt;&gt;"",EDATE($D94,Milestones!$AA$197)&gt;=$S94),$V94,$U94)))=Milestones!$AB$197),UPPER(TEXT(EDATE($D94,Milestones!$AA$197),"dd mmm yy"))&amp;" "&amp;Milestones!$AB$197&amp;" "&amp;Milestones!$AC$197&amp;";  ","")&amp;IF(AND(EDATE($D94,Milestones!$AA$198)&lt;=AsOfDate,IF($R94=0,$X94,IF(AND($T94&lt;&gt;"",EDATE($D94,Milestones!$AA$198)&gt;=$T94),$W94,IF(AND($S94&lt;&gt;"",EDATE($D94,Milestones!$AA$198)&gt;=$S94),$V94,$U94)))=Milestones!$AB$198),UPPER(TEXT(EDATE($D94,Milestones!$AA$198),"dd mmm yy"))&amp;" "&amp;Milestones!$AB$198&amp;" "&amp;Milestones!$AC$198&amp;";  ","")&amp;IF(AND(EDATE($D94,Milestones!$AA$199)&lt;=AsOfDate,IF($R94=0,$X94,IF(AND($T94&lt;&gt;"",EDATE($D94,Milestones!$AA$199)&gt;=$T94),$W94,IF(AND($S94&lt;&gt;"",EDATE($D94,Milestones!$AA$199)&gt;=$S94),$V94,$U94)))=Milestones!$AB$199),UPPER(TEXT(EDATE($D94,Milestones!$AA$199),"dd mmm yy"))&amp;" "&amp;Milestones!$AB$199&amp;" "&amp;Milestones!$AC$199&amp;";  ",""))</f>
        <v/>
      </c>
      <c r="R94" s="0" t="str">
        <f aca="false">IF(Staff!$A94="","",Staff!$AI94)</f>
        <v/>
      </c>
      <c r="S94" s="0" t="str">
        <f aca="false">IF(Staff!$A94="","",Staff!$AK94)</f>
        <v/>
      </c>
      <c r="T94" s="0" t="str">
        <f aca="false">IF(Staff!$A94="","",Staff!$AL94)</f>
        <v/>
      </c>
      <c r="U94" s="0" t="str">
        <f aca="false">IF(Staff!$A94="","",Staff!$AP94)</f>
        <v/>
      </c>
      <c r="V94" s="0" t="str">
        <f aca="false">IF(Staff!$A94="","",Staff!$AQ94)</f>
        <v/>
      </c>
      <c r="W94" s="0" t="str">
        <f aca="false">IF(Staff!$A94="","",Staff!$AR94)</f>
        <v/>
      </c>
      <c r="X94" s="0" t="str">
        <f aca="false">IF(Staff!$A94="","",Staff!$AS94)</f>
        <v/>
      </c>
    </row>
    <row r="95" customFormat="false" ht="15" hidden="false" customHeight="false" outlineLevel="0" collapsed="false">
      <c r="A95" s="14" t="str">
        <f aca="false">IF(Staff!$A95="","",Staff!$A95)</f>
        <v/>
      </c>
      <c r="B95" s="14" t="str">
        <f aca="false">IF(Staff!$A95="","",Staff!$B95)</f>
        <v/>
      </c>
      <c r="C95" s="14" t="str">
        <f aca="false">IF(Staff!$A95="","",Staff!$C95)</f>
        <v/>
      </c>
      <c r="D95" s="12" t="str">
        <f aca="false">IF(Staff!$A95="","",Staff!$AH95)</f>
        <v/>
      </c>
      <c r="E95" s="14" t="str">
        <f aca="false">IF(Staff!$A95="","",Staff!$O95)</f>
        <v/>
      </c>
      <c r="F95" s="14" t="str">
        <f aca="false">IF(E95="","",E95*HoursPerDay)</f>
        <v/>
      </c>
      <c r="G95" s="14" t="str">
        <f aca="false">IF(Staff!$A95="","",Staff!$AE95)</f>
        <v/>
      </c>
      <c r="H95" s="26" t="str">
        <f aca="false">IF($A95="","",I95&amp;J95&amp;K95&amp;L95&amp;M95&amp;N95&amp;O95&amp;P95&amp;Q95)</f>
        <v/>
      </c>
      <c r="I95" s="0" t="str">
        <f aca="false">IF(OR($A95="",$D95=""),"",IF(AND(EDATE($D95,Milestones!$AA$20)&lt;=AsOfDate,IF($R95=0,$X95,IF(AND($T95&lt;&gt;"",EDATE($D95,Milestones!$AA$20)&gt;=$T95),$W95,IF(AND($S95&lt;&gt;"",EDATE($D95,Milestones!$AA$20)&gt;=$S95),$V95,$U95)))=Milestones!$AB$20),UPPER(TEXT(EDATE($D95,Milestones!$AA$20),"dd mmm yy"))&amp;" "&amp;Milestones!$AB$20&amp;" "&amp;Milestones!$AC$20&amp;";  ","")&amp;IF(AND(EDATE($D95,Milestones!$AA$21)&lt;=AsOfDate,IF($R95=0,$X95,IF(AND($T95&lt;&gt;"",EDATE($D95,Milestones!$AA$21)&gt;=$T95),$W95,IF(AND($S95&lt;&gt;"",EDATE($D95,Milestones!$AA$21)&gt;=$S95),$V95,$U95)))=Milestones!$AB$21),UPPER(TEXT(EDATE($D95,Milestones!$AA$21),"dd mmm yy"))&amp;" "&amp;Milestones!$AB$21&amp;" "&amp;Milestones!$AC$21&amp;";  ","")&amp;IF(AND(EDATE($D95,Milestones!$AA$22)&lt;=AsOfDate,IF($R95=0,$X95,IF(AND($T95&lt;&gt;"",EDATE($D95,Milestones!$AA$22)&gt;=$T95),$W95,IF(AND($S95&lt;&gt;"",EDATE($D95,Milestones!$AA$22)&gt;=$S95),$V95,$U95)))=Milestones!$AB$22),UPPER(TEXT(EDATE($D95,Milestones!$AA$22),"dd mmm yy"))&amp;" "&amp;Milestones!$AB$22&amp;" "&amp;Milestones!$AC$22&amp;";  ","")&amp;IF(AND(EDATE($D95,Milestones!$AA$23)&lt;=AsOfDate,IF($R95=0,$X95,IF(AND($T95&lt;&gt;"",EDATE($D95,Milestones!$AA$23)&gt;=$T95),$W95,IF(AND($S95&lt;&gt;"",EDATE($D95,Milestones!$AA$23)&gt;=$S95),$V95,$U95)))=Milestones!$AB$23),UPPER(TEXT(EDATE($D95,Milestones!$AA$23),"dd mmm yy"))&amp;" "&amp;Milestones!$AB$23&amp;" "&amp;Milestones!$AC$23&amp;";  ","")&amp;IF(AND(EDATE($D95,Milestones!$AA$24)&lt;=AsOfDate,IF($R95=0,$X95,IF(AND($T95&lt;&gt;"",EDATE($D95,Milestones!$AA$24)&gt;=$T95),$W95,IF(AND($S95&lt;&gt;"",EDATE($D95,Milestones!$AA$24)&gt;=$S95),$V95,$U95)))=Milestones!$AB$24),UPPER(TEXT(EDATE($D95,Milestones!$AA$24),"dd mmm yy"))&amp;" "&amp;Milestones!$AB$24&amp;" "&amp;Milestones!$AC$24&amp;";  ","")&amp;IF(AND(EDATE($D95,Milestones!$AA$25)&lt;=AsOfDate,IF($R95=0,$X95,IF(AND($T95&lt;&gt;"",EDATE($D95,Milestones!$AA$25)&gt;=$T95),$W95,IF(AND($S95&lt;&gt;"",EDATE($D95,Milestones!$AA$25)&gt;=$S95),$V95,$U95)))=Milestones!$AB$25),UPPER(TEXT(EDATE($D95,Milestones!$AA$25),"dd mmm yy"))&amp;" "&amp;Milestones!$AB$25&amp;" "&amp;Milestones!$AC$25&amp;";  ","")&amp;IF(AND(EDATE($D95,Milestones!$AA$26)&lt;=AsOfDate,IF($R95=0,$X95,IF(AND($T95&lt;&gt;"",EDATE($D95,Milestones!$AA$26)&gt;=$T95),$W95,IF(AND($S95&lt;&gt;"",EDATE($D95,Milestones!$AA$26)&gt;=$S95),$V95,$U95)))=Milestones!$AB$26),UPPER(TEXT(EDATE($D95,Milestones!$AA$26),"dd mmm yy"))&amp;" "&amp;Milestones!$AB$26&amp;" "&amp;Milestones!$AC$26&amp;";  ","")&amp;IF(AND(EDATE($D95,Milestones!$AA$27)&lt;=AsOfDate,IF($R95=0,$X95,IF(AND($T95&lt;&gt;"",EDATE($D95,Milestones!$AA$27)&gt;=$T95),$W95,IF(AND($S95&lt;&gt;"",EDATE($D95,Milestones!$AA$27)&gt;=$S95),$V95,$U95)))=Milestones!$AB$27),UPPER(TEXT(EDATE($D95,Milestones!$AA$27),"dd mmm yy"))&amp;" "&amp;Milestones!$AB$27&amp;" "&amp;Milestones!$AC$27&amp;";  ","")&amp;IF(AND(EDATE($D95,Milestones!$AA$28)&lt;=AsOfDate,IF($R95=0,$X95,IF(AND($T95&lt;&gt;"",EDATE($D95,Milestones!$AA$28)&gt;=$T95),$W95,IF(AND($S95&lt;&gt;"",EDATE($D95,Milestones!$AA$28)&gt;=$S95),$V95,$U95)))=Milestones!$AB$28),UPPER(TEXT(EDATE($D95,Milestones!$AA$28),"dd mmm yy"))&amp;" "&amp;Milestones!$AB$28&amp;" "&amp;Milestones!$AC$28&amp;";  ","")&amp;IF(AND(EDATE($D95,Milestones!$AA$29)&lt;=AsOfDate,IF($R95=0,$X95,IF(AND($T95&lt;&gt;"",EDATE($D95,Milestones!$AA$29)&gt;=$T95),$W95,IF(AND($S95&lt;&gt;"",EDATE($D95,Milestones!$AA$29)&gt;=$S95),$V95,$U95)))=Milestones!$AB$29),UPPER(TEXT(EDATE($D95,Milestones!$AA$29),"dd mmm yy"))&amp;" "&amp;Milestones!$AB$29&amp;" "&amp;Milestones!$AC$29&amp;";  ","")&amp;IF(AND(EDATE($D95,Milestones!$AA$30)&lt;=AsOfDate,IF($R95=0,$X95,IF(AND($T95&lt;&gt;"",EDATE($D95,Milestones!$AA$30)&gt;=$T95),$W95,IF(AND($S95&lt;&gt;"",EDATE($D95,Milestones!$AA$30)&gt;=$S95),$V95,$U95)))=Milestones!$AB$30),UPPER(TEXT(EDATE($D95,Milestones!$AA$30),"dd mmm yy"))&amp;" "&amp;Milestones!$AB$30&amp;" "&amp;Milestones!$AC$30&amp;";  ","")&amp;IF(AND(EDATE($D95,Milestones!$AA$31)&lt;=AsOfDate,IF($R95=0,$X95,IF(AND($T95&lt;&gt;"",EDATE($D95,Milestones!$AA$31)&gt;=$T95),$W95,IF(AND($S95&lt;&gt;"",EDATE($D95,Milestones!$AA$31)&gt;=$S95),$V95,$U95)))=Milestones!$AB$31),UPPER(TEXT(EDATE($D95,Milestones!$AA$31),"dd mmm yy"))&amp;" "&amp;Milestones!$AB$31&amp;" "&amp;Milestones!$AC$31&amp;";  ","")&amp;IF(AND(EDATE($D95,Milestones!$AA$32)&lt;=AsOfDate,IF($R95=0,$X95,IF(AND($T95&lt;&gt;"",EDATE($D95,Milestones!$AA$32)&gt;=$T95),$W95,IF(AND($S95&lt;&gt;"",EDATE($D95,Milestones!$AA$32)&gt;=$S95),$V95,$U95)))=Milestones!$AB$32),UPPER(TEXT(EDATE($D95,Milestones!$AA$32),"dd mmm yy"))&amp;" "&amp;Milestones!$AB$32&amp;" "&amp;Milestones!$AC$32&amp;";  ","")&amp;IF(AND(EDATE($D95,Milestones!$AA$33)&lt;=AsOfDate,IF($R95=0,$X95,IF(AND($T95&lt;&gt;"",EDATE($D95,Milestones!$AA$33)&gt;=$T95),$W95,IF(AND($S95&lt;&gt;"",EDATE($D95,Milestones!$AA$33)&gt;=$S95),$V95,$U95)))=Milestones!$AB$33),UPPER(TEXT(EDATE($D95,Milestones!$AA$33),"dd mmm yy"))&amp;" "&amp;Milestones!$AB$33&amp;" "&amp;Milestones!$AC$33&amp;";  ","")&amp;IF(AND(EDATE($D95,Milestones!$AA$34)&lt;=AsOfDate,IF($R95=0,$X95,IF(AND($T95&lt;&gt;"",EDATE($D95,Milestones!$AA$34)&gt;=$T95),$W95,IF(AND($S95&lt;&gt;"",EDATE($D95,Milestones!$AA$34)&gt;=$S95),$V95,$U95)))=Milestones!$AB$34),UPPER(TEXT(EDATE($D95,Milestones!$AA$34),"dd mmm yy"))&amp;" "&amp;Milestones!$AB$34&amp;" "&amp;Milestones!$AC$34&amp;";  ","")&amp;IF(AND(EDATE($D95,Milestones!$AA$35)&lt;=AsOfDate,IF($R95=0,$X95,IF(AND($T95&lt;&gt;"",EDATE($D95,Milestones!$AA$35)&gt;=$T95),$W95,IF(AND($S95&lt;&gt;"",EDATE($D95,Milestones!$AA$35)&gt;=$S95),$V95,$U95)))=Milestones!$AB$35),UPPER(TEXT(EDATE($D95,Milestones!$AA$35),"dd mmm yy"))&amp;" "&amp;Milestones!$AB$35&amp;" "&amp;Milestones!$AC$35&amp;";  ","")&amp;IF(AND(EDATE($D95,Milestones!$AA$36)&lt;=AsOfDate,IF($R95=0,$X95,IF(AND($T95&lt;&gt;"",EDATE($D95,Milestones!$AA$36)&gt;=$T95),$W95,IF(AND($S95&lt;&gt;"",EDATE($D95,Milestones!$AA$36)&gt;=$S95),$V95,$U95)))=Milestones!$AB$36),UPPER(TEXT(EDATE($D95,Milestones!$AA$36),"dd mmm yy"))&amp;" "&amp;Milestones!$AB$36&amp;" "&amp;Milestones!$AC$36&amp;";  ","")&amp;IF(AND(EDATE($D95,Milestones!$AA$37)&lt;=AsOfDate,IF($R95=0,$X95,IF(AND($T95&lt;&gt;"",EDATE($D95,Milestones!$AA$37)&gt;=$T95),$W95,IF(AND($S95&lt;&gt;"",EDATE($D95,Milestones!$AA$37)&gt;=$S95),$V95,$U95)))=Milestones!$AB$37),UPPER(TEXT(EDATE($D95,Milestones!$AA$37),"dd mmm yy"))&amp;" "&amp;Milestones!$AB$37&amp;" "&amp;Milestones!$AC$37&amp;";  ","")&amp;IF(AND(EDATE($D95,Milestones!$AA$38)&lt;=AsOfDate,IF($R95=0,$X95,IF(AND($T95&lt;&gt;"",EDATE($D95,Milestones!$AA$38)&gt;=$T95),$W95,IF(AND($S95&lt;&gt;"",EDATE($D95,Milestones!$AA$38)&gt;=$S95),$V95,$U95)))=Milestones!$AB$38),UPPER(TEXT(EDATE($D95,Milestones!$AA$38),"dd mmm yy"))&amp;" "&amp;Milestones!$AB$38&amp;" "&amp;Milestones!$AC$38&amp;";  ","")&amp;IF(AND(EDATE($D95,Milestones!$AA$39)&lt;=AsOfDate,IF($R95=0,$X95,IF(AND($T95&lt;&gt;"",EDATE($D95,Milestones!$AA$39)&gt;=$T95),$W95,IF(AND($S95&lt;&gt;"",EDATE($D95,Milestones!$AA$39)&gt;=$S95),$V95,$U95)))=Milestones!$AB$39),UPPER(TEXT(EDATE($D95,Milestones!$AA$39),"dd mmm yy"))&amp;" "&amp;Milestones!$AB$39&amp;" "&amp;Milestones!$AC$39&amp;";  ",""))</f>
        <v/>
      </c>
      <c r="J95" s="0" t="str">
        <f aca="false">IF(OR($A95="",$D95=""),"",IF(AND(EDATE($D95,Milestones!$AA$40)&lt;=AsOfDate,IF($R95=0,$X95,IF(AND($T95&lt;&gt;"",EDATE($D95,Milestones!$AA$40)&gt;=$T95),$W95,IF(AND($S95&lt;&gt;"",EDATE($D95,Milestones!$AA$40)&gt;=$S95),$V95,$U95)))=Milestones!$AB$40),UPPER(TEXT(EDATE($D95,Milestones!$AA$40),"dd mmm yy"))&amp;" "&amp;Milestones!$AB$40&amp;" "&amp;Milestones!$AC$40&amp;";  ","")&amp;IF(AND(EDATE($D95,Milestones!$AA$41)&lt;=AsOfDate,IF($R95=0,$X95,IF(AND($T95&lt;&gt;"",EDATE($D95,Milestones!$AA$41)&gt;=$T95),$W95,IF(AND($S95&lt;&gt;"",EDATE($D95,Milestones!$AA$41)&gt;=$S95),$V95,$U95)))=Milestones!$AB$41),UPPER(TEXT(EDATE($D95,Milestones!$AA$41),"dd mmm yy"))&amp;" "&amp;Milestones!$AB$41&amp;" "&amp;Milestones!$AC$41&amp;";  ","")&amp;IF(AND(EDATE($D95,Milestones!$AA$42)&lt;=AsOfDate,IF($R95=0,$X95,IF(AND($T95&lt;&gt;"",EDATE($D95,Milestones!$AA$42)&gt;=$T95),$W95,IF(AND($S95&lt;&gt;"",EDATE($D95,Milestones!$AA$42)&gt;=$S95),$V95,$U95)))=Milestones!$AB$42),UPPER(TEXT(EDATE($D95,Milestones!$AA$42),"dd mmm yy"))&amp;" "&amp;Milestones!$AB$42&amp;" "&amp;Milestones!$AC$42&amp;";  ","")&amp;IF(AND(EDATE($D95,Milestones!$AA$43)&lt;=AsOfDate,IF($R95=0,$X95,IF(AND($T95&lt;&gt;"",EDATE($D95,Milestones!$AA$43)&gt;=$T95),$W95,IF(AND($S95&lt;&gt;"",EDATE($D95,Milestones!$AA$43)&gt;=$S95),$V95,$U95)))=Milestones!$AB$43),UPPER(TEXT(EDATE($D95,Milestones!$AA$43),"dd mmm yy"))&amp;" "&amp;Milestones!$AB$43&amp;" "&amp;Milestones!$AC$43&amp;";  ","")&amp;IF(AND(EDATE($D95,Milestones!$AA$44)&lt;=AsOfDate,IF($R95=0,$X95,IF(AND($T95&lt;&gt;"",EDATE($D95,Milestones!$AA$44)&gt;=$T95),$W95,IF(AND($S95&lt;&gt;"",EDATE($D95,Milestones!$AA$44)&gt;=$S95),$V95,$U95)))=Milestones!$AB$44),UPPER(TEXT(EDATE($D95,Milestones!$AA$44),"dd mmm yy"))&amp;" "&amp;Milestones!$AB$44&amp;" "&amp;Milestones!$AC$44&amp;";  ","")&amp;IF(AND(EDATE($D95,Milestones!$AA$45)&lt;=AsOfDate,IF($R95=0,$X95,IF(AND($T95&lt;&gt;"",EDATE($D95,Milestones!$AA$45)&gt;=$T95),$W95,IF(AND($S95&lt;&gt;"",EDATE($D95,Milestones!$AA$45)&gt;=$S95),$V95,$U95)))=Milestones!$AB$45),UPPER(TEXT(EDATE($D95,Milestones!$AA$45),"dd mmm yy"))&amp;" "&amp;Milestones!$AB$45&amp;" "&amp;Milestones!$AC$45&amp;";  ","")&amp;IF(AND(EDATE($D95,Milestones!$AA$46)&lt;=AsOfDate,IF($R95=0,$X95,IF(AND($T95&lt;&gt;"",EDATE($D95,Milestones!$AA$46)&gt;=$T95),$W95,IF(AND($S95&lt;&gt;"",EDATE($D95,Milestones!$AA$46)&gt;=$S95),$V95,$U95)))=Milestones!$AB$46),UPPER(TEXT(EDATE($D95,Milestones!$AA$46),"dd mmm yy"))&amp;" "&amp;Milestones!$AB$46&amp;" "&amp;Milestones!$AC$46&amp;";  ","")&amp;IF(AND(EDATE($D95,Milestones!$AA$47)&lt;=AsOfDate,IF($R95=0,$X95,IF(AND($T95&lt;&gt;"",EDATE($D95,Milestones!$AA$47)&gt;=$T95),$W95,IF(AND($S95&lt;&gt;"",EDATE($D95,Milestones!$AA$47)&gt;=$S95),$V95,$U95)))=Milestones!$AB$47),UPPER(TEXT(EDATE($D95,Milestones!$AA$47),"dd mmm yy"))&amp;" "&amp;Milestones!$AB$47&amp;" "&amp;Milestones!$AC$47&amp;";  ","")&amp;IF(AND(EDATE($D95,Milestones!$AA$48)&lt;=AsOfDate,IF($R95=0,$X95,IF(AND($T95&lt;&gt;"",EDATE($D95,Milestones!$AA$48)&gt;=$T95),$W95,IF(AND($S95&lt;&gt;"",EDATE($D95,Milestones!$AA$48)&gt;=$S95),$V95,$U95)))=Milestones!$AB$48),UPPER(TEXT(EDATE($D95,Milestones!$AA$48),"dd mmm yy"))&amp;" "&amp;Milestones!$AB$48&amp;" "&amp;Milestones!$AC$48&amp;";  ","")&amp;IF(AND(EDATE($D95,Milestones!$AA$49)&lt;=AsOfDate,IF($R95=0,$X95,IF(AND($T95&lt;&gt;"",EDATE($D95,Milestones!$AA$49)&gt;=$T95),$W95,IF(AND($S95&lt;&gt;"",EDATE($D95,Milestones!$AA$49)&gt;=$S95),$V95,$U95)))=Milestones!$AB$49),UPPER(TEXT(EDATE($D95,Milestones!$AA$49),"dd mmm yy"))&amp;" "&amp;Milestones!$AB$49&amp;" "&amp;Milestones!$AC$49&amp;";  ","")&amp;IF(AND(EDATE($D95,Milestones!$AA$50)&lt;=AsOfDate,IF($R95=0,$X95,IF(AND($T95&lt;&gt;"",EDATE($D95,Milestones!$AA$50)&gt;=$T95),$W95,IF(AND($S95&lt;&gt;"",EDATE($D95,Milestones!$AA$50)&gt;=$S95),$V95,$U95)))=Milestones!$AB$50),UPPER(TEXT(EDATE($D95,Milestones!$AA$50),"dd mmm yy"))&amp;" "&amp;Milestones!$AB$50&amp;" "&amp;Milestones!$AC$50&amp;";  ","")&amp;IF(AND(EDATE($D95,Milestones!$AA$51)&lt;=AsOfDate,IF($R95=0,$X95,IF(AND($T95&lt;&gt;"",EDATE($D95,Milestones!$AA$51)&gt;=$T95),$W95,IF(AND($S95&lt;&gt;"",EDATE($D95,Milestones!$AA$51)&gt;=$S95),$V95,$U95)))=Milestones!$AB$51),UPPER(TEXT(EDATE($D95,Milestones!$AA$51),"dd mmm yy"))&amp;" "&amp;Milestones!$AB$51&amp;" "&amp;Milestones!$AC$51&amp;";  ","")&amp;IF(AND(EDATE($D95,Milestones!$AA$52)&lt;=AsOfDate,IF($R95=0,$X95,IF(AND($T95&lt;&gt;"",EDATE($D95,Milestones!$AA$52)&gt;=$T95),$W95,IF(AND($S95&lt;&gt;"",EDATE($D95,Milestones!$AA$52)&gt;=$S95),$V95,$U95)))=Milestones!$AB$52),UPPER(TEXT(EDATE($D95,Milestones!$AA$52),"dd mmm yy"))&amp;" "&amp;Milestones!$AB$52&amp;" "&amp;Milestones!$AC$52&amp;";  ","")&amp;IF(AND(EDATE($D95,Milestones!$AA$53)&lt;=AsOfDate,IF($R95=0,$X95,IF(AND($T95&lt;&gt;"",EDATE($D95,Milestones!$AA$53)&gt;=$T95),$W95,IF(AND($S95&lt;&gt;"",EDATE($D95,Milestones!$AA$53)&gt;=$S95),$V95,$U95)))=Milestones!$AB$53),UPPER(TEXT(EDATE($D95,Milestones!$AA$53),"dd mmm yy"))&amp;" "&amp;Milestones!$AB$53&amp;" "&amp;Milestones!$AC$53&amp;";  ","")&amp;IF(AND(EDATE($D95,Milestones!$AA$54)&lt;=AsOfDate,IF($R95=0,$X95,IF(AND($T95&lt;&gt;"",EDATE($D95,Milestones!$AA$54)&gt;=$T95),$W95,IF(AND($S95&lt;&gt;"",EDATE($D95,Milestones!$AA$54)&gt;=$S95),$V95,$U95)))=Milestones!$AB$54),UPPER(TEXT(EDATE($D95,Milestones!$AA$54),"dd mmm yy"))&amp;" "&amp;Milestones!$AB$54&amp;" "&amp;Milestones!$AC$54&amp;";  ","")&amp;IF(AND(EDATE($D95,Milestones!$AA$55)&lt;=AsOfDate,IF($R95=0,$X95,IF(AND($T95&lt;&gt;"",EDATE($D95,Milestones!$AA$55)&gt;=$T95),$W95,IF(AND($S95&lt;&gt;"",EDATE($D95,Milestones!$AA$55)&gt;=$S95),$V95,$U95)))=Milestones!$AB$55),UPPER(TEXT(EDATE($D95,Milestones!$AA$55),"dd mmm yy"))&amp;" "&amp;Milestones!$AB$55&amp;" "&amp;Milestones!$AC$55&amp;";  ","")&amp;IF(AND(EDATE($D95,Milestones!$AA$56)&lt;=AsOfDate,IF($R95=0,$X95,IF(AND($T95&lt;&gt;"",EDATE($D95,Milestones!$AA$56)&gt;=$T95),$W95,IF(AND($S95&lt;&gt;"",EDATE($D95,Milestones!$AA$56)&gt;=$S95),$V95,$U95)))=Milestones!$AB$56),UPPER(TEXT(EDATE($D95,Milestones!$AA$56),"dd mmm yy"))&amp;" "&amp;Milestones!$AB$56&amp;" "&amp;Milestones!$AC$56&amp;";  ","")&amp;IF(AND(EDATE($D95,Milestones!$AA$57)&lt;=AsOfDate,IF($R95=0,$X95,IF(AND($T95&lt;&gt;"",EDATE($D95,Milestones!$AA$57)&gt;=$T95),$W95,IF(AND($S95&lt;&gt;"",EDATE($D95,Milestones!$AA$57)&gt;=$S95),$V95,$U95)))=Milestones!$AB$57),UPPER(TEXT(EDATE($D95,Milestones!$AA$57),"dd mmm yy"))&amp;" "&amp;Milestones!$AB$57&amp;" "&amp;Milestones!$AC$57&amp;";  ","")&amp;IF(AND(EDATE($D95,Milestones!$AA$58)&lt;=AsOfDate,IF($R95=0,$X95,IF(AND($T95&lt;&gt;"",EDATE($D95,Milestones!$AA$58)&gt;=$T95),$W95,IF(AND($S95&lt;&gt;"",EDATE($D95,Milestones!$AA$58)&gt;=$S95),$V95,$U95)))=Milestones!$AB$58),UPPER(TEXT(EDATE($D95,Milestones!$AA$58),"dd mmm yy"))&amp;" "&amp;Milestones!$AB$58&amp;" "&amp;Milestones!$AC$58&amp;";  ","")&amp;IF(AND(EDATE($D95,Milestones!$AA$59)&lt;=AsOfDate,IF($R95=0,$X95,IF(AND($T95&lt;&gt;"",EDATE($D95,Milestones!$AA$59)&gt;=$T95),$W95,IF(AND($S95&lt;&gt;"",EDATE($D95,Milestones!$AA$59)&gt;=$S95),$V95,$U95)))=Milestones!$AB$59),UPPER(TEXT(EDATE($D95,Milestones!$AA$59),"dd mmm yy"))&amp;" "&amp;Milestones!$AB$59&amp;" "&amp;Milestones!$AC$59&amp;";  ",""))</f>
        <v/>
      </c>
      <c r="K95" s="0" t="str">
        <f aca="false">IF(OR($A95="",$D95=""),"",IF(AND(EDATE($D95,Milestones!$AA$60)&lt;=AsOfDate,IF($R95=0,$X95,IF(AND($T95&lt;&gt;"",EDATE($D95,Milestones!$AA$60)&gt;=$T95),$W95,IF(AND($S95&lt;&gt;"",EDATE($D95,Milestones!$AA$60)&gt;=$S95),$V95,$U95)))=Milestones!$AB$60),UPPER(TEXT(EDATE($D95,Milestones!$AA$60),"dd mmm yy"))&amp;" "&amp;Milestones!$AB$60&amp;" "&amp;Milestones!$AC$60&amp;";  ","")&amp;IF(AND(EDATE($D95,Milestones!$AA$61)&lt;=AsOfDate,IF($R95=0,$X95,IF(AND($T95&lt;&gt;"",EDATE($D95,Milestones!$AA$61)&gt;=$T95),$W95,IF(AND($S95&lt;&gt;"",EDATE($D95,Milestones!$AA$61)&gt;=$S95),$V95,$U95)))=Milestones!$AB$61),UPPER(TEXT(EDATE($D95,Milestones!$AA$61),"dd mmm yy"))&amp;" "&amp;Milestones!$AB$61&amp;" "&amp;Milestones!$AC$61&amp;";  ","")&amp;IF(AND(EDATE($D95,Milestones!$AA$62)&lt;=AsOfDate,IF($R95=0,$X95,IF(AND($T95&lt;&gt;"",EDATE($D95,Milestones!$AA$62)&gt;=$T95),$W95,IF(AND($S95&lt;&gt;"",EDATE($D95,Milestones!$AA$62)&gt;=$S95),$V95,$U95)))=Milestones!$AB$62),UPPER(TEXT(EDATE($D95,Milestones!$AA$62),"dd mmm yy"))&amp;" "&amp;Milestones!$AB$62&amp;" "&amp;Milestones!$AC$62&amp;";  ","")&amp;IF(AND(EDATE($D95,Milestones!$AA$63)&lt;=AsOfDate,IF($R95=0,$X95,IF(AND($T95&lt;&gt;"",EDATE($D95,Milestones!$AA$63)&gt;=$T95),$W95,IF(AND($S95&lt;&gt;"",EDATE($D95,Milestones!$AA$63)&gt;=$S95),$V95,$U95)))=Milestones!$AB$63),UPPER(TEXT(EDATE($D95,Milestones!$AA$63),"dd mmm yy"))&amp;" "&amp;Milestones!$AB$63&amp;" "&amp;Milestones!$AC$63&amp;";  ","")&amp;IF(AND(EDATE($D95,Milestones!$AA$64)&lt;=AsOfDate,IF($R95=0,$X95,IF(AND($T95&lt;&gt;"",EDATE($D95,Milestones!$AA$64)&gt;=$T95),$W95,IF(AND($S95&lt;&gt;"",EDATE($D95,Milestones!$AA$64)&gt;=$S95),$V95,$U95)))=Milestones!$AB$64),UPPER(TEXT(EDATE($D95,Milestones!$AA$64),"dd mmm yy"))&amp;" "&amp;Milestones!$AB$64&amp;" "&amp;Milestones!$AC$64&amp;";  ","")&amp;IF(AND(EDATE($D95,Milestones!$AA$65)&lt;=AsOfDate,IF($R95=0,$X95,IF(AND($T95&lt;&gt;"",EDATE($D95,Milestones!$AA$65)&gt;=$T95),$W95,IF(AND($S95&lt;&gt;"",EDATE($D95,Milestones!$AA$65)&gt;=$S95),$V95,$U95)))=Milestones!$AB$65),UPPER(TEXT(EDATE($D95,Milestones!$AA$65),"dd mmm yy"))&amp;" "&amp;Milestones!$AB$65&amp;" "&amp;Milestones!$AC$65&amp;";  ","")&amp;IF(AND(EDATE($D95,Milestones!$AA$66)&lt;=AsOfDate,IF($R95=0,$X95,IF(AND($T95&lt;&gt;"",EDATE($D95,Milestones!$AA$66)&gt;=$T95),$W95,IF(AND($S95&lt;&gt;"",EDATE($D95,Milestones!$AA$66)&gt;=$S95),$V95,$U95)))=Milestones!$AB$66),UPPER(TEXT(EDATE($D95,Milestones!$AA$66),"dd mmm yy"))&amp;" "&amp;Milestones!$AB$66&amp;" "&amp;Milestones!$AC$66&amp;";  ","")&amp;IF(AND(EDATE($D95,Milestones!$AA$67)&lt;=AsOfDate,IF($R95=0,$X95,IF(AND($T95&lt;&gt;"",EDATE($D95,Milestones!$AA$67)&gt;=$T95),$W95,IF(AND($S95&lt;&gt;"",EDATE($D95,Milestones!$AA$67)&gt;=$S95),$V95,$U95)))=Milestones!$AB$67),UPPER(TEXT(EDATE($D95,Milestones!$AA$67),"dd mmm yy"))&amp;" "&amp;Milestones!$AB$67&amp;" "&amp;Milestones!$AC$67&amp;";  ","")&amp;IF(AND(EDATE($D95,Milestones!$AA$68)&lt;=AsOfDate,IF($R95=0,$X95,IF(AND($T95&lt;&gt;"",EDATE($D95,Milestones!$AA$68)&gt;=$T95),$W95,IF(AND($S95&lt;&gt;"",EDATE($D95,Milestones!$AA$68)&gt;=$S95),$V95,$U95)))=Milestones!$AB$68),UPPER(TEXT(EDATE($D95,Milestones!$AA$68),"dd mmm yy"))&amp;" "&amp;Milestones!$AB$68&amp;" "&amp;Milestones!$AC$68&amp;";  ","")&amp;IF(AND(EDATE($D95,Milestones!$AA$69)&lt;=AsOfDate,IF($R95=0,$X95,IF(AND($T95&lt;&gt;"",EDATE($D95,Milestones!$AA$69)&gt;=$T95),$W95,IF(AND($S95&lt;&gt;"",EDATE($D95,Milestones!$AA$69)&gt;=$S95),$V95,$U95)))=Milestones!$AB$69),UPPER(TEXT(EDATE($D95,Milestones!$AA$69),"dd mmm yy"))&amp;" "&amp;Milestones!$AB$69&amp;" "&amp;Milestones!$AC$69&amp;";  ","")&amp;IF(AND(EDATE($D95,Milestones!$AA$70)&lt;=AsOfDate,IF($R95=0,$X95,IF(AND($T95&lt;&gt;"",EDATE($D95,Milestones!$AA$70)&gt;=$T95),$W95,IF(AND($S95&lt;&gt;"",EDATE($D95,Milestones!$AA$70)&gt;=$S95),$V95,$U95)))=Milestones!$AB$70),UPPER(TEXT(EDATE($D95,Milestones!$AA$70),"dd mmm yy"))&amp;" "&amp;Milestones!$AB$70&amp;" "&amp;Milestones!$AC$70&amp;";  ","")&amp;IF(AND(EDATE($D95,Milestones!$AA$71)&lt;=AsOfDate,IF($R95=0,$X95,IF(AND($T95&lt;&gt;"",EDATE($D95,Milestones!$AA$71)&gt;=$T95),$W95,IF(AND($S95&lt;&gt;"",EDATE($D95,Milestones!$AA$71)&gt;=$S95),$V95,$U95)))=Milestones!$AB$71),UPPER(TEXT(EDATE($D95,Milestones!$AA$71),"dd mmm yy"))&amp;" "&amp;Milestones!$AB$71&amp;" "&amp;Milestones!$AC$71&amp;";  ","")&amp;IF(AND(EDATE($D95,Milestones!$AA$72)&lt;=AsOfDate,IF($R95=0,$X95,IF(AND($T95&lt;&gt;"",EDATE($D95,Milestones!$AA$72)&gt;=$T95),$W95,IF(AND($S95&lt;&gt;"",EDATE($D95,Milestones!$AA$72)&gt;=$S95),$V95,$U95)))=Milestones!$AB$72),UPPER(TEXT(EDATE($D95,Milestones!$AA$72),"dd mmm yy"))&amp;" "&amp;Milestones!$AB$72&amp;" "&amp;Milestones!$AC$72&amp;";  ","")&amp;IF(AND(EDATE($D95,Milestones!$AA$73)&lt;=AsOfDate,IF($R95=0,$X95,IF(AND($T95&lt;&gt;"",EDATE($D95,Milestones!$AA$73)&gt;=$T95),$W95,IF(AND($S95&lt;&gt;"",EDATE($D95,Milestones!$AA$73)&gt;=$S95),$V95,$U95)))=Milestones!$AB$73),UPPER(TEXT(EDATE($D95,Milestones!$AA$73),"dd mmm yy"))&amp;" "&amp;Milestones!$AB$73&amp;" "&amp;Milestones!$AC$73&amp;";  ","")&amp;IF(AND(EDATE($D95,Milestones!$AA$74)&lt;=AsOfDate,IF($R95=0,$X95,IF(AND($T95&lt;&gt;"",EDATE($D95,Milestones!$AA$74)&gt;=$T95),$W95,IF(AND($S95&lt;&gt;"",EDATE($D95,Milestones!$AA$74)&gt;=$S95),$V95,$U95)))=Milestones!$AB$74),UPPER(TEXT(EDATE($D95,Milestones!$AA$74),"dd mmm yy"))&amp;" "&amp;Milestones!$AB$74&amp;" "&amp;Milestones!$AC$74&amp;";  ","")&amp;IF(AND(EDATE($D95,Milestones!$AA$75)&lt;=AsOfDate,IF($R95=0,$X95,IF(AND($T95&lt;&gt;"",EDATE($D95,Milestones!$AA$75)&gt;=$T95),$W95,IF(AND($S95&lt;&gt;"",EDATE($D95,Milestones!$AA$75)&gt;=$S95),$V95,$U95)))=Milestones!$AB$75),UPPER(TEXT(EDATE($D95,Milestones!$AA$75),"dd mmm yy"))&amp;" "&amp;Milestones!$AB$75&amp;" "&amp;Milestones!$AC$75&amp;";  ","")&amp;IF(AND(EDATE($D95,Milestones!$AA$76)&lt;=AsOfDate,IF($R95=0,$X95,IF(AND($T95&lt;&gt;"",EDATE($D95,Milestones!$AA$76)&gt;=$T95),$W95,IF(AND($S95&lt;&gt;"",EDATE($D95,Milestones!$AA$76)&gt;=$S95),$V95,$U95)))=Milestones!$AB$76),UPPER(TEXT(EDATE($D95,Milestones!$AA$76),"dd mmm yy"))&amp;" "&amp;Milestones!$AB$76&amp;" "&amp;Milestones!$AC$76&amp;";  ","")&amp;IF(AND(EDATE($D95,Milestones!$AA$77)&lt;=AsOfDate,IF($R95=0,$X95,IF(AND($T95&lt;&gt;"",EDATE($D95,Milestones!$AA$77)&gt;=$T95),$W95,IF(AND($S95&lt;&gt;"",EDATE($D95,Milestones!$AA$77)&gt;=$S95),$V95,$U95)))=Milestones!$AB$77),UPPER(TEXT(EDATE($D95,Milestones!$AA$77),"dd mmm yy"))&amp;" "&amp;Milestones!$AB$77&amp;" "&amp;Milestones!$AC$77&amp;";  ","")&amp;IF(AND(EDATE($D95,Milestones!$AA$78)&lt;=AsOfDate,IF($R95=0,$X95,IF(AND($T95&lt;&gt;"",EDATE($D95,Milestones!$AA$78)&gt;=$T95),$W95,IF(AND($S95&lt;&gt;"",EDATE($D95,Milestones!$AA$78)&gt;=$S95),$V95,$U95)))=Milestones!$AB$78),UPPER(TEXT(EDATE($D95,Milestones!$AA$78),"dd mmm yy"))&amp;" "&amp;Milestones!$AB$78&amp;" "&amp;Milestones!$AC$78&amp;";  ","")&amp;IF(AND(EDATE($D95,Milestones!$AA$79)&lt;=AsOfDate,IF($R95=0,$X95,IF(AND($T95&lt;&gt;"",EDATE($D95,Milestones!$AA$79)&gt;=$T95),$W95,IF(AND($S95&lt;&gt;"",EDATE($D95,Milestones!$AA$79)&gt;=$S95),$V95,$U95)))=Milestones!$AB$79),UPPER(TEXT(EDATE($D95,Milestones!$AA$79),"dd mmm yy"))&amp;" "&amp;Milestones!$AB$79&amp;" "&amp;Milestones!$AC$79&amp;";  ",""))</f>
        <v/>
      </c>
      <c r="L95" s="0" t="str">
        <f aca="false">IF(OR($A95="",$D95=""),"",IF(AND(EDATE($D95,Milestones!$AA$80)&lt;=AsOfDate,IF($R95=0,$X95,IF(AND($T95&lt;&gt;"",EDATE($D95,Milestones!$AA$80)&gt;=$T95),$W95,IF(AND($S95&lt;&gt;"",EDATE($D95,Milestones!$AA$80)&gt;=$S95),$V95,$U95)))=Milestones!$AB$80),UPPER(TEXT(EDATE($D95,Milestones!$AA$80),"dd mmm yy"))&amp;" "&amp;Milestones!$AB$80&amp;" "&amp;Milestones!$AC$80&amp;";  ","")&amp;IF(AND(EDATE($D95,Milestones!$AA$81)&lt;=AsOfDate,IF($R95=0,$X95,IF(AND($T95&lt;&gt;"",EDATE($D95,Milestones!$AA$81)&gt;=$T95),$W95,IF(AND($S95&lt;&gt;"",EDATE($D95,Milestones!$AA$81)&gt;=$S95),$V95,$U95)))=Milestones!$AB$81),UPPER(TEXT(EDATE($D95,Milestones!$AA$81),"dd mmm yy"))&amp;" "&amp;Milestones!$AB$81&amp;" "&amp;Milestones!$AC$81&amp;";  ","")&amp;IF(AND(EDATE($D95,Milestones!$AA$82)&lt;=AsOfDate,IF($R95=0,$X95,IF(AND($T95&lt;&gt;"",EDATE($D95,Milestones!$AA$82)&gt;=$T95),$W95,IF(AND($S95&lt;&gt;"",EDATE($D95,Milestones!$AA$82)&gt;=$S95),$V95,$U95)))=Milestones!$AB$82),UPPER(TEXT(EDATE($D95,Milestones!$AA$82),"dd mmm yy"))&amp;" "&amp;Milestones!$AB$82&amp;" "&amp;Milestones!$AC$82&amp;";  ","")&amp;IF(AND(EDATE($D95,Milestones!$AA$83)&lt;=AsOfDate,IF($R95=0,$X95,IF(AND($T95&lt;&gt;"",EDATE($D95,Milestones!$AA$83)&gt;=$T95),$W95,IF(AND($S95&lt;&gt;"",EDATE($D95,Milestones!$AA$83)&gt;=$S95),$V95,$U95)))=Milestones!$AB$83),UPPER(TEXT(EDATE($D95,Milestones!$AA$83),"dd mmm yy"))&amp;" "&amp;Milestones!$AB$83&amp;" "&amp;Milestones!$AC$83&amp;";  ","")&amp;IF(AND(EDATE($D95,Milestones!$AA$84)&lt;=AsOfDate,IF($R95=0,$X95,IF(AND($T95&lt;&gt;"",EDATE($D95,Milestones!$AA$84)&gt;=$T95),$W95,IF(AND($S95&lt;&gt;"",EDATE($D95,Milestones!$AA$84)&gt;=$S95),$V95,$U95)))=Milestones!$AB$84),UPPER(TEXT(EDATE($D95,Milestones!$AA$84),"dd mmm yy"))&amp;" "&amp;Milestones!$AB$84&amp;" "&amp;Milestones!$AC$84&amp;";  ","")&amp;IF(AND(EDATE($D95,Milestones!$AA$85)&lt;=AsOfDate,IF($R95=0,$X95,IF(AND($T95&lt;&gt;"",EDATE($D95,Milestones!$AA$85)&gt;=$T95),$W95,IF(AND($S95&lt;&gt;"",EDATE($D95,Milestones!$AA$85)&gt;=$S95),$V95,$U95)))=Milestones!$AB$85),UPPER(TEXT(EDATE($D95,Milestones!$AA$85),"dd mmm yy"))&amp;" "&amp;Milestones!$AB$85&amp;" "&amp;Milestones!$AC$85&amp;";  ","")&amp;IF(AND(EDATE($D95,Milestones!$AA$86)&lt;=AsOfDate,IF($R95=0,$X95,IF(AND($T95&lt;&gt;"",EDATE($D95,Milestones!$AA$86)&gt;=$T95),$W95,IF(AND($S95&lt;&gt;"",EDATE($D95,Milestones!$AA$86)&gt;=$S95),$V95,$U95)))=Milestones!$AB$86),UPPER(TEXT(EDATE($D95,Milestones!$AA$86),"dd mmm yy"))&amp;" "&amp;Milestones!$AB$86&amp;" "&amp;Milestones!$AC$86&amp;";  ","")&amp;IF(AND(EDATE($D95,Milestones!$AA$87)&lt;=AsOfDate,IF($R95=0,$X95,IF(AND($T95&lt;&gt;"",EDATE($D95,Milestones!$AA$87)&gt;=$T95),$W95,IF(AND($S95&lt;&gt;"",EDATE($D95,Milestones!$AA$87)&gt;=$S95),$V95,$U95)))=Milestones!$AB$87),UPPER(TEXT(EDATE($D95,Milestones!$AA$87),"dd mmm yy"))&amp;" "&amp;Milestones!$AB$87&amp;" "&amp;Milestones!$AC$87&amp;";  ","")&amp;IF(AND(EDATE($D95,Milestones!$AA$88)&lt;=AsOfDate,IF($R95=0,$X95,IF(AND($T95&lt;&gt;"",EDATE($D95,Milestones!$AA$88)&gt;=$T95),$W95,IF(AND($S95&lt;&gt;"",EDATE($D95,Milestones!$AA$88)&gt;=$S95),$V95,$U95)))=Milestones!$AB$88),UPPER(TEXT(EDATE($D95,Milestones!$AA$88),"dd mmm yy"))&amp;" "&amp;Milestones!$AB$88&amp;" "&amp;Milestones!$AC$88&amp;";  ","")&amp;IF(AND(EDATE($D95,Milestones!$AA$89)&lt;=AsOfDate,IF($R95=0,$X95,IF(AND($T95&lt;&gt;"",EDATE($D95,Milestones!$AA$89)&gt;=$T95),$W95,IF(AND($S95&lt;&gt;"",EDATE($D95,Milestones!$AA$89)&gt;=$S95),$V95,$U95)))=Milestones!$AB$89),UPPER(TEXT(EDATE($D95,Milestones!$AA$89),"dd mmm yy"))&amp;" "&amp;Milestones!$AB$89&amp;" "&amp;Milestones!$AC$89&amp;";  ","")&amp;IF(AND(EDATE($D95,Milestones!$AA$90)&lt;=AsOfDate,IF($R95=0,$X95,IF(AND($T95&lt;&gt;"",EDATE($D95,Milestones!$AA$90)&gt;=$T95),$W95,IF(AND($S95&lt;&gt;"",EDATE($D95,Milestones!$AA$90)&gt;=$S95),$V95,$U95)))=Milestones!$AB$90),UPPER(TEXT(EDATE($D95,Milestones!$AA$90),"dd mmm yy"))&amp;" "&amp;Milestones!$AB$90&amp;" "&amp;Milestones!$AC$90&amp;";  ","")&amp;IF(AND(EDATE($D95,Milestones!$AA$91)&lt;=AsOfDate,IF($R95=0,$X95,IF(AND($T95&lt;&gt;"",EDATE($D95,Milestones!$AA$91)&gt;=$T95),$W95,IF(AND($S95&lt;&gt;"",EDATE($D95,Milestones!$AA$91)&gt;=$S95),$V95,$U95)))=Milestones!$AB$91),UPPER(TEXT(EDATE($D95,Milestones!$AA$91),"dd mmm yy"))&amp;" "&amp;Milestones!$AB$91&amp;" "&amp;Milestones!$AC$91&amp;";  ","")&amp;IF(AND(EDATE($D95,Milestones!$AA$92)&lt;=AsOfDate,IF($R95=0,$X95,IF(AND($T95&lt;&gt;"",EDATE($D95,Milestones!$AA$92)&gt;=$T95),$W95,IF(AND($S95&lt;&gt;"",EDATE($D95,Milestones!$AA$92)&gt;=$S95),$V95,$U95)))=Milestones!$AB$92),UPPER(TEXT(EDATE($D95,Milestones!$AA$92),"dd mmm yy"))&amp;" "&amp;Milestones!$AB$92&amp;" "&amp;Milestones!$AC$92&amp;";  ","")&amp;IF(AND(EDATE($D95,Milestones!$AA$93)&lt;=AsOfDate,IF($R95=0,$X95,IF(AND($T95&lt;&gt;"",EDATE($D95,Milestones!$AA$93)&gt;=$T95),$W95,IF(AND($S95&lt;&gt;"",EDATE($D95,Milestones!$AA$93)&gt;=$S95),$V95,$U95)))=Milestones!$AB$93),UPPER(TEXT(EDATE($D95,Milestones!$AA$93),"dd mmm yy"))&amp;" "&amp;Milestones!$AB$93&amp;" "&amp;Milestones!$AC$93&amp;";  ","")&amp;IF(AND(EDATE($D95,Milestones!$AA$94)&lt;=AsOfDate,IF($R95=0,$X95,IF(AND($T95&lt;&gt;"",EDATE($D95,Milestones!$AA$94)&gt;=$T95),$W95,IF(AND($S95&lt;&gt;"",EDATE($D95,Milestones!$AA$94)&gt;=$S95),$V95,$U95)))=Milestones!$AB$94),UPPER(TEXT(EDATE($D95,Milestones!$AA$94),"dd mmm yy"))&amp;" "&amp;Milestones!$AB$94&amp;" "&amp;Milestones!$AC$94&amp;";  ","")&amp;IF(AND(EDATE($D95,Milestones!$AA$95)&lt;=AsOfDate,IF($R95=0,$X95,IF(AND($T95&lt;&gt;"",EDATE($D95,Milestones!$AA$95)&gt;=$T95),$W95,IF(AND($S95&lt;&gt;"",EDATE($D95,Milestones!$AA$95)&gt;=$S95),$V95,$U95)))=Milestones!$AB$95),UPPER(TEXT(EDATE($D95,Milestones!$AA$95),"dd mmm yy"))&amp;" "&amp;Milestones!$AB$95&amp;" "&amp;Milestones!$AC$95&amp;";  ","")&amp;IF(AND(EDATE($D95,Milestones!$AA$96)&lt;=AsOfDate,IF($R95=0,$X95,IF(AND($T95&lt;&gt;"",EDATE($D95,Milestones!$AA$96)&gt;=$T95),$W95,IF(AND($S95&lt;&gt;"",EDATE($D95,Milestones!$AA$96)&gt;=$S95),$V95,$U95)))=Milestones!$AB$96),UPPER(TEXT(EDATE($D95,Milestones!$AA$96),"dd mmm yy"))&amp;" "&amp;Milestones!$AB$96&amp;" "&amp;Milestones!$AC$96&amp;";  ","")&amp;IF(AND(EDATE($D95,Milestones!$AA$97)&lt;=AsOfDate,IF($R95=0,$X95,IF(AND($T95&lt;&gt;"",EDATE($D95,Milestones!$AA$97)&gt;=$T95),$W95,IF(AND($S95&lt;&gt;"",EDATE($D95,Milestones!$AA$97)&gt;=$S95),$V95,$U95)))=Milestones!$AB$97),UPPER(TEXT(EDATE($D95,Milestones!$AA$97),"dd mmm yy"))&amp;" "&amp;Milestones!$AB$97&amp;" "&amp;Milestones!$AC$97&amp;";  ","")&amp;IF(AND(EDATE($D95,Milestones!$AA$98)&lt;=AsOfDate,IF($R95=0,$X95,IF(AND($T95&lt;&gt;"",EDATE($D95,Milestones!$AA$98)&gt;=$T95),$W95,IF(AND($S95&lt;&gt;"",EDATE($D95,Milestones!$AA$98)&gt;=$S95),$V95,$U95)))=Milestones!$AB$98),UPPER(TEXT(EDATE($D95,Milestones!$AA$98),"dd mmm yy"))&amp;" "&amp;Milestones!$AB$98&amp;" "&amp;Milestones!$AC$98&amp;";  ","")&amp;IF(AND(EDATE($D95,Milestones!$AA$99)&lt;=AsOfDate,IF($R95=0,$X95,IF(AND($T95&lt;&gt;"",EDATE($D95,Milestones!$AA$99)&gt;=$T95),$W95,IF(AND($S95&lt;&gt;"",EDATE($D95,Milestones!$AA$99)&gt;=$S95),$V95,$U95)))=Milestones!$AB$99),UPPER(TEXT(EDATE($D95,Milestones!$AA$99),"dd mmm yy"))&amp;" "&amp;Milestones!$AB$99&amp;" "&amp;Milestones!$AC$99&amp;";  ",""))</f>
        <v/>
      </c>
      <c r="M95" s="0" t="str">
        <f aca="false">IF(OR($A95="",$D95=""),"",IF(AND(EDATE($D95,Milestones!$AA$100)&lt;=AsOfDate,IF($R95=0,$X95,IF(AND($T95&lt;&gt;"",EDATE($D95,Milestones!$AA$100)&gt;=$T95),$W95,IF(AND($S95&lt;&gt;"",EDATE($D95,Milestones!$AA$100)&gt;=$S95),$V95,$U95)))=Milestones!$AB$100),UPPER(TEXT(EDATE($D95,Milestones!$AA$100),"dd mmm yy"))&amp;" "&amp;Milestones!$AB$100&amp;" "&amp;Milestones!$AC$100&amp;";  ","")&amp;IF(AND(EDATE($D95,Milestones!$AA$101)&lt;=AsOfDate,IF($R95=0,$X95,IF(AND($T95&lt;&gt;"",EDATE($D95,Milestones!$AA$101)&gt;=$T95),$W95,IF(AND($S95&lt;&gt;"",EDATE($D95,Milestones!$AA$101)&gt;=$S95),$V95,$U95)))=Milestones!$AB$101),UPPER(TEXT(EDATE($D95,Milestones!$AA$101),"dd mmm yy"))&amp;" "&amp;Milestones!$AB$101&amp;" "&amp;Milestones!$AC$101&amp;";  ","")&amp;IF(AND(EDATE($D95,Milestones!$AA$102)&lt;=AsOfDate,IF($R95=0,$X95,IF(AND($T95&lt;&gt;"",EDATE($D95,Milestones!$AA$102)&gt;=$T95),$W95,IF(AND($S95&lt;&gt;"",EDATE($D95,Milestones!$AA$102)&gt;=$S95),$V95,$U95)))=Milestones!$AB$102),UPPER(TEXT(EDATE($D95,Milestones!$AA$102),"dd mmm yy"))&amp;" "&amp;Milestones!$AB$102&amp;" "&amp;Milestones!$AC$102&amp;";  ","")&amp;IF(AND(EDATE($D95,Milestones!$AA$103)&lt;=AsOfDate,IF($R95=0,$X95,IF(AND($T95&lt;&gt;"",EDATE($D95,Milestones!$AA$103)&gt;=$T95),$W95,IF(AND($S95&lt;&gt;"",EDATE($D95,Milestones!$AA$103)&gt;=$S95),$V95,$U95)))=Milestones!$AB$103),UPPER(TEXT(EDATE($D95,Milestones!$AA$103),"dd mmm yy"))&amp;" "&amp;Milestones!$AB$103&amp;" "&amp;Milestones!$AC$103&amp;";  ","")&amp;IF(AND(EDATE($D95,Milestones!$AA$104)&lt;=AsOfDate,IF($R95=0,$X95,IF(AND($T95&lt;&gt;"",EDATE($D95,Milestones!$AA$104)&gt;=$T95),$W95,IF(AND($S95&lt;&gt;"",EDATE($D95,Milestones!$AA$104)&gt;=$S95),$V95,$U95)))=Milestones!$AB$104),UPPER(TEXT(EDATE($D95,Milestones!$AA$104),"dd mmm yy"))&amp;" "&amp;Milestones!$AB$104&amp;" "&amp;Milestones!$AC$104&amp;";  ","")&amp;IF(AND(EDATE($D95,Milestones!$AA$105)&lt;=AsOfDate,IF($R95=0,$X95,IF(AND($T95&lt;&gt;"",EDATE($D95,Milestones!$AA$105)&gt;=$T95),$W95,IF(AND($S95&lt;&gt;"",EDATE($D95,Milestones!$AA$105)&gt;=$S95),$V95,$U95)))=Milestones!$AB$105),UPPER(TEXT(EDATE($D95,Milestones!$AA$105),"dd mmm yy"))&amp;" "&amp;Milestones!$AB$105&amp;" "&amp;Milestones!$AC$105&amp;";  ","")&amp;IF(AND(EDATE($D95,Milestones!$AA$106)&lt;=AsOfDate,IF($R95=0,$X95,IF(AND($T95&lt;&gt;"",EDATE($D95,Milestones!$AA$106)&gt;=$T95),$W95,IF(AND($S95&lt;&gt;"",EDATE($D95,Milestones!$AA$106)&gt;=$S95),$V95,$U95)))=Milestones!$AB$106),UPPER(TEXT(EDATE($D95,Milestones!$AA$106),"dd mmm yy"))&amp;" "&amp;Milestones!$AB$106&amp;" "&amp;Milestones!$AC$106&amp;";  ","")&amp;IF(AND(EDATE($D95,Milestones!$AA$107)&lt;=AsOfDate,IF($R95=0,$X95,IF(AND($T95&lt;&gt;"",EDATE($D95,Milestones!$AA$107)&gt;=$T95),$W95,IF(AND($S95&lt;&gt;"",EDATE($D95,Milestones!$AA$107)&gt;=$S95),$V95,$U95)))=Milestones!$AB$107),UPPER(TEXT(EDATE($D95,Milestones!$AA$107),"dd mmm yy"))&amp;" "&amp;Milestones!$AB$107&amp;" "&amp;Milestones!$AC$107&amp;";  ","")&amp;IF(AND(EDATE($D95,Milestones!$AA$108)&lt;=AsOfDate,IF($R95=0,$X95,IF(AND($T95&lt;&gt;"",EDATE($D95,Milestones!$AA$108)&gt;=$T95),$W95,IF(AND($S95&lt;&gt;"",EDATE($D95,Milestones!$AA$108)&gt;=$S95),$V95,$U95)))=Milestones!$AB$108),UPPER(TEXT(EDATE($D95,Milestones!$AA$108),"dd mmm yy"))&amp;" "&amp;Milestones!$AB$108&amp;" "&amp;Milestones!$AC$108&amp;";  ","")&amp;IF(AND(EDATE($D95,Milestones!$AA$109)&lt;=AsOfDate,IF($R95=0,$X95,IF(AND($T95&lt;&gt;"",EDATE($D95,Milestones!$AA$109)&gt;=$T95),$W95,IF(AND($S95&lt;&gt;"",EDATE($D95,Milestones!$AA$109)&gt;=$S95),$V95,$U95)))=Milestones!$AB$109),UPPER(TEXT(EDATE($D95,Milestones!$AA$109),"dd mmm yy"))&amp;" "&amp;Milestones!$AB$109&amp;" "&amp;Milestones!$AC$109&amp;";  ","")&amp;IF(AND(EDATE($D95,Milestones!$AA$110)&lt;=AsOfDate,IF($R95=0,$X95,IF(AND($T95&lt;&gt;"",EDATE($D95,Milestones!$AA$110)&gt;=$T95),$W95,IF(AND($S95&lt;&gt;"",EDATE($D95,Milestones!$AA$110)&gt;=$S95),$V95,$U95)))=Milestones!$AB$110),UPPER(TEXT(EDATE($D95,Milestones!$AA$110),"dd mmm yy"))&amp;" "&amp;Milestones!$AB$110&amp;" "&amp;Milestones!$AC$110&amp;";  ","")&amp;IF(AND(EDATE($D95,Milestones!$AA$111)&lt;=AsOfDate,IF($R95=0,$X95,IF(AND($T95&lt;&gt;"",EDATE($D95,Milestones!$AA$111)&gt;=$T95),$W95,IF(AND($S95&lt;&gt;"",EDATE($D95,Milestones!$AA$111)&gt;=$S95),$V95,$U95)))=Milestones!$AB$111),UPPER(TEXT(EDATE($D95,Milestones!$AA$111),"dd mmm yy"))&amp;" "&amp;Milestones!$AB$111&amp;" "&amp;Milestones!$AC$111&amp;";  ","")&amp;IF(AND(EDATE($D95,Milestones!$AA$112)&lt;=AsOfDate,IF($R95=0,$X95,IF(AND($T95&lt;&gt;"",EDATE($D95,Milestones!$AA$112)&gt;=$T95),$W95,IF(AND($S95&lt;&gt;"",EDATE($D95,Milestones!$AA$112)&gt;=$S95),$V95,$U95)))=Milestones!$AB$112),UPPER(TEXT(EDATE($D95,Milestones!$AA$112),"dd mmm yy"))&amp;" "&amp;Milestones!$AB$112&amp;" "&amp;Milestones!$AC$112&amp;";  ","")&amp;IF(AND(EDATE($D95,Milestones!$AA$113)&lt;=AsOfDate,IF($R95=0,$X95,IF(AND($T95&lt;&gt;"",EDATE($D95,Milestones!$AA$113)&gt;=$T95),$W95,IF(AND($S95&lt;&gt;"",EDATE($D95,Milestones!$AA$113)&gt;=$S95),$V95,$U95)))=Milestones!$AB$113),UPPER(TEXT(EDATE($D95,Milestones!$AA$113),"dd mmm yy"))&amp;" "&amp;Milestones!$AB$113&amp;" "&amp;Milestones!$AC$113&amp;";  ","")&amp;IF(AND(EDATE($D95,Milestones!$AA$114)&lt;=AsOfDate,IF($R95=0,$X95,IF(AND($T95&lt;&gt;"",EDATE($D95,Milestones!$AA$114)&gt;=$T95),$W95,IF(AND($S95&lt;&gt;"",EDATE($D95,Milestones!$AA$114)&gt;=$S95),$V95,$U95)))=Milestones!$AB$114),UPPER(TEXT(EDATE($D95,Milestones!$AA$114),"dd mmm yy"))&amp;" "&amp;Milestones!$AB$114&amp;" "&amp;Milestones!$AC$114&amp;";  ","")&amp;IF(AND(EDATE($D95,Milestones!$AA$115)&lt;=AsOfDate,IF($R95=0,$X95,IF(AND($T95&lt;&gt;"",EDATE($D95,Milestones!$AA$115)&gt;=$T95),$W95,IF(AND($S95&lt;&gt;"",EDATE($D95,Milestones!$AA$115)&gt;=$S95),$V95,$U95)))=Milestones!$AB$115),UPPER(TEXT(EDATE($D95,Milestones!$AA$115),"dd mmm yy"))&amp;" "&amp;Milestones!$AB$115&amp;" "&amp;Milestones!$AC$115&amp;";  ","")&amp;IF(AND(EDATE($D95,Milestones!$AA$116)&lt;=AsOfDate,IF($R95=0,$X95,IF(AND($T95&lt;&gt;"",EDATE($D95,Milestones!$AA$116)&gt;=$T95),$W95,IF(AND($S95&lt;&gt;"",EDATE($D95,Milestones!$AA$116)&gt;=$S95),$V95,$U95)))=Milestones!$AB$116),UPPER(TEXT(EDATE($D95,Milestones!$AA$116),"dd mmm yy"))&amp;" "&amp;Milestones!$AB$116&amp;" "&amp;Milestones!$AC$116&amp;";  ","")&amp;IF(AND(EDATE($D95,Milestones!$AA$117)&lt;=AsOfDate,IF($R95=0,$X95,IF(AND($T95&lt;&gt;"",EDATE($D95,Milestones!$AA$117)&gt;=$T95),$W95,IF(AND($S95&lt;&gt;"",EDATE($D95,Milestones!$AA$117)&gt;=$S95),$V95,$U95)))=Milestones!$AB$117),UPPER(TEXT(EDATE($D95,Milestones!$AA$117),"dd mmm yy"))&amp;" "&amp;Milestones!$AB$117&amp;" "&amp;Milestones!$AC$117&amp;";  ","")&amp;IF(AND(EDATE($D95,Milestones!$AA$118)&lt;=AsOfDate,IF($R95=0,$X95,IF(AND($T95&lt;&gt;"",EDATE($D95,Milestones!$AA$118)&gt;=$T95),$W95,IF(AND($S95&lt;&gt;"",EDATE($D95,Milestones!$AA$118)&gt;=$S95),$V95,$U95)))=Milestones!$AB$118),UPPER(TEXT(EDATE($D95,Milestones!$AA$118),"dd mmm yy"))&amp;" "&amp;Milestones!$AB$118&amp;" "&amp;Milestones!$AC$118&amp;";  ","")&amp;IF(AND(EDATE($D95,Milestones!$AA$119)&lt;=AsOfDate,IF($R95=0,$X95,IF(AND($T95&lt;&gt;"",EDATE($D95,Milestones!$AA$119)&gt;=$T95),$W95,IF(AND($S95&lt;&gt;"",EDATE($D95,Milestones!$AA$119)&gt;=$S95),$V95,$U95)))=Milestones!$AB$119),UPPER(TEXT(EDATE($D95,Milestones!$AA$119),"dd mmm yy"))&amp;" "&amp;Milestones!$AB$119&amp;" "&amp;Milestones!$AC$119&amp;";  ",""))</f>
        <v/>
      </c>
      <c r="N95" s="0" t="str">
        <f aca="false">IF(OR($A95="",$D95=""),"",IF(AND(EDATE($D95,Milestones!$AA$120)&lt;=AsOfDate,IF($R95=0,$X95,IF(AND($T95&lt;&gt;"",EDATE($D95,Milestones!$AA$120)&gt;=$T95),$W95,IF(AND($S95&lt;&gt;"",EDATE($D95,Milestones!$AA$120)&gt;=$S95),$V95,$U95)))=Milestones!$AB$120),UPPER(TEXT(EDATE($D95,Milestones!$AA$120),"dd mmm yy"))&amp;" "&amp;Milestones!$AB$120&amp;" "&amp;Milestones!$AC$120&amp;";  ","")&amp;IF(AND(EDATE($D95,Milestones!$AA$121)&lt;=AsOfDate,IF($R95=0,$X95,IF(AND($T95&lt;&gt;"",EDATE($D95,Milestones!$AA$121)&gt;=$T95),$W95,IF(AND($S95&lt;&gt;"",EDATE($D95,Milestones!$AA$121)&gt;=$S95),$V95,$U95)))=Milestones!$AB$121),UPPER(TEXT(EDATE($D95,Milestones!$AA$121),"dd mmm yy"))&amp;" "&amp;Milestones!$AB$121&amp;" "&amp;Milestones!$AC$121&amp;";  ","")&amp;IF(AND(EDATE($D95,Milestones!$AA$122)&lt;=AsOfDate,IF($R95=0,$X95,IF(AND($T95&lt;&gt;"",EDATE($D95,Milestones!$AA$122)&gt;=$T95),$W95,IF(AND($S95&lt;&gt;"",EDATE($D95,Milestones!$AA$122)&gt;=$S95),$V95,$U95)))=Milestones!$AB$122),UPPER(TEXT(EDATE($D95,Milestones!$AA$122),"dd mmm yy"))&amp;" "&amp;Milestones!$AB$122&amp;" "&amp;Milestones!$AC$122&amp;";  ","")&amp;IF(AND(EDATE($D95,Milestones!$AA$123)&lt;=AsOfDate,IF($R95=0,$X95,IF(AND($T95&lt;&gt;"",EDATE($D95,Milestones!$AA$123)&gt;=$T95),$W95,IF(AND($S95&lt;&gt;"",EDATE($D95,Milestones!$AA$123)&gt;=$S95),$V95,$U95)))=Milestones!$AB$123),UPPER(TEXT(EDATE($D95,Milestones!$AA$123),"dd mmm yy"))&amp;" "&amp;Milestones!$AB$123&amp;" "&amp;Milestones!$AC$123&amp;";  ","")&amp;IF(AND(EDATE($D95,Milestones!$AA$124)&lt;=AsOfDate,IF($R95=0,$X95,IF(AND($T95&lt;&gt;"",EDATE($D95,Milestones!$AA$124)&gt;=$T95),$W95,IF(AND($S95&lt;&gt;"",EDATE($D95,Milestones!$AA$124)&gt;=$S95),$V95,$U95)))=Milestones!$AB$124),UPPER(TEXT(EDATE($D95,Milestones!$AA$124),"dd mmm yy"))&amp;" "&amp;Milestones!$AB$124&amp;" "&amp;Milestones!$AC$124&amp;";  ","")&amp;IF(AND(EDATE($D95,Milestones!$AA$125)&lt;=AsOfDate,IF($R95=0,$X95,IF(AND($T95&lt;&gt;"",EDATE($D95,Milestones!$AA$125)&gt;=$T95),$W95,IF(AND($S95&lt;&gt;"",EDATE($D95,Milestones!$AA$125)&gt;=$S95),$V95,$U95)))=Milestones!$AB$125),UPPER(TEXT(EDATE($D95,Milestones!$AA$125),"dd mmm yy"))&amp;" "&amp;Milestones!$AB$125&amp;" "&amp;Milestones!$AC$125&amp;";  ","")&amp;IF(AND(EDATE($D95,Milestones!$AA$126)&lt;=AsOfDate,IF($R95=0,$X95,IF(AND($T95&lt;&gt;"",EDATE($D95,Milestones!$AA$126)&gt;=$T95),$W95,IF(AND($S95&lt;&gt;"",EDATE($D95,Milestones!$AA$126)&gt;=$S95),$V95,$U95)))=Milestones!$AB$126),UPPER(TEXT(EDATE($D95,Milestones!$AA$126),"dd mmm yy"))&amp;" "&amp;Milestones!$AB$126&amp;" "&amp;Milestones!$AC$126&amp;";  ","")&amp;IF(AND(EDATE($D95,Milestones!$AA$127)&lt;=AsOfDate,IF($R95=0,$X95,IF(AND($T95&lt;&gt;"",EDATE($D95,Milestones!$AA$127)&gt;=$T95),$W95,IF(AND($S95&lt;&gt;"",EDATE($D95,Milestones!$AA$127)&gt;=$S95),$V95,$U95)))=Milestones!$AB$127),UPPER(TEXT(EDATE($D95,Milestones!$AA$127),"dd mmm yy"))&amp;" "&amp;Milestones!$AB$127&amp;" "&amp;Milestones!$AC$127&amp;";  ","")&amp;IF(AND(EDATE($D95,Milestones!$AA$128)&lt;=AsOfDate,IF($R95=0,$X95,IF(AND($T95&lt;&gt;"",EDATE($D95,Milestones!$AA$128)&gt;=$T95),$W95,IF(AND($S95&lt;&gt;"",EDATE($D95,Milestones!$AA$128)&gt;=$S95),$V95,$U95)))=Milestones!$AB$128),UPPER(TEXT(EDATE($D95,Milestones!$AA$128),"dd mmm yy"))&amp;" "&amp;Milestones!$AB$128&amp;" "&amp;Milestones!$AC$128&amp;";  ","")&amp;IF(AND(EDATE($D95,Milestones!$AA$129)&lt;=AsOfDate,IF($R95=0,$X95,IF(AND($T95&lt;&gt;"",EDATE($D95,Milestones!$AA$129)&gt;=$T95),$W95,IF(AND($S95&lt;&gt;"",EDATE($D95,Milestones!$AA$129)&gt;=$S95),$V95,$U95)))=Milestones!$AB$129),UPPER(TEXT(EDATE($D95,Milestones!$AA$129),"dd mmm yy"))&amp;" "&amp;Milestones!$AB$129&amp;" "&amp;Milestones!$AC$129&amp;";  ","")&amp;IF(AND(EDATE($D95,Milestones!$AA$130)&lt;=AsOfDate,IF($R95=0,$X95,IF(AND($T95&lt;&gt;"",EDATE($D95,Milestones!$AA$130)&gt;=$T95),$W95,IF(AND($S95&lt;&gt;"",EDATE($D95,Milestones!$AA$130)&gt;=$S95),$V95,$U95)))=Milestones!$AB$130),UPPER(TEXT(EDATE($D95,Milestones!$AA$130),"dd mmm yy"))&amp;" "&amp;Milestones!$AB$130&amp;" "&amp;Milestones!$AC$130&amp;";  ","")&amp;IF(AND(EDATE($D95,Milestones!$AA$131)&lt;=AsOfDate,IF($R95=0,$X95,IF(AND($T95&lt;&gt;"",EDATE($D95,Milestones!$AA$131)&gt;=$T95),$W95,IF(AND($S95&lt;&gt;"",EDATE($D95,Milestones!$AA$131)&gt;=$S95),$V95,$U95)))=Milestones!$AB$131),UPPER(TEXT(EDATE($D95,Milestones!$AA$131),"dd mmm yy"))&amp;" "&amp;Milestones!$AB$131&amp;" "&amp;Milestones!$AC$131&amp;";  ","")&amp;IF(AND(EDATE($D95,Milestones!$AA$132)&lt;=AsOfDate,IF($R95=0,$X95,IF(AND($T95&lt;&gt;"",EDATE($D95,Milestones!$AA$132)&gt;=$T95),$W95,IF(AND($S95&lt;&gt;"",EDATE($D95,Milestones!$AA$132)&gt;=$S95),$V95,$U95)))=Milestones!$AB$132),UPPER(TEXT(EDATE($D95,Milestones!$AA$132),"dd mmm yy"))&amp;" "&amp;Milestones!$AB$132&amp;" "&amp;Milestones!$AC$132&amp;";  ","")&amp;IF(AND(EDATE($D95,Milestones!$AA$133)&lt;=AsOfDate,IF($R95=0,$X95,IF(AND($T95&lt;&gt;"",EDATE($D95,Milestones!$AA$133)&gt;=$T95),$W95,IF(AND($S95&lt;&gt;"",EDATE($D95,Milestones!$AA$133)&gt;=$S95),$V95,$U95)))=Milestones!$AB$133),UPPER(TEXT(EDATE($D95,Milestones!$AA$133),"dd mmm yy"))&amp;" "&amp;Milestones!$AB$133&amp;" "&amp;Milestones!$AC$133&amp;";  ","")&amp;IF(AND(EDATE($D95,Milestones!$AA$134)&lt;=AsOfDate,IF($R95=0,$X95,IF(AND($T95&lt;&gt;"",EDATE($D95,Milestones!$AA$134)&gt;=$T95),$W95,IF(AND($S95&lt;&gt;"",EDATE($D95,Milestones!$AA$134)&gt;=$S95),$V95,$U95)))=Milestones!$AB$134),UPPER(TEXT(EDATE($D95,Milestones!$AA$134),"dd mmm yy"))&amp;" "&amp;Milestones!$AB$134&amp;" "&amp;Milestones!$AC$134&amp;";  ","")&amp;IF(AND(EDATE($D95,Milestones!$AA$135)&lt;=AsOfDate,IF($R95=0,$X95,IF(AND($T95&lt;&gt;"",EDATE($D95,Milestones!$AA$135)&gt;=$T95),$W95,IF(AND($S95&lt;&gt;"",EDATE($D95,Milestones!$AA$135)&gt;=$S95),$V95,$U95)))=Milestones!$AB$135),UPPER(TEXT(EDATE($D95,Milestones!$AA$135),"dd mmm yy"))&amp;" "&amp;Milestones!$AB$135&amp;" "&amp;Milestones!$AC$135&amp;";  ","")&amp;IF(AND(EDATE($D95,Milestones!$AA$136)&lt;=AsOfDate,IF($R95=0,$X95,IF(AND($T95&lt;&gt;"",EDATE($D95,Milestones!$AA$136)&gt;=$T95),$W95,IF(AND($S95&lt;&gt;"",EDATE($D95,Milestones!$AA$136)&gt;=$S95),$V95,$U95)))=Milestones!$AB$136),UPPER(TEXT(EDATE($D95,Milestones!$AA$136),"dd mmm yy"))&amp;" "&amp;Milestones!$AB$136&amp;" "&amp;Milestones!$AC$136&amp;";  ","")&amp;IF(AND(EDATE($D95,Milestones!$AA$137)&lt;=AsOfDate,IF($R95=0,$X95,IF(AND($T95&lt;&gt;"",EDATE($D95,Milestones!$AA$137)&gt;=$T95),$W95,IF(AND($S95&lt;&gt;"",EDATE($D95,Milestones!$AA$137)&gt;=$S95),$V95,$U95)))=Milestones!$AB$137),UPPER(TEXT(EDATE($D95,Milestones!$AA$137),"dd mmm yy"))&amp;" "&amp;Milestones!$AB$137&amp;" "&amp;Milestones!$AC$137&amp;";  ","")&amp;IF(AND(EDATE($D95,Milestones!$AA$138)&lt;=AsOfDate,IF($R95=0,$X95,IF(AND($T95&lt;&gt;"",EDATE($D95,Milestones!$AA$138)&gt;=$T95),$W95,IF(AND($S95&lt;&gt;"",EDATE($D95,Milestones!$AA$138)&gt;=$S95),$V95,$U95)))=Milestones!$AB$138),UPPER(TEXT(EDATE($D95,Milestones!$AA$138),"dd mmm yy"))&amp;" "&amp;Milestones!$AB$138&amp;" "&amp;Milestones!$AC$138&amp;";  ","")&amp;IF(AND(EDATE($D95,Milestones!$AA$139)&lt;=AsOfDate,IF($R95=0,$X95,IF(AND($T95&lt;&gt;"",EDATE($D95,Milestones!$AA$139)&gt;=$T95),$W95,IF(AND($S95&lt;&gt;"",EDATE($D95,Milestones!$AA$139)&gt;=$S95),$V95,$U95)))=Milestones!$AB$139),UPPER(TEXT(EDATE($D95,Milestones!$AA$139),"dd mmm yy"))&amp;" "&amp;Milestones!$AB$139&amp;" "&amp;Milestones!$AC$139&amp;";  ",""))</f>
        <v/>
      </c>
      <c r="O95" s="0" t="str">
        <f aca="false">IF(OR($A95="",$D95=""),"",IF(AND(EDATE($D95,Milestones!$AA$140)&lt;=AsOfDate,IF($R95=0,$X95,IF(AND($T95&lt;&gt;"",EDATE($D95,Milestones!$AA$140)&gt;=$T95),$W95,IF(AND($S95&lt;&gt;"",EDATE($D95,Milestones!$AA$140)&gt;=$S95),$V95,$U95)))=Milestones!$AB$140),UPPER(TEXT(EDATE($D95,Milestones!$AA$140),"dd mmm yy"))&amp;" "&amp;Milestones!$AB$140&amp;" "&amp;Milestones!$AC$140&amp;";  ","")&amp;IF(AND(EDATE($D95,Milestones!$AA$141)&lt;=AsOfDate,IF($R95=0,$X95,IF(AND($T95&lt;&gt;"",EDATE($D95,Milestones!$AA$141)&gt;=$T95),$W95,IF(AND($S95&lt;&gt;"",EDATE($D95,Milestones!$AA$141)&gt;=$S95),$V95,$U95)))=Milestones!$AB$141),UPPER(TEXT(EDATE($D95,Milestones!$AA$141),"dd mmm yy"))&amp;" "&amp;Milestones!$AB$141&amp;" "&amp;Milestones!$AC$141&amp;";  ","")&amp;IF(AND(EDATE($D95,Milestones!$AA$142)&lt;=AsOfDate,IF($R95=0,$X95,IF(AND($T95&lt;&gt;"",EDATE($D95,Milestones!$AA$142)&gt;=$T95),$W95,IF(AND($S95&lt;&gt;"",EDATE($D95,Milestones!$AA$142)&gt;=$S95),$V95,$U95)))=Milestones!$AB$142),UPPER(TEXT(EDATE($D95,Milestones!$AA$142),"dd mmm yy"))&amp;" "&amp;Milestones!$AB$142&amp;" "&amp;Milestones!$AC$142&amp;";  ","")&amp;IF(AND(EDATE($D95,Milestones!$AA$143)&lt;=AsOfDate,IF($R95=0,$X95,IF(AND($T95&lt;&gt;"",EDATE($D95,Milestones!$AA$143)&gt;=$T95),$W95,IF(AND($S95&lt;&gt;"",EDATE($D95,Milestones!$AA$143)&gt;=$S95),$V95,$U95)))=Milestones!$AB$143),UPPER(TEXT(EDATE($D95,Milestones!$AA$143),"dd mmm yy"))&amp;" "&amp;Milestones!$AB$143&amp;" "&amp;Milestones!$AC$143&amp;";  ","")&amp;IF(AND(EDATE($D95,Milestones!$AA$144)&lt;=AsOfDate,IF($R95=0,$X95,IF(AND($T95&lt;&gt;"",EDATE($D95,Milestones!$AA$144)&gt;=$T95),$W95,IF(AND($S95&lt;&gt;"",EDATE($D95,Milestones!$AA$144)&gt;=$S95),$V95,$U95)))=Milestones!$AB$144),UPPER(TEXT(EDATE($D95,Milestones!$AA$144),"dd mmm yy"))&amp;" "&amp;Milestones!$AB$144&amp;" "&amp;Milestones!$AC$144&amp;";  ","")&amp;IF(AND(EDATE($D95,Milestones!$AA$145)&lt;=AsOfDate,IF($R95=0,$X95,IF(AND($T95&lt;&gt;"",EDATE($D95,Milestones!$AA$145)&gt;=$T95),$W95,IF(AND($S95&lt;&gt;"",EDATE($D95,Milestones!$AA$145)&gt;=$S95),$V95,$U95)))=Milestones!$AB$145),UPPER(TEXT(EDATE($D95,Milestones!$AA$145),"dd mmm yy"))&amp;" "&amp;Milestones!$AB$145&amp;" "&amp;Milestones!$AC$145&amp;";  ","")&amp;IF(AND(EDATE($D95,Milestones!$AA$146)&lt;=AsOfDate,IF($R95=0,$X95,IF(AND($T95&lt;&gt;"",EDATE($D95,Milestones!$AA$146)&gt;=$T95),$W95,IF(AND($S95&lt;&gt;"",EDATE($D95,Milestones!$AA$146)&gt;=$S95),$V95,$U95)))=Milestones!$AB$146),UPPER(TEXT(EDATE($D95,Milestones!$AA$146),"dd mmm yy"))&amp;" "&amp;Milestones!$AB$146&amp;" "&amp;Milestones!$AC$146&amp;";  ","")&amp;IF(AND(EDATE($D95,Milestones!$AA$147)&lt;=AsOfDate,IF($R95=0,$X95,IF(AND($T95&lt;&gt;"",EDATE($D95,Milestones!$AA$147)&gt;=$T95),$W95,IF(AND($S95&lt;&gt;"",EDATE($D95,Milestones!$AA$147)&gt;=$S95),$V95,$U95)))=Milestones!$AB$147),UPPER(TEXT(EDATE($D95,Milestones!$AA$147),"dd mmm yy"))&amp;" "&amp;Milestones!$AB$147&amp;" "&amp;Milestones!$AC$147&amp;";  ","")&amp;IF(AND(EDATE($D95,Milestones!$AA$148)&lt;=AsOfDate,IF($R95=0,$X95,IF(AND($T95&lt;&gt;"",EDATE($D95,Milestones!$AA$148)&gt;=$T95),$W95,IF(AND($S95&lt;&gt;"",EDATE($D95,Milestones!$AA$148)&gt;=$S95),$V95,$U95)))=Milestones!$AB$148),UPPER(TEXT(EDATE($D95,Milestones!$AA$148),"dd mmm yy"))&amp;" "&amp;Milestones!$AB$148&amp;" "&amp;Milestones!$AC$148&amp;";  ","")&amp;IF(AND(EDATE($D95,Milestones!$AA$149)&lt;=AsOfDate,IF($R95=0,$X95,IF(AND($T95&lt;&gt;"",EDATE($D95,Milestones!$AA$149)&gt;=$T95),$W95,IF(AND($S95&lt;&gt;"",EDATE($D95,Milestones!$AA$149)&gt;=$S95),$V95,$U95)))=Milestones!$AB$149),UPPER(TEXT(EDATE($D95,Milestones!$AA$149),"dd mmm yy"))&amp;" "&amp;Milestones!$AB$149&amp;" "&amp;Milestones!$AC$149&amp;";  ","")&amp;IF(AND(EDATE($D95,Milestones!$AA$150)&lt;=AsOfDate,IF($R95=0,$X95,IF(AND($T95&lt;&gt;"",EDATE($D95,Milestones!$AA$150)&gt;=$T95),$W95,IF(AND($S95&lt;&gt;"",EDATE($D95,Milestones!$AA$150)&gt;=$S95),$V95,$U95)))=Milestones!$AB$150),UPPER(TEXT(EDATE($D95,Milestones!$AA$150),"dd mmm yy"))&amp;" "&amp;Milestones!$AB$150&amp;" "&amp;Milestones!$AC$150&amp;";  ","")&amp;IF(AND(EDATE($D95,Milestones!$AA$151)&lt;=AsOfDate,IF($R95=0,$X95,IF(AND($T95&lt;&gt;"",EDATE($D95,Milestones!$AA$151)&gt;=$T95),$W95,IF(AND($S95&lt;&gt;"",EDATE($D95,Milestones!$AA$151)&gt;=$S95),$V95,$U95)))=Milestones!$AB$151),UPPER(TEXT(EDATE($D95,Milestones!$AA$151),"dd mmm yy"))&amp;" "&amp;Milestones!$AB$151&amp;" "&amp;Milestones!$AC$151&amp;";  ","")&amp;IF(AND(EDATE($D95,Milestones!$AA$152)&lt;=AsOfDate,IF($R95=0,$X95,IF(AND($T95&lt;&gt;"",EDATE($D95,Milestones!$AA$152)&gt;=$T95),$W95,IF(AND($S95&lt;&gt;"",EDATE($D95,Milestones!$AA$152)&gt;=$S95),$V95,$U95)))=Milestones!$AB$152),UPPER(TEXT(EDATE($D95,Milestones!$AA$152),"dd mmm yy"))&amp;" "&amp;Milestones!$AB$152&amp;" "&amp;Milestones!$AC$152&amp;";  ","")&amp;IF(AND(EDATE($D95,Milestones!$AA$153)&lt;=AsOfDate,IF($R95=0,$X95,IF(AND($T95&lt;&gt;"",EDATE($D95,Milestones!$AA$153)&gt;=$T95),$W95,IF(AND($S95&lt;&gt;"",EDATE($D95,Milestones!$AA$153)&gt;=$S95),$V95,$U95)))=Milestones!$AB$153),UPPER(TEXT(EDATE($D95,Milestones!$AA$153),"dd mmm yy"))&amp;" "&amp;Milestones!$AB$153&amp;" "&amp;Milestones!$AC$153&amp;";  ","")&amp;IF(AND(EDATE($D95,Milestones!$AA$154)&lt;=AsOfDate,IF($R95=0,$X95,IF(AND($T95&lt;&gt;"",EDATE($D95,Milestones!$AA$154)&gt;=$T95),$W95,IF(AND($S95&lt;&gt;"",EDATE($D95,Milestones!$AA$154)&gt;=$S95),$V95,$U95)))=Milestones!$AB$154),UPPER(TEXT(EDATE($D95,Milestones!$AA$154),"dd mmm yy"))&amp;" "&amp;Milestones!$AB$154&amp;" "&amp;Milestones!$AC$154&amp;";  ","")&amp;IF(AND(EDATE($D95,Milestones!$AA$155)&lt;=AsOfDate,IF($R95=0,$X95,IF(AND($T95&lt;&gt;"",EDATE($D95,Milestones!$AA$155)&gt;=$T95),$W95,IF(AND($S95&lt;&gt;"",EDATE($D95,Milestones!$AA$155)&gt;=$S95),$V95,$U95)))=Milestones!$AB$155),UPPER(TEXT(EDATE($D95,Milestones!$AA$155),"dd mmm yy"))&amp;" "&amp;Milestones!$AB$155&amp;" "&amp;Milestones!$AC$155&amp;";  ","")&amp;IF(AND(EDATE($D95,Milestones!$AA$156)&lt;=AsOfDate,IF($R95=0,$X95,IF(AND($T95&lt;&gt;"",EDATE($D95,Milestones!$AA$156)&gt;=$T95),$W95,IF(AND($S95&lt;&gt;"",EDATE($D95,Milestones!$AA$156)&gt;=$S95),$V95,$U95)))=Milestones!$AB$156),UPPER(TEXT(EDATE($D95,Milestones!$AA$156),"dd mmm yy"))&amp;" "&amp;Milestones!$AB$156&amp;" "&amp;Milestones!$AC$156&amp;";  ","")&amp;IF(AND(EDATE($D95,Milestones!$AA$157)&lt;=AsOfDate,IF($R95=0,$X95,IF(AND($T95&lt;&gt;"",EDATE($D95,Milestones!$AA$157)&gt;=$T95),$W95,IF(AND($S95&lt;&gt;"",EDATE($D95,Milestones!$AA$157)&gt;=$S95),$V95,$U95)))=Milestones!$AB$157),UPPER(TEXT(EDATE($D95,Milestones!$AA$157),"dd mmm yy"))&amp;" "&amp;Milestones!$AB$157&amp;" "&amp;Milestones!$AC$157&amp;";  ","")&amp;IF(AND(EDATE($D95,Milestones!$AA$158)&lt;=AsOfDate,IF($R95=0,$X95,IF(AND($T95&lt;&gt;"",EDATE($D95,Milestones!$AA$158)&gt;=$T95),$W95,IF(AND($S95&lt;&gt;"",EDATE($D95,Milestones!$AA$158)&gt;=$S95),$V95,$U95)))=Milestones!$AB$158),UPPER(TEXT(EDATE($D95,Milestones!$AA$158),"dd mmm yy"))&amp;" "&amp;Milestones!$AB$158&amp;" "&amp;Milestones!$AC$158&amp;";  ","")&amp;IF(AND(EDATE($D95,Milestones!$AA$159)&lt;=AsOfDate,IF($R95=0,$X95,IF(AND($T95&lt;&gt;"",EDATE($D95,Milestones!$AA$159)&gt;=$T95),$W95,IF(AND($S95&lt;&gt;"",EDATE($D95,Milestones!$AA$159)&gt;=$S95),$V95,$U95)))=Milestones!$AB$159),UPPER(TEXT(EDATE($D95,Milestones!$AA$159),"dd mmm yy"))&amp;" "&amp;Milestones!$AB$159&amp;" "&amp;Milestones!$AC$159&amp;";  ",""))</f>
        <v/>
      </c>
      <c r="P95" s="0" t="str">
        <f aca="false">IF(OR($A95="",$D95=""),"",IF(AND(EDATE($D95,Milestones!$AA$160)&lt;=AsOfDate,IF($R95=0,$X95,IF(AND($T95&lt;&gt;"",EDATE($D95,Milestones!$AA$160)&gt;=$T95),$W95,IF(AND($S95&lt;&gt;"",EDATE($D95,Milestones!$AA$160)&gt;=$S95),$V95,$U95)))=Milestones!$AB$160),UPPER(TEXT(EDATE($D95,Milestones!$AA$160),"dd mmm yy"))&amp;" "&amp;Milestones!$AB$160&amp;" "&amp;Milestones!$AC$160&amp;";  ","")&amp;IF(AND(EDATE($D95,Milestones!$AA$161)&lt;=AsOfDate,IF($R95=0,$X95,IF(AND($T95&lt;&gt;"",EDATE($D95,Milestones!$AA$161)&gt;=$T95),$W95,IF(AND($S95&lt;&gt;"",EDATE($D95,Milestones!$AA$161)&gt;=$S95),$V95,$U95)))=Milestones!$AB$161),UPPER(TEXT(EDATE($D95,Milestones!$AA$161),"dd mmm yy"))&amp;" "&amp;Milestones!$AB$161&amp;" "&amp;Milestones!$AC$161&amp;";  ","")&amp;IF(AND(EDATE($D95,Milestones!$AA$162)&lt;=AsOfDate,IF($R95=0,$X95,IF(AND($T95&lt;&gt;"",EDATE($D95,Milestones!$AA$162)&gt;=$T95),$W95,IF(AND($S95&lt;&gt;"",EDATE($D95,Milestones!$AA$162)&gt;=$S95),$V95,$U95)))=Milestones!$AB$162),UPPER(TEXT(EDATE($D95,Milestones!$AA$162),"dd mmm yy"))&amp;" "&amp;Milestones!$AB$162&amp;" "&amp;Milestones!$AC$162&amp;";  ","")&amp;IF(AND(EDATE($D95,Milestones!$AA$163)&lt;=AsOfDate,IF($R95=0,$X95,IF(AND($T95&lt;&gt;"",EDATE($D95,Milestones!$AA$163)&gt;=$T95),$W95,IF(AND($S95&lt;&gt;"",EDATE($D95,Milestones!$AA$163)&gt;=$S95),$V95,$U95)))=Milestones!$AB$163),UPPER(TEXT(EDATE($D95,Milestones!$AA$163),"dd mmm yy"))&amp;" "&amp;Milestones!$AB$163&amp;" "&amp;Milestones!$AC$163&amp;";  ","")&amp;IF(AND(EDATE($D95,Milestones!$AA$164)&lt;=AsOfDate,IF($R95=0,$X95,IF(AND($T95&lt;&gt;"",EDATE($D95,Milestones!$AA$164)&gt;=$T95),$W95,IF(AND($S95&lt;&gt;"",EDATE($D95,Milestones!$AA$164)&gt;=$S95),$V95,$U95)))=Milestones!$AB$164),UPPER(TEXT(EDATE($D95,Milestones!$AA$164),"dd mmm yy"))&amp;" "&amp;Milestones!$AB$164&amp;" "&amp;Milestones!$AC$164&amp;";  ","")&amp;IF(AND(EDATE($D95,Milestones!$AA$165)&lt;=AsOfDate,IF($R95=0,$X95,IF(AND($T95&lt;&gt;"",EDATE($D95,Milestones!$AA$165)&gt;=$T95),$W95,IF(AND($S95&lt;&gt;"",EDATE($D95,Milestones!$AA$165)&gt;=$S95),$V95,$U95)))=Milestones!$AB$165),UPPER(TEXT(EDATE($D95,Milestones!$AA$165),"dd mmm yy"))&amp;" "&amp;Milestones!$AB$165&amp;" "&amp;Milestones!$AC$165&amp;";  ","")&amp;IF(AND(EDATE($D95,Milestones!$AA$166)&lt;=AsOfDate,IF($R95=0,$X95,IF(AND($T95&lt;&gt;"",EDATE($D95,Milestones!$AA$166)&gt;=$T95),$W95,IF(AND($S95&lt;&gt;"",EDATE($D95,Milestones!$AA$166)&gt;=$S95),$V95,$U95)))=Milestones!$AB$166),UPPER(TEXT(EDATE($D95,Milestones!$AA$166),"dd mmm yy"))&amp;" "&amp;Milestones!$AB$166&amp;" "&amp;Milestones!$AC$166&amp;";  ","")&amp;IF(AND(EDATE($D95,Milestones!$AA$167)&lt;=AsOfDate,IF($R95=0,$X95,IF(AND($T95&lt;&gt;"",EDATE($D95,Milestones!$AA$167)&gt;=$T95),$W95,IF(AND($S95&lt;&gt;"",EDATE($D95,Milestones!$AA$167)&gt;=$S95),$V95,$U95)))=Milestones!$AB$167),UPPER(TEXT(EDATE($D95,Milestones!$AA$167),"dd mmm yy"))&amp;" "&amp;Milestones!$AB$167&amp;" "&amp;Milestones!$AC$167&amp;";  ","")&amp;IF(AND(EDATE($D95,Milestones!$AA$168)&lt;=AsOfDate,IF($R95=0,$X95,IF(AND($T95&lt;&gt;"",EDATE($D95,Milestones!$AA$168)&gt;=$T95),$W95,IF(AND($S95&lt;&gt;"",EDATE($D95,Milestones!$AA$168)&gt;=$S95),$V95,$U95)))=Milestones!$AB$168),UPPER(TEXT(EDATE($D95,Milestones!$AA$168),"dd mmm yy"))&amp;" "&amp;Milestones!$AB$168&amp;" "&amp;Milestones!$AC$168&amp;";  ","")&amp;IF(AND(EDATE($D95,Milestones!$AA$169)&lt;=AsOfDate,IF($R95=0,$X95,IF(AND($T95&lt;&gt;"",EDATE($D95,Milestones!$AA$169)&gt;=$T95),$W95,IF(AND($S95&lt;&gt;"",EDATE($D95,Milestones!$AA$169)&gt;=$S95),$V95,$U95)))=Milestones!$AB$169),UPPER(TEXT(EDATE($D95,Milestones!$AA$169),"dd mmm yy"))&amp;" "&amp;Milestones!$AB$169&amp;" "&amp;Milestones!$AC$169&amp;";  ","")&amp;IF(AND(EDATE($D95,Milestones!$AA$170)&lt;=AsOfDate,IF($R95=0,$X95,IF(AND($T95&lt;&gt;"",EDATE($D95,Milestones!$AA$170)&gt;=$T95),$W95,IF(AND($S95&lt;&gt;"",EDATE($D95,Milestones!$AA$170)&gt;=$S95),$V95,$U95)))=Milestones!$AB$170),UPPER(TEXT(EDATE($D95,Milestones!$AA$170),"dd mmm yy"))&amp;" "&amp;Milestones!$AB$170&amp;" "&amp;Milestones!$AC$170&amp;";  ","")&amp;IF(AND(EDATE($D95,Milestones!$AA$171)&lt;=AsOfDate,IF($R95=0,$X95,IF(AND($T95&lt;&gt;"",EDATE($D95,Milestones!$AA$171)&gt;=$T95),$W95,IF(AND($S95&lt;&gt;"",EDATE($D95,Milestones!$AA$171)&gt;=$S95),$V95,$U95)))=Milestones!$AB$171),UPPER(TEXT(EDATE($D95,Milestones!$AA$171),"dd mmm yy"))&amp;" "&amp;Milestones!$AB$171&amp;" "&amp;Milestones!$AC$171&amp;";  ","")&amp;IF(AND(EDATE($D95,Milestones!$AA$172)&lt;=AsOfDate,IF($R95=0,$X95,IF(AND($T95&lt;&gt;"",EDATE($D95,Milestones!$AA$172)&gt;=$T95),$W95,IF(AND($S95&lt;&gt;"",EDATE($D95,Milestones!$AA$172)&gt;=$S95),$V95,$U95)))=Milestones!$AB$172),UPPER(TEXT(EDATE($D95,Milestones!$AA$172),"dd mmm yy"))&amp;" "&amp;Milestones!$AB$172&amp;" "&amp;Milestones!$AC$172&amp;";  ","")&amp;IF(AND(EDATE($D95,Milestones!$AA$173)&lt;=AsOfDate,IF($R95=0,$X95,IF(AND($T95&lt;&gt;"",EDATE($D95,Milestones!$AA$173)&gt;=$T95),$W95,IF(AND($S95&lt;&gt;"",EDATE($D95,Milestones!$AA$173)&gt;=$S95),$V95,$U95)))=Milestones!$AB$173),UPPER(TEXT(EDATE($D95,Milestones!$AA$173),"dd mmm yy"))&amp;" "&amp;Milestones!$AB$173&amp;" "&amp;Milestones!$AC$173&amp;";  ","")&amp;IF(AND(EDATE($D95,Milestones!$AA$174)&lt;=AsOfDate,IF($R95=0,$X95,IF(AND($T95&lt;&gt;"",EDATE($D95,Milestones!$AA$174)&gt;=$T95),$W95,IF(AND($S95&lt;&gt;"",EDATE($D95,Milestones!$AA$174)&gt;=$S95),$V95,$U95)))=Milestones!$AB$174),UPPER(TEXT(EDATE($D95,Milestones!$AA$174),"dd mmm yy"))&amp;" "&amp;Milestones!$AB$174&amp;" "&amp;Milestones!$AC$174&amp;";  ","")&amp;IF(AND(EDATE($D95,Milestones!$AA$175)&lt;=AsOfDate,IF($R95=0,$X95,IF(AND($T95&lt;&gt;"",EDATE($D95,Milestones!$AA$175)&gt;=$T95),$W95,IF(AND($S95&lt;&gt;"",EDATE($D95,Milestones!$AA$175)&gt;=$S95),$V95,$U95)))=Milestones!$AB$175),UPPER(TEXT(EDATE($D95,Milestones!$AA$175),"dd mmm yy"))&amp;" "&amp;Milestones!$AB$175&amp;" "&amp;Milestones!$AC$175&amp;";  ","")&amp;IF(AND(EDATE($D95,Milestones!$AA$176)&lt;=AsOfDate,IF($R95=0,$X95,IF(AND($T95&lt;&gt;"",EDATE($D95,Milestones!$AA$176)&gt;=$T95),$W95,IF(AND($S95&lt;&gt;"",EDATE($D95,Milestones!$AA$176)&gt;=$S95),$V95,$U95)))=Milestones!$AB$176),UPPER(TEXT(EDATE($D95,Milestones!$AA$176),"dd mmm yy"))&amp;" "&amp;Milestones!$AB$176&amp;" "&amp;Milestones!$AC$176&amp;";  ","")&amp;IF(AND(EDATE($D95,Milestones!$AA$177)&lt;=AsOfDate,IF($R95=0,$X95,IF(AND($T95&lt;&gt;"",EDATE($D95,Milestones!$AA$177)&gt;=$T95),$W95,IF(AND($S95&lt;&gt;"",EDATE($D95,Milestones!$AA$177)&gt;=$S95),$V95,$U95)))=Milestones!$AB$177),UPPER(TEXT(EDATE($D95,Milestones!$AA$177),"dd mmm yy"))&amp;" "&amp;Milestones!$AB$177&amp;" "&amp;Milestones!$AC$177&amp;";  ","")&amp;IF(AND(EDATE($D95,Milestones!$AA$178)&lt;=AsOfDate,IF($R95=0,$X95,IF(AND($T95&lt;&gt;"",EDATE($D95,Milestones!$AA$178)&gt;=$T95),$W95,IF(AND($S95&lt;&gt;"",EDATE($D95,Milestones!$AA$178)&gt;=$S95),$V95,$U95)))=Milestones!$AB$178),UPPER(TEXT(EDATE($D95,Milestones!$AA$178),"dd mmm yy"))&amp;" "&amp;Milestones!$AB$178&amp;" "&amp;Milestones!$AC$178&amp;";  ","")&amp;IF(AND(EDATE($D95,Milestones!$AA$179)&lt;=AsOfDate,IF($R95=0,$X95,IF(AND($T95&lt;&gt;"",EDATE($D95,Milestones!$AA$179)&gt;=$T95),$W95,IF(AND($S95&lt;&gt;"",EDATE($D95,Milestones!$AA$179)&gt;=$S95),$V95,$U95)))=Milestones!$AB$179),UPPER(TEXT(EDATE($D95,Milestones!$AA$179),"dd mmm yy"))&amp;" "&amp;Milestones!$AB$179&amp;" "&amp;Milestones!$AC$179&amp;";  ",""))</f>
        <v/>
      </c>
      <c r="Q95" s="0" t="str">
        <f aca="false">IF(OR($A95="",$D95=""),"",IF(AND(EDATE($D95,Milestones!$AA$180)&lt;=AsOfDate,IF($R95=0,$X95,IF(AND($T95&lt;&gt;"",EDATE($D95,Milestones!$AA$180)&gt;=$T95),$W95,IF(AND($S95&lt;&gt;"",EDATE($D95,Milestones!$AA$180)&gt;=$S95),$V95,$U95)))=Milestones!$AB$180),UPPER(TEXT(EDATE($D95,Milestones!$AA$180),"dd mmm yy"))&amp;" "&amp;Milestones!$AB$180&amp;" "&amp;Milestones!$AC$180&amp;";  ","")&amp;IF(AND(EDATE($D95,Milestones!$AA$181)&lt;=AsOfDate,IF($R95=0,$X95,IF(AND($T95&lt;&gt;"",EDATE($D95,Milestones!$AA$181)&gt;=$T95),$W95,IF(AND($S95&lt;&gt;"",EDATE($D95,Milestones!$AA$181)&gt;=$S95),$V95,$U95)))=Milestones!$AB$181),UPPER(TEXT(EDATE($D95,Milestones!$AA$181),"dd mmm yy"))&amp;" "&amp;Milestones!$AB$181&amp;" "&amp;Milestones!$AC$181&amp;";  ","")&amp;IF(AND(EDATE($D95,Milestones!$AA$182)&lt;=AsOfDate,IF($R95=0,$X95,IF(AND($T95&lt;&gt;"",EDATE($D95,Milestones!$AA$182)&gt;=$T95),$W95,IF(AND($S95&lt;&gt;"",EDATE($D95,Milestones!$AA$182)&gt;=$S95),$V95,$U95)))=Milestones!$AB$182),UPPER(TEXT(EDATE($D95,Milestones!$AA$182),"dd mmm yy"))&amp;" "&amp;Milestones!$AB$182&amp;" "&amp;Milestones!$AC$182&amp;";  ","")&amp;IF(AND(EDATE($D95,Milestones!$AA$183)&lt;=AsOfDate,IF($R95=0,$X95,IF(AND($T95&lt;&gt;"",EDATE($D95,Milestones!$AA$183)&gt;=$T95),$W95,IF(AND($S95&lt;&gt;"",EDATE($D95,Milestones!$AA$183)&gt;=$S95),$V95,$U95)))=Milestones!$AB$183),UPPER(TEXT(EDATE($D95,Milestones!$AA$183),"dd mmm yy"))&amp;" "&amp;Milestones!$AB$183&amp;" "&amp;Milestones!$AC$183&amp;";  ","")&amp;IF(AND(EDATE($D95,Milestones!$AA$184)&lt;=AsOfDate,IF($R95=0,$X95,IF(AND($T95&lt;&gt;"",EDATE($D95,Milestones!$AA$184)&gt;=$T95),$W95,IF(AND($S95&lt;&gt;"",EDATE($D95,Milestones!$AA$184)&gt;=$S95),$V95,$U95)))=Milestones!$AB$184),UPPER(TEXT(EDATE($D95,Milestones!$AA$184),"dd mmm yy"))&amp;" "&amp;Milestones!$AB$184&amp;" "&amp;Milestones!$AC$184&amp;";  ","")&amp;IF(AND(EDATE($D95,Milestones!$AA$185)&lt;=AsOfDate,IF($R95=0,$X95,IF(AND($T95&lt;&gt;"",EDATE($D95,Milestones!$AA$185)&gt;=$T95),$W95,IF(AND($S95&lt;&gt;"",EDATE($D95,Milestones!$AA$185)&gt;=$S95),$V95,$U95)))=Milestones!$AB$185),UPPER(TEXT(EDATE($D95,Milestones!$AA$185),"dd mmm yy"))&amp;" "&amp;Milestones!$AB$185&amp;" "&amp;Milestones!$AC$185&amp;";  ","")&amp;IF(AND(EDATE($D95,Milestones!$AA$186)&lt;=AsOfDate,IF($R95=0,$X95,IF(AND($T95&lt;&gt;"",EDATE($D95,Milestones!$AA$186)&gt;=$T95),$W95,IF(AND($S95&lt;&gt;"",EDATE($D95,Milestones!$AA$186)&gt;=$S95),$V95,$U95)))=Milestones!$AB$186),UPPER(TEXT(EDATE($D95,Milestones!$AA$186),"dd mmm yy"))&amp;" "&amp;Milestones!$AB$186&amp;" "&amp;Milestones!$AC$186&amp;";  ","")&amp;IF(AND(EDATE($D95,Milestones!$AA$187)&lt;=AsOfDate,IF($R95=0,$X95,IF(AND($T95&lt;&gt;"",EDATE($D95,Milestones!$AA$187)&gt;=$T95),$W95,IF(AND($S95&lt;&gt;"",EDATE($D95,Milestones!$AA$187)&gt;=$S95),$V95,$U95)))=Milestones!$AB$187),UPPER(TEXT(EDATE($D95,Milestones!$AA$187),"dd mmm yy"))&amp;" "&amp;Milestones!$AB$187&amp;" "&amp;Milestones!$AC$187&amp;";  ","")&amp;IF(AND(EDATE($D95,Milestones!$AA$188)&lt;=AsOfDate,IF($R95=0,$X95,IF(AND($T95&lt;&gt;"",EDATE($D95,Milestones!$AA$188)&gt;=$T95),$W95,IF(AND($S95&lt;&gt;"",EDATE($D95,Milestones!$AA$188)&gt;=$S95),$V95,$U95)))=Milestones!$AB$188),UPPER(TEXT(EDATE($D95,Milestones!$AA$188),"dd mmm yy"))&amp;" "&amp;Milestones!$AB$188&amp;" "&amp;Milestones!$AC$188&amp;";  ","")&amp;IF(AND(EDATE($D95,Milestones!$AA$189)&lt;=AsOfDate,IF($R95=0,$X95,IF(AND($T95&lt;&gt;"",EDATE($D95,Milestones!$AA$189)&gt;=$T95),$W95,IF(AND($S95&lt;&gt;"",EDATE($D95,Milestones!$AA$189)&gt;=$S95),$V95,$U95)))=Milestones!$AB$189),UPPER(TEXT(EDATE($D95,Milestones!$AA$189),"dd mmm yy"))&amp;" "&amp;Milestones!$AB$189&amp;" "&amp;Milestones!$AC$189&amp;";  ","")&amp;IF(AND(EDATE($D95,Milestones!$AA$190)&lt;=AsOfDate,IF($R95=0,$X95,IF(AND($T95&lt;&gt;"",EDATE($D95,Milestones!$AA$190)&gt;=$T95),$W95,IF(AND($S95&lt;&gt;"",EDATE($D95,Milestones!$AA$190)&gt;=$S95),$V95,$U95)))=Milestones!$AB$190),UPPER(TEXT(EDATE($D95,Milestones!$AA$190),"dd mmm yy"))&amp;" "&amp;Milestones!$AB$190&amp;" "&amp;Milestones!$AC$190&amp;";  ","")&amp;IF(AND(EDATE($D95,Milestones!$AA$191)&lt;=AsOfDate,IF($R95=0,$X95,IF(AND($T95&lt;&gt;"",EDATE($D95,Milestones!$AA$191)&gt;=$T95),$W95,IF(AND($S95&lt;&gt;"",EDATE($D95,Milestones!$AA$191)&gt;=$S95),$V95,$U95)))=Milestones!$AB$191),UPPER(TEXT(EDATE($D95,Milestones!$AA$191),"dd mmm yy"))&amp;" "&amp;Milestones!$AB$191&amp;" "&amp;Milestones!$AC$191&amp;";  ","")&amp;IF(AND(EDATE($D95,Milestones!$AA$192)&lt;=AsOfDate,IF($R95=0,$X95,IF(AND($T95&lt;&gt;"",EDATE($D95,Milestones!$AA$192)&gt;=$T95),$W95,IF(AND($S95&lt;&gt;"",EDATE($D95,Milestones!$AA$192)&gt;=$S95),$V95,$U95)))=Milestones!$AB$192),UPPER(TEXT(EDATE($D95,Milestones!$AA$192),"dd mmm yy"))&amp;" "&amp;Milestones!$AB$192&amp;" "&amp;Milestones!$AC$192&amp;";  ","")&amp;IF(AND(EDATE($D95,Milestones!$AA$193)&lt;=AsOfDate,IF($R95=0,$X95,IF(AND($T95&lt;&gt;"",EDATE($D95,Milestones!$AA$193)&gt;=$T95),$W95,IF(AND($S95&lt;&gt;"",EDATE($D95,Milestones!$AA$193)&gt;=$S95),$V95,$U95)))=Milestones!$AB$193),UPPER(TEXT(EDATE($D95,Milestones!$AA$193),"dd mmm yy"))&amp;" "&amp;Milestones!$AB$193&amp;" "&amp;Milestones!$AC$193&amp;";  ","")&amp;IF(AND(EDATE($D95,Milestones!$AA$194)&lt;=AsOfDate,IF($R95=0,$X95,IF(AND($T95&lt;&gt;"",EDATE($D95,Milestones!$AA$194)&gt;=$T95),$W95,IF(AND($S95&lt;&gt;"",EDATE($D95,Milestones!$AA$194)&gt;=$S95),$V95,$U95)))=Milestones!$AB$194),UPPER(TEXT(EDATE($D95,Milestones!$AA$194),"dd mmm yy"))&amp;" "&amp;Milestones!$AB$194&amp;" "&amp;Milestones!$AC$194&amp;";  ","")&amp;IF(AND(EDATE($D95,Milestones!$AA$195)&lt;=AsOfDate,IF($R95=0,$X95,IF(AND($T95&lt;&gt;"",EDATE($D95,Milestones!$AA$195)&gt;=$T95),$W95,IF(AND($S95&lt;&gt;"",EDATE($D95,Milestones!$AA$195)&gt;=$S95),$V95,$U95)))=Milestones!$AB$195),UPPER(TEXT(EDATE($D95,Milestones!$AA$195),"dd mmm yy"))&amp;" "&amp;Milestones!$AB$195&amp;" "&amp;Milestones!$AC$195&amp;";  ","")&amp;IF(AND(EDATE($D95,Milestones!$AA$196)&lt;=AsOfDate,IF($R95=0,$X95,IF(AND($T95&lt;&gt;"",EDATE($D95,Milestones!$AA$196)&gt;=$T95),$W95,IF(AND($S95&lt;&gt;"",EDATE($D95,Milestones!$AA$196)&gt;=$S95),$V95,$U95)))=Milestones!$AB$196),UPPER(TEXT(EDATE($D95,Milestones!$AA$196),"dd mmm yy"))&amp;" "&amp;Milestones!$AB$196&amp;" "&amp;Milestones!$AC$196&amp;";  ","")&amp;IF(AND(EDATE($D95,Milestones!$AA$197)&lt;=AsOfDate,IF($R95=0,$X95,IF(AND($T95&lt;&gt;"",EDATE($D95,Milestones!$AA$197)&gt;=$T95),$W95,IF(AND($S95&lt;&gt;"",EDATE($D95,Milestones!$AA$197)&gt;=$S95),$V95,$U95)))=Milestones!$AB$197),UPPER(TEXT(EDATE($D95,Milestones!$AA$197),"dd mmm yy"))&amp;" "&amp;Milestones!$AB$197&amp;" "&amp;Milestones!$AC$197&amp;";  ","")&amp;IF(AND(EDATE($D95,Milestones!$AA$198)&lt;=AsOfDate,IF($R95=0,$X95,IF(AND($T95&lt;&gt;"",EDATE($D95,Milestones!$AA$198)&gt;=$T95),$W95,IF(AND($S95&lt;&gt;"",EDATE($D95,Milestones!$AA$198)&gt;=$S95),$V95,$U95)))=Milestones!$AB$198),UPPER(TEXT(EDATE($D95,Milestones!$AA$198),"dd mmm yy"))&amp;" "&amp;Milestones!$AB$198&amp;" "&amp;Milestones!$AC$198&amp;";  ","")&amp;IF(AND(EDATE($D95,Milestones!$AA$199)&lt;=AsOfDate,IF($R95=0,$X95,IF(AND($T95&lt;&gt;"",EDATE($D95,Milestones!$AA$199)&gt;=$T95),$W95,IF(AND($S95&lt;&gt;"",EDATE($D95,Milestones!$AA$199)&gt;=$S95),$V95,$U95)))=Milestones!$AB$199),UPPER(TEXT(EDATE($D95,Milestones!$AA$199),"dd mmm yy"))&amp;" "&amp;Milestones!$AB$199&amp;" "&amp;Milestones!$AC$199&amp;";  ",""))</f>
        <v/>
      </c>
      <c r="R95" s="0" t="str">
        <f aca="false">IF(Staff!$A95="","",Staff!$AI95)</f>
        <v/>
      </c>
      <c r="S95" s="0" t="str">
        <f aca="false">IF(Staff!$A95="","",Staff!$AK95)</f>
        <v/>
      </c>
      <c r="T95" s="0" t="str">
        <f aca="false">IF(Staff!$A95="","",Staff!$AL95)</f>
        <v/>
      </c>
      <c r="U95" s="0" t="str">
        <f aca="false">IF(Staff!$A95="","",Staff!$AP95)</f>
        <v/>
      </c>
      <c r="V95" s="0" t="str">
        <f aca="false">IF(Staff!$A95="","",Staff!$AQ95)</f>
        <v/>
      </c>
      <c r="W95" s="0" t="str">
        <f aca="false">IF(Staff!$A95="","",Staff!$AR95)</f>
        <v/>
      </c>
      <c r="X95" s="0" t="str">
        <f aca="false">IF(Staff!$A95="","",Staff!$AS95)</f>
        <v/>
      </c>
    </row>
    <row r="96" customFormat="false" ht="15" hidden="false" customHeight="false" outlineLevel="0" collapsed="false">
      <c r="A96" s="14" t="str">
        <f aca="false">IF(Staff!$A96="","",Staff!$A96)</f>
        <v/>
      </c>
      <c r="B96" s="14" t="str">
        <f aca="false">IF(Staff!$A96="","",Staff!$B96)</f>
        <v/>
      </c>
      <c r="C96" s="14" t="str">
        <f aca="false">IF(Staff!$A96="","",Staff!$C96)</f>
        <v/>
      </c>
      <c r="D96" s="12" t="str">
        <f aca="false">IF(Staff!$A96="","",Staff!$AH96)</f>
        <v/>
      </c>
      <c r="E96" s="14" t="str">
        <f aca="false">IF(Staff!$A96="","",Staff!$O96)</f>
        <v/>
      </c>
      <c r="F96" s="14" t="str">
        <f aca="false">IF(E96="","",E96*HoursPerDay)</f>
        <v/>
      </c>
      <c r="G96" s="14" t="str">
        <f aca="false">IF(Staff!$A96="","",Staff!$AE96)</f>
        <v/>
      </c>
      <c r="H96" s="26" t="str">
        <f aca="false">IF($A96="","",I96&amp;J96&amp;K96&amp;L96&amp;M96&amp;N96&amp;O96&amp;P96&amp;Q96)</f>
        <v/>
      </c>
      <c r="I96" s="0" t="str">
        <f aca="false">IF(OR($A96="",$D96=""),"",IF(AND(EDATE($D96,Milestones!$AA$20)&lt;=AsOfDate,IF($R96=0,$X96,IF(AND($T96&lt;&gt;"",EDATE($D96,Milestones!$AA$20)&gt;=$T96),$W96,IF(AND($S96&lt;&gt;"",EDATE($D96,Milestones!$AA$20)&gt;=$S96),$V96,$U96)))=Milestones!$AB$20),UPPER(TEXT(EDATE($D96,Milestones!$AA$20),"dd mmm yy"))&amp;" "&amp;Milestones!$AB$20&amp;" "&amp;Milestones!$AC$20&amp;";  ","")&amp;IF(AND(EDATE($D96,Milestones!$AA$21)&lt;=AsOfDate,IF($R96=0,$X96,IF(AND($T96&lt;&gt;"",EDATE($D96,Milestones!$AA$21)&gt;=$T96),$W96,IF(AND($S96&lt;&gt;"",EDATE($D96,Milestones!$AA$21)&gt;=$S96),$V96,$U96)))=Milestones!$AB$21),UPPER(TEXT(EDATE($D96,Milestones!$AA$21),"dd mmm yy"))&amp;" "&amp;Milestones!$AB$21&amp;" "&amp;Milestones!$AC$21&amp;";  ","")&amp;IF(AND(EDATE($D96,Milestones!$AA$22)&lt;=AsOfDate,IF($R96=0,$X96,IF(AND($T96&lt;&gt;"",EDATE($D96,Milestones!$AA$22)&gt;=$T96),$W96,IF(AND($S96&lt;&gt;"",EDATE($D96,Milestones!$AA$22)&gt;=$S96),$V96,$U96)))=Milestones!$AB$22),UPPER(TEXT(EDATE($D96,Milestones!$AA$22),"dd mmm yy"))&amp;" "&amp;Milestones!$AB$22&amp;" "&amp;Milestones!$AC$22&amp;";  ","")&amp;IF(AND(EDATE($D96,Milestones!$AA$23)&lt;=AsOfDate,IF($R96=0,$X96,IF(AND($T96&lt;&gt;"",EDATE($D96,Milestones!$AA$23)&gt;=$T96),$W96,IF(AND($S96&lt;&gt;"",EDATE($D96,Milestones!$AA$23)&gt;=$S96),$V96,$U96)))=Milestones!$AB$23),UPPER(TEXT(EDATE($D96,Milestones!$AA$23),"dd mmm yy"))&amp;" "&amp;Milestones!$AB$23&amp;" "&amp;Milestones!$AC$23&amp;";  ","")&amp;IF(AND(EDATE($D96,Milestones!$AA$24)&lt;=AsOfDate,IF($R96=0,$X96,IF(AND($T96&lt;&gt;"",EDATE($D96,Milestones!$AA$24)&gt;=$T96),$W96,IF(AND($S96&lt;&gt;"",EDATE($D96,Milestones!$AA$24)&gt;=$S96),$V96,$U96)))=Milestones!$AB$24),UPPER(TEXT(EDATE($D96,Milestones!$AA$24),"dd mmm yy"))&amp;" "&amp;Milestones!$AB$24&amp;" "&amp;Milestones!$AC$24&amp;";  ","")&amp;IF(AND(EDATE($D96,Milestones!$AA$25)&lt;=AsOfDate,IF($R96=0,$X96,IF(AND($T96&lt;&gt;"",EDATE($D96,Milestones!$AA$25)&gt;=$T96),$W96,IF(AND($S96&lt;&gt;"",EDATE($D96,Milestones!$AA$25)&gt;=$S96),$V96,$U96)))=Milestones!$AB$25),UPPER(TEXT(EDATE($D96,Milestones!$AA$25),"dd mmm yy"))&amp;" "&amp;Milestones!$AB$25&amp;" "&amp;Milestones!$AC$25&amp;";  ","")&amp;IF(AND(EDATE($D96,Milestones!$AA$26)&lt;=AsOfDate,IF($R96=0,$X96,IF(AND($T96&lt;&gt;"",EDATE($D96,Milestones!$AA$26)&gt;=$T96),$W96,IF(AND($S96&lt;&gt;"",EDATE($D96,Milestones!$AA$26)&gt;=$S96),$V96,$U96)))=Milestones!$AB$26),UPPER(TEXT(EDATE($D96,Milestones!$AA$26),"dd mmm yy"))&amp;" "&amp;Milestones!$AB$26&amp;" "&amp;Milestones!$AC$26&amp;";  ","")&amp;IF(AND(EDATE($D96,Milestones!$AA$27)&lt;=AsOfDate,IF($R96=0,$X96,IF(AND($T96&lt;&gt;"",EDATE($D96,Milestones!$AA$27)&gt;=$T96),$W96,IF(AND($S96&lt;&gt;"",EDATE($D96,Milestones!$AA$27)&gt;=$S96),$V96,$U96)))=Milestones!$AB$27),UPPER(TEXT(EDATE($D96,Milestones!$AA$27),"dd mmm yy"))&amp;" "&amp;Milestones!$AB$27&amp;" "&amp;Milestones!$AC$27&amp;";  ","")&amp;IF(AND(EDATE($D96,Milestones!$AA$28)&lt;=AsOfDate,IF($R96=0,$X96,IF(AND($T96&lt;&gt;"",EDATE($D96,Milestones!$AA$28)&gt;=$T96),$W96,IF(AND($S96&lt;&gt;"",EDATE($D96,Milestones!$AA$28)&gt;=$S96),$V96,$U96)))=Milestones!$AB$28),UPPER(TEXT(EDATE($D96,Milestones!$AA$28),"dd mmm yy"))&amp;" "&amp;Milestones!$AB$28&amp;" "&amp;Milestones!$AC$28&amp;";  ","")&amp;IF(AND(EDATE($D96,Milestones!$AA$29)&lt;=AsOfDate,IF($R96=0,$X96,IF(AND($T96&lt;&gt;"",EDATE($D96,Milestones!$AA$29)&gt;=$T96),$W96,IF(AND($S96&lt;&gt;"",EDATE($D96,Milestones!$AA$29)&gt;=$S96),$V96,$U96)))=Milestones!$AB$29),UPPER(TEXT(EDATE($D96,Milestones!$AA$29),"dd mmm yy"))&amp;" "&amp;Milestones!$AB$29&amp;" "&amp;Milestones!$AC$29&amp;";  ","")&amp;IF(AND(EDATE($D96,Milestones!$AA$30)&lt;=AsOfDate,IF($R96=0,$X96,IF(AND($T96&lt;&gt;"",EDATE($D96,Milestones!$AA$30)&gt;=$T96),$W96,IF(AND($S96&lt;&gt;"",EDATE($D96,Milestones!$AA$30)&gt;=$S96),$V96,$U96)))=Milestones!$AB$30),UPPER(TEXT(EDATE($D96,Milestones!$AA$30),"dd mmm yy"))&amp;" "&amp;Milestones!$AB$30&amp;" "&amp;Milestones!$AC$30&amp;";  ","")&amp;IF(AND(EDATE($D96,Milestones!$AA$31)&lt;=AsOfDate,IF($R96=0,$X96,IF(AND($T96&lt;&gt;"",EDATE($D96,Milestones!$AA$31)&gt;=$T96),$W96,IF(AND($S96&lt;&gt;"",EDATE($D96,Milestones!$AA$31)&gt;=$S96),$V96,$U96)))=Milestones!$AB$31),UPPER(TEXT(EDATE($D96,Milestones!$AA$31),"dd mmm yy"))&amp;" "&amp;Milestones!$AB$31&amp;" "&amp;Milestones!$AC$31&amp;";  ","")&amp;IF(AND(EDATE($D96,Milestones!$AA$32)&lt;=AsOfDate,IF($R96=0,$X96,IF(AND($T96&lt;&gt;"",EDATE($D96,Milestones!$AA$32)&gt;=$T96),$W96,IF(AND($S96&lt;&gt;"",EDATE($D96,Milestones!$AA$32)&gt;=$S96),$V96,$U96)))=Milestones!$AB$32),UPPER(TEXT(EDATE($D96,Milestones!$AA$32),"dd mmm yy"))&amp;" "&amp;Milestones!$AB$32&amp;" "&amp;Milestones!$AC$32&amp;";  ","")&amp;IF(AND(EDATE($D96,Milestones!$AA$33)&lt;=AsOfDate,IF($R96=0,$X96,IF(AND($T96&lt;&gt;"",EDATE($D96,Milestones!$AA$33)&gt;=$T96),$W96,IF(AND($S96&lt;&gt;"",EDATE($D96,Milestones!$AA$33)&gt;=$S96),$V96,$U96)))=Milestones!$AB$33),UPPER(TEXT(EDATE($D96,Milestones!$AA$33),"dd mmm yy"))&amp;" "&amp;Milestones!$AB$33&amp;" "&amp;Milestones!$AC$33&amp;";  ","")&amp;IF(AND(EDATE($D96,Milestones!$AA$34)&lt;=AsOfDate,IF($R96=0,$X96,IF(AND($T96&lt;&gt;"",EDATE($D96,Milestones!$AA$34)&gt;=$T96),$W96,IF(AND($S96&lt;&gt;"",EDATE($D96,Milestones!$AA$34)&gt;=$S96),$V96,$U96)))=Milestones!$AB$34),UPPER(TEXT(EDATE($D96,Milestones!$AA$34),"dd mmm yy"))&amp;" "&amp;Milestones!$AB$34&amp;" "&amp;Milestones!$AC$34&amp;";  ","")&amp;IF(AND(EDATE($D96,Milestones!$AA$35)&lt;=AsOfDate,IF($R96=0,$X96,IF(AND($T96&lt;&gt;"",EDATE($D96,Milestones!$AA$35)&gt;=$T96),$W96,IF(AND($S96&lt;&gt;"",EDATE($D96,Milestones!$AA$35)&gt;=$S96),$V96,$U96)))=Milestones!$AB$35),UPPER(TEXT(EDATE($D96,Milestones!$AA$35),"dd mmm yy"))&amp;" "&amp;Milestones!$AB$35&amp;" "&amp;Milestones!$AC$35&amp;";  ","")&amp;IF(AND(EDATE($D96,Milestones!$AA$36)&lt;=AsOfDate,IF($R96=0,$X96,IF(AND($T96&lt;&gt;"",EDATE($D96,Milestones!$AA$36)&gt;=$T96),$W96,IF(AND($S96&lt;&gt;"",EDATE($D96,Milestones!$AA$36)&gt;=$S96),$V96,$U96)))=Milestones!$AB$36),UPPER(TEXT(EDATE($D96,Milestones!$AA$36),"dd mmm yy"))&amp;" "&amp;Milestones!$AB$36&amp;" "&amp;Milestones!$AC$36&amp;";  ","")&amp;IF(AND(EDATE($D96,Milestones!$AA$37)&lt;=AsOfDate,IF($R96=0,$X96,IF(AND($T96&lt;&gt;"",EDATE($D96,Milestones!$AA$37)&gt;=$T96),$W96,IF(AND($S96&lt;&gt;"",EDATE($D96,Milestones!$AA$37)&gt;=$S96),$V96,$U96)))=Milestones!$AB$37),UPPER(TEXT(EDATE($D96,Milestones!$AA$37),"dd mmm yy"))&amp;" "&amp;Milestones!$AB$37&amp;" "&amp;Milestones!$AC$37&amp;";  ","")&amp;IF(AND(EDATE($D96,Milestones!$AA$38)&lt;=AsOfDate,IF($R96=0,$X96,IF(AND($T96&lt;&gt;"",EDATE($D96,Milestones!$AA$38)&gt;=$T96),$W96,IF(AND($S96&lt;&gt;"",EDATE($D96,Milestones!$AA$38)&gt;=$S96),$V96,$U96)))=Milestones!$AB$38),UPPER(TEXT(EDATE($D96,Milestones!$AA$38),"dd mmm yy"))&amp;" "&amp;Milestones!$AB$38&amp;" "&amp;Milestones!$AC$38&amp;";  ","")&amp;IF(AND(EDATE($D96,Milestones!$AA$39)&lt;=AsOfDate,IF($R96=0,$X96,IF(AND($T96&lt;&gt;"",EDATE($D96,Milestones!$AA$39)&gt;=$T96),$W96,IF(AND($S96&lt;&gt;"",EDATE($D96,Milestones!$AA$39)&gt;=$S96),$V96,$U96)))=Milestones!$AB$39),UPPER(TEXT(EDATE($D96,Milestones!$AA$39),"dd mmm yy"))&amp;" "&amp;Milestones!$AB$39&amp;" "&amp;Milestones!$AC$39&amp;";  ",""))</f>
        <v/>
      </c>
      <c r="J96" s="0" t="str">
        <f aca="false">IF(OR($A96="",$D96=""),"",IF(AND(EDATE($D96,Milestones!$AA$40)&lt;=AsOfDate,IF($R96=0,$X96,IF(AND($T96&lt;&gt;"",EDATE($D96,Milestones!$AA$40)&gt;=$T96),$W96,IF(AND($S96&lt;&gt;"",EDATE($D96,Milestones!$AA$40)&gt;=$S96),$V96,$U96)))=Milestones!$AB$40),UPPER(TEXT(EDATE($D96,Milestones!$AA$40),"dd mmm yy"))&amp;" "&amp;Milestones!$AB$40&amp;" "&amp;Milestones!$AC$40&amp;";  ","")&amp;IF(AND(EDATE($D96,Milestones!$AA$41)&lt;=AsOfDate,IF($R96=0,$X96,IF(AND($T96&lt;&gt;"",EDATE($D96,Milestones!$AA$41)&gt;=$T96),$W96,IF(AND($S96&lt;&gt;"",EDATE($D96,Milestones!$AA$41)&gt;=$S96),$V96,$U96)))=Milestones!$AB$41),UPPER(TEXT(EDATE($D96,Milestones!$AA$41),"dd mmm yy"))&amp;" "&amp;Milestones!$AB$41&amp;" "&amp;Milestones!$AC$41&amp;";  ","")&amp;IF(AND(EDATE($D96,Milestones!$AA$42)&lt;=AsOfDate,IF($R96=0,$X96,IF(AND($T96&lt;&gt;"",EDATE($D96,Milestones!$AA$42)&gt;=$T96),$W96,IF(AND($S96&lt;&gt;"",EDATE($D96,Milestones!$AA$42)&gt;=$S96),$V96,$U96)))=Milestones!$AB$42),UPPER(TEXT(EDATE($D96,Milestones!$AA$42),"dd mmm yy"))&amp;" "&amp;Milestones!$AB$42&amp;" "&amp;Milestones!$AC$42&amp;";  ","")&amp;IF(AND(EDATE($D96,Milestones!$AA$43)&lt;=AsOfDate,IF($R96=0,$X96,IF(AND($T96&lt;&gt;"",EDATE($D96,Milestones!$AA$43)&gt;=$T96),$W96,IF(AND($S96&lt;&gt;"",EDATE($D96,Milestones!$AA$43)&gt;=$S96),$V96,$U96)))=Milestones!$AB$43),UPPER(TEXT(EDATE($D96,Milestones!$AA$43),"dd mmm yy"))&amp;" "&amp;Milestones!$AB$43&amp;" "&amp;Milestones!$AC$43&amp;";  ","")&amp;IF(AND(EDATE($D96,Milestones!$AA$44)&lt;=AsOfDate,IF($R96=0,$X96,IF(AND($T96&lt;&gt;"",EDATE($D96,Milestones!$AA$44)&gt;=$T96),$W96,IF(AND($S96&lt;&gt;"",EDATE($D96,Milestones!$AA$44)&gt;=$S96),$V96,$U96)))=Milestones!$AB$44),UPPER(TEXT(EDATE($D96,Milestones!$AA$44),"dd mmm yy"))&amp;" "&amp;Milestones!$AB$44&amp;" "&amp;Milestones!$AC$44&amp;";  ","")&amp;IF(AND(EDATE($D96,Milestones!$AA$45)&lt;=AsOfDate,IF($R96=0,$X96,IF(AND($T96&lt;&gt;"",EDATE($D96,Milestones!$AA$45)&gt;=$T96),$W96,IF(AND($S96&lt;&gt;"",EDATE($D96,Milestones!$AA$45)&gt;=$S96),$V96,$U96)))=Milestones!$AB$45),UPPER(TEXT(EDATE($D96,Milestones!$AA$45),"dd mmm yy"))&amp;" "&amp;Milestones!$AB$45&amp;" "&amp;Milestones!$AC$45&amp;";  ","")&amp;IF(AND(EDATE($D96,Milestones!$AA$46)&lt;=AsOfDate,IF($R96=0,$X96,IF(AND($T96&lt;&gt;"",EDATE($D96,Milestones!$AA$46)&gt;=$T96),$W96,IF(AND($S96&lt;&gt;"",EDATE($D96,Milestones!$AA$46)&gt;=$S96),$V96,$U96)))=Milestones!$AB$46),UPPER(TEXT(EDATE($D96,Milestones!$AA$46),"dd mmm yy"))&amp;" "&amp;Milestones!$AB$46&amp;" "&amp;Milestones!$AC$46&amp;";  ","")&amp;IF(AND(EDATE($D96,Milestones!$AA$47)&lt;=AsOfDate,IF($R96=0,$X96,IF(AND($T96&lt;&gt;"",EDATE($D96,Milestones!$AA$47)&gt;=$T96),$W96,IF(AND($S96&lt;&gt;"",EDATE($D96,Milestones!$AA$47)&gt;=$S96),$V96,$U96)))=Milestones!$AB$47),UPPER(TEXT(EDATE($D96,Milestones!$AA$47),"dd mmm yy"))&amp;" "&amp;Milestones!$AB$47&amp;" "&amp;Milestones!$AC$47&amp;";  ","")&amp;IF(AND(EDATE($D96,Milestones!$AA$48)&lt;=AsOfDate,IF($R96=0,$X96,IF(AND($T96&lt;&gt;"",EDATE($D96,Milestones!$AA$48)&gt;=$T96),$W96,IF(AND($S96&lt;&gt;"",EDATE($D96,Milestones!$AA$48)&gt;=$S96),$V96,$U96)))=Milestones!$AB$48),UPPER(TEXT(EDATE($D96,Milestones!$AA$48),"dd mmm yy"))&amp;" "&amp;Milestones!$AB$48&amp;" "&amp;Milestones!$AC$48&amp;";  ","")&amp;IF(AND(EDATE($D96,Milestones!$AA$49)&lt;=AsOfDate,IF($R96=0,$X96,IF(AND($T96&lt;&gt;"",EDATE($D96,Milestones!$AA$49)&gt;=$T96),$W96,IF(AND($S96&lt;&gt;"",EDATE($D96,Milestones!$AA$49)&gt;=$S96),$V96,$U96)))=Milestones!$AB$49),UPPER(TEXT(EDATE($D96,Milestones!$AA$49),"dd mmm yy"))&amp;" "&amp;Milestones!$AB$49&amp;" "&amp;Milestones!$AC$49&amp;";  ","")&amp;IF(AND(EDATE($D96,Milestones!$AA$50)&lt;=AsOfDate,IF($R96=0,$X96,IF(AND($T96&lt;&gt;"",EDATE($D96,Milestones!$AA$50)&gt;=$T96),$W96,IF(AND($S96&lt;&gt;"",EDATE($D96,Milestones!$AA$50)&gt;=$S96),$V96,$U96)))=Milestones!$AB$50),UPPER(TEXT(EDATE($D96,Milestones!$AA$50),"dd mmm yy"))&amp;" "&amp;Milestones!$AB$50&amp;" "&amp;Milestones!$AC$50&amp;";  ","")&amp;IF(AND(EDATE($D96,Milestones!$AA$51)&lt;=AsOfDate,IF($R96=0,$X96,IF(AND($T96&lt;&gt;"",EDATE($D96,Milestones!$AA$51)&gt;=$T96),$W96,IF(AND($S96&lt;&gt;"",EDATE($D96,Milestones!$AA$51)&gt;=$S96),$V96,$U96)))=Milestones!$AB$51),UPPER(TEXT(EDATE($D96,Milestones!$AA$51),"dd mmm yy"))&amp;" "&amp;Milestones!$AB$51&amp;" "&amp;Milestones!$AC$51&amp;";  ","")&amp;IF(AND(EDATE($D96,Milestones!$AA$52)&lt;=AsOfDate,IF($R96=0,$X96,IF(AND($T96&lt;&gt;"",EDATE($D96,Milestones!$AA$52)&gt;=$T96),$W96,IF(AND($S96&lt;&gt;"",EDATE($D96,Milestones!$AA$52)&gt;=$S96),$V96,$U96)))=Milestones!$AB$52),UPPER(TEXT(EDATE($D96,Milestones!$AA$52),"dd mmm yy"))&amp;" "&amp;Milestones!$AB$52&amp;" "&amp;Milestones!$AC$52&amp;";  ","")&amp;IF(AND(EDATE($D96,Milestones!$AA$53)&lt;=AsOfDate,IF($R96=0,$X96,IF(AND($T96&lt;&gt;"",EDATE($D96,Milestones!$AA$53)&gt;=$T96),$W96,IF(AND($S96&lt;&gt;"",EDATE($D96,Milestones!$AA$53)&gt;=$S96),$V96,$U96)))=Milestones!$AB$53),UPPER(TEXT(EDATE($D96,Milestones!$AA$53),"dd mmm yy"))&amp;" "&amp;Milestones!$AB$53&amp;" "&amp;Milestones!$AC$53&amp;";  ","")&amp;IF(AND(EDATE($D96,Milestones!$AA$54)&lt;=AsOfDate,IF($R96=0,$X96,IF(AND($T96&lt;&gt;"",EDATE($D96,Milestones!$AA$54)&gt;=$T96),$W96,IF(AND($S96&lt;&gt;"",EDATE($D96,Milestones!$AA$54)&gt;=$S96),$V96,$U96)))=Milestones!$AB$54),UPPER(TEXT(EDATE($D96,Milestones!$AA$54),"dd mmm yy"))&amp;" "&amp;Milestones!$AB$54&amp;" "&amp;Milestones!$AC$54&amp;";  ","")&amp;IF(AND(EDATE($D96,Milestones!$AA$55)&lt;=AsOfDate,IF($R96=0,$X96,IF(AND($T96&lt;&gt;"",EDATE($D96,Milestones!$AA$55)&gt;=$T96),$W96,IF(AND($S96&lt;&gt;"",EDATE($D96,Milestones!$AA$55)&gt;=$S96),$V96,$U96)))=Milestones!$AB$55),UPPER(TEXT(EDATE($D96,Milestones!$AA$55),"dd mmm yy"))&amp;" "&amp;Milestones!$AB$55&amp;" "&amp;Milestones!$AC$55&amp;";  ","")&amp;IF(AND(EDATE($D96,Milestones!$AA$56)&lt;=AsOfDate,IF($R96=0,$X96,IF(AND($T96&lt;&gt;"",EDATE($D96,Milestones!$AA$56)&gt;=$T96),$W96,IF(AND($S96&lt;&gt;"",EDATE($D96,Milestones!$AA$56)&gt;=$S96),$V96,$U96)))=Milestones!$AB$56),UPPER(TEXT(EDATE($D96,Milestones!$AA$56),"dd mmm yy"))&amp;" "&amp;Milestones!$AB$56&amp;" "&amp;Milestones!$AC$56&amp;";  ","")&amp;IF(AND(EDATE($D96,Milestones!$AA$57)&lt;=AsOfDate,IF($R96=0,$X96,IF(AND($T96&lt;&gt;"",EDATE($D96,Milestones!$AA$57)&gt;=$T96),$W96,IF(AND($S96&lt;&gt;"",EDATE($D96,Milestones!$AA$57)&gt;=$S96),$V96,$U96)))=Milestones!$AB$57),UPPER(TEXT(EDATE($D96,Milestones!$AA$57),"dd mmm yy"))&amp;" "&amp;Milestones!$AB$57&amp;" "&amp;Milestones!$AC$57&amp;";  ","")&amp;IF(AND(EDATE($D96,Milestones!$AA$58)&lt;=AsOfDate,IF($R96=0,$X96,IF(AND($T96&lt;&gt;"",EDATE($D96,Milestones!$AA$58)&gt;=$T96),$W96,IF(AND($S96&lt;&gt;"",EDATE($D96,Milestones!$AA$58)&gt;=$S96),$V96,$U96)))=Milestones!$AB$58),UPPER(TEXT(EDATE($D96,Milestones!$AA$58),"dd mmm yy"))&amp;" "&amp;Milestones!$AB$58&amp;" "&amp;Milestones!$AC$58&amp;";  ","")&amp;IF(AND(EDATE($D96,Milestones!$AA$59)&lt;=AsOfDate,IF($R96=0,$X96,IF(AND($T96&lt;&gt;"",EDATE($D96,Milestones!$AA$59)&gt;=$T96),$W96,IF(AND($S96&lt;&gt;"",EDATE($D96,Milestones!$AA$59)&gt;=$S96),$V96,$U96)))=Milestones!$AB$59),UPPER(TEXT(EDATE($D96,Milestones!$AA$59),"dd mmm yy"))&amp;" "&amp;Milestones!$AB$59&amp;" "&amp;Milestones!$AC$59&amp;";  ",""))</f>
        <v/>
      </c>
      <c r="K96" s="0" t="str">
        <f aca="false">IF(OR($A96="",$D96=""),"",IF(AND(EDATE($D96,Milestones!$AA$60)&lt;=AsOfDate,IF($R96=0,$X96,IF(AND($T96&lt;&gt;"",EDATE($D96,Milestones!$AA$60)&gt;=$T96),$W96,IF(AND($S96&lt;&gt;"",EDATE($D96,Milestones!$AA$60)&gt;=$S96),$V96,$U96)))=Milestones!$AB$60),UPPER(TEXT(EDATE($D96,Milestones!$AA$60),"dd mmm yy"))&amp;" "&amp;Milestones!$AB$60&amp;" "&amp;Milestones!$AC$60&amp;";  ","")&amp;IF(AND(EDATE($D96,Milestones!$AA$61)&lt;=AsOfDate,IF($R96=0,$X96,IF(AND($T96&lt;&gt;"",EDATE($D96,Milestones!$AA$61)&gt;=$T96),$W96,IF(AND($S96&lt;&gt;"",EDATE($D96,Milestones!$AA$61)&gt;=$S96),$V96,$U96)))=Milestones!$AB$61),UPPER(TEXT(EDATE($D96,Milestones!$AA$61),"dd mmm yy"))&amp;" "&amp;Milestones!$AB$61&amp;" "&amp;Milestones!$AC$61&amp;";  ","")&amp;IF(AND(EDATE($D96,Milestones!$AA$62)&lt;=AsOfDate,IF($R96=0,$X96,IF(AND($T96&lt;&gt;"",EDATE($D96,Milestones!$AA$62)&gt;=$T96),$W96,IF(AND($S96&lt;&gt;"",EDATE($D96,Milestones!$AA$62)&gt;=$S96),$V96,$U96)))=Milestones!$AB$62),UPPER(TEXT(EDATE($D96,Milestones!$AA$62),"dd mmm yy"))&amp;" "&amp;Milestones!$AB$62&amp;" "&amp;Milestones!$AC$62&amp;";  ","")&amp;IF(AND(EDATE($D96,Milestones!$AA$63)&lt;=AsOfDate,IF($R96=0,$X96,IF(AND($T96&lt;&gt;"",EDATE($D96,Milestones!$AA$63)&gt;=$T96),$W96,IF(AND($S96&lt;&gt;"",EDATE($D96,Milestones!$AA$63)&gt;=$S96),$V96,$U96)))=Milestones!$AB$63),UPPER(TEXT(EDATE($D96,Milestones!$AA$63),"dd mmm yy"))&amp;" "&amp;Milestones!$AB$63&amp;" "&amp;Milestones!$AC$63&amp;";  ","")&amp;IF(AND(EDATE($D96,Milestones!$AA$64)&lt;=AsOfDate,IF($R96=0,$X96,IF(AND($T96&lt;&gt;"",EDATE($D96,Milestones!$AA$64)&gt;=$T96),$W96,IF(AND($S96&lt;&gt;"",EDATE($D96,Milestones!$AA$64)&gt;=$S96),$V96,$U96)))=Milestones!$AB$64),UPPER(TEXT(EDATE($D96,Milestones!$AA$64),"dd mmm yy"))&amp;" "&amp;Milestones!$AB$64&amp;" "&amp;Milestones!$AC$64&amp;";  ","")&amp;IF(AND(EDATE($D96,Milestones!$AA$65)&lt;=AsOfDate,IF($R96=0,$X96,IF(AND($T96&lt;&gt;"",EDATE($D96,Milestones!$AA$65)&gt;=$T96),$W96,IF(AND($S96&lt;&gt;"",EDATE($D96,Milestones!$AA$65)&gt;=$S96),$V96,$U96)))=Milestones!$AB$65),UPPER(TEXT(EDATE($D96,Milestones!$AA$65),"dd mmm yy"))&amp;" "&amp;Milestones!$AB$65&amp;" "&amp;Milestones!$AC$65&amp;";  ","")&amp;IF(AND(EDATE($D96,Milestones!$AA$66)&lt;=AsOfDate,IF($R96=0,$X96,IF(AND($T96&lt;&gt;"",EDATE($D96,Milestones!$AA$66)&gt;=$T96),$W96,IF(AND($S96&lt;&gt;"",EDATE($D96,Milestones!$AA$66)&gt;=$S96),$V96,$U96)))=Milestones!$AB$66),UPPER(TEXT(EDATE($D96,Milestones!$AA$66),"dd mmm yy"))&amp;" "&amp;Milestones!$AB$66&amp;" "&amp;Milestones!$AC$66&amp;";  ","")&amp;IF(AND(EDATE($D96,Milestones!$AA$67)&lt;=AsOfDate,IF($R96=0,$X96,IF(AND($T96&lt;&gt;"",EDATE($D96,Milestones!$AA$67)&gt;=$T96),$W96,IF(AND($S96&lt;&gt;"",EDATE($D96,Milestones!$AA$67)&gt;=$S96),$V96,$U96)))=Milestones!$AB$67),UPPER(TEXT(EDATE($D96,Milestones!$AA$67),"dd mmm yy"))&amp;" "&amp;Milestones!$AB$67&amp;" "&amp;Milestones!$AC$67&amp;";  ","")&amp;IF(AND(EDATE($D96,Milestones!$AA$68)&lt;=AsOfDate,IF($R96=0,$X96,IF(AND($T96&lt;&gt;"",EDATE($D96,Milestones!$AA$68)&gt;=$T96),$W96,IF(AND($S96&lt;&gt;"",EDATE($D96,Milestones!$AA$68)&gt;=$S96),$V96,$U96)))=Milestones!$AB$68),UPPER(TEXT(EDATE($D96,Milestones!$AA$68),"dd mmm yy"))&amp;" "&amp;Milestones!$AB$68&amp;" "&amp;Milestones!$AC$68&amp;";  ","")&amp;IF(AND(EDATE($D96,Milestones!$AA$69)&lt;=AsOfDate,IF($R96=0,$X96,IF(AND($T96&lt;&gt;"",EDATE($D96,Milestones!$AA$69)&gt;=$T96),$W96,IF(AND($S96&lt;&gt;"",EDATE($D96,Milestones!$AA$69)&gt;=$S96),$V96,$U96)))=Milestones!$AB$69),UPPER(TEXT(EDATE($D96,Milestones!$AA$69),"dd mmm yy"))&amp;" "&amp;Milestones!$AB$69&amp;" "&amp;Milestones!$AC$69&amp;";  ","")&amp;IF(AND(EDATE($D96,Milestones!$AA$70)&lt;=AsOfDate,IF($R96=0,$X96,IF(AND($T96&lt;&gt;"",EDATE($D96,Milestones!$AA$70)&gt;=$T96),$W96,IF(AND($S96&lt;&gt;"",EDATE($D96,Milestones!$AA$70)&gt;=$S96),$V96,$U96)))=Milestones!$AB$70),UPPER(TEXT(EDATE($D96,Milestones!$AA$70),"dd mmm yy"))&amp;" "&amp;Milestones!$AB$70&amp;" "&amp;Milestones!$AC$70&amp;";  ","")&amp;IF(AND(EDATE($D96,Milestones!$AA$71)&lt;=AsOfDate,IF($R96=0,$X96,IF(AND($T96&lt;&gt;"",EDATE($D96,Milestones!$AA$71)&gt;=$T96),$W96,IF(AND($S96&lt;&gt;"",EDATE($D96,Milestones!$AA$71)&gt;=$S96),$V96,$U96)))=Milestones!$AB$71),UPPER(TEXT(EDATE($D96,Milestones!$AA$71),"dd mmm yy"))&amp;" "&amp;Milestones!$AB$71&amp;" "&amp;Milestones!$AC$71&amp;";  ","")&amp;IF(AND(EDATE($D96,Milestones!$AA$72)&lt;=AsOfDate,IF($R96=0,$X96,IF(AND($T96&lt;&gt;"",EDATE($D96,Milestones!$AA$72)&gt;=$T96),$W96,IF(AND($S96&lt;&gt;"",EDATE($D96,Milestones!$AA$72)&gt;=$S96),$V96,$U96)))=Milestones!$AB$72),UPPER(TEXT(EDATE($D96,Milestones!$AA$72),"dd mmm yy"))&amp;" "&amp;Milestones!$AB$72&amp;" "&amp;Milestones!$AC$72&amp;";  ","")&amp;IF(AND(EDATE($D96,Milestones!$AA$73)&lt;=AsOfDate,IF($R96=0,$X96,IF(AND($T96&lt;&gt;"",EDATE($D96,Milestones!$AA$73)&gt;=$T96),$W96,IF(AND($S96&lt;&gt;"",EDATE($D96,Milestones!$AA$73)&gt;=$S96),$V96,$U96)))=Milestones!$AB$73),UPPER(TEXT(EDATE($D96,Milestones!$AA$73),"dd mmm yy"))&amp;" "&amp;Milestones!$AB$73&amp;" "&amp;Milestones!$AC$73&amp;";  ","")&amp;IF(AND(EDATE($D96,Milestones!$AA$74)&lt;=AsOfDate,IF($R96=0,$X96,IF(AND($T96&lt;&gt;"",EDATE($D96,Milestones!$AA$74)&gt;=$T96),$W96,IF(AND($S96&lt;&gt;"",EDATE($D96,Milestones!$AA$74)&gt;=$S96),$V96,$U96)))=Milestones!$AB$74),UPPER(TEXT(EDATE($D96,Milestones!$AA$74),"dd mmm yy"))&amp;" "&amp;Milestones!$AB$74&amp;" "&amp;Milestones!$AC$74&amp;";  ","")&amp;IF(AND(EDATE($D96,Milestones!$AA$75)&lt;=AsOfDate,IF($R96=0,$X96,IF(AND($T96&lt;&gt;"",EDATE($D96,Milestones!$AA$75)&gt;=$T96),$W96,IF(AND($S96&lt;&gt;"",EDATE($D96,Milestones!$AA$75)&gt;=$S96),$V96,$U96)))=Milestones!$AB$75),UPPER(TEXT(EDATE($D96,Milestones!$AA$75),"dd mmm yy"))&amp;" "&amp;Milestones!$AB$75&amp;" "&amp;Milestones!$AC$75&amp;";  ","")&amp;IF(AND(EDATE($D96,Milestones!$AA$76)&lt;=AsOfDate,IF($R96=0,$X96,IF(AND($T96&lt;&gt;"",EDATE($D96,Milestones!$AA$76)&gt;=$T96),$W96,IF(AND($S96&lt;&gt;"",EDATE($D96,Milestones!$AA$76)&gt;=$S96),$V96,$U96)))=Milestones!$AB$76),UPPER(TEXT(EDATE($D96,Milestones!$AA$76),"dd mmm yy"))&amp;" "&amp;Milestones!$AB$76&amp;" "&amp;Milestones!$AC$76&amp;";  ","")&amp;IF(AND(EDATE($D96,Milestones!$AA$77)&lt;=AsOfDate,IF($R96=0,$X96,IF(AND($T96&lt;&gt;"",EDATE($D96,Milestones!$AA$77)&gt;=$T96),$W96,IF(AND($S96&lt;&gt;"",EDATE($D96,Milestones!$AA$77)&gt;=$S96),$V96,$U96)))=Milestones!$AB$77),UPPER(TEXT(EDATE($D96,Milestones!$AA$77),"dd mmm yy"))&amp;" "&amp;Milestones!$AB$77&amp;" "&amp;Milestones!$AC$77&amp;";  ","")&amp;IF(AND(EDATE($D96,Milestones!$AA$78)&lt;=AsOfDate,IF($R96=0,$X96,IF(AND($T96&lt;&gt;"",EDATE($D96,Milestones!$AA$78)&gt;=$T96),$W96,IF(AND($S96&lt;&gt;"",EDATE($D96,Milestones!$AA$78)&gt;=$S96),$V96,$U96)))=Milestones!$AB$78),UPPER(TEXT(EDATE($D96,Milestones!$AA$78),"dd mmm yy"))&amp;" "&amp;Milestones!$AB$78&amp;" "&amp;Milestones!$AC$78&amp;";  ","")&amp;IF(AND(EDATE($D96,Milestones!$AA$79)&lt;=AsOfDate,IF($R96=0,$X96,IF(AND($T96&lt;&gt;"",EDATE($D96,Milestones!$AA$79)&gt;=$T96),$W96,IF(AND($S96&lt;&gt;"",EDATE($D96,Milestones!$AA$79)&gt;=$S96),$V96,$U96)))=Milestones!$AB$79),UPPER(TEXT(EDATE($D96,Milestones!$AA$79),"dd mmm yy"))&amp;" "&amp;Milestones!$AB$79&amp;" "&amp;Milestones!$AC$79&amp;";  ",""))</f>
        <v/>
      </c>
      <c r="L96" s="0" t="str">
        <f aca="false">IF(OR($A96="",$D96=""),"",IF(AND(EDATE($D96,Milestones!$AA$80)&lt;=AsOfDate,IF($R96=0,$X96,IF(AND($T96&lt;&gt;"",EDATE($D96,Milestones!$AA$80)&gt;=$T96),$W96,IF(AND($S96&lt;&gt;"",EDATE($D96,Milestones!$AA$80)&gt;=$S96),$V96,$U96)))=Milestones!$AB$80),UPPER(TEXT(EDATE($D96,Milestones!$AA$80),"dd mmm yy"))&amp;" "&amp;Milestones!$AB$80&amp;" "&amp;Milestones!$AC$80&amp;";  ","")&amp;IF(AND(EDATE($D96,Milestones!$AA$81)&lt;=AsOfDate,IF($R96=0,$X96,IF(AND($T96&lt;&gt;"",EDATE($D96,Milestones!$AA$81)&gt;=$T96),$W96,IF(AND($S96&lt;&gt;"",EDATE($D96,Milestones!$AA$81)&gt;=$S96),$V96,$U96)))=Milestones!$AB$81),UPPER(TEXT(EDATE($D96,Milestones!$AA$81),"dd mmm yy"))&amp;" "&amp;Milestones!$AB$81&amp;" "&amp;Milestones!$AC$81&amp;";  ","")&amp;IF(AND(EDATE($D96,Milestones!$AA$82)&lt;=AsOfDate,IF($R96=0,$X96,IF(AND($T96&lt;&gt;"",EDATE($D96,Milestones!$AA$82)&gt;=$T96),$W96,IF(AND($S96&lt;&gt;"",EDATE($D96,Milestones!$AA$82)&gt;=$S96),$V96,$U96)))=Milestones!$AB$82),UPPER(TEXT(EDATE($D96,Milestones!$AA$82),"dd mmm yy"))&amp;" "&amp;Milestones!$AB$82&amp;" "&amp;Milestones!$AC$82&amp;";  ","")&amp;IF(AND(EDATE($D96,Milestones!$AA$83)&lt;=AsOfDate,IF($R96=0,$X96,IF(AND($T96&lt;&gt;"",EDATE($D96,Milestones!$AA$83)&gt;=$T96),$W96,IF(AND($S96&lt;&gt;"",EDATE($D96,Milestones!$AA$83)&gt;=$S96),$V96,$U96)))=Milestones!$AB$83),UPPER(TEXT(EDATE($D96,Milestones!$AA$83),"dd mmm yy"))&amp;" "&amp;Milestones!$AB$83&amp;" "&amp;Milestones!$AC$83&amp;";  ","")&amp;IF(AND(EDATE($D96,Milestones!$AA$84)&lt;=AsOfDate,IF($R96=0,$X96,IF(AND($T96&lt;&gt;"",EDATE($D96,Milestones!$AA$84)&gt;=$T96),$W96,IF(AND($S96&lt;&gt;"",EDATE($D96,Milestones!$AA$84)&gt;=$S96),$V96,$U96)))=Milestones!$AB$84),UPPER(TEXT(EDATE($D96,Milestones!$AA$84),"dd mmm yy"))&amp;" "&amp;Milestones!$AB$84&amp;" "&amp;Milestones!$AC$84&amp;";  ","")&amp;IF(AND(EDATE($D96,Milestones!$AA$85)&lt;=AsOfDate,IF($R96=0,$X96,IF(AND($T96&lt;&gt;"",EDATE($D96,Milestones!$AA$85)&gt;=$T96),$W96,IF(AND($S96&lt;&gt;"",EDATE($D96,Milestones!$AA$85)&gt;=$S96),$V96,$U96)))=Milestones!$AB$85),UPPER(TEXT(EDATE($D96,Milestones!$AA$85),"dd mmm yy"))&amp;" "&amp;Milestones!$AB$85&amp;" "&amp;Milestones!$AC$85&amp;";  ","")&amp;IF(AND(EDATE($D96,Milestones!$AA$86)&lt;=AsOfDate,IF($R96=0,$X96,IF(AND($T96&lt;&gt;"",EDATE($D96,Milestones!$AA$86)&gt;=$T96),$W96,IF(AND($S96&lt;&gt;"",EDATE($D96,Milestones!$AA$86)&gt;=$S96),$V96,$U96)))=Milestones!$AB$86),UPPER(TEXT(EDATE($D96,Milestones!$AA$86),"dd mmm yy"))&amp;" "&amp;Milestones!$AB$86&amp;" "&amp;Milestones!$AC$86&amp;";  ","")&amp;IF(AND(EDATE($D96,Milestones!$AA$87)&lt;=AsOfDate,IF($R96=0,$X96,IF(AND($T96&lt;&gt;"",EDATE($D96,Milestones!$AA$87)&gt;=$T96),$W96,IF(AND($S96&lt;&gt;"",EDATE($D96,Milestones!$AA$87)&gt;=$S96),$V96,$U96)))=Milestones!$AB$87),UPPER(TEXT(EDATE($D96,Milestones!$AA$87),"dd mmm yy"))&amp;" "&amp;Milestones!$AB$87&amp;" "&amp;Milestones!$AC$87&amp;";  ","")&amp;IF(AND(EDATE($D96,Milestones!$AA$88)&lt;=AsOfDate,IF($R96=0,$X96,IF(AND($T96&lt;&gt;"",EDATE($D96,Milestones!$AA$88)&gt;=$T96),$W96,IF(AND($S96&lt;&gt;"",EDATE($D96,Milestones!$AA$88)&gt;=$S96),$V96,$U96)))=Milestones!$AB$88),UPPER(TEXT(EDATE($D96,Milestones!$AA$88),"dd mmm yy"))&amp;" "&amp;Milestones!$AB$88&amp;" "&amp;Milestones!$AC$88&amp;";  ","")&amp;IF(AND(EDATE($D96,Milestones!$AA$89)&lt;=AsOfDate,IF($R96=0,$X96,IF(AND($T96&lt;&gt;"",EDATE($D96,Milestones!$AA$89)&gt;=$T96),$W96,IF(AND($S96&lt;&gt;"",EDATE($D96,Milestones!$AA$89)&gt;=$S96),$V96,$U96)))=Milestones!$AB$89),UPPER(TEXT(EDATE($D96,Milestones!$AA$89),"dd mmm yy"))&amp;" "&amp;Milestones!$AB$89&amp;" "&amp;Milestones!$AC$89&amp;";  ","")&amp;IF(AND(EDATE($D96,Milestones!$AA$90)&lt;=AsOfDate,IF($R96=0,$X96,IF(AND($T96&lt;&gt;"",EDATE($D96,Milestones!$AA$90)&gt;=$T96),$W96,IF(AND($S96&lt;&gt;"",EDATE($D96,Milestones!$AA$90)&gt;=$S96),$V96,$U96)))=Milestones!$AB$90),UPPER(TEXT(EDATE($D96,Milestones!$AA$90),"dd mmm yy"))&amp;" "&amp;Milestones!$AB$90&amp;" "&amp;Milestones!$AC$90&amp;";  ","")&amp;IF(AND(EDATE($D96,Milestones!$AA$91)&lt;=AsOfDate,IF($R96=0,$X96,IF(AND($T96&lt;&gt;"",EDATE($D96,Milestones!$AA$91)&gt;=$T96),$W96,IF(AND($S96&lt;&gt;"",EDATE($D96,Milestones!$AA$91)&gt;=$S96),$V96,$U96)))=Milestones!$AB$91),UPPER(TEXT(EDATE($D96,Milestones!$AA$91),"dd mmm yy"))&amp;" "&amp;Milestones!$AB$91&amp;" "&amp;Milestones!$AC$91&amp;";  ","")&amp;IF(AND(EDATE($D96,Milestones!$AA$92)&lt;=AsOfDate,IF($R96=0,$X96,IF(AND($T96&lt;&gt;"",EDATE($D96,Milestones!$AA$92)&gt;=$T96),$W96,IF(AND($S96&lt;&gt;"",EDATE($D96,Milestones!$AA$92)&gt;=$S96),$V96,$U96)))=Milestones!$AB$92),UPPER(TEXT(EDATE($D96,Milestones!$AA$92),"dd mmm yy"))&amp;" "&amp;Milestones!$AB$92&amp;" "&amp;Milestones!$AC$92&amp;";  ","")&amp;IF(AND(EDATE($D96,Milestones!$AA$93)&lt;=AsOfDate,IF($R96=0,$X96,IF(AND($T96&lt;&gt;"",EDATE($D96,Milestones!$AA$93)&gt;=$T96),$W96,IF(AND($S96&lt;&gt;"",EDATE($D96,Milestones!$AA$93)&gt;=$S96),$V96,$U96)))=Milestones!$AB$93),UPPER(TEXT(EDATE($D96,Milestones!$AA$93),"dd mmm yy"))&amp;" "&amp;Milestones!$AB$93&amp;" "&amp;Milestones!$AC$93&amp;";  ","")&amp;IF(AND(EDATE($D96,Milestones!$AA$94)&lt;=AsOfDate,IF($R96=0,$X96,IF(AND($T96&lt;&gt;"",EDATE($D96,Milestones!$AA$94)&gt;=$T96),$W96,IF(AND($S96&lt;&gt;"",EDATE($D96,Milestones!$AA$94)&gt;=$S96),$V96,$U96)))=Milestones!$AB$94),UPPER(TEXT(EDATE($D96,Milestones!$AA$94),"dd mmm yy"))&amp;" "&amp;Milestones!$AB$94&amp;" "&amp;Milestones!$AC$94&amp;";  ","")&amp;IF(AND(EDATE($D96,Milestones!$AA$95)&lt;=AsOfDate,IF($R96=0,$X96,IF(AND($T96&lt;&gt;"",EDATE($D96,Milestones!$AA$95)&gt;=$T96),$W96,IF(AND($S96&lt;&gt;"",EDATE($D96,Milestones!$AA$95)&gt;=$S96),$V96,$U96)))=Milestones!$AB$95),UPPER(TEXT(EDATE($D96,Milestones!$AA$95),"dd mmm yy"))&amp;" "&amp;Milestones!$AB$95&amp;" "&amp;Milestones!$AC$95&amp;";  ","")&amp;IF(AND(EDATE($D96,Milestones!$AA$96)&lt;=AsOfDate,IF($R96=0,$X96,IF(AND($T96&lt;&gt;"",EDATE($D96,Milestones!$AA$96)&gt;=$T96),$W96,IF(AND($S96&lt;&gt;"",EDATE($D96,Milestones!$AA$96)&gt;=$S96),$V96,$U96)))=Milestones!$AB$96),UPPER(TEXT(EDATE($D96,Milestones!$AA$96),"dd mmm yy"))&amp;" "&amp;Milestones!$AB$96&amp;" "&amp;Milestones!$AC$96&amp;";  ","")&amp;IF(AND(EDATE($D96,Milestones!$AA$97)&lt;=AsOfDate,IF($R96=0,$X96,IF(AND($T96&lt;&gt;"",EDATE($D96,Milestones!$AA$97)&gt;=$T96),$W96,IF(AND($S96&lt;&gt;"",EDATE($D96,Milestones!$AA$97)&gt;=$S96),$V96,$U96)))=Milestones!$AB$97),UPPER(TEXT(EDATE($D96,Milestones!$AA$97),"dd mmm yy"))&amp;" "&amp;Milestones!$AB$97&amp;" "&amp;Milestones!$AC$97&amp;";  ","")&amp;IF(AND(EDATE($D96,Milestones!$AA$98)&lt;=AsOfDate,IF($R96=0,$X96,IF(AND($T96&lt;&gt;"",EDATE($D96,Milestones!$AA$98)&gt;=$T96),$W96,IF(AND($S96&lt;&gt;"",EDATE($D96,Milestones!$AA$98)&gt;=$S96),$V96,$U96)))=Milestones!$AB$98),UPPER(TEXT(EDATE($D96,Milestones!$AA$98),"dd mmm yy"))&amp;" "&amp;Milestones!$AB$98&amp;" "&amp;Milestones!$AC$98&amp;";  ","")&amp;IF(AND(EDATE($D96,Milestones!$AA$99)&lt;=AsOfDate,IF($R96=0,$X96,IF(AND($T96&lt;&gt;"",EDATE($D96,Milestones!$AA$99)&gt;=$T96),$W96,IF(AND($S96&lt;&gt;"",EDATE($D96,Milestones!$AA$99)&gt;=$S96),$V96,$U96)))=Milestones!$AB$99),UPPER(TEXT(EDATE($D96,Milestones!$AA$99),"dd mmm yy"))&amp;" "&amp;Milestones!$AB$99&amp;" "&amp;Milestones!$AC$99&amp;";  ",""))</f>
        <v/>
      </c>
      <c r="M96" s="0" t="str">
        <f aca="false">IF(OR($A96="",$D96=""),"",IF(AND(EDATE($D96,Milestones!$AA$100)&lt;=AsOfDate,IF($R96=0,$X96,IF(AND($T96&lt;&gt;"",EDATE($D96,Milestones!$AA$100)&gt;=$T96),$W96,IF(AND($S96&lt;&gt;"",EDATE($D96,Milestones!$AA$100)&gt;=$S96),$V96,$U96)))=Milestones!$AB$100),UPPER(TEXT(EDATE($D96,Milestones!$AA$100),"dd mmm yy"))&amp;" "&amp;Milestones!$AB$100&amp;" "&amp;Milestones!$AC$100&amp;";  ","")&amp;IF(AND(EDATE($D96,Milestones!$AA$101)&lt;=AsOfDate,IF($R96=0,$X96,IF(AND($T96&lt;&gt;"",EDATE($D96,Milestones!$AA$101)&gt;=$T96),$W96,IF(AND($S96&lt;&gt;"",EDATE($D96,Milestones!$AA$101)&gt;=$S96),$V96,$U96)))=Milestones!$AB$101),UPPER(TEXT(EDATE($D96,Milestones!$AA$101),"dd mmm yy"))&amp;" "&amp;Milestones!$AB$101&amp;" "&amp;Milestones!$AC$101&amp;";  ","")&amp;IF(AND(EDATE($D96,Milestones!$AA$102)&lt;=AsOfDate,IF($R96=0,$X96,IF(AND($T96&lt;&gt;"",EDATE($D96,Milestones!$AA$102)&gt;=$T96),$W96,IF(AND($S96&lt;&gt;"",EDATE($D96,Milestones!$AA$102)&gt;=$S96),$V96,$U96)))=Milestones!$AB$102),UPPER(TEXT(EDATE($D96,Milestones!$AA$102),"dd mmm yy"))&amp;" "&amp;Milestones!$AB$102&amp;" "&amp;Milestones!$AC$102&amp;";  ","")&amp;IF(AND(EDATE($D96,Milestones!$AA$103)&lt;=AsOfDate,IF($R96=0,$X96,IF(AND($T96&lt;&gt;"",EDATE($D96,Milestones!$AA$103)&gt;=$T96),$W96,IF(AND($S96&lt;&gt;"",EDATE($D96,Milestones!$AA$103)&gt;=$S96),$V96,$U96)))=Milestones!$AB$103),UPPER(TEXT(EDATE($D96,Milestones!$AA$103),"dd mmm yy"))&amp;" "&amp;Milestones!$AB$103&amp;" "&amp;Milestones!$AC$103&amp;";  ","")&amp;IF(AND(EDATE($D96,Milestones!$AA$104)&lt;=AsOfDate,IF($R96=0,$X96,IF(AND($T96&lt;&gt;"",EDATE($D96,Milestones!$AA$104)&gt;=$T96),$W96,IF(AND($S96&lt;&gt;"",EDATE($D96,Milestones!$AA$104)&gt;=$S96),$V96,$U96)))=Milestones!$AB$104),UPPER(TEXT(EDATE($D96,Milestones!$AA$104),"dd mmm yy"))&amp;" "&amp;Milestones!$AB$104&amp;" "&amp;Milestones!$AC$104&amp;";  ","")&amp;IF(AND(EDATE($D96,Milestones!$AA$105)&lt;=AsOfDate,IF($R96=0,$X96,IF(AND($T96&lt;&gt;"",EDATE($D96,Milestones!$AA$105)&gt;=$T96),$W96,IF(AND($S96&lt;&gt;"",EDATE($D96,Milestones!$AA$105)&gt;=$S96),$V96,$U96)))=Milestones!$AB$105),UPPER(TEXT(EDATE($D96,Milestones!$AA$105),"dd mmm yy"))&amp;" "&amp;Milestones!$AB$105&amp;" "&amp;Milestones!$AC$105&amp;";  ","")&amp;IF(AND(EDATE($D96,Milestones!$AA$106)&lt;=AsOfDate,IF($R96=0,$X96,IF(AND($T96&lt;&gt;"",EDATE($D96,Milestones!$AA$106)&gt;=$T96),$W96,IF(AND($S96&lt;&gt;"",EDATE($D96,Milestones!$AA$106)&gt;=$S96),$V96,$U96)))=Milestones!$AB$106),UPPER(TEXT(EDATE($D96,Milestones!$AA$106),"dd mmm yy"))&amp;" "&amp;Milestones!$AB$106&amp;" "&amp;Milestones!$AC$106&amp;";  ","")&amp;IF(AND(EDATE($D96,Milestones!$AA$107)&lt;=AsOfDate,IF($R96=0,$X96,IF(AND($T96&lt;&gt;"",EDATE($D96,Milestones!$AA$107)&gt;=$T96),$W96,IF(AND($S96&lt;&gt;"",EDATE($D96,Milestones!$AA$107)&gt;=$S96),$V96,$U96)))=Milestones!$AB$107),UPPER(TEXT(EDATE($D96,Milestones!$AA$107),"dd mmm yy"))&amp;" "&amp;Milestones!$AB$107&amp;" "&amp;Milestones!$AC$107&amp;";  ","")&amp;IF(AND(EDATE($D96,Milestones!$AA$108)&lt;=AsOfDate,IF($R96=0,$X96,IF(AND($T96&lt;&gt;"",EDATE($D96,Milestones!$AA$108)&gt;=$T96),$W96,IF(AND($S96&lt;&gt;"",EDATE($D96,Milestones!$AA$108)&gt;=$S96),$V96,$U96)))=Milestones!$AB$108),UPPER(TEXT(EDATE($D96,Milestones!$AA$108),"dd mmm yy"))&amp;" "&amp;Milestones!$AB$108&amp;" "&amp;Milestones!$AC$108&amp;";  ","")&amp;IF(AND(EDATE($D96,Milestones!$AA$109)&lt;=AsOfDate,IF($R96=0,$X96,IF(AND($T96&lt;&gt;"",EDATE($D96,Milestones!$AA$109)&gt;=$T96),$W96,IF(AND($S96&lt;&gt;"",EDATE($D96,Milestones!$AA$109)&gt;=$S96),$V96,$U96)))=Milestones!$AB$109),UPPER(TEXT(EDATE($D96,Milestones!$AA$109),"dd mmm yy"))&amp;" "&amp;Milestones!$AB$109&amp;" "&amp;Milestones!$AC$109&amp;";  ","")&amp;IF(AND(EDATE($D96,Milestones!$AA$110)&lt;=AsOfDate,IF($R96=0,$X96,IF(AND($T96&lt;&gt;"",EDATE($D96,Milestones!$AA$110)&gt;=$T96),$W96,IF(AND($S96&lt;&gt;"",EDATE($D96,Milestones!$AA$110)&gt;=$S96),$V96,$U96)))=Milestones!$AB$110),UPPER(TEXT(EDATE($D96,Milestones!$AA$110),"dd mmm yy"))&amp;" "&amp;Milestones!$AB$110&amp;" "&amp;Milestones!$AC$110&amp;";  ","")&amp;IF(AND(EDATE($D96,Milestones!$AA$111)&lt;=AsOfDate,IF($R96=0,$X96,IF(AND($T96&lt;&gt;"",EDATE($D96,Milestones!$AA$111)&gt;=$T96),$W96,IF(AND($S96&lt;&gt;"",EDATE($D96,Milestones!$AA$111)&gt;=$S96),$V96,$U96)))=Milestones!$AB$111),UPPER(TEXT(EDATE($D96,Milestones!$AA$111),"dd mmm yy"))&amp;" "&amp;Milestones!$AB$111&amp;" "&amp;Milestones!$AC$111&amp;";  ","")&amp;IF(AND(EDATE($D96,Milestones!$AA$112)&lt;=AsOfDate,IF($R96=0,$X96,IF(AND($T96&lt;&gt;"",EDATE($D96,Milestones!$AA$112)&gt;=$T96),$W96,IF(AND($S96&lt;&gt;"",EDATE($D96,Milestones!$AA$112)&gt;=$S96),$V96,$U96)))=Milestones!$AB$112),UPPER(TEXT(EDATE($D96,Milestones!$AA$112),"dd mmm yy"))&amp;" "&amp;Milestones!$AB$112&amp;" "&amp;Milestones!$AC$112&amp;";  ","")&amp;IF(AND(EDATE($D96,Milestones!$AA$113)&lt;=AsOfDate,IF($R96=0,$X96,IF(AND($T96&lt;&gt;"",EDATE($D96,Milestones!$AA$113)&gt;=$T96),$W96,IF(AND($S96&lt;&gt;"",EDATE($D96,Milestones!$AA$113)&gt;=$S96),$V96,$U96)))=Milestones!$AB$113),UPPER(TEXT(EDATE($D96,Milestones!$AA$113),"dd mmm yy"))&amp;" "&amp;Milestones!$AB$113&amp;" "&amp;Milestones!$AC$113&amp;";  ","")&amp;IF(AND(EDATE($D96,Milestones!$AA$114)&lt;=AsOfDate,IF($R96=0,$X96,IF(AND($T96&lt;&gt;"",EDATE($D96,Milestones!$AA$114)&gt;=$T96),$W96,IF(AND($S96&lt;&gt;"",EDATE($D96,Milestones!$AA$114)&gt;=$S96),$V96,$U96)))=Milestones!$AB$114),UPPER(TEXT(EDATE($D96,Milestones!$AA$114),"dd mmm yy"))&amp;" "&amp;Milestones!$AB$114&amp;" "&amp;Milestones!$AC$114&amp;";  ","")&amp;IF(AND(EDATE($D96,Milestones!$AA$115)&lt;=AsOfDate,IF($R96=0,$X96,IF(AND($T96&lt;&gt;"",EDATE($D96,Milestones!$AA$115)&gt;=$T96),$W96,IF(AND($S96&lt;&gt;"",EDATE($D96,Milestones!$AA$115)&gt;=$S96),$V96,$U96)))=Milestones!$AB$115),UPPER(TEXT(EDATE($D96,Milestones!$AA$115),"dd mmm yy"))&amp;" "&amp;Milestones!$AB$115&amp;" "&amp;Milestones!$AC$115&amp;";  ","")&amp;IF(AND(EDATE($D96,Milestones!$AA$116)&lt;=AsOfDate,IF($R96=0,$X96,IF(AND($T96&lt;&gt;"",EDATE($D96,Milestones!$AA$116)&gt;=$T96),$W96,IF(AND($S96&lt;&gt;"",EDATE($D96,Milestones!$AA$116)&gt;=$S96),$V96,$U96)))=Milestones!$AB$116),UPPER(TEXT(EDATE($D96,Milestones!$AA$116),"dd mmm yy"))&amp;" "&amp;Milestones!$AB$116&amp;" "&amp;Milestones!$AC$116&amp;";  ","")&amp;IF(AND(EDATE($D96,Milestones!$AA$117)&lt;=AsOfDate,IF($R96=0,$X96,IF(AND($T96&lt;&gt;"",EDATE($D96,Milestones!$AA$117)&gt;=$T96),$W96,IF(AND($S96&lt;&gt;"",EDATE($D96,Milestones!$AA$117)&gt;=$S96),$V96,$U96)))=Milestones!$AB$117),UPPER(TEXT(EDATE($D96,Milestones!$AA$117),"dd mmm yy"))&amp;" "&amp;Milestones!$AB$117&amp;" "&amp;Milestones!$AC$117&amp;";  ","")&amp;IF(AND(EDATE($D96,Milestones!$AA$118)&lt;=AsOfDate,IF($R96=0,$X96,IF(AND($T96&lt;&gt;"",EDATE($D96,Milestones!$AA$118)&gt;=$T96),$W96,IF(AND($S96&lt;&gt;"",EDATE($D96,Milestones!$AA$118)&gt;=$S96),$V96,$U96)))=Milestones!$AB$118),UPPER(TEXT(EDATE($D96,Milestones!$AA$118),"dd mmm yy"))&amp;" "&amp;Milestones!$AB$118&amp;" "&amp;Milestones!$AC$118&amp;";  ","")&amp;IF(AND(EDATE($D96,Milestones!$AA$119)&lt;=AsOfDate,IF($R96=0,$X96,IF(AND($T96&lt;&gt;"",EDATE($D96,Milestones!$AA$119)&gt;=$T96),$W96,IF(AND($S96&lt;&gt;"",EDATE($D96,Milestones!$AA$119)&gt;=$S96),$V96,$U96)))=Milestones!$AB$119),UPPER(TEXT(EDATE($D96,Milestones!$AA$119),"dd mmm yy"))&amp;" "&amp;Milestones!$AB$119&amp;" "&amp;Milestones!$AC$119&amp;";  ",""))</f>
        <v/>
      </c>
      <c r="N96" s="0" t="str">
        <f aca="false">IF(OR($A96="",$D96=""),"",IF(AND(EDATE($D96,Milestones!$AA$120)&lt;=AsOfDate,IF($R96=0,$X96,IF(AND($T96&lt;&gt;"",EDATE($D96,Milestones!$AA$120)&gt;=$T96),$W96,IF(AND($S96&lt;&gt;"",EDATE($D96,Milestones!$AA$120)&gt;=$S96),$V96,$U96)))=Milestones!$AB$120),UPPER(TEXT(EDATE($D96,Milestones!$AA$120),"dd mmm yy"))&amp;" "&amp;Milestones!$AB$120&amp;" "&amp;Milestones!$AC$120&amp;";  ","")&amp;IF(AND(EDATE($D96,Milestones!$AA$121)&lt;=AsOfDate,IF($R96=0,$X96,IF(AND($T96&lt;&gt;"",EDATE($D96,Milestones!$AA$121)&gt;=$T96),$W96,IF(AND($S96&lt;&gt;"",EDATE($D96,Milestones!$AA$121)&gt;=$S96),$V96,$U96)))=Milestones!$AB$121),UPPER(TEXT(EDATE($D96,Milestones!$AA$121),"dd mmm yy"))&amp;" "&amp;Milestones!$AB$121&amp;" "&amp;Milestones!$AC$121&amp;";  ","")&amp;IF(AND(EDATE($D96,Milestones!$AA$122)&lt;=AsOfDate,IF($R96=0,$X96,IF(AND($T96&lt;&gt;"",EDATE($D96,Milestones!$AA$122)&gt;=$T96),$W96,IF(AND($S96&lt;&gt;"",EDATE($D96,Milestones!$AA$122)&gt;=$S96),$V96,$U96)))=Milestones!$AB$122),UPPER(TEXT(EDATE($D96,Milestones!$AA$122),"dd mmm yy"))&amp;" "&amp;Milestones!$AB$122&amp;" "&amp;Milestones!$AC$122&amp;";  ","")&amp;IF(AND(EDATE($D96,Milestones!$AA$123)&lt;=AsOfDate,IF($R96=0,$X96,IF(AND($T96&lt;&gt;"",EDATE($D96,Milestones!$AA$123)&gt;=$T96),$W96,IF(AND($S96&lt;&gt;"",EDATE($D96,Milestones!$AA$123)&gt;=$S96),$V96,$U96)))=Milestones!$AB$123),UPPER(TEXT(EDATE($D96,Milestones!$AA$123),"dd mmm yy"))&amp;" "&amp;Milestones!$AB$123&amp;" "&amp;Milestones!$AC$123&amp;";  ","")&amp;IF(AND(EDATE($D96,Milestones!$AA$124)&lt;=AsOfDate,IF($R96=0,$X96,IF(AND($T96&lt;&gt;"",EDATE($D96,Milestones!$AA$124)&gt;=$T96),$W96,IF(AND($S96&lt;&gt;"",EDATE($D96,Milestones!$AA$124)&gt;=$S96),$V96,$U96)))=Milestones!$AB$124),UPPER(TEXT(EDATE($D96,Milestones!$AA$124),"dd mmm yy"))&amp;" "&amp;Milestones!$AB$124&amp;" "&amp;Milestones!$AC$124&amp;";  ","")&amp;IF(AND(EDATE($D96,Milestones!$AA$125)&lt;=AsOfDate,IF($R96=0,$X96,IF(AND($T96&lt;&gt;"",EDATE($D96,Milestones!$AA$125)&gt;=$T96),$W96,IF(AND($S96&lt;&gt;"",EDATE($D96,Milestones!$AA$125)&gt;=$S96),$V96,$U96)))=Milestones!$AB$125),UPPER(TEXT(EDATE($D96,Milestones!$AA$125),"dd mmm yy"))&amp;" "&amp;Milestones!$AB$125&amp;" "&amp;Milestones!$AC$125&amp;";  ","")&amp;IF(AND(EDATE($D96,Milestones!$AA$126)&lt;=AsOfDate,IF($R96=0,$X96,IF(AND($T96&lt;&gt;"",EDATE($D96,Milestones!$AA$126)&gt;=$T96),$W96,IF(AND($S96&lt;&gt;"",EDATE($D96,Milestones!$AA$126)&gt;=$S96),$V96,$U96)))=Milestones!$AB$126),UPPER(TEXT(EDATE($D96,Milestones!$AA$126),"dd mmm yy"))&amp;" "&amp;Milestones!$AB$126&amp;" "&amp;Milestones!$AC$126&amp;";  ","")&amp;IF(AND(EDATE($D96,Milestones!$AA$127)&lt;=AsOfDate,IF($R96=0,$X96,IF(AND($T96&lt;&gt;"",EDATE($D96,Milestones!$AA$127)&gt;=$T96),$W96,IF(AND($S96&lt;&gt;"",EDATE($D96,Milestones!$AA$127)&gt;=$S96),$V96,$U96)))=Milestones!$AB$127),UPPER(TEXT(EDATE($D96,Milestones!$AA$127),"dd mmm yy"))&amp;" "&amp;Milestones!$AB$127&amp;" "&amp;Milestones!$AC$127&amp;";  ","")&amp;IF(AND(EDATE($D96,Milestones!$AA$128)&lt;=AsOfDate,IF($R96=0,$X96,IF(AND($T96&lt;&gt;"",EDATE($D96,Milestones!$AA$128)&gt;=$T96),$W96,IF(AND($S96&lt;&gt;"",EDATE($D96,Milestones!$AA$128)&gt;=$S96),$V96,$U96)))=Milestones!$AB$128),UPPER(TEXT(EDATE($D96,Milestones!$AA$128),"dd mmm yy"))&amp;" "&amp;Milestones!$AB$128&amp;" "&amp;Milestones!$AC$128&amp;";  ","")&amp;IF(AND(EDATE($D96,Milestones!$AA$129)&lt;=AsOfDate,IF($R96=0,$X96,IF(AND($T96&lt;&gt;"",EDATE($D96,Milestones!$AA$129)&gt;=$T96),$W96,IF(AND($S96&lt;&gt;"",EDATE($D96,Milestones!$AA$129)&gt;=$S96),$V96,$U96)))=Milestones!$AB$129),UPPER(TEXT(EDATE($D96,Milestones!$AA$129),"dd mmm yy"))&amp;" "&amp;Milestones!$AB$129&amp;" "&amp;Milestones!$AC$129&amp;";  ","")&amp;IF(AND(EDATE($D96,Milestones!$AA$130)&lt;=AsOfDate,IF($R96=0,$X96,IF(AND($T96&lt;&gt;"",EDATE($D96,Milestones!$AA$130)&gt;=$T96),$W96,IF(AND($S96&lt;&gt;"",EDATE($D96,Milestones!$AA$130)&gt;=$S96),$V96,$U96)))=Milestones!$AB$130),UPPER(TEXT(EDATE($D96,Milestones!$AA$130),"dd mmm yy"))&amp;" "&amp;Milestones!$AB$130&amp;" "&amp;Milestones!$AC$130&amp;";  ","")&amp;IF(AND(EDATE($D96,Milestones!$AA$131)&lt;=AsOfDate,IF($R96=0,$X96,IF(AND($T96&lt;&gt;"",EDATE($D96,Milestones!$AA$131)&gt;=$T96),$W96,IF(AND($S96&lt;&gt;"",EDATE($D96,Milestones!$AA$131)&gt;=$S96),$V96,$U96)))=Milestones!$AB$131),UPPER(TEXT(EDATE($D96,Milestones!$AA$131),"dd mmm yy"))&amp;" "&amp;Milestones!$AB$131&amp;" "&amp;Milestones!$AC$131&amp;";  ","")&amp;IF(AND(EDATE($D96,Milestones!$AA$132)&lt;=AsOfDate,IF($R96=0,$X96,IF(AND($T96&lt;&gt;"",EDATE($D96,Milestones!$AA$132)&gt;=$T96),$W96,IF(AND($S96&lt;&gt;"",EDATE($D96,Milestones!$AA$132)&gt;=$S96),$V96,$U96)))=Milestones!$AB$132),UPPER(TEXT(EDATE($D96,Milestones!$AA$132),"dd mmm yy"))&amp;" "&amp;Milestones!$AB$132&amp;" "&amp;Milestones!$AC$132&amp;";  ","")&amp;IF(AND(EDATE($D96,Milestones!$AA$133)&lt;=AsOfDate,IF($R96=0,$X96,IF(AND($T96&lt;&gt;"",EDATE($D96,Milestones!$AA$133)&gt;=$T96),$W96,IF(AND($S96&lt;&gt;"",EDATE($D96,Milestones!$AA$133)&gt;=$S96),$V96,$U96)))=Milestones!$AB$133),UPPER(TEXT(EDATE($D96,Milestones!$AA$133),"dd mmm yy"))&amp;" "&amp;Milestones!$AB$133&amp;" "&amp;Milestones!$AC$133&amp;";  ","")&amp;IF(AND(EDATE($D96,Milestones!$AA$134)&lt;=AsOfDate,IF($R96=0,$X96,IF(AND($T96&lt;&gt;"",EDATE($D96,Milestones!$AA$134)&gt;=$T96),$W96,IF(AND($S96&lt;&gt;"",EDATE($D96,Milestones!$AA$134)&gt;=$S96),$V96,$U96)))=Milestones!$AB$134),UPPER(TEXT(EDATE($D96,Milestones!$AA$134),"dd mmm yy"))&amp;" "&amp;Milestones!$AB$134&amp;" "&amp;Milestones!$AC$134&amp;";  ","")&amp;IF(AND(EDATE($D96,Milestones!$AA$135)&lt;=AsOfDate,IF($R96=0,$X96,IF(AND($T96&lt;&gt;"",EDATE($D96,Milestones!$AA$135)&gt;=$T96),$W96,IF(AND($S96&lt;&gt;"",EDATE($D96,Milestones!$AA$135)&gt;=$S96),$V96,$U96)))=Milestones!$AB$135),UPPER(TEXT(EDATE($D96,Milestones!$AA$135),"dd mmm yy"))&amp;" "&amp;Milestones!$AB$135&amp;" "&amp;Milestones!$AC$135&amp;";  ","")&amp;IF(AND(EDATE($D96,Milestones!$AA$136)&lt;=AsOfDate,IF($R96=0,$X96,IF(AND($T96&lt;&gt;"",EDATE($D96,Milestones!$AA$136)&gt;=$T96),$W96,IF(AND($S96&lt;&gt;"",EDATE($D96,Milestones!$AA$136)&gt;=$S96),$V96,$U96)))=Milestones!$AB$136),UPPER(TEXT(EDATE($D96,Milestones!$AA$136),"dd mmm yy"))&amp;" "&amp;Milestones!$AB$136&amp;" "&amp;Milestones!$AC$136&amp;";  ","")&amp;IF(AND(EDATE($D96,Milestones!$AA$137)&lt;=AsOfDate,IF($R96=0,$X96,IF(AND($T96&lt;&gt;"",EDATE($D96,Milestones!$AA$137)&gt;=$T96),$W96,IF(AND($S96&lt;&gt;"",EDATE($D96,Milestones!$AA$137)&gt;=$S96),$V96,$U96)))=Milestones!$AB$137),UPPER(TEXT(EDATE($D96,Milestones!$AA$137),"dd mmm yy"))&amp;" "&amp;Milestones!$AB$137&amp;" "&amp;Milestones!$AC$137&amp;";  ","")&amp;IF(AND(EDATE($D96,Milestones!$AA$138)&lt;=AsOfDate,IF($R96=0,$X96,IF(AND($T96&lt;&gt;"",EDATE($D96,Milestones!$AA$138)&gt;=$T96),$W96,IF(AND($S96&lt;&gt;"",EDATE($D96,Milestones!$AA$138)&gt;=$S96),$V96,$U96)))=Milestones!$AB$138),UPPER(TEXT(EDATE($D96,Milestones!$AA$138),"dd mmm yy"))&amp;" "&amp;Milestones!$AB$138&amp;" "&amp;Milestones!$AC$138&amp;";  ","")&amp;IF(AND(EDATE($D96,Milestones!$AA$139)&lt;=AsOfDate,IF($R96=0,$X96,IF(AND($T96&lt;&gt;"",EDATE($D96,Milestones!$AA$139)&gt;=$T96),$W96,IF(AND($S96&lt;&gt;"",EDATE($D96,Milestones!$AA$139)&gt;=$S96),$V96,$U96)))=Milestones!$AB$139),UPPER(TEXT(EDATE($D96,Milestones!$AA$139),"dd mmm yy"))&amp;" "&amp;Milestones!$AB$139&amp;" "&amp;Milestones!$AC$139&amp;";  ",""))</f>
        <v/>
      </c>
      <c r="O96" s="0" t="str">
        <f aca="false">IF(OR($A96="",$D96=""),"",IF(AND(EDATE($D96,Milestones!$AA$140)&lt;=AsOfDate,IF($R96=0,$X96,IF(AND($T96&lt;&gt;"",EDATE($D96,Milestones!$AA$140)&gt;=$T96),$W96,IF(AND($S96&lt;&gt;"",EDATE($D96,Milestones!$AA$140)&gt;=$S96),$V96,$U96)))=Milestones!$AB$140),UPPER(TEXT(EDATE($D96,Milestones!$AA$140),"dd mmm yy"))&amp;" "&amp;Milestones!$AB$140&amp;" "&amp;Milestones!$AC$140&amp;";  ","")&amp;IF(AND(EDATE($D96,Milestones!$AA$141)&lt;=AsOfDate,IF($R96=0,$X96,IF(AND($T96&lt;&gt;"",EDATE($D96,Milestones!$AA$141)&gt;=$T96),$W96,IF(AND($S96&lt;&gt;"",EDATE($D96,Milestones!$AA$141)&gt;=$S96),$V96,$U96)))=Milestones!$AB$141),UPPER(TEXT(EDATE($D96,Milestones!$AA$141),"dd mmm yy"))&amp;" "&amp;Milestones!$AB$141&amp;" "&amp;Milestones!$AC$141&amp;";  ","")&amp;IF(AND(EDATE($D96,Milestones!$AA$142)&lt;=AsOfDate,IF($R96=0,$X96,IF(AND($T96&lt;&gt;"",EDATE($D96,Milestones!$AA$142)&gt;=$T96),$W96,IF(AND($S96&lt;&gt;"",EDATE($D96,Milestones!$AA$142)&gt;=$S96),$V96,$U96)))=Milestones!$AB$142),UPPER(TEXT(EDATE($D96,Milestones!$AA$142),"dd mmm yy"))&amp;" "&amp;Milestones!$AB$142&amp;" "&amp;Milestones!$AC$142&amp;";  ","")&amp;IF(AND(EDATE($D96,Milestones!$AA$143)&lt;=AsOfDate,IF($R96=0,$X96,IF(AND($T96&lt;&gt;"",EDATE($D96,Milestones!$AA$143)&gt;=$T96),$W96,IF(AND($S96&lt;&gt;"",EDATE($D96,Milestones!$AA$143)&gt;=$S96),$V96,$U96)))=Milestones!$AB$143),UPPER(TEXT(EDATE($D96,Milestones!$AA$143),"dd mmm yy"))&amp;" "&amp;Milestones!$AB$143&amp;" "&amp;Milestones!$AC$143&amp;";  ","")&amp;IF(AND(EDATE($D96,Milestones!$AA$144)&lt;=AsOfDate,IF($R96=0,$X96,IF(AND($T96&lt;&gt;"",EDATE($D96,Milestones!$AA$144)&gt;=$T96),$W96,IF(AND($S96&lt;&gt;"",EDATE($D96,Milestones!$AA$144)&gt;=$S96),$V96,$U96)))=Milestones!$AB$144),UPPER(TEXT(EDATE($D96,Milestones!$AA$144),"dd mmm yy"))&amp;" "&amp;Milestones!$AB$144&amp;" "&amp;Milestones!$AC$144&amp;";  ","")&amp;IF(AND(EDATE($D96,Milestones!$AA$145)&lt;=AsOfDate,IF($R96=0,$X96,IF(AND($T96&lt;&gt;"",EDATE($D96,Milestones!$AA$145)&gt;=$T96),$W96,IF(AND($S96&lt;&gt;"",EDATE($D96,Milestones!$AA$145)&gt;=$S96),$V96,$U96)))=Milestones!$AB$145),UPPER(TEXT(EDATE($D96,Milestones!$AA$145),"dd mmm yy"))&amp;" "&amp;Milestones!$AB$145&amp;" "&amp;Milestones!$AC$145&amp;";  ","")&amp;IF(AND(EDATE($D96,Milestones!$AA$146)&lt;=AsOfDate,IF($R96=0,$X96,IF(AND($T96&lt;&gt;"",EDATE($D96,Milestones!$AA$146)&gt;=$T96),$W96,IF(AND($S96&lt;&gt;"",EDATE($D96,Milestones!$AA$146)&gt;=$S96),$V96,$U96)))=Milestones!$AB$146),UPPER(TEXT(EDATE($D96,Milestones!$AA$146),"dd mmm yy"))&amp;" "&amp;Milestones!$AB$146&amp;" "&amp;Milestones!$AC$146&amp;";  ","")&amp;IF(AND(EDATE($D96,Milestones!$AA$147)&lt;=AsOfDate,IF($R96=0,$X96,IF(AND($T96&lt;&gt;"",EDATE($D96,Milestones!$AA$147)&gt;=$T96),$W96,IF(AND($S96&lt;&gt;"",EDATE($D96,Milestones!$AA$147)&gt;=$S96),$V96,$U96)))=Milestones!$AB$147),UPPER(TEXT(EDATE($D96,Milestones!$AA$147),"dd mmm yy"))&amp;" "&amp;Milestones!$AB$147&amp;" "&amp;Milestones!$AC$147&amp;";  ","")&amp;IF(AND(EDATE($D96,Milestones!$AA$148)&lt;=AsOfDate,IF($R96=0,$X96,IF(AND($T96&lt;&gt;"",EDATE($D96,Milestones!$AA$148)&gt;=$T96),$W96,IF(AND($S96&lt;&gt;"",EDATE($D96,Milestones!$AA$148)&gt;=$S96),$V96,$U96)))=Milestones!$AB$148),UPPER(TEXT(EDATE($D96,Milestones!$AA$148),"dd mmm yy"))&amp;" "&amp;Milestones!$AB$148&amp;" "&amp;Milestones!$AC$148&amp;";  ","")&amp;IF(AND(EDATE($D96,Milestones!$AA$149)&lt;=AsOfDate,IF($R96=0,$X96,IF(AND($T96&lt;&gt;"",EDATE($D96,Milestones!$AA$149)&gt;=$T96),$W96,IF(AND($S96&lt;&gt;"",EDATE($D96,Milestones!$AA$149)&gt;=$S96),$V96,$U96)))=Milestones!$AB$149),UPPER(TEXT(EDATE($D96,Milestones!$AA$149),"dd mmm yy"))&amp;" "&amp;Milestones!$AB$149&amp;" "&amp;Milestones!$AC$149&amp;";  ","")&amp;IF(AND(EDATE($D96,Milestones!$AA$150)&lt;=AsOfDate,IF($R96=0,$X96,IF(AND($T96&lt;&gt;"",EDATE($D96,Milestones!$AA$150)&gt;=$T96),$W96,IF(AND($S96&lt;&gt;"",EDATE($D96,Milestones!$AA$150)&gt;=$S96),$V96,$U96)))=Milestones!$AB$150),UPPER(TEXT(EDATE($D96,Milestones!$AA$150),"dd mmm yy"))&amp;" "&amp;Milestones!$AB$150&amp;" "&amp;Milestones!$AC$150&amp;";  ","")&amp;IF(AND(EDATE($D96,Milestones!$AA$151)&lt;=AsOfDate,IF($R96=0,$X96,IF(AND($T96&lt;&gt;"",EDATE($D96,Milestones!$AA$151)&gt;=$T96),$W96,IF(AND($S96&lt;&gt;"",EDATE($D96,Milestones!$AA$151)&gt;=$S96),$V96,$U96)))=Milestones!$AB$151),UPPER(TEXT(EDATE($D96,Milestones!$AA$151),"dd mmm yy"))&amp;" "&amp;Milestones!$AB$151&amp;" "&amp;Milestones!$AC$151&amp;";  ","")&amp;IF(AND(EDATE($D96,Milestones!$AA$152)&lt;=AsOfDate,IF($R96=0,$X96,IF(AND($T96&lt;&gt;"",EDATE($D96,Milestones!$AA$152)&gt;=$T96),$W96,IF(AND($S96&lt;&gt;"",EDATE($D96,Milestones!$AA$152)&gt;=$S96),$V96,$U96)))=Milestones!$AB$152),UPPER(TEXT(EDATE($D96,Milestones!$AA$152),"dd mmm yy"))&amp;" "&amp;Milestones!$AB$152&amp;" "&amp;Milestones!$AC$152&amp;";  ","")&amp;IF(AND(EDATE($D96,Milestones!$AA$153)&lt;=AsOfDate,IF($R96=0,$X96,IF(AND($T96&lt;&gt;"",EDATE($D96,Milestones!$AA$153)&gt;=$T96),$W96,IF(AND($S96&lt;&gt;"",EDATE($D96,Milestones!$AA$153)&gt;=$S96),$V96,$U96)))=Milestones!$AB$153),UPPER(TEXT(EDATE($D96,Milestones!$AA$153),"dd mmm yy"))&amp;" "&amp;Milestones!$AB$153&amp;" "&amp;Milestones!$AC$153&amp;";  ","")&amp;IF(AND(EDATE($D96,Milestones!$AA$154)&lt;=AsOfDate,IF($R96=0,$X96,IF(AND($T96&lt;&gt;"",EDATE($D96,Milestones!$AA$154)&gt;=$T96),$W96,IF(AND($S96&lt;&gt;"",EDATE($D96,Milestones!$AA$154)&gt;=$S96),$V96,$U96)))=Milestones!$AB$154),UPPER(TEXT(EDATE($D96,Milestones!$AA$154),"dd mmm yy"))&amp;" "&amp;Milestones!$AB$154&amp;" "&amp;Milestones!$AC$154&amp;";  ","")&amp;IF(AND(EDATE($D96,Milestones!$AA$155)&lt;=AsOfDate,IF($R96=0,$X96,IF(AND($T96&lt;&gt;"",EDATE($D96,Milestones!$AA$155)&gt;=$T96),$W96,IF(AND($S96&lt;&gt;"",EDATE($D96,Milestones!$AA$155)&gt;=$S96),$V96,$U96)))=Milestones!$AB$155),UPPER(TEXT(EDATE($D96,Milestones!$AA$155),"dd mmm yy"))&amp;" "&amp;Milestones!$AB$155&amp;" "&amp;Milestones!$AC$155&amp;";  ","")&amp;IF(AND(EDATE($D96,Milestones!$AA$156)&lt;=AsOfDate,IF($R96=0,$X96,IF(AND($T96&lt;&gt;"",EDATE($D96,Milestones!$AA$156)&gt;=$T96),$W96,IF(AND($S96&lt;&gt;"",EDATE($D96,Milestones!$AA$156)&gt;=$S96),$V96,$U96)))=Milestones!$AB$156),UPPER(TEXT(EDATE($D96,Milestones!$AA$156),"dd mmm yy"))&amp;" "&amp;Milestones!$AB$156&amp;" "&amp;Milestones!$AC$156&amp;";  ","")&amp;IF(AND(EDATE($D96,Milestones!$AA$157)&lt;=AsOfDate,IF($R96=0,$X96,IF(AND($T96&lt;&gt;"",EDATE($D96,Milestones!$AA$157)&gt;=$T96),$W96,IF(AND($S96&lt;&gt;"",EDATE($D96,Milestones!$AA$157)&gt;=$S96),$V96,$U96)))=Milestones!$AB$157),UPPER(TEXT(EDATE($D96,Milestones!$AA$157),"dd mmm yy"))&amp;" "&amp;Milestones!$AB$157&amp;" "&amp;Milestones!$AC$157&amp;";  ","")&amp;IF(AND(EDATE($D96,Milestones!$AA$158)&lt;=AsOfDate,IF($R96=0,$X96,IF(AND($T96&lt;&gt;"",EDATE($D96,Milestones!$AA$158)&gt;=$T96),$W96,IF(AND($S96&lt;&gt;"",EDATE($D96,Milestones!$AA$158)&gt;=$S96),$V96,$U96)))=Milestones!$AB$158),UPPER(TEXT(EDATE($D96,Milestones!$AA$158),"dd mmm yy"))&amp;" "&amp;Milestones!$AB$158&amp;" "&amp;Milestones!$AC$158&amp;";  ","")&amp;IF(AND(EDATE($D96,Milestones!$AA$159)&lt;=AsOfDate,IF($R96=0,$X96,IF(AND($T96&lt;&gt;"",EDATE($D96,Milestones!$AA$159)&gt;=$T96),$W96,IF(AND($S96&lt;&gt;"",EDATE($D96,Milestones!$AA$159)&gt;=$S96),$V96,$U96)))=Milestones!$AB$159),UPPER(TEXT(EDATE($D96,Milestones!$AA$159),"dd mmm yy"))&amp;" "&amp;Milestones!$AB$159&amp;" "&amp;Milestones!$AC$159&amp;";  ",""))</f>
        <v/>
      </c>
      <c r="P96" s="0" t="str">
        <f aca="false">IF(OR($A96="",$D96=""),"",IF(AND(EDATE($D96,Milestones!$AA$160)&lt;=AsOfDate,IF($R96=0,$X96,IF(AND($T96&lt;&gt;"",EDATE($D96,Milestones!$AA$160)&gt;=$T96),$W96,IF(AND($S96&lt;&gt;"",EDATE($D96,Milestones!$AA$160)&gt;=$S96),$V96,$U96)))=Milestones!$AB$160),UPPER(TEXT(EDATE($D96,Milestones!$AA$160),"dd mmm yy"))&amp;" "&amp;Milestones!$AB$160&amp;" "&amp;Milestones!$AC$160&amp;";  ","")&amp;IF(AND(EDATE($D96,Milestones!$AA$161)&lt;=AsOfDate,IF($R96=0,$X96,IF(AND($T96&lt;&gt;"",EDATE($D96,Milestones!$AA$161)&gt;=$T96),$W96,IF(AND($S96&lt;&gt;"",EDATE($D96,Milestones!$AA$161)&gt;=$S96),$V96,$U96)))=Milestones!$AB$161),UPPER(TEXT(EDATE($D96,Milestones!$AA$161),"dd mmm yy"))&amp;" "&amp;Milestones!$AB$161&amp;" "&amp;Milestones!$AC$161&amp;";  ","")&amp;IF(AND(EDATE($D96,Milestones!$AA$162)&lt;=AsOfDate,IF($R96=0,$X96,IF(AND($T96&lt;&gt;"",EDATE($D96,Milestones!$AA$162)&gt;=$T96),$W96,IF(AND($S96&lt;&gt;"",EDATE($D96,Milestones!$AA$162)&gt;=$S96),$V96,$U96)))=Milestones!$AB$162),UPPER(TEXT(EDATE($D96,Milestones!$AA$162),"dd mmm yy"))&amp;" "&amp;Milestones!$AB$162&amp;" "&amp;Milestones!$AC$162&amp;";  ","")&amp;IF(AND(EDATE($D96,Milestones!$AA$163)&lt;=AsOfDate,IF($R96=0,$X96,IF(AND($T96&lt;&gt;"",EDATE($D96,Milestones!$AA$163)&gt;=$T96),$W96,IF(AND($S96&lt;&gt;"",EDATE($D96,Milestones!$AA$163)&gt;=$S96),$V96,$U96)))=Milestones!$AB$163),UPPER(TEXT(EDATE($D96,Milestones!$AA$163),"dd mmm yy"))&amp;" "&amp;Milestones!$AB$163&amp;" "&amp;Milestones!$AC$163&amp;";  ","")&amp;IF(AND(EDATE($D96,Milestones!$AA$164)&lt;=AsOfDate,IF($R96=0,$X96,IF(AND($T96&lt;&gt;"",EDATE($D96,Milestones!$AA$164)&gt;=$T96),$W96,IF(AND($S96&lt;&gt;"",EDATE($D96,Milestones!$AA$164)&gt;=$S96),$V96,$U96)))=Milestones!$AB$164),UPPER(TEXT(EDATE($D96,Milestones!$AA$164),"dd mmm yy"))&amp;" "&amp;Milestones!$AB$164&amp;" "&amp;Milestones!$AC$164&amp;";  ","")&amp;IF(AND(EDATE($D96,Milestones!$AA$165)&lt;=AsOfDate,IF($R96=0,$X96,IF(AND($T96&lt;&gt;"",EDATE($D96,Milestones!$AA$165)&gt;=$T96),$W96,IF(AND($S96&lt;&gt;"",EDATE($D96,Milestones!$AA$165)&gt;=$S96),$V96,$U96)))=Milestones!$AB$165),UPPER(TEXT(EDATE($D96,Milestones!$AA$165),"dd mmm yy"))&amp;" "&amp;Milestones!$AB$165&amp;" "&amp;Milestones!$AC$165&amp;";  ","")&amp;IF(AND(EDATE($D96,Milestones!$AA$166)&lt;=AsOfDate,IF($R96=0,$X96,IF(AND($T96&lt;&gt;"",EDATE($D96,Milestones!$AA$166)&gt;=$T96),$W96,IF(AND($S96&lt;&gt;"",EDATE($D96,Milestones!$AA$166)&gt;=$S96),$V96,$U96)))=Milestones!$AB$166),UPPER(TEXT(EDATE($D96,Milestones!$AA$166),"dd mmm yy"))&amp;" "&amp;Milestones!$AB$166&amp;" "&amp;Milestones!$AC$166&amp;";  ","")&amp;IF(AND(EDATE($D96,Milestones!$AA$167)&lt;=AsOfDate,IF($R96=0,$X96,IF(AND($T96&lt;&gt;"",EDATE($D96,Milestones!$AA$167)&gt;=$T96),$W96,IF(AND($S96&lt;&gt;"",EDATE($D96,Milestones!$AA$167)&gt;=$S96),$V96,$U96)))=Milestones!$AB$167),UPPER(TEXT(EDATE($D96,Milestones!$AA$167),"dd mmm yy"))&amp;" "&amp;Milestones!$AB$167&amp;" "&amp;Milestones!$AC$167&amp;";  ","")&amp;IF(AND(EDATE($D96,Milestones!$AA$168)&lt;=AsOfDate,IF($R96=0,$X96,IF(AND($T96&lt;&gt;"",EDATE($D96,Milestones!$AA$168)&gt;=$T96),$W96,IF(AND($S96&lt;&gt;"",EDATE($D96,Milestones!$AA$168)&gt;=$S96),$V96,$U96)))=Milestones!$AB$168),UPPER(TEXT(EDATE($D96,Milestones!$AA$168),"dd mmm yy"))&amp;" "&amp;Milestones!$AB$168&amp;" "&amp;Milestones!$AC$168&amp;";  ","")&amp;IF(AND(EDATE($D96,Milestones!$AA$169)&lt;=AsOfDate,IF($R96=0,$X96,IF(AND($T96&lt;&gt;"",EDATE($D96,Milestones!$AA$169)&gt;=$T96),$W96,IF(AND($S96&lt;&gt;"",EDATE($D96,Milestones!$AA$169)&gt;=$S96),$V96,$U96)))=Milestones!$AB$169),UPPER(TEXT(EDATE($D96,Milestones!$AA$169),"dd mmm yy"))&amp;" "&amp;Milestones!$AB$169&amp;" "&amp;Milestones!$AC$169&amp;";  ","")&amp;IF(AND(EDATE($D96,Milestones!$AA$170)&lt;=AsOfDate,IF($R96=0,$X96,IF(AND($T96&lt;&gt;"",EDATE($D96,Milestones!$AA$170)&gt;=$T96),$W96,IF(AND($S96&lt;&gt;"",EDATE($D96,Milestones!$AA$170)&gt;=$S96),$V96,$U96)))=Milestones!$AB$170),UPPER(TEXT(EDATE($D96,Milestones!$AA$170),"dd mmm yy"))&amp;" "&amp;Milestones!$AB$170&amp;" "&amp;Milestones!$AC$170&amp;";  ","")&amp;IF(AND(EDATE($D96,Milestones!$AA$171)&lt;=AsOfDate,IF($R96=0,$X96,IF(AND($T96&lt;&gt;"",EDATE($D96,Milestones!$AA$171)&gt;=$T96),$W96,IF(AND($S96&lt;&gt;"",EDATE($D96,Milestones!$AA$171)&gt;=$S96),$V96,$U96)))=Milestones!$AB$171),UPPER(TEXT(EDATE($D96,Milestones!$AA$171),"dd mmm yy"))&amp;" "&amp;Milestones!$AB$171&amp;" "&amp;Milestones!$AC$171&amp;";  ","")&amp;IF(AND(EDATE($D96,Milestones!$AA$172)&lt;=AsOfDate,IF($R96=0,$X96,IF(AND($T96&lt;&gt;"",EDATE($D96,Milestones!$AA$172)&gt;=$T96),$W96,IF(AND($S96&lt;&gt;"",EDATE($D96,Milestones!$AA$172)&gt;=$S96),$V96,$U96)))=Milestones!$AB$172),UPPER(TEXT(EDATE($D96,Milestones!$AA$172),"dd mmm yy"))&amp;" "&amp;Milestones!$AB$172&amp;" "&amp;Milestones!$AC$172&amp;";  ","")&amp;IF(AND(EDATE($D96,Milestones!$AA$173)&lt;=AsOfDate,IF($R96=0,$X96,IF(AND($T96&lt;&gt;"",EDATE($D96,Milestones!$AA$173)&gt;=$T96),$W96,IF(AND($S96&lt;&gt;"",EDATE($D96,Milestones!$AA$173)&gt;=$S96),$V96,$U96)))=Milestones!$AB$173),UPPER(TEXT(EDATE($D96,Milestones!$AA$173),"dd mmm yy"))&amp;" "&amp;Milestones!$AB$173&amp;" "&amp;Milestones!$AC$173&amp;";  ","")&amp;IF(AND(EDATE($D96,Milestones!$AA$174)&lt;=AsOfDate,IF($R96=0,$X96,IF(AND($T96&lt;&gt;"",EDATE($D96,Milestones!$AA$174)&gt;=$T96),$W96,IF(AND($S96&lt;&gt;"",EDATE($D96,Milestones!$AA$174)&gt;=$S96),$V96,$U96)))=Milestones!$AB$174),UPPER(TEXT(EDATE($D96,Milestones!$AA$174),"dd mmm yy"))&amp;" "&amp;Milestones!$AB$174&amp;" "&amp;Milestones!$AC$174&amp;";  ","")&amp;IF(AND(EDATE($D96,Milestones!$AA$175)&lt;=AsOfDate,IF($R96=0,$X96,IF(AND($T96&lt;&gt;"",EDATE($D96,Milestones!$AA$175)&gt;=$T96),$W96,IF(AND($S96&lt;&gt;"",EDATE($D96,Milestones!$AA$175)&gt;=$S96),$V96,$U96)))=Milestones!$AB$175),UPPER(TEXT(EDATE($D96,Milestones!$AA$175),"dd mmm yy"))&amp;" "&amp;Milestones!$AB$175&amp;" "&amp;Milestones!$AC$175&amp;";  ","")&amp;IF(AND(EDATE($D96,Milestones!$AA$176)&lt;=AsOfDate,IF($R96=0,$X96,IF(AND($T96&lt;&gt;"",EDATE($D96,Milestones!$AA$176)&gt;=$T96),$W96,IF(AND($S96&lt;&gt;"",EDATE($D96,Milestones!$AA$176)&gt;=$S96),$V96,$U96)))=Milestones!$AB$176),UPPER(TEXT(EDATE($D96,Milestones!$AA$176),"dd mmm yy"))&amp;" "&amp;Milestones!$AB$176&amp;" "&amp;Milestones!$AC$176&amp;";  ","")&amp;IF(AND(EDATE($D96,Milestones!$AA$177)&lt;=AsOfDate,IF($R96=0,$X96,IF(AND($T96&lt;&gt;"",EDATE($D96,Milestones!$AA$177)&gt;=$T96),$W96,IF(AND($S96&lt;&gt;"",EDATE($D96,Milestones!$AA$177)&gt;=$S96),$V96,$U96)))=Milestones!$AB$177),UPPER(TEXT(EDATE($D96,Milestones!$AA$177),"dd mmm yy"))&amp;" "&amp;Milestones!$AB$177&amp;" "&amp;Milestones!$AC$177&amp;";  ","")&amp;IF(AND(EDATE($D96,Milestones!$AA$178)&lt;=AsOfDate,IF($R96=0,$X96,IF(AND($T96&lt;&gt;"",EDATE($D96,Milestones!$AA$178)&gt;=$T96),$W96,IF(AND($S96&lt;&gt;"",EDATE($D96,Milestones!$AA$178)&gt;=$S96),$V96,$U96)))=Milestones!$AB$178),UPPER(TEXT(EDATE($D96,Milestones!$AA$178),"dd mmm yy"))&amp;" "&amp;Milestones!$AB$178&amp;" "&amp;Milestones!$AC$178&amp;";  ","")&amp;IF(AND(EDATE($D96,Milestones!$AA$179)&lt;=AsOfDate,IF($R96=0,$X96,IF(AND($T96&lt;&gt;"",EDATE($D96,Milestones!$AA$179)&gt;=$T96),$W96,IF(AND($S96&lt;&gt;"",EDATE($D96,Milestones!$AA$179)&gt;=$S96),$V96,$U96)))=Milestones!$AB$179),UPPER(TEXT(EDATE($D96,Milestones!$AA$179),"dd mmm yy"))&amp;" "&amp;Milestones!$AB$179&amp;" "&amp;Milestones!$AC$179&amp;";  ",""))</f>
        <v/>
      </c>
      <c r="Q96" s="0" t="str">
        <f aca="false">IF(OR($A96="",$D96=""),"",IF(AND(EDATE($D96,Milestones!$AA$180)&lt;=AsOfDate,IF($R96=0,$X96,IF(AND($T96&lt;&gt;"",EDATE($D96,Milestones!$AA$180)&gt;=$T96),$W96,IF(AND($S96&lt;&gt;"",EDATE($D96,Milestones!$AA$180)&gt;=$S96),$V96,$U96)))=Milestones!$AB$180),UPPER(TEXT(EDATE($D96,Milestones!$AA$180),"dd mmm yy"))&amp;" "&amp;Milestones!$AB$180&amp;" "&amp;Milestones!$AC$180&amp;";  ","")&amp;IF(AND(EDATE($D96,Milestones!$AA$181)&lt;=AsOfDate,IF($R96=0,$X96,IF(AND($T96&lt;&gt;"",EDATE($D96,Milestones!$AA$181)&gt;=$T96),$W96,IF(AND($S96&lt;&gt;"",EDATE($D96,Milestones!$AA$181)&gt;=$S96),$V96,$U96)))=Milestones!$AB$181),UPPER(TEXT(EDATE($D96,Milestones!$AA$181),"dd mmm yy"))&amp;" "&amp;Milestones!$AB$181&amp;" "&amp;Milestones!$AC$181&amp;";  ","")&amp;IF(AND(EDATE($D96,Milestones!$AA$182)&lt;=AsOfDate,IF($R96=0,$X96,IF(AND($T96&lt;&gt;"",EDATE($D96,Milestones!$AA$182)&gt;=$T96),$W96,IF(AND($S96&lt;&gt;"",EDATE($D96,Milestones!$AA$182)&gt;=$S96),$V96,$U96)))=Milestones!$AB$182),UPPER(TEXT(EDATE($D96,Milestones!$AA$182),"dd mmm yy"))&amp;" "&amp;Milestones!$AB$182&amp;" "&amp;Milestones!$AC$182&amp;";  ","")&amp;IF(AND(EDATE($D96,Milestones!$AA$183)&lt;=AsOfDate,IF($R96=0,$X96,IF(AND($T96&lt;&gt;"",EDATE($D96,Milestones!$AA$183)&gt;=$T96),$W96,IF(AND($S96&lt;&gt;"",EDATE($D96,Milestones!$AA$183)&gt;=$S96),$V96,$U96)))=Milestones!$AB$183),UPPER(TEXT(EDATE($D96,Milestones!$AA$183),"dd mmm yy"))&amp;" "&amp;Milestones!$AB$183&amp;" "&amp;Milestones!$AC$183&amp;";  ","")&amp;IF(AND(EDATE($D96,Milestones!$AA$184)&lt;=AsOfDate,IF($R96=0,$X96,IF(AND($T96&lt;&gt;"",EDATE($D96,Milestones!$AA$184)&gt;=$T96),$W96,IF(AND($S96&lt;&gt;"",EDATE($D96,Milestones!$AA$184)&gt;=$S96),$V96,$U96)))=Milestones!$AB$184),UPPER(TEXT(EDATE($D96,Milestones!$AA$184),"dd mmm yy"))&amp;" "&amp;Milestones!$AB$184&amp;" "&amp;Milestones!$AC$184&amp;";  ","")&amp;IF(AND(EDATE($D96,Milestones!$AA$185)&lt;=AsOfDate,IF($R96=0,$X96,IF(AND($T96&lt;&gt;"",EDATE($D96,Milestones!$AA$185)&gt;=$T96),$W96,IF(AND($S96&lt;&gt;"",EDATE($D96,Milestones!$AA$185)&gt;=$S96),$V96,$U96)))=Milestones!$AB$185),UPPER(TEXT(EDATE($D96,Milestones!$AA$185),"dd mmm yy"))&amp;" "&amp;Milestones!$AB$185&amp;" "&amp;Milestones!$AC$185&amp;";  ","")&amp;IF(AND(EDATE($D96,Milestones!$AA$186)&lt;=AsOfDate,IF($R96=0,$X96,IF(AND($T96&lt;&gt;"",EDATE($D96,Milestones!$AA$186)&gt;=$T96),$W96,IF(AND($S96&lt;&gt;"",EDATE($D96,Milestones!$AA$186)&gt;=$S96),$V96,$U96)))=Milestones!$AB$186),UPPER(TEXT(EDATE($D96,Milestones!$AA$186),"dd mmm yy"))&amp;" "&amp;Milestones!$AB$186&amp;" "&amp;Milestones!$AC$186&amp;";  ","")&amp;IF(AND(EDATE($D96,Milestones!$AA$187)&lt;=AsOfDate,IF($R96=0,$X96,IF(AND($T96&lt;&gt;"",EDATE($D96,Milestones!$AA$187)&gt;=$T96),$W96,IF(AND($S96&lt;&gt;"",EDATE($D96,Milestones!$AA$187)&gt;=$S96),$V96,$U96)))=Milestones!$AB$187),UPPER(TEXT(EDATE($D96,Milestones!$AA$187),"dd mmm yy"))&amp;" "&amp;Milestones!$AB$187&amp;" "&amp;Milestones!$AC$187&amp;";  ","")&amp;IF(AND(EDATE($D96,Milestones!$AA$188)&lt;=AsOfDate,IF($R96=0,$X96,IF(AND($T96&lt;&gt;"",EDATE($D96,Milestones!$AA$188)&gt;=$T96),$W96,IF(AND($S96&lt;&gt;"",EDATE($D96,Milestones!$AA$188)&gt;=$S96),$V96,$U96)))=Milestones!$AB$188),UPPER(TEXT(EDATE($D96,Milestones!$AA$188),"dd mmm yy"))&amp;" "&amp;Milestones!$AB$188&amp;" "&amp;Milestones!$AC$188&amp;";  ","")&amp;IF(AND(EDATE($D96,Milestones!$AA$189)&lt;=AsOfDate,IF($R96=0,$X96,IF(AND($T96&lt;&gt;"",EDATE($D96,Milestones!$AA$189)&gt;=$T96),$W96,IF(AND($S96&lt;&gt;"",EDATE($D96,Milestones!$AA$189)&gt;=$S96),$V96,$U96)))=Milestones!$AB$189),UPPER(TEXT(EDATE($D96,Milestones!$AA$189),"dd mmm yy"))&amp;" "&amp;Milestones!$AB$189&amp;" "&amp;Milestones!$AC$189&amp;";  ","")&amp;IF(AND(EDATE($D96,Milestones!$AA$190)&lt;=AsOfDate,IF($R96=0,$X96,IF(AND($T96&lt;&gt;"",EDATE($D96,Milestones!$AA$190)&gt;=$T96),$W96,IF(AND($S96&lt;&gt;"",EDATE($D96,Milestones!$AA$190)&gt;=$S96),$V96,$U96)))=Milestones!$AB$190),UPPER(TEXT(EDATE($D96,Milestones!$AA$190),"dd mmm yy"))&amp;" "&amp;Milestones!$AB$190&amp;" "&amp;Milestones!$AC$190&amp;";  ","")&amp;IF(AND(EDATE($D96,Milestones!$AA$191)&lt;=AsOfDate,IF($R96=0,$X96,IF(AND($T96&lt;&gt;"",EDATE($D96,Milestones!$AA$191)&gt;=$T96),$W96,IF(AND($S96&lt;&gt;"",EDATE($D96,Milestones!$AA$191)&gt;=$S96),$V96,$U96)))=Milestones!$AB$191),UPPER(TEXT(EDATE($D96,Milestones!$AA$191),"dd mmm yy"))&amp;" "&amp;Milestones!$AB$191&amp;" "&amp;Milestones!$AC$191&amp;";  ","")&amp;IF(AND(EDATE($D96,Milestones!$AA$192)&lt;=AsOfDate,IF($R96=0,$X96,IF(AND($T96&lt;&gt;"",EDATE($D96,Milestones!$AA$192)&gt;=$T96),$W96,IF(AND($S96&lt;&gt;"",EDATE($D96,Milestones!$AA$192)&gt;=$S96),$V96,$U96)))=Milestones!$AB$192),UPPER(TEXT(EDATE($D96,Milestones!$AA$192),"dd mmm yy"))&amp;" "&amp;Milestones!$AB$192&amp;" "&amp;Milestones!$AC$192&amp;";  ","")&amp;IF(AND(EDATE($D96,Milestones!$AA$193)&lt;=AsOfDate,IF($R96=0,$X96,IF(AND($T96&lt;&gt;"",EDATE($D96,Milestones!$AA$193)&gt;=$T96),$W96,IF(AND($S96&lt;&gt;"",EDATE($D96,Milestones!$AA$193)&gt;=$S96),$V96,$U96)))=Milestones!$AB$193),UPPER(TEXT(EDATE($D96,Milestones!$AA$193),"dd mmm yy"))&amp;" "&amp;Milestones!$AB$193&amp;" "&amp;Milestones!$AC$193&amp;";  ","")&amp;IF(AND(EDATE($D96,Milestones!$AA$194)&lt;=AsOfDate,IF($R96=0,$X96,IF(AND($T96&lt;&gt;"",EDATE($D96,Milestones!$AA$194)&gt;=$T96),$W96,IF(AND($S96&lt;&gt;"",EDATE($D96,Milestones!$AA$194)&gt;=$S96),$V96,$U96)))=Milestones!$AB$194),UPPER(TEXT(EDATE($D96,Milestones!$AA$194),"dd mmm yy"))&amp;" "&amp;Milestones!$AB$194&amp;" "&amp;Milestones!$AC$194&amp;";  ","")&amp;IF(AND(EDATE($D96,Milestones!$AA$195)&lt;=AsOfDate,IF($R96=0,$X96,IF(AND($T96&lt;&gt;"",EDATE($D96,Milestones!$AA$195)&gt;=$T96),$W96,IF(AND($S96&lt;&gt;"",EDATE($D96,Milestones!$AA$195)&gt;=$S96),$V96,$U96)))=Milestones!$AB$195),UPPER(TEXT(EDATE($D96,Milestones!$AA$195),"dd mmm yy"))&amp;" "&amp;Milestones!$AB$195&amp;" "&amp;Milestones!$AC$195&amp;";  ","")&amp;IF(AND(EDATE($D96,Milestones!$AA$196)&lt;=AsOfDate,IF($R96=0,$X96,IF(AND($T96&lt;&gt;"",EDATE($D96,Milestones!$AA$196)&gt;=$T96),$W96,IF(AND($S96&lt;&gt;"",EDATE($D96,Milestones!$AA$196)&gt;=$S96),$V96,$U96)))=Milestones!$AB$196),UPPER(TEXT(EDATE($D96,Milestones!$AA$196),"dd mmm yy"))&amp;" "&amp;Milestones!$AB$196&amp;" "&amp;Milestones!$AC$196&amp;";  ","")&amp;IF(AND(EDATE($D96,Milestones!$AA$197)&lt;=AsOfDate,IF($R96=0,$X96,IF(AND($T96&lt;&gt;"",EDATE($D96,Milestones!$AA$197)&gt;=$T96),$W96,IF(AND($S96&lt;&gt;"",EDATE($D96,Milestones!$AA$197)&gt;=$S96),$V96,$U96)))=Milestones!$AB$197),UPPER(TEXT(EDATE($D96,Milestones!$AA$197),"dd mmm yy"))&amp;" "&amp;Milestones!$AB$197&amp;" "&amp;Milestones!$AC$197&amp;";  ","")&amp;IF(AND(EDATE($D96,Milestones!$AA$198)&lt;=AsOfDate,IF($R96=0,$X96,IF(AND($T96&lt;&gt;"",EDATE($D96,Milestones!$AA$198)&gt;=$T96),$W96,IF(AND($S96&lt;&gt;"",EDATE($D96,Milestones!$AA$198)&gt;=$S96),$V96,$U96)))=Milestones!$AB$198),UPPER(TEXT(EDATE($D96,Milestones!$AA$198),"dd mmm yy"))&amp;" "&amp;Milestones!$AB$198&amp;" "&amp;Milestones!$AC$198&amp;";  ","")&amp;IF(AND(EDATE($D96,Milestones!$AA$199)&lt;=AsOfDate,IF($R96=0,$X96,IF(AND($T96&lt;&gt;"",EDATE($D96,Milestones!$AA$199)&gt;=$T96),$W96,IF(AND($S96&lt;&gt;"",EDATE($D96,Milestones!$AA$199)&gt;=$S96),$V96,$U96)))=Milestones!$AB$199),UPPER(TEXT(EDATE($D96,Milestones!$AA$199),"dd mmm yy"))&amp;" "&amp;Milestones!$AB$199&amp;" "&amp;Milestones!$AC$199&amp;";  ",""))</f>
        <v/>
      </c>
      <c r="R96" s="0" t="str">
        <f aca="false">IF(Staff!$A96="","",Staff!$AI96)</f>
        <v/>
      </c>
      <c r="S96" s="0" t="str">
        <f aca="false">IF(Staff!$A96="","",Staff!$AK96)</f>
        <v/>
      </c>
      <c r="T96" s="0" t="str">
        <f aca="false">IF(Staff!$A96="","",Staff!$AL96)</f>
        <v/>
      </c>
      <c r="U96" s="0" t="str">
        <f aca="false">IF(Staff!$A96="","",Staff!$AP96)</f>
        <v/>
      </c>
      <c r="V96" s="0" t="str">
        <f aca="false">IF(Staff!$A96="","",Staff!$AQ96)</f>
        <v/>
      </c>
      <c r="W96" s="0" t="str">
        <f aca="false">IF(Staff!$A96="","",Staff!$AR96)</f>
        <v/>
      </c>
      <c r="X96" s="0" t="str">
        <f aca="false">IF(Staff!$A96="","",Staff!$AS96)</f>
        <v/>
      </c>
    </row>
    <row r="97" customFormat="false" ht="15" hidden="false" customHeight="false" outlineLevel="0" collapsed="false">
      <c r="A97" s="14" t="str">
        <f aca="false">IF(Staff!$A97="","",Staff!$A97)</f>
        <v/>
      </c>
      <c r="B97" s="14" t="str">
        <f aca="false">IF(Staff!$A97="","",Staff!$B97)</f>
        <v/>
      </c>
      <c r="C97" s="14" t="str">
        <f aca="false">IF(Staff!$A97="","",Staff!$C97)</f>
        <v/>
      </c>
      <c r="D97" s="12" t="str">
        <f aca="false">IF(Staff!$A97="","",Staff!$AH97)</f>
        <v/>
      </c>
      <c r="E97" s="14" t="str">
        <f aca="false">IF(Staff!$A97="","",Staff!$O97)</f>
        <v/>
      </c>
      <c r="F97" s="14" t="str">
        <f aca="false">IF(E97="","",E97*HoursPerDay)</f>
        <v/>
      </c>
      <c r="G97" s="14" t="str">
        <f aca="false">IF(Staff!$A97="","",Staff!$AE97)</f>
        <v/>
      </c>
      <c r="H97" s="26" t="str">
        <f aca="false">IF($A97="","",I97&amp;J97&amp;K97&amp;L97&amp;M97&amp;N97&amp;O97&amp;P97&amp;Q97)</f>
        <v/>
      </c>
      <c r="I97" s="0" t="str">
        <f aca="false">IF(OR($A97="",$D97=""),"",IF(AND(EDATE($D97,Milestones!$AA$20)&lt;=AsOfDate,IF($R97=0,$X97,IF(AND($T97&lt;&gt;"",EDATE($D97,Milestones!$AA$20)&gt;=$T97),$W97,IF(AND($S97&lt;&gt;"",EDATE($D97,Milestones!$AA$20)&gt;=$S97),$V97,$U97)))=Milestones!$AB$20),UPPER(TEXT(EDATE($D97,Milestones!$AA$20),"dd mmm yy"))&amp;" "&amp;Milestones!$AB$20&amp;" "&amp;Milestones!$AC$20&amp;";  ","")&amp;IF(AND(EDATE($D97,Milestones!$AA$21)&lt;=AsOfDate,IF($R97=0,$X97,IF(AND($T97&lt;&gt;"",EDATE($D97,Milestones!$AA$21)&gt;=$T97),$W97,IF(AND($S97&lt;&gt;"",EDATE($D97,Milestones!$AA$21)&gt;=$S97),$V97,$U97)))=Milestones!$AB$21),UPPER(TEXT(EDATE($D97,Milestones!$AA$21),"dd mmm yy"))&amp;" "&amp;Milestones!$AB$21&amp;" "&amp;Milestones!$AC$21&amp;";  ","")&amp;IF(AND(EDATE($D97,Milestones!$AA$22)&lt;=AsOfDate,IF($R97=0,$X97,IF(AND($T97&lt;&gt;"",EDATE($D97,Milestones!$AA$22)&gt;=$T97),$W97,IF(AND($S97&lt;&gt;"",EDATE($D97,Milestones!$AA$22)&gt;=$S97),$V97,$U97)))=Milestones!$AB$22),UPPER(TEXT(EDATE($D97,Milestones!$AA$22),"dd mmm yy"))&amp;" "&amp;Milestones!$AB$22&amp;" "&amp;Milestones!$AC$22&amp;";  ","")&amp;IF(AND(EDATE($D97,Milestones!$AA$23)&lt;=AsOfDate,IF($R97=0,$X97,IF(AND($T97&lt;&gt;"",EDATE($D97,Milestones!$AA$23)&gt;=$T97),$W97,IF(AND($S97&lt;&gt;"",EDATE($D97,Milestones!$AA$23)&gt;=$S97),$V97,$U97)))=Milestones!$AB$23),UPPER(TEXT(EDATE($D97,Milestones!$AA$23),"dd mmm yy"))&amp;" "&amp;Milestones!$AB$23&amp;" "&amp;Milestones!$AC$23&amp;";  ","")&amp;IF(AND(EDATE($D97,Milestones!$AA$24)&lt;=AsOfDate,IF($R97=0,$X97,IF(AND($T97&lt;&gt;"",EDATE($D97,Milestones!$AA$24)&gt;=$T97),$W97,IF(AND($S97&lt;&gt;"",EDATE($D97,Milestones!$AA$24)&gt;=$S97),$V97,$U97)))=Milestones!$AB$24),UPPER(TEXT(EDATE($D97,Milestones!$AA$24),"dd mmm yy"))&amp;" "&amp;Milestones!$AB$24&amp;" "&amp;Milestones!$AC$24&amp;";  ","")&amp;IF(AND(EDATE($D97,Milestones!$AA$25)&lt;=AsOfDate,IF($R97=0,$X97,IF(AND($T97&lt;&gt;"",EDATE($D97,Milestones!$AA$25)&gt;=$T97),$W97,IF(AND($S97&lt;&gt;"",EDATE($D97,Milestones!$AA$25)&gt;=$S97),$V97,$U97)))=Milestones!$AB$25),UPPER(TEXT(EDATE($D97,Milestones!$AA$25),"dd mmm yy"))&amp;" "&amp;Milestones!$AB$25&amp;" "&amp;Milestones!$AC$25&amp;";  ","")&amp;IF(AND(EDATE($D97,Milestones!$AA$26)&lt;=AsOfDate,IF($R97=0,$X97,IF(AND($T97&lt;&gt;"",EDATE($D97,Milestones!$AA$26)&gt;=$T97),$W97,IF(AND($S97&lt;&gt;"",EDATE($D97,Milestones!$AA$26)&gt;=$S97),$V97,$U97)))=Milestones!$AB$26),UPPER(TEXT(EDATE($D97,Milestones!$AA$26),"dd mmm yy"))&amp;" "&amp;Milestones!$AB$26&amp;" "&amp;Milestones!$AC$26&amp;";  ","")&amp;IF(AND(EDATE($D97,Milestones!$AA$27)&lt;=AsOfDate,IF($R97=0,$X97,IF(AND($T97&lt;&gt;"",EDATE($D97,Milestones!$AA$27)&gt;=$T97),$W97,IF(AND($S97&lt;&gt;"",EDATE($D97,Milestones!$AA$27)&gt;=$S97),$V97,$U97)))=Milestones!$AB$27),UPPER(TEXT(EDATE($D97,Milestones!$AA$27),"dd mmm yy"))&amp;" "&amp;Milestones!$AB$27&amp;" "&amp;Milestones!$AC$27&amp;";  ","")&amp;IF(AND(EDATE($D97,Milestones!$AA$28)&lt;=AsOfDate,IF($R97=0,$X97,IF(AND($T97&lt;&gt;"",EDATE($D97,Milestones!$AA$28)&gt;=$T97),$W97,IF(AND($S97&lt;&gt;"",EDATE($D97,Milestones!$AA$28)&gt;=$S97),$V97,$U97)))=Milestones!$AB$28),UPPER(TEXT(EDATE($D97,Milestones!$AA$28),"dd mmm yy"))&amp;" "&amp;Milestones!$AB$28&amp;" "&amp;Milestones!$AC$28&amp;";  ","")&amp;IF(AND(EDATE($D97,Milestones!$AA$29)&lt;=AsOfDate,IF($R97=0,$X97,IF(AND($T97&lt;&gt;"",EDATE($D97,Milestones!$AA$29)&gt;=$T97),$W97,IF(AND($S97&lt;&gt;"",EDATE($D97,Milestones!$AA$29)&gt;=$S97),$V97,$U97)))=Milestones!$AB$29),UPPER(TEXT(EDATE($D97,Milestones!$AA$29),"dd mmm yy"))&amp;" "&amp;Milestones!$AB$29&amp;" "&amp;Milestones!$AC$29&amp;";  ","")&amp;IF(AND(EDATE($D97,Milestones!$AA$30)&lt;=AsOfDate,IF($R97=0,$X97,IF(AND($T97&lt;&gt;"",EDATE($D97,Milestones!$AA$30)&gt;=$T97),$W97,IF(AND($S97&lt;&gt;"",EDATE($D97,Milestones!$AA$30)&gt;=$S97),$V97,$U97)))=Milestones!$AB$30),UPPER(TEXT(EDATE($D97,Milestones!$AA$30),"dd mmm yy"))&amp;" "&amp;Milestones!$AB$30&amp;" "&amp;Milestones!$AC$30&amp;";  ","")&amp;IF(AND(EDATE($D97,Milestones!$AA$31)&lt;=AsOfDate,IF($R97=0,$X97,IF(AND($T97&lt;&gt;"",EDATE($D97,Milestones!$AA$31)&gt;=$T97),$W97,IF(AND($S97&lt;&gt;"",EDATE($D97,Milestones!$AA$31)&gt;=$S97),$V97,$U97)))=Milestones!$AB$31),UPPER(TEXT(EDATE($D97,Milestones!$AA$31),"dd mmm yy"))&amp;" "&amp;Milestones!$AB$31&amp;" "&amp;Milestones!$AC$31&amp;";  ","")&amp;IF(AND(EDATE($D97,Milestones!$AA$32)&lt;=AsOfDate,IF($R97=0,$X97,IF(AND($T97&lt;&gt;"",EDATE($D97,Milestones!$AA$32)&gt;=$T97),$W97,IF(AND($S97&lt;&gt;"",EDATE($D97,Milestones!$AA$32)&gt;=$S97),$V97,$U97)))=Milestones!$AB$32),UPPER(TEXT(EDATE($D97,Milestones!$AA$32),"dd mmm yy"))&amp;" "&amp;Milestones!$AB$32&amp;" "&amp;Milestones!$AC$32&amp;";  ","")&amp;IF(AND(EDATE($D97,Milestones!$AA$33)&lt;=AsOfDate,IF($R97=0,$X97,IF(AND($T97&lt;&gt;"",EDATE($D97,Milestones!$AA$33)&gt;=$T97),$W97,IF(AND($S97&lt;&gt;"",EDATE($D97,Milestones!$AA$33)&gt;=$S97),$V97,$U97)))=Milestones!$AB$33),UPPER(TEXT(EDATE($D97,Milestones!$AA$33),"dd mmm yy"))&amp;" "&amp;Milestones!$AB$33&amp;" "&amp;Milestones!$AC$33&amp;";  ","")&amp;IF(AND(EDATE($D97,Milestones!$AA$34)&lt;=AsOfDate,IF($R97=0,$X97,IF(AND($T97&lt;&gt;"",EDATE($D97,Milestones!$AA$34)&gt;=$T97),$W97,IF(AND($S97&lt;&gt;"",EDATE($D97,Milestones!$AA$34)&gt;=$S97),$V97,$U97)))=Milestones!$AB$34),UPPER(TEXT(EDATE($D97,Milestones!$AA$34),"dd mmm yy"))&amp;" "&amp;Milestones!$AB$34&amp;" "&amp;Milestones!$AC$34&amp;";  ","")&amp;IF(AND(EDATE($D97,Milestones!$AA$35)&lt;=AsOfDate,IF($R97=0,$X97,IF(AND($T97&lt;&gt;"",EDATE($D97,Milestones!$AA$35)&gt;=$T97),$W97,IF(AND($S97&lt;&gt;"",EDATE($D97,Milestones!$AA$35)&gt;=$S97),$V97,$U97)))=Milestones!$AB$35),UPPER(TEXT(EDATE($D97,Milestones!$AA$35),"dd mmm yy"))&amp;" "&amp;Milestones!$AB$35&amp;" "&amp;Milestones!$AC$35&amp;";  ","")&amp;IF(AND(EDATE($D97,Milestones!$AA$36)&lt;=AsOfDate,IF($R97=0,$X97,IF(AND($T97&lt;&gt;"",EDATE($D97,Milestones!$AA$36)&gt;=$T97),$W97,IF(AND($S97&lt;&gt;"",EDATE($D97,Milestones!$AA$36)&gt;=$S97),$V97,$U97)))=Milestones!$AB$36),UPPER(TEXT(EDATE($D97,Milestones!$AA$36),"dd mmm yy"))&amp;" "&amp;Milestones!$AB$36&amp;" "&amp;Milestones!$AC$36&amp;";  ","")&amp;IF(AND(EDATE($D97,Milestones!$AA$37)&lt;=AsOfDate,IF($R97=0,$X97,IF(AND($T97&lt;&gt;"",EDATE($D97,Milestones!$AA$37)&gt;=$T97),$W97,IF(AND($S97&lt;&gt;"",EDATE($D97,Milestones!$AA$37)&gt;=$S97),$V97,$U97)))=Milestones!$AB$37),UPPER(TEXT(EDATE($D97,Milestones!$AA$37),"dd mmm yy"))&amp;" "&amp;Milestones!$AB$37&amp;" "&amp;Milestones!$AC$37&amp;";  ","")&amp;IF(AND(EDATE($D97,Milestones!$AA$38)&lt;=AsOfDate,IF($R97=0,$X97,IF(AND($T97&lt;&gt;"",EDATE($D97,Milestones!$AA$38)&gt;=$T97),$W97,IF(AND($S97&lt;&gt;"",EDATE($D97,Milestones!$AA$38)&gt;=$S97),$V97,$U97)))=Milestones!$AB$38),UPPER(TEXT(EDATE($D97,Milestones!$AA$38),"dd mmm yy"))&amp;" "&amp;Milestones!$AB$38&amp;" "&amp;Milestones!$AC$38&amp;";  ","")&amp;IF(AND(EDATE($D97,Milestones!$AA$39)&lt;=AsOfDate,IF($R97=0,$X97,IF(AND($T97&lt;&gt;"",EDATE($D97,Milestones!$AA$39)&gt;=$T97),$W97,IF(AND($S97&lt;&gt;"",EDATE($D97,Milestones!$AA$39)&gt;=$S97),$V97,$U97)))=Milestones!$AB$39),UPPER(TEXT(EDATE($D97,Milestones!$AA$39),"dd mmm yy"))&amp;" "&amp;Milestones!$AB$39&amp;" "&amp;Milestones!$AC$39&amp;";  ",""))</f>
        <v/>
      </c>
      <c r="J97" s="0" t="str">
        <f aca="false">IF(OR($A97="",$D97=""),"",IF(AND(EDATE($D97,Milestones!$AA$40)&lt;=AsOfDate,IF($R97=0,$X97,IF(AND($T97&lt;&gt;"",EDATE($D97,Milestones!$AA$40)&gt;=$T97),$W97,IF(AND($S97&lt;&gt;"",EDATE($D97,Milestones!$AA$40)&gt;=$S97),$V97,$U97)))=Milestones!$AB$40),UPPER(TEXT(EDATE($D97,Milestones!$AA$40),"dd mmm yy"))&amp;" "&amp;Milestones!$AB$40&amp;" "&amp;Milestones!$AC$40&amp;";  ","")&amp;IF(AND(EDATE($D97,Milestones!$AA$41)&lt;=AsOfDate,IF($R97=0,$X97,IF(AND($T97&lt;&gt;"",EDATE($D97,Milestones!$AA$41)&gt;=$T97),$W97,IF(AND($S97&lt;&gt;"",EDATE($D97,Milestones!$AA$41)&gt;=$S97),$V97,$U97)))=Milestones!$AB$41),UPPER(TEXT(EDATE($D97,Milestones!$AA$41),"dd mmm yy"))&amp;" "&amp;Milestones!$AB$41&amp;" "&amp;Milestones!$AC$41&amp;";  ","")&amp;IF(AND(EDATE($D97,Milestones!$AA$42)&lt;=AsOfDate,IF($R97=0,$X97,IF(AND($T97&lt;&gt;"",EDATE($D97,Milestones!$AA$42)&gt;=$T97),$W97,IF(AND($S97&lt;&gt;"",EDATE($D97,Milestones!$AA$42)&gt;=$S97),$V97,$U97)))=Milestones!$AB$42),UPPER(TEXT(EDATE($D97,Milestones!$AA$42),"dd mmm yy"))&amp;" "&amp;Milestones!$AB$42&amp;" "&amp;Milestones!$AC$42&amp;";  ","")&amp;IF(AND(EDATE($D97,Milestones!$AA$43)&lt;=AsOfDate,IF($R97=0,$X97,IF(AND($T97&lt;&gt;"",EDATE($D97,Milestones!$AA$43)&gt;=$T97),$W97,IF(AND($S97&lt;&gt;"",EDATE($D97,Milestones!$AA$43)&gt;=$S97),$V97,$U97)))=Milestones!$AB$43),UPPER(TEXT(EDATE($D97,Milestones!$AA$43),"dd mmm yy"))&amp;" "&amp;Milestones!$AB$43&amp;" "&amp;Milestones!$AC$43&amp;";  ","")&amp;IF(AND(EDATE($D97,Milestones!$AA$44)&lt;=AsOfDate,IF($R97=0,$X97,IF(AND($T97&lt;&gt;"",EDATE($D97,Milestones!$AA$44)&gt;=$T97),$W97,IF(AND($S97&lt;&gt;"",EDATE($D97,Milestones!$AA$44)&gt;=$S97),$V97,$U97)))=Milestones!$AB$44),UPPER(TEXT(EDATE($D97,Milestones!$AA$44),"dd mmm yy"))&amp;" "&amp;Milestones!$AB$44&amp;" "&amp;Milestones!$AC$44&amp;";  ","")&amp;IF(AND(EDATE($D97,Milestones!$AA$45)&lt;=AsOfDate,IF($R97=0,$X97,IF(AND($T97&lt;&gt;"",EDATE($D97,Milestones!$AA$45)&gt;=$T97),$W97,IF(AND($S97&lt;&gt;"",EDATE($D97,Milestones!$AA$45)&gt;=$S97),$V97,$U97)))=Milestones!$AB$45),UPPER(TEXT(EDATE($D97,Milestones!$AA$45),"dd mmm yy"))&amp;" "&amp;Milestones!$AB$45&amp;" "&amp;Milestones!$AC$45&amp;";  ","")&amp;IF(AND(EDATE($D97,Milestones!$AA$46)&lt;=AsOfDate,IF($R97=0,$X97,IF(AND($T97&lt;&gt;"",EDATE($D97,Milestones!$AA$46)&gt;=$T97),$W97,IF(AND($S97&lt;&gt;"",EDATE($D97,Milestones!$AA$46)&gt;=$S97),$V97,$U97)))=Milestones!$AB$46),UPPER(TEXT(EDATE($D97,Milestones!$AA$46),"dd mmm yy"))&amp;" "&amp;Milestones!$AB$46&amp;" "&amp;Milestones!$AC$46&amp;";  ","")&amp;IF(AND(EDATE($D97,Milestones!$AA$47)&lt;=AsOfDate,IF($R97=0,$X97,IF(AND($T97&lt;&gt;"",EDATE($D97,Milestones!$AA$47)&gt;=$T97),$W97,IF(AND($S97&lt;&gt;"",EDATE($D97,Milestones!$AA$47)&gt;=$S97),$V97,$U97)))=Milestones!$AB$47),UPPER(TEXT(EDATE($D97,Milestones!$AA$47),"dd mmm yy"))&amp;" "&amp;Milestones!$AB$47&amp;" "&amp;Milestones!$AC$47&amp;";  ","")&amp;IF(AND(EDATE($D97,Milestones!$AA$48)&lt;=AsOfDate,IF($R97=0,$X97,IF(AND($T97&lt;&gt;"",EDATE($D97,Milestones!$AA$48)&gt;=$T97),$W97,IF(AND($S97&lt;&gt;"",EDATE($D97,Milestones!$AA$48)&gt;=$S97),$V97,$U97)))=Milestones!$AB$48),UPPER(TEXT(EDATE($D97,Milestones!$AA$48),"dd mmm yy"))&amp;" "&amp;Milestones!$AB$48&amp;" "&amp;Milestones!$AC$48&amp;";  ","")&amp;IF(AND(EDATE($D97,Milestones!$AA$49)&lt;=AsOfDate,IF($R97=0,$X97,IF(AND($T97&lt;&gt;"",EDATE($D97,Milestones!$AA$49)&gt;=$T97),$W97,IF(AND($S97&lt;&gt;"",EDATE($D97,Milestones!$AA$49)&gt;=$S97),$V97,$U97)))=Milestones!$AB$49),UPPER(TEXT(EDATE($D97,Milestones!$AA$49),"dd mmm yy"))&amp;" "&amp;Milestones!$AB$49&amp;" "&amp;Milestones!$AC$49&amp;";  ","")&amp;IF(AND(EDATE($D97,Milestones!$AA$50)&lt;=AsOfDate,IF($R97=0,$X97,IF(AND($T97&lt;&gt;"",EDATE($D97,Milestones!$AA$50)&gt;=$T97),$W97,IF(AND($S97&lt;&gt;"",EDATE($D97,Milestones!$AA$50)&gt;=$S97),$V97,$U97)))=Milestones!$AB$50),UPPER(TEXT(EDATE($D97,Milestones!$AA$50),"dd mmm yy"))&amp;" "&amp;Milestones!$AB$50&amp;" "&amp;Milestones!$AC$50&amp;";  ","")&amp;IF(AND(EDATE($D97,Milestones!$AA$51)&lt;=AsOfDate,IF($R97=0,$X97,IF(AND($T97&lt;&gt;"",EDATE($D97,Milestones!$AA$51)&gt;=$T97),$W97,IF(AND($S97&lt;&gt;"",EDATE($D97,Milestones!$AA$51)&gt;=$S97),$V97,$U97)))=Milestones!$AB$51),UPPER(TEXT(EDATE($D97,Milestones!$AA$51),"dd mmm yy"))&amp;" "&amp;Milestones!$AB$51&amp;" "&amp;Milestones!$AC$51&amp;";  ","")&amp;IF(AND(EDATE($D97,Milestones!$AA$52)&lt;=AsOfDate,IF($R97=0,$X97,IF(AND($T97&lt;&gt;"",EDATE($D97,Milestones!$AA$52)&gt;=$T97),$W97,IF(AND($S97&lt;&gt;"",EDATE($D97,Milestones!$AA$52)&gt;=$S97),$V97,$U97)))=Milestones!$AB$52),UPPER(TEXT(EDATE($D97,Milestones!$AA$52),"dd mmm yy"))&amp;" "&amp;Milestones!$AB$52&amp;" "&amp;Milestones!$AC$52&amp;";  ","")&amp;IF(AND(EDATE($D97,Milestones!$AA$53)&lt;=AsOfDate,IF($R97=0,$X97,IF(AND($T97&lt;&gt;"",EDATE($D97,Milestones!$AA$53)&gt;=$T97),$W97,IF(AND($S97&lt;&gt;"",EDATE($D97,Milestones!$AA$53)&gt;=$S97),$V97,$U97)))=Milestones!$AB$53),UPPER(TEXT(EDATE($D97,Milestones!$AA$53),"dd mmm yy"))&amp;" "&amp;Milestones!$AB$53&amp;" "&amp;Milestones!$AC$53&amp;";  ","")&amp;IF(AND(EDATE($D97,Milestones!$AA$54)&lt;=AsOfDate,IF($R97=0,$X97,IF(AND($T97&lt;&gt;"",EDATE($D97,Milestones!$AA$54)&gt;=$T97),$W97,IF(AND($S97&lt;&gt;"",EDATE($D97,Milestones!$AA$54)&gt;=$S97),$V97,$U97)))=Milestones!$AB$54),UPPER(TEXT(EDATE($D97,Milestones!$AA$54),"dd mmm yy"))&amp;" "&amp;Milestones!$AB$54&amp;" "&amp;Milestones!$AC$54&amp;";  ","")&amp;IF(AND(EDATE($D97,Milestones!$AA$55)&lt;=AsOfDate,IF($R97=0,$X97,IF(AND($T97&lt;&gt;"",EDATE($D97,Milestones!$AA$55)&gt;=$T97),$W97,IF(AND($S97&lt;&gt;"",EDATE($D97,Milestones!$AA$55)&gt;=$S97),$V97,$U97)))=Milestones!$AB$55),UPPER(TEXT(EDATE($D97,Milestones!$AA$55),"dd mmm yy"))&amp;" "&amp;Milestones!$AB$55&amp;" "&amp;Milestones!$AC$55&amp;";  ","")&amp;IF(AND(EDATE($D97,Milestones!$AA$56)&lt;=AsOfDate,IF($R97=0,$X97,IF(AND($T97&lt;&gt;"",EDATE($D97,Milestones!$AA$56)&gt;=$T97),$W97,IF(AND($S97&lt;&gt;"",EDATE($D97,Milestones!$AA$56)&gt;=$S97),$V97,$U97)))=Milestones!$AB$56),UPPER(TEXT(EDATE($D97,Milestones!$AA$56),"dd mmm yy"))&amp;" "&amp;Milestones!$AB$56&amp;" "&amp;Milestones!$AC$56&amp;";  ","")&amp;IF(AND(EDATE($D97,Milestones!$AA$57)&lt;=AsOfDate,IF($R97=0,$X97,IF(AND($T97&lt;&gt;"",EDATE($D97,Milestones!$AA$57)&gt;=$T97),$W97,IF(AND($S97&lt;&gt;"",EDATE($D97,Milestones!$AA$57)&gt;=$S97),$V97,$U97)))=Milestones!$AB$57),UPPER(TEXT(EDATE($D97,Milestones!$AA$57),"dd mmm yy"))&amp;" "&amp;Milestones!$AB$57&amp;" "&amp;Milestones!$AC$57&amp;";  ","")&amp;IF(AND(EDATE($D97,Milestones!$AA$58)&lt;=AsOfDate,IF($R97=0,$X97,IF(AND($T97&lt;&gt;"",EDATE($D97,Milestones!$AA$58)&gt;=$T97),$W97,IF(AND($S97&lt;&gt;"",EDATE($D97,Milestones!$AA$58)&gt;=$S97),$V97,$U97)))=Milestones!$AB$58),UPPER(TEXT(EDATE($D97,Milestones!$AA$58),"dd mmm yy"))&amp;" "&amp;Milestones!$AB$58&amp;" "&amp;Milestones!$AC$58&amp;";  ","")&amp;IF(AND(EDATE($D97,Milestones!$AA$59)&lt;=AsOfDate,IF($R97=0,$X97,IF(AND($T97&lt;&gt;"",EDATE($D97,Milestones!$AA$59)&gt;=$T97),$W97,IF(AND($S97&lt;&gt;"",EDATE($D97,Milestones!$AA$59)&gt;=$S97),$V97,$U97)))=Milestones!$AB$59),UPPER(TEXT(EDATE($D97,Milestones!$AA$59),"dd mmm yy"))&amp;" "&amp;Milestones!$AB$59&amp;" "&amp;Milestones!$AC$59&amp;";  ",""))</f>
        <v/>
      </c>
      <c r="K97" s="0" t="str">
        <f aca="false">IF(OR($A97="",$D97=""),"",IF(AND(EDATE($D97,Milestones!$AA$60)&lt;=AsOfDate,IF($R97=0,$X97,IF(AND($T97&lt;&gt;"",EDATE($D97,Milestones!$AA$60)&gt;=$T97),$W97,IF(AND($S97&lt;&gt;"",EDATE($D97,Milestones!$AA$60)&gt;=$S97),$V97,$U97)))=Milestones!$AB$60),UPPER(TEXT(EDATE($D97,Milestones!$AA$60),"dd mmm yy"))&amp;" "&amp;Milestones!$AB$60&amp;" "&amp;Milestones!$AC$60&amp;";  ","")&amp;IF(AND(EDATE($D97,Milestones!$AA$61)&lt;=AsOfDate,IF($R97=0,$X97,IF(AND($T97&lt;&gt;"",EDATE($D97,Milestones!$AA$61)&gt;=$T97),$W97,IF(AND($S97&lt;&gt;"",EDATE($D97,Milestones!$AA$61)&gt;=$S97),$V97,$U97)))=Milestones!$AB$61),UPPER(TEXT(EDATE($D97,Milestones!$AA$61),"dd mmm yy"))&amp;" "&amp;Milestones!$AB$61&amp;" "&amp;Milestones!$AC$61&amp;";  ","")&amp;IF(AND(EDATE($D97,Milestones!$AA$62)&lt;=AsOfDate,IF($R97=0,$X97,IF(AND($T97&lt;&gt;"",EDATE($D97,Milestones!$AA$62)&gt;=$T97),$W97,IF(AND($S97&lt;&gt;"",EDATE($D97,Milestones!$AA$62)&gt;=$S97),$V97,$U97)))=Milestones!$AB$62),UPPER(TEXT(EDATE($D97,Milestones!$AA$62),"dd mmm yy"))&amp;" "&amp;Milestones!$AB$62&amp;" "&amp;Milestones!$AC$62&amp;";  ","")&amp;IF(AND(EDATE($D97,Milestones!$AA$63)&lt;=AsOfDate,IF($R97=0,$X97,IF(AND($T97&lt;&gt;"",EDATE($D97,Milestones!$AA$63)&gt;=$T97),$W97,IF(AND($S97&lt;&gt;"",EDATE($D97,Milestones!$AA$63)&gt;=$S97),$V97,$U97)))=Milestones!$AB$63),UPPER(TEXT(EDATE($D97,Milestones!$AA$63),"dd mmm yy"))&amp;" "&amp;Milestones!$AB$63&amp;" "&amp;Milestones!$AC$63&amp;";  ","")&amp;IF(AND(EDATE($D97,Milestones!$AA$64)&lt;=AsOfDate,IF($R97=0,$X97,IF(AND($T97&lt;&gt;"",EDATE($D97,Milestones!$AA$64)&gt;=$T97),$W97,IF(AND($S97&lt;&gt;"",EDATE($D97,Milestones!$AA$64)&gt;=$S97),$V97,$U97)))=Milestones!$AB$64),UPPER(TEXT(EDATE($D97,Milestones!$AA$64),"dd mmm yy"))&amp;" "&amp;Milestones!$AB$64&amp;" "&amp;Milestones!$AC$64&amp;";  ","")&amp;IF(AND(EDATE($D97,Milestones!$AA$65)&lt;=AsOfDate,IF($R97=0,$X97,IF(AND($T97&lt;&gt;"",EDATE($D97,Milestones!$AA$65)&gt;=$T97),$W97,IF(AND($S97&lt;&gt;"",EDATE($D97,Milestones!$AA$65)&gt;=$S97),$V97,$U97)))=Milestones!$AB$65),UPPER(TEXT(EDATE($D97,Milestones!$AA$65),"dd mmm yy"))&amp;" "&amp;Milestones!$AB$65&amp;" "&amp;Milestones!$AC$65&amp;";  ","")&amp;IF(AND(EDATE($D97,Milestones!$AA$66)&lt;=AsOfDate,IF($R97=0,$X97,IF(AND($T97&lt;&gt;"",EDATE($D97,Milestones!$AA$66)&gt;=$T97),$W97,IF(AND($S97&lt;&gt;"",EDATE($D97,Milestones!$AA$66)&gt;=$S97),$V97,$U97)))=Milestones!$AB$66),UPPER(TEXT(EDATE($D97,Milestones!$AA$66),"dd mmm yy"))&amp;" "&amp;Milestones!$AB$66&amp;" "&amp;Milestones!$AC$66&amp;";  ","")&amp;IF(AND(EDATE($D97,Milestones!$AA$67)&lt;=AsOfDate,IF($R97=0,$X97,IF(AND($T97&lt;&gt;"",EDATE($D97,Milestones!$AA$67)&gt;=$T97),$W97,IF(AND($S97&lt;&gt;"",EDATE($D97,Milestones!$AA$67)&gt;=$S97),$V97,$U97)))=Milestones!$AB$67),UPPER(TEXT(EDATE($D97,Milestones!$AA$67),"dd mmm yy"))&amp;" "&amp;Milestones!$AB$67&amp;" "&amp;Milestones!$AC$67&amp;";  ","")&amp;IF(AND(EDATE($D97,Milestones!$AA$68)&lt;=AsOfDate,IF($R97=0,$X97,IF(AND($T97&lt;&gt;"",EDATE($D97,Milestones!$AA$68)&gt;=$T97),$W97,IF(AND($S97&lt;&gt;"",EDATE($D97,Milestones!$AA$68)&gt;=$S97),$V97,$U97)))=Milestones!$AB$68),UPPER(TEXT(EDATE($D97,Milestones!$AA$68),"dd mmm yy"))&amp;" "&amp;Milestones!$AB$68&amp;" "&amp;Milestones!$AC$68&amp;";  ","")&amp;IF(AND(EDATE($D97,Milestones!$AA$69)&lt;=AsOfDate,IF($R97=0,$X97,IF(AND($T97&lt;&gt;"",EDATE($D97,Milestones!$AA$69)&gt;=$T97),$W97,IF(AND($S97&lt;&gt;"",EDATE($D97,Milestones!$AA$69)&gt;=$S97),$V97,$U97)))=Milestones!$AB$69),UPPER(TEXT(EDATE($D97,Milestones!$AA$69),"dd mmm yy"))&amp;" "&amp;Milestones!$AB$69&amp;" "&amp;Milestones!$AC$69&amp;";  ","")&amp;IF(AND(EDATE($D97,Milestones!$AA$70)&lt;=AsOfDate,IF($R97=0,$X97,IF(AND($T97&lt;&gt;"",EDATE($D97,Milestones!$AA$70)&gt;=$T97),$W97,IF(AND($S97&lt;&gt;"",EDATE($D97,Milestones!$AA$70)&gt;=$S97),$V97,$U97)))=Milestones!$AB$70),UPPER(TEXT(EDATE($D97,Milestones!$AA$70),"dd mmm yy"))&amp;" "&amp;Milestones!$AB$70&amp;" "&amp;Milestones!$AC$70&amp;";  ","")&amp;IF(AND(EDATE($D97,Milestones!$AA$71)&lt;=AsOfDate,IF($R97=0,$X97,IF(AND($T97&lt;&gt;"",EDATE($D97,Milestones!$AA$71)&gt;=$T97),$W97,IF(AND($S97&lt;&gt;"",EDATE($D97,Milestones!$AA$71)&gt;=$S97),$V97,$U97)))=Milestones!$AB$71),UPPER(TEXT(EDATE($D97,Milestones!$AA$71),"dd mmm yy"))&amp;" "&amp;Milestones!$AB$71&amp;" "&amp;Milestones!$AC$71&amp;";  ","")&amp;IF(AND(EDATE($D97,Milestones!$AA$72)&lt;=AsOfDate,IF($R97=0,$X97,IF(AND($T97&lt;&gt;"",EDATE($D97,Milestones!$AA$72)&gt;=$T97),$W97,IF(AND($S97&lt;&gt;"",EDATE($D97,Milestones!$AA$72)&gt;=$S97),$V97,$U97)))=Milestones!$AB$72),UPPER(TEXT(EDATE($D97,Milestones!$AA$72),"dd mmm yy"))&amp;" "&amp;Milestones!$AB$72&amp;" "&amp;Milestones!$AC$72&amp;";  ","")&amp;IF(AND(EDATE($D97,Milestones!$AA$73)&lt;=AsOfDate,IF($R97=0,$X97,IF(AND($T97&lt;&gt;"",EDATE($D97,Milestones!$AA$73)&gt;=$T97),$W97,IF(AND($S97&lt;&gt;"",EDATE($D97,Milestones!$AA$73)&gt;=$S97),$V97,$U97)))=Milestones!$AB$73),UPPER(TEXT(EDATE($D97,Milestones!$AA$73),"dd mmm yy"))&amp;" "&amp;Milestones!$AB$73&amp;" "&amp;Milestones!$AC$73&amp;";  ","")&amp;IF(AND(EDATE($D97,Milestones!$AA$74)&lt;=AsOfDate,IF($R97=0,$X97,IF(AND($T97&lt;&gt;"",EDATE($D97,Milestones!$AA$74)&gt;=$T97),$W97,IF(AND($S97&lt;&gt;"",EDATE($D97,Milestones!$AA$74)&gt;=$S97),$V97,$U97)))=Milestones!$AB$74),UPPER(TEXT(EDATE($D97,Milestones!$AA$74),"dd mmm yy"))&amp;" "&amp;Milestones!$AB$74&amp;" "&amp;Milestones!$AC$74&amp;";  ","")&amp;IF(AND(EDATE($D97,Milestones!$AA$75)&lt;=AsOfDate,IF($R97=0,$X97,IF(AND($T97&lt;&gt;"",EDATE($D97,Milestones!$AA$75)&gt;=$T97),$W97,IF(AND($S97&lt;&gt;"",EDATE($D97,Milestones!$AA$75)&gt;=$S97),$V97,$U97)))=Milestones!$AB$75),UPPER(TEXT(EDATE($D97,Milestones!$AA$75),"dd mmm yy"))&amp;" "&amp;Milestones!$AB$75&amp;" "&amp;Milestones!$AC$75&amp;";  ","")&amp;IF(AND(EDATE($D97,Milestones!$AA$76)&lt;=AsOfDate,IF($R97=0,$X97,IF(AND($T97&lt;&gt;"",EDATE($D97,Milestones!$AA$76)&gt;=$T97),$W97,IF(AND($S97&lt;&gt;"",EDATE($D97,Milestones!$AA$76)&gt;=$S97),$V97,$U97)))=Milestones!$AB$76),UPPER(TEXT(EDATE($D97,Milestones!$AA$76),"dd mmm yy"))&amp;" "&amp;Milestones!$AB$76&amp;" "&amp;Milestones!$AC$76&amp;";  ","")&amp;IF(AND(EDATE($D97,Milestones!$AA$77)&lt;=AsOfDate,IF($R97=0,$X97,IF(AND($T97&lt;&gt;"",EDATE($D97,Milestones!$AA$77)&gt;=$T97),$W97,IF(AND($S97&lt;&gt;"",EDATE($D97,Milestones!$AA$77)&gt;=$S97),$V97,$U97)))=Milestones!$AB$77),UPPER(TEXT(EDATE($D97,Milestones!$AA$77),"dd mmm yy"))&amp;" "&amp;Milestones!$AB$77&amp;" "&amp;Milestones!$AC$77&amp;";  ","")&amp;IF(AND(EDATE($D97,Milestones!$AA$78)&lt;=AsOfDate,IF($R97=0,$X97,IF(AND($T97&lt;&gt;"",EDATE($D97,Milestones!$AA$78)&gt;=$T97),$W97,IF(AND($S97&lt;&gt;"",EDATE($D97,Milestones!$AA$78)&gt;=$S97),$V97,$U97)))=Milestones!$AB$78),UPPER(TEXT(EDATE($D97,Milestones!$AA$78),"dd mmm yy"))&amp;" "&amp;Milestones!$AB$78&amp;" "&amp;Milestones!$AC$78&amp;";  ","")&amp;IF(AND(EDATE($D97,Milestones!$AA$79)&lt;=AsOfDate,IF($R97=0,$X97,IF(AND($T97&lt;&gt;"",EDATE($D97,Milestones!$AA$79)&gt;=$T97),$W97,IF(AND($S97&lt;&gt;"",EDATE($D97,Milestones!$AA$79)&gt;=$S97),$V97,$U97)))=Milestones!$AB$79),UPPER(TEXT(EDATE($D97,Milestones!$AA$79),"dd mmm yy"))&amp;" "&amp;Milestones!$AB$79&amp;" "&amp;Milestones!$AC$79&amp;";  ",""))</f>
        <v/>
      </c>
      <c r="L97" s="0" t="str">
        <f aca="false">IF(OR($A97="",$D97=""),"",IF(AND(EDATE($D97,Milestones!$AA$80)&lt;=AsOfDate,IF($R97=0,$X97,IF(AND($T97&lt;&gt;"",EDATE($D97,Milestones!$AA$80)&gt;=$T97),$W97,IF(AND($S97&lt;&gt;"",EDATE($D97,Milestones!$AA$80)&gt;=$S97),$V97,$U97)))=Milestones!$AB$80),UPPER(TEXT(EDATE($D97,Milestones!$AA$80),"dd mmm yy"))&amp;" "&amp;Milestones!$AB$80&amp;" "&amp;Milestones!$AC$80&amp;";  ","")&amp;IF(AND(EDATE($D97,Milestones!$AA$81)&lt;=AsOfDate,IF($R97=0,$X97,IF(AND($T97&lt;&gt;"",EDATE($D97,Milestones!$AA$81)&gt;=$T97),$W97,IF(AND($S97&lt;&gt;"",EDATE($D97,Milestones!$AA$81)&gt;=$S97),$V97,$U97)))=Milestones!$AB$81),UPPER(TEXT(EDATE($D97,Milestones!$AA$81),"dd mmm yy"))&amp;" "&amp;Milestones!$AB$81&amp;" "&amp;Milestones!$AC$81&amp;";  ","")&amp;IF(AND(EDATE($D97,Milestones!$AA$82)&lt;=AsOfDate,IF($R97=0,$X97,IF(AND($T97&lt;&gt;"",EDATE($D97,Milestones!$AA$82)&gt;=$T97),$W97,IF(AND($S97&lt;&gt;"",EDATE($D97,Milestones!$AA$82)&gt;=$S97),$V97,$U97)))=Milestones!$AB$82),UPPER(TEXT(EDATE($D97,Milestones!$AA$82),"dd mmm yy"))&amp;" "&amp;Milestones!$AB$82&amp;" "&amp;Milestones!$AC$82&amp;";  ","")&amp;IF(AND(EDATE($D97,Milestones!$AA$83)&lt;=AsOfDate,IF($R97=0,$X97,IF(AND($T97&lt;&gt;"",EDATE($D97,Milestones!$AA$83)&gt;=$T97),$W97,IF(AND($S97&lt;&gt;"",EDATE($D97,Milestones!$AA$83)&gt;=$S97),$V97,$U97)))=Milestones!$AB$83),UPPER(TEXT(EDATE($D97,Milestones!$AA$83),"dd mmm yy"))&amp;" "&amp;Milestones!$AB$83&amp;" "&amp;Milestones!$AC$83&amp;";  ","")&amp;IF(AND(EDATE($D97,Milestones!$AA$84)&lt;=AsOfDate,IF($R97=0,$X97,IF(AND($T97&lt;&gt;"",EDATE($D97,Milestones!$AA$84)&gt;=$T97),$W97,IF(AND($S97&lt;&gt;"",EDATE($D97,Milestones!$AA$84)&gt;=$S97),$V97,$U97)))=Milestones!$AB$84),UPPER(TEXT(EDATE($D97,Milestones!$AA$84),"dd mmm yy"))&amp;" "&amp;Milestones!$AB$84&amp;" "&amp;Milestones!$AC$84&amp;";  ","")&amp;IF(AND(EDATE($D97,Milestones!$AA$85)&lt;=AsOfDate,IF($R97=0,$X97,IF(AND($T97&lt;&gt;"",EDATE($D97,Milestones!$AA$85)&gt;=$T97),$W97,IF(AND($S97&lt;&gt;"",EDATE($D97,Milestones!$AA$85)&gt;=$S97),$V97,$U97)))=Milestones!$AB$85),UPPER(TEXT(EDATE($D97,Milestones!$AA$85),"dd mmm yy"))&amp;" "&amp;Milestones!$AB$85&amp;" "&amp;Milestones!$AC$85&amp;";  ","")&amp;IF(AND(EDATE($D97,Milestones!$AA$86)&lt;=AsOfDate,IF($R97=0,$X97,IF(AND($T97&lt;&gt;"",EDATE($D97,Milestones!$AA$86)&gt;=$T97),$W97,IF(AND($S97&lt;&gt;"",EDATE($D97,Milestones!$AA$86)&gt;=$S97),$V97,$U97)))=Milestones!$AB$86),UPPER(TEXT(EDATE($D97,Milestones!$AA$86),"dd mmm yy"))&amp;" "&amp;Milestones!$AB$86&amp;" "&amp;Milestones!$AC$86&amp;";  ","")&amp;IF(AND(EDATE($D97,Milestones!$AA$87)&lt;=AsOfDate,IF($R97=0,$X97,IF(AND($T97&lt;&gt;"",EDATE($D97,Milestones!$AA$87)&gt;=$T97),$W97,IF(AND($S97&lt;&gt;"",EDATE($D97,Milestones!$AA$87)&gt;=$S97),$V97,$U97)))=Milestones!$AB$87),UPPER(TEXT(EDATE($D97,Milestones!$AA$87),"dd mmm yy"))&amp;" "&amp;Milestones!$AB$87&amp;" "&amp;Milestones!$AC$87&amp;";  ","")&amp;IF(AND(EDATE($D97,Milestones!$AA$88)&lt;=AsOfDate,IF($R97=0,$X97,IF(AND($T97&lt;&gt;"",EDATE($D97,Milestones!$AA$88)&gt;=$T97),$W97,IF(AND($S97&lt;&gt;"",EDATE($D97,Milestones!$AA$88)&gt;=$S97),$V97,$U97)))=Milestones!$AB$88),UPPER(TEXT(EDATE($D97,Milestones!$AA$88),"dd mmm yy"))&amp;" "&amp;Milestones!$AB$88&amp;" "&amp;Milestones!$AC$88&amp;";  ","")&amp;IF(AND(EDATE($D97,Milestones!$AA$89)&lt;=AsOfDate,IF($R97=0,$X97,IF(AND($T97&lt;&gt;"",EDATE($D97,Milestones!$AA$89)&gt;=$T97),$W97,IF(AND($S97&lt;&gt;"",EDATE($D97,Milestones!$AA$89)&gt;=$S97),$V97,$U97)))=Milestones!$AB$89),UPPER(TEXT(EDATE($D97,Milestones!$AA$89),"dd mmm yy"))&amp;" "&amp;Milestones!$AB$89&amp;" "&amp;Milestones!$AC$89&amp;";  ","")&amp;IF(AND(EDATE($D97,Milestones!$AA$90)&lt;=AsOfDate,IF($R97=0,$X97,IF(AND($T97&lt;&gt;"",EDATE($D97,Milestones!$AA$90)&gt;=$T97),$W97,IF(AND($S97&lt;&gt;"",EDATE($D97,Milestones!$AA$90)&gt;=$S97),$V97,$U97)))=Milestones!$AB$90),UPPER(TEXT(EDATE($D97,Milestones!$AA$90),"dd mmm yy"))&amp;" "&amp;Milestones!$AB$90&amp;" "&amp;Milestones!$AC$90&amp;";  ","")&amp;IF(AND(EDATE($D97,Milestones!$AA$91)&lt;=AsOfDate,IF($R97=0,$X97,IF(AND($T97&lt;&gt;"",EDATE($D97,Milestones!$AA$91)&gt;=$T97),$W97,IF(AND($S97&lt;&gt;"",EDATE($D97,Milestones!$AA$91)&gt;=$S97),$V97,$U97)))=Milestones!$AB$91),UPPER(TEXT(EDATE($D97,Milestones!$AA$91),"dd mmm yy"))&amp;" "&amp;Milestones!$AB$91&amp;" "&amp;Milestones!$AC$91&amp;";  ","")&amp;IF(AND(EDATE($D97,Milestones!$AA$92)&lt;=AsOfDate,IF($R97=0,$X97,IF(AND($T97&lt;&gt;"",EDATE($D97,Milestones!$AA$92)&gt;=$T97),$W97,IF(AND($S97&lt;&gt;"",EDATE($D97,Milestones!$AA$92)&gt;=$S97),$V97,$U97)))=Milestones!$AB$92),UPPER(TEXT(EDATE($D97,Milestones!$AA$92),"dd mmm yy"))&amp;" "&amp;Milestones!$AB$92&amp;" "&amp;Milestones!$AC$92&amp;";  ","")&amp;IF(AND(EDATE($D97,Milestones!$AA$93)&lt;=AsOfDate,IF($R97=0,$X97,IF(AND($T97&lt;&gt;"",EDATE($D97,Milestones!$AA$93)&gt;=$T97),$W97,IF(AND($S97&lt;&gt;"",EDATE($D97,Milestones!$AA$93)&gt;=$S97),$V97,$U97)))=Milestones!$AB$93),UPPER(TEXT(EDATE($D97,Milestones!$AA$93),"dd mmm yy"))&amp;" "&amp;Milestones!$AB$93&amp;" "&amp;Milestones!$AC$93&amp;";  ","")&amp;IF(AND(EDATE($D97,Milestones!$AA$94)&lt;=AsOfDate,IF($R97=0,$X97,IF(AND($T97&lt;&gt;"",EDATE($D97,Milestones!$AA$94)&gt;=$T97),$W97,IF(AND($S97&lt;&gt;"",EDATE($D97,Milestones!$AA$94)&gt;=$S97),$V97,$U97)))=Milestones!$AB$94),UPPER(TEXT(EDATE($D97,Milestones!$AA$94),"dd mmm yy"))&amp;" "&amp;Milestones!$AB$94&amp;" "&amp;Milestones!$AC$94&amp;";  ","")&amp;IF(AND(EDATE($D97,Milestones!$AA$95)&lt;=AsOfDate,IF($R97=0,$X97,IF(AND($T97&lt;&gt;"",EDATE($D97,Milestones!$AA$95)&gt;=$T97),$W97,IF(AND($S97&lt;&gt;"",EDATE($D97,Milestones!$AA$95)&gt;=$S97),$V97,$U97)))=Milestones!$AB$95),UPPER(TEXT(EDATE($D97,Milestones!$AA$95),"dd mmm yy"))&amp;" "&amp;Milestones!$AB$95&amp;" "&amp;Milestones!$AC$95&amp;";  ","")&amp;IF(AND(EDATE($D97,Milestones!$AA$96)&lt;=AsOfDate,IF($R97=0,$X97,IF(AND($T97&lt;&gt;"",EDATE($D97,Milestones!$AA$96)&gt;=$T97),$W97,IF(AND($S97&lt;&gt;"",EDATE($D97,Milestones!$AA$96)&gt;=$S97),$V97,$U97)))=Milestones!$AB$96),UPPER(TEXT(EDATE($D97,Milestones!$AA$96),"dd mmm yy"))&amp;" "&amp;Milestones!$AB$96&amp;" "&amp;Milestones!$AC$96&amp;";  ","")&amp;IF(AND(EDATE($D97,Milestones!$AA$97)&lt;=AsOfDate,IF($R97=0,$X97,IF(AND($T97&lt;&gt;"",EDATE($D97,Milestones!$AA$97)&gt;=$T97),$W97,IF(AND($S97&lt;&gt;"",EDATE($D97,Milestones!$AA$97)&gt;=$S97),$V97,$U97)))=Milestones!$AB$97),UPPER(TEXT(EDATE($D97,Milestones!$AA$97),"dd mmm yy"))&amp;" "&amp;Milestones!$AB$97&amp;" "&amp;Milestones!$AC$97&amp;";  ","")&amp;IF(AND(EDATE($D97,Milestones!$AA$98)&lt;=AsOfDate,IF($R97=0,$X97,IF(AND($T97&lt;&gt;"",EDATE($D97,Milestones!$AA$98)&gt;=$T97),$W97,IF(AND($S97&lt;&gt;"",EDATE($D97,Milestones!$AA$98)&gt;=$S97),$V97,$U97)))=Milestones!$AB$98),UPPER(TEXT(EDATE($D97,Milestones!$AA$98),"dd mmm yy"))&amp;" "&amp;Milestones!$AB$98&amp;" "&amp;Milestones!$AC$98&amp;";  ","")&amp;IF(AND(EDATE($D97,Milestones!$AA$99)&lt;=AsOfDate,IF($R97=0,$X97,IF(AND($T97&lt;&gt;"",EDATE($D97,Milestones!$AA$99)&gt;=$T97),$W97,IF(AND($S97&lt;&gt;"",EDATE($D97,Milestones!$AA$99)&gt;=$S97),$V97,$U97)))=Milestones!$AB$99),UPPER(TEXT(EDATE($D97,Milestones!$AA$99),"dd mmm yy"))&amp;" "&amp;Milestones!$AB$99&amp;" "&amp;Milestones!$AC$99&amp;";  ",""))</f>
        <v/>
      </c>
      <c r="M97" s="0" t="str">
        <f aca="false">IF(OR($A97="",$D97=""),"",IF(AND(EDATE($D97,Milestones!$AA$100)&lt;=AsOfDate,IF($R97=0,$X97,IF(AND($T97&lt;&gt;"",EDATE($D97,Milestones!$AA$100)&gt;=$T97),$W97,IF(AND($S97&lt;&gt;"",EDATE($D97,Milestones!$AA$100)&gt;=$S97),$V97,$U97)))=Milestones!$AB$100),UPPER(TEXT(EDATE($D97,Milestones!$AA$100),"dd mmm yy"))&amp;" "&amp;Milestones!$AB$100&amp;" "&amp;Milestones!$AC$100&amp;";  ","")&amp;IF(AND(EDATE($D97,Milestones!$AA$101)&lt;=AsOfDate,IF($R97=0,$X97,IF(AND($T97&lt;&gt;"",EDATE($D97,Milestones!$AA$101)&gt;=$T97),$W97,IF(AND($S97&lt;&gt;"",EDATE($D97,Milestones!$AA$101)&gt;=$S97),$V97,$U97)))=Milestones!$AB$101),UPPER(TEXT(EDATE($D97,Milestones!$AA$101),"dd mmm yy"))&amp;" "&amp;Milestones!$AB$101&amp;" "&amp;Milestones!$AC$101&amp;";  ","")&amp;IF(AND(EDATE($D97,Milestones!$AA$102)&lt;=AsOfDate,IF($R97=0,$X97,IF(AND($T97&lt;&gt;"",EDATE($D97,Milestones!$AA$102)&gt;=$T97),$W97,IF(AND($S97&lt;&gt;"",EDATE($D97,Milestones!$AA$102)&gt;=$S97),$V97,$U97)))=Milestones!$AB$102),UPPER(TEXT(EDATE($D97,Milestones!$AA$102),"dd mmm yy"))&amp;" "&amp;Milestones!$AB$102&amp;" "&amp;Milestones!$AC$102&amp;";  ","")&amp;IF(AND(EDATE($D97,Milestones!$AA$103)&lt;=AsOfDate,IF($R97=0,$X97,IF(AND($T97&lt;&gt;"",EDATE($D97,Milestones!$AA$103)&gt;=$T97),$W97,IF(AND($S97&lt;&gt;"",EDATE($D97,Milestones!$AA$103)&gt;=$S97),$V97,$U97)))=Milestones!$AB$103),UPPER(TEXT(EDATE($D97,Milestones!$AA$103),"dd mmm yy"))&amp;" "&amp;Milestones!$AB$103&amp;" "&amp;Milestones!$AC$103&amp;";  ","")&amp;IF(AND(EDATE($D97,Milestones!$AA$104)&lt;=AsOfDate,IF($R97=0,$X97,IF(AND($T97&lt;&gt;"",EDATE($D97,Milestones!$AA$104)&gt;=$T97),$W97,IF(AND($S97&lt;&gt;"",EDATE($D97,Milestones!$AA$104)&gt;=$S97),$V97,$U97)))=Milestones!$AB$104),UPPER(TEXT(EDATE($D97,Milestones!$AA$104),"dd mmm yy"))&amp;" "&amp;Milestones!$AB$104&amp;" "&amp;Milestones!$AC$104&amp;";  ","")&amp;IF(AND(EDATE($D97,Milestones!$AA$105)&lt;=AsOfDate,IF($R97=0,$X97,IF(AND($T97&lt;&gt;"",EDATE($D97,Milestones!$AA$105)&gt;=$T97),$W97,IF(AND($S97&lt;&gt;"",EDATE($D97,Milestones!$AA$105)&gt;=$S97),$V97,$U97)))=Milestones!$AB$105),UPPER(TEXT(EDATE($D97,Milestones!$AA$105),"dd mmm yy"))&amp;" "&amp;Milestones!$AB$105&amp;" "&amp;Milestones!$AC$105&amp;";  ","")&amp;IF(AND(EDATE($D97,Milestones!$AA$106)&lt;=AsOfDate,IF($R97=0,$X97,IF(AND($T97&lt;&gt;"",EDATE($D97,Milestones!$AA$106)&gt;=$T97),$W97,IF(AND($S97&lt;&gt;"",EDATE($D97,Milestones!$AA$106)&gt;=$S97),$V97,$U97)))=Milestones!$AB$106),UPPER(TEXT(EDATE($D97,Milestones!$AA$106),"dd mmm yy"))&amp;" "&amp;Milestones!$AB$106&amp;" "&amp;Milestones!$AC$106&amp;";  ","")&amp;IF(AND(EDATE($D97,Milestones!$AA$107)&lt;=AsOfDate,IF($R97=0,$X97,IF(AND($T97&lt;&gt;"",EDATE($D97,Milestones!$AA$107)&gt;=$T97),$W97,IF(AND($S97&lt;&gt;"",EDATE($D97,Milestones!$AA$107)&gt;=$S97),$V97,$U97)))=Milestones!$AB$107),UPPER(TEXT(EDATE($D97,Milestones!$AA$107),"dd mmm yy"))&amp;" "&amp;Milestones!$AB$107&amp;" "&amp;Milestones!$AC$107&amp;";  ","")&amp;IF(AND(EDATE($D97,Milestones!$AA$108)&lt;=AsOfDate,IF($R97=0,$X97,IF(AND($T97&lt;&gt;"",EDATE($D97,Milestones!$AA$108)&gt;=$T97),$W97,IF(AND($S97&lt;&gt;"",EDATE($D97,Milestones!$AA$108)&gt;=$S97),$V97,$U97)))=Milestones!$AB$108),UPPER(TEXT(EDATE($D97,Milestones!$AA$108),"dd mmm yy"))&amp;" "&amp;Milestones!$AB$108&amp;" "&amp;Milestones!$AC$108&amp;";  ","")&amp;IF(AND(EDATE($D97,Milestones!$AA$109)&lt;=AsOfDate,IF($R97=0,$X97,IF(AND($T97&lt;&gt;"",EDATE($D97,Milestones!$AA$109)&gt;=$T97),$W97,IF(AND($S97&lt;&gt;"",EDATE($D97,Milestones!$AA$109)&gt;=$S97),$V97,$U97)))=Milestones!$AB$109),UPPER(TEXT(EDATE($D97,Milestones!$AA$109),"dd mmm yy"))&amp;" "&amp;Milestones!$AB$109&amp;" "&amp;Milestones!$AC$109&amp;";  ","")&amp;IF(AND(EDATE($D97,Milestones!$AA$110)&lt;=AsOfDate,IF($R97=0,$X97,IF(AND($T97&lt;&gt;"",EDATE($D97,Milestones!$AA$110)&gt;=$T97),$W97,IF(AND($S97&lt;&gt;"",EDATE($D97,Milestones!$AA$110)&gt;=$S97),$V97,$U97)))=Milestones!$AB$110),UPPER(TEXT(EDATE($D97,Milestones!$AA$110),"dd mmm yy"))&amp;" "&amp;Milestones!$AB$110&amp;" "&amp;Milestones!$AC$110&amp;";  ","")&amp;IF(AND(EDATE($D97,Milestones!$AA$111)&lt;=AsOfDate,IF($R97=0,$X97,IF(AND($T97&lt;&gt;"",EDATE($D97,Milestones!$AA$111)&gt;=$T97),$W97,IF(AND($S97&lt;&gt;"",EDATE($D97,Milestones!$AA$111)&gt;=$S97),$V97,$U97)))=Milestones!$AB$111),UPPER(TEXT(EDATE($D97,Milestones!$AA$111),"dd mmm yy"))&amp;" "&amp;Milestones!$AB$111&amp;" "&amp;Milestones!$AC$111&amp;";  ","")&amp;IF(AND(EDATE($D97,Milestones!$AA$112)&lt;=AsOfDate,IF($R97=0,$X97,IF(AND($T97&lt;&gt;"",EDATE($D97,Milestones!$AA$112)&gt;=$T97),$W97,IF(AND($S97&lt;&gt;"",EDATE($D97,Milestones!$AA$112)&gt;=$S97),$V97,$U97)))=Milestones!$AB$112),UPPER(TEXT(EDATE($D97,Milestones!$AA$112),"dd mmm yy"))&amp;" "&amp;Milestones!$AB$112&amp;" "&amp;Milestones!$AC$112&amp;";  ","")&amp;IF(AND(EDATE($D97,Milestones!$AA$113)&lt;=AsOfDate,IF($R97=0,$X97,IF(AND($T97&lt;&gt;"",EDATE($D97,Milestones!$AA$113)&gt;=$T97),$W97,IF(AND($S97&lt;&gt;"",EDATE($D97,Milestones!$AA$113)&gt;=$S97),$V97,$U97)))=Milestones!$AB$113),UPPER(TEXT(EDATE($D97,Milestones!$AA$113),"dd mmm yy"))&amp;" "&amp;Milestones!$AB$113&amp;" "&amp;Milestones!$AC$113&amp;";  ","")&amp;IF(AND(EDATE($D97,Milestones!$AA$114)&lt;=AsOfDate,IF($R97=0,$X97,IF(AND($T97&lt;&gt;"",EDATE($D97,Milestones!$AA$114)&gt;=$T97),$W97,IF(AND($S97&lt;&gt;"",EDATE($D97,Milestones!$AA$114)&gt;=$S97),$V97,$U97)))=Milestones!$AB$114),UPPER(TEXT(EDATE($D97,Milestones!$AA$114),"dd mmm yy"))&amp;" "&amp;Milestones!$AB$114&amp;" "&amp;Milestones!$AC$114&amp;";  ","")&amp;IF(AND(EDATE($D97,Milestones!$AA$115)&lt;=AsOfDate,IF($R97=0,$X97,IF(AND($T97&lt;&gt;"",EDATE($D97,Milestones!$AA$115)&gt;=$T97),$W97,IF(AND($S97&lt;&gt;"",EDATE($D97,Milestones!$AA$115)&gt;=$S97),$V97,$U97)))=Milestones!$AB$115),UPPER(TEXT(EDATE($D97,Milestones!$AA$115),"dd mmm yy"))&amp;" "&amp;Milestones!$AB$115&amp;" "&amp;Milestones!$AC$115&amp;";  ","")&amp;IF(AND(EDATE($D97,Milestones!$AA$116)&lt;=AsOfDate,IF($R97=0,$X97,IF(AND($T97&lt;&gt;"",EDATE($D97,Milestones!$AA$116)&gt;=$T97),$W97,IF(AND($S97&lt;&gt;"",EDATE($D97,Milestones!$AA$116)&gt;=$S97),$V97,$U97)))=Milestones!$AB$116),UPPER(TEXT(EDATE($D97,Milestones!$AA$116),"dd mmm yy"))&amp;" "&amp;Milestones!$AB$116&amp;" "&amp;Milestones!$AC$116&amp;";  ","")&amp;IF(AND(EDATE($D97,Milestones!$AA$117)&lt;=AsOfDate,IF($R97=0,$X97,IF(AND($T97&lt;&gt;"",EDATE($D97,Milestones!$AA$117)&gt;=$T97),$W97,IF(AND($S97&lt;&gt;"",EDATE($D97,Milestones!$AA$117)&gt;=$S97),$V97,$U97)))=Milestones!$AB$117),UPPER(TEXT(EDATE($D97,Milestones!$AA$117),"dd mmm yy"))&amp;" "&amp;Milestones!$AB$117&amp;" "&amp;Milestones!$AC$117&amp;";  ","")&amp;IF(AND(EDATE($D97,Milestones!$AA$118)&lt;=AsOfDate,IF($R97=0,$X97,IF(AND($T97&lt;&gt;"",EDATE($D97,Milestones!$AA$118)&gt;=$T97),$W97,IF(AND($S97&lt;&gt;"",EDATE($D97,Milestones!$AA$118)&gt;=$S97),$V97,$U97)))=Milestones!$AB$118),UPPER(TEXT(EDATE($D97,Milestones!$AA$118),"dd mmm yy"))&amp;" "&amp;Milestones!$AB$118&amp;" "&amp;Milestones!$AC$118&amp;";  ","")&amp;IF(AND(EDATE($D97,Milestones!$AA$119)&lt;=AsOfDate,IF($R97=0,$X97,IF(AND($T97&lt;&gt;"",EDATE($D97,Milestones!$AA$119)&gt;=$T97),$W97,IF(AND($S97&lt;&gt;"",EDATE($D97,Milestones!$AA$119)&gt;=$S97),$V97,$U97)))=Milestones!$AB$119),UPPER(TEXT(EDATE($D97,Milestones!$AA$119),"dd mmm yy"))&amp;" "&amp;Milestones!$AB$119&amp;" "&amp;Milestones!$AC$119&amp;";  ",""))</f>
        <v/>
      </c>
      <c r="N97" s="0" t="str">
        <f aca="false">IF(OR($A97="",$D97=""),"",IF(AND(EDATE($D97,Milestones!$AA$120)&lt;=AsOfDate,IF($R97=0,$X97,IF(AND($T97&lt;&gt;"",EDATE($D97,Milestones!$AA$120)&gt;=$T97),$W97,IF(AND($S97&lt;&gt;"",EDATE($D97,Milestones!$AA$120)&gt;=$S97),$V97,$U97)))=Milestones!$AB$120),UPPER(TEXT(EDATE($D97,Milestones!$AA$120),"dd mmm yy"))&amp;" "&amp;Milestones!$AB$120&amp;" "&amp;Milestones!$AC$120&amp;";  ","")&amp;IF(AND(EDATE($D97,Milestones!$AA$121)&lt;=AsOfDate,IF($R97=0,$X97,IF(AND($T97&lt;&gt;"",EDATE($D97,Milestones!$AA$121)&gt;=$T97),$W97,IF(AND($S97&lt;&gt;"",EDATE($D97,Milestones!$AA$121)&gt;=$S97),$V97,$U97)))=Milestones!$AB$121),UPPER(TEXT(EDATE($D97,Milestones!$AA$121),"dd mmm yy"))&amp;" "&amp;Milestones!$AB$121&amp;" "&amp;Milestones!$AC$121&amp;";  ","")&amp;IF(AND(EDATE($D97,Milestones!$AA$122)&lt;=AsOfDate,IF($R97=0,$X97,IF(AND($T97&lt;&gt;"",EDATE($D97,Milestones!$AA$122)&gt;=$T97),$W97,IF(AND($S97&lt;&gt;"",EDATE($D97,Milestones!$AA$122)&gt;=$S97),$V97,$U97)))=Milestones!$AB$122),UPPER(TEXT(EDATE($D97,Milestones!$AA$122),"dd mmm yy"))&amp;" "&amp;Milestones!$AB$122&amp;" "&amp;Milestones!$AC$122&amp;";  ","")&amp;IF(AND(EDATE($D97,Milestones!$AA$123)&lt;=AsOfDate,IF($R97=0,$X97,IF(AND($T97&lt;&gt;"",EDATE($D97,Milestones!$AA$123)&gt;=$T97),$W97,IF(AND($S97&lt;&gt;"",EDATE($D97,Milestones!$AA$123)&gt;=$S97),$V97,$U97)))=Milestones!$AB$123),UPPER(TEXT(EDATE($D97,Milestones!$AA$123),"dd mmm yy"))&amp;" "&amp;Milestones!$AB$123&amp;" "&amp;Milestones!$AC$123&amp;";  ","")&amp;IF(AND(EDATE($D97,Milestones!$AA$124)&lt;=AsOfDate,IF($R97=0,$X97,IF(AND($T97&lt;&gt;"",EDATE($D97,Milestones!$AA$124)&gt;=$T97),$W97,IF(AND($S97&lt;&gt;"",EDATE($D97,Milestones!$AA$124)&gt;=$S97),$V97,$U97)))=Milestones!$AB$124),UPPER(TEXT(EDATE($D97,Milestones!$AA$124),"dd mmm yy"))&amp;" "&amp;Milestones!$AB$124&amp;" "&amp;Milestones!$AC$124&amp;";  ","")&amp;IF(AND(EDATE($D97,Milestones!$AA$125)&lt;=AsOfDate,IF($R97=0,$X97,IF(AND($T97&lt;&gt;"",EDATE($D97,Milestones!$AA$125)&gt;=$T97),$W97,IF(AND($S97&lt;&gt;"",EDATE($D97,Milestones!$AA$125)&gt;=$S97),$V97,$U97)))=Milestones!$AB$125),UPPER(TEXT(EDATE($D97,Milestones!$AA$125),"dd mmm yy"))&amp;" "&amp;Milestones!$AB$125&amp;" "&amp;Milestones!$AC$125&amp;";  ","")&amp;IF(AND(EDATE($D97,Milestones!$AA$126)&lt;=AsOfDate,IF($R97=0,$X97,IF(AND($T97&lt;&gt;"",EDATE($D97,Milestones!$AA$126)&gt;=$T97),$W97,IF(AND($S97&lt;&gt;"",EDATE($D97,Milestones!$AA$126)&gt;=$S97),$V97,$U97)))=Milestones!$AB$126),UPPER(TEXT(EDATE($D97,Milestones!$AA$126),"dd mmm yy"))&amp;" "&amp;Milestones!$AB$126&amp;" "&amp;Milestones!$AC$126&amp;";  ","")&amp;IF(AND(EDATE($D97,Milestones!$AA$127)&lt;=AsOfDate,IF($R97=0,$X97,IF(AND($T97&lt;&gt;"",EDATE($D97,Milestones!$AA$127)&gt;=$T97),$W97,IF(AND($S97&lt;&gt;"",EDATE($D97,Milestones!$AA$127)&gt;=$S97),$V97,$U97)))=Milestones!$AB$127),UPPER(TEXT(EDATE($D97,Milestones!$AA$127),"dd mmm yy"))&amp;" "&amp;Milestones!$AB$127&amp;" "&amp;Milestones!$AC$127&amp;";  ","")&amp;IF(AND(EDATE($D97,Milestones!$AA$128)&lt;=AsOfDate,IF($R97=0,$X97,IF(AND($T97&lt;&gt;"",EDATE($D97,Milestones!$AA$128)&gt;=$T97),$W97,IF(AND($S97&lt;&gt;"",EDATE($D97,Milestones!$AA$128)&gt;=$S97),$V97,$U97)))=Milestones!$AB$128),UPPER(TEXT(EDATE($D97,Milestones!$AA$128),"dd mmm yy"))&amp;" "&amp;Milestones!$AB$128&amp;" "&amp;Milestones!$AC$128&amp;";  ","")&amp;IF(AND(EDATE($D97,Milestones!$AA$129)&lt;=AsOfDate,IF($R97=0,$X97,IF(AND($T97&lt;&gt;"",EDATE($D97,Milestones!$AA$129)&gt;=$T97),$W97,IF(AND($S97&lt;&gt;"",EDATE($D97,Milestones!$AA$129)&gt;=$S97),$V97,$U97)))=Milestones!$AB$129),UPPER(TEXT(EDATE($D97,Milestones!$AA$129),"dd mmm yy"))&amp;" "&amp;Milestones!$AB$129&amp;" "&amp;Milestones!$AC$129&amp;";  ","")&amp;IF(AND(EDATE($D97,Milestones!$AA$130)&lt;=AsOfDate,IF($R97=0,$X97,IF(AND($T97&lt;&gt;"",EDATE($D97,Milestones!$AA$130)&gt;=$T97),$W97,IF(AND($S97&lt;&gt;"",EDATE($D97,Milestones!$AA$130)&gt;=$S97),$V97,$U97)))=Milestones!$AB$130),UPPER(TEXT(EDATE($D97,Milestones!$AA$130),"dd mmm yy"))&amp;" "&amp;Milestones!$AB$130&amp;" "&amp;Milestones!$AC$130&amp;";  ","")&amp;IF(AND(EDATE($D97,Milestones!$AA$131)&lt;=AsOfDate,IF($R97=0,$X97,IF(AND($T97&lt;&gt;"",EDATE($D97,Milestones!$AA$131)&gt;=$T97),$W97,IF(AND($S97&lt;&gt;"",EDATE($D97,Milestones!$AA$131)&gt;=$S97),$V97,$U97)))=Milestones!$AB$131),UPPER(TEXT(EDATE($D97,Milestones!$AA$131),"dd mmm yy"))&amp;" "&amp;Milestones!$AB$131&amp;" "&amp;Milestones!$AC$131&amp;";  ","")&amp;IF(AND(EDATE($D97,Milestones!$AA$132)&lt;=AsOfDate,IF($R97=0,$X97,IF(AND($T97&lt;&gt;"",EDATE($D97,Milestones!$AA$132)&gt;=$T97),$W97,IF(AND($S97&lt;&gt;"",EDATE($D97,Milestones!$AA$132)&gt;=$S97),$V97,$U97)))=Milestones!$AB$132),UPPER(TEXT(EDATE($D97,Milestones!$AA$132),"dd mmm yy"))&amp;" "&amp;Milestones!$AB$132&amp;" "&amp;Milestones!$AC$132&amp;";  ","")&amp;IF(AND(EDATE($D97,Milestones!$AA$133)&lt;=AsOfDate,IF($R97=0,$X97,IF(AND($T97&lt;&gt;"",EDATE($D97,Milestones!$AA$133)&gt;=$T97),$W97,IF(AND($S97&lt;&gt;"",EDATE($D97,Milestones!$AA$133)&gt;=$S97),$V97,$U97)))=Milestones!$AB$133),UPPER(TEXT(EDATE($D97,Milestones!$AA$133),"dd mmm yy"))&amp;" "&amp;Milestones!$AB$133&amp;" "&amp;Milestones!$AC$133&amp;";  ","")&amp;IF(AND(EDATE($D97,Milestones!$AA$134)&lt;=AsOfDate,IF($R97=0,$X97,IF(AND($T97&lt;&gt;"",EDATE($D97,Milestones!$AA$134)&gt;=$T97),$W97,IF(AND($S97&lt;&gt;"",EDATE($D97,Milestones!$AA$134)&gt;=$S97),$V97,$U97)))=Milestones!$AB$134),UPPER(TEXT(EDATE($D97,Milestones!$AA$134),"dd mmm yy"))&amp;" "&amp;Milestones!$AB$134&amp;" "&amp;Milestones!$AC$134&amp;";  ","")&amp;IF(AND(EDATE($D97,Milestones!$AA$135)&lt;=AsOfDate,IF($R97=0,$X97,IF(AND($T97&lt;&gt;"",EDATE($D97,Milestones!$AA$135)&gt;=$T97),$W97,IF(AND($S97&lt;&gt;"",EDATE($D97,Milestones!$AA$135)&gt;=$S97),$V97,$U97)))=Milestones!$AB$135),UPPER(TEXT(EDATE($D97,Milestones!$AA$135),"dd mmm yy"))&amp;" "&amp;Milestones!$AB$135&amp;" "&amp;Milestones!$AC$135&amp;";  ","")&amp;IF(AND(EDATE($D97,Milestones!$AA$136)&lt;=AsOfDate,IF($R97=0,$X97,IF(AND($T97&lt;&gt;"",EDATE($D97,Milestones!$AA$136)&gt;=$T97),$W97,IF(AND($S97&lt;&gt;"",EDATE($D97,Milestones!$AA$136)&gt;=$S97),$V97,$U97)))=Milestones!$AB$136),UPPER(TEXT(EDATE($D97,Milestones!$AA$136),"dd mmm yy"))&amp;" "&amp;Milestones!$AB$136&amp;" "&amp;Milestones!$AC$136&amp;";  ","")&amp;IF(AND(EDATE($D97,Milestones!$AA$137)&lt;=AsOfDate,IF($R97=0,$X97,IF(AND($T97&lt;&gt;"",EDATE($D97,Milestones!$AA$137)&gt;=$T97),$W97,IF(AND($S97&lt;&gt;"",EDATE($D97,Milestones!$AA$137)&gt;=$S97),$V97,$U97)))=Milestones!$AB$137),UPPER(TEXT(EDATE($D97,Milestones!$AA$137),"dd mmm yy"))&amp;" "&amp;Milestones!$AB$137&amp;" "&amp;Milestones!$AC$137&amp;";  ","")&amp;IF(AND(EDATE($D97,Milestones!$AA$138)&lt;=AsOfDate,IF($R97=0,$X97,IF(AND($T97&lt;&gt;"",EDATE($D97,Milestones!$AA$138)&gt;=$T97),$W97,IF(AND($S97&lt;&gt;"",EDATE($D97,Milestones!$AA$138)&gt;=$S97),$V97,$U97)))=Milestones!$AB$138),UPPER(TEXT(EDATE($D97,Milestones!$AA$138),"dd mmm yy"))&amp;" "&amp;Milestones!$AB$138&amp;" "&amp;Milestones!$AC$138&amp;";  ","")&amp;IF(AND(EDATE($D97,Milestones!$AA$139)&lt;=AsOfDate,IF($R97=0,$X97,IF(AND($T97&lt;&gt;"",EDATE($D97,Milestones!$AA$139)&gt;=$T97),$W97,IF(AND($S97&lt;&gt;"",EDATE($D97,Milestones!$AA$139)&gt;=$S97),$V97,$U97)))=Milestones!$AB$139),UPPER(TEXT(EDATE($D97,Milestones!$AA$139),"dd mmm yy"))&amp;" "&amp;Milestones!$AB$139&amp;" "&amp;Milestones!$AC$139&amp;";  ",""))</f>
        <v/>
      </c>
      <c r="O97" s="0" t="str">
        <f aca="false">IF(OR($A97="",$D97=""),"",IF(AND(EDATE($D97,Milestones!$AA$140)&lt;=AsOfDate,IF($R97=0,$X97,IF(AND($T97&lt;&gt;"",EDATE($D97,Milestones!$AA$140)&gt;=$T97),$W97,IF(AND($S97&lt;&gt;"",EDATE($D97,Milestones!$AA$140)&gt;=$S97),$V97,$U97)))=Milestones!$AB$140),UPPER(TEXT(EDATE($D97,Milestones!$AA$140),"dd mmm yy"))&amp;" "&amp;Milestones!$AB$140&amp;" "&amp;Milestones!$AC$140&amp;";  ","")&amp;IF(AND(EDATE($D97,Milestones!$AA$141)&lt;=AsOfDate,IF($R97=0,$X97,IF(AND($T97&lt;&gt;"",EDATE($D97,Milestones!$AA$141)&gt;=$T97),$W97,IF(AND($S97&lt;&gt;"",EDATE($D97,Milestones!$AA$141)&gt;=$S97),$V97,$U97)))=Milestones!$AB$141),UPPER(TEXT(EDATE($D97,Milestones!$AA$141),"dd mmm yy"))&amp;" "&amp;Milestones!$AB$141&amp;" "&amp;Milestones!$AC$141&amp;";  ","")&amp;IF(AND(EDATE($D97,Milestones!$AA$142)&lt;=AsOfDate,IF($R97=0,$X97,IF(AND($T97&lt;&gt;"",EDATE($D97,Milestones!$AA$142)&gt;=$T97),$W97,IF(AND($S97&lt;&gt;"",EDATE($D97,Milestones!$AA$142)&gt;=$S97),$V97,$U97)))=Milestones!$AB$142),UPPER(TEXT(EDATE($D97,Milestones!$AA$142),"dd mmm yy"))&amp;" "&amp;Milestones!$AB$142&amp;" "&amp;Milestones!$AC$142&amp;";  ","")&amp;IF(AND(EDATE($D97,Milestones!$AA$143)&lt;=AsOfDate,IF($R97=0,$X97,IF(AND($T97&lt;&gt;"",EDATE($D97,Milestones!$AA$143)&gt;=$T97),$W97,IF(AND($S97&lt;&gt;"",EDATE($D97,Milestones!$AA$143)&gt;=$S97),$V97,$U97)))=Milestones!$AB$143),UPPER(TEXT(EDATE($D97,Milestones!$AA$143),"dd mmm yy"))&amp;" "&amp;Milestones!$AB$143&amp;" "&amp;Milestones!$AC$143&amp;";  ","")&amp;IF(AND(EDATE($D97,Milestones!$AA$144)&lt;=AsOfDate,IF($R97=0,$X97,IF(AND($T97&lt;&gt;"",EDATE($D97,Milestones!$AA$144)&gt;=$T97),$W97,IF(AND($S97&lt;&gt;"",EDATE($D97,Milestones!$AA$144)&gt;=$S97),$V97,$U97)))=Milestones!$AB$144),UPPER(TEXT(EDATE($D97,Milestones!$AA$144),"dd mmm yy"))&amp;" "&amp;Milestones!$AB$144&amp;" "&amp;Milestones!$AC$144&amp;";  ","")&amp;IF(AND(EDATE($D97,Milestones!$AA$145)&lt;=AsOfDate,IF($R97=0,$X97,IF(AND($T97&lt;&gt;"",EDATE($D97,Milestones!$AA$145)&gt;=$T97),$W97,IF(AND($S97&lt;&gt;"",EDATE($D97,Milestones!$AA$145)&gt;=$S97),$V97,$U97)))=Milestones!$AB$145),UPPER(TEXT(EDATE($D97,Milestones!$AA$145),"dd mmm yy"))&amp;" "&amp;Milestones!$AB$145&amp;" "&amp;Milestones!$AC$145&amp;";  ","")&amp;IF(AND(EDATE($D97,Milestones!$AA$146)&lt;=AsOfDate,IF($R97=0,$X97,IF(AND($T97&lt;&gt;"",EDATE($D97,Milestones!$AA$146)&gt;=$T97),$W97,IF(AND($S97&lt;&gt;"",EDATE($D97,Milestones!$AA$146)&gt;=$S97),$V97,$U97)))=Milestones!$AB$146),UPPER(TEXT(EDATE($D97,Milestones!$AA$146),"dd mmm yy"))&amp;" "&amp;Milestones!$AB$146&amp;" "&amp;Milestones!$AC$146&amp;";  ","")&amp;IF(AND(EDATE($D97,Milestones!$AA$147)&lt;=AsOfDate,IF($R97=0,$X97,IF(AND($T97&lt;&gt;"",EDATE($D97,Milestones!$AA$147)&gt;=$T97),$W97,IF(AND($S97&lt;&gt;"",EDATE($D97,Milestones!$AA$147)&gt;=$S97),$V97,$U97)))=Milestones!$AB$147),UPPER(TEXT(EDATE($D97,Milestones!$AA$147),"dd mmm yy"))&amp;" "&amp;Milestones!$AB$147&amp;" "&amp;Milestones!$AC$147&amp;";  ","")&amp;IF(AND(EDATE($D97,Milestones!$AA$148)&lt;=AsOfDate,IF($R97=0,$X97,IF(AND($T97&lt;&gt;"",EDATE($D97,Milestones!$AA$148)&gt;=$T97),$W97,IF(AND($S97&lt;&gt;"",EDATE($D97,Milestones!$AA$148)&gt;=$S97),$V97,$U97)))=Milestones!$AB$148),UPPER(TEXT(EDATE($D97,Milestones!$AA$148),"dd mmm yy"))&amp;" "&amp;Milestones!$AB$148&amp;" "&amp;Milestones!$AC$148&amp;";  ","")&amp;IF(AND(EDATE($D97,Milestones!$AA$149)&lt;=AsOfDate,IF($R97=0,$X97,IF(AND($T97&lt;&gt;"",EDATE($D97,Milestones!$AA$149)&gt;=$T97),$W97,IF(AND($S97&lt;&gt;"",EDATE($D97,Milestones!$AA$149)&gt;=$S97),$V97,$U97)))=Milestones!$AB$149),UPPER(TEXT(EDATE($D97,Milestones!$AA$149),"dd mmm yy"))&amp;" "&amp;Milestones!$AB$149&amp;" "&amp;Milestones!$AC$149&amp;";  ","")&amp;IF(AND(EDATE($D97,Milestones!$AA$150)&lt;=AsOfDate,IF($R97=0,$X97,IF(AND($T97&lt;&gt;"",EDATE($D97,Milestones!$AA$150)&gt;=$T97),$W97,IF(AND($S97&lt;&gt;"",EDATE($D97,Milestones!$AA$150)&gt;=$S97),$V97,$U97)))=Milestones!$AB$150),UPPER(TEXT(EDATE($D97,Milestones!$AA$150),"dd mmm yy"))&amp;" "&amp;Milestones!$AB$150&amp;" "&amp;Milestones!$AC$150&amp;";  ","")&amp;IF(AND(EDATE($D97,Milestones!$AA$151)&lt;=AsOfDate,IF($R97=0,$X97,IF(AND($T97&lt;&gt;"",EDATE($D97,Milestones!$AA$151)&gt;=$T97),$W97,IF(AND($S97&lt;&gt;"",EDATE($D97,Milestones!$AA$151)&gt;=$S97),$V97,$U97)))=Milestones!$AB$151),UPPER(TEXT(EDATE($D97,Milestones!$AA$151),"dd mmm yy"))&amp;" "&amp;Milestones!$AB$151&amp;" "&amp;Milestones!$AC$151&amp;";  ","")&amp;IF(AND(EDATE($D97,Milestones!$AA$152)&lt;=AsOfDate,IF($R97=0,$X97,IF(AND($T97&lt;&gt;"",EDATE($D97,Milestones!$AA$152)&gt;=$T97),$W97,IF(AND($S97&lt;&gt;"",EDATE($D97,Milestones!$AA$152)&gt;=$S97),$V97,$U97)))=Milestones!$AB$152),UPPER(TEXT(EDATE($D97,Milestones!$AA$152),"dd mmm yy"))&amp;" "&amp;Milestones!$AB$152&amp;" "&amp;Milestones!$AC$152&amp;";  ","")&amp;IF(AND(EDATE($D97,Milestones!$AA$153)&lt;=AsOfDate,IF($R97=0,$X97,IF(AND($T97&lt;&gt;"",EDATE($D97,Milestones!$AA$153)&gt;=$T97),$W97,IF(AND($S97&lt;&gt;"",EDATE($D97,Milestones!$AA$153)&gt;=$S97),$V97,$U97)))=Milestones!$AB$153),UPPER(TEXT(EDATE($D97,Milestones!$AA$153),"dd mmm yy"))&amp;" "&amp;Milestones!$AB$153&amp;" "&amp;Milestones!$AC$153&amp;";  ","")&amp;IF(AND(EDATE($D97,Milestones!$AA$154)&lt;=AsOfDate,IF($R97=0,$X97,IF(AND($T97&lt;&gt;"",EDATE($D97,Milestones!$AA$154)&gt;=$T97),$W97,IF(AND($S97&lt;&gt;"",EDATE($D97,Milestones!$AA$154)&gt;=$S97),$V97,$U97)))=Milestones!$AB$154),UPPER(TEXT(EDATE($D97,Milestones!$AA$154),"dd mmm yy"))&amp;" "&amp;Milestones!$AB$154&amp;" "&amp;Milestones!$AC$154&amp;";  ","")&amp;IF(AND(EDATE($D97,Milestones!$AA$155)&lt;=AsOfDate,IF($R97=0,$X97,IF(AND($T97&lt;&gt;"",EDATE($D97,Milestones!$AA$155)&gt;=$T97),$W97,IF(AND($S97&lt;&gt;"",EDATE($D97,Milestones!$AA$155)&gt;=$S97),$V97,$U97)))=Milestones!$AB$155),UPPER(TEXT(EDATE($D97,Milestones!$AA$155),"dd mmm yy"))&amp;" "&amp;Milestones!$AB$155&amp;" "&amp;Milestones!$AC$155&amp;";  ","")&amp;IF(AND(EDATE($D97,Milestones!$AA$156)&lt;=AsOfDate,IF($R97=0,$X97,IF(AND($T97&lt;&gt;"",EDATE($D97,Milestones!$AA$156)&gt;=$T97),$W97,IF(AND($S97&lt;&gt;"",EDATE($D97,Milestones!$AA$156)&gt;=$S97),$V97,$U97)))=Milestones!$AB$156),UPPER(TEXT(EDATE($D97,Milestones!$AA$156),"dd mmm yy"))&amp;" "&amp;Milestones!$AB$156&amp;" "&amp;Milestones!$AC$156&amp;";  ","")&amp;IF(AND(EDATE($D97,Milestones!$AA$157)&lt;=AsOfDate,IF($R97=0,$X97,IF(AND($T97&lt;&gt;"",EDATE($D97,Milestones!$AA$157)&gt;=$T97),$W97,IF(AND($S97&lt;&gt;"",EDATE($D97,Milestones!$AA$157)&gt;=$S97),$V97,$U97)))=Milestones!$AB$157),UPPER(TEXT(EDATE($D97,Milestones!$AA$157),"dd mmm yy"))&amp;" "&amp;Milestones!$AB$157&amp;" "&amp;Milestones!$AC$157&amp;";  ","")&amp;IF(AND(EDATE($D97,Milestones!$AA$158)&lt;=AsOfDate,IF($R97=0,$X97,IF(AND($T97&lt;&gt;"",EDATE($D97,Milestones!$AA$158)&gt;=$T97),$W97,IF(AND($S97&lt;&gt;"",EDATE($D97,Milestones!$AA$158)&gt;=$S97),$V97,$U97)))=Milestones!$AB$158),UPPER(TEXT(EDATE($D97,Milestones!$AA$158),"dd mmm yy"))&amp;" "&amp;Milestones!$AB$158&amp;" "&amp;Milestones!$AC$158&amp;";  ","")&amp;IF(AND(EDATE($D97,Milestones!$AA$159)&lt;=AsOfDate,IF($R97=0,$X97,IF(AND($T97&lt;&gt;"",EDATE($D97,Milestones!$AA$159)&gt;=$T97),$W97,IF(AND($S97&lt;&gt;"",EDATE($D97,Milestones!$AA$159)&gt;=$S97),$V97,$U97)))=Milestones!$AB$159),UPPER(TEXT(EDATE($D97,Milestones!$AA$159),"dd mmm yy"))&amp;" "&amp;Milestones!$AB$159&amp;" "&amp;Milestones!$AC$159&amp;";  ",""))</f>
        <v/>
      </c>
      <c r="P97" s="0" t="str">
        <f aca="false">IF(OR($A97="",$D97=""),"",IF(AND(EDATE($D97,Milestones!$AA$160)&lt;=AsOfDate,IF($R97=0,$X97,IF(AND($T97&lt;&gt;"",EDATE($D97,Milestones!$AA$160)&gt;=$T97),$W97,IF(AND($S97&lt;&gt;"",EDATE($D97,Milestones!$AA$160)&gt;=$S97),$V97,$U97)))=Milestones!$AB$160),UPPER(TEXT(EDATE($D97,Milestones!$AA$160),"dd mmm yy"))&amp;" "&amp;Milestones!$AB$160&amp;" "&amp;Milestones!$AC$160&amp;";  ","")&amp;IF(AND(EDATE($D97,Milestones!$AA$161)&lt;=AsOfDate,IF($R97=0,$X97,IF(AND($T97&lt;&gt;"",EDATE($D97,Milestones!$AA$161)&gt;=$T97),$W97,IF(AND($S97&lt;&gt;"",EDATE($D97,Milestones!$AA$161)&gt;=$S97),$V97,$U97)))=Milestones!$AB$161),UPPER(TEXT(EDATE($D97,Milestones!$AA$161),"dd mmm yy"))&amp;" "&amp;Milestones!$AB$161&amp;" "&amp;Milestones!$AC$161&amp;";  ","")&amp;IF(AND(EDATE($D97,Milestones!$AA$162)&lt;=AsOfDate,IF($R97=0,$X97,IF(AND($T97&lt;&gt;"",EDATE($D97,Milestones!$AA$162)&gt;=$T97),$W97,IF(AND($S97&lt;&gt;"",EDATE($D97,Milestones!$AA$162)&gt;=$S97),$V97,$U97)))=Milestones!$AB$162),UPPER(TEXT(EDATE($D97,Milestones!$AA$162),"dd mmm yy"))&amp;" "&amp;Milestones!$AB$162&amp;" "&amp;Milestones!$AC$162&amp;";  ","")&amp;IF(AND(EDATE($D97,Milestones!$AA$163)&lt;=AsOfDate,IF($R97=0,$X97,IF(AND($T97&lt;&gt;"",EDATE($D97,Milestones!$AA$163)&gt;=$T97),$W97,IF(AND($S97&lt;&gt;"",EDATE($D97,Milestones!$AA$163)&gt;=$S97),$V97,$U97)))=Milestones!$AB$163),UPPER(TEXT(EDATE($D97,Milestones!$AA$163),"dd mmm yy"))&amp;" "&amp;Milestones!$AB$163&amp;" "&amp;Milestones!$AC$163&amp;";  ","")&amp;IF(AND(EDATE($D97,Milestones!$AA$164)&lt;=AsOfDate,IF($R97=0,$X97,IF(AND($T97&lt;&gt;"",EDATE($D97,Milestones!$AA$164)&gt;=$T97),$W97,IF(AND($S97&lt;&gt;"",EDATE($D97,Milestones!$AA$164)&gt;=$S97),$V97,$U97)))=Milestones!$AB$164),UPPER(TEXT(EDATE($D97,Milestones!$AA$164),"dd mmm yy"))&amp;" "&amp;Milestones!$AB$164&amp;" "&amp;Milestones!$AC$164&amp;";  ","")&amp;IF(AND(EDATE($D97,Milestones!$AA$165)&lt;=AsOfDate,IF($R97=0,$X97,IF(AND($T97&lt;&gt;"",EDATE($D97,Milestones!$AA$165)&gt;=$T97),$W97,IF(AND($S97&lt;&gt;"",EDATE($D97,Milestones!$AA$165)&gt;=$S97),$V97,$U97)))=Milestones!$AB$165),UPPER(TEXT(EDATE($D97,Milestones!$AA$165),"dd mmm yy"))&amp;" "&amp;Milestones!$AB$165&amp;" "&amp;Milestones!$AC$165&amp;";  ","")&amp;IF(AND(EDATE($D97,Milestones!$AA$166)&lt;=AsOfDate,IF($R97=0,$X97,IF(AND($T97&lt;&gt;"",EDATE($D97,Milestones!$AA$166)&gt;=$T97),$W97,IF(AND($S97&lt;&gt;"",EDATE($D97,Milestones!$AA$166)&gt;=$S97),$V97,$U97)))=Milestones!$AB$166),UPPER(TEXT(EDATE($D97,Milestones!$AA$166),"dd mmm yy"))&amp;" "&amp;Milestones!$AB$166&amp;" "&amp;Milestones!$AC$166&amp;";  ","")&amp;IF(AND(EDATE($D97,Milestones!$AA$167)&lt;=AsOfDate,IF($R97=0,$X97,IF(AND($T97&lt;&gt;"",EDATE($D97,Milestones!$AA$167)&gt;=$T97),$W97,IF(AND($S97&lt;&gt;"",EDATE($D97,Milestones!$AA$167)&gt;=$S97),$V97,$U97)))=Milestones!$AB$167),UPPER(TEXT(EDATE($D97,Milestones!$AA$167),"dd mmm yy"))&amp;" "&amp;Milestones!$AB$167&amp;" "&amp;Milestones!$AC$167&amp;";  ","")&amp;IF(AND(EDATE($D97,Milestones!$AA$168)&lt;=AsOfDate,IF($R97=0,$X97,IF(AND($T97&lt;&gt;"",EDATE($D97,Milestones!$AA$168)&gt;=$T97),$W97,IF(AND($S97&lt;&gt;"",EDATE($D97,Milestones!$AA$168)&gt;=$S97),$V97,$U97)))=Milestones!$AB$168),UPPER(TEXT(EDATE($D97,Milestones!$AA$168),"dd mmm yy"))&amp;" "&amp;Milestones!$AB$168&amp;" "&amp;Milestones!$AC$168&amp;";  ","")&amp;IF(AND(EDATE($D97,Milestones!$AA$169)&lt;=AsOfDate,IF($R97=0,$X97,IF(AND($T97&lt;&gt;"",EDATE($D97,Milestones!$AA$169)&gt;=$T97),$W97,IF(AND($S97&lt;&gt;"",EDATE($D97,Milestones!$AA$169)&gt;=$S97),$V97,$U97)))=Milestones!$AB$169),UPPER(TEXT(EDATE($D97,Milestones!$AA$169),"dd mmm yy"))&amp;" "&amp;Milestones!$AB$169&amp;" "&amp;Milestones!$AC$169&amp;";  ","")&amp;IF(AND(EDATE($D97,Milestones!$AA$170)&lt;=AsOfDate,IF($R97=0,$X97,IF(AND($T97&lt;&gt;"",EDATE($D97,Milestones!$AA$170)&gt;=$T97),$W97,IF(AND($S97&lt;&gt;"",EDATE($D97,Milestones!$AA$170)&gt;=$S97),$V97,$U97)))=Milestones!$AB$170),UPPER(TEXT(EDATE($D97,Milestones!$AA$170),"dd mmm yy"))&amp;" "&amp;Milestones!$AB$170&amp;" "&amp;Milestones!$AC$170&amp;";  ","")&amp;IF(AND(EDATE($D97,Milestones!$AA$171)&lt;=AsOfDate,IF($R97=0,$X97,IF(AND($T97&lt;&gt;"",EDATE($D97,Milestones!$AA$171)&gt;=$T97),$W97,IF(AND($S97&lt;&gt;"",EDATE($D97,Milestones!$AA$171)&gt;=$S97),$V97,$U97)))=Milestones!$AB$171),UPPER(TEXT(EDATE($D97,Milestones!$AA$171),"dd mmm yy"))&amp;" "&amp;Milestones!$AB$171&amp;" "&amp;Milestones!$AC$171&amp;";  ","")&amp;IF(AND(EDATE($D97,Milestones!$AA$172)&lt;=AsOfDate,IF($R97=0,$X97,IF(AND($T97&lt;&gt;"",EDATE($D97,Milestones!$AA$172)&gt;=$T97),$W97,IF(AND($S97&lt;&gt;"",EDATE($D97,Milestones!$AA$172)&gt;=$S97),$V97,$U97)))=Milestones!$AB$172),UPPER(TEXT(EDATE($D97,Milestones!$AA$172),"dd mmm yy"))&amp;" "&amp;Milestones!$AB$172&amp;" "&amp;Milestones!$AC$172&amp;";  ","")&amp;IF(AND(EDATE($D97,Milestones!$AA$173)&lt;=AsOfDate,IF($R97=0,$X97,IF(AND($T97&lt;&gt;"",EDATE($D97,Milestones!$AA$173)&gt;=$T97),$W97,IF(AND($S97&lt;&gt;"",EDATE($D97,Milestones!$AA$173)&gt;=$S97),$V97,$U97)))=Milestones!$AB$173),UPPER(TEXT(EDATE($D97,Milestones!$AA$173),"dd mmm yy"))&amp;" "&amp;Milestones!$AB$173&amp;" "&amp;Milestones!$AC$173&amp;";  ","")&amp;IF(AND(EDATE($D97,Milestones!$AA$174)&lt;=AsOfDate,IF($R97=0,$X97,IF(AND($T97&lt;&gt;"",EDATE($D97,Milestones!$AA$174)&gt;=$T97),$W97,IF(AND($S97&lt;&gt;"",EDATE($D97,Milestones!$AA$174)&gt;=$S97),$V97,$U97)))=Milestones!$AB$174),UPPER(TEXT(EDATE($D97,Milestones!$AA$174),"dd mmm yy"))&amp;" "&amp;Milestones!$AB$174&amp;" "&amp;Milestones!$AC$174&amp;";  ","")&amp;IF(AND(EDATE($D97,Milestones!$AA$175)&lt;=AsOfDate,IF($R97=0,$X97,IF(AND($T97&lt;&gt;"",EDATE($D97,Milestones!$AA$175)&gt;=$T97),$W97,IF(AND($S97&lt;&gt;"",EDATE($D97,Milestones!$AA$175)&gt;=$S97),$V97,$U97)))=Milestones!$AB$175),UPPER(TEXT(EDATE($D97,Milestones!$AA$175),"dd mmm yy"))&amp;" "&amp;Milestones!$AB$175&amp;" "&amp;Milestones!$AC$175&amp;";  ","")&amp;IF(AND(EDATE($D97,Milestones!$AA$176)&lt;=AsOfDate,IF($R97=0,$X97,IF(AND($T97&lt;&gt;"",EDATE($D97,Milestones!$AA$176)&gt;=$T97),$W97,IF(AND($S97&lt;&gt;"",EDATE($D97,Milestones!$AA$176)&gt;=$S97),$V97,$U97)))=Milestones!$AB$176),UPPER(TEXT(EDATE($D97,Milestones!$AA$176),"dd mmm yy"))&amp;" "&amp;Milestones!$AB$176&amp;" "&amp;Milestones!$AC$176&amp;";  ","")&amp;IF(AND(EDATE($D97,Milestones!$AA$177)&lt;=AsOfDate,IF($R97=0,$X97,IF(AND($T97&lt;&gt;"",EDATE($D97,Milestones!$AA$177)&gt;=$T97),$W97,IF(AND($S97&lt;&gt;"",EDATE($D97,Milestones!$AA$177)&gt;=$S97),$V97,$U97)))=Milestones!$AB$177),UPPER(TEXT(EDATE($D97,Milestones!$AA$177),"dd mmm yy"))&amp;" "&amp;Milestones!$AB$177&amp;" "&amp;Milestones!$AC$177&amp;";  ","")&amp;IF(AND(EDATE($D97,Milestones!$AA$178)&lt;=AsOfDate,IF($R97=0,$X97,IF(AND($T97&lt;&gt;"",EDATE($D97,Milestones!$AA$178)&gt;=$T97),$W97,IF(AND($S97&lt;&gt;"",EDATE($D97,Milestones!$AA$178)&gt;=$S97),$V97,$U97)))=Milestones!$AB$178),UPPER(TEXT(EDATE($D97,Milestones!$AA$178),"dd mmm yy"))&amp;" "&amp;Milestones!$AB$178&amp;" "&amp;Milestones!$AC$178&amp;";  ","")&amp;IF(AND(EDATE($D97,Milestones!$AA$179)&lt;=AsOfDate,IF($R97=0,$X97,IF(AND($T97&lt;&gt;"",EDATE($D97,Milestones!$AA$179)&gt;=$T97),$W97,IF(AND($S97&lt;&gt;"",EDATE($D97,Milestones!$AA$179)&gt;=$S97),$V97,$U97)))=Milestones!$AB$179),UPPER(TEXT(EDATE($D97,Milestones!$AA$179),"dd mmm yy"))&amp;" "&amp;Milestones!$AB$179&amp;" "&amp;Milestones!$AC$179&amp;";  ",""))</f>
        <v/>
      </c>
      <c r="Q97" s="0" t="str">
        <f aca="false">IF(OR($A97="",$D97=""),"",IF(AND(EDATE($D97,Milestones!$AA$180)&lt;=AsOfDate,IF($R97=0,$X97,IF(AND($T97&lt;&gt;"",EDATE($D97,Milestones!$AA$180)&gt;=$T97),$W97,IF(AND($S97&lt;&gt;"",EDATE($D97,Milestones!$AA$180)&gt;=$S97),$V97,$U97)))=Milestones!$AB$180),UPPER(TEXT(EDATE($D97,Milestones!$AA$180),"dd mmm yy"))&amp;" "&amp;Milestones!$AB$180&amp;" "&amp;Milestones!$AC$180&amp;";  ","")&amp;IF(AND(EDATE($D97,Milestones!$AA$181)&lt;=AsOfDate,IF($R97=0,$X97,IF(AND($T97&lt;&gt;"",EDATE($D97,Milestones!$AA$181)&gt;=$T97),$W97,IF(AND($S97&lt;&gt;"",EDATE($D97,Milestones!$AA$181)&gt;=$S97),$V97,$U97)))=Milestones!$AB$181),UPPER(TEXT(EDATE($D97,Milestones!$AA$181),"dd mmm yy"))&amp;" "&amp;Milestones!$AB$181&amp;" "&amp;Milestones!$AC$181&amp;";  ","")&amp;IF(AND(EDATE($D97,Milestones!$AA$182)&lt;=AsOfDate,IF($R97=0,$X97,IF(AND($T97&lt;&gt;"",EDATE($D97,Milestones!$AA$182)&gt;=$T97),$W97,IF(AND($S97&lt;&gt;"",EDATE($D97,Milestones!$AA$182)&gt;=$S97),$V97,$U97)))=Milestones!$AB$182),UPPER(TEXT(EDATE($D97,Milestones!$AA$182),"dd mmm yy"))&amp;" "&amp;Milestones!$AB$182&amp;" "&amp;Milestones!$AC$182&amp;";  ","")&amp;IF(AND(EDATE($D97,Milestones!$AA$183)&lt;=AsOfDate,IF($R97=0,$X97,IF(AND($T97&lt;&gt;"",EDATE($D97,Milestones!$AA$183)&gt;=$T97),$W97,IF(AND($S97&lt;&gt;"",EDATE($D97,Milestones!$AA$183)&gt;=$S97),$V97,$U97)))=Milestones!$AB$183),UPPER(TEXT(EDATE($D97,Milestones!$AA$183),"dd mmm yy"))&amp;" "&amp;Milestones!$AB$183&amp;" "&amp;Milestones!$AC$183&amp;";  ","")&amp;IF(AND(EDATE($D97,Milestones!$AA$184)&lt;=AsOfDate,IF($R97=0,$X97,IF(AND($T97&lt;&gt;"",EDATE($D97,Milestones!$AA$184)&gt;=$T97),$W97,IF(AND($S97&lt;&gt;"",EDATE($D97,Milestones!$AA$184)&gt;=$S97),$V97,$U97)))=Milestones!$AB$184),UPPER(TEXT(EDATE($D97,Milestones!$AA$184),"dd mmm yy"))&amp;" "&amp;Milestones!$AB$184&amp;" "&amp;Milestones!$AC$184&amp;";  ","")&amp;IF(AND(EDATE($D97,Milestones!$AA$185)&lt;=AsOfDate,IF($R97=0,$X97,IF(AND($T97&lt;&gt;"",EDATE($D97,Milestones!$AA$185)&gt;=$T97),$W97,IF(AND($S97&lt;&gt;"",EDATE($D97,Milestones!$AA$185)&gt;=$S97),$V97,$U97)))=Milestones!$AB$185),UPPER(TEXT(EDATE($D97,Milestones!$AA$185),"dd mmm yy"))&amp;" "&amp;Milestones!$AB$185&amp;" "&amp;Milestones!$AC$185&amp;";  ","")&amp;IF(AND(EDATE($D97,Milestones!$AA$186)&lt;=AsOfDate,IF($R97=0,$X97,IF(AND($T97&lt;&gt;"",EDATE($D97,Milestones!$AA$186)&gt;=$T97),$W97,IF(AND($S97&lt;&gt;"",EDATE($D97,Milestones!$AA$186)&gt;=$S97),$V97,$U97)))=Milestones!$AB$186),UPPER(TEXT(EDATE($D97,Milestones!$AA$186),"dd mmm yy"))&amp;" "&amp;Milestones!$AB$186&amp;" "&amp;Milestones!$AC$186&amp;";  ","")&amp;IF(AND(EDATE($D97,Milestones!$AA$187)&lt;=AsOfDate,IF($R97=0,$X97,IF(AND($T97&lt;&gt;"",EDATE($D97,Milestones!$AA$187)&gt;=$T97),$W97,IF(AND($S97&lt;&gt;"",EDATE($D97,Milestones!$AA$187)&gt;=$S97),$V97,$U97)))=Milestones!$AB$187),UPPER(TEXT(EDATE($D97,Milestones!$AA$187),"dd mmm yy"))&amp;" "&amp;Milestones!$AB$187&amp;" "&amp;Milestones!$AC$187&amp;";  ","")&amp;IF(AND(EDATE($D97,Milestones!$AA$188)&lt;=AsOfDate,IF($R97=0,$X97,IF(AND($T97&lt;&gt;"",EDATE($D97,Milestones!$AA$188)&gt;=$T97),$W97,IF(AND($S97&lt;&gt;"",EDATE($D97,Milestones!$AA$188)&gt;=$S97),$V97,$U97)))=Milestones!$AB$188),UPPER(TEXT(EDATE($D97,Milestones!$AA$188),"dd mmm yy"))&amp;" "&amp;Milestones!$AB$188&amp;" "&amp;Milestones!$AC$188&amp;";  ","")&amp;IF(AND(EDATE($D97,Milestones!$AA$189)&lt;=AsOfDate,IF($R97=0,$X97,IF(AND($T97&lt;&gt;"",EDATE($D97,Milestones!$AA$189)&gt;=$T97),$W97,IF(AND($S97&lt;&gt;"",EDATE($D97,Milestones!$AA$189)&gt;=$S97),$V97,$U97)))=Milestones!$AB$189),UPPER(TEXT(EDATE($D97,Milestones!$AA$189),"dd mmm yy"))&amp;" "&amp;Milestones!$AB$189&amp;" "&amp;Milestones!$AC$189&amp;";  ","")&amp;IF(AND(EDATE($D97,Milestones!$AA$190)&lt;=AsOfDate,IF($R97=0,$X97,IF(AND($T97&lt;&gt;"",EDATE($D97,Milestones!$AA$190)&gt;=$T97),$W97,IF(AND($S97&lt;&gt;"",EDATE($D97,Milestones!$AA$190)&gt;=$S97),$V97,$U97)))=Milestones!$AB$190),UPPER(TEXT(EDATE($D97,Milestones!$AA$190),"dd mmm yy"))&amp;" "&amp;Milestones!$AB$190&amp;" "&amp;Milestones!$AC$190&amp;";  ","")&amp;IF(AND(EDATE($D97,Milestones!$AA$191)&lt;=AsOfDate,IF($R97=0,$X97,IF(AND($T97&lt;&gt;"",EDATE($D97,Milestones!$AA$191)&gt;=$T97),$W97,IF(AND($S97&lt;&gt;"",EDATE($D97,Milestones!$AA$191)&gt;=$S97),$V97,$U97)))=Milestones!$AB$191),UPPER(TEXT(EDATE($D97,Milestones!$AA$191),"dd mmm yy"))&amp;" "&amp;Milestones!$AB$191&amp;" "&amp;Milestones!$AC$191&amp;";  ","")&amp;IF(AND(EDATE($D97,Milestones!$AA$192)&lt;=AsOfDate,IF($R97=0,$X97,IF(AND($T97&lt;&gt;"",EDATE($D97,Milestones!$AA$192)&gt;=$T97),$W97,IF(AND($S97&lt;&gt;"",EDATE($D97,Milestones!$AA$192)&gt;=$S97),$V97,$U97)))=Milestones!$AB$192),UPPER(TEXT(EDATE($D97,Milestones!$AA$192),"dd mmm yy"))&amp;" "&amp;Milestones!$AB$192&amp;" "&amp;Milestones!$AC$192&amp;";  ","")&amp;IF(AND(EDATE($D97,Milestones!$AA$193)&lt;=AsOfDate,IF($R97=0,$X97,IF(AND($T97&lt;&gt;"",EDATE($D97,Milestones!$AA$193)&gt;=$T97),$W97,IF(AND($S97&lt;&gt;"",EDATE($D97,Milestones!$AA$193)&gt;=$S97),$V97,$U97)))=Milestones!$AB$193),UPPER(TEXT(EDATE($D97,Milestones!$AA$193),"dd mmm yy"))&amp;" "&amp;Milestones!$AB$193&amp;" "&amp;Milestones!$AC$193&amp;";  ","")&amp;IF(AND(EDATE($D97,Milestones!$AA$194)&lt;=AsOfDate,IF($R97=0,$X97,IF(AND($T97&lt;&gt;"",EDATE($D97,Milestones!$AA$194)&gt;=$T97),$W97,IF(AND($S97&lt;&gt;"",EDATE($D97,Milestones!$AA$194)&gt;=$S97),$V97,$U97)))=Milestones!$AB$194),UPPER(TEXT(EDATE($D97,Milestones!$AA$194),"dd mmm yy"))&amp;" "&amp;Milestones!$AB$194&amp;" "&amp;Milestones!$AC$194&amp;";  ","")&amp;IF(AND(EDATE($D97,Milestones!$AA$195)&lt;=AsOfDate,IF($R97=0,$X97,IF(AND($T97&lt;&gt;"",EDATE($D97,Milestones!$AA$195)&gt;=$T97),$W97,IF(AND($S97&lt;&gt;"",EDATE($D97,Milestones!$AA$195)&gt;=$S97),$V97,$U97)))=Milestones!$AB$195),UPPER(TEXT(EDATE($D97,Milestones!$AA$195),"dd mmm yy"))&amp;" "&amp;Milestones!$AB$195&amp;" "&amp;Milestones!$AC$195&amp;";  ","")&amp;IF(AND(EDATE($D97,Milestones!$AA$196)&lt;=AsOfDate,IF($R97=0,$X97,IF(AND($T97&lt;&gt;"",EDATE($D97,Milestones!$AA$196)&gt;=$T97),$W97,IF(AND($S97&lt;&gt;"",EDATE($D97,Milestones!$AA$196)&gt;=$S97),$V97,$U97)))=Milestones!$AB$196),UPPER(TEXT(EDATE($D97,Milestones!$AA$196),"dd mmm yy"))&amp;" "&amp;Milestones!$AB$196&amp;" "&amp;Milestones!$AC$196&amp;";  ","")&amp;IF(AND(EDATE($D97,Milestones!$AA$197)&lt;=AsOfDate,IF($R97=0,$X97,IF(AND($T97&lt;&gt;"",EDATE($D97,Milestones!$AA$197)&gt;=$T97),$W97,IF(AND($S97&lt;&gt;"",EDATE($D97,Milestones!$AA$197)&gt;=$S97),$V97,$U97)))=Milestones!$AB$197),UPPER(TEXT(EDATE($D97,Milestones!$AA$197),"dd mmm yy"))&amp;" "&amp;Milestones!$AB$197&amp;" "&amp;Milestones!$AC$197&amp;";  ","")&amp;IF(AND(EDATE($D97,Milestones!$AA$198)&lt;=AsOfDate,IF($R97=0,$X97,IF(AND($T97&lt;&gt;"",EDATE($D97,Milestones!$AA$198)&gt;=$T97),$W97,IF(AND($S97&lt;&gt;"",EDATE($D97,Milestones!$AA$198)&gt;=$S97),$V97,$U97)))=Milestones!$AB$198),UPPER(TEXT(EDATE($D97,Milestones!$AA$198),"dd mmm yy"))&amp;" "&amp;Milestones!$AB$198&amp;" "&amp;Milestones!$AC$198&amp;";  ","")&amp;IF(AND(EDATE($D97,Milestones!$AA$199)&lt;=AsOfDate,IF($R97=0,$X97,IF(AND($T97&lt;&gt;"",EDATE($D97,Milestones!$AA$199)&gt;=$T97),$W97,IF(AND($S97&lt;&gt;"",EDATE($D97,Milestones!$AA$199)&gt;=$S97),$V97,$U97)))=Milestones!$AB$199),UPPER(TEXT(EDATE($D97,Milestones!$AA$199),"dd mmm yy"))&amp;" "&amp;Milestones!$AB$199&amp;" "&amp;Milestones!$AC$199&amp;";  ",""))</f>
        <v/>
      </c>
      <c r="R97" s="0" t="str">
        <f aca="false">IF(Staff!$A97="","",Staff!$AI97)</f>
        <v/>
      </c>
      <c r="S97" s="0" t="str">
        <f aca="false">IF(Staff!$A97="","",Staff!$AK97)</f>
        <v/>
      </c>
      <c r="T97" s="0" t="str">
        <f aca="false">IF(Staff!$A97="","",Staff!$AL97)</f>
        <v/>
      </c>
      <c r="U97" s="0" t="str">
        <f aca="false">IF(Staff!$A97="","",Staff!$AP97)</f>
        <v/>
      </c>
      <c r="V97" s="0" t="str">
        <f aca="false">IF(Staff!$A97="","",Staff!$AQ97)</f>
        <v/>
      </c>
      <c r="W97" s="0" t="str">
        <f aca="false">IF(Staff!$A97="","",Staff!$AR97)</f>
        <v/>
      </c>
      <c r="X97" s="0" t="str">
        <f aca="false">IF(Staff!$A97="","",Staff!$AS97)</f>
        <v/>
      </c>
    </row>
    <row r="98" customFormat="false" ht="15" hidden="false" customHeight="false" outlineLevel="0" collapsed="false">
      <c r="A98" s="14" t="str">
        <f aca="false">IF(Staff!$A98="","",Staff!$A98)</f>
        <v/>
      </c>
      <c r="B98" s="14" t="str">
        <f aca="false">IF(Staff!$A98="","",Staff!$B98)</f>
        <v/>
      </c>
      <c r="C98" s="14" t="str">
        <f aca="false">IF(Staff!$A98="","",Staff!$C98)</f>
        <v/>
      </c>
      <c r="D98" s="12" t="str">
        <f aca="false">IF(Staff!$A98="","",Staff!$AH98)</f>
        <v/>
      </c>
      <c r="E98" s="14" t="str">
        <f aca="false">IF(Staff!$A98="","",Staff!$O98)</f>
        <v/>
      </c>
      <c r="F98" s="14" t="str">
        <f aca="false">IF(E98="","",E98*HoursPerDay)</f>
        <v/>
      </c>
      <c r="G98" s="14" t="str">
        <f aca="false">IF(Staff!$A98="","",Staff!$AE98)</f>
        <v/>
      </c>
      <c r="H98" s="26" t="str">
        <f aca="false">IF($A98="","",I98&amp;J98&amp;K98&amp;L98&amp;M98&amp;N98&amp;O98&amp;P98&amp;Q98)</f>
        <v/>
      </c>
      <c r="I98" s="0" t="str">
        <f aca="false">IF(OR($A98="",$D98=""),"",IF(AND(EDATE($D98,Milestones!$AA$20)&lt;=AsOfDate,IF($R98=0,$X98,IF(AND($T98&lt;&gt;"",EDATE($D98,Milestones!$AA$20)&gt;=$T98),$W98,IF(AND($S98&lt;&gt;"",EDATE($D98,Milestones!$AA$20)&gt;=$S98),$V98,$U98)))=Milestones!$AB$20),UPPER(TEXT(EDATE($D98,Milestones!$AA$20),"dd mmm yy"))&amp;" "&amp;Milestones!$AB$20&amp;" "&amp;Milestones!$AC$20&amp;";  ","")&amp;IF(AND(EDATE($D98,Milestones!$AA$21)&lt;=AsOfDate,IF($R98=0,$X98,IF(AND($T98&lt;&gt;"",EDATE($D98,Milestones!$AA$21)&gt;=$T98),$W98,IF(AND($S98&lt;&gt;"",EDATE($D98,Milestones!$AA$21)&gt;=$S98),$V98,$U98)))=Milestones!$AB$21),UPPER(TEXT(EDATE($D98,Milestones!$AA$21),"dd mmm yy"))&amp;" "&amp;Milestones!$AB$21&amp;" "&amp;Milestones!$AC$21&amp;";  ","")&amp;IF(AND(EDATE($D98,Milestones!$AA$22)&lt;=AsOfDate,IF($R98=0,$X98,IF(AND($T98&lt;&gt;"",EDATE($D98,Milestones!$AA$22)&gt;=$T98),$W98,IF(AND($S98&lt;&gt;"",EDATE($D98,Milestones!$AA$22)&gt;=$S98),$V98,$U98)))=Milestones!$AB$22),UPPER(TEXT(EDATE($D98,Milestones!$AA$22),"dd mmm yy"))&amp;" "&amp;Milestones!$AB$22&amp;" "&amp;Milestones!$AC$22&amp;";  ","")&amp;IF(AND(EDATE($D98,Milestones!$AA$23)&lt;=AsOfDate,IF($R98=0,$X98,IF(AND($T98&lt;&gt;"",EDATE($D98,Milestones!$AA$23)&gt;=$T98),$W98,IF(AND($S98&lt;&gt;"",EDATE($D98,Milestones!$AA$23)&gt;=$S98),$V98,$U98)))=Milestones!$AB$23),UPPER(TEXT(EDATE($D98,Milestones!$AA$23),"dd mmm yy"))&amp;" "&amp;Milestones!$AB$23&amp;" "&amp;Milestones!$AC$23&amp;";  ","")&amp;IF(AND(EDATE($D98,Milestones!$AA$24)&lt;=AsOfDate,IF($R98=0,$X98,IF(AND($T98&lt;&gt;"",EDATE($D98,Milestones!$AA$24)&gt;=$T98),$W98,IF(AND($S98&lt;&gt;"",EDATE($D98,Milestones!$AA$24)&gt;=$S98),$V98,$U98)))=Milestones!$AB$24),UPPER(TEXT(EDATE($D98,Milestones!$AA$24),"dd mmm yy"))&amp;" "&amp;Milestones!$AB$24&amp;" "&amp;Milestones!$AC$24&amp;";  ","")&amp;IF(AND(EDATE($D98,Milestones!$AA$25)&lt;=AsOfDate,IF($R98=0,$X98,IF(AND($T98&lt;&gt;"",EDATE($D98,Milestones!$AA$25)&gt;=$T98),$W98,IF(AND($S98&lt;&gt;"",EDATE($D98,Milestones!$AA$25)&gt;=$S98),$V98,$U98)))=Milestones!$AB$25),UPPER(TEXT(EDATE($D98,Milestones!$AA$25),"dd mmm yy"))&amp;" "&amp;Milestones!$AB$25&amp;" "&amp;Milestones!$AC$25&amp;";  ","")&amp;IF(AND(EDATE($D98,Milestones!$AA$26)&lt;=AsOfDate,IF($R98=0,$X98,IF(AND($T98&lt;&gt;"",EDATE($D98,Milestones!$AA$26)&gt;=$T98),$W98,IF(AND($S98&lt;&gt;"",EDATE($D98,Milestones!$AA$26)&gt;=$S98),$V98,$U98)))=Milestones!$AB$26),UPPER(TEXT(EDATE($D98,Milestones!$AA$26),"dd mmm yy"))&amp;" "&amp;Milestones!$AB$26&amp;" "&amp;Milestones!$AC$26&amp;";  ","")&amp;IF(AND(EDATE($D98,Milestones!$AA$27)&lt;=AsOfDate,IF($R98=0,$X98,IF(AND($T98&lt;&gt;"",EDATE($D98,Milestones!$AA$27)&gt;=$T98),$W98,IF(AND($S98&lt;&gt;"",EDATE($D98,Milestones!$AA$27)&gt;=$S98),$V98,$U98)))=Milestones!$AB$27),UPPER(TEXT(EDATE($D98,Milestones!$AA$27),"dd mmm yy"))&amp;" "&amp;Milestones!$AB$27&amp;" "&amp;Milestones!$AC$27&amp;";  ","")&amp;IF(AND(EDATE($D98,Milestones!$AA$28)&lt;=AsOfDate,IF($R98=0,$X98,IF(AND($T98&lt;&gt;"",EDATE($D98,Milestones!$AA$28)&gt;=$T98),$W98,IF(AND($S98&lt;&gt;"",EDATE($D98,Milestones!$AA$28)&gt;=$S98),$V98,$U98)))=Milestones!$AB$28),UPPER(TEXT(EDATE($D98,Milestones!$AA$28),"dd mmm yy"))&amp;" "&amp;Milestones!$AB$28&amp;" "&amp;Milestones!$AC$28&amp;";  ","")&amp;IF(AND(EDATE($D98,Milestones!$AA$29)&lt;=AsOfDate,IF($R98=0,$X98,IF(AND($T98&lt;&gt;"",EDATE($D98,Milestones!$AA$29)&gt;=$T98),$W98,IF(AND($S98&lt;&gt;"",EDATE($D98,Milestones!$AA$29)&gt;=$S98),$V98,$U98)))=Milestones!$AB$29),UPPER(TEXT(EDATE($D98,Milestones!$AA$29),"dd mmm yy"))&amp;" "&amp;Milestones!$AB$29&amp;" "&amp;Milestones!$AC$29&amp;";  ","")&amp;IF(AND(EDATE($D98,Milestones!$AA$30)&lt;=AsOfDate,IF($R98=0,$X98,IF(AND($T98&lt;&gt;"",EDATE($D98,Milestones!$AA$30)&gt;=$T98),$W98,IF(AND($S98&lt;&gt;"",EDATE($D98,Milestones!$AA$30)&gt;=$S98),$V98,$U98)))=Milestones!$AB$30),UPPER(TEXT(EDATE($D98,Milestones!$AA$30),"dd mmm yy"))&amp;" "&amp;Milestones!$AB$30&amp;" "&amp;Milestones!$AC$30&amp;";  ","")&amp;IF(AND(EDATE($D98,Milestones!$AA$31)&lt;=AsOfDate,IF($R98=0,$X98,IF(AND($T98&lt;&gt;"",EDATE($D98,Milestones!$AA$31)&gt;=$T98),$W98,IF(AND($S98&lt;&gt;"",EDATE($D98,Milestones!$AA$31)&gt;=$S98),$V98,$U98)))=Milestones!$AB$31),UPPER(TEXT(EDATE($D98,Milestones!$AA$31),"dd mmm yy"))&amp;" "&amp;Milestones!$AB$31&amp;" "&amp;Milestones!$AC$31&amp;";  ","")&amp;IF(AND(EDATE($D98,Milestones!$AA$32)&lt;=AsOfDate,IF($R98=0,$X98,IF(AND($T98&lt;&gt;"",EDATE($D98,Milestones!$AA$32)&gt;=$T98),$W98,IF(AND($S98&lt;&gt;"",EDATE($D98,Milestones!$AA$32)&gt;=$S98),$V98,$U98)))=Milestones!$AB$32),UPPER(TEXT(EDATE($D98,Milestones!$AA$32),"dd mmm yy"))&amp;" "&amp;Milestones!$AB$32&amp;" "&amp;Milestones!$AC$32&amp;";  ","")&amp;IF(AND(EDATE($D98,Milestones!$AA$33)&lt;=AsOfDate,IF($R98=0,$X98,IF(AND($T98&lt;&gt;"",EDATE($D98,Milestones!$AA$33)&gt;=$T98),$W98,IF(AND($S98&lt;&gt;"",EDATE($D98,Milestones!$AA$33)&gt;=$S98),$V98,$U98)))=Milestones!$AB$33),UPPER(TEXT(EDATE($D98,Milestones!$AA$33),"dd mmm yy"))&amp;" "&amp;Milestones!$AB$33&amp;" "&amp;Milestones!$AC$33&amp;";  ","")&amp;IF(AND(EDATE($D98,Milestones!$AA$34)&lt;=AsOfDate,IF($R98=0,$X98,IF(AND($T98&lt;&gt;"",EDATE($D98,Milestones!$AA$34)&gt;=$T98),$W98,IF(AND($S98&lt;&gt;"",EDATE($D98,Milestones!$AA$34)&gt;=$S98),$V98,$U98)))=Milestones!$AB$34),UPPER(TEXT(EDATE($D98,Milestones!$AA$34),"dd mmm yy"))&amp;" "&amp;Milestones!$AB$34&amp;" "&amp;Milestones!$AC$34&amp;";  ","")&amp;IF(AND(EDATE($D98,Milestones!$AA$35)&lt;=AsOfDate,IF($R98=0,$X98,IF(AND($T98&lt;&gt;"",EDATE($D98,Milestones!$AA$35)&gt;=$T98),$W98,IF(AND($S98&lt;&gt;"",EDATE($D98,Milestones!$AA$35)&gt;=$S98),$V98,$U98)))=Milestones!$AB$35),UPPER(TEXT(EDATE($D98,Milestones!$AA$35),"dd mmm yy"))&amp;" "&amp;Milestones!$AB$35&amp;" "&amp;Milestones!$AC$35&amp;";  ","")&amp;IF(AND(EDATE($D98,Milestones!$AA$36)&lt;=AsOfDate,IF($R98=0,$X98,IF(AND($T98&lt;&gt;"",EDATE($D98,Milestones!$AA$36)&gt;=$T98),$W98,IF(AND($S98&lt;&gt;"",EDATE($D98,Milestones!$AA$36)&gt;=$S98),$V98,$U98)))=Milestones!$AB$36),UPPER(TEXT(EDATE($D98,Milestones!$AA$36),"dd mmm yy"))&amp;" "&amp;Milestones!$AB$36&amp;" "&amp;Milestones!$AC$36&amp;";  ","")&amp;IF(AND(EDATE($D98,Milestones!$AA$37)&lt;=AsOfDate,IF($R98=0,$X98,IF(AND($T98&lt;&gt;"",EDATE($D98,Milestones!$AA$37)&gt;=$T98),$W98,IF(AND($S98&lt;&gt;"",EDATE($D98,Milestones!$AA$37)&gt;=$S98),$V98,$U98)))=Milestones!$AB$37),UPPER(TEXT(EDATE($D98,Milestones!$AA$37),"dd mmm yy"))&amp;" "&amp;Milestones!$AB$37&amp;" "&amp;Milestones!$AC$37&amp;";  ","")&amp;IF(AND(EDATE($D98,Milestones!$AA$38)&lt;=AsOfDate,IF($R98=0,$X98,IF(AND($T98&lt;&gt;"",EDATE($D98,Milestones!$AA$38)&gt;=$T98),$W98,IF(AND($S98&lt;&gt;"",EDATE($D98,Milestones!$AA$38)&gt;=$S98),$V98,$U98)))=Milestones!$AB$38),UPPER(TEXT(EDATE($D98,Milestones!$AA$38),"dd mmm yy"))&amp;" "&amp;Milestones!$AB$38&amp;" "&amp;Milestones!$AC$38&amp;";  ","")&amp;IF(AND(EDATE($D98,Milestones!$AA$39)&lt;=AsOfDate,IF($R98=0,$X98,IF(AND($T98&lt;&gt;"",EDATE($D98,Milestones!$AA$39)&gt;=$T98),$W98,IF(AND($S98&lt;&gt;"",EDATE($D98,Milestones!$AA$39)&gt;=$S98),$V98,$U98)))=Milestones!$AB$39),UPPER(TEXT(EDATE($D98,Milestones!$AA$39),"dd mmm yy"))&amp;" "&amp;Milestones!$AB$39&amp;" "&amp;Milestones!$AC$39&amp;";  ",""))</f>
        <v/>
      </c>
      <c r="J98" s="0" t="str">
        <f aca="false">IF(OR($A98="",$D98=""),"",IF(AND(EDATE($D98,Milestones!$AA$40)&lt;=AsOfDate,IF($R98=0,$X98,IF(AND($T98&lt;&gt;"",EDATE($D98,Milestones!$AA$40)&gt;=$T98),$W98,IF(AND($S98&lt;&gt;"",EDATE($D98,Milestones!$AA$40)&gt;=$S98),$V98,$U98)))=Milestones!$AB$40),UPPER(TEXT(EDATE($D98,Milestones!$AA$40),"dd mmm yy"))&amp;" "&amp;Milestones!$AB$40&amp;" "&amp;Milestones!$AC$40&amp;";  ","")&amp;IF(AND(EDATE($D98,Milestones!$AA$41)&lt;=AsOfDate,IF($R98=0,$X98,IF(AND($T98&lt;&gt;"",EDATE($D98,Milestones!$AA$41)&gt;=$T98),$W98,IF(AND($S98&lt;&gt;"",EDATE($D98,Milestones!$AA$41)&gt;=$S98),$V98,$U98)))=Milestones!$AB$41),UPPER(TEXT(EDATE($D98,Milestones!$AA$41),"dd mmm yy"))&amp;" "&amp;Milestones!$AB$41&amp;" "&amp;Milestones!$AC$41&amp;";  ","")&amp;IF(AND(EDATE($D98,Milestones!$AA$42)&lt;=AsOfDate,IF($R98=0,$X98,IF(AND($T98&lt;&gt;"",EDATE($D98,Milestones!$AA$42)&gt;=$T98),$W98,IF(AND($S98&lt;&gt;"",EDATE($D98,Milestones!$AA$42)&gt;=$S98),$V98,$U98)))=Milestones!$AB$42),UPPER(TEXT(EDATE($D98,Milestones!$AA$42),"dd mmm yy"))&amp;" "&amp;Milestones!$AB$42&amp;" "&amp;Milestones!$AC$42&amp;";  ","")&amp;IF(AND(EDATE($D98,Milestones!$AA$43)&lt;=AsOfDate,IF($R98=0,$X98,IF(AND($T98&lt;&gt;"",EDATE($D98,Milestones!$AA$43)&gt;=$T98),$W98,IF(AND($S98&lt;&gt;"",EDATE($D98,Milestones!$AA$43)&gt;=$S98),$V98,$U98)))=Milestones!$AB$43),UPPER(TEXT(EDATE($D98,Milestones!$AA$43),"dd mmm yy"))&amp;" "&amp;Milestones!$AB$43&amp;" "&amp;Milestones!$AC$43&amp;";  ","")&amp;IF(AND(EDATE($D98,Milestones!$AA$44)&lt;=AsOfDate,IF($R98=0,$X98,IF(AND($T98&lt;&gt;"",EDATE($D98,Milestones!$AA$44)&gt;=$T98),$W98,IF(AND($S98&lt;&gt;"",EDATE($D98,Milestones!$AA$44)&gt;=$S98),$V98,$U98)))=Milestones!$AB$44),UPPER(TEXT(EDATE($D98,Milestones!$AA$44),"dd mmm yy"))&amp;" "&amp;Milestones!$AB$44&amp;" "&amp;Milestones!$AC$44&amp;";  ","")&amp;IF(AND(EDATE($D98,Milestones!$AA$45)&lt;=AsOfDate,IF($R98=0,$X98,IF(AND($T98&lt;&gt;"",EDATE($D98,Milestones!$AA$45)&gt;=$T98),$W98,IF(AND($S98&lt;&gt;"",EDATE($D98,Milestones!$AA$45)&gt;=$S98),$V98,$U98)))=Milestones!$AB$45),UPPER(TEXT(EDATE($D98,Milestones!$AA$45),"dd mmm yy"))&amp;" "&amp;Milestones!$AB$45&amp;" "&amp;Milestones!$AC$45&amp;";  ","")&amp;IF(AND(EDATE($D98,Milestones!$AA$46)&lt;=AsOfDate,IF($R98=0,$X98,IF(AND($T98&lt;&gt;"",EDATE($D98,Milestones!$AA$46)&gt;=$T98),$W98,IF(AND($S98&lt;&gt;"",EDATE($D98,Milestones!$AA$46)&gt;=$S98),$V98,$U98)))=Milestones!$AB$46),UPPER(TEXT(EDATE($D98,Milestones!$AA$46),"dd mmm yy"))&amp;" "&amp;Milestones!$AB$46&amp;" "&amp;Milestones!$AC$46&amp;";  ","")&amp;IF(AND(EDATE($D98,Milestones!$AA$47)&lt;=AsOfDate,IF($R98=0,$X98,IF(AND($T98&lt;&gt;"",EDATE($D98,Milestones!$AA$47)&gt;=$T98),$W98,IF(AND($S98&lt;&gt;"",EDATE($D98,Milestones!$AA$47)&gt;=$S98),$V98,$U98)))=Milestones!$AB$47),UPPER(TEXT(EDATE($D98,Milestones!$AA$47),"dd mmm yy"))&amp;" "&amp;Milestones!$AB$47&amp;" "&amp;Milestones!$AC$47&amp;";  ","")&amp;IF(AND(EDATE($D98,Milestones!$AA$48)&lt;=AsOfDate,IF($R98=0,$X98,IF(AND($T98&lt;&gt;"",EDATE($D98,Milestones!$AA$48)&gt;=$T98),$W98,IF(AND($S98&lt;&gt;"",EDATE($D98,Milestones!$AA$48)&gt;=$S98),$V98,$U98)))=Milestones!$AB$48),UPPER(TEXT(EDATE($D98,Milestones!$AA$48),"dd mmm yy"))&amp;" "&amp;Milestones!$AB$48&amp;" "&amp;Milestones!$AC$48&amp;";  ","")&amp;IF(AND(EDATE($D98,Milestones!$AA$49)&lt;=AsOfDate,IF($R98=0,$X98,IF(AND($T98&lt;&gt;"",EDATE($D98,Milestones!$AA$49)&gt;=$T98),$W98,IF(AND($S98&lt;&gt;"",EDATE($D98,Milestones!$AA$49)&gt;=$S98),$V98,$U98)))=Milestones!$AB$49),UPPER(TEXT(EDATE($D98,Milestones!$AA$49),"dd mmm yy"))&amp;" "&amp;Milestones!$AB$49&amp;" "&amp;Milestones!$AC$49&amp;";  ","")&amp;IF(AND(EDATE($D98,Milestones!$AA$50)&lt;=AsOfDate,IF($R98=0,$X98,IF(AND($T98&lt;&gt;"",EDATE($D98,Milestones!$AA$50)&gt;=$T98),$W98,IF(AND($S98&lt;&gt;"",EDATE($D98,Milestones!$AA$50)&gt;=$S98),$V98,$U98)))=Milestones!$AB$50),UPPER(TEXT(EDATE($D98,Milestones!$AA$50),"dd mmm yy"))&amp;" "&amp;Milestones!$AB$50&amp;" "&amp;Milestones!$AC$50&amp;";  ","")&amp;IF(AND(EDATE($D98,Milestones!$AA$51)&lt;=AsOfDate,IF($R98=0,$X98,IF(AND($T98&lt;&gt;"",EDATE($D98,Milestones!$AA$51)&gt;=$T98),$W98,IF(AND($S98&lt;&gt;"",EDATE($D98,Milestones!$AA$51)&gt;=$S98),$V98,$U98)))=Milestones!$AB$51),UPPER(TEXT(EDATE($D98,Milestones!$AA$51),"dd mmm yy"))&amp;" "&amp;Milestones!$AB$51&amp;" "&amp;Milestones!$AC$51&amp;";  ","")&amp;IF(AND(EDATE($D98,Milestones!$AA$52)&lt;=AsOfDate,IF($R98=0,$X98,IF(AND($T98&lt;&gt;"",EDATE($D98,Milestones!$AA$52)&gt;=$T98),$W98,IF(AND($S98&lt;&gt;"",EDATE($D98,Milestones!$AA$52)&gt;=$S98),$V98,$U98)))=Milestones!$AB$52),UPPER(TEXT(EDATE($D98,Milestones!$AA$52),"dd mmm yy"))&amp;" "&amp;Milestones!$AB$52&amp;" "&amp;Milestones!$AC$52&amp;";  ","")&amp;IF(AND(EDATE($D98,Milestones!$AA$53)&lt;=AsOfDate,IF($R98=0,$X98,IF(AND($T98&lt;&gt;"",EDATE($D98,Milestones!$AA$53)&gt;=$T98),$W98,IF(AND($S98&lt;&gt;"",EDATE($D98,Milestones!$AA$53)&gt;=$S98),$V98,$U98)))=Milestones!$AB$53),UPPER(TEXT(EDATE($D98,Milestones!$AA$53),"dd mmm yy"))&amp;" "&amp;Milestones!$AB$53&amp;" "&amp;Milestones!$AC$53&amp;";  ","")&amp;IF(AND(EDATE($D98,Milestones!$AA$54)&lt;=AsOfDate,IF($R98=0,$X98,IF(AND($T98&lt;&gt;"",EDATE($D98,Milestones!$AA$54)&gt;=$T98),$W98,IF(AND($S98&lt;&gt;"",EDATE($D98,Milestones!$AA$54)&gt;=$S98),$V98,$U98)))=Milestones!$AB$54),UPPER(TEXT(EDATE($D98,Milestones!$AA$54),"dd mmm yy"))&amp;" "&amp;Milestones!$AB$54&amp;" "&amp;Milestones!$AC$54&amp;";  ","")&amp;IF(AND(EDATE($D98,Milestones!$AA$55)&lt;=AsOfDate,IF($R98=0,$X98,IF(AND($T98&lt;&gt;"",EDATE($D98,Milestones!$AA$55)&gt;=$T98),$W98,IF(AND($S98&lt;&gt;"",EDATE($D98,Milestones!$AA$55)&gt;=$S98),$V98,$U98)))=Milestones!$AB$55),UPPER(TEXT(EDATE($D98,Milestones!$AA$55),"dd mmm yy"))&amp;" "&amp;Milestones!$AB$55&amp;" "&amp;Milestones!$AC$55&amp;";  ","")&amp;IF(AND(EDATE($D98,Milestones!$AA$56)&lt;=AsOfDate,IF($R98=0,$X98,IF(AND($T98&lt;&gt;"",EDATE($D98,Milestones!$AA$56)&gt;=$T98),$W98,IF(AND($S98&lt;&gt;"",EDATE($D98,Milestones!$AA$56)&gt;=$S98),$V98,$U98)))=Milestones!$AB$56),UPPER(TEXT(EDATE($D98,Milestones!$AA$56),"dd mmm yy"))&amp;" "&amp;Milestones!$AB$56&amp;" "&amp;Milestones!$AC$56&amp;";  ","")&amp;IF(AND(EDATE($D98,Milestones!$AA$57)&lt;=AsOfDate,IF($R98=0,$X98,IF(AND($T98&lt;&gt;"",EDATE($D98,Milestones!$AA$57)&gt;=$T98),$W98,IF(AND($S98&lt;&gt;"",EDATE($D98,Milestones!$AA$57)&gt;=$S98),$V98,$U98)))=Milestones!$AB$57),UPPER(TEXT(EDATE($D98,Milestones!$AA$57),"dd mmm yy"))&amp;" "&amp;Milestones!$AB$57&amp;" "&amp;Milestones!$AC$57&amp;";  ","")&amp;IF(AND(EDATE($D98,Milestones!$AA$58)&lt;=AsOfDate,IF($R98=0,$X98,IF(AND($T98&lt;&gt;"",EDATE($D98,Milestones!$AA$58)&gt;=$T98),$W98,IF(AND($S98&lt;&gt;"",EDATE($D98,Milestones!$AA$58)&gt;=$S98),$V98,$U98)))=Milestones!$AB$58),UPPER(TEXT(EDATE($D98,Milestones!$AA$58),"dd mmm yy"))&amp;" "&amp;Milestones!$AB$58&amp;" "&amp;Milestones!$AC$58&amp;";  ","")&amp;IF(AND(EDATE($D98,Milestones!$AA$59)&lt;=AsOfDate,IF($R98=0,$X98,IF(AND($T98&lt;&gt;"",EDATE($D98,Milestones!$AA$59)&gt;=$T98),$W98,IF(AND($S98&lt;&gt;"",EDATE($D98,Milestones!$AA$59)&gt;=$S98),$V98,$U98)))=Milestones!$AB$59),UPPER(TEXT(EDATE($D98,Milestones!$AA$59),"dd mmm yy"))&amp;" "&amp;Milestones!$AB$59&amp;" "&amp;Milestones!$AC$59&amp;";  ",""))</f>
        <v/>
      </c>
      <c r="K98" s="0" t="str">
        <f aca="false">IF(OR($A98="",$D98=""),"",IF(AND(EDATE($D98,Milestones!$AA$60)&lt;=AsOfDate,IF($R98=0,$X98,IF(AND($T98&lt;&gt;"",EDATE($D98,Milestones!$AA$60)&gt;=$T98),$W98,IF(AND($S98&lt;&gt;"",EDATE($D98,Milestones!$AA$60)&gt;=$S98),$V98,$U98)))=Milestones!$AB$60),UPPER(TEXT(EDATE($D98,Milestones!$AA$60),"dd mmm yy"))&amp;" "&amp;Milestones!$AB$60&amp;" "&amp;Milestones!$AC$60&amp;";  ","")&amp;IF(AND(EDATE($D98,Milestones!$AA$61)&lt;=AsOfDate,IF($R98=0,$X98,IF(AND($T98&lt;&gt;"",EDATE($D98,Milestones!$AA$61)&gt;=$T98),$W98,IF(AND($S98&lt;&gt;"",EDATE($D98,Milestones!$AA$61)&gt;=$S98),$V98,$U98)))=Milestones!$AB$61),UPPER(TEXT(EDATE($D98,Milestones!$AA$61),"dd mmm yy"))&amp;" "&amp;Milestones!$AB$61&amp;" "&amp;Milestones!$AC$61&amp;";  ","")&amp;IF(AND(EDATE($D98,Milestones!$AA$62)&lt;=AsOfDate,IF($R98=0,$X98,IF(AND($T98&lt;&gt;"",EDATE($D98,Milestones!$AA$62)&gt;=$T98),$W98,IF(AND($S98&lt;&gt;"",EDATE($D98,Milestones!$AA$62)&gt;=$S98),$V98,$U98)))=Milestones!$AB$62),UPPER(TEXT(EDATE($D98,Milestones!$AA$62),"dd mmm yy"))&amp;" "&amp;Milestones!$AB$62&amp;" "&amp;Milestones!$AC$62&amp;";  ","")&amp;IF(AND(EDATE($D98,Milestones!$AA$63)&lt;=AsOfDate,IF($R98=0,$X98,IF(AND($T98&lt;&gt;"",EDATE($D98,Milestones!$AA$63)&gt;=$T98),$W98,IF(AND($S98&lt;&gt;"",EDATE($D98,Milestones!$AA$63)&gt;=$S98),$V98,$U98)))=Milestones!$AB$63),UPPER(TEXT(EDATE($D98,Milestones!$AA$63),"dd mmm yy"))&amp;" "&amp;Milestones!$AB$63&amp;" "&amp;Milestones!$AC$63&amp;";  ","")&amp;IF(AND(EDATE($D98,Milestones!$AA$64)&lt;=AsOfDate,IF($R98=0,$X98,IF(AND($T98&lt;&gt;"",EDATE($D98,Milestones!$AA$64)&gt;=$T98),$W98,IF(AND($S98&lt;&gt;"",EDATE($D98,Milestones!$AA$64)&gt;=$S98),$V98,$U98)))=Milestones!$AB$64),UPPER(TEXT(EDATE($D98,Milestones!$AA$64),"dd mmm yy"))&amp;" "&amp;Milestones!$AB$64&amp;" "&amp;Milestones!$AC$64&amp;";  ","")&amp;IF(AND(EDATE($D98,Milestones!$AA$65)&lt;=AsOfDate,IF($R98=0,$X98,IF(AND($T98&lt;&gt;"",EDATE($D98,Milestones!$AA$65)&gt;=$T98),$W98,IF(AND($S98&lt;&gt;"",EDATE($D98,Milestones!$AA$65)&gt;=$S98),$V98,$U98)))=Milestones!$AB$65),UPPER(TEXT(EDATE($D98,Milestones!$AA$65),"dd mmm yy"))&amp;" "&amp;Milestones!$AB$65&amp;" "&amp;Milestones!$AC$65&amp;";  ","")&amp;IF(AND(EDATE($D98,Milestones!$AA$66)&lt;=AsOfDate,IF($R98=0,$X98,IF(AND($T98&lt;&gt;"",EDATE($D98,Milestones!$AA$66)&gt;=$T98),$W98,IF(AND($S98&lt;&gt;"",EDATE($D98,Milestones!$AA$66)&gt;=$S98),$V98,$U98)))=Milestones!$AB$66),UPPER(TEXT(EDATE($D98,Milestones!$AA$66),"dd mmm yy"))&amp;" "&amp;Milestones!$AB$66&amp;" "&amp;Milestones!$AC$66&amp;";  ","")&amp;IF(AND(EDATE($D98,Milestones!$AA$67)&lt;=AsOfDate,IF($R98=0,$X98,IF(AND($T98&lt;&gt;"",EDATE($D98,Milestones!$AA$67)&gt;=$T98),$W98,IF(AND($S98&lt;&gt;"",EDATE($D98,Milestones!$AA$67)&gt;=$S98),$V98,$U98)))=Milestones!$AB$67),UPPER(TEXT(EDATE($D98,Milestones!$AA$67),"dd mmm yy"))&amp;" "&amp;Milestones!$AB$67&amp;" "&amp;Milestones!$AC$67&amp;";  ","")&amp;IF(AND(EDATE($D98,Milestones!$AA$68)&lt;=AsOfDate,IF($R98=0,$X98,IF(AND($T98&lt;&gt;"",EDATE($D98,Milestones!$AA$68)&gt;=$T98),$W98,IF(AND($S98&lt;&gt;"",EDATE($D98,Milestones!$AA$68)&gt;=$S98),$V98,$U98)))=Milestones!$AB$68),UPPER(TEXT(EDATE($D98,Milestones!$AA$68),"dd mmm yy"))&amp;" "&amp;Milestones!$AB$68&amp;" "&amp;Milestones!$AC$68&amp;";  ","")&amp;IF(AND(EDATE($D98,Milestones!$AA$69)&lt;=AsOfDate,IF($R98=0,$X98,IF(AND($T98&lt;&gt;"",EDATE($D98,Milestones!$AA$69)&gt;=$T98),$W98,IF(AND($S98&lt;&gt;"",EDATE($D98,Milestones!$AA$69)&gt;=$S98),$V98,$U98)))=Milestones!$AB$69),UPPER(TEXT(EDATE($D98,Milestones!$AA$69),"dd mmm yy"))&amp;" "&amp;Milestones!$AB$69&amp;" "&amp;Milestones!$AC$69&amp;";  ","")&amp;IF(AND(EDATE($D98,Milestones!$AA$70)&lt;=AsOfDate,IF($R98=0,$X98,IF(AND($T98&lt;&gt;"",EDATE($D98,Milestones!$AA$70)&gt;=$T98),$W98,IF(AND($S98&lt;&gt;"",EDATE($D98,Milestones!$AA$70)&gt;=$S98),$V98,$U98)))=Milestones!$AB$70),UPPER(TEXT(EDATE($D98,Milestones!$AA$70),"dd mmm yy"))&amp;" "&amp;Milestones!$AB$70&amp;" "&amp;Milestones!$AC$70&amp;";  ","")&amp;IF(AND(EDATE($D98,Milestones!$AA$71)&lt;=AsOfDate,IF($R98=0,$X98,IF(AND($T98&lt;&gt;"",EDATE($D98,Milestones!$AA$71)&gt;=$T98),$W98,IF(AND($S98&lt;&gt;"",EDATE($D98,Milestones!$AA$71)&gt;=$S98),$V98,$U98)))=Milestones!$AB$71),UPPER(TEXT(EDATE($D98,Milestones!$AA$71),"dd mmm yy"))&amp;" "&amp;Milestones!$AB$71&amp;" "&amp;Milestones!$AC$71&amp;";  ","")&amp;IF(AND(EDATE($D98,Milestones!$AA$72)&lt;=AsOfDate,IF($R98=0,$X98,IF(AND($T98&lt;&gt;"",EDATE($D98,Milestones!$AA$72)&gt;=$T98),$W98,IF(AND($S98&lt;&gt;"",EDATE($D98,Milestones!$AA$72)&gt;=$S98),$V98,$U98)))=Milestones!$AB$72),UPPER(TEXT(EDATE($D98,Milestones!$AA$72),"dd mmm yy"))&amp;" "&amp;Milestones!$AB$72&amp;" "&amp;Milestones!$AC$72&amp;";  ","")&amp;IF(AND(EDATE($D98,Milestones!$AA$73)&lt;=AsOfDate,IF($R98=0,$X98,IF(AND($T98&lt;&gt;"",EDATE($D98,Milestones!$AA$73)&gt;=$T98),$W98,IF(AND($S98&lt;&gt;"",EDATE($D98,Milestones!$AA$73)&gt;=$S98),$V98,$U98)))=Milestones!$AB$73),UPPER(TEXT(EDATE($D98,Milestones!$AA$73),"dd mmm yy"))&amp;" "&amp;Milestones!$AB$73&amp;" "&amp;Milestones!$AC$73&amp;";  ","")&amp;IF(AND(EDATE($D98,Milestones!$AA$74)&lt;=AsOfDate,IF($R98=0,$X98,IF(AND($T98&lt;&gt;"",EDATE($D98,Milestones!$AA$74)&gt;=$T98),$W98,IF(AND($S98&lt;&gt;"",EDATE($D98,Milestones!$AA$74)&gt;=$S98),$V98,$U98)))=Milestones!$AB$74),UPPER(TEXT(EDATE($D98,Milestones!$AA$74),"dd mmm yy"))&amp;" "&amp;Milestones!$AB$74&amp;" "&amp;Milestones!$AC$74&amp;";  ","")&amp;IF(AND(EDATE($D98,Milestones!$AA$75)&lt;=AsOfDate,IF($R98=0,$X98,IF(AND($T98&lt;&gt;"",EDATE($D98,Milestones!$AA$75)&gt;=$T98),$W98,IF(AND($S98&lt;&gt;"",EDATE($D98,Milestones!$AA$75)&gt;=$S98),$V98,$U98)))=Milestones!$AB$75),UPPER(TEXT(EDATE($D98,Milestones!$AA$75),"dd mmm yy"))&amp;" "&amp;Milestones!$AB$75&amp;" "&amp;Milestones!$AC$75&amp;";  ","")&amp;IF(AND(EDATE($D98,Milestones!$AA$76)&lt;=AsOfDate,IF($R98=0,$X98,IF(AND($T98&lt;&gt;"",EDATE($D98,Milestones!$AA$76)&gt;=$T98),$W98,IF(AND($S98&lt;&gt;"",EDATE($D98,Milestones!$AA$76)&gt;=$S98),$V98,$U98)))=Milestones!$AB$76),UPPER(TEXT(EDATE($D98,Milestones!$AA$76),"dd mmm yy"))&amp;" "&amp;Milestones!$AB$76&amp;" "&amp;Milestones!$AC$76&amp;";  ","")&amp;IF(AND(EDATE($D98,Milestones!$AA$77)&lt;=AsOfDate,IF($R98=0,$X98,IF(AND($T98&lt;&gt;"",EDATE($D98,Milestones!$AA$77)&gt;=$T98),$W98,IF(AND($S98&lt;&gt;"",EDATE($D98,Milestones!$AA$77)&gt;=$S98),$V98,$U98)))=Milestones!$AB$77),UPPER(TEXT(EDATE($D98,Milestones!$AA$77),"dd mmm yy"))&amp;" "&amp;Milestones!$AB$77&amp;" "&amp;Milestones!$AC$77&amp;";  ","")&amp;IF(AND(EDATE($D98,Milestones!$AA$78)&lt;=AsOfDate,IF($R98=0,$X98,IF(AND($T98&lt;&gt;"",EDATE($D98,Milestones!$AA$78)&gt;=$T98),$W98,IF(AND($S98&lt;&gt;"",EDATE($D98,Milestones!$AA$78)&gt;=$S98),$V98,$U98)))=Milestones!$AB$78),UPPER(TEXT(EDATE($D98,Milestones!$AA$78),"dd mmm yy"))&amp;" "&amp;Milestones!$AB$78&amp;" "&amp;Milestones!$AC$78&amp;";  ","")&amp;IF(AND(EDATE($D98,Milestones!$AA$79)&lt;=AsOfDate,IF($R98=0,$X98,IF(AND($T98&lt;&gt;"",EDATE($D98,Milestones!$AA$79)&gt;=$T98),$W98,IF(AND($S98&lt;&gt;"",EDATE($D98,Milestones!$AA$79)&gt;=$S98),$V98,$U98)))=Milestones!$AB$79),UPPER(TEXT(EDATE($D98,Milestones!$AA$79),"dd mmm yy"))&amp;" "&amp;Milestones!$AB$79&amp;" "&amp;Milestones!$AC$79&amp;";  ",""))</f>
        <v/>
      </c>
      <c r="L98" s="0" t="str">
        <f aca="false">IF(OR($A98="",$D98=""),"",IF(AND(EDATE($D98,Milestones!$AA$80)&lt;=AsOfDate,IF($R98=0,$X98,IF(AND($T98&lt;&gt;"",EDATE($D98,Milestones!$AA$80)&gt;=$T98),$W98,IF(AND($S98&lt;&gt;"",EDATE($D98,Milestones!$AA$80)&gt;=$S98),$V98,$U98)))=Milestones!$AB$80),UPPER(TEXT(EDATE($D98,Milestones!$AA$80),"dd mmm yy"))&amp;" "&amp;Milestones!$AB$80&amp;" "&amp;Milestones!$AC$80&amp;";  ","")&amp;IF(AND(EDATE($D98,Milestones!$AA$81)&lt;=AsOfDate,IF($R98=0,$X98,IF(AND($T98&lt;&gt;"",EDATE($D98,Milestones!$AA$81)&gt;=$T98),$W98,IF(AND($S98&lt;&gt;"",EDATE($D98,Milestones!$AA$81)&gt;=$S98),$V98,$U98)))=Milestones!$AB$81),UPPER(TEXT(EDATE($D98,Milestones!$AA$81),"dd mmm yy"))&amp;" "&amp;Milestones!$AB$81&amp;" "&amp;Milestones!$AC$81&amp;";  ","")&amp;IF(AND(EDATE($D98,Milestones!$AA$82)&lt;=AsOfDate,IF($R98=0,$X98,IF(AND($T98&lt;&gt;"",EDATE($D98,Milestones!$AA$82)&gt;=$T98),$W98,IF(AND($S98&lt;&gt;"",EDATE($D98,Milestones!$AA$82)&gt;=$S98),$V98,$U98)))=Milestones!$AB$82),UPPER(TEXT(EDATE($D98,Milestones!$AA$82),"dd mmm yy"))&amp;" "&amp;Milestones!$AB$82&amp;" "&amp;Milestones!$AC$82&amp;";  ","")&amp;IF(AND(EDATE($D98,Milestones!$AA$83)&lt;=AsOfDate,IF($R98=0,$X98,IF(AND($T98&lt;&gt;"",EDATE($D98,Milestones!$AA$83)&gt;=$T98),$W98,IF(AND($S98&lt;&gt;"",EDATE($D98,Milestones!$AA$83)&gt;=$S98),$V98,$U98)))=Milestones!$AB$83),UPPER(TEXT(EDATE($D98,Milestones!$AA$83),"dd mmm yy"))&amp;" "&amp;Milestones!$AB$83&amp;" "&amp;Milestones!$AC$83&amp;";  ","")&amp;IF(AND(EDATE($D98,Milestones!$AA$84)&lt;=AsOfDate,IF($R98=0,$X98,IF(AND($T98&lt;&gt;"",EDATE($D98,Milestones!$AA$84)&gt;=$T98),$W98,IF(AND($S98&lt;&gt;"",EDATE($D98,Milestones!$AA$84)&gt;=$S98),$V98,$U98)))=Milestones!$AB$84),UPPER(TEXT(EDATE($D98,Milestones!$AA$84),"dd mmm yy"))&amp;" "&amp;Milestones!$AB$84&amp;" "&amp;Milestones!$AC$84&amp;";  ","")&amp;IF(AND(EDATE($D98,Milestones!$AA$85)&lt;=AsOfDate,IF($R98=0,$X98,IF(AND($T98&lt;&gt;"",EDATE($D98,Milestones!$AA$85)&gt;=$T98),$W98,IF(AND($S98&lt;&gt;"",EDATE($D98,Milestones!$AA$85)&gt;=$S98),$V98,$U98)))=Milestones!$AB$85),UPPER(TEXT(EDATE($D98,Milestones!$AA$85),"dd mmm yy"))&amp;" "&amp;Milestones!$AB$85&amp;" "&amp;Milestones!$AC$85&amp;";  ","")&amp;IF(AND(EDATE($D98,Milestones!$AA$86)&lt;=AsOfDate,IF($R98=0,$X98,IF(AND($T98&lt;&gt;"",EDATE($D98,Milestones!$AA$86)&gt;=$T98),$W98,IF(AND($S98&lt;&gt;"",EDATE($D98,Milestones!$AA$86)&gt;=$S98),$V98,$U98)))=Milestones!$AB$86),UPPER(TEXT(EDATE($D98,Milestones!$AA$86),"dd mmm yy"))&amp;" "&amp;Milestones!$AB$86&amp;" "&amp;Milestones!$AC$86&amp;";  ","")&amp;IF(AND(EDATE($D98,Milestones!$AA$87)&lt;=AsOfDate,IF($R98=0,$X98,IF(AND($T98&lt;&gt;"",EDATE($D98,Milestones!$AA$87)&gt;=$T98),$W98,IF(AND($S98&lt;&gt;"",EDATE($D98,Milestones!$AA$87)&gt;=$S98),$V98,$U98)))=Milestones!$AB$87),UPPER(TEXT(EDATE($D98,Milestones!$AA$87),"dd mmm yy"))&amp;" "&amp;Milestones!$AB$87&amp;" "&amp;Milestones!$AC$87&amp;";  ","")&amp;IF(AND(EDATE($D98,Milestones!$AA$88)&lt;=AsOfDate,IF($R98=0,$X98,IF(AND($T98&lt;&gt;"",EDATE($D98,Milestones!$AA$88)&gt;=$T98),$W98,IF(AND($S98&lt;&gt;"",EDATE($D98,Milestones!$AA$88)&gt;=$S98),$V98,$U98)))=Milestones!$AB$88),UPPER(TEXT(EDATE($D98,Milestones!$AA$88),"dd mmm yy"))&amp;" "&amp;Milestones!$AB$88&amp;" "&amp;Milestones!$AC$88&amp;";  ","")&amp;IF(AND(EDATE($D98,Milestones!$AA$89)&lt;=AsOfDate,IF($R98=0,$X98,IF(AND($T98&lt;&gt;"",EDATE($D98,Milestones!$AA$89)&gt;=$T98),$W98,IF(AND($S98&lt;&gt;"",EDATE($D98,Milestones!$AA$89)&gt;=$S98),$V98,$U98)))=Milestones!$AB$89),UPPER(TEXT(EDATE($D98,Milestones!$AA$89),"dd mmm yy"))&amp;" "&amp;Milestones!$AB$89&amp;" "&amp;Milestones!$AC$89&amp;";  ","")&amp;IF(AND(EDATE($D98,Milestones!$AA$90)&lt;=AsOfDate,IF($R98=0,$X98,IF(AND($T98&lt;&gt;"",EDATE($D98,Milestones!$AA$90)&gt;=$T98),$W98,IF(AND($S98&lt;&gt;"",EDATE($D98,Milestones!$AA$90)&gt;=$S98),$V98,$U98)))=Milestones!$AB$90),UPPER(TEXT(EDATE($D98,Milestones!$AA$90),"dd mmm yy"))&amp;" "&amp;Milestones!$AB$90&amp;" "&amp;Milestones!$AC$90&amp;";  ","")&amp;IF(AND(EDATE($D98,Milestones!$AA$91)&lt;=AsOfDate,IF($R98=0,$X98,IF(AND($T98&lt;&gt;"",EDATE($D98,Milestones!$AA$91)&gt;=$T98),$W98,IF(AND($S98&lt;&gt;"",EDATE($D98,Milestones!$AA$91)&gt;=$S98),$V98,$U98)))=Milestones!$AB$91),UPPER(TEXT(EDATE($D98,Milestones!$AA$91),"dd mmm yy"))&amp;" "&amp;Milestones!$AB$91&amp;" "&amp;Milestones!$AC$91&amp;";  ","")&amp;IF(AND(EDATE($D98,Milestones!$AA$92)&lt;=AsOfDate,IF($R98=0,$X98,IF(AND($T98&lt;&gt;"",EDATE($D98,Milestones!$AA$92)&gt;=$T98),$W98,IF(AND($S98&lt;&gt;"",EDATE($D98,Milestones!$AA$92)&gt;=$S98),$V98,$U98)))=Milestones!$AB$92),UPPER(TEXT(EDATE($D98,Milestones!$AA$92),"dd mmm yy"))&amp;" "&amp;Milestones!$AB$92&amp;" "&amp;Milestones!$AC$92&amp;";  ","")&amp;IF(AND(EDATE($D98,Milestones!$AA$93)&lt;=AsOfDate,IF($R98=0,$X98,IF(AND($T98&lt;&gt;"",EDATE($D98,Milestones!$AA$93)&gt;=$T98),$W98,IF(AND($S98&lt;&gt;"",EDATE($D98,Milestones!$AA$93)&gt;=$S98),$V98,$U98)))=Milestones!$AB$93),UPPER(TEXT(EDATE($D98,Milestones!$AA$93),"dd mmm yy"))&amp;" "&amp;Milestones!$AB$93&amp;" "&amp;Milestones!$AC$93&amp;";  ","")&amp;IF(AND(EDATE($D98,Milestones!$AA$94)&lt;=AsOfDate,IF($R98=0,$X98,IF(AND($T98&lt;&gt;"",EDATE($D98,Milestones!$AA$94)&gt;=$T98),$W98,IF(AND($S98&lt;&gt;"",EDATE($D98,Milestones!$AA$94)&gt;=$S98),$V98,$U98)))=Milestones!$AB$94),UPPER(TEXT(EDATE($D98,Milestones!$AA$94),"dd mmm yy"))&amp;" "&amp;Milestones!$AB$94&amp;" "&amp;Milestones!$AC$94&amp;";  ","")&amp;IF(AND(EDATE($D98,Milestones!$AA$95)&lt;=AsOfDate,IF($R98=0,$X98,IF(AND($T98&lt;&gt;"",EDATE($D98,Milestones!$AA$95)&gt;=$T98),$W98,IF(AND($S98&lt;&gt;"",EDATE($D98,Milestones!$AA$95)&gt;=$S98),$V98,$U98)))=Milestones!$AB$95),UPPER(TEXT(EDATE($D98,Milestones!$AA$95),"dd mmm yy"))&amp;" "&amp;Milestones!$AB$95&amp;" "&amp;Milestones!$AC$95&amp;";  ","")&amp;IF(AND(EDATE($D98,Milestones!$AA$96)&lt;=AsOfDate,IF($R98=0,$X98,IF(AND($T98&lt;&gt;"",EDATE($D98,Milestones!$AA$96)&gt;=$T98),$W98,IF(AND($S98&lt;&gt;"",EDATE($D98,Milestones!$AA$96)&gt;=$S98),$V98,$U98)))=Milestones!$AB$96),UPPER(TEXT(EDATE($D98,Milestones!$AA$96),"dd mmm yy"))&amp;" "&amp;Milestones!$AB$96&amp;" "&amp;Milestones!$AC$96&amp;";  ","")&amp;IF(AND(EDATE($D98,Milestones!$AA$97)&lt;=AsOfDate,IF($R98=0,$X98,IF(AND($T98&lt;&gt;"",EDATE($D98,Milestones!$AA$97)&gt;=$T98),$W98,IF(AND($S98&lt;&gt;"",EDATE($D98,Milestones!$AA$97)&gt;=$S98),$V98,$U98)))=Milestones!$AB$97),UPPER(TEXT(EDATE($D98,Milestones!$AA$97),"dd mmm yy"))&amp;" "&amp;Milestones!$AB$97&amp;" "&amp;Milestones!$AC$97&amp;";  ","")&amp;IF(AND(EDATE($D98,Milestones!$AA$98)&lt;=AsOfDate,IF($R98=0,$X98,IF(AND($T98&lt;&gt;"",EDATE($D98,Milestones!$AA$98)&gt;=$T98),$W98,IF(AND($S98&lt;&gt;"",EDATE($D98,Milestones!$AA$98)&gt;=$S98),$V98,$U98)))=Milestones!$AB$98),UPPER(TEXT(EDATE($D98,Milestones!$AA$98),"dd mmm yy"))&amp;" "&amp;Milestones!$AB$98&amp;" "&amp;Milestones!$AC$98&amp;";  ","")&amp;IF(AND(EDATE($D98,Milestones!$AA$99)&lt;=AsOfDate,IF($R98=0,$X98,IF(AND($T98&lt;&gt;"",EDATE($D98,Milestones!$AA$99)&gt;=$T98),$W98,IF(AND($S98&lt;&gt;"",EDATE($D98,Milestones!$AA$99)&gt;=$S98),$V98,$U98)))=Milestones!$AB$99),UPPER(TEXT(EDATE($D98,Milestones!$AA$99),"dd mmm yy"))&amp;" "&amp;Milestones!$AB$99&amp;" "&amp;Milestones!$AC$99&amp;";  ",""))</f>
        <v/>
      </c>
      <c r="M98" s="0" t="str">
        <f aca="false">IF(OR($A98="",$D98=""),"",IF(AND(EDATE($D98,Milestones!$AA$100)&lt;=AsOfDate,IF($R98=0,$X98,IF(AND($T98&lt;&gt;"",EDATE($D98,Milestones!$AA$100)&gt;=$T98),$W98,IF(AND($S98&lt;&gt;"",EDATE($D98,Milestones!$AA$100)&gt;=$S98),$V98,$U98)))=Milestones!$AB$100),UPPER(TEXT(EDATE($D98,Milestones!$AA$100),"dd mmm yy"))&amp;" "&amp;Milestones!$AB$100&amp;" "&amp;Milestones!$AC$100&amp;";  ","")&amp;IF(AND(EDATE($D98,Milestones!$AA$101)&lt;=AsOfDate,IF($R98=0,$X98,IF(AND($T98&lt;&gt;"",EDATE($D98,Milestones!$AA$101)&gt;=$T98),$W98,IF(AND($S98&lt;&gt;"",EDATE($D98,Milestones!$AA$101)&gt;=$S98),$V98,$U98)))=Milestones!$AB$101),UPPER(TEXT(EDATE($D98,Milestones!$AA$101),"dd mmm yy"))&amp;" "&amp;Milestones!$AB$101&amp;" "&amp;Milestones!$AC$101&amp;";  ","")&amp;IF(AND(EDATE($D98,Milestones!$AA$102)&lt;=AsOfDate,IF($R98=0,$X98,IF(AND($T98&lt;&gt;"",EDATE($D98,Milestones!$AA$102)&gt;=$T98),$W98,IF(AND($S98&lt;&gt;"",EDATE($D98,Milestones!$AA$102)&gt;=$S98),$V98,$U98)))=Milestones!$AB$102),UPPER(TEXT(EDATE($D98,Milestones!$AA$102),"dd mmm yy"))&amp;" "&amp;Milestones!$AB$102&amp;" "&amp;Milestones!$AC$102&amp;";  ","")&amp;IF(AND(EDATE($D98,Milestones!$AA$103)&lt;=AsOfDate,IF($R98=0,$X98,IF(AND($T98&lt;&gt;"",EDATE($D98,Milestones!$AA$103)&gt;=$T98),$W98,IF(AND($S98&lt;&gt;"",EDATE($D98,Milestones!$AA$103)&gt;=$S98),$V98,$U98)))=Milestones!$AB$103),UPPER(TEXT(EDATE($D98,Milestones!$AA$103),"dd mmm yy"))&amp;" "&amp;Milestones!$AB$103&amp;" "&amp;Milestones!$AC$103&amp;";  ","")&amp;IF(AND(EDATE($D98,Milestones!$AA$104)&lt;=AsOfDate,IF($R98=0,$X98,IF(AND($T98&lt;&gt;"",EDATE($D98,Milestones!$AA$104)&gt;=$T98),$W98,IF(AND($S98&lt;&gt;"",EDATE($D98,Milestones!$AA$104)&gt;=$S98),$V98,$U98)))=Milestones!$AB$104),UPPER(TEXT(EDATE($D98,Milestones!$AA$104),"dd mmm yy"))&amp;" "&amp;Milestones!$AB$104&amp;" "&amp;Milestones!$AC$104&amp;";  ","")&amp;IF(AND(EDATE($D98,Milestones!$AA$105)&lt;=AsOfDate,IF($R98=0,$X98,IF(AND($T98&lt;&gt;"",EDATE($D98,Milestones!$AA$105)&gt;=$T98),$W98,IF(AND($S98&lt;&gt;"",EDATE($D98,Milestones!$AA$105)&gt;=$S98),$V98,$U98)))=Milestones!$AB$105),UPPER(TEXT(EDATE($D98,Milestones!$AA$105),"dd mmm yy"))&amp;" "&amp;Milestones!$AB$105&amp;" "&amp;Milestones!$AC$105&amp;";  ","")&amp;IF(AND(EDATE($D98,Milestones!$AA$106)&lt;=AsOfDate,IF($R98=0,$X98,IF(AND($T98&lt;&gt;"",EDATE($D98,Milestones!$AA$106)&gt;=$T98),$W98,IF(AND($S98&lt;&gt;"",EDATE($D98,Milestones!$AA$106)&gt;=$S98),$V98,$U98)))=Milestones!$AB$106),UPPER(TEXT(EDATE($D98,Milestones!$AA$106),"dd mmm yy"))&amp;" "&amp;Milestones!$AB$106&amp;" "&amp;Milestones!$AC$106&amp;";  ","")&amp;IF(AND(EDATE($D98,Milestones!$AA$107)&lt;=AsOfDate,IF($R98=0,$X98,IF(AND($T98&lt;&gt;"",EDATE($D98,Milestones!$AA$107)&gt;=$T98),$W98,IF(AND($S98&lt;&gt;"",EDATE($D98,Milestones!$AA$107)&gt;=$S98),$V98,$U98)))=Milestones!$AB$107),UPPER(TEXT(EDATE($D98,Milestones!$AA$107),"dd mmm yy"))&amp;" "&amp;Milestones!$AB$107&amp;" "&amp;Milestones!$AC$107&amp;";  ","")&amp;IF(AND(EDATE($D98,Milestones!$AA$108)&lt;=AsOfDate,IF($R98=0,$X98,IF(AND($T98&lt;&gt;"",EDATE($D98,Milestones!$AA$108)&gt;=$T98),$W98,IF(AND($S98&lt;&gt;"",EDATE($D98,Milestones!$AA$108)&gt;=$S98),$V98,$U98)))=Milestones!$AB$108),UPPER(TEXT(EDATE($D98,Milestones!$AA$108),"dd mmm yy"))&amp;" "&amp;Milestones!$AB$108&amp;" "&amp;Milestones!$AC$108&amp;";  ","")&amp;IF(AND(EDATE($D98,Milestones!$AA$109)&lt;=AsOfDate,IF($R98=0,$X98,IF(AND($T98&lt;&gt;"",EDATE($D98,Milestones!$AA$109)&gt;=$T98),$W98,IF(AND($S98&lt;&gt;"",EDATE($D98,Milestones!$AA$109)&gt;=$S98),$V98,$U98)))=Milestones!$AB$109),UPPER(TEXT(EDATE($D98,Milestones!$AA$109),"dd mmm yy"))&amp;" "&amp;Milestones!$AB$109&amp;" "&amp;Milestones!$AC$109&amp;";  ","")&amp;IF(AND(EDATE($D98,Milestones!$AA$110)&lt;=AsOfDate,IF($R98=0,$X98,IF(AND($T98&lt;&gt;"",EDATE($D98,Milestones!$AA$110)&gt;=$T98),$W98,IF(AND($S98&lt;&gt;"",EDATE($D98,Milestones!$AA$110)&gt;=$S98),$V98,$U98)))=Milestones!$AB$110),UPPER(TEXT(EDATE($D98,Milestones!$AA$110),"dd mmm yy"))&amp;" "&amp;Milestones!$AB$110&amp;" "&amp;Milestones!$AC$110&amp;";  ","")&amp;IF(AND(EDATE($D98,Milestones!$AA$111)&lt;=AsOfDate,IF($R98=0,$X98,IF(AND($T98&lt;&gt;"",EDATE($D98,Milestones!$AA$111)&gt;=$T98),$W98,IF(AND($S98&lt;&gt;"",EDATE($D98,Milestones!$AA$111)&gt;=$S98),$V98,$U98)))=Milestones!$AB$111),UPPER(TEXT(EDATE($D98,Milestones!$AA$111),"dd mmm yy"))&amp;" "&amp;Milestones!$AB$111&amp;" "&amp;Milestones!$AC$111&amp;";  ","")&amp;IF(AND(EDATE($D98,Milestones!$AA$112)&lt;=AsOfDate,IF($R98=0,$X98,IF(AND($T98&lt;&gt;"",EDATE($D98,Milestones!$AA$112)&gt;=$T98),$W98,IF(AND($S98&lt;&gt;"",EDATE($D98,Milestones!$AA$112)&gt;=$S98),$V98,$U98)))=Milestones!$AB$112),UPPER(TEXT(EDATE($D98,Milestones!$AA$112),"dd mmm yy"))&amp;" "&amp;Milestones!$AB$112&amp;" "&amp;Milestones!$AC$112&amp;";  ","")&amp;IF(AND(EDATE($D98,Milestones!$AA$113)&lt;=AsOfDate,IF($R98=0,$X98,IF(AND($T98&lt;&gt;"",EDATE($D98,Milestones!$AA$113)&gt;=$T98),$W98,IF(AND($S98&lt;&gt;"",EDATE($D98,Milestones!$AA$113)&gt;=$S98),$V98,$U98)))=Milestones!$AB$113),UPPER(TEXT(EDATE($D98,Milestones!$AA$113),"dd mmm yy"))&amp;" "&amp;Milestones!$AB$113&amp;" "&amp;Milestones!$AC$113&amp;";  ","")&amp;IF(AND(EDATE($D98,Milestones!$AA$114)&lt;=AsOfDate,IF($R98=0,$X98,IF(AND($T98&lt;&gt;"",EDATE($D98,Milestones!$AA$114)&gt;=$T98),$W98,IF(AND($S98&lt;&gt;"",EDATE($D98,Milestones!$AA$114)&gt;=$S98),$V98,$U98)))=Milestones!$AB$114),UPPER(TEXT(EDATE($D98,Milestones!$AA$114),"dd mmm yy"))&amp;" "&amp;Milestones!$AB$114&amp;" "&amp;Milestones!$AC$114&amp;";  ","")&amp;IF(AND(EDATE($D98,Milestones!$AA$115)&lt;=AsOfDate,IF($R98=0,$X98,IF(AND($T98&lt;&gt;"",EDATE($D98,Milestones!$AA$115)&gt;=$T98),$W98,IF(AND($S98&lt;&gt;"",EDATE($D98,Milestones!$AA$115)&gt;=$S98),$V98,$U98)))=Milestones!$AB$115),UPPER(TEXT(EDATE($D98,Milestones!$AA$115),"dd mmm yy"))&amp;" "&amp;Milestones!$AB$115&amp;" "&amp;Milestones!$AC$115&amp;";  ","")&amp;IF(AND(EDATE($D98,Milestones!$AA$116)&lt;=AsOfDate,IF($R98=0,$X98,IF(AND($T98&lt;&gt;"",EDATE($D98,Milestones!$AA$116)&gt;=$T98),$W98,IF(AND($S98&lt;&gt;"",EDATE($D98,Milestones!$AA$116)&gt;=$S98),$V98,$U98)))=Milestones!$AB$116),UPPER(TEXT(EDATE($D98,Milestones!$AA$116),"dd mmm yy"))&amp;" "&amp;Milestones!$AB$116&amp;" "&amp;Milestones!$AC$116&amp;";  ","")&amp;IF(AND(EDATE($D98,Milestones!$AA$117)&lt;=AsOfDate,IF($R98=0,$X98,IF(AND($T98&lt;&gt;"",EDATE($D98,Milestones!$AA$117)&gt;=$T98),$W98,IF(AND($S98&lt;&gt;"",EDATE($D98,Milestones!$AA$117)&gt;=$S98),$V98,$U98)))=Milestones!$AB$117),UPPER(TEXT(EDATE($D98,Milestones!$AA$117),"dd mmm yy"))&amp;" "&amp;Milestones!$AB$117&amp;" "&amp;Milestones!$AC$117&amp;";  ","")&amp;IF(AND(EDATE($D98,Milestones!$AA$118)&lt;=AsOfDate,IF($R98=0,$X98,IF(AND($T98&lt;&gt;"",EDATE($D98,Milestones!$AA$118)&gt;=$T98),$W98,IF(AND($S98&lt;&gt;"",EDATE($D98,Milestones!$AA$118)&gt;=$S98),$V98,$U98)))=Milestones!$AB$118),UPPER(TEXT(EDATE($D98,Milestones!$AA$118),"dd mmm yy"))&amp;" "&amp;Milestones!$AB$118&amp;" "&amp;Milestones!$AC$118&amp;";  ","")&amp;IF(AND(EDATE($D98,Milestones!$AA$119)&lt;=AsOfDate,IF($R98=0,$X98,IF(AND($T98&lt;&gt;"",EDATE($D98,Milestones!$AA$119)&gt;=$T98),$W98,IF(AND($S98&lt;&gt;"",EDATE($D98,Milestones!$AA$119)&gt;=$S98),$V98,$U98)))=Milestones!$AB$119),UPPER(TEXT(EDATE($D98,Milestones!$AA$119),"dd mmm yy"))&amp;" "&amp;Milestones!$AB$119&amp;" "&amp;Milestones!$AC$119&amp;";  ",""))</f>
        <v/>
      </c>
      <c r="N98" s="0" t="str">
        <f aca="false">IF(OR($A98="",$D98=""),"",IF(AND(EDATE($D98,Milestones!$AA$120)&lt;=AsOfDate,IF($R98=0,$X98,IF(AND($T98&lt;&gt;"",EDATE($D98,Milestones!$AA$120)&gt;=$T98),$W98,IF(AND($S98&lt;&gt;"",EDATE($D98,Milestones!$AA$120)&gt;=$S98),$V98,$U98)))=Milestones!$AB$120),UPPER(TEXT(EDATE($D98,Milestones!$AA$120),"dd mmm yy"))&amp;" "&amp;Milestones!$AB$120&amp;" "&amp;Milestones!$AC$120&amp;";  ","")&amp;IF(AND(EDATE($D98,Milestones!$AA$121)&lt;=AsOfDate,IF($R98=0,$X98,IF(AND($T98&lt;&gt;"",EDATE($D98,Milestones!$AA$121)&gt;=$T98),$W98,IF(AND($S98&lt;&gt;"",EDATE($D98,Milestones!$AA$121)&gt;=$S98),$V98,$U98)))=Milestones!$AB$121),UPPER(TEXT(EDATE($D98,Milestones!$AA$121),"dd mmm yy"))&amp;" "&amp;Milestones!$AB$121&amp;" "&amp;Milestones!$AC$121&amp;";  ","")&amp;IF(AND(EDATE($D98,Milestones!$AA$122)&lt;=AsOfDate,IF($R98=0,$X98,IF(AND($T98&lt;&gt;"",EDATE($D98,Milestones!$AA$122)&gt;=$T98),$W98,IF(AND($S98&lt;&gt;"",EDATE($D98,Milestones!$AA$122)&gt;=$S98),$V98,$U98)))=Milestones!$AB$122),UPPER(TEXT(EDATE($D98,Milestones!$AA$122),"dd mmm yy"))&amp;" "&amp;Milestones!$AB$122&amp;" "&amp;Milestones!$AC$122&amp;";  ","")&amp;IF(AND(EDATE($D98,Milestones!$AA$123)&lt;=AsOfDate,IF($R98=0,$X98,IF(AND($T98&lt;&gt;"",EDATE($D98,Milestones!$AA$123)&gt;=$T98),$W98,IF(AND($S98&lt;&gt;"",EDATE($D98,Milestones!$AA$123)&gt;=$S98),$V98,$U98)))=Milestones!$AB$123),UPPER(TEXT(EDATE($D98,Milestones!$AA$123),"dd mmm yy"))&amp;" "&amp;Milestones!$AB$123&amp;" "&amp;Milestones!$AC$123&amp;";  ","")&amp;IF(AND(EDATE($D98,Milestones!$AA$124)&lt;=AsOfDate,IF($R98=0,$X98,IF(AND($T98&lt;&gt;"",EDATE($D98,Milestones!$AA$124)&gt;=$T98),$W98,IF(AND($S98&lt;&gt;"",EDATE($D98,Milestones!$AA$124)&gt;=$S98),$V98,$U98)))=Milestones!$AB$124),UPPER(TEXT(EDATE($D98,Milestones!$AA$124),"dd mmm yy"))&amp;" "&amp;Milestones!$AB$124&amp;" "&amp;Milestones!$AC$124&amp;";  ","")&amp;IF(AND(EDATE($D98,Milestones!$AA$125)&lt;=AsOfDate,IF($R98=0,$X98,IF(AND($T98&lt;&gt;"",EDATE($D98,Milestones!$AA$125)&gt;=$T98),$W98,IF(AND($S98&lt;&gt;"",EDATE($D98,Milestones!$AA$125)&gt;=$S98),$V98,$U98)))=Milestones!$AB$125),UPPER(TEXT(EDATE($D98,Milestones!$AA$125),"dd mmm yy"))&amp;" "&amp;Milestones!$AB$125&amp;" "&amp;Milestones!$AC$125&amp;";  ","")&amp;IF(AND(EDATE($D98,Milestones!$AA$126)&lt;=AsOfDate,IF($R98=0,$X98,IF(AND($T98&lt;&gt;"",EDATE($D98,Milestones!$AA$126)&gt;=$T98),$W98,IF(AND($S98&lt;&gt;"",EDATE($D98,Milestones!$AA$126)&gt;=$S98),$V98,$U98)))=Milestones!$AB$126),UPPER(TEXT(EDATE($D98,Milestones!$AA$126),"dd mmm yy"))&amp;" "&amp;Milestones!$AB$126&amp;" "&amp;Milestones!$AC$126&amp;";  ","")&amp;IF(AND(EDATE($D98,Milestones!$AA$127)&lt;=AsOfDate,IF($R98=0,$X98,IF(AND($T98&lt;&gt;"",EDATE($D98,Milestones!$AA$127)&gt;=$T98),$W98,IF(AND($S98&lt;&gt;"",EDATE($D98,Milestones!$AA$127)&gt;=$S98),$V98,$U98)))=Milestones!$AB$127),UPPER(TEXT(EDATE($D98,Milestones!$AA$127),"dd mmm yy"))&amp;" "&amp;Milestones!$AB$127&amp;" "&amp;Milestones!$AC$127&amp;";  ","")&amp;IF(AND(EDATE($D98,Milestones!$AA$128)&lt;=AsOfDate,IF($R98=0,$X98,IF(AND($T98&lt;&gt;"",EDATE($D98,Milestones!$AA$128)&gt;=$T98),$W98,IF(AND($S98&lt;&gt;"",EDATE($D98,Milestones!$AA$128)&gt;=$S98),$V98,$U98)))=Milestones!$AB$128),UPPER(TEXT(EDATE($D98,Milestones!$AA$128),"dd mmm yy"))&amp;" "&amp;Milestones!$AB$128&amp;" "&amp;Milestones!$AC$128&amp;";  ","")&amp;IF(AND(EDATE($D98,Milestones!$AA$129)&lt;=AsOfDate,IF($R98=0,$X98,IF(AND($T98&lt;&gt;"",EDATE($D98,Milestones!$AA$129)&gt;=$T98),$W98,IF(AND($S98&lt;&gt;"",EDATE($D98,Milestones!$AA$129)&gt;=$S98),$V98,$U98)))=Milestones!$AB$129),UPPER(TEXT(EDATE($D98,Milestones!$AA$129),"dd mmm yy"))&amp;" "&amp;Milestones!$AB$129&amp;" "&amp;Milestones!$AC$129&amp;";  ","")&amp;IF(AND(EDATE($D98,Milestones!$AA$130)&lt;=AsOfDate,IF($R98=0,$X98,IF(AND($T98&lt;&gt;"",EDATE($D98,Milestones!$AA$130)&gt;=$T98),$W98,IF(AND($S98&lt;&gt;"",EDATE($D98,Milestones!$AA$130)&gt;=$S98),$V98,$U98)))=Milestones!$AB$130),UPPER(TEXT(EDATE($D98,Milestones!$AA$130),"dd mmm yy"))&amp;" "&amp;Milestones!$AB$130&amp;" "&amp;Milestones!$AC$130&amp;";  ","")&amp;IF(AND(EDATE($D98,Milestones!$AA$131)&lt;=AsOfDate,IF($R98=0,$X98,IF(AND($T98&lt;&gt;"",EDATE($D98,Milestones!$AA$131)&gt;=$T98),$W98,IF(AND($S98&lt;&gt;"",EDATE($D98,Milestones!$AA$131)&gt;=$S98),$V98,$U98)))=Milestones!$AB$131),UPPER(TEXT(EDATE($D98,Milestones!$AA$131),"dd mmm yy"))&amp;" "&amp;Milestones!$AB$131&amp;" "&amp;Milestones!$AC$131&amp;";  ","")&amp;IF(AND(EDATE($D98,Milestones!$AA$132)&lt;=AsOfDate,IF($R98=0,$X98,IF(AND($T98&lt;&gt;"",EDATE($D98,Milestones!$AA$132)&gt;=$T98),$W98,IF(AND($S98&lt;&gt;"",EDATE($D98,Milestones!$AA$132)&gt;=$S98),$V98,$U98)))=Milestones!$AB$132),UPPER(TEXT(EDATE($D98,Milestones!$AA$132),"dd mmm yy"))&amp;" "&amp;Milestones!$AB$132&amp;" "&amp;Milestones!$AC$132&amp;";  ","")&amp;IF(AND(EDATE($D98,Milestones!$AA$133)&lt;=AsOfDate,IF($R98=0,$X98,IF(AND($T98&lt;&gt;"",EDATE($D98,Milestones!$AA$133)&gt;=$T98),$W98,IF(AND($S98&lt;&gt;"",EDATE($D98,Milestones!$AA$133)&gt;=$S98),$V98,$U98)))=Milestones!$AB$133),UPPER(TEXT(EDATE($D98,Milestones!$AA$133),"dd mmm yy"))&amp;" "&amp;Milestones!$AB$133&amp;" "&amp;Milestones!$AC$133&amp;";  ","")&amp;IF(AND(EDATE($D98,Milestones!$AA$134)&lt;=AsOfDate,IF($R98=0,$X98,IF(AND($T98&lt;&gt;"",EDATE($D98,Milestones!$AA$134)&gt;=$T98),$W98,IF(AND($S98&lt;&gt;"",EDATE($D98,Milestones!$AA$134)&gt;=$S98),$V98,$U98)))=Milestones!$AB$134),UPPER(TEXT(EDATE($D98,Milestones!$AA$134),"dd mmm yy"))&amp;" "&amp;Milestones!$AB$134&amp;" "&amp;Milestones!$AC$134&amp;";  ","")&amp;IF(AND(EDATE($D98,Milestones!$AA$135)&lt;=AsOfDate,IF($R98=0,$X98,IF(AND($T98&lt;&gt;"",EDATE($D98,Milestones!$AA$135)&gt;=$T98),$W98,IF(AND($S98&lt;&gt;"",EDATE($D98,Milestones!$AA$135)&gt;=$S98),$V98,$U98)))=Milestones!$AB$135),UPPER(TEXT(EDATE($D98,Milestones!$AA$135),"dd mmm yy"))&amp;" "&amp;Milestones!$AB$135&amp;" "&amp;Milestones!$AC$135&amp;";  ","")&amp;IF(AND(EDATE($D98,Milestones!$AA$136)&lt;=AsOfDate,IF($R98=0,$X98,IF(AND($T98&lt;&gt;"",EDATE($D98,Milestones!$AA$136)&gt;=$T98),$W98,IF(AND($S98&lt;&gt;"",EDATE($D98,Milestones!$AA$136)&gt;=$S98),$V98,$U98)))=Milestones!$AB$136),UPPER(TEXT(EDATE($D98,Milestones!$AA$136),"dd mmm yy"))&amp;" "&amp;Milestones!$AB$136&amp;" "&amp;Milestones!$AC$136&amp;";  ","")&amp;IF(AND(EDATE($D98,Milestones!$AA$137)&lt;=AsOfDate,IF($R98=0,$X98,IF(AND($T98&lt;&gt;"",EDATE($D98,Milestones!$AA$137)&gt;=$T98),$W98,IF(AND($S98&lt;&gt;"",EDATE($D98,Milestones!$AA$137)&gt;=$S98),$V98,$U98)))=Milestones!$AB$137),UPPER(TEXT(EDATE($D98,Milestones!$AA$137),"dd mmm yy"))&amp;" "&amp;Milestones!$AB$137&amp;" "&amp;Milestones!$AC$137&amp;";  ","")&amp;IF(AND(EDATE($D98,Milestones!$AA$138)&lt;=AsOfDate,IF($R98=0,$X98,IF(AND($T98&lt;&gt;"",EDATE($D98,Milestones!$AA$138)&gt;=$T98),$W98,IF(AND($S98&lt;&gt;"",EDATE($D98,Milestones!$AA$138)&gt;=$S98),$V98,$U98)))=Milestones!$AB$138),UPPER(TEXT(EDATE($D98,Milestones!$AA$138),"dd mmm yy"))&amp;" "&amp;Milestones!$AB$138&amp;" "&amp;Milestones!$AC$138&amp;";  ","")&amp;IF(AND(EDATE($D98,Milestones!$AA$139)&lt;=AsOfDate,IF($R98=0,$X98,IF(AND($T98&lt;&gt;"",EDATE($D98,Milestones!$AA$139)&gt;=$T98),$W98,IF(AND($S98&lt;&gt;"",EDATE($D98,Milestones!$AA$139)&gt;=$S98),$V98,$U98)))=Milestones!$AB$139),UPPER(TEXT(EDATE($D98,Milestones!$AA$139),"dd mmm yy"))&amp;" "&amp;Milestones!$AB$139&amp;" "&amp;Milestones!$AC$139&amp;";  ",""))</f>
        <v/>
      </c>
      <c r="O98" s="0" t="str">
        <f aca="false">IF(OR($A98="",$D98=""),"",IF(AND(EDATE($D98,Milestones!$AA$140)&lt;=AsOfDate,IF($R98=0,$X98,IF(AND($T98&lt;&gt;"",EDATE($D98,Milestones!$AA$140)&gt;=$T98),$W98,IF(AND($S98&lt;&gt;"",EDATE($D98,Milestones!$AA$140)&gt;=$S98),$V98,$U98)))=Milestones!$AB$140),UPPER(TEXT(EDATE($D98,Milestones!$AA$140),"dd mmm yy"))&amp;" "&amp;Milestones!$AB$140&amp;" "&amp;Milestones!$AC$140&amp;";  ","")&amp;IF(AND(EDATE($D98,Milestones!$AA$141)&lt;=AsOfDate,IF($R98=0,$X98,IF(AND($T98&lt;&gt;"",EDATE($D98,Milestones!$AA$141)&gt;=$T98),$W98,IF(AND($S98&lt;&gt;"",EDATE($D98,Milestones!$AA$141)&gt;=$S98),$V98,$U98)))=Milestones!$AB$141),UPPER(TEXT(EDATE($D98,Milestones!$AA$141),"dd mmm yy"))&amp;" "&amp;Milestones!$AB$141&amp;" "&amp;Milestones!$AC$141&amp;";  ","")&amp;IF(AND(EDATE($D98,Milestones!$AA$142)&lt;=AsOfDate,IF($R98=0,$X98,IF(AND($T98&lt;&gt;"",EDATE($D98,Milestones!$AA$142)&gt;=$T98),$W98,IF(AND($S98&lt;&gt;"",EDATE($D98,Milestones!$AA$142)&gt;=$S98),$V98,$U98)))=Milestones!$AB$142),UPPER(TEXT(EDATE($D98,Milestones!$AA$142),"dd mmm yy"))&amp;" "&amp;Milestones!$AB$142&amp;" "&amp;Milestones!$AC$142&amp;";  ","")&amp;IF(AND(EDATE($D98,Milestones!$AA$143)&lt;=AsOfDate,IF($R98=0,$X98,IF(AND($T98&lt;&gt;"",EDATE($D98,Milestones!$AA$143)&gt;=$T98),$W98,IF(AND($S98&lt;&gt;"",EDATE($D98,Milestones!$AA$143)&gt;=$S98),$V98,$U98)))=Milestones!$AB$143),UPPER(TEXT(EDATE($D98,Milestones!$AA$143),"dd mmm yy"))&amp;" "&amp;Milestones!$AB$143&amp;" "&amp;Milestones!$AC$143&amp;";  ","")&amp;IF(AND(EDATE($D98,Milestones!$AA$144)&lt;=AsOfDate,IF($R98=0,$X98,IF(AND($T98&lt;&gt;"",EDATE($D98,Milestones!$AA$144)&gt;=$T98),$W98,IF(AND($S98&lt;&gt;"",EDATE($D98,Milestones!$AA$144)&gt;=$S98),$V98,$U98)))=Milestones!$AB$144),UPPER(TEXT(EDATE($D98,Milestones!$AA$144),"dd mmm yy"))&amp;" "&amp;Milestones!$AB$144&amp;" "&amp;Milestones!$AC$144&amp;";  ","")&amp;IF(AND(EDATE($D98,Milestones!$AA$145)&lt;=AsOfDate,IF($R98=0,$X98,IF(AND($T98&lt;&gt;"",EDATE($D98,Milestones!$AA$145)&gt;=$T98),$W98,IF(AND($S98&lt;&gt;"",EDATE($D98,Milestones!$AA$145)&gt;=$S98),$V98,$U98)))=Milestones!$AB$145),UPPER(TEXT(EDATE($D98,Milestones!$AA$145),"dd mmm yy"))&amp;" "&amp;Milestones!$AB$145&amp;" "&amp;Milestones!$AC$145&amp;";  ","")&amp;IF(AND(EDATE($D98,Milestones!$AA$146)&lt;=AsOfDate,IF($R98=0,$X98,IF(AND($T98&lt;&gt;"",EDATE($D98,Milestones!$AA$146)&gt;=$T98),$W98,IF(AND($S98&lt;&gt;"",EDATE($D98,Milestones!$AA$146)&gt;=$S98),$V98,$U98)))=Milestones!$AB$146),UPPER(TEXT(EDATE($D98,Milestones!$AA$146),"dd mmm yy"))&amp;" "&amp;Milestones!$AB$146&amp;" "&amp;Milestones!$AC$146&amp;";  ","")&amp;IF(AND(EDATE($D98,Milestones!$AA$147)&lt;=AsOfDate,IF($R98=0,$X98,IF(AND($T98&lt;&gt;"",EDATE($D98,Milestones!$AA$147)&gt;=$T98),$W98,IF(AND($S98&lt;&gt;"",EDATE($D98,Milestones!$AA$147)&gt;=$S98),$V98,$U98)))=Milestones!$AB$147),UPPER(TEXT(EDATE($D98,Milestones!$AA$147),"dd mmm yy"))&amp;" "&amp;Milestones!$AB$147&amp;" "&amp;Milestones!$AC$147&amp;";  ","")&amp;IF(AND(EDATE($D98,Milestones!$AA$148)&lt;=AsOfDate,IF($R98=0,$X98,IF(AND($T98&lt;&gt;"",EDATE($D98,Milestones!$AA$148)&gt;=$T98),$W98,IF(AND($S98&lt;&gt;"",EDATE($D98,Milestones!$AA$148)&gt;=$S98),$V98,$U98)))=Milestones!$AB$148),UPPER(TEXT(EDATE($D98,Milestones!$AA$148),"dd mmm yy"))&amp;" "&amp;Milestones!$AB$148&amp;" "&amp;Milestones!$AC$148&amp;";  ","")&amp;IF(AND(EDATE($D98,Milestones!$AA$149)&lt;=AsOfDate,IF($R98=0,$X98,IF(AND($T98&lt;&gt;"",EDATE($D98,Milestones!$AA$149)&gt;=$T98),$W98,IF(AND($S98&lt;&gt;"",EDATE($D98,Milestones!$AA$149)&gt;=$S98),$V98,$U98)))=Milestones!$AB$149),UPPER(TEXT(EDATE($D98,Milestones!$AA$149),"dd mmm yy"))&amp;" "&amp;Milestones!$AB$149&amp;" "&amp;Milestones!$AC$149&amp;";  ","")&amp;IF(AND(EDATE($D98,Milestones!$AA$150)&lt;=AsOfDate,IF($R98=0,$X98,IF(AND($T98&lt;&gt;"",EDATE($D98,Milestones!$AA$150)&gt;=$T98),$W98,IF(AND($S98&lt;&gt;"",EDATE($D98,Milestones!$AA$150)&gt;=$S98),$V98,$U98)))=Milestones!$AB$150),UPPER(TEXT(EDATE($D98,Milestones!$AA$150),"dd mmm yy"))&amp;" "&amp;Milestones!$AB$150&amp;" "&amp;Milestones!$AC$150&amp;";  ","")&amp;IF(AND(EDATE($D98,Milestones!$AA$151)&lt;=AsOfDate,IF($R98=0,$X98,IF(AND($T98&lt;&gt;"",EDATE($D98,Milestones!$AA$151)&gt;=$T98),$W98,IF(AND($S98&lt;&gt;"",EDATE($D98,Milestones!$AA$151)&gt;=$S98),$V98,$U98)))=Milestones!$AB$151),UPPER(TEXT(EDATE($D98,Milestones!$AA$151),"dd mmm yy"))&amp;" "&amp;Milestones!$AB$151&amp;" "&amp;Milestones!$AC$151&amp;";  ","")&amp;IF(AND(EDATE($D98,Milestones!$AA$152)&lt;=AsOfDate,IF($R98=0,$X98,IF(AND($T98&lt;&gt;"",EDATE($D98,Milestones!$AA$152)&gt;=$T98),$W98,IF(AND($S98&lt;&gt;"",EDATE($D98,Milestones!$AA$152)&gt;=$S98),$V98,$U98)))=Milestones!$AB$152),UPPER(TEXT(EDATE($D98,Milestones!$AA$152),"dd mmm yy"))&amp;" "&amp;Milestones!$AB$152&amp;" "&amp;Milestones!$AC$152&amp;";  ","")&amp;IF(AND(EDATE($D98,Milestones!$AA$153)&lt;=AsOfDate,IF($R98=0,$X98,IF(AND($T98&lt;&gt;"",EDATE($D98,Milestones!$AA$153)&gt;=$T98),$W98,IF(AND($S98&lt;&gt;"",EDATE($D98,Milestones!$AA$153)&gt;=$S98),$V98,$U98)))=Milestones!$AB$153),UPPER(TEXT(EDATE($D98,Milestones!$AA$153),"dd mmm yy"))&amp;" "&amp;Milestones!$AB$153&amp;" "&amp;Milestones!$AC$153&amp;";  ","")&amp;IF(AND(EDATE($D98,Milestones!$AA$154)&lt;=AsOfDate,IF($R98=0,$X98,IF(AND($T98&lt;&gt;"",EDATE($D98,Milestones!$AA$154)&gt;=$T98),$W98,IF(AND($S98&lt;&gt;"",EDATE($D98,Milestones!$AA$154)&gt;=$S98),$V98,$U98)))=Milestones!$AB$154),UPPER(TEXT(EDATE($D98,Milestones!$AA$154),"dd mmm yy"))&amp;" "&amp;Milestones!$AB$154&amp;" "&amp;Milestones!$AC$154&amp;";  ","")&amp;IF(AND(EDATE($D98,Milestones!$AA$155)&lt;=AsOfDate,IF($R98=0,$X98,IF(AND($T98&lt;&gt;"",EDATE($D98,Milestones!$AA$155)&gt;=$T98),$W98,IF(AND($S98&lt;&gt;"",EDATE($D98,Milestones!$AA$155)&gt;=$S98),$V98,$U98)))=Milestones!$AB$155),UPPER(TEXT(EDATE($D98,Milestones!$AA$155),"dd mmm yy"))&amp;" "&amp;Milestones!$AB$155&amp;" "&amp;Milestones!$AC$155&amp;";  ","")&amp;IF(AND(EDATE($D98,Milestones!$AA$156)&lt;=AsOfDate,IF($R98=0,$X98,IF(AND($T98&lt;&gt;"",EDATE($D98,Milestones!$AA$156)&gt;=$T98),$W98,IF(AND($S98&lt;&gt;"",EDATE($D98,Milestones!$AA$156)&gt;=$S98),$V98,$U98)))=Milestones!$AB$156),UPPER(TEXT(EDATE($D98,Milestones!$AA$156),"dd mmm yy"))&amp;" "&amp;Milestones!$AB$156&amp;" "&amp;Milestones!$AC$156&amp;";  ","")&amp;IF(AND(EDATE($D98,Milestones!$AA$157)&lt;=AsOfDate,IF($R98=0,$X98,IF(AND($T98&lt;&gt;"",EDATE($D98,Milestones!$AA$157)&gt;=$T98),$W98,IF(AND($S98&lt;&gt;"",EDATE($D98,Milestones!$AA$157)&gt;=$S98),$V98,$U98)))=Milestones!$AB$157),UPPER(TEXT(EDATE($D98,Milestones!$AA$157),"dd mmm yy"))&amp;" "&amp;Milestones!$AB$157&amp;" "&amp;Milestones!$AC$157&amp;";  ","")&amp;IF(AND(EDATE($D98,Milestones!$AA$158)&lt;=AsOfDate,IF($R98=0,$X98,IF(AND($T98&lt;&gt;"",EDATE($D98,Milestones!$AA$158)&gt;=$T98),$W98,IF(AND($S98&lt;&gt;"",EDATE($D98,Milestones!$AA$158)&gt;=$S98),$V98,$U98)))=Milestones!$AB$158),UPPER(TEXT(EDATE($D98,Milestones!$AA$158),"dd mmm yy"))&amp;" "&amp;Milestones!$AB$158&amp;" "&amp;Milestones!$AC$158&amp;";  ","")&amp;IF(AND(EDATE($D98,Milestones!$AA$159)&lt;=AsOfDate,IF($R98=0,$X98,IF(AND($T98&lt;&gt;"",EDATE($D98,Milestones!$AA$159)&gt;=$T98),$W98,IF(AND($S98&lt;&gt;"",EDATE($D98,Milestones!$AA$159)&gt;=$S98),$V98,$U98)))=Milestones!$AB$159),UPPER(TEXT(EDATE($D98,Milestones!$AA$159),"dd mmm yy"))&amp;" "&amp;Milestones!$AB$159&amp;" "&amp;Milestones!$AC$159&amp;";  ",""))</f>
        <v/>
      </c>
      <c r="P98" s="0" t="str">
        <f aca="false">IF(OR($A98="",$D98=""),"",IF(AND(EDATE($D98,Milestones!$AA$160)&lt;=AsOfDate,IF($R98=0,$X98,IF(AND($T98&lt;&gt;"",EDATE($D98,Milestones!$AA$160)&gt;=$T98),$W98,IF(AND($S98&lt;&gt;"",EDATE($D98,Milestones!$AA$160)&gt;=$S98),$V98,$U98)))=Milestones!$AB$160),UPPER(TEXT(EDATE($D98,Milestones!$AA$160),"dd mmm yy"))&amp;" "&amp;Milestones!$AB$160&amp;" "&amp;Milestones!$AC$160&amp;";  ","")&amp;IF(AND(EDATE($D98,Milestones!$AA$161)&lt;=AsOfDate,IF($R98=0,$X98,IF(AND($T98&lt;&gt;"",EDATE($D98,Milestones!$AA$161)&gt;=$T98),$W98,IF(AND($S98&lt;&gt;"",EDATE($D98,Milestones!$AA$161)&gt;=$S98),$V98,$U98)))=Milestones!$AB$161),UPPER(TEXT(EDATE($D98,Milestones!$AA$161),"dd mmm yy"))&amp;" "&amp;Milestones!$AB$161&amp;" "&amp;Milestones!$AC$161&amp;";  ","")&amp;IF(AND(EDATE($D98,Milestones!$AA$162)&lt;=AsOfDate,IF($R98=0,$X98,IF(AND($T98&lt;&gt;"",EDATE($D98,Milestones!$AA$162)&gt;=$T98),$W98,IF(AND($S98&lt;&gt;"",EDATE($D98,Milestones!$AA$162)&gt;=$S98),$V98,$U98)))=Milestones!$AB$162),UPPER(TEXT(EDATE($D98,Milestones!$AA$162),"dd mmm yy"))&amp;" "&amp;Milestones!$AB$162&amp;" "&amp;Milestones!$AC$162&amp;";  ","")&amp;IF(AND(EDATE($D98,Milestones!$AA$163)&lt;=AsOfDate,IF($R98=0,$X98,IF(AND($T98&lt;&gt;"",EDATE($D98,Milestones!$AA$163)&gt;=$T98),$W98,IF(AND($S98&lt;&gt;"",EDATE($D98,Milestones!$AA$163)&gt;=$S98),$V98,$U98)))=Milestones!$AB$163),UPPER(TEXT(EDATE($D98,Milestones!$AA$163),"dd mmm yy"))&amp;" "&amp;Milestones!$AB$163&amp;" "&amp;Milestones!$AC$163&amp;";  ","")&amp;IF(AND(EDATE($D98,Milestones!$AA$164)&lt;=AsOfDate,IF($R98=0,$X98,IF(AND($T98&lt;&gt;"",EDATE($D98,Milestones!$AA$164)&gt;=$T98),$W98,IF(AND($S98&lt;&gt;"",EDATE($D98,Milestones!$AA$164)&gt;=$S98),$V98,$U98)))=Milestones!$AB$164),UPPER(TEXT(EDATE($D98,Milestones!$AA$164),"dd mmm yy"))&amp;" "&amp;Milestones!$AB$164&amp;" "&amp;Milestones!$AC$164&amp;";  ","")&amp;IF(AND(EDATE($D98,Milestones!$AA$165)&lt;=AsOfDate,IF($R98=0,$X98,IF(AND($T98&lt;&gt;"",EDATE($D98,Milestones!$AA$165)&gt;=$T98),$W98,IF(AND($S98&lt;&gt;"",EDATE($D98,Milestones!$AA$165)&gt;=$S98),$V98,$U98)))=Milestones!$AB$165),UPPER(TEXT(EDATE($D98,Milestones!$AA$165),"dd mmm yy"))&amp;" "&amp;Milestones!$AB$165&amp;" "&amp;Milestones!$AC$165&amp;";  ","")&amp;IF(AND(EDATE($D98,Milestones!$AA$166)&lt;=AsOfDate,IF($R98=0,$X98,IF(AND($T98&lt;&gt;"",EDATE($D98,Milestones!$AA$166)&gt;=$T98),$W98,IF(AND($S98&lt;&gt;"",EDATE($D98,Milestones!$AA$166)&gt;=$S98),$V98,$U98)))=Milestones!$AB$166),UPPER(TEXT(EDATE($D98,Milestones!$AA$166),"dd mmm yy"))&amp;" "&amp;Milestones!$AB$166&amp;" "&amp;Milestones!$AC$166&amp;";  ","")&amp;IF(AND(EDATE($D98,Milestones!$AA$167)&lt;=AsOfDate,IF($R98=0,$X98,IF(AND($T98&lt;&gt;"",EDATE($D98,Milestones!$AA$167)&gt;=$T98),$W98,IF(AND($S98&lt;&gt;"",EDATE($D98,Milestones!$AA$167)&gt;=$S98),$V98,$U98)))=Milestones!$AB$167),UPPER(TEXT(EDATE($D98,Milestones!$AA$167),"dd mmm yy"))&amp;" "&amp;Milestones!$AB$167&amp;" "&amp;Milestones!$AC$167&amp;";  ","")&amp;IF(AND(EDATE($D98,Milestones!$AA$168)&lt;=AsOfDate,IF($R98=0,$X98,IF(AND($T98&lt;&gt;"",EDATE($D98,Milestones!$AA$168)&gt;=$T98),$W98,IF(AND($S98&lt;&gt;"",EDATE($D98,Milestones!$AA$168)&gt;=$S98),$V98,$U98)))=Milestones!$AB$168),UPPER(TEXT(EDATE($D98,Milestones!$AA$168),"dd mmm yy"))&amp;" "&amp;Milestones!$AB$168&amp;" "&amp;Milestones!$AC$168&amp;";  ","")&amp;IF(AND(EDATE($D98,Milestones!$AA$169)&lt;=AsOfDate,IF($R98=0,$X98,IF(AND($T98&lt;&gt;"",EDATE($D98,Milestones!$AA$169)&gt;=$T98),$W98,IF(AND($S98&lt;&gt;"",EDATE($D98,Milestones!$AA$169)&gt;=$S98),$V98,$U98)))=Milestones!$AB$169),UPPER(TEXT(EDATE($D98,Milestones!$AA$169),"dd mmm yy"))&amp;" "&amp;Milestones!$AB$169&amp;" "&amp;Milestones!$AC$169&amp;";  ","")&amp;IF(AND(EDATE($D98,Milestones!$AA$170)&lt;=AsOfDate,IF($R98=0,$X98,IF(AND($T98&lt;&gt;"",EDATE($D98,Milestones!$AA$170)&gt;=$T98),$W98,IF(AND($S98&lt;&gt;"",EDATE($D98,Milestones!$AA$170)&gt;=$S98),$V98,$U98)))=Milestones!$AB$170),UPPER(TEXT(EDATE($D98,Milestones!$AA$170),"dd mmm yy"))&amp;" "&amp;Milestones!$AB$170&amp;" "&amp;Milestones!$AC$170&amp;";  ","")&amp;IF(AND(EDATE($D98,Milestones!$AA$171)&lt;=AsOfDate,IF($R98=0,$X98,IF(AND($T98&lt;&gt;"",EDATE($D98,Milestones!$AA$171)&gt;=$T98),$W98,IF(AND($S98&lt;&gt;"",EDATE($D98,Milestones!$AA$171)&gt;=$S98),$V98,$U98)))=Milestones!$AB$171),UPPER(TEXT(EDATE($D98,Milestones!$AA$171),"dd mmm yy"))&amp;" "&amp;Milestones!$AB$171&amp;" "&amp;Milestones!$AC$171&amp;";  ","")&amp;IF(AND(EDATE($D98,Milestones!$AA$172)&lt;=AsOfDate,IF($R98=0,$X98,IF(AND($T98&lt;&gt;"",EDATE($D98,Milestones!$AA$172)&gt;=$T98),$W98,IF(AND($S98&lt;&gt;"",EDATE($D98,Milestones!$AA$172)&gt;=$S98),$V98,$U98)))=Milestones!$AB$172),UPPER(TEXT(EDATE($D98,Milestones!$AA$172),"dd mmm yy"))&amp;" "&amp;Milestones!$AB$172&amp;" "&amp;Milestones!$AC$172&amp;";  ","")&amp;IF(AND(EDATE($D98,Milestones!$AA$173)&lt;=AsOfDate,IF($R98=0,$X98,IF(AND($T98&lt;&gt;"",EDATE($D98,Milestones!$AA$173)&gt;=$T98),$W98,IF(AND($S98&lt;&gt;"",EDATE($D98,Milestones!$AA$173)&gt;=$S98),$V98,$U98)))=Milestones!$AB$173),UPPER(TEXT(EDATE($D98,Milestones!$AA$173),"dd mmm yy"))&amp;" "&amp;Milestones!$AB$173&amp;" "&amp;Milestones!$AC$173&amp;";  ","")&amp;IF(AND(EDATE($D98,Milestones!$AA$174)&lt;=AsOfDate,IF($R98=0,$X98,IF(AND($T98&lt;&gt;"",EDATE($D98,Milestones!$AA$174)&gt;=$T98),$W98,IF(AND($S98&lt;&gt;"",EDATE($D98,Milestones!$AA$174)&gt;=$S98),$V98,$U98)))=Milestones!$AB$174),UPPER(TEXT(EDATE($D98,Milestones!$AA$174),"dd mmm yy"))&amp;" "&amp;Milestones!$AB$174&amp;" "&amp;Milestones!$AC$174&amp;";  ","")&amp;IF(AND(EDATE($D98,Milestones!$AA$175)&lt;=AsOfDate,IF($R98=0,$X98,IF(AND($T98&lt;&gt;"",EDATE($D98,Milestones!$AA$175)&gt;=$T98),$W98,IF(AND($S98&lt;&gt;"",EDATE($D98,Milestones!$AA$175)&gt;=$S98),$V98,$U98)))=Milestones!$AB$175),UPPER(TEXT(EDATE($D98,Milestones!$AA$175),"dd mmm yy"))&amp;" "&amp;Milestones!$AB$175&amp;" "&amp;Milestones!$AC$175&amp;";  ","")&amp;IF(AND(EDATE($D98,Milestones!$AA$176)&lt;=AsOfDate,IF($R98=0,$X98,IF(AND($T98&lt;&gt;"",EDATE($D98,Milestones!$AA$176)&gt;=$T98),$W98,IF(AND($S98&lt;&gt;"",EDATE($D98,Milestones!$AA$176)&gt;=$S98),$V98,$U98)))=Milestones!$AB$176),UPPER(TEXT(EDATE($D98,Milestones!$AA$176),"dd mmm yy"))&amp;" "&amp;Milestones!$AB$176&amp;" "&amp;Milestones!$AC$176&amp;";  ","")&amp;IF(AND(EDATE($D98,Milestones!$AA$177)&lt;=AsOfDate,IF($R98=0,$X98,IF(AND($T98&lt;&gt;"",EDATE($D98,Milestones!$AA$177)&gt;=$T98),$W98,IF(AND($S98&lt;&gt;"",EDATE($D98,Milestones!$AA$177)&gt;=$S98),$V98,$U98)))=Milestones!$AB$177),UPPER(TEXT(EDATE($D98,Milestones!$AA$177),"dd mmm yy"))&amp;" "&amp;Milestones!$AB$177&amp;" "&amp;Milestones!$AC$177&amp;";  ","")&amp;IF(AND(EDATE($D98,Milestones!$AA$178)&lt;=AsOfDate,IF($R98=0,$X98,IF(AND($T98&lt;&gt;"",EDATE($D98,Milestones!$AA$178)&gt;=$T98),$W98,IF(AND($S98&lt;&gt;"",EDATE($D98,Milestones!$AA$178)&gt;=$S98),$V98,$U98)))=Milestones!$AB$178),UPPER(TEXT(EDATE($D98,Milestones!$AA$178),"dd mmm yy"))&amp;" "&amp;Milestones!$AB$178&amp;" "&amp;Milestones!$AC$178&amp;";  ","")&amp;IF(AND(EDATE($D98,Milestones!$AA$179)&lt;=AsOfDate,IF($R98=0,$X98,IF(AND($T98&lt;&gt;"",EDATE($D98,Milestones!$AA$179)&gt;=$T98),$W98,IF(AND($S98&lt;&gt;"",EDATE($D98,Milestones!$AA$179)&gt;=$S98),$V98,$U98)))=Milestones!$AB$179),UPPER(TEXT(EDATE($D98,Milestones!$AA$179),"dd mmm yy"))&amp;" "&amp;Milestones!$AB$179&amp;" "&amp;Milestones!$AC$179&amp;";  ",""))</f>
        <v/>
      </c>
      <c r="Q98" s="0" t="str">
        <f aca="false">IF(OR($A98="",$D98=""),"",IF(AND(EDATE($D98,Milestones!$AA$180)&lt;=AsOfDate,IF($R98=0,$X98,IF(AND($T98&lt;&gt;"",EDATE($D98,Milestones!$AA$180)&gt;=$T98),$W98,IF(AND($S98&lt;&gt;"",EDATE($D98,Milestones!$AA$180)&gt;=$S98),$V98,$U98)))=Milestones!$AB$180),UPPER(TEXT(EDATE($D98,Milestones!$AA$180),"dd mmm yy"))&amp;" "&amp;Milestones!$AB$180&amp;" "&amp;Milestones!$AC$180&amp;";  ","")&amp;IF(AND(EDATE($D98,Milestones!$AA$181)&lt;=AsOfDate,IF($R98=0,$X98,IF(AND($T98&lt;&gt;"",EDATE($D98,Milestones!$AA$181)&gt;=$T98),$W98,IF(AND($S98&lt;&gt;"",EDATE($D98,Milestones!$AA$181)&gt;=$S98),$V98,$U98)))=Milestones!$AB$181),UPPER(TEXT(EDATE($D98,Milestones!$AA$181),"dd mmm yy"))&amp;" "&amp;Milestones!$AB$181&amp;" "&amp;Milestones!$AC$181&amp;";  ","")&amp;IF(AND(EDATE($D98,Milestones!$AA$182)&lt;=AsOfDate,IF($R98=0,$X98,IF(AND($T98&lt;&gt;"",EDATE($D98,Milestones!$AA$182)&gt;=$T98),$W98,IF(AND($S98&lt;&gt;"",EDATE($D98,Milestones!$AA$182)&gt;=$S98),$V98,$U98)))=Milestones!$AB$182),UPPER(TEXT(EDATE($D98,Milestones!$AA$182),"dd mmm yy"))&amp;" "&amp;Milestones!$AB$182&amp;" "&amp;Milestones!$AC$182&amp;";  ","")&amp;IF(AND(EDATE($D98,Milestones!$AA$183)&lt;=AsOfDate,IF($R98=0,$X98,IF(AND($T98&lt;&gt;"",EDATE($D98,Milestones!$AA$183)&gt;=$T98),$W98,IF(AND($S98&lt;&gt;"",EDATE($D98,Milestones!$AA$183)&gt;=$S98),$V98,$U98)))=Milestones!$AB$183),UPPER(TEXT(EDATE($D98,Milestones!$AA$183),"dd mmm yy"))&amp;" "&amp;Milestones!$AB$183&amp;" "&amp;Milestones!$AC$183&amp;";  ","")&amp;IF(AND(EDATE($D98,Milestones!$AA$184)&lt;=AsOfDate,IF($R98=0,$X98,IF(AND($T98&lt;&gt;"",EDATE($D98,Milestones!$AA$184)&gt;=$T98),$W98,IF(AND($S98&lt;&gt;"",EDATE($D98,Milestones!$AA$184)&gt;=$S98),$V98,$U98)))=Milestones!$AB$184),UPPER(TEXT(EDATE($D98,Milestones!$AA$184),"dd mmm yy"))&amp;" "&amp;Milestones!$AB$184&amp;" "&amp;Milestones!$AC$184&amp;";  ","")&amp;IF(AND(EDATE($D98,Milestones!$AA$185)&lt;=AsOfDate,IF($R98=0,$X98,IF(AND($T98&lt;&gt;"",EDATE($D98,Milestones!$AA$185)&gt;=$T98),$W98,IF(AND($S98&lt;&gt;"",EDATE($D98,Milestones!$AA$185)&gt;=$S98),$V98,$U98)))=Milestones!$AB$185),UPPER(TEXT(EDATE($D98,Milestones!$AA$185),"dd mmm yy"))&amp;" "&amp;Milestones!$AB$185&amp;" "&amp;Milestones!$AC$185&amp;";  ","")&amp;IF(AND(EDATE($D98,Milestones!$AA$186)&lt;=AsOfDate,IF($R98=0,$X98,IF(AND($T98&lt;&gt;"",EDATE($D98,Milestones!$AA$186)&gt;=$T98),$W98,IF(AND($S98&lt;&gt;"",EDATE($D98,Milestones!$AA$186)&gt;=$S98),$V98,$U98)))=Milestones!$AB$186),UPPER(TEXT(EDATE($D98,Milestones!$AA$186),"dd mmm yy"))&amp;" "&amp;Milestones!$AB$186&amp;" "&amp;Milestones!$AC$186&amp;";  ","")&amp;IF(AND(EDATE($D98,Milestones!$AA$187)&lt;=AsOfDate,IF($R98=0,$X98,IF(AND($T98&lt;&gt;"",EDATE($D98,Milestones!$AA$187)&gt;=$T98),$W98,IF(AND($S98&lt;&gt;"",EDATE($D98,Milestones!$AA$187)&gt;=$S98),$V98,$U98)))=Milestones!$AB$187),UPPER(TEXT(EDATE($D98,Milestones!$AA$187),"dd mmm yy"))&amp;" "&amp;Milestones!$AB$187&amp;" "&amp;Milestones!$AC$187&amp;";  ","")&amp;IF(AND(EDATE($D98,Milestones!$AA$188)&lt;=AsOfDate,IF($R98=0,$X98,IF(AND($T98&lt;&gt;"",EDATE($D98,Milestones!$AA$188)&gt;=$T98),$W98,IF(AND($S98&lt;&gt;"",EDATE($D98,Milestones!$AA$188)&gt;=$S98),$V98,$U98)))=Milestones!$AB$188),UPPER(TEXT(EDATE($D98,Milestones!$AA$188),"dd mmm yy"))&amp;" "&amp;Milestones!$AB$188&amp;" "&amp;Milestones!$AC$188&amp;";  ","")&amp;IF(AND(EDATE($D98,Milestones!$AA$189)&lt;=AsOfDate,IF($R98=0,$X98,IF(AND($T98&lt;&gt;"",EDATE($D98,Milestones!$AA$189)&gt;=$T98),$W98,IF(AND($S98&lt;&gt;"",EDATE($D98,Milestones!$AA$189)&gt;=$S98),$V98,$U98)))=Milestones!$AB$189),UPPER(TEXT(EDATE($D98,Milestones!$AA$189),"dd mmm yy"))&amp;" "&amp;Milestones!$AB$189&amp;" "&amp;Milestones!$AC$189&amp;";  ","")&amp;IF(AND(EDATE($D98,Milestones!$AA$190)&lt;=AsOfDate,IF($R98=0,$X98,IF(AND($T98&lt;&gt;"",EDATE($D98,Milestones!$AA$190)&gt;=$T98),$W98,IF(AND($S98&lt;&gt;"",EDATE($D98,Milestones!$AA$190)&gt;=$S98),$V98,$U98)))=Milestones!$AB$190),UPPER(TEXT(EDATE($D98,Milestones!$AA$190),"dd mmm yy"))&amp;" "&amp;Milestones!$AB$190&amp;" "&amp;Milestones!$AC$190&amp;";  ","")&amp;IF(AND(EDATE($D98,Milestones!$AA$191)&lt;=AsOfDate,IF($R98=0,$X98,IF(AND($T98&lt;&gt;"",EDATE($D98,Milestones!$AA$191)&gt;=$T98),$W98,IF(AND($S98&lt;&gt;"",EDATE($D98,Milestones!$AA$191)&gt;=$S98),$V98,$U98)))=Milestones!$AB$191),UPPER(TEXT(EDATE($D98,Milestones!$AA$191),"dd mmm yy"))&amp;" "&amp;Milestones!$AB$191&amp;" "&amp;Milestones!$AC$191&amp;";  ","")&amp;IF(AND(EDATE($D98,Milestones!$AA$192)&lt;=AsOfDate,IF($R98=0,$X98,IF(AND($T98&lt;&gt;"",EDATE($D98,Milestones!$AA$192)&gt;=$T98),$W98,IF(AND($S98&lt;&gt;"",EDATE($D98,Milestones!$AA$192)&gt;=$S98),$V98,$U98)))=Milestones!$AB$192),UPPER(TEXT(EDATE($D98,Milestones!$AA$192),"dd mmm yy"))&amp;" "&amp;Milestones!$AB$192&amp;" "&amp;Milestones!$AC$192&amp;";  ","")&amp;IF(AND(EDATE($D98,Milestones!$AA$193)&lt;=AsOfDate,IF($R98=0,$X98,IF(AND($T98&lt;&gt;"",EDATE($D98,Milestones!$AA$193)&gt;=$T98),$W98,IF(AND($S98&lt;&gt;"",EDATE($D98,Milestones!$AA$193)&gt;=$S98),$V98,$U98)))=Milestones!$AB$193),UPPER(TEXT(EDATE($D98,Milestones!$AA$193),"dd mmm yy"))&amp;" "&amp;Milestones!$AB$193&amp;" "&amp;Milestones!$AC$193&amp;";  ","")&amp;IF(AND(EDATE($D98,Milestones!$AA$194)&lt;=AsOfDate,IF($R98=0,$X98,IF(AND($T98&lt;&gt;"",EDATE($D98,Milestones!$AA$194)&gt;=$T98),$W98,IF(AND($S98&lt;&gt;"",EDATE($D98,Milestones!$AA$194)&gt;=$S98),$V98,$U98)))=Milestones!$AB$194),UPPER(TEXT(EDATE($D98,Milestones!$AA$194),"dd mmm yy"))&amp;" "&amp;Milestones!$AB$194&amp;" "&amp;Milestones!$AC$194&amp;";  ","")&amp;IF(AND(EDATE($D98,Milestones!$AA$195)&lt;=AsOfDate,IF($R98=0,$X98,IF(AND($T98&lt;&gt;"",EDATE($D98,Milestones!$AA$195)&gt;=$T98),$W98,IF(AND($S98&lt;&gt;"",EDATE($D98,Milestones!$AA$195)&gt;=$S98),$V98,$U98)))=Milestones!$AB$195),UPPER(TEXT(EDATE($D98,Milestones!$AA$195),"dd mmm yy"))&amp;" "&amp;Milestones!$AB$195&amp;" "&amp;Milestones!$AC$195&amp;";  ","")&amp;IF(AND(EDATE($D98,Milestones!$AA$196)&lt;=AsOfDate,IF($R98=0,$X98,IF(AND($T98&lt;&gt;"",EDATE($D98,Milestones!$AA$196)&gt;=$T98),$W98,IF(AND($S98&lt;&gt;"",EDATE($D98,Milestones!$AA$196)&gt;=$S98),$V98,$U98)))=Milestones!$AB$196),UPPER(TEXT(EDATE($D98,Milestones!$AA$196),"dd mmm yy"))&amp;" "&amp;Milestones!$AB$196&amp;" "&amp;Milestones!$AC$196&amp;";  ","")&amp;IF(AND(EDATE($D98,Milestones!$AA$197)&lt;=AsOfDate,IF($R98=0,$X98,IF(AND($T98&lt;&gt;"",EDATE($D98,Milestones!$AA$197)&gt;=$T98),$W98,IF(AND($S98&lt;&gt;"",EDATE($D98,Milestones!$AA$197)&gt;=$S98),$V98,$U98)))=Milestones!$AB$197),UPPER(TEXT(EDATE($D98,Milestones!$AA$197),"dd mmm yy"))&amp;" "&amp;Milestones!$AB$197&amp;" "&amp;Milestones!$AC$197&amp;";  ","")&amp;IF(AND(EDATE($D98,Milestones!$AA$198)&lt;=AsOfDate,IF($R98=0,$X98,IF(AND($T98&lt;&gt;"",EDATE($D98,Milestones!$AA$198)&gt;=$T98),$W98,IF(AND($S98&lt;&gt;"",EDATE($D98,Milestones!$AA$198)&gt;=$S98),$V98,$U98)))=Milestones!$AB$198),UPPER(TEXT(EDATE($D98,Milestones!$AA$198),"dd mmm yy"))&amp;" "&amp;Milestones!$AB$198&amp;" "&amp;Milestones!$AC$198&amp;";  ","")&amp;IF(AND(EDATE($D98,Milestones!$AA$199)&lt;=AsOfDate,IF($R98=0,$X98,IF(AND($T98&lt;&gt;"",EDATE($D98,Milestones!$AA$199)&gt;=$T98),$W98,IF(AND($S98&lt;&gt;"",EDATE($D98,Milestones!$AA$199)&gt;=$S98),$V98,$U98)))=Milestones!$AB$199),UPPER(TEXT(EDATE($D98,Milestones!$AA$199),"dd mmm yy"))&amp;" "&amp;Milestones!$AB$199&amp;" "&amp;Milestones!$AC$199&amp;";  ",""))</f>
        <v/>
      </c>
      <c r="R98" s="0" t="str">
        <f aca="false">IF(Staff!$A98="","",Staff!$AI98)</f>
        <v/>
      </c>
      <c r="S98" s="0" t="str">
        <f aca="false">IF(Staff!$A98="","",Staff!$AK98)</f>
        <v/>
      </c>
      <c r="T98" s="0" t="str">
        <f aca="false">IF(Staff!$A98="","",Staff!$AL98)</f>
        <v/>
      </c>
      <c r="U98" s="0" t="str">
        <f aca="false">IF(Staff!$A98="","",Staff!$AP98)</f>
        <v/>
      </c>
      <c r="V98" s="0" t="str">
        <f aca="false">IF(Staff!$A98="","",Staff!$AQ98)</f>
        <v/>
      </c>
      <c r="W98" s="0" t="str">
        <f aca="false">IF(Staff!$A98="","",Staff!$AR98)</f>
        <v/>
      </c>
      <c r="X98" s="0" t="str">
        <f aca="false">IF(Staff!$A98="","",Staff!$AS98)</f>
        <v/>
      </c>
    </row>
    <row r="99" customFormat="false" ht="15" hidden="false" customHeight="false" outlineLevel="0" collapsed="false">
      <c r="A99" s="14" t="str">
        <f aca="false">IF(Staff!$A99="","",Staff!$A99)</f>
        <v/>
      </c>
      <c r="B99" s="14" t="str">
        <f aca="false">IF(Staff!$A99="","",Staff!$B99)</f>
        <v/>
      </c>
      <c r="C99" s="14" t="str">
        <f aca="false">IF(Staff!$A99="","",Staff!$C99)</f>
        <v/>
      </c>
      <c r="D99" s="12" t="str">
        <f aca="false">IF(Staff!$A99="","",Staff!$AH99)</f>
        <v/>
      </c>
      <c r="E99" s="14" t="str">
        <f aca="false">IF(Staff!$A99="","",Staff!$O99)</f>
        <v/>
      </c>
      <c r="F99" s="14" t="str">
        <f aca="false">IF(E99="","",E99*HoursPerDay)</f>
        <v/>
      </c>
      <c r="G99" s="14" t="str">
        <f aca="false">IF(Staff!$A99="","",Staff!$AE99)</f>
        <v/>
      </c>
      <c r="H99" s="26" t="str">
        <f aca="false">IF($A99="","",I99&amp;J99&amp;K99&amp;L99&amp;M99&amp;N99&amp;O99&amp;P99&amp;Q99)</f>
        <v/>
      </c>
      <c r="I99" s="0" t="str">
        <f aca="false">IF(OR($A99="",$D99=""),"",IF(AND(EDATE($D99,Milestones!$AA$20)&lt;=AsOfDate,IF($R99=0,$X99,IF(AND($T99&lt;&gt;"",EDATE($D99,Milestones!$AA$20)&gt;=$T99),$W99,IF(AND($S99&lt;&gt;"",EDATE($D99,Milestones!$AA$20)&gt;=$S99),$V99,$U99)))=Milestones!$AB$20),UPPER(TEXT(EDATE($D99,Milestones!$AA$20),"dd mmm yy"))&amp;" "&amp;Milestones!$AB$20&amp;" "&amp;Milestones!$AC$20&amp;";  ","")&amp;IF(AND(EDATE($D99,Milestones!$AA$21)&lt;=AsOfDate,IF($R99=0,$X99,IF(AND($T99&lt;&gt;"",EDATE($D99,Milestones!$AA$21)&gt;=$T99),$W99,IF(AND($S99&lt;&gt;"",EDATE($D99,Milestones!$AA$21)&gt;=$S99),$V99,$U99)))=Milestones!$AB$21),UPPER(TEXT(EDATE($D99,Milestones!$AA$21),"dd mmm yy"))&amp;" "&amp;Milestones!$AB$21&amp;" "&amp;Milestones!$AC$21&amp;";  ","")&amp;IF(AND(EDATE($D99,Milestones!$AA$22)&lt;=AsOfDate,IF($R99=0,$X99,IF(AND($T99&lt;&gt;"",EDATE($D99,Milestones!$AA$22)&gt;=$T99),$W99,IF(AND($S99&lt;&gt;"",EDATE($D99,Milestones!$AA$22)&gt;=$S99),$V99,$U99)))=Milestones!$AB$22),UPPER(TEXT(EDATE($D99,Milestones!$AA$22),"dd mmm yy"))&amp;" "&amp;Milestones!$AB$22&amp;" "&amp;Milestones!$AC$22&amp;";  ","")&amp;IF(AND(EDATE($D99,Milestones!$AA$23)&lt;=AsOfDate,IF($R99=0,$X99,IF(AND($T99&lt;&gt;"",EDATE($D99,Milestones!$AA$23)&gt;=$T99),$W99,IF(AND($S99&lt;&gt;"",EDATE($D99,Milestones!$AA$23)&gt;=$S99),$V99,$U99)))=Milestones!$AB$23),UPPER(TEXT(EDATE($D99,Milestones!$AA$23),"dd mmm yy"))&amp;" "&amp;Milestones!$AB$23&amp;" "&amp;Milestones!$AC$23&amp;";  ","")&amp;IF(AND(EDATE($D99,Milestones!$AA$24)&lt;=AsOfDate,IF($R99=0,$X99,IF(AND($T99&lt;&gt;"",EDATE($D99,Milestones!$AA$24)&gt;=$T99),$W99,IF(AND($S99&lt;&gt;"",EDATE($D99,Milestones!$AA$24)&gt;=$S99),$V99,$U99)))=Milestones!$AB$24),UPPER(TEXT(EDATE($D99,Milestones!$AA$24),"dd mmm yy"))&amp;" "&amp;Milestones!$AB$24&amp;" "&amp;Milestones!$AC$24&amp;";  ","")&amp;IF(AND(EDATE($D99,Milestones!$AA$25)&lt;=AsOfDate,IF($R99=0,$X99,IF(AND($T99&lt;&gt;"",EDATE($D99,Milestones!$AA$25)&gt;=$T99),$W99,IF(AND($S99&lt;&gt;"",EDATE($D99,Milestones!$AA$25)&gt;=$S99),$V99,$U99)))=Milestones!$AB$25),UPPER(TEXT(EDATE($D99,Milestones!$AA$25),"dd mmm yy"))&amp;" "&amp;Milestones!$AB$25&amp;" "&amp;Milestones!$AC$25&amp;";  ","")&amp;IF(AND(EDATE($D99,Milestones!$AA$26)&lt;=AsOfDate,IF($R99=0,$X99,IF(AND($T99&lt;&gt;"",EDATE($D99,Milestones!$AA$26)&gt;=$T99),$W99,IF(AND($S99&lt;&gt;"",EDATE($D99,Milestones!$AA$26)&gt;=$S99),$V99,$U99)))=Milestones!$AB$26),UPPER(TEXT(EDATE($D99,Milestones!$AA$26),"dd mmm yy"))&amp;" "&amp;Milestones!$AB$26&amp;" "&amp;Milestones!$AC$26&amp;";  ","")&amp;IF(AND(EDATE($D99,Milestones!$AA$27)&lt;=AsOfDate,IF($R99=0,$X99,IF(AND($T99&lt;&gt;"",EDATE($D99,Milestones!$AA$27)&gt;=$T99),$W99,IF(AND($S99&lt;&gt;"",EDATE($D99,Milestones!$AA$27)&gt;=$S99),$V99,$U99)))=Milestones!$AB$27),UPPER(TEXT(EDATE($D99,Milestones!$AA$27),"dd mmm yy"))&amp;" "&amp;Milestones!$AB$27&amp;" "&amp;Milestones!$AC$27&amp;";  ","")&amp;IF(AND(EDATE($D99,Milestones!$AA$28)&lt;=AsOfDate,IF($R99=0,$X99,IF(AND($T99&lt;&gt;"",EDATE($D99,Milestones!$AA$28)&gt;=$T99),$W99,IF(AND($S99&lt;&gt;"",EDATE($D99,Milestones!$AA$28)&gt;=$S99),$V99,$U99)))=Milestones!$AB$28),UPPER(TEXT(EDATE($D99,Milestones!$AA$28),"dd mmm yy"))&amp;" "&amp;Milestones!$AB$28&amp;" "&amp;Milestones!$AC$28&amp;";  ","")&amp;IF(AND(EDATE($D99,Milestones!$AA$29)&lt;=AsOfDate,IF($R99=0,$X99,IF(AND($T99&lt;&gt;"",EDATE($D99,Milestones!$AA$29)&gt;=$T99),$W99,IF(AND($S99&lt;&gt;"",EDATE($D99,Milestones!$AA$29)&gt;=$S99),$V99,$U99)))=Milestones!$AB$29),UPPER(TEXT(EDATE($D99,Milestones!$AA$29),"dd mmm yy"))&amp;" "&amp;Milestones!$AB$29&amp;" "&amp;Milestones!$AC$29&amp;";  ","")&amp;IF(AND(EDATE($D99,Milestones!$AA$30)&lt;=AsOfDate,IF($R99=0,$X99,IF(AND($T99&lt;&gt;"",EDATE($D99,Milestones!$AA$30)&gt;=$T99),$W99,IF(AND($S99&lt;&gt;"",EDATE($D99,Milestones!$AA$30)&gt;=$S99),$V99,$U99)))=Milestones!$AB$30),UPPER(TEXT(EDATE($D99,Milestones!$AA$30),"dd mmm yy"))&amp;" "&amp;Milestones!$AB$30&amp;" "&amp;Milestones!$AC$30&amp;";  ","")&amp;IF(AND(EDATE($D99,Milestones!$AA$31)&lt;=AsOfDate,IF($R99=0,$X99,IF(AND($T99&lt;&gt;"",EDATE($D99,Milestones!$AA$31)&gt;=$T99),$W99,IF(AND($S99&lt;&gt;"",EDATE($D99,Milestones!$AA$31)&gt;=$S99),$V99,$U99)))=Milestones!$AB$31),UPPER(TEXT(EDATE($D99,Milestones!$AA$31),"dd mmm yy"))&amp;" "&amp;Milestones!$AB$31&amp;" "&amp;Milestones!$AC$31&amp;";  ","")&amp;IF(AND(EDATE($D99,Milestones!$AA$32)&lt;=AsOfDate,IF($R99=0,$X99,IF(AND($T99&lt;&gt;"",EDATE($D99,Milestones!$AA$32)&gt;=$T99),$W99,IF(AND($S99&lt;&gt;"",EDATE($D99,Milestones!$AA$32)&gt;=$S99),$V99,$U99)))=Milestones!$AB$32),UPPER(TEXT(EDATE($D99,Milestones!$AA$32),"dd mmm yy"))&amp;" "&amp;Milestones!$AB$32&amp;" "&amp;Milestones!$AC$32&amp;";  ","")&amp;IF(AND(EDATE($D99,Milestones!$AA$33)&lt;=AsOfDate,IF($R99=0,$X99,IF(AND($T99&lt;&gt;"",EDATE($D99,Milestones!$AA$33)&gt;=$T99),$W99,IF(AND($S99&lt;&gt;"",EDATE($D99,Milestones!$AA$33)&gt;=$S99),$V99,$U99)))=Milestones!$AB$33),UPPER(TEXT(EDATE($D99,Milestones!$AA$33),"dd mmm yy"))&amp;" "&amp;Milestones!$AB$33&amp;" "&amp;Milestones!$AC$33&amp;";  ","")&amp;IF(AND(EDATE($D99,Milestones!$AA$34)&lt;=AsOfDate,IF($R99=0,$X99,IF(AND($T99&lt;&gt;"",EDATE($D99,Milestones!$AA$34)&gt;=$T99),$W99,IF(AND($S99&lt;&gt;"",EDATE($D99,Milestones!$AA$34)&gt;=$S99),$V99,$U99)))=Milestones!$AB$34),UPPER(TEXT(EDATE($D99,Milestones!$AA$34),"dd mmm yy"))&amp;" "&amp;Milestones!$AB$34&amp;" "&amp;Milestones!$AC$34&amp;";  ","")&amp;IF(AND(EDATE($D99,Milestones!$AA$35)&lt;=AsOfDate,IF($R99=0,$X99,IF(AND($T99&lt;&gt;"",EDATE($D99,Milestones!$AA$35)&gt;=$T99),$W99,IF(AND($S99&lt;&gt;"",EDATE($D99,Milestones!$AA$35)&gt;=$S99),$V99,$U99)))=Milestones!$AB$35),UPPER(TEXT(EDATE($D99,Milestones!$AA$35),"dd mmm yy"))&amp;" "&amp;Milestones!$AB$35&amp;" "&amp;Milestones!$AC$35&amp;";  ","")&amp;IF(AND(EDATE($D99,Milestones!$AA$36)&lt;=AsOfDate,IF($R99=0,$X99,IF(AND($T99&lt;&gt;"",EDATE($D99,Milestones!$AA$36)&gt;=$T99),$W99,IF(AND($S99&lt;&gt;"",EDATE($D99,Milestones!$AA$36)&gt;=$S99),$V99,$U99)))=Milestones!$AB$36),UPPER(TEXT(EDATE($D99,Milestones!$AA$36),"dd mmm yy"))&amp;" "&amp;Milestones!$AB$36&amp;" "&amp;Milestones!$AC$36&amp;";  ","")&amp;IF(AND(EDATE($D99,Milestones!$AA$37)&lt;=AsOfDate,IF($R99=0,$X99,IF(AND($T99&lt;&gt;"",EDATE($D99,Milestones!$AA$37)&gt;=$T99),$W99,IF(AND($S99&lt;&gt;"",EDATE($D99,Milestones!$AA$37)&gt;=$S99),$V99,$U99)))=Milestones!$AB$37),UPPER(TEXT(EDATE($D99,Milestones!$AA$37),"dd mmm yy"))&amp;" "&amp;Milestones!$AB$37&amp;" "&amp;Milestones!$AC$37&amp;";  ","")&amp;IF(AND(EDATE($D99,Milestones!$AA$38)&lt;=AsOfDate,IF($R99=0,$X99,IF(AND($T99&lt;&gt;"",EDATE($D99,Milestones!$AA$38)&gt;=$T99),$W99,IF(AND($S99&lt;&gt;"",EDATE($D99,Milestones!$AA$38)&gt;=$S99),$V99,$U99)))=Milestones!$AB$38),UPPER(TEXT(EDATE($D99,Milestones!$AA$38),"dd mmm yy"))&amp;" "&amp;Milestones!$AB$38&amp;" "&amp;Milestones!$AC$38&amp;";  ","")&amp;IF(AND(EDATE($D99,Milestones!$AA$39)&lt;=AsOfDate,IF($R99=0,$X99,IF(AND($T99&lt;&gt;"",EDATE($D99,Milestones!$AA$39)&gt;=$T99),$W99,IF(AND($S99&lt;&gt;"",EDATE($D99,Milestones!$AA$39)&gt;=$S99),$V99,$U99)))=Milestones!$AB$39),UPPER(TEXT(EDATE($D99,Milestones!$AA$39),"dd mmm yy"))&amp;" "&amp;Milestones!$AB$39&amp;" "&amp;Milestones!$AC$39&amp;";  ",""))</f>
        <v/>
      </c>
      <c r="J99" s="0" t="str">
        <f aca="false">IF(OR($A99="",$D99=""),"",IF(AND(EDATE($D99,Milestones!$AA$40)&lt;=AsOfDate,IF($R99=0,$X99,IF(AND($T99&lt;&gt;"",EDATE($D99,Milestones!$AA$40)&gt;=$T99),$W99,IF(AND($S99&lt;&gt;"",EDATE($D99,Milestones!$AA$40)&gt;=$S99),$V99,$U99)))=Milestones!$AB$40),UPPER(TEXT(EDATE($D99,Milestones!$AA$40),"dd mmm yy"))&amp;" "&amp;Milestones!$AB$40&amp;" "&amp;Milestones!$AC$40&amp;";  ","")&amp;IF(AND(EDATE($D99,Milestones!$AA$41)&lt;=AsOfDate,IF($R99=0,$X99,IF(AND($T99&lt;&gt;"",EDATE($D99,Milestones!$AA$41)&gt;=$T99),$W99,IF(AND($S99&lt;&gt;"",EDATE($D99,Milestones!$AA$41)&gt;=$S99),$V99,$U99)))=Milestones!$AB$41),UPPER(TEXT(EDATE($D99,Milestones!$AA$41),"dd mmm yy"))&amp;" "&amp;Milestones!$AB$41&amp;" "&amp;Milestones!$AC$41&amp;";  ","")&amp;IF(AND(EDATE($D99,Milestones!$AA$42)&lt;=AsOfDate,IF($R99=0,$X99,IF(AND($T99&lt;&gt;"",EDATE($D99,Milestones!$AA$42)&gt;=$T99),$W99,IF(AND($S99&lt;&gt;"",EDATE($D99,Milestones!$AA$42)&gt;=$S99),$V99,$U99)))=Milestones!$AB$42),UPPER(TEXT(EDATE($D99,Milestones!$AA$42),"dd mmm yy"))&amp;" "&amp;Milestones!$AB$42&amp;" "&amp;Milestones!$AC$42&amp;";  ","")&amp;IF(AND(EDATE($D99,Milestones!$AA$43)&lt;=AsOfDate,IF($R99=0,$X99,IF(AND($T99&lt;&gt;"",EDATE($D99,Milestones!$AA$43)&gt;=$T99),$W99,IF(AND($S99&lt;&gt;"",EDATE($D99,Milestones!$AA$43)&gt;=$S99),$V99,$U99)))=Milestones!$AB$43),UPPER(TEXT(EDATE($D99,Milestones!$AA$43),"dd mmm yy"))&amp;" "&amp;Milestones!$AB$43&amp;" "&amp;Milestones!$AC$43&amp;";  ","")&amp;IF(AND(EDATE($D99,Milestones!$AA$44)&lt;=AsOfDate,IF($R99=0,$X99,IF(AND($T99&lt;&gt;"",EDATE($D99,Milestones!$AA$44)&gt;=$T99),$W99,IF(AND($S99&lt;&gt;"",EDATE($D99,Milestones!$AA$44)&gt;=$S99),$V99,$U99)))=Milestones!$AB$44),UPPER(TEXT(EDATE($D99,Milestones!$AA$44),"dd mmm yy"))&amp;" "&amp;Milestones!$AB$44&amp;" "&amp;Milestones!$AC$44&amp;";  ","")&amp;IF(AND(EDATE($D99,Milestones!$AA$45)&lt;=AsOfDate,IF($R99=0,$X99,IF(AND($T99&lt;&gt;"",EDATE($D99,Milestones!$AA$45)&gt;=$T99),$W99,IF(AND($S99&lt;&gt;"",EDATE($D99,Milestones!$AA$45)&gt;=$S99),$V99,$U99)))=Milestones!$AB$45),UPPER(TEXT(EDATE($D99,Milestones!$AA$45),"dd mmm yy"))&amp;" "&amp;Milestones!$AB$45&amp;" "&amp;Milestones!$AC$45&amp;";  ","")&amp;IF(AND(EDATE($D99,Milestones!$AA$46)&lt;=AsOfDate,IF($R99=0,$X99,IF(AND($T99&lt;&gt;"",EDATE($D99,Milestones!$AA$46)&gt;=$T99),$W99,IF(AND($S99&lt;&gt;"",EDATE($D99,Milestones!$AA$46)&gt;=$S99),$V99,$U99)))=Milestones!$AB$46),UPPER(TEXT(EDATE($D99,Milestones!$AA$46),"dd mmm yy"))&amp;" "&amp;Milestones!$AB$46&amp;" "&amp;Milestones!$AC$46&amp;";  ","")&amp;IF(AND(EDATE($D99,Milestones!$AA$47)&lt;=AsOfDate,IF($R99=0,$X99,IF(AND($T99&lt;&gt;"",EDATE($D99,Milestones!$AA$47)&gt;=$T99),$W99,IF(AND($S99&lt;&gt;"",EDATE($D99,Milestones!$AA$47)&gt;=$S99),$V99,$U99)))=Milestones!$AB$47),UPPER(TEXT(EDATE($D99,Milestones!$AA$47),"dd mmm yy"))&amp;" "&amp;Milestones!$AB$47&amp;" "&amp;Milestones!$AC$47&amp;";  ","")&amp;IF(AND(EDATE($D99,Milestones!$AA$48)&lt;=AsOfDate,IF($R99=0,$X99,IF(AND($T99&lt;&gt;"",EDATE($D99,Milestones!$AA$48)&gt;=$T99),$W99,IF(AND($S99&lt;&gt;"",EDATE($D99,Milestones!$AA$48)&gt;=$S99),$V99,$U99)))=Milestones!$AB$48),UPPER(TEXT(EDATE($D99,Milestones!$AA$48),"dd mmm yy"))&amp;" "&amp;Milestones!$AB$48&amp;" "&amp;Milestones!$AC$48&amp;";  ","")&amp;IF(AND(EDATE($D99,Milestones!$AA$49)&lt;=AsOfDate,IF($R99=0,$X99,IF(AND($T99&lt;&gt;"",EDATE($D99,Milestones!$AA$49)&gt;=$T99),$W99,IF(AND($S99&lt;&gt;"",EDATE($D99,Milestones!$AA$49)&gt;=$S99),$V99,$U99)))=Milestones!$AB$49),UPPER(TEXT(EDATE($D99,Milestones!$AA$49),"dd mmm yy"))&amp;" "&amp;Milestones!$AB$49&amp;" "&amp;Milestones!$AC$49&amp;";  ","")&amp;IF(AND(EDATE($D99,Milestones!$AA$50)&lt;=AsOfDate,IF($R99=0,$X99,IF(AND($T99&lt;&gt;"",EDATE($D99,Milestones!$AA$50)&gt;=$T99),$W99,IF(AND($S99&lt;&gt;"",EDATE($D99,Milestones!$AA$50)&gt;=$S99),$V99,$U99)))=Milestones!$AB$50),UPPER(TEXT(EDATE($D99,Milestones!$AA$50),"dd mmm yy"))&amp;" "&amp;Milestones!$AB$50&amp;" "&amp;Milestones!$AC$50&amp;";  ","")&amp;IF(AND(EDATE($D99,Milestones!$AA$51)&lt;=AsOfDate,IF($R99=0,$X99,IF(AND($T99&lt;&gt;"",EDATE($D99,Milestones!$AA$51)&gt;=$T99),$W99,IF(AND($S99&lt;&gt;"",EDATE($D99,Milestones!$AA$51)&gt;=$S99),$V99,$U99)))=Milestones!$AB$51),UPPER(TEXT(EDATE($D99,Milestones!$AA$51),"dd mmm yy"))&amp;" "&amp;Milestones!$AB$51&amp;" "&amp;Milestones!$AC$51&amp;";  ","")&amp;IF(AND(EDATE($D99,Milestones!$AA$52)&lt;=AsOfDate,IF($R99=0,$X99,IF(AND($T99&lt;&gt;"",EDATE($D99,Milestones!$AA$52)&gt;=$T99),$W99,IF(AND($S99&lt;&gt;"",EDATE($D99,Milestones!$AA$52)&gt;=$S99),$V99,$U99)))=Milestones!$AB$52),UPPER(TEXT(EDATE($D99,Milestones!$AA$52),"dd mmm yy"))&amp;" "&amp;Milestones!$AB$52&amp;" "&amp;Milestones!$AC$52&amp;";  ","")&amp;IF(AND(EDATE($D99,Milestones!$AA$53)&lt;=AsOfDate,IF($R99=0,$X99,IF(AND($T99&lt;&gt;"",EDATE($D99,Milestones!$AA$53)&gt;=$T99),$W99,IF(AND($S99&lt;&gt;"",EDATE($D99,Milestones!$AA$53)&gt;=$S99),$V99,$U99)))=Milestones!$AB$53),UPPER(TEXT(EDATE($D99,Milestones!$AA$53),"dd mmm yy"))&amp;" "&amp;Milestones!$AB$53&amp;" "&amp;Milestones!$AC$53&amp;";  ","")&amp;IF(AND(EDATE($D99,Milestones!$AA$54)&lt;=AsOfDate,IF($R99=0,$X99,IF(AND($T99&lt;&gt;"",EDATE($D99,Milestones!$AA$54)&gt;=$T99),$W99,IF(AND($S99&lt;&gt;"",EDATE($D99,Milestones!$AA$54)&gt;=$S99),$V99,$U99)))=Milestones!$AB$54),UPPER(TEXT(EDATE($D99,Milestones!$AA$54),"dd mmm yy"))&amp;" "&amp;Milestones!$AB$54&amp;" "&amp;Milestones!$AC$54&amp;";  ","")&amp;IF(AND(EDATE($D99,Milestones!$AA$55)&lt;=AsOfDate,IF($R99=0,$X99,IF(AND($T99&lt;&gt;"",EDATE($D99,Milestones!$AA$55)&gt;=$T99),$W99,IF(AND($S99&lt;&gt;"",EDATE($D99,Milestones!$AA$55)&gt;=$S99),$V99,$U99)))=Milestones!$AB$55),UPPER(TEXT(EDATE($D99,Milestones!$AA$55),"dd mmm yy"))&amp;" "&amp;Milestones!$AB$55&amp;" "&amp;Milestones!$AC$55&amp;";  ","")&amp;IF(AND(EDATE($D99,Milestones!$AA$56)&lt;=AsOfDate,IF($R99=0,$X99,IF(AND($T99&lt;&gt;"",EDATE($D99,Milestones!$AA$56)&gt;=$T99),$W99,IF(AND($S99&lt;&gt;"",EDATE($D99,Milestones!$AA$56)&gt;=$S99),$V99,$U99)))=Milestones!$AB$56),UPPER(TEXT(EDATE($D99,Milestones!$AA$56),"dd mmm yy"))&amp;" "&amp;Milestones!$AB$56&amp;" "&amp;Milestones!$AC$56&amp;";  ","")&amp;IF(AND(EDATE($D99,Milestones!$AA$57)&lt;=AsOfDate,IF($R99=0,$X99,IF(AND($T99&lt;&gt;"",EDATE($D99,Milestones!$AA$57)&gt;=$T99),$W99,IF(AND($S99&lt;&gt;"",EDATE($D99,Milestones!$AA$57)&gt;=$S99),$V99,$U99)))=Milestones!$AB$57),UPPER(TEXT(EDATE($D99,Milestones!$AA$57),"dd mmm yy"))&amp;" "&amp;Milestones!$AB$57&amp;" "&amp;Milestones!$AC$57&amp;";  ","")&amp;IF(AND(EDATE($D99,Milestones!$AA$58)&lt;=AsOfDate,IF($R99=0,$X99,IF(AND($T99&lt;&gt;"",EDATE($D99,Milestones!$AA$58)&gt;=$T99),$W99,IF(AND($S99&lt;&gt;"",EDATE($D99,Milestones!$AA$58)&gt;=$S99),$V99,$U99)))=Milestones!$AB$58),UPPER(TEXT(EDATE($D99,Milestones!$AA$58),"dd mmm yy"))&amp;" "&amp;Milestones!$AB$58&amp;" "&amp;Milestones!$AC$58&amp;";  ","")&amp;IF(AND(EDATE($D99,Milestones!$AA$59)&lt;=AsOfDate,IF($R99=0,$X99,IF(AND($T99&lt;&gt;"",EDATE($D99,Milestones!$AA$59)&gt;=$T99),$W99,IF(AND($S99&lt;&gt;"",EDATE($D99,Milestones!$AA$59)&gt;=$S99),$V99,$U99)))=Milestones!$AB$59),UPPER(TEXT(EDATE($D99,Milestones!$AA$59),"dd mmm yy"))&amp;" "&amp;Milestones!$AB$59&amp;" "&amp;Milestones!$AC$59&amp;";  ",""))</f>
        <v/>
      </c>
      <c r="K99" s="0" t="str">
        <f aca="false">IF(OR($A99="",$D99=""),"",IF(AND(EDATE($D99,Milestones!$AA$60)&lt;=AsOfDate,IF($R99=0,$X99,IF(AND($T99&lt;&gt;"",EDATE($D99,Milestones!$AA$60)&gt;=$T99),$W99,IF(AND($S99&lt;&gt;"",EDATE($D99,Milestones!$AA$60)&gt;=$S99),$V99,$U99)))=Milestones!$AB$60),UPPER(TEXT(EDATE($D99,Milestones!$AA$60),"dd mmm yy"))&amp;" "&amp;Milestones!$AB$60&amp;" "&amp;Milestones!$AC$60&amp;";  ","")&amp;IF(AND(EDATE($D99,Milestones!$AA$61)&lt;=AsOfDate,IF($R99=0,$X99,IF(AND($T99&lt;&gt;"",EDATE($D99,Milestones!$AA$61)&gt;=$T99),$W99,IF(AND($S99&lt;&gt;"",EDATE($D99,Milestones!$AA$61)&gt;=$S99),$V99,$U99)))=Milestones!$AB$61),UPPER(TEXT(EDATE($D99,Milestones!$AA$61),"dd mmm yy"))&amp;" "&amp;Milestones!$AB$61&amp;" "&amp;Milestones!$AC$61&amp;";  ","")&amp;IF(AND(EDATE($D99,Milestones!$AA$62)&lt;=AsOfDate,IF($R99=0,$X99,IF(AND($T99&lt;&gt;"",EDATE($D99,Milestones!$AA$62)&gt;=$T99),$W99,IF(AND($S99&lt;&gt;"",EDATE($D99,Milestones!$AA$62)&gt;=$S99),$V99,$U99)))=Milestones!$AB$62),UPPER(TEXT(EDATE($D99,Milestones!$AA$62),"dd mmm yy"))&amp;" "&amp;Milestones!$AB$62&amp;" "&amp;Milestones!$AC$62&amp;";  ","")&amp;IF(AND(EDATE($D99,Milestones!$AA$63)&lt;=AsOfDate,IF($R99=0,$X99,IF(AND($T99&lt;&gt;"",EDATE($D99,Milestones!$AA$63)&gt;=$T99),$W99,IF(AND($S99&lt;&gt;"",EDATE($D99,Milestones!$AA$63)&gt;=$S99),$V99,$U99)))=Milestones!$AB$63),UPPER(TEXT(EDATE($D99,Milestones!$AA$63),"dd mmm yy"))&amp;" "&amp;Milestones!$AB$63&amp;" "&amp;Milestones!$AC$63&amp;";  ","")&amp;IF(AND(EDATE($D99,Milestones!$AA$64)&lt;=AsOfDate,IF($R99=0,$X99,IF(AND($T99&lt;&gt;"",EDATE($D99,Milestones!$AA$64)&gt;=$T99),$W99,IF(AND($S99&lt;&gt;"",EDATE($D99,Milestones!$AA$64)&gt;=$S99),$V99,$U99)))=Milestones!$AB$64),UPPER(TEXT(EDATE($D99,Milestones!$AA$64),"dd mmm yy"))&amp;" "&amp;Milestones!$AB$64&amp;" "&amp;Milestones!$AC$64&amp;";  ","")&amp;IF(AND(EDATE($D99,Milestones!$AA$65)&lt;=AsOfDate,IF($R99=0,$X99,IF(AND($T99&lt;&gt;"",EDATE($D99,Milestones!$AA$65)&gt;=$T99),$W99,IF(AND($S99&lt;&gt;"",EDATE($D99,Milestones!$AA$65)&gt;=$S99),$V99,$U99)))=Milestones!$AB$65),UPPER(TEXT(EDATE($D99,Milestones!$AA$65),"dd mmm yy"))&amp;" "&amp;Milestones!$AB$65&amp;" "&amp;Milestones!$AC$65&amp;";  ","")&amp;IF(AND(EDATE($D99,Milestones!$AA$66)&lt;=AsOfDate,IF($R99=0,$X99,IF(AND($T99&lt;&gt;"",EDATE($D99,Milestones!$AA$66)&gt;=$T99),$W99,IF(AND($S99&lt;&gt;"",EDATE($D99,Milestones!$AA$66)&gt;=$S99),$V99,$U99)))=Milestones!$AB$66),UPPER(TEXT(EDATE($D99,Milestones!$AA$66),"dd mmm yy"))&amp;" "&amp;Milestones!$AB$66&amp;" "&amp;Milestones!$AC$66&amp;";  ","")&amp;IF(AND(EDATE($D99,Milestones!$AA$67)&lt;=AsOfDate,IF($R99=0,$X99,IF(AND($T99&lt;&gt;"",EDATE($D99,Milestones!$AA$67)&gt;=$T99),$W99,IF(AND($S99&lt;&gt;"",EDATE($D99,Milestones!$AA$67)&gt;=$S99),$V99,$U99)))=Milestones!$AB$67),UPPER(TEXT(EDATE($D99,Milestones!$AA$67),"dd mmm yy"))&amp;" "&amp;Milestones!$AB$67&amp;" "&amp;Milestones!$AC$67&amp;";  ","")&amp;IF(AND(EDATE($D99,Milestones!$AA$68)&lt;=AsOfDate,IF($R99=0,$X99,IF(AND($T99&lt;&gt;"",EDATE($D99,Milestones!$AA$68)&gt;=$T99),$W99,IF(AND($S99&lt;&gt;"",EDATE($D99,Milestones!$AA$68)&gt;=$S99),$V99,$U99)))=Milestones!$AB$68),UPPER(TEXT(EDATE($D99,Milestones!$AA$68),"dd mmm yy"))&amp;" "&amp;Milestones!$AB$68&amp;" "&amp;Milestones!$AC$68&amp;";  ","")&amp;IF(AND(EDATE($D99,Milestones!$AA$69)&lt;=AsOfDate,IF($R99=0,$X99,IF(AND($T99&lt;&gt;"",EDATE($D99,Milestones!$AA$69)&gt;=$T99),$W99,IF(AND($S99&lt;&gt;"",EDATE($D99,Milestones!$AA$69)&gt;=$S99),$V99,$U99)))=Milestones!$AB$69),UPPER(TEXT(EDATE($D99,Milestones!$AA$69),"dd mmm yy"))&amp;" "&amp;Milestones!$AB$69&amp;" "&amp;Milestones!$AC$69&amp;";  ","")&amp;IF(AND(EDATE($D99,Milestones!$AA$70)&lt;=AsOfDate,IF($R99=0,$X99,IF(AND($T99&lt;&gt;"",EDATE($D99,Milestones!$AA$70)&gt;=$T99),$W99,IF(AND($S99&lt;&gt;"",EDATE($D99,Milestones!$AA$70)&gt;=$S99),$V99,$U99)))=Milestones!$AB$70),UPPER(TEXT(EDATE($D99,Milestones!$AA$70),"dd mmm yy"))&amp;" "&amp;Milestones!$AB$70&amp;" "&amp;Milestones!$AC$70&amp;";  ","")&amp;IF(AND(EDATE($D99,Milestones!$AA$71)&lt;=AsOfDate,IF($R99=0,$X99,IF(AND($T99&lt;&gt;"",EDATE($D99,Milestones!$AA$71)&gt;=$T99),$W99,IF(AND($S99&lt;&gt;"",EDATE($D99,Milestones!$AA$71)&gt;=$S99),$V99,$U99)))=Milestones!$AB$71),UPPER(TEXT(EDATE($D99,Milestones!$AA$71),"dd mmm yy"))&amp;" "&amp;Milestones!$AB$71&amp;" "&amp;Milestones!$AC$71&amp;";  ","")&amp;IF(AND(EDATE($D99,Milestones!$AA$72)&lt;=AsOfDate,IF($R99=0,$X99,IF(AND($T99&lt;&gt;"",EDATE($D99,Milestones!$AA$72)&gt;=$T99),$W99,IF(AND($S99&lt;&gt;"",EDATE($D99,Milestones!$AA$72)&gt;=$S99),$V99,$U99)))=Milestones!$AB$72),UPPER(TEXT(EDATE($D99,Milestones!$AA$72),"dd mmm yy"))&amp;" "&amp;Milestones!$AB$72&amp;" "&amp;Milestones!$AC$72&amp;";  ","")&amp;IF(AND(EDATE($D99,Milestones!$AA$73)&lt;=AsOfDate,IF($R99=0,$X99,IF(AND($T99&lt;&gt;"",EDATE($D99,Milestones!$AA$73)&gt;=$T99),$W99,IF(AND($S99&lt;&gt;"",EDATE($D99,Milestones!$AA$73)&gt;=$S99),$V99,$U99)))=Milestones!$AB$73),UPPER(TEXT(EDATE($D99,Milestones!$AA$73),"dd mmm yy"))&amp;" "&amp;Milestones!$AB$73&amp;" "&amp;Milestones!$AC$73&amp;";  ","")&amp;IF(AND(EDATE($D99,Milestones!$AA$74)&lt;=AsOfDate,IF($R99=0,$X99,IF(AND($T99&lt;&gt;"",EDATE($D99,Milestones!$AA$74)&gt;=$T99),$W99,IF(AND($S99&lt;&gt;"",EDATE($D99,Milestones!$AA$74)&gt;=$S99),$V99,$U99)))=Milestones!$AB$74),UPPER(TEXT(EDATE($D99,Milestones!$AA$74),"dd mmm yy"))&amp;" "&amp;Milestones!$AB$74&amp;" "&amp;Milestones!$AC$74&amp;";  ","")&amp;IF(AND(EDATE($D99,Milestones!$AA$75)&lt;=AsOfDate,IF($R99=0,$X99,IF(AND($T99&lt;&gt;"",EDATE($D99,Milestones!$AA$75)&gt;=$T99),$W99,IF(AND($S99&lt;&gt;"",EDATE($D99,Milestones!$AA$75)&gt;=$S99),$V99,$U99)))=Milestones!$AB$75),UPPER(TEXT(EDATE($D99,Milestones!$AA$75),"dd mmm yy"))&amp;" "&amp;Milestones!$AB$75&amp;" "&amp;Milestones!$AC$75&amp;";  ","")&amp;IF(AND(EDATE($D99,Milestones!$AA$76)&lt;=AsOfDate,IF($R99=0,$X99,IF(AND($T99&lt;&gt;"",EDATE($D99,Milestones!$AA$76)&gt;=$T99),$W99,IF(AND($S99&lt;&gt;"",EDATE($D99,Milestones!$AA$76)&gt;=$S99),$V99,$U99)))=Milestones!$AB$76),UPPER(TEXT(EDATE($D99,Milestones!$AA$76),"dd mmm yy"))&amp;" "&amp;Milestones!$AB$76&amp;" "&amp;Milestones!$AC$76&amp;";  ","")&amp;IF(AND(EDATE($D99,Milestones!$AA$77)&lt;=AsOfDate,IF($R99=0,$X99,IF(AND($T99&lt;&gt;"",EDATE($D99,Milestones!$AA$77)&gt;=$T99),$W99,IF(AND($S99&lt;&gt;"",EDATE($D99,Milestones!$AA$77)&gt;=$S99),$V99,$U99)))=Milestones!$AB$77),UPPER(TEXT(EDATE($D99,Milestones!$AA$77),"dd mmm yy"))&amp;" "&amp;Milestones!$AB$77&amp;" "&amp;Milestones!$AC$77&amp;";  ","")&amp;IF(AND(EDATE($D99,Milestones!$AA$78)&lt;=AsOfDate,IF($R99=0,$X99,IF(AND($T99&lt;&gt;"",EDATE($D99,Milestones!$AA$78)&gt;=$T99),$W99,IF(AND($S99&lt;&gt;"",EDATE($D99,Milestones!$AA$78)&gt;=$S99),$V99,$U99)))=Milestones!$AB$78),UPPER(TEXT(EDATE($D99,Milestones!$AA$78),"dd mmm yy"))&amp;" "&amp;Milestones!$AB$78&amp;" "&amp;Milestones!$AC$78&amp;";  ","")&amp;IF(AND(EDATE($D99,Milestones!$AA$79)&lt;=AsOfDate,IF($R99=0,$X99,IF(AND($T99&lt;&gt;"",EDATE($D99,Milestones!$AA$79)&gt;=$T99),$W99,IF(AND($S99&lt;&gt;"",EDATE($D99,Milestones!$AA$79)&gt;=$S99),$V99,$U99)))=Milestones!$AB$79),UPPER(TEXT(EDATE($D99,Milestones!$AA$79),"dd mmm yy"))&amp;" "&amp;Milestones!$AB$79&amp;" "&amp;Milestones!$AC$79&amp;";  ",""))</f>
        <v/>
      </c>
      <c r="L99" s="0" t="str">
        <f aca="false">IF(OR($A99="",$D99=""),"",IF(AND(EDATE($D99,Milestones!$AA$80)&lt;=AsOfDate,IF($R99=0,$X99,IF(AND($T99&lt;&gt;"",EDATE($D99,Milestones!$AA$80)&gt;=$T99),$W99,IF(AND($S99&lt;&gt;"",EDATE($D99,Milestones!$AA$80)&gt;=$S99),$V99,$U99)))=Milestones!$AB$80),UPPER(TEXT(EDATE($D99,Milestones!$AA$80),"dd mmm yy"))&amp;" "&amp;Milestones!$AB$80&amp;" "&amp;Milestones!$AC$80&amp;";  ","")&amp;IF(AND(EDATE($D99,Milestones!$AA$81)&lt;=AsOfDate,IF($R99=0,$X99,IF(AND($T99&lt;&gt;"",EDATE($D99,Milestones!$AA$81)&gt;=$T99),$W99,IF(AND($S99&lt;&gt;"",EDATE($D99,Milestones!$AA$81)&gt;=$S99),$V99,$U99)))=Milestones!$AB$81),UPPER(TEXT(EDATE($D99,Milestones!$AA$81),"dd mmm yy"))&amp;" "&amp;Milestones!$AB$81&amp;" "&amp;Milestones!$AC$81&amp;";  ","")&amp;IF(AND(EDATE($D99,Milestones!$AA$82)&lt;=AsOfDate,IF($R99=0,$X99,IF(AND($T99&lt;&gt;"",EDATE($D99,Milestones!$AA$82)&gt;=$T99),$W99,IF(AND($S99&lt;&gt;"",EDATE($D99,Milestones!$AA$82)&gt;=$S99),$V99,$U99)))=Milestones!$AB$82),UPPER(TEXT(EDATE($D99,Milestones!$AA$82),"dd mmm yy"))&amp;" "&amp;Milestones!$AB$82&amp;" "&amp;Milestones!$AC$82&amp;";  ","")&amp;IF(AND(EDATE($D99,Milestones!$AA$83)&lt;=AsOfDate,IF($R99=0,$X99,IF(AND($T99&lt;&gt;"",EDATE($D99,Milestones!$AA$83)&gt;=$T99),$W99,IF(AND($S99&lt;&gt;"",EDATE($D99,Milestones!$AA$83)&gt;=$S99),$V99,$U99)))=Milestones!$AB$83),UPPER(TEXT(EDATE($D99,Milestones!$AA$83),"dd mmm yy"))&amp;" "&amp;Milestones!$AB$83&amp;" "&amp;Milestones!$AC$83&amp;";  ","")&amp;IF(AND(EDATE($D99,Milestones!$AA$84)&lt;=AsOfDate,IF($R99=0,$X99,IF(AND($T99&lt;&gt;"",EDATE($D99,Milestones!$AA$84)&gt;=$T99),$W99,IF(AND($S99&lt;&gt;"",EDATE($D99,Milestones!$AA$84)&gt;=$S99),$V99,$U99)))=Milestones!$AB$84),UPPER(TEXT(EDATE($D99,Milestones!$AA$84),"dd mmm yy"))&amp;" "&amp;Milestones!$AB$84&amp;" "&amp;Milestones!$AC$84&amp;";  ","")&amp;IF(AND(EDATE($D99,Milestones!$AA$85)&lt;=AsOfDate,IF($R99=0,$X99,IF(AND($T99&lt;&gt;"",EDATE($D99,Milestones!$AA$85)&gt;=$T99),$W99,IF(AND($S99&lt;&gt;"",EDATE($D99,Milestones!$AA$85)&gt;=$S99),$V99,$U99)))=Milestones!$AB$85),UPPER(TEXT(EDATE($D99,Milestones!$AA$85),"dd mmm yy"))&amp;" "&amp;Milestones!$AB$85&amp;" "&amp;Milestones!$AC$85&amp;";  ","")&amp;IF(AND(EDATE($D99,Milestones!$AA$86)&lt;=AsOfDate,IF($R99=0,$X99,IF(AND($T99&lt;&gt;"",EDATE($D99,Milestones!$AA$86)&gt;=$T99),$W99,IF(AND($S99&lt;&gt;"",EDATE($D99,Milestones!$AA$86)&gt;=$S99),$V99,$U99)))=Milestones!$AB$86),UPPER(TEXT(EDATE($D99,Milestones!$AA$86),"dd mmm yy"))&amp;" "&amp;Milestones!$AB$86&amp;" "&amp;Milestones!$AC$86&amp;";  ","")&amp;IF(AND(EDATE($D99,Milestones!$AA$87)&lt;=AsOfDate,IF($R99=0,$X99,IF(AND($T99&lt;&gt;"",EDATE($D99,Milestones!$AA$87)&gt;=$T99),$W99,IF(AND($S99&lt;&gt;"",EDATE($D99,Milestones!$AA$87)&gt;=$S99),$V99,$U99)))=Milestones!$AB$87),UPPER(TEXT(EDATE($D99,Milestones!$AA$87),"dd mmm yy"))&amp;" "&amp;Milestones!$AB$87&amp;" "&amp;Milestones!$AC$87&amp;";  ","")&amp;IF(AND(EDATE($D99,Milestones!$AA$88)&lt;=AsOfDate,IF($R99=0,$X99,IF(AND($T99&lt;&gt;"",EDATE($D99,Milestones!$AA$88)&gt;=$T99),$W99,IF(AND($S99&lt;&gt;"",EDATE($D99,Milestones!$AA$88)&gt;=$S99),$V99,$U99)))=Milestones!$AB$88),UPPER(TEXT(EDATE($D99,Milestones!$AA$88),"dd mmm yy"))&amp;" "&amp;Milestones!$AB$88&amp;" "&amp;Milestones!$AC$88&amp;";  ","")&amp;IF(AND(EDATE($D99,Milestones!$AA$89)&lt;=AsOfDate,IF($R99=0,$X99,IF(AND($T99&lt;&gt;"",EDATE($D99,Milestones!$AA$89)&gt;=$T99),$W99,IF(AND($S99&lt;&gt;"",EDATE($D99,Milestones!$AA$89)&gt;=$S99),$V99,$U99)))=Milestones!$AB$89),UPPER(TEXT(EDATE($D99,Milestones!$AA$89),"dd mmm yy"))&amp;" "&amp;Milestones!$AB$89&amp;" "&amp;Milestones!$AC$89&amp;";  ","")&amp;IF(AND(EDATE($D99,Milestones!$AA$90)&lt;=AsOfDate,IF($R99=0,$X99,IF(AND($T99&lt;&gt;"",EDATE($D99,Milestones!$AA$90)&gt;=$T99),$W99,IF(AND($S99&lt;&gt;"",EDATE($D99,Milestones!$AA$90)&gt;=$S99),$V99,$U99)))=Milestones!$AB$90),UPPER(TEXT(EDATE($D99,Milestones!$AA$90),"dd mmm yy"))&amp;" "&amp;Milestones!$AB$90&amp;" "&amp;Milestones!$AC$90&amp;";  ","")&amp;IF(AND(EDATE($D99,Milestones!$AA$91)&lt;=AsOfDate,IF($R99=0,$X99,IF(AND($T99&lt;&gt;"",EDATE($D99,Milestones!$AA$91)&gt;=$T99),$W99,IF(AND($S99&lt;&gt;"",EDATE($D99,Milestones!$AA$91)&gt;=$S99),$V99,$U99)))=Milestones!$AB$91),UPPER(TEXT(EDATE($D99,Milestones!$AA$91),"dd mmm yy"))&amp;" "&amp;Milestones!$AB$91&amp;" "&amp;Milestones!$AC$91&amp;";  ","")&amp;IF(AND(EDATE($D99,Milestones!$AA$92)&lt;=AsOfDate,IF($R99=0,$X99,IF(AND($T99&lt;&gt;"",EDATE($D99,Milestones!$AA$92)&gt;=$T99),$W99,IF(AND($S99&lt;&gt;"",EDATE($D99,Milestones!$AA$92)&gt;=$S99),$V99,$U99)))=Milestones!$AB$92),UPPER(TEXT(EDATE($D99,Milestones!$AA$92),"dd mmm yy"))&amp;" "&amp;Milestones!$AB$92&amp;" "&amp;Milestones!$AC$92&amp;";  ","")&amp;IF(AND(EDATE($D99,Milestones!$AA$93)&lt;=AsOfDate,IF($R99=0,$X99,IF(AND($T99&lt;&gt;"",EDATE($D99,Milestones!$AA$93)&gt;=$T99),$W99,IF(AND($S99&lt;&gt;"",EDATE($D99,Milestones!$AA$93)&gt;=$S99),$V99,$U99)))=Milestones!$AB$93),UPPER(TEXT(EDATE($D99,Milestones!$AA$93),"dd mmm yy"))&amp;" "&amp;Milestones!$AB$93&amp;" "&amp;Milestones!$AC$93&amp;";  ","")&amp;IF(AND(EDATE($D99,Milestones!$AA$94)&lt;=AsOfDate,IF($R99=0,$X99,IF(AND($T99&lt;&gt;"",EDATE($D99,Milestones!$AA$94)&gt;=$T99),$W99,IF(AND($S99&lt;&gt;"",EDATE($D99,Milestones!$AA$94)&gt;=$S99),$V99,$U99)))=Milestones!$AB$94),UPPER(TEXT(EDATE($D99,Milestones!$AA$94),"dd mmm yy"))&amp;" "&amp;Milestones!$AB$94&amp;" "&amp;Milestones!$AC$94&amp;";  ","")&amp;IF(AND(EDATE($D99,Milestones!$AA$95)&lt;=AsOfDate,IF($R99=0,$X99,IF(AND($T99&lt;&gt;"",EDATE($D99,Milestones!$AA$95)&gt;=$T99),$W99,IF(AND($S99&lt;&gt;"",EDATE($D99,Milestones!$AA$95)&gt;=$S99),$V99,$U99)))=Milestones!$AB$95),UPPER(TEXT(EDATE($D99,Milestones!$AA$95),"dd mmm yy"))&amp;" "&amp;Milestones!$AB$95&amp;" "&amp;Milestones!$AC$95&amp;";  ","")&amp;IF(AND(EDATE($D99,Milestones!$AA$96)&lt;=AsOfDate,IF($R99=0,$X99,IF(AND($T99&lt;&gt;"",EDATE($D99,Milestones!$AA$96)&gt;=$T99),$W99,IF(AND($S99&lt;&gt;"",EDATE($D99,Milestones!$AA$96)&gt;=$S99),$V99,$U99)))=Milestones!$AB$96),UPPER(TEXT(EDATE($D99,Milestones!$AA$96),"dd mmm yy"))&amp;" "&amp;Milestones!$AB$96&amp;" "&amp;Milestones!$AC$96&amp;";  ","")&amp;IF(AND(EDATE($D99,Milestones!$AA$97)&lt;=AsOfDate,IF($R99=0,$X99,IF(AND($T99&lt;&gt;"",EDATE($D99,Milestones!$AA$97)&gt;=$T99),$W99,IF(AND($S99&lt;&gt;"",EDATE($D99,Milestones!$AA$97)&gt;=$S99),$V99,$U99)))=Milestones!$AB$97),UPPER(TEXT(EDATE($D99,Milestones!$AA$97),"dd mmm yy"))&amp;" "&amp;Milestones!$AB$97&amp;" "&amp;Milestones!$AC$97&amp;";  ","")&amp;IF(AND(EDATE($D99,Milestones!$AA$98)&lt;=AsOfDate,IF($R99=0,$X99,IF(AND($T99&lt;&gt;"",EDATE($D99,Milestones!$AA$98)&gt;=$T99),$W99,IF(AND($S99&lt;&gt;"",EDATE($D99,Milestones!$AA$98)&gt;=$S99),$V99,$U99)))=Milestones!$AB$98),UPPER(TEXT(EDATE($D99,Milestones!$AA$98),"dd mmm yy"))&amp;" "&amp;Milestones!$AB$98&amp;" "&amp;Milestones!$AC$98&amp;";  ","")&amp;IF(AND(EDATE($D99,Milestones!$AA$99)&lt;=AsOfDate,IF($R99=0,$X99,IF(AND($T99&lt;&gt;"",EDATE($D99,Milestones!$AA$99)&gt;=$T99),$W99,IF(AND($S99&lt;&gt;"",EDATE($D99,Milestones!$AA$99)&gt;=$S99),$V99,$U99)))=Milestones!$AB$99),UPPER(TEXT(EDATE($D99,Milestones!$AA$99),"dd mmm yy"))&amp;" "&amp;Milestones!$AB$99&amp;" "&amp;Milestones!$AC$99&amp;";  ",""))</f>
        <v/>
      </c>
      <c r="M99" s="0" t="str">
        <f aca="false">IF(OR($A99="",$D99=""),"",IF(AND(EDATE($D99,Milestones!$AA$100)&lt;=AsOfDate,IF($R99=0,$X99,IF(AND($T99&lt;&gt;"",EDATE($D99,Milestones!$AA$100)&gt;=$T99),$W99,IF(AND($S99&lt;&gt;"",EDATE($D99,Milestones!$AA$100)&gt;=$S99),$V99,$U99)))=Milestones!$AB$100),UPPER(TEXT(EDATE($D99,Milestones!$AA$100),"dd mmm yy"))&amp;" "&amp;Milestones!$AB$100&amp;" "&amp;Milestones!$AC$100&amp;";  ","")&amp;IF(AND(EDATE($D99,Milestones!$AA$101)&lt;=AsOfDate,IF($R99=0,$X99,IF(AND($T99&lt;&gt;"",EDATE($D99,Milestones!$AA$101)&gt;=$T99),$W99,IF(AND($S99&lt;&gt;"",EDATE($D99,Milestones!$AA$101)&gt;=$S99),$V99,$U99)))=Milestones!$AB$101),UPPER(TEXT(EDATE($D99,Milestones!$AA$101),"dd mmm yy"))&amp;" "&amp;Milestones!$AB$101&amp;" "&amp;Milestones!$AC$101&amp;";  ","")&amp;IF(AND(EDATE($D99,Milestones!$AA$102)&lt;=AsOfDate,IF($R99=0,$X99,IF(AND($T99&lt;&gt;"",EDATE($D99,Milestones!$AA$102)&gt;=$T99),$W99,IF(AND($S99&lt;&gt;"",EDATE($D99,Milestones!$AA$102)&gt;=$S99),$V99,$U99)))=Milestones!$AB$102),UPPER(TEXT(EDATE($D99,Milestones!$AA$102),"dd mmm yy"))&amp;" "&amp;Milestones!$AB$102&amp;" "&amp;Milestones!$AC$102&amp;";  ","")&amp;IF(AND(EDATE($D99,Milestones!$AA$103)&lt;=AsOfDate,IF($R99=0,$X99,IF(AND($T99&lt;&gt;"",EDATE($D99,Milestones!$AA$103)&gt;=$T99),$W99,IF(AND($S99&lt;&gt;"",EDATE($D99,Milestones!$AA$103)&gt;=$S99),$V99,$U99)))=Milestones!$AB$103),UPPER(TEXT(EDATE($D99,Milestones!$AA$103),"dd mmm yy"))&amp;" "&amp;Milestones!$AB$103&amp;" "&amp;Milestones!$AC$103&amp;";  ","")&amp;IF(AND(EDATE($D99,Milestones!$AA$104)&lt;=AsOfDate,IF($R99=0,$X99,IF(AND($T99&lt;&gt;"",EDATE($D99,Milestones!$AA$104)&gt;=$T99),$W99,IF(AND($S99&lt;&gt;"",EDATE($D99,Milestones!$AA$104)&gt;=$S99),$V99,$U99)))=Milestones!$AB$104),UPPER(TEXT(EDATE($D99,Milestones!$AA$104),"dd mmm yy"))&amp;" "&amp;Milestones!$AB$104&amp;" "&amp;Milestones!$AC$104&amp;";  ","")&amp;IF(AND(EDATE($D99,Milestones!$AA$105)&lt;=AsOfDate,IF($R99=0,$X99,IF(AND($T99&lt;&gt;"",EDATE($D99,Milestones!$AA$105)&gt;=$T99),$W99,IF(AND($S99&lt;&gt;"",EDATE($D99,Milestones!$AA$105)&gt;=$S99),$V99,$U99)))=Milestones!$AB$105),UPPER(TEXT(EDATE($D99,Milestones!$AA$105),"dd mmm yy"))&amp;" "&amp;Milestones!$AB$105&amp;" "&amp;Milestones!$AC$105&amp;";  ","")&amp;IF(AND(EDATE($D99,Milestones!$AA$106)&lt;=AsOfDate,IF($R99=0,$X99,IF(AND($T99&lt;&gt;"",EDATE($D99,Milestones!$AA$106)&gt;=$T99),$W99,IF(AND($S99&lt;&gt;"",EDATE($D99,Milestones!$AA$106)&gt;=$S99),$V99,$U99)))=Milestones!$AB$106),UPPER(TEXT(EDATE($D99,Milestones!$AA$106),"dd mmm yy"))&amp;" "&amp;Milestones!$AB$106&amp;" "&amp;Milestones!$AC$106&amp;";  ","")&amp;IF(AND(EDATE($D99,Milestones!$AA$107)&lt;=AsOfDate,IF($R99=0,$X99,IF(AND($T99&lt;&gt;"",EDATE($D99,Milestones!$AA$107)&gt;=$T99),$W99,IF(AND($S99&lt;&gt;"",EDATE($D99,Milestones!$AA$107)&gt;=$S99),$V99,$U99)))=Milestones!$AB$107),UPPER(TEXT(EDATE($D99,Milestones!$AA$107),"dd mmm yy"))&amp;" "&amp;Milestones!$AB$107&amp;" "&amp;Milestones!$AC$107&amp;";  ","")&amp;IF(AND(EDATE($D99,Milestones!$AA$108)&lt;=AsOfDate,IF($R99=0,$X99,IF(AND($T99&lt;&gt;"",EDATE($D99,Milestones!$AA$108)&gt;=$T99),$W99,IF(AND($S99&lt;&gt;"",EDATE($D99,Milestones!$AA$108)&gt;=$S99),$V99,$U99)))=Milestones!$AB$108),UPPER(TEXT(EDATE($D99,Milestones!$AA$108),"dd mmm yy"))&amp;" "&amp;Milestones!$AB$108&amp;" "&amp;Milestones!$AC$108&amp;";  ","")&amp;IF(AND(EDATE($D99,Milestones!$AA$109)&lt;=AsOfDate,IF($R99=0,$X99,IF(AND($T99&lt;&gt;"",EDATE($D99,Milestones!$AA$109)&gt;=$T99),$W99,IF(AND($S99&lt;&gt;"",EDATE($D99,Milestones!$AA$109)&gt;=$S99),$V99,$U99)))=Milestones!$AB$109),UPPER(TEXT(EDATE($D99,Milestones!$AA$109),"dd mmm yy"))&amp;" "&amp;Milestones!$AB$109&amp;" "&amp;Milestones!$AC$109&amp;";  ","")&amp;IF(AND(EDATE($D99,Milestones!$AA$110)&lt;=AsOfDate,IF($R99=0,$X99,IF(AND($T99&lt;&gt;"",EDATE($D99,Milestones!$AA$110)&gt;=$T99),$W99,IF(AND($S99&lt;&gt;"",EDATE($D99,Milestones!$AA$110)&gt;=$S99),$V99,$U99)))=Milestones!$AB$110),UPPER(TEXT(EDATE($D99,Milestones!$AA$110),"dd mmm yy"))&amp;" "&amp;Milestones!$AB$110&amp;" "&amp;Milestones!$AC$110&amp;";  ","")&amp;IF(AND(EDATE($D99,Milestones!$AA$111)&lt;=AsOfDate,IF($R99=0,$X99,IF(AND($T99&lt;&gt;"",EDATE($D99,Milestones!$AA$111)&gt;=$T99),$W99,IF(AND($S99&lt;&gt;"",EDATE($D99,Milestones!$AA$111)&gt;=$S99),$V99,$U99)))=Milestones!$AB$111),UPPER(TEXT(EDATE($D99,Milestones!$AA$111),"dd mmm yy"))&amp;" "&amp;Milestones!$AB$111&amp;" "&amp;Milestones!$AC$111&amp;";  ","")&amp;IF(AND(EDATE($D99,Milestones!$AA$112)&lt;=AsOfDate,IF($R99=0,$X99,IF(AND($T99&lt;&gt;"",EDATE($D99,Milestones!$AA$112)&gt;=$T99),$W99,IF(AND($S99&lt;&gt;"",EDATE($D99,Milestones!$AA$112)&gt;=$S99),$V99,$U99)))=Milestones!$AB$112),UPPER(TEXT(EDATE($D99,Milestones!$AA$112),"dd mmm yy"))&amp;" "&amp;Milestones!$AB$112&amp;" "&amp;Milestones!$AC$112&amp;";  ","")&amp;IF(AND(EDATE($D99,Milestones!$AA$113)&lt;=AsOfDate,IF($R99=0,$X99,IF(AND($T99&lt;&gt;"",EDATE($D99,Milestones!$AA$113)&gt;=$T99),$W99,IF(AND($S99&lt;&gt;"",EDATE($D99,Milestones!$AA$113)&gt;=$S99),$V99,$U99)))=Milestones!$AB$113),UPPER(TEXT(EDATE($D99,Milestones!$AA$113),"dd mmm yy"))&amp;" "&amp;Milestones!$AB$113&amp;" "&amp;Milestones!$AC$113&amp;";  ","")&amp;IF(AND(EDATE($D99,Milestones!$AA$114)&lt;=AsOfDate,IF($R99=0,$X99,IF(AND($T99&lt;&gt;"",EDATE($D99,Milestones!$AA$114)&gt;=$T99),$W99,IF(AND($S99&lt;&gt;"",EDATE($D99,Milestones!$AA$114)&gt;=$S99),$V99,$U99)))=Milestones!$AB$114),UPPER(TEXT(EDATE($D99,Milestones!$AA$114),"dd mmm yy"))&amp;" "&amp;Milestones!$AB$114&amp;" "&amp;Milestones!$AC$114&amp;";  ","")&amp;IF(AND(EDATE($D99,Milestones!$AA$115)&lt;=AsOfDate,IF($R99=0,$X99,IF(AND($T99&lt;&gt;"",EDATE($D99,Milestones!$AA$115)&gt;=$T99),$W99,IF(AND($S99&lt;&gt;"",EDATE($D99,Milestones!$AA$115)&gt;=$S99),$V99,$U99)))=Milestones!$AB$115),UPPER(TEXT(EDATE($D99,Milestones!$AA$115),"dd mmm yy"))&amp;" "&amp;Milestones!$AB$115&amp;" "&amp;Milestones!$AC$115&amp;";  ","")&amp;IF(AND(EDATE($D99,Milestones!$AA$116)&lt;=AsOfDate,IF($R99=0,$X99,IF(AND($T99&lt;&gt;"",EDATE($D99,Milestones!$AA$116)&gt;=$T99),$W99,IF(AND($S99&lt;&gt;"",EDATE($D99,Milestones!$AA$116)&gt;=$S99),$V99,$U99)))=Milestones!$AB$116),UPPER(TEXT(EDATE($D99,Milestones!$AA$116),"dd mmm yy"))&amp;" "&amp;Milestones!$AB$116&amp;" "&amp;Milestones!$AC$116&amp;";  ","")&amp;IF(AND(EDATE($D99,Milestones!$AA$117)&lt;=AsOfDate,IF($R99=0,$X99,IF(AND($T99&lt;&gt;"",EDATE($D99,Milestones!$AA$117)&gt;=$T99),$W99,IF(AND($S99&lt;&gt;"",EDATE($D99,Milestones!$AA$117)&gt;=$S99),$V99,$U99)))=Milestones!$AB$117),UPPER(TEXT(EDATE($D99,Milestones!$AA$117),"dd mmm yy"))&amp;" "&amp;Milestones!$AB$117&amp;" "&amp;Milestones!$AC$117&amp;";  ","")&amp;IF(AND(EDATE($D99,Milestones!$AA$118)&lt;=AsOfDate,IF($R99=0,$X99,IF(AND($T99&lt;&gt;"",EDATE($D99,Milestones!$AA$118)&gt;=$T99),$W99,IF(AND($S99&lt;&gt;"",EDATE($D99,Milestones!$AA$118)&gt;=$S99),$V99,$U99)))=Milestones!$AB$118),UPPER(TEXT(EDATE($D99,Milestones!$AA$118),"dd mmm yy"))&amp;" "&amp;Milestones!$AB$118&amp;" "&amp;Milestones!$AC$118&amp;";  ","")&amp;IF(AND(EDATE($D99,Milestones!$AA$119)&lt;=AsOfDate,IF($R99=0,$X99,IF(AND($T99&lt;&gt;"",EDATE($D99,Milestones!$AA$119)&gt;=$T99),$W99,IF(AND($S99&lt;&gt;"",EDATE($D99,Milestones!$AA$119)&gt;=$S99),$V99,$U99)))=Milestones!$AB$119),UPPER(TEXT(EDATE($D99,Milestones!$AA$119),"dd mmm yy"))&amp;" "&amp;Milestones!$AB$119&amp;" "&amp;Milestones!$AC$119&amp;";  ",""))</f>
        <v/>
      </c>
      <c r="N99" s="0" t="str">
        <f aca="false">IF(OR($A99="",$D99=""),"",IF(AND(EDATE($D99,Milestones!$AA$120)&lt;=AsOfDate,IF($R99=0,$X99,IF(AND($T99&lt;&gt;"",EDATE($D99,Milestones!$AA$120)&gt;=$T99),$W99,IF(AND($S99&lt;&gt;"",EDATE($D99,Milestones!$AA$120)&gt;=$S99),$V99,$U99)))=Milestones!$AB$120),UPPER(TEXT(EDATE($D99,Milestones!$AA$120),"dd mmm yy"))&amp;" "&amp;Milestones!$AB$120&amp;" "&amp;Milestones!$AC$120&amp;";  ","")&amp;IF(AND(EDATE($D99,Milestones!$AA$121)&lt;=AsOfDate,IF($R99=0,$X99,IF(AND($T99&lt;&gt;"",EDATE($D99,Milestones!$AA$121)&gt;=$T99),$W99,IF(AND($S99&lt;&gt;"",EDATE($D99,Milestones!$AA$121)&gt;=$S99),$V99,$U99)))=Milestones!$AB$121),UPPER(TEXT(EDATE($D99,Milestones!$AA$121),"dd mmm yy"))&amp;" "&amp;Milestones!$AB$121&amp;" "&amp;Milestones!$AC$121&amp;";  ","")&amp;IF(AND(EDATE($D99,Milestones!$AA$122)&lt;=AsOfDate,IF($R99=0,$X99,IF(AND($T99&lt;&gt;"",EDATE($D99,Milestones!$AA$122)&gt;=$T99),$W99,IF(AND($S99&lt;&gt;"",EDATE($D99,Milestones!$AA$122)&gt;=$S99),$V99,$U99)))=Milestones!$AB$122),UPPER(TEXT(EDATE($D99,Milestones!$AA$122),"dd mmm yy"))&amp;" "&amp;Milestones!$AB$122&amp;" "&amp;Milestones!$AC$122&amp;";  ","")&amp;IF(AND(EDATE($D99,Milestones!$AA$123)&lt;=AsOfDate,IF($R99=0,$X99,IF(AND($T99&lt;&gt;"",EDATE($D99,Milestones!$AA$123)&gt;=$T99),$W99,IF(AND($S99&lt;&gt;"",EDATE($D99,Milestones!$AA$123)&gt;=$S99),$V99,$U99)))=Milestones!$AB$123),UPPER(TEXT(EDATE($D99,Milestones!$AA$123),"dd mmm yy"))&amp;" "&amp;Milestones!$AB$123&amp;" "&amp;Milestones!$AC$123&amp;";  ","")&amp;IF(AND(EDATE($D99,Milestones!$AA$124)&lt;=AsOfDate,IF($R99=0,$X99,IF(AND($T99&lt;&gt;"",EDATE($D99,Milestones!$AA$124)&gt;=$T99),$W99,IF(AND($S99&lt;&gt;"",EDATE($D99,Milestones!$AA$124)&gt;=$S99),$V99,$U99)))=Milestones!$AB$124),UPPER(TEXT(EDATE($D99,Milestones!$AA$124),"dd mmm yy"))&amp;" "&amp;Milestones!$AB$124&amp;" "&amp;Milestones!$AC$124&amp;";  ","")&amp;IF(AND(EDATE($D99,Milestones!$AA$125)&lt;=AsOfDate,IF($R99=0,$X99,IF(AND($T99&lt;&gt;"",EDATE($D99,Milestones!$AA$125)&gt;=$T99),$W99,IF(AND($S99&lt;&gt;"",EDATE($D99,Milestones!$AA$125)&gt;=$S99),$V99,$U99)))=Milestones!$AB$125),UPPER(TEXT(EDATE($D99,Milestones!$AA$125),"dd mmm yy"))&amp;" "&amp;Milestones!$AB$125&amp;" "&amp;Milestones!$AC$125&amp;";  ","")&amp;IF(AND(EDATE($D99,Milestones!$AA$126)&lt;=AsOfDate,IF($R99=0,$X99,IF(AND($T99&lt;&gt;"",EDATE($D99,Milestones!$AA$126)&gt;=$T99),$W99,IF(AND($S99&lt;&gt;"",EDATE($D99,Milestones!$AA$126)&gt;=$S99),$V99,$U99)))=Milestones!$AB$126),UPPER(TEXT(EDATE($D99,Milestones!$AA$126),"dd mmm yy"))&amp;" "&amp;Milestones!$AB$126&amp;" "&amp;Milestones!$AC$126&amp;";  ","")&amp;IF(AND(EDATE($D99,Milestones!$AA$127)&lt;=AsOfDate,IF($R99=0,$X99,IF(AND($T99&lt;&gt;"",EDATE($D99,Milestones!$AA$127)&gt;=$T99),$W99,IF(AND($S99&lt;&gt;"",EDATE($D99,Milestones!$AA$127)&gt;=$S99),$V99,$U99)))=Milestones!$AB$127),UPPER(TEXT(EDATE($D99,Milestones!$AA$127),"dd mmm yy"))&amp;" "&amp;Milestones!$AB$127&amp;" "&amp;Milestones!$AC$127&amp;";  ","")&amp;IF(AND(EDATE($D99,Milestones!$AA$128)&lt;=AsOfDate,IF($R99=0,$X99,IF(AND($T99&lt;&gt;"",EDATE($D99,Milestones!$AA$128)&gt;=$T99),$W99,IF(AND($S99&lt;&gt;"",EDATE($D99,Milestones!$AA$128)&gt;=$S99),$V99,$U99)))=Milestones!$AB$128),UPPER(TEXT(EDATE($D99,Milestones!$AA$128),"dd mmm yy"))&amp;" "&amp;Milestones!$AB$128&amp;" "&amp;Milestones!$AC$128&amp;";  ","")&amp;IF(AND(EDATE($D99,Milestones!$AA$129)&lt;=AsOfDate,IF($R99=0,$X99,IF(AND($T99&lt;&gt;"",EDATE($D99,Milestones!$AA$129)&gt;=$T99),$W99,IF(AND($S99&lt;&gt;"",EDATE($D99,Milestones!$AA$129)&gt;=$S99),$V99,$U99)))=Milestones!$AB$129),UPPER(TEXT(EDATE($D99,Milestones!$AA$129),"dd mmm yy"))&amp;" "&amp;Milestones!$AB$129&amp;" "&amp;Milestones!$AC$129&amp;";  ","")&amp;IF(AND(EDATE($D99,Milestones!$AA$130)&lt;=AsOfDate,IF($R99=0,$X99,IF(AND($T99&lt;&gt;"",EDATE($D99,Milestones!$AA$130)&gt;=$T99),$W99,IF(AND($S99&lt;&gt;"",EDATE($D99,Milestones!$AA$130)&gt;=$S99),$V99,$U99)))=Milestones!$AB$130),UPPER(TEXT(EDATE($D99,Milestones!$AA$130),"dd mmm yy"))&amp;" "&amp;Milestones!$AB$130&amp;" "&amp;Milestones!$AC$130&amp;";  ","")&amp;IF(AND(EDATE($D99,Milestones!$AA$131)&lt;=AsOfDate,IF($R99=0,$X99,IF(AND($T99&lt;&gt;"",EDATE($D99,Milestones!$AA$131)&gt;=$T99),$W99,IF(AND($S99&lt;&gt;"",EDATE($D99,Milestones!$AA$131)&gt;=$S99),$V99,$U99)))=Milestones!$AB$131),UPPER(TEXT(EDATE($D99,Milestones!$AA$131),"dd mmm yy"))&amp;" "&amp;Milestones!$AB$131&amp;" "&amp;Milestones!$AC$131&amp;";  ","")&amp;IF(AND(EDATE($D99,Milestones!$AA$132)&lt;=AsOfDate,IF($R99=0,$X99,IF(AND($T99&lt;&gt;"",EDATE($D99,Milestones!$AA$132)&gt;=$T99),$W99,IF(AND($S99&lt;&gt;"",EDATE($D99,Milestones!$AA$132)&gt;=$S99),$V99,$U99)))=Milestones!$AB$132),UPPER(TEXT(EDATE($D99,Milestones!$AA$132),"dd mmm yy"))&amp;" "&amp;Milestones!$AB$132&amp;" "&amp;Milestones!$AC$132&amp;";  ","")&amp;IF(AND(EDATE($D99,Milestones!$AA$133)&lt;=AsOfDate,IF($R99=0,$X99,IF(AND($T99&lt;&gt;"",EDATE($D99,Milestones!$AA$133)&gt;=$T99),$W99,IF(AND($S99&lt;&gt;"",EDATE($D99,Milestones!$AA$133)&gt;=$S99),$V99,$U99)))=Milestones!$AB$133),UPPER(TEXT(EDATE($D99,Milestones!$AA$133),"dd mmm yy"))&amp;" "&amp;Milestones!$AB$133&amp;" "&amp;Milestones!$AC$133&amp;";  ","")&amp;IF(AND(EDATE($D99,Milestones!$AA$134)&lt;=AsOfDate,IF($R99=0,$X99,IF(AND($T99&lt;&gt;"",EDATE($D99,Milestones!$AA$134)&gt;=$T99),$W99,IF(AND($S99&lt;&gt;"",EDATE($D99,Milestones!$AA$134)&gt;=$S99),$V99,$U99)))=Milestones!$AB$134),UPPER(TEXT(EDATE($D99,Milestones!$AA$134),"dd mmm yy"))&amp;" "&amp;Milestones!$AB$134&amp;" "&amp;Milestones!$AC$134&amp;";  ","")&amp;IF(AND(EDATE($D99,Milestones!$AA$135)&lt;=AsOfDate,IF($R99=0,$X99,IF(AND($T99&lt;&gt;"",EDATE($D99,Milestones!$AA$135)&gt;=$T99),$W99,IF(AND($S99&lt;&gt;"",EDATE($D99,Milestones!$AA$135)&gt;=$S99),$V99,$U99)))=Milestones!$AB$135),UPPER(TEXT(EDATE($D99,Milestones!$AA$135),"dd mmm yy"))&amp;" "&amp;Milestones!$AB$135&amp;" "&amp;Milestones!$AC$135&amp;";  ","")&amp;IF(AND(EDATE($D99,Milestones!$AA$136)&lt;=AsOfDate,IF($R99=0,$X99,IF(AND($T99&lt;&gt;"",EDATE($D99,Milestones!$AA$136)&gt;=$T99),$W99,IF(AND($S99&lt;&gt;"",EDATE($D99,Milestones!$AA$136)&gt;=$S99),$V99,$U99)))=Milestones!$AB$136),UPPER(TEXT(EDATE($D99,Milestones!$AA$136),"dd mmm yy"))&amp;" "&amp;Milestones!$AB$136&amp;" "&amp;Milestones!$AC$136&amp;";  ","")&amp;IF(AND(EDATE($D99,Milestones!$AA$137)&lt;=AsOfDate,IF($R99=0,$X99,IF(AND($T99&lt;&gt;"",EDATE($D99,Milestones!$AA$137)&gt;=$T99),$W99,IF(AND($S99&lt;&gt;"",EDATE($D99,Milestones!$AA$137)&gt;=$S99),$V99,$U99)))=Milestones!$AB$137),UPPER(TEXT(EDATE($D99,Milestones!$AA$137),"dd mmm yy"))&amp;" "&amp;Milestones!$AB$137&amp;" "&amp;Milestones!$AC$137&amp;";  ","")&amp;IF(AND(EDATE($D99,Milestones!$AA$138)&lt;=AsOfDate,IF($R99=0,$X99,IF(AND($T99&lt;&gt;"",EDATE($D99,Milestones!$AA$138)&gt;=$T99),$W99,IF(AND($S99&lt;&gt;"",EDATE($D99,Milestones!$AA$138)&gt;=$S99),$V99,$U99)))=Milestones!$AB$138),UPPER(TEXT(EDATE($D99,Milestones!$AA$138),"dd mmm yy"))&amp;" "&amp;Milestones!$AB$138&amp;" "&amp;Milestones!$AC$138&amp;";  ","")&amp;IF(AND(EDATE($D99,Milestones!$AA$139)&lt;=AsOfDate,IF($R99=0,$X99,IF(AND($T99&lt;&gt;"",EDATE($D99,Milestones!$AA$139)&gt;=$T99),$W99,IF(AND($S99&lt;&gt;"",EDATE($D99,Milestones!$AA$139)&gt;=$S99),$V99,$U99)))=Milestones!$AB$139),UPPER(TEXT(EDATE($D99,Milestones!$AA$139),"dd mmm yy"))&amp;" "&amp;Milestones!$AB$139&amp;" "&amp;Milestones!$AC$139&amp;";  ",""))</f>
        <v/>
      </c>
      <c r="O99" s="0" t="str">
        <f aca="false">IF(OR($A99="",$D99=""),"",IF(AND(EDATE($D99,Milestones!$AA$140)&lt;=AsOfDate,IF($R99=0,$X99,IF(AND($T99&lt;&gt;"",EDATE($D99,Milestones!$AA$140)&gt;=$T99),$W99,IF(AND($S99&lt;&gt;"",EDATE($D99,Milestones!$AA$140)&gt;=$S99),$V99,$U99)))=Milestones!$AB$140),UPPER(TEXT(EDATE($D99,Milestones!$AA$140),"dd mmm yy"))&amp;" "&amp;Milestones!$AB$140&amp;" "&amp;Milestones!$AC$140&amp;";  ","")&amp;IF(AND(EDATE($D99,Milestones!$AA$141)&lt;=AsOfDate,IF($R99=0,$X99,IF(AND($T99&lt;&gt;"",EDATE($D99,Milestones!$AA$141)&gt;=$T99),$W99,IF(AND($S99&lt;&gt;"",EDATE($D99,Milestones!$AA$141)&gt;=$S99),$V99,$U99)))=Milestones!$AB$141),UPPER(TEXT(EDATE($D99,Milestones!$AA$141),"dd mmm yy"))&amp;" "&amp;Milestones!$AB$141&amp;" "&amp;Milestones!$AC$141&amp;";  ","")&amp;IF(AND(EDATE($D99,Milestones!$AA$142)&lt;=AsOfDate,IF($R99=0,$X99,IF(AND($T99&lt;&gt;"",EDATE($D99,Milestones!$AA$142)&gt;=$T99),$W99,IF(AND($S99&lt;&gt;"",EDATE($D99,Milestones!$AA$142)&gt;=$S99),$V99,$U99)))=Milestones!$AB$142),UPPER(TEXT(EDATE($D99,Milestones!$AA$142),"dd mmm yy"))&amp;" "&amp;Milestones!$AB$142&amp;" "&amp;Milestones!$AC$142&amp;";  ","")&amp;IF(AND(EDATE($D99,Milestones!$AA$143)&lt;=AsOfDate,IF($R99=0,$X99,IF(AND($T99&lt;&gt;"",EDATE($D99,Milestones!$AA$143)&gt;=$T99),$W99,IF(AND($S99&lt;&gt;"",EDATE($D99,Milestones!$AA$143)&gt;=$S99),$V99,$U99)))=Milestones!$AB$143),UPPER(TEXT(EDATE($D99,Milestones!$AA$143),"dd mmm yy"))&amp;" "&amp;Milestones!$AB$143&amp;" "&amp;Milestones!$AC$143&amp;";  ","")&amp;IF(AND(EDATE($D99,Milestones!$AA$144)&lt;=AsOfDate,IF($R99=0,$X99,IF(AND($T99&lt;&gt;"",EDATE($D99,Milestones!$AA$144)&gt;=$T99),$W99,IF(AND($S99&lt;&gt;"",EDATE($D99,Milestones!$AA$144)&gt;=$S99),$V99,$U99)))=Milestones!$AB$144),UPPER(TEXT(EDATE($D99,Milestones!$AA$144),"dd mmm yy"))&amp;" "&amp;Milestones!$AB$144&amp;" "&amp;Milestones!$AC$144&amp;";  ","")&amp;IF(AND(EDATE($D99,Milestones!$AA$145)&lt;=AsOfDate,IF($R99=0,$X99,IF(AND($T99&lt;&gt;"",EDATE($D99,Milestones!$AA$145)&gt;=$T99),$W99,IF(AND($S99&lt;&gt;"",EDATE($D99,Milestones!$AA$145)&gt;=$S99),$V99,$U99)))=Milestones!$AB$145),UPPER(TEXT(EDATE($D99,Milestones!$AA$145),"dd mmm yy"))&amp;" "&amp;Milestones!$AB$145&amp;" "&amp;Milestones!$AC$145&amp;";  ","")&amp;IF(AND(EDATE($D99,Milestones!$AA$146)&lt;=AsOfDate,IF($R99=0,$X99,IF(AND($T99&lt;&gt;"",EDATE($D99,Milestones!$AA$146)&gt;=$T99),$W99,IF(AND($S99&lt;&gt;"",EDATE($D99,Milestones!$AA$146)&gt;=$S99),$V99,$U99)))=Milestones!$AB$146),UPPER(TEXT(EDATE($D99,Milestones!$AA$146),"dd mmm yy"))&amp;" "&amp;Milestones!$AB$146&amp;" "&amp;Milestones!$AC$146&amp;";  ","")&amp;IF(AND(EDATE($D99,Milestones!$AA$147)&lt;=AsOfDate,IF($R99=0,$X99,IF(AND($T99&lt;&gt;"",EDATE($D99,Milestones!$AA$147)&gt;=$T99),$W99,IF(AND($S99&lt;&gt;"",EDATE($D99,Milestones!$AA$147)&gt;=$S99),$V99,$U99)))=Milestones!$AB$147),UPPER(TEXT(EDATE($D99,Milestones!$AA$147),"dd mmm yy"))&amp;" "&amp;Milestones!$AB$147&amp;" "&amp;Milestones!$AC$147&amp;";  ","")&amp;IF(AND(EDATE($D99,Milestones!$AA$148)&lt;=AsOfDate,IF($R99=0,$X99,IF(AND($T99&lt;&gt;"",EDATE($D99,Milestones!$AA$148)&gt;=$T99),$W99,IF(AND($S99&lt;&gt;"",EDATE($D99,Milestones!$AA$148)&gt;=$S99),$V99,$U99)))=Milestones!$AB$148),UPPER(TEXT(EDATE($D99,Milestones!$AA$148),"dd mmm yy"))&amp;" "&amp;Milestones!$AB$148&amp;" "&amp;Milestones!$AC$148&amp;";  ","")&amp;IF(AND(EDATE($D99,Milestones!$AA$149)&lt;=AsOfDate,IF($R99=0,$X99,IF(AND($T99&lt;&gt;"",EDATE($D99,Milestones!$AA$149)&gt;=$T99),$W99,IF(AND($S99&lt;&gt;"",EDATE($D99,Milestones!$AA$149)&gt;=$S99),$V99,$U99)))=Milestones!$AB$149),UPPER(TEXT(EDATE($D99,Milestones!$AA$149),"dd mmm yy"))&amp;" "&amp;Milestones!$AB$149&amp;" "&amp;Milestones!$AC$149&amp;";  ","")&amp;IF(AND(EDATE($D99,Milestones!$AA$150)&lt;=AsOfDate,IF($R99=0,$X99,IF(AND($T99&lt;&gt;"",EDATE($D99,Milestones!$AA$150)&gt;=$T99),$W99,IF(AND($S99&lt;&gt;"",EDATE($D99,Milestones!$AA$150)&gt;=$S99),$V99,$U99)))=Milestones!$AB$150),UPPER(TEXT(EDATE($D99,Milestones!$AA$150),"dd mmm yy"))&amp;" "&amp;Milestones!$AB$150&amp;" "&amp;Milestones!$AC$150&amp;";  ","")&amp;IF(AND(EDATE($D99,Milestones!$AA$151)&lt;=AsOfDate,IF($R99=0,$X99,IF(AND($T99&lt;&gt;"",EDATE($D99,Milestones!$AA$151)&gt;=$T99),$W99,IF(AND($S99&lt;&gt;"",EDATE($D99,Milestones!$AA$151)&gt;=$S99),$V99,$U99)))=Milestones!$AB$151),UPPER(TEXT(EDATE($D99,Milestones!$AA$151),"dd mmm yy"))&amp;" "&amp;Milestones!$AB$151&amp;" "&amp;Milestones!$AC$151&amp;";  ","")&amp;IF(AND(EDATE($D99,Milestones!$AA$152)&lt;=AsOfDate,IF($R99=0,$X99,IF(AND($T99&lt;&gt;"",EDATE($D99,Milestones!$AA$152)&gt;=$T99),$W99,IF(AND($S99&lt;&gt;"",EDATE($D99,Milestones!$AA$152)&gt;=$S99),$V99,$U99)))=Milestones!$AB$152),UPPER(TEXT(EDATE($D99,Milestones!$AA$152),"dd mmm yy"))&amp;" "&amp;Milestones!$AB$152&amp;" "&amp;Milestones!$AC$152&amp;";  ","")&amp;IF(AND(EDATE($D99,Milestones!$AA$153)&lt;=AsOfDate,IF($R99=0,$X99,IF(AND($T99&lt;&gt;"",EDATE($D99,Milestones!$AA$153)&gt;=$T99),$W99,IF(AND($S99&lt;&gt;"",EDATE($D99,Milestones!$AA$153)&gt;=$S99),$V99,$U99)))=Milestones!$AB$153),UPPER(TEXT(EDATE($D99,Milestones!$AA$153),"dd mmm yy"))&amp;" "&amp;Milestones!$AB$153&amp;" "&amp;Milestones!$AC$153&amp;";  ","")&amp;IF(AND(EDATE($D99,Milestones!$AA$154)&lt;=AsOfDate,IF($R99=0,$X99,IF(AND($T99&lt;&gt;"",EDATE($D99,Milestones!$AA$154)&gt;=$T99),$W99,IF(AND($S99&lt;&gt;"",EDATE($D99,Milestones!$AA$154)&gt;=$S99),$V99,$U99)))=Milestones!$AB$154),UPPER(TEXT(EDATE($D99,Milestones!$AA$154),"dd mmm yy"))&amp;" "&amp;Milestones!$AB$154&amp;" "&amp;Milestones!$AC$154&amp;";  ","")&amp;IF(AND(EDATE($D99,Milestones!$AA$155)&lt;=AsOfDate,IF($R99=0,$X99,IF(AND($T99&lt;&gt;"",EDATE($D99,Milestones!$AA$155)&gt;=$T99),$W99,IF(AND($S99&lt;&gt;"",EDATE($D99,Milestones!$AA$155)&gt;=$S99),$V99,$U99)))=Milestones!$AB$155),UPPER(TEXT(EDATE($D99,Milestones!$AA$155),"dd mmm yy"))&amp;" "&amp;Milestones!$AB$155&amp;" "&amp;Milestones!$AC$155&amp;";  ","")&amp;IF(AND(EDATE($D99,Milestones!$AA$156)&lt;=AsOfDate,IF($R99=0,$X99,IF(AND($T99&lt;&gt;"",EDATE($D99,Milestones!$AA$156)&gt;=$T99),$W99,IF(AND($S99&lt;&gt;"",EDATE($D99,Milestones!$AA$156)&gt;=$S99),$V99,$U99)))=Milestones!$AB$156),UPPER(TEXT(EDATE($D99,Milestones!$AA$156),"dd mmm yy"))&amp;" "&amp;Milestones!$AB$156&amp;" "&amp;Milestones!$AC$156&amp;";  ","")&amp;IF(AND(EDATE($D99,Milestones!$AA$157)&lt;=AsOfDate,IF($R99=0,$X99,IF(AND($T99&lt;&gt;"",EDATE($D99,Milestones!$AA$157)&gt;=$T99),$W99,IF(AND($S99&lt;&gt;"",EDATE($D99,Milestones!$AA$157)&gt;=$S99),$V99,$U99)))=Milestones!$AB$157),UPPER(TEXT(EDATE($D99,Milestones!$AA$157),"dd mmm yy"))&amp;" "&amp;Milestones!$AB$157&amp;" "&amp;Milestones!$AC$157&amp;";  ","")&amp;IF(AND(EDATE($D99,Milestones!$AA$158)&lt;=AsOfDate,IF($R99=0,$X99,IF(AND($T99&lt;&gt;"",EDATE($D99,Milestones!$AA$158)&gt;=$T99),$W99,IF(AND($S99&lt;&gt;"",EDATE($D99,Milestones!$AA$158)&gt;=$S99),$V99,$U99)))=Milestones!$AB$158),UPPER(TEXT(EDATE($D99,Milestones!$AA$158),"dd mmm yy"))&amp;" "&amp;Milestones!$AB$158&amp;" "&amp;Milestones!$AC$158&amp;";  ","")&amp;IF(AND(EDATE($D99,Milestones!$AA$159)&lt;=AsOfDate,IF($R99=0,$X99,IF(AND($T99&lt;&gt;"",EDATE($D99,Milestones!$AA$159)&gt;=$T99),$W99,IF(AND($S99&lt;&gt;"",EDATE($D99,Milestones!$AA$159)&gt;=$S99),$V99,$U99)))=Milestones!$AB$159),UPPER(TEXT(EDATE($D99,Milestones!$AA$159),"dd mmm yy"))&amp;" "&amp;Milestones!$AB$159&amp;" "&amp;Milestones!$AC$159&amp;";  ",""))</f>
        <v/>
      </c>
      <c r="P99" s="0" t="str">
        <f aca="false">IF(OR($A99="",$D99=""),"",IF(AND(EDATE($D99,Milestones!$AA$160)&lt;=AsOfDate,IF($R99=0,$X99,IF(AND($T99&lt;&gt;"",EDATE($D99,Milestones!$AA$160)&gt;=$T99),$W99,IF(AND($S99&lt;&gt;"",EDATE($D99,Milestones!$AA$160)&gt;=$S99),$V99,$U99)))=Milestones!$AB$160),UPPER(TEXT(EDATE($D99,Milestones!$AA$160),"dd mmm yy"))&amp;" "&amp;Milestones!$AB$160&amp;" "&amp;Milestones!$AC$160&amp;";  ","")&amp;IF(AND(EDATE($D99,Milestones!$AA$161)&lt;=AsOfDate,IF($R99=0,$X99,IF(AND($T99&lt;&gt;"",EDATE($D99,Milestones!$AA$161)&gt;=$T99),$W99,IF(AND($S99&lt;&gt;"",EDATE($D99,Milestones!$AA$161)&gt;=$S99),$V99,$U99)))=Milestones!$AB$161),UPPER(TEXT(EDATE($D99,Milestones!$AA$161),"dd mmm yy"))&amp;" "&amp;Milestones!$AB$161&amp;" "&amp;Milestones!$AC$161&amp;";  ","")&amp;IF(AND(EDATE($D99,Milestones!$AA$162)&lt;=AsOfDate,IF($R99=0,$X99,IF(AND($T99&lt;&gt;"",EDATE($D99,Milestones!$AA$162)&gt;=$T99),$W99,IF(AND($S99&lt;&gt;"",EDATE($D99,Milestones!$AA$162)&gt;=$S99),$V99,$U99)))=Milestones!$AB$162),UPPER(TEXT(EDATE($D99,Milestones!$AA$162),"dd mmm yy"))&amp;" "&amp;Milestones!$AB$162&amp;" "&amp;Milestones!$AC$162&amp;";  ","")&amp;IF(AND(EDATE($D99,Milestones!$AA$163)&lt;=AsOfDate,IF($R99=0,$X99,IF(AND($T99&lt;&gt;"",EDATE($D99,Milestones!$AA$163)&gt;=$T99),$W99,IF(AND($S99&lt;&gt;"",EDATE($D99,Milestones!$AA$163)&gt;=$S99),$V99,$U99)))=Milestones!$AB$163),UPPER(TEXT(EDATE($D99,Milestones!$AA$163),"dd mmm yy"))&amp;" "&amp;Milestones!$AB$163&amp;" "&amp;Milestones!$AC$163&amp;";  ","")&amp;IF(AND(EDATE($D99,Milestones!$AA$164)&lt;=AsOfDate,IF($R99=0,$X99,IF(AND($T99&lt;&gt;"",EDATE($D99,Milestones!$AA$164)&gt;=$T99),$W99,IF(AND($S99&lt;&gt;"",EDATE($D99,Milestones!$AA$164)&gt;=$S99),$V99,$U99)))=Milestones!$AB$164),UPPER(TEXT(EDATE($D99,Milestones!$AA$164),"dd mmm yy"))&amp;" "&amp;Milestones!$AB$164&amp;" "&amp;Milestones!$AC$164&amp;";  ","")&amp;IF(AND(EDATE($D99,Milestones!$AA$165)&lt;=AsOfDate,IF($R99=0,$X99,IF(AND($T99&lt;&gt;"",EDATE($D99,Milestones!$AA$165)&gt;=$T99),$W99,IF(AND($S99&lt;&gt;"",EDATE($D99,Milestones!$AA$165)&gt;=$S99),$V99,$U99)))=Milestones!$AB$165),UPPER(TEXT(EDATE($D99,Milestones!$AA$165),"dd mmm yy"))&amp;" "&amp;Milestones!$AB$165&amp;" "&amp;Milestones!$AC$165&amp;";  ","")&amp;IF(AND(EDATE($D99,Milestones!$AA$166)&lt;=AsOfDate,IF($R99=0,$X99,IF(AND($T99&lt;&gt;"",EDATE($D99,Milestones!$AA$166)&gt;=$T99),$W99,IF(AND($S99&lt;&gt;"",EDATE($D99,Milestones!$AA$166)&gt;=$S99),$V99,$U99)))=Milestones!$AB$166),UPPER(TEXT(EDATE($D99,Milestones!$AA$166),"dd mmm yy"))&amp;" "&amp;Milestones!$AB$166&amp;" "&amp;Milestones!$AC$166&amp;";  ","")&amp;IF(AND(EDATE($D99,Milestones!$AA$167)&lt;=AsOfDate,IF($R99=0,$X99,IF(AND($T99&lt;&gt;"",EDATE($D99,Milestones!$AA$167)&gt;=$T99),$W99,IF(AND($S99&lt;&gt;"",EDATE($D99,Milestones!$AA$167)&gt;=$S99),$V99,$U99)))=Milestones!$AB$167),UPPER(TEXT(EDATE($D99,Milestones!$AA$167),"dd mmm yy"))&amp;" "&amp;Milestones!$AB$167&amp;" "&amp;Milestones!$AC$167&amp;";  ","")&amp;IF(AND(EDATE($D99,Milestones!$AA$168)&lt;=AsOfDate,IF($R99=0,$X99,IF(AND($T99&lt;&gt;"",EDATE($D99,Milestones!$AA$168)&gt;=$T99),$W99,IF(AND($S99&lt;&gt;"",EDATE($D99,Milestones!$AA$168)&gt;=$S99),$V99,$U99)))=Milestones!$AB$168),UPPER(TEXT(EDATE($D99,Milestones!$AA$168),"dd mmm yy"))&amp;" "&amp;Milestones!$AB$168&amp;" "&amp;Milestones!$AC$168&amp;";  ","")&amp;IF(AND(EDATE($D99,Milestones!$AA$169)&lt;=AsOfDate,IF($R99=0,$X99,IF(AND($T99&lt;&gt;"",EDATE($D99,Milestones!$AA$169)&gt;=$T99),$W99,IF(AND($S99&lt;&gt;"",EDATE($D99,Milestones!$AA$169)&gt;=$S99),$V99,$U99)))=Milestones!$AB$169),UPPER(TEXT(EDATE($D99,Milestones!$AA$169),"dd mmm yy"))&amp;" "&amp;Milestones!$AB$169&amp;" "&amp;Milestones!$AC$169&amp;";  ","")&amp;IF(AND(EDATE($D99,Milestones!$AA$170)&lt;=AsOfDate,IF($R99=0,$X99,IF(AND($T99&lt;&gt;"",EDATE($D99,Milestones!$AA$170)&gt;=$T99),$W99,IF(AND($S99&lt;&gt;"",EDATE($D99,Milestones!$AA$170)&gt;=$S99),$V99,$U99)))=Milestones!$AB$170),UPPER(TEXT(EDATE($D99,Milestones!$AA$170),"dd mmm yy"))&amp;" "&amp;Milestones!$AB$170&amp;" "&amp;Milestones!$AC$170&amp;";  ","")&amp;IF(AND(EDATE($D99,Milestones!$AA$171)&lt;=AsOfDate,IF($R99=0,$X99,IF(AND($T99&lt;&gt;"",EDATE($D99,Milestones!$AA$171)&gt;=$T99),$W99,IF(AND($S99&lt;&gt;"",EDATE($D99,Milestones!$AA$171)&gt;=$S99),$V99,$U99)))=Milestones!$AB$171),UPPER(TEXT(EDATE($D99,Milestones!$AA$171),"dd mmm yy"))&amp;" "&amp;Milestones!$AB$171&amp;" "&amp;Milestones!$AC$171&amp;";  ","")&amp;IF(AND(EDATE($D99,Milestones!$AA$172)&lt;=AsOfDate,IF($R99=0,$X99,IF(AND($T99&lt;&gt;"",EDATE($D99,Milestones!$AA$172)&gt;=$T99),$W99,IF(AND($S99&lt;&gt;"",EDATE($D99,Milestones!$AA$172)&gt;=$S99),$V99,$U99)))=Milestones!$AB$172),UPPER(TEXT(EDATE($D99,Milestones!$AA$172),"dd mmm yy"))&amp;" "&amp;Milestones!$AB$172&amp;" "&amp;Milestones!$AC$172&amp;";  ","")&amp;IF(AND(EDATE($D99,Milestones!$AA$173)&lt;=AsOfDate,IF($R99=0,$X99,IF(AND($T99&lt;&gt;"",EDATE($D99,Milestones!$AA$173)&gt;=$T99),$W99,IF(AND($S99&lt;&gt;"",EDATE($D99,Milestones!$AA$173)&gt;=$S99),$V99,$U99)))=Milestones!$AB$173),UPPER(TEXT(EDATE($D99,Milestones!$AA$173),"dd mmm yy"))&amp;" "&amp;Milestones!$AB$173&amp;" "&amp;Milestones!$AC$173&amp;";  ","")&amp;IF(AND(EDATE($D99,Milestones!$AA$174)&lt;=AsOfDate,IF($R99=0,$X99,IF(AND($T99&lt;&gt;"",EDATE($D99,Milestones!$AA$174)&gt;=$T99),$W99,IF(AND($S99&lt;&gt;"",EDATE($D99,Milestones!$AA$174)&gt;=$S99),$V99,$U99)))=Milestones!$AB$174),UPPER(TEXT(EDATE($D99,Milestones!$AA$174),"dd mmm yy"))&amp;" "&amp;Milestones!$AB$174&amp;" "&amp;Milestones!$AC$174&amp;";  ","")&amp;IF(AND(EDATE($D99,Milestones!$AA$175)&lt;=AsOfDate,IF($R99=0,$X99,IF(AND($T99&lt;&gt;"",EDATE($D99,Milestones!$AA$175)&gt;=$T99),$W99,IF(AND($S99&lt;&gt;"",EDATE($D99,Milestones!$AA$175)&gt;=$S99),$V99,$U99)))=Milestones!$AB$175),UPPER(TEXT(EDATE($D99,Milestones!$AA$175),"dd mmm yy"))&amp;" "&amp;Milestones!$AB$175&amp;" "&amp;Milestones!$AC$175&amp;";  ","")&amp;IF(AND(EDATE($D99,Milestones!$AA$176)&lt;=AsOfDate,IF($R99=0,$X99,IF(AND($T99&lt;&gt;"",EDATE($D99,Milestones!$AA$176)&gt;=$T99),$W99,IF(AND($S99&lt;&gt;"",EDATE($D99,Milestones!$AA$176)&gt;=$S99),$V99,$U99)))=Milestones!$AB$176),UPPER(TEXT(EDATE($D99,Milestones!$AA$176),"dd mmm yy"))&amp;" "&amp;Milestones!$AB$176&amp;" "&amp;Milestones!$AC$176&amp;";  ","")&amp;IF(AND(EDATE($D99,Milestones!$AA$177)&lt;=AsOfDate,IF($R99=0,$X99,IF(AND($T99&lt;&gt;"",EDATE($D99,Milestones!$AA$177)&gt;=$T99),$W99,IF(AND($S99&lt;&gt;"",EDATE($D99,Milestones!$AA$177)&gt;=$S99),$V99,$U99)))=Milestones!$AB$177),UPPER(TEXT(EDATE($D99,Milestones!$AA$177),"dd mmm yy"))&amp;" "&amp;Milestones!$AB$177&amp;" "&amp;Milestones!$AC$177&amp;";  ","")&amp;IF(AND(EDATE($D99,Milestones!$AA$178)&lt;=AsOfDate,IF($R99=0,$X99,IF(AND($T99&lt;&gt;"",EDATE($D99,Milestones!$AA$178)&gt;=$T99),$W99,IF(AND($S99&lt;&gt;"",EDATE($D99,Milestones!$AA$178)&gt;=$S99),$V99,$U99)))=Milestones!$AB$178),UPPER(TEXT(EDATE($D99,Milestones!$AA$178),"dd mmm yy"))&amp;" "&amp;Milestones!$AB$178&amp;" "&amp;Milestones!$AC$178&amp;";  ","")&amp;IF(AND(EDATE($D99,Milestones!$AA$179)&lt;=AsOfDate,IF($R99=0,$X99,IF(AND($T99&lt;&gt;"",EDATE($D99,Milestones!$AA$179)&gt;=$T99),$W99,IF(AND($S99&lt;&gt;"",EDATE($D99,Milestones!$AA$179)&gt;=$S99),$V99,$U99)))=Milestones!$AB$179),UPPER(TEXT(EDATE($D99,Milestones!$AA$179),"dd mmm yy"))&amp;" "&amp;Milestones!$AB$179&amp;" "&amp;Milestones!$AC$179&amp;";  ",""))</f>
        <v/>
      </c>
      <c r="Q99" s="0" t="str">
        <f aca="false">IF(OR($A99="",$D99=""),"",IF(AND(EDATE($D99,Milestones!$AA$180)&lt;=AsOfDate,IF($R99=0,$X99,IF(AND($T99&lt;&gt;"",EDATE($D99,Milestones!$AA$180)&gt;=$T99),$W99,IF(AND($S99&lt;&gt;"",EDATE($D99,Milestones!$AA$180)&gt;=$S99),$V99,$U99)))=Milestones!$AB$180),UPPER(TEXT(EDATE($D99,Milestones!$AA$180),"dd mmm yy"))&amp;" "&amp;Milestones!$AB$180&amp;" "&amp;Milestones!$AC$180&amp;";  ","")&amp;IF(AND(EDATE($D99,Milestones!$AA$181)&lt;=AsOfDate,IF($R99=0,$X99,IF(AND($T99&lt;&gt;"",EDATE($D99,Milestones!$AA$181)&gt;=$T99),$W99,IF(AND($S99&lt;&gt;"",EDATE($D99,Milestones!$AA$181)&gt;=$S99),$V99,$U99)))=Milestones!$AB$181),UPPER(TEXT(EDATE($D99,Milestones!$AA$181),"dd mmm yy"))&amp;" "&amp;Milestones!$AB$181&amp;" "&amp;Milestones!$AC$181&amp;";  ","")&amp;IF(AND(EDATE($D99,Milestones!$AA$182)&lt;=AsOfDate,IF($R99=0,$X99,IF(AND($T99&lt;&gt;"",EDATE($D99,Milestones!$AA$182)&gt;=$T99),$W99,IF(AND($S99&lt;&gt;"",EDATE($D99,Milestones!$AA$182)&gt;=$S99),$V99,$U99)))=Milestones!$AB$182),UPPER(TEXT(EDATE($D99,Milestones!$AA$182),"dd mmm yy"))&amp;" "&amp;Milestones!$AB$182&amp;" "&amp;Milestones!$AC$182&amp;";  ","")&amp;IF(AND(EDATE($D99,Milestones!$AA$183)&lt;=AsOfDate,IF($R99=0,$X99,IF(AND($T99&lt;&gt;"",EDATE($D99,Milestones!$AA$183)&gt;=$T99),$W99,IF(AND($S99&lt;&gt;"",EDATE($D99,Milestones!$AA$183)&gt;=$S99),$V99,$U99)))=Milestones!$AB$183),UPPER(TEXT(EDATE($D99,Milestones!$AA$183),"dd mmm yy"))&amp;" "&amp;Milestones!$AB$183&amp;" "&amp;Milestones!$AC$183&amp;";  ","")&amp;IF(AND(EDATE($D99,Milestones!$AA$184)&lt;=AsOfDate,IF($R99=0,$X99,IF(AND($T99&lt;&gt;"",EDATE($D99,Milestones!$AA$184)&gt;=$T99),$W99,IF(AND($S99&lt;&gt;"",EDATE($D99,Milestones!$AA$184)&gt;=$S99),$V99,$U99)))=Milestones!$AB$184),UPPER(TEXT(EDATE($D99,Milestones!$AA$184),"dd mmm yy"))&amp;" "&amp;Milestones!$AB$184&amp;" "&amp;Milestones!$AC$184&amp;";  ","")&amp;IF(AND(EDATE($D99,Milestones!$AA$185)&lt;=AsOfDate,IF($R99=0,$X99,IF(AND($T99&lt;&gt;"",EDATE($D99,Milestones!$AA$185)&gt;=$T99),$W99,IF(AND($S99&lt;&gt;"",EDATE($D99,Milestones!$AA$185)&gt;=$S99),$V99,$U99)))=Milestones!$AB$185),UPPER(TEXT(EDATE($D99,Milestones!$AA$185),"dd mmm yy"))&amp;" "&amp;Milestones!$AB$185&amp;" "&amp;Milestones!$AC$185&amp;";  ","")&amp;IF(AND(EDATE($D99,Milestones!$AA$186)&lt;=AsOfDate,IF($R99=0,$X99,IF(AND($T99&lt;&gt;"",EDATE($D99,Milestones!$AA$186)&gt;=$T99),$W99,IF(AND($S99&lt;&gt;"",EDATE($D99,Milestones!$AA$186)&gt;=$S99),$V99,$U99)))=Milestones!$AB$186),UPPER(TEXT(EDATE($D99,Milestones!$AA$186),"dd mmm yy"))&amp;" "&amp;Milestones!$AB$186&amp;" "&amp;Milestones!$AC$186&amp;";  ","")&amp;IF(AND(EDATE($D99,Milestones!$AA$187)&lt;=AsOfDate,IF($R99=0,$X99,IF(AND($T99&lt;&gt;"",EDATE($D99,Milestones!$AA$187)&gt;=$T99),$W99,IF(AND($S99&lt;&gt;"",EDATE($D99,Milestones!$AA$187)&gt;=$S99),$V99,$U99)))=Milestones!$AB$187),UPPER(TEXT(EDATE($D99,Milestones!$AA$187),"dd mmm yy"))&amp;" "&amp;Milestones!$AB$187&amp;" "&amp;Milestones!$AC$187&amp;";  ","")&amp;IF(AND(EDATE($D99,Milestones!$AA$188)&lt;=AsOfDate,IF($R99=0,$X99,IF(AND($T99&lt;&gt;"",EDATE($D99,Milestones!$AA$188)&gt;=$T99),$W99,IF(AND($S99&lt;&gt;"",EDATE($D99,Milestones!$AA$188)&gt;=$S99),$V99,$U99)))=Milestones!$AB$188),UPPER(TEXT(EDATE($D99,Milestones!$AA$188),"dd mmm yy"))&amp;" "&amp;Milestones!$AB$188&amp;" "&amp;Milestones!$AC$188&amp;";  ","")&amp;IF(AND(EDATE($D99,Milestones!$AA$189)&lt;=AsOfDate,IF($R99=0,$X99,IF(AND($T99&lt;&gt;"",EDATE($D99,Milestones!$AA$189)&gt;=$T99),$W99,IF(AND($S99&lt;&gt;"",EDATE($D99,Milestones!$AA$189)&gt;=$S99),$V99,$U99)))=Milestones!$AB$189),UPPER(TEXT(EDATE($D99,Milestones!$AA$189),"dd mmm yy"))&amp;" "&amp;Milestones!$AB$189&amp;" "&amp;Milestones!$AC$189&amp;";  ","")&amp;IF(AND(EDATE($D99,Milestones!$AA$190)&lt;=AsOfDate,IF($R99=0,$X99,IF(AND($T99&lt;&gt;"",EDATE($D99,Milestones!$AA$190)&gt;=$T99),$W99,IF(AND($S99&lt;&gt;"",EDATE($D99,Milestones!$AA$190)&gt;=$S99),$V99,$U99)))=Milestones!$AB$190),UPPER(TEXT(EDATE($D99,Milestones!$AA$190),"dd mmm yy"))&amp;" "&amp;Milestones!$AB$190&amp;" "&amp;Milestones!$AC$190&amp;";  ","")&amp;IF(AND(EDATE($D99,Milestones!$AA$191)&lt;=AsOfDate,IF($R99=0,$X99,IF(AND($T99&lt;&gt;"",EDATE($D99,Milestones!$AA$191)&gt;=$T99),$W99,IF(AND($S99&lt;&gt;"",EDATE($D99,Milestones!$AA$191)&gt;=$S99),$V99,$U99)))=Milestones!$AB$191),UPPER(TEXT(EDATE($D99,Milestones!$AA$191),"dd mmm yy"))&amp;" "&amp;Milestones!$AB$191&amp;" "&amp;Milestones!$AC$191&amp;";  ","")&amp;IF(AND(EDATE($D99,Milestones!$AA$192)&lt;=AsOfDate,IF($R99=0,$X99,IF(AND($T99&lt;&gt;"",EDATE($D99,Milestones!$AA$192)&gt;=$T99),$W99,IF(AND($S99&lt;&gt;"",EDATE($D99,Milestones!$AA$192)&gt;=$S99),$V99,$U99)))=Milestones!$AB$192),UPPER(TEXT(EDATE($D99,Milestones!$AA$192),"dd mmm yy"))&amp;" "&amp;Milestones!$AB$192&amp;" "&amp;Milestones!$AC$192&amp;";  ","")&amp;IF(AND(EDATE($D99,Milestones!$AA$193)&lt;=AsOfDate,IF($R99=0,$X99,IF(AND($T99&lt;&gt;"",EDATE($D99,Milestones!$AA$193)&gt;=$T99),$W99,IF(AND($S99&lt;&gt;"",EDATE($D99,Milestones!$AA$193)&gt;=$S99),$V99,$U99)))=Milestones!$AB$193),UPPER(TEXT(EDATE($D99,Milestones!$AA$193),"dd mmm yy"))&amp;" "&amp;Milestones!$AB$193&amp;" "&amp;Milestones!$AC$193&amp;";  ","")&amp;IF(AND(EDATE($D99,Milestones!$AA$194)&lt;=AsOfDate,IF($R99=0,$X99,IF(AND($T99&lt;&gt;"",EDATE($D99,Milestones!$AA$194)&gt;=$T99),$W99,IF(AND($S99&lt;&gt;"",EDATE($D99,Milestones!$AA$194)&gt;=$S99),$V99,$U99)))=Milestones!$AB$194),UPPER(TEXT(EDATE($D99,Milestones!$AA$194),"dd mmm yy"))&amp;" "&amp;Milestones!$AB$194&amp;" "&amp;Milestones!$AC$194&amp;";  ","")&amp;IF(AND(EDATE($D99,Milestones!$AA$195)&lt;=AsOfDate,IF($R99=0,$X99,IF(AND($T99&lt;&gt;"",EDATE($D99,Milestones!$AA$195)&gt;=$T99),$W99,IF(AND($S99&lt;&gt;"",EDATE($D99,Milestones!$AA$195)&gt;=$S99),$V99,$U99)))=Milestones!$AB$195),UPPER(TEXT(EDATE($D99,Milestones!$AA$195),"dd mmm yy"))&amp;" "&amp;Milestones!$AB$195&amp;" "&amp;Milestones!$AC$195&amp;";  ","")&amp;IF(AND(EDATE($D99,Milestones!$AA$196)&lt;=AsOfDate,IF($R99=0,$X99,IF(AND($T99&lt;&gt;"",EDATE($D99,Milestones!$AA$196)&gt;=$T99),$W99,IF(AND($S99&lt;&gt;"",EDATE($D99,Milestones!$AA$196)&gt;=$S99),$V99,$U99)))=Milestones!$AB$196),UPPER(TEXT(EDATE($D99,Milestones!$AA$196),"dd mmm yy"))&amp;" "&amp;Milestones!$AB$196&amp;" "&amp;Milestones!$AC$196&amp;";  ","")&amp;IF(AND(EDATE($D99,Milestones!$AA$197)&lt;=AsOfDate,IF($R99=0,$X99,IF(AND($T99&lt;&gt;"",EDATE($D99,Milestones!$AA$197)&gt;=$T99),$W99,IF(AND($S99&lt;&gt;"",EDATE($D99,Milestones!$AA$197)&gt;=$S99),$V99,$U99)))=Milestones!$AB$197),UPPER(TEXT(EDATE($D99,Milestones!$AA$197),"dd mmm yy"))&amp;" "&amp;Milestones!$AB$197&amp;" "&amp;Milestones!$AC$197&amp;";  ","")&amp;IF(AND(EDATE($D99,Milestones!$AA$198)&lt;=AsOfDate,IF($R99=0,$X99,IF(AND($T99&lt;&gt;"",EDATE($D99,Milestones!$AA$198)&gt;=$T99),$W99,IF(AND($S99&lt;&gt;"",EDATE($D99,Milestones!$AA$198)&gt;=$S99),$V99,$U99)))=Milestones!$AB$198),UPPER(TEXT(EDATE($D99,Milestones!$AA$198),"dd mmm yy"))&amp;" "&amp;Milestones!$AB$198&amp;" "&amp;Milestones!$AC$198&amp;";  ","")&amp;IF(AND(EDATE($D99,Milestones!$AA$199)&lt;=AsOfDate,IF($R99=0,$X99,IF(AND($T99&lt;&gt;"",EDATE($D99,Milestones!$AA$199)&gt;=$T99),$W99,IF(AND($S99&lt;&gt;"",EDATE($D99,Milestones!$AA$199)&gt;=$S99),$V99,$U99)))=Milestones!$AB$199),UPPER(TEXT(EDATE($D99,Milestones!$AA$199),"dd mmm yy"))&amp;" "&amp;Milestones!$AB$199&amp;" "&amp;Milestones!$AC$199&amp;";  ",""))</f>
        <v/>
      </c>
      <c r="R99" s="0" t="str">
        <f aca="false">IF(Staff!$A99="","",Staff!$AI99)</f>
        <v/>
      </c>
      <c r="S99" s="0" t="str">
        <f aca="false">IF(Staff!$A99="","",Staff!$AK99)</f>
        <v/>
      </c>
      <c r="T99" s="0" t="str">
        <f aca="false">IF(Staff!$A99="","",Staff!$AL99)</f>
        <v/>
      </c>
      <c r="U99" s="0" t="str">
        <f aca="false">IF(Staff!$A99="","",Staff!$AP99)</f>
        <v/>
      </c>
      <c r="V99" s="0" t="str">
        <f aca="false">IF(Staff!$A99="","",Staff!$AQ99)</f>
        <v/>
      </c>
      <c r="W99" s="0" t="str">
        <f aca="false">IF(Staff!$A99="","",Staff!$AR99)</f>
        <v/>
      </c>
      <c r="X99" s="0" t="str">
        <f aca="false">IF(Staff!$A99="","",Staff!$AS99)</f>
        <v/>
      </c>
    </row>
    <row r="100" customFormat="false" ht="15" hidden="false" customHeight="false" outlineLevel="0" collapsed="false">
      <c r="A100" s="14" t="str">
        <f aca="false">IF(Staff!$A100="","",Staff!$A100)</f>
        <v/>
      </c>
      <c r="B100" s="14" t="str">
        <f aca="false">IF(Staff!$A100="","",Staff!$B100)</f>
        <v/>
      </c>
      <c r="C100" s="14" t="str">
        <f aca="false">IF(Staff!$A100="","",Staff!$C100)</f>
        <v/>
      </c>
      <c r="D100" s="12" t="str">
        <f aca="false">IF(Staff!$A100="","",Staff!$AH100)</f>
        <v/>
      </c>
      <c r="E100" s="14" t="str">
        <f aca="false">IF(Staff!$A100="","",Staff!$O100)</f>
        <v/>
      </c>
      <c r="F100" s="14" t="str">
        <f aca="false">IF(E100="","",E100*HoursPerDay)</f>
        <v/>
      </c>
      <c r="G100" s="14" t="str">
        <f aca="false">IF(Staff!$A100="","",Staff!$AE100)</f>
        <v/>
      </c>
      <c r="H100" s="26" t="str">
        <f aca="false">IF($A100="","",I100&amp;J100&amp;K100&amp;L100&amp;M100&amp;N100&amp;O100&amp;P100&amp;Q100)</f>
        <v/>
      </c>
      <c r="I100" s="0" t="str">
        <f aca="false">IF(OR($A100="",$D100=""),"",IF(AND(EDATE($D100,Milestones!$AA$20)&lt;=AsOfDate,IF($R100=0,$X100,IF(AND($T100&lt;&gt;"",EDATE($D100,Milestones!$AA$20)&gt;=$T100),$W100,IF(AND($S100&lt;&gt;"",EDATE($D100,Milestones!$AA$20)&gt;=$S100),$V100,$U100)))=Milestones!$AB$20),UPPER(TEXT(EDATE($D100,Milestones!$AA$20),"dd mmm yy"))&amp;" "&amp;Milestones!$AB$20&amp;" "&amp;Milestones!$AC$20&amp;";  ","")&amp;IF(AND(EDATE($D100,Milestones!$AA$21)&lt;=AsOfDate,IF($R100=0,$X100,IF(AND($T100&lt;&gt;"",EDATE($D100,Milestones!$AA$21)&gt;=$T100),$W100,IF(AND($S100&lt;&gt;"",EDATE($D100,Milestones!$AA$21)&gt;=$S100),$V100,$U100)))=Milestones!$AB$21),UPPER(TEXT(EDATE($D100,Milestones!$AA$21),"dd mmm yy"))&amp;" "&amp;Milestones!$AB$21&amp;" "&amp;Milestones!$AC$21&amp;";  ","")&amp;IF(AND(EDATE($D100,Milestones!$AA$22)&lt;=AsOfDate,IF($R100=0,$X100,IF(AND($T100&lt;&gt;"",EDATE($D100,Milestones!$AA$22)&gt;=$T100),$W100,IF(AND($S100&lt;&gt;"",EDATE($D100,Milestones!$AA$22)&gt;=$S100),$V100,$U100)))=Milestones!$AB$22),UPPER(TEXT(EDATE($D100,Milestones!$AA$22),"dd mmm yy"))&amp;" "&amp;Milestones!$AB$22&amp;" "&amp;Milestones!$AC$22&amp;";  ","")&amp;IF(AND(EDATE($D100,Milestones!$AA$23)&lt;=AsOfDate,IF($R100=0,$X100,IF(AND($T100&lt;&gt;"",EDATE($D100,Milestones!$AA$23)&gt;=$T100),$W100,IF(AND($S100&lt;&gt;"",EDATE($D100,Milestones!$AA$23)&gt;=$S100),$V100,$U100)))=Milestones!$AB$23),UPPER(TEXT(EDATE($D100,Milestones!$AA$23),"dd mmm yy"))&amp;" "&amp;Milestones!$AB$23&amp;" "&amp;Milestones!$AC$23&amp;";  ","")&amp;IF(AND(EDATE($D100,Milestones!$AA$24)&lt;=AsOfDate,IF($R100=0,$X100,IF(AND($T100&lt;&gt;"",EDATE($D100,Milestones!$AA$24)&gt;=$T100),$W100,IF(AND($S100&lt;&gt;"",EDATE($D100,Milestones!$AA$24)&gt;=$S100),$V100,$U100)))=Milestones!$AB$24),UPPER(TEXT(EDATE($D100,Milestones!$AA$24),"dd mmm yy"))&amp;" "&amp;Milestones!$AB$24&amp;" "&amp;Milestones!$AC$24&amp;";  ","")&amp;IF(AND(EDATE($D100,Milestones!$AA$25)&lt;=AsOfDate,IF($R100=0,$X100,IF(AND($T100&lt;&gt;"",EDATE($D100,Milestones!$AA$25)&gt;=$T100),$W100,IF(AND($S100&lt;&gt;"",EDATE($D100,Milestones!$AA$25)&gt;=$S100),$V100,$U100)))=Milestones!$AB$25),UPPER(TEXT(EDATE($D100,Milestones!$AA$25),"dd mmm yy"))&amp;" "&amp;Milestones!$AB$25&amp;" "&amp;Milestones!$AC$25&amp;";  ","")&amp;IF(AND(EDATE($D100,Milestones!$AA$26)&lt;=AsOfDate,IF($R100=0,$X100,IF(AND($T100&lt;&gt;"",EDATE($D100,Milestones!$AA$26)&gt;=$T100),$W100,IF(AND($S100&lt;&gt;"",EDATE($D100,Milestones!$AA$26)&gt;=$S100),$V100,$U100)))=Milestones!$AB$26),UPPER(TEXT(EDATE($D100,Milestones!$AA$26),"dd mmm yy"))&amp;" "&amp;Milestones!$AB$26&amp;" "&amp;Milestones!$AC$26&amp;";  ","")&amp;IF(AND(EDATE($D100,Milestones!$AA$27)&lt;=AsOfDate,IF($R100=0,$X100,IF(AND($T100&lt;&gt;"",EDATE($D100,Milestones!$AA$27)&gt;=$T100),$W100,IF(AND($S100&lt;&gt;"",EDATE($D100,Milestones!$AA$27)&gt;=$S100),$V100,$U100)))=Milestones!$AB$27),UPPER(TEXT(EDATE($D100,Milestones!$AA$27),"dd mmm yy"))&amp;" "&amp;Milestones!$AB$27&amp;" "&amp;Milestones!$AC$27&amp;";  ","")&amp;IF(AND(EDATE($D100,Milestones!$AA$28)&lt;=AsOfDate,IF($R100=0,$X100,IF(AND($T100&lt;&gt;"",EDATE($D100,Milestones!$AA$28)&gt;=$T100),$W100,IF(AND($S100&lt;&gt;"",EDATE($D100,Milestones!$AA$28)&gt;=$S100),$V100,$U100)))=Milestones!$AB$28),UPPER(TEXT(EDATE($D100,Milestones!$AA$28),"dd mmm yy"))&amp;" "&amp;Milestones!$AB$28&amp;" "&amp;Milestones!$AC$28&amp;";  ","")&amp;IF(AND(EDATE($D100,Milestones!$AA$29)&lt;=AsOfDate,IF($R100=0,$X100,IF(AND($T100&lt;&gt;"",EDATE($D100,Milestones!$AA$29)&gt;=$T100),$W100,IF(AND($S100&lt;&gt;"",EDATE($D100,Milestones!$AA$29)&gt;=$S100),$V100,$U100)))=Milestones!$AB$29),UPPER(TEXT(EDATE($D100,Milestones!$AA$29),"dd mmm yy"))&amp;" "&amp;Milestones!$AB$29&amp;" "&amp;Milestones!$AC$29&amp;";  ","")&amp;IF(AND(EDATE($D100,Milestones!$AA$30)&lt;=AsOfDate,IF($R100=0,$X100,IF(AND($T100&lt;&gt;"",EDATE($D100,Milestones!$AA$30)&gt;=$T100),$W100,IF(AND($S100&lt;&gt;"",EDATE($D100,Milestones!$AA$30)&gt;=$S100),$V100,$U100)))=Milestones!$AB$30),UPPER(TEXT(EDATE($D100,Milestones!$AA$30),"dd mmm yy"))&amp;" "&amp;Milestones!$AB$30&amp;" "&amp;Milestones!$AC$30&amp;";  ","")&amp;IF(AND(EDATE($D100,Milestones!$AA$31)&lt;=AsOfDate,IF($R100=0,$X100,IF(AND($T100&lt;&gt;"",EDATE($D100,Milestones!$AA$31)&gt;=$T100),$W100,IF(AND($S100&lt;&gt;"",EDATE($D100,Milestones!$AA$31)&gt;=$S100),$V100,$U100)))=Milestones!$AB$31),UPPER(TEXT(EDATE($D100,Milestones!$AA$31),"dd mmm yy"))&amp;" "&amp;Milestones!$AB$31&amp;" "&amp;Milestones!$AC$31&amp;";  ","")&amp;IF(AND(EDATE($D100,Milestones!$AA$32)&lt;=AsOfDate,IF($R100=0,$X100,IF(AND($T100&lt;&gt;"",EDATE($D100,Milestones!$AA$32)&gt;=$T100),$W100,IF(AND($S100&lt;&gt;"",EDATE($D100,Milestones!$AA$32)&gt;=$S100),$V100,$U100)))=Milestones!$AB$32),UPPER(TEXT(EDATE($D100,Milestones!$AA$32),"dd mmm yy"))&amp;" "&amp;Milestones!$AB$32&amp;" "&amp;Milestones!$AC$32&amp;";  ","")&amp;IF(AND(EDATE($D100,Milestones!$AA$33)&lt;=AsOfDate,IF($R100=0,$X100,IF(AND($T100&lt;&gt;"",EDATE($D100,Milestones!$AA$33)&gt;=$T100),$W100,IF(AND($S100&lt;&gt;"",EDATE($D100,Milestones!$AA$33)&gt;=$S100),$V100,$U100)))=Milestones!$AB$33),UPPER(TEXT(EDATE($D100,Milestones!$AA$33),"dd mmm yy"))&amp;" "&amp;Milestones!$AB$33&amp;" "&amp;Milestones!$AC$33&amp;";  ","")&amp;IF(AND(EDATE($D100,Milestones!$AA$34)&lt;=AsOfDate,IF($R100=0,$X100,IF(AND($T100&lt;&gt;"",EDATE($D100,Milestones!$AA$34)&gt;=$T100),$W100,IF(AND($S100&lt;&gt;"",EDATE($D100,Milestones!$AA$34)&gt;=$S100),$V100,$U100)))=Milestones!$AB$34),UPPER(TEXT(EDATE($D100,Milestones!$AA$34),"dd mmm yy"))&amp;" "&amp;Milestones!$AB$34&amp;" "&amp;Milestones!$AC$34&amp;";  ","")&amp;IF(AND(EDATE($D100,Milestones!$AA$35)&lt;=AsOfDate,IF($R100=0,$X100,IF(AND($T100&lt;&gt;"",EDATE($D100,Milestones!$AA$35)&gt;=$T100),$W100,IF(AND($S100&lt;&gt;"",EDATE($D100,Milestones!$AA$35)&gt;=$S100),$V100,$U100)))=Milestones!$AB$35),UPPER(TEXT(EDATE($D100,Milestones!$AA$35),"dd mmm yy"))&amp;" "&amp;Milestones!$AB$35&amp;" "&amp;Milestones!$AC$35&amp;";  ","")&amp;IF(AND(EDATE($D100,Milestones!$AA$36)&lt;=AsOfDate,IF($R100=0,$X100,IF(AND($T100&lt;&gt;"",EDATE($D100,Milestones!$AA$36)&gt;=$T100),$W100,IF(AND($S100&lt;&gt;"",EDATE($D100,Milestones!$AA$36)&gt;=$S100),$V100,$U100)))=Milestones!$AB$36),UPPER(TEXT(EDATE($D100,Milestones!$AA$36),"dd mmm yy"))&amp;" "&amp;Milestones!$AB$36&amp;" "&amp;Milestones!$AC$36&amp;";  ","")&amp;IF(AND(EDATE($D100,Milestones!$AA$37)&lt;=AsOfDate,IF($R100=0,$X100,IF(AND($T100&lt;&gt;"",EDATE($D100,Milestones!$AA$37)&gt;=$T100),$W100,IF(AND($S100&lt;&gt;"",EDATE($D100,Milestones!$AA$37)&gt;=$S100),$V100,$U100)))=Milestones!$AB$37),UPPER(TEXT(EDATE($D100,Milestones!$AA$37),"dd mmm yy"))&amp;" "&amp;Milestones!$AB$37&amp;" "&amp;Milestones!$AC$37&amp;";  ","")&amp;IF(AND(EDATE($D100,Milestones!$AA$38)&lt;=AsOfDate,IF($R100=0,$X100,IF(AND($T100&lt;&gt;"",EDATE($D100,Milestones!$AA$38)&gt;=$T100),$W100,IF(AND($S100&lt;&gt;"",EDATE($D100,Milestones!$AA$38)&gt;=$S100),$V100,$U100)))=Milestones!$AB$38),UPPER(TEXT(EDATE($D100,Milestones!$AA$38),"dd mmm yy"))&amp;" "&amp;Milestones!$AB$38&amp;" "&amp;Milestones!$AC$38&amp;";  ","")&amp;IF(AND(EDATE($D100,Milestones!$AA$39)&lt;=AsOfDate,IF($R100=0,$X100,IF(AND($T100&lt;&gt;"",EDATE($D100,Milestones!$AA$39)&gt;=$T100),$W100,IF(AND($S100&lt;&gt;"",EDATE($D100,Milestones!$AA$39)&gt;=$S100),$V100,$U100)))=Milestones!$AB$39),UPPER(TEXT(EDATE($D100,Milestones!$AA$39),"dd mmm yy"))&amp;" "&amp;Milestones!$AB$39&amp;" "&amp;Milestones!$AC$39&amp;";  ",""))</f>
        <v/>
      </c>
      <c r="J100" s="0" t="str">
        <f aca="false">IF(OR($A100="",$D100=""),"",IF(AND(EDATE($D100,Milestones!$AA$40)&lt;=AsOfDate,IF($R100=0,$X100,IF(AND($T100&lt;&gt;"",EDATE($D100,Milestones!$AA$40)&gt;=$T100),$W100,IF(AND($S100&lt;&gt;"",EDATE($D100,Milestones!$AA$40)&gt;=$S100),$V100,$U100)))=Milestones!$AB$40),UPPER(TEXT(EDATE($D100,Milestones!$AA$40),"dd mmm yy"))&amp;" "&amp;Milestones!$AB$40&amp;" "&amp;Milestones!$AC$40&amp;";  ","")&amp;IF(AND(EDATE($D100,Milestones!$AA$41)&lt;=AsOfDate,IF($R100=0,$X100,IF(AND($T100&lt;&gt;"",EDATE($D100,Milestones!$AA$41)&gt;=$T100),$W100,IF(AND($S100&lt;&gt;"",EDATE($D100,Milestones!$AA$41)&gt;=$S100),$V100,$U100)))=Milestones!$AB$41),UPPER(TEXT(EDATE($D100,Milestones!$AA$41),"dd mmm yy"))&amp;" "&amp;Milestones!$AB$41&amp;" "&amp;Milestones!$AC$41&amp;";  ","")&amp;IF(AND(EDATE($D100,Milestones!$AA$42)&lt;=AsOfDate,IF($R100=0,$X100,IF(AND($T100&lt;&gt;"",EDATE($D100,Milestones!$AA$42)&gt;=$T100),$W100,IF(AND($S100&lt;&gt;"",EDATE($D100,Milestones!$AA$42)&gt;=$S100),$V100,$U100)))=Milestones!$AB$42),UPPER(TEXT(EDATE($D100,Milestones!$AA$42),"dd mmm yy"))&amp;" "&amp;Milestones!$AB$42&amp;" "&amp;Milestones!$AC$42&amp;";  ","")&amp;IF(AND(EDATE($D100,Milestones!$AA$43)&lt;=AsOfDate,IF($R100=0,$X100,IF(AND($T100&lt;&gt;"",EDATE($D100,Milestones!$AA$43)&gt;=$T100),$W100,IF(AND($S100&lt;&gt;"",EDATE($D100,Milestones!$AA$43)&gt;=$S100),$V100,$U100)))=Milestones!$AB$43),UPPER(TEXT(EDATE($D100,Milestones!$AA$43),"dd mmm yy"))&amp;" "&amp;Milestones!$AB$43&amp;" "&amp;Milestones!$AC$43&amp;";  ","")&amp;IF(AND(EDATE($D100,Milestones!$AA$44)&lt;=AsOfDate,IF($R100=0,$X100,IF(AND($T100&lt;&gt;"",EDATE($D100,Milestones!$AA$44)&gt;=$T100),$W100,IF(AND($S100&lt;&gt;"",EDATE($D100,Milestones!$AA$44)&gt;=$S100),$V100,$U100)))=Milestones!$AB$44),UPPER(TEXT(EDATE($D100,Milestones!$AA$44),"dd mmm yy"))&amp;" "&amp;Milestones!$AB$44&amp;" "&amp;Milestones!$AC$44&amp;";  ","")&amp;IF(AND(EDATE($D100,Milestones!$AA$45)&lt;=AsOfDate,IF($R100=0,$X100,IF(AND($T100&lt;&gt;"",EDATE($D100,Milestones!$AA$45)&gt;=$T100),$W100,IF(AND($S100&lt;&gt;"",EDATE($D100,Milestones!$AA$45)&gt;=$S100),$V100,$U100)))=Milestones!$AB$45),UPPER(TEXT(EDATE($D100,Milestones!$AA$45),"dd mmm yy"))&amp;" "&amp;Milestones!$AB$45&amp;" "&amp;Milestones!$AC$45&amp;";  ","")&amp;IF(AND(EDATE($D100,Milestones!$AA$46)&lt;=AsOfDate,IF($R100=0,$X100,IF(AND($T100&lt;&gt;"",EDATE($D100,Milestones!$AA$46)&gt;=$T100),$W100,IF(AND($S100&lt;&gt;"",EDATE($D100,Milestones!$AA$46)&gt;=$S100),$V100,$U100)))=Milestones!$AB$46),UPPER(TEXT(EDATE($D100,Milestones!$AA$46),"dd mmm yy"))&amp;" "&amp;Milestones!$AB$46&amp;" "&amp;Milestones!$AC$46&amp;";  ","")&amp;IF(AND(EDATE($D100,Milestones!$AA$47)&lt;=AsOfDate,IF($R100=0,$X100,IF(AND($T100&lt;&gt;"",EDATE($D100,Milestones!$AA$47)&gt;=$T100),$W100,IF(AND($S100&lt;&gt;"",EDATE($D100,Milestones!$AA$47)&gt;=$S100),$V100,$U100)))=Milestones!$AB$47),UPPER(TEXT(EDATE($D100,Milestones!$AA$47),"dd mmm yy"))&amp;" "&amp;Milestones!$AB$47&amp;" "&amp;Milestones!$AC$47&amp;";  ","")&amp;IF(AND(EDATE($D100,Milestones!$AA$48)&lt;=AsOfDate,IF($R100=0,$X100,IF(AND($T100&lt;&gt;"",EDATE($D100,Milestones!$AA$48)&gt;=$T100),$W100,IF(AND($S100&lt;&gt;"",EDATE($D100,Milestones!$AA$48)&gt;=$S100),$V100,$U100)))=Milestones!$AB$48),UPPER(TEXT(EDATE($D100,Milestones!$AA$48),"dd mmm yy"))&amp;" "&amp;Milestones!$AB$48&amp;" "&amp;Milestones!$AC$48&amp;";  ","")&amp;IF(AND(EDATE($D100,Milestones!$AA$49)&lt;=AsOfDate,IF($R100=0,$X100,IF(AND($T100&lt;&gt;"",EDATE($D100,Milestones!$AA$49)&gt;=$T100),$W100,IF(AND($S100&lt;&gt;"",EDATE($D100,Milestones!$AA$49)&gt;=$S100),$V100,$U100)))=Milestones!$AB$49),UPPER(TEXT(EDATE($D100,Milestones!$AA$49),"dd mmm yy"))&amp;" "&amp;Milestones!$AB$49&amp;" "&amp;Milestones!$AC$49&amp;";  ","")&amp;IF(AND(EDATE($D100,Milestones!$AA$50)&lt;=AsOfDate,IF($R100=0,$X100,IF(AND($T100&lt;&gt;"",EDATE($D100,Milestones!$AA$50)&gt;=$T100),$W100,IF(AND($S100&lt;&gt;"",EDATE($D100,Milestones!$AA$50)&gt;=$S100),$V100,$U100)))=Milestones!$AB$50),UPPER(TEXT(EDATE($D100,Milestones!$AA$50),"dd mmm yy"))&amp;" "&amp;Milestones!$AB$50&amp;" "&amp;Milestones!$AC$50&amp;";  ","")&amp;IF(AND(EDATE($D100,Milestones!$AA$51)&lt;=AsOfDate,IF($R100=0,$X100,IF(AND($T100&lt;&gt;"",EDATE($D100,Milestones!$AA$51)&gt;=$T100),$W100,IF(AND($S100&lt;&gt;"",EDATE($D100,Milestones!$AA$51)&gt;=$S100),$V100,$U100)))=Milestones!$AB$51),UPPER(TEXT(EDATE($D100,Milestones!$AA$51),"dd mmm yy"))&amp;" "&amp;Milestones!$AB$51&amp;" "&amp;Milestones!$AC$51&amp;";  ","")&amp;IF(AND(EDATE($D100,Milestones!$AA$52)&lt;=AsOfDate,IF($R100=0,$X100,IF(AND($T100&lt;&gt;"",EDATE($D100,Milestones!$AA$52)&gt;=$T100),$W100,IF(AND($S100&lt;&gt;"",EDATE($D100,Milestones!$AA$52)&gt;=$S100),$V100,$U100)))=Milestones!$AB$52),UPPER(TEXT(EDATE($D100,Milestones!$AA$52),"dd mmm yy"))&amp;" "&amp;Milestones!$AB$52&amp;" "&amp;Milestones!$AC$52&amp;";  ","")&amp;IF(AND(EDATE($D100,Milestones!$AA$53)&lt;=AsOfDate,IF($R100=0,$X100,IF(AND($T100&lt;&gt;"",EDATE($D100,Milestones!$AA$53)&gt;=$T100),$W100,IF(AND($S100&lt;&gt;"",EDATE($D100,Milestones!$AA$53)&gt;=$S100),$V100,$U100)))=Milestones!$AB$53),UPPER(TEXT(EDATE($D100,Milestones!$AA$53),"dd mmm yy"))&amp;" "&amp;Milestones!$AB$53&amp;" "&amp;Milestones!$AC$53&amp;";  ","")&amp;IF(AND(EDATE($D100,Milestones!$AA$54)&lt;=AsOfDate,IF($R100=0,$X100,IF(AND($T100&lt;&gt;"",EDATE($D100,Milestones!$AA$54)&gt;=$T100),$W100,IF(AND($S100&lt;&gt;"",EDATE($D100,Milestones!$AA$54)&gt;=$S100),$V100,$U100)))=Milestones!$AB$54),UPPER(TEXT(EDATE($D100,Milestones!$AA$54),"dd mmm yy"))&amp;" "&amp;Milestones!$AB$54&amp;" "&amp;Milestones!$AC$54&amp;";  ","")&amp;IF(AND(EDATE($D100,Milestones!$AA$55)&lt;=AsOfDate,IF($R100=0,$X100,IF(AND($T100&lt;&gt;"",EDATE($D100,Milestones!$AA$55)&gt;=$T100),$W100,IF(AND($S100&lt;&gt;"",EDATE($D100,Milestones!$AA$55)&gt;=$S100),$V100,$U100)))=Milestones!$AB$55),UPPER(TEXT(EDATE($D100,Milestones!$AA$55),"dd mmm yy"))&amp;" "&amp;Milestones!$AB$55&amp;" "&amp;Milestones!$AC$55&amp;";  ","")&amp;IF(AND(EDATE($D100,Milestones!$AA$56)&lt;=AsOfDate,IF($R100=0,$X100,IF(AND($T100&lt;&gt;"",EDATE($D100,Milestones!$AA$56)&gt;=$T100),$W100,IF(AND($S100&lt;&gt;"",EDATE($D100,Milestones!$AA$56)&gt;=$S100),$V100,$U100)))=Milestones!$AB$56),UPPER(TEXT(EDATE($D100,Milestones!$AA$56),"dd mmm yy"))&amp;" "&amp;Milestones!$AB$56&amp;" "&amp;Milestones!$AC$56&amp;";  ","")&amp;IF(AND(EDATE($D100,Milestones!$AA$57)&lt;=AsOfDate,IF($R100=0,$X100,IF(AND($T100&lt;&gt;"",EDATE($D100,Milestones!$AA$57)&gt;=$T100),$W100,IF(AND($S100&lt;&gt;"",EDATE($D100,Milestones!$AA$57)&gt;=$S100),$V100,$U100)))=Milestones!$AB$57),UPPER(TEXT(EDATE($D100,Milestones!$AA$57),"dd mmm yy"))&amp;" "&amp;Milestones!$AB$57&amp;" "&amp;Milestones!$AC$57&amp;";  ","")&amp;IF(AND(EDATE($D100,Milestones!$AA$58)&lt;=AsOfDate,IF($R100=0,$X100,IF(AND($T100&lt;&gt;"",EDATE($D100,Milestones!$AA$58)&gt;=$T100),$W100,IF(AND($S100&lt;&gt;"",EDATE($D100,Milestones!$AA$58)&gt;=$S100),$V100,$U100)))=Milestones!$AB$58),UPPER(TEXT(EDATE($D100,Milestones!$AA$58),"dd mmm yy"))&amp;" "&amp;Milestones!$AB$58&amp;" "&amp;Milestones!$AC$58&amp;";  ","")&amp;IF(AND(EDATE($D100,Milestones!$AA$59)&lt;=AsOfDate,IF($R100=0,$X100,IF(AND($T100&lt;&gt;"",EDATE($D100,Milestones!$AA$59)&gt;=$T100),$W100,IF(AND($S100&lt;&gt;"",EDATE($D100,Milestones!$AA$59)&gt;=$S100),$V100,$U100)))=Milestones!$AB$59),UPPER(TEXT(EDATE($D100,Milestones!$AA$59),"dd mmm yy"))&amp;" "&amp;Milestones!$AB$59&amp;" "&amp;Milestones!$AC$59&amp;";  ",""))</f>
        <v/>
      </c>
      <c r="K100" s="0" t="str">
        <f aca="false">IF(OR($A100="",$D100=""),"",IF(AND(EDATE($D100,Milestones!$AA$60)&lt;=AsOfDate,IF($R100=0,$X100,IF(AND($T100&lt;&gt;"",EDATE($D100,Milestones!$AA$60)&gt;=$T100),$W100,IF(AND($S100&lt;&gt;"",EDATE($D100,Milestones!$AA$60)&gt;=$S100),$V100,$U100)))=Milestones!$AB$60),UPPER(TEXT(EDATE($D100,Milestones!$AA$60),"dd mmm yy"))&amp;" "&amp;Milestones!$AB$60&amp;" "&amp;Milestones!$AC$60&amp;";  ","")&amp;IF(AND(EDATE($D100,Milestones!$AA$61)&lt;=AsOfDate,IF($R100=0,$X100,IF(AND($T100&lt;&gt;"",EDATE($D100,Milestones!$AA$61)&gt;=$T100),$W100,IF(AND($S100&lt;&gt;"",EDATE($D100,Milestones!$AA$61)&gt;=$S100),$V100,$U100)))=Milestones!$AB$61),UPPER(TEXT(EDATE($D100,Milestones!$AA$61),"dd mmm yy"))&amp;" "&amp;Milestones!$AB$61&amp;" "&amp;Milestones!$AC$61&amp;";  ","")&amp;IF(AND(EDATE($D100,Milestones!$AA$62)&lt;=AsOfDate,IF($R100=0,$X100,IF(AND($T100&lt;&gt;"",EDATE($D100,Milestones!$AA$62)&gt;=$T100),$W100,IF(AND($S100&lt;&gt;"",EDATE($D100,Milestones!$AA$62)&gt;=$S100),$V100,$U100)))=Milestones!$AB$62),UPPER(TEXT(EDATE($D100,Milestones!$AA$62),"dd mmm yy"))&amp;" "&amp;Milestones!$AB$62&amp;" "&amp;Milestones!$AC$62&amp;";  ","")&amp;IF(AND(EDATE($D100,Milestones!$AA$63)&lt;=AsOfDate,IF($R100=0,$X100,IF(AND($T100&lt;&gt;"",EDATE($D100,Milestones!$AA$63)&gt;=$T100),$W100,IF(AND($S100&lt;&gt;"",EDATE($D100,Milestones!$AA$63)&gt;=$S100),$V100,$U100)))=Milestones!$AB$63),UPPER(TEXT(EDATE($D100,Milestones!$AA$63),"dd mmm yy"))&amp;" "&amp;Milestones!$AB$63&amp;" "&amp;Milestones!$AC$63&amp;";  ","")&amp;IF(AND(EDATE($D100,Milestones!$AA$64)&lt;=AsOfDate,IF($R100=0,$X100,IF(AND($T100&lt;&gt;"",EDATE($D100,Milestones!$AA$64)&gt;=$T100),$W100,IF(AND($S100&lt;&gt;"",EDATE($D100,Milestones!$AA$64)&gt;=$S100),$V100,$U100)))=Milestones!$AB$64),UPPER(TEXT(EDATE($D100,Milestones!$AA$64),"dd mmm yy"))&amp;" "&amp;Milestones!$AB$64&amp;" "&amp;Milestones!$AC$64&amp;";  ","")&amp;IF(AND(EDATE($D100,Milestones!$AA$65)&lt;=AsOfDate,IF($R100=0,$X100,IF(AND($T100&lt;&gt;"",EDATE($D100,Milestones!$AA$65)&gt;=$T100),$W100,IF(AND($S100&lt;&gt;"",EDATE($D100,Milestones!$AA$65)&gt;=$S100),$V100,$U100)))=Milestones!$AB$65),UPPER(TEXT(EDATE($D100,Milestones!$AA$65),"dd mmm yy"))&amp;" "&amp;Milestones!$AB$65&amp;" "&amp;Milestones!$AC$65&amp;";  ","")&amp;IF(AND(EDATE($D100,Milestones!$AA$66)&lt;=AsOfDate,IF($R100=0,$X100,IF(AND($T100&lt;&gt;"",EDATE($D100,Milestones!$AA$66)&gt;=$T100),$W100,IF(AND($S100&lt;&gt;"",EDATE($D100,Milestones!$AA$66)&gt;=$S100),$V100,$U100)))=Milestones!$AB$66),UPPER(TEXT(EDATE($D100,Milestones!$AA$66),"dd mmm yy"))&amp;" "&amp;Milestones!$AB$66&amp;" "&amp;Milestones!$AC$66&amp;";  ","")&amp;IF(AND(EDATE($D100,Milestones!$AA$67)&lt;=AsOfDate,IF($R100=0,$X100,IF(AND($T100&lt;&gt;"",EDATE($D100,Milestones!$AA$67)&gt;=$T100),$W100,IF(AND($S100&lt;&gt;"",EDATE($D100,Milestones!$AA$67)&gt;=$S100),$V100,$U100)))=Milestones!$AB$67),UPPER(TEXT(EDATE($D100,Milestones!$AA$67),"dd mmm yy"))&amp;" "&amp;Milestones!$AB$67&amp;" "&amp;Milestones!$AC$67&amp;";  ","")&amp;IF(AND(EDATE($D100,Milestones!$AA$68)&lt;=AsOfDate,IF($R100=0,$X100,IF(AND($T100&lt;&gt;"",EDATE($D100,Milestones!$AA$68)&gt;=$T100),$W100,IF(AND($S100&lt;&gt;"",EDATE($D100,Milestones!$AA$68)&gt;=$S100),$V100,$U100)))=Milestones!$AB$68),UPPER(TEXT(EDATE($D100,Milestones!$AA$68),"dd mmm yy"))&amp;" "&amp;Milestones!$AB$68&amp;" "&amp;Milestones!$AC$68&amp;";  ","")&amp;IF(AND(EDATE($D100,Milestones!$AA$69)&lt;=AsOfDate,IF($R100=0,$X100,IF(AND($T100&lt;&gt;"",EDATE($D100,Milestones!$AA$69)&gt;=$T100),$W100,IF(AND($S100&lt;&gt;"",EDATE($D100,Milestones!$AA$69)&gt;=$S100),$V100,$U100)))=Milestones!$AB$69),UPPER(TEXT(EDATE($D100,Milestones!$AA$69),"dd mmm yy"))&amp;" "&amp;Milestones!$AB$69&amp;" "&amp;Milestones!$AC$69&amp;";  ","")&amp;IF(AND(EDATE($D100,Milestones!$AA$70)&lt;=AsOfDate,IF($R100=0,$X100,IF(AND($T100&lt;&gt;"",EDATE($D100,Milestones!$AA$70)&gt;=$T100),$W100,IF(AND($S100&lt;&gt;"",EDATE($D100,Milestones!$AA$70)&gt;=$S100),$V100,$U100)))=Milestones!$AB$70),UPPER(TEXT(EDATE($D100,Milestones!$AA$70),"dd mmm yy"))&amp;" "&amp;Milestones!$AB$70&amp;" "&amp;Milestones!$AC$70&amp;";  ","")&amp;IF(AND(EDATE($D100,Milestones!$AA$71)&lt;=AsOfDate,IF($R100=0,$X100,IF(AND($T100&lt;&gt;"",EDATE($D100,Milestones!$AA$71)&gt;=$T100),$W100,IF(AND($S100&lt;&gt;"",EDATE($D100,Milestones!$AA$71)&gt;=$S100),$V100,$U100)))=Milestones!$AB$71),UPPER(TEXT(EDATE($D100,Milestones!$AA$71),"dd mmm yy"))&amp;" "&amp;Milestones!$AB$71&amp;" "&amp;Milestones!$AC$71&amp;";  ","")&amp;IF(AND(EDATE($D100,Milestones!$AA$72)&lt;=AsOfDate,IF($R100=0,$X100,IF(AND($T100&lt;&gt;"",EDATE($D100,Milestones!$AA$72)&gt;=$T100),$W100,IF(AND($S100&lt;&gt;"",EDATE($D100,Milestones!$AA$72)&gt;=$S100),$V100,$U100)))=Milestones!$AB$72),UPPER(TEXT(EDATE($D100,Milestones!$AA$72),"dd mmm yy"))&amp;" "&amp;Milestones!$AB$72&amp;" "&amp;Milestones!$AC$72&amp;";  ","")&amp;IF(AND(EDATE($D100,Milestones!$AA$73)&lt;=AsOfDate,IF($R100=0,$X100,IF(AND($T100&lt;&gt;"",EDATE($D100,Milestones!$AA$73)&gt;=$T100),$W100,IF(AND($S100&lt;&gt;"",EDATE($D100,Milestones!$AA$73)&gt;=$S100),$V100,$U100)))=Milestones!$AB$73),UPPER(TEXT(EDATE($D100,Milestones!$AA$73),"dd mmm yy"))&amp;" "&amp;Milestones!$AB$73&amp;" "&amp;Milestones!$AC$73&amp;";  ","")&amp;IF(AND(EDATE($D100,Milestones!$AA$74)&lt;=AsOfDate,IF($R100=0,$X100,IF(AND($T100&lt;&gt;"",EDATE($D100,Milestones!$AA$74)&gt;=$T100),$W100,IF(AND($S100&lt;&gt;"",EDATE($D100,Milestones!$AA$74)&gt;=$S100),$V100,$U100)))=Milestones!$AB$74),UPPER(TEXT(EDATE($D100,Milestones!$AA$74),"dd mmm yy"))&amp;" "&amp;Milestones!$AB$74&amp;" "&amp;Milestones!$AC$74&amp;";  ","")&amp;IF(AND(EDATE($D100,Milestones!$AA$75)&lt;=AsOfDate,IF($R100=0,$X100,IF(AND($T100&lt;&gt;"",EDATE($D100,Milestones!$AA$75)&gt;=$T100),$W100,IF(AND($S100&lt;&gt;"",EDATE($D100,Milestones!$AA$75)&gt;=$S100),$V100,$U100)))=Milestones!$AB$75),UPPER(TEXT(EDATE($D100,Milestones!$AA$75),"dd mmm yy"))&amp;" "&amp;Milestones!$AB$75&amp;" "&amp;Milestones!$AC$75&amp;";  ","")&amp;IF(AND(EDATE($D100,Milestones!$AA$76)&lt;=AsOfDate,IF($R100=0,$X100,IF(AND($T100&lt;&gt;"",EDATE($D100,Milestones!$AA$76)&gt;=$T100),$W100,IF(AND($S100&lt;&gt;"",EDATE($D100,Milestones!$AA$76)&gt;=$S100),$V100,$U100)))=Milestones!$AB$76),UPPER(TEXT(EDATE($D100,Milestones!$AA$76),"dd mmm yy"))&amp;" "&amp;Milestones!$AB$76&amp;" "&amp;Milestones!$AC$76&amp;";  ","")&amp;IF(AND(EDATE($D100,Milestones!$AA$77)&lt;=AsOfDate,IF($R100=0,$X100,IF(AND($T100&lt;&gt;"",EDATE($D100,Milestones!$AA$77)&gt;=$T100),$W100,IF(AND($S100&lt;&gt;"",EDATE($D100,Milestones!$AA$77)&gt;=$S100),$V100,$U100)))=Milestones!$AB$77),UPPER(TEXT(EDATE($D100,Milestones!$AA$77),"dd mmm yy"))&amp;" "&amp;Milestones!$AB$77&amp;" "&amp;Milestones!$AC$77&amp;";  ","")&amp;IF(AND(EDATE($D100,Milestones!$AA$78)&lt;=AsOfDate,IF($R100=0,$X100,IF(AND($T100&lt;&gt;"",EDATE($D100,Milestones!$AA$78)&gt;=$T100),$W100,IF(AND($S100&lt;&gt;"",EDATE($D100,Milestones!$AA$78)&gt;=$S100),$V100,$U100)))=Milestones!$AB$78),UPPER(TEXT(EDATE($D100,Milestones!$AA$78),"dd mmm yy"))&amp;" "&amp;Milestones!$AB$78&amp;" "&amp;Milestones!$AC$78&amp;";  ","")&amp;IF(AND(EDATE($D100,Milestones!$AA$79)&lt;=AsOfDate,IF($R100=0,$X100,IF(AND($T100&lt;&gt;"",EDATE($D100,Milestones!$AA$79)&gt;=$T100),$W100,IF(AND($S100&lt;&gt;"",EDATE($D100,Milestones!$AA$79)&gt;=$S100),$V100,$U100)))=Milestones!$AB$79),UPPER(TEXT(EDATE($D100,Milestones!$AA$79),"dd mmm yy"))&amp;" "&amp;Milestones!$AB$79&amp;" "&amp;Milestones!$AC$79&amp;";  ",""))</f>
        <v/>
      </c>
      <c r="L100" s="0" t="str">
        <f aca="false">IF(OR($A100="",$D100=""),"",IF(AND(EDATE($D100,Milestones!$AA$80)&lt;=AsOfDate,IF($R100=0,$X100,IF(AND($T100&lt;&gt;"",EDATE($D100,Milestones!$AA$80)&gt;=$T100),$W100,IF(AND($S100&lt;&gt;"",EDATE($D100,Milestones!$AA$80)&gt;=$S100),$V100,$U100)))=Milestones!$AB$80),UPPER(TEXT(EDATE($D100,Milestones!$AA$80),"dd mmm yy"))&amp;" "&amp;Milestones!$AB$80&amp;" "&amp;Milestones!$AC$80&amp;";  ","")&amp;IF(AND(EDATE($D100,Milestones!$AA$81)&lt;=AsOfDate,IF($R100=0,$X100,IF(AND($T100&lt;&gt;"",EDATE($D100,Milestones!$AA$81)&gt;=$T100),$W100,IF(AND($S100&lt;&gt;"",EDATE($D100,Milestones!$AA$81)&gt;=$S100),$V100,$U100)))=Milestones!$AB$81),UPPER(TEXT(EDATE($D100,Milestones!$AA$81),"dd mmm yy"))&amp;" "&amp;Milestones!$AB$81&amp;" "&amp;Milestones!$AC$81&amp;";  ","")&amp;IF(AND(EDATE($D100,Milestones!$AA$82)&lt;=AsOfDate,IF($R100=0,$X100,IF(AND($T100&lt;&gt;"",EDATE($D100,Milestones!$AA$82)&gt;=$T100),$W100,IF(AND($S100&lt;&gt;"",EDATE($D100,Milestones!$AA$82)&gt;=$S100),$V100,$U100)))=Milestones!$AB$82),UPPER(TEXT(EDATE($D100,Milestones!$AA$82),"dd mmm yy"))&amp;" "&amp;Milestones!$AB$82&amp;" "&amp;Milestones!$AC$82&amp;";  ","")&amp;IF(AND(EDATE($D100,Milestones!$AA$83)&lt;=AsOfDate,IF($R100=0,$X100,IF(AND($T100&lt;&gt;"",EDATE($D100,Milestones!$AA$83)&gt;=$T100),$W100,IF(AND($S100&lt;&gt;"",EDATE($D100,Milestones!$AA$83)&gt;=$S100),$V100,$U100)))=Milestones!$AB$83),UPPER(TEXT(EDATE($D100,Milestones!$AA$83),"dd mmm yy"))&amp;" "&amp;Milestones!$AB$83&amp;" "&amp;Milestones!$AC$83&amp;";  ","")&amp;IF(AND(EDATE($D100,Milestones!$AA$84)&lt;=AsOfDate,IF($R100=0,$X100,IF(AND($T100&lt;&gt;"",EDATE($D100,Milestones!$AA$84)&gt;=$T100),$W100,IF(AND($S100&lt;&gt;"",EDATE($D100,Milestones!$AA$84)&gt;=$S100),$V100,$U100)))=Milestones!$AB$84),UPPER(TEXT(EDATE($D100,Milestones!$AA$84),"dd mmm yy"))&amp;" "&amp;Milestones!$AB$84&amp;" "&amp;Milestones!$AC$84&amp;";  ","")&amp;IF(AND(EDATE($D100,Milestones!$AA$85)&lt;=AsOfDate,IF($R100=0,$X100,IF(AND($T100&lt;&gt;"",EDATE($D100,Milestones!$AA$85)&gt;=$T100),$W100,IF(AND($S100&lt;&gt;"",EDATE($D100,Milestones!$AA$85)&gt;=$S100),$V100,$U100)))=Milestones!$AB$85),UPPER(TEXT(EDATE($D100,Milestones!$AA$85),"dd mmm yy"))&amp;" "&amp;Milestones!$AB$85&amp;" "&amp;Milestones!$AC$85&amp;";  ","")&amp;IF(AND(EDATE($D100,Milestones!$AA$86)&lt;=AsOfDate,IF($R100=0,$X100,IF(AND($T100&lt;&gt;"",EDATE($D100,Milestones!$AA$86)&gt;=$T100),$W100,IF(AND($S100&lt;&gt;"",EDATE($D100,Milestones!$AA$86)&gt;=$S100),$V100,$U100)))=Milestones!$AB$86),UPPER(TEXT(EDATE($D100,Milestones!$AA$86),"dd mmm yy"))&amp;" "&amp;Milestones!$AB$86&amp;" "&amp;Milestones!$AC$86&amp;";  ","")&amp;IF(AND(EDATE($D100,Milestones!$AA$87)&lt;=AsOfDate,IF($R100=0,$X100,IF(AND($T100&lt;&gt;"",EDATE($D100,Milestones!$AA$87)&gt;=$T100),$W100,IF(AND($S100&lt;&gt;"",EDATE($D100,Milestones!$AA$87)&gt;=$S100),$V100,$U100)))=Milestones!$AB$87),UPPER(TEXT(EDATE($D100,Milestones!$AA$87),"dd mmm yy"))&amp;" "&amp;Milestones!$AB$87&amp;" "&amp;Milestones!$AC$87&amp;";  ","")&amp;IF(AND(EDATE($D100,Milestones!$AA$88)&lt;=AsOfDate,IF($R100=0,$X100,IF(AND($T100&lt;&gt;"",EDATE($D100,Milestones!$AA$88)&gt;=$T100),$W100,IF(AND($S100&lt;&gt;"",EDATE($D100,Milestones!$AA$88)&gt;=$S100),$V100,$U100)))=Milestones!$AB$88),UPPER(TEXT(EDATE($D100,Milestones!$AA$88),"dd mmm yy"))&amp;" "&amp;Milestones!$AB$88&amp;" "&amp;Milestones!$AC$88&amp;";  ","")&amp;IF(AND(EDATE($D100,Milestones!$AA$89)&lt;=AsOfDate,IF($R100=0,$X100,IF(AND($T100&lt;&gt;"",EDATE($D100,Milestones!$AA$89)&gt;=$T100),$W100,IF(AND($S100&lt;&gt;"",EDATE($D100,Milestones!$AA$89)&gt;=$S100),$V100,$U100)))=Milestones!$AB$89),UPPER(TEXT(EDATE($D100,Milestones!$AA$89),"dd mmm yy"))&amp;" "&amp;Milestones!$AB$89&amp;" "&amp;Milestones!$AC$89&amp;";  ","")&amp;IF(AND(EDATE($D100,Milestones!$AA$90)&lt;=AsOfDate,IF($R100=0,$X100,IF(AND($T100&lt;&gt;"",EDATE($D100,Milestones!$AA$90)&gt;=$T100),$W100,IF(AND($S100&lt;&gt;"",EDATE($D100,Milestones!$AA$90)&gt;=$S100),$V100,$U100)))=Milestones!$AB$90),UPPER(TEXT(EDATE($D100,Milestones!$AA$90),"dd mmm yy"))&amp;" "&amp;Milestones!$AB$90&amp;" "&amp;Milestones!$AC$90&amp;";  ","")&amp;IF(AND(EDATE($D100,Milestones!$AA$91)&lt;=AsOfDate,IF($R100=0,$X100,IF(AND($T100&lt;&gt;"",EDATE($D100,Milestones!$AA$91)&gt;=$T100),$W100,IF(AND($S100&lt;&gt;"",EDATE($D100,Milestones!$AA$91)&gt;=$S100),$V100,$U100)))=Milestones!$AB$91),UPPER(TEXT(EDATE($D100,Milestones!$AA$91),"dd mmm yy"))&amp;" "&amp;Milestones!$AB$91&amp;" "&amp;Milestones!$AC$91&amp;";  ","")&amp;IF(AND(EDATE($D100,Milestones!$AA$92)&lt;=AsOfDate,IF($R100=0,$X100,IF(AND($T100&lt;&gt;"",EDATE($D100,Milestones!$AA$92)&gt;=$T100),$W100,IF(AND($S100&lt;&gt;"",EDATE($D100,Milestones!$AA$92)&gt;=$S100),$V100,$U100)))=Milestones!$AB$92),UPPER(TEXT(EDATE($D100,Milestones!$AA$92),"dd mmm yy"))&amp;" "&amp;Milestones!$AB$92&amp;" "&amp;Milestones!$AC$92&amp;";  ","")&amp;IF(AND(EDATE($D100,Milestones!$AA$93)&lt;=AsOfDate,IF($R100=0,$X100,IF(AND($T100&lt;&gt;"",EDATE($D100,Milestones!$AA$93)&gt;=$T100),$W100,IF(AND($S100&lt;&gt;"",EDATE($D100,Milestones!$AA$93)&gt;=$S100),$V100,$U100)))=Milestones!$AB$93),UPPER(TEXT(EDATE($D100,Milestones!$AA$93),"dd mmm yy"))&amp;" "&amp;Milestones!$AB$93&amp;" "&amp;Milestones!$AC$93&amp;";  ","")&amp;IF(AND(EDATE($D100,Milestones!$AA$94)&lt;=AsOfDate,IF($R100=0,$X100,IF(AND($T100&lt;&gt;"",EDATE($D100,Milestones!$AA$94)&gt;=$T100),$W100,IF(AND($S100&lt;&gt;"",EDATE($D100,Milestones!$AA$94)&gt;=$S100),$V100,$U100)))=Milestones!$AB$94),UPPER(TEXT(EDATE($D100,Milestones!$AA$94),"dd mmm yy"))&amp;" "&amp;Milestones!$AB$94&amp;" "&amp;Milestones!$AC$94&amp;";  ","")&amp;IF(AND(EDATE($D100,Milestones!$AA$95)&lt;=AsOfDate,IF($R100=0,$X100,IF(AND($T100&lt;&gt;"",EDATE($D100,Milestones!$AA$95)&gt;=$T100),$W100,IF(AND($S100&lt;&gt;"",EDATE($D100,Milestones!$AA$95)&gt;=$S100),$V100,$U100)))=Milestones!$AB$95),UPPER(TEXT(EDATE($D100,Milestones!$AA$95),"dd mmm yy"))&amp;" "&amp;Milestones!$AB$95&amp;" "&amp;Milestones!$AC$95&amp;";  ","")&amp;IF(AND(EDATE($D100,Milestones!$AA$96)&lt;=AsOfDate,IF($R100=0,$X100,IF(AND($T100&lt;&gt;"",EDATE($D100,Milestones!$AA$96)&gt;=$T100),$W100,IF(AND($S100&lt;&gt;"",EDATE($D100,Milestones!$AA$96)&gt;=$S100),$V100,$U100)))=Milestones!$AB$96),UPPER(TEXT(EDATE($D100,Milestones!$AA$96),"dd mmm yy"))&amp;" "&amp;Milestones!$AB$96&amp;" "&amp;Milestones!$AC$96&amp;";  ","")&amp;IF(AND(EDATE($D100,Milestones!$AA$97)&lt;=AsOfDate,IF($R100=0,$X100,IF(AND($T100&lt;&gt;"",EDATE($D100,Milestones!$AA$97)&gt;=$T100),$W100,IF(AND($S100&lt;&gt;"",EDATE($D100,Milestones!$AA$97)&gt;=$S100),$V100,$U100)))=Milestones!$AB$97),UPPER(TEXT(EDATE($D100,Milestones!$AA$97),"dd mmm yy"))&amp;" "&amp;Milestones!$AB$97&amp;" "&amp;Milestones!$AC$97&amp;";  ","")&amp;IF(AND(EDATE($D100,Milestones!$AA$98)&lt;=AsOfDate,IF($R100=0,$X100,IF(AND($T100&lt;&gt;"",EDATE($D100,Milestones!$AA$98)&gt;=$T100),$W100,IF(AND($S100&lt;&gt;"",EDATE($D100,Milestones!$AA$98)&gt;=$S100),$V100,$U100)))=Milestones!$AB$98),UPPER(TEXT(EDATE($D100,Milestones!$AA$98),"dd mmm yy"))&amp;" "&amp;Milestones!$AB$98&amp;" "&amp;Milestones!$AC$98&amp;";  ","")&amp;IF(AND(EDATE($D100,Milestones!$AA$99)&lt;=AsOfDate,IF($R100=0,$X100,IF(AND($T100&lt;&gt;"",EDATE($D100,Milestones!$AA$99)&gt;=$T100),$W100,IF(AND($S100&lt;&gt;"",EDATE($D100,Milestones!$AA$99)&gt;=$S100),$V100,$U100)))=Milestones!$AB$99),UPPER(TEXT(EDATE($D100,Milestones!$AA$99),"dd mmm yy"))&amp;" "&amp;Milestones!$AB$99&amp;" "&amp;Milestones!$AC$99&amp;";  ",""))</f>
        <v/>
      </c>
      <c r="M100" s="0" t="str">
        <f aca="false">IF(OR($A100="",$D100=""),"",IF(AND(EDATE($D100,Milestones!$AA$100)&lt;=AsOfDate,IF($R100=0,$X100,IF(AND($T100&lt;&gt;"",EDATE($D100,Milestones!$AA$100)&gt;=$T100),$W100,IF(AND($S100&lt;&gt;"",EDATE($D100,Milestones!$AA$100)&gt;=$S100),$V100,$U100)))=Milestones!$AB$100),UPPER(TEXT(EDATE($D100,Milestones!$AA$100),"dd mmm yy"))&amp;" "&amp;Milestones!$AB$100&amp;" "&amp;Milestones!$AC$100&amp;";  ","")&amp;IF(AND(EDATE($D100,Milestones!$AA$101)&lt;=AsOfDate,IF($R100=0,$X100,IF(AND($T100&lt;&gt;"",EDATE($D100,Milestones!$AA$101)&gt;=$T100),$W100,IF(AND($S100&lt;&gt;"",EDATE($D100,Milestones!$AA$101)&gt;=$S100),$V100,$U100)))=Milestones!$AB$101),UPPER(TEXT(EDATE($D100,Milestones!$AA$101),"dd mmm yy"))&amp;" "&amp;Milestones!$AB$101&amp;" "&amp;Milestones!$AC$101&amp;";  ","")&amp;IF(AND(EDATE($D100,Milestones!$AA$102)&lt;=AsOfDate,IF($R100=0,$X100,IF(AND($T100&lt;&gt;"",EDATE($D100,Milestones!$AA$102)&gt;=$T100),$W100,IF(AND($S100&lt;&gt;"",EDATE($D100,Milestones!$AA$102)&gt;=$S100),$V100,$U100)))=Milestones!$AB$102),UPPER(TEXT(EDATE($D100,Milestones!$AA$102),"dd mmm yy"))&amp;" "&amp;Milestones!$AB$102&amp;" "&amp;Milestones!$AC$102&amp;";  ","")&amp;IF(AND(EDATE($D100,Milestones!$AA$103)&lt;=AsOfDate,IF($R100=0,$X100,IF(AND($T100&lt;&gt;"",EDATE($D100,Milestones!$AA$103)&gt;=$T100),$W100,IF(AND($S100&lt;&gt;"",EDATE($D100,Milestones!$AA$103)&gt;=$S100),$V100,$U100)))=Milestones!$AB$103),UPPER(TEXT(EDATE($D100,Milestones!$AA$103),"dd mmm yy"))&amp;" "&amp;Milestones!$AB$103&amp;" "&amp;Milestones!$AC$103&amp;";  ","")&amp;IF(AND(EDATE($D100,Milestones!$AA$104)&lt;=AsOfDate,IF($R100=0,$X100,IF(AND($T100&lt;&gt;"",EDATE($D100,Milestones!$AA$104)&gt;=$T100),$W100,IF(AND($S100&lt;&gt;"",EDATE($D100,Milestones!$AA$104)&gt;=$S100),$V100,$U100)))=Milestones!$AB$104),UPPER(TEXT(EDATE($D100,Milestones!$AA$104),"dd mmm yy"))&amp;" "&amp;Milestones!$AB$104&amp;" "&amp;Milestones!$AC$104&amp;";  ","")&amp;IF(AND(EDATE($D100,Milestones!$AA$105)&lt;=AsOfDate,IF($R100=0,$X100,IF(AND($T100&lt;&gt;"",EDATE($D100,Milestones!$AA$105)&gt;=$T100),$W100,IF(AND($S100&lt;&gt;"",EDATE($D100,Milestones!$AA$105)&gt;=$S100),$V100,$U100)))=Milestones!$AB$105),UPPER(TEXT(EDATE($D100,Milestones!$AA$105),"dd mmm yy"))&amp;" "&amp;Milestones!$AB$105&amp;" "&amp;Milestones!$AC$105&amp;";  ","")&amp;IF(AND(EDATE($D100,Milestones!$AA$106)&lt;=AsOfDate,IF($R100=0,$X100,IF(AND($T100&lt;&gt;"",EDATE($D100,Milestones!$AA$106)&gt;=$T100),$W100,IF(AND($S100&lt;&gt;"",EDATE($D100,Milestones!$AA$106)&gt;=$S100),$V100,$U100)))=Milestones!$AB$106),UPPER(TEXT(EDATE($D100,Milestones!$AA$106),"dd mmm yy"))&amp;" "&amp;Milestones!$AB$106&amp;" "&amp;Milestones!$AC$106&amp;";  ","")&amp;IF(AND(EDATE($D100,Milestones!$AA$107)&lt;=AsOfDate,IF($R100=0,$X100,IF(AND($T100&lt;&gt;"",EDATE($D100,Milestones!$AA$107)&gt;=$T100),$W100,IF(AND($S100&lt;&gt;"",EDATE($D100,Milestones!$AA$107)&gt;=$S100),$V100,$U100)))=Milestones!$AB$107),UPPER(TEXT(EDATE($D100,Milestones!$AA$107),"dd mmm yy"))&amp;" "&amp;Milestones!$AB$107&amp;" "&amp;Milestones!$AC$107&amp;";  ","")&amp;IF(AND(EDATE($D100,Milestones!$AA$108)&lt;=AsOfDate,IF($R100=0,$X100,IF(AND($T100&lt;&gt;"",EDATE($D100,Milestones!$AA$108)&gt;=$T100),$W100,IF(AND($S100&lt;&gt;"",EDATE($D100,Milestones!$AA$108)&gt;=$S100),$V100,$U100)))=Milestones!$AB$108),UPPER(TEXT(EDATE($D100,Milestones!$AA$108),"dd mmm yy"))&amp;" "&amp;Milestones!$AB$108&amp;" "&amp;Milestones!$AC$108&amp;";  ","")&amp;IF(AND(EDATE($D100,Milestones!$AA$109)&lt;=AsOfDate,IF($R100=0,$X100,IF(AND($T100&lt;&gt;"",EDATE($D100,Milestones!$AA$109)&gt;=$T100),$W100,IF(AND($S100&lt;&gt;"",EDATE($D100,Milestones!$AA$109)&gt;=$S100),$V100,$U100)))=Milestones!$AB$109),UPPER(TEXT(EDATE($D100,Milestones!$AA$109),"dd mmm yy"))&amp;" "&amp;Milestones!$AB$109&amp;" "&amp;Milestones!$AC$109&amp;";  ","")&amp;IF(AND(EDATE($D100,Milestones!$AA$110)&lt;=AsOfDate,IF($R100=0,$X100,IF(AND($T100&lt;&gt;"",EDATE($D100,Milestones!$AA$110)&gt;=$T100),$W100,IF(AND($S100&lt;&gt;"",EDATE($D100,Milestones!$AA$110)&gt;=$S100),$V100,$U100)))=Milestones!$AB$110),UPPER(TEXT(EDATE($D100,Milestones!$AA$110),"dd mmm yy"))&amp;" "&amp;Milestones!$AB$110&amp;" "&amp;Milestones!$AC$110&amp;";  ","")&amp;IF(AND(EDATE($D100,Milestones!$AA$111)&lt;=AsOfDate,IF($R100=0,$X100,IF(AND($T100&lt;&gt;"",EDATE($D100,Milestones!$AA$111)&gt;=$T100),$W100,IF(AND($S100&lt;&gt;"",EDATE($D100,Milestones!$AA$111)&gt;=$S100),$V100,$U100)))=Milestones!$AB$111),UPPER(TEXT(EDATE($D100,Milestones!$AA$111),"dd mmm yy"))&amp;" "&amp;Milestones!$AB$111&amp;" "&amp;Milestones!$AC$111&amp;";  ","")&amp;IF(AND(EDATE($D100,Milestones!$AA$112)&lt;=AsOfDate,IF($R100=0,$X100,IF(AND($T100&lt;&gt;"",EDATE($D100,Milestones!$AA$112)&gt;=$T100),$W100,IF(AND($S100&lt;&gt;"",EDATE($D100,Milestones!$AA$112)&gt;=$S100),$V100,$U100)))=Milestones!$AB$112),UPPER(TEXT(EDATE($D100,Milestones!$AA$112),"dd mmm yy"))&amp;" "&amp;Milestones!$AB$112&amp;" "&amp;Milestones!$AC$112&amp;";  ","")&amp;IF(AND(EDATE($D100,Milestones!$AA$113)&lt;=AsOfDate,IF($R100=0,$X100,IF(AND($T100&lt;&gt;"",EDATE($D100,Milestones!$AA$113)&gt;=$T100),$W100,IF(AND($S100&lt;&gt;"",EDATE($D100,Milestones!$AA$113)&gt;=$S100),$V100,$U100)))=Milestones!$AB$113),UPPER(TEXT(EDATE($D100,Milestones!$AA$113),"dd mmm yy"))&amp;" "&amp;Milestones!$AB$113&amp;" "&amp;Milestones!$AC$113&amp;";  ","")&amp;IF(AND(EDATE($D100,Milestones!$AA$114)&lt;=AsOfDate,IF($R100=0,$X100,IF(AND($T100&lt;&gt;"",EDATE($D100,Milestones!$AA$114)&gt;=$T100),$W100,IF(AND($S100&lt;&gt;"",EDATE($D100,Milestones!$AA$114)&gt;=$S100),$V100,$U100)))=Milestones!$AB$114),UPPER(TEXT(EDATE($D100,Milestones!$AA$114),"dd mmm yy"))&amp;" "&amp;Milestones!$AB$114&amp;" "&amp;Milestones!$AC$114&amp;";  ","")&amp;IF(AND(EDATE($D100,Milestones!$AA$115)&lt;=AsOfDate,IF($R100=0,$X100,IF(AND($T100&lt;&gt;"",EDATE($D100,Milestones!$AA$115)&gt;=$T100),$W100,IF(AND($S100&lt;&gt;"",EDATE($D100,Milestones!$AA$115)&gt;=$S100),$V100,$U100)))=Milestones!$AB$115),UPPER(TEXT(EDATE($D100,Milestones!$AA$115),"dd mmm yy"))&amp;" "&amp;Milestones!$AB$115&amp;" "&amp;Milestones!$AC$115&amp;";  ","")&amp;IF(AND(EDATE($D100,Milestones!$AA$116)&lt;=AsOfDate,IF($R100=0,$X100,IF(AND($T100&lt;&gt;"",EDATE($D100,Milestones!$AA$116)&gt;=$T100),$W100,IF(AND($S100&lt;&gt;"",EDATE($D100,Milestones!$AA$116)&gt;=$S100),$V100,$U100)))=Milestones!$AB$116),UPPER(TEXT(EDATE($D100,Milestones!$AA$116),"dd mmm yy"))&amp;" "&amp;Milestones!$AB$116&amp;" "&amp;Milestones!$AC$116&amp;";  ","")&amp;IF(AND(EDATE($D100,Milestones!$AA$117)&lt;=AsOfDate,IF($R100=0,$X100,IF(AND($T100&lt;&gt;"",EDATE($D100,Milestones!$AA$117)&gt;=$T100),$W100,IF(AND($S100&lt;&gt;"",EDATE($D100,Milestones!$AA$117)&gt;=$S100),$V100,$U100)))=Milestones!$AB$117),UPPER(TEXT(EDATE($D100,Milestones!$AA$117),"dd mmm yy"))&amp;" "&amp;Milestones!$AB$117&amp;" "&amp;Milestones!$AC$117&amp;";  ","")&amp;IF(AND(EDATE($D100,Milestones!$AA$118)&lt;=AsOfDate,IF($R100=0,$X100,IF(AND($T100&lt;&gt;"",EDATE($D100,Milestones!$AA$118)&gt;=$T100),$W100,IF(AND($S100&lt;&gt;"",EDATE($D100,Milestones!$AA$118)&gt;=$S100),$V100,$U100)))=Milestones!$AB$118),UPPER(TEXT(EDATE($D100,Milestones!$AA$118),"dd mmm yy"))&amp;" "&amp;Milestones!$AB$118&amp;" "&amp;Milestones!$AC$118&amp;";  ","")&amp;IF(AND(EDATE($D100,Milestones!$AA$119)&lt;=AsOfDate,IF($R100=0,$X100,IF(AND($T100&lt;&gt;"",EDATE($D100,Milestones!$AA$119)&gt;=$T100),$W100,IF(AND($S100&lt;&gt;"",EDATE($D100,Milestones!$AA$119)&gt;=$S100),$V100,$U100)))=Milestones!$AB$119),UPPER(TEXT(EDATE($D100,Milestones!$AA$119),"dd mmm yy"))&amp;" "&amp;Milestones!$AB$119&amp;" "&amp;Milestones!$AC$119&amp;";  ",""))</f>
        <v/>
      </c>
      <c r="N100" s="0" t="str">
        <f aca="false">IF(OR($A100="",$D100=""),"",IF(AND(EDATE($D100,Milestones!$AA$120)&lt;=AsOfDate,IF($R100=0,$X100,IF(AND($T100&lt;&gt;"",EDATE($D100,Milestones!$AA$120)&gt;=$T100),$W100,IF(AND($S100&lt;&gt;"",EDATE($D100,Milestones!$AA$120)&gt;=$S100),$V100,$U100)))=Milestones!$AB$120),UPPER(TEXT(EDATE($D100,Milestones!$AA$120),"dd mmm yy"))&amp;" "&amp;Milestones!$AB$120&amp;" "&amp;Milestones!$AC$120&amp;";  ","")&amp;IF(AND(EDATE($D100,Milestones!$AA$121)&lt;=AsOfDate,IF($R100=0,$X100,IF(AND($T100&lt;&gt;"",EDATE($D100,Milestones!$AA$121)&gt;=$T100),$W100,IF(AND($S100&lt;&gt;"",EDATE($D100,Milestones!$AA$121)&gt;=$S100),$V100,$U100)))=Milestones!$AB$121),UPPER(TEXT(EDATE($D100,Milestones!$AA$121),"dd mmm yy"))&amp;" "&amp;Milestones!$AB$121&amp;" "&amp;Milestones!$AC$121&amp;";  ","")&amp;IF(AND(EDATE($D100,Milestones!$AA$122)&lt;=AsOfDate,IF($R100=0,$X100,IF(AND($T100&lt;&gt;"",EDATE($D100,Milestones!$AA$122)&gt;=$T100),$W100,IF(AND($S100&lt;&gt;"",EDATE($D100,Milestones!$AA$122)&gt;=$S100),$V100,$U100)))=Milestones!$AB$122),UPPER(TEXT(EDATE($D100,Milestones!$AA$122),"dd mmm yy"))&amp;" "&amp;Milestones!$AB$122&amp;" "&amp;Milestones!$AC$122&amp;";  ","")&amp;IF(AND(EDATE($D100,Milestones!$AA$123)&lt;=AsOfDate,IF($R100=0,$X100,IF(AND($T100&lt;&gt;"",EDATE($D100,Milestones!$AA$123)&gt;=$T100),$W100,IF(AND($S100&lt;&gt;"",EDATE($D100,Milestones!$AA$123)&gt;=$S100),$V100,$U100)))=Milestones!$AB$123),UPPER(TEXT(EDATE($D100,Milestones!$AA$123),"dd mmm yy"))&amp;" "&amp;Milestones!$AB$123&amp;" "&amp;Milestones!$AC$123&amp;";  ","")&amp;IF(AND(EDATE($D100,Milestones!$AA$124)&lt;=AsOfDate,IF($R100=0,$X100,IF(AND($T100&lt;&gt;"",EDATE($D100,Milestones!$AA$124)&gt;=$T100),$W100,IF(AND($S100&lt;&gt;"",EDATE($D100,Milestones!$AA$124)&gt;=$S100),$V100,$U100)))=Milestones!$AB$124),UPPER(TEXT(EDATE($D100,Milestones!$AA$124),"dd mmm yy"))&amp;" "&amp;Milestones!$AB$124&amp;" "&amp;Milestones!$AC$124&amp;";  ","")&amp;IF(AND(EDATE($D100,Milestones!$AA$125)&lt;=AsOfDate,IF($R100=0,$X100,IF(AND($T100&lt;&gt;"",EDATE($D100,Milestones!$AA$125)&gt;=$T100),$W100,IF(AND($S100&lt;&gt;"",EDATE($D100,Milestones!$AA$125)&gt;=$S100),$V100,$U100)))=Milestones!$AB$125),UPPER(TEXT(EDATE($D100,Milestones!$AA$125),"dd mmm yy"))&amp;" "&amp;Milestones!$AB$125&amp;" "&amp;Milestones!$AC$125&amp;";  ","")&amp;IF(AND(EDATE($D100,Milestones!$AA$126)&lt;=AsOfDate,IF($R100=0,$X100,IF(AND($T100&lt;&gt;"",EDATE($D100,Milestones!$AA$126)&gt;=$T100),$W100,IF(AND($S100&lt;&gt;"",EDATE($D100,Milestones!$AA$126)&gt;=$S100),$V100,$U100)))=Milestones!$AB$126),UPPER(TEXT(EDATE($D100,Milestones!$AA$126),"dd mmm yy"))&amp;" "&amp;Milestones!$AB$126&amp;" "&amp;Milestones!$AC$126&amp;";  ","")&amp;IF(AND(EDATE($D100,Milestones!$AA$127)&lt;=AsOfDate,IF($R100=0,$X100,IF(AND($T100&lt;&gt;"",EDATE($D100,Milestones!$AA$127)&gt;=$T100),$W100,IF(AND($S100&lt;&gt;"",EDATE($D100,Milestones!$AA$127)&gt;=$S100),$V100,$U100)))=Milestones!$AB$127),UPPER(TEXT(EDATE($D100,Milestones!$AA$127),"dd mmm yy"))&amp;" "&amp;Milestones!$AB$127&amp;" "&amp;Milestones!$AC$127&amp;";  ","")&amp;IF(AND(EDATE($D100,Milestones!$AA$128)&lt;=AsOfDate,IF($R100=0,$X100,IF(AND($T100&lt;&gt;"",EDATE($D100,Milestones!$AA$128)&gt;=$T100),$W100,IF(AND($S100&lt;&gt;"",EDATE($D100,Milestones!$AA$128)&gt;=$S100),$V100,$U100)))=Milestones!$AB$128),UPPER(TEXT(EDATE($D100,Milestones!$AA$128),"dd mmm yy"))&amp;" "&amp;Milestones!$AB$128&amp;" "&amp;Milestones!$AC$128&amp;";  ","")&amp;IF(AND(EDATE($D100,Milestones!$AA$129)&lt;=AsOfDate,IF($R100=0,$X100,IF(AND($T100&lt;&gt;"",EDATE($D100,Milestones!$AA$129)&gt;=$T100),$W100,IF(AND($S100&lt;&gt;"",EDATE($D100,Milestones!$AA$129)&gt;=$S100),$V100,$U100)))=Milestones!$AB$129),UPPER(TEXT(EDATE($D100,Milestones!$AA$129),"dd mmm yy"))&amp;" "&amp;Milestones!$AB$129&amp;" "&amp;Milestones!$AC$129&amp;";  ","")&amp;IF(AND(EDATE($D100,Milestones!$AA$130)&lt;=AsOfDate,IF($R100=0,$X100,IF(AND($T100&lt;&gt;"",EDATE($D100,Milestones!$AA$130)&gt;=$T100),$W100,IF(AND($S100&lt;&gt;"",EDATE($D100,Milestones!$AA$130)&gt;=$S100),$V100,$U100)))=Milestones!$AB$130),UPPER(TEXT(EDATE($D100,Milestones!$AA$130),"dd mmm yy"))&amp;" "&amp;Milestones!$AB$130&amp;" "&amp;Milestones!$AC$130&amp;";  ","")&amp;IF(AND(EDATE($D100,Milestones!$AA$131)&lt;=AsOfDate,IF($R100=0,$X100,IF(AND($T100&lt;&gt;"",EDATE($D100,Milestones!$AA$131)&gt;=$T100),$W100,IF(AND($S100&lt;&gt;"",EDATE($D100,Milestones!$AA$131)&gt;=$S100),$V100,$U100)))=Milestones!$AB$131),UPPER(TEXT(EDATE($D100,Milestones!$AA$131),"dd mmm yy"))&amp;" "&amp;Milestones!$AB$131&amp;" "&amp;Milestones!$AC$131&amp;";  ","")&amp;IF(AND(EDATE($D100,Milestones!$AA$132)&lt;=AsOfDate,IF($R100=0,$X100,IF(AND($T100&lt;&gt;"",EDATE($D100,Milestones!$AA$132)&gt;=$T100),$W100,IF(AND($S100&lt;&gt;"",EDATE($D100,Milestones!$AA$132)&gt;=$S100),$V100,$U100)))=Milestones!$AB$132),UPPER(TEXT(EDATE($D100,Milestones!$AA$132),"dd mmm yy"))&amp;" "&amp;Milestones!$AB$132&amp;" "&amp;Milestones!$AC$132&amp;";  ","")&amp;IF(AND(EDATE($D100,Milestones!$AA$133)&lt;=AsOfDate,IF($R100=0,$X100,IF(AND($T100&lt;&gt;"",EDATE($D100,Milestones!$AA$133)&gt;=$T100),$W100,IF(AND($S100&lt;&gt;"",EDATE($D100,Milestones!$AA$133)&gt;=$S100),$V100,$U100)))=Milestones!$AB$133),UPPER(TEXT(EDATE($D100,Milestones!$AA$133),"dd mmm yy"))&amp;" "&amp;Milestones!$AB$133&amp;" "&amp;Milestones!$AC$133&amp;";  ","")&amp;IF(AND(EDATE($D100,Milestones!$AA$134)&lt;=AsOfDate,IF($R100=0,$X100,IF(AND($T100&lt;&gt;"",EDATE($D100,Milestones!$AA$134)&gt;=$T100),$W100,IF(AND($S100&lt;&gt;"",EDATE($D100,Milestones!$AA$134)&gt;=$S100),$V100,$U100)))=Milestones!$AB$134),UPPER(TEXT(EDATE($D100,Milestones!$AA$134),"dd mmm yy"))&amp;" "&amp;Milestones!$AB$134&amp;" "&amp;Milestones!$AC$134&amp;";  ","")&amp;IF(AND(EDATE($D100,Milestones!$AA$135)&lt;=AsOfDate,IF($R100=0,$X100,IF(AND($T100&lt;&gt;"",EDATE($D100,Milestones!$AA$135)&gt;=$T100),$W100,IF(AND($S100&lt;&gt;"",EDATE($D100,Milestones!$AA$135)&gt;=$S100),$V100,$U100)))=Milestones!$AB$135),UPPER(TEXT(EDATE($D100,Milestones!$AA$135),"dd mmm yy"))&amp;" "&amp;Milestones!$AB$135&amp;" "&amp;Milestones!$AC$135&amp;";  ","")&amp;IF(AND(EDATE($D100,Milestones!$AA$136)&lt;=AsOfDate,IF($R100=0,$X100,IF(AND($T100&lt;&gt;"",EDATE($D100,Milestones!$AA$136)&gt;=$T100),$W100,IF(AND($S100&lt;&gt;"",EDATE($D100,Milestones!$AA$136)&gt;=$S100),$V100,$U100)))=Milestones!$AB$136),UPPER(TEXT(EDATE($D100,Milestones!$AA$136),"dd mmm yy"))&amp;" "&amp;Milestones!$AB$136&amp;" "&amp;Milestones!$AC$136&amp;";  ","")&amp;IF(AND(EDATE($D100,Milestones!$AA$137)&lt;=AsOfDate,IF($R100=0,$X100,IF(AND($T100&lt;&gt;"",EDATE($D100,Milestones!$AA$137)&gt;=$T100),$W100,IF(AND($S100&lt;&gt;"",EDATE($D100,Milestones!$AA$137)&gt;=$S100),$V100,$U100)))=Milestones!$AB$137),UPPER(TEXT(EDATE($D100,Milestones!$AA$137),"dd mmm yy"))&amp;" "&amp;Milestones!$AB$137&amp;" "&amp;Milestones!$AC$137&amp;";  ","")&amp;IF(AND(EDATE($D100,Milestones!$AA$138)&lt;=AsOfDate,IF($R100=0,$X100,IF(AND($T100&lt;&gt;"",EDATE($D100,Milestones!$AA$138)&gt;=$T100),$W100,IF(AND($S100&lt;&gt;"",EDATE($D100,Milestones!$AA$138)&gt;=$S100),$V100,$U100)))=Milestones!$AB$138),UPPER(TEXT(EDATE($D100,Milestones!$AA$138),"dd mmm yy"))&amp;" "&amp;Milestones!$AB$138&amp;" "&amp;Milestones!$AC$138&amp;";  ","")&amp;IF(AND(EDATE($D100,Milestones!$AA$139)&lt;=AsOfDate,IF($R100=0,$X100,IF(AND($T100&lt;&gt;"",EDATE($D100,Milestones!$AA$139)&gt;=$T100),$W100,IF(AND($S100&lt;&gt;"",EDATE($D100,Milestones!$AA$139)&gt;=$S100),$V100,$U100)))=Milestones!$AB$139),UPPER(TEXT(EDATE($D100,Milestones!$AA$139),"dd mmm yy"))&amp;" "&amp;Milestones!$AB$139&amp;" "&amp;Milestones!$AC$139&amp;";  ",""))</f>
        <v/>
      </c>
      <c r="O100" s="0" t="str">
        <f aca="false">IF(OR($A100="",$D100=""),"",IF(AND(EDATE($D100,Milestones!$AA$140)&lt;=AsOfDate,IF($R100=0,$X100,IF(AND($T100&lt;&gt;"",EDATE($D100,Milestones!$AA$140)&gt;=$T100),$W100,IF(AND($S100&lt;&gt;"",EDATE($D100,Milestones!$AA$140)&gt;=$S100),$V100,$U100)))=Milestones!$AB$140),UPPER(TEXT(EDATE($D100,Milestones!$AA$140),"dd mmm yy"))&amp;" "&amp;Milestones!$AB$140&amp;" "&amp;Milestones!$AC$140&amp;";  ","")&amp;IF(AND(EDATE($D100,Milestones!$AA$141)&lt;=AsOfDate,IF($R100=0,$X100,IF(AND($T100&lt;&gt;"",EDATE($D100,Milestones!$AA$141)&gt;=$T100),$W100,IF(AND($S100&lt;&gt;"",EDATE($D100,Milestones!$AA$141)&gt;=$S100),$V100,$U100)))=Milestones!$AB$141),UPPER(TEXT(EDATE($D100,Milestones!$AA$141),"dd mmm yy"))&amp;" "&amp;Milestones!$AB$141&amp;" "&amp;Milestones!$AC$141&amp;";  ","")&amp;IF(AND(EDATE($D100,Milestones!$AA$142)&lt;=AsOfDate,IF($R100=0,$X100,IF(AND($T100&lt;&gt;"",EDATE($D100,Milestones!$AA$142)&gt;=$T100),$W100,IF(AND($S100&lt;&gt;"",EDATE($D100,Milestones!$AA$142)&gt;=$S100),$V100,$U100)))=Milestones!$AB$142),UPPER(TEXT(EDATE($D100,Milestones!$AA$142),"dd mmm yy"))&amp;" "&amp;Milestones!$AB$142&amp;" "&amp;Milestones!$AC$142&amp;";  ","")&amp;IF(AND(EDATE($D100,Milestones!$AA$143)&lt;=AsOfDate,IF($R100=0,$X100,IF(AND($T100&lt;&gt;"",EDATE($D100,Milestones!$AA$143)&gt;=$T100),$W100,IF(AND($S100&lt;&gt;"",EDATE($D100,Milestones!$AA$143)&gt;=$S100),$V100,$U100)))=Milestones!$AB$143),UPPER(TEXT(EDATE($D100,Milestones!$AA$143),"dd mmm yy"))&amp;" "&amp;Milestones!$AB$143&amp;" "&amp;Milestones!$AC$143&amp;";  ","")&amp;IF(AND(EDATE($D100,Milestones!$AA$144)&lt;=AsOfDate,IF($R100=0,$X100,IF(AND($T100&lt;&gt;"",EDATE($D100,Milestones!$AA$144)&gt;=$T100),$W100,IF(AND($S100&lt;&gt;"",EDATE($D100,Milestones!$AA$144)&gt;=$S100),$V100,$U100)))=Milestones!$AB$144),UPPER(TEXT(EDATE($D100,Milestones!$AA$144),"dd mmm yy"))&amp;" "&amp;Milestones!$AB$144&amp;" "&amp;Milestones!$AC$144&amp;";  ","")&amp;IF(AND(EDATE($D100,Milestones!$AA$145)&lt;=AsOfDate,IF($R100=0,$X100,IF(AND($T100&lt;&gt;"",EDATE($D100,Milestones!$AA$145)&gt;=$T100),$W100,IF(AND($S100&lt;&gt;"",EDATE($D100,Milestones!$AA$145)&gt;=$S100),$V100,$U100)))=Milestones!$AB$145),UPPER(TEXT(EDATE($D100,Milestones!$AA$145),"dd mmm yy"))&amp;" "&amp;Milestones!$AB$145&amp;" "&amp;Milestones!$AC$145&amp;";  ","")&amp;IF(AND(EDATE($D100,Milestones!$AA$146)&lt;=AsOfDate,IF($R100=0,$X100,IF(AND($T100&lt;&gt;"",EDATE($D100,Milestones!$AA$146)&gt;=$T100),$W100,IF(AND($S100&lt;&gt;"",EDATE($D100,Milestones!$AA$146)&gt;=$S100),$V100,$U100)))=Milestones!$AB$146),UPPER(TEXT(EDATE($D100,Milestones!$AA$146),"dd mmm yy"))&amp;" "&amp;Milestones!$AB$146&amp;" "&amp;Milestones!$AC$146&amp;";  ","")&amp;IF(AND(EDATE($D100,Milestones!$AA$147)&lt;=AsOfDate,IF($R100=0,$X100,IF(AND($T100&lt;&gt;"",EDATE($D100,Milestones!$AA$147)&gt;=$T100),$W100,IF(AND($S100&lt;&gt;"",EDATE($D100,Milestones!$AA$147)&gt;=$S100),$V100,$U100)))=Milestones!$AB$147),UPPER(TEXT(EDATE($D100,Milestones!$AA$147),"dd mmm yy"))&amp;" "&amp;Milestones!$AB$147&amp;" "&amp;Milestones!$AC$147&amp;";  ","")&amp;IF(AND(EDATE($D100,Milestones!$AA$148)&lt;=AsOfDate,IF($R100=0,$X100,IF(AND($T100&lt;&gt;"",EDATE($D100,Milestones!$AA$148)&gt;=$T100),$W100,IF(AND($S100&lt;&gt;"",EDATE($D100,Milestones!$AA$148)&gt;=$S100),$V100,$U100)))=Milestones!$AB$148),UPPER(TEXT(EDATE($D100,Milestones!$AA$148),"dd mmm yy"))&amp;" "&amp;Milestones!$AB$148&amp;" "&amp;Milestones!$AC$148&amp;";  ","")&amp;IF(AND(EDATE($D100,Milestones!$AA$149)&lt;=AsOfDate,IF($R100=0,$X100,IF(AND($T100&lt;&gt;"",EDATE($D100,Milestones!$AA$149)&gt;=$T100),$W100,IF(AND($S100&lt;&gt;"",EDATE($D100,Milestones!$AA$149)&gt;=$S100),$V100,$U100)))=Milestones!$AB$149),UPPER(TEXT(EDATE($D100,Milestones!$AA$149),"dd mmm yy"))&amp;" "&amp;Milestones!$AB$149&amp;" "&amp;Milestones!$AC$149&amp;";  ","")&amp;IF(AND(EDATE($D100,Milestones!$AA$150)&lt;=AsOfDate,IF($R100=0,$X100,IF(AND($T100&lt;&gt;"",EDATE($D100,Milestones!$AA$150)&gt;=$T100),$W100,IF(AND($S100&lt;&gt;"",EDATE($D100,Milestones!$AA$150)&gt;=$S100),$V100,$U100)))=Milestones!$AB$150),UPPER(TEXT(EDATE($D100,Milestones!$AA$150),"dd mmm yy"))&amp;" "&amp;Milestones!$AB$150&amp;" "&amp;Milestones!$AC$150&amp;";  ","")&amp;IF(AND(EDATE($D100,Milestones!$AA$151)&lt;=AsOfDate,IF($R100=0,$X100,IF(AND($T100&lt;&gt;"",EDATE($D100,Milestones!$AA$151)&gt;=$T100),$W100,IF(AND($S100&lt;&gt;"",EDATE($D100,Milestones!$AA$151)&gt;=$S100),$V100,$U100)))=Milestones!$AB$151),UPPER(TEXT(EDATE($D100,Milestones!$AA$151),"dd mmm yy"))&amp;" "&amp;Milestones!$AB$151&amp;" "&amp;Milestones!$AC$151&amp;";  ","")&amp;IF(AND(EDATE($D100,Milestones!$AA$152)&lt;=AsOfDate,IF($R100=0,$X100,IF(AND($T100&lt;&gt;"",EDATE($D100,Milestones!$AA$152)&gt;=$T100),$W100,IF(AND($S100&lt;&gt;"",EDATE($D100,Milestones!$AA$152)&gt;=$S100),$V100,$U100)))=Milestones!$AB$152),UPPER(TEXT(EDATE($D100,Milestones!$AA$152),"dd mmm yy"))&amp;" "&amp;Milestones!$AB$152&amp;" "&amp;Milestones!$AC$152&amp;";  ","")&amp;IF(AND(EDATE($D100,Milestones!$AA$153)&lt;=AsOfDate,IF($R100=0,$X100,IF(AND($T100&lt;&gt;"",EDATE($D100,Milestones!$AA$153)&gt;=$T100),$W100,IF(AND($S100&lt;&gt;"",EDATE($D100,Milestones!$AA$153)&gt;=$S100),$V100,$U100)))=Milestones!$AB$153),UPPER(TEXT(EDATE($D100,Milestones!$AA$153),"dd mmm yy"))&amp;" "&amp;Milestones!$AB$153&amp;" "&amp;Milestones!$AC$153&amp;";  ","")&amp;IF(AND(EDATE($D100,Milestones!$AA$154)&lt;=AsOfDate,IF($R100=0,$X100,IF(AND($T100&lt;&gt;"",EDATE($D100,Milestones!$AA$154)&gt;=$T100),$W100,IF(AND($S100&lt;&gt;"",EDATE($D100,Milestones!$AA$154)&gt;=$S100),$V100,$U100)))=Milestones!$AB$154),UPPER(TEXT(EDATE($D100,Milestones!$AA$154),"dd mmm yy"))&amp;" "&amp;Milestones!$AB$154&amp;" "&amp;Milestones!$AC$154&amp;";  ","")&amp;IF(AND(EDATE($D100,Milestones!$AA$155)&lt;=AsOfDate,IF($R100=0,$X100,IF(AND($T100&lt;&gt;"",EDATE($D100,Milestones!$AA$155)&gt;=$T100),$W100,IF(AND($S100&lt;&gt;"",EDATE($D100,Milestones!$AA$155)&gt;=$S100),$V100,$U100)))=Milestones!$AB$155),UPPER(TEXT(EDATE($D100,Milestones!$AA$155),"dd mmm yy"))&amp;" "&amp;Milestones!$AB$155&amp;" "&amp;Milestones!$AC$155&amp;";  ","")&amp;IF(AND(EDATE($D100,Milestones!$AA$156)&lt;=AsOfDate,IF($R100=0,$X100,IF(AND($T100&lt;&gt;"",EDATE($D100,Milestones!$AA$156)&gt;=$T100),$W100,IF(AND($S100&lt;&gt;"",EDATE($D100,Milestones!$AA$156)&gt;=$S100),$V100,$U100)))=Milestones!$AB$156),UPPER(TEXT(EDATE($D100,Milestones!$AA$156),"dd mmm yy"))&amp;" "&amp;Milestones!$AB$156&amp;" "&amp;Milestones!$AC$156&amp;";  ","")&amp;IF(AND(EDATE($D100,Milestones!$AA$157)&lt;=AsOfDate,IF($R100=0,$X100,IF(AND($T100&lt;&gt;"",EDATE($D100,Milestones!$AA$157)&gt;=$T100),$W100,IF(AND($S100&lt;&gt;"",EDATE($D100,Milestones!$AA$157)&gt;=$S100),$V100,$U100)))=Milestones!$AB$157),UPPER(TEXT(EDATE($D100,Milestones!$AA$157),"dd mmm yy"))&amp;" "&amp;Milestones!$AB$157&amp;" "&amp;Milestones!$AC$157&amp;";  ","")&amp;IF(AND(EDATE($D100,Milestones!$AA$158)&lt;=AsOfDate,IF($R100=0,$X100,IF(AND($T100&lt;&gt;"",EDATE($D100,Milestones!$AA$158)&gt;=$T100),$W100,IF(AND($S100&lt;&gt;"",EDATE($D100,Milestones!$AA$158)&gt;=$S100),$V100,$U100)))=Milestones!$AB$158),UPPER(TEXT(EDATE($D100,Milestones!$AA$158),"dd mmm yy"))&amp;" "&amp;Milestones!$AB$158&amp;" "&amp;Milestones!$AC$158&amp;";  ","")&amp;IF(AND(EDATE($D100,Milestones!$AA$159)&lt;=AsOfDate,IF($R100=0,$X100,IF(AND($T100&lt;&gt;"",EDATE($D100,Milestones!$AA$159)&gt;=$T100),$W100,IF(AND($S100&lt;&gt;"",EDATE($D100,Milestones!$AA$159)&gt;=$S100),$V100,$U100)))=Milestones!$AB$159),UPPER(TEXT(EDATE($D100,Milestones!$AA$159),"dd mmm yy"))&amp;" "&amp;Milestones!$AB$159&amp;" "&amp;Milestones!$AC$159&amp;";  ",""))</f>
        <v/>
      </c>
      <c r="P100" s="0" t="str">
        <f aca="false">IF(OR($A100="",$D100=""),"",IF(AND(EDATE($D100,Milestones!$AA$160)&lt;=AsOfDate,IF($R100=0,$X100,IF(AND($T100&lt;&gt;"",EDATE($D100,Milestones!$AA$160)&gt;=$T100),$W100,IF(AND($S100&lt;&gt;"",EDATE($D100,Milestones!$AA$160)&gt;=$S100),$V100,$U100)))=Milestones!$AB$160),UPPER(TEXT(EDATE($D100,Milestones!$AA$160),"dd mmm yy"))&amp;" "&amp;Milestones!$AB$160&amp;" "&amp;Milestones!$AC$160&amp;";  ","")&amp;IF(AND(EDATE($D100,Milestones!$AA$161)&lt;=AsOfDate,IF($R100=0,$X100,IF(AND($T100&lt;&gt;"",EDATE($D100,Milestones!$AA$161)&gt;=$T100),$W100,IF(AND($S100&lt;&gt;"",EDATE($D100,Milestones!$AA$161)&gt;=$S100),$V100,$U100)))=Milestones!$AB$161),UPPER(TEXT(EDATE($D100,Milestones!$AA$161),"dd mmm yy"))&amp;" "&amp;Milestones!$AB$161&amp;" "&amp;Milestones!$AC$161&amp;";  ","")&amp;IF(AND(EDATE($D100,Milestones!$AA$162)&lt;=AsOfDate,IF($R100=0,$X100,IF(AND($T100&lt;&gt;"",EDATE($D100,Milestones!$AA$162)&gt;=$T100),$W100,IF(AND($S100&lt;&gt;"",EDATE($D100,Milestones!$AA$162)&gt;=$S100),$V100,$U100)))=Milestones!$AB$162),UPPER(TEXT(EDATE($D100,Milestones!$AA$162),"dd mmm yy"))&amp;" "&amp;Milestones!$AB$162&amp;" "&amp;Milestones!$AC$162&amp;";  ","")&amp;IF(AND(EDATE($D100,Milestones!$AA$163)&lt;=AsOfDate,IF($R100=0,$X100,IF(AND($T100&lt;&gt;"",EDATE($D100,Milestones!$AA$163)&gt;=$T100),$W100,IF(AND($S100&lt;&gt;"",EDATE($D100,Milestones!$AA$163)&gt;=$S100),$V100,$U100)))=Milestones!$AB$163),UPPER(TEXT(EDATE($D100,Milestones!$AA$163),"dd mmm yy"))&amp;" "&amp;Milestones!$AB$163&amp;" "&amp;Milestones!$AC$163&amp;";  ","")&amp;IF(AND(EDATE($D100,Milestones!$AA$164)&lt;=AsOfDate,IF($R100=0,$X100,IF(AND($T100&lt;&gt;"",EDATE($D100,Milestones!$AA$164)&gt;=$T100),$W100,IF(AND($S100&lt;&gt;"",EDATE($D100,Milestones!$AA$164)&gt;=$S100),$V100,$U100)))=Milestones!$AB$164),UPPER(TEXT(EDATE($D100,Milestones!$AA$164),"dd mmm yy"))&amp;" "&amp;Milestones!$AB$164&amp;" "&amp;Milestones!$AC$164&amp;";  ","")&amp;IF(AND(EDATE($D100,Milestones!$AA$165)&lt;=AsOfDate,IF($R100=0,$X100,IF(AND($T100&lt;&gt;"",EDATE($D100,Milestones!$AA$165)&gt;=$T100),$W100,IF(AND($S100&lt;&gt;"",EDATE($D100,Milestones!$AA$165)&gt;=$S100),$V100,$U100)))=Milestones!$AB$165),UPPER(TEXT(EDATE($D100,Milestones!$AA$165),"dd mmm yy"))&amp;" "&amp;Milestones!$AB$165&amp;" "&amp;Milestones!$AC$165&amp;";  ","")&amp;IF(AND(EDATE($D100,Milestones!$AA$166)&lt;=AsOfDate,IF($R100=0,$X100,IF(AND($T100&lt;&gt;"",EDATE($D100,Milestones!$AA$166)&gt;=$T100),$W100,IF(AND($S100&lt;&gt;"",EDATE($D100,Milestones!$AA$166)&gt;=$S100),$V100,$U100)))=Milestones!$AB$166),UPPER(TEXT(EDATE($D100,Milestones!$AA$166),"dd mmm yy"))&amp;" "&amp;Milestones!$AB$166&amp;" "&amp;Milestones!$AC$166&amp;";  ","")&amp;IF(AND(EDATE($D100,Milestones!$AA$167)&lt;=AsOfDate,IF($R100=0,$X100,IF(AND($T100&lt;&gt;"",EDATE($D100,Milestones!$AA$167)&gt;=$T100),$W100,IF(AND($S100&lt;&gt;"",EDATE($D100,Milestones!$AA$167)&gt;=$S100),$V100,$U100)))=Milestones!$AB$167),UPPER(TEXT(EDATE($D100,Milestones!$AA$167),"dd mmm yy"))&amp;" "&amp;Milestones!$AB$167&amp;" "&amp;Milestones!$AC$167&amp;";  ","")&amp;IF(AND(EDATE($D100,Milestones!$AA$168)&lt;=AsOfDate,IF($R100=0,$X100,IF(AND($T100&lt;&gt;"",EDATE($D100,Milestones!$AA$168)&gt;=$T100),$W100,IF(AND($S100&lt;&gt;"",EDATE($D100,Milestones!$AA$168)&gt;=$S100),$V100,$U100)))=Milestones!$AB$168),UPPER(TEXT(EDATE($D100,Milestones!$AA$168),"dd mmm yy"))&amp;" "&amp;Milestones!$AB$168&amp;" "&amp;Milestones!$AC$168&amp;";  ","")&amp;IF(AND(EDATE($D100,Milestones!$AA$169)&lt;=AsOfDate,IF($R100=0,$X100,IF(AND($T100&lt;&gt;"",EDATE($D100,Milestones!$AA$169)&gt;=$T100),$W100,IF(AND($S100&lt;&gt;"",EDATE($D100,Milestones!$AA$169)&gt;=$S100),$V100,$U100)))=Milestones!$AB$169),UPPER(TEXT(EDATE($D100,Milestones!$AA$169),"dd mmm yy"))&amp;" "&amp;Milestones!$AB$169&amp;" "&amp;Milestones!$AC$169&amp;";  ","")&amp;IF(AND(EDATE($D100,Milestones!$AA$170)&lt;=AsOfDate,IF($R100=0,$X100,IF(AND($T100&lt;&gt;"",EDATE($D100,Milestones!$AA$170)&gt;=$T100),$W100,IF(AND($S100&lt;&gt;"",EDATE($D100,Milestones!$AA$170)&gt;=$S100),$V100,$U100)))=Milestones!$AB$170),UPPER(TEXT(EDATE($D100,Milestones!$AA$170),"dd mmm yy"))&amp;" "&amp;Milestones!$AB$170&amp;" "&amp;Milestones!$AC$170&amp;";  ","")&amp;IF(AND(EDATE($D100,Milestones!$AA$171)&lt;=AsOfDate,IF($R100=0,$X100,IF(AND($T100&lt;&gt;"",EDATE($D100,Milestones!$AA$171)&gt;=$T100),$W100,IF(AND($S100&lt;&gt;"",EDATE($D100,Milestones!$AA$171)&gt;=$S100),$V100,$U100)))=Milestones!$AB$171),UPPER(TEXT(EDATE($D100,Milestones!$AA$171),"dd mmm yy"))&amp;" "&amp;Milestones!$AB$171&amp;" "&amp;Milestones!$AC$171&amp;";  ","")&amp;IF(AND(EDATE($D100,Milestones!$AA$172)&lt;=AsOfDate,IF($R100=0,$X100,IF(AND($T100&lt;&gt;"",EDATE($D100,Milestones!$AA$172)&gt;=$T100),$W100,IF(AND($S100&lt;&gt;"",EDATE($D100,Milestones!$AA$172)&gt;=$S100),$V100,$U100)))=Milestones!$AB$172),UPPER(TEXT(EDATE($D100,Milestones!$AA$172),"dd mmm yy"))&amp;" "&amp;Milestones!$AB$172&amp;" "&amp;Milestones!$AC$172&amp;";  ","")&amp;IF(AND(EDATE($D100,Milestones!$AA$173)&lt;=AsOfDate,IF($R100=0,$X100,IF(AND($T100&lt;&gt;"",EDATE($D100,Milestones!$AA$173)&gt;=$T100),$W100,IF(AND($S100&lt;&gt;"",EDATE($D100,Milestones!$AA$173)&gt;=$S100),$V100,$U100)))=Milestones!$AB$173),UPPER(TEXT(EDATE($D100,Milestones!$AA$173),"dd mmm yy"))&amp;" "&amp;Milestones!$AB$173&amp;" "&amp;Milestones!$AC$173&amp;";  ","")&amp;IF(AND(EDATE($D100,Milestones!$AA$174)&lt;=AsOfDate,IF($R100=0,$X100,IF(AND($T100&lt;&gt;"",EDATE($D100,Milestones!$AA$174)&gt;=$T100),$W100,IF(AND($S100&lt;&gt;"",EDATE($D100,Milestones!$AA$174)&gt;=$S100),$V100,$U100)))=Milestones!$AB$174),UPPER(TEXT(EDATE($D100,Milestones!$AA$174),"dd mmm yy"))&amp;" "&amp;Milestones!$AB$174&amp;" "&amp;Milestones!$AC$174&amp;";  ","")&amp;IF(AND(EDATE($D100,Milestones!$AA$175)&lt;=AsOfDate,IF($R100=0,$X100,IF(AND($T100&lt;&gt;"",EDATE($D100,Milestones!$AA$175)&gt;=$T100),$W100,IF(AND($S100&lt;&gt;"",EDATE($D100,Milestones!$AA$175)&gt;=$S100),$V100,$U100)))=Milestones!$AB$175),UPPER(TEXT(EDATE($D100,Milestones!$AA$175),"dd mmm yy"))&amp;" "&amp;Milestones!$AB$175&amp;" "&amp;Milestones!$AC$175&amp;";  ","")&amp;IF(AND(EDATE($D100,Milestones!$AA$176)&lt;=AsOfDate,IF($R100=0,$X100,IF(AND($T100&lt;&gt;"",EDATE($D100,Milestones!$AA$176)&gt;=$T100),$W100,IF(AND($S100&lt;&gt;"",EDATE($D100,Milestones!$AA$176)&gt;=$S100),$V100,$U100)))=Milestones!$AB$176),UPPER(TEXT(EDATE($D100,Milestones!$AA$176),"dd mmm yy"))&amp;" "&amp;Milestones!$AB$176&amp;" "&amp;Milestones!$AC$176&amp;";  ","")&amp;IF(AND(EDATE($D100,Milestones!$AA$177)&lt;=AsOfDate,IF($R100=0,$X100,IF(AND($T100&lt;&gt;"",EDATE($D100,Milestones!$AA$177)&gt;=$T100),$W100,IF(AND($S100&lt;&gt;"",EDATE($D100,Milestones!$AA$177)&gt;=$S100),$V100,$U100)))=Milestones!$AB$177),UPPER(TEXT(EDATE($D100,Milestones!$AA$177),"dd mmm yy"))&amp;" "&amp;Milestones!$AB$177&amp;" "&amp;Milestones!$AC$177&amp;";  ","")&amp;IF(AND(EDATE($D100,Milestones!$AA$178)&lt;=AsOfDate,IF($R100=0,$X100,IF(AND($T100&lt;&gt;"",EDATE($D100,Milestones!$AA$178)&gt;=$T100),$W100,IF(AND($S100&lt;&gt;"",EDATE($D100,Milestones!$AA$178)&gt;=$S100),$V100,$U100)))=Milestones!$AB$178),UPPER(TEXT(EDATE($D100,Milestones!$AA$178),"dd mmm yy"))&amp;" "&amp;Milestones!$AB$178&amp;" "&amp;Milestones!$AC$178&amp;";  ","")&amp;IF(AND(EDATE($D100,Milestones!$AA$179)&lt;=AsOfDate,IF($R100=0,$X100,IF(AND($T100&lt;&gt;"",EDATE($D100,Milestones!$AA$179)&gt;=$T100),$W100,IF(AND($S100&lt;&gt;"",EDATE($D100,Milestones!$AA$179)&gt;=$S100),$V100,$U100)))=Milestones!$AB$179),UPPER(TEXT(EDATE($D100,Milestones!$AA$179),"dd mmm yy"))&amp;" "&amp;Milestones!$AB$179&amp;" "&amp;Milestones!$AC$179&amp;";  ",""))</f>
        <v/>
      </c>
      <c r="Q100" s="0" t="str">
        <f aca="false">IF(OR($A100="",$D100=""),"",IF(AND(EDATE($D100,Milestones!$AA$180)&lt;=AsOfDate,IF($R100=0,$X100,IF(AND($T100&lt;&gt;"",EDATE($D100,Milestones!$AA$180)&gt;=$T100),$W100,IF(AND($S100&lt;&gt;"",EDATE($D100,Milestones!$AA$180)&gt;=$S100),$V100,$U100)))=Milestones!$AB$180),UPPER(TEXT(EDATE($D100,Milestones!$AA$180),"dd mmm yy"))&amp;" "&amp;Milestones!$AB$180&amp;" "&amp;Milestones!$AC$180&amp;";  ","")&amp;IF(AND(EDATE($D100,Milestones!$AA$181)&lt;=AsOfDate,IF($R100=0,$X100,IF(AND($T100&lt;&gt;"",EDATE($D100,Milestones!$AA$181)&gt;=$T100),$W100,IF(AND($S100&lt;&gt;"",EDATE($D100,Milestones!$AA$181)&gt;=$S100),$V100,$U100)))=Milestones!$AB$181),UPPER(TEXT(EDATE($D100,Milestones!$AA$181),"dd mmm yy"))&amp;" "&amp;Milestones!$AB$181&amp;" "&amp;Milestones!$AC$181&amp;";  ","")&amp;IF(AND(EDATE($D100,Milestones!$AA$182)&lt;=AsOfDate,IF($R100=0,$X100,IF(AND($T100&lt;&gt;"",EDATE($D100,Milestones!$AA$182)&gt;=$T100),$W100,IF(AND($S100&lt;&gt;"",EDATE($D100,Milestones!$AA$182)&gt;=$S100),$V100,$U100)))=Milestones!$AB$182),UPPER(TEXT(EDATE($D100,Milestones!$AA$182),"dd mmm yy"))&amp;" "&amp;Milestones!$AB$182&amp;" "&amp;Milestones!$AC$182&amp;";  ","")&amp;IF(AND(EDATE($D100,Milestones!$AA$183)&lt;=AsOfDate,IF($R100=0,$X100,IF(AND($T100&lt;&gt;"",EDATE($D100,Milestones!$AA$183)&gt;=$T100),$W100,IF(AND($S100&lt;&gt;"",EDATE($D100,Milestones!$AA$183)&gt;=$S100),$V100,$U100)))=Milestones!$AB$183),UPPER(TEXT(EDATE($D100,Milestones!$AA$183),"dd mmm yy"))&amp;" "&amp;Milestones!$AB$183&amp;" "&amp;Milestones!$AC$183&amp;";  ","")&amp;IF(AND(EDATE($D100,Milestones!$AA$184)&lt;=AsOfDate,IF($R100=0,$X100,IF(AND($T100&lt;&gt;"",EDATE($D100,Milestones!$AA$184)&gt;=$T100),$W100,IF(AND($S100&lt;&gt;"",EDATE($D100,Milestones!$AA$184)&gt;=$S100),$V100,$U100)))=Milestones!$AB$184),UPPER(TEXT(EDATE($D100,Milestones!$AA$184),"dd mmm yy"))&amp;" "&amp;Milestones!$AB$184&amp;" "&amp;Milestones!$AC$184&amp;";  ","")&amp;IF(AND(EDATE($D100,Milestones!$AA$185)&lt;=AsOfDate,IF($R100=0,$X100,IF(AND($T100&lt;&gt;"",EDATE($D100,Milestones!$AA$185)&gt;=$T100),$W100,IF(AND($S100&lt;&gt;"",EDATE($D100,Milestones!$AA$185)&gt;=$S100),$V100,$U100)))=Milestones!$AB$185),UPPER(TEXT(EDATE($D100,Milestones!$AA$185),"dd mmm yy"))&amp;" "&amp;Milestones!$AB$185&amp;" "&amp;Milestones!$AC$185&amp;";  ","")&amp;IF(AND(EDATE($D100,Milestones!$AA$186)&lt;=AsOfDate,IF($R100=0,$X100,IF(AND($T100&lt;&gt;"",EDATE($D100,Milestones!$AA$186)&gt;=$T100),$W100,IF(AND($S100&lt;&gt;"",EDATE($D100,Milestones!$AA$186)&gt;=$S100),$V100,$U100)))=Milestones!$AB$186),UPPER(TEXT(EDATE($D100,Milestones!$AA$186),"dd mmm yy"))&amp;" "&amp;Milestones!$AB$186&amp;" "&amp;Milestones!$AC$186&amp;";  ","")&amp;IF(AND(EDATE($D100,Milestones!$AA$187)&lt;=AsOfDate,IF($R100=0,$X100,IF(AND($T100&lt;&gt;"",EDATE($D100,Milestones!$AA$187)&gt;=$T100),$W100,IF(AND($S100&lt;&gt;"",EDATE($D100,Milestones!$AA$187)&gt;=$S100),$V100,$U100)))=Milestones!$AB$187),UPPER(TEXT(EDATE($D100,Milestones!$AA$187),"dd mmm yy"))&amp;" "&amp;Milestones!$AB$187&amp;" "&amp;Milestones!$AC$187&amp;";  ","")&amp;IF(AND(EDATE($D100,Milestones!$AA$188)&lt;=AsOfDate,IF($R100=0,$X100,IF(AND($T100&lt;&gt;"",EDATE($D100,Milestones!$AA$188)&gt;=$T100),$W100,IF(AND($S100&lt;&gt;"",EDATE($D100,Milestones!$AA$188)&gt;=$S100),$V100,$U100)))=Milestones!$AB$188),UPPER(TEXT(EDATE($D100,Milestones!$AA$188),"dd mmm yy"))&amp;" "&amp;Milestones!$AB$188&amp;" "&amp;Milestones!$AC$188&amp;";  ","")&amp;IF(AND(EDATE($D100,Milestones!$AA$189)&lt;=AsOfDate,IF($R100=0,$X100,IF(AND($T100&lt;&gt;"",EDATE($D100,Milestones!$AA$189)&gt;=$T100),$W100,IF(AND($S100&lt;&gt;"",EDATE($D100,Milestones!$AA$189)&gt;=$S100),$V100,$U100)))=Milestones!$AB$189),UPPER(TEXT(EDATE($D100,Milestones!$AA$189),"dd mmm yy"))&amp;" "&amp;Milestones!$AB$189&amp;" "&amp;Milestones!$AC$189&amp;";  ","")&amp;IF(AND(EDATE($D100,Milestones!$AA$190)&lt;=AsOfDate,IF($R100=0,$X100,IF(AND($T100&lt;&gt;"",EDATE($D100,Milestones!$AA$190)&gt;=$T100),$W100,IF(AND($S100&lt;&gt;"",EDATE($D100,Milestones!$AA$190)&gt;=$S100),$V100,$U100)))=Milestones!$AB$190),UPPER(TEXT(EDATE($D100,Milestones!$AA$190),"dd mmm yy"))&amp;" "&amp;Milestones!$AB$190&amp;" "&amp;Milestones!$AC$190&amp;";  ","")&amp;IF(AND(EDATE($D100,Milestones!$AA$191)&lt;=AsOfDate,IF($R100=0,$X100,IF(AND($T100&lt;&gt;"",EDATE($D100,Milestones!$AA$191)&gt;=$T100),$W100,IF(AND($S100&lt;&gt;"",EDATE($D100,Milestones!$AA$191)&gt;=$S100),$V100,$U100)))=Milestones!$AB$191),UPPER(TEXT(EDATE($D100,Milestones!$AA$191),"dd mmm yy"))&amp;" "&amp;Milestones!$AB$191&amp;" "&amp;Milestones!$AC$191&amp;";  ","")&amp;IF(AND(EDATE($D100,Milestones!$AA$192)&lt;=AsOfDate,IF($R100=0,$X100,IF(AND($T100&lt;&gt;"",EDATE($D100,Milestones!$AA$192)&gt;=$T100),$W100,IF(AND($S100&lt;&gt;"",EDATE($D100,Milestones!$AA$192)&gt;=$S100),$V100,$U100)))=Milestones!$AB$192),UPPER(TEXT(EDATE($D100,Milestones!$AA$192),"dd mmm yy"))&amp;" "&amp;Milestones!$AB$192&amp;" "&amp;Milestones!$AC$192&amp;";  ","")&amp;IF(AND(EDATE($D100,Milestones!$AA$193)&lt;=AsOfDate,IF($R100=0,$X100,IF(AND($T100&lt;&gt;"",EDATE($D100,Milestones!$AA$193)&gt;=$T100),$W100,IF(AND($S100&lt;&gt;"",EDATE($D100,Milestones!$AA$193)&gt;=$S100),$V100,$U100)))=Milestones!$AB$193),UPPER(TEXT(EDATE($D100,Milestones!$AA$193),"dd mmm yy"))&amp;" "&amp;Milestones!$AB$193&amp;" "&amp;Milestones!$AC$193&amp;";  ","")&amp;IF(AND(EDATE($D100,Milestones!$AA$194)&lt;=AsOfDate,IF($R100=0,$X100,IF(AND($T100&lt;&gt;"",EDATE($D100,Milestones!$AA$194)&gt;=$T100),$W100,IF(AND($S100&lt;&gt;"",EDATE($D100,Milestones!$AA$194)&gt;=$S100),$V100,$U100)))=Milestones!$AB$194),UPPER(TEXT(EDATE($D100,Milestones!$AA$194),"dd mmm yy"))&amp;" "&amp;Milestones!$AB$194&amp;" "&amp;Milestones!$AC$194&amp;";  ","")&amp;IF(AND(EDATE($D100,Milestones!$AA$195)&lt;=AsOfDate,IF($R100=0,$X100,IF(AND($T100&lt;&gt;"",EDATE($D100,Milestones!$AA$195)&gt;=$T100),$W100,IF(AND($S100&lt;&gt;"",EDATE($D100,Milestones!$AA$195)&gt;=$S100),$V100,$U100)))=Milestones!$AB$195),UPPER(TEXT(EDATE($D100,Milestones!$AA$195),"dd mmm yy"))&amp;" "&amp;Milestones!$AB$195&amp;" "&amp;Milestones!$AC$195&amp;";  ","")&amp;IF(AND(EDATE($D100,Milestones!$AA$196)&lt;=AsOfDate,IF($R100=0,$X100,IF(AND($T100&lt;&gt;"",EDATE($D100,Milestones!$AA$196)&gt;=$T100),$W100,IF(AND($S100&lt;&gt;"",EDATE($D100,Milestones!$AA$196)&gt;=$S100),$V100,$U100)))=Milestones!$AB$196),UPPER(TEXT(EDATE($D100,Milestones!$AA$196),"dd mmm yy"))&amp;" "&amp;Milestones!$AB$196&amp;" "&amp;Milestones!$AC$196&amp;";  ","")&amp;IF(AND(EDATE($D100,Milestones!$AA$197)&lt;=AsOfDate,IF($R100=0,$X100,IF(AND($T100&lt;&gt;"",EDATE($D100,Milestones!$AA$197)&gt;=$T100),$W100,IF(AND($S100&lt;&gt;"",EDATE($D100,Milestones!$AA$197)&gt;=$S100),$V100,$U100)))=Milestones!$AB$197),UPPER(TEXT(EDATE($D100,Milestones!$AA$197),"dd mmm yy"))&amp;" "&amp;Milestones!$AB$197&amp;" "&amp;Milestones!$AC$197&amp;";  ","")&amp;IF(AND(EDATE($D100,Milestones!$AA$198)&lt;=AsOfDate,IF($R100=0,$X100,IF(AND($T100&lt;&gt;"",EDATE($D100,Milestones!$AA$198)&gt;=$T100),$W100,IF(AND($S100&lt;&gt;"",EDATE($D100,Milestones!$AA$198)&gt;=$S100),$V100,$U100)))=Milestones!$AB$198),UPPER(TEXT(EDATE($D100,Milestones!$AA$198),"dd mmm yy"))&amp;" "&amp;Milestones!$AB$198&amp;" "&amp;Milestones!$AC$198&amp;";  ","")&amp;IF(AND(EDATE($D100,Milestones!$AA$199)&lt;=AsOfDate,IF($R100=0,$X100,IF(AND($T100&lt;&gt;"",EDATE($D100,Milestones!$AA$199)&gt;=$T100),$W100,IF(AND($S100&lt;&gt;"",EDATE($D100,Milestones!$AA$199)&gt;=$S100),$V100,$U100)))=Milestones!$AB$199),UPPER(TEXT(EDATE($D100,Milestones!$AA$199),"dd mmm yy"))&amp;" "&amp;Milestones!$AB$199&amp;" "&amp;Milestones!$AC$199&amp;";  ",""))</f>
        <v/>
      </c>
      <c r="R100" s="0" t="str">
        <f aca="false">IF(Staff!$A100="","",Staff!$AI100)</f>
        <v/>
      </c>
      <c r="S100" s="0" t="str">
        <f aca="false">IF(Staff!$A100="","",Staff!$AK100)</f>
        <v/>
      </c>
      <c r="T100" s="0" t="str">
        <f aca="false">IF(Staff!$A100="","",Staff!$AL100)</f>
        <v/>
      </c>
      <c r="U100" s="0" t="str">
        <f aca="false">IF(Staff!$A100="","",Staff!$AP100)</f>
        <v/>
      </c>
      <c r="V100" s="0" t="str">
        <f aca="false">IF(Staff!$A100="","",Staff!$AQ100)</f>
        <v/>
      </c>
      <c r="W100" s="0" t="str">
        <f aca="false">IF(Staff!$A100="","",Staff!$AR100)</f>
        <v/>
      </c>
      <c r="X100" s="0" t="str">
        <f aca="false">IF(Staff!$A100="","",Staff!$AS100)</f>
        <v/>
      </c>
    </row>
    <row r="101" customFormat="false" ht="15" hidden="false" customHeight="false" outlineLevel="0" collapsed="false">
      <c r="A101" s="14" t="str">
        <f aca="false">IF(Staff!$A101="","",Staff!$A101)</f>
        <v/>
      </c>
      <c r="B101" s="14" t="str">
        <f aca="false">IF(Staff!$A101="","",Staff!$B101)</f>
        <v/>
      </c>
      <c r="C101" s="14" t="str">
        <f aca="false">IF(Staff!$A101="","",Staff!$C101)</f>
        <v/>
      </c>
      <c r="D101" s="12" t="str">
        <f aca="false">IF(Staff!$A101="","",Staff!$AH101)</f>
        <v/>
      </c>
      <c r="E101" s="14" t="str">
        <f aca="false">IF(Staff!$A101="","",Staff!$O101)</f>
        <v/>
      </c>
      <c r="F101" s="14" t="str">
        <f aca="false">IF(E101="","",E101*HoursPerDay)</f>
        <v/>
      </c>
      <c r="G101" s="14" t="str">
        <f aca="false">IF(Staff!$A101="","",Staff!$AE101)</f>
        <v/>
      </c>
      <c r="H101" s="26" t="str">
        <f aca="false">IF($A101="","",I101&amp;J101&amp;K101&amp;L101&amp;M101&amp;N101&amp;O101&amp;P101&amp;Q101)</f>
        <v/>
      </c>
      <c r="I101" s="0" t="str">
        <f aca="false">IF(OR($A101="",$D101=""),"",IF(AND(EDATE($D101,Milestones!$AA$20)&lt;=AsOfDate,IF($R101=0,$X101,IF(AND($T101&lt;&gt;"",EDATE($D101,Milestones!$AA$20)&gt;=$T101),$W101,IF(AND($S101&lt;&gt;"",EDATE($D101,Milestones!$AA$20)&gt;=$S101),$V101,$U101)))=Milestones!$AB$20),UPPER(TEXT(EDATE($D101,Milestones!$AA$20),"dd mmm yy"))&amp;" "&amp;Milestones!$AB$20&amp;" "&amp;Milestones!$AC$20&amp;";  ","")&amp;IF(AND(EDATE($D101,Milestones!$AA$21)&lt;=AsOfDate,IF($R101=0,$X101,IF(AND($T101&lt;&gt;"",EDATE($D101,Milestones!$AA$21)&gt;=$T101),$W101,IF(AND($S101&lt;&gt;"",EDATE($D101,Milestones!$AA$21)&gt;=$S101),$V101,$U101)))=Milestones!$AB$21),UPPER(TEXT(EDATE($D101,Milestones!$AA$21),"dd mmm yy"))&amp;" "&amp;Milestones!$AB$21&amp;" "&amp;Milestones!$AC$21&amp;";  ","")&amp;IF(AND(EDATE($D101,Milestones!$AA$22)&lt;=AsOfDate,IF($R101=0,$X101,IF(AND($T101&lt;&gt;"",EDATE($D101,Milestones!$AA$22)&gt;=$T101),$W101,IF(AND($S101&lt;&gt;"",EDATE($D101,Milestones!$AA$22)&gt;=$S101),$V101,$U101)))=Milestones!$AB$22),UPPER(TEXT(EDATE($D101,Milestones!$AA$22),"dd mmm yy"))&amp;" "&amp;Milestones!$AB$22&amp;" "&amp;Milestones!$AC$22&amp;";  ","")&amp;IF(AND(EDATE($D101,Milestones!$AA$23)&lt;=AsOfDate,IF($R101=0,$X101,IF(AND($T101&lt;&gt;"",EDATE($D101,Milestones!$AA$23)&gt;=$T101),$W101,IF(AND($S101&lt;&gt;"",EDATE($D101,Milestones!$AA$23)&gt;=$S101),$V101,$U101)))=Milestones!$AB$23),UPPER(TEXT(EDATE($D101,Milestones!$AA$23),"dd mmm yy"))&amp;" "&amp;Milestones!$AB$23&amp;" "&amp;Milestones!$AC$23&amp;";  ","")&amp;IF(AND(EDATE($D101,Milestones!$AA$24)&lt;=AsOfDate,IF($R101=0,$X101,IF(AND($T101&lt;&gt;"",EDATE($D101,Milestones!$AA$24)&gt;=$T101),$W101,IF(AND($S101&lt;&gt;"",EDATE($D101,Milestones!$AA$24)&gt;=$S101),$V101,$U101)))=Milestones!$AB$24),UPPER(TEXT(EDATE($D101,Milestones!$AA$24),"dd mmm yy"))&amp;" "&amp;Milestones!$AB$24&amp;" "&amp;Milestones!$AC$24&amp;";  ","")&amp;IF(AND(EDATE($D101,Milestones!$AA$25)&lt;=AsOfDate,IF($R101=0,$X101,IF(AND($T101&lt;&gt;"",EDATE($D101,Milestones!$AA$25)&gt;=$T101),$W101,IF(AND($S101&lt;&gt;"",EDATE($D101,Milestones!$AA$25)&gt;=$S101),$V101,$U101)))=Milestones!$AB$25),UPPER(TEXT(EDATE($D101,Milestones!$AA$25),"dd mmm yy"))&amp;" "&amp;Milestones!$AB$25&amp;" "&amp;Milestones!$AC$25&amp;";  ","")&amp;IF(AND(EDATE($D101,Milestones!$AA$26)&lt;=AsOfDate,IF($R101=0,$X101,IF(AND($T101&lt;&gt;"",EDATE($D101,Milestones!$AA$26)&gt;=$T101),$W101,IF(AND($S101&lt;&gt;"",EDATE($D101,Milestones!$AA$26)&gt;=$S101),$V101,$U101)))=Milestones!$AB$26),UPPER(TEXT(EDATE($D101,Milestones!$AA$26),"dd mmm yy"))&amp;" "&amp;Milestones!$AB$26&amp;" "&amp;Milestones!$AC$26&amp;";  ","")&amp;IF(AND(EDATE($D101,Milestones!$AA$27)&lt;=AsOfDate,IF($R101=0,$X101,IF(AND($T101&lt;&gt;"",EDATE($D101,Milestones!$AA$27)&gt;=$T101),$W101,IF(AND($S101&lt;&gt;"",EDATE($D101,Milestones!$AA$27)&gt;=$S101),$V101,$U101)))=Milestones!$AB$27),UPPER(TEXT(EDATE($D101,Milestones!$AA$27),"dd mmm yy"))&amp;" "&amp;Milestones!$AB$27&amp;" "&amp;Milestones!$AC$27&amp;";  ","")&amp;IF(AND(EDATE($D101,Milestones!$AA$28)&lt;=AsOfDate,IF($R101=0,$X101,IF(AND($T101&lt;&gt;"",EDATE($D101,Milestones!$AA$28)&gt;=$T101),$W101,IF(AND($S101&lt;&gt;"",EDATE($D101,Milestones!$AA$28)&gt;=$S101),$V101,$U101)))=Milestones!$AB$28),UPPER(TEXT(EDATE($D101,Milestones!$AA$28),"dd mmm yy"))&amp;" "&amp;Milestones!$AB$28&amp;" "&amp;Milestones!$AC$28&amp;";  ","")&amp;IF(AND(EDATE($D101,Milestones!$AA$29)&lt;=AsOfDate,IF($R101=0,$X101,IF(AND($T101&lt;&gt;"",EDATE($D101,Milestones!$AA$29)&gt;=$T101),$W101,IF(AND($S101&lt;&gt;"",EDATE($D101,Milestones!$AA$29)&gt;=$S101),$V101,$U101)))=Milestones!$AB$29),UPPER(TEXT(EDATE($D101,Milestones!$AA$29),"dd mmm yy"))&amp;" "&amp;Milestones!$AB$29&amp;" "&amp;Milestones!$AC$29&amp;";  ","")&amp;IF(AND(EDATE($D101,Milestones!$AA$30)&lt;=AsOfDate,IF($R101=0,$X101,IF(AND($T101&lt;&gt;"",EDATE($D101,Milestones!$AA$30)&gt;=$T101),$W101,IF(AND($S101&lt;&gt;"",EDATE($D101,Milestones!$AA$30)&gt;=$S101),$V101,$U101)))=Milestones!$AB$30),UPPER(TEXT(EDATE($D101,Milestones!$AA$30),"dd mmm yy"))&amp;" "&amp;Milestones!$AB$30&amp;" "&amp;Milestones!$AC$30&amp;";  ","")&amp;IF(AND(EDATE($D101,Milestones!$AA$31)&lt;=AsOfDate,IF($R101=0,$X101,IF(AND($T101&lt;&gt;"",EDATE($D101,Milestones!$AA$31)&gt;=$T101),$W101,IF(AND($S101&lt;&gt;"",EDATE($D101,Milestones!$AA$31)&gt;=$S101),$V101,$U101)))=Milestones!$AB$31),UPPER(TEXT(EDATE($D101,Milestones!$AA$31),"dd mmm yy"))&amp;" "&amp;Milestones!$AB$31&amp;" "&amp;Milestones!$AC$31&amp;";  ","")&amp;IF(AND(EDATE($D101,Milestones!$AA$32)&lt;=AsOfDate,IF($R101=0,$X101,IF(AND($T101&lt;&gt;"",EDATE($D101,Milestones!$AA$32)&gt;=$T101),$W101,IF(AND($S101&lt;&gt;"",EDATE($D101,Milestones!$AA$32)&gt;=$S101),$V101,$U101)))=Milestones!$AB$32),UPPER(TEXT(EDATE($D101,Milestones!$AA$32),"dd mmm yy"))&amp;" "&amp;Milestones!$AB$32&amp;" "&amp;Milestones!$AC$32&amp;";  ","")&amp;IF(AND(EDATE($D101,Milestones!$AA$33)&lt;=AsOfDate,IF($R101=0,$X101,IF(AND($T101&lt;&gt;"",EDATE($D101,Milestones!$AA$33)&gt;=$T101),$W101,IF(AND($S101&lt;&gt;"",EDATE($D101,Milestones!$AA$33)&gt;=$S101),$V101,$U101)))=Milestones!$AB$33),UPPER(TEXT(EDATE($D101,Milestones!$AA$33),"dd mmm yy"))&amp;" "&amp;Milestones!$AB$33&amp;" "&amp;Milestones!$AC$33&amp;";  ","")&amp;IF(AND(EDATE($D101,Milestones!$AA$34)&lt;=AsOfDate,IF($R101=0,$X101,IF(AND($T101&lt;&gt;"",EDATE($D101,Milestones!$AA$34)&gt;=$T101),$W101,IF(AND($S101&lt;&gt;"",EDATE($D101,Milestones!$AA$34)&gt;=$S101),$V101,$U101)))=Milestones!$AB$34),UPPER(TEXT(EDATE($D101,Milestones!$AA$34),"dd mmm yy"))&amp;" "&amp;Milestones!$AB$34&amp;" "&amp;Milestones!$AC$34&amp;";  ","")&amp;IF(AND(EDATE($D101,Milestones!$AA$35)&lt;=AsOfDate,IF($R101=0,$X101,IF(AND($T101&lt;&gt;"",EDATE($D101,Milestones!$AA$35)&gt;=$T101),$W101,IF(AND($S101&lt;&gt;"",EDATE($D101,Milestones!$AA$35)&gt;=$S101),$V101,$U101)))=Milestones!$AB$35),UPPER(TEXT(EDATE($D101,Milestones!$AA$35),"dd mmm yy"))&amp;" "&amp;Milestones!$AB$35&amp;" "&amp;Milestones!$AC$35&amp;";  ","")&amp;IF(AND(EDATE($D101,Milestones!$AA$36)&lt;=AsOfDate,IF($R101=0,$X101,IF(AND($T101&lt;&gt;"",EDATE($D101,Milestones!$AA$36)&gt;=$T101),$W101,IF(AND($S101&lt;&gt;"",EDATE($D101,Milestones!$AA$36)&gt;=$S101),$V101,$U101)))=Milestones!$AB$36),UPPER(TEXT(EDATE($D101,Milestones!$AA$36),"dd mmm yy"))&amp;" "&amp;Milestones!$AB$36&amp;" "&amp;Milestones!$AC$36&amp;";  ","")&amp;IF(AND(EDATE($D101,Milestones!$AA$37)&lt;=AsOfDate,IF($R101=0,$X101,IF(AND($T101&lt;&gt;"",EDATE($D101,Milestones!$AA$37)&gt;=$T101),$W101,IF(AND($S101&lt;&gt;"",EDATE($D101,Milestones!$AA$37)&gt;=$S101),$V101,$U101)))=Milestones!$AB$37),UPPER(TEXT(EDATE($D101,Milestones!$AA$37),"dd mmm yy"))&amp;" "&amp;Milestones!$AB$37&amp;" "&amp;Milestones!$AC$37&amp;";  ","")&amp;IF(AND(EDATE($D101,Milestones!$AA$38)&lt;=AsOfDate,IF($R101=0,$X101,IF(AND($T101&lt;&gt;"",EDATE($D101,Milestones!$AA$38)&gt;=$T101),$W101,IF(AND($S101&lt;&gt;"",EDATE($D101,Milestones!$AA$38)&gt;=$S101),$V101,$U101)))=Milestones!$AB$38),UPPER(TEXT(EDATE($D101,Milestones!$AA$38),"dd mmm yy"))&amp;" "&amp;Milestones!$AB$38&amp;" "&amp;Milestones!$AC$38&amp;";  ","")&amp;IF(AND(EDATE($D101,Milestones!$AA$39)&lt;=AsOfDate,IF($R101=0,$X101,IF(AND($T101&lt;&gt;"",EDATE($D101,Milestones!$AA$39)&gt;=$T101),$W101,IF(AND($S101&lt;&gt;"",EDATE($D101,Milestones!$AA$39)&gt;=$S101),$V101,$U101)))=Milestones!$AB$39),UPPER(TEXT(EDATE($D101,Milestones!$AA$39),"dd mmm yy"))&amp;" "&amp;Milestones!$AB$39&amp;" "&amp;Milestones!$AC$39&amp;";  ",""))</f>
        <v/>
      </c>
      <c r="J101" s="0" t="str">
        <f aca="false">IF(OR($A101="",$D101=""),"",IF(AND(EDATE($D101,Milestones!$AA$40)&lt;=AsOfDate,IF($R101=0,$X101,IF(AND($T101&lt;&gt;"",EDATE($D101,Milestones!$AA$40)&gt;=$T101),$W101,IF(AND($S101&lt;&gt;"",EDATE($D101,Milestones!$AA$40)&gt;=$S101),$V101,$U101)))=Milestones!$AB$40),UPPER(TEXT(EDATE($D101,Milestones!$AA$40),"dd mmm yy"))&amp;" "&amp;Milestones!$AB$40&amp;" "&amp;Milestones!$AC$40&amp;";  ","")&amp;IF(AND(EDATE($D101,Milestones!$AA$41)&lt;=AsOfDate,IF($R101=0,$X101,IF(AND($T101&lt;&gt;"",EDATE($D101,Milestones!$AA$41)&gt;=$T101),$W101,IF(AND($S101&lt;&gt;"",EDATE($D101,Milestones!$AA$41)&gt;=$S101),$V101,$U101)))=Milestones!$AB$41),UPPER(TEXT(EDATE($D101,Milestones!$AA$41),"dd mmm yy"))&amp;" "&amp;Milestones!$AB$41&amp;" "&amp;Milestones!$AC$41&amp;";  ","")&amp;IF(AND(EDATE($D101,Milestones!$AA$42)&lt;=AsOfDate,IF($R101=0,$X101,IF(AND($T101&lt;&gt;"",EDATE($D101,Milestones!$AA$42)&gt;=$T101),$W101,IF(AND($S101&lt;&gt;"",EDATE($D101,Milestones!$AA$42)&gt;=$S101),$V101,$U101)))=Milestones!$AB$42),UPPER(TEXT(EDATE($D101,Milestones!$AA$42),"dd mmm yy"))&amp;" "&amp;Milestones!$AB$42&amp;" "&amp;Milestones!$AC$42&amp;";  ","")&amp;IF(AND(EDATE($D101,Milestones!$AA$43)&lt;=AsOfDate,IF($R101=0,$X101,IF(AND($T101&lt;&gt;"",EDATE($D101,Milestones!$AA$43)&gt;=$T101),$W101,IF(AND($S101&lt;&gt;"",EDATE($D101,Milestones!$AA$43)&gt;=$S101),$V101,$U101)))=Milestones!$AB$43),UPPER(TEXT(EDATE($D101,Milestones!$AA$43),"dd mmm yy"))&amp;" "&amp;Milestones!$AB$43&amp;" "&amp;Milestones!$AC$43&amp;";  ","")&amp;IF(AND(EDATE($D101,Milestones!$AA$44)&lt;=AsOfDate,IF($R101=0,$X101,IF(AND($T101&lt;&gt;"",EDATE($D101,Milestones!$AA$44)&gt;=$T101),$W101,IF(AND($S101&lt;&gt;"",EDATE($D101,Milestones!$AA$44)&gt;=$S101),$V101,$U101)))=Milestones!$AB$44),UPPER(TEXT(EDATE($D101,Milestones!$AA$44),"dd mmm yy"))&amp;" "&amp;Milestones!$AB$44&amp;" "&amp;Milestones!$AC$44&amp;";  ","")&amp;IF(AND(EDATE($D101,Milestones!$AA$45)&lt;=AsOfDate,IF($R101=0,$X101,IF(AND($T101&lt;&gt;"",EDATE($D101,Milestones!$AA$45)&gt;=$T101),$W101,IF(AND($S101&lt;&gt;"",EDATE($D101,Milestones!$AA$45)&gt;=$S101),$V101,$U101)))=Milestones!$AB$45),UPPER(TEXT(EDATE($D101,Milestones!$AA$45),"dd mmm yy"))&amp;" "&amp;Milestones!$AB$45&amp;" "&amp;Milestones!$AC$45&amp;";  ","")&amp;IF(AND(EDATE($D101,Milestones!$AA$46)&lt;=AsOfDate,IF($R101=0,$X101,IF(AND($T101&lt;&gt;"",EDATE($D101,Milestones!$AA$46)&gt;=$T101),$W101,IF(AND($S101&lt;&gt;"",EDATE($D101,Milestones!$AA$46)&gt;=$S101),$V101,$U101)))=Milestones!$AB$46),UPPER(TEXT(EDATE($D101,Milestones!$AA$46),"dd mmm yy"))&amp;" "&amp;Milestones!$AB$46&amp;" "&amp;Milestones!$AC$46&amp;";  ","")&amp;IF(AND(EDATE($D101,Milestones!$AA$47)&lt;=AsOfDate,IF($R101=0,$X101,IF(AND($T101&lt;&gt;"",EDATE($D101,Milestones!$AA$47)&gt;=$T101),$W101,IF(AND($S101&lt;&gt;"",EDATE($D101,Milestones!$AA$47)&gt;=$S101),$V101,$U101)))=Milestones!$AB$47),UPPER(TEXT(EDATE($D101,Milestones!$AA$47),"dd mmm yy"))&amp;" "&amp;Milestones!$AB$47&amp;" "&amp;Milestones!$AC$47&amp;";  ","")&amp;IF(AND(EDATE($D101,Milestones!$AA$48)&lt;=AsOfDate,IF($R101=0,$X101,IF(AND($T101&lt;&gt;"",EDATE($D101,Milestones!$AA$48)&gt;=$T101),$W101,IF(AND($S101&lt;&gt;"",EDATE($D101,Milestones!$AA$48)&gt;=$S101),$V101,$U101)))=Milestones!$AB$48),UPPER(TEXT(EDATE($D101,Milestones!$AA$48),"dd mmm yy"))&amp;" "&amp;Milestones!$AB$48&amp;" "&amp;Milestones!$AC$48&amp;";  ","")&amp;IF(AND(EDATE($D101,Milestones!$AA$49)&lt;=AsOfDate,IF($R101=0,$X101,IF(AND($T101&lt;&gt;"",EDATE($D101,Milestones!$AA$49)&gt;=$T101),$W101,IF(AND($S101&lt;&gt;"",EDATE($D101,Milestones!$AA$49)&gt;=$S101),$V101,$U101)))=Milestones!$AB$49),UPPER(TEXT(EDATE($D101,Milestones!$AA$49),"dd mmm yy"))&amp;" "&amp;Milestones!$AB$49&amp;" "&amp;Milestones!$AC$49&amp;";  ","")&amp;IF(AND(EDATE($D101,Milestones!$AA$50)&lt;=AsOfDate,IF($R101=0,$X101,IF(AND($T101&lt;&gt;"",EDATE($D101,Milestones!$AA$50)&gt;=$T101),$W101,IF(AND($S101&lt;&gt;"",EDATE($D101,Milestones!$AA$50)&gt;=$S101),$V101,$U101)))=Milestones!$AB$50),UPPER(TEXT(EDATE($D101,Milestones!$AA$50),"dd mmm yy"))&amp;" "&amp;Milestones!$AB$50&amp;" "&amp;Milestones!$AC$50&amp;";  ","")&amp;IF(AND(EDATE($D101,Milestones!$AA$51)&lt;=AsOfDate,IF($R101=0,$X101,IF(AND($T101&lt;&gt;"",EDATE($D101,Milestones!$AA$51)&gt;=$T101),$W101,IF(AND($S101&lt;&gt;"",EDATE($D101,Milestones!$AA$51)&gt;=$S101),$V101,$U101)))=Milestones!$AB$51),UPPER(TEXT(EDATE($D101,Milestones!$AA$51),"dd mmm yy"))&amp;" "&amp;Milestones!$AB$51&amp;" "&amp;Milestones!$AC$51&amp;";  ","")&amp;IF(AND(EDATE($D101,Milestones!$AA$52)&lt;=AsOfDate,IF($R101=0,$X101,IF(AND($T101&lt;&gt;"",EDATE($D101,Milestones!$AA$52)&gt;=$T101),$W101,IF(AND($S101&lt;&gt;"",EDATE($D101,Milestones!$AA$52)&gt;=$S101),$V101,$U101)))=Milestones!$AB$52),UPPER(TEXT(EDATE($D101,Milestones!$AA$52),"dd mmm yy"))&amp;" "&amp;Milestones!$AB$52&amp;" "&amp;Milestones!$AC$52&amp;";  ","")&amp;IF(AND(EDATE($D101,Milestones!$AA$53)&lt;=AsOfDate,IF($R101=0,$X101,IF(AND($T101&lt;&gt;"",EDATE($D101,Milestones!$AA$53)&gt;=$T101),$W101,IF(AND($S101&lt;&gt;"",EDATE($D101,Milestones!$AA$53)&gt;=$S101),$V101,$U101)))=Milestones!$AB$53),UPPER(TEXT(EDATE($D101,Milestones!$AA$53),"dd mmm yy"))&amp;" "&amp;Milestones!$AB$53&amp;" "&amp;Milestones!$AC$53&amp;";  ","")&amp;IF(AND(EDATE($D101,Milestones!$AA$54)&lt;=AsOfDate,IF($R101=0,$X101,IF(AND($T101&lt;&gt;"",EDATE($D101,Milestones!$AA$54)&gt;=$T101),$W101,IF(AND($S101&lt;&gt;"",EDATE($D101,Milestones!$AA$54)&gt;=$S101),$V101,$U101)))=Milestones!$AB$54),UPPER(TEXT(EDATE($D101,Milestones!$AA$54),"dd mmm yy"))&amp;" "&amp;Milestones!$AB$54&amp;" "&amp;Milestones!$AC$54&amp;";  ","")&amp;IF(AND(EDATE($D101,Milestones!$AA$55)&lt;=AsOfDate,IF($R101=0,$X101,IF(AND($T101&lt;&gt;"",EDATE($D101,Milestones!$AA$55)&gt;=$T101),$W101,IF(AND($S101&lt;&gt;"",EDATE($D101,Milestones!$AA$55)&gt;=$S101),$V101,$U101)))=Milestones!$AB$55),UPPER(TEXT(EDATE($D101,Milestones!$AA$55),"dd mmm yy"))&amp;" "&amp;Milestones!$AB$55&amp;" "&amp;Milestones!$AC$55&amp;";  ","")&amp;IF(AND(EDATE($D101,Milestones!$AA$56)&lt;=AsOfDate,IF($R101=0,$X101,IF(AND($T101&lt;&gt;"",EDATE($D101,Milestones!$AA$56)&gt;=$T101),$W101,IF(AND($S101&lt;&gt;"",EDATE($D101,Milestones!$AA$56)&gt;=$S101),$V101,$U101)))=Milestones!$AB$56),UPPER(TEXT(EDATE($D101,Milestones!$AA$56),"dd mmm yy"))&amp;" "&amp;Milestones!$AB$56&amp;" "&amp;Milestones!$AC$56&amp;";  ","")&amp;IF(AND(EDATE($D101,Milestones!$AA$57)&lt;=AsOfDate,IF($R101=0,$X101,IF(AND($T101&lt;&gt;"",EDATE($D101,Milestones!$AA$57)&gt;=$T101),$W101,IF(AND($S101&lt;&gt;"",EDATE($D101,Milestones!$AA$57)&gt;=$S101),$V101,$U101)))=Milestones!$AB$57),UPPER(TEXT(EDATE($D101,Milestones!$AA$57),"dd mmm yy"))&amp;" "&amp;Milestones!$AB$57&amp;" "&amp;Milestones!$AC$57&amp;";  ","")&amp;IF(AND(EDATE($D101,Milestones!$AA$58)&lt;=AsOfDate,IF($R101=0,$X101,IF(AND($T101&lt;&gt;"",EDATE($D101,Milestones!$AA$58)&gt;=$T101),$W101,IF(AND($S101&lt;&gt;"",EDATE($D101,Milestones!$AA$58)&gt;=$S101),$V101,$U101)))=Milestones!$AB$58),UPPER(TEXT(EDATE($D101,Milestones!$AA$58),"dd mmm yy"))&amp;" "&amp;Milestones!$AB$58&amp;" "&amp;Milestones!$AC$58&amp;";  ","")&amp;IF(AND(EDATE($D101,Milestones!$AA$59)&lt;=AsOfDate,IF($R101=0,$X101,IF(AND($T101&lt;&gt;"",EDATE($D101,Milestones!$AA$59)&gt;=$T101),$W101,IF(AND($S101&lt;&gt;"",EDATE($D101,Milestones!$AA$59)&gt;=$S101),$V101,$U101)))=Milestones!$AB$59),UPPER(TEXT(EDATE($D101,Milestones!$AA$59),"dd mmm yy"))&amp;" "&amp;Milestones!$AB$59&amp;" "&amp;Milestones!$AC$59&amp;";  ",""))</f>
        <v/>
      </c>
      <c r="K101" s="0" t="str">
        <f aca="false">IF(OR($A101="",$D101=""),"",IF(AND(EDATE($D101,Milestones!$AA$60)&lt;=AsOfDate,IF($R101=0,$X101,IF(AND($T101&lt;&gt;"",EDATE($D101,Milestones!$AA$60)&gt;=$T101),$W101,IF(AND($S101&lt;&gt;"",EDATE($D101,Milestones!$AA$60)&gt;=$S101),$V101,$U101)))=Milestones!$AB$60),UPPER(TEXT(EDATE($D101,Milestones!$AA$60),"dd mmm yy"))&amp;" "&amp;Milestones!$AB$60&amp;" "&amp;Milestones!$AC$60&amp;";  ","")&amp;IF(AND(EDATE($D101,Milestones!$AA$61)&lt;=AsOfDate,IF($R101=0,$X101,IF(AND($T101&lt;&gt;"",EDATE($D101,Milestones!$AA$61)&gt;=$T101),$W101,IF(AND($S101&lt;&gt;"",EDATE($D101,Milestones!$AA$61)&gt;=$S101),$V101,$U101)))=Milestones!$AB$61),UPPER(TEXT(EDATE($D101,Milestones!$AA$61),"dd mmm yy"))&amp;" "&amp;Milestones!$AB$61&amp;" "&amp;Milestones!$AC$61&amp;";  ","")&amp;IF(AND(EDATE($D101,Milestones!$AA$62)&lt;=AsOfDate,IF($R101=0,$X101,IF(AND($T101&lt;&gt;"",EDATE($D101,Milestones!$AA$62)&gt;=$T101),$W101,IF(AND($S101&lt;&gt;"",EDATE($D101,Milestones!$AA$62)&gt;=$S101),$V101,$U101)))=Milestones!$AB$62),UPPER(TEXT(EDATE($D101,Milestones!$AA$62),"dd mmm yy"))&amp;" "&amp;Milestones!$AB$62&amp;" "&amp;Milestones!$AC$62&amp;";  ","")&amp;IF(AND(EDATE($D101,Milestones!$AA$63)&lt;=AsOfDate,IF($R101=0,$X101,IF(AND($T101&lt;&gt;"",EDATE($D101,Milestones!$AA$63)&gt;=$T101),$W101,IF(AND($S101&lt;&gt;"",EDATE($D101,Milestones!$AA$63)&gt;=$S101),$V101,$U101)))=Milestones!$AB$63),UPPER(TEXT(EDATE($D101,Milestones!$AA$63),"dd mmm yy"))&amp;" "&amp;Milestones!$AB$63&amp;" "&amp;Milestones!$AC$63&amp;";  ","")&amp;IF(AND(EDATE($D101,Milestones!$AA$64)&lt;=AsOfDate,IF($R101=0,$X101,IF(AND($T101&lt;&gt;"",EDATE($D101,Milestones!$AA$64)&gt;=$T101),$W101,IF(AND($S101&lt;&gt;"",EDATE($D101,Milestones!$AA$64)&gt;=$S101),$V101,$U101)))=Milestones!$AB$64),UPPER(TEXT(EDATE($D101,Milestones!$AA$64),"dd mmm yy"))&amp;" "&amp;Milestones!$AB$64&amp;" "&amp;Milestones!$AC$64&amp;";  ","")&amp;IF(AND(EDATE($D101,Milestones!$AA$65)&lt;=AsOfDate,IF($R101=0,$X101,IF(AND($T101&lt;&gt;"",EDATE($D101,Milestones!$AA$65)&gt;=$T101),$W101,IF(AND($S101&lt;&gt;"",EDATE($D101,Milestones!$AA$65)&gt;=$S101),$V101,$U101)))=Milestones!$AB$65),UPPER(TEXT(EDATE($D101,Milestones!$AA$65),"dd mmm yy"))&amp;" "&amp;Milestones!$AB$65&amp;" "&amp;Milestones!$AC$65&amp;";  ","")&amp;IF(AND(EDATE($D101,Milestones!$AA$66)&lt;=AsOfDate,IF($R101=0,$X101,IF(AND($T101&lt;&gt;"",EDATE($D101,Milestones!$AA$66)&gt;=$T101),$W101,IF(AND($S101&lt;&gt;"",EDATE($D101,Milestones!$AA$66)&gt;=$S101),$V101,$U101)))=Milestones!$AB$66),UPPER(TEXT(EDATE($D101,Milestones!$AA$66),"dd mmm yy"))&amp;" "&amp;Milestones!$AB$66&amp;" "&amp;Milestones!$AC$66&amp;";  ","")&amp;IF(AND(EDATE($D101,Milestones!$AA$67)&lt;=AsOfDate,IF($R101=0,$X101,IF(AND($T101&lt;&gt;"",EDATE($D101,Milestones!$AA$67)&gt;=$T101),$W101,IF(AND($S101&lt;&gt;"",EDATE($D101,Milestones!$AA$67)&gt;=$S101),$V101,$U101)))=Milestones!$AB$67),UPPER(TEXT(EDATE($D101,Milestones!$AA$67),"dd mmm yy"))&amp;" "&amp;Milestones!$AB$67&amp;" "&amp;Milestones!$AC$67&amp;";  ","")&amp;IF(AND(EDATE($D101,Milestones!$AA$68)&lt;=AsOfDate,IF($R101=0,$X101,IF(AND($T101&lt;&gt;"",EDATE($D101,Milestones!$AA$68)&gt;=$T101),$W101,IF(AND($S101&lt;&gt;"",EDATE($D101,Milestones!$AA$68)&gt;=$S101),$V101,$U101)))=Milestones!$AB$68),UPPER(TEXT(EDATE($D101,Milestones!$AA$68),"dd mmm yy"))&amp;" "&amp;Milestones!$AB$68&amp;" "&amp;Milestones!$AC$68&amp;";  ","")&amp;IF(AND(EDATE($D101,Milestones!$AA$69)&lt;=AsOfDate,IF($R101=0,$X101,IF(AND($T101&lt;&gt;"",EDATE($D101,Milestones!$AA$69)&gt;=$T101),$W101,IF(AND($S101&lt;&gt;"",EDATE($D101,Milestones!$AA$69)&gt;=$S101),$V101,$U101)))=Milestones!$AB$69),UPPER(TEXT(EDATE($D101,Milestones!$AA$69),"dd mmm yy"))&amp;" "&amp;Milestones!$AB$69&amp;" "&amp;Milestones!$AC$69&amp;";  ","")&amp;IF(AND(EDATE($D101,Milestones!$AA$70)&lt;=AsOfDate,IF($R101=0,$X101,IF(AND($T101&lt;&gt;"",EDATE($D101,Milestones!$AA$70)&gt;=$T101),$W101,IF(AND($S101&lt;&gt;"",EDATE($D101,Milestones!$AA$70)&gt;=$S101),$V101,$U101)))=Milestones!$AB$70),UPPER(TEXT(EDATE($D101,Milestones!$AA$70),"dd mmm yy"))&amp;" "&amp;Milestones!$AB$70&amp;" "&amp;Milestones!$AC$70&amp;";  ","")&amp;IF(AND(EDATE($D101,Milestones!$AA$71)&lt;=AsOfDate,IF($R101=0,$X101,IF(AND($T101&lt;&gt;"",EDATE($D101,Milestones!$AA$71)&gt;=$T101),$W101,IF(AND($S101&lt;&gt;"",EDATE($D101,Milestones!$AA$71)&gt;=$S101),$V101,$U101)))=Milestones!$AB$71),UPPER(TEXT(EDATE($D101,Milestones!$AA$71),"dd mmm yy"))&amp;" "&amp;Milestones!$AB$71&amp;" "&amp;Milestones!$AC$71&amp;";  ","")&amp;IF(AND(EDATE($D101,Milestones!$AA$72)&lt;=AsOfDate,IF($R101=0,$X101,IF(AND($T101&lt;&gt;"",EDATE($D101,Milestones!$AA$72)&gt;=$T101),$W101,IF(AND($S101&lt;&gt;"",EDATE($D101,Milestones!$AA$72)&gt;=$S101),$V101,$U101)))=Milestones!$AB$72),UPPER(TEXT(EDATE($D101,Milestones!$AA$72),"dd mmm yy"))&amp;" "&amp;Milestones!$AB$72&amp;" "&amp;Milestones!$AC$72&amp;";  ","")&amp;IF(AND(EDATE($D101,Milestones!$AA$73)&lt;=AsOfDate,IF($R101=0,$X101,IF(AND($T101&lt;&gt;"",EDATE($D101,Milestones!$AA$73)&gt;=$T101),$W101,IF(AND($S101&lt;&gt;"",EDATE($D101,Milestones!$AA$73)&gt;=$S101),$V101,$U101)))=Milestones!$AB$73),UPPER(TEXT(EDATE($D101,Milestones!$AA$73),"dd mmm yy"))&amp;" "&amp;Milestones!$AB$73&amp;" "&amp;Milestones!$AC$73&amp;";  ","")&amp;IF(AND(EDATE($D101,Milestones!$AA$74)&lt;=AsOfDate,IF($R101=0,$X101,IF(AND($T101&lt;&gt;"",EDATE($D101,Milestones!$AA$74)&gt;=$T101),$W101,IF(AND($S101&lt;&gt;"",EDATE($D101,Milestones!$AA$74)&gt;=$S101),$V101,$U101)))=Milestones!$AB$74),UPPER(TEXT(EDATE($D101,Milestones!$AA$74),"dd mmm yy"))&amp;" "&amp;Milestones!$AB$74&amp;" "&amp;Milestones!$AC$74&amp;";  ","")&amp;IF(AND(EDATE($D101,Milestones!$AA$75)&lt;=AsOfDate,IF($R101=0,$X101,IF(AND($T101&lt;&gt;"",EDATE($D101,Milestones!$AA$75)&gt;=$T101),$W101,IF(AND($S101&lt;&gt;"",EDATE($D101,Milestones!$AA$75)&gt;=$S101),$V101,$U101)))=Milestones!$AB$75),UPPER(TEXT(EDATE($D101,Milestones!$AA$75),"dd mmm yy"))&amp;" "&amp;Milestones!$AB$75&amp;" "&amp;Milestones!$AC$75&amp;";  ","")&amp;IF(AND(EDATE($D101,Milestones!$AA$76)&lt;=AsOfDate,IF($R101=0,$X101,IF(AND($T101&lt;&gt;"",EDATE($D101,Milestones!$AA$76)&gt;=$T101),$W101,IF(AND($S101&lt;&gt;"",EDATE($D101,Milestones!$AA$76)&gt;=$S101),$V101,$U101)))=Milestones!$AB$76),UPPER(TEXT(EDATE($D101,Milestones!$AA$76),"dd mmm yy"))&amp;" "&amp;Milestones!$AB$76&amp;" "&amp;Milestones!$AC$76&amp;";  ","")&amp;IF(AND(EDATE($D101,Milestones!$AA$77)&lt;=AsOfDate,IF($R101=0,$X101,IF(AND($T101&lt;&gt;"",EDATE($D101,Milestones!$AA$77)&gt;=$T101),$W101,IF(AND($S101&lt;&gt;"",EDATE($D101,Milestones!$AA$77)&gt;=$S101),$V101,$U101)))=Milestones!$AB$77),UPPER(TEXT(EDATE($D101,Milestones!$AA$77),"dd mmm yy"))&amp;" "&amp;Milestones!$AB$77&amp;" "&amp;Milestones!$AC$77&amp;";  ","")&amp;IF(AND(EDATE($D101,Milestones!$AA$78)&lt;=AsOfDate,IF($R101=0,$X101,IF(AND($T101&lt;&gt;"",EDATE($D101,Milestones!$AA$78)&gt;=$T101),$W101,IF(AND($S101&lt;&gt;"",EDATE($D101,Milestones!$AA$78)&gt;=$S101),$V101,$U101)))=Milestones!$AB$78),UPPER(TEXT(EDATE($D101,Milestones!$AA$78),"dd mmm yy"))&amp;" "&amp;Milestones!$AB$78&amp;" "&amp;Milestones!$AC$78&amp;";  ","")&amp;IF(AND(EDATE($D101,Milestones!$AA$79)&lt;=AsOfDate,IF($R101=0,$X101,IF(AND($T101&lt;&gt;"",EDATE($D101,Milestones!$AA$79)&gt;=$T101),$W101,IF(AND($S101&lt;&gt;"",EDATE($D101,Milestones!$AA$79)&gt;=$S101),$V101,$U101)))=Milestones!$AB$79),UPPER(TEXT(EDATE($D101,Milestones!$AA$79),"dd mmm yy"))&amp;" "&amp;Milestones!$AB$79&amp;" "&amp;Milestones!$AC$79&amp;";  ",""))</f>
        <v/>
      </c>
      <c r="L101" s="0" t="str">
        <f aca="false">IF(OR($A101="",$D101=""),"",IF(AND(EDATE($D101,Milestones!$AA$80)&lt;=AsOfDate,IF($R101=0,$X101,IF(AND($T101&lt;&gt;"",EDATE($D101,Milestones!$AA$80)&gt;=$T101),$W101,IF(AND($S101&lt;&gt;"",EDATE($D101,Milestones!$AA$80)&gt;=$S101),$V101,$U101)))=Milestones!$AB$80),UPPER(TEXT(EDATE($D101,Milestones!$AA$80),"dd mmm yy"))&amp;" "&amp;Milestones!$AB$80&amp;" "&amp;Milestones!$AC$80&amp;";  ","")&amp;IF(AND(EDATE($D101,Milestones!$AA$81)&lt;=AsOfDate,IF($R101=0,$X101,IF(AND($T101&lt;&gt;"",EDATE($D101,Milestones!$AA$81)&gt;=$T101),$W101,IF(AND($S101&lt;&gt;"",EDATE($D101,Milestones!$AA$81)&gt;=$S101),$V101,$U101)))=Milestones!$AB$81),UPPER(TEXT(EDATE($D101,Milestones!$AA$81),"dd mmm yy"))&amp;" "&amp;Milestones!$AB$81&amp;" "&amp;Milestones!$AC$81&amp;";  ","")&amp;IF(AND(EDATE($D101,Milestones!$AA$82)&lt;=AsOfDate,IF($R101=0,$X101,IF(AND($T101&lt;&gt;"",EDATE($D101,Milestones!$AA$82)&gt;=$T101),$W101,IF(AND($S101&lt;&gt;"",EDATE($D101,Milestones!$AA$82)&gt;=$S101),$V101,$U101)))=Milestones!$AB$82),UPPER(TEXT(EDATE($D101,Milestones!$AA$82),"dd mmm yy"))&amp;" "&amp;Milestones!$AB$82&amp;" "&amp;Milestones!$AC$82&amp;";  ","")&amp;IF(AND(EDATE($D101,Milestones!$AA$83)&lt;=AsOfDate,IF($R101=0,$X101,IF(AND($T101&lt;&gt;"",EDATE($D101,Milestones!$AA$83)&gt;=$T101),$W101,IF(AND($S101&lt;&gt;"",EDATE($D101,Milestones!$AA$83)&gt;=$S101),$V101,$U101)))=Milestones!$AB$83),UPPER(TEXT(EDATE($D101,Milestones!$AA$83),"dd mmm yy"))&amp;" "&amp;Milestones!$AB$83&amp;" "&amp;Milestones!$AC$83&amp;";  ","")&amp;IF(AND(EDATE($D101,Milestones!$AA$84)&lt;=AsOfDate,IF($R101=0,$X101,IF(AND($T101&lt;&gt;"",EDATE($D101,Milestones!$AA$84)&gt;=$T101),$W101,IF(AND($S101&lt;&gt;"",EDATE($D101,Milestones!$AA$84)&gt;=$S101),$V101,$U101)))=Milestones!$AB$84),UPPER(TEXT(EDATE($D101,Milestones!$AA$84),"dd mmm yy"))&amp;" "&amp;Milestones!$AB$84&amp;" "&amp;Milestones!$AC$84&amp;";  ","")&amp;IF(AND(EDATE($D101,Milestones!$AA$85)&lt;=AsOfDate,IF($R101=0,$X101,IF(AND($T101&lt;&gt;"",EDATE($D101,Milestones!$AA$85)&gt;=$T101),$W101,IF(AND($S101&lt;&gt;"",EDATE($D101,Milestones!$AA$85)&gt;=$S101),$V101,$U101)))=Milestones!$AB$85),UPPER(TEXT(EDATE($D101,Milestones!$AA$85),"dd mmm yy"))&amp;" "&amp;Milestones!$AB$85&amp;" "&amp;Milestones!$AC$85&amp;";  ","")&amp;IF(AND(EDATE($D101,Milestones!$AA$86)&lt;=AsOfDate,IF($R101=0,$X101,IF(AND($T101&lt;&gt;"",EDATE($D101,Milestones!$AA$86)&gt;=$T101),$W101,IF(AND($S101&lt;&gt;"",EDATE($D101,Milestones!$AA$86)&gt;=$S101),$V101,$U101)))=Milestones!$AB$86),UPPER(TEXT(EDATE($D101,Milestones!$AA$86),"dd mmm yy"))&amp;" "&amp;Milestones!$AB$86&amp;" "&amp;Milestones!$AC$86&amp;";  ","")&amp;IF(AND(EDATE($D101,Milestones!$AA$87)&lt;=AsOfDate,IF($R101=0,$X101,IF(AND($T101&lt;&gt;"",EDATE($D101,Milestones!$AA$87)&gt;=$T101),$W101,IF(AND($S101&lt;&gt;"",EDATE($D101,Milestones!$AA$87)&gt;=$S101),$V101,$U101)))=Milestones!$AB$87),UPPER(TEXT(EDATE($D101,Milestones!$AA$87),"dd mmm yy"))&amp;" "&amp;Milestones!$AB$87&amp;" "&amp;Milestones!$AC$87&amp;";  ","")&amp;IF(AND(EDATE($D101,Milestones!$AA$88)&lt;=AsOfDate,IF($R101=0,$X101,IF(AND($T101&lt;&gt;"",EDATE($D101,Milestones!$AA$88)&gt;=$T101),$W101,IF(AND($S101&lt;&gt;"",EDATE($D101,Milestones!$AA$88)&gt;=$S101),$V101,$U101)))=Milestones!$AB$88),UPPER(TEXT(EDATE($D101,Milestones!$AA$88),"dd mmm yy"))&amp;" "&amp;Milestones!$AB$88&amp;" "&amp;Milestones!$AC$88&amp;";  ","")&amp;IF(AND(EDATE($D101,Milestones!$AA$89)&lt;=AsOfDate,IF($R101=0,$X101,IF(AND($T101&lt;&gt;"",EDATE($D101,Milestones!$AA$89)&gt;=$T101),$W101,IF(AND($S101&lt;&gt;"",EDATE($D101,Milestones!$AA$89)&gt;=$S101),$V101,$U101)))=Milestones!$AB$89),UPPER(TEXT(EDATE($D101,Milestones!$AA$89),"dd mmm yy"))&amp;" "&amp;Milestones!$AB$89&amp;" "&amp;Milestones!$AC$89&amp;";  ","")&amp;IF(AND(EDATE($D101,Milestones!$AA$90)&lt;=AsOfDate,IF($R101=0,$X101,IF(AND($T101&lt;&gt;"",EDATE($D101,Milestones!$AA$90)&gt;=$T101),$W101,IF(AND($S101&lt;&gt;"",EDATE($D101,Milestones!$AA$90)&gt;=$S101),$V101,$U101)))=Milestones!$AB$90),UPPER(TEXT(EDATE($D101,Milestones!$AA$90),"dd mmm yy"))&amp;" "&amp;Milestones!$AB$90&amp;" "&amp;Milestones!$AC$90&amp;";  ","")&amp;IF(AND(EDATE($D101,Milestones!$AA$91)&lt;=AsOfDate,IF($R101=0,$X101,IF(AND($T101&lt;&gt;"",EDATE($D101,Milestones!$AA$91)&gt;=$T101),$W101,IF(AND($S101&lt;&gt;"",EDATE($D101,Milestones!$AA$91)&gt;=$S101),$V101,$U101)))=Milestones!$AB$91),UPPER(TEXT(EDATE($D101,Milestones!$AA$91),"dd mmm yy"))&amp;" "&amp;Milestones!$AB$91&amp;" "&amp;Milestones!$AC$91&amp;";  ","")&amp;IF(AND(EDATE($D101,Milestones!$AA$92)&lt;=AsOfDate,IF($R101=0,$X101,IF(AND($T101&lt;&gt;"",EDATE($D101,Milestones!$AA$92)&gt;=$T101),$W101,IF(AND($S101&lt;&gt;"",EDATE($D101,Milestones!$AA$92)&gt;=$S101),$V101,$U101)))=Milestones!$AB$92),UPPER(TEXT(EDATE($D101,Milestones!$AA$92),"dd mmm yy"))&amp;" "&amp;Milestones!$AB$92&amp;" "&amp;Milestones!$AC$92&amp;";  ","")&amp;IF(AND(EDATE($D101,Milestones!$AA$93)&lt;=AsOfDate,IF($R101=0,$X101,IF(AND($T101&lt;&gt;"",EDATE($D101,Milestones!$AA$93)&gt;=$T101),$W101,IF(AND($S101&lt;&gt;"",EDATE($D101,Milestones!$AA$93)&gt;=$S101),$V101,$U101)))=Milestones!$AB$93),UPPER(TEXT(EDATE($D101,Milestones!$AA$93),"dd mmm yy"))&amp;" "&amp;Milestones!$AB$93&amp;" "&amp;Milestones!$AC$93&amp;";  ","")&amp;IF(AND(EDATE($D101,Milestones!$AA$94)&lt;=AsOfDate,IF($R101=0,$X101,IF(AND($T101&lt;&gt;"",EDATE($D101,Milestones!$AA$94)&gt;=$T101),$W101,IF(AND($S101&lt;&gt;"",EDATE($D101,Milestones!$AA$94)&gt;=$S101),$V101,$U101)))=Milestones!$AB$94),UPPER(TEXT(EDATE($D101,Milestones!$AA$94),"dd mmm yy"))&amp;" "&amp;Milestones!$AB$94&amp;" "&amp;Milestones!$AC$94&amp;";  ","")&amp;IF(AND(EDATE($D101,Milestones!$AA$95)&lt;=AsOfDate,IF($R101=0,$X101,IF(AND($T101&lt;&gt;"",EDATE($D101,Milestones!$AA$95)&gt;=$T101),$W101,IF(AND($S101&lt;&gt;"",EDATE($D101,Milestones!$AA$95)&gt;=$S101),$V101,$U101)))=Milestones!$AB$95),UPPER(TEXT(EDATE($D101,Milestones!$AA$95),"dd mmm yy"))&amp;" "&amp;Milestones!$AB$95&amp;" "&amp;Milestones!$AC$95&amp;";  ","")&amp;IF(AND(EDATE($D101,Milestones!$AA$96)&lt;=AsOfDate,IF($R101=0,$X101,IF(AND($T101&lt;&gt;"",EDATE($D101,Milestones!$AA$96)&gt;=$T101),$W101,IF(AND($S101&lt;&gt;"",EDATE($D101,Milestones!$AA$96)&gt;=$S101),$V101,$U101)))=Milestones!$AB$96),UPPER(TEXT(EDATE($D101,Milestones!$AA$96),"dd mmm yy"))&amp;" "&amp;Milestones!$AB$96&amp;" "&amp;Milestones!$AC$96&amp;";  ","")&amp;IF(AND(EDATE($D101,Milestones!$AA$97)&lt;=AsOfDate,IF($R101=0,$X101,IF(AND($T101&lt;&gt;"",EDATE($D101,Milestones!$AA$97)&gt;=$T101),$W101,IF(AND($S101&lt;&gt;"",EDATE($D101,Milestones!$AA$97)&gt;=$S101),$V101,$U101)))=Milestones!$AB$97),UPPER(TEXT(EDATE($D101,Milestones!$AA$97),"dd mmm yy"))&amp;" "&amp;Milestones!$AB$97&amp;" "&amp;Milestones!$AC$97&amp;";  ","")&amp;IF(AND(EDATE($D101,Milestones!$AA$98)&lt;=AsOfDate,IF($R101=0,$X101,IF(AND($T101&lt;&gt;"",EDATE($D101,Milestones!$AA$98)&gt;=$T101),$W101,IF(AND($S101&lt;&gt;"",EDATE($D101,Milestones!$AA$98)&gt;=$S101),$V101,$U101)))=Milestones!$AB$98),UPPER(TEXT(EDATE($D101,Milestones!$AA$98),"dd mmm yy"))&amp;" "&amp;Milestones!$AB$98&amp;" "&amp;Milestones!$AC$98&amp;";  ","")&amp;IF(AND(EDATE($D101,Milestones!$AA$99)&lt;=AsOfDate,IF($R101=0,$X101,IF(AND($T101&lt;&gt;"",EDATE($D101,Milestones!$AA$99)&gt;=$T101),$W101,IF(AND($S101&lt;&gt;"",EDATE($D101,Milestones!$AA$99)&gt;=$S101),$V101,$U101)))=Milestones!$AB$99),UPPER(TEXT(EDATE($D101,Milestones!$AA$99),"dd mmm yy"))&amp;" "&amp;Milestones!$AB$99&amp;" "&amp;Milestones!$AC$99&amp;";  ",""))</f>
        <v/>
      </c>
      <c r="M101" s="0" t="str">
        <f aca="false">IF(OR($A101="",$D101=""),"",IF(AND(EDATE($D101,Milestones!$AA$100)&lt;=AsOfDate,IF($R101=0,$X101,IF(AND($T101&lt;&gt;"",EDATE($D101,Milestones!$AA$100)&gt;=$T101),$W101,IF(AND($S101&lt;&gt;"",EDATE($D101,Milestones!$AA$100)&gt;=$S101),$V101,$U101)))=Milestones!$AB$100),UPPER(TEXT(EDATE($D101,Milestones!$AA$100),"dd mmm yy"))&amp;" "&amp;Milestones!$AB$100&amp;" "&amp;Milestones!$AC$100&amp;";  ","")&amp;IF(AND(EDATE($D101,Milestones!$AA$101)&lt;=AsOfDate,IF($R101=0,$X101,IF(AND($T101&lt;&gt;"",EDATE($D101,Milestones!$AA$101)&gt;=$T101),$W101,IF(AND($S101&lt;&gt;"",EDATE($D101,Milestones!$AA$101)&gt;=$S101),$V101,$U101)))=Milestones!$AB$101),UPPER(TEXT(EDATE($D101,Milestones!$AA$101),"dd mmm yy"))&amp;" "&amp;Milestones!$AB$101&amp;" "&amp;Milestones!$AC$101&amp;";  ","")&amp;IF(AND(EDATE($D101,Milestones!$AA$102)&lt;=AsOfDate,IF($R101=0,$X101,IF(AND($T101&lt;&gt;"",EDATE($D101,Milestones!$AA$102)&gt;=$T101),$W101,IF(AND($S101&lt;&gt;"",EDATE($D101,Milestones!$AA$102)&gt;=$S101),$V101,$U101)))=Milestones!$AB$102),UPPER(TEXT(EDATE($D101,Milestones!$AA$102),"dd mmm yy"))&amp;" "&amp;Milestones!$AB$102&amp;" "&amp;Milestones!$AC$102&amp;";  ","")&amp;IF(AND(EDATE($D101,Milestones!$AA$103)&lt;=AsOfDate,IF($R101=0,$X101,IF(AND($T101&lt;&gt;"",EDATE($D101,Milestones!$AA$103)&gt;=$T101),$W101,IF(AND($S101&lt;&gt;"",EDATE($D101,Milestones!$AA$103)&gt;=$S101),$V101,$U101)))=Milestones!$AB$103),UPPER(TEXT(EDATE($D101,Milestones!$AA$103),"dd mmm yy"))&amp;" "&amp;Milestones!$AB$103&amp;" "&amp;Milestones!$AC$103&amp;";  ","")&amp;IF(AND(EDATE($D101,Milestones!$AA$104)&lt;=AsOfDate,IF($R101=0,$X101,IF(AND($T101&lt;&gt;"",EDATE($D101,Milestones!$AA$104)&gt;=$T101),$W101,IF(AND($S101&lt;&gt;"",EDATE($D101,Milestones!$AA$104)&gt;=$S101),$V101,$U101)))=Milestones!$AB$104),UPPER(TEXT(EDATE($D101,Milestones!$AA$104),"dd mmm yy"))&amp;" "&amp;Milestones!$AB$104&amp;" "&amp;Milestones!$AC$104&amp;";  ","")&amp;IF(AND(EDATE($D101,Milestones!$AA$105)&lt;=AsOfDate,IF($R101=0,$X101,IF(AND($T101&lt;&gt;"",EDATE($D101,Milestones!$AA$105)&gt;=$T101),$W101,IF(AND($S101&lt;&gt;"",EDATE($D101,Milestones!$AA$105)&gt;=$S101),$V101,$U101)))=Milestones!$AB$105),UPPER(TEXT(EDATE($D101,Milestones!$AA$105),"dd mmm yy"))&amp;" "&amp;Milestones!$AB$105&amp;" "&amp;Milestones!$AC$105&amp;";  ","")&amp;IF(AND(EDATE($D101,Milestones!$AA$106)&lt;=AsOfDate,IF($R101=0,$X101,IF(AND($T101&lt;&gt;"",EDATE($D101,Milestones!$AA$106)&gt;=$T101),$W101,IF(AND($S101&lt;&gt;"",EDATE($D101,Milestones!$AA$106)&gt;=$S101),$V101,$U101)))=Milestones!$AB$106),UPPER(TEXT(EDATE($D101,Milestones!$AA$106),"dd mmm yy"))&amp;" "&amp;Milestones!$AB$106&amp;" "&amp;Milestones!$AC$106&amp;";  ","")&amp;IF(AND(EDATE($D101,Milestones!$AA$107)&lt;=AsOfDate,IF($R101=0,$X101,IF(AND($T101&lt;&gt;"",EDATE($D101,Milestones!$AA$107)&gt;=$T101),$W101,IF(AND($S101&lt;&gt;"",EDATE($D101,Milestones!$AA$107)&gt;=$S101),$V101,$U101)))=Milestones!$AB$107),UPPER(TEXT(EDATE($D101,Milestones!$AA$107),"dd mmm yy"))&amp;" "&amp;Milestones!$AB$107&amp;" "&amp;Milestones!$AC$107&amp;";  ","")&amp;IF(AND(EDATE($D101,Milestones!$AA$108)&lt;=AsOfDate,IF($R101=0,$X101,IF(AND($T101&lt;&gt;"",EDATE($D101,Milestones!$AA$108)&gt;=$T101),$W101,IF(AND($S101&lt;&gt;"",EDATE($D101,Milestones!$AA$108)&gt;=$S101),$V101,$U101)))=Milestones!$AB$108),UPPER(TEXT(EDATE($D101,Milestones!$AA$108),"dd mmm yy"))&amp;" "&amp;Milestones!$AB$108&amp;" "&amp;Milestones!$AC$108&amp;";  ","")&amp;IF(AND(EDATE($D101,Milestones!$AA$109)&lt;=AsOfDate,IF($R101=0,$X101,IF(AND($T101&lt;&gt;"",EDATE($D101,Milestones!$AA$109)&gt;=$T101),$W101,IF(AND($S101&lt;&gt;"",EDATE($D101,Milestones!$AA$109)&gt;=$S101),$V101,$U101)))=Milestones!$AB$109),UPPER(TEXT(EDATE($D101,Milestones!$AA$109),"dd mmm yy"))&amp;" "&amp;Milestones!$AB$109&amp;" "&amp;Milestones!$AC$109&amp;";  ","")&amp;IF(AND(EDATE($D101,Milestones!$AA$110)&lt;=AsOfDate,IF($R101=0,$X101,IF(AND($T101&lt;&gt;"",EDATE($D101,Milestones!$AA$110)&gt;=$T101),$W101,IF(AND($S101&lt;&gt;"",EDATE($D101,Milestones!$AA$110)&gt;=$S101),$V101,$U101)))=Milestones!$AB$110),UPPER(TEXT(EDATE($D101,Milestones!$AA$110),"dd mmm yy"))&amp;" "&amp;Milestones!$AB$110&amp;" "&amp;Milestones!$AC$110&amp;";  ","")&amp;IF(AND(EDATE($D101,Milestones!$AA$111)&lt;=AsOfDate,IF($R101=0,$X101,IF(AND($T101&lt;&gt;"",EDATE($D101,Milestones!$AA$111)&gt;=$T101),$W101,IF(AND($S101&lt;&gt;"",EDATE($D101,Milestones!$AA$111)&gt;=$S101),$V101,$U101)))=Milestones!$AB$111),UPPER(TEXT(EDATE($D101,Milestones!$AA$111),"dd mmm yy"))&amp;" "&amp;Milestones!$AB$111&amp;" "&amp;Milestones!$AC$111&amp;";  ","")&amp;IF(AND(EDATE($D101,Milestones!$AA$112)&lt;=AsOfDate,IF($R101=0,$X101,IF(AND($T101&lt;&gt;"",EDATE($D101,Milestones!$AA$112)&gt;=$T101),$W101,IF(AND($S101&lt;&gt;"",EDATE($D101,Milestones!$AA$112)&gt;=$S101),$V101,$U101)))=Milestones!$AB$112),UPPER(TEXT(EDATE($D101,Milestones!$AA$112),"dd mmm yy"))&amp;" "&amp;Milestones!$AB$112&amp;" "&amp;Milestones!$AC$112&amp;";  ","")&amp;IF(AND(EDATE($D101,Milestones!$AA$113)&lt;=AsOfDate,IF($R101=0,$X101,IF(AND($T101&lt;&gt;"",EDATE($D101,Milestones!$AA$113)&gt;=$T101),$W101,IF(AND($S101&lt;&gt;"",EDATE($D101,Milestones!$AA$113)&gt;=$S101),$V101,$U101)))=Milestones!$AB$113),UPPER(TEXT(EDATE($D101,Milestones!$AA$113),"dd mmm yy"))&amp;" "&amp;Milestones!$AB$113&amp;" "&amp;Milestones!$AC$113&amp;";  ","")&amp;IF(AND(EDATE($D101,Milestones!$AA$114)&lt;=AsOfDate,IF($R101=0,$X101,IF(AND($T101&lt;&gt;"",EDATE($D101,Milestones!$AA$114)&gt;=$T101),$W101,IF(AND($S101&lt;&gt;"",EDATE($D101,Milestones!$AA$114)&gt;=$S101),$V101,$U101)))=Milestones!$AB$114),UPPER(TEXT(EDATE($D101,Milestones!$AA$114),"dd mmm yy"))&amp;" "&amp;Milestones!$AB$114&amp;" "&amp;Milestones!$AC$114&amp;";  ","")&amp;IF(AND(EDATE($D101,Milestones!$AA$115)&lt;=AsOfDate,IF($R101=0,$X101,IF(AND($T101&lt;&gt;"",EDATE($D101,Milestones!$AA$115)&gt;=$T101),$W101,IF(AND($S101&lt;&gt;"",EDATE($D101,Milestones!$AA$115)&gt;=$S101),$V101,$U101)))=Milestones!$AB$115),UPPER(TEXT(EDATE($D101,Milestones!$AA$115),"dd mmm yy"))&amp;" "&amp;Milestones!$AB$115&amp;" "&amp;Milestones!$AC$115&amp;";  ","")&amp;IF(AND(EDATE($D101,Milestones!$AA$116)&lt;=AsOfDate,IF($R101=0,$X101,IF(AND($T101&lt;&gt;"",EDATE($D101,Milestones!$AA$116)&gt;=$T101),$W101,IF(AND($S101&lt;&gt;"",EDATE($D101,Milestones!$AA$116)&gt;=$S101),$V101,$U101)))=Milestones!$AB$116),UPPER(TEXT(EDATE($D101,Milestones!$AA$116),"dd mmm yy"))&amp;" "&amp;Milestones!$AB$116&amp;" "&amp;Milestones!$AC$116&amp;";  ","")&amp;IF(AND(EDATE($D101,Milestones!$AA$117)&lt;=AsOfDate,IF($R101=0,$X101,IF(AND($T101&lt;&gt;"",EDATE($D101,Milestones!$AA$117)&gt;=$T101),$W101,IF(AND($S101&lt;&gt;"",EDATE($D101,Milestones!$AA$117)&gt;=$S101),$V101,$U101)))=Milestones!$AB$117),UPPER(TEXT(EDATE($D101,Milestones!$AA$117),"dd mmm yy"))&amp;" "&amp;Milestones!$AB$117&amp;" "&amp;Milestones!$AC$117&amp;";  ","")&amp;IF(AND(EDATE($D101,Milestones!$AA$118)&lt;=AsOfDate,IF($R101=0,$X101,IF(AND($T101&lt;&gt;"",EDATE($D101,Milestones!$AA$118)&gt;=$T101),$W101,IF(AND($S101&lt;&gt;"",EDATE($D101,Milestones!$AA$118)&gt;=$S101),$V101,$U101)))=Milestones!$AB$118),UPPER(TEXT(EDATE($D101,Milestones!$AA$118),"dd mmm yy"))&amp;" "&amp;Milestones!$AB$118&amp;" "&amp;Milestones!$AC$118&amp;";  ","")&amp;IF(AND(EDATE($D101,Milestones!$AA$119)&lt;=AsOfDate,IF($R101=0,$X101,IF(AND($T101&lt;&gt;"",EDATE($D101,Milestones!$AA$119)&gt;=$T101),$W101,IF(AND($S101&lt;&gt;"",EDATE($D101,Milestones!$AA$119)&gt;=$S101),$V101,$U101)))=Milestones!$AB$119),UPPER(TEXT(EDATE($D101,Milestones!$AA$119),"dd mmm yy"))&amp;" "&amp;Milestones!$AB$119&amp;" "&amp;Milestones!$AC$119&amp;";  ",""))</f>
        <v/>
      </c>
      <c r="N101" s="0" t="str">
        <f aca="false">IF(OR($A101="",$D101=""),"",IF(AND(EDATE($D101,Milestones!$AA$120)&lt;=AsOfDate,IF($R101=0,$X101,IF(AND($T101&lt;&gt;"",EDATE($D101,Milestones!$AA$120)&gt;=$T101),$W101,IF(AND($S101&lt;&gt;"",EDATE($D101,Milestones!$AA$120)&gt;=$S101),$V101,$U101)))=Milestones!$AB$120),UPPER(TEXT(EDATE($D101,Milestones!$AA$120),"dd mmm yy"))&amp;" "&amp;Milestones!$AB$120&amp;" "&amp;Milestones!$AC$120&amp;";  ","")&amp;IF(AND(EDATE($D101,Milestones!$AA$121)&lt;=AsOfDate,IF($R101=0,$X101,IF(AND($T101&lt;&gt;"",EDATE($D101,Milestones!$AA$121)&gt;=$T101),$W101,IF(AND($S101&lt;&gt;"",EDATE($D101,Milestones!$AA$121)&gt;=$S101),$V101,$U101)))=Milestones!$AB$121),UPPER(TEXT(EDATE($D101,Milestones!$AA$121),"dd mmm yy"))&amp;" "&amp;Milestones!$AB$121&amp;" "&amp;Milestones!$AC$121&amp;";  ","")&amp;IF(AND(EDATE($D101,Milestones!$AA$122)&lt;=AsOfDate,IF($R101=0,$X101,IF(AND($T101&lt;&gt;"",EDATE($D101,Milestones!$AA$122)&gt;=$T101),$W101,IF(AND($S101&lt;&gt;"",EDATE($D101,Milestones!$AA$122)&gt;=$S101),$V101,$U101)))=Milestones!$AB$122),UPPER(TEXT(EDATE($D101,Milestones!$AA$122),"dd mmm yy"))&amp;" "&amp;Milestones!$AB$122&amp;" "&amp;Milestones!$AC$122&amp;";  ","")&amp;IF(AND(EDATE($D101,Milestones!$AA$123)&lt;=AsOfDate,IF($R101=0,$X101,IF(AND($T101&lt;&gt;"",EDATE($D101,Milestones!$AA$123)&gt;=$T101),$W101,IF(AND($S101&lt;&gt;"",EDATE($D101,Milestones!$AA$123)&gt;=$S101),$V101,$U101)))=Milestones!$AB$123),UPPER(TEXT(EDATE($D101,Milestones!$AA$123),"dd mmm yy"))&amp;" "&amp;Milestones!$AB$123&amp;" "&amp;Milestones!$AC$123&amp;";  ","")&amp;IF(AND(EDATE($D101,Milestones!$AA$124)&lt;=AsOfDate,IF($R101=0,$X101,IF(AND($T101&lt;&gt;"",EDATE($D101,Milestones!$AA$124)&gt;=$T101),$W101,IF(AND($S101&lt;&gt;"",EDATE($D101,Milestones!$AA$124)&gt;=$S101),$V101,$U101)))=Milestones!$AB$124),UPPER(TEXT(EDATE($D101,Milestones!$AA$124),"dd mmm yy"))&amp;" "&amp;Milestones!$AB$124&amp;" "&amp;Milestones!$AC$124&amp;";  ","")&amp;IF(AND(EDATE($D101,Milestones!$AA$125)&lt;=AsOfDate,IF($R101=0,$X101,IF(AND($T101&lt;&gt;"",EDATE($D101,Milestones!$AA$125)&gt;=$T101),$W101,IF(AND($S101&lt;&gt;"",EDATE($D101,Milestones!$AA$125)&gt;=$S101),$V101,$U101)))=Milestones!$AB$125),UPPER(TEXT(EDATE($D101,Milestones!$AA$125),"dd mmm yy"))&amp;" "&amp;Milestones!$AB$125&amp;" "&amp;Milestones!$AC$125&amp;";  ","")&amp;IF(AND(EDATE($D101,Milestones!$AA$126)&lt;=AsOfDate,IF($R101=0,$X101,IF(AND($T101&lt;&gt;"",EDATE($D101,Milestones!$AA$126)&gt;=$T101),$W101,IF(AND($S101&lt;&gt;"",EDATE($D101,Milestones!$AA$126)&gt;=$S101),$V101,$U101)))=Milestones!$AB$126),UPPER(TEXT(EDATE($D101,Milestones!$AA$126),"dd mmm yy"))&amp;" "&amp;Milestones!$AB$126&amp;" "&amp;Milestones!$AC$126&amp;";  ","")&amp;IF(AND(EDATE($D101,Milestones!$AA$127)&lt;=AsOfDate,IF($R101=0,$X101,IF(AND($T101&lt;&gt;"",EDATE($D101,Milestones!$AA$127)&gt;=$T101),$W101,IF(AND($S101&lt;&gt;"",EDATE($D101,Milestones!$AA$127)&gt;=$S101),$V101,$U101)))=Milestones!$AB$127),UPPER(TEXT(EDATE($D101,Milestones!$AA$127),"dd mmm yy"))&amp;" "&amp;Milestones!$AB$127&amp;" "&amp;Milestones!$AC$127&amp;";  ","")&amp;IF(AND(EDATE($D101,Milestones!$AA$128)&lt;=AsOfDate,IF($R101=0,$X101,IF(AND($T101&lt;&gt;"",EDATE($D101,Milestones!$AA$128)&gt;=$T101),$W101,IF(AND($S101&lt;&gt;"",EDATE($D101,Milestones!$AA$128)&gt;=$S101),$V101,$U101)))=Milestones!$AB$128),UPPER(TEXT(EDATE($D101,Milestones!$AA$128),"dd mmm yy"))&amp;" "&amp;Milestones!$AB$128&amp;" "&amp;Milestones!$AC$128&amp;";  ","")&amp;IF(AND(EDATE($D101,Milestones!$AA$129)&lt;=AsOfDate,IF($R101=0,$X101,IF(AND($T101&lt;&gt;"",EDATE($D101,Milestones!$AA$129)&gt;=$T101),$W101,IF(AND($S101&lt;&gt;"",EDATE($D101,Milestones!$AA$129)&gt;=$S101),$V101,$U101)))=Milestones!$AB$129),UPPER(TEXT(EDATE($D101,Milestones!$AA$129),"dd mmm yy"))&amp;" "&amp;Milestones!$AB$129&amp;" "&amp;Milestones!$AC$129&amp;";  ","")&amp;IF(AND(EDATE($D101,Milestones!$AA$130)&lt;=AsOfDate,IF($R101=0,$X101,IF(AND($T101&lt;&gt;"",EDATE($D101,Milestones!$AA$130)&gt;=$T101),$W101,IF(AND($S101&lt;&gt;"",EDATE($D101,Milestones!$AA$130)&gt;=$S101),$V101,$U101)))=Milestones!$AB$130),UPPER(TEXT(EDATE($D101,Milestones!$AA$130),"dd mmm yy"))&amp;" "&amp;Milestones!$AB$130&amp;" "&amp;Milestones!$AC$130&amp;";  ","")&amp;IF(AND(EDATE($D101,Milestones!$AA$131)&lt;=AsOfDate,IF($R101=0,$X101,IF(AND($T101&lt;&gt;"",EDATE($D101,Milestones!$AA$131)&gt;=$T101),$W101,IF(AND($S101&lt;&gt;"",EDATE($D101,Milestones!$AA$131)&gt;=$S101),$V101,$U101)))=Milestones!$AB$131),UPPER(TEXT(EDATE($D101,Milestones!$AA$131),"dd mmm yy"))&amp;" "&amp;Milestones!$AB$131&amp;" "&amp;Milestones!$AC$131&amp;";  ","")&amp;IF(AND(EDATE($D101,Milestones!$AA$132)&lt;=AsOfDate,IF($R101=0,$X101,IF(AND($T101&lt;&gt;"",EDATE($D101,Milestones!$AA$132)&gt;=$T101),$W101,IF(AND($S101&lt;&gt;"",EDATE($D101,Milestones!$AA$132)&gt;=$S101),$V101,$U101)))=Milestones!$AB$132),UPPER(TEXT(EDATE($D101,Milestones!$AA$132),"dd mmm yy"))&amp;" "&amp;Milestones!$AB$132&amp;" "&amp;Milestones!$AC$132&amp;";  ","")&amp;IF(AND(EDATE($D101,Milestones!$AA$133)&lt;=AsOfDate,IF($R101=0,$X101,IF(AND($T101&lt;&gt;"",EDATE($D101,Milestones!$AA$133)&gt;=$T101),$W101,IF(AND($S101&lt;&gt;"",EDATE($D101,Milestones!$AA$133)&gt;=$S101),$V101,$U101)))=Milestones!$AB$133),UPPER(TEXT(EDATE($D101,Milestones!$AA$133),"dd mmm yy"))&amp;" "&amp;Milestones!$AB$133&amp;" "&amp;Milestones!$AC$133&amp;";  ","")&amp;IF(AND(EDATE($D101,Milestones!$AA$134)&lt;=AsOfDate,IF($R101=0,$X101,IF(AND($T101&lt;&gt;"",EDATE($D101,Milestones!$AA$134)&gt;=$T101),$W101,IF(AND($S101&lt;&gt;"",EDATE($D101,Milestones!$AA$134)&gt;=$S101),$V101,$U101)))=Milestones!$AB$134),UPPER(TEXT(EDATE($D101,Milestones!$AA$134),"dd mmm yy"))&amp;" "&amp;Milestones!$AB$134&amp;" "&amp;Milestones!$AC$134&amp;";  ","")&amp;IF(AND(EDATE($D101,Milestones!$AA$135)&lt;=AsOfDate,IF($R101=0,$X101,IF(AND($T101&lt;&gt;"",EDATE($D101,Milestones!$AA$135)&gt;=$T101),$W101,IF(AND($S101&lt;&gt;"",EDATE($D101,Milestones!$AA$135)&gt;=$S101),$V101,$U101)))=Milestones!$AB$135),UPPER(TEXT(EDATE($D101,Milestones!$AA$135),"dd mmm yy"))&amp;" "&amp;Milestones!$AB$135&amp;" "&amp;Milestones!$AC$135&amp;";  ","")&amp;IF(AND(EDATE($D101,Milestones!$AA$136)&lt;=AsOfDate,IF($R101=0,$X101,IF(AND($T101&lt;&gt;"",EDATE($D101,Milestones!$AA$136)&gt;=$T101),$W101,IF(AND($S101&lt;&gt;"",EDATE($D101,Milestones!$AA$136)&gt;=$S101),$V101,$U101)))=Milestones!$AB$136),UPPER(TEXT(EDATE($D101,Milestones!$AA$136),"dd mmm yy"))&amp;" "&amp;Milestones!$AB$136&amp;" "&amp;Milestones!$AC$136&amp;";  ","")&amp;IF(AND(EDATE($D101,Milestones!$AA$137)&lt;=AsOfDate,IF($R101=0,$X101,IF(AND($T101&lt;&gt;"",EDATE($D101,Milestones!$AA$137)&gt;=$T101),$W101,IF(AND($S101&lt;&gt;"",EDATE($D101,Milestones!$AA$137)&gt;=$S101),$V101,$U101)))=Milestones!$AB$137),UPPER(TEXT(EDATE($D101,Milestones!$AA$137),"dd mmm yy"))&amp;" "&amp;Milestones!$AB$137&amp;" "&amp;Milestones!$AC$137&amp;";  ","")&amp;IF(AND(EDATE($D101,Milestones!$AA$138)&lt;=AsOfDate,IF($R101=0,$X101,IF(AND($T101&lt;&gt;"",EDATE($D101,Milestones!$AA$138)&gt;=$T101),$W101,IF(AND($S101&lt;&gt;"",EDATE($D101,Milestones!$AA$138)&gt;=$S101),$V101,$U101)))=Milestones!$AB$138),UPPER(TEXT(EDATE($D101,Milestones!$AA$138),"dd mmm yy"))&amp;" "&amp;Milestones!$AB$138&amp;" "&amp;Milestones!$AC$138&amp;";  ","")&amp;IF(AND(EDATE($D101,Milestones!$AA$139)&lt;=AsOfDate,IF($R101=0,$X101,IF(AND($T101&lt;&gt;"",EDATE($D101,Milestones!$AA$139)&gt;=$T101),$W101,IF(AND($S101&lt;&gt;"",EDATE($D101,Milestones!$AA$139)&gt;=$S101),$V101,$U101)))=Milestones!$AB$139),UPPER(TEXT(EDATE($D101,Milestones!$AA$139),"dd mmm yy"))&amp;" "&amp;Milestones!$AB$139&amp;" "&amp;Milestones!$AC$139&amp;";  ",""))</f>
        <v/>
      </c>
      <c r="O101" s="0" t="str">
        <f aca="false">IF(OR($A101="",$D101=""),"",IF(AND(EDATE($D101,Milestones!$AA$140)&lt;=AsOfDate,IF($R101=0,$X101,IF(AND($T101&lt;&gt;"",EDATE($D101,Milestones!$AA$140)&gt;=$T101),$W101,IF(AND($S101&lt;&gt;"",EDATE($D101,Milestones!$AA$140)&gt;=$S101),$V101,$U101)))=Milestones!$AB$140),UPPER(TEXT(EDATE($D101,Milestones!$AA$140),"dd mmm yy"))&amp;" "&amp;Milestones!$AB$140&amp;" "&amp;Milestones!$AC$140&amp;";  ","")&amp;IF(AND(EDATE($D101,Milestones!$AA$141)&lt;=AsOfDate,IF($R101=0,$X101,IF(AND($T101&lt;&gt;"",EDATE($D101,Milestones!$AA$141)&gt;=$T101),$W101,IF(AND($S101&lt;&gt;"",EDATE($D101,Milestones!$AA$141)&gt;=$S101),$V101,$U101)))=Milestones!$AB$141),UPPER(TEXT(EDATE($D101,Milestones!$AA$141),"dd mmm yy"))&amp;" "&amp;Milestones!$AB$141&amp;" "&amp;Milestones!$AC$141&amp;";  ","")&amp;IF(AND(EDATE($D101,Milestones!$AA$142)&lt;=AsOfDate,IF($R101=0,$X101,IF(AND($T101&lt;&gt;"",EDATE($D101,Milestones!$AA$142)&gt;=$T101),$W101,IF(AND($S101&lt;&gt;"",EDATE($D101,Milestones!$AA$142)&gt;=$S101),$V101,$U101)))=Milestones!$AB$142),UPPER(TEXT(EDATE($D101,Milestones!$AA$142),"dd mmm yy"))&amp;" "&amp;Milestones!$AB$142&amp;" "&amp;Milestones!$AC$142&amp;";  ","")&amp;IF(AND(EDATE($D101,Milestones!$AA$143)&lt;=AsOfDate,IF($R101=0,$X101,IF(AND($T101&lt;&gt;"",EDATE($D101,Milestones!$AA$143)&gt;=$T101),$W101,IF(AND($S101&lt;&gt;"",EDATE($D101,Milestones!$AA$143)&gt;=$S101),$V101,$U101)))=Milestones!$AB$143),UPPER(TEXT(EDATE($D101,Milestones!$AA$143),"dd mmm yy"))&amp;" "&amp;Milestones!$AB$143&amp;" "&amp;Milestones!$AC$143&amp;";  ","")&amp;IF(AND(EDATE($D101,Milestones!$AA$144)&lt;=AsOfDate,IF($R101=0,$X101,IF(AND($T101&lt;&gt;"",EDATE($D101,Milestones!$AA$144)&gt;=$T101),$W101,IF(AND($S101&lt;&gt;"",EDATE($D101,Milestones!$AA$144)&gt;=$S101),$V101,$U101)))=Milestones!$AB$144),UPPER(TEXT(EDATE($D101,Milestones!$AA$144),"dd mmm yy"))&amp;" "&amp;Milestones!$AB$144&amp;" "&amp;Milestones!$AC$144&amp;";  ","")&amp;IF(AND(EDATE($D101,Milestones!$AA$145)&lt;=AsOfDate,IF($R101=0,$X101,IF(AND($T101&lt;&gt;"",EDATE($D101,Milestones!$AA$145)&gt;=$T101),$W101,IF(AND($S101&lt;&gt;"",EDATE($D101,Milestones!$AA$145)&gt;=$S101),$V101,$U101)))=Milestones!$AB$145),UPPER(TEXT(EDATE($D101,Milestones!$AA$145),"dd mmm yy"))&amp;" "&amp;Milestones!$AB$145&amp;" "&amp;Milestones!$AC$145&amp;";  ","")&amp;IF(AND(EDATE($D101,Milestones!$AA$146)&lt;=AsOfDate,IF($R101=0,$X101,IF(AND($T101&lt;&gt;"",EDATE($D101,Milestones!$AA$146)&gt;=$T101),$W101,IF(AND($S101&lt;&gt;"",EDATE($D101,Milestones!$AA$146)&gt;=$S101),$V101,$U101)))=Milestones!$AB$146),UPPER(TEXT(EDATE($D101,Milestones!$AA$146),"dd mmm yy"))&amp;" "&amp;Milestones!$AB$146&amp;" "&amp;Milestones!$AC$146&amp;";  ","")&amp;IF(AND(EDATE($D101,Milestones!$AA$147)&lt;=AsOfDate,IF($R101=0,$X101,IF(AND($T101&lt;&gt;"",EDATE($D101,Milestones!$AA$147)&gt;=$T101),$W101,IF(AND($S101&lt;&gt;"",EDATE($D101,Milestones!$AA$147)&gt;=$S101),$V101,$U101)))=Milestones!$AB$147),UPPER(TEXT(EDATE($D101,Milestones!$AA$147),"dd mmm yy"))&amp;" "&amp;Milestones!$AB$147&amp;" "&amp;Milestones!$AC$147&amp;";  ","")&amp;IF(AND(EDATE($D101,Milestones!$AA$148)&lt;=AsOfDate,IF($R101=0,$X101,IF(AND($T101&lt;&gt;"",EDATE($D101,Milestones!$AA$148)&gt;=$T101),$W101,IF(AND($S101&lt;&gt;"",EDATE($D101,Milestones!$AA$148)&gt;=$S101),$V101,$U101)))=Milestones!$AB$148),UPPER(TEXT(EDATE($D101,Milestones!$AA$148),"dd mmm yy"))&amp;" "&amp;Milestones!$AB$148&amp;" "&amp;Milestones!$AC$148&amp;";  ","")&amp;IF(AND(EDATE($D101,Milestones!$AA$149)&lt;=AsOfDate,IF($R101=0,$X101,IF(AND($T101&lt;&gt;"",EDATE($D101,Milestones!$AA$149)&gt;=$T101),$W101,IF(AND($S101&lt;&gt;"",EDATE($D101,Milestones!$AA$149)&gt;=$S101),$V101,$U101)))=Milestones!$AB$149),UPPER(TEXT(EDATE($D101,Milestones!$AA$149),"dd mmm yy"))&amp;" "&amp;Milestones!$AB$149&amp;" "&amp;Milestones!$AC$149&amp;";  ","")&amp;IF(AND(EDATE($D101,Milestones!$AA$150)&lt;=AsOfDate,IF($R101=0,$X101,IF(AND($T101&lt;&gt;"",EDATE($D101,Milestones!$AA$150)&gt;=$T101),$W101,IF(AND($S101&lt;&gt;"",EDATE($D101,Milestones!$AA$150)&gt;=$S101),$V101,$U101)))=Milestones!$AB$150),UPPER(TEXT(EDATE($D101,Milestones!$AA$150),"dd mmm yy"))&amp;" "&amp;Milestones!$AB$150&amp;" "&amp;Milestones!$AC$150&amp;";  ","")&amp;IF(AND(EDATE($D101,Milestones!$AA$151)&lt;=AsOfDate,IF($R101=0,$X101,IF(AND($T101&lt;&gt;"",EDATE($D101,Milestones!$AA$151)&gt;=$T101),$W101,IF(AND($S101&lt;&gt;"",EDATE($D101,Milestones!$AA$151)&gt;=$S101),$V101,$U101)))=Milestones!$AB$151),UPPER(TEXT(EDATE($D101,Milestones!$AA$151),"dd mmm yy"))&amp;" "&amp;Milestones!$AB$151&amp;" "&amp;Milestones!$AC$151&amp;";  ","")&amp;IF(AND(EDATE($D101,Milestones!$AA$152)&lt;=AsOfDate,IF($R101=0,$X101,IF(AND($T101&lt;&gt;"",EDATE($D101,Milestones!$AA$152)&gt;=$T101),$W101,IF(AND($S101&lt;&gt;"",EDATE($D101,Milestones!$AA$152)&gt;=$S101),$V101,$U101)))=Milestones!$AB$152),UPPER(TEXT(EDATE($D101,Milestones!$AA$152),"dd mmm yy"))&amp;" "&amp;Milestones!$AB$152&amp;" "&amp;Milestones!$AC$152&amp;";  ","")&amp;IF(AND(EDATE($D101,Milestones!$AA$153)&lt;=AsOfDate,IF($R101=0,$X101,IF(AND($T101&lt;&gt;"",EDATE($D101,Milestones!$AA$153)&gt;=$T101),$W101,IF(AND($S101&lt;&gt;"",EDATE($D101,Milestones!$AA$153)&gt;=$S101),$V101,$U101)))=Milestones!$AB$153),UPPER(TEXT(EDATE($D101,Milestones!$AA$153),"dd mmm yy"))&amp;" "&amp;Milestones!$AB$153&amp;" "&amp;Milestones!$AC$153&amp;";  ","")&amp;IF(AND(EDATE($D101,Milestones!$AA$154)&lt;=AsOfDate,IF($R101=0,$X101,IF(AND($T101&lt;&gt;"",EDATE($D101,Milestones!$AA$154)&gt;=$T101),$W101,IF(AND($S101&lt;&gt;"",EDATE($D101,Milestones!$AA$154)&gt;=$S101),$V101,$U101)))=Milestones!$AB$154),UPPER(TEXT(EDATE($D101,Milestones!$AA$154),"dd mmm yy"))&amp;" "&amp;Milestones!$AB$154&amp;" "&amp;Milestones!$AC$154&amp;";  ","")&amp;IF(AND(EDATE($D101,Milestones!$AA$155)&lt;=AsOfDate,IF($R101=0,$X101,IF(AND($T101&lt;&gt;"",EDATE($D101,Milestones!$AA$155)&gt;=$T101),$W101,IF(AND($S101&lt;&gt;"",EDATE($D101,Milestones!$AA$155)&gt;=$S101),$V101,$U101)))=Milestones!$AB$155),UPPER(TEXT(EDATE($D101,Milestones!$AA$155),"dd mmm yy"))&amp;" "&amp;Milestones!$AB$155&amp;" "&amp;Milestones!$AC$155&amp;";  ","")&amp;IF(AND(EDATE($D101,Milestones!$AA$156)&lt;=AsOfDate,IF($R101=0,$X101,IF(AND($T101&lt;&gt;"",EDATE($D101,Milestones!$AA$156)&gt;=$T101),$W101,IF(AND($S101&lt;&gt;"",EDATE($D101,Milestones!$AA$156)&gt;=$S101),$V101,$U101)))=Milestones!$AB$156),UPPER(TEXT(EDATE($D101,Milestones!$AA$156),"dd mmm yy"))&amp;" "&amp;Milestones!$AB$156&amp;" "&amp;Milestones!$AC$156&amp;";  ","")&amp;IF(AND(EDATE($D101,Milestones!$AA$157)&lt;=AsOfDate,IF($R101=0,$X101,IF(AND($T101&lt;&gt;"",EDATE($D101,Milestones!$AA$157)&gt;=$T101),$W101,IF(AND($S101&lt;&gt;"",EDATE($D101,Milestones!$AA$157)&gt;=$S101),$V101,$U101)))=Milestones!$AB$157),UPPER(TEXT(EDATE($D101,Milestones!$AA$157),"dd mmm yy"))&amp;" "&amp;Milestones!$AB$157&amp;" "&amp;Milestones!$AC$157&amp;";  ","")&amp;IF(AND(EDATE($D101,Milestones!$AA$158)&lt;=AsOfDate,IF($R101=0,$X101,IF(AND($T101&lt;&gt;"",EDATE($D101,Milestones!$AA$158)&gt;=$T101),$W101,IF(AND($S101&lt;&gt;"",EDATE($D101,Milestones!$AA$158)&gt;=$S101),$V101,$U101)))=Milestones!$AB$158),UPPER(TEXT(EDATE($D101,Milestones!$AA$158),"dd mmm yy"))&amp;" "&amp;Milestones!$AB$158&amp;" "&amp;Milestones!$AC$158&amp;";  ","")&amp;IF(AND(EDATE($D101,Milestones!$AA$159)&lt;=AsOfDate,IF($R101=0,$X101,IF(AND($T101&lt;&gt;"",EDATE($D101,Milestones!$AA$159)&gt;=$T101),$W101,IF(AND($S101&lt;&gt;"",EDATE($D101,Milestones!$AA$159)&gt;=$S101),$V101,$U101)))=Milestones!$AB$159),UPPER(TEXT(EDATE($D101,Milestones!$AA$159),"dd mmm yy"))&amp;" "&amp;Milestones!$AB$159&amp;" "&amp;Milestones!$AC$159&amp;";  ",""))</f>
        <v/>
      </c>
      <c r="P101" s="0" t="str">
        <f aca="false">IF(OR($A101="",$D101=""),"",IF(AND(EDATE($D101,Milestones!$AA$160)&lt;=AsOfDate,IF($R101=0,$X101,IF(AND($T101&lt;&gt;"",EDATE($D101,Milestones!$AA$160)&gt;=$T101),$W101,IF(AND($S101&lt;&gt;"",EDATE($D101,Milestones!$AA$160)&gt;=$S101),$V101,$U101)))=Milestones!$AB$160),UPPER(TEXT(EDATE($D101,Milestones!$AA$160),"dd mmm yy"))&amp;" "&amp;Milestones!$AB$160&amp;" "&amp;Milestones!$AC$160&amp;";  ","")&amp;IF(AND(EDATE($D101,Milestones!$AA$161)&lt;=AsOfDate,IF($R101=0,$X101,IF(AND($T101&lt;&gt;"",EDATE($D101,Milestones!$AA$161)&gt;=$T101),$W101,IF(AND($S101&lt;&gt;"",EDATE($D101,Milestones!$AA$161)&gt;=$S101),$V101,$U101)))=Milestones!$AB$161),UPPER(TEXT(EDATE($D101,Milestones!$AA$161),"dd mmm yy"))&amp;" "&amp;Milestones!$AB$161&amp;" "&amp;Milestones!$AC$161&amp;";  ","")&amp;IF(AND(EDATE($D101,Milestones!$AA$162)&lt;=AsOfDate,IF($R101=0,$X101,IF(AND($T101&lt;&gt;"",EDATE($D101,Milestones!$AA$162)&gt;=$T101),$W101,IF(AND($S101&lt;&gt;"",EDATE($D101,Milestones!$AA$162)&gt;=$S101),$V101,$U101)))=Milestones!$AB$162),UPPER(TEXT(EDATE($D101,Milestones!$AA$162),"dd mmm yy"))&amp;" "&amp;Milestones!$AB$162&amp;" "&amp;Milestones!$AC$162&amp;";  ","")&amp;IF(AND(EDATE($D101,Milestones!$AA$163)&lt;=AsOfDate,IF($R101=0,$X101,IF(AND($T101&lt;&gt;"",EDATE($D101,Milestones!$AA$163)&gt;=$T101),$W101,IF(AND($S101&lt;&gt;"",EDATE($D101,Milestones!$AA$163)&gt;=$S101),$V101,$U101)))=Milestones!$AB$163),UPPER(TEXT(EDATE($D101,Milestones!$AA$163),"dd mmm yy"))&amp;" "&amp;Milestones!$AB$163&amp;" "&amp;Milestones!$AC$163&amp;";  ","")&amp;IF(AND(EDATE($D101,Milestones!$AA$164)&lt;=AsOfDate,IF($R101=0,$X101,IF(AND($T101&lt;&gt;"",EDATE($D101,Milestones!$AA$164)&gt;=$T101),$W101,IF(AND($S101&lt;&gt;"",EDATE($D101,Milestones!$AA$164)&gt;=$S101),$V101,$U101)))=Milestones!$AB$164),UPPER(TEXT(EDATE($D101,Milestones!$AA$164),"dd mmm yy"))&amp;" "&amp;Milestones!$AB$164&amp;" "&amp;Milestones!$AC$164&amp;";  ","")&amp;IF(AND(EDATE($D101,Milestones!$AA$165)&lt;=AsOfDate,IF($R101=0,$X101,IF(AND($T101&lt;&gt;"",EDATE($D101,Milestones!$AA$165)&gt;=$T101),$W101,IF(AND($S101&lt;&gt;"",EDATE($D101,Milestones!$AA$165)&gt;=$S101),$V101,$U101)))=Milestones!$AB$165),UPPER(TEXT(EDATE($D101,Milestones!$AA$165),"dd mmm yy"))&amp;" "&amp;Milestones!$AB$165&amp;" "&amp;Milestones!$AC$165&amp;";  ","")&amp;IF(AND(EDATE($D101,Milestones!$AA$166)&lt;=AsOfDate,IF($R101=0,$X101,IF(AND($T101&lt;&gt;"",EDATE($D101,Milestones!$AA$166)&gt;=$T101),$W101,IF(AND($S101&lt;&gt;"",EDATE($D101,Milestones!$AA$166)&gt;=$S101),$V101,$U101)))=Milestones!$AB$166),UPPER(TEXT(EDATE($D101,Milestones!$AA$166),"dd mmm yy"))&amp;" "&amp;Milestones!$AB$166&amp;" "&amp;Milestones!$AC$166&amp;";  ","")&amp;IF(AND(EDATE($D101,Milestones!$AA$167)&lt;=AsOfDate,IF($R101=0,$X101,IF(AND($T101&lt;&gt;"",EDATE($D101,Milestones!$AA$167)&gt;=$T101),$W101,IF(AND($S101&lt;&gt;"",EDATE($D101,Milestones!$AA$167)&gt;=$S101),$V101,$U101)))=Milestones!$AB$167),UPPER(TEXT(EDATE($D101,Milestones!$AA$167),"dd mmm yy"))&amp;" "&amp;Milestones!$AB$167&amp;" "&amp;Milestones!$AC$167&amp;";  ","")&amp;IF(AND(EDATE($D101,Milestones!$AA$168)&lt;=AsOfDate,IF($R101=0,$X101,IF(AND($T101&lt;&gt;"",EDATE($D101,Milestones!$AA$168)&gt;=$T101),$W101,IF(AND($S101&lt;&gt;"",EDATE($D101,Milestones!$AA$168)&gt;=$S101),$V101,$U101)))=Milestones!$AB$168),UPPER(TEXT(EDATE($D101,Milestones!$AA$168),"dd mmm yy"))&amp;" "&amp;Milestones!$AB$168&amp;" "&amp;Milestones!$AC$168&amp;";  ","")&amp;IF(AND(EDATE($D101,Milestones!$AA$169)&lt;=AsOfDate,IF($R101=0,$X101,IF(AND($T101&lt;&gt;"",EDATE($D101,Milestones!$AA$169)&gt;=$T101),$W101,IF(AND($S101&lt;&gt;"",EDATE($D101,Milestones!$AA$169)&gt;=$S101),$V101,$U101)))=Milestones!$AB$169),UPPER(TEXT(EDATE($D101,Milestones!$AA$169),"dd mmm yy"))&amp;" "&amp;Milestones!$AB$169&amp;" "&amp;Milestones!$AC$169&amp;";  ","")&amp;IF(AND(EDATE($D101,Milestones!$AA$170)&lt;=AsOfDate,IF($R101=0,$X101,IF(AND($T101&lt;&gt;"",EDATE($D101,Milestones!$AA$170)&gt;=$T101),$W101,IF(AND($S101&lt;&gt;"",EDATE($D101,Milestones!$AA$170)&gt;=$S101),$V101,$U101)))=Milestones!$AB$170),UPPER(TEXT(EDATE($D101,Milestones!$AA$170),"dd mmm yy"))&amp;" "&amp;Milestones!$AB$170&amp;" "&amp;Milestones!$AC$170&amp;";  ","")&amp;IF(AND(EDATE($D101,Milestones!$AA$171)&lt;=AsOfDate,IF($R101=0,$X101,IF(AND($T101&lt;&gt;"",EDATE($D101,Milestones!$AA$171)&gt;=$T101),$W101,IF(AND($S101&lt;&gt;"",EDATE($D101,Milestones!$AA$171)&gt;=$S101),$V101,$U101)))=Milestones!$AB$171),UPPER(TEXT(EDATE($D101,Milestones!$AA$171),"dd mmm yy"))&amp;" "&amp;Milestones!$AB$171&amp;" "&amp;Milestones!$AC$171&amp;";  ","")&amp;IF(AND(EDATE($D101,Milestones!$AA$172)&lt;=AsOfDate,IF($R101=0,$X101,IF(AND($T101&lt;&gt;"",EDATE($D101,Milestones!$AA$172)&gt;=$T101),$W101,IF(AND($S101&lt;&gt;"",EDATE($D101,Milestones!$AA$172)&gt;=$S101),$V101,$U101)))=Milestones!$AB$172),UPPER(TEXT(EDATE($D101,Milestones!$AA$172),"dd mmm yy"))&amp;" "&amp;Milestones!$AB$172&amp;" "&amp;Milestones!$AC$172&amp;";  ","")&amp;IF(AND(EDATE($D101,Milestones!$AA$173)&lt;=AsOfDate,IF($R101=0,$X101,IF(AND($T101&lt;&gt;"",EDATE($D101,Milestones!$AA$173)&gt;=$T101),$W101,IF(AND($S101&lt;&gt;"",EDATE($D101,Milestones!$AA$173)&gt;=$S101),$V101,$U101)))=Milestones!$AB$173),UPPER(TEXT(EDATE($D101,Milestones!$AA$173),"dd mmm yy"))&amp;" "&amp;Milestones!$AB$173&amp;" "&amp;Milestones!$AC$173&amp;";  ","")&amp;IF(AND(EDATE($D101,Milestones!$AA$174)&lt;=AsOfDate,IF($R101=0,$X101,IF(AND($T101&lt;&gt;"",EDATE($D101,Milestones!$AA$174)&gt;=$T101),$W101,IF(AND($S101&lt;&gt;"",EDATE($D101,Milestones!$AA$174)&gt;=$S101),$V101,$U101)))=Milestones!$AB$174),UPPER(TEXT(EDATE($D101,Milestones!$AA$174),"dd mmm yy"))&amp;" "&amp;Milestones!$AB$174&amp;" "&amp;Milestones!$AC$174&amp;";  ","")&amp;IF(AND(EDATE($D101,Milestones!$AA$175)&lt;=AsOfDate,IF($R101=0,$X101,IF(AND($T101&lt;&gt;"",EDATE($D101,Milestones!$AA$175)&gt;=$T101),$W101,IF(AND($S101&lt;&gt;"",EDATE($D101,Milestones!$AA$175)&gt;=$S101),$V101,$U101)))=Milestones!$AB$175),UPPER(TEXT(EDATE($D101,Milestones!$AA$175),"dd mmm yy"))&amp;" "&amp;Milestones!$AB$175&amp;" "&amp;Milestones!$AC$175&amp;";  ","")&amp;IF(AND(EDATE($D101,Milestones!$AA$176)&lt;=AsOfDate,IF($R101=0,$X101,IF(AND($T101&lt;&gt;"",EDATE($D101,Milestones!$AA$176)&gt;=$T101),$W101,IF(AND($S101&lt;&gt;"",EDATE($D101,Milestones!$AA$176)&gt;=$S101),$V101,$U101)))=Milestones!$AB$176),UPPER(TEXT(EDATE($D101,Milestones!$AA$176),"dd mmm yy"))&amp;" "&amp;Milestones!$AB$176&amp;" "&amp;Milestones!$AC$176&amp;";  ","")&amp;IF(AND(EDATE($D101,Milestones!$AA$177)&lt;=AsOfDate,IF($R101=0,$X101,IF(AND($T101&lt;&gt;"",EDATE($D101,Milestones!$AA$177)&gt;=$T101),$W101,IF(AND($S101&lt;&gt;"",EDATE($D101,Milestones!$AA$177)&gt;=$S101),$V101,$U101)))=Milestones!$AB$177),UPPER(TEXT(EDATE($D101,Milestones!$AA$177),"dd mmm yy"))&amp;" "&amp;Milestones!$AB$177&amp;" "&amp;Milestones!$AC$177&amp;";  ","")&amp;IF(AND(EDATE($D101,Milestones!$AA$178)&lt;=AsOfDate,IF($R101=0,$X101,IF(AND($T101&lt;&gt;"",EDATE($D101,Milestones!$AA$178)&gt;=$T101),$W101,IF(AND($S101&lt;&gt;"",EDATE($D101,Milestones!$AA$178)&gt;=$S101),$V101,$U101)))=Milestones!$AB$178),UPPER(TEXT(EDATE($D101,Milestones!$AA$178),"dd mmm yy"))&amp;" "&amp;Milestones!$AB$178&amp;" "&amp;Milestones!$AC$178&amp;";  ","")&amp;IF(AND(EDATE($D101,Milestones!$AA$179)&lt;=AsOfDate,IF($R101=0,$X101,IF(AND($T101&lt;&gt;"",EDATE($D101,Milestones!$AA$179)&gt;=$T101),$W101,IF(AND($S101&lt;&gt;"",EDATE($D101,Milestones!$AA$179)&gt;=$S101),$V101,$U101)))=Milestones!$AB$179),UPPER(TEXT(EDATE($D101,Milestones!$AA$179),"dd mmm yy"))&amp;" "&amp;Milestones!$AB$179&amp;" "&amp;Milestones!$AC$179&amp;";  ",""))</f>
        <v/>
      </c>
      <c r="Q101" s="0" t="str">
        <f aca="false">IF(OR($A101="",$D101=""),"",IF(AND(EDATE($D101,Milestones!$AA$180)&lt;=AsOfDate,IF($R101=0,$X101,IF(AND($T101&lt;&gt;"",EDATE($D101,Milestones!$AA$180)&gt;=$T101),$W101,IF(AND($S101&lt;&gt;"",EDATE($D101,Milestones!$AA$180)&gt;=$S101),$V101,$U101)))=Milestones!$AB$180),UPPER(TEXT(EDATE($D101,Milestones!$AA$180),"dd mmm yy"))&amp;" "&amp;Milestones!$AB$180&amp;" "&amp;Milestones!$AC$180&amp;";  ","")&amp;IF(AND(EDATE($D101,Milestones!$AA$181)&lt;=AsOfDate,IF($R101=0,$X101,IF(AND($T101&lt;&gt;"",EDATE($D101,Milestones!$AA$181)&gt;=$T101),$W101,IF(AND($S101&lt;&gt;"",EDATE($D101,Milestones!$AA$181)&gt;=$S101),$V101,$U101)))=Milestones!$AB$181),UPPER(TEXT(EDATE($D101,Milestones!$AA$181),"dd mmm yy"))&amp;" "&amp;Milestones!$AB$181&amp;" "&amp;Milestones!$AC$181&amp;";  ","")&amp;IF(AND(EDATE($D101,Milestones!$AA$182)&lt;=AsOfDate,IF($R101=0,$X101,IF(AND($T101&lt;&gt;"",EDATE($D101,Milestones!$AA$182)&gt;=$T101),$W101,IF(AND($S101&lt;&gt;"",EDATE($D101,Milestones!$AA$182)&gt;=$S101),$V101,$U101)))=Milestones!$AB$182),UPPER(TEXT(EDATE($D101,Milestones!$AA$182),"dd mmm yy"))&amp;" "&amp;Milestones!$AB$182&amp;" "&amp;Milestones!$AC$182&amp;";  ","")&amp;IF(AND(EDATE($D101,Milestones!$AA$183)&lt;=AsOfDate,IF($R101=0,$X101,IF(AND($T101&lt;&gt;"",EDATE($D101,Milestones!$AA$183)&gt;=$T101),$W101,IF(AND($S101&lt;&gt;"",EDATE($D101,Milestones!$AA$183)&gt;=$S101),$V101,$U101)))=Milestones!$AB$183),UPPER(TEXT(EDATE($D101,Milestones!$AA$183),"dd mmm yy"))&amp;" "&amp;Milestones!$AB$183&amp;" "&amp;Milestones!$AC$183&amp;";  ","")&amp;IF(AND(EDATE($D101,Milestones!$AA$184)&lt;=AsOfDate,IF($R101=0,$X101,IF(AND($T101&lt;&gt;"",EDATE($D101,Milestones!$AA$184)&gt;=$T101),$W101,IF(AND($S101&lt;&gt;"",EDATE($D101,Milestones!$AA$184)&gt;=$S101),$V101,$U101)))=Milestones!$AB$184),UPPER(TEXT(EDATE($D101,Milestones!$AA$184),"dd mmm yy"))&amp;" "&amp;Milestones!$AB$184&amp;" "&amp;Milestones!$AC$184&amp;";  ","")&amp;IF(AND(EDATE($D101,Milestones!$AA$185)&lt;=AsOfDate,IF($R101=0,$X101,IF(AND($T101&lt;&gt;"",EDATE($D101,Milestones!$AA$185)&gt;=$T101),$W101,IF(AND($S101&lt;&gt;"",EDATE($D101,Milestones!$AA$185)&gt;=$S101),$V101,$U101)))=Milestones!$AB$185),UPPER(TEXT(EDATE($D101,Milestones!$AA$185),"dd mmm yy"))&amp;" "&amp;Milestones!$AB$185&amp;" "&amp;Milestones!$AC$185&amp;";  ","")&amp;IF(AND(EDATE($D101,Milestones!$AA$186)&lt;=AsOfDate,IF($R101=0,$X101,IF(AND($T101&lt;&gt;"",EDATE($D101,Milestones!$AA$186)&gt;=$T101),$W101,IF(AND($S101&lt;&gt;"",EDATE($D101,Milestones!$AA$186)&gt;=$S101),$V101,$U101)))=Milestones!$AB$186),UPPER(TEXT(EDATE($D101,Milestones!$AA$186),"dd mmm yy"))&amp;" "&amp;Milestones!$AB$186&amp;" "&amp;Milestones!$AC$186&amp;";  ","")&amp;IF(AND(EDATE($D101,Milestones!$AA$187)&lt;=AsOfDate,IF($R101=0,$X101,IF(AND($T101&lt;&gt;"",EDATE($D101,Milestones!$AA$187)&gt;=$T101),$W101,IF(AND($S101&lt;&gt;"",EDATE($D101,Milestones!$AA$187)&gt;=$S101),$V101,$U101)))=Milestones!$AB$187),UPPER(TEXT(EDATE($D101,Milestones!$AA$187),"dd mmm yy"))&amp;" "&amp;Milestones!$AB$187&amp;" "&amp;Milestones!$AC$187&amp;";  ","")&amp;IF(AND(EDATE($D101,Milestones!$AA$188)&lt;=AsOfDate,IF($R101=0,$X101,IF(AND($T101&lt;&gt;"",EDATE($D101,Milestones!$AA$188)&gt;=$T101),$W101,IF(AND($S101&lt;&gt;"",EDATE($D101,Milestones!$AA$188)&gt;=$S101),$V101,$U101)))=Milestones!$AB$188),UPPER(TEXT(EDATE($D101,Milestones!$AA$188),"dd mmm yy"))&amp;" "&amp;Milestones!$AB$188&amp;" "&amp;Milestones!$AC$188&amp;";  ","")&amp;IF(AND(EDATE($D101,Milestones!$AA$189)&lt;=AsOfDate,IF($R101=0,$X101,IF(AND($T101&lt;&gt;"",EDATE($D101,Milestones!$AA$189)&gt;=$T101),$W101,IF(AND($S101&lt;&gt;"",EDATE($D101,Milestones!$AA$189)&gt;=$S101),$V101,$U101)))=Milestones!$AB$189),UPPER(TEXT(EDATE($D101,Milestones!$AA$189),"dd mmm yy"))&amp;" "&amp;Milestones!$AB$189&amp;" "&amp;Milestones!$AC$189&amp;";  ","")&amp;IF(AND(EDATE($D101,Milestones!$AA$190)&lt;=AsOfDate,IF($R101=0,$X101,IF(AND($T101&lt;&gt;"",EDATE($D101,Milestones!$AA$190)&gt;=$T101),$W101,IF(AND($S101&lt;&gt;"",EDATE($D101,Milestones!$AA$190)&gt;=$S101),$V101,$U101)))=Milestones!$AB$190),UPPER(TEXT(EDATE($D101,Milestones!$AA$190),"dd mmm yy"))&amp;" "&amp;Milestones!$AB$190&amp;" "&amp;Milestones!$AC$190&amp;";  ","")&amp;IF(AND(EDATE($D101,Milestones!$AA$191)&lt;=AsOfDate,IF($R101=0,$X101,IF(AND($T101&lt;&gt;"",EDATE($D101,Milestones!$AA$191)&gt;=$T101),$W101,IF(AND($S101&lt;&gt;"",EDATE($D101,Milestones!$AA$191)&gt;=$S101),$V101,$U101)))=Milestones!$AB$191),UPPER(TEXT(EDATE($D101,Milestones!$AA$191),"dd mmm yy"))&amp;" "&amp;Milestones!$AB$191&amp;" "&amp;Milestones!$AC$191&amp;";  ","")&amp;IF(AND(EDATE($D101,Milestones!$AA$192)&lt;=AsOfDate,IF($R101=0,$X101,IF(AND($T101&lt;&gt;"",EDATE($D101,Milestones!$AA$192)&gt;=$T101),$W101,IF(AND($S101&lt;&gt;"",EDATE($D101,Milestones!$AA$192)&gt;=$S101),$V101,$U101)))=Milestones!$AB$192),UPPER(TEXT(EDATE($D101,Milestones!$AA$192),"dd mmm yy"))&amp;" "&amp;Milestones!$AB$192&amp;" "&amp;Milestones!$AC$192&amp;";  ","")&amp;IF(AND(EDATE($D101,Milestones!$AA$193)&lt;=AsOfDate,IF($R101=0,$X101,IF(AND($T101&lt;&gt;"",EDATE($D101,Milestones!$AA$193)&gt;=$T101),$W101,IF(AND($S101&lt;&gt;"",EDATE($D101,Milestones!$AA$193)&gt;=$S101),$V101,$U101)))=Milestones!$AB$193),UPPER(TEXT(EDATE($D101,Milestones!$AA$193),"dd mmm yy"))&amp;" "&amp;Milestones!$AB$193&amp;" "&amp;Milestones!$AC$193&amp;";  ","")&amp;IF(AND(EDATE($D101,Milestones!$AA$194)&lt;=AsOfDate,IF($R101=0,$X101,IF(AND($T101&lt;&gt;"",EDATE($D101,Milestones!$AA$194)&gt;=$T101),$W101,IF(AND($S101&lt;&gt;"",EDATE($D101,Milestones!$AA$194)&gt;=$S101),$V101,$U101)))=Milestones!$AB$194),UPPER(TEXT(EDATE($D101,Milestones!$AA$194),"dd mmm yy"))&amp;" "&amp;Milestones!$AB$194&amp;" "&amp;Milestones!$AC$194&amp;";  ","")&amp;IF(AND(EDATE($D101,Milestones!$AA$195)&lt;=AsOfDate,IF($R101=0,$X101,IF(AND($T101&lt;&gt;"",EDATE($D101,Milestones!$AA$195)&gt;=$T101),$W101,IF(AND($S101&lt;&gt;"",EDATE($D101,Milestones!$AA$195)&gt;=$S101),$V101,$U101)))=Milestones!$AB$195),UPPER(TEXT(EDATE($D101,Milestones!$AA$195),"dd mmm yy"))&amp;" "&amp;Milestones!$AB$195&amp;" "&amp;Milestones!$AC$195&amp;";  ","")&amp;IF(AND(EDATE($D101,Milestones!$AA$196)&lt;=AsOfDate,IF($R101=0,$X101,IF(AND($T101&lt;&gt;"",EDATE($D101,Milestones!$AA$196)&gt;=$T101),$W101,IF(AND($S101&lt;&gt;"",EDATE($D101,Milestones!$AA$196)&gt;=$S101),$V101,$U101)))=Milestones!$AB$196),UPPER(TEXT(EDATE($D101,Milestones!$AA$196),"dd mmm yy"))&amp;" "&amp;Milestones!$AB$196&amp;" "&amp;Milestones!$AC$196&amp;";  ","")&amp;IF(AND(EDATE($D101,Milestones!$AA$197)&lt;=AsOfDate,IF($R101=0,$X101,IF(AND($T101&lt;&gt;"",EDATE($D101,Milestones!$AA$197)&gt;=$T101),$W101,IF(AND($S101&lt;&gt;"",EDATE($D101,Milestones!$AA$197)&gt;=$S101),$V101,$U101)))=Milestones!$AB$197),UPPER(TEXT(EDATE($D101,Milestones!$AA$197),"dd mmm yy"))&amp;" "&amp;Milestones!$AB$197&amp;" "&amp;Milestones!$AC$197&amp;";  ","")&amp;IF(AND(EDATE($D101,Milestones!$AA$198)&lt;=AsOfDate,IF($R101=0,$X101,IF(AND($T101&lt;&gt;"",EDATE($D101,Milestones!$AA$198)&gt;=$T101),$W101,IF(AND($S101&lt;&gt;"",EDATE($D101,Milestones!$AA$198)&gt;=$S101),$V101,$U101)))=Milestones!$AB$198),UPPER(TEXT(EDATE($D101,Milestones!$AA$198),"dd mmm yy"))&amp;" "&amp;Milestones!$AB$198&amp;" "&amp;Milestones!$AC$198&amp;";  ","")&amp;IF(AND(EDATE($D101,Milestones!$AA$199)&lt;=AsOfDate,IF($R101=0,$X101,IF(AND($T101&lt;&gt;"",EDATE($D101,Milestones!$AA$199)&gt;=$T101),$W101,IF(AND($S101&lt;&gt;"",EDATE($D101,Milestones!$AA$199)&gt;=$S101),$V101,$U101)))=Milestones!$AB$199),UPPER(TEXT(EDATE($D101,Milestones!$AA$199),"dd mmm yy"))&amp;" "&amp;Milestones!$AB$199&amp;" "&amp;Milestones!$AC$199&amp;";  ",""))</f>
        <v/>
      </c>
      <c r="R101" s="0" t="str">
        <f aca="false">IF(Staff!$A101="","",Staff!$AI101)</f>
        <v/>
      </c>
      <c r="S101" s="0" t="str">
        <f aca="false">IF(Staff!$A101="","",Staff!$AK101)</f>
        <v/>
      </c>
      <c r="T101" s="0" t="str">
        <f aca="false">IF(Staff!$A101="","",Staff!$AL101)</f>
        <v/>
      </c>
      <c r="U101" s="0" t="str">
        <f aca="false">IF(Staff!$A101="","",Staff!$AP101)</f>
        <v/>
      </c>
      <c r="V101" s="0" t="str">
        <f aca="false">IF(Staff!$A101="","",Staff!$AQ101)</f>
        <v/>
      </c>
      <c r="W101" s="0" t="str">
        <f aca="false">IF(Staff!$A101="","",Staff!$AR101)</f>
        <v/>
      </c>
      <c r="X101" s="0" t="str">
        <f aca="false">IF(Staff!$A101="","",Staff!$AS101)</f>
        <v/>
      </c>
    </row>
    <row r="102" customFormat="false" ht="15" hidden="false" customHeight="false" outlineLevel="0" collapsed="false">
      <c r="A102" s="14" t="str">
        <f aca="false">IF(Staff!$A102="","",Staff!$A102)</f>
        <v/>
      </c>
      <c r="B102" s="14" t="str">
        <f aca="false">IF(Staff!$A102="","",Staff!$B102)</f>
        <v/>
      </c>
      <c r="C102" s="14" t="str">
        <f aca="false">IF(Staff!$A102="","",Staff!$C102)</f>
        <v/>
      </c>
      <c r="D102" s="12" t="str">
        <f aca="false">IF(Staff!$A102="","",Staff!$AH102)</f>
        <v/>
      </c>
      <c r="E102" s="14" t="str">
        <f aca="false">IF(Staff!$A102="","",Staff!$O102)</f>
        <v/>
      </c>
      <c r="F102" s="14" t="str">
        <f aca="false">IF(E102="","",E102*HoursPerDay)</f>
        <v/>
      </c>
      <c r="G102" s="14" t="str">
        <f aca="false">IF(Staff!$A102="","",Staff!$AE102)</f>
        <v/>
      </c>
      <c r="H102" s="26" t="str">
        <f aca="false">IF($A102="","",I102&amp;J102&amp;K102&amp;L102&amp;M102&amp;N102&amp;O102&amp;P102&amp;Q102)</f>
        <v/>
      </c>
      <c r="I102" s="0" t="str">
        <f aca="false">IF(OR($A102="",$D102=""),"",IF(AND(EDATE($D102,Milestones!$AA$20)&lt;=AsOfDate,IF($R102=0,$X102,IF(AND($T102&lt;&gt;"",EDATE($D102,Milestones!$AA$20)&gt;=$T102),$W102,IF(AND($S102&lt;&gt;"",EDATE($D102,Milestones!$AA$20)&gt;=$S102),$V102,$U102)))=Milestones!$AB$20),UPPER(TEXT(EDATE($D102,Milestones!$AA$20),"dd mmm yy"))&amp;" "&amp;Milestones!$AB$20&amp;" "&amp;Milestones!$AC$20&amp;";  ","")&amp;IF(AND(EDATE($D102,Milestones!$AA$21)&lt;=AsOfDate,IF($R102=0,$X102,IF(AND($T102&lt;&gt;"",EDATE($D102,Milestones!$AA$21)&gt;=$T102),$W102,IF(AND($S102&lt;&gt;"",EDATE($D102,Milestones!$AA$21)&gt;=$S102),$V102,$U102)))=Milestones!$AB$21),UPPER(TEXT(EDATE($D102,Milestones!$AA$21),"dd mmm yy"))&amp;" "&amp;Milestones!$AB$21&amp;" "&amp;Milestones!$AC$21&amp;";  ","")&amp;IF(AND(EDATE($D102,Milestones!$AA$22)&lt;=AsOfDate,IF($R102=0,$X102,IF(AND($T102&lt;&gt;"",EDATE($D102,Milestones!$AA$22)&gt;=$T102),$W102,IF(AND($S102&lt;&gt;"",EDATE($D102,Milestones!$AA$22)&gt;=$S102),$V102,$U102)))=Milestones!$AB$22),UPPER(TEXT(EDATE($D102,Milestones!$AA$22),"dd mmm yy"))&amp;" "&amp;Milestones!$AB$22&amp;" "&amp;Milestones!$AC$22&amp;";  ","")&amp;IF(AND(EDATE($D102,Milestones!$AA$23)&lt;=AsOfDate,IF($R102=0,$X102,IF(AND($T102&lt;&gt;"",EDATE($D102,Milestones!$AA$23)&gt;=$T102),$W102,IF(AND($S102&lt;&gt;"",EDATE($D102,Milestones!$AA$23)&gt;=$S102),$V102,$U102)))=Milestones!$AB$23),UPPER(TEXT(EDATE($D102,Milestones!$AA$23),"dd mmm yy"))&amp;" "&amp;Milestones!$AB$23&amp;" "&amp;Milestones!$AC$23&amp;";  ","")&amp;IF(AND(EDATE($D102,Milestones!$AA$24)&lt;=AsOfDate,IF($R102=0,$X102,IF(AND($T102&lt;&gt;"",EDATE($D102,Milestones!$AA$24)&gt;=$T102),$W102,IF(AND($S102&lt;&gt;"",EDATE($D102,Milestones!$AA$24)&gt;=$S102),$V102,$U102)))=Milestones!$AB$24),UPPER(TEXT(EDATE($D102,Milestones!$AA$24),"dd mmm yy"))&amp;" "&amp;Milestones!$AB$24&amp;" "&amp;Milestones!$AC$24&amp;";  ","")&amp;IF(AND(EDATE($D102,Milestones!$AA$25)&lt;=AsOfDate,IF($R102=0,$X102,IF(AND($T102&lt;&gt;"",EDATE($D102,Milestones!$AA$25)&gt;=$T102),$W102,IF(AND($S102&lt;&gt;"",EDATE($D102,Milestones!$AA$25)&gt;=$S102),$V102,$U102)))=Milestones!$AB$25),UPPER(TEXT(EDATE($D102,Milestones!$AA$25),"dd mmm yy"))&amp;" "&amp;Milestones!$AB$25&amp;" "&amp;Milestones!$AC$25&amp;";  ","")&amp;IF(AND(EDATE($D102,Milestones!$AA$26)&lt;=AsOfDate,IF($R102=0,$X102,IF(AND($T102&lt;&gt;"",EDATE($D102,Milestones!$AA$26)&gt;=$T102),$W102,IF(AND($S102&lt;&gt;"",EDATE($D102,Milestones!$AA$26)&gt;=$S102),$V102,$U102)))=Milestones!$AB$26),UPPER(TEXT(EDATE($D102,Milestones!$AA$26),"dd mmm yy"))&amp;" "&amp;Milestones!$AB$26&amp;" "&amp;Milestones!$AC$26&amp;";  ","")&amp;IF(AND(EDATE($D102,Milestones!$AA$27)&lt;=AsOfDate,IF($R102=0,$X102,IF(AND($T102&lt;&gt;"",EDATE($D102,Milestones!$AA$27)&gt;=$T102),$W102,IF(AND($S102&lt;&gt;"",EDATE($D102,Milestones!$AA$27)&gt;=$S102),$V102,$U102)))=Milestones!$AB$27),UPPER(TEXT(EDATE($D102,Milestones!$AA$27),"dd mmm yy"))&amp;" "&amp;Milestones!$AB$27&amp;" "&amp;Milestones!$AC$27&amp;";  ","")&amp;IF(AND(EDATE($D102,Milestones!$AA$28)&lt;=AsOfDate,IF($R102=0,$X102,IF(AND($T102&lt;&gt;"",EDATE($D102,Milestones!$AA$28)&gt;=$T102),$W102,IF(AND($S102&lt;&gt;"",EDATE($D102,Milestones!$AA$28)&gt;=$S102),$V102,$U102)))=Milestones!$AB$28),UPPER(TEXT(EDATE($D102,Milestones!$AA$28),"dd mmm yy"))&amp;" "&amp;Milestones!$AB$28&amp;" "&amp;Milestones!$AC$28&amp;";  ","")&amp;IF(AND(EDATE($D102,Milestones!$AA$29)&lt;=AsOfDate,IF($R102=0,$X102,IF(AND($T102&lt;&gt;"",EDATE($D102,Milestones!$AA$29)&gt;=$T102),$W102,IF(AND($S102&lt;&gt;"",EDATE($D102,Milestones!$AA$29)&gt;=$S102),$V102,$U102)))=Milestones!$AB$29),UPPER(TEXT(EDATE($D102,Milestones!$AA$29),"dd mmm yy"))&amp;" "&amp;Milestones!$AB$29&amp;" "&amp;Milestones!$AC$29&amp;";  ","")&amp;IF(AND(EDATE($D102,Milestones!$AA$30)&lt;=AsOfDate,IF($R102=0,$X102,IF(AND($T102&lt;&gt;"",EDATE($D102,Milestones!$AA$30)&gt;=$T102),$W102,IF(AND($S102&lt;&gt;"",EDATE($D102,Milestones!$AA$30)&gt;=$S102),$V102,$U102)))=Milestones!$AB$30),UPPER(TEXT(EDATE($D102,Milestones!$AA$30),"dd mmm yy"))&amp;" "&amp;Milestones!$AB$30&amp;" "&amp;Milestones!$AC$30&amp;";  ","")&amp;IF(AND(EDATE($D102,Milestones!$AA$31)&lt;=AsOfDate,IF($R102=0,$X102,IF(AND($T102&lt;&gt;"",EDATE($D102,Milestones!$AA$31)&gt;=$T102),$W102,IF(AND($S102&lt;&gt;"",EDATE($D102,Milestones!$AA$31)&gt;=$S102),$V102,$U102)))=Milestones!$AB$31),UPPER(TEXT(EDATE($D102,Milestones!$AA$31),"dd mmm yy"))&amp;" "&amp;Milestones!$AB$31&amp;" "&amp;Milestones!$AC$31&amp;";  ","")&amp;IF(AND(EDATE($D102,Milestones!$AA$32)&lt;=AsOfDate,IF($R102=0,$X102,IF(AND($T102&lt;&gt;"",EDATE($D102,Milestones!$AA$32)&gt;=$T102),$W102,IF(AND($S102&lt;&gt;"",EDATE($D102,Milestones!$AA$32)&gt;=$S102),$V102,$U102)))=Milestones!$AB$32),UPPER(TEXT(EDATE($D102,Milestones!$AA$32),"dd mmm yy"))&amp;" "&amp;Milestones!$AB$32&amp;" "&amp;Milestones!$AC$32&amp;";  ","")&amp;IF(AND(EDATE($D102,Milestones!$AA$33)&lt;=AsOfDate,IF($R102=0,$X102,IF(AND($T102&lt;&gt;"",EDATE($D102,Milestones!$AA$33)&gt;=$T102),$W102,IF(AND($S102&lt;&gt;"",EDATE($D102,Milestones!$AA$33)&gt;=$S102),$V102,$U102)))=Milestones!$AB$33),UPPER(TEXT(EDATE($D102,Milestones!$AA$33),"dd mmm yy"))&amp;" "&amp;Milestones!$AB$33&amp;" "&amp;Milestones!$AC$33&amp;";  ","")&amp;IF(AND(EDATE($D102,Milestones!$AA$34)&lt;=AsOfDate,IF($R102=0,$X102,IF(AND($T102&lt;&gt;"",EDATE($D102,Milestones!$AA$34)&gt;=$T102),$W102,IF(AND($S102&lt;&gt;"",EDATE($D102,Milestones!$AA$34)&gt;=$S102),$V102,$U102)))=Milestones!$AB$34),UPPER(TEXT(EDATE($D102,Milestones!$AA$34),"dd mmm yy"))&amp;" "&amp;Milestones!$AB$34&amp;" "&amp;Milestones!$AC$34&amp;";  ","")&amp;IF(AND(EDATE($D102,Milestones!$AA$35)&lt;=AsOfDate,IF($R102=0,$X102,IF(AND($T102&lt;&gt;"",EDATE($D102,Milestones!$AA$35)&gt;=$T102),$W102,IF(AND($S102&lt;&gt;"",EDATE($D102,Milestones!$AA$35)&gt;=$S102),$V102,$U102)))=Milestones!$AB$35),UPPER(TEXT(EDATE($D102,Milestones!$AA$35),"dd mmm yy"))&amp;" "&amp;Milestones!$AB$35&amp;" "&amp;Milestones!$AC$35&amp;";  ","")&amp;IF(AND(EDATE($D102,Milestones!$AA$36)&lt;=AsOfDate,IF($R102=0,$X102,IF(AND($T102&lt;&gt;"",EDATE($D102,Milestones!$AA$36)&gt;=$T102),$W102,IF(AND($S102&lt;&gt;"",EDATE($D102,Milestones!$AA$36)&gt;=$S102),$V102,$U102)))=Milestones!$AB$36),UPPER(TEXT(EDATE($D102,Milestones!$AA$36),"dd mmm yy"))&amp;" "&amp;Milestones!$AB$36&amp;" "&amp;Milestones!$AC$36&amp;";  ","")&amp;IF(AND(EDATE($D102,Milestones!$AA$37)&lt;=AsOfDate,IF($R102=0,$X102,IF(AND($T102&lt;&gt;"",EDATE($D102,Milestones!$AA$37)&gt;=$T102),$W102,IF(AND($S102&lt;&gt;"",EDATE($D102,Milestones!$AA$37)&gt;=$S102),$V102,$U102)))=Milestones!$AB$37),UPPER(TEXT(EDATE($D102,Milestones!$AA$37),"dd mmm yy"))&amp;" "&amp;Milestones!$AB$37&amp;" "&amp;Milestones!$AC$37&amp;";  ","")&amp;IF(AND(EDATE($D102,Milestones!$AA$38)&lt;=AsOfDate,IF($R102=0,$X102,IF(AND($T102&lt;&gt;"",EDATE($D102,Milestones!$AA$38)&gt;=$T102),$W102,IF(AND($S102&lt;&gt;"",EDATE($D102,Milestones!$AA$38)&gt;=$S102),$V102,$U102)))=Milestones!$AB$38),UPPER(TEXT(EDATE($D102,Milestones!$AA$38),"dd mmm yy"))&amp;" "&amp;Milestones!$AB$38&amp;" "&amp;Milestones!$AC$38&amp;";  ","")&amp;IF(AND(EDATE($D102,Milestones!$AA$39)&lt;=AsOfDate,IF($R102=0,$X102,IF(AND($T102&lt;&gt;"",EDATE($D102,Milestones!$AA$39)&gt;=$T102),$W102,IF(AND($S102&lt;&gt;"",EDATE($D102,Milestones!$AA$39)&gt;=$S102),$V102,$U102)))=Milestones!$AB$39),UPPER(TEXT(EDATE($D102,Milestones!$AA$39),"dd mmm yy"))&amp;" "&amp;Milestones!$AB$39&amp;" "&amp;Milestones!$AC$39&amp;";  ",""))</f>
        <v/>
      </c>
      <c r="J102" s="0" t="str">
        <f aca="false">IF(OR($A102="",$D102=""),"",IF(AND(EDATE($D102,Milestones!$AA$40)&lt;=AsOfDate,IF($R102=0,$X102,IF(AND($T102&lt;&gt;"",EDATE($D102,Milestones!$AA$40)&gt;=$T102),$W102,IF(AND($S102&lt;&gt;"",EDATE($D102,Milestones!$AA$40)&gt;=$S102),$V102,$U102)))=Milestones!$AB$40),UPPER(TEXT(EDATE($D102,Milestones!$AA$40),"dd mmm yy"))&amp;" "&amp;Milestones!$AB$40&amp;" "&amp;Milestones!$AC$40&amp;";  ","")&amp;IF(AND(EDATE($D102,Milestones!$AA$41)&lt;=AsOfDate,IF($R102=0,$X102,IF(AND($T102&lt;&gt;"",EDATE($D102,Milestones!$AA$41)&gt;=$T102),$W102,IF(AND($S102&lt;&gt;"",EDATE($D102,Milestones!$AA$41)&gt;=$S102),$V102,$U102)))=Milestones!$AB$41),UPPER(TEXT(EDATE($D102,Milestones!$AA$41),"dd mmm yy"))&amp;" "&amp;Milestones!$AB$41&amp;" "&amp;Milestones!$AC$41&amp;";  ","")&amp;IF(AND(EDATE($D102,Milestones!$AA$42)&lt;=AsOfDate,IF($R102=0,$X102,IF(AND($T102&lt;&gt;"",EDATE($D102,Milestones!$AA$42)&gt;=$T102),$W102,IF(AND($S102&lt;&gt;"",EDATE($D102,Milestones!$AA$42)&gt;=$S102),$V102,$U102)))=Milestones!$AB$42),UPPER(TEXT(EDATE($D102,Milestones!$AA$42),"dd mmm yy"))&amp;" "&amp;Milestones!$AB$42&amp;" "&amp;Milestones!$AC$42&amp;";  ","")&amp;IF(AND(EDATE($D102,Milestones!$AA$43)&lt;=AsOfDate,IF($R102=0,$X102,IF(AND($T102&lt;&gt;"",EDATE($D102,Milestones!$AA$43)&gt;=$T102),$W102,IF(AND($S102&lt;&gt;"",EDATE($D102,Milestones!$AA$43)&gt;=$S102),$V102,$U102)))=Milestones!$AB$43),UPPER(TEXT(EDATE($D102,Milestones!$AA$43),"dd mmm yy"))&amp;" "&amp;Milestones!$AB$43&amp;" "&amp;Milestones!$AC$43&amp;";  ","")&amp;IF(AND(EDATE($D102,Milestones!$AA$44)&lt;=AsOfDate,IF($R102=0,$X102,IF(AND($T102&lt;&gt;"",EDATE($D102,Milestones!$AA$44)&gt;=$T102),$W102,IF(AND($S102&lt;&gt;"",EDATE($D102,Milestones!$AA$44)&gt;=$S102),$V102,$U102)))=Milestones!$AB$44),UPPER(TEXT(EDATE($D102,Milestones!$AA$44),"dd mmm yy"))&amp;" "&amp;Milestones!$AB$44&amp;" "&amp;Milestones!$AC$44&amp;";  ","")&amp;IF(AND(EDATE($D102,Milestones!$AA$45)&lt;=AsOfDate,IF($R102=0,$X102,IF(AND($T102&lt;&gt;"",EDATE($D102,Milestones!$AA$45)&gt;=$T102),$W102,IF(AND($S102&lt;&gt;"",EDATE($D102,Milestones!$AA$45)&gt;=$S102),$V102,$U102)))=Milestones!$AB$45),UPPER(TEXT(EDATE($D102,Milestones!$AA$45),"dd mmm yy"))&amp;" "&amp;Milestones!$AB$45&amp;" "&amp;Milestones!$AC$45&amp;";  ","")&amp;IF(AND(EDATE($D102,Milestones!$AA$46)&lt;=AsOfDate,IF($R102=0,$X102,IF(AND($T102&lt;&gt;"",EDATE($D102,Milestones!$AA$46)&gt;=$T102),$W102,IF(AND($S102&lt;&gt;"",EDATE($D102,Milestones!$AA$46)&gt;=$S102),$V102,$U102)))=Milestones!$AB$46),UPPER(TEXT(EDATE($D102,Milestones!$AA$46),"dd mmm yy"))&amp;" "&amp;Milestones!$AB$46&amp;" "&amp;Milestones!$AC$46&amp;";  ","")&amp;IF(AND(EDATE($D102,Milestones!$AA$47)&lt;=AsOfDate,IF($R102=0,$X102,IF(AND($T102&lt;&gt;"",EDATE($D102,Milestones!$AA$47)&gt;=$T102),$W102,IF(AND($S102&lt;&gt;"",EDATE($D102,Milestones!$AA$47)&gt;=$S102),$V102,$U102)))=Milestones!$AB$47),UPPER(TEXT(EDATE($D102,Milestones!$AA$47),"dd mmm yy"))&amp;" "&amp;Milestones!$AB$47&amp;" "&amp;Milestones!$AC$47&amp;";  ","")&amp;IF(AND(EDATE($D102,Milestones!$AA$48)&lt;=AsOfDate,IF($R102=0,$X102,IF(AND($T102&lt;&gt;"",EDATE($D102,Milestones!$AA$48)&gt;=$T102),$W102,IF(AND($S102&lt;&gt;"",EDATE($D102,Milestones!$AA$48)&gt;=$S102),$V102,$U102)))=Milestones!$AB$48),UPPER(TEXT(EDATE($D102,Milestones!$AA$48),"dd mmm yy"))&amp;" "&amp;Milestones!$AB$48&amp;" "&amp;Milestones!$AC$48&amp;";  ","")&amp;IF(AND(EDATE($D102,Milestones!$AA$49)&lt;=AsOfDate,IF($R102=0,$X102,IF(AND($T102&lt;&gt;"",EDATE($D102,Milestones!$AA$49)&gt;=$T102),$W102,IF(AND($S102&lt;&gt;"",EDATE($D102,Milestones!$AA$49)&gt;=$S102),$V102,$U102)))=Milestones!$AB$49),UPPER(TEXT(EDATE($D102,Milestones!$AA$49),"dd mmm yy"))&amp;" "&amp;Milestones!$AB$49&amp;" "&amp;Milestones!$AC$49&amp;";  ","")&amp;IF(AND(EDATE($D102,Milestones!$AA$50)&lt;=AsOfDate,IF($R102=0,$X102,IF(AND($T102&lt;&gt;"",EDATE($D102,Milestones!$AA$50)&gt;=$T102),$W102,IF(AND($S102&lt;&gt;"",EDATE($D102,Milestones!$AA$50)&gt;=$S102),$V102,$U102)))=Milestones!$AB$50),UPPER(TEXT(EDATE($D102,Milestones!$AA$50),"dd mmm yy"))&amp;" "&amp;Milestones!$AB$50&amp;" "&amp;Milestones!$AC$50&amp;";  ","")&amp;IF(AND(EDATE($D102,Milestones!$AA$51)&lt;=AsOfDate,IF($R102=0,$X102,IF(AND($T102&lt;&gt;"",EDATE($D102,Milestones!$AA$51)&gt;=$T102),$W102,IF(AND($S102&lt;&gt;"",EDATE($D102,Milestones!$AA$51)&gt;=$S102),$V102,$U102)))=Milestones!$AB$51),UPPER(TEXT(EDATE($D102,Milestones!$AA$51),"dd mmm yy"))&amp;" "&amp;Milestones!$AB$51&amp;" "&amp;Milestones!$AC$51&amp;";  ","")&amp;IF(AND(EDATE($D102,Milestones!$AA$52)&lt;=AsOfDate,IF($R102=0,$X102,IF(AND($T102&lt;&gt;"",EDATE($D102,Milestones!$AA$52)&gt;=$T102),$W102,IF(AND($S102&lt;&gt;"",EDATE($D102,Milestones!$AA$52)&gt;=$S102),$V102,$U102)))=Milestones!$AB$52),UPPER(TEXT(EDATE($D102,Milestones!$AA$52),"dd mmm yy"))&amp;" "&amp;Milestones!$AB$52&amp;" "&amp;Milestones!$AC$52&amp;";  ","")&amp;IF(AND(EDATE($D102,Milestones!$AA$53)&lt;=AsOfDate,IF($R102=0,$X102,IF(AND($T102&lt;&gt;"",EDATE($D102,Milestones!$AA$53)&gt;=$T102),$W102,IF(AND($S102&lt;&gt;"",EDATE($D102,Milestones!$AA$53)&gt;=$S102),$V102,$U102)))=Milestones!$AB$53),UPPER(TEXT(EDATE($D102,Milestones!$AA$53),"dd mmm yy"))&amp;" "&amp;Milestones!$AB$53&amp;" "&amp;Milestones!$AC$53&amp;";  ","")&amp;IF(AND(EDATE($D102,Milestones!$AA$54)&lt;=AsOfDate,IF($R102=0,$X102,IF(AND($T102&lt;&gt;"",EDATE($D102,Milestones!$AA$54)&gt;=$T102),$W102,IF(AND($S102&lt;&gt;"",EDATE($D102,Milestones!$AA$54)&gt;=$S102),$V102,$U102)))=Milestones!$AB$54),UPPER(TEXT(EDATE($D102,Milestones!$AA$54),"dd mmm yy"))&amp;" "&amp;Milestones!$AB$54&amp;" "&amp;Milestones!$AC$54&amp;";  ","")&amp;IF(AND(EDATE($D102,Milestones!$AA$55)&lt;=AsOfDate,IF($R102=0,$X102,IF(AND($T102&lt;&gt;"",EDATE($D102,Milestones!$AA$55)&gt;=$T102),$W102,IF(AND($S102&lt;&gt;"",EDATE($D102,Milestones!$AA$55)&gt;=$S102),$V102,$U102)))=Milestones!$AB$55),UPPER(TEXT(EDATE($D102,Milestones!$AA$55),"dd mmm yy"))&amp;" "&amp;Milestones!$AB$55&amp;" "&amp;Milestones!$AC$55&amp;";  ","")&amp;IF(AND(EDATE($D102,Milestones!$AA$56)&lt;=AsOfDate,IF($R102=0,$X102,IF(AND($T102&lt;&gt;"",EDATE($D102,Milestones!$AA$56)&gt;=$T102),$W102,IF(AND($S102&lt;&gt;"",EDATE($D102,Milestones!$AA$56)&gt;=$S102),$V102,$U102)))=Milestones!$AB$56),UPPER(TEXT(EDATE($D102,Milestones!$AA$56),"dd mmm yy"))&amp;" "&amp;Milestones!$AB$56&amp;" "&amp;Milestones!$AC$56&amp;";  ","")&amp;IF(AND(EDATE($D102,Milestones!$AA$57)&lt;=AsOfDate,IF($R102=0,$X102,IF(AND($T102&lt;&gt;"",EDATE($D102,Milestones!$AA$57)&gt;=$T102),$W102,IF(AND($S102&lt;&gt;"",EDATE($D102,Milestones!$AA$57)&gt;=$S102),$V102,$U102)))=Milestones!$AB$57),UPPER(TEXT(EDATE($D102,Milestones!$AA$57),"dd mmm yy"))&amp;" "&amp;Milestones!$AB$57&amp;" "&amp;Milestones!$AC$57&amp;";  ","")&amp;IF(AND(EDATE($D102,Milestones!$AA$58)&lt;=AsOfDate,IF($R102=0,$X102,IF(AND($T102&lt;&gt;"",EDATE($D102,Milestones!$AA$58)&gt;=$T102),$W102,IF(AND($S102&lt;&gt;"",EDATE($D102,Milestones!$AA$58)&gt;=$S102),$V102,$U102)))=Milestones!$AB$58),UPPER(TEXT(EDATE($D102,Milestones!$AA$58),"dd mmm yy"))&amp;" "&amp;Milestones!$AB$58&amp;" "&amp;Milestones!$AC$58&amp;";  ","")&amp;IF(AND(EDATE($D102,Milestones!$AA$59)&lt;=AsOfDate,IF($R102=0,$X102,IF(AND($T102&lt;&gt;"",EDATE($D102,Milestones!$AA$59)&gt;=$T102),$W102,IF(AND($S102&lt;&gt;"",EDATE($D102,Milestones!$AA$59)&gt;=$S102),$V102,$U102)))=Milestones!$AB$59),UPPER(TEXT(EDATE($D102,Milestones!$AA$59),"dd mmm yy"))&amp;" "&amp;Milestones!$AB$59&amp;" "&amp;Milestones!$AC$59&amp;";  ",""))</f>
        <v/>
      </c>
      <c r="K102" s="0" t="str">
        <f aca="false">IF(OR($A102="",$D102=""),"",IF(AND(EDATE($D102,Milestones!$AA$60)&lt;=AsOfDate,IF($R102=0,$X102,IF(AND($T102&lt;&gt;"",EDATE($D102,Milestones!$AA$60)&gt;=$T102),$W102,IF(AND($S102&lt;&gt;"",EDATE($D102,Milestones!$AA$60)&gt;=$S102),$V102,$U102)))=Milestones!$AB$60),UPPER(TEXT(EDATE($D102,Milestones!$AA$60),"dd mmm yy"))&amp;" "&amp;Milestones!$AB$60&amp;" "&amp;Milestones!$AC$60&amp;";  ","")&amp;IF(AND(EDATE($D102,Milestones!$AA$61)&lt;=AsOfDate,IF($R102=0,$X102,IF(AND($T102&lt;&gt;"",EDATE($D102,Milestones!$AA$61)&gt;=$T102),$W102,IF(AND($S102&lt;&gt;"",EDATE($D102,Milestones!$AA$61)&gt;=$S102),$V102,$U102)))=Milestones!$AB$61),UPPER(TEXT(EDATE($D102,Milestones!$AA$61),"dd mmm yy"))&amp;" "&amp;Milestones!$AB$61&amp;" "&amp;Milestones!$AC$61&amp;";  ","")&amp;IF(AND(EDATE($D102,Milestones!$AA$62)&lt;=AsOfDate,IF($R102=0,$X102,IF(AND($T102&lt;&gt;"",EDATE($D102,Milestones!$AA$62)&gt;=$T102),$W102,IF(AND($S102&lt;&gt;"",EDATE($D102,Milestones!$AA$62)&gt;=$S102),$V102,$U102)))=Milestones!$AB$62),UPPER(TEXT(EDATE($D102,Milestones!$AA$62),"dd mmm yy"))&amp;" "&amp;Milestones!$AB$62&amp;" "&amp;Milestones!$AC$62&amp;";  ","")&amp;IF(AND(EDATE($D102,Milestones!$AA$63)&lt;=AsOfDate,IF($R102=0,$X102,IF(AND($T102&lt;&gt;"",EDATE($D102,Milestones!$AA$63)&gt;=$T102),$W102,IF(AND($S102&lt;&gt;"",EDATE($D102,Milestones!$AA$63)&gt;=$S102),$V102,$U102)))=Milestones!$AB$63),UPPER(TEXT(EDATE($D102,Milestones!$AA$63),"dd mmm yy"))&amp;" "&amp;Milestones!$AB$63&amp;" "&amp;Milestones!$AC$63&amp;";  ","")&amp;IF(AND(EDATE($D102,Milestones!$AA$64)&lt;=AsOfDate,IF($R102=0,$X102,IF(AND($T102&lt;&gt;"",EDATE($D102,Milestones!$AA$64)&gt;=$T102),$W102,IF(AND($S102&lt;&gt;"",EDATE($D102,Milestones!$AA$64)&gt;=$S102),$V102,$U102)))=Milestones!$AB$64),UPPER(TEXT(EDATE($D102,Milestones!$AA$64),"dd mmm yy"))&amp;" "&amp;Milestones!$AB$64&amp;" "&amp;Milestones!$AC$64&amp;";  ","")&amp;IF(AND(EDATE($D102,Milestones!$AA$65)&lt;=AsOfDate,IF($R102=0,$X102,IF(AND($T102&lt;&gt;"",EDATE($D102,Milestones!$AA$65)&gt;=$T102),$W102,IF(AND($S102&lt;&gt;"",EDATE($D102,Milestones!$AA$65)&gt;=$S102),$V102,$U102)))=Milestones!$AB$65),UPPER(TEXT(EDATE($D102,Milestones!$AA$65),"dd mmm yy"))&amp;" "&amp;Milestones!$AB$65&amp;" "&amp;Milestones!$AC$65&amp;";  ","")&amp;IF(AND(EDATE($D102,Milestones!$AA$66)&lt;=AsOfDate,IF($R102=0,$X102,IF(AND($T102&lt;&gt;"",EDATE($D102,Milestones!$AA$66)&gt;=$T102),$W102,IF(AND($S102&lt;&gt;"",EDATE($D102,Milestones!$AA$66)&gt;=$S102),$V102,$U102)))=Milestones!$AB$66),UPPER(TEXT(EDATE($D102,Milestones!$AA$66),"dd mmm yy"))&amp;" "&amp;Milestones!$AB$66&amp;" "&amp;Milestones!$AC$66&amp;";  ","")&amp;IF(AND(EDATE($D102,Milestones!$AA$67)&lt;=AsOfDate,IF($R102=0,$X102,IF(AND($T102&lt;&gt;"",EDATE($D102,Milestones!$AA$67)&gt;=$T102),$W102,IF(AND($S102&lt;&gt;"",EDATE($D102,Milestones!$AA$67)&gt;=$S102),$V102,$U102)))=Milestones!$AB$67),UPPER(TEXT(EDATE($D102,Milestones!$AA$67),"dd mmm yy"))&amp;" "&amp;Milestones!$AB$67&amp;" "&amp;Milestones!$AC$67&amp;";  ","")&amp;IF(AND(EDATE($D102,Milestones!$AA$68)&lt;=AsOfDate,IF($R102=0,$X102,IF(AND($T102&lt;&gt;"",EDATE($D102,Milestones!$AA$68)&gt;=$T102),$W102,IF(AND($S102&lt;&gt;"",EDATE($D102,Milestones!$AA$68)&gt;=$S102),$V102,$U102)))=Milestones!$AB$68),UPPER(TEXT(EDATE($D102,Milestones!$AA$68),"dd mmm yy"))&amp;" "&amp;Milestones!$AB$68&amp;" "&amp;Milestones!$AC$68&amp;";  ","")&amp;IF(AND(EDATE($D102,Milestones!$AA$69)&lt;=AsOfDate,IF($R102=0,$X102,IF(AND($T102&lt;&gt;"",EDATE($D102,Milestones!$AA$69)&gt;=$T102),$W102,IF(AND($S102&lt;&gt;"",EDATE($D102,Milestones!$AA$69)&gt;=$S102),$V102,$U102)))=Milestones!$AB$69),UPPER(TEXT(EDATE($D102,Milestones!$AA$69),"dd mmm yy"))&amp;" "&amp;Milestones!$AB$69&amp;" "&amp;Milestones!$AC$69&amp;";  ","")&amp;IF(AND(EDATE($D102,Milestones!$AA$70)&lt;=AsOfDate,IF($R102=0,$X102,IF(AND($T102&lt;&gt;"",EDATE($D102,Milestones!$AA$70)&gt;=$T102),$W102,IF(AND($S102&lt;&gt;"",EDATE($D102,Milestones!$AA$70)&gt;=$S102),$V102,$U102)))=Milestones!$AB$70),UPPER(TEXT(EDATE($D102,Milestones!$AA$70),"dd mmm yy"))&amp;" "&amp;Milestones!$AB$70&amp;" "&amp;Milestones!$AC$70&amp;";  ","")&amp;IF(AND(EDATE($D102,Milestones!$AA$71)&lt;=AsOfDate,IF($R102=0,$X102,IF(AND($T102&lt;&gt;"",EDATE($D102,Milestones!$AA$71)&gt;=$T102),$W102,IF(AND($S102&lt;&gt;"",EDATE($D102,Milestones!$AA$71)&gt;=$S102),$V102,$U102)))=Milestones!$AB$71),UPPER(TEXT(EDATE($D102,Milestones!$AA$71),"dd mmm yy"))&amp;" "&amp;Milestones!$AB$71&amp;" "&amp;Milestones!$AC$71&amp;";  ","")&amp;IF(AND(EDATE($D102,Milestones!$AA$72)&lt;=AsOfDate,IF($R102=0,$X102,IF(AND($T102&lt;&gt;"",EDATE($D102,Milestones!$AA$72)&gt;=$T102),$W102,IF(AND($S102&lt;&gt;"",EDATE($D102,Milestones!$AA$72)&gt;=$S102),$V102,$U102)))=Milestones!$AB$72),UPPER(TEXT(EDATE($D102,Milestones!$AA$72),"dd mmm yy"))&amp;" "&amp;Milestones!$AB$72&amp;" "&amp;Milestones!$AC$72&amp;";  ","")&amp;IF(AND(EDATE($D102,Milestones!$AA$73)&lt;=AsOfDate,IF($R102=0,$X102,IF(AND($T102&lt;&gt;"",EDATE($D102,Milestones!$AA$73)&gt;=$T102),$W102,IF(AND($S102&lt;&gt;"",EDATE($D102,Milestones!$AA$73)&gt;=$S102),$V102,$U102)))=Milestones!$AB$73),UPPER(TEXT(EDATE($D102,Milestones!$AA$73),"dd mmm yy"))&amp;" "&amp;Milestones!$AB$73&amp;" "&amp;Milestones!$AC$73&amp;";  ","")&amp;IF(AND(EDATE($D102,Milestones!$AA$74)&lt;=AsOfDate,IF($R102=0,$X102,IF(AND($T102&lt;&gt;"",EDATE($D102,Milestones!$AA$74)&gt;=$T102),$W102,IF(AND($S102&lt;&gt;"",EDATE($D102,Milestones!$AA$74)&gt;=$S102),$V102,$U102)))=Milestones!$AB$74),UPPER(TEXT(EDATE($D102,Milestones!$AA$74),"dd mmm yy"))&amp;" "&amp;Milestones!$AB$74&amp;" "&amp;Milestones!$AC$74&amp;";  ","")&amp;IF(AND(EDATE($D102,Milestones!$AA$75)&lt;=AsOfDate,IF($R102=0,$X102,IF(AND($T102&lt;&gt;"",EDATE($D102,Milestones!$AA$75)&gt;=$T102),$W102,IF(AND($S102&lt;&gt;"",EDATE($D102,Milestones!$AA$75)&gt;=$S102),$V102,$U102)))=Milestones!$AB$75),UPPER(TEXT(EDATE($D102,Milestones!$AA$75),"dd mmm yy"))&amp;" "&amp;Milestones!$AB$75&amp;" "&amp;Milestones!$AC$75&amp;";  ","")&amp;IF(AND(EDATE($D102,Milestones!$AA$76)&lt;=AsOfDate,IF($R102=0,$X102,IF(AND($T102&lt;&gt;"",EDATE($D102,Milestones!$AA$76)&gt;=$T102),$W102,IF(AND($S102&lt;&gt;"",EDATE($D102,Milestones!$AA$76)&gt;=$S102),$V102,$U102)))=Milestones!$AB$76),UPPER(TEXT(EDATE($D102,Milestones!$AA$76),"dd mmm yy"))&amp;" "&amp;Milestones!$AB$76&amp;" "&amp;Milestones!$AC$76&amp;";  ","")&amp;IF(AND(EDATE($D102,Milestones!$AA$77)&lt;=AsOfDate,IF($R102=0,$X102,IF(AND($T102&lt;&gt;"",EDATE($D102,Milestones!$AA$77)&gt;=$T102),$W102,IF(AND($S102&lt;&gt;"",EDATE($D102,Milestones!$AA$77)&gt;=$S102),$V102,$U102)))=Milestones!$AB$77),UPPER(TEXT(EDATE($D102,Milestones!$AA$77),"dd mmm yy"))&amp;" "&amp;Milestones!$AB$77&amp;" "&amp;Milestones!$AC$77&amp;";  ","")&amp;IF(AND(EDATE($D102,Milestones!$AA$78)&lt;=AsOfDate,IF($R102=0,$X102,IF(AND($T102&lt;&gt;"",EDATE($D102,Milestones!$AA$78)&gt;=$T102),$W102,IF(AND($S102&lt;&gt;"",EDATE($D102,Milestones!$AA$78)&gt;=$S102),$V102,$U102)))=Milestones!$AB$78),UPPER(TEXT(EDATE($D102,Milestones!$AA$78),"dd mmm yy"))&amp;" "&amp;Milestones!$AB$78&amp;" "&amp;Milestones!$AC$78&amp;";  ","")&amp;IF(AND(EDATE($D102,Milestones!$AA$79)&lt;=AsOfDate,IF($R102=0,$X102,IF(AND($T102&lt;&gt;"",EDATE($D102,Milestones!$AA$79)&gt;=$T102),$W102,IF(AND($S102&lt;&gt;"",EDATE($D102,Milestones!$AA$79)&gt;=$S102),$V102,$U102)))=Milestones!$AB$79),UPPER(TEXT(EDATE($D102,Milestones!$AA$79),"dd mmm yy"))&amp;" "&amp;Milestones!$AB$79&amp;" "&amp;Milestones!$AC$79&amp;";  ",""))</f>
        <v/>
      </c>
      <c r="L102" s="0" t="str">
        <f aca="false">IF(OR($A102="",$D102=""),"",IF(AND(EDATE($D102,Milestones!$AA$80)&lt;=AsOfDate,IF($R102=0,$X102,IF(AND($T102&lt;&gt;"",EDATE($D102,Milestones!$AA$80)&gt;=$T102),$W102,IF(AND($S102&lt;&gt;"",EDATE($D102,Milestones!$AA$80)&gt;=$S102),$V102,$U102)))=Milestones!$AB$80),UPPER(TEXT(EDATE($D102,Milestones!$AA$80),"dd mmm yy"))&amp;" "&amp;Milestones!$AB$80&amp;" "&amp;Milestones!$AC$80&amp;";  ","")&amp;IF(AND(EDATE($D102,Milestones!$AA$81)&lt;=AsOfDate,IF($R102=0,$X102,IF(AND($T102&lt;&gt;"",EDATE($D102,Milestones!$AA$81)&gt;=$T102),$W102,IF(AND($S102&lt;&gt;"",EDATE($D102,Milestones!$AA$81)&gt;=$S102),$V102,$U102)))=Milestones!$AB$81),UPPER(TEXT(EDATE($D102,Milestones!$AA$81),"dd mmm yy"))&amp;" "&amp;Milestones!$AB$81&amp;" "&amp;Milestones!$AC$81&amp;";  ","")&amp;IF(AND(EDATE($D102,Milestones!$AA$82)&lt;=AsOfDate,IF($R102=0,$X102,IF(AND($T102&lt;&gt;"",EDATE($D102,Milestones!$AA$82)&gt;=$T102),$W102,IF(AND($S102&lt;&gt;"",EDATE($D102,Milestones!$AA$82)&gt;=$S102),$V102,$U102)))=Milestones!$AB$82),UPPER(TEXT(EDATE($D102,Milestones!$AA$82),"dd mmm yy"))&amp;" "&amp;Milestones!$AB$82&amp;" "&amp;Milestones!$AC$82&amp;";  ","")&amp;IF(AND(EDATE($D102,Milestones!$AA$83)&lt;=AsOfDate,IF($R102=0,$X102,IF(AND($T102&lt;&gt;"",EDATE($D102,Milestones!$AA$83)&gt;=$T102),$W102,IF(AND($S102&lt;&gt;"",EDATE($D102,Milestones!$AA$83)&gt;=$S102),$V102,$U102)))=Milestones!$AB$83),UPPER(TEXT(EDATE($D102,Milestones!$AA$83),"dd mmm yy"))&amp;" "&amp;Milestones!$AB$83&amp;" "&amp;Milestones!$AC$83&amp;";  ","")&amp;IF(AND(EDATE($D102,Milestones!$AA$84)&lt;=AsOfDate,IF($R102=0,$X102,IF(AND($T102&lt;&gt;"",EDATE($D102,Milestones!$AA$84)&gt;=$T102),$W102,IF(AND($S102&lt;&gt;"",EDATE($D102,Milestones!$AA$84)&gt;=$S102),$V102,$U102)))=Milestones!$AB$84),UPPER(TEXT(EDATE($D102,Milestones!$AA$84),"dd mmm yy"))&amp;" "&amp;Milestones!$AB$84&amp;" "&amp;Milestones!$AC$84&amp;";  ","")&amp;IF(AND(EDATE($D102,Milestones!$AA$85)&lt;=AsOfDate,IF($R102=0,$X102,IF(AND($T102&lt;&gt;"",EDATE($D102,Milestones!$AA$85)&gt;=$T102),$W102,IF(AND($S102&lt;&gt;"",EDATE($D102,Milestones!$AA$85)&gt;=$S102),$V102,$U102)))=Milestones!$AB$85),UPPER(TEXT(EDATE($D102,Milestones!$AA$85),"dd mmm yy"))&amp;" "&amp;Milestones!$AB$85&amp;" "&amp;Milestones!$AC$85&amp;";  ","")&amp;IF(AND(EDATE($D102,Milestones!$AA$86)&lt;=AsOfDate,IF($R102=0,$X102,IF(AND($T102&lt;&gt;"",EDATE($D102,Milestones!$AA$86)&gt;=$T102),$W102,IF(AND($S102&lt;&gt;"",EDATE($D102,Milestones!$AA$86)&gt;=$S102),$V102,$U102)))=Milestones!$AB$86),UPPER(TEXT(EDATE($D102,Milestones!$AA$86),"dd mmm yy"))&amp;" "&amp;Milestones!$AB$86&amp;" "&amp;Milestones!$AC$86&amp;";  ","")&amp;IF(AND(EDATE($D102,Milestones!$AA$87)&lt;=AsOfDate,IF($R102=0,$X102,IF(AND($T102&lt;&gt;"",EDATE($D102,Milestones!$AA$87)&gt;=$T102),$W102,IF(AND($S102&lt;&gt;"",EDATE($D102,Milestones!$AA$87)&gt;=$S102),$V102,$U102)))=Milestones!$AB$87),UPPER(TEXT(EDATE($D102,Milestones!$AA$87),"dd mmm yy"))&amp;" "&amp;Milestones!$AB$87&amp;" "&amp;Milestones!$AC$87&amp;";  ","")&amp;IF(AND(EDATE($D102,Milestones!$AA$88)&lt;=AsOfDate,IF($R102=0,$X102,IF(AND($T102&lt;&gt;"",EDATE($D102,Milestones!$AA$88)&gt;=$T102),$W102,IF(AND($S102&lt;&gt;"",EDATE($D102,Milestones!$AA$88)&gt;=$S102),$V102,$U102)))=Milestones!$AB$88),UPPER(TEXT(EDATE($D102,Milestones!$AA$88),"dd mmm yy"))&amp;" "&amp;Milestones!$AB$88&amp;" "&amp;Milestones!$AC$88&amp;";  ","")&amp;IF(AND(EDATE($D102,Milestones!$AA$89)&lt;=AsOfDate,IF($R102=0,$X102,IF(AND($T102&lt;&gt;"",EDATE($D102,Milestones!$AA$89)&gt;=$T102),$W102,IF(AND($S102&lt;&gt;"",EDATE($D102,Milestones!$AA$89)&gt;=$S102),$V102,$U102)))=Milestones!$AB$89),UPPER(TEXT(EDATE($D102,Milestones!$AA$89),"dd mmm yy"))&amp;" "&amp;Milestones!$AB$89&amp;" "&amp;Milestones!$AC$89&amp;";  ","")&amp;IF(AND(EDATE($D102,Milestones!$AA$90)&lt;=AsOfDate,IF($R102=0,$X102,IF(AND($T102&lt;&gt;"",EDATE($D102,Milestones!$AA$90)&gt;=$T102),$W102,IF(AND($S102&lt;&gt;"",EDATE($D102,Milestones!$AA$90)&gt;=$S102),$V102,$U102)))=Milestones!$AB$90),UPPER(TEXT(EDATE($D102,Milestones!$AA$90),"dd mmm yy"))&amp;" "&amp;Milestones!$AB$90&amp;" "&amp;Milestones!$AC$90&amp;";  ","")&amp;IF(AND(EDATE($D102,Milestones!$AA$91)&lt;=AsOfDate,IF($R102=0,$X102,IF(AND($T102&lt;&gt;"",EDATE($D102,Milestones!$AA$91)&gt;=$T102),$W102,IF(AND($S102&lt;&gt;"",EDATE($D102,Milestones!$AA$91)&gt;=$S102),$V102,$U102)))=Milestones!$AB$91),UPPER(TEXT(EDATE($D102,Milestones!$AA$91),"dd mmm yy"))&amp;" "&amp;Milestones!$AB$91&amp;" "&amp;Milestones!$AC$91&amp;";  ","")&amp;IF(AND(EDATE($D102,Milestones!$AA$92)&lt;=AsOfDate,IF($R102=0,$X102,IF(AND($T102&lt;&gt;"",EDATE($D102,Milestones!$AA$92)&gt;=$T102),$W102,IF(AND($S102&lt;&gt;"",EDATE($D102,Milestones!$AA$92)&gt;=$S102),$V102,$U102)))=Milestones!$AB$92),UPPER(TEXT(EDATE($D102,Milestones!$AA$92),"dd mmm yy"))&amp;" "&amp;Milestones!$AB$92&amp;" "&amp;Milestones!$AC$92&amp;";  ","")&amp;IF(AND(EDATE($D102,Milestones!$AA$93)&lt;=AsOfDate,IF($R102=0,$X102,IF(AND($T102&lt;&gt;"",EDATE($D102,Milestones!$AA$93)&gt;=$T102),$W102,IF(AND($S102&lt;&gt;"",EDATE($D102,Milestones!$AA$93)&gt;=$S102),$V102,$U102)))=Milestones!$AB$93),UPPER(TEXT(EDATE($D102,Milestones!$AA$93),"dd mmm yy"))&amp;" "&amp;Milestones!$AB$93&amp;" "&amp;Milestones!$AC$93&amp;";  ","")&amp;IF(AND(EDATE($D102,Milestones!$AA$94)&lt;=AsOfDate,IF($R102=0,$X102,IF(AND($T102&lt;&gt;"",EDATE($D102,Milestones!$AA$94)&gt;=$T102),$W102,IF(AND($S102&lt;&gt;"",EDATE($D102,Milestones!$AA$94)&gt;=$S102),$V102,$U102)))=Milestones!$AB$94),UPPER(TEXT(EDATE($D102,Milestones!$AA$94),"dd mmm yy"))&amp;" "&amp;Milestones!$AB$94&amp;" "&amp;Milestones!$AC$94&amp;";  ","")&amp;IF(AND(EDATE($D102,Milestones!$AA$95)&lt;=AsOfDate,IF($R102=0,$X102,IF(AND($T102&lt;&gt;"",EDATE($D102,Milestones!$AA$95)&gt;=$T102),$W102,IF(AND($S102&lt;&gt;"",EDATE($D102,Milestones!$AA$95)&gt;=$S102),$V102,$U102)))=Milestones!$AB$95),UPPER(TEXT(EDATE($D102,Milestones!$AA$95),"dd mmm yy"))&amp;" "&amp;Milestones!$AB$95&amp;" "&amp;Milestones!$AC$95&amp;";  ","")&amp;IF(AND(EDATE($D102,Milestones!$AA$96)&lt;=AsOfDate,IF($R102=0,$X102,IF(AND($T102&lt;&gt;"",EDATE($D102,Milestones!$AA$96)&gt;=$T102),$W102,IF(AND($S102&lt;&gt;"",EDATE($D102,Milestones!$AA$96)&gt;=$S102),$V102,$U102)))=Milestones!$AB$96),UPPER(TEXT(EDATE($D102,Milestones!$AA$96),"dd mmm yy"))&amp;" "&amp;Milestones!$AB$96&amp;" "&amp;Milestones!$AC$96&amp;";  ","")&amp;IF(AND(EDATE($D102,Milestones!$AA$97)&lt;=AsOfDate,IF($R102=0,$X102,IF(AND($T102&lt;&gt;"",EDATE($D102,Milestones!$AA$97)&gt;=$T102),$W102,IF(AND($S102&lt;&gt;"",EDATE($D102,Milestones!$AA$97)&gt;=$S102),$V102,$U102)))=Milestones!$AB$97),UPPER(TEXT(EDATE($D102,Milestones!$AA$97),"dd mmm yy"))&amp;" "&amp;Milestones!$AB$97&amp;" "&amp;Milestones!$AC$97&amp;";  ","")&amp;IF(AND(EDATE($D102,Milestones!$AA$98)&lt;=AsOfDate,IF($R102=0,$X102,IF(AND($T102&lt;&gt;"",EDATE($D102,Milestones!$AA$98)&gt;=$T102),$W102,IF(AND($S102&lt;&gt;"",EDATE($D102,Milestones!$AA$98)&gt;=$S102),$V102,$U102)))=Milestones!$AB$98),UPPER(TEXT(EDATE($D102,Milestones!$AA$98),"dd mmm yy"))&amp;" "&amp;Milestones!$AB$98&amp;" "&amp;Milestones!$AC$98&amp;";  ","")&amp;IF(AND(EDATE($D102,Milestones!$AA$99)&lt;=AsOfDate,IF($R102=0,$X102,IF(AND($T102&lt;&gt;"",EDATE($D102,Milestones!$AA$99)&gt;=$T102),$W102,IF(AND($S102&lt;&gt;"",EDATE($D102,Milestones!$AA$99)&gt;=$S102),$V102,$U102)))=Milestones!$AB$99),UPPER(TEXT(EDATE($D102,Milestones!$AA$99),"dd mmm yy"))&amp;" "&amp;Milestones!$AB$99&amp;" "&amp;Milestones!$AC$99&amp;";  ",""))</f>
        <v/>
      </c>
      <c r="M102" s="0" t="str">
        <f aca="false">IF(OR($A102="",$D102=""),"",IF(AND(EDATE($D102,Milestones!$AA$100)&lt;=AsOfDate,IF($R102=0,$X102,IF(AND($T102&lt;&gt;"",EDATE($D102,Milestones!$AA$100)&gt;=$T102),$W102,IF(AND($S102&lt;&gt;"",EDATE($D102,Milestones!$AA$100)&gt;=$S102),$V102,$U102)))=Milestones!$AB$100),UPPER(TEXT(EDATE($D102,Milestones!$AA$100),"dd mmm yy"))&amp;" "&amp;Milestones!$AB$100&amp;" "&amp;Milestones!$AC$100&amp;";  ","")&amp;IF(AND(EDATE($D102,Milestones!$AA$101)&lt;=AsOfDate,IF($R102=0,$X102,IF(AND($T102&lt;&gt;"",EDATE($D102,Milestones!$AA$101)&gt;=$T102),$W102,IF(AND($S102&lt;&gt;"",EDATE($D102,Milestones!$AA$101)&gt;=$S102),$V102,$U102)))=Milestones!$AB$101),UPPER(TEXT(EDATE($D102,Milestones!$AA$101),"dd mmm yy"))&amp;" "&amp;Milestones!$AB$101&amp;" "&amp;Milestones!$AC$101&amp;";  ","")&amp;IF(AND(EDATE($D102,Milestones!$AA$102)&lt;=AsOfDate,IF($R102=0,$X102,IF(AND($T102&lt;&gt;"",EDATE($D102,Milestones!$AA$102)&gt;=$T102),$W102,IF(AND($S102&lt;&gt;"",EDATE($D102,Milestones!$AA$102)&gt;=$S102),$V102,$U102)))=Milestones!$AB$102),UPPER(TEXT(EDATE($D102,Milestones!$AA$102),"dd mmm yy"))&amp;" "&amp;Milestones!$AB$102&amp;" "&amp;Milestones!$AC$102&amp;";  ","")&amp;IF(AND(EDATE($D102,Milestones!$AA$103)&lt;=AsOfDate,IF($R102=0,$X102,IF(AND($T102&lt;&gt;"",EDATE($D102,Milestones!$AA$103)&gt;=$T102),$W102,IF(AND($S102&lt;&gt;"",EDATE($D102,Milestones!$AA$103)&gt;=$S102),$V102,$U102)))=Milestones!$AB$103),UPPER(TEXT(EDATE($D102,Milestones!$AA$103),"dd mmm yy"))&amp;" "&amp;Milestones!$AB$103&amp;" "&amp;Milestones!$AC$103&amp;";  ","")&amp;IF(AND(EDATE($D102,Milestones!$AA$104)&lt;=AsOfDate,IF($R102=0,$X102,IF(AND($T102&lt;&gt;"",EDATE($D102,Milestones!$AA$104)&gt;=$T102),$W102,IF(AND($S102&lt;&gt;"",EDATE($D102,Milestones!$AA$104)&gt;=$S102),$V102,$U102)))=Milestones!$AB$104),UPPER(TEXT(EDATE($D102,Milestones!$AA$104),"dd mmm yy"))&amp;" "&amp;Milestones!$AB$104&amp;" "&amp;Milestones!$AC$104&amp;";  ","")&amp;IF(AND(EDATE($D102,Milestones!$AA$105)&lt;=AsOfDate,IF($R102=0,$X102,IF(AND($T102&lt;&gt;"",EDATE($D102,Milestones!$AA$105)&gt;=$T102),$W102,IF(AND($S102&lt;&gt;"",EDATE($D102,Milestones!$AA$105)&gt;=$S102),$V102,$U102)))=Milestones!$AB$105),UPPER(TEXT(EDATE($D102,Milestones!$AA$105),"dd mmm yy"))&amp;" "&amp;Milestones!$AB$105&amp;" "&amp;Milestones!$AC$105&amp;";  ","")&amp;IF(AND(EDATE($D102,Milestones!$AA$106)&lt;=AsOfDate,IF($R102=0,$X102,IF(AND($T102&lt;&gt;"",EDATE($D102,Milestones!$AA$106)&gt;=$T102),$W102,IF(AND($S102&lt;&gt;"",EDATE($D102,Milestones!$AA$106)&gt;=$S102),$V102,$U102)))=Milestones!$AB$106),UPPER(TEXT(EDATE($D102,Milestones!$AA$106),"dd mmm yy"))&amp;" "&amp;Milestones!$AB$106&amp;" "&amp;Milestones!$AC$106&amp;";  ","")&amp;IF(AND(EDATE($D102,Milestones!$AA$107)&lt;=AsOfDate,IF($R102=0,$X102,IF(AND($T102&lt;&gt;"",EDATE($D102,Milestones!$AA$107)&gt;=$T102),$W102,IF(AND($S102&lt;&gt;"",EDATE($D102,Milestones!$AA$107)&gt;=$S102),$V102,$U102)))=Milestones!$AB$107),UPPER(TEXT(EDATE($D102,Milestones!$AA$107),"dd mmm yy"))&amp;" "&amp;Milestones!$AB$107&amp;" "&amp;Milestones!$AC$107&amp;";  ","")&amp;IF(AND(EDATE($D102,Milestones!$AA$108)&lt;=AsOfDate,IF($R102=0,$X102,IF(AND($T102&lt;&gt;"",EDATE($D102,Milestones!$AA$108)&gt;=$T102),$W102,IF(AND($S102&lt;&gt;"",EDATE($D102,Milestones!$AA$108)&gt;=$S102),$V102,$U102)))=Milestones!$AB$108),UPPER(TEXT(EDATE($D102,Milestones!$AA$108),"dd mmm yy"))&amp;" "&amp;Milestones!$AB$108&amp;" "&amp;Milestones!$AC$108&amp;";  ","")&amp;IF(AND(EDATE($D102,Milestones!$AA$109)&lt;=AsOfDate,IF($R102=0,$X102,IF(AND($T102&lt;&gt;"",EDATE($D102,Milestones!$AA$109)&gt;=$T102),$W102,IF(AND($S102&lt;&gt;"",EDATE($D102,Milestones!$AA$109)&gt;=$S102),$V102,$U102)))=Milestones!$AB$109),UPPER(TEXT(EDATE($D102,Milestones!$AA$109),"dd mmm yy"))&amp;" "&amp;Milestones!$AB$109&amp;" "&amp;Milestones!$AC$109&amp;";  ","")&amp;IF(AND(EDATE($D102,Milestones!$AA$110)&lt;=AsOfDate,IF($R102=0,$X102,IF(AND($T102&lt;&gt;"",EDATE($D102,Milestones!$AA$110)&gt;=$T102),$W102,IF(AND($S102&lt;&gt;"",EDATE($D102,Milestones!$AA$110)&gt;=$S102),$V102,$U102)))=Milestones!$AB$110),UPPER(TEXT(EDATE($D102,Milestones!$AA$110),"dd mmm yy"))&amp;" "&amp;Milestones!$AB$110&amp;" "&amp;Milestones!$AC$110&amp;";  ","")&amp;IF(AND(EDATE($D102,Milestones!$AA$111)&lt;=AsOfDate,IF($R102=0,$X102,IF(AND($T102&lt;&gt;"",EDATE($D102,Milestones!$AA$111)&gt;=$T102),$W102,IF(AND($S102&lt;&gt;"",EDATE($D102,Milestones!$AA$111)&gt;=$S102),$V102,$U102)))=Milestones!$AB$111),UPPER(TEXT(EDATE($D102,Milestones!$AA$111),"dd mmm yy"))&amp;" "&amp;Milestones!$AB$111&amp;" "&amp;Milestones!$AC$111&amp;";  ","")&amp;IF(AND(EDATE($D102,Milestones!$AA$112)&lt;=AsOfDate,IF($R102=0,$X102,IF(AND($T102&lt;&gt;"",EDATE($D102,Milestones!$AA$112)&gt;=$T102),$W102,IF(AND($S102&lt;&gt;"",EDATE($D102,Milestones!$AA$112)&gt;=$S102),$V102,$U102)))=Milestones!$AB$112),UPPER(TEXT(EDATE($D102,Milestones!$AA$112),"dd mmm yy"))&amp;" "&amp;Milestones!$AB$112&amp;" "&amp;Milestones!$AC$112&amp;";  ","")&amp;IF(AND(EDATE($D102,Milestones!$AA$113)&lt;=AsOfDate,IF($R102=0,$X102,IF(AND($T102&lt;&gt;"",EDATE($D102,Milestones!$AA$113)&gt;=$T102),$W102,IF(AND($S102&lt;&gt;"",EDATE($D102,Milestones!$AA$113)&gt;=$S102),$V102,$U102)))=Milestones!$AB$113),UPPER(TEXT(EDATE($D102,Milestones!$AA$113),"dd mmm yy"))&amp;" "&amp;Milestones!$AB$113&amp;" "&amp;Milestones!$AC$113&amp;";  ","")&amp;IF(AND(EDATE($D102,Milestones!$AA$114)&lt;=AsOfDate,IF($R102=0,$X102,IF(AND($T102&lt;&gt;"",EDATE($D102,Milestones!$AA$114)&gt;=$T102),$W102,IF(AND($S102&lt;&gt;"",EDATE($D102,Milestones!$AA$114)&gt;=$S102),$V102,$U102)))=Milestones!$AB$114),UPPER(TEXT(EDATE($D102,Milestones!$AA$114),"dd mmm yy"))&amp;" "&amp;Milestones!$AB$114&amp;" "&amp;Milestones!$AC$114&amp;";  ","")&amp;IF(AND(EDATE($D102,Milestones!$AA$115)&lt;=AsOfDate,IF($R102=0,$X102,IF(AND($T102&lt;&gt;"",EDATE($D102,Milestones!$AA$115)&gt;=$T102),$W102,IF(AND($S102&lt;&gt;"",EDATE($D102,Milestones!$AA$115)&gt;=$S102),$V102,$U102)))=Milestones!$AB$115),UPPER(TEXT(EDATE($D102,Milestones!$AA$115),"dd mmm yy"))&amp;" "&amp;Milestones!$AB$115&amp;" "&amp;Milestones!$AC$115&amp;";  ","")&amp;IF(AND(EDATE($D102,Milestones!$AA$116)&lt;=AsOfDate,IF($R102=0,$X102,IF(AND($T102&lt;&gt;"",EDATE($D102,Milestones!$AA$116)&gt;=$T102),$W102,IF(AND($S102&lt;&gt;"",EDATE($D102,Milestones!$AA$116)&gt;=$S102),$V102,$U102)))=Milestones!$AB$116),UPPER(TEXT(EDATE($D102,Milestones!$AA$116),"dd mmm yy"))&amp;" "&amp;Milestones!$AB$116&amp;" "&amp;Milestones!$AC$116&amp;";  ","")&amp;IF(AND(EDATE($D102,Milestones!$AA$117)&lt;=AsOfDate,IF($R102=0,$X102,IF(AND($T102&lt;&gt;"",EDATE($D102,Milestones!$AA$117)&gt;=$T102),$W102,IF(AND($S102&lt;&gt;"",EDATE($D102,Milestones!$AA$117)&gt;=$S102),$V102,$U102)))=Milestones!$AB$117),UPPER(TEXT(EDATE($D102,Milestones!$AA$117),"dd mmm yy"))&amp;" "&amp;Milestones!$AB$117&amp;" "&amp;Milestones!$AC$117&amp;";  ","")&amp;IF(AND(EDATE($D102,Milestones!$AA$118)&lt;=AsOfDate,IF($R102=0,$X102,IF(AND($T102&lt;&gt;"",EDATE($D102,Milestones!$AA$118)&gt;=$T102),$W102,IF(AND($S102&lt;&gt;"",EDATE($D102,Milestones!$AA$118)&gt;=$S102),$V102,$U102)))=Milestones!$AB$118),UPPER(TEXT(EDATE($D102,Milestones!$AA$118),"dd mmm yy"))&amp;" "&amp;Milestones!$AB$118&amp;" "&amp;Milestones!$AC$118&amp;";  ","")&amp;IF(AND(EDATE($D102,Milestones!$AA$119)&lt;=AsOfDate,IF($R102=0,$X102,IF(AND($T102&lt;&gt;"",EDATE($D102,Milestones!$AA$119)&gt;=$T102),$W102,IF(AND($S102&lt;&gt;"",EDATE($D102,Milestones!$AA$119)&gt;=$S102),$V102,$U102)))=Milestones!$AB$119),UPPER(TEXT(EDATE($D102,Milestones!$AA$119),"dd mmm yy"))&amp;" "&amp;Milestones!$AB$119&amp;" "&amp;Milestones!$AC$119&amp;";  ",""))</f>
        <v/>
      </c>
      <c r="N102" s="0" t="str">
        <f aca="false">IF(OR($A102="",$D102=""),"",IF(AND(EDATE($D102,Milestones!$AA$120)&lt;=AsOfDate,IF($R102=0,$X102,IF(AND($T102&lt;&gt;"",EDATE($D102,Milestones!$AA$120)&gt;=$T102),$W102,IF(AND($S102&lt;&gt;"",EDATE($D102,Milestones!$AA$120)&gt;=$S102),$V102,$U102)))=Milestones!$AB$120),UPPER(TEXT(EDATE($D102,Milestones!$AA$120),"dd mmm yy"))&amp;" "&amp;Milestones!$AB$120&amp;" "&amp;Milestones!$AC$120&amp;";  ","")&amp;IF(AND(EDATE($D102,Milestones!$AA$121)&lt;=AsOfDate,IF($R102=0,$X102,IF(AND($T102&lt;&gt;"",EDATE($D102,Milestones!$AA$121)&gt;=$T102),$W102,IF(AND($S102&lt;&gt;"",EDATE($D102,Milestones!$AA$121)&gt;=$S102),$V102,$U102)))=Milestones!$AB$121),UPPER(TEXT(EDATE($D102,Milestones!$AA$121),"dd mmm yy"))&amp;" "&amp;Milestones!$AB$121&amp;" "&amp;Milestones!$AC$121&amp;";  ","")&amp;IF(AND(EDATE($D102,Milestones!$AA$122)&lt;=AsOfDate,IF($R102=0,$X102,IF(AND($T102&lt;&gt;"",EDATE($D102,Milestones!$AA$122)&gt;=$T102),$W102,IF(AND($S102&lt;&gt;"",EDATE($D102,Milestones!$AA$122)&gt;=$S102),$V102,$U102)))=Milestones!$AB$122),UPPER(TEXT(EDATE($D102,Milestones!$AA$122),"dd mmm yy"))&amp;" "&amp;Milestones!$AB$122&amp;" "&amp;Milestones!$AC$122&amp;";  ","")&amp;IF(AND(EDATE($D102,Milestones!$AA$123)&lt;=AsOfDate,IF($R102=0,$X102,IF(AND($T102&lt;&gt;"",EDATE($D102,Milestones!$AA$123)&gt;=$T102),$W102,IF(AND($S102&lt;&gt;"",EDATE($D102,Milestones!$AA$123)&gt;=$S102),$V102,$U102)))=Milestones!$AB$123),UPPER(TEXT(EDATE($D102,Milestones!$AA$123),"dd mmm yy"))&amp;" "&amp;Milestones!$AB$123&amp;" "&amp;Milestones!$AC$123&amp;";  ","")&amp;IF(AND(EDATE($D102,Milestones!$AA$124)&lt;=AsOfDate,IF($R102=0,$X102,IF(AND($T102&lt;&gt;"",EDATE($D102,Milestones!$AA$124)&gt;=$T102),$W102,IF(AND($S102&lt;&gt;"",EDATE($D102,Milestones!$AA$124)&gt;=$S102),$V102,$U102)))=Milestones!$AB$124),UPPER(TEXT(EDATE($D102,Milestones!$AA$124),"dd mmm yy"))&amp;" "&amp;Milestones!$AB$124&amp;" "&amp;Milestones!$AC$124&amp;";  ","")&amp;IF(AND(EDATE($D102,Milestones!$AA$125)&lt;=AsOfDate,IF($R102=0,$X102,IF(AND($T102&lt;&gt;"",EDATE($D102,Milestones!$AA$125)&gt;=$T102),$W102,IF(AND($S102&lt;&gt;"",EDATE($D102,Milestones!$AA$125)&gt;=$S102),$V102,$U102)))=Milestones!$AB$125),UPPER(TEXT(EDATE($D102,Milestones!$AA$125),"dd mmm yy"))&amp;" "&amp;Milestones!$AB$125&amp;" "&amp;Milestones!$AC$125&amp;";  ","")&amp;IF(AND(EDATE($D102,Milestones!$AA$126)&lt;=AsOfDate,IF($R102=0,$X102,IF(AND($T102&lt;&gt;"",EDATE($D102,Milestones!$AA$126)&gt;=$T102),$W102,IF(AND($S102&lt;&gt;"",EDATE($D102,Milestones!$AA$126)&gt;=$S102),$V102,$U102)))=Milestones!$AB$126),UPPER(TEXT(EDATE($D102,Milestones!$AA$126),"dd mmm yy"))&amp;" "&amp;Milestones!$AB$126&amp;" "&amp;Milestones!$AC$126&amp;";  ","")&amp;IF(AND(EDATE($D102,Milestones!$AA$127)&lt;=AsOfDate,IF($R102=0,$X102,IF(AND($T102&lt;&gt;"",EDATE($D102,Milestones!$AA$127)&gt;=$T102),$W102,IF(AND($S102&lt;&gt;"",EDATE($D102,Milestones!$AA$127)&gt;=$S102),$V102,$U102)))=Milestones!$AB$127),UPPER(TEXT(EDATE($D102,Milestones!$AA$127),"dd mmm yy"))&amp;" "&amp;Milestones!$AB$127&amp;" "&amp;Milestones!$AC$127&amp;";  ","")&amp;IF(AND(EDATE($D102,Milestones!$AA$128)&lt;=AsOfDate,IF($R102=0,$X102,IF(AND($T102&lt;&gt;"",EDATE($D102,Milestones!$AA$128)&gt;=$T102),$W102,IF(AND($S102&lt;&gt;"",EDATE($D102,Milestones!$AA$128)&gt;=$S102),$V102,$U102)))=Milestones!$AB$128),UPPER(TEXT(EDATE($D102,Milestones!$AA$128),"dd mmm yy"))&amp;" "&amp;Milestones!$AB$128&amp;" "&amp;Milestones!$AC$128&amp;";  ","")&amp;IF(AND(EDATE($D102,Milestones!$AA$129)&lt;=AsOfDate,IF($R102=0,$X102,IF(AND($T102&lt;&gt;"",EDATE($D102,Milestones!$AA$129)&gt;=$T102),$W102,IF(AND($S102&lt;&gt;"",EDATE($D102,Milestones!$AA$129)&gt;=$S102),$V102,$U102)))=Milestones!$AB$129),UPPER(TEXT(EDATE($D102,Milestones!$AA$129),"dd mmm yy"))&amp;" "&amp;Milestones!$AB$129&amp;" "&amp;Milestones!$AC$129&amp;";  ","")&amp;IF(AND(EDATE($D102,Milestones!$AA$130)&lt;=AsOfDate,IF($R102=0,$X102,IF(AND($T102&lt;&gt;"",EDATE($D102,Milestones!$AA$130)&gt;=$T102),$W102,IF(AND($S102&lt;&gt;"",EDATE($D102,Milestones!$AA$130)&gt;=$S102),$V102,$U102)))=Milestones!$AB$130),UPPER(TEXT(EDATE($D102,Milestones!$AA$130),"dd mmm yy"))&amp;" "&amp;Milestones!$AB$130&amp;" "&amp;Milestones!$AC$130&amp;";  ","")&amp;IF(AND(EDATE($D102,Milestones!$AA$131)&lt;=AsOfDate,IF($R102=0,$X102,IF(AND($T102&lt;&gt;"",EDATE($D102,Milestones!$AA$131)&gt;=$T102),$W102,IF(AND($S102&lt;&gt;"",EDATE($D102,Milestones!$AA$131)&gt;=$S102),$V102,$U102)))=Milestones!$AB$131),UPPER(TEXT(EDATE($D102,Milestones!$AA$131),"dd mmm yy"))&amp;" "&amp;Milestones!$AB$131&amp;" "&amp;Milestones!$AC$131&amp;";  ","")&amp;IF(AND(EDATE($D102,Milestones!$AA$132)&lt;=AsOfDate,IF($R102=0,$X102,IF(AND($T102&lt;&gt;"",EDATE($D102,Milestones!$AA$132)&gt;=$T102),$W102,IF(AND($S102&lt;&gt;"",EDATE($D102,Milestones!$AA$132)&gt;=$S102),$V102,$U102)))=Milestones!$AB$132),UPPER(TEXT(EDATE($D102,Milestones!$AA$132),"dd mmm yy"))&amp;" "&amp;Milestones!$AB$132&amp;" "&amp;Milestones!$AC$132&amp;";  ","")&amp;IF(AND(EDATE($D102,Milestones!$AA$133)&lt;=AsOfDate,IF($R102=0,$X102,IF(AND($T102&lt;&gt;"",EDATE($D102,Milestones!$AA$133)&gt;=$T102),$W102,IF(AND($S102&lt;&gt;"",EDATE($D102,Milestones!$AA$133)&gt;=$S102),$V102,$U102)))=Milestones!$AB$133),UPPER(TEXT(EDATE($D102,Milestones!$AA$133),"dd mmm yy"))&amp;" "&amp;Milestones!$AB$133&amp;" "&amp;Milestones!$AC$133&amp;";  ","")&amp;IF(AND(EDATE($D102,Milestones!$AA$134)&lt;=AsOfDate,IF($R102=0,$X102,IF(AND($T102&lt;&gt;"",EDATE($D102,Milestones!$AA$134)&gt;=$T102),$W102,IF(AND($S102&lt;&gt;"",EDATE($D102,Milestones!$AA$134)&gt;=$S102),$V102,$U102)))=Milestones!$AB$134),UPPER(TEXT(EDATE($D102,Milestones!$AA$134),"dd mmm yy"))&amp;" "&amp;Milestones!$AB$134&amp;" "&amp;Milestones!$AC$134&amp;";  ","")&amp;IF(AND(EDATE($D102,Milestones!$AA$135)&lt;=AsOfDate,IF($R102=0,$X102,IF(AND($T102&lt;&gt;"",EDATE($D102,Milestones!$AA$135)&gt;=$T102),$W102,IF(AND($S102&lt;&gt;"",EDATE($D102,Milestones!$AA$135)&gt;=$S102),$V102,$U102)))=Milestones!$AB$135),UPPER(TEXT(EDATE($D102,Milestones!$AA$135),"dd mmm yy"))&amp;" "&amp;Milestones!$AB$135&amp;" "&amp;Milestones!$AC$135&amp;";  ","")&amp;IF(AND(EDATE($D102,Milestones!$AA$136)&lt;=AsOfDate,IF($R102=0,$X102,IF(AND($T102&lt;&gt;"",EDATE($D102,Milestones!$AA$136)&gt;=$T102),$W102,IF(AND($S102&lt;&gt;"",EDATE($D102,Milestones!$AA$136)&gt;=$S102),$V102,$U102)))=Milestones!$AB$136),UPPER(TEXT(EDATE($D102,Milestones!$AA$136),"dd mmm yy"))&amp;" "&amp;Milestones!$AB$136&amp;" "&amp;Milestones!$AC$136&amp;";  ","")&amp;IF(AND(EDATE($D102,Milestones!$AA$137)&lt;=AsOfDate,IF($R102=0,$X102,IF(AND($T102&lt;&gt;"",EDATE($D102,Milestones!$AA$137)&gt;=$T102),$W102,IF(AND($S102&lt;&gt;"",EDATE($D102,Milestones!$AA$137)&gt;=$S102),$V102,$U102)))=Milestones!$AB$137),UPPER(TEXT(EDATE($D102,Milestones!$AA$137),"dd mmm yy"))&amp;" "&amp;Milestones!$AB$137&amp;" "&amp;Milestones!$AC$137&amp;";  ","")&amp;IF(AND(EDATE($D102,Milestones!$AA$138)&lt;=AsOfDate,IF($R102=0,$X102,IF(AND($T102&lt;&gt;"",EDATE($D102,Milestones!$AA$138)&gt;=$T102),$W102,IF(AND($S102&lt;&gt;"",EDATE($D102,Milestones!$AA$138)&gt;=$S102),$V102,$U102)))=Milestones!$AB$138),UPPER(TEXT(EDATE($D102,Milestones!$AA$138),"dd mmm yy"))&amp;" "&amp;Milestones!$AB$138&amp;" "&amp;Milestones!$AC$138&amp;";  ","")&amp;IF(AND(EDATE($D102,Milestones!$AA$139)&lt;=AsOfDate,IF($R102=0,$X102,IF(AND($T102&lt;&gt;"",EDATE($D102,Milestones!$AA$139)&gt;=$T102),$W102,IF(AND($S102&lt;&gt;"",EDATE($D102,Milestones!$AA$139)&gt;=$S102),$V102,$U102)))=Milestones!$AB$139),UPPER(TEXT(EDATE($D102,Milestones!$AA$139),"dd mmm yy"))&amp;" "&amp;Milestones!$AB$139&amp;" "&amp;Milestones!$AC$139&amp;";  ",""))</f>
        <v/>
      </c>
      <c r="O102" s="0" t="str">
        <f aca="false">IF(OR($A102="",$D102=""),"",IF(AND(EDATE($D102,Milestones!$AA$140)&lt;=AsOfDate,IF($R102=0,$X102,IF(AND($T102&lt;&gt;"",EDATE($D102,Milestones!$AA$140)&gt;=$T102),$W102,IF(AND($S102&lt;&gt;"",EDATE($D102,Milestones!$AA$140)&gt;=$S102),$V102,$U102)))=Milestones!$AB$140),UPPER(TEXT(EDATE($D102,Milestones!$AA$140),"dd mmm yy"))&amp;" "&amp;Milestones!$AB$140&amp;" "&amp;Milestones!$AC$140&amp;";  ","")&amp;IF(AND(EDATE($D102,Milestones!$AA$141)&lt;=AsOfDate,IF($R102=0,$X102,IF(AND($T102&lt;&gt;"",EDATE($D102,Milestones!$AA$141)&gt;=$T102),$W102,IF(AND($S102&lt;&gt;"",EDATE($D102,Milestones!$AA$141)&gt;=$S102),$V102,$U102)))=Milestones!$AB$141),UPPER(TEXT(EDATE($D102,Milestones!$AA$141),"dd mmm yy"))&amp;" "&amp;Milestones!$AB$141&amp;" "&amp;Milestones!$AC$141&amp;";  ","")&amp;IF(AND(EDATE($D102,Milestones!$AA$142)&lt;=AsOfDate,IF($R102=0,$X102,IF(AND($T102&lt;&gt;"",EDATE($D102,Milestones!$AA$142)&gt;=$T102),$W102,IF(AND($S102&lt;&gt;"",EDATE($D102,Milestones!$AA$142)&gt;=$S102),$V102,$U102)))=Milestones!$AB$142),UPPER(TEXT(EDATE($D102,Milestones!$AA$142),"dd mmm yy"))&amp;" "&amp;Milestones!$AB$142&amp;" "&amp;Milestones!$AC$142&amp;";  ","")&amp;IF(AND(EDATE($D102,Milestones!$AA$143)&lt;=AsOfDate,IF($R102=0,$X102,IF(AND($T102&lt;&gt;"",EDATE($D102,Milestones!$AA$143)&gt;=$T102),$W102,IF(AND($S102&lt;&gt;"",EDATE($D102,Milestones!$AA$143)&gt;=$S102),$V102,$U102)))=Milestones!$AB$143),UPPER(TEXT(EDATE($D102,Milestones!$AA$143),"dd mmm yy"))&amp;" "&amp;Milestones!$AB$143&amp;" "&amp;Milestones!$AC$143&amp;";  ","")&amp;IF(AND(EDATE($D102,Milestones!$AA$144)&lt;=AsOfDate,IF($R102=0,$X102,IF(AND($T102&lt;&gt;"",EDATE($D102,Milestones!$AA$144)&gt;=$T102),$W102,IF(AND($S102&lt;&gt;"",EDATE($D102,Milestones!$AA$144)&gt;=$S102),$V102,$U102)))=Milestones!$AB$144),UPPER(TEXT(EDATE($D102,Milestones!$AA$144),"dd mmm yy"))&amp;" "&amp;Milestones!$AB$144&amp;" "&amp;Milestones!$AC$144&amp;";  ","")&amp;IF(AND(EDATE($D102,Milestones!$AA$145)&lt;=AsOfDate,IF($R102=0,$X102,IF(AND($T102&lt;&gt;"",EDATE($D102,Milestones!$AA$145)&gt;=$T102),$W102,IF(AND($S102&lt;&gt;"",EDATE($D102,Milestones!$AA$145)&gt;=$S102),$V102,$U102)))=Milestones!$AB$145),UPPER(TEXT(EDATE($D102,Milestones!$AA$145),"dd mmm yy"))&amp;" "&amp;Milestones!$AB$145&amp;" "&amp;Milestones!$AC$145&amp;";  ","")&amp;IF(AND(EDATE($D102,Milestones!$AA$146)&lt;=AsOfDate,IF($R102=0,$X102,IF(AND($T102&lt;&gt;"",EDATE($D102,Milestones!$AA$146)&gt;=$T102),$W102,IF(AND($S102&lt;&gt;"",EDATE($D102,Milestones!$AA$146)&gt;=$S102),$V102,$U102)))=Milestones!$AB$146),UPPER(TEXT(EDATE($D102,Milestones!$AA$146),"dd mmm yy"))&amp;" "&amp;Milestones!$AB$146&amp;" "&amp;Milestones!$AC$146&amp;";  ","")&amp;IF(AND(EDATE($D102,Milestones!$AA$147)&lt;=AsOfDate,IF($R102=0,$X102,IF(AND($T102&lt;&gt;"",EDATE($D102,Milestones!$AA$147)&gt;=$T102),$W102,IF(AND($S102&lt;&gt;"",EDATE($D102,Milestones!$AA$147)&gt;=$S102),$V102,$U102)))=Milestones!$AB$147),UPPER(TEXT(EDATE($D102,Milestones!$AA$147),"dd mmm yy"))&amp;" "&amp;Milestones!$AB$147&amp;" "&amp;Milestones!$AC$147&amp;";  ","")&amp;IF(AND(EDATE($D102,Milestones!$AA$148)&lt;=AsOfDate,IF($R102=0,$X102,IF(AND($T102&lt;&gt;"",EDATE($D102,Milestones!$AA$148)&gt;=$T102),$W102,IF(AND($S102&lt;&gt;"",EDATE($D102,Milestones!$AA$148)&gt;=$S102),$V102,$U102)))=Milestones!$AB$148),UPPER(TEXT(EDATE($D102,Milestones!$AA$148),"dd mmm yy"))&amp;" "&amp;Milestones!$AB$148&amp;" "&amp;Milestones!$AC$148&amp;";  ","")&amp;IF(AND(EDATE($D102,Milestones!$AA$149)&lt;=AsOfDate,IF($R102=0,$X102,IF(AND($T102&lt;&gt;"",EDATE($D102,Milestones!$AA$149)&gt;=$T102),$W102,IF(AND($S102&lt;&gt;"",EDATE($D102,Milestones!$AA$149)&gt;=$S102),$V102,$U102)))=Milestones!$AB$149),UPPER(TEXT(EDATE($D102,Milestones!$AA$149),"dd mmm yy"))&amp;" "&amp;Milestones!$AB$149&amp;" "&amp;Milestones!$AC$149&amp;";  ","")&amp;IF(AND(EDATE($D102,Milestones!$AA$150)&lt;=AsOfDate,IF($R102=0,$X102,IF(AND($T102&lt;&gt;"",EDATE($D102,Milestones!$AA$150)&gt;=$T102),$W102,IF(AND($S102&lt;&gt;"",EDATE($D102,Milestones!$AA$150)&gt;=$S102),$V102,$U102)))=Milestones!$AB$150),UPPER(TEXT(EDATE($D102,Milestones!$AA$150),"dd mmm yy"))&amp;" "&amp;Milestones!$AB$150&amp;" "&amp;Milestones!$AC$150&amp;";  ","")&amp;IF(AND(EDATE($D102,Milestones!$AA$151)&lt;=AsOfDate,IF($R102=0,$X102,IF(AND($T102&lt;&gt;"",EDATE($D102,Milestones!$AA$151)&gt;=$T102),$W102,IF(AND($S102&lt;&gt;"",EDATE($D102,Milestones!$AA$151)&gt;=$S102),$V102,$U102)))=Milestones!$AB$151),UPPER(TEXT(EDATE($D102,Milestones!$AA$151),"dd mmm yy"))&amp;" "&amp;Milestones!$AB$151&amp;" "&amp;Milestones!$AC$151&amp;";  ","")&amp;IF(AND(EDATE($D102,Milestones!$AA$152)&lt;=AsOfDate,IF($R102=0,$X102,IF(AND($T102&lt;&gt;"",EDATE($D102,Milestones!$AA$152)&gt;=$T102),$W102,IF(AND($S102&lt;&gt;"",EDATE($D102,Milestones!$AA$152)&gt;=$S102),$V102,$U102)))=Milestones!$AB$152),UPPER(TEXT(EDATE($D102,Milestones!$AA$152),"dd mmm yy"))&amp;" "&amp;Milestones!$AB$152&amp;" "&amp;Milestones!$AC$152&amp;";  ","")&amp;IF(AND(EDATE($D102,Milestones!$AA$153)&lt;=AsOfDate,IF($R102=0,$X102,IF(AND($T102&lt;&gt;"",EDATE($D102,Milestones!$AA$153)&gt;=$T102),$W102,IF(AND($S102&lt;&gt;"",EDATE($D102,Milestones!$AA$153)&gt;=$S102),$V102,$U102)))=Milestones!$AB$153),UPPER(TEXT(EDATE($D102,Milestones!$AA$153),"dd mmm yy"))&amp;" "&amp;Milestones!$AB$153&amp;" "&amp;Milestones!$AC$153&amp;";  ","")&amp;IF(AND(EDATE($D102,Milestones!$AA$154)&lt;=AsOfDate,IF($R102=0,$X102,IF(AND($T102&lt;&gt;"",EDATE($D102,Milestones!$AA$154)&gt;=$T102),$W102,IF(AND($S102&lt;&gt;"",EDATE($D102,Milestones!$AA$154)&gt;=$S102),$V102,$U102)))=Milestones!$AB$154),UPPER(TEXT(EDATE($D102,Milestones!$AA$154),"dd mmm yy"))&amp;" "&amp;Milestones!$AB$154&amp;" "&amp;Milestones!$AC$154&amp;";  ","")&amp;IF(AND(EDATE($D102,Milestones!$AA$155)&lt;=AsOfDate,IF($R102=0,$X102,IF(AND($T102&lt;&gt;"",EDATE($D102,Milestones!$AA$155)&gt;=$T102),$W102,IF(AND($S102&lt;&gt;"",EDATE($D102,Milestones!$AA$155)&gt;=$S102),$V102,$U102)))=Milestones!$AB$155),UPPER(TEXT(EDATE($D102,Milestones!$AA$155),"dd mmm yy"))&amp;" "&amp;Milestones!$AB$155&amp;" "&amp;Milestones!$AC$155&amp;";  ","")&amp;IF(AND(EDATE($D102,Milestones!$AA$156)&lt;=AsOfDate,IF($R102=0,$X102,IF(AND($T102&lt;&gt;"",EDATE($D102,Milestones!$AA$156)&gt;=$T102),$W102,IF(AND($S102&lt;&gt;"",EDATE($D102,Milestones!$AA$156)&gt;=$S102),$V102,$U102)))=Milestones!$AB$156),UPPER(TEXT(EDATE($D102,Milestones!$AA$156),"dd mmm yy"))&amp;" "&amp;Milestones!$AB$156&amp;" "&amp;Milestones!$AC$156&amp;";  ","")&amp;IF(AND(EDATE($D102,Milestones!$AA$157)&lt;=AsOfDate,IF($R102=0,$X102,IF(AND($T102&lt;&gt;"",EDATE($D102,Milestones!$AA$157)&gt;=$T102),$W102,IF(AND($S102&lt;&gt;"",EDATE($D102,Milestones!$AA$157)&gt;=$S102),$V102,$U102)))=Milestones!$AB$157),UPPER(TEXT(EDATE($D102,Milestones!$AA$157),"dd mmm yy"))&amp;" "&amp;Milestones!$AB$157&amp;" "&amp;Milestones!$AC$157&amp;";  ","")&amp;IF(AND(EDATE($D102,Milestones!$AA$158)&lt;=AsOfDate,IF($R102=0,$X102,IF(AND($T102&lt;&gt;"",EDATE($D102,Milestones!$AA$158)&gt;=$T102),$W102,IF(AND($S102&lt;&gt;"",EDATE($D102,Milestones!$AA$158)&gt;=$S102),$V102,$U102)))=Milestones!$AB$158),UPPER(TEXT(EDATE($D102,Milestones!$AA$158),"dd mmm yy"))&amp;" "&amp;Milestones!$AB$158&amp;" "&amp;Milestones!$AC$158&amp;";  ","")&amp;IF(AND(EDATE($D102,Milestones!$AA$159)&lt;=AsOfDate,IF($R102=0,$X102,IF(AND($T102&lt;&gt;"",EDATE($D102,Milestones!$AA$159)&gt;=$T102),$W102,IF(AND($S102&lt;&gt;"",EDATE($D102,Milestones!$AA$159)&gt;=$S102),$V102,$U102)))=Milestones!$AB$159),UPPER(TEXT(EDATE($D102,Milestones!$AA$159),"dd mmm yy"))&amp;" "&amp;Milestones!$AB$159&amp;" "&amp;Milestones!$AC$159&amp;";  ",""))</f>
        <v/>
      </c>
      <c r="P102" s="0" t="str">
        <f aca="false">IF(OR($A102="",$D102=""),"",IF(AND(EDATE($D102,Milestones!$AA$160)&lt;=AsOfDate,IF($R102=0,$X102,IF(AND($T102&lt;&gt;"",EDATE($D102,Milestones!$AA$160)&gt;=$T102),$W102,IF(AND($S102&lt;&gt;"",EDATE($D102,Milestones!$AA$160)&gt;=$S102),$V102,$U102)))=Milestones!$AB$160),UPPER(TEXT(EDATE($D102,Milestones!$AA$160),"dd mmm yy"))&amp;" "&amp;Milestones!$AB$160&amp;" "&amp;Milestones!$AC$160&amp;";  ","")&amp;IF(AND(EDATE($D102,Milestones!$AA$161)&lt;=AsOfDate,IF($R102=0,$X102,IF(AND($T102&lt;&gt;"",EDATE($D102,Milestones!$AA$161)&gt;=$T102),$W102,IF(AND($S102&lt;&gt;"",EDATE($D102,Milestones!$AA$161)&gt;=$S102),$V102,$U102)))=Milestones!$AB$161),UPPER(TEXT(EDATE($D102,Milestones!$AA$161),"dd mmm yy"))&amp;" "&amp;Milestones!$AB$161&amp;" "&amp;Milestones!$AC$161&amp;";  ","")&amp;IF(AND(EDATE($D102,Milestones!$AA$162)&lt;=AsOfDate,IF($R102=0,$X102,IF(AND($T102&lt;&gt;"",EDATE($D102,Milestones!$AA$162)&gt;=$T102),$W102,IF(AND($S102&lt;&gt;"",EDATE($D102,Milestones!$AA$162)&gt;=$S102),$V102,$U102)))=Milestones!$AB$162),UPPER(TEXT(EDATE($D102,Milestones!$AA$162),"dd mmm yy"))&amp;" "&amp;Milestones!$AB$162&amp;" "&amp;Milestones!$AC$162&amp;";  ","")&amp;IF(AND(EDATE($D102,Milestones!$AA$163)&lt;=AsOfDate,IF($R102=0,$X102,IF(AND($T102&lt;&gt;"",EDATE($D102,Milestones!$AA$163)&gt;=$T102),$W102,IF(AND($S102&lt;&gt;"",EDATE($D102,Milestones!$AA$163)&gt;=$S102),$V102,$U102)))=Milestones!$AB$163),UPPER(TEXT(EDATE($D102,Milestones!$AA$163),"dd mmm yy"))&amp;" "&amp;Milestones!$AB$163&amp;" "&amp;Milestones!$AC$163&amp;";  ","")&amp;IF(AND(EDATE($D102,Milestones!$AA$164)&lt;=AsOfDate,IF($R102=0,$X102,IF(AND($T102&lt;&gt;"",EDATE($D102,Milestones!$AA$164)&gt;=$T102),$W102,IF(AND($S102&lt;&gt;"",EDATE($D102,Milestones!$AA$164)&gt;=$S102),$V102,$U102)))=Milestones!$AB$164),UPPER(TEXT(EDATE($D102,Milestones!$AA$164),"dd mmm yy"))&amp;" "&amp;Milestones!$AB$164&amp;" "&amp;Milestones!$AC$164&amp;";  ","")&amp;IF(AND(EDATE($D102,Milestones!$AA$165)&lt;=AsOfDate,IF($R102=0,$X102,IF(AND($T102&lt;&gt;"",EDATE($D102,Milestones!$AA$165)&gt;=$T102),$W102,IF(AND($S102&lt;&gt;"",EDATE($D102,Milestones!$AA$165)&gt;=$S102),$V102,$U102)))=Milestones!$AB$165),UPPER(TEXT(EDATE($D102,Milestones!$AA$165),"dd mmm yy"))&amp;" "&amp;Milestones!$AB$165&amp;" "&amp;Milestones!$AC$165&amp;";  ","")&amp;IF(AND(EDATE($D102,Milestones!$AA$166)&lt;=AsOfDate,IF($R102=0,$X102,IF(AND($T102&lt;&gt;"",EDATE($D102,Milestones!$AA$166)&gt;=$T102),$W102,IF(AND($S102&lt;&gt;"",EDATE($D102,Milestones!$AA$166)&gt;=$S102),$V102,$U102)))=Milestones!$AB$166),UPPER(TEXT(EDATE($D102,Milestones!$AA$166),"dd mmm yy"))&amp;" "&amp;Milestones!$AB$166&amp;" "&amp;Milestones!$AC$166&amp;";  ","")&amp;IF(AND(EDATE($D102,Milestones!$AA$167)&lt;=AsOfDate,IF($R102=0,$X102,IF(AND($T102&lt;&gt;"",EDATE($D102,Milestones!$AA$167)&gt;=$T102),$W102,IF(AND($S102&lt;&gt;"",EDATE($D102,Milestones!$AA$167)&gt;=$S102),$V102,$U102)))=Milestones!$AB$167),UPPER(TEXT(EDATE($D102,Milestones!$AA$167),"dd mmm yy"))&amp;" "&amp;Milestones!$AB$167&amp;" "&amp;Milestones!$AC$167&amp;";  ","")&amp;IF(AND(EDATE($D102,Milestones!$AA$168)&lt;=AsOfDate,IF($R102=0,$X102,IF(AND($T102&lt;&gt;"",EDATE($D102,Milestones!$AA$168)&gt;=$T102),$W102,IF(AND($S102&lt;&gt;"",EDATE($D102,Milestones!$AA$168)&gt;=$S102),$V102,$U102)))=Milestones!$AB$168),UPPER(TEXT(EDATE($D102,Milestones!$AA$168),"dd mmm yy"))&amp;" "&amp;Milestones!$AB$168&amp;" "&amp;Milestones!$AC$168&amp;";  ","")&amp;IF(AND(EDATE($D102,Milestones!$AA$169)&lt;=AsOfDate,IF($R102=0,$X102,IF(AND($T102&lt;&gt;"",EDATE($D102,Milestones!$AA$169)&gt;=$T102),$W102,IF(AND($S102&lt;&gt;"",EDATE($D102,Milestones!$AA$169)&gt;=$S102),$V102,$U102)))=Milestones!$AB$169),UPPER(TEXT(EDATE($D102,Milestones!$AA$169),"dd mmm yy"))&amp;" "&amp;Milestones!$AB$169&amp;" "&amp;Milestones!$AC$169&amp;";  ","")&amp;IF(AND(EDATE($D102,Milestones!$AA$170)&lt;=AsOfDate,IF($R102=0,$X102,IF(AND($T102&lt;&gt;"",EDATE($D102,Milestones!$AA$170)&gt;=$T102),$W102,IF(AND($S102&lt;&gt;"",EDATE($D102,Milestones!$AA$170)&gt;=$S102),$V102,$U102)))=Milestones!$AB$170),UPPER(TEXT(EDATE($D102,Milestones!$AA$170),"dd mmm yy"))&amp;" "&amp;Milestones!$AB$170&amp;" "&amp;Milestones!$AC$170&amp;";  ","")&amp;IF(AND(EDATE($D102,Milestones!$AA$171)&lt;=AsOfDate,IF($R102=0,$X102,IF(AND($T102&lt;&gt;"",EDATE($D102,Milestones!$AA$171)&gt;=$T102),$W102,IF(AND($S102&lt;&gt;"",EDATE($D102,Milestones!$AA$171)&gt;=$S102),$V102,$U102)))=Milestones!$AB$171),UPPER(TEXT(EDATE($D102,Milestones!$AA$171),"dd mmm yy"))&amp;" "&amp;Milestones!$AB$171&amp;" "&amp;Milestones!$AC$171&amp;";  ","")&amp;IF(AND(EDATE($D102,Milestones!$AA$172)&lt;=AsOfDate,IF($R102=0,$X102,IF(AND($T102&lt;&gt;"",EDATE($D102,Milestones!$AA$172)&gt;=$T102),$W102,IF(AND($S102&lt;&gt;"",EDATE($D102,Milestones!$AA$172)&gt;=$S102),$V102,$U102)))=Milestones!$AB$172),UPPER(TEXT(EDATE($D102,Milestones!$AA$172),"dd mmm yy"))&amp;" "&amp;Milestones!$AB$172&amp;" "&amp;Milestones!$AC$172&amp;";  ","")&amp;IF(AND(EDATE($D102,Milestones!$AA$173)&lt;=AsOfDate,IF($R102=0,$X102,IF(AND($T102&lt;&gt;"",EDATE($D102,Milestones!$AA$173)&gt;=$T102),$W102,IF(AND($S102&lt;&gt;"",EDATE($D102,Milestones!$AA$173)&gt;=$S102),$V102,$U102)))=Milestones!$AB$173),UPPER(TEXT(EDATE($D102,Milestones!$AA$173),"dd mmm yy"))&amp;" "&amp;Milestones!$AB$173&amp;" "&amp;Milestones!$AC$173&amp;";  ","")&amp;IF(AND(EDATE($D102,Milestones!$AA$174)&lt;=AsOfDate,IF($R102=0,$X102,IF(AND($T102&lt;&gt;"",EDATE($D102,Milestones!$AA$174)&gt;=$T102),$W102,IF(AND($S102&lt;&gt;"",EDATE($D102,Milestones!$AA$174)&gt;=$S102),$V102,$U102)))=Milestones!$AB$174),UPPER(TEXT(EDATE($D102,Milestones!$AA$174),"dd mmm yy"))&amp;" "&amp;Milestones!$AB$174&amp;" "&amp;Milestones!$AC$174&amp;";  ","")&amp;IF(AND(EDATE($D102,Milestones!$AA$175)&lt;=AsOfDate,IF($R102=0,$X102,IF(AND($T102&lt;&gt;"",EDATE($D102,Milestones!$AA$175)&gt;=$T102),$W102,IF(AND($S102&lt;&gt;"",EDATE($D102,Milestones!$AA$175)&gt;=$S102),$V102,$U102)))=Milestones!$AB$175),UPPER(TEXT(EDATE($D102,Milestones!$AA$175),"dd mmm yy"))&amp;" "&amp;Milestones!$AB$175&amp;" "&amp;Milestones!$AC$175&amp;";  ","")&amp;IF(AND(EDATE($D102,Milestones!$AA$176)&lt;=AsOfDate,IF($R102=0,$X102,IF(AND($T102&lt;&gt;"",EDATE($D102,Milestones!$AA$176)&gt;=$T102),$W102,IF(AND($S102&lt;&gt;"",EDATE($D102,Milestones!$AA$176)&gt;=$S102),$V102,$U102)))=Milestones!$AB$176),UPPER(TEXT(EDATE($D102,Milestones!$AA$176),"dd mmm yy"))&amp;" "&amp;Milestones!$AB$176&amp;" "&amp;Milestones!$AC$176&amp;";  ","")&amp;IF(AND(EDATE($D102,Milestones!$AA$177)&lt;=AsOfDate,IF($R102=0,$X102,IF(AND($T102&lt;&gt;"",EDATE($D102,Milestones!$AA$177)&gt;=$T102),$W102,IF(AND($S102&lt;&gt;"",EDATE($D102,Milestones!$AA$177)&gt;=$S102),$V102,$U102)))=Milestones!$AB$177),UPPER(TEXT(EDATE($D102,Milestones!$AA$177),"dd mmm yy"))&amp;" "&amp;Milestones!$AB$177&amp;" "&amp;Milestones!$AC$177&amp;";  ","")&amp;IF(AND(EDATE($D102,Milestones!$AA$178)&lt;=AsOfDate,IF($R102=0,$X102,IF(AND($T102&lt;&gt;"",EDATE($D102,Milestones!$AA$178)&gt;=$T102),$W102,IF(AND($S102&lt;&gt;"",EDATE($D102,Milestones!$AA$178)&gt;=$S102),$V102,$U102)))=Milestones!$AB$178),UPPER(TEXT(EDATE($D102,Milestones!$AA$178),"dd mmm yy"))&amp;" "&amp;Milestones!$AB$178&amp;" "&amp;Milestones!$AC$178&amp;";  ","")&amp;IF(AND(EDATE($D102,Milestones!$AA$179)&lt;=AsOfDate,IF($R102=0,$X102,IF(AND($T102&lt;&gt;"",EDATE($D102,Milestones!$AA$179)&gt;=$T102),$W102,IF(AND($S102&lt;&gt;"",EDATE($D102,Milestones!$AA$179)&gt;=$S102),$V102,$U102)))=Milestones!$AB$179),UPPER(TEXT(EDATE($D102,Milestones!$AA$179),"dd mmm yy"))&amp;" "&amp;Milestones!$AB$179&amp;" "&amp;Milestones!$AC$179&amp;";  ",""))</f>
        <v/>
      </c>
      <c r="Q102" s="0" t="str">
        <f aca="false">IF(OR($A102="",$D102=""),"",IF(AND(EDATE($D102,Milestones!$AA$180)&lt;=AsOfDate,IF($R102=0,$X102,IF(AND($T102&lt;&gt;"",EDATE($D102,Milestones!$AA$180)&gt;=$T102),$W102,IF(AND($S102&lt;&gt;"",EDATE($D102,Milestones!$AA$180)&gt;=$S102),$V102,$U102)))=Milestones!$AB$180),UPPER(TEXT(EDATE($D102,Milestones!$AA$180),"dd mmm yy"))&amp;" "&amp;Milestones!$AB$180&amp;" "&amp;Milestones!$AC$180&amp;";  ","")&amp;IF(AND(EDATE($D102,Milestones!$AA$181)&lt;=AsOfDate,IF($R102=0,$X102,IF(AND($T102&lt;&gt;"",EDATE($D102,Milestones!$AA$181)&gt;=$T102),$W102,IF(AND($S102&lt;&gt;"",EDATE($D102,Milestones!$AA$181)&gt;=$S102),$V102,$U102)))=Milestones!$AB$181),UPPER(TEXT(EDATE($D102,Milestones!$AA$181),"dd mmm yy"))&amp;" "&amp;Milestones!$AB$181&amp;" "&amp;Milestones!$AC$181&amp;";  ","")&amp;IF(AND(EDATE($D102,Milestones!$AA$182)&lt;=AsOfDate,IF($R102=0,$X102,IF(AND($T102&lt;&gt;"",EDATE($D102,Milestones!$AA$182)&gt;=$T102),$W102,IF(AND($S102&lt;&gt;"",EDATE($D102,Milestones!$AA$182)&gt;=$S102),$V102,$U102)))=Milestones!$AB$182),UPPER(TEXT(EDATE($D102,Milestones!$AA$182),"dd mmm yy"))&amp;" "&amp;Milestones!$AB$182&amp;" "&amp;Milestones!$AC$182&amp;";  ","")&amp;IF(AND(EDATE($D102,Milestones!$AA$183)&lt;=AsOfDate,IF($R102=0,$X102,IF(AND($T102&lt;&gt;"",EDATE($D102,Milestones!$AA$183)&gt;=$T102),$W102,IF(AND($S102&lt;&gt;"",EDATE($D102,Milestones!$AA$183)&gt;=$S102),$V102,$U102)))=Milestones!$AB$183),UPPER(TEXT(EDATE($D102,Milestones!$AA$183),"dd mmm yy"))&amp;" "&amp;Milestones!$AB$183&amp;" "&amp;Milestones!$AC$183&amp;";  ","")&amp;IF(AND(EDATE($D102,Milestones!$AA$184)&lt;=AsOfDate,IF($R102=0,$X102,IF(AND($T102&lt;&gt;"",EDATE($D102,Milestones!$AA$184)&gt;=$T102),$W102,IF(AND($S102&lt;&gt;"",EDATE($D102,Milestones!$AA$184)&gt;=$S102),$V102,$U102)))=Milestones!$AB$184),UPPER(TEXT(EDATE($D102,Milestones!$AA$184),"dd mmm yy"))&amp;" "&amp;Milestones!$AB$184&amp;" "&amp;Milestones!$AC$184&amp;";  ","")&amp;IF(AND(EDATE($D102,Milestones!$AA$185)&lt;=AsOfDate,IF($R102=0,$X102,IF(AND($T102&lt;&gt;"",EDATE($D102,Milestones!$AA$185)&gt;=$T102),$W102,IF(AND($S102&lt;&gt;"",EDATE($D102,Milestones!$AA$185)&gt;=$S102),$V102,$U102)))=Milestones!$AB$185),UPPER(TEXT(EDATE($D102,Milestones!$AA$185),"dd mmm yy"))&amp;" "&amp;Milestones!$AB$185&amp;" "&amp;Milestones!$AC$185&amp;";  ","")&amp;IF(AND(EDATE($D102,Milestones!$AA$186)&lt;=AsOfDate,IF($R102=0,$X102,IF(AND($T102&lt;&gt;"",EDATE($D102,Milestones!$AA$186)&gt;=$T102),$W102,IF(AND($S102&lt;&gt;"",EDATE($D102,Milestones!$AA$186)&gt;=$S102),$V102,$U102)))=Milestones!$AB$186),UPPER(TEXT(EDATE($D102,Milestones!$AA$186),"dd mmm yy"))&amp;" "&amp;Milestones!$AB$186&amp;" "&amp;Milestones!$AC$186&amp;";  ","")&amp;IF(AND(EDATE($D102,Milestones!$AA$187)&lt;=AsOfDate,IF($R102=0,$X102,IF(AND($T102&lt;&gt;"",EDATE($D102,Milestones!$AA$187)&gt;=$T102),$W102,IF(AND($S102&lt;&gt;"",EDATE($D102,Milestones!$AA$187)&gt;=$S102),$V102,$U102)))=Milestones!$AB$187),UPPER(TEXT(EDATE($D102,Milestones!$AA$187),"dd mmm yy"))&amp;" "&amp;Milestones!$AB$187&amp;" "&amp;Milestones!$AC$187&amp;";  ","")&amp;IF(AND(EDATE($D102,Milestones!$AA$188)&lt;=AsOfDate,IF($R102=0,$X102,IF(AND($T102&lt;&gt;"",EDATE($D102,Milestones!$AA$188)&gt;=$T102),$W102,IF(AND($S102&lt;&gt;"",EDATE($D102,Milestones!$AA$188)&gt;=$S102),$V102,$U102)))=Milestones!$AB$188),UPPER(TEXT(EDATE($D102,Milestones!$AA$188),"dd mmm yy"))&amp;" "&amp;Milestones!$AB$188&amp;" "&amp;Milestones!$AC$188&amp;";  ","")&amp;IF(AND(EDATE($D102,Milestones!$AA$189)&lt;=AsOfDate,IF($R102=0,$X102,IF(AND($T102&lt;&gt;"",EDATE($D102,Milestones!$AA$189)&gt;=$T102),$W102,IF(AND($S102&lt;&gt;"",EDATE($D102,Milestones!$AA$189)&gt;=$S102),$V102,$U102)))=Milestones!$AB$189),UPPER(TEXT(EDATE($D102,Milestones!$AA$189),"dd mmm yy"))&amp;" "&amp;Milestones!$AB$189&amp;" "&amp;Milestones!$AC$189&amp;";  ","")&amp;IF(AND(EDATE($D102,Milestones!$AA$190)&lt;=AsOfDate,IF($R102=0,$X102,IF(AND($T102&lt;&gt;"",EDATE($D102,Milestones!$AA$190)&gt;=$T102),$W102,IF(AND($S102&lt;&gt;"",EDATE($D102,Milestones!$AA$190)&gt;=$S102),$V102,$U102)))=Milestones!$AB$190),UPPER(TEXT(EDATE($D102,Milestones!$AA$190),"dd mmm yy"))&amp;" "&amp;Milestones!$AB$190&amp;" "&amp;Milestones!$AC$190&amp;";  ","")&amp;IF(AND(EDATE($D102,Milestones!$AA$191)&lt;=AsOfDate,IF($R102=0,$X102,IF(AND($T102&lt;&gt;"",EDATE($D102,Milestones!$AA$191)&gt;=$T102),$W102,IF(AND($S102&lt;&gt;"",EDATE($D102,Milestones!$AA$191)&gt;=$S102),$V102,$U102)))=Milestones!$AB$191),UPPER(TEXT(EDATE($D102,Milestones!$AA$191),"dd mmm yy"))&amp;" "&amp;Milestones!$AB$191&amp;" "&amp;Milestones!$AC$191&amp;";  ","")&amp;IF(AND(EDATE($D102,Milestones!$AA$192)&lt;=AsOfDate,IF($R102=0,$X102,IF(AND($T102&lt;&gt;"",EDATE($D102,Milestones!$AA$192)&gt;=$T102),$W102,IF(AND($S102&lt;&gt;"",EDATE($D102,Milestones!$AA$192)&gt;=$S102),$V102,$U102)))=Milestones!$AB$192),UPPER(TEXT(EDATE($D102,Milestones!$AA$192),"dd mmm yy"))&amp;" "&amp;Milestones!$AB$192&amp;" "&amp;Milestones!$AC$192&amp;";  ","")&amp;IF(AND(EDATE($D102,Milestones!$AA$193)&lt;=AsOfDate,IF($R102=0,$X102,IF(AND($T102&lt;&gt;"",EDATE($D102,Milestones!$AA$193)&gt;=$T102),$W102,IF(AND($S102&lt;&gt;"",EDATE($D102,Milestones!$AA$193)&gt;=$S102),$V102,$U102)))=Milestones!$AB$193),UPPER(TEXT(EDATE($D102,Milestones!$AA$193),"dd mmm yy"))&amp;" "&amp;Milestones!$AB$193&amp;" "&amp;Milestones!$AC$193&amp;";  ","")&amp;IF(AND(EDATE($D102,Milestones!$AA$194)&lt;=AsOfDate,IF($R102=0,$X102,IF(AND($T102&lt;&gt;"",EDATE($D102,Milestones!$AA$194)&gt;=$T102),$W102,IF(AND($S102&lt;&gt;"",EDATE($D102,Milestones!$AA$194)&gt;=$S102),$V102,$U102)))=Milestones!$AB$194),UPPER(TEXT(EDATE($D102,Milestones!$AA$194),"dd mmm yy"))&amp;" "&amp;Milestones!$AB$194&amp;" "&amp;Milestones!$AC$194&amp;";  ","")&amp;IF(AND(EDATE($D102,Milestones!$AA$195)&lt;=AsOfDate,IF($R102=0,$X102,IF(AND($T102&lt;&gt;"",EDATE($D102,Milestones!$AA$195)&gt;=$T102),$W102,IF(AND($S102&lt;&gt;"",EDATE($D102,Milestones!$AA$195)&gt;=$S102),$V102,$U102)))=Milestones!$AB$195),UPPER(TEXT(EDATE($D102,Milestones!$AA$195),"dd mmm yy"))&amp;" "&amp;Milestones!$AB$195&amp;" "&amp;Milestones!$AC$195&amp;";  ","")&amp;IF(AND(EDATE($D102,Milestones!$AA$196)&lt;=AsOfDate,IF($R102=0,$X102,IF(AND($T102&lt;&gt;"",EDATE($D102,Milestones!$AA$196)&gt;=$T102),$W102,IF(AND($S102&lt;&gt;"",EDATE($D102,Milestones!$AA$196)&gt;=$S102),$V102,$U102)))=Milestones!$AB$196),UPPER(TEXT(EDATE($D102,Milestones!$AA$196),"dd mmm yy"))&amp;" "&amp;Milestones!$AB$196&amp;" "&amp;Milestones!$AC$196&amp;";  ","")&amp;IF(AND(EDATE($D102,Milestones!$AA$197)&lt;=AsOfDate,IF($R102=0,$X102,IF(AND($T102&lt;&gt;"",EDATE($D102,Milestones!$AA$197)&gt;=$T102),$W102,IF(AND($S102&lt;&gt;"",EDATE($D102,Milestones!$AA$197)&gt;=$S102),$V102,$U102)))=Milestones!$AB$197),UPPER(TEXT(EDATE($D102,Milestones!$AA$197),"dd mmm yy"))&amp;" "&amp;Milestones!$AB$197&amp;" "&amp;Milestones!$AC$197&amp;";  ","")&amp;IF(AND(EDATE($D102,Milestones!$AA$198)&lt;=AsOfDate,IF($R102=0,$X102,IF(AND($T102&lt;&gt;"",EDATE($D102,Milestones!$AA$198)&gt;=$T102),$W102,IF(AND($S102&lt;&gt;"",EDATE($D102,Milestones!$AA$198)&gt;=$S102),$V102,$U102)))=Milestones!$AB$198),UPPER(TEXT(EDATE($D102,Milestones!$AA$198),"dd mmm yy"))&amp;" "&amp;Milestones!$AB$198&amp;" "&amp;Milestones!$AC$198&amp;";  ","")&amp;IF(AND(EDATE($D102,Milestones!$AA$199)&lt;=AsOfDate,IF($R102=0,$X102,IF(AND($T102&lt;&gt;"",EDATE($D102,Milestones!$AA$199)&gt;=$T102),$W102,IF(AND($S102&lt;&gt;"",EDATE($D102,Milestones!$AA$199)&gt;=$S102),$V102,$U102)))=Milestones!$AB$199),UPPER(TEXT(EDATE($D102,Milestones!$AA$199),"dd mmm yy"))&amp;" "&amp;Milestones!$AB$199&amp;" "&amp;Milestones!$AC$199&amp;";  ",""))</f>
        <v/>
      </c>
      <c r="R102" s="0" t="str">
        <f aca="false">IF(Staff!$A102="","",Staff!$AI102)</f>
        <v/>
      </c>
      <c r="S102" s="0" t="str">
        <f aca="false">IF(Staff!$A102="","",Staff!$AK102)</f>
        <v/>
      </c>
      <c r="T102" s="0" t="str">
        <f aca="false">IF(Staff!$A102="","",Staff!$AL102)</f>
        <v/>
      </c>
      <c r="U102" s="0" t="str">
        <f aca="false">IF(Staff!$A102="","",Staff!$AP102)</f>
        <v/>
      </c>
      <c r="V102" s="0" t="str">
        <f aca="false">IF(Staff!$A102="","",Staff!$AQ102)</f>
        <v/>
      </c>
      <c r="W102" s="0" t="str">
        <f aca="false">IF(Staff!$A102="","",Staff!$AR102)</f>
        <v/>
      </c>
      <c r="X102" s="0" t="str">
        <f aca="false">IF(Staff!$A102="","",Staff!$AS102)</f>
        <v/>
      </c>
    </row>
    <row r="103" customFormat="false" ht="15" hidden="false" customHeight="false" outlineLevel="0" collapsed="false">
      <c r="A103" s="14" t="str">
        <f aca="false">IF(Staff!$A103="","",Staff!$A103)</f>
        <v/>
      </c>
      <c r="B103" s="14" t="str">
        <f aca="false">IF(Staff!$A103="","",Staff!$B103)</f>
        <v/>
      </c>
      <c r="C103" s="14" t="str">
        <f aca="false">IF(Staff!$A103="","",Staff!$C103)</f>
        <v/>
      </c>
      <c r="D103" s="12" t="str">
        <f aca="false">IF(Staff!$A103="","",Staff!$AH103)</f>
        <v/>
      </c>
      <c r="E103" s="14" t="str">
        <f aca="false">IF(Staff!$A103="","",Staff!$O103)</f>
        <v/>
      </c>
      <c r="F103" s="14" t="str">
        <f aca="false">IF(E103="","",E103*HoursPerDay)</f>
        <v/>
      </c>
      <c r="G103" s="14" t="str">
        <f aca="false">IF(Staff!$A103="","",Staff!$AE103)</f>
        <v/>
      </c>
      <c r="H103" s="26" t="str">
        <f aca="false">IF($A103="","",I103&amp;J103&amp;K103&amp;L103&amp;M103&amp;N103&amp;O103&amp;P103&amp;Q103)</f>
        <v/>
      </c>
      <c r="I103" s="0" t="str">
        <f aca="false">IF(OR($A103="",$D103=""),"",IF(AND(EDATE($D103,Milestones!$AA$20)&lt;=AsOfDate,IF($R103=0,$X103,IF(AND($T103&lt;&gt;"",EDATE($D103,Milestones!$AA$20)&gt;=$T103),$W103,IF(AND($S103&lt;&gt;"",EDATE($D103,Milestones!$AA$20)&gt;=$S103),$V103,$U103)))=Milestones!$AB$20),UPPER(TEXT(EDATE($D103,Milestones!$AA$20),"dd mmm yy"))&amp;" "&amp;Milestones!$AB$20&amp;" "&amp;Milestones!$AC$20&amp;";  ","")&amp;IF(AND(EDATE($D103,Milestones!$AA$21)&lt;=AsOfDate,IF($R103=0,$X103,IF(AND($T103&lt;&gt;"",EDATE($D103,Milestones!$AA$21)&gt;=$T103),$W103,IF(AND($S103&lt;&gt;"",EDATE($D103,Milestones!$AA$21)&gt;=$S103),$V103,$U103)))=Milestones!$AB$21),UPPER(TEXT(EDATE($D103,Milestones!$AA$21),"dd mmm yy"))&amp;" "&amp;Milestones!$AB$21&amp;" "&amp;Milestones!$AC$21&amp;";  ","")&amp;IF(AND(EDATE($D103,Milestones!$AA$22)&lt;=AsOfDate,IF($R103=0,$X103,IF(AND($T103&lt;&gt;"",EDATE($D103,Milestones!$AA$22)&gt;=$T103),$W103,IF(AND($S103&lt;&gt;"",EDATE($D103,Milestones!$AA$22)&gt;=$S103),$V103,$U103)))=Milestones!$AB$22),UPPER(TEXT(EDATE($D103,Milestones!$AA$22),"dd mmm yy"))&amp;" "&amp;Milestones!$AB$22&amp;" "&amp;Milestones!$AC$22&amp;";  ","")&amp;IF(AND(EDATE($D103,Milestones!$AA$23)&lt;=AsOfDate,IF($R103=0,$X103,IF(AND($T103&lt;&gt;"",EDATE($D103,Milestones!$AA$23)&gt;=$T103),$W103,IF(AND($S103&lt;&gt;"",EDATE($D103,Milestones!$AA$23)&gt;=$S103),$V103,$U103)))=Milestones!$AB$23),UPPER(TEXT(EDATE($D103,Milestones!$AA$23),"dd mmm yy"))&amp;" "&amp;Milestones!$AB$23&amp;" "&amp;Milestones!$AC$23&amp;";  ","")&amp;IF(AND(EDATE($D103,Milestones!$AA$24)&lt;=AsOfDate,IF($R103=0,$X103,IF(AND($T103&lt;&gt;"",EDATE($D103,Milestones!$AA$24)&gt;=$T103),$W103,IF(AND($S103&lt;&gt;"",EDATE($D103,Milestones!$AA$24)&gt;=$S103),$V103,$U103)))=Milestones!$AB$24),UPPER(TEXT(EDATE($D103,Milestones!$AA$24),"dd mmm yy"))&amp;" "&amp;Milestones!$AB$24&amp;" "&amp;Milestones!$AC$24&amp;";  ","")&amp;IF(AND(EDATE($D103,Milestones!$AA$25)&lt;=AsOfDate,IF($R103=0,$X103,IF(AND($T103&lt;&gt;"",EDATE($D103,Milestones!$AA$25)&gt;=$T103),$W103,IF(AND($S103&lt;&gt;"",EDATE($D103,Milestones!$AA$25)&gt;=$S103),$V103,$U103)))=Milestones!$AB$25),UPPER(TEXT(EDATE($D103,Milestones!$AA$25),"dd mmm yy"))&amp;" "&amp;Milestones!$AB$25&amp;" "&amp;Milestones!$AC$25&amp;";  ","")&amp;IF(AND(EDATE($D103,Milestones!$AA$26)&lt;=AsOfDate,IF($R103=0,$X103,IF(AND($T103&lt;&gt;"",EDATE($D103,Milestones!$AA$26)&gt;=$T103),$W103,IF(AND($S103&lt;&gt;"",EDATE($D103,Milestones!$AA$26)&gt;=$S103),$V103,$U103)))=Milestones!$AB$26),UPPER(TEXT(EDATE($D103,Milestones!$AA$26),"dd mmm yy"))&amp;" "&amp;Milestones!$AB$26&amp;" "&amp;Milestones!$AC$26&amp;";  ","")&amp;IF(AND(EDATE($D103,Milestones!$AA$27)&lt;=AsOfDate,IF($R103=0,$X103,IF(AND($T103&lt;&gt;"",EDATE($D103,Milestones!$AA$27)&gt;=$T103),$W103,IF(AND($S103&lt;&gt;"",EDATE($D103,Milestones!$AA$27)&gt;=$S103),$V103,$U103)))=Milestones!$AB$27),UPPER(TEXT(EDATE($D103,Milestones!$AA$27),"dd mmm yy"))&amp;" "&amp;Milestones!$AB$27&amp;" "&amp;Milestones!$AC$27&amp;";  ","")&amp;IF(AND(EDATE($D103,Milestones!$AA$28)&lt;=AsOfDate,IF($R103=0,$X103,IF(AND($T103&lt;&gt;"",EDATE($D103,Milestones!$AA$28)&gt;=$T103),$W103,IF(AND($S103&lt;&gt;"",EDATE($D103,Milestones!$AA$28)&gt;=$S103),$V103,$U103)))=Milestones!$AB$28),UPPER(TEXT(EDATE($D103,Milestones!$AA$28),"dd mmm yy"))&amp;" "&amp;Milestones!$AB$28&amp;" "&amp;Milestones!$AC$28&amp;";  ","")&amp;IF(AND(EDATE($D103,Milestones!$AA$29)&lt;=AsOfDate,IF($R103=0,$X103,IF(AND($T103&lt;&gt;"",EDATE($D103,Milestones!$AA$29)&gt;=$T103),$W103,IF(AND($S103&lt;&gt;"",EDATE($D103,Milestones!$AA$29)&gt;=$S103),$V103,$U103)))=Milestones!$AB$29),UPPER(TEXT(EDATE($D103,Milestones!$AA$29),"dd mmm yy"))&amp;" "&amp;Milestones!$AB$29&amp;" "&amp;Milestones!$AC$29&amp;";  ","")&amp;IF(AND(EDATE($D103,Milestones!$AA$30)&lt;=AsOfDate,IF($R103=0,$X103,IF(AND($T103&lt;&gt;"",EDATE($D103,Milestones!$AA$30)&gt;=$T103),$W103,IF(AND($S103&lt;&gt;"",EDATE($D103,Milestones!$AA$30)&gt;=$S103),$V103,$U103)))=Milestones!$AB$30),UPPER(TEXT(EDATE($D103,Milestones!$AA$30),"dd mmm yy"))&amp;" "&amp;Milestones!$AB$30&amp;" "&amp;Milestones!$AC$30&amp;";  ","")&amp;IF(AND(EDATE($D103,Milestones!$AA$31)&lt;=AsOfDate,IF($R103=0,$X103,IF(AND($T103&lt;&gt;"",EDATE($D103,Milestones!$AA$31)&gt;=$T103),$W103,IF(AND($S103&lt;&gt;"",EDATE($D103,Milestones!$AA$31)&gt;=$S103),$V103,$U103)))=Milestones!$AB$31),UPPER(TEXT(EDATE($D103,Milestones!$AA$31),"dd mmm yy"))&amp;" "&amp;Milestones!$AB$31&amp;" "&amp;Milestones!$AC$31&amp;";  ","")&amp;IF(AND(EDATE($D103,Milestones!$AA$32)&lt;=AsOfDate,IF($R103=0,$X103,IF(AND($T103&lt;&gt;"",EDATE($D103,Milestones!$AA$32)&gt;=$T103),$W103,IF(AND($S103&lt;&gt;"",EDATE($D103,Milestones!$AA$32)&gt;=$S103),$V103,$U103)))=Milestones!$AB$32),UPPER(TEXT(EDATE($D103,Milestones!$AA$32),"dd mmm yy"))&amp;" "&amp;Milestones!$AB$32&amp;" "&amp;Milestones!$AC$32&amp;";  ","")&amp;IF(AND(EDATE($D103,Milestones!$AA$33)&lt;=AsOfDate,IF($R103=0,$X103,IF(AND($T103&lt;&gt;"",EDATE($D103,Milestones!$AA$33)&gt;=$T103),$W103,IF(AND($S103&lt;&gt;"",EDATE($D103,Milestones!$AA$33)&gt;=$S103),$V103,$U103)))=Milestones!$AB$33),UPPER(TEXT(EDATE($D103,Milestones!$AA$33),"dd mmm yy"))&amp;" "&amp;Milestones!$AB$33&amp;" "&amp;Milestones!$AC$33&amp;";  ","")&amp;IF(AND(EDATE($D103,Milestones!$AA$34)&lt;=AsOfDate,IF($R103=0,$X103,IF(AND($T103&lt;&gt;"",EDATE($D103,Milestones!$AA$34)&gt;=$T103),$W103,IF(AND($S103&lt;&gt;"",EDATE($D103,Milestones!$AA$34)&gt;=$S103),$V103,$U103)))=Milestones!$AB$34),UPPER(TEXT(EDATE($D103,Milestones!$AA$34),"dd mmm yy"))&amp;" "&amp;Milestones!$AB$34&amp;" "&amp;Milestones!$AC$34&amp;";  ","")&amp;IF(AND(EDATE($D103,Milestones!$AA$35)&lt;=AsOfDate,IF($R103=0,$X103,IF(AND($T103&lt;&gt;"",EDATE($D103,Milestones!$AA$35)&gt;=$T103),$W103,IF(AND($S103&lt;&gt;"",EDATE($D103,Milestones!$AA$35)&gt;=$S103),$V103,$U103)))=Milestones!$AB$35),UPPER(TEXT(EDATE($D103,Milestones!$AA$35),"dd mmm yy"))&amp;" "&amp;Milestones!$AB$35&amp;" "&amp;Milestones!$AC$35&amp;";  ","")&amp;IF(AND(EDATE($D103,Milestones!$AA$36)&lt;=AsOfDate,IF($R103=0,$X103,IF(AND($T103&lt;&gt;"",EDATE($D103,Milestones!$AA$36)&gt;=$T103),$W103,IF(AND($S103&lt;&gt;"",EDATE($D103,Milestones!$AA$36)&gt;=$S103),$V103,$U103)))=Milestones!$AB$36),UPPER(TEXT(EDATE($D103,Milestones!$AA$36),"dd mmm yy"))&amp;" "&amp;Milestones!$AB$36&amp;" "&amp;Milestones!$AC$36&amp;";  ","")&amp;IF(AND(EDATE($D103,Milestones!$AA$37)&lt;=AsOfDate,IF($R103=0,$X103,IF(AND($T103&lt;&gt;"",EDATE($D103,Milestones!$AA$37)&gt;=$T103),$W103,IF(AND($S103&lt;&gt;"",EDATE($D103,Milestones!$AA$37)&gt;=$S103),$V103,$U103)))=Milestones!$AB$37),UPPER(TEXT(EDATE($D103,Milestones!$AA$37),"dd mmm yy"))&amp;" "&amp;Milestones!$AB$37&amp;" "&amp;Milestones!$AC$37&amp;";  ","")&amp;IF(AND(EDATE($D103,Milestones!$AA$38)&lt;=AsOfDate,IF($R103=0,$X103,IF(AND($T103&lt;&gt;"",EDATE($D103,Milestones!$AA$38)&gt;=$T103),$W103,IF(AND($S103&lt;&gt;"",EDATE($D103,Milestones!$AA$38)&gt;=$S103),$V103,$U103)))=Milestones!$AB$38),UPPER(TEXT(EDATE($D103,Milestones!$AA$38),"dd mmm yy"))&amp;" "&amp;Milestones!$AB$38&amp;" "&amp;Milestones!$AC$38&amp;";  ","")&amp;IF(AND(EDATE($D103,Milestones!$AA$39)&lt;=AsOfDate,IF($R103=0,$X103,IF(AND($T103&lt;&gt;"",EDATE($D103,Milestones!$AA$39)&gt;=$T103),$W103,IF(AND($S103&lt;&gt;"",EDATE($D103,Milestones!$AA$39)&gt;=$S103),$V103,$U103)))=Milestones!$AB$39),UPPER(TEXT(EDATE($D103,Milestones!$AA$39),"dd mmm yy"))&amp;" "&amp;Milestones!$AB$39&amp;" "&amp;Milestones!$AC$39&amp;";  ",""))</f>
        <v/>
      </c>
      <c r="J103" s="0" t="str">
        <f aca="false">IF(OR($A103="",$D103=""),"",IF(AND(EDATE($D103,Milestones!$AA$40)&lt;=AsOfDate,IF($R103=0,$X103,IF(AND($T103&lt;&gt;"",EDATE($D103,Milestones!$AA$40)&gt;=$T103),$W103,IF(AND($S103&lt;&gt;"",EDATE($D103,Milestones!$AA$40)&gt;=$S103),$V103,$U103)))=Milestones!$AB$40),UPPER(TEXT(EDATE($D103,Milestones!$AA$40),"dd mmm yy"))&amp;" "&amp;Milestones!$AB$40&amp;" "&amp;Milestones!$AC$40&amp;";  ","")&amp;IF(AND(EDATE($D103,Milestones!$AA$41)&lt;=AsOfDate,IF($R103=0,$X103,IF(AND($T103&lt;&gt;"",EDATE($D103,Milestones!$AA$41)&gt;=$T103),$W103,IF(AND($S103&lt;&gt;"",EDATE($D103,Milestones!$AA$41)&gt;=$S103),$V103,$U103)))=Milestones!$AB$41),UPPER(TEXT(EDATE($D103,Milestones!$AA$41),"dd mmm yy"))&amp;" "&amp;Milestones!$AB$41&amp;" "&amp;Milestones!$AC$41&amp;";  ","")&amp;IF(AND(EDATE($D103,Milestones!$AA$42)&lt;=AsOfDate,IF($R103=0,$X103,IF(AND($T103&lt;&gt;"",EDATE($D103,Milestones!$AA$42)&gt;=$T103),$W103,IF(AND($S103&lt;&gt;"",EDATE($D103,Milestones!$AA$42)&gt;=$S103),$V103,$U103)))=Milestones!$AB$42),UPPER(TEXT(EDATE($D103,Milestones!$AA$42),"dd mmm yy"))&amp;" "&amp;Milestones!$AB$42&amp;" "&amp;Milestones!$AC$42&amp;";  ","")&amp;IF(AND(EDATE($D103,Milestones!$AA$43)&lt;=AsOfDate,IF($R103=0,$X103,IF(AND($T103&lt;&gt;"",EDATE($D103,Milestones!$AA$43)&gt;=$T103),$W103,IF(AND($S103&lt;&gt;"",EDATE($D103,Milestones!$AA$43)&gt;=$S103),$V103,$U103)))=Milestones!$AB$43),UPPER(TEXT(EDATE($D103,Milestones!$AA$43),"dd mmm yy"))&amp;" "&amp;Milestones!$AB$43&amp;" "&amp;Milestones!$AC$43&amp;";  ","")&amp;IF(AND(EDATE($D103,Milestones!$AA$44)&lt;=AsOfDate,IF($R103=0,$X103,IF(AND($T103&lt;&gt;"",EDATE($D103,Milestones!$AA$44)&gt;=$T103),$W103,IF(AND($S103&lt;&gt;"",EDATE($D103,Milestones!$AA$44)&gt;=$S103),$V103,$U103)))=Milestones!$AB$44),UPPER(TEXT(EDATE($D103,Milestones!$AA$44),"dd mmm yy"))&amp;" "&amp;Milestones!$AB$44&amp;" "&amp;Milestones!$AC$44&amp;";  ","")&amp;IF(AND(EDATE($D103,Milestones!$AA$45)&lt;=AsOfDate,IF($R103=0,$X103,IF(AND($T103&lt;&gt;"",EDATE($D103,Milestones!$AA$45)&gt;=$T103),$W103,IF(AND($S103&lt;&gt;"",EDATE($D103,Milestones!$AA$45)&gt;=$S103),$V103,$U103)))=Milestones!$AB$45),UPPER(TEXT(EDATE($D103,Milestones!$AA$45),"dd mmm yy"))&amp;" "&amp;Milestones!$AB$45&amp;" "&amp;Milestones!$AC$45&amp;";  ","")&amp;IF(AND(EDATE($D103,Milestones!$AA$46)&lt;=AsOfDate,IF($R103=0,$X103,IF(AND($T103&lt;&gt;"",EDATE($D103,Milestones!$AA$46)&gt;=$T103),$W103,IF(AND($S103&lt;&gt;"",EDATE($D103,Milestones!$AA$46)&gt;=$S103),$V103,$U103)))=Milestones!$AB$46),UPPER(TEXT(EDATE($D103,Milestones!$AA$46),"dd mmm yy"))&amp;" "&amp;Milestones!$AB$46&amp;" "&amp;Milestones!$AC$46&amp;";  ","")&amp;IF(AND(EDATE($D103,Milestones!$AA$47)&lt;=AsOfDate,IF($R103=0,$X103,IF(AND($T103&lt;&gt;"",EDATE($D103,Milestones!$AA$47)&gt;=$T103),$W103,IF(AND($S103&lt;&gt;"",EDATE($D103,Milestones!$AA$47)&gt;=$S103),$V103,$U103)))=Milestones!$AB$47),UPPER(TEXT(EDATE($D103,Milestones!$AA$47),"dd mmm yy"))&amp;" "&amp;Milestones!$AB$47&amp;" "&amp;Milestones!$AC$47&amp;";  ","")&amp;IF(AND(EDATE($D103,Milestones!$AA$48)&lt;=AsOfDate,IF($R103=0,$X103,IF(AND($T103&lt;&gt;"",EDATE($D103,Milestones!$AA$48)&gt;=$T103),$W103,IF(AND($S103&lt;&gt;"",EDATE($D103,Milestones!$AA$48)&gt;=$S103),$V103,$U103)))=Milestones!$AB$48),UPPER(TEXT(EDATE($D103,Milestones!$AA$48),"dd mmm yy"))&amp;" "&amp;Milestones!$AB$48&amp;" "&amp;Milestones!$AC$48&amp;";  ","")&amp;IF(AND(EDATE($D103,Milestones!$AA$49)&lt;=AsOfDate,IF($R103=0,$X103,IF(AND($T103&lt;&gt;"",EDATE($D103,Milestones!$AA$49)&gt;=$T103),$W103,IF(AND($S103&lt;&gt;"",EDATE($D103,Milestones!$AA$49)&gt;=$S103),$V103,$U103)))=Milestones!$AB$49),UPPER(TEXT(EDATE($D103,Milestones!$AA$49),"dd mmm yy"))&amp;" "&amp;Milestones!$AB$49&amp;" "&amp;Milestones!$AC$49&amp;";  ","")&amp;IF(AND(EDATE($D103,Milestones!$AA$50)&lt;=AsOfDate,IF($R103=0,$X103,IF(AND($T103&lt;&gt;"",EDATE($D103,Milestones!$AA$50)&gt;=$T103),$W103,IF(AND($S103&lt;&gt;"",EDATE($D103,Milestones!$AA$50)&gt;=$S103),$V103,$U103)))=Milestones!$AB$50),UPPER(TEXT(EDATE($D103,Milestones!$AA$50),"dd mmm yy"))&amp;" "&amp;Milestones!$AB$50&amp;" "&amp;Milestones!$AC$50&amp;";  ","")&amp;IF(AND(EDATE($D103,Milestones!$AA$51)&lt;=AsOfDate,IF($R103=0,$X103,IF(AND($T103&lt;&gt;"",EDATE($D103,Milestones!$AA$51)&gt;=$T103),$W103,IF(AND($S103&lt;&gt;"",EDATE($D103,Milestones!$AA$51)&gt;=$S103),$V103,$U103)))=Milestones!$AB$51),UPPER(TEXT(EDATE($D103,Milestones!$AA$51),"dd mmm yy"))&amp;" "&amp;Milestones!$AB$51&amp;" "&amp;Milestones!$AC$51&amp;";  ","")&amp;IF(AND(EDATE($D103,Milestones!$AA$52)&lt;=AsOfDate,IF($R103=0,$X103,IF(AND($T103&lt;&gt;"",EDATE($D103,Milestones!$AA$52)&gt;=$T103),$W103,IF(AND($S103&lt;&gt;"",EDATE($D103,Milestones!$AA$52)&gt;=$S103),$V103,$U103)))=Milestones!$AB$52),UPPER(TEXT(EDATE($D103,Milestones!$AA$52),"dd mmm yy"))&amp;" "&amp;Milestones!$AB$52&amp;" "&amp;Milestones!$AC$52&amp;";  ","")&amp;IF(AND(EDATE($D103,Milestones!$AA$53)&lt;=AsOfDate,IF($R103=0,$X103,IF(AND($T103&lt;&gt;"",EDATE($D103,Milestones!$AA$53)&gt;=$T103),$W103,IF(AND($S103&lt;&gt;"",EDATE($D103,Milestones!$AA$53)&gt;=$S103),$V103,$U103)))=Milestones!$AB$53),UPPER(TEXT(EDATE($D103,Milestones!$AA$53),"dd mmm yy"))&amp;" "&amp;Milestones!$AB$53&amp;" "&amp;Milestones!$AC$53&amp;";  ","")&amp;IF(AND(EDATE($D103,Milestones!$AA$54)&lt;=AsOfDate,IF($R103=0,$X103,IF(AND($T103&lt;&gt;"",EDATE($D103,Milestones!$AA$54)&gt;=$T103),$W103,IF(AND($S103&lt;&gt;"",EDATE($D103,Milestones!$AA$54)&gt;=$S103),$V103,$U103)))=Milestones!$AB$54),UPPER(TEXT(EDATE($D103,Milestones!$AA$54),"dd mmm yy"))&amp;" "&amp;Milestones!$AB$54&amp;" "&amp;Milestones!$AC$54&amp;";  ","")&amp;IF(AND(EDATE($D103,Milestones!$AA$55)&lt;=AsOfDate,IF($R103=0,$X103,IF(AND($T103&lt;&gt;"",EDATE($D103,Milestones!$AA$55)&gt;=$T103),$W103,IF(AND($S103&lt;&gt;"",EDATE($D103,Milestones!$AA$55)&gt;=$S103),$V103,$U103)))=Milestones!$AB$55),UPPER(TEXT(EDATE($D103,Milestones!$AA$55),"dd mmm yy"))&amp;" "&amp;Milestones!$AB$55&amp;" "&amp;Milestones!$AC$55&amp;";  ","")&amp;IF(AND(EDATE($D103,Milestones!$AA$56)&lt;=AsOfDate,IF($R103=0,$X103,IF(AND($T103&lt;&gt;"",EDATE($D103,Milestones!$AA$56)&gt;=$T103),$W103,IF(AND($S103&lt;&gt;"",EDATE($D103,Milestones!$AA$56)&gt;=$S103),$V103,$U103)))=Milestones!$AB$56),UPPER(TEXT(EDATE($D103,Milestones!$AA$56),"dd mmm yy"))&amp;" "&amp;Milestones!$AB$56&amp;" "&amp;Milestones!$AC$56&amp;";  ","")&amp;IF(AND(EDATE($D103,Milestones!$AA$57)&lt;=AsOfDate,IF($R103=0,$X103,IF(AND($T103&lt;&gt;"",EDATE($D103,Milestones!$AA$57)&gt;=$T103),$W103,IF(AND($S103&lt;&gt;"",EDATE($D103,Milestones!$AA$57)&gt;=$S103),$V103,$U103)))=Milestones!$AB$57),UPPER(TEXT(EDATE($D103,Milestones!$AA$57),"dd mmm yy"))&amp;" "&amp;Milestones!$AB$57&amp;" "&amp;Milestones!$AC$57&amp;";  ","")&amp;IF(AND(EDATE($D103,Milestones!$AA$58)&lt;=AsOfDate,IF($R103=0,$X103,IF(AND($T103&lt;&gt;"",EDATE($D103,Milestones!$AA$58)&gt;=$T103),$W103,IF(AND($S103&lt;&gt;"",EDATE($D103,Milestones!$AA$58)&gt;=$S103),$V103,$U103)))=Milestones!$AB$58),UPPER(TEXT(EDATE($D103,Milestones!$AA$58),"dd mmm yy"))&amp;" "&amp;Milestones!$AB$58&amp;" "&amp;Milestones!$AC$58&amp;";  ","")&amp;IF(AND(EDATE($D103,Milestones!$AA$59)&lt;=AsOfDate,IF($R103=0,$X103,IF(AND($T103&lt;&gt;"",EDATE($D103,Milestones!$AA$59)&gt;=$T103),$W103,IF(AND($S103&lt;&gt;"",EDATE($D103,Milestones!$AA$59)&gt;=$S103),$V103,$U103)))=Milestones!$AB$59),UPPER(TEXT(EDATE($D103,Milestones!$AA$59),"dd mmm yy"))&amp;" "&amp;Milestones!$AB$59&amp;" "&amp;Milestones!$AC$59&amp;";  ",""))</f>
        <v/>
      </c>
      <c r="K103" s="0" t="str">
        <f aca="false">IF(OR($A103="",$D103=""),"",IF(AND(EDATE($D103,Milestones!$AA$60)&lt;=AsOfDate,IF($R103=0,$X103,IF(AND($T103&lt;&gt;"",EDATE($D103,Milestones!$AA$60)&gt;=$T103),$W103,IF(AND($S103&lt;&gt;"",EDATE($D103,Milestones!$AA$60)&gt;=$S103),$V103,$U103)))=Milestones!$AB$60),UPPER(TEXT(EDATE($D103,Milestones!$AA$60),"dd mmm yy"))&amp;" "&amp;Milestones!$AB$60&amp;" "&amp;Milestones!$AC$60&amp;";  ","")&amp;IF(AND(EDATE($D103,Milestones!$AA$61)&lt;=AsOfDate,IF($R103=0,$X103,IF(AND($T103&lt;&gt;"",EDATE($D103,Milestones!$AA$61)&gt;=$T103),$W103,IF(AND($S103&lt;&gt;"",EDATE($D103,Milestones!$AA$61)&gt;=$S103),$V103,$U103)))=Milestones!$AB$61),UPPER(TEXT(EDATE($D103,Milestones!$AA$61),"dd mmm yy"))&amp;" "&amp;Milestones!$AB$61&amp;" "&amp;Milestones!$AC$61&amp;";  ","")&amp;IF(AND(EDATE($D103,Milestones!$AA$62)&lt;=AsOfDate,IF($R103=0,$X103,IF(AND($T103&lt;&gt;"",EDATE($D103,Milestones!$AA$62)&gt;=$T103),$W103,IF(AND($S103&lt;&gt;"",EDATE($D103,Milestones!$AA$62)&gt;=$S103),$V103,$U103)))=Milestones!$AB$62),UPPER(TEXT(EDATE($D103,Milestones!$AA$62),"dd mmm yy"))&amp;" "&amp;Milestones!$AB$62&amp;" "&amp;Milestones!$AC$62&amp;";  ","")&amp;IF(AND(EDATE($D103,Milestones!$AA$63)&lt;=AsOfDate,IF($R103=0,$X103,IF(AND($T103&lt;&gt;"",EDATE($D103,Milestones!$AA$63)&gt;=$T103),$W103,IF(AND($S103&lt;&gt;"",EDATE($D103,Milestones!$AA$63)&gt;=$S103),$V103,$U103)))=Milestones!$AB$63),UPPER(TEXT(EDATE($D103,Milestones!$AA$63),"dd mmm yy"))&amp;" "&amp;Milestones!$AB$63&amp;" "&amp;Milestones!$AC$63&amp;";  ","")&amp;IF(AND(EDATE($D103,Milestones!$AA$64)&lt;=AsOfDate,IF($R103=0,$X103,IF(AND($T103&lt;&gt;"",EDATE($D103,Milestones!$AA$64)&gt;=$T103),$W103,IF(AND($S103&lt;&gt;"",EDATE($D103,Milestones!$AA$64)&gt;=$S103),$V103,$U103)))=Milestones!$AB$64),UPPER(TEXT(EDATE($D103,Milestones!$AA$64),"dd mmm yy"))&amp;" "&amp;Milestones!$AB$64&amp;" "&amp;Milestones!$AC$64&amp;";  ","")&amp;IF(AND(EDATE($D103,Milestones!$AA$65)&lt;=AsOfDate,IF($R103=0,$X103,IF(AND($T103&lt;&gt;"",EDATE($D103,Milestones!$AA$65)&gt;=$T103),$W103,IF(AND($S103&lt;&gt;"",EDATE($D103,Milestones!$AA$65)&gt;=$S103),$V103,$U103)))=Milestones!$AB$65),UPPER(TEXT(EDATE($D103,Milestones!$AA$65),"dd mmm yy"))&amp;" "&amp;Milestones!$AB$65&amp;" "&amp;Milestones!$AC$65&amp;";  ","")&amp;IF(AND(EDATE($D103,Milestones!$AA$66)&lt;=AsOfDate,IF($R103=0,$X103,IF(AND($T103&lt;&gt;"",EDATE($D103,Milestones!$AA$66)&gt;=$T103),$W103,IF(AND($S103&lt;&gt;"",EDATE($D103,Milestones!$AA$66)&gt;=$S103),$V103,$U103)))=Milestones!$AB$66),UPPER(TEXT(EDATE($D103,Milestones!$AA$66),"dd mmm yy"))&amp;" "&amp;Milestones!$AB$66&amp;" "&amp;Milestones!$AC$66&amp;";  ","")&amp;IF(AND(EDATE($D103,Milestones!$AA$67)&lt;=AsOfDate,IF($R103=0,$X103,IF(AND($T103&lt;&gt;"",EDATE($D103,Milestones!$AA$67)&gt;=$T103),$W103,IF(AND($S103&lt;&gt;"",EDATE($D103,Milestones!$AA$67)&gt;=$S103),$V103,$U103)))=Milestones!$AB$67),UPPER(TEXT(EDATE($D103,Milestones!$AA$67),"dd mmm yy"))&amp;" "&amp;Milestones!$AB$67&amp;" "&amp;Milestones!$AC$67&amp;";  ","")&amp;IF(AND(EDATE($D103,Milestones!$AA$68)&lt;=AsOfDate,IF($R103=0,$X103,IF(AND($T103&lt;&gt;"",EDATE($D103,Milestones!$AA$68)&gt;=$T103),$W103,IF(AND($S103&lt;&gt;"",EDATE($D103,Milestones!$AA$68)&gt;=$S103),$V103,$U103)))=Milestones!$AB$68),UPPER(TEXT(EDATE($D103,Milestones!$AA$68),"dd mmm yy"))&amp;" "&amp;Milestones!$AB$68&amp;" "&amp;Milestones!$AC$68&amp;";  ","")&amp;IF(AND(EDATE($D103,Milestones!$AA$69)&lt;=AsOfDate,IF($R103=0,$X103,IF(AND($T103&lt;&gt;"",EDATE($D103,Milestones!$AA$69)&gt;=$T103),$W103,IF(AND($S103&lt;&gt;"",EDATE($D103,Milestones!$AA$69)&gt;=$S103),$V103,$U103)))=Milestones!$AB$69),UPPER(TEXT(EDATE($D103,Milestones!$AA$69),"dd mmm yy"))&amp;" "&amp;Milestones!$AB$69&amp;" "&amp;Milestones!$AC$69&amp;";  ","")&amp;IF(AND(EDATE($D103,Milestones!$AA$70)&lt;=AsOfDate,IF($R103=0,$X103,IF(AND($T103&lt;&gt;"",EDATE($D103,Milestones!$AA$70)&gt;=$T103),$W103,IF(AND($S103&lt;&gt;"",EDATE($D103,Milestones!$AA$70)&gt;=$S103),$V103,$U103)))=Milestones!$AB$70),UPPER(TEXT(EDATE($D103,Milestones!$AA$70),"dd mmm yy"))&amp;" "&amp;Milestones!$AB$70&amp;" "&amp;Milestones!$AC$70&amp;";  ","")&amp;IF(AND(EDATE($D103,Milestones!$AA$71)&lt;=AsOfDate,IF($R103=0,$X103,IF(AND($T103&lt;&gt;"",EDATE($D103,Milestones!$AA$71)&gt;=$T103),$W103,IF(AND($S103&lt;&gt;"",EDATE($D103,Milestones!$AA$71)&gt;=$S103),$V103,$U103)))=Milestones!$AB$71),UPPER(TEXT(EDATE($D103,Milestones!$AA$71),"dd mmm yy"))&amp;" "&amp;Milestones!$AB$71&amp;" "&amp;Milestones!$AC$71&amp;";  ","")&amp;IF(AND(EDATE($D103,Milestones!$AA$72)&lt;=AsOfDate,IF($R103=0,$X103,IF(AND($T103&lt;&gt;"",EDATE($D103,Milestones!$AA$72)&gt;=$T103),$W103,IF(AND($S103&lt;&gt;"",EDATE($D103,Milestones!$AA$72)&gt;=$S103),$V103,$U103)))=Milestones!$AB$72),UPPER(TEXT(EDATE($D103,Milestones!$AA$72),"dd mmm yy"))&amp;" "&amp;Milestones!$AB$72&amp;" "&amp;Milestones!$AC$72&amp;";  ","")&amp;IF(AND(EDATE($D103,Milestones!$AA$73)&lt;=AsOfDate,IF($R103=0,$X103,IF(AND($T103&lt;&gt;"",EDATE($D103,Milestones!$AA$73)&gt;=$T103),$W103,IF(AND($S103&lt;&gt;"",EDATE($D103,Milestones!$AA$73)&gt;=$S103),$V103,$U103)))=Milestones!$AB$73),UPPER(TEXT(EDATE($D103,Milestones!$AA$73),"dd mmm yy"))&amp;" "&amp;Milestones!$AB$73&amp;" "&amp;Milestones!$AC$73&amp;";  ","")&amp;IF(AND(EDATE($D103,Milestones!$AA$74)&lt;=AsOfDate,IF($R103=0,$X103,IF(AND($T103&lt;&gt;"",EDATE($D103,Milestones!$AA$74)&gt;=$T103),$W103,IF(AND($S103&lt;&gt;"",EDATE($D103,Milestones!$AA$74)&gt;=$S103),$V103,$U103)))=Milestones!$AB$74),UPPER(TEXT(EDATE($D103,Milestones!$AA$74),"dd mmm yy"))&amp;" "&amp;Milestones!$AB$74&amp;" "&amp;Milestones!$AC$74&amp;";  ","")&amp;IF(AND(EDATE($D103,Milestones!$AA$75)&lt;=AsOfDate,IF($R103=0,$X103,IF(AND($T103&lt;&gt;"",EDATE($D103,Milestones!$AA$75)&gt;=$T103),$W103,IF(AND($S103&lt;&gt;"",EDATE($D103,Milestones!$AA$75)&gt;=$S103),$V103,$U103)))=Milestones!$AB$75),UPPER(TEXT(EDATE($D103,Milestones!$AA$75),"dd mmm yy"))&amp;" "&amp;Milestones!$AB$75&amp;" "&amp;Milestones!$AC$75&amp;";  ","")&amp;IF(AND(EDATE($D103,Milestones!$AA$76)&lt;=AsOfDate,IF($R103=0,$X103,IF(AND($T103&lt;&gt;"",EDATE($D103,Milestones!$AA$76)&gt;=$T103),$W103,IF(AND($S103&lt;&gt;"",EDATE($D103,Milestones!$AA$76)&gt;=$S103),$V103,$U103)))=Milestones!$AB$76),UPPER(TEXT(EDATE($D103,Milestones!$AA$76),"dd mmm yy"))&amp;" "&amp;Milestones!$AB$76&amp;" "&amp;Milestones!$AC$76&amp;";  ","")&amp;IF(AND(EDATE($D103,Milestones!$AA$77)&lt;=AsOfDate,IF($R103=0,$X103,IF(AND($T103&lt;&gt;"",EDATE($D103,Milestones!$AA$77)&gt;=$T103),$W103,IF(AND($S103&lt;&gt;"",EDATE($D103,Milestones!$AA$77)&gt;=$S103),$V103,$U103)))=Milestones!$AB$77),UPPER(TEXT(EDATE($D103,Milestones!$AA$77),"dd mmm yy"))&amp;" "&amp;Milestones!$AB$77&amp;" "&amp;Milestones!$AC$77&amp;";  ","")&amp;IF(AND(EDATE($D103,Milestones!$AA$78)&lt;=AsOfDate,IF($R103=0,$X103,IF(AND($T103&lt;&gt;"",EDATE($D103,Milestones!$AA$78)&gt;=$T103),$W103,IF(AND($S103&lt;&gt;"",EDATE($D103,Milestones!$AA$78)&gt;=$S103),$V103,$U103)))=Milestones!$AB$78),UPPER(TEXT(EDATE($D103,Milestones!$AA$78),"dd mmm yy"))&amp;" "&amp;Milestones!$AB$78&amp;" "&amp;Milestones!$AC$78&amp;";  ","")&amp;IF(AND(EDATE($D103,Milestones!$AA$79)&lt;=AsOfDate,IF($R103=0,$X103,IF(AND($T103&lt;&gt;"",EDATE($D103,Milestones!$AA$79)&gt;=$T103),$W103,IF(AND($S103&lt;&gt;"",EDATE($D103,Milestones!$AA$79)&gt;=$S103),$V103,$U103)))=Milestones!$AB$79),UPPER(TEXT(EDATE($D103,Milestones!$AA$79),"dd mmm yy"))&amp;" "&amp;Milestones!$AB$79&amp;" "&amp;Milestones!$AC$79&amp;";  ",""))</f>
        <v/>
      </c>
      <c r="L103" s="0" t="str">
        <f aca="false">IF(OR($A103="",$D103=""),"",IF(AND(EDATE($D103,Milestones!$AA$80)&lt;=AsOfDate,IF($R103=0,$X103,IF(AND($T103&lt;&gt;"",EDATE($D103,Milestones!$AA$80)&gt;=$T103),$W103,IF(AND($S103&lt;&gt;"",EDATE($D103,Milestones!$AA$80)&gt;=$S103),$V103,$U103)))=Milestones!$AB$80),UPPER(TEXT(EDATE($D103,Milestones!$AA$80),"dd mmm yy"))&amp;" "&amp;Milestones!$AB$80&amp;" "&amp;Milestones!$AC$80&amp;";  ","")&amp;IF(AND(EDATE($D103,Milestones!$AA$81)&lt;=AsOfDate,IF($R103=0,$X103,IF(AND($T103&lt;&gt;"",EDATE($D103,Milestones!$AA$81)&gt;=$T103),$W103,IF(AND($S103&lt;&gt;"",EDATE($D103,Milestones!$AA$81)&gt;=$S103),$V103,$U103)))=Milestones!$AB$81),UPPER(TEXT(EDATE($D103,Milestones!$AA$81),"dd mmm yy"))&amp;" "&amp;Milestones!$AB$81&amp;" "&amp;Milestones!$AC$81&amp;";  ","")&amp;IF(AND(EDATE($D103,Milestones!$AA$82)&lt;=AsOfDate,IF($R103=0,$X103,IF(AND($T103&lt;&gt;"",EDATE($D103,Milestones!$AA$82)&gt;=$T103),$W103,IF(AND($S103&lt;&gt;"",EDATE($D103,Milestones!$AA$82)&gt;=$S103),$V103,$U103)))=Milestones!$AB$82),UPPER(TEXT(EDATE($D103,Milestones!$AA$82),"dd mmm yy"))&amp;" "&amp;Milestones!$AB$82&amp;" "&amp;Milestones!$AC$82&amp;";  ","")&amp;IF(AND(EDATE($D103,Milestones!$AA$83)&lt;=AsOfDate,IF($R103=0,$X103,IF(AND($T103&lt;&gt;"",EDATE($D103,Milestones!$AA$83)&gt;=$T103),$W103,IF(AND($S103&lt;&gt;"",EDATE($D103,Milestones!$AA$83)&gt;=$S103),$V103,$U103)))=Milestones!$AB$83),UPPER(TEXT(EDATE($D103,Milestones!$AA$83),"dd mmm yy"))&amp;" "&amp;Milestones!$AB$83&amp;" "&amp;Milestones!$AC$83&amp;";  ","")&amp;IF(AND(EDATE($D103,Milestones!$AA$84)&lt;=AsOfDate,IF($R103=0,$X103,IF(AND($T103&lt;&gt;"",EDATE($D103,Milestones!$AA$84)&gt;=$T103),$W103,IF(AND($S103&lt;&gt;"",EDATE($D103,Milestones!$AA$84)&gt;=$S103),$V103,$U103)))=Milestones!$AB$84),UPPER(TEXT(EDATE($D103,Milestones!$AA$84),"dd mmm yy"))&amp;" "&amp;Milestones!$AB$84&amp;" "&amp;Milestones!$AC$84&amp;";  ","")&amp;IF(AND(EDATE($D103,Milestones!$AA$85)&lt;=AsOfDate,IF($R103=0,$X103,IF(AND($T103&lt;&gt;"",EDATE($D103,Milestones!$AA$85)&gt;=$T103),$W103,IF(AND($S103&lt;&gt;"",EDATE($D103,Milestones!$AA$85)&gt;=$S103),$V103,$U103)))=Milestones!$AB$85),UPPER(TEXT(EDATE($D103,Milestones!$AA$85),"dd mmm yy"))&amp;" "&amp;Milestones!$AB$85&amp;" "&amp;Milestones!$AC$85&amp;";  ","")&amp;IF(AND(EDATE($D103,Milestones!$AA$86)&lt;=AsOfDate,IF($R103=0,$X103,IF(AND($T103&lt;&gt;"",EDATE($D103,Milestones!$AA$86)&gt;=$T103),$W103,IF(AND($S103&lt;&gt;"",EDATE($D103,Milestones!$AA$86)&gt;=$S103),$V103,$U103)))=Milestones!$AB$86),UPPER(TEXT(EDATE($D103,Milestones!$AA$86),"dd mmm yy"))&amp;" "&amp;Milestones!$AB$86&amp;" "&amp;Milestones!$AC$86&amp;";  ","")&amp;IF(AND(EDATE($D103,Milestones!$AA$87)&lt;=AsOfDate,IF($R103=0,$X103,IF(AND($T103&lt;&gt;"",EDATE($D103,Milestones!$AA$87)&gt;=$T103),$W103,IF(AND($S103&lt;&gt;"",EDATE($D103,Milestones!$AA$87)&gt;=$S103),$V103,$U103)))=Milestones!$AB$87),UPPER(TEXT(EDATE($D103,Milestones!$AA$87),"dd mmm yy"))&amp;" "&amp;Milestones!$AB$87&amp;" "&amp;Milestones!$AC$87&amp;";  ","")&amp;IF(AND(EDATE($D103,Milestones!$AA$88)&lt;=AsOfDate,IF($R103=0,$X103,IF(AND($T103&lt;&gt;"",EDATE($D103,Milestones!$AA$88)&gt;=$T103),$W103,IF(AND($S103&lt;&gt;"",EDATE($D103,Milestones!$AA$88)&gt;=$S103),$V103,$U103)))=Milestones!$AB$88),UPPER(TEXT(EDATE($D103,Milestones!$AA$88),"dd mmm yy"))&amp;" "&amp;Milestones!$AB$88&amp;" "&amp;Milestones!$AC$88&amp;";  ","")&amp;IF(AND(EDATE($D103,Milestones!$AA$89)&lt;=AsOfDate,IF($R103=0,$X103,IF(AND($T103&lt;&gt;"",EDATE($D103,Milestones!$AA$89)&gt;=$T103),$W103,IF(AND($S103&lt;&gt;"",EDATE($D103,Milestones!$AA$89)&gt;=$S103),$V103,$U103)))=Milestones!$AB$89),UPPER(TEXT(EDATE($D103,Milestones!$AA$89),"dd mmm yy"))&amp;" "&amp;Milestones!$AB$89&amp;" "&amp;Milestones!$AC$89&amp;";  ","")&amp;IF(AND(EDATE($D103,Milestones!$AA$90)&lt;=AsOfDate,IF($R103=0,$X103,IF(AND($T103&lt;&gt;"",EDATE($D103,Milestones!$AA$90)&gt;=$T103),$W103,IF(AND($S103&lt;&gt;"",EDATE($D103,Milestones!$AA$90)&gt;=$S103),$V103,$U103)))=Milestones!$AB$90),UPPER(TEXT(EDATE($D103,Milestones!$AA$90),"dd mmm yy"))&amp;" "&amp;Milestones!$AB$90&amp;" "&amp;Milestones!$AC$90&amp;";  ","")&amp;IF(AND(EDATE($D103,Milestones!$AA$91)&lt;=AsOfDate,IF($R103=0,$X103,IF(AND($T103&lt;&gt;"",EDATE($D103,Milestones!$AA$91)&gt;=$T103),$W103,IF(AND($S103&lt;&gt;"",EDATE($D103,Milestones!$AA$91)&gt;=$S103),$V103,$U103)))=Milestones!$AB$91),UPPER(TEXT(EDATE($D103,Milestones!$AA$91),"dd mmm yy"))&amp;" "&amp;Milestones!$AB$91&amp;" "&amp;Milestones!$AC$91&amp;";  ","")&amp;IF(AND(EDATE($D103,Milestones!$AA$92)&lt;=AsOfDate,IF($R103=0,$X103,IF(AND($T103&lt;&gt;"",EDATE($D103,Milestones!$AA$92)&gt;=$T103),$W103,IF(AND($S103&lt;&gt;"",EDATE($D103,Milestones!$AA$92)&gt;=$S103),$V103,$U103)))=Milestones!$AB$92),UPPER(TEXT(EDATE($D103,Milestones!$AA$92),"dd mmm yy"))&amp;" "&amp;Milestones!$AB$92&amp;" "&amp;Milestones!$AC$92&amp;";  ","")&amp;IF(AND(EDATE($D103,Milestones!$AA$93)&lt;=AsOfDate,IF($R103=0,$X103,IF(AND($T103&lt;&gt;"",EDATE($D103,Milestones!$AA$93)&gt;=$T103),$W103,IF(AND($S103&lt;&gt;"",EDATE($D103,Milestones!$AA$93)&gt;=$S103),$V103,$U103)))=Milestones!$AB$93),UPPER(TEXT(EDATE($D103,Milestones!$AA$93),"dd mmm yy"))&amp;" "&amp;Milestones!$AB$93&amp;" "&amp;Milestones!$AC$93&amp;";  ","")&amp;IF(AND(EDATE($D103,Milestones!$AA$94)&lt;=AsOfDate,IF($R103=0,$X103,IF(AND($T103&lt;&gt;"",EDATE($D103,Milestones!$AA$94)&gt;=$T103),$W103,IF(AND($S103&lt;&gt;"",EDATE($D103,Milestones!$AA$94)&gt;=$S103),$V103,$U103)))=Milestones!$AB$94),UPPER(TEXT(EDATE($D103,Milestones!$AA$94),"dd mmm yy"))&amp;" "&amp;Milestones!$AB$94&amp;" "&amp;Milestones!$AC$94&amp;";  ","")&amp;IF(AND(EDATE($D103,Milestones!$AA$95)&lt;=AsOfDate,IF($R103=0,$X103,IF(AND($T103&lt;&gt;"",EDATE($D103,Milestones!$AA$95)&gt;=$T103),$W103,IF(AND($S103&lt;&gt;"",EDATE($D103,Milestones!$AA$95)&gt;=$S103),$V103,$U103)))=Milestones!$AB$95),UPPER(TEXT(EDATE($D103,Milestones!$AA$95),"dd mmm yy"))&amp;" "&amp;Milestones!$AB$95&amp;" "&amp;Milestones!$AC$95&amp;";  ","")&amp;IF(AND(EDATE($D103,Milestones!$AA$96)&lt;=AsOfDate,IF($R103=0,$X103,IF(AND($T103&lt;&gt;"",EDATE($D103,Milestones!$AA$96)&gt;=$T103),$W103,IF(AND($S103&lt;&gt;"",EDATE($D103,Milestones!$AA$96)&gt;=$S103),$V103,$U103)))=Milestones!$AB$96),UPPER(TEXT(EDATE($D103,Milestones!$AA$96),"dd mmm yy"))&amp;" "&amp;Milestones!$AB$96&amp;" "&amp;Milestones!$AC$96&amp;";  ","")&amp;IF(AND(EDATE($D103,Milestones!$AA$97)&lt;=AsOfDate,IF($R103=0,$X103,IF(AND($T103&lt;&gt;"",EDATE($D103,Milestones!$AA$97)&gt;=$T103),$W103,IF(AND($S103&lt;&gt;"",EDATE($D103,Milestones!$AA$97)&gt;=$S103),$V103,$U103)))=Milestones!$AB$97),UPPER(TEXT(EDATE($D103,Milestones!$AA$97),"dd mmm yy"))&amp;" "&amp;Milestones!$AB$97&amp;" "&amp;Milestones!$AC$97&amp;";  ","")&amp;IF(AND(EDATE($D103,Milestones!$AA$98)&lt;=AsOfDate,IF($R103=0,$X103,IF(AND($T103&lt;&gt;"",EDATE($D103,Milestones!$AA$98)&gt;=$T103),$W103,IF(AND($S103&lt;&gt;"",EDATE($D103,Milestones!$AA$98)&gt;=$S103),$V103,$U103)))=Milestones!$AB$98),UPPER(TEXT(EDATE($D103,Milestones!$AA$98),"dd mmm yy"))&amp;" "&amp;Milestones!$AB$98&amp;" "&amp;Milestones!$AC$98&amp;";  ","")&amp;IF(AND(EDATE($D103,Milestones!$AA$99)&lt;=AsOfDate,IF($R103=0,$X103,IF(AND($T103&lt;&gt;"",EDATE($D103,Milestones!$AA$99)&gt;=$T103),$W103,IF(AND($S103&lt;&gt;"",EDATE($D103,Milestones!$AA$99)&gt;=$S103),$V103,$U103)))=Milestones!$AB$99),UPPER(TEXT(EDATE($D103,Milestones!$AA$99),"dd mmm yy"))&amp;" "&amp;Milestones!$AB$99&amp;" "&amp;Milestones!$AC$99&amp;";  ",""))</f>
        <v/>
      </c>
      <c r="M103" s="0" t="str">
        <f aca="false">IF(OR($A103="",$D103=""),"",IF(AND(EDATE($D103,Milestones!$AA$100)&lt;=AsOfDate,IF($R103=0,$X103,IF(AND($T103&lt;&gt;"",EDATE($D103,Milestones!$AA$100)&gt;=$T103),$W103,IF(AND($S103&lt;&gt;"",EDATE($D103,Milestones!$AA$100)&gt;=$S103),$V103,$U103)))=Milestones!$AB$100),UPPER(TEXT(EDATE($D103,Milestones!$AA$100),"dd mmm yy"))&amp;" "&amp;Milestones!$AB$100&amp;" "&amp;Milestones!$AC$100&amp;";  ","")&amp;IF(AND(EDATE($D103,Milestones!$AA$101)&lt;=AsOfDate,IF($R103=0,$X103,IF(AND($T103&lt;&gt;"",EDATE($D103,Milestones!$AA$101)&gt;=$T103),$W103,IF(AND($S103&lt;&gt;"",EDATE($D103,Milestones!$AA$101)&gt;=$S103),$V103,$U103)))=Milestones!$AB$101),UPPER(TEXT(EDATE($D103,Milestones!$AA$101),"dd mmm yy"))&amp;" "&amp;Milestones!$AB$101&amp;" "&amp;Milestones!$AC$101&amp;";  ","")&amp;IF(AND(EDATE($D103,Milestones!$AA$102)&lt;=AsOfDate,IF($R103=0,$X103,IF(AND($T103&lt;&gt;"",EDATE($D103,Milestones!$AA$102)&gt;=$T103),$W103,IF(AND($S103&lt;&gt;"",EDATE($D103,Milestones!$AA$102)&gt;=$S103),$V103,$U103)))=Milestones!$AB$102),UPPER(TEXT(EDATE($D103,Milestones!$AA$102),"dd mmm yy"))&amp;" "&amp;Milestones!$AB$102&amp;" "&amp;Milestones!$AC$102&amp;";  ","")&amp;IF(AND(EDATE($D103,Milestones!$AA$103)&lt;=AsOfDate,IF($R103=0,$X103,IF(AND($T103&lt;&gt;"",EDATE($D103,Milestones!$AA$103)&gt;=$T103),$W103,IF(AND($S103&lt;&gt;"",EDATE($D103,Milestones!$AA$103)&gt;=$S103),$V103,$U103)))=Milestones!$AB$103),UPPER(TEXT(EDATE($D103,Milestones!$AA$103),"dd mmm yy"))&amp;" "&amp;Milestones!$AB$103&amp;" "&amp;Milestones!$AC$103&amp;";  ","")&amp;IF(AND(EDATE($D103,Milestones!$AA$104)&lt;=AsOfDate,IF($R103=0,$X103,IF(AND($T103&lt;&gt;"",EDATE($D103,Milestones!$AA$104)&gt;=$T103),$W103,IF(AND($S103&lt;&gt;"",EDATE($D103,Milestones!$AA$104)&gt;=$S103),$V103,$U103)))=Milestones!$AB$104),UPPER(TEXT(EDATE($D103,Milestones!$AA$104),"dd mmm yy"))&amp;" "&amp;Milestones!$AB$104&amp;" "&amp;Milestones!$AC$104&amp;";  ","")&amp;IF(AND(EDATE($D103,Milestones!$AA$105)&lt;=AsOfDate,IF($R103=0,$X103,IF(AND($T103&lt;&gt;"",EDATE($D103,Milestones!$AA$105)&gt;=$T103),$W103,IF(AND($S103&lt;&gt;"",EDATE($D103,Milestones!$AA$105)&gt;=$S103),$V103,$U103)))=Milestones!$AB$105),UPPER(TEXT(EDATE($D103,Milestones!$AA$105),"dd mmm yy"))&amp;" "&amp;Milestones!$AB$105&amp;" "&amp;Milestones!$AC$105&amp;";  ","")&amp;IF(AND(EDATE($D103,Milestones!$AA$106)&lt;=AsOfDate,IF($R103=0,$X103,IF(AND($T103&lt;&gt;"",EDATE($D103,Milestones!$AA$106)&gt;=$T103),$W103,IF(AND($S103&lt;&gt;"",EDATE($D103,Milestones!$AA$106)&gt;=$S103),$V103,$U103)))=Milestones!$AB$106),UPPER(TEXT(EDATE($D103,Milestones!$AA$106),"dd mmm yy"))&amp;" "&amp;Milestones!$AB$106&amp;" "&amp;Milestones!$AC$106&amp;";  ","")&amp;IF(AND(EDATE($D103,Milestones!$AA$107)&lt;=AsOfDate,IF($R103=0,$X103,IF(AND($T103&lt;&gt;"",EDATE($D103,Milestones!$AA$107)&gt;=$T103),$W103,IF(AND($S103&lt;&gt;"",EDATE($D103,Milestones!$AA$107)&gt;=$S103),$V103,$U103)))=Milestones!$AB$107),UPPER(TEXT(EDATE($D103,Milestones!$AA$107),"dd mmm yy"))&amp;" "&amp;Milestones!$AB$107&amp;" "&amp;Milestones!$AC$107&amp;";  ","")&amp;IF(AND(EDATE($D103,Milestones!$AA$108)&lt;=AsOfDate,IF($R103=0,$X103,IF(AND($T103&lt;&gt;"",EDATE($D103,Milestones!$AA$108)&gt;=$T103),$W103,IF(AND($S103&lt;&gt;"",EDATE($D103,Milestones!$AA$108)&gt;=$S103),$V103,$U103)))=Milestones!$AB$108),UPPER(TEXT(EDATE($D103,Milestones!$AA$108),"dd mmm yy"))&amp;" "&amp;Milestones!$AB$108&amp;" "&amp;Milestones!$AC$108&amp;";  ","")&amp;IF(AND(EDATE($D103,Milestones!$AA$109)&lt;=AsOfDate,IF($R103=0,$X103,IF(AND($T103&lt;&gt;"",EDATE($D103,Milestones!$AA$109)&gt;=$T103),$W103,IF(AND($S103&lt;&gt;"",EDATE($D103,Milestones!$AA$109)&gt;=$S103),$V103,$U103)))=Milestones!$AB$109),UPPER(TEXT(EDATE($D103,Milestones!$AA$109),"dd mmm yy"))&amp;" "&amp;Milestones!$AB$109&amp;" "&amp;Milestones!$AC$109&amp;";  ","")&amp;IF(AND(EDATE($D103,Milestones!$AA$110)&lt;=AsOfDate,IF($R103=0,$X103,IF(AND($T103&lt;&gt;"",EDATE($D103,Milestones!$AA$110)&gt;=$T103),$W103,IF(AND($S103&lt;&gt;"",EDATE($D103,Milestones!$AA$110)&gt;=$S103),$V103,$U103)))=Milestones!$AB$110),UPPER(TEXT(EDATE($D103,Milestones!$AA$110),"dd mmm yy"))&amp;" "&amp;Milestones!$AB$110&amp;" "&amp;Milestones!$AC$110&amp;";  ","")&amp;IF(AND(EDATE($D103,Milestones!$AA$111)&lt;=AsOfDate,IF($R103=0,$X103,IF(AND($T103&lt;&gt;"",EDATE($D103,Milestones!$AA$111)&gt;=$T103),$W103,IF(AND($S103&lt;&gt;"",EDATE($D103,Milestones!$AA$111)&gt;=$S103),$V103,$U103)))=Milestones!$AB$111),UPPER(TEXT(EDATE($D103,Milestones!$AA$111),"dd mmm yy"))&amp;" "&amp;Milestones!$AB$111&amp;" "&amp;Milestones!$AC$111&amp;";  ","")&amp;IF(AND(EDATE($D103,Milestones!$AA$112)&lt;=AsOfDate,IF($R103=0,$X103,IF(AND($T103&lt;&gt;"",EDATE($D103,Milestones!$AA$112)&gt;=$T103),$W103,IF(AND($S103&lt;&gt;"",EDATE($D103,Milestones!$AA$112)&gt;=$S103),$V103,$U103)))=Milestones!$AB$112),UPPER(TEXT(EDATE($D103,Milestones!$AA$112),"dd mmm yy"))&amp;" "&amp;Milestones!$AB$112&amp;" "&amp;Milestones!$AC$112&amp;";  ","")&amp;IF(AND(EDATE($D103,Milestones!$AA$113)&lt;=AsOfDate,IF($R103=0,$X103,IF(AND($T103&lt;&gt;"",EDATE($D103,Milestones!$AA$113)&gt;=$T103),$W103,IF(AND($S103&lt;&gt;"",EDATE($D103,Milestones!$AA$113)&gt;=$S103),$V103,$U103)))=Milestones!$AB$113),UPPER(TEXT(EDATE($D103,Milestones!$AA$113),"dd mmm yy"))&amp;" "&amp;Milestones!$AB$113&amp;" "&amp;Milestones!$AC$113&amp;";  ","")&amp;IF(AND(EDATE($D103,Milestones!$AA$114)&lt;=AsOfDate,IF($R103=0,$X103,IF(AND($T103&lt;&gt;"",EDATE($D103,Milestones!$AA$114)&gt;=$T103),$W103,IF(AND($S103&lt;&gt;"",EDATE($D103,Milestones!$AA$114)&gt;=$S103),$V103,$U103)))=Milestones!$AB$114),UPPER(TEXT(EDATE($D103,Milestones!$AA$114),"dd mmm yy"))&amp;" "&amp;Milestones!$AB$114&amp;" "&amp;Milestones!$AC$114&amp;";  ","")&amp;IF(AND(EDATE($D103,Milestones!$AA$115)&lt;=AsOfDate,IF($R103=0,$X103,IF(AND($T103&lt;&gt;"",EDATE($D103,Milestones!$AA$115)&gt;=$T103),$W103,IF(AND($S103&lt;&gt;"",EDATE($D103,Milestones!$AA$115)&gt;=$S103),$V103,$U103)))=Milestones!$AB$115),UPPER(TEXT(EDATE($D103,Milestones!$AA$115),"dd mmm yy"))&amp;" "&amp;Milestones!$AB$115&amp;" "&amp;Milestones!$AC$115&amp;";  ","")&amp;IF(AND(EDATE($D103,Milestones!$AA$116)&lt;=AsOfDate,IF($R103=0,$X103,IF(AND($T103&lt;&gt;"",EDATE($D103,Milestones!$AA$116)&gt;=$T103),$W103,IF(AND($S103&lt;&gt;"",EDATE($D103,Milestones!$AA$116)&gt;=$S103),$V103,$U103)))=Milestones!$AB$116),UPPER(TEXT(EDATE($D103,Milestones!$AA$116),"dd mmm yy"))&amp;" "&amp;Milestones!$AB$116&amp;" "&amp;Milestones!$AC$116&amp;";  ","")&amp;IF(AND(EDATE($D103,Milestones!$AA$117)&lt;=AsOfDate,IF($R103=0,$X103,IF(AND($T103&lt;&gt;"",EDATE($D103,Milestones!$AA$117)&gt;=$T103),$W103,IF(AND($S103&lt;&gt;"",EDATE($D103,Milestones!$AA$117)&gt;=$S103),$V103,$U103)))=Milestones!$AB$117),UPPER(TEXT(EDATE($D103,Milestones!$AA$117),"dd mmm yy"))&amp;" "&amp;Milestones!$AB$117&amp;" "&amp;Milestones!$AC$117&amp;";  ","")&amp;IF(AND(EDATE($D103,Milestones!$AA$118)&lt;=AsOfDate,IF($R103=0,$X103,IF(AND($T103&lt;&gt;"",EDATE($D103,Milestones!$AA$118)&gt;=$T103),$W103,IF(AND($S103&lt;&gt;"",EDATE($D103,Milestones!$AA$118)&gt;=$S103),$V103,$U103)))=Milestones!$AB$118),UPPER(TEXT(EDATE($D103,Milestones!$AA$118),"dd mmm yy"))&amp;" "&amp;Milestones!$AB$118&amp;" "&amp;Milestones!$AC$118&amp;";  ","")&amp;IF(AND(EDATE($D103,Milestones!$AA$119)&lt;=AsOfDate,IF($R103=0,$X103,IF(AND($T103&lt;&gt;"",EDATE($D103,Milestones!$AA$119)&gt;=$T103),$W103,IF(AND($S103&lt;&gt;"",EDATE($D103,Milestones!$AA$119)&gt;=$S103),$V103,$U103)))=Milestones!$AB$119),UPPER(TEXT(EDATE($D103,Milestones!$AA$119),"dd mmm yy"))&amp;" "&amp;Milestones!$AB$119&amp;" "&amp;Milestones!$AC$119&amp;";  ",""))</f>
        <v/>
      </c>
      <c r="N103" s="0" t="str">
        <f aca="false">IF(OR($A103="",$D103=""),"",IF(AND(EDATE($D103,Milestones!$AA$120)&lt;=AsOfDate,IF($R103=0,$X103,IF(AND($T103&lt;&gt;"",EDATE($D103,Milestones!$AA$120)&gt;=$T103),$W103,IF(AND($S103&lt;&gt;"",EDATE($D103,Milestones!$AA$120)&gt;=$S103),$V103,$U103)))=Milestones!$AB$120),UPPER(TEXT(EDATE($D103,Milestones!$AA$120),"dd mmm yy"))&amp;" "&amp;Milestones!$AB$120&amp;" "&amp;Milestones!$AC$120&amp;";  ","")&amp;IF(AND(EDATE($D103,Milestones!$AA$121)&lt;=AsOfDate,IF($R103=0,$X103,IF(AND($T103&lt;&gt;"",EDATE($D103,Milestones!$AA$121)&gt;=$T103),$W103,IF(AND($S103&lt;&gt;"",EDATE($D103,Milestones!$AA$121)&gt;=$S103),$V103,$U103)))=Milestones!$AB$121),UPPER(TEXT(EDATE($D103,Milestones!$AA$121),"dd mmm yy"))&amp;" "&amp;Milestones!$AB$121&amp;" "&amp;Milestones!$AC$121&amp;";  ","")&amp;IF(AND(EDATE($D103,Milestones!$AA$122)&lt;=AsOfDate,IF($R103=0,$X103,IF(AND($T103&lt;&gt;"",EDATE($D103,Milestones!$AA$122)&gt;=$T103),$W103,IF(AND($S103&lt;&gt;"",EDATE($D103,Milestones!$AA$122)&gt;=$S103),$V103,$U103)))=Milestones!$AB$122),UPPER(TEXT(EDATE($D103,Milestones!$AA$122),"dd mmm yy"))&amp;" "&amp;Milestones!$AB$122&amp;" "&amp;Milestones!$AC$122&amp;";  ","")&amp;IF(AND(EDATE($D103,Milestones!$AA$123)&lt;=AsOfDate,IF($R103=0,$X103,IF(AND($T103&lt;&gt;"",EDATE($D103,Milestones!$AA$123)&gt;=$T103),$W103,IF(AND($S103&lt;&gt;"",EDATE($D103,Milestones!$AA$123)&gt;=$S103),$V103,$U103)))=Milestones!$AB$123),UPPER(TEXT(EDATE($D103,Milestones!$AA$123),"dd mmm yy"))&amp;" "&amp;Milestones!$AB$123&amp;" "&amp;Milestones!$AC$123&amp;";  ","")&amp;IF(AND(EDATE($D103,Milestones!$AA$124)&lt;=AsOfDate,IF($R103=0,$X103,IF(AND($T103&lt;&gt;"",EDATE($D103,Milestones!$AA$124)&gt;=$T103),$W103,IF(AND($S103&lt;&gt;"",EDATE($D103,Milestones!$AA$124)&gt;=$S103),$V103,$U103)))=Milestones!$AB$124),UPPER(TEXT(EDATE($D103,Milestones!$AA$124),"dd mmm yy"))&amp;" "&amp;Milestones!$AB$124&amp;" "&amp;Milestones!$AC$124&amp;";  ","")&amp;IF(AND(EDATE($D103,Milestones!$AA$125)&lt;=AsOfDate,IF($R103=0,$X103,IF(AND($T103&lt;&gt;"",EDATE($D103,Milestones!$AA$125)&gt;=$T103),$W103,IF(AND($S103&lt;&gt;"",EDATE($D103,Milestones!$AA$125)&gt;=$S103),$V103,$U103)))=Milestones!$AB$125),UPPER(TEXT(EDATE($D103,Milestones!$AA$125),"dd mmm yy"))&amp;" "&amp;Milestones!$AB$125&amp;" "&amp;Milestones!$AC$125&amp;";  ","")&amp;IF(AND(EDATE($D103,Milestones!$AA$126)&lt;=AsOfDate,IF($R103=0,$X103,IF(AND($T103&lt;&gt;"",EDATE($D103,Milestones!$AA$126)&gt;=$T103),$W103,IF(AND($S103&lt;&gt;"",EDATE($D103,Milestones!$AA$126)&gt;=$S103),$V103,$U103)))=Milestones!$AB$126),UPPER(TEXT(EDATE($D103,Milestones!$AA$126),"dd mmm yy"))&amp;" "&amp;Milestones!$AB$126&amp;" "&amp;Milestones!$AC$126&amp;";  ","")&amp;IF(AND(EDATE($D103,Milestones!$AA$127)&lt;=AsOfDate,IF($R103=0,$X103,IF(AND($T103&lt;&gt;"",EDATE($D103,Milestones!$AA$127)&gt;=$T103),$W103,IF(AND($S103&lt;&gt;"",EDATE($D103,Milestones!$AA$127)&gt;=$S103),$V103,$U103)))=Milestones!$AB$127),UPPER(TEXT(EDATE($D103,Milestones!$AA$127),"dd mmm yy"))&amp;" "&amp;Milestones!$AB$127&amp;" "&amp;Milestones!$AC$127&amp;";  ","")&amp;IF(AND(EDATE($D103,Milestones!$AA$128)&lt;=AsOfDate,IF($R103=0,$X103,IF(AND($T103&lt;&gt;"",EDATE($D103,Milestones!$AA$128)&gt;=$T103),$W103,IF(AND($S103&lt;&gt;"",EDATE($D103,Milestones!$AA$128)&gt;=$S103),$V103,$U103)))=Milestones!$AB$128),UPPER(TEXT(EDATE($D103,Milestones!$AA$128),"dd mmm yy"))&amp;" "&amp;Milestones!$AB$128&amp;" "&amp;Milestones!$AC$128&amp;";  ","")&amp;IF(AND(EDATE($D103,Milestones!$AA$129)&lt;=AsOfDate,IF($R103=0,$X103,IF(AND($T103&lt;&gt;"",EDATE($D103,Milestones!$AA$129)&gt;=$T103),$W103,IF(AND($S103&lt;&gt;"",EDATE($D103,Milestones!$AA$129)&gt;=$S103),$V103,$U103)))=Milestones!$AB$129),UPPER(TEXT(EDATE($D103,Milestones!$AA$129),"dd mmm yy"))&amp;" "&amp;Milestones!$AB$129&amp;" "&amp;Milestones!$AC$129&amp;";  ","")&amp;IF(AND(EDATE($D103,Milestones!$AA$130)&lt;=AsOfDate,IF($R103=0,$X103,IF(AND($T103&lt;&gt;"",EDATE($D103,Milestones!$AA$130)&gt;=$T103),$W103,IF(AND($S103&lt;&gt;"",EDATE($D103,Milestones!$AA$130)&gt;=$S103),$V103,$U103)))=Milestones!$AB$130),UPPER(TEXT(EDATE($D103,Milestones!$AA$130),"dd mmm yy"))&amp;" "&amp;Milestones!$AB$130&amp;" "&amp;Milestones!$AC$130&amp;";  ","")&amp;IF(AND(EDATE($D103,Milestones!$AA$131)&lt;=AsOfDate,IF($R103=0,$X103,IF(AND($T103&lt;&gt;"",EDATE($D103,Milestones!$AA$131)&gt;=$T103),$W103,IF(AND($S103&lt;&gt;"",EDATE($D103,Milestones!$AA$131)&gt;=$S103),$V103,$U103)))=Milestones!$AB$131),UPPER(TEXT(EDATE($D103,Milestones!$AA$131),"dd mmm yy"))&amp;" "&amp;Milestones!$AB$131&amp;" "&amp;Milestones!$AC$131&amp;";  ","")&amp;IF(AND(EDATE($D103,Milestones!$AA$132)&lt;=AsOfDate,IF($R103=0,$X103,IF(AND($T103&lt;&gt;"",EDATE($D103,Milestones!$AA$132)&gt;=$T103),$W103,IF(AND($S103&lt;&gt;"",EDATE($D103,Milestones!$AA$132)&gt;=$S103),$V103,$U103)))=Milestones!$AB$132),UPPER(TEXT(EDATE($D103,Milestones!$AA$132),"dd mmm yy"))&amp;" "&amp;Milestones!$AB$132&amp;" "&amp;Milestones!$AC$132&amp;";  ","")&amp;IF(AND(EDATE($D103,Milestones!$AA$133)&lt;=AsOfDate,IF($R103=0,$X103,IF(AND($T103&lt;&gt;"",EDATE($D103,Milestones!$AA$133)&gt;=$T103),$W103,IF(AND($S103&lt;&gt;"",EDATE($D103,Milestones!$AA$133)&gt;=$S103),$V103,$U103)))=Milestones!$AB$133),UPPER(TEXT(EDATE($D103,Milestones!$AA$133),"dd mmm yy"))&amp;" "&amp;Milestones!$AB$133&amp;" "&amp;Milestones!$AC$133&amp;";  ","")&amp;IF(AND(EDATE($D103,Milestones!$AA$134)&lt;=AsOfDate,IF($R103=0,$X103,IF(AND($T103&lt;&gt;"",EDATE($D103,Milestones!$AA$134)&gt;=$T103),$W103,IF(AND($S103&lt;&gt;"",EDATE($D103,Milestones!$AA$134)&gt;=$S103),$V103,$U103)))=Milestones!$AB$134),UPPER(TEXT(EDATE($D103,Milestones!$AA$134),"dd mmm yy"))&amp;" "&amp;Milestones!$AB$134&amp;" "&amp;Milestones!$AC$134&amp;";  ","")&amp;IF(AND(EDATE($D103,Milestones!$AA$135)&lt;=AsOfDate,IF($R103=0,$X103,IF(AND($T103&lt;&gt;"",EDATE($D103,Milestones!$AA$135)&gt;=$T103),$W103,IF(AND($S103&lt;&gt;"",EDATE($D103,Milestones!$AA$135)&gt;=$S103),$V103,$U103)))=Milestones!$AB$135),UPPER(TEXT(EDATE($D103,Milestones!$AA$135),"dd mmm yy"))&amp;" "&amp;Milestones!$AB$135&amp;" "&amp;Milestones!$AC$135&amp;";  ","")&amp;IF(AND(EDATE($D103,Milestones!$AA$136)&lt;=AsOfDate,IF($R103=0,$X103,IF(AND($T103&lt;&gt;"",EDATE($D103,Milestones!$AA$136)&gt;=$T103),$W103,IF(AND($S103&lt;&gt;"",EDATE($D103,Milestones!$AA$136)&gt;=$S103),$V103,$U103)))=Milestones!$AB$136),UPPER(TEXT(EDATE($D103,Milestones!$AA$136),"dd mmm yy"))&amp;" "&amp;Milestones!$AB$136&amp;" "&amp;Milestones!$AC$136&amp;";  ","")&amp;IF(AND(EDATE($D103,Milestones!$AA$137)&lt;=AsOfDate,IF($R103=0,$X103,IF(AND($T103&lt;&gt;"",EDATE($D103,Milestones!$AA$137)&gt;=$T103),$W103,IF(AND($S103&lt;&gt;"",EDATE($D103,Milestones!$AA$137)&gt;=$S103),$V103,$U103)))=Milestones!$AB$137),UPPER(TEXT(EDATE($D103,Milestones!$AA$137),"dd mmm yy"))&amp;" "&amp;Milestones!$AB$137&amp;" "&amp;Milestones!$AC$137&amp;";  ","")&amp;IF(AND(EDATE($D103,Milestones!$AA$138)&lt;=AsOfDate,IF($R103=0,$X103,IF(AND($T103&lt;&gt;"",EDATE($D103,Milestones!$AA$138)&gt;=$T103),$W103,IF(AND($S103&lt;&gt;"",EDATE($D103,Milestones!$AA$138)&gt;=$S103),$V103,$U103)))=Milestones!$AB$138),UPPER(TEXT(EDATE($D103,Milestones!$AA$138),"dd mmm yy"))&amp;" "&amp;Milestones!$AB$138&amp;" "&amp;Milestones!$AC$138&amp;";  ","")&amp;IF(AND(EDATE($D103,Milestones!$AA$139)&lt;=AsOfDate,IF($R103=0,$X103,IF(AND($T103&lt;&gt;"",EDATE($D103,Milestones!$AA$139)&gt;=$T103),$W103,IF(AND($S103&lt;&gt;"",EDATE($D103,Milestones!$AA$139)&gt;=$S103),$V103,$U103)))=Milestones!$AB$139),UPPER(TEXT(EDATE($D103,Milestones!$AA$139),"dd mmm yy"))&amp;" "&amp;Milestones!$AB$139&amp;" "&amp;Milestones!$AC$139&amp;";  ",""))</f>
        <v/>
      </c>
      <c r="O103" s="0" t="str">
        <f aca="false">IF(OR($A103="",$D103=""),"",IF(AND(EDATE($D103,Milestones!$AA$140)&lt;=AsOfDate,IF($R103=0,$X103,IF(AND($T103&lt;&gt;"",EDATE($D103,Milestones!$AA$140)&gt;=$T103),$W103,IF(AND($S103&lt;&gt;"",EDATE($D103,Milestones!$AA$140)&gt;=$S103),$V103,$U103)))=Milestones!$AB$140),UPPER(TEXT(EDATE($D103,Milestones!$AA$140),"dd mmm yy"))&amp;" "&amp;Milestones!$AB$140&amp;" "&amp;Milestones!$AC$140&amp;";  ","")&amp;IF(AND(EDATE($D103,Milestones!$AA$141)&lt;=AsOfDate,IF($R103=0,$X103,IF(AND($T103&lt;&gt;"",EDATE($D103,Milestones!$AA$141)&gt;=$T103),$W103,IF(AND($S103&lt;&gt;"",EDATE($D103,Milestones!$AA$141)&gt;=$S103),$V103,$U103)))=Milestones!$AB$141),UPPER(TEXT(EDATE($D103,Milestones!$AA$141),"dd mmm yy"))&amp;" "&amp;Milestones!$AB$141&amp;" "&amp;Milestones!$AC$141&amp;";  ","")&amp;IF(AND(EDATE($D103,Milestones!$AA$142)&lt;=AsOfDate,IF($R103=0,$X103,IF(AND($T103&lt;&gt;"",EDATE($D103,Milestones!$AA$142)&gt;=$T103),$W103,IF(AND($S103&lt;&gt;"",EDATE($D103,Milestones!$AA$142)&gt;=$S103),$V103,$U103)))=Milestones!$AB$142),UPPER(TEXT(EDATE($D103,Milestones!$AA$142),"dd mmm yy"))&amp;" "&amp;Milestones!$AB$142&amp;" "&amp;Milestones!$AC$142&amp;";  ","")&amp;IF(AND(EDATE($D103,Milestones!$AA$143)&lt;=AsOfDate,IF($R103=0,$X103,IF(AND($T103&lt;&gt;"",EDATE($D103,Milestones!$AA$143)&gt;=$T103),$W103,IF(AND($S103&lt;&gt;"",EDATE($D103,Milestones!$AA$143)&gt;=$S103),$V103,$U103)))=Milestones!$AB$143),UPPER(TEXT(EDATE($D103,Milestones!$AA$143),"dd mmm yy"))&amp;" "&amp;Milestones!$AB$143&amp;" "&amp;Milestones!$AC$143&amp;";  ","")&amp;IF(AND(EDATE($D103,Milestones!$AA$144)&lt;=AsOfDate,IF($R103=0,$X103,IF(AND($T103&lt;&gt;"",EDATE($D103,Milestones!$AA$144)&gt;=$T103),$W103,IF(AND($S103&lt;&gt;"",EDATE($D103,Milestones!$AA$144)&gt;=$S103),$V103,$U103)))=Milestones!$AB$144),UPPER(TEXT(EDATE($D103,Milestones!$AA$144),"dd mmm yy"))&amp;" "&amp;Milestones!$AB$144&amp;" "&amp;Milestones!$AC$144&amp;";  ","")&amp;IF(AND(EDATE($D103,Milestones!$AA$145)&lt;=AsOfDate,IF($R103=0,$X103,IF(AND($T103&lt;&gt;"",EDATE($D103,Milestones!$AA$145)&gt;=$T103),$W103,IF(AND($S103&lt;&gt;"",EDATE($D103,Milestones!$AA$145)&gt;=$S103),$V103,$U103)))=Milestones!$AB$145),UPPER(TEXT(EDATE($D103,Milestones!$AA$145),"dd mmm yy"))&amp;" "&amp;Milestones!$AB$145&amp;" "&amp;Milestones!$AC$145&amp;";  ","")&amp;IF(AND(EDATE($D103,Milestones!$AA$146)&lt;=AsOfDate,IF($R103=0,$X103,IF(AND($T103&lt;&gt;"",EDATE($D103,Milestones!$AA$146)&gt;=$T103),$W103,IF(AND($S103&lt;&gt;"",EDATE($D103,Milestones!$AA$146)&gt;=$S103),$V103,$U103)))=Milestones!$AB$146),UPPER(TEXT(EDATE($D103,Milestones!$AA$146),"dd mmm yy"))&amp;" "&amp;Milestones!$AB$146&amp;" "&amp;Milestones!$AC$146&amp;";  ","")&amp;IF(AND(EDATE($D103,Milestones!$AA$147)&lt;=AsOfDate,IF($R103=0,$X103,IF(AND($T103&lt;&gt;"",EDATE($D103,Milestones!$AA$147)&gt;=$T103),$W103,IF(AND($S103&lt;&gt;"",EDATE($D103,Milestones!$AA$147)&gt;=$S103),$V103,$U103)))=Milestones!$AB$147),UPPER(TEXT(EDATE($D103,Milestones!$AA$147),"dd mmm yy"))&amp;" "&amp;Milestones!$AB$147&amp;" "&amp;Milestones!$AC$147&amp;";  ","")&amp;IF(AND(EDATE($D103,Milestones!$AA$148)&lt;=AsOfDate,IF($R103=0,$X103,IF(AND($T103&lt;&gt;"",EDATE($D103,Milestones!$AA$148)&gt;=$T103),$W103,IF(AND($S103&lt;&gt;"",EDATE($D103,Milestones!$AA$148)&gt;=$S103),$V103,$U103)))=Milestones!$AB$148),UPPER(TEXT(EDATE($D103,Milestones!$AA$148),"dd mmm yy"))&amp;" "&amp;Milestones!$AB$148&amp;" "&amp;Milestones!$AC$148&amp;";  ","")&amp;IF(AND(EDATE($D103,Milestones!$AA$149)&lt;=AsOfDate,IF($R103=0,$X103,IF(AND($T103&lt;&gt;"",EDATE($D103,Milestones!$AA$149)&gt;=$T103),$W103,IF(AND($S103&lt;&gt;"",EDATE($D103,Milestones!$AA$149)&gt;=$S103),$V103,$U103)))=Milestones!$AB$149),UPPER(TEXT(EDATE($D103,Milestones!$AA$149),"dd mmm yy"))&amp;" "&amp;Milestones!$AB$149&amp;" "&amp;Milestones!$AC$149&amp;";  ","")&amp;IF(AND(EDATE($D103,Milestones!$AA$150)&lt;=AsOfDate,IF($R103=0,$X103,IF(AND($T103&lt;&gt;"",EDATE($D103,Milestones!$AA$150)&gt;=$T103),$W103,IF(AND($S103&lt;&gt;"",EDATE($D103,Milestones!$AA$150)&gt;=$S103),$V103,$U103)))=Milestones!$AB$150),UPPER(TEXT(EDATE($D103,Milestones!$AA$150),"dd mmm yy"))&amp;" "&amp;Milestones!$AB$150&amp;" "&amp;Milestones!$AC$150&amp;";  ","")&amp;IF(AND(EDATE($D103,Milestones!$AA$151)&lt;=AsOfDate,IF($R103=0,$X103,IF(AND($T103&lt;&gt;"",EDATE($D103,Milestones!$AA$151)&gt;=$T103),$W103,IF(AND($S103&lt;&gt;"",EDATE($D103,Milestones!$AA$151)&gt;=$S103),$V103,$U103)))=Milestones!$AB$151),UPPER(TEXT(EDATE($D103,Milestones!$AA$151),"dd mmm yy"))&amp;" "&amp;Milestones!$AB$151&amp;" "&amp;Milestones!$AC$151&amp;";  ","")&amp;IF(AND(EDATE($D103,Milestones!$AA$152)&lt;=AsOfDate,IF($R103=0,$X103,IF(AND($T103&lt;&gt;"",EDATE($D103,Milestones!$AA$152)&gt;=$T103),$W103,IF(AND($S103&lt;&gt;"",EDATE($D103,Milestones!$AA$152)&gt;=$S103),$V103,$U103)))=Milestones!$AB$152),UPPER(TEXT(EDATE($D103,Milestones!$AA$152),"dd mmm yy"))&amp;" "&amp;Milestones!$AB$152&amp;" "&amp;Milestones!$AC$152&amp;";  ","")&amp;IF(AND(EDATE($D103,Milestones!$AA$153)&lt;=AsOfDate,IF($R103=0,$X103,IF(AND($T103&lt;&gt;"",EDATE($D103,Milestones!$AA$153)&gt;=$T103),$W103,IF(AND($S103&lt;&gt;"",EDATE($D103,Milestones!$AA$153)&gt;=$S103),$V103,$U103)))=Milestones!$AB$153),UPPER(TEXT(EDATE($D103,Milestones!$AA$153),"dd mmm yy"))&amp;" "&amp;Milestones!$AB$153&amp;" "&amp;Milestones!$AC$153&amp;";  ","")&amp;IF(AND(EDATE($D103,Milestones!$AA$154)&lt;=AsOfDate,IF($R103=0,$X103,IF(AND($T103&lt;&gt;"",EDATE($D103,Milestones!$AA$154)&gt;=$T103),$W103,IF(AND($S103&lt;&gt;"",EDATE($D103,Milestones!$AA$154)&gt;=$S103),$V103,$U103)))=Milestones!$AB$154),UPPER(TEXT(EDATE($D103,Milestones!$AA$154),"dd mmm yy"))&amp;" "&amp;Milestones!$AB$154&amp;" "&amp;Milestones!$AC$154&amp;";  ","")&amp;IF(AND(EDATE($D103,Milestones!$AA$155)&lt;=AsOfDate,IF($R103=0,$X103,IF(AND($T103&lt;&gt;"",EDATE($D103,Milestones!$AA$155)&gt;=$T103),$W103,IF(AND($S103&lt;&gt;"",EDATE($D103,Milestones!$AA$155)&gt;=$S103),$V103,$U103)))=Milestones!$AB$155),UPPER(TEXT(EDATE($D103,Milestones!$AA$155),"dd mmm yy"))&amp;" "&amp;Milestones!$AB$155&amp;" "&amp;Milestones!$AC$155&amp;";  ","")&amp;IF(AND(EDATE($D103,Milestones!$AA$156)&lt;=AsOfDate,IF($R103=0,$X103,IF(AND($T103&lt;&gt;"",EDATE($D103,Milestones!$AA$156)&gt;=$T103),$W103,IF(AND($S103&lt;&gt;"",EDATE($D103,Milestones!$AA$156)&gt;=$S103),$V103,$U103)))=Milestones!$AB$156),UPPER(TEXT(EDATE($D103,Milestones!$AA$156),"dd mmm yy"))&amp;" "&amp;Milestones!$AB$156&amp;" "&amp;Milestones!$AC$156&amp;";  ","")&amp;IF(AND(EDATE($D103,Milestones!$AA$157)&lt;=AsOfDate,IF($R103=0,$X103,IF(AND($T103&lt;&gt;"",EDATE($D103,Milestones!$AA$157)&gt;=$T103),$W103,IF(AND($S103&lt;&gt;"",EDATE($D103,Milestones!$AA$157)&gt;=$S103),$V103,$U103)))=Milestones!$AB$157),UPPER(TEXT(EDATE($D103,Milestones!$AA$157),"dd mmm yy"))&amp;" "&amp;Milestones!$AB$157&amp;" "&amp;Milestones!$AC$157&amp;";  ","")&amp;IF(AND(EDATE($D103,Milestones!$AA$158)&lt;=AsOfDate,IF($R103=0,$X103,IF(AND($T103&lt;&gt;"",EDATE($D103,Milestones!$AA$158)&gt;=$T103),$W103,IF(AND($S103&lt;&gt;"",EDATE($D103,Milestones!$AA$158)&gt;=$S103),$V103,$U103)))=Milestones!$AB$158),UPPER(TEXT(EDATE($D103,Milestones!$AA$158),"dd mmm yy"))&amp;" "&amp;Milestones!$AB$158&amp;" "&amp;Milestones!$AC$158&amp;";  ","")&amp;IF(AND(EDATE($D103,Milestones!$AA$159)&lt;=AsOfDate,IF($R103=0,$X103,IF(AND($T103&lt;&gt;"",EDATE($D103,Milestones!$AA$159)&gt;=$T103),$W103,IF(AND($S103&lt;&gt;"",EDATE($D103,Milestones!$AA$159)&gt;=$S103),$V103,$U103)))=Milestones!$AB$159),UPPER(TEXT(EDATE($D103,Milestones!$AA$159),"dd mmm yy"))&amp;" "&amp;Milestones!$AB$159&amp;" "&amp;Milestones!$AC$159&amp;";  ",""))</f>
        <v/>
      </c>
      <c r="P103" s="0" t="str">
        <f aca="false">IF(OR($A103="",$D103=""),"",IF(AND(EDATE($D103,Milestones!$AA$160)&lt;=AsOfDate,IF($R103=0,$X103,IF(AND($T103&lt;&gt;"",EDATE($D103,Milestones!$AA$160)&gt;=$T103),$W103,IF(AND($S103&lt;&gt;"",EDATE($D103,Milestones!$AA$160)&gt;=$S103),$V103,$U103)))=Milestones!$AB$160),UPPER(TEXT(EDATE($D103,Milestones!$AA$160),"dd mmm yy"))&amp;" "&amp;Milestones!$AB$160&amp;" "&amp;Milestones!$AC$160&amp;";  ","")&amp;IF(AND(EDATE($D103,Milestones!$AA$161)&lt;=AsOfDate,IF($R103=0,$X103,IF(AND($T103&lt;&gt;"",EDATE($D103,Milestones!$AA$161)&gt;=$T103),$W103,IF(AND($S103&lt;&gt;"",EDATE($D103,Milestones!$AA$161)&gt;=$S103),$V103,$U103)))=Milestones!$AB$161),UPPER(TEXT(EDATE($D103,Milestones!$AA$161),"dd mmm yy"))&amp;" "&amp;Milestones!$AB$161&amp;" "&amp;Milestones!$AC$161&amp;";  ","")&amp;IF(AND(EDATE($D103,Milestones!$AA$162)&lt;=AsOfDate,IF($R103=0,$X103,IF(AND($T103&lt;&gt;"",EDATE($D103,Milestones!$AA$162)&gt;=$T103),$W103,IF(AND($S103&lt;&gt;"",EDATE($D103,Milestones!$AA$162)&gt;=$S103),$V103,$U103)))=Milestones!$AB$162),UPPER(TEXT(EDATE($D103,Milestones!$AA$162),"dd mmm yy"))&amp;" "&amp;Milestones!$AB$162&amp;" "&amp;Milestones!$AC$162&amp;";  ","")&amp;IF(AND(EDATE($D103,Milestones!$AA$163)&lt;=AsOfDate,IF($R103=0,$X103,IF(AND($T103&lt;&gt;"",EDATE($D103,Milestones!$AA$163)&gt;=$T103),$W103,IF(AND($S103&lt;&gt;"",EDATE($D103,Milestones!$AA$163)&gt;=$S103),$V103,$U103)))=Milestones!$AB$163),UPPER(TEXT(EDATE($D103,Milestones!$AA$163),"dd mmm yy"))&amp;" "&amp;Milestones!$AB$163&amp;" "&amp;Milestones!$AC$163&amp;";  ","")&amp;IF(AND(EDATE($D103,Milestones!$AA$164)&lt;=AsOfDate,IF($R103=0,$X103,IF(AND($T103&lt;&gt;"",EDATE($D103,Milestones!$AA$164)&gt;=$T103),$W103,IF(AND($S103&lt;&gt;"",EDATE($D103,Milestones!$AA$164)&gt;=$S103),$V103,$U103)))=Milestones!$AB$164),UPPER(TEXT(EDATE($D103,Milestones!$AA$164),"dd mmm yy"))&amp;" "&amp;Milestones!$AB$164&amp;" "&amp;Milestones!$AC$164&amp;";  ","")&amp;IF(AND(EDATE($D103,Milestones!$AA$165)&lt;=AsOfDate,IF($R103=0,$X103,IF(AND($T103&lt;&gt;"",EDATE($D103,Milestones!$AA$165)&gt;=$T103),$W103,IF(AND($S103&lt;&gt;"",EDATE($D103,Milestones!$AA$165)&gt;=$S103),$V103,$U103)))=Milestones!$AB$165),UPPER(TEXT(EDATE($D103,Milestones!$AA$165),"dd mmm yy"))&amp;" "&amp;Milestones!$AB$165&amp;" "&amp;Milestones!$AC$165&amp;";  ","")&amp;IF(AND(EDATE($D103,Milestones!$AA$166)&lt;=AsOfDate,IF($R103=0,$X103,IF(AND($T103&lt;&gt;"",EDATE($D103,Milestones!$AA$166)&gt;=$T103),$W103,IF(AND($S103&lt;&gt;"",EDATE($D103,Milestones!$AA$166)&gt;=$S103),$V103,$U103)))=Milestones!$AB$166),UPPER(TEXT(EDATE($D103,Milestones!$AA$166),"dd mmm yy"))&amp;" "&amp;Milestones!$AB$166&amp;" "&amp;Milestones!$AC$166&amp;";  ","")&amp;IF(AND(EDATE($D103,Milestones!$AA$167)&lt;=AsOfDate,IF($R103=0,$X103,IF(AND($T103&lt;&gt;"",EDATE($D103,Milestones!$AA$167)&gt;=$T103),$W103,IF(AND($S103&lt;&gt;"",EDATE($D103,Milestones!$AA$167)&gt;=$S103),$V103,$U103)))=Milestones!$AB$167),UPPER(TEXT(EDATE($D103,Milestones!$AA$167),"dd mmm yy"))&amp;" "&amp;Milestones!$AB$167&amp;" "&amp;Milestones!$AC$167&amp;";  ","")&amp;IF(AND(EDATE($D103,Milestones!$AA$168)&lt;=AsOfDate,IF($R103=0,$X103,IF(AND($T103&lt;&gt;"",EDATE($D103,Milestones!$AA$168)&gt;=$T103),$W103,IF(AND($S103&lt;&gt;"",EDATE($D103,Milestones!$AA$168)&gt;=$S103),$V103,$U103)))=Milestones!$AB$168),UPPER(TEXT(EDATE($D103,Milestones!$AA$168),"dd mmm yy"))&amp;" "&amp;Milestones!$AB$168&amp;" "&amp;Milestones!$AC$168&amp;";  ","")&amp;IF(AND(EDATE($D103,Milestones!$AA$169)&lt;=AsOfDate,IF($R103=0,$X103,IF(AND($T103&lt;&gt;"",EDATE($D103,Milestones!$AA$169)&gt;=$T103),$W103,IF(AND($S103&lt;&gt;"",EDATE($D103,Milestones!$AA$169)&gt;=$S103),$V103,$U103)))=Milestones!$AB$169),UPPER(TEXT(EDATE($D103,Milestones!$AA$169),"dd mmm yy"))&amp;" "&amp;Milestones!$AB$169&amp;" "&amp;Milestones!$AC$169&amp;";  ","")&amp;IF(AND(EDATE($D103,Milestones!$AA$170)&lt;=AsOfDate,IF($R103=0,$X103,IF(AND($T103&lt;&gt;"",EDATE($D103,Milestones!$AA$170)&gt;=$T103),$W103,IF(AND($S103&lt;&gt;"",EDATE($D103,Milestones!$AA$170)&gt;=$S103),$V103,$U103)))=Milestones!$AB$170),UPPER(TEXT(EDATE($D103,Milestones!$AA$170),"dd mmm yy"))&amp;" "&amp;Milestones!$AB$170&amp;" "&amp;Milestones!$AC$170&amp;";  ","")&amp;IF(AND(EDATE($D103,Milestones!$AA$171)&lt;=AsOfDate,IF($R103=0,$X103,IF(AND($T103&lt;&gt;"",EDATE($D103,Milestones!$AA$171)&gt;=$T103),$W103,IF(AND($S103&lt;&gt;"",EDATE($D103,Milestones!$AA$171)&gt;=$S103),$V103,$U103)))=Milestones!$AB$171),UPPER(TEXT(EDATE($D103,Milestones!$AA$171),"dd mmm yy"))&amp;" "&amp;Milestones!$AB$171&amp;" "&amp;Milestones!$AC$171&amp;";  ","")&amp;IF(AND(EDATE($D103,Milestones!$AA$172)&lt;=AsOfDate,IF($R103=0,$X103,IF(AND($T103&lt;&gt;"",EDATE($D103,Milestones!$AA$172)&gt;=$T103),$W103,IF(AND($S103&lt;&gt;"",EDATE($D103,Milestones!$AA$172)&gt;=$S103),$V103,$U103)))=Milestones!$AB$172),UPPER(TEXT(EDATE($D103,Milestones!$AA$172),"dd mmm yy"))&amp;" "&amp;Milestones!$AB$172&amp;" "&amp;Milestones!$AC$172&amp;";  ","")&amp;IF(AND(EDATE($D103,Milestones!$AA$173)&lt;=AsOfDate,IF($R103=0,$X103,IF(AND($T103&lt;&gt;"",EDATE($D103,Milestones!$AA$173)&gt;=$T103),$W103,IF(AND($S103&lt;&gt;"",EDATE($D103,Milestones!$AA$173)&gt;=$S103),$V103,$U103)))=Milestones!$AB$173),UPPER(TEXT(EDATE($D103,Milestones!$AA$173),"dd mmm yy"))&amp;" "&amp;Milestones!$AB$173&amp;" "&amp;Milestones!$AC$173&amp;";  ","")&amp;IF(AND(EDATE($D103,Milestones!$AA$174)&lt;=AsOfDate,IF($R103=0,$X103,IF(AND($T103&lt;&gt;"",EDATE($D103,Milestones!$AA$174)&gt;=$T103),$W103,IF(AND($S103&lt;&gt;"",EDATE($D103,Milestones!$AA$174)&gt;=$S103),$V103,$U103)))=Milestones!$AB$174),UPPER(TEXT(EDATE($D103,Milestones!$AA$174),"dd mmm yy"))&amp;" "&amp;Milestones!$AB$174&amp;" "&amp;Milestones!$AC$174&amp;";  ","")&amp;IF(AND(EDATE($D103,Milestones!$AA$175)&lt;=AsOfDate,IF($R103=0,$X103,IF(AND($T103&lt;&gt;"",EDATE($D103,Milestones!$AA$175)&gt;=$T103),$W103,IF(AND($S103&lt;&gt;"",EDATE($D103,Milestones!$AA$175)&gt;=$S103),$V103,$U103)))=Milestones!$AB$175),UPPER(TEXT(EDATE($D103,Milestones!$AA$175),"dd mmm yy"))&amp;" "&amp;Milestones!$AB$175&amp;" "&amp;Milestones!$AC$175&amp;";  ","")&amp;IF(AND(EDATE($D103,Milestones!$AA$176)&lt;=AsOfDate,IF($R103=0,$X103,IF(AND($T103&lt;&gt;"",EDATE($D103,Milestones!$AA$176)&gt;=$T103),$W103,IF(AND($S103&lt;&gt;"",EDATE($D103,Milestones!$AA$176)&gt;=$S103),$V103,$U103)))=Milestones!$AB$176),UPPER(TEXT(EDATE($D103,Milestones!$AA$176),"dd mmm yy"))&amp;" "&amp;Milestones!$AB$176&amp;" "&amp;Milestones!$AC$176&amp;";  ","")&amp;IF(AND(EDATE($D103,Milestones!$AA$177)&lt;=AsOfDate,IF($R103=0,$X103,IF(AND($T103&lt;&gt;"",EDATE($D103,Milestones!$AA$177)&gt;=$T103),$W103,IF(AND($S103&lt;&gt;"",EDATE($D103,Milestones!$AA$177)&gt;=$S103),$V103,$U103)))=Milestones!$AB$177),UPPER(TEXT(EDATE($D103,Milestones!$AA$177),"dd mmm yy"))&amp;" "&amp;Milestones!$AB$177&amp;" "&amp;Milestones!$AC$177&amp;";  ","")&amp;IF(AND(EDATE($D103,Milestones!$AA$178)&lt;=AsOfDate,IF($R103=0,$X103,IF(AND($T103&lt;&gt;"",EDATE($D103,Milestones!$AA$178)&gt;=$T103),$W103,IF(AND($S103&lt;&gt;"",EDATE($D103,Milestones!$AA$178)&gt;=$S103),$V103,$U103)))=Milestones!$AB$178),UPPER(TEXT(EDATE($D103,Milestones!$AA$178),"dd mmm yy"))&amp;" "&amp;Milestones!$AB$178&amp;" "&amp;Milestones!$AC$178&amp;";  ","")&amp;IF(AND(EDATE($D103,Milestones!$AA$179)&lt;=AsOfDate,IF($R103=0,$X103,IF(AND($T103&lt;&gt;"",EDATE($D103,Milestones!$AA$179)&gt;=$T103),$W103,IF(AND($S103&lt;&gt;"",EDATE($D103,Milestones!$AA$179)&gt;=$S103),$V103,$U103)))=Milestones!$AB$179),UPPER(TEXT(EDATE($D103,Milestones!$AA$179),"dd mmm yy"))&amp;" "&amp;Milestones!$AB$179&amp;" "&amp;Milestones!$AC$179&amp;";  ",""))</f>
        <v/>
      </c>
      <c r="Q103" s="0" t="str">
        <f aca="false">IF(OR($A103="",$D103=""),"",IF(AND(EDATE($D103,Milestones!$AA$180)&lt;=AsOfDate,IF($R103=0,$X103,IF(AND($T103&lt;&gt;"",EDATE($D103,Milestones!$AA$180)&gt;=$T103),$W103,IF(AND($S103&lt;&gt;"",EDATE($D103,Milestones!$AA$180)&gt;=$S103),$V103,$U103)))=Milestones!$AB$180),UPPER(TEXT(EDATE($D103,Milestones!$AA$180),"dd mmm yy"))&amp;" "&amp;Milestones!$AB$180&amp;" "&amp;Milestones!$AC$180&amp;";  ","")&amp;IF(AND(EDATE($D103,Milestones!$AA$181)&lt;=AsOfDate,IF($R103=0,$X103,IF(AND($T103&lt;&gt;"",EDATE($D103,Milestones!$AA$181)&gt;=$T103),$W103,IF(AND($S103&lt;&gt;"",EDATE($D103,Milestones!$AA$181)&gt;=$S103),$V103,$U103)))=Milestones!$AB$181),UPPER(TEXT(EDATE($D103,Milestones!$AA$181),"dd mmm yy"))&amp;" "&amp;Milestones!$AB$181&amp;" "&amp;Milestones!$AC$181&amp;";  ","")&amp;IF(AND(EDATE($D103,Milestones!$AA$182)&lt;=AsOfDate,IF($R103=0,$X103,IF(AND($T103&lt;&gt;"",EDATE($D103,Milestones!$AA$182)&gt;=$T103),$W103,IF(AND($S103&lt;&gt;"",EDATE($D103,Milestones!$AA$182)&gt;=$S103),$V103,$U103)))=Milestones!$AB$182),UPPER(TEXT(EDATE($D103,Milestones!$AA$182),"dd mmm yy"))&amp;" "&amp;Milestones!$AB$182&amp;" "&amp;Milestones!$AC$182&amp;";  ","")&amp;IF(AND(EDATE($D103,Milestones!$AA$183)&lt;=AsOfDate,IF($R103=0,$X103,IF(AND($T103&lt;&gt;"",EDATE($D103,Milestones!$AA$183)&gt;=$T103),$W103,IF(AND($S103&lt;&gt;"",EDATE($D103,Milestones!$AA$183)&gt;=$S103),$V103,$U103)))=Milestones!$AB$183),UPPER(TEXT(EDATE($D103,Milestones!$AA$183),"dd mmm yy"))&amp;" "&amp;Milestones!$AB$183&amp;" "&amp;Milestones!$AC$183&amp;";  ","")&amp;IF(AND(EDATE($D103,Milestones!$AA$184)&lt;=AsOfDate,IF($R103=0,$X103,IF(AND($T103&lt;&gt;"",EDATE($D103,Milestones!$AA$184)&gt;=$T103),$W103,IF(AND($S103&lt;&gt;"",EDATE($D103,Milestones!$AA$184)&gt;=$S103),$V103,$U103)))=Milestones!$AB$184),UPPER(TEXT(EDATE($D103,Milestones!$AA$184),"dd mmm yy"))&amp;" "&amp;Milestones!$AB$184&amp;" "&amp;Milestones!$AC$184&amp;";  ","")&amp;IF(AND(EDATE($D103,Milestones!$AA$185)&lt;=AsOfDate,IF($R103=0,$X103,IF(AND($T103&lt;&gt;"",EDATE($D103,Milestones!$AA$185)&gt;=$T103),$W103,IF(AND($S103&lt;&gt;"",EDATE($D103,Milestones!$AA$185)&gt;=$S103),$V103,$U103)))=Milestones!$AB$185),UPPER(TEXT(EDATE($D103,Milestones!$AA$185),"dd mmm yy"))&amp;" "&amp;Milestones!$AB$185&amp;" "&amp;Milestones!$AC$185&amp;";  ","")&amp;IF(AND(EDATE($D103,Milestones!$AA$186)&lt;=AsOfDate,IF($R103=0,$X103,IF(AND($T103&lt;&gt;"",EDATE($D103,Milestones!$AA$186)&gt;=$T103),$W103,IF(AND($S103&lt;&gt;"",EDATE($D103,Milestones!$AA$186)&gt;=$S103),$V103,$U103)))=Milestones!$AB$186),UPPER(TEXT(EDATE($D103,Milestones!$AA$186),"dd mmm yy"))&amp;" "&amp;Milestones!$AB$186&amp;" "&amp;Milestones!$AC$186&amp;";  ","")&amp;IF(AND(EDATE($D103,Milestones!$AA$187)&lt;=AsOfDate,IF($R103=0,$X103,IF(AND($T103&lt;&gt;"",EDATE($D103,Milestones!$AA$187)&gt;=$T103),$W103,IF(AND($S103&lt;&gt;"",EDATE($D103,Milestones!$AA$187)&gt;=$S103),$V103,$U103)))=Milestones!$AB$187),UPPER(TEXT(EDATE($D103,Milestones!$AA$187),"dd mmm yy"))&amp;" "&amp;Milestones!$AB$187&amp;" "&amp;Milestones!$AC$187&amp;";  ","")&amp;IF(AND(EDATE($D103,Milestones!$AA$188)&lt;=AsOfDate,IF($R103=0,$X103,IF(AND($T103&lt;&gt;"",EDATE($D103,Milestones!$AA$188)&gt;=$T103),$W103,IF(AND($S103&lt;&gt;"",EDATE($D103,Milestones!$AA$188)&gt;=$S103),$V103,$U103)))=Milestones!$AB$188),UPPER(TEXT(EDATE($D103,Milestones!$AA$188),"dd mmm yy"))&amp;" "&amp;Milestones!$AB$188&amp;" "&amp;Milestones!$AC$188&amp;";  ","")&amp;IF(AND(EDATE($D103,Milestones!$AA$189)&lt;=AsOfDate,IF($R103=0,$X103,IF(AND($T103&lt;&gt;"",EDATE($D103,Milestones!$AA$189)&gt;=$T103),$W103,IF(AND($S103&lt;&gt;"",EDATE($D103,Milestones!$AA$189)&gt;=$S103),$V103,$U103)))=Milestones!$AB$189),UPPER(TEXT(EDATE($D103,Milestones!$AA$189),"dd mmm yy"))&amp;" "&amp;Milestones!$AB$189&amp;" "&amp;Milestones!$AC$189&amp;";  ","")&amp;IF(AND(EDATE($D103,Milestones!$AA$190)&lt;=AsOfDate,IF($R103=0,$X103,IF(AND($T103&lt;&gt;"",EDATE($D103,Milestones!$AA$190)&gt;=$T103),$W103,IF(AND($S103&lt;&gt;"",EDATE($D103,Milestones!$AA$190)&gt;=$S103),$V103,$U103)))=Milestones!$AB$190),UPPER(TEXT(EDATE($D103,Milestones!$AA$190),"dd mmm yy"))&amp;" "&amp;Milestones!$AB$190&amp;" "&amp;Milestones!$AC$190&amp;";  ","")&amp;IF(AND(EDATE($D103,Milestones!$AA$191)&lt;=AsOfDate,IF($R103=0,$X103,IF(AND($T103&lt;&gt;"",EDATE($D103,Milestones!$AA$191)&gt;=$T103),$W103,IF(AND($S103&lt;&gt;"",EDATE($D103,Milestones!$AA$191)&gt;=$S103),$V103,$U103)))=Milestones!$AB$191),UPPER(TEXT(EDATE($D103,Milestones!$AA$191),"dd mmm yy"))&amp;" "&amp;Milestones!$AB$191&amp;" "&amp;Milestones!$AC$191&amp;";  ","")&amp;IF(AND(EDATE($D103,Milestones!$AA$192)&lt;=AsOfDate,IF($R103=0,$X103,IF(AND($T103&lt;&gt;"",EDATE($D103,Milestones!$AA$192)&gt;=$T103),$W103,IF(AND($S103&lt;&gt;"",EDATE($D103,Milestones!$AA$192)&gt;=$S103),$V103,$U103)))=Milestones!$AB$192),UPPER(TEXT(EDATE($D103,Milestones!$AA$192),"dd mmm yy"))&amp;" "&amp;Milestones!$AB$192&amp;" "&amp;Milestones!$AC$192&amp;";  ","")&amp;IF(AND(EDATE($D103,Milestones!$AA$193)&lt;=AsOfDate,IF($R103=0,$X103,IF(AND($T103&lt;&gt;"",EDATE($D103,Milestones!$AA$193)&gt;=$T103),$W103,IF(AND($S103&lt;&gt;"",EDATE($D103,Milestones!$AA$193)&gt;=$S103),$V103,$U103)))=Milestones!$AB$193),UPPER(TEXT(EDATE($D103,Milestones!$AA$193),"dd mmm yy"))&amp;" "&amp;Milestones!$AB$193&amp;" "&amp;Milestones!$AC$193&amp;";  ","")&amp;IF(AND(EDATE($D103,Milestones!$AA$194)&lt;=AsOfDate,IF($R103=0,$X103,IF(AND($T103&lt;&gt;"",EDATE($D103,Milestones!$AA$194)&gt;=$T103),$W103,IF(AND($S103&lt;&gt;"",EDATE($D103,Milestones!$AA$194)&gt;=$S103),$V103,$U103)))=Milestones!$AB$194),UPPER(TEXT(EDATE($D103,Milestones!$AA$194),"dd mmm yy"))&amp;" "&amp;Milestones!$AB$194&amp;" "&amp;Milestones!$AC$194&amp;";  ","")&amp;IF(AND(EDATE($D103,Milestones!$AA$195)&lt;=AsOfDate,IF($R103=0,$X103,IF(AND($T103&lt;&gt;"",EDATE($D103,Milestones!$AA$195)&gt;=$T103),$W103,IF(AND($S103&lt;&gt;"",EDATE($D103,Milestones!$AA$195)&gt;=$S103),$V103,$U103)))=Milestones!$AB$195),UPPER(TEXT(EDATE($D103,Milestones!$AA$195),"dd mmm yy"))&amp;" "&amp;Milestones!$AB$195&amp;" "&amp;Milestones!$AC$195&amp;";  ","")&amp;IF(AND(EDATE($D103,Milestones!$AA$196)&lt;=AsOfDate,IF($R103=0,$X103,IF(AND($T103&lt;&gt;"",EDATE($D103,Milestones!$AA$196)&gt;=$T103),$W103,IF(AND($S103&lt;&gt;"",EDATE($D103,Milestones!$AA$196)&gt;=$S103),$V103,$U103)))=Milestones!$AB$196),UPPER(TEXT(EDATE($D103,Milestones!$AA$196),"dd mmm yy"))&amp;" "&amp;Milestones!$AB$196&amp;" "&amp;Milestones!$AC$196&amp;";  ","")&amp;IF(AND(EDATE($D103,Milestones!$AA$197)&lt;=AsOfDate,IF($R103=0,$X103,IF(AND($T103&lt;&gt;"",EDATE($D103,Milestones!$AA$197)&gt;=$T103),$W103,IF(AND($S103&lt;&gt;"",EDATE($D103,Milestones!$AA$197)&gt;=$S103),$V103,$U103)))=Milestones!$AB$197),UPPER(TEXT(EDATE($D103,Milestones!$AA$197),"dd mmm yy"))&amp;" "&amp;Milestones!$AB$197&amp;" "&amp;Milestones!$AC$197&amp;";  ","")&amp;IF(AND(EDATE($D103,Milestones!$AA$198)&lt;=AsOfDate,IF($R103=0,$X103,IF(AND($T103&lt;&gt;"",EDATE($D103,Milestones!$AA$198)&gt;=$T103),$W103,IF(AND($S103&lt;&gt;"",EDATE($D103,Milestones!$AA$198)&gt;=$S103),$V103,$U103)))=Milestones!$AB$198),UPPER(TEXT(EDATE($D103,Milestones!$AA$198),"dd mmm yy"))&amp;" "&amp;Milestones!$AB$198&amp;" "&amp;Milestones!$AC$198&amp;";  ","")&amp;IF(AND(EDATE($D103,Milestones!$AA$199)&lt;=AsOfDate,IF($R103=0,$X103,IF(AND($T103&lt;&gt;"",EDATE($D103,Milestones!$AA$199)&gt;=$T103),$W103,IF(AND($S103&lt;&gt;"",EDATE($D103,Milestones!$AA$199)&gt;=$S103),$V103,$U103)))=Milestones!$AB$199),UPPER(TEXT(EDATE($D103,Milestones!$AA$199),"dd mmm yy"))&amp;" "&amp;Milestones!$AB$199&amp;" "&amp;Milestones!$AC$199&amp;";  ",""))</f>
        <v/>
      </c>
      <c r="R103" s="0" t="str">
        <f aca="false">IF(Staff!$A103="","",Staff!$AI103)</f>
        <v/>
      </c>
      <c r="S103" s="0" t="str">
        <f aca="false">IF(Staff!$A103="","",Staff!$AK103)</f>
        <v/>
      </c>
      <c r="T103" s="0" t="str">
        <f aca="false">IF(Staff!$A103="","",Staff!$AL103)</f>
        <v/>
      </c>
      <c r="U103" s="0" t="str">
        <f aca="false">IF(Staff!$A103="","",Staff!$AP103)</f>
        <v/>
      </c>
      <c r="V103" s="0" t="str">
        <f aca="false">IF(Staff!$A103="","",Staff!$AQ103)</f>
        <v/>
      </c>
      <c r="W103" s="0" t="str">
        <f aca="false">IF(Staff!$A103="","",Staff!$AR103)</f>
        <v/>
      </c>
      <c r="X103" s="0" t="str">
        <f aca="false">IF(Staff!$A103="","",Staff!$AS103)</f>
        <v/>
      </c>
    </row>
    <row r="104" customFormat="false" ht="15" hidden="false" customHeight="false" outlineLevel="0" collapsed="false">
      <c r="A104" s="14" t="str">
        <f aca="false">IF(Staff!$A104="","",Staff!$A104)</f>
        <v/>
      </c>
      <c r="B104" s="14" t="str">
        <f aca="false">IF(Staff!$A104="","",Staff!$B104)</f>
        <v/>
      </c>
      <c r="C104" s="14" t="str">
        <f aca="false">IF(Staff!$A104="","",Staff!$C104)</f>
        <v/>
      </c>
      <c r="D104" s="12" t="str">
        <f aca="false">IF(Staff!$A104="","",Staff!$AH104)</f>
        <v/>
      </c>
      <c r="E104" s="14" t="str">
        <f aca="false">IF(Staff!$A104="","",Staff!$O104)</f>
        <v/>
      </c>
      <c r="F104" s="14" t="str">
        <f aca="false">IF(E104="","",E104*HoursPerDay)</f>
        <v/>
      </c>
      <c r="G104" s="14" t="str">
        <f aca="false">IF(Staff!$A104="","",Staff!$AE104)</f>
        <v/>
      </c>
      <c r="H104" s="26" t="str">
        <f aca="false">IF($A104="","",I104&amp;J104&amp;K104&amp;L104&amp;M104&amp;N104&amp;O104&amp;P104&amp;Q104)</f>
        <v/>
      </c>
      <c r="I104" s="0" t="str">
        <f aca="false">IF(OR($A104="",$D104=""),"",IF(AND(EDATE($D104,Milestones!$AA$20)&lt;=AsOfDate,IF($R104=0,$X104,IF(AND($T104&lt;&gt;"",EDATE($D104,Milestones!$AA$20)&gt;=$T104),$W104,IF(AND($S104&lt;&gt;"",EDATE($D104,Milestones!$AA$20)&gt;=$S104),$V104,$U104)))=Milestones!$AB$20),UPPER(TEXT(EDATE($D104,Milestones!$AA$20),"dd mmm yy"))&amp;" "&amp;Milestones!$AB$20&amp;" "&amp;Milestones!$AC$20&amp;";  ","")&amp;IF(AND(EDATE($D104,Milestones!$AA$21)&lt;=AsOfDate,IF($R104=0,$X104,IF(AND($T104&lt;&gt;"",EDATE($D104,Milestones!$AA$21)&gt;=$T104),$W104,IF(AND($S104&lt;&gt;"",EDATE($D104,Milestones!$AA$21)&gt;=$S104),$V104,$U104)))=Milestones!$AB$21),UPPER(TEXT(EDATE($D104,Milestones!$AA$21),"dd mmm yy"))&amp;" "&amp;Milestones!$AB$21&amp;" "&amp;Milestones!$AC$21&amp;";  ","")&amp;IF(AND(EDATE($D104,Milestones!$AA$22)&lt;=AsOfDate,IF($R104=0,$X104,IF(AND($T104&lt;&gt;"",EDATE($D104,Milestones!$AA$22)&gt;=$T104),$W104,IF(AND($S104&lt;&gt;"",EDATE($D104,Milestones!$AA$22)&gt;=$S104),$V104,$U104)))=Milestones!$AB$22),UPPER(TEXT(EDATE($D104,Milestones!$AA$22),"dd mmm yy"))&amp;" "&amp;Milestones!$AB$22&amp;" "&amp;Milestones!$AC$22&amp;";  ","")&amp;IF(AND(EDATE($D104,Milestones!$AA$23)&lt;=AsOfDate,IF($R104=0,$X104,IF(AND($T104&lt;&gt;"",EDATE($D104,Milestones!$AA$23)&gt;=$T104),$W104,IF(AND($S104&lt;&gt;"",EDATE($D104,Milestones!$AA$23)&gt;=$S104),$V104,$U104)))=Milestones!$AB$23),UPPER(TEXT(EDATE($D104,Milestones!$AA$23),"dd mmm yy"))&amp;" "&amp;Milestones!$AB$23&amp;" "&amp;Milestones!$AC$23&amp;";  ","")&amp;IF(AND(EDATE($D104,Milestones!$AA$24)&lt;=AsOfDate,IF($R104=0,$X104,IF(AND($T104&lt;&gt;"",EDATE($D104,Milestones!$AA$24)&gt;=$T104),$W104,IF(AND($S104&lt;&gt;"",EDATE($D104,Milestones!$AA$24)&gt;=$S104),$V104,$U104)))=Milestones!$AB$24),UPPER(TEXT(EDATE($D104,Milestones!$AA$24),"dd mmm yy"))&amp;" "&amp;Milestones!$AB$24&amp;" "&amp;Milestones!$AC$24&amp;";  ","")&amp;IF(AND(EDATE($D104,Milestones!$AA$25)&lt;=AsOfDate,IF($R104=0,$X104,IF(AND($T104&lt;&gt;"",EDATE($D104,Milestones!$AA$25)&gt;=$T104),$W104,IF(AND($S104&lt;&gt;"",EDATE($D104,Milestones!$AA$25)&gt;=$S104),$V104,$U104)))=Milestones!$AB$25),UPPER(TEXT(EDATE($D104,Milestones!$AA$25),"dd mmm yy"))&amp;" "&amp;Milestones!$AB$25&amp;" "&amp;Milestones!$AC$25&amp;";  ","")&amp;IF(AND(EDATE($D104,Milestones!$AA$26)&lt;=AsOfDate,IF($R104=0,$X104,IF(AND($T104&lt;&gt;"",EDATE($D104,Milestones!$AA$26)&gt;=$T104),$W104,IF(AND($S104&lt;&gt;"",EDATE($D104,Milestones!$AA$26)&gt;=$S104),$V104,$U104)))=Milestones!$AB$26),UPPER(TEXT(EDATE($D104,Milestones!$AA$26),"dd mmm yy"))&amp;" "&amp;Milestones!$AB$26&amp;" "&amp;Milestones!$AC$26&amp;";  ","")&amp;IF(AND(EDATE($D104,Milestones!$AA$27)&lt;=AsOfDate,IF($R104=0,$X104,IF(AND($T104&lt;&gt;"",EDATE($D104,Milestones!$AA$27)&gt;=$T104),$W104,IF(AND($S104&lt;&gt;"",EDATE($D104,Milestones!$AA$27)&gt;=$S104),$V104,$U104)))=Milestones!$AB$27),UPPER(TEXT(EDATE($D104,Milestones!$AA$27),"dd mmm yy"))&amp;" "&amp;Milestones!$AB$27&amp;" "&amp;Milestones!$AC$27&amp;";  ","")&amp;IF(AND(EDATE($D104,Milestones!$AA$28)&lt;=AsOfDate,IF($R104=0,$X104,IF(AND($T104&lt;&gt;"",EDATE($D104,Milestones!$AA$28)&gt;=$T104),$W104,IF(AND($S104&lt;&gt;"",EDATE($D104,Milestones!$AA$28)&gt;=$S104),$V104,$U104)))=Milestones!$AB$28),UPPER(TEXT(EDATE($D104,Milestones!$AA$28),"dd mmm yy"))&amp;" "&amp;Milestones!$AB$28&amp;" "&amp;Milestones!$AC$28&amp;";  ","")&amp;IF(AND(EDATE($D104,Milestones!$AA$29)&lt;=AsOfDate,IF($R104=0,$X104,IF(AND($T104&lt;&gt;"",EDATE($D104,Milestones!$AA$29)&gt;=$T104),$W104,IF(AND($S104&lt;&gt;"",EDATE($D104,Milestones!$AA$29)&gt;=$S104),$V104,$U104)))=Milestones!$AB$29),UPPER(TEXT(EDATE($D104,Milestones!$AA$29),"dd mmm yy"))&amp;" "&amp;Milestones!$AB$29&amp;" "&amp;Milestones!$AC$29&amp;";  ","")&amp;IF(AND(EDATE($D104,Milestones!$AA$30)&lt;=AsOfDate,IF($R104=0,$X104,IF(AND($T104&lt;&gt;"",EDATE($D104,Milestones!$AA$30)&gt;=$T104),$W104,IF(AND($S104&lt;&gt;"",EDATE($D104,Milestones!$AA$30)&gt;=$S104),$V104,$U104)))=Milestones!$AB$30),UPPER(TEXT(EDATE($D104,Milestones!$AA$30),"dd mmm yy"))&amp;" "&amp;Milestones!$AB$30&amp;" "&amp;Milestones!$AC$30&amp;";  ","")&amp;IF(AND(EDATE($D104,Milestones!$AA$31)&lt;=AsOfDate,IF($R104=0,$X104,IF(AND($T104&lt;&gt;"",EDATE($D104,Milestones!$AA$31)&gt;=$T104),$W104,IF(AND($S104&lt;&gt;"",EDATE($D104,Milestones!$AA$31)&gt;=$S104),$V104,$U104)))=Milestones!$AB$31),UPPER(TEXT(EDATE($D104,Milestones!$AA$31),"dd mmm yy"))&amp;" "&amp;Milestones!$AB$31&amp;" "&amp;Milestones!$AC$31&amp;";  ","")&amp;IF(AND(EDATE($D104,Milestones!$AA$32)&lt;=AsOfDate,IF($R104=0,$X104,IF(AND($T104&lt;&gt;"",EDATE($D104,Milestones!$AA$32)&gt;=$T104),$W104,IF(AND($S104&lt;&gt;"",EDATE($D104,Milestones!$AA$32)&gt;=$S104),$V104,$U104)))=Milestones!$AB$32),UPPER(TEXT(EDATE($D104,Milestones!$AA$32),"dd mmm yy"))&amp;" "&amp;Milestones!$AB$32&amp;" "&amp;Milestones!$AC$32&amp;";  ","")&amp;IF(AND(EDATE($D104,Milestones!$AA$33)&lt;=AsOfDate,IF($R104=0,$X104,IF(AND($T104&lt;&gt;"",EDATE($D104,Milestones!$AA$33)&gt;=$T104),$W104,IF(AND($S104&lt;&gt;"",EDATE($D104,Milestones!$AA$33)&gt;=$S104),$V104,$U104)))=Milestones!$AB$33),UPPER(TEXT(EDATE($D104,Milestones!$AA$33),"dd mmm yy"))&amp;" "&amp;Milestones!$AB$33&amp;" "&amp;Milestones!$AC$33&amp;";  ","")&amp;IF(AND(EDATE($D104,Milestones!$AA$34)&lt;=AsOfDate,IF($R104=0,$X104,IF(AND($T104&lt;&gt;"",EDATE($D104,Milestones!$AA$34)&gt;=$T104),$W104,IF(AND($S104&lt;&gt;"",EDATE($D104,Milestones!$AA$34)&gt;=$S104),$V104,$U104)))=Milestones!$AB$34),UPPER(TEXT(EDATE($D104,Milestones!$AA$34),"dd mmm yy"))&amp;" "&amp;Milestones!$AB$34&amp;" "&amp;Milestones!$AC$34&amp;";  ","")&amp;IF(AND(EDATE($D104,Milestones!$AA$35)&lt;=AsOfDate,IF($R104=0,$X104,IF(AND($T104&lt;&gt;"",EDATE($D104,Milestones!$AA$35)&gt;=$T104),$W104,IF(AND($S104&lt;&gt;"",EDATE($D104,Milestones!$AA$35)&gt;=$S104),$V104,$U104)))=Milestones!$AB$35),UPPER(TEXT(EDATE($D104,Milestones!$AA$35),"dd mmm yy"))&amp;" "&amp;Milestones!$AB$35&amp;" "&amp;Milestones!$AC$35&amp;";  ","")&amp;IF(AND(EDATE($D104,Milestones!$AA$36)&lt;=AsOfDate,IF($R104=0,$X104,IF(AND($T104&lt;&gt;"",EDATE($D104,Milestones!$AA$36)&gt;=$T104),$W104,IF(AND($S104&lt;&gt;"",EDATE($D104,Milestones!$AA$36)&gt;=$S104),$V104,$U104)))=Milestones!$AB$36),UPPER(TEXT(EDATE($D104,Milestones!$AA$36),"dd mmm yy"))&amp;" "&amp;Milestones!$AB$36&amp;" "&amp;Milestones!$AC$36&amp;";  ","")&amp;IF(AND(EDATE($D104,Milestones!$AA$37)&lt;=AsOfDate,IF($R104=0,$X104,IF(AND($T104&lt;&gt;"",EDATE($D104,Milestones!$AA$37)&gt;=$T104),$W104,IF(AND($S104&lt;&gt;"",EDATE($D104,Milestones!$AA$37)&gt;=$S104),$V104,$U104)))=Milestones!$AB$37),UPPER(TEXT(EDATE($D104,Milestones!$AA$37),"dd mmm yy"))&amp;" "&amp;Milestones!$AB$37&amp;" "&amp;Milestones!$AC$37&amp;";  ","")&amp;IF(AND(EDATE($D104,Milestones!$AA$38)&lt;=AsOfDate,IF($R104=0,$X104,IF(AND($T104&lt;&gt;"",EDATE($D104,Milestones!$AA$38)&gt;=$T104),$W104,IF(AND($S104&lt;&gt;"",EDATE($D104,Milestones!$AA$38)&gt;=$S104),$V104,$U104)))=Milestones!$AB$38),UPPER(TEXT(EDATE($D104,Milestones!$AA$38),"dd mmm yy"))&amp;" "&amp;Milestones!$AB$38&amp;" "&amp;Milestones!$AC$38&amp;";  ","")&amp;IF(AND(EDATE($D104,Milestones!$AA$39)&lt;=AsOfDate,IF($R104=0,$X104,IF(AND($T104&lt;&gt;"",EDATE($D104,Milestones!$AA$39)&gt;=$T104),$W104,IF(AND($S104&lt;&gt;"",EDATE($D104,Milestones!$AA$39)&gt;=$S104),$V104,$U104)))=Milestones!$AB$39),UPPER(TEXT(EDATE($D104,Milestones!$AA$39),"dd mmm yy"))&amp;" "&amp;Milestones!$AB$39&amp;" "&amp;Milestones!$AC$39&amp;";  ",""))</f>
        <v/>
      </c>
      <c r="J104" s="0" t="str">
        <f aca="false">IF(OR($A104="",$D104=""),"",IF(AND(EDATE($D104,Milestones!$AA$40)&lt;=AsOfDate,IF($R104=0,$X104,IF(AND($T104&lt;&gt;"",EDATE($D104,Milestones!$AA$40)&gt;=$T104),$W104,IF(AND($S104&lt;&gt;"",EDATE($D104,Milestones!$AA$40)&gt;=$S104),$V104,$U104)))=Milestones!$AB$40),UPPER(TEXT(EDATE($D104,Milestones!$AA$40),"dd mmm yy"))&amp;" "&amp;Milestones!$AB$40&amp;" "&amp;Milestones!$AC$40&amp;";  ","")&amp;IF(AND(EDATE($D104,Milestones!$AA$41)&lt;=AsOfDate,IF($R104=0,$X104,IF(AND($T104&lt;&gt;"",EDATE($D104,Milestones!$AA$41)&gt;=$T104),$W104,IF(AND($S104&lt;&gt;"",EDATE($D104,Milestones!$AA$41)&gt;=$S104),$V104,$U104)))=Milestones!$AB$41),UPPER(TEXT(EDATE($D104,Milestones!$AA$41),"dd mmm yy"))&amp;" "&amp;Milestones!$AB$41&amp;" "&amp;Milestones!$AC$41&amp;";  ","")&amp;IF(AND(EDATE($D104,Milestones!$AA$42)&lt;=AsOfDate,IF($R104=0,$X104,IF(AND($T104&lt;&gt;"",EDATE($D104,Milestones!$AA$42)&gt;=$T104),$W104,IF(AND($S104&lt;&gt;"",EDATE($D104,Milestones!$AA$42)&gt;=$S104),$V104,$U104)))=Milestones!$AB$42),UPPER(TEXT(EDATE($D104,Milestones!$AA$42),"dd mmm yy"))&amp;" "&amp;Milestones!$AB$42&amp;" "&amp;Milestones!$AC$42&amp;";  ","")&amp;IF(AND(EDATE($D104,Milestones!$AA$43)&lt;=AsOfDate,IF($R104=0,$X104,IF(AND($T104&lt;&gt;"",EDATE($D104,Milestones!$AA$43)&gt;=$T104),$W104,IF(AND($S104&lt;&gt;"",EDATE($D104,Milestones!$AA$43)&gt;=$S104),$V104,$U104)))=Milestones!$AB$43),UPPER(TEXT(EDATE($D104,Milestones!$AA$43),"dd mmm yy"))&amp;" "&amp;Milestones!$AB$43&amp;" "&amp;Milestones!$AC$43&amp;";  ","")&amp;IF(AND(EDATE($D104,Milestones!$AA$44)&lt;=AsOfDate,IF($R104=0,$X104,IF(AND($T104&lt;&gt;"",EDATE($D104,Milestones!$AA$44)&gt;=$T104),$W104,IF(AND($S104&lt;&gt;"",EDATE($D104,Milestones!$AA$44)&gt;=$S104),$V104,$U104)))=Milestones!$AB$44),UPPER(TEXT(EDATE($D104,Milestones!$AA$44),"dd mmm yy"))&amp;" "&amp;Milestones!$AB$44&amp;" "&amp;Milestones!$AC$44&amp;";  ","")&amp;IF(AND(EDATE($D104,Milestones!$AA$45)&lt;=AsOfDate,IF($R104=0,$X104,IF(AND($T104&lt;&gt;"",EDATE($D104,Milestones!$AA$45)&gt;=$T104),$W104,IF(AND($S104&lt;&gt;"",EDATE($D104,Milestones!$AA$45)&gt;=$S104),$V104,$U104)))=Milestones!$AB$45),UPPER(TEXT(EDATE($D104,Milestones!$AA$45),"dd mmm yy"))&amp;" "&amp;Milestones!$AB$45&amp;" "&amp;Milestones!$AC$45&amp;";  ","")&amp;IF(AND(EDATE($D104,Milestones!$AA$46)&lt;=AsOfDate,IF($R104=0,$X104,IF(AND($T104&lt;&gt;"",EDATE($D104,Milestones!$AA$46)&gt;=$T104),$W104,IF(AND($S104&lt;&gt;"",EDATE($D104,Milestones!$AA$46)&gt;=$S104),$V104,$U104)))=Milestones!$AB$46),UPPER(TEXT(EDATE($D104,Milestones!$AA$46),"dd mmm yy"))&amp;" "&amp;Milestones!$AB$46&amp;" "&amp;Milestones!$AC$46&amp;";  ","")&amp;IF(AND(EDATE($D104,Milestones!$AA$47)&lt;=AsOfDate,IF($R104=0,$X104,IF(AND($T104&lt;&gt;"",EDATE($D104,Milestones!$AA$47)&gt;=$T104),$W104,IF(AND($S104&lt;&gt;"",EDATE($D104,Milestones!$AA$47)&gt;=$S104),$V104,$U104)))=Milestones!$AB$47),UPPER(TEXT(EDATE($D104,Milestones!$AA$47),"dd mmm yy"))&amp;" "&amp;Milestones!$AB$47&amp;" "&amp;Milestones!$AC$47&amp;";  ","")&amp;IF(AND(EDATE($D104,Milestones!$AA$48)&lt;=AsOfDate,IF($R104=0,$X104,IF(AND($T104&lt;&gt;"",EDATE($D104,Milestones!$AA$48)&gt;=$T104),$W104,IF(AND($S104&lt;&gt;"",EDATE($D104,Milestones!$AA$48)&gt;=$S104),$V104,$U104)))=Milestones!$AB$48),UPPER(TEXT(EDATE($D104,Milestones!$AA$48),"dd mmm yy"))&amp;" "&amp;Milestones!$AB$48&amp;" "&amp;Milestones!$AC$48&amp;";  ","")&amp;IF(AND(EDATE($D104,Milestones!$AA$49)&lt;=AsOfDate,IF($R104=0,$X104,IF(AND($T104&lt;&gt;"",EDATE($D104,Milestones!$AA$49)&gt;=$T104),$W104,IF(AND($S104&lt;&gt;"",EDATE($D104,Milestones!$AA$49)&gt;=$S104),$V104,$U104)))=Milestones!$AB$49),UPPER(TEXT(EDATE($D104,Milestones!$AA$49),"dd mmm yy"))&amp;" "&amp;Milestones!$AB$49&amp;" "&amp;Milestones!$AC$49&amp;";  ","")&amp;IF(AND(EDATE($D104,Milestones!$AA$50)&lt;=AsOfDate,IF($R104=0,$X104,IF(AND($T104&lt;&gt;"",EDATE($D104,Milestones!$AA$50)&gt;=$T104),$W104,IF(AND($S104&lt;&gt;"",EDATE($D104,Milestones!$AA$50)&gt;=$S104),$V104,$U104)))=Milestones!$AB$50),UPPER(TEXT(EDATE($D104,Milestones!$AA$50),"dd mmm yy"))&amp;" "&amp;Milestones!$AB$50&amp;" "&amp;Milestones!$AC$50&amp;";  ","")&amp;IF(AND(EDATE($D104,Milestones!$AA$51)&lt;=AsOfDate,IF($R104=0,$X104,IF(AND($T104&lt;&gt;"",EDATE($D104,Milestones!$AA$51)&gt;=$T104),$W104,IF(AND($S104&lt;&gt;"",EDATE($D104,Milestones!$AA$51)&gt;=$S104),$V104,$U104)))=Milestones!$AB$51),UPPER(TEXT(EDATE($D104,Milestones!$AA$51),"dd mmm yy"))&amp;" "&amp;Milestones!$AB$51&amp;" "&amp;Milestones!$AC$51&amp;";  ","")&amp;IF(AND(EDATE($D104,Milestones!$AA$52)&lt;=AsOfDate,IF($R104=0,$X104,IF(AND($T104&lt;&gt;"",EDATE($D104,Milestones!$AA$52)&gt;=$T104),$W104,IF(AND($S104&lt;&gt;"",EDATE($D104,Milestones!$AA$52)&gt;=$S104),$V104,$U104)))=Milestones!$AB$52),UPPER(TEXT(EDATE($D104,Milestones!$AA$52),"dd mmm yy"))&amp;" "&amp;Milestones!$AB$52&amp;" "&amp;Milestones!$AC$52&amp;";  ","")&amp;IF(AND(EDATE($D104,Milestones!$AA$53)&lt;=AsOfDate,IF($R104=0,$X104,IF(AND($T104&lt;&gt;"",EDATE($D104,Milestones!$AA$53)&gt;=$T104),$W104,IF(AND($S104&lt;&gt;"",EDATE($D104,Milestones!$AA$53)&gt;=$S104),$V104,$U104)))=Milestones!$AB$53),UPPER(TEXT(EDATE($D104,Milestones!$AA$53),"dd mmm yy"))&amp;" "&amp;Milestones!$AB$53&amp;" "&amp;Milestones!$AC$53&amp;";  ","")&amp;IF(AND(EDATE($D104,Milestones!$AA$54)&lt;=AsOfDate,IF($R104=0,$X104,IF(AND($T104&lt;&gt;"",EDATE($D104,Milestones!$AA$54)&gt;=$T104),$W104,IF(AND($S104&lt;&gt;"",EDATE($D104,Milestones!$AA$54)&gt;=$S104),$V104,$U104)))=Milestones!$AB$54),UPPER(TEXT(EDATE($D104,Milestones!$AA$54),"dd mmm yy"))&amp;" "&amp;Milestones!$AB$54&amp;" "&amp;Milestones!$AC$54&amp;";  ","")&amp;IF(AND(EDATE($D104,Milestones!$AA$55)&lt;=AsOfDate,IF($R104=0,$X104,IF(AND($T104&lt;&gt;"",EDATE($D104,Milestones!$AA$55)&gt;=$T104),$W104,IF(AND($S104&lt;&gt;"",EDATE($D104,Milestones!$AA$55)&gt;=$S104),$V104,$U104)))=Milestones!$AB$55),UPPER(TEXT(EDATE($D104,Milestones!$AA$55),"dd mmm yy"))&amp;" "&amp;Milestones!$AB$55&amp;" "&amp;Milestones!$AC$55&amp;";  ","")&amp;IF(AND(EDATE($D104,Milestones!$AA$56)&lt;=AsOfDate,IF($R104=0,$X104,IF(AND($T104&lt;&gt;"",EDATE($D104,Milestones!$AA$56)&gt;=$T104),$W104,IF(AND($S104&lt;&gt;"",EDATE($D104,Milestones!$AA$56)&gt;=$S104),$V104,$U104)))=Milestones!$AB$56),UPPER(TEXT(EDATE($D104,Milestones!$AA$56),"dd mmm yy"))&amp;" "&amp;Milestones!$AB$56&amp;" "&amp;Milestones!$AC$56&amp;";  ","")&amp;IF(AND(EDATE($D104,Milestones!$AA$57)&lt;=AsOfDate,IF($R104=0,$X104,IF(AND($T104&lt;&gt;"",EDATE($D104,Milestones!$AA$57)&gt;=$T104),$W104,IF(AND($S104&lt;&gt;"",EDATE($D104,Milestones!$AA$57)&gt;=$S104),$V104,$U104)))=Milestones!$AB$57),UPPER(TEXT(EDATE($D104,Milestones!$AA$57),"dd mmm yy"))&amp;" "&amp;Milestones!$AB$57&amp;" "&amp;Milestones!$AC$57&amp;";  ","")&amp;IF(AND(EDATE($D104,Milestones!$AA$58)&lt;=AsOfDate,IF($R104=0,$X104,IF(AND($T104&lt;&gt;"",EDATE($D104,Milestones!$AA$58)&gt;=$T104),$W104,IF(AND($S104&lt;&gt;"",EDATE($D104,Milestones!$AA$58)&gt;=$S104),$V104,$U104)))=Milestones!$AB$58),UPPER(TEXT(EDATE($D104,Milestones!$AA$58),"dd mmm yy"))&amp;" "&amp;Milestones!$AB$58&amp;" "&amp;Milestones!$AC$58&amp;";  ","")&amp;IF(AND(EDATE($D104,Milestones!$AA$59)&lt;=AsOfDate,IF($R104=0,$X104,IF(AND($T104&lt;&gt;"",EDATE($D104,Milestones!$AA$59)&gt;=$T104),$W104,IF(AND($S104&lt;&gt;"",EDATE($D104,Milestones!$AA$59)&gt;=$S104),$V104,$U104)))=Milestones!$AB$59),UPPER(TEXT(EDATE($D104,Milestones!$AA$59),"dd mmm yy"))&amp;" "&amp;Milestones!$AB$59&amp;" "&amp;Milestones!$AC$59&amp;";  ",""))</f>
        <v/>
      </c>
      <c r="K104" s="0" t="str">
        <f aca="false">IF(OR($A104="",$D104=""),"",IF(AND(EDATE($D104,Milestones!$AA$60)&lt;=AsOfDate,IF($R104=0,$X104,IF(AND($T104&lt;&gt;"",EDATE($D104,Milestones!$AA$60)&gt;=$T104),$W104,IF(AND($S104&lt;&gt;"",EDATE($D104,Milestones!$AA$60)&gt;=$S104),$V104,$U104)))=Milestones!$AB$60),UPPER(TEXT(EDATE($D104,Milestones!$AA$60),"dd mmm yy"))&amp;" "&amp;Milestones!$AB$60&amp;" "&amp;Milestones!$AC$60&amp;";  ","")&amp;IF(AND(EDATE($D104,Milestones!$AA$61)&lt;=AsOfDate,IF($R104=0,$X104,IF(AND($T104&lt;&gt;"",EDATE($D104,Milestones!$AA$61)&gt;=$T104),$W104,IF(AND($S104&lt;&gt;"",EDATE($D104,Milestones!$AA$61)&gt;=$S104),$V104,$U104)))=Milestones!$AB$61),UPPER(TEXT(EDATE($D104,Milestones!$AA$61),"dd mmm yy"))&amp;" "&amp;Milestones!$AB$61&amp;" "&amp;Milestones!$AC$61&amp;";  ","")&amp;IF(AND(EDATE($D104,Milestones!$AA$62)&lt;=AsOfDate,IF($R104=0,$X104,IF(AND($T104&lt;&gt;"",EDATE($D104,Milestones!$AA$62)&gt;=$T104),$W104,IF(AND($S104&lt;&gt;"",EDATE($D104,Milestones!$AA$62)&gt;=$S104),$V104,$U104)))=Milestones!$AB$62),UPPER(TEXT(EDATE($D104,Milestones!$AA$62),"dd mmm yy"))&amp;" "&amp;Milestones!$AB$62&amp;" "&amp;Milestones!$AC$62&amp;";  ","")&amp;IF(AND(EDATE($D104,Milestones!$AA$63)&lt;=AsOfDate,IF($R104=0,$X104,IF(AND($T104&lt;&gt;"",EDATE($D104,Milestones!$AA$63)&gt;=$T104),$W104,IF(AND($S104&lt;&gt;"",EDATE($D104,Milestones!$AA$63)&gt;=$S104),$V104,$U104)))=Milestones!$AB$63),UPPER(TEXT(EDATE($D104,Milestones!$AA$63),"dd mmm yy"))&amp;" "&amp;Milestones!$AB$63&amp;" "&amp;Milestones!$AC$63&amp;";  ","")&amp;IF(AND(EDATE($D104,Milestones!$AA$64)&lt;=AsOfDate,IF($R104=0,$X104,IF(AND($T104&lt;&gt;"",EDATE($D104,Milestones!$AA$64)&gt;=$T104),$W104,IF(AND($S104&lt;&gt;"",EDATE($D104,Milestones!$AA$64)&gt;=$S104),$V104,$U104)))=Milestones!$AB$64),UPPER(TEXT(EDATE($D104,Milestones!$AA$64),"dd mmm yy"))&amp;" "&amp;Milestones!$AB$64&amp;" "&amp;Milestones!$AC$64&amp;";  ","")&amp;IF(AND(EDATE($D104,Milestones!$AA$65)&lt;=AsOfDate,IF($R104=0,$X104,IF(AND($T104&lt;&gt;"",EDATE($D104,Milestones!$AA$65)&gt;=$T104),$W104,IF(AND($S104&lt;&gt;"",EDATE($D104,Milestones!$AA$65)&gt;=$S104),$V104,$U104)))=Milestones!$AB$65),UPPER(TEXT(EDATE($D104,Milestones!$AA$65),"dd mmm yy"))&amp;" "&amp;Milestones!$AB$65&amp;" "&amp;Milestones!$AC$65&amp;";  ","")&amp;IF(AND(EDATE($D104,Milestones!$AA$66)&lt;=AsOfDate,IF($R104=0,$X104,IF(AND($T104&lt;&gt;"",EDATE($D104,Milestones!$AA$66)&gt;=$T104),$W104,IF(AND($S104&lt;&gt;"",EDATE($D104,Milestones!$AA$66)&gt;=$S104),$V104,$U104)))=Milestones!$AB$66),UPPER(TEXT(EDATE($D104,Milestones!$AA$66),"dd mmm yy"))&amp;" "&amp;Milestones!$AB$66&amp;" "&amp;Milestones!$AC$66&amp;";  ","")&amp;IF(AND(EDATE($D104,Milestones!$AA$67)&lt;=AsOfDate,IF($R104=0,$X104,IF(AND($T104&lt;&gt;"",EDATE($D104,Milestones!$AA$67)&gt;=$T104),$W104,IF(AND($S104&lt;&gt;"",EDATE($D104,Milestones!$AA$67)&gt;=$S104),$V104,$U104)))=Milestones!$AB$67),UPPER(TEXT(EDATE($D104,Milestones!$AA$67),"dd mmm yy"))&amp;" "&amp;Milestones!$AB$67&amp;" "&amp;Milestones!$AC$67&amp;";  ","")&amp;IF(AND(EDATE($D104,Milestones!$AA$68)&lt;=AsOfDate,IF($R104=0,$X104,IF(AND($T104&lt;&gt;"",EDATE($D104,Milestones!$AA$68)&gt;=$T104),$W104,IF(AND($S104&lt;&gt;"",EDATE($D104,Milestones!$AA$68)&gt;=$S104),$V104,$U104)))=Milestones!$AB$68),UPPER(TEXT(EDATE($D104,Milestones!$AA$68),"dd mmm yy"))&amp;" "&amp;Milestones!$AB$68&amp;" "&amp;Milestones!$AC$68&amp;";  ","")&amp;IF(AND(EDATE($D104,Milestones!$AA$69)&lt;=AsOfDate,IF($R104=0,$X104,IF(AND($T104&lt;&gt;"",EDATE($D104,Milestones!$AA$69)&gt;=$T104),$W104,IF(AND($S104&lt;&gt;"",EDATE($D104,Milestones!$AA$69)&gt;=$S104),$V104,$U104)))=Milestones!$AB$69),UPPER(TEXT(EDATE($D104,Milestones!$AA$69),"dd mmm yy"))&amp;" "&amp;Milestones!$AB$69&amp;" "&amp;Milestones!$AC$69&amp;";  ","")&amp;IF(AND(EDATE($D104,Milestones!$AA$70)&lt;=AsOfDate,IF($R104=0,$X104,IF(AND($T104&lt;&gt;"",EDATE($D104,Milestones!$AA$70)&gt;=$T104),$W104,IF(AND($S104&lt;&gt;"",EDATE($D104,Milestones!$AA$70)&gt;=$S104),$V104,$U104)))=Milestones!$AB$70),UPPER(TEXT(EDATE($D104,Milestones!$AA$70),"dd mmm yy"))&amp;" "&amp;Milestones!$AB$70&amp;" "&amp;Milestones!$AC$70&amp;";  ","")&amp;IF(AND(EDATE($D104,Milestones!$AA$71)&lt;=AsOfDate,IF($R104=0,$X104,IF(AND($T104&lt;&gt;"",EDATE($D104,Milestones!$AA$71)&gt;=$T104),$W104,IF(AND($S104&lt;&gt;"",EDATE($D104,Milestones!$AA$71)&gt;=$S104),$V104,$U104)))=Milestones!$AB$71),UPPER(TEXT(EDATE($D104,Milestones!$AA$71),"dd mmm yy"))&amp;" "&amp;Milestones!$AB$71&amp;" "&amp;Milestones!$AC$71&amp;";  ","")&amp;IF(AND(EDATE($D104,Milestones!$AA$72)&lt;=AsOfDate,IF($R104=0,$X104,IF(AND($T104&lt;&gt;"",EDATE($D104,Milestones!$AA$72)&gt;=$T104),$W104,IF(AND($S104&lt;&gt;"",EDATE($D104,Milestones!$AA$72)&gt;=$S104),$V104,$U104)))=Milestones!$AB$72),UPPER(TEXT(EDATE($D104,Milestones!$AA$72),"dd mmm yy"))&amp;" "&amp;Milestones!$AB$72&amp;" "&amp;Milestones!$AC$72&amp;";  ","")&amp;IF(AND(EDATE($D104,Milestones!$AA$73)&lt;=AsOfDate,IF($R104=0,$X104,IF(AND($T104&lt;&gt;"",EDATE($D104,Milestones!$AA$73)&gt;=$T104),$W104,IF(AND($S104&lt;&gt;"",EDATE($D104,Milestones!$AA$73)&gt;=$S104),$V104,$U104)))=Milestones!$AB$73),UPPER(TEXT(EDATE($D104,Milestones!$AA$73),"dd mmm yy"))&amp;" "&amp;Milestones!$AB$73&amp;" "&amp;Milestones!$AC$73&amp;";  ","")&amp;IF(AND(EDATE($D104,Milestones!$AA$74)&lt;=AsOfDate,IF($R104=0,$X104,IF(AND($T104&lt;&gt;"",EDATE($D104,Milestones!$AA$74)&gt;=$T104),$W104,IF(AND($S104&lt;&gt;"",EDATE($D104,Milestones!$AA$74)&gt;=$S104),$V104,$U104)))=Milestones!$AB$74),UPPER(TEXT(EDATE($D104,Milestones!$AA$74),"dd mmm yy"))&amp;" "&amp;Milestones!$AB$74&amp;" "&amp;Milestones!$AC$74&amp;";  ","")&amp;IF(AND(EDATE($D104,Milestones!$AA$75)&lt;=AsOfDate,IF($R104=0,$X104,IF(AND($T104&lt;&gt;"",EDATE($D104,Milestones!$AA$75)&gt;=$T104),$W104,IF(AND($S104&lt;&gt;"",EDATE($D104,Milestones!$AA$75)&gt;=$S104),$V104,$U104)))=Milestones!$AB$75),UPPER(TEXT(EDATE($D104,Milestones!$AA$75),"dd mmm yy"))&amp;" "&amp;Milestones!$AB$75&amp;" "&amp;Milestones!$AC$75&amp;";  ","")&amp;IF(AND(EDATE($D104,Milestones!$AA$76)&lt;=AsOfDate,IF($R104=0,$X104,IF(AND($T104&lt;&gt;"",EDATE($D104,Milestones!$AA$76)&gt;=$T104),$W104,IF(AND($S104&lt;&gt;"",EDATE($D104,Milestones!$AA$76)&gt;=$S104),$V104,$U104)))=Milestones!$AB$76),UPPER(TEXT(EDATE($D104,Milestones!$AA$76),"dd mmm yy"))&amp;" "&amp;Milestones!$AB$76&amp;" "&amp;Milestones!$AC$76&amp;";  ","")&amp;IF(AND(EDATE($D104,Milestones!$AA$77)&lt;=AsOfDate,IF($R104=0,$X104,IF(AND($T104&lt;&gt;"",EDATE($D104,Milestones!$AA$77)&gt;=$T104),$W104,IF(AND($S104&lt;&gt;"",EDATE($D104,Milestones!$AA$77)&gt;=$S104),$V104,$U104)))=Milestones!$AB$77),UPPER(TEXT(EDATE($D104,Milestones!$AA$77),"dd mmm yy"))&amp;" "&amp;Milestones!$AB$77&amp;" "&amp;Milestones!$AC$77&amp;";  ","")&amp;IF(AND(EDATE($D104,Milestones!$AA$78)&lt;=AsOfDate,IF($R104=0,$X104,IF(AND($T104&lt;&gt;"",EDATE($D104,Milestones!$AA$78)&gt;=$T104),$W104,IF(AND($S104&lt;&gt;"",EDATE($D104,Milestones!$AA$78)&gt;=$S104),$V104,$U104)))=Milestones!$AB$78),UPPER(TEXT(EDATE($D104,Milestones!$AA$78),"dd mmm yy"))&amp;" "&amp;Milestones!$AB$78&amp;" "&amp;Milestones!$AC$78&amp;";  ","")&amp;IF(AND(EDATE($D104,Milestones!$AA$79)&lt;=AsOfDate,IF($R104=0,$X104,IF(AND($T104&lt;&gt;"",EDATE($D104,Milestones!$AA$79)&gt;=$T104),$W104,IF(AND($S104&lt;&gt;"",EDATE($D104,Milestones!$AA$79)&gt;=$S104),$V104,$U104)))=Milestones!$AB$79),UPPER(TEXT(EDATE($D104,Milestones!$AA$79),"dd mmm yy"))&amp;" "&amp;Milestones!$AB$79&amp;" "&amp;Milestones!$AC$79&amp;";  ",""))</f>
        <v/>
      </c>
      <c r="L104" s="0" t="str">
        <f aca="false">IF(OR($A104="",$D104=""),"",IF(AND(EDATE($D104,Milestones!$AA$80)&lt;=AsOfDate,IF($R104=0,$X104,IF(AND($T104&lt;&gt;"",EDATE($D104,Milestones!$AA$80)&gt;=$T104),$W104,IF(AND($S104&lt;&gt;"",EDATE($D104,Milestones!$AA$80)&gt;=$S104),$V104,$U104)))=Milestones!$AB$80),UPPER(TEXT(EDATE($D104,Milestones!$AA$80),"dd mmm yy"))&amp;" "&amp;Milestones!$AB$80&amp;" "&amp;Milestones!$AC$80&amp;";  ","")&amp;IF(AND(EDATE($D104,Milestones!$AA$81)&lt;=AsOfDate,IF($R104=0,$X104,IF(AND($T104&lt;&gt;"",EDATE($D104,Milestones!$AA$81)&gt;=$T104),$W104,IF(AND($S104&lt;&gt;"",EDATE($D104,Milestones!$AA$81)&gt;=$S104),$V104,$U104)))=Milestones!$AB$81),UPPER(TEXT(EDATE($D104,Milestones!$AA$81),"dd mmm yy"))&amp;" "&amp;Milestones!$AB$81&amp;" "&amp;Milestones!$AC$81&amp;";  ","")&amp;IF(AND(EDATE($D104,Milestones!$AA$82)&lt;=AsOfDate,IF($R104=0,$X104,IF(AND($T104&lt;&gt;"",EDATE($D104,Milestones!$AA$82)&gt;=$T104),$W104,IF(AND($S104&lt;&gt;"",EDATE($D104,Milestones!$AA$82)&gt;=$S104),$V104,$U104)))=Milestones!$AB$82),UPPER(TEXT(EDATE($D104,Milestones!$AA$82),"dd mmm yy"))&amp;" "&amp;Milestones!$AB$82&amp;" "&amp;Milestones!$AC$82&amp;";  ","")&amp;IF(AND(EDATE($D104,Milestones!$AA$83)&lt;=AsOfDate,IF($R104=0,$X104,IF(AND($T104&lt;&gt;"",EDATE($D104,Milestones!$AA$83)&gt;=$T104),$W104,IF(AND($S104&lt;&gt;"",EDATE($D104,Milestones!$AA$83)&gt;=$S104),$V104,$U104)))=Milestones!$AB$83),UPPER(TEXT(EDATE($D104,Milestones!$AA$83),"dd mmm yy"))&amp;" "&amp;Milestones!$AB$83&amp;" "&amp;Milestones!$AC$83&amp;";  ","")&amp;IF(AND(EDATE($D104,Milestones!$AA$84)&lt;=AsOfDate,IF($R104=0,$X104,IF(AND($T104&lt;&gt;"",EDATE($D104,Milestones!$AA$84)&gt;=$T104),$W104,IF(AND($S104&lt;&gt;"",EDATE($D104,Milestones!$AA$84)&gt;=$S104),$V104,$U104)))=Milestones!$AB$84),UPPER(TEXT(EDATE($D104,Milestones!$AA$84),"dd mmm yy"))&amp;" "&amp;Milestones!$AB$84&amp;" "&amp;Milestones!$AC$84&amp;";  ","")&amp;IF(AND(EDATE($D104,Milestones!$AA$85)&lt;=AsOfDate,IF($R104=0,$X104,IF(AND($T104&lt;&gt;"",EDATE($D104,Milestones!$AA$85)&gt;=$T104),$W104,IF(AND($S104&lt;&gt;"",EDATE($D104,Milestones!$AA$85)&gt;=$S104),$V104,$U104)))=Milestones!$AB$85),UPPER(TEXT(EDATE($D104,Milestones!$AA$85),"dd mmm yy"))&amp;" "&amp;Milestones!$AB$85&amp;" "&amp;Milestones!$AC$85&amp;";  ","")&amp;IF(AND(EDATE($D104,Milestones!$AA$86)&lt;=AsOfDate,IF($R104=0,$X104,IF(AND($T104&lt;&gt;"",EDATE($D104,Milestones!$AA$86)&gt;=$T104),$W104,IF(AND($S104&lt;&gt;"",EDATE($D104,Milestones!$AA$86)&gt;=$S104),$V104,$U104)))=Milestones!$AB$86),UPPER(TEXT(EDATE($D104,Milestones!$AA$86),"dd mmm yy"))&amp;" "&amp;Milestones!$AB$86&amp;" "&amp;Milestones!$AC$86&amp;";  ","")&amp;IF(AND(EDATE($D104,Milestones!$AA$87)&lt;=AsOfDate,IF($R104=0,$X104,IF(AND($T104&lt;&gt;"",EDATE($D104,Milestones!$AA$87)&gt;=$T104),$W104,IF(AND($S104&lt;&gt;"",EDATE($D104,Milestones!$AA$87)&gt;=$S104),$V104,$U104)))=Milestones!$AB$87),UPPER(TEXT(EDATE($D104,Milestones!$AA$87),"dd mmm yy"))&amp;" "&amp;Milestones!$AB$87&amp;" "&amp;Milestones!$AC$87&amp;";  ","")&amp;IF(AND(EDATE($D104,Milestones!$AA$88)&lt;=AsOfDate,IF($R104=0,$X104,IF(AND($T104&lt;&gt;"",EDATE($D104,Milestones!$AA$88)&gt;=$T104),$W104,IF(AND($S104&lt;&gt;"",EDATE($D104,Milestones!$AA$88)&gt;=$S104),$V104,$U104)))=Milestones!$AB$88),UPPER(TEXT(EDATE($D104,Milestones!$AA$88),"dd mmm yy"))&amp;" "&amp;Milestones!$AB$88&amp;" "&amp;Milestones!$AC$88&amp;";  ","")&amp;IF(AND(EDATE($D104,Milestones!$AA$89)&lt;=AsOfDate,IF($R104=0,$X104,IF(AND($T104&lt;&gt;"",EDATE($D104,Milestones!$AA$89)&gt;=$T104),$W104,IF(AND($S104&lt;&gt;"",EDATE($D104,Milestones!$AA$89)&gt;=$S104),$V104,$U104)))=Milestones!$AB$89),UPPER(TEXT(EDATE($D104,Milestones!$AA$89),"dd mmm yy"))&amp;" "&amp;Milestones!$AB$89&amp;" "&amp;Milestones!$AC$89&amp;";  ","")&amp;IF(AND(EDATE($D104,Milestones!$AA$90)&lt;=AsOfDate,IF($R104=0,$X104,IF(AND($T104&lt;&gt;"",EDATE($D104,Milestones!$AA$90)&gt;=$T104),$W104,IF(AND($S104&lt;&gt;"",EDATE($D104,Milestones!$AA$90)&gt;=$S104),$V104,$U104)))=Milestones!$AB$90),UPPER(TEXT(EDATE($D104,Milestones!$AA$90),"dd mmm yy"))&amp;" "&amp;Milestones!$AB$90&amp;" "&amp;Milestones!$AC$90&amp;";  ","")&amp;IF(AND(EDATE($D104,Milestones!$AA$91)&lt;=AsOfDate,IF($R104=0,$X104,IF(AND($T104&lt;&gt;"",EDATE($D104,Milestones!$AA$91)&gt;=$T104),$W104,IF(AND($S104&lt;&gt;"",EDATE($D104,Milestones!$AA$91)&gt;=$S104),$V104,$U104)))=Milestones!$AB$91),UPPER(TEXT(EDATE($D104,Milestones!$AA$91),"dd mmm yy"))&amp;" "&amp;Milestones!$AB$91&amp;" "&amp;Milestones!$AC$91&amp;";  ","")&amp;IF(AND(EDATE($D104,Milestones!$AA$92)&lt;=AsOfDate,IF($R104=0,$X104,IF(AND($T104&lt;&gt;"",EDATE($D104,Milestones!$AA$92)&gt;=$T104),$W104,IF(AND($S104&lt;&gt;"",EDATE($D104,Milestones!$AA$92)&gt;=$S104),$V104,$U104)))=Milestones!$AB$92),UPPER(TEXT(EDATE($D104,Milestones!$AA$92),"dd mmm yy"))&amp;" "&amp;Milestones!$AB$92&amp;" "&amp;Milestones!$AC$92&amp;";  ","")&amp;IF(AND(EDATE($D104,Milestones!$AA$93)&lt;=AsOfDate,IF($R104=0,$X104,IF(AND($T104&lt;&gt;"",EDATE($D104,Milestones!$AA$93)&gt;=$T104),$W104,IF(AND($S104&lt;&gt;"",EDATE($D104,Milestones!$AA$93)&gt;=$S104),$V104,$U104)))=Milestones!$AB$93),UPPER(TEXT(EDATE($D104,Milestones!$AA$93),"dd mmm yy"))&amp;" "&amp;Milestones!$AB$93&amp;" "&amp;Milestones!$AC$93&amp;";  ","")&amp;IF(AND(EDATE($D104,Milestones!$AA$94)&lt;=AsOfDate,IF($R104=0,$X104,IF(AND($T104&lt;&gt;"",EDATE($D104,Milestones!$AA$94)&gt;=$T104),$W104,IF(AND($S104&lt;&gt;"",EDATE($D104,Milestones!$AA$94)&gt;=$S104),$V104,$U104)))=Milestones!$AB$94),UPPER(TEXT(EDATE($D104,Milestones!$AA$94),"dd mmm yy"))&amp;" "&amp;Milestones!$AB$94&amp;" "&amp;Milestones!$AC$94&amp;";  ","")&amp;IF(AND(EDATE($D104,Milestones!$AA$95)&lt;=AsOfDate,IF($R104=0,$X104,IF(AND($T104&lt;&gt;"",EDATE($D104,Milestones!$AA$95)&gt;=$T104),$W104,IF(AND($S104&lt;&gt;"",EDATE($D104,Milestones!$AA$95)&gt;=$S104),$V104,$U104)))=Milestones!$AB$95),UPPER(TEXT(EDATE($D104,Milestones!$AA$95),"dd mmm yy"))&amp;" "&amp;Milestones!$AB$95&amp;" "&amp;Milestones!$AC$95&amp;";  ","")&amp;IF(AND(EDATE($D104,Milestones!$AA$96)&lt;=AsOfDate,IF($R104=0,$X104,IF(AND($T104&lt;&gt;"",EDATE($D104,Milestones!$AA$96)&gt;=$T104),$W104,IF(AND($S104&lt;&gt;"",EDATE($D104,Milestones!$AA$96)&gt;=$S104),$V104,$U104)))=Milestones!$AB$96),UPPER(TEXT(EDATE($D104,Milestones!$AA$96),"dd mmm yy"))&amp;" "&amp;Milestones!$AB$96&amp;" "&amp;Milestones!$AC$96&amp;";  ","")&amp;IF(AND(EDATE($D104,Milestones!$AA$97)&lt;=AsOfDate,IF($R104=0,$X104,IF(AND($T104&lt;&gt;"",EDATE($D104,Milestones!$AA$97)&gt;=$T104),$W104,IF(AND($S104&lt;&gt;"",EDATE($D104,Milestones!$AA$97)&gt;=$S104),$V104,$U104)))=Milestones!$AB$97),UPPER(TEXT(EDATE($D104,Milestones!$AA$97),"dd mmm yy"))&amp;" "&amp;Milestones!$AB$97&amp;" "&amp;Milestones!$AC$97&amp;";  ","")&amp;IF(AND(EDATE($D104,Milestones!$AA$98)&lt;=AsOfDate,IF($R104=0,$X104,IF(AND($T104&lt;&gt;"",EDATE($D104,Milestones!$AA$98)&gt;=$T104),$W104,IF(AND($S104&lt;&gt;"",EDATE($D104,Milestones!$AA$98)&gt;=$S104),$V104,$U104)))=Milestones!$AB$98),UPPER(TEXT(EDATE($D104,Milestones!$AA$98),"dd mmm yy"))&amp;" "&amp;Milestones!$AB$98&amp;" "&amp;Milestones!$AC$98&amp;";  ","")&amp;IF(AND(EDATE($D104,Milestones!$AA$99)&lt;=AsOfDate,IF($R104=0,$X104,IF(AND($T104&lt;&gt;"",EDATE($D104,Milestones!$AA$99)&gt;=$T104),$W104,IF(AND($S104&lt;&gt;"",EDATE($D104,Milestones!$AA$99)&gt;=$S104),$V104,$U104)))=Milestones!$AB$99),UPPER(TEXT(EDATE($D104,Milestones!$AA$99),"dd mmm yy"))&amp;" "&amp;Milestones!$AB$99&amp;" "&amp;Milestones!$AC$99&amp;";  ",""))</f>
        <v/>
      </c>
      <c r="M104" s="0" t="str">
        <f aca="false">IF(OR($A104="",$D104=""),"",IF(AND(EDATE($D104,Milestones!$AA$100)&lt;=AsOfDate,IF($R104=0,$X104,IF(AND($T104&lt;&gt;"",EDATE($D104,Milestones!$AA$100)&gt;=$T104),$W104,IF(AND($S104&lt;&gt;"",EDATE($D104,Milestones!$AA$100)&gt;=$S104),$V104,$U104)))=Milestones!$AB$100),UPPER(TEXT(EDATE($D104,Milestones!$AA$100),"dd mmm yy"))&amp;" "&amp;Milestones!$AB$100&amp;" "&amp;Milestones!$AC$100&amp;";  ","")&amp;IF(AND(EDATE($D104,Milestones!$AA$101)&lt;=AsOfDate,IF($R104=0,$X104,IF(AND($T104&lt;&gt;"",EDATE($D104,Milestones!$AA$101)&gt;=$T104),$W104,IF(AND($S104&lt;&gt;"",EDATE($D104,Milestones!$AA$101)&gt;=$S104),$V104,$U104)))=Milestones!$AB$101),UPPER(TEXT(EDATE($D104,Milestones!$AA$101),"dd mmm yy"))&amp;" "&amp;Milestones!$AB$101&amp;" "&amp;Milestones!$AC$101&amp;";  ","")&amp;IF(AND(EDATE($D104,Milestones!$AA$102)&lt;=AsOfDate,IF($R104=0,$X104,IF(AND($T104&lt;&gt;"",EDATE($D104,Milestones!$AA$102)&gt;=$T104),$W104,IF(AND($S104&lt;&gt;"",EDATE($D104,Milestones!$AA$102)&gt;=$S104),$V104,$U104)))=Milestones!$AB$102),UPPER(TEXT(EDATE($D104,Milestones!$AA$102),"dd mmm yy"))&amp;" "&amp;Milestones!$AB$102&amp;" "&amp;Milestones!$AC$102&amp;";  ","")&amp;IF(AND(EDATE($D104,Milestones!$AA$103)&lt;=AsOfDate,IF($R104=0,$X104,IF(AND($T104&lt;&gt;"",EDATE($D104,Milestones!$AA$103)&gt;=$T104),$W104,IF(AND($S104&lt;&gt;"",EDATE($D104,Milestones!$AA$103)&gt;=$S104),$V104,$U104)))=Milestones!$AB$103),UPPER(TEXT(EDATE($D104,Milestones!$AA$103),"dd mmm yy"))&amp;" "&amp;Milestones!$AB$103&amp;" "&amp;Milestones!$AC$103&amp;";  ","")&amp;IF(AND(EDATE($D104,Milestones!$AA$104)&lt;=AsOfDate,IF($R104=0,$X104,IF(AND($T104&lt;&gt;"",EDATE($D104,Milestones!$AA$104)&gt;=$T104),$W104,IF(AND($S104&lt;&gt;"",EDATE($D104,Milestones!$AA$104)&gt;=$S104),$V104,$U104)))=Milestones!$AB$104),UPPER(TEXT(EDATE($D104,Milestones!$AA$104),"dd mmm yy"))&amp;" "&amp;Milestones!$AB$104&amp;" "&amp;Milestones!$AC$104&amp;";  ","")&amp;IF(AND(EDATE($D104,Milestones!$AA$105)&lt;=AsOfDate,IF($R104=0,$X104,IF(AND($T104&lt;&gt;"",EDATE($D104,Milestones!$AA$105)&gt;=$T104),$W104,IF(AND($S104&lt;&gt;"",EDATE($D104,Milestones!$AA$105)&gt;=$S104),$V104,$U104)))=Milestones!$AB$105),UPPER(TEXT(EDATE($D104,Milestones!$AA$105),"dd mmm yy"))&amp;" "&amp;Milestones!$AB$105&amp;" "&amp;Milestones!$AC$105&amp;";  ","")&amp;IF(AND(EDATE($D104,Milestones!$AA$106)&lt;=AsOfDate,IF($R104=0,$X104,IF(AND($T104&lt;&gt;"",EDATE($D104,Milestones!$AA$106)&gt;=$T104),$W104,IF(AND($S104&lt;&gt;"",EDATE($D104,Milestones!$AA$106)&gt;=$S104),$V104,$U104)))=Milestones!$AB$106),UPPER(TEXT(EDATE($D104,Milestones!$AA$106),"dd mmm yy"))&amp;" "&amp;Milestones!$AB$106&amp;" "&amp;Milestones!$AC$106&amp;";  ","")&amp;IF(AND(EDATE($D104,Milestones!$AA$107)&lt;=AsOfDate,IF($R104=0,$X104,IF(AND($T104&lt;&gt;"",EDATE($D104,Milestones!$AA$107)&gt;=$T104),$W104,IF(AND($S104&lt;&gt;"",EDATE($D104,Milestones!$AA$107)&gt;=$S104),$V104,$U104)))=Milestones!$AB$107),UPPER(TEXT(EDATE($D104,Milestones!$AA$107),"dd mmm yy"))&amp;" "&amp;Milestones!$AB$107&amp;" "&amp;Milestones!$AC$107&amp;";  ","")&amp;IF(AND(EDATE($D104,Milestones!$AA$108)&lt;=AsOfDate,IF($R104=0,$X104,IF(AND($T104&lt;&gt;"",EDATE($D104,Milestones!$AA$108)&gt;=$T104),$W104,IF(AND($S104&lt;&gt;"",EDATE($D104,Milestones!$AA$108)&gt;=$S104),$V104,$U104)))=Milestones!$AB$108),UPPER(TEXT(EDATE($D104,Milestones!$AA$108),"dd mmm yy"))&amp;" "&amp;Milestones!$AB$108&amp;" "&amp;Milestones!$AC$108&amp;";  ","")&amp;IF(AND(EDATE($D104,Milestones!$AA$109)&lt;=AsOfDate,IF($R104=0,$X104,IF(AND($T104&lt;&gt;"",EDATE($D104,Milestones!$AA$109)&gt;=$T104),$W104,IF(AND($S104&lt;&gt;"",EDATE($D104,Milestones!$AA$109)&gt;=$S104),$V104,$U104)))=Milestones!$AB$109),UPPER(TEXT(EDATE($D104,Milestones!$AA$109),"dd mmm yy"))&amp;" "&amp;Milestones!$AB$109&amp;" "&amp;Milestones!$AC$109&amp;";  ","")&amp;IF(AND(EDATE($D104,Milestones!$AA$110)&lt;=AsOfDate,IF($R104=0,$X104,IF(AND($T104&lt;&gt;"",EDATE($D104,Milestones!$AA$110)&gt;=$T104),$W104,IF(AND($S104&lt;&gt;"",EDATE($D104,Milestones!$AA$110)&gt;=$S104),$V104,$U104)))=Milestones!$AB$110),UPPER(TEXT(EDATE($D104,Milestones!$AA$110),"dd mmm yy"))&amp;" "&amp;Milestones!$AB$110&amp;" "&amp;Milestones!$AC$110&amp;";  ","")&amp;IF(AND(EDATE($D104,Milestones!$AA$111)&lt;=AsOfDate,IF($R104=0,$X104,IF(AND($T104&lt;&gt;"",EDATE($D104,Milestones!$AA$111)&gt;=$T104),$W104,IF(AND($S104&lt;&gt;"",EDATE($D104,Milestones!$AA$111)&gt;=$S104),$V104,$U104)))=Milestones!$AB$111),UPPER(TEXT(EDATE($D104,Milestones!$AA$111),"dd mmm yy"))&amp;" "&amp;Milestones!$AB$111&amp;" "&amp;Milestones!$AC$111&amp;";  ","")&amp;IF(AND(EDATE($D104,Milestones!$AA$112)&lt;=AsOfDate,IF($R104=0,$X104,IF(AND($T104&lt;&gt;"",EDATE($D104,Milestones!$AA$112)&gt;=$T104),$W104,IF(AND($S104&lt;&gt;"",EDATE($D104,Milestones!$AA$112)&gt;=$S104),$V104,$U104)))=Milestones!$AB$112),UPPER(TEXT(EDATE($D104,Milestones!$AA$112),"dd mmm yy"))&amp;" "&amp;Milestones!$AB$112&amp;" "&amp;Milestones!$AC$112&amp;";  ","")&amp;IF(AND(EDATE($D104,Milestones!$AA$113)&lt;=AsOfDate,IF($R104=0,$X104,IF(AND($T104&lt;&gt;"",EDATE($D104,Milestones!$AA$113)&gt;=$T104),$W104,IF(AND($S104&lt;&gt;"",EDATE($D104,Milestones!$AA$113)&gt;=$S104),$V104,$U104)))=Milestones!$AB$113),UPPER(TEXT(EDATE($D104,Milestones!$AA$113),"dd mmm yy"))&amp;" "&amp;Milestones!$AB$113&amp;" "&amp;Milestones!$AC$113&amp;";  ","")&amp;IF(AND(EDATE($D104,Milestones!$AA$114)&lt;=AsOfDate,IF($R104=0,$X104,IF(AND($T104&lt;&gt;"",EDATE($D104,Milestones!$AA$114)&gt;=$T104),$W104,IF(AND($S104&lt;&gt;"",EDATE($D104,Milestones!$AA$114)&gt;=$S104),$V104,$U104)))=Milestones!$AB$114),UPPER(TEXT(EDATE($D104,Milestones!$AA$114),"dd mmm yy"))&amp;" "&amp;Milestones!$AB$114&amp;" "&amp;Milestones!$AC$114&amp;";  ","")&amp;IF(AND(EDATE($D104,Milestones!$AA$115)&lt;=AsOfDate,IF($R104=0,$X104,IF(AND($T104&lt;&gt;"",EDATE($D104,Milestones!$AA$115)&gt;=$T104),$W104,IF(AND($S104&lt;&gt;"",EDATE($D104,Milestones!$AA$115)&gt;=$S104),$V104,$U104)))=Milestones!$AB$115),UPPER(TEXT(EDATE($D104,Milestones!$AA$115),"dd mmm yy"))&amp;" "&amp;Milestones!$AB$115&amp;" "&amp;Milestones!$AC$115&amp;";  ","")&amp;IF(AND(EDATE($D104,Milestones!$AA$116)&lt;=AsOfDate,IF($R104=0,$X104,IF(AND($T104&lt;&gt;"",EDATE($D104,Milestones!$AA$116)&gt;=$T104),$W104,IF(AND($S104&lt;&gt;"",EDATE($D104,Milestones!$AA$116)&gt;=$S104),$V104,$U104)))=Milestones!$AB$116),UPPER(TEXT(EDATE($D104,Milestones!$AA$116),"dd mmm yy"))&amp;" "&amp;Milestones!$AB$116&amp;" "&amp;Milestones!$AC$116&amp;";  ","")&amp;IF(AND(EDATE($D104,Milestones!$AA$117)&lt;=AsOfDate,IF($R104=0,$X104,IF(AND($T104&lt;&gt;"",EDATE($D104,Milestones!$AA$117)&gt;=$T104),$W104,IF(AND($S104&lt;&gt;"",EDATE($D104,Milestones!$AA$117)&gt;=$S104),$V104,$U104)))=Milestones!$AB$117),UPPER(TEXT(EDATE($D104,Milestones!$AA$117),"dd mmm yy"))&amp;" "&amp;Milestones!$AB$117&amp;" "&amp;Milestones!$AC$117&amp;";  ","")&amp;IF(AND(EDATE($D104,Milestones!$AA$118)&lt;=AsOfDate,IF($R104=0,$X104,IF(AND($T104&lt;&gt;"",EDATE($D104,Milestones!$AA$118)&gt;=$T104),$W104,IF(AND($S104&lt;&gt;"",EDATE($D104,Milestones!$AA$118)&gt;=$S104),$V104,$U104)))=Milestones!$AB$118),UPPER(TEXT(EDATE($D104,Milestones!$AA$118),"dd mmm yy"))&amp;" "&amp;Milestones!$AB$118&amp;" "&amp;Milestones!$AC$118&amp;";  ","")&amp;IF(AND(EDATE($D104,Milestones!$AA$119)&lt;=AsOfDate,IF($R104=0,$X104,IF(AND($T104&lt;&gt;"",EDATE($D104,Milestones!$AA$119)&gt;=$T104),$W104,IF(AND($S104&lt;&gt;"",EDATE($D104,Milestones!$AA$119)&gt;=$S104),$V104,$U104)))=Milestones!$AB$119),UPPER(TEXT(EDATE($D104,Milestones!$AA$119),"dd mmm yy"))&amp;" "&amp;Milestones!$AB$119&amp;" "&amp;Milestones!$AC$119&amp;";  ",""))</f>
        <v/>
      </c>
      <c r="N104" s="0" t="str">
        <f aca="false">IF(OR($A104="",$D104=""),"",IF(AND(EDATE($D104,Milestones!$AA$120)&lt;=AsOfDate,IF($R104=0,$X104,IF(AND($T104&lt;&gt;"",EDATE($D104,Milestones!$AA$120)&gt;=$T104),$W104,IF(AND($S104&lt;&gt;"",EDATE($D104,Milestones!$AA$120)&gt;=$S104),$V104,$U104)))=Milestones!$AB$120),UPPER(TEXT(EDATE($D104,Milestones!$AA$120),"dd mmm yy"))&amp;" "&amp;Milestones!$AB$120&amp;" "&amp;Milestones!$AC$120&amp;";  ","")&amp;IF(AND(EDATE($D104,Milestones!$AA$121)&lt;=AsOfDate,IF($R104=0,$X104,IF(AND($T104&lt;&gt;"",EDATE($D104,Milestones!$AA$121)&gt;=$T104),$W104,IF(AND($S104&lt;&gt;"",EDATE($D104,Milestones!$AA$121)&gt;=$S104),$V104,$U104)))=Milestones!$AB$121),UPPER(TEXT(EDATE($D104,Milestones!$AA$121),"dd mmm yy"))&amp;" "&amp;Milestones!$AB$121&amp;" "&amp;Milestones!$AC$121&amp;";  ","")&amp;IF(AND(EDATE($D104,Milestones!$AA$122)&lt;=AsOfDate,IF($R104=0,$X104,IF(AND($T104&lt;&gt;"",EDATE($D104,Milestones!$AA$122)&gt;=$T104),$W104,IF(AND($S104&lt;&gt;"",EDATE($D104,Milestones!$AA$122)&gt;=$S104),$V104,$U104)))=Milestones!$AB$122),UPPER(TEXT(EDATE($D104,Milestones!$AA$122),"dd mmm yy"))&amp;" "&amp;Milestones!$AB$122&amp;" "&amp;Milestones!$AC$122&amp;";  ","")&amp;IF(AND(EDATE($D104,Milestones!$AA$123)&lt;=AsOfDate,IF($R104=0,$X104,IF(AND($T104&lt;&gt;"",EDATE($D104,Milestones!$AA$123)&gt;=$T104),$W104,IF(AND($S104&lt;&gt;"",EDATE($D104,Milestones!$AA$123)&gt;=$S104),$V104,$U104)))=Milestones!$AB$123),UPPER(TEXT(EDATE($D104,Milestones!$AA$123),"dd mmm yy"))&amp;" "&amp;Milestones!$AB$123&amp;" "&amp;Milestones!$AC$123&amp;";  ","")&amp;IF(AND(EDATE($D104,Milestones!$AA$124)&lt;=AsOfDate,IF($R104=0,$X104,IF(AND($T104&lt;&gt;"",EDATE($D104,Milestones!$AA$124)&gt;=$T104),$W104,IF(AND($S104&lt;&gt;"",EDATE($D104,Milestones!$AA$124)&gt;=$S104),$V104,$U104)))=Milestones!$AB$124),UPPER(TEXT(EDATE($D104,Milestones!$AA$124),"dd mmm yy"))&amp;" "&amp;Milestones!$AB$124&amp;" "&amp;Milestones!$AC$124&amp;";  ","")&amp;IF(AND(EDATE($D104,Milestones!$AA$125)&lt;=AsOfDate,IF($R104=0,$X104,IF(AND($T104&lt;&gt;"",EDATE($D104,Milestones!$AA$125)&gt;=$T104),$W104,IF(AND($S104&lt;&gt;"",EDATE($D104,Milestones!$AA$125)&gt;=$S104),$V104,$U104)))=Milestones!$AB$125),UPPER(TEXT(EDATE($D104,Milestones!$AA$125),"dd mmm yy"))&amp;" "&amp;Milestones!$AB$125&amp;" "&amp;Milestones!$AC$125&amp;";  ","")&amp;IF(AND(EDATE($D104,Milestones!$AA$126)&lt;=AsOfDate,IF($R104=0,$X104,IF(AND($T104&lt;&gt;"",EDATE($D104,Milestones!$AA$126)&gt;=$T104),$W104,IF(AND($S104&lt;&gt;"",EDATE($D104,Milestones!$AA$126)&gt;=$S104),$V104,$U104)))=Milestones!$AB$126),UPPER(TEXT(EDATE($D104,Milestones!$AA$126),"dd mmm yy"))&amp;" "&amp;Milestones!$AB$126&amp;" "&amp;Milestones!$AC$126&amp;";  ","")&amp;IF(AND(EDATE($D104,Milestones!$AA$127)&lt;=AsOfDate,IF($R104=0,$X104,IF(AND($T104&lt;&gt;"",EDATE($D104,Milestones!$AA$127)&gt;=$T104),$W104,IF(AND($S104&lt;&gt;"",EDATE($D104,Milestones!$AA$127)&gt;=$S104),$V104,$U104)))=Milestones!$AB$127),UPPER(TEXT(EDATE($D104,Milestones!$AA$127),"dd mmm yy"))&amp;" "&amp;Milestones!$AB$127&amp;" "&amp;Milestones!$AC$127&amp;";  ","")&amp;IF(AND(EDATE($D104,Milestones!$AA$128)&lt;=AsOfDate,IF($R104=0,$X104,IF(AND($T104&lt;&gt;"",EDATE($D104,Milestones!$AA$128)&gt;=$T104),$W104,IF(AND($S104&lt;&gt;"",EDATE($D104,Milestones!$AA$128)&gt;=$S104),$V104,$U104)))=Milestones!$AB$128),UPPER(TEXT(EDATE($D104,Milestones!$AA$128),"dd mmm yy"))&amp;" "&amp;Milestones!$AB$128&amp;" "&amp;Milestones!$AC$128&amp;";  ","")&amp;IF(AND(EDATE($D104,Milestones!$AA$129)&lt;=AsOfDate,IF($R104=0,$X104,IF(AND($T104&lt;&gt;"",EDATE($D104,Milestones!$AA$129)&gt;=$T104),$W104,IF(AND($S104&lt;&gt;"",EDATE($D104,Milestones!$AA$129)&gt;=$S104),$V104,$U104)))=Milestones!$AB$129),UPPER(TEXT(EDATE($D104,Milestones!$AA$129),"dd mmm yy"))&amp;" "&amp;Milestones!$AB$129&amp;" "&amp;Milestones!$AC$129&amp;";  ","")&amp;IF(AND(EDATE($D104,Milestones!$AA$130)&lt;=AsOfDate,IF($R104=0,$X104,IF(AND($T104&lt;&gt;"",EDATE($D104,Milestones!$AA$130)&gt;=$T104),$W104,IF(AND($S104&lt;&gt;"",EDATE($D104,Milestones!$AA$130)&gt;=$S104),$V104,$U104)))=Milestones!$AB$130),UPPER(TEXT(EDATE($D104,Milestones!$AA$130),"dd mmm yy"))&amp;" "&amp;Milestones!$AB$130&amp;" "&amp;Milestones!$AC$130&amp;";  ","")&amp;IF(AND(EDATE($D104,Milestones!$AA$131)&lt;=AsOfDate,IF($R104=0,$X104,IF(AND($T104&lt;&gt;"",EDATE($D104,Milestones!$AA$131)&gt;=$T104),$W104,IF(AND($S104&lt;&gt;"",EDATE($D104,Milestones!$AA$131)&gt;=$S104),$V104,$U104)))=Milestones!$AB$131),UPPER(TEXT(EDATE($D104,Milestones!$AA$131),"dd mmm yy"))&amp;" "&amp;Milestones!$AB$131&amp;" "&amp;Milestones!$AC$131&amp;";  ","")&amp;IF(AND(EDATE($D104,Milestones!$AA$132)&lt;=AsOfDate,IF($R104=0,$X104,IF(AND($T104&lt;&gt;"",EDATE($D104,Milestones!$AA$132)&gt;=$T104),$W104,IF(AND($S104&lt;&gt;"",EDATE($D104,Milestones!$AA$132)&gt;=$S104),$V104,$U104)))=Milestones!$AB$132),UPPER(TEXT(EDATE($D104,Milestones!$AA$132),"dd mmm yy"))&amp;" "&amp;Milestones!$AB$132&amp;" "&amp;Milestones!$AC$132&amp;";  ","")&amp;IF(AND(EDATE($D104,Milestones!$AA$133)&lt;=AsOfDate,IF($R104=0,$X104,IF(AND($T104&lt;&gt;"",EDATE($D104,Milestones!$AA$133)&gt;=$T104),$W104,IF(AND($S104&lt;&gt;"",EDATE($D104,Milestones!$AA$133)&gt;=$S104),$V104,$U104)))=Milestones!$AB$133),UPPER(TEXT(EDATE($D104,Milestones!$AA$133),"dd mmm yy"))&amp;" "&amp;Milestones!$AB$133&amp;" "&amp;Milestones!$AC$133&amp;";  ","")&amp;IF(AND(EDATE($D104,Milestones!$AA$134)&lt;=AsOfDate,IF($R104=0,$X104,IF(AND($T104&lt;&gt;"",EDATE($D104,Milestones!$AA$134)&gt;=$T104),$W104,IF(AND($S104&lt;&gt;"",EDATE($D104,Milestones!$AA$134)&gt;=$S104),$V104,$U104)))=Milestones!$AB$134),UPPER(TEXT(EDATE($D104,Milestones!$AA$134),"dd mmm yy"))&amp;" "&amp;Milestones!$AB$134&amp;" "&amp;Milestones!$AC$134&amp;";  ","")&amp;IF(AND(EDATE($D104,Milestones!$AA$135)&lt;=AsOfDate,IF($R104=0,$X104,IF(AND($T104&lt;&gt;"",EDATE($D104,Milestones!$AA$135)&gt;=$T104),$W104,IF(AND($S104&lt;&gt;"",EDATE($D104,Milestones!$AA$135)&gt;=$S104),$V104,$U104)))=Milestones!$AB$135),UPPER(TEXT(EDATE($D104,Milestones!$AA$135),"dd mmm yy"))&amp;" "&amp;Milestones!$AB$135&amp;" "&amp;Milestones!$AC$135&amp;";  ","")&amp;IF(AND(EDATE($D104,Milestones!$AA$136)&lt;=AsOfDate,IF($R104=0,$X104,IF(AND($T104&lt;&gt;"",EDATE($D104,Milestones!$AA$136)&gt;=$T104),$W104,IF(AND($S104&lt;&gt;"",EDATE($D104,Milestones!$AA$136)&gt;=$S104),$V104,$U104)))=Milestones!$AB$136),UPPER(TEXT(EDATE($D104,Milestones!$AA$136),"dd mmm yy"))&amp;" "&amp;Milestones!$AB$136&amp;" "&amp;Milestones!$AC$136&amp;";  ","")&amp;IF(AND(EDATE($D104,Milestones!$AA$137)&lt;=AsOfDate,IF($R104=0,$X104,IF(AND($T104&lt;&gt;"",EDATE($D104,Milestones!$AA$137)&gt;=$T104),$W104,IF(AND($S104&lt;&gt;"",EDATE($D104,Milestones!$AA$137)&gt;=$S104),$V104,$U104)))=Milestones!$AB$137),UPPER(TEXT(EDATE($D104,Milestones!$AA$137),"dd mmm yy"))&amp;" "&amp;Milestones!$AB$137&amp;" "&amp;Milestones!$AC$137&amp;";  ","")&amp;IF(AND(EDATE($D104,Milestones!$AA$138)&lt;=AsOfDate,IF($R104=0,$X104,IF(AND($T104&lt;&gt;"",EDATE($D104,Milestones!$AA$138)&gt;=$T104),$W104,IF(AND($S104&lt;&gt;"",EDATE($D104,Milestones!$AA$138)&gt;=$S104),$V104,$U104)))=Milestones!$AB$138),UPPER(TEXT(EDATE($D104,Milestones!$AA$138),"dd mmm yy"))&amp;" "&amp;Milestones!$AB$138&amp;" "&amp;Milestones!$AC$138&amp;";  ","")&amp;IF(AND(EDATE($D104,Milestones!$AA$139)&lt;=AsOfDate,IF($R104=0,$X104,IF(AND($T104&lt;&gt;"",EDATE($D104,Milestones!$AA$139)&gt;=$T104),$W104,IF(AND($S104&lt;&gt;"",EDATE($D104,Milestones!$AA$139)&gt;=$S104),$V104,$U104)))=Milestones!$AB$139),UPPER(TEXT(EDATE($D104,Milestones!$AA$139),"dd mmm yy"))&amp;" "&amp;Milestones!$AB$139&amp;" "&amp;Milestones!$AC$139&amp;";  ",""))</f>
        <v/>
      </c>
      <c r="O104" s="0" t="str">
        <f aca="false">IF(OR($A104="",$D104=""),"",IF(AND(EDATE($D104,Milestones!$AA$140)&lt;=AsOfDate,IF($R104=0,$X104,IF(AND($T104&lt;&gt;"",EDATE($D104,Milestones!$AA$140)&gt;=$T104),$W104,IF(AND($S104&lt;&gt;"",EDATE($D104,Milestones!$AA$140)&gt;=$S104),$V104,$U104)))=Milestones!$AB$140),UPPER(TEXT(EDATE($D104,Milestones!$AA$140),"dd mmm yy"))&amp;" "&amp;Milestones!$AB$140&amp;" "&amp;Milestones!$AC$140&amp;";  ","")&amp;IF(AND(EDATE($D104,Milestones!$AA$141)&lt;=AsOfDate,IF($R104=0,$X104,IF(AND($T104&lt;&gt;"",EDATE($D104,Milestones!$AA$141)&gt;=$T104),$W104,IF(AND($S104&lt;&gt;"",EDATE($D104,Milestones!$AA$141)&gt;=$S104),$V104,$U104)))=Milestones!$AB$141),UPPER(TEXT(EDATE($D104,Milestones!$AA$141),"dd mmm yy"))&amp;" "&amp;Milestones!$AB$141&amp;" "&amp;Milestones!$AC$141&amp;";  ","")&amp;IF(AND(EDATE($D104,Milestones!$AA$142)&lt;=AsOfDate,IF($R104=0,$X104,IF(AND($T104&lt;&gt;"",EDATE($D104,Milestones!$AA$142)&gt;=$T104),$W104,IF(AND($S104&lt;&gt;"",EDATE($D104,Milestones!$AA$142)&gt;=$S104),$V104,$U104)))=Milestones!$AB$142),UPPER(TEXT(EDATE($D104,Milestones!$AA$142),"dd mmm yy"))&amp;" "&amp;Milestones!$AB$142&amp;" "&amp;Milestones!$AC$142&amp;";  ","")&amp;IF(AND(EDATE($D104,Milestones!$AA$143)&lt;=AsOfDate,IF($R104=0,$X104,IF(AND($T104&lt;&gt;"",EDATE($D104,Milestones!$AA$143)&gt;=$T104),$W104,IF(AND($S104&lt;&gt;"",EDATE($D104,Milestones!$AA$143)&gt;=$S104),$V104,$U104)))=Milestones!$AB$143),UPPER(TEXT(EDATE($D104,Milestones!$AA$143),"dd mmm yy"))&amp;" "&amp;Milestones!$AB$143&amp;" "&amp;Milestones!$AC$143&amp;";  ","")&amp;IF(AND(EDATE($D104,Milestones!$AA$144)&lt;=AsOfDate,IF($R104=0,$X104,IF(AND($T104&lt;&gt;"",EDATE($D104,Milestones!$AA$144)&gt;=$T104),$W104,IF(AND($S104&lt;&gt;"",EDATE($D104,Milestones!$AA$144)&gt;=$S104),$V104,$U104)))=Milestones!$AB$144),UPPER(TEXT(EDATE($D104,Milestones!$AA$144),"dd mmm yy"))&amp;" "&amp;Milestones!$AB$144&amp;" "&amp;Milestones!$AC$144&amp;";  ","")&amp;IF(AND(EDATE($D104,Milestones!$AA$145)&lt;=AsOfDate,IF($R104=0,$X104,IF(AND($T104&lt;&gt;"",EDATE($D104,Milestones!$AA$145)&gt;=$T104),$W104,IF(AND($S104&lt;&gt;"",EDATE($D104,Milestones!$AA$145)&gt;=$S104),$V104,$U104)))=Milestones!$AB$145),UPPER(TEXT(EDATE($D104,Milestones!$AA$145),"dd mmm yy"))&amp;" "&amp;Milestones!$AB$145&amp;" "&amp;Milestones!$AC$145&amp;";  ","")&amp;IF(AND(EDATE($D104,Milestones!$AA$146)&lt;=AsOfDate,IF($R104=0,$X104,IF(AND($T104&lt;&gt;"",EDATE($D104,Milestones!$AA$146)&gt;=$T104),$W104,IF(AND($S104&lt;&gt;"",EDATE($D104,Milestones!$AA$146)&gt;=$S104),$V104,$U104)))=Milestones!$AB$146),UPPER(TEXT(EDATE($D104,Milestones!$AA$146),"dd mmm yy"))&amp;" "&amp;Milestones!$AB$146&amp;" "&amp;Milestones!$AC$146&amp;";  ","")&amp;IF(AND(EDATE($D104,Milestones!$AA$147)&lt;=AsOfDate,IF($R104=0,$X104,IF(AND($T104&lt;&gt;"",EDATE($D104,Milestones!$AA$147)&gt;=$T104),$W104,IF(AND($S104&lt;&gt;"",EDATE($D104,Milestones!$AA$147)&gt;=$S104),$V104,$U104)))=Milestones!$AB$147),UPPER(TEXT(EDATE($D104,Milestones!$AA$147),"dd mmm yy"))&amp;" "&amp;Milestones!$AB$147&amp;" "&amp;Milestones!$AC$147&amp;";  ","")&amp;IF(AND(EDATE($D104,Milestones!$AA$148)&lt;=AsOfDate,IF($R104=0,$X104,IF(AND($T104&lt;&gt;"",EDATE($D104,Milestones!$AA$148)&gt;=$T104),$W104,IF(AND($S104&lt;&gt;"",EDATE($D104,Milestones!$AA$148)&gt;=$S104),$V104,$U104)))=Milestones!$AB$148),UPPER(TEXT(EDATE($D104,Milestones!$AA$148),"dd mmm yy"))&amp;" "&amp;Milestones!$AB$148&amp;" "&amp;Milestones!$AC$148&amp;";  ","")&amp;IF(AND(EDATE($D104,Milestones!$AA$149)&lt;=AsOfDate,IF($R104=0,$X104,IF(AND($T104&lt;&gt;"",EDATE($D104,Milestones!$AA$149)&gt;=$T104),$W104,IF(AND($S104&lt;&gt;"",EDATE($D104,Milestones!$AA$149)&gt;=$S104),$V104,$U104)))=Milestones!$AB$149),UPPER(TEXT(EDATE($D104,Milestones!$AA$149),"dd mmm yy"))&amp;" "&amp;Milestones!$AB$149&amp;" "&amp;Milestones!$AC$149&amp;";  ","")&amp;IF(AND(EDATE($D104,Milestones!$AA$150)&lt;=AsOfDate,IF($R104=0,$X104,IF(AND($T104&lt;&gt;"",EDATE($D104,Milestones!$AA$150)&gt;=$T104),$W104,IF(AND($S104&lt;&gt;"",EDATE($D104,Milestones!$AA$150)&gt;=$S104),$V104,$U104)))=Milestones!$AB$150),UPPER(TEXT(EDATE($D104,Milestones!$AA$150),"dd mmm yy"))&amp;" "&amp;Milestones!$AB$150&amp;" "&amp;Milestones!$AC$150&amp;";  ","")&amp;IF(AND(EDATE($D104,Milestones!$AA$151)&lt;=AsOfDate,IF($R104=0,$X104,IF(AND($T104&lt;&gt;"",EDATE($D104,Milestones!$AA$151)&gt;=$T104),$W104,IF(AND($S104&lt;&gt;"",EDATE($D104,Milestones!$AA$151)&gt;=$S104),$V104,$U104)))=Milestones!$AB$151),UPPER(TEXT(EDATE($D104,Milestones!$AA$151),"dd mmm yy"))&amp;" "&amp;Milestones!$AB$151&amp;" "&amp;Milestones!$AC$151&amp;";  ","")&amp;IF(AND(EDATE($D104,Milestones!$AA$152)&lt;=AsOfDate,IF($R104=0,$X104,IF(AND($T104&lt;&gt;"",EDATE($D104,Milestones!$AA$152)&gt;=$T104),$W104,IF(AND($S104&lt;&gt;"",EDATE($D104,Milestones!$AA$152)&gt;=$S104),$V104,$U104)))=Milestones!$AB$152),UPPER(TEXT(EDATE($D104,Milestones!$AA$152),"dd mmm yy"))&amp;" "&amp;Milestones!$AB$152&amp;" "&amp;Milestones!$AC$152&amp;";  ","")&amp;IF(AND(EDATE($D104,Milestones!$AA$153)&lt;=AsOfDate,IF($R104=0,$X104,IF(AND($T104&lt;&gt;"",EDATE($D104,Milestones!$AA$153)&gt;=$T104),$W104,IF(AND($S104&lt;&gt;"",EDATE($D104,Milestones!$AA$153)&gt;=$S104),$V104,$U104)))=Milestones!$AB$153),UPPER(TEXT(EDATE($D104,Milestones!$AA$153),"dd mmm yy"))&amp;" "&amp;Milestones!$AB$153&amp;" "&amp;Milestones!$AC$153&amp;";  ","")&amp;IF(AND(EDATE($D104,Milestones!$AA$154)&lt;=AsOfDate,IF($R104=0,$X104,IF(AND($T104&lt;&gt;"",EDATE($D104,Milestones!$AA$154)&gt;=$T104),$W104,IF(AND($S104&lt;&gt;"",EDATE($D104,Milestones!$AA$154)&gt;=$S104),$V104,$U104)))=Milestones!$AB$154),UPPER(TEXT(EDATE($D104,Milestones!$AA$154),"dd mmm yy"))&amp;" "&amp;Milestones!$AB$154&amp;" "&amp;Milestones!$AC$154&amp;";  ","")&amp;IF(AND(EDATE($D104,Milestones!$AA$155)&lt;=AsOfDate,IF($R104=0,$X104,IF(AND($T104&lt;&gt;"",EDATE($D104,Milestones!$AA$155)&gt;=$T104),$W104,IF(AND($S104&lt;&gt;"",EDATE($D104,Milestones!$AA$155)&gt;=$S104),$V104,$U104)))=Milestones!$AB$155),UPPER(TEXT(EDATE($D104,Milestones!$AA$155),"dd mmm yy"))&amp;" "&amp;Milestones!$AB$155&amp;" "&amp;Milestones!$AC$155&amp;";  ","")&amp;IF(AND(EDATE($D104,Milestones!$AA$156)&lt;=AsOfDate,IF($R104=0,$X104,IF(AND($T104&lt;&gt;"",EDATE($D104,Milestones!$AA$156)&gt;=$T104),$W104,IF(AND($S104&lt;&gt;"",EDATE($D104,Milestones!$AA$156)&gt;=$S104),$V104,$U104)))=Milestones!$AB$156),UPPER(TEXT(EDATE($D104,Milestones!$AA$156),"dd mmm yy"))&amp;" "&amp;Milestones!$AB$156&amp;" "&amp;Milestones!$AC$156&amp;";  ","")&amp;IF(AND(EDATE($D104,Milestones!$AA$157)&lt;=AsOfDate,IF($R104=0,$X104,IF(AND($T104&lt;&gt;"",EDATE($D104,Milestones!$AA$157)&gt;=$T104),$W104,IF(AND($S104&lt;&gt;"",EDATE($D104,Milestones!$AA$157)&gt;=$S104),$V104,$U104)))=Milestones!$AB$157),UPPER(TEXT(EDATE($D104,Milestones!$AA$157),"dd mmm yy"))&amp;" "&amp;Milestones!$AB$157&amp;" "&amp;Milestones!$AC$157&amp;";  ","")&amp;IF(AND(EDATE($D104,Milestones!$AA$158)&lt;=AsOfDate,IF($R104=0,$X104,IF(AND($T104&lt;&gt;"",EDATE($D104,Milestones!$AA$158)&gt;=$T104),$W104,IF(AND($S104&lt;&gt;"",EDATE($D104,Milestones!$AA$158)&gt;=$S104),$V104,$U104)))=Milestones!$AB$158),UPPER(TEXT(EDATE($D104,Milestones!$AA$158),"dd mmm yy"))&amp;" "&amp;Milestones!$AB$158&amp;" "&amp;Milestones!$AC$158&amp;";  ","")&amp;IF(AND(EDATE($D104,Milestones!$AA$159)&lt;=AsOfDate,IF($R104=0,$X104,IF(AND($T104&lt;&gt;"",EDATE($D104,Milestones!$AA$159)&gt;=$T104),$W104,IF(AND($S104&lt;&gt;"",EDATE($D104,Milestones!$AA$159)&gt;=$S104),$V104,$U104)))=Milestones!$AB$159),UPPER(TEXT(EDATE($D104,Milestones!$AA$159),"dd mmm yy"))&amp;" "&amp;Milestones!$AB$159&amp;" "&amp;Milestones!$AC$159&amp;";  ",""))</f>
        <v/>
      </c>
      <c r="P104" s="0" t="str">
        <f aca="false">IF(OR($A104="",$D104=""),"",IF(AND(EDATE($D104,Milestones!$AA$160)&lt;=AsOfDate,IF($R104=0,$X104,IF(AND($T104&lt;&gt;"",EDATE($D104,Milestones!$AA$160)&gt;=$T104),$W104,IF(AND($S104&lt;&gt;"",EDATE($D104,Milestones!$AA$160)&gt;=$S104),$V104,$U104)))=Milestones!$AB$160),UPPER(TEXT(EDATE($D104,Milestones!$AA$160),"dd mmm yy"))&amp;" "&amp;Milestones!$AB$160&amp;" "&amp;Milestones!$AC$160&amp;";  ","")&amp;IF(AND(EDATE($D104,Milestones!$AA$161)&lt;=AsOfDate,IF($R104=0,$X104,IF(AND($T104&lt;&gt;"",EDATE($D104,Milestones!$AA$161)&gt;=$T104),$W104,IF(AND($S104&lt;&gt;"",EDATE($D104,Milestones!$AA$161)&gt;=$S104),$V104,$U104)))=Milestones!$AB$161),UPPER(TEXT(EDATE($D104,Milestones!$AA$161),"dd mmm yy"))&amp;" "&amp;Milestones!$AB$161&amp;" "&amp;Milestones!$AC$161&amp;";  ","")&amp;IF(AND(EDATE($D104,Milestones!$AA$162)&lt;=AsOfDate,IF($R104=0,$X104,IF(AND($T104&lt;&gt;"",EDATE($D104,Milestones!$AA$162)&gt;=$T104),$W104,IF(AND($S104&lt;&gt;"",EDATE($D104,Milestones!$AA$162)&gt;=$S104),$V104,$U104)))=Milestones!$AB$162),UPPER(TEXT(EDATE($D104,Milestones!$AA$162),"dd mmm yy"))&amp;" "&amp;Milestones!$AB$162&amp;" "&amp;Milestones!$AC$162&amp;";  ","")&amp;IF(AND(EDATE($D104,Milestones!$AA$163)&lt;=AsOfDate,IF($R104=0,$X104,IF(AND($T104&lt;&gt;"",EDATE($D104,Milestones!$AA$163)&gt;=$T104),$W104,IF(AND($S104&lt;&gt;"",EDATE($D104,Milestones!$AA$163)&gt;=$S104),$V104,$U104)))=Milestones!$AB$163),UPPER(TEXT(EDATE($D104,Milestones!$AA$163),"dd mmm yy"))&amp;" "&amp;Milestones!$AB$163&amp;" "&amp;Milestones!$AC$163&amp;";  ","")&amp;IF(AND(EDATE($D104,Milestones!$AA$164)&lt;=AsOfDate,IF($R104=0,$X104,IF(AND($T104&lt;&gt;"",EDATE($D104,Milestones!$AA$164)&gt;=$T104),$W104,IF(AND($S104&lt;&gt;"",EDATE($D104,Milestones!$AA$164)&gt;=$S104),$V104,$U104)))=Milestones!$AB$164),UPPER(TEXT(EDATE($D104,Milestones!$AA$164),"dd mmm yy"))&amp;" "&amp;Milestones!$AB$164&amp;" "&amp;Milestones!$AC$164&amp;";  ","")&amp;IF(AND(EDATE($D104,Milestones!$AA$165)&lt;=AsOfDate,IF($R104=0,$X104,IF(AND($T104&lt;&gt;"",EDATE($D104,Milestones!$AA$165)&gt;=$T104),$W104,IF(AND($S104&lt;&gt;"",EDATE($D104,Milestones!$AA$165)&gt;=$S104),$V104,$U104)))=Milestones!$AB$165),UPPER(TEXT(EDATE($D104,Milestones!$AA$165),"dd mmm yy"))&amp;" "&amp;Milestones!$AB$165&amp;" "&amp;Milestones!$AC$165&amp;";  ","")&amp;IF(AND(EDATE($D104,Milestones!$AA$166)&lt;=AsOfDate,IF($R104=0,$X104,IF(AND($T104&lt;&gt;"",EDATE($D104,Milestones!$AA$166)&gt;=$T104),$W104,IF(AND($S104&lt;&gt;"",EDATE($D104,Milestones!$AA$166)&gt;=$S104),$V104,$U104)))=Milestones!$AB$166),UPPER(TEXT(EDATE($D104,Milestones!$AA$166),"dd mmm yy"))&amp;" "&amp;Milestones!$AB$166&amp;" "&amp;Milestones!$AC$166&amp;";  ","")&amp;IF(AND(EDATE($D104,Milestones!$AA$167)&lt;=AsOfDate,IF($R104=0,$X104,IF(AND($T104&lt;&gt;"",EDATE($D104,Milestones!$AA$167)&gt;=$T104),$W104,IF(AND($S104&lt;&gt;"",EDATE($D104,Milestones!$AA$167)&gt;=$S104),$V104,$U104)))=Milestones!$AB$167),UPPER(TEXT(EDATE($D104,Milestones!$AA$167),"dd mmm yy"))&amp;" "&amp;Milestones!$AB$167&amp;" "&amp;Milestones!$AC$167&amp;";  ","")&amp;IF(AND(EDATE($D104,Milestones!$AA$168)&lt;=AsOfDate,IF($R104=0,$X104,IF(AND($T104&lt;&gt;"",EDATE($D104,Milestones!$AA$168)&gt;=$T104),$W104,IF(AND($S104&lt;&gt;"",EDATE($D104,Milestones!$AA$168)&gt;=$S104),$V104,$U104)))=Milestones!$AB$168),UPPER(TEXT(EDATE($D104,Milestones!$AA$168),"dd mmm yy"))&amp;" "&amp;Milestones!$AB$168&amp;" "&amp;Milestones!$AC$168&amp;";  ","")&amp;IF(AND(EDATE($D104,Milestones!$AA$169)&lt;=AsOfDate,IF($R104=0,$X104,IF(AND($T104&lt;&gt;"",EDATE($D104,Milestones!$AA$169)&gt;=$T104),$W104,IF(AND($S104&lt;&gt;"",EDATE($D104,Milestones!$AA$169)&gt;=$S104),$V104,$U104)))=Milestones!$AB$169),UPPER(TEXT(EDATE($D104,Milestones!$AA$169),"dd mmm yy"))&amp;" "&amp;Milestones!$AB$169&amp;" "&amp;Milestones!$AC$169&amp;";  ","")&amp;IF(AND(EDATE($D104,Milestones!$AA$170)&lt;=AsOfDate,IF($R104=0,$X104,IF(AND($T104&lt;&gt;"",EDATE($D104,Milestones!$AA$170)&gt;=$T104),$W104,IF(AND($S104&lt;&gt;"",EDATE($D104,Milestones!$AA$170)&gt;=$S104),$V104,$U104)))=Milestones!$AB$170),UPPER(TEXT(EDATE($D104,Milestones!$AA$170),"dd mmm yy"))&amp;" "&amp;Milestones!$AB$170&amp;" "&amp;Milestones!$AC$170&amp;";  ","")&amp;IF(AND(EDATE($D104,Milestones!$AA$171)&lt;=AsOfDate,IF($R104=0,$X104,IF(AND($T104&lt;&gt;"",EDATE($D104,Milestones!$AA$171)&gt;=$T104),$W104,IF(AND($S104&lt;&gt;"",EDATE($D104,Milestones!$AA$171)&gt;=$S104),$V104,$U104)))=Milestones!$AB$171),UPPER(TEXT(EDATE($D104,Milestones!$AA$171),"dd mmm yy"))&amp;" "&amp;Milestones!$AB$171&amp;" "&amp;Milestones!$AC$171&amp;";  ","")&amp;IF(AND(EDATE($D104,Milestones!$AA$172)&lt;=AsOfDate,IF($R104=0,$X104,IF(AND($T104&lt;&gt;"",EDATE($D104,Milestones!$AA$172)&gt;=$T104),$W104,IF(AND($S104&lt;&gt;"",EDATE($D104,Milestones!$AA$172)&gt;=$S104),$V104,$U104)))=Milestones!$AB$172),UPPER(TEXT(EDATE($D104,Milestones!$AA$172),"dd mmm yy"))&amp;" "&amp;Milestones!$AB$172&amp;" "&amp;Milestones!$AC$172&amp;";  ","")&amp;IF(AND(EDATE($D104,Milestones!$AA$173)&lt;=AsOfDate,IF($R104=0,$X104,IF(AND($T104&lt;&gt;"",EDATE($D104,Milestones!$AA$173)&gt;=$T104),$W104,IF(AND($S104&lt;&gt;"",EDATE($D104,Milestones!$AA$173)&gt;=$S104),$V104,$U104)))=Milestones!$AB$173),UPPER(TEXT(EDATE($D104,Milestones!$AA$173),"dd mmm yy"))&amp;" "&amp;Milestones!$AB$173&amp;" "&amp;Milestones!$AC$173&amp;";  ","")&amp;IF(AND(EDATE($D104,Milestones!$AA$174)&lt;=AsOfDate,IF($R104=0,$X104,IF(AND($T104&lt;&gt;"",EDATE($D104,Milestones!$AA$174)&gt;=$T104),$W104,IF(AND($S104&lt;&gt;"",EDATE($D104,Milestones!$AA$174)&gt;=$S104),$V104,$U104)))=Milestones!$AB$174),UPPER(TEXT(EDATE($D104,Milestones!$AA$174),"dd mmm yy"))&amp;" "&amp;Milestones!$AB$174&amp;" "&amp;Milestones!$AC$174&amp;";  ","")&amp;IF(AND(EDATE($D104,Milestones!$AA$175)&lt;=AsOfDate,IF($R104=0,$X104,IF(AND($T104&lt;&gt;"",EDATE($D104,Milestones!$AA$175)&gt;=$T104),$W104,IF(AND($S104&lt;&gt;"",EDATE($D104,Milestones!$AA$175)&gt;=$S104),$V104,$U104)))=Milestones!$AB$175),UPPER(TEXT(EDATE($D104,Milestones!$AA$175),"dd mmm yy"))&amp;" "&amp;Milestones!$AB$175&amp;" "&amp;Milestones!$AC$175&amp;";  ","")&amp;IF(AND(EDATE($D104,Milestones!$AA$176)&lt;=AsOfDate,IF($R104=0,$X104,IF(AND($T104&lt;&gt;"",EDATE($D104,Milestones!$AA$176)&gt;=$T104),$W104,IF(AND($S104&lt;&gt;"",EDATE($D104,Milestones!$AA$176)&gt;=$S104),$V104,$U104)))=Milestones!$AB$176),UPPER(TEXT(EDATE($D104,Milestones!$AA$176),"dd mmm yy"))&amp;" "&amp;Milestones!$AB$176&amp;" "&amp;Milestones!$AC$176&amp;";  ","")&amp;IF(AND(EDATE($D104,Milestones!$AA$177)&lt;=AsOfDate,IF($R104=0,$X104,IF(AND($T104&lt;&gt;"",EDATE($D104,Milestones!$AA$177)&gt;=$T104),$W104,IF(AND($S104&lt;&gt;"",EDATE($D104,Milestones!$AA$177)&gt;=$S104),$V104,$U104)))=Milestones!$AB$177),UPPER(TEXT(EDATE($D104,Milestones!$AA$177),"dd mmm yy"))&amp;" "&amp;Milestones!$AB$177&amp;" "&amp;Milestones!$AC$177&amp;";  ","")&amp;IF(AND(EDATE($D104,Milestones!$AA$178)&lt;=AsOfDate,IF($R104=0,$X104,IF(AND($T104&lt;&gt;"",EDATE($D104,Milestones!$AA$178)&gt;=$T104),$W104,IF(AND($S104&lt;&gt;"",EDATE($D104,Milestones!$AA$178)&gt;=$S104),$V104,$U104)))=Milestones!$AB$178),UPPER(TEXT(EDATE($D104,Milestones!$AA$178),"dd mmm yy"))&amp;" "&amp;Milestones!$AB$178&amp;" "&amp;Milestones!$AC$178&amp;";  ","")&amp;IF(AND(EDATE($D104,Milestones!$AA$179)&lt;=AsOfDate,IF($R104=0,$X104,IF(AND($T104&lt;&gt;"",EDATE($D104,Milestones!$AA$179)&gt;=$T104),$W104,IF(AND($S104&lt;&gt;"",EDATE($D104,Milestones!$AA$179)&gt;=$S104),$V104,$U104)))=Milestones!$AB$179),UPPER(TEXT(EDATE($D104,Milestones!$AA$179),"dd mmm yy"))&amp;" "&amp;Milestones!$AB$179&amp;" "&amp;Milestones!$AC$179&amp;";  ",""))</f>
        <v/>
      </c>
      <c r="Q104" s="0" t="str">
        <f aca="false">IF(OR($A104="",$D104=""),"",IF(AND(EDATE($D104,Milestones!$AA$180)&lt;=AsOfDate,IF($R104=0,$X104,IF(AND($T104&lt;&gt;"",EDATE($D104,Milestones!$AA$180)&gt;=$T104),$W104,IF(AND($S104&lt;&gt;"",EDATE($D104,Milestones!$AA$180)&gt;=$S104),$V104,$U104)))=Milestones!$AB$180),UPPER(TEXT(EDATE($D104,Milestones!$AA$180),"dd mmm yy"))&amp;" "&amp;Milestones!$AB$180&amp;" "&amp;Milestones!$AC$180&amp;";  ","")&amp;IF(AND(EDATE($D104,Milestones!$AA$181)&lt;=AsOfDate,IF($R104=0,$X104,IF(AND($T104&lt;&gt;"",EDATE($D104,Milestones!$AA$181)&gt;=$T104),$W104,IF(AND($S104&lt;&gt;"",EDATE($D104,Milestones!$AA$181)&gt;=$S104),$V104,$U104)))=Milestones!$AB$181),UPPER(TEXT(EDATE($D104,Milestones!$AA$181),"dd mmm yy"))&amp;" "&amp;Milestones!$AB$181&amp;" "&amp;Milestones!$AC$181&amp;";  ","")&amp;IF(AND(EDATE($D104,Milestones!$AA$182)&lt;=AsOfDate,IF($R104=0,$X104,IF(AND($T104&lt;&gt;"",EDATE($D104,Milestones!$AA$182)&gt;=$T104),$W104,IF(AND($S104&lt;&gt;"",EDATE($D104,Milestones!$AA$182)&gt;=$S104),$V104,$U104)))=Milestones!$AB$182),UPPER(TEXT(EDATE($D104,Milestones!$AA$182),"dd mmm yy"))&amp;" "&amp;Milestones!$AB$182&amp;" "&amp;Milestones!$AC$182&amp;";  ","")&amp;IF(AND(EDATE($D104,Milestones!$AA$183)&lt;=AsOfDate,IF($R104=0,$X104,IF(AND($T104&lt;&gt;"",EDATE($D104,Milestones!$AA$183)&gt;=$T104),$W104,IF(AND($S104&lt;&gt;"",EDATE($D104,Milestones!$AA$183)&gt;=$S104),$V104,$U104)))=Milestones!$AB$183),UPPER(TEXT(EDATE($D104,Milestones!$AA$183),"dd mmm yy"))&amp;" "&amp;Milestones!$AB$183&amp;" "&amp;Milestones!$AC$183&amp;";  ","")&amp;IF(AND(EDATE($D104,Milestones!$AA$184)&lt;=AsOfDate,IF($R104=0,$X104,IF(AND($T104&lt;&gt;"",EDATE($D104,Milestones!$AA$184)&gt;=$T104),$W104,IF(AND($S104&lt;&gt;"",EDATE($D104,Milestones!$AA$184)&gt;=$S104),$V104,$U104)))=Milestones!$AB$184),UPPER(TEXT(EDATE($D104,Milestones!$AA$184),"dd mmm yy"))&amp;" "&amp;Milestones!$AB$184&amp;" "&amp;Milestones!$AC$184&amp;";  ","")&amp;IF(AND(EDATE($D104,Milestones!$AA$185)&lt;=AsOfDate,IF($R104=0,$X104,IF(AND($T104&lt;&gt;"",EDATE($D104,Milestones!$AA$185)&gt;=$T104),$W104,IF(AND($S104&lt;&gt;"",EDATE($D104,Milestones!$AA$185)&gt;=$S104),$V104,$U104)))=Milestones!$AB$185),UPPER(TEXT(EDATE($D104,Milestones!$AA$185),"dd mmm yy"))&amp;" "&amp;Milestones!$AB$185&amp;" "&amp;Milestones!$AC$185&amp;";  ","")&amp;IF(AND(EDATE($D104,Milestones!$AA$186)&lt;=AsOfDate,IF($R104=0,$X104,IF(AND($T104&lt;&gt;"",EDATE($D104,Milestones!$AA$186)&gt;=$T104),$W104,IF(AND($S104&lt;&gt;"",EDATE($D104,Milestones!$AA$186)&gt;=$S104),$V104,$U104)))=Milestones!$AB$186),UPPER(TEXT(EDATE($D104,Milestones!$AA$186),"dd mmm yy"))&amp;" "&amp;Milestones!$AB$186&amp;" "&amp;Milestones!$AC$186&amp;";  ","")&amp;IF(AND(EDATE($D104,Milestones!$AA$187)&lt;=AsOfDate,IF($R104=0,$X104,IF(AND($T104&lt;&gt;"",EDATE($D104,Milestones!$AA$187)&gt;=$T104),$W104,IF(AND($S104&lt;&gt;"",EDATE($D104,Milestones!$AA$187)&gt;=$S104),$V104,$U104)))=Milestones!$AB$187),UPPER(TEXT(EDATE($D104,Milestones!$AA$187),"dd mmm yy"))&amp;" "&amp;Milestones!$AB$187&amp;" "&amp;Milestones!$AC$187&amp;";  ","")&amp;IF(AND(EDATE($D104,Milestones!$AA$188)&lt;=AsOfDate,IF($R104=0,$X104,IF(AND($T104&lt;&gt;"",EDATE($D104,Milestones!$AA$188)&gt;=$T104),$W104,IF(AND($S104&lt;&gt;"",EDATE($D104,Milestones!$AA$188)&gt;=$S104),$V104,$U104)))=Milestones!$AB$188),UPPER(TEXT(EDATE($D104,Milestones!$AA$188),"dd mmm yy"))&amp;" "&amp;Milestones!$AB$188&amp;" "&amp;Milestones!$AC$188&amp;";  ","")&amp;IF(AND(EDATE($D104,Milestones!$AA$189)&lt;=AsOfDate,IF($R104=0,$X104,IF(AND($T104&lt;&gt;"",EDATE($D104,Milestones!$AA$189)&gt;=$T104),$W104,IF(AND($S104&lt;&gt;"",EDATE($D104,Milestones!$AA$189)&gt;=$S104),$V104,$U104)))=Milestones!$AB$189),UPPER(TEXT(EDATE($D104,Milestones!$AA$189),"dd mmm yy"))&amp;" "&amp;Milestones!$AB$189&amp;" "&amp;Milestones!$AC$189&amp;";  ","")&amp;IF(AND(EDATE($D104,Milestones!$AA$190)&lt;=AsOfDate,IF($R104=0,$X104,IF(AND($T104&lt;&gt;"",EDATE($D104,Milestones!$AA$190)&gt;=$T104),$W104,IF(AND($S104&lt;&gt;"",EDATE($D104,Milestones!$AA$190)&gt;=$S104),$V104,$U104)))=Milestones!$AB$190),UPPER(TEXT(EDATE($D104,Milestones!$AA$190),"dd mmm yy"))&amp;" "&amp;Milestones!$AB$190&amp;" "&amp;Milestones!$AC$190&amp;";  ","")&amp;IF(AND(EDATE($D104,Milestones!$AA$191)&lt;=AsOfDate,IF($R104=0,$X104,IF(AND($T104&lt;&gt;"",EDATE($D104,Milestones!$AA$191)&gt;=$T104),$W104,IF(AND($S104&lt;&gt;"",EDATE($D104,Milestones!$AA$191)&gt;=$S104),$V104,$U104)))=Milestones!$AB$191),UPPER(TEXT(EDATE($D104,Milestones!$AA$191),"dd mmm yy"))&amp;" "&amp;Milestones!$AB$191&amp;" "&amp;Milestones!$AC$191&amp;";  ","")&amp;IF(AND(EDATE($D104,Milestones!$AA$192)&lt;=AsOfDate,IF($R104=0,$X104,IF(AND($T104&lt;&gt;"",EDATE($D104,Milestones!$AA$192)&gt;=$T104),$W104,IF(AND($S104&lt;&gt;"",EDATE($D104,Milestones!$AA$192)&gt;=$S104),$V104,$U104)))=Milestones!$AB$192),UPPER(TEXT(EDATE($D104,Milestones!$AA$192),"dd mmm yy"))&amp;" "&amp;Milestones!$AB$192&amp;" "&amp;Milestones!$AC$192&amp;";  ","")&amp;IF(AND(EDATE($D104,Milestones!$AA$193)&lt;=AsOfDate,IF($R104=0,$X104,IF(AND($T104&lt;&gt;"",EDATE($D104,Milestones!$AA$193)&gt;=$T104),$W104,IF(AND($S104&lt;&gt;"",EDATE($D104,Milestones!$AA$193)&gt;=$S104),$V104,$U104)))=Milestones!$AB$193),UPPER(TEXT(EDATE($D104,Milestones!$AA$193),"dd mmm yy"))&amp;" "&amp;Milestones!$AB$193&amp;" "&amp;Milestones!$AC$193&amp;";  ","")&amp;IF(AND(EDATE($D104,Milestones!$AA$194)&lt;=AsOfDate,IF($R104=0,$X104,IF(AND($T104&lt;&gt;"",EDATE($D104,Milestones!$AA$194)&gt;=$T104),$W104,IF(AND($S104&lt;&gt;"",EDATE($D104,Milestones!$AA$194)&gt;=$S104),$V104,$U104)))=Milestones!$AB$194),UPPER(TEXT(EDATE($D104,Milestones!$AA$194),"dd mmm yy"))&amp;" "&amp;Milestones!$AB$194&amp;" "&amp;Milestones!$AC$194&amp;";  ","")&amp;IF(AND(EDATE($D104,Milestones!$AA$195)&lt;=AsOfDate,IF($R104=0,$X104,IF(AND($T104&lt;&gt;"",EDATE($D104,Milestones!$AA$195)&gt;=$T104),$W104,IF(AND($S104&lt;&gt;"",EDATE($D104,Milestones!$AA$195)&gt;=$S104),$V104,$U104)))=Milestones!$AB$195),UPPER(TEXT(EDATE($D104,Milestones!$AA$195),"dd mmm yy"))&amp;" "&amp;Milestones!$AB$195&amp;" "&amp;Milestones!$AC$195&amp;";  ","")&amp;IF(AND(EDATE($D104,Milestones!$AA$196)&lt;=AsOfDate,IF($R104=0,$X104,IF(AND($T104&lt;&gt;"",EDATE($D104,Milestones!$AA$196)&gt;=$T104),$W104,IF(AND($S104&lt;&gt;"",EDATE($D104,Milestones!$AA$196)&gt;=$S104),$V104,$U104)))=Milestones!$AB$196),UPPER(TEXT(EDATE($D104,Milestones!$AA$196),"dd mmm yy"))&amp;" "&amp;Milestones!$AB$196&amp;" "&amp;Milestones!$AC$196&amp;";  ","")&amp;IF(AND(EDATE($D104,Milestones!$AA$197)&lt;=AsOfDate,IF($R104=0,$X104,IF(AND($T104&lt;&gt;"",EDATE($D104,Milestones!$AA$197)&gt;=$T104),$W104,IF(AND($S104&lt;&gt;"",EDATE($D104,Milestones!$AA$197)&gt;=$S104),$V104,$U104)))=Milestones!$AB$197),UPPER(TEXT(EDATE($D104,Milestones!$AA$197),"dd mmm yy"))&amp;" "&amp;Milestones!$AB$197&amp;" "&amp;Milestones!$AC$197&amp;";  ","")&amp;IF(AND(EDATE($D104,Milestones!$AA$198)&lt;=AsOfDate,IF($R104=0,$X104,IF(AND($T104&lt;&gt;"",EDATE($D104,Milestones!$AA$198)&gt;=$T104),$W104,IF(AND($S104&lt;&gt;"",EDATE($D104,Milestones!$AA$198)&gt;=$S104),$V104,$U104)))=Milestones!$AB$198),UPPER(TEXT(EDATE($D104,Milestones!$AA$198),"dd mmm yy"))&amp;" "&amp;Milestones!$AB$198&amp;" "&amp;Milestones!$AC$198&amp;";  ","")&amp;IF(AND(EDATE($D104,Milestones!$AA$199)&lt;=AsOfDate,IF($R104=0,$X104,IF(AND($T104&lt;&gt;"",EDATE($D104,Milestones!$AA$199)&gt;=$T104),$W104,IF(AND($S104&lt;&gt;"",EDATE($D104,Milestones!$AA$199)&gt;=$S104),$V104,$U104)))=Milestones!$AB$199),UPPER(TEXT(EDATE($D104,Milestones!$AA$199),"dd mmm yy"))&amp;" "&amp;Milestones!$AB$199&amp;" "&amp;Milestones!$AC$199&amp;";  ",""))</f>
        <v/>
      </c>
      <c r="R104" s="0" t="str">
        <f aca="false">IF(Staff!$A104="","",Staff!$AI104)</f>
        <v/>
      </c>
      <c r="S104" s="0" t="str">
        <f aca="false">IF(Staff!$A104="","",Staff!$AK104)</f>
        <v/>
      </c>
      <c r="T104" s="0" t="str">
        <f aca="false">IF(Staff!$A104="","",Staff!$AL104)</f>
        <v/>
      </c>
      <c r="U104" s="0" t="str">
        <f aca="false">IF(Staff!$A104="","",Staff!$AP104)</f>
        <v/>
      </c>
      <c r="V104" s="0" t="str">
        <f aca="false">IF(Staff!$A104="","",Staff!$AQ104)</f>
        <v/>
      </c>
      <c r="W104" s="0" t="str">
        <f aca="false">IF(Staff!$A104="","",Staff!$AR104)</f>
        <v/>
      </c>
      <c r="X104" s="0" t="str">
        <f aca="false">IF(Staff!$A104="","",Staff!$AS104)</f>
        <v/>
      </c>
    </row>
    <row r="105" customFormat="false" ht="15" hidden="false" customHeight="false" outlineLevel="0" collapsed="false">
      <c r="A105" s="14" t="str">
        <f aca="false">IF(Staff!$A105="","",Staff!$A105)</f>
        <v/>
      </c>
      <c r="B105" s="14" t="str">
        <f aca="false">IF(Staff!$A105="","",Staff!$B105)</f>
        <v/>
      </c>
      <c r="C105" s="14" t="str">
        <f aca="false">IF(Staff!$A105="","",Staff!$C105)</f>
        <v/>
      </c>
      <c r="D105" s="12" t="str">
        <f aca="false">IF(Staff!$A105="","",Staff!$AH105)</f>
        <v/>
      </c>
      <c r="E105" s="14" t="str">
        <f aca="false">IF(Staff!$A105="","",Staff!$O105)</f>
        <v/>
      </c>
      <c r="F105" s="14" t="str">
        <f aca="false">IF(E105="","",E105*HoursPerDay)</f>
        <v/>
      </c>
      <c r="G105" s="14" t="str">
        <f aca="false">IF(Staff!$A105="","",Staff!$AE105)</f>
        <v/>
      </c>
      <c r="H105" s="26" t="str">
        <f aca="false">IF($A105="","",I105&amp;J105&amp;K105&amp;L105&amp;M105&amp;N105&amp;O105&amp;P105&amp;Q105)</f>
        <v/>
      </c>
      <c r="I105" s="0" t="str">
        <f aca="false">IF(OR($A105="",$D105=""),"",IF(AND(EDATE($D105,Milestones!$AA$20)&lt;=AsOfDate,IF($R105=0,$X105,IF(AND($T105&lt;&gt;"",EDATE($D105,Milestones!$AA$20)&gt;=$T105),$W105,IF(AND($S105&lt;&gt;"",EDATE($D105,Milestones!$AA$20)&gt;=$S105),$V105,$U105)))=Milestones!$AB$20),UPPER(TEXT(EDATE($D105,Milestones!$AA$20),"dd mmm yy"))&amp;" "&amp;Milestones!$AB$20&amp;" "&amp;Milestones!$AC$20&amp;";  ","")&amp;IF(AND(EDATE($D105,Milestones!$AA$21)&lt;=AsOfDate,IF($R105=0,$X105,IF(AND($T105&lt;&gt;"",EDATE($D105,Milestones!$AA$21)&gt;=$T105),$W105,IF(AND($S105&lt;&gt;"",EDATE($D105,Milestones!$AA$21)&gt;=$S105),$V105,$U105)))=Milestones!$AB$21),UPPER(TEXT(EDATE($D105,Milestones!$AA$21),"dd mmm yy"))&amp;" "&amp;Milestones!$AB$21&amp;" "&amp;Milestones!$AC$21&amp;";  ","")&amp;IF(AND(EDATE($D105,Milestones!$AA$22)&lt;=AsOfDate,IF($R105=0,$X105,IF(AND($T105&lt;&gt;"",EDATE($D105,Milestones!$AA$22)&gt;=$T105),$W105,IF(AND($S105&lt;&gt;"",EDATE($D105,Milestones!$AA$22)&gt;=$S105),$V105,$U105)))=Milestones!$AB$22),UPPER(TEXT(EDATE($D105,Milestones!$AA$22),"dd mmm yy"))&amp;" "&amp;Milestones!$AB$22&amp;" "&amp;Milestones!$AC$22&amp;";  ","")&amp;IF(AND(EDATE($D105,Milestones!$AA$23)&lt;=AsOfDate,IF($R105=0,$X105,IF(AND($T105&lt;&gt;"",EDATE($D105,Milestones!$AA$23)&gt;=$T105),$W105,IF(AND($S105&lt;&gt;"",EDATE($D105,Milestones!$AA$23)&gt;=$S105),$V105,$U105)))=Milestones!$AB$23),UPPER(TEXT(EDATE($D105,Milestones!$AA$23),"dd mmm yy"))&amp;" "&amp;Milestones!$AB$23&amp;" "&amp;Milestones!$AC$23&amp;";  ","")&amp;IF(AND(EDATE($D105,Milestones!$AA$24)&lt;=AsOfDate,IF($R105=0,$X105,IF(AND($T105&lt;&gt;"",EDATE($D105,Milestones!$AA$24)&gt;=$T105),$W105,IF(AND($S105&lt;&gt;"",EDATE($D105,Milestones!$AA$24)&gt;=$S105),$V105,$U105)))=Milestones!$AB$24),UPPER(TEXT(EDATE($D105,Milestones!$AA$24),"dd mmm yy"))&amp;" "&amp;Milestones!$AB$24&amp;" "&amp;Milestones!$AC$24&amp;";  ","")&amp;IF(AND(EDATE($D105,Milestones!$AA$25)&lt;=AsOfDate,IF($R105=0,$X105,IF(AND($T105&lt;&gt;"",EDATE($D105,Milestones!$AA$25)&gt;=$T105),$W105,IF(AND($S105&lt;&gt;"",EDATE($D105,Milestones!$AA$25)&gt;=$S105),$V105,$U105)))=Milestones!$AB$25),UPPER(TEXT(EDATE($D105,Milestones!$AA$25),"dd mmm yy"))&amp;" "&amp;Milestones!$AB$25&amp;" "&amp;Milestones!$AC$25&amp;";  ","")&amp;IF(AND(EDATE($D105,Milestones!$AA$26)&lt;=AsOfDate,IF($R105=0,$X105,IF(AND($T105&lt;&gt;"",EDATE($D105,Milestones!$AA$26)&gt;=$T105),$W105,IF(AND($S105&lt;&gt;"",EDATE($D105,Milestones!$AA$26)&gt;=$S105),$V105,$U105)))=Milestones!$AB$26),UPPER(TEXT(EDATE($D105,Milestones!$AA$26),"dd mmm yy"))&amp;" "&amp;Milestones!$AB$26&amp;" "&amp;Milestones!$AC$26&amp;";  ","")&amp;IF(AND(EDATE($D105,Milestones!$AA$27)&lt;=AsOfDate,IF($R105=0,$X105,IF(AND($T105&lt;&gt;"",EDATE($D105,Milestones!$AA$27)&gt;=$T105),$W105,IF(AND($S105&lt;&gt;"",EDATE($D105,Milestones!$AA$27)&gt;=$S105),$V105,$U105)))=Milestones!$AB$27),UPPER(TEXT(EDATE($D105,Milestones!$AA$27),"dd mmm yy"))&amp;" "&amp;Milestones!$AB$27&amp;" "&amp;Milestones!$AC$27&amp;";  ","")&amp;IF(AND(EDATE($D105,Milestones!$AA$28)&lt;=AsOfDate,IF($R105=0,$X105,IF(AND($T105&lt;&gt;"",EDATE($D105,Milestones!$AA$28)&gt;=$T105),$W105,IF(AND($S105&lt;&gt;"",EDATE($D105,Milestones!$AA$28)&gt;=$S105),$V105,$U105)))=Milestones!$AB$28),UPPER(TEXT(EDATE($D105,Milestones!$AA$28),"dd mmm yy"))&amp;" "&amp;Milestones!$AB$28&amp;" "&amp;Milestones!$AC$28&amp;";  ","")&amp;IF(AND(EDATE($D105,Milestones!$AA$29)&lt;=AsOfDate,IF($R105=0,$X105,IF(AND($T105&lt;&gt;"",EDATE($D105,Milestones!$AA$29)&gt;=$T105),$W105,IF(AND($S105&lt;&gt;"",EDATE($D105,Milestones!$AA$29)&gt;=$S105),$V105,$U105)))=Milestones!$AB$29),UPPER(TEXT(EDATE($D105,Milestones!$AA$29),"dd mmm yy"))&amp;" "&amp;Milestones!$AB$29&amp;" "&amp;Milestones!$AC$29&amp;";  ","")&amp;IF(AND(EDATE($D105,Milestones!$AA$30)&lt;=AsOfDate,IF($R105=0,$X105,IF(AND($T105&lt;&gt;"",EDATE($D105,Milestones!$AA$30)&gt;=$T105),$W105,IF(AND($S105&lt;&gt;"",EDATE($D105,Milestones!$AA$30)&gt;=$S105),$V105,$U105)))=Milestones!$AB$30),UPPER(TEXT(EDATE($D105,Milestones!$AA$30),"dd mmm yy"))&amp;" "&amp;Milestones!$AB$30&amp;" "&amp;Milestones!$AC$30&amp;";  ","")&amp;IF(AND(EDATE($D105,Milestones!$AA$31)&lt;=AsOfDate,IF($R105=0,$X105,IF(AND($T105&lt;&gt;"",EDATE($D105,Milestones!$AA$31)&gt;=$T105),$W105,IF(AND($S105&lt;&gt;"",EDATE($D105,Milestones!$AA$31)&gt;=$S105),$V105,$U105)))=Milestones!$AB$31),UPPER(TEXT(EDATE($D105,Milestones!$AA$31),"dd mmm yy"))&amp;" "&amp;Milestones!$AB$31&amp;" "&amp;Milestones!$AC$31&amp;";  ","")&amp;IF(AND(EDATE($D105,Milestones!$AA$32)&lt;=AsOfDate,IF($R105=0,$X105,IF(AND($T105&lt;&gt;"",EDATE($D105,Milestones!$AA$32)&gt;=$T105),$W105,IF(AND($S105&lt;&gt;"",EDATE($D105,Milestones!$AA$32)&gt;=$S105),$V105,$U105)))=Milestones!$AB$32),UPPER(TEXT(EDATE($D105,Milestones!$AA$32),"dd mmm yy"))&amp;" "&amp;Milestones!$AB$32&amp;" "&amp;Milestones!$AC$32&amp;";  ","")&amp;IF(AND(EDATE($D105,Milestones!$AA$33)&lt;=AsOfDate,IF($R105=0,$X105,IF(AND($T105&lt;&gt;"",EDATE($D105,Milestones!$AA$33)&gt;=$T105),$W105,IF(AND($S105&lt;&gt;"",EDATE($D105,Milestones!$AA$33)&gt;=$S105),$V105,$U105)))=Milestones!$AB$33),UPPER(TEXT(EDATE($D105,Milestones!$AA$33),"dd mmm yy"))&amp;" "&amp;Milestones!$AB$33&amp;" "&amp;Milestones!$AC$33&amp;";  ","")&amp;IF(AND(EDATE($D105,Milestones!$AA$34)&lt;=AsOfDate,IF($R105=0,$X105,IF(AND($T105&lt;&gt;"",EDATE($D105,Milestones!$AA$34)&gt;=$T105),$W105,IF(AND($S105&lt;&gt;"",EDATE($D105,Milestones!$AA$34)&gt;=$S105),$V105,$U105)))=Milestones!$AB$34),UPPER(TEXT(EDATE($D105,Milestones!$AA$34),"dd mmm yy"))&amp;" "&amp;Milestones!$AB$34&amp;" "&amp;Milestones!$AC$34&amp;";  ","")&amp;IF(AND(EDATE($D105,Milestones!$AA$35)&lt;=AsOfDate,IF($R105=0,$X105,IF(AND($T105&lt;&gt;"",EDATE($D105,Milestones!$AA$35)&gt;=$T105),$W105,IF(AND($S105&lt;&gt;"",EDATE($D105,Milestones!$AA$35)&gt;=$S105),$V105,$U105)))=Milestones!$AB$35),UPPER(TEXT(EDATE($D105,Milestones!$AA$35),"dd mmm yy"))&amp;" "&amp;Milestones!$AB$35&amp;" "&amp;Milestones!$AC$35&amp;";  ","")&amp;IF(AND(EDATE($D105,Milestones!$AA$36)&lt;=AsOfDate,IF($R105=0,$X105,IF(AND($T105&lt;&gt;"",EDATE($D105,Milestones!$AA$36)&gt;=$T105),$W105,IF(AND($S105&lt;&gt;"",EDATE($D105,Milestones!$AA$36)&gt;=$S105),$V105,$U105)))=Milestones!$AB$36),UPPER(TEXT(EDATE($D105,Milestones!$AA$36),"dd mmm yy"))&amp;" "&amp;Milestones!$AB$36&amp;" "&amp;Milestones!$AC$36&amp;";  ","")&amp;IF(AND(EDATE($D105,Milestones!$AA$37)&lt;=AsOfDate,IF($R105=0,$X105,IF(AND($T105&lt;&gt;"",EDATE($D105,Milestones!$AA$37)&gt;=$T105),$W105,IF(AND($S105&lt;&gt;"",EDATE($D105,Milestones!$AA$37)&gt;=$S105),$V105,$U105)))=Milestones!$AB$37),UPPER(TEXT(EDATE($D105,Milestones!$AA$37),"dd mmm yy"))&amp;" "&amp;Milestones!$AB$37&amp;" "&amp;Milestones!$AC$37&amp;";  ","")&amp;IF(AND(EDATE($D105,Milestones!$AA$38)&lt;=AsOfDate,IF($R105=0,$X105,IF(AND($T105&lt;&gt;"",EDATE($D105,Milestones!$AA$38)&gt;=$T105),$W105,IF(AND($S105&lt;&gt;"",EDATE($D105,Milestones!$AA$38)&gt;=$S105),$V105,$U105)))=Milestones!$AB$38),UPPER(TEXT(EDATE($D105,Milestones!$AA$38),"dd mmm yy"))&amp;" "&amp;Milestones!$AB$38&amp;" "&amp;Milestones!$AC$38&amp;";  ","")&amp;IF(AND(EDATE($D105,Milestones!$AA$39)&lt;=AsOfDate,IF($R105=0,$X105,IF(AND($T105&lt;&gt;"",EDATE($D105,Milestones!$AA$39)&gt;=$T105),$W105,IF(AND($S105&lt;&gt;"",EDATE($D105,Milestones!$AA$39)&gt;=$S105),$V105,$U105)))=Milestones!$AB$39),UPPER(TEXT(EDATE($D105,Milestones!$AA$39),"dd mmm yy"))&amp;" "&amp;Milestones!$AB$39&amp;" "&amp;Milestones!$AC$39&amp;";  ",""))</f>
        <v/>
      </c>
      <c r="J105" s="0" t="str">
        <f aca="false">IF(OR($A105="",$D105=""),"",IF(AND(EDATE($D105,Milestones!$AA$40)&lt;=AsOfDate,IF($R105=0,$X105,IF(AND($T105&lt;&gt;"",EDATE($D105,Milestones!$AA$40)&gt;=$T105),$W105,IF(AND($S105&lt;&gt;"",EDATE($D105,Milestones!$AA$40)&gt;=$S105),$V105,$U105)))=Milestones!$AB$40),UPPER(TEXT(EDATE($D105,Milestones!$AA$40),"dd mmm yy"))&amp;" "&amp;Milestones!$AB$40&amp;" "&amp;Milestones!$AC$40&amp;";  ","")&amp;IF(AND(EDATE($D105,Milestones!$AA$41)&lt;=AsOfDate,IF($R105=0,$X105,IF(AND($T105&lt;&gt;"",EDATE($D105,Milestones!$AA$41)&gt;=$T105),$W105,IF(AND($S105&lt;&gt;"",EDATE($D105,Milestones!$AA$41)&gt;=$S105),$V105,$U105)))=Milestones!$AB$41),UPPER(TEXT(EDATE($D105,Milestones!$AA$41),"dd mmm yy"))&amp;" "&amp;Milestones!$AB$41&amp;" "&amp;Milestones!$AC$41&amp;";  ","")&amp;IF(AND(EDATE($D105,Milestones!$AA$42)&lt;=AsOfDate,IF($R105=0,$X105,IF(AND($T105&lt;&gt;"",EDATE($D105,Milestones!$AA$42)&gt;=$T105),$W105,IF(AND($S105&lt;&gt;"",EDATE($D105,Milestones!$AA$42)&gt;=$S105),$V105,$U105)))=Milestones!$AB$42),UPPER(TEXT(EDATE($D105,Milestones!$AA$42),"dd mmm yy"))&amp;" "&amp;Milestones!$AB$42&amp;" "&amp;Milestones!$AC$42&amp;";  ","")&amp;IF(AND(EDATE($D105,Milestones!$AA$43)&lt;=AsOfDate,IF($R105=0,$X105,IF(AND($T105&lt;&gt;"",EDATE($D105,Milestones!$AA$43)&gt;=$T105),$W105,IF(AND($S105&lt;&gt;"",EDATE($D105,Milestones!$AA$43)&gt;=$S105),$V105,$U105)))=Milestones!$AB$43),UPPER(TEXT(EDATE($D105,Milestones!$AA$43),"dd mmm yy"))&amp;" "&amp;Milestones!$AB$43&amp;" "&amp;Milestones!$AC$43&amp;";  ","")&amp;IF(AND(EDATE($D105,Milestones!$AA$44)&lt;=AsOfDate,IF($R105=0,$X105,IF(AND($T105&lt;&gt;"",EDATE($D105,Milestones!$AA$44)&gt;=$T105),$W105,IF(AND($S105&lt;&gt;"",EDATE($D105,Milestones!$AA$44)&gt;=$S105),$V105,$U105)))=Milestones!$AB$44),UPPER(TEXT(EDATE($D105,Milestones!$AA$44),"dd mmm yy"))&amp;" "&amp;Milestones!$AB$44&amp;" "&amp;Milestones!$AC$44&amp;";  ","")&amp;IF(AND(EDATE($D105,Milestones!$AA$45)&lt;=AsOfDate,IF($R105=0,$X105,IF(AND($T105&lt;&gt;"",EDATE($D105,Milestones!$AA$45)&gt;=$T105),$W105,IF(AND($S105&lt;&gt;"",EDATE($D105,Milestones!$AA$45)&gt;=$S105),$V105,$U105)))=Milestones!$AB$45),UPPER(TEXT(EDATE($D105,Milestones!$AA$45),"dd mmm yy"))&amp;" "&amp;Milestones!$AB$45&amp;" "&amp;Milestones!$AC$45&amp;";  ","")&amp;IF(AND(EDATE($D105,Milestones!$AA$46)&lt;=AsOfDate,IF($R105=0,$X105,IF(AND($T105&lt;&gt;"",EDATE($D105,Milestones!$AA$46)&gt;=$T105),$W105,IF(AND($S105&lt;&gt;"",EDATE($D105,Milestones!$AA$46)&gt;=$S105),$V105,$U105)))=Milestones!$AB$46),UPPER(TEXT(EDATE($D105,Milestones!$AA$46),"dd mmm yy"))&amp;" "&amp;Milestones!$AB$46&amp;" "&amp;Milestones!$AC$46&amp;";  ","")&amp;IF(AND(EDATE($D105,Milestones!$AA$47)&lt;=AsOfDate,IF($R105=0,$X105,IF(AND($T105&lt;&gt;"",EDATE($D105,Milestones!$AA$47)&gt;=$T105),$W105,IF(AND($S105&lt;&gt;"",EDATE($D105,Milestones!$AA$47)&gt;=$S105),$V105,$U105)))=Milestones!$AB$47),UPPER(TEXT(EDATE($D105,Milestones!$AA$47),"dd mmm yy"))&amp;" "&amp;Milestones!$AB$47&amp;" "&amp;Milestones!$AC$47&amp;";  ","")&amp;IF(AND(EDATE($D105,Milestones!$AA$48)&lt;=AsOfDate,IF($R105=0,$X105,IF(AND($T105&lt;&gt;"",EDATE($D105,Milestones!$AA$48)&gt;=$T105),$W105,IF(AND($S105&lt;&gt;"",EDATE($D105,Milestones!$AA$48)&gt;=$S105),$V105,$U105)))=Milestones!$AB$48),UPPER(TEXT(EDATE($D105,Milestones!$AA$48),"dd mmm yy"))&amp;" "&amp;Milestones!$AB$48&amp;" "&amp;Milestones!$AC$48&amp;";  ","")&amp;IF(AND(EDATE($D105,Milestones!$AA$49)&lt;=AsOfDate,IF($R105=0,$X105,IF(AND($T105&lt;&gt;"",EDATE($D105,Milestones!$AA$49)&gt;=$T105),$W105,IF(AND($S105&lt;&gt;"",EDATE($D105,Milestones!$AA$49)&gt;=$S105),$V105,$U105)))=Milestones!$AB$49),UPPER(TEXT(EDATE($D105,Milestones!$AA$49),"dd mmm yy"))&amp;" "&amp;Milestones!$AB$49&amp;" "&amp;Milestones!$AC$49&amp;";  ","")&amp;IF(AND(EDATE($D105,Milestones!$AA$50)&lt;=AsOfDate,IF($R105=0,$X105,IF(AND($T105&lt;&gt;"",EDATE($D105,Milestones!$AA$50)&gt;=$T105),$W105,IF(AND($S105&lt;&gt;"",EDATE($D105,Milestones!$AA$50)&gt;=$S105),$V105,$U105)))=Milestones!$AB$50),UPPER(TEXT(EDATE($D105,Milestones!$AA$50),"dd mmm yy"))&amp;" "&amp;Milestones!$AB$50&amp;" "&amp;Milestones!$AC$50&amp;";  ","")&amp;IF(AND(EDATE($D105,Milestones!$AA$51)&lt;=AsOfDate,IF($R105=0,$X105,IF(AND($T105&lt;&gt;"",EDATE($D105,Milestones!$AA$51)&gt;=$T105),$W105,IF(AND($S105&lt;&gt;"",EDATE($D105,Milestones!$AA$51)&gt;=$S105),$V105,$U105)))=Milestones!$AB$51),UPPER(TEXT(EDATE($D105,Milestones!$AA$51),"dd mmm yy"))&amp;" "&amp;Milestones!$AB$51&amp;" "&amp;Milestones!$AC$51&amp;";  ","")&amp;IF(AND(EDATE($D105,Milestones!$AA$52)&lt;=AsOfDate,IF($R105=0,$X105,IF(AND($T105&lt;&gt;"",EDATE($D105,Milestones!$AA$52)&gt;=$T105),$W105,IF(AND($S105&lt;&gt;"",EDATE($D105,Milestones!$AA$52)&gt;=$S105),$V105,$U105)))=Milestones!$AB$52),UPPER(TEXT(EDATE($D105,Milestones!$AA$52),"dd mmm yy"))&amp;" "&amp;Milestones!$AB$52&amp;" "&amp;Milestones!$AC$52&amp;";  ","")&amp;IF(AND(EDATE($D105,Milestones!$AA$53)&lt;=AsOfDate,IF($R105=0,$X105,IF(AND($T105&lt;&gt;"",EDATE($D105,Milestones!$AA$53)&gt;=$T105),$W105,IF(AND($S105&lt;&gt;"",EDATE($D105,Milestones!$AA$53)&gt;=$S105),$V105,$U105)))=Milestones!$AB$53),UPPER(TEXT(EDATE($D105,Milestones!$AA$53),"dd mmm yy"))&amp;" "&amp;Milestones!$AB$53&amp;" "&amp;Milestones!$AC$53&amp;";  ","")&amp;IF(AND(EDATE($D105,Milestones!$AA$54)&lt;=AsOfDate,IF($R105=0,$X105,IF(AND($T105&lt;&gt;"",EDATE($D105,Milestones!$AA$54)&gt;=$T105),$W105,IF(AND($S105&lt;&gt;"",EDATE($D105,Milestones!$AA$54)&gt;=$S105),$V105,$U105)))=Milestones!$AB$54),UPPER(TEXT(EDATE($D105,Milestones!$AA$54),"dd mmm yy"))&amp;" "&amp;Milestones!$AB$54&amp;" "&amp;Milestones!$AC$54&amp;";  ","")&amp;IF(AND(EDATE($D105,Milestones!$AA$55)&lt;=AsOfDate,IF($R105=0,$X105,IF(AND($T105&lt;&gt;"",EDATE($D105,Milestones!$AA$55)&gt;=$T105),$W105,IF(AND($S105&lt;&gt;"",EDATE($D105,Milestones!$AA$55)&gt;=$S105),$V105,$U105)))=Milestones!$AB$55),UPPER(TEXT(EDATE($D105,Milestones!$AA$55),"dd mmm yy"))&amp;" "&amp;Milestones!$AB$55&amp;" "&amp;Milestones!$AC$55&amp;";  ","")&amp;IF(AND(EDATE($D105,Milestones!$AA$56)&lt;=AsOfDate,IF($R105=0,$X105,IF(AND($T105&lt;&gt;"",EDATE($D105,Milestones!$AA$56)&gt;=$T105),$W105,IF(AND($S105&lt;&gt;"",EDATE($D105,Milestones!$AA$56)&gt;=$S105),$V105,$U105)))=Milestones!$AB$56),UPPER(TEXT(EDATE($D105,Milestones!$AA$56),"dd mmm yy"))&amp;" "&amp;Milestones!$AB$56&amp;" "&amp;Milestones!$AC$56&amp;";  ","")&amp;IF(AND(EDATE($D105,Milestones!$AA$57)&lt;=AsOfDate,IF($R105=0,$X105,IF(AND($T105&lt;&gt;"",EDATE($D105,Milestones!$AA$57)&gt;=$T105),$W105,IF(AND($S105&lt;&gt;"",EDATE($D105,Milestones!$AA$57)&gt;=$S105),$V105,$U105)))=Milestones!$AB$57),UPPER(TEXT(EDATE($D105,Milestones!$AA$57),"dd mmm yy"))&amp;" "&amp;Milestones!$AB$57&amp;" "&amp;Milestones!$AC$57&amp;";  ","")&amp;IF(AND(EDATE($D105,Milestones!$AA$58)&lt;=AsOfDate,IF($R105=0,$X105,IF(AND($T105&lt;&gt;"",EDATE($D105,Milestones!$AA$58)&gt;=$T105),$W105,IF(AND($S105&lt;&gt;"",EDATE($D105,Milestones!$AA$58)&gt;=$S105),$V105,$U105)))=Milestones!$AB$58),UPPER(TEXT(EDATE($D105,Milestones!$AA$58),"dd mmm yy"))&amp;" "&amp;Milestones!$AB$58&amp;" "&amp;Milestones!$AC$58&amp;";  ","")&amp;IF(AND(EDATE($D105,Milestones!$AA$59)&lt;=AsOfDate,IF($R105=0,$X105,IF(AND($T105&lt;&gt;"",EDATE($D105,Milestones!$AA$59)&gt;=$T105),$W105,IF(AND($S105&lt;&gt;"",EDATE($D105,Milestones!$AA$59)&gt;=$S105),$V105,$U105)))=Milestones!$AB$59),UPPER(TEXT(EDATE($D105,Milestones!$AA$59),"dd mmm yy"))&amp;" "&amp;Milestones!$AB$59&amp;" "&amp;Milestones!$AC$59&amp;";  ",""))</f>
        <v/>
      </c>
      <c r="K105" s="0" t="str">
        <f aca="false">IF(OR($A105="",$D105=""),"",IF(AND(EDATE($D105,Milestones!$AA$60)&lt;=AsOfDate,IF($R105=0,$X105,IF(AND($T105&lt;&gt;"",EDATE($D105,Milestones!$AA$60)&gt;=$T105),$W105,IF(AND($S105&lt;&gt;"",EDATE($D105,Milestones!$AA$60)&gt;=$S105),$V105,$U105)))=Milestones!$AB$60),UPPER(TEXT(EDATE($D105,Milestones!$AA$60),"dd mmm yy"))&amp;" "&amp;Milestones!$AB$60&amp;" "&amp;Milestones!$AC$60&amp;";  ","")&amp;IF(AND(EDATE($D105,Milestones!$AA$61)&lt;=AsOfDate,IF($R105=0,$X105,IF(AND($T105&lt;&gt;"",EDATE($D105,Milestones!$AA$61)&gt;=$T105),$W105,IF(AND($S105&lt;&gt;"",EDATE($D105,Milestones!$AA$61)&gt;=$S105),$V105,$U105)))=Milestones!$AB$61),UPPER(TEXT(EDATE($D105,Milestones!$AA$61),"dd mmm yy"))&amp;" "&amp;Milestones!$AB$61&amp;" "&amp;Milestones!$AC$61&amp;";  ","")&amp;IF(AND(EDATE($D105,Milestones!$AA$62)&lt;=AsOfDate,IF($R105=0,$X105,IF(AND($T105&lt;&gt;"",EDATE($D105,Milestones!$AA$62)&gt;=$T105),$W105,IF(AND($S105&lt;&gt;"",EDATE($D105,Milestones!$AA$62)&gt;=$S105),$V105,$U105)))=Milestones!$AB$62),UPPER(TEXT(EDATE($D105,Milestones!$AA$62),"dd mmm yy"))&amp;" "&amp;Milestones!$AB$62&amp;" "&amp;Milestones!$AC$62&amp;";  ","")&amp;IF(AND(EDATE($D105,Milestones!$AA$63)&lt;=AsOfDate,IF($R105=0,$X105,IF(AND($T105&lt;&gt;"",EDATE($D105,Milestones!$AA$63)&gt;=$T105),$W105,IF(AND($S105&lt;&gt;"",EDATE($D105,Milestones!$AA$63)&gt;=$S105),$V105,$U105)))=Milestones!$AB$63),UPPER(TEXT(EDATE($D105,Milestones!$AA$63),"dd mmm yy"))&amp;" "&amp;Milestones!$AB$63&amp;" "&amp;Milestones!$AC$63&amp;";  ","")&amp;IF(AND(EDATE($D105,Milestones!$AA$64)&lt;=AsOfDate,IF($R105=0,$X105,IF(AND($T105&lt;&gt;"",EDATE($D105,Milestones!$AA$64)&gt;=$T105),$W105,IF(AND($S105&lt;&gt;"",EDATE($D105,Milestones!$AA$64)&gt;=$S105),$V105,$U105)))=Milestones!$AB$64),UPPER(TEXT(EDATE($D105,Milestones!$AA$64),"dd mmm yy"))&amp;" "&amp;Milestones!$AB$64&amp;" "&amp;Milestones!$AC$64&amp;";  ","")&amp;IF(AND(EDATE($D105,Milestones!$AA$65)&lt;=AsOfDate,IF($R105=0,$X105,IF(AND($T105&lt;&gt;"",EDATE($D105,Milestones!$AA$65)&gt;=$T105),$W105,IF(AND($S105&lt;&gt;"",EDATE($D105,Milestones!$AA$65)&gt;=$S105),$V105,$U105)))=Milestones!$AB$65),UPPER(TEXT(EDATE($D105,Milestones!$AA$65),"dd mmm yy"))&amp;" "&amp;Milestones!$AB$65&amp;" "&amp;Milestones!$AC$65&amp;";  ","")&amp;IF(AND(EDATE($D105,Milestones!$AA$66)&lt;=AsOfDate,IF($R105=0,$X105,IF(AND($T105&lt;&gt;"",EDATE($D105,Milestones!$AA$66)&gt;=$T105),$W105,IF(AND($S105&lt;&gt;"",EDATE($D105,Milestones!$AA$66)&gt;=$S105),$V105,$U105)))=Milestones!$AB$66),UPPER(TEXT(EDATE($D105,Milestones!$AA$66),"dd mmm yy"))&amp;" "&amp;Milestones!$AB$66&amp;" "&amp;Milestones!$AC$66&amp;";  ","")&amp;IF(AND(EDATE($D105,Milestones!$AA$67)&lt;=AsOfDate,IF($R105=0,$X105,IF(AND($T105&lt;&gt;"",EDATE($D105,Milestones!$AA$67)&gt;=$T105),$W105,IF(AND($S105&lt;&gt;"",EDATE($D105,Milestones!$AA$67)&gt;=$S105),$V105,$U105)))=Milestones!$AB$67),UPPER(TEXT(EDATE($D105,Milestones!$AA$67),"dd mmm yy"))&amp;" "&amp;Milestones!$AB$67&amp;" "&amp;Milestones!$AC$67&amp;";  ","")&amp;IF(AND(EDATE($D105,Milestones!$AA$68)&lt;=AsOfDate,IF($R105=0,$X105,IF(AND($T105&lt;&gt;"",EDATE($D105,Milestones!$AA$68)&gt;=$T105),$W105,IF(AND($S105&lt;&gt;"",EDATE($D105,Milestones!$AA$68)&gt;=$S105),$V105,$U105)))=Milestones!$AB$68),UPPER(TEXT(EDATE($D105,Milestones!$AA$68),"dd mmm yy"))&amp;" "&amp;Milestones!$AB$68&amp;" "&amp;Milestones!$AC$68&amp;";  ","")&amp;IF(AND(EDATE($D105,Milestones!$AA$69)&lt;=AsOfDate,IF($R105=0,$X105,IF(AND($T105&lt;&gt;"",EDATE($D105,Milestones!$AA$69)&gt;=$T105),$W105,IF(AND($S105&lt;&gt;"",EDATE($D105,Milestones!$AA$69)&gt;=$S105),$V105,$U105)))=Milestones!$AB$69),UPPER(TEXT(EDATE($D105,Milestones!$AA$69),"dd mmm yy"))&amp;" "&amp;Milestones!$AB$69&amp;" "&amp;Milestones!$AC$69&amp;";  ","")&amp;IF(AND(EDATE($D105,Milestones!$AA$70)&lt;=AsOfDate,IF($R105=0,$X105,IF(AND($T105&lt;&gt;"",EDATE($D105,Milestones!$AA$70)&gt;=$T105),$W105,IF(AND($S105&lt;&gt;"",EDATE($D105,Milestones!$AA$70)&gt;=$S105),$V105,$U105)))=Milestones!$AB$70),UPPER(TEXT(EDATE($D105,Milestones!$AA$70),"dd mmm yy"))&amp;" "&amp;Milestones!$AB$70&amp;" "&amp;Milestones!$AC$70&amp;";  ","")&amp;IF(AND(EDATE($D105,Milestones!$AA$71)&lt;=AsOfDate,IF($R105=0,$X105,IF(AND($T105&lt;&gt;"",EDATE($D105,Milestones!$AA$71)&gt;=$T105),$W105,IF(AND($S105&lt;&gt;"",EDATE($D105,Milestones!$AA$71)&gt;=$S105),$V105,$U105)))=Milestones!$AB$71),UPPER(TEXT(EDATE($D105,Milestones!$AA$71),"dd mmm yy"))&amp;" "&amp;Milestones!$AB$71&amp;" "&amp;Milestones!$AC$71&amp;";  ","")&amp;IF(AND(EDATE($D105,Milestones!$AA$72)&lt;=AsOfDate,IF($R105=0,$X105,IF(AND($T105&lt;&gt;"",EDATE($D105,Milestones!$AA$72)&gt;=$T105),$W105,IF(AND($S105&lt;&gt;"",EDATE($D105,Milestones!$AA$72)&gt;=$S105),$V105,$U105)))=Milestones!$AB$72),UPPER(TEXT(EDATE($D105,Milestones!$AA$72),"dd mmm yy"))&amp;" "&amp;Milestones!$AB$72&amp;" "&amp;Milestones!$AC$72&amp;";  ","")&amp;IF(AND(EDATE($D105,Milestones!$AA$73)&lt;=AsOfDate,IF($R105=0,$X105,IF(AND($T105&lt;&gt;"",EDATE($D105,Milestones!$AA$73)&gt;=$T105),$W105,IF(AND($S105&lt;&gt;"",EDATE($D105,Milestones!$AA$73)&gt;=$S105),$V105,$U105)))=Milestones!$AB$73),UPPER(TEXT(EDATE($D105,Milestones!$AA$73),"dd mmm yy"))&amp;" "&amp;Milestones!$AB$73&amp;" "&amp;Milestones!$AC$73&amp;";  ","")&amp;IF(AND(EDATE($D105,Milestones!$AA$74)&lt;=AsOfDate,IF($R105=0,$X105,IF(AND($T105&lt;&gt;"",EDATE($D105,Milestones!$AA$74)&gt;=$T105),$W105,IF(AND($S105&lt;&gt;"",EDATE($D105,Milestones!$AA$74)&gt;=$S105),$V105,$U105)))=Milestones!$AB$74),UPPER(TEXT(EDATE($D105,Milestones!$AA$74),"dd mmm yy"))&amp;" "&amp;Milestones!$AB$74&amp;" "&amp;Milestones!$AC$74&amp;";  ","")&amp;IF(AND(EDATE($D105,Milestones!$AA$75)&lt;=AsOfDate,IF($R105=0,$X105,IF(AND($T105&lt;&gt;"",EDATE($D105,Milestones!$AA$75)&gt;=$T105),$W105,IF(AND($S105&lt;&gt;"",EDATE($D105,Milestones!$AA$75)&gt;=$S105),$V105,$U105)))=Milestones!$AB$75),UPPER(TEXT(EDATE($D105,Milestones!$AA$75),"dd mmm yy"))&amp;" "&amp;Milestones!$AB$75&amp;" "&amp;Milestones!$AC$75&amp;";  ","")&amp;IF(AND(EDATE($D105,Milestones!$AA$76)&lt;=AsOfDate,IF($R105=0,$X105,IF(AND($T105&lt;&gt;"",EDATE($D105,Milestones!$AA$76)&gt;=$T105),$W105,IF(AND($S105&lt;&gt;"",EDATE($D105,Milestones!$AA$76)&gt;=$S105),$V105,$U105)))=Milestones!$AB$76),UPPER(TEXT(EDATE($D105,Milestones!$AA$76),"dd mmm yy"))&amp;" "&amp;Milestones!$AB$76&amp;" "&amp;Milestones!$AC$76&amp;";  ","")&amp;IF(AND(EDATE($D105,Milestones!$AA$77)&lt;=AsOfDate,IF($R105=0,$X105,IF(AND($T105&lt;&gt;"",EDATE($D105,Milestones!$AA$77)&gt;=$T105),$W105,IF(AND($S105&lt;&gt;"",EDATE($D105,Milestones!$AA$77)&gt;=$S105),$V105,$U105)))=Milestones!$AB$77),UPPER(TEXT(EDATE($D105,Milestones!$AA$77),"dd mmm yy"))&amp;" "&amp;Milestones!$AB$77&amp;" "&amp;Milestones!$AC$77&amp;";  ","")&amp;IF(AND(EDATE($D105,Milestones!$AA$78)&lt;=AsOfDate,IF($R105=0,$X105,IF(AND($T105&lt;&gt;"",EDATE($D105,Milestones!$AA$78)&gt;=$T105),$W105,IF(AND($S105&lt;&gt;"",EDATE($D105,Milestones!$AA$78)&gt;=$S105),$V105,$U105)))=Milestones!$AB$78),UPPER(TEXT(EDATE($D105,Milestones!$AA$78),"dd mmm yy"))&amp;" "&amp;Milestones!$AB$78&amp;" "&amp;Milestones!$AC$78&amp;";  ","")&amp;IF(AND(EDATE($D105,Milestones!$AA$79)&lt;=AsOfDate,IF($R105=0,$X105,IF(AND($T105&lt;&gt;"",EDATE($D105,Milestones!$AA$79)&gt;=$T105),$W105,IF(AND($S105&lt;&gt;"",EDATE($D105,Milestones!$AA$79)&gt;=$S105),$V105,$U105)))=Milestones!$AB$79),UPPER(TEXT(EDATE($D105,Milestones!$AA$79),"dd mmm yy"))&amp;" "&amp;Milestones!$AB$79&amp;" "&amp;Milestones!$AC$79&amp;";  ",""))</f>
        <v/>
      </c>
      <c r="L105" s="0" t="str">
        <f aca="false">IF(OR($A105="",$D105=""),"",IF(AND(EDATE($D105,Milestones!$AA$80)&lt;=AsOfDate,IF($R105=0,$X105,IF(AND($T105&lt;&gt;"",EDATE($D105,Milestones!$AA$80)&gt;=$T105),$W105,IF(AND($S105&lt;&gt;"",EDATE($D105,Milestones!$AA$80)&gt;=$S105),$V105,$U105)))=Milestones!$AB$80),UPPER(TEXT(EDATE($D105,Milestones!$AA$80),"dd mmm yy"))&amp;" "&amp;Milestones!$AB$80&amp;" "&amp;Milestones!$AC$80&amp;";  ","")&amp;IF(AND(EDATE($D105,Milestones!$AA$81)&lt;=AsOfDate,IF($R105=0,$X105,IF(AND($T105&lt;&gt;"",EDATE($D105,Milestones!$AA$81)&gt;=$T105),$W105,IF(AND($S105&lt;&gt;"",EDATE($D105,Milestones!$AA$81)&gt;=$S105),$V105,$U105)))=Milestones!$AB$81),UPPER(TEXT(EDATE($D105,Milestones!$AA$81),"dd mmm yy"))&amp;" "&amp;Milestones!$AB$81&amp;" "&amp;Milestones!$AC$81&amp;";  ","")&amp;IF(AND(EDATE($D105,Milestones!$AA$82)&lt;=AsOfDate,IF($R105=0,$X105,IF(AND($T105&lt;&gt;"",EDATE($D105,Milestones!$AA$82)&gt;=$T105),$W105,IF(AND($S105&lt;&gt;"",EDATE($D105,Milestones!$AA$82)&gt;=$S105),$V105,$U105)))=Milestones!$AB$82),UPPER(TEXT(EDATE($D105,Milestones!$AA$82),"dd mmm yy"))&amp;" "&amp;Milestones!$AB$82&amp;" "&amp;Milestones!$AC$82&amp;";  ","")&amp;IF(AND(EDATE($D105,Milestones!$AA$83)&lt;=AsOfDate,IF($R105=0,$X105,IF(AND($T105&lt;&gt;"",EDATE($D105,Milestones!$AA$83)&gt;=$T105),$W105,IF(AND($S105&lt;&gt;"",EDATE($D105,Milestones!$AA$83)&gt;=$S105),$V105,$U105)))=Milestones!$AB$83),UPPER(TEXT(EDATE($D105,Milestones!$AA$83),"dd mmm yy"))&amp;" "&amp;Milestones!$AB$83&amp;" "&amp;Milestones!$AC$83&amp;";  ","")&amp;IF(AND(EDATE($D105,Milestones!$AA$84)&lt;=AsOfDate,IF($R105=0,$X105,IF(AND($T105&lt;&gt;"",EDATE($D105,Milestones!$AA$84)&gt;=$T105),$W105,IF(AND($S105&lt;&gt;"",EDATE($D105,Milestones!$AA$84)&gt;=$S105),$V105,$U105)))=Milestones!$AB$84),UPPER(TEXT(EDATE($D105,Milestones!$AA$84),"dd mmm yy"))&amp;" "&amp;Milestones!$AB$84&amp;" "&amp;Milestones!$AC$84&amp;";  ","")&amp;IF(AND(EDATE($D105,Milestones!$AA$85)&lt;=AsOfDate,IF($R105=0,$X105,IF(AND($T105&lt;&gt;"",EDATE($D105,Milestones!$AA$85)&gt;=$T105),$W105,IF(AND($S105&lt;&gt;"",EDATE($D105,Milestones!$AA$85)&gt;=$S105),$V105,$U105)))=Milestones!$AB$85),UPPER(TEXT(EDATE($D105,Milestones!$AA$85),"dd mmm yy"))&amp;" "&amp;Milestones!$AB$85&amp;" "&amp;Milestones!$AC$85&amp;";  ","")&amp;IF(AND(EDATE($D105,Milestones!$AA$86)&lt;=AsOfDate,IF($R105=0,$X105,IF(AND($T105&lt;&gt;"",EDATE($D105,Milestones!$AA$86)&gt;=$T105),$W105,IF(AND($S105&lt;&gt;"",EDATE($D105,Milestones!$AA$86)&gt;=$S105),$V105,$U105)))=Milestones!$AB$86),UPPER(TEXT(EDATE($D105,Milestones!$AA$86),"dd mmm yy"))&amp;" "&amp;Milestones!$AB$86&amp;" "&amp;Milestones!$AC$86&amp;";  ","")&amp;IF(AND(EDATE($D105,Milestones!$AA$87)&lt;=AsOfDate,IF($R105=0,$X105,IF(AND($T105&lt;&gt;"",EDATE($D105,Milestones!$AA$87)&gt;=$T105),$W105,IF(AND($S105&lt;&gt;"",EDATE($D105,Milestones!$AA$87)&gt;=$S105),$V105,$U105)))=Milestones!$AB$87),UPPER(TEXT(EDATE($D105,Milestones!$AA$87),"dd mmm yy"))&amp;" "&amp;Milestones!$AB$87&amp;" "&amp;Milestones!$AC$87&amp;";  ","")&amp;IF(AND(EDATE($D105,Milestones!$AA$88)&lt;=AsOfDate,IF($R105=0,$X105,IF(AND($T105&lt;&gt;"",EDATE($D105,Milestones!$AA$88)&gt;=$T105),$W105,IF(AND($S105&lt;&gt;"",EDATE($D105,Milestones!$AA$88)&gt;=$S105),$V105,$U105)))=Milestones!$AB$88),UPPER(TEXT(EDATE($D105,Milestones!$AA$88),"dd mmm yy"))&amp;" "&amp;Milestones!$AB$88&amp;" "&amp;Milestones!$AC$88&amp;";  ","")&amp;IF(AND(EDATE($D105,Milestones!$AA$89)&lt;=AsOfDate,IF($R105=0,$X105,IF(AND($T105&lt;&gt;"",EDATE($D105,Milestones!$AA$89)&gt;=$T105),$W105,IF(AND($S105&lt;&gt;"",EDATE($D105,Milestones!$AA$89)&gt;=$S105),$V105,$U105)))=Milestones!$AB$89),UPPER(TEXT(EDATE($D105,Milestones!$AA$89),"dd mmm yy"))&amp;" "&amp;Milestones!$AB$89&amp;" "&amp;Milestones!$AC$89&amp;";  ","")&amp;IF(AND(EDATE($D105,Milestones!$AA$90)&lt;=AsOfDate,IF($R105=0,$X105,IF(AND($T105&lt;&gt;"",EDATE($D105,Milestones!$AA$90)&gt;=$T105),$W105,IF(AND($S105&lt;&gt;"",EDATE($D105,Milestones!$AA$90)&gt;=$S105),$V105,$U105)))=Milestones!$AB$90),UPPER(TEXT(EDATE($D105,Milestones!$AA$90),"dd mmm yy"))&amp;" "&amp;Milestones!$AB$90&amp;" "&amp;Milestones!$AC$90&amp;";  ","")&amp;IF(AND(EDATE($D105,Milestones!$AA$91)&lt;=AsOfDate,IF($R105=0,$X105,IF(AND($T105&lt;&gt;"",EDATE($D105,Milestones!$AA$91)&gt;=$T105),$W105,IF(AND($S105&lt;&gt;"",EDATE($D105,Milestones!$AA$91)&gt;=$S105),$V105,$U105)))=Milestones!$AB$91),UPPER(TEXT(EDATE($D105,Milestones!$AA$91),"dd mmm yy"))&amp;" "&amp;Milestones!$AB$91&amp;" "&amp;Milestones!$AC$91&amp;";  ","")&amp;IF(AND(EDATE($D105,Milestones!$AA$92)&lt;=AsOfDate,IF($R105=0,$X105,IF(AND($T105&lt;&gt;"",EDATE($D105,Milestones!$AA$92)&gt;=$T105),$W105,IF(AND($S105&lt;&gt;"",EDATE($D105,Milestones!$AA$92)&gt;=$S105),$V105,$U105)))=Milestones!$AB$92),UPPER(TEXT(EDATE($D105,Milestones!$AA$92),"dd mmm yy"))&amp;" "&amp;Milestones!$AB$92&amp;" "&amp;Milestones!$AC$92&amp;";  ","")&amp;IF(AND(EDATE($D105,Milestones!$AA$93)&lt;=AsOfDate,IF($R105=0,$X105,IF(AND($T105&lt;&gt;"",EDATE($D105,Milestones!$AA$93)&gt;=$T105),$W105,IF(AND($S105&lt;&gt;"",EDATE($D105,Milestones!$AA$93)&gt;=$S105),$V105,$U105)))=Milestones!$AB$93),UPPER(TEXT(EDATE($D105,Milestones!$AA$93),"dd mmm yy"))&amp;" "&amp;Milestones!$AB$93&amp;" "&amp;Milestones!$AC$93&amp;";  ","")&amp;IF(AND(EDATE($D105,Milestones!$AA$94)&lt;=AsOfDate,IF($R105=0,$X105,IF(AND($T105&lt;&gt;"",EDATE($D105,Milestones!$AA$94)&gt;=$T105),$W105,IF(AND($S105&lt;&gt;"",EDATE($D105,Milestones!$AA$94)&gt;=$S105),$V105,$U105)))=Milestones!$AB$94),UPPER(TEXT(EDATE($D105,Milestones!$AA$94),"dd mmm yy"))&amp;" "&amp;Milestones!$AB$94&amp;" "&amp;Milestones!$AC$94&amp;";  ","")&amp;IF(AND(EDATE($D105,Milestones!$AA$95)&lt;=AsOfDate,IF($R105=0,$X105,IF(AND($T105&lt;&gt;"",EDATE($D105,Milestones!$AA$95)&gt;=$T105),$W105,IF(AND($S105&lt;&gt;"",EDATE($D105,Milestones!$AA$95)&gt;=$S105),$V105,$U105)))=Milestones!$AB$95),UPPER(TEXT(EDATE($D105,Milestones!$AA$95),"dd mmm yy"))&amp;" "&amp;Milestones!$AB$95&amp;" "&amp;Milestones!$AC$95&amp;";  ","")&amp;IF(AND(EDATE($D105,Milestones!$AA$96)&lt;=AsOfDate,IF($R105=0,$X105,IF(AND($T105&lt;&gt;"",EDATE($D105,Milestones!$AA$96)&gt;=$T105),$W105,IF(AND($S105&lt;&gt;"",EDATE($D105,Milestones!$AA$96)&gt;=$S105),$V105,$U105)))=Milestones!$AB$96),UPPER(TEXT(EDATE($D105,Milestones!$AA$96),"dd mmm yy"))&amp;" "&amp;Milestones!$AB$96&amp;" "&amp;Milestones!$AC$96&amp;";  ","")&amp;IF(AND(EDATE($D105,Milestones!$AA$97)&lt;=AsOfDate,IF($R105=0,$X105,IF(AND($T105&lt;&gt;"",EDATE($D105,Milestones!$AA$97)&gt;=$T105),$W105,IF(AND($S105&lt;&gt;"",EDATE($D105,Milestones!$AA$97)&gt;=$S105),$V105,$U105)))=Milestones!$AB$97),UPPER(TEXT(EDATE($D105,Milestones!$AA$97),"dd mmm yy"))&amp;" "&amp;Milestones!$AB$97&amp;" "&amp;Milestones!$AC$97&amp;";  ","")&amp;IF(AND(EDATE($D105,Milestones!$AA$98)&lt;=AsOfDate,IF($R105=0,$X105,IF(AND($T105&lt;&gt;"",EDATE($D105,Milestones!$AA$98)&gt;=$T105),$W105,IF(AND($S105&lt;&gt;"",EDATE($D105,Milestones!$AA$98)&gt;=$S105),$V105,$U105)))=Milestones!$AB$98),UPPER(TEXT(EDATE($D105,Milestones!$AA$98),"dd mmm yy"))&amp;" "&amp;Milestones!$AB$98&amp;" "&amp;Milestones!$AC$98&amp;";  ","")&amp;IF(AND(EDATE($D105,Milestones!$AA$99)&lt;=AsOfDate,IF($R105=0,$X105,IF(AND($T105&lt;&gt;"",EDATE($D105,Milestones!$AA$99)&gt;=$T105),$W105,IF(AND($S105&lt;&gt;"",EDATE($D105,Milestones!$AA$99)&gt;=$S105),$V105,$U105)))=Milestones!$AB$99),UPPER(TEXT(EDATE($D105,Milestones!$AA$99),"dd mmm yy"))&amp;" "&amp;Milestones!$AB$99&amp;" "&amp;Milestones!$AC$99&amp;";  ",""))</f>
        <v/>
      </c>
      <c r="M105" s="0" t="str">
        <f aca="false">IF(OR($A105="",$D105=""),"",IF(AND(EDATE($D105,Milestones!$AA$100)&lt;=AsOfDate,IF($R105=0,$X105,IF(AND($T105&lt;&gt;"",EDATE($D105,Milestones!$AA$100)&gt;=$T105),$W105,IF(AND($S105&lt;&gt;"",EDATE($D105,Milestones!$AA$100)&gt;=$S105),$V105,$U105)))=Milestones!$AB$100),UPPER(TEXT(EDATE($D105,Milestones!$AA$100),"dd mmm yy"))&amp;" "&amp;Milestones!$AB$100&amp;" "&amp;Milestones!$AC$100&amp;";  ","")&amp;IF(AND(EDATE($D105,Milestones!$AA$101)&lt;=AsOfDate,IF($R105=0,$X105,IF(AND($T105&lt;&gt;"",EDATE($D105,Milestones!$AA$101)&gt;=$T105),$W105,IF(AND($S105&lt;&gt;"",EDATE($D105,Milestones!$AA$101)&gt;=$S105),$V105,$U105)))=Milestones!$AB$101),UPPER(TEXT(EDATE($D105,Milestones!$AA$101),"dd mmm yy"))&amp;" "&amp;Milestones!$AB$101&amp;" "&amp;Milestones!$AC$101&amp;";  ","")&amp;IF(AND(EDATE($D105,Milestones!$AA$102)&lt;=AsOfDate,IF($R105=0,$X105,IF(AND($T105&lt;&gt;"",EDATE($D105,Milestones!$AA$102)&gt;=$T105),$W105,IF(AND($S105&lt;&gt;"",EDATE($D105,Milestones!$AA$102)&gt;=$S105),$V105,$U105)))=Milestones!$AB$102),UPPER(TEXT(EDATE($D105,Milestones!$AA$102),"dd mmm yy"))&amp;" "&amp;Milestones!$AB$102&amp;" "&amp;Milestones!$AC$102&amp;";  ","")&amp;IF(AND(EDATE($D105,Milestones!$AA$103)&lt;=AsOfDate,IF($R105=0,$X105,IF(AND($T105&lt;&gt;"",EDATE($D105,Milestones!$AA$103)&gt;=$T105),$W105,IF(AND($S105&lt;&gt;"",EDATE($D105,Milestones!$AA$103)&gt;=$S105),$V105,$U105)))=Milestones!$AB$103),UPPER(TEXT(EDATE($D105,Milestones!$AA$103),"dd mmm yy"))&amp;" "&amp;Milestones!$AB$103&amp;" "&amp;Milestones!$AC$103&amp;";  ","")&amp;IF(AND(EDATE($D105,Milestones!$AA$104)&lt;=AsOfDate,IF($R105=0,$X105,IF(AND($T105&lt;&gt;"",EDATE($D105,Milestones!$AA$104)&gt;=$T105),$W105,IF(AND($S105&lt;&gt;"",EDATE($D105,Milestones!$AA$104)&gt;=$S105),$V105,$U105)))=Milestones!$AB$104),UPPER(TEXT(EDATE($D105,Milestones!$AA$104),"dd mmm yy"))&amp;" "&amp;Milestones!$AB$104&amp;" "&amp;Milestones!$AC$104&amp;";  ","")&amp;IF(AND(EDATE($D105,Milestones!$AA$105)&lt;=AsOfDate,IF($R105=0,$X105,IF(AND($T105&lt;&gt;"",EDATE($D105,Milestones!$AA$105)&gt;=$T105),$W105,IF(AND($S105&lt;&gt;"",EDATE($D105,Milestones!$AA$105)&gt;=$S105),$V105,$U105)))=Milestones!$AB$105),UPPER(TEXT(EDATE($D105,Milestones!$AA$105),"dd mmm yy"))&amp;" "&amp;Milestones!$AB$105&amp;" "&amp;Milestones!$AC$105&amp;";  ","")&amp;IF(AND(EDATE($D105,Milestones!$AA$106)&lt;=AsOfDate,IF($R105=0,$X105,IF(AND($T105&lt;&gt;"",EDATE($D105,Milestones!$AA$106)&gt;=$T105),$W105,IF(AND($S105&lt;&gt;"",EDATE($D105,Milestones!$AA$106)&gt;=$S105),$V105,$U105)))=Milestones!$AB$106),UPPER(TEXT(EDATE($D105,Milestones!$AA$106),"dd mmm yy"))&amp;" "&amp;Milestones!$AB$106&amp;" "&amp;Milestones!$AC$106&amp;";  ","")&amp;IF(AND(EDATE($D105,Milestones!$AA$107)&lt;=AsOfDate,IF($R105=0,$X105,IF(AND($T105&lt;&gt;"",EDATE($D105,Milestones!$AA$107)&gt;=$T105),$W105,IF(AND($S105&lt;&gt;"",EDATE($D105,Milestones!$AA$107)&gt;=$S105),$V105,$U105)))=Milestones!$AB$107),UPPER(TEXT(EDATE($D105,Milestones!$AA$107),"dd mmm yy"))&amp;" "&amp;Milestones!$AB$107&amp;" "&amp;Milestones!$AC$107&amp;";  ","")&amp;IF(AND(EDATE($D105,Milestones!$AA$108)&lt;=AsOfDate,IF($R105=0,$X105,IF(AND($T105&lt;&gt;"",EDATE($D105,Milestones!$AA$108)&gt;=$T105),$W105,IF(AND($S105&lt;&gt;"",EDATE($D105,Milestones!$AA$108)&gt;=$S105),$V105,$U105)))=Milestones!$AB$108),UPPER(TEXT(EDATE($D105,Milestones!$AA$108),"dd mmm yy"))&amp;" "&amp;Milestones!$AB$108&amp;" "&amp;Milestones!$AC$108&amp;";  ","")&amp;IF(AND(EDATE($D105,Milestones!$AA$109)&lt;=AsOfDate,IF($R105=0,$X105,IF(AND($T105&lt;&gt;"",EDATE($D105,Milestones!$AA$109)&gt;=$T105),$W105,IF(AND($S105&lt;&gt;"",EDATE($D105,Milestones!$AA$109)&gt;=$S105),$V105,$U105)))=Milestones!$AB$109),UPPER(TEXT(EDATE($D105,Milestones!$AA$109),"dd mmm yy"))&amp;" "&amp;Milestones!$AB$109&amp;" "&amp;Milestones!$AC$109&amp;";  ","")&amp;IF(AND(EDATE($D105,Milestones!$AA$110)&lt;=AsOfDate,IF($R105=0,$X105,IF(AND($T105&lt;&gt;"",EDATE($D105,Milestones!$AA$110)&gt;=$T105),$W105,IF(AND($S105&lt;&gt;"",EDATE($D105,Milestones!$AA$110)&gt;=$S105),$V105,$U105)))=Milestones!$AB$110),UPPER(TEXT(EDATE($D105,Milestones!$AA$110),"dd mmm yy"))&amp;" "&amp;Milestones!$AB$110&amp;" "&amp;Milestones!$AC$110&amp;";  ","")&amp;IF(AND(EDATE($D105,Milestones!$AA$111)&lt;=AsOfDate,IF($R105=0,$X105,IF(AND($T105&lt;&gt;"",EDATE($D105,Milestones!$AA$111)&gt;=$T105),$W105,IF(AND($S105&lt;&gt;"",EDATE($D105,Milestones!$AA$111)&gt;=$S105),$V105,$U105)))=Milestones!$AB$111),UPPER(TEXT(EDATE($D105,Milestones!$AA$111),"dd mmm yy"))&amp;" "&amp;Milestones!$AB$111&amp;" "&amp;Milestones!$AC$111&amp;";  ","")&amp;IF(AND(EDATE($D105,Milestones!$AA$112)&lt;=AsOfDate,IF($R105=0,$X105,IF(AND($T105&lt;&gt;"",EDATE($D105,Milestones!$AA$112)&gt;=$T105),$W105,IF(AND($S105&lt;&gt;"",EDATE($D105,Milestones!$AA$112)&gt;=$S105),$V105,$U105)))=Milestones!$AB$112),UPPER(TEXT(EDATE($D105,Milestones!$AA$112),"dd mmm yy"))&amp;" "&amp;Milestones!$AB$112&amp;" "&amp;Milestones!$AC$112&amp;";  ","")&amp;IF(AND(EDATE($D105,Milestones!$AA$113)&lt;=AsOfDate,IF($R105=0,$X105,IF(AND($T105&lt;&gt;"",EDATE($D105,Milestones!$AA$113)&gt;=$T105),$W105,IF(AND($S105&lt;&gt;"",EDATE($D105,Milestones!$AA$113)&gt;=$S105),$V105,$U105)))=Milestones!$AB$113),UPPER(TEXT(EDATE($D105,Milestones!$AA$113),"dd mmm yy"))&amp;" "&amp;Milestones!$AB$113&amp;" "&amp;Milestones!$AC$113&amp;";  ","")&amp;IF(AND(EDATE($D105,Milestones!$AA$114)&lt;=AsOfDate,IF($R105=0,$X105,IF(AND($T105&lt;&gt;"",EDATE($D105,Milestones!$AA$114)&gt;=$T105),$W105,IF(AND($S105&lt;&gt;"",EDATE($D105,Milestones!$AA$114)&gt;=$S105),$V105,$U105)))=Milestones!$AB$114),UPPER(TEXT(EDATE($D105,Milestones!$AA$114),"dd mmm yy"))&amp;" "&amp;Milestones!$AB$114&amp;" "&amp;Milestones!$AC$114&amp;";  ","")&amp;IF(AND(EDATE($D105,Milestones!$AA$115)&lt;=AsOfDate,IF($R105=0,$X105,IF(AND($T105&lt;&gt;"",EDATE($D105,Milestones!$AA$115)&gt;=$T105),$W105,IF(AND($S105&lt;&gt;"",EDATE($D105,Milestones!$AA$115)&gt;=$S105),$V105,$U105)))=Milestones!$AB$115),UPPER(TEXT(EDATE($D105,Milestones!$AA$115),"dd mmm yy"))&amp;" "&amp;Milestones!$AB$115&amp;" "&amp;Milestones!$AC$115&amp;";  ","")&amp;IF(AND(EDATE($D105,Milestones!$AA$116)&lt;=AsOfDate,IF($R105=0,$X105,IF(AND($T105&lt;&gt;"",EDATE($D105,Milestones!$AA$116)&gt;=$T105),$W105,IF(AND($S105&lt;&gt;"",EDATE($D105,Milestones!$AA$116)&gt;=$S105),$V105,$U105)))=Milestones!$AB$116),UPPER(TEXT(EDATE($D105,Milestones!$AA$116),"dd mmm yy"))&amp;" "&amp;Milestones!$AB$116&amp;" "&amp;Milestones!$AC$116&amp;";  ","")&amp;IF(AND(EDATE($D105,Milestones!$AA$117)&lt;=AsOfDate,IF($R105=0,$X105,IF(AND($T105&lt;&gt;"",EDATE($D105,Milestones!$AA$117)&gt;=$T105),$W105,IF(AND($S105&lt;&gt;"",EDATE($D105,Milestones!$AA$117)&gt;=$S105),$V105,$U105)))=Milestones!$AB$117),UPPER(TEXT(EDATE($D105,Milestones!$AA$117),"dd mmm yy"))&amp;" "&amp;Milestones!$AB$117&amp;" "&amp;Milestones!$AC$117&amp;";  ","")&amp;IF(AND(EDATE($D105,Milestones!$AA$118)&lt;=AsOfDate,IF($R105=0,$X105,IF(AND($T105&lt;&gt;"",EDATE($D105,Milestones!$AA$118)&gt;=$T105),$W105,IF(AND($S105&lt;&gt;"",EDATE($D105,Milestones!$AA$118)&gt;=$S105),$V105,$U105)))=Milestones!$AB$118),UPPER(TEXT(EDATE($D105,Milestones!$AA$118),"dd mmm yy"))&amp;" "&amp;Milestones!$AB$118&amp;" "&amp;Milestones!$AC$118&amp;";  ","")&amp;IF(AND(EDATE($D105,Milestones!$AA$119)&lt;=AsOfDate,IF($R105=0,$X105,IF(AND($T105&lt;&gt;"",EDATE($D105,Milestones!$AA$119)&gt;=$T105),$W105,IF(AND($S105&lt;&gt;"",EDATE($D105,Milestones!$AA$119)&gt;=$S105),$V105,$U105)))=Milestones!$AB$119),UPPER(TEXT(EDATE($D105,Milestones!$AA$119),"dd mmm yy"))&amp;" "&amp;Milestones!$AB$119&amp;" "&amp;Milestones!$AC$119&amp;";  ",""))</f>
        <v/>
      </c>
      <c r="N105" s="0" t="str">
        <f aca="false">IF(OR($A105="",$D105=""),"",IF(AND(EDATE($D105,Milestones!$AA$120)&lt;=AsOfDate,IF($R105=0,$X105,IF(AND($T105&lt;&gt;"",EDATE($D105,Milestones!$AA$120)&gt;=$T105),$W105,IF(AND($S105&lt;&gt;"",EDATE($D105,Milestones!$AA$120)&gt;=$S105),$V105,$U105)))=Milestones!$AB$120),UPPER(TEXT(EDATE($D105,Milestones!$AA$120),"dd mmm yy"))&amp;" "&amp;Milestones!$AB$120&amp;" "&amp;Milestones!$AC$120&amp;";  ","")&amp;IF(AND(EDATE($D105,Milestones!$AA$121)&lt;=AsOfDate,IF($R105=0,$X105,IF(AND($T105&lt;&gt;"",EDATE($D105,Milestones!$AA$121)&gt;=$T105),$W105,IF(AND($S105&lt;&gt;"",EDATE($D105,Milestones!$AA$121)&gt;=$S105),$V105,$U105)))=Milestones!$AB$121),UPPER(TEXT(EDATE($D105,Milestones!$AA$121),"dd mmm yy"))&amp;" "&amp;Milestones!$AB$121&amp;" "&amp;Milestones!$AC$121&amp;";  ","")&amp;IF(AND(EDATE($D105,Milestones!$AA$122)&lt;=AsOfDate,IF($R105=0,$X105,IF(AND($T105&lt;&gt;"",EDATE($D105,Milestones!$AA$122)&gt;=$T105),$W105,IF(AND($S105&lt;&gt;"",EDATE($D105,Milestones!$AA$122)&gt;=$S105),$V105,$U105)))=Milestones!$AB$122),UPPER(TEXT(EDATE($D105,Milestones!$AA$122),"dd mmm yy"))&amp;" "&amp;Milestones!$AB$122&amp;" "&amp;Milestones!$AC$122&amp;";  ","")&amp;IF(AND(EDATE($D105,Milestones!$AA$123)&lt;=AsOfDate,IF($R105=0,$X105,IF(AND($T105&lt;&gt;"",EDATE($D105,Milestones!$AA$123)&gt;=$T105),$W105,IF(AND($S105&lt;&gt;"",EDATE($D105,Milestones!$AA$123)&gt;=$S105),$V105,$U105)))=Milestones!$AB$123),UPPER(TEXT(EDATE($D105,Milestones!$AA$123),"dd mmm yy"))&amp;" "&amp;Milestones!$AB$123&amp;" "&amp;Milestones!$AC$123&amp;";  ","")&amp;IF(AND(EDATE($D105,Milestones!$AA$124)&lt;=AsOfDate,IF($R105=0,$X105,IF(AND($T105&lt;&gt;"",EDATE($D105,Milestones!$AA$124)&gt;=$T105),$W105,IF(AND($S105&lt;&gt;"",EDATE($D105,Milestones!$AA$124)&gt;=$S105),$V105,$U105)))=Milestones!$AB$124),UPPER(TEXT(EDATE($D105,Milestones!$AA$124),"dd mmm yy"))&amp;" "&amp;Milestones!$AB$124&amp;" "&amp;Milestones!$AC$124&amp;";  ","")&amp;IF(AND(EDATE($D105,Milestones!$AA$125)&lt;=AsOfDate,IF($R105=0,$X105,IF(AND($T105&lt;&gt;"",EDATE($D105,Milestones!$AA$125)&gt;=$T105),$W105,IF(AND($S105&lt;&gt;"",EDATE($D105,Milestones!$AA$125)&gt;=$S105),$V105,$U105)))=Milestones!$AB$125),UPPER(TEXT(EDATE($D105,Milestones!$AA$125),"dd mmm yy"))&amp;" "&amp;Milestones!$AB$125&amp;" "&amp;Milestones!$AC$125&amp;";  ","")&amp;IF(AND(EDATE($D105,Milestones!$AA$126)&lt;=AsOfDate,IF($R105=0,$X105,IF(AND($T105&lt;&gt;"",EDATE($D105,Milestones!$AA$126)&gt;=$T105),$W105,IF(AND($S105&lt;&gt;"",EDATE($D105,Milestones!$AA$126)&gt;=$S105),$V105,$U105)))=Milestones!$AB$126),UPPER(TEXT(EDATE($D105,Milestones!$AA$126),"dd mmm yy"))&amp;" "&amp;Milestones!$AB$126&amp;" "&amp;Milestones!$AC$126&amp;";  ","")&amp;IF(AND(EDATE($D105,Milestones!$AA$127)&lt;=AsOfDate,IF($R105=0,$X105,IF(AND($T105&lt;&gt;"",EDATE($D105,Milestones!$AA$127)&gt;=$T105),$W105,IF(AND($S105&lt;&gt;"",EDATE($D105,Milestones!$AA$127)&gt;=$S105),$V105,$U105)))=Milestones!$AB$127),UPPER(TEXT(EDATE($D105,Milestones!$AA$127),"dd mmm yy"))&amp;" "&amp;Milestones!$AB$127&amp;" "&amp;Milestones!$AC$127&amp;";  ","")&amp;IF(AND(EDATE($D105,Milestones!$AA$128)&lt;=AsOfDate,IF($R105=0,$X105,IF(AND($T105&lt;&gt;"",EDATE($D105,Milestones!$AA$128)&gt;=$T105),$W105,IF(AND($S105&lt;&gt;"",EDATE($D105,Milestones!$AA$128)&gt;=$S105),$V105,$U105)))=Milestones!$AB$128),UPPER(TEXT(EDATE($D105,Milestones!$AA$128),"dd mmm yy"))&amp;" "&amp;Milestones!$AB$128&amp;" "&amp;Milestones!$AC$128&amp;";  ","")&amp;IF(AND(EDATE($D105,Milestones!$AA$129)&lt;=AsOfDate,IF($R105=0,$X105,IF(AND($T105&lt;&gt;"",EDATE($D105,Milestones!$AA$129)&gt;=$T105),$W105,IF(AND($S105&lt;&gt;"",EDATE($D105,Milestones!$AA$129)&gt;=$S105),$V105,$U105)))=Milestones!$AB$129),UPPER(TEXT(EDATE($D105,Milestones!$AA$129),"dd mmm yy"))&amp;" "&amp;Milestones!$AB$129&amp;" "&amp;Milestones!$AC$129&amp;";  ","")&amp;IF(AND(EDATE($D105,Milestones!$AA$130)&lt;=AsOfDate,IF($R105=0,$X105,IF(AND($T105&lt;&gt;"",EDATE($D105,Milestones!$AA$130)&gt;=$T105),$W105,IF(AND($S105&lt;&gt;"",EDATE($D105,Milestones!$AA$130)&gt;=$S105),$V105,$U105)))=Milestones!$AB$130),UPPER(TEXT(EDATE($D105,Milestones!$AA$130),"dd mmm yy"))&amp;" "&amp;Milestones!$AB$130&amp;" "&amp;Milestones!$AC$130&amp;";  ","")&amp;IF(AND(EDATE($D105,Milestones!$AA$131)&lt;=AsOfDate,IF($R105=0,$X105,IF(AND($T105&lt;&gt;"",EDATE($D105,Milestones!$AA$131)&gt;=$T105),$W105,IF(AND($S105&lt;&gt;"",EDATE($D105,Milestones!$AA$131)&gt;=$S105),$V105,$U105)))=Milestones!$AB$131),UPPER(TEXT(EDATE($D105,Milestones!$AA$131),"dd mmm yy"))&amp;" "&amp;Milestones!$AB$131&amp;" "&amp;Milestones!$AC$131&amp;";  ","")&amp;IF(AND(EDATE($D105,Milestones!$AA$132)&lt;=AsOfDate,IF($R105=0,$X105,IF(AND($T105&lt;&gt;"",EDATE($D105,Milestones!$AA$132)&gt;=$T105),$W105,IF(AND($S105&lt;&gt;"",EDATE($D105,Milestones!$AA$132)&gt;=$S105),$V105,$U105)))=Milestones!$AB$132),UPPER(TEXT(EDATE($D105,Milestones!$AA$132),"dd mmm yy"))&amp;" "&amp;Milestones!$AB$132&amp;" "&amp;Milestones!$AC$132&amp;";  ","")&amp;IF(AND(EDATE($D105,Milestones!$AA$133)&lt;=AsOfDate,IF($R105=0,$X105,IF(AND($T105&lt;&gt;"",EDATE($D105,Milestones!$AA$133)&gt;=$T105),$W105,IF(AND($S105&lt;&gt;"",EDATE($D105,Milestones!$AA$133)&gt;=$S105),$V105,$U105)))=Milestones!$AB$133),UPPER(TEXT(EDATE($D105,Milestones!$AA$133),"dd mmm yy"))&amp;" "&amp;Milestones!$AB$133&amp;" "&amp;Milestones!$AC$133&amp;";  ","")&amp;IF(AND(EDATE($D105,Milestones!$AA$134)&lt;=AsOfDate,IF($R105=0,$X105,IF(AND($T105&lt;&gt;"",EDATE($D105,Milestones!$AA$134)&gt;=$T105),$W105,IF(AND($S105&lt;&gt;"",EDATE($D105,Milestones!$AA$134)&gt;=$S105),$V105,$U105)))=Milestones!$AB$134),UPPER(TEXT(EDATE($D105,Milestones!$AA$134),"dd mmm yy"))&amp;" "&amp;Milestones!$AB$134&amp;" "&amp;Milestones!$AC$134&amp;";  ","")&amp;IF(AND(EDATE($D105,Milestones!$AA$135)&lt;=AsOfDate,IF($R105=0,$X105,IF(AND($T105&lt;&gt;"",EDATE($D105,Milestones!$AA$135)&gt;=$T105),$W105,IF(AND($S105&lt;&gt;"",EDATE($D105,Milestones!$AA$135)&gt;=$S105),$V105,$U105)))=Milestones!$AB$135),UPPER(TEXT(EDATE($D105,Milestones!$AA$135),"dd mmm yy"))&amp;" "&amp;Milestones!$AB$135&amp;" "&amp;Milestones!$AC$135&amp;";  ","")&amp;IF(AND(EDATE($D105,Milestones!$AA$136)&lt;=AsOfDate,IF($R105=0,$X105,IF(AND($T105&lt;&gt;"",EDATE($D105,Milestones!$AA$136)&gt;=$T105),$W105,IF(AND($S105&lt;&gt;"",EDATE($D105,Milestones!$AA$136)&gt;=$S105),$V105,$U105)))=Milestones!$AB$136),UPPER(TEXT(EDATE($D105,Milestones!$AA$136),"dd mmm yy"))&amp;" "&amp;Milestones!$AB$136&amp;" "&amp;Milestones!$AC$136&amp;";  ","")&amp;IF(AND(EDATE($D105,Milestones!$AA$137)&lt;=AsOfDate,IF($R105=0,$X105,IF(AND($T105&lt;&gt;"",EDATE($D105,Milestones!$AA$137)&gt;=$T105),$W105,IF(AND($S105&lt;&gt;"",EDATE($D105,Milestones!$AA$137)&gt;=$S105),$V105,$U105)))=Milestones!$AB$137),UPPER(TEXT(EDATE($D105,Milestones!$AA$137),"dd mmm yy"))&amp;" "&amp;Milestones!$AB$137&amp;" "&amp;Milestones!$AC$137&amp;";  ","")&amp;IF(AND(EDATE($D105,Milestones!$AA$138)&lt;=AsOfDate,IF($R105=0,$X105,IF(AND($T105&lt;&gt;"",EDATE($D105,Milestones!$AA$138)&gt;=$T105),$W105,IF(AND($S105&lt;&gt;"",EDATE($D105,Milestones!$AA$138)&gt;=$S105),$V105,$U105)))=Milestones!$AB$138),UPPER(TEXT(EDATE($D105,Milestones!$AA$138),"dd mmm yy"))&amp;" "&amp;Milestones!$AB$138&amp;" "&amp;Milestones!$AC$138&amp;";  ","")&amp;IF(AND(EDATE($D105,Milestones!$AA$139)&lt;=AsOfDate,IF($R105=0,$X105,IF(AND($T105&lt;&gt;"",EDATE($D105,Milestones!$AA$139)&gt;=$T105),$W105,IF(AND($S105&lt;&gt;"",EDATE($D105,Milestones!$AA$139)&gt;=$S105),$V105,$U105)))=Milestones!$AB$139),UPPER(TEXT(EDATE($D105,Milestones!$AA$139),"dd mmm yy"))&amp;" "&amp;Milestones!$AB$139&amp;" "&amp;Milestones!$AC$139&amp;";  ",""))</f>
        <v/>
      </c>
      <c r="O105" s="0" t="str">
        <f aca="false">IF(OR($A105="",$D105=""),"",IF(AND(EDATE($D105,Milestones!$AA$140)&lt;=AsOfDate,IF($R105=0,$X105,IF(AND($T105&lt;&gt;"",EDATE($D105,Milestones!$AA$140)&gt;=$T105),$W105,IF(AND($S105&lt;&gt;"",EDATE($D105,Milestones!$AA$140)&gt;=$S105),$V105,$U105)))=Milestones!$AB$140),UPPER(TEXT(EDATE($D105,Milestones!$AA$140),"dd mmm yy"))&amp;" "&amp;Milestones!$AB$140&amp;" "&amp;Milestones!$AC$140&amp;";  ","")&amp;IF(AND(EDATE($D105,Milestones!$AA$141)&lt;=AsOfDate,IF($R105=0,$X105,IF(AND($T105&lt;&gt;"",EDATE($D105,Milestones!$AA$141)&gt;=$T105),$W105,IF(AND($S105&lt;&gt;"",EDATE($D105,Milestones!$AA$141)&gt;=$S105),$V105,$U105)))=Milestones!$AB$141),UPPER(TEXT(EDATE($D105,Milestones!$AA$141),"dd mmm yy"))&amp;" "&amp;Milestones!$AB$141&amp;" "&amp;Milestones!$AC$141&amp;";  ","")&amp;IF(AND(EDATE($D105,Milestones!$AA$142)&lt;=AsOfDate,IF($R105=0,$X105,IF(AND($T105&lt;&gt;"",EDATE($D105,Milestones!$AA$142)&gt;=$T105),$W105,IF(AND($S105&lt;&gt;"",EDATE($D105,Milestones!$AA$142)&gt;=$S105),$V105,$U105)))=Milestones!$AB$142),UPPER(TEXT(EDATE($D105,Milestones!$AA$142),"dd mmm yy"))&amp;" "&amp;Milestones!$AB$142&amp;" "&amp;Milestones!$AC$142&amp;";  ","")&amp;IF(AND(EDATE($D105,Milestones!$AA$143)&lt;=AsOfDate,IF($R105=0,$X105,IF(AND($T105&lt;&gt;"",EDATE($D105,Milestones!$AA$143)&gt;=$T105),$W105,IF(AND($S105&lt;&gt;"",EDATE($D105,Milestones!$AA$143)&gt;=$S105),$V105,$U105)))=Milestones!$AB$143),UPPER(TEXT(EDATE($D105,Milestones!$AA$143),"dd mmm yy"))&amp;" "&amp;Milestones!$AB$143&amp;" "&amp;Milestones!$AC$143&amp;";  ","")&amp;IF(AND(EDATE($D105,Milestones!$AA$144)&lt;=AsOfDate,IF($R105=0,$X105,IF(AND($T105&lt;&gt;"",EDATE($D105,Milestones!$AA$144)&gt;=$T105),$W105,IF(AND($S105&lt;&gt;"",EDATE($D105,Milestones!$AA$144)&gt;=$S105),$V105,$U105)))=Milestones!$AB$144),UPPER(TEXT(EDATE($D105,Milestones!$AA$144),"dd mmm yy"))&amp;" "&amp;Milestones!$AB$144&amp;" "&amp;Milestones!$AC$144&amp;";  ","")&amp;IF(AND(EDATE($D105,Milestones!$AA$145)&lt;=AsOfDate,IF($R105=0,$X105,IF(AND($T105&lt;&gt;"",EDATE($D105,Milestones!$AA$145)&gt;=$T105),$W105,IF(AND($S105&lt;&gt;"",EDATE($D105,Milestones!$AA$145)&gt;=$S105),$V105,$U105)))=Milestones!$AB$145),UPPER(TEXT(EDATE($D105,Milestones!$AA$145),"dd mmm yy"))&amp;" "&amp;Milestones!$AB$145&amp;" "&amp;Milestones!$AC$145&amp;";  ","")&amp;IF(AND(EDATE($D105,Milestones!$AA$146)&lt;=AsOfDate,IF($R105=0,$X105,IF(AND($T105&lt;&gt;"",EDATE($D105,Milestones!$AA$146)&gt;=$T105),$W105,IF(AND($S105&lt;&gt;"",EDATE($D105,Milestones!$AA$146)&gt;=$S105),$V105,$U105)))=Milestones!$AB$146),UPPER(TEXT(EDATE($D105,Milestones!$AA$146),"dd mmm yy"))&amp;" "&amp;Milestones!$AB$146&amp;" "&amp;Milestones!$AC$146&amp;";  ","")&amp;IF(AND(EDATE($D105,Milestones!$AA$147)&lt;=AsOfDate,IF($R105=0,$X105,IF(AND($T105&lt;&gt;"",EDATE($D105,Milestones!$AA$147)&gt;=$T105),$W105,IF(AND($S105&lt;&gt;"",EDATE($D105,Milestones!$AA$147)&gt;=$S105),$V105,$U105)))=Milestones!$AB$147),UPPER(TEXT(EDATE($D105,Milestones!$AA$147),"dd mmm yy"))&amp;" "&amp;Milestones!$AB$147&amp;" "&amp;Milestones!$AC$147&amp;";  ","")&amp;IF(AND(EDATE($D105,Milestones!$AA$148)&lt;=AsOfDate,IF($R105=0,$X105,IF(AND($T105&lt;&gt;"",EDATE($D105,Milestones!$AA$148)&gt;=$T105),$W105,IF(AND($S105&lt;&gt;"",EDATE($D105,Milestones!$AA$148)&gt;=$S105),$V105,$U105)))=Milestones!$AB$148),UPPER(TEXT(EDATE($D105,Milestones!$AA$148),"dd mmm yy"))&amp;" "&amp;Milestones!$AB$148&amp;" "&amp;Milestones!$AC$148&amp;";  ","")&amp;IF(AND(EDATE($D105,Milestones!$AA$149)&lt;=AsOfDate,IF($R105=0,$X105,IF(AND($T105&lt;&gt;"",EDATE($D105,Milestones!$AA$149)&gt;=$T105),$W105,IF(AND($S105&lt;&gt;"",EDATE($D105,Milestones!$AA$149)&gt;=$S105),$V105,$U105)))=Milestones!$AB$149),UPPER(TEXT(EDATE($D105,Milestones!$AA$149),"dd mmm yy"))&amp;" "&amp;Milestones!$AB$149&amp;" "&amp;Milestones!$AC$149&amp;";  ","")&amp;IF(AND(EDATE($D105,Milestones!$AA$150)&lt;=AsOfDate,IF($R105=0,$X105,IF(AND($T105&lt;&gt;"",EDATE($D105,Milestones!$AA$150)&gt;=$T105),$W105,IF(AND($S105&lt;&gt;"",EDATE($D105,Milestones!$AA$150)&gt;=$S105),$V105,$U105)))=Milestones!$AB$150),UPPER(TEXT(EDATE($D105,Milestones!$AA$150),"dd mmm yy"))&amp;" "&amp;Milestones!$AB$150&amp;" "&amp;Milestones!$AC$150&amp;";  ","")&amp;IF(AND(EDATE($D105,Milestones!$AA$151)&lt;=AsOfDate,IF($R105=0,$X105,IF(AND($T105&lt;&gt;"",EDATE($D105,Milestones!$AA$151)&gt;=$T105),$W105,IF(AND($S105&lt;&gt;"",EDATE($D105,Milestones!$AA$151)&gt;=$S105),$V105,$U105)))=Milestones!$AB$151),UPPER(TEXT(EDATE($D105,Milestones!$AA$151),"dd mmm yy"))&amp;" "&amp;Milestones!$AB$151&amp;" "&amp;Milestones!$AC$151&amp;";  ","")&amp;IF(AND(EDATE($D105,Milestones!$AA$152)&lt;=AsOfDate,IF($R105=0,$X105,IF(AND($T105&lt;&gt;"",EDATE($D105,Milestones!$AA$152)&gt;=$T105),$W105,IF(AND($S105&lt;&gt;"",EDATE($D105,Milestones!$AA$152)&gt;=$S105),$V105,$U105)))=Milestones!$AB$152),UPPER(TEXT(EDATE($D105,Milestones!$AA$152),"dd mmm yy"))&amp;" "&amp;Milestones!$AB$152&amp;" "&amp;Milestones!$AC$152&amp;";  ","")&amp;IF(AND(EDATE($D105,Milestones!$AA$153)&lt;=AsOfDate,IF($R105=0,$X105,IF(AND($T105&lt;&gt;"",EDATE($D105,Milestones!$AA$153)&gt;=$T105),$W105,IF(AND($S105&lt;&gt;"",EDATE($D105,Milestones!$AA$153)&gt;=$S105),$V105,$U105)))=Milestones!$AB$153),UPPER(TEXT(EDATE($D105,Milestones!$AA$153),"dd mmm yy"))&amp;" "&amp;Milestones!$AB$153&amp;" "&amp;Milestones!$AC$153&amp;";  ","")&amp;IF(AND(EDATE($D105,Milestones!$AA$154)&lt;=AsOfDate,IF($R105=0,$X105,IF(AND($T105&lt;&gt;"",EDATE($D105,Milestones!$AA$154)&gt;=$T105),$W105,IF(AND($S105&lt;&gt;"",EDATE($D105,Milestones!$AA$154)&gt;=$S105),$V105,$U105)))=Milestones!$AB$154),UPPER(TEXT(EDATE($D105,Milestones!$AA$154),"dd mmm yy"))&amp;" "&amp;Milestones!$AB$154&amp;" "&amp;Milestones!$AC$154&amp;";  ","")&amp;IF(AND(EDATE($D105,Milestones!$AA$155)&lt;=AsOfDate,IF($R105=0,$X105,IF(AND($T105&lt;&gt;"",EDATE($D105,Milestones!$AA$155)&gt;=$T105),$W105,IF(AND($S105&lt;&gt;"",EDATE($D105,Milestones!$AA$155)&gt;=$S105),$V105,$U105)))=Milestones!$AB$155),UPPER(TEXT(EDATE($D105,Milestones!$AA$155),"dd mmm yy"))&amp;" "&amp;Milestones!$AB$155&amp;" "&amp;Milestones!$AC$155&amp;";  ","")&amp;IF(AND(EDATE($D105,Milestones!$AA$156)&lt;=AsOfDate,IF($R105=0,$X105,IF(AND($T105&lt;&gt;"",EDATE($D105,Milestones!$AA$156)&gt;=$T105),$W105,IF(AND($S105&lt;&gt;"",EDATE($D105,Milestones!$AA$156)&gt;=$S105),$V105,$U105)))=Milestones!$AB$156),UPPER(TEXT(EDATE($D105,Milestones!$AA$156),"dd mmm yy"))&amp;" "&amp;Milestones!$AB$156&amp;" "&amp;Milestones!$AC$156&amp;";  ","")&amp;IF(AND(EDATE($D105,Milestones!$AA$157)&lt;=AsOfDate,IF($R105=0,$X105,IF(AND($T105&lt;&gt;"",EDATE($D105,Milestones!$AA$157)&gt;=$T105),$W105,IF(AND($S105&lt;&gt;"",EDATE($D105,Milestones!$AA$157)&gt;=$S105),$V105,$U105)))=Milestones!$AB$157),UPPER(TEXT(EDATE($D105,Milestones!$AA$157),"dd mmm yy"))&amp;" "&amp;Milestones!$AB$157&amp;" "&amp;Milestones!$AC$157&amp;";  ","")&amp;IF(AND(EDATE($D105,Milestones!$AA$158)&lt;=AsOfDate,IF($R105=0,$X105,IF(AND($T105&lt;&gt;"",EDATE($D105,Milestones!$AA$158)&gt;=$T105),$W105,IF(AND($S105&lt;&gt;"",EDATE($D105,Milestones!$AA$158)&gt;=$S105),$V105,$U105)))=Milestones!$AB$158),UPPER(TEXT(EDATE($D105,Milestones!$AA$158),"dd mmm yy"))&amp;" "&amp;Milestones!$AB$158&amp;" "&amp;Milestones!$AC$158&amp;";  ","")&amp;IF(AND(EDATE($D105,Milestones!$AA$159)&lt;=AsOfDate,IF($R105=0,$X105,IF(AND($T105&lt;&gt;"",EDATE($D105,Milestones!$AA$159)&gt;=$T105),$W105,IF(AND($S105&lt;&gt;"",EDATE($D105,Milestones!$AA$159)&gt;=$S105),$V105,$U105)))=Milestones!$AB$159),UPPER(TEXT(EDATE($D105,Milestones!$AA$159),"dd mmm yy"))&amp;" "&amp;Milestones!$AB$159&amp;" "&amp;Milestones!$AC$159&amp;";  ",""))</f>
        <v/>
      </c>
      <c r="P105" s="0" t="str">
        <f aca="false">IF(OR($A105="",$D105=""),"",IF(AND(EDATE($D105,Milestones!$AA$160)&lt;=AsOfDate,IF($R105=0,$X105,IF(AND($T105&lt;&gt;"",EDATE($D105,Milestones!$AA$160)&gt;=$T105),$W105,IF(AND($S105&lt;&gt;"",EDATE($D105,Milestones!$AA$160)&gt;=$S105),$V105,$U105)))=Milestones!$AB$160),UPPER(TEXT(EDATE($D105,Milestones!$AA$160),"dd mmm yy"))&amp;" "&amp;Milestones!$AB$160&amp;" "&amp;Milestones!$AC$160&amp;";  ","")&amp;IF(AND(EDATE($D105,Milestones!$AA$161)&lt;=AsOfDate,IF($R105=0,$X105,IF(AND($T105&lt;&gt;"",EDATE($D105,Milestones!$AA$161)&gt;=$T105),$W105,IF(AND($S105&lt;&gt;"",EDATE($D105,Milestones!$AA$161)&gt;=$S105),$V105,$U105)))=Milestones!$AB$161),UPPER(TEXT(EDATE($D105,Milestones!$AA$161),"dd mmm yy"))&amp;" "&amp;Milestones!$AB$161&amp;" "&amp;Milestones!$AC$161&amp;";  ","")&amp;IF(AND(EDATE($D105,Milestones!$AA$162)&lt;=AsOfDate,IF($R105=0,$X105,IF(AND($T105&lt;&gt;"",EDATE($D105,Milestones!$AA$162)&gt;=$T105),$W105,IF(AND($S105&lt;&gt;"",EDATE($D105,Milestones!$AA$162)&gt;=$S105),$V105,$U105)))=Milestones!$AB$162),UPPER(TEXT(EDATE($D105,Milestones!$AA$162),"dd mmm yy"))&amp;" "&amp;Milestones!$AB$162&amp;" "&amp;Milestones!$AC$162&amp;";  ","")&amp;IF(AND(EDATE($D105,Milestones!$AA$163)&lt;=AsOfDate,IF($R105=0,$X105,IF(AND($T105&lt;&gt;"",EDATE($D105,Milestones!$AA$163)&gt;=$T105),$W105,IF(AND($S105&lt;&gt;"",EDATE($D105,Milestones!$AA$163)&gt;=$S105),$V105,$U105)))=Milestones!$AB$163),UPPER(TEXT(EDATE($D105,Milestones!$AA$163),"dd mmm yy"))&amp;" "&amp;Milestones!$AB$163&amp;" "&amp;Milestones!$AC$163&amp;";  ","")&amp;IF(AND(EDATE($D105,Milestones!$AA$164)&lt;=AsOfDate,IF($R105=0,$X105,IF(AND($T105&lt;&gt;"",EDATE($D105,Milestones!$AA$164)&gt;=$T105),$W105,IF(AND($S105&lt;&gt;"",EDATE($D105,Milestones!$AA$164)&gt;=$S105),$V105,$U105)))=Milestones!$AB$164),UPPER(TEXT(EDATE($D105,Milestones!$AA$164),"dd mmm yy"))&amp;" "&amp;Milestones!$AB$164&amp;" "&amp;Milestones!$AC$164&amp;";  ","")&amp;IF(AND(EDATE($D105,Milestones!$AA$165)&lt;=AsOfDate,IF($R105=0,$X105,IF(AND($T105&lt;&gt;"",EDATE($D105,Milestones!$AA$165)&gt;=$T105),$W105,IF(AND($S105&lt;&gt;"",EDATE($D105,Milestones!$AA$165)&gt;=$S105),$V105,$U105)))=Milestones!$AB$165),UPPER(TEXT(EDATE($D105,Milestones!$AA$165),"dd mmm yy"))&amp;" "&amp;Milestones!$AB$165&amp;" "&amp;Milestones!$AC$165&amp;";  ","")&amp;IF(AND(EDATE($D105,Milestones!$AA$166)&lt;=AsOfDate,IF($R105=0,$X105,IF(AND($T105&lt;&gt;"",EDATE($D105,Milestones!$AA$166)&gt;=$T105),$W105,IF(AND($S105&lt;&gt;"",EDATE($D105,Milestones!$AA$166)&gt;=$S105),$V105,$U105)))=Milestones!$AB$166),UPPER(TEXT(EDATE($D105,Milestones!$AA$166),"dd mmm yy"))&amp;" "&amp;Milestones!$AB$166&amp;" "&amp;Milestones!$AC$166&amp;";  ","")&amp;IF(AND(EDATE($D105,Milestones!$AA$167)&lt;=AsOfDate,IF($R105=0,$X105,IF(AND($T105&lt;&gt;"",EDATE($D105,Milestones!$AA$167)&gt;=$T105),$W105,IF(AND($S105&lt;&gt;"",EDATE($D105,Milestones!$AA$167)&gt;=$S105),$V105,$U105)))=Milestones!$AB$167),UPPER(TEXT(EDATE($D105,Milestones!$AA$167),"dd mmm yy"))&amp;" "&amp;Milestones!$AB$167&amp;" "&amp;Milestones!$AC$167&amp;";  ","")&amp;IF(AND(EDATE($D105,Milestones!$AA$168)&lt;=AsOfDate,IF($R105=0,$X105,IF(AND($T105&lt;&gt;"",EDATE($D105,Milestones!$AA$168)&gt;=$T105),$W105,IF(AND($S105&lt;&gt;"",EDATE($D105,Milestones!$AA$168)&gt;=$S105),$V105,$U105)))=Milestones!$AB$168),UPPER(TEXT(EDATE($D105,Milestones!$AA$168),"dd mmm yy"))&amp;" "&amp;Milestones!$AB$168&amp;" "&amp;Milestones!$AC$168&amp;";  ","")&amp;IF(AND(EDATE($D105,Milestones!$AA$169)&lt;=AsOfDate,IF($R105=0,$X105,IF(AND($T105&lt;&gt;"",EDATE($D105,Milestones!$AA$169)&gt;=$T105),$W105,IF(AND($S105&lt;&gt;"",EDATE($D105,Milestones!$AA$169)&gt;=$S105),$V105,$U105)))=Milestones!$AB$169),UPPER(TEXT(EDATE($D105,Milestones!$AA$169),"dd mmm yy"))&amp;" "&amp;Milestones!$AB$169&amp;" "&amp;Milestones!$AC$169&amp;";  ","")&amp;IF(AND(EDATE($D105,Milestones!$AA$170)&lt;=AsOfDate,IF($R105=0,$X105,IF(AND($T105&lt;&gt;"",EDATE($D105,Milestones!$AA$170)&gt;=$T105),$W105,IF(AND($S105&lt;&gt;"",EDATE($D105,Milestones!$AA$170)&gt;=$S105),$V105,$U105)))=Milestones!$AB$170),UPPER(TEXT(EDATE($D105,Milestones!$AA$170),"dd mmm yy"))&amp;" "&amp;Milestones!$AB$170&amp;" "&amp;Milestones!$AC$170&amp;";  ","")&amp;IF(AND(EDATE($D105,Milestones!$AA$171)&lt;=AsOfDate,IF($R105=0,$X105,IF(AND($T105&lt;&gt;"",EDATE($D105,Milestones!$AA$171)&gt;=$T105),$W105,IF(AND($S105&lt;&gt;"",EDATE($D105,Milestones!$AA$171)&gt;=$S105),$V105,$U105)))=Milestones!$AB$171),UPPER(TEXT(EDATE($D105,Milestones!$AA$171),"dd mmm yy"))&amp;" "&amp;Milestones!$AB$171&amp;" "&amp;Milestones!$AC$171&amp;";  ","")&amp;IF(AND(EDATE($D105,Milestones!$AA$172)&lt;=AsOfDate,IF($R105=0,$X105,IF(AND($T105&lt;&gt;"",EDATE($D105,Milestones!$AA$172)&gt;=$T105),$W105,IF(AND($S105&lt;&gt;"",EDATE($D105,Milestones!$AA$172)&gt;=$S105),$V105,$U105)))=Milestones!$AB$172),UPPER(TEXT(EDATE($D105,Milestones!$AA$172),"dd mmm yy"))&amp;" "&amp;Milestones!$AB$172&amp;" "&amp;Milestones!$AC$172&amp;";  ","")&amp;IF(AND(EDATE($D105,Milestones!$AA$173)&lt;=AsOfDate,IF($R105=0,$X105,IF(AND($T105&lt;&gt;"",EDATE($D105,Milestones!$AA$173)&gt;=$T105),$W105,IF(AND($S105&lt;&gt;"",EDATE($D105,Milestones!$AA$173)&gt;=$S105),$V105,$U105)))=Milestones!$AB$173),UPPER(TEXT(EDATE($D105,Milestones!$AA$173),"dd mmm yy"))&amp;" "&amp;Milestones!$AB$173&amp;" "&amp;Milestones!$AC$173&amp;";  ","")&amp;IF(AND(EDATE($D105,Milestones!$AA$174)&lt;=AsOfDate,IF($R105=0,$X105,IF(AND($T105&lt;&gt;"",EDATE($D105,Milestones!$AA$174)&gt;=$T105),$W105,IF(AND($S105&lt;&gt;"",EDATE($D105,Milestones!$AA$174)&gt;=$S105),$V105,$U105)))=Milestones!$AB$174),UPPER(TEXT(EDATE($D105,Milestones!$AA$174),"dd mmm yy"))&amp;" "&amp;Milestones!$AB$174&amp;" "&amp;Milestones!$AC$174&amp;";  ","")&amp;IF(AND(EDATE($D105,Milestones!$AA$175)&lt;=AsOfDate,IF($R105=0,$X105,IF(AND($T105&lt;&gt;"",EDATE($D105,Milestones!$AA$175)&gt;=$T105),$W105,IF(AND($S105&lt;&gt;"",EDATE($D105,Milestones!$AA$175)&gt;=$S105),$V105,$U105)))=Milestones!$AB$175),UPPER(TEXT(EDATE($D105,Milestones!$AA$175),"dd mmm yy"))&amp;" "&amp;Milestones!$AB$175&amp;" "&amp;Milestones!$AC$175&amp;";  ","")&amp;IF(AND(EDATE($D105,Milestones!$AA$176)&lt;=AsOfDate,IF($R105=0,$X105,IF(AND($T105&lt;&gt;"",EDATE($D105,Milestones!$AA$176)&gt;=$T105),$W105,IF(AND($S105&lt;&gt;"",EDATE($D105,Milestones!$AA$176)&gt;=$S105),$V105,$U105)))=Milestones!$AB$176),UPPER(TEXT(EDATE($D105,Milestones!$AA$176),"dd mmm yy"))&amp;" "&amp;Milestones!$AB$176&amp;" "&amp;Milestones!$AC$176&amp;";  ","")&amp;IF(AND(EDATE($D105,Milestones!$AA$177)&lt;=AsOfDate,IF($R105=0,$X105,IF(AND($T105&lt;&gt;"",EDATE($D105,Milestones!$AA$177)&gt;=$T105),$W105,IF(AND($S105&lt;&gt;"",EDATE($D105,Milestones!$AA$177)&gt;=$S105),$V105,$U105)))=Milestones!$AB$177),UPPER(TEXT(EDATE($D105,Milestones!$AA$177),"dd mmm yy"))&amp;" "&amp;Milestones!$AB$177&amp;" "&amp;Milestones!$AC$177&amp;";  ","")&amp;IF(AND(EDATE($D105,Milestones!$AA$178)&lt;=AsOfDate,IF($R105=0,$X105,IF(AND($T105&lt;&gt;"",EDATE($D105,Milestones!$AA$178)&gt;=$T105),$W105,IF(AND($S105&lt;&gt;"",EDATE($D105,Milestones!$AA$178)&gt;=$S105),$V105,$U105)))=Milestones!$AB$178),UPPER(TEXT(EDATE($D105,Milestones!$AA$178),"dd mmm yy"))&amp;" "&amp;Milestones!$AB$178&amp;" "&amp;Milestones!$AC$178&amp;";  ","")&amp;IF(AND(EDATE($D105,Milestones!$AA$179)&lt;=AsOfDate,IF($R105=0,$X105,IF(AND($T105&lt;&gt;"",EDATE($D105,Milestones!$AA$179)&gt;=$T105),$W105,IF(AND($S105&lt;&gt;"",EDATE($D105,Milestones!$AA$179)&gt;=$S105),$V105,$U105)))=Milestones!$AB$179),UPPER(TEXT(EDATE($D105,Milestones!$AA$179),"dd mmm yy"))&amp;" "&amp;Milestones!$AB$179&amp;" "&amp;Milestones!$AC$179&amp;";  ",""))</f>
        <v/>
      </c>
      <c r="Q105" s="0" t="str">
        <f aca="false">IF(OR($A105="",$D105=""),"",IF(AND(EDATE($D105,Milestones!$AA$180)&lt;=AsOfDate,IF($R105=0,$X105,IF(AND($T105&lt;&gt;"",EDATE($D105,Milestones!$AA$180)&gt;=$T105),$W105,IF(AND($S105&lt;&gt;"",EDATE($D105,Milestones!$AA$180)&gt;=$S105),$V105,$U105)))=Milestones!$AB$180),UPPER(TEXT(EDATE($D105,Milestones!$AA$180),"dd mmm yy"))&amp;" "&amp;Milestones!$AB$180&amp;" "&amp;Milestones!$AC$180&amp;";  ","")&amp;IF(AND(EDATE($D105,Milestones!$AA$181)&lt;=AsOfDate,IF($R105=0,$X105,IF(AND($T105&lt;&gt;"",EDATE($D105,Milestones!$AA$181)&gt;=$T105),$W105,IF(AND($S105&lt;&gt;"",EDATE($D105,Milestones!$AA$181)&gt;=$S105),$V105,$U105)))=Milestones!$AB$181),UPPER(TEXT(EDATE($D105,Milestones!$AA$181),"dd mmm yy"))&amp;" "&amp;Milestones!$AB$181&amp;" "&amp;Milestones!$AC$181&amp;";  ","")&amp;IF(AND(EDATE($D105,Milestones!$AA$182)&lt;=AsOfDate,IF($R105=0,$X105,IF(AND($T105&lt;&gt;"",EDATE($D105,Milestones!$AA$182)&gt;=$T105),$W105,IF(AND($S105&lt;&gt;"",EDATE($D105,Milestones!$AA$182)&gt;=$S105),$V105,$U105)))=Milestones!$AB$182),UPPER(TEXT(EDATE($D105,Milestones!$AA$182),"dd mmm yy"))&amp;" "&amp;Milestones!$AB$182&amp;" "&amp;Milestones!$AC$182&amp;";  ","")&amp;IF(AND(EDATE($D105,Milestones!$AA$183)&lt;=AsOfDate,IF($R105=0,$X105,IF(AND($T105&lt;&gt;"",EDATE($D105,Milestones!$AA$183)&gt;=$T105),$W105,IF(AND($S105&lt;&gt;"",EDATE($D105,Milestones!$AA$183)&gt;=$S105),$V105,$U105)))=Milestones!$AB$183),UPPER(TEXT(EDATE($D105,Milestones!$AA$183),"dd mmm yy"))&amp;" "&amp;Milestones!$AB$183&amp;" "&amp;Milestones!$AC$183&amp;";  ","")&amp;IF(AND(EDATE($D105,Milestones!$AA$184)&lt;=AsOfDate,IF($R105=0,$X105,IF(AND($T105&lt;&gt;"",EDATE($D105,Milestones!$AA$184)&gt;=$T105),$W105,IF(AND($S105&lt;&gt;"",EDATE($D105,Milestones!$AA$184)&gt;=$S105),$V105,$U105)))=Milestones!$AB$184),UPPER(TEXT(EDATE($D105,Milestones!$AA$184),"dd mmm yy"))&amp;" "&amp;Milestones!$AB$184&amp;" "&amp;Milestones!$AC$184&amp;";  ","")&amp;IF(AND(EDATE($D105,Milestones!$AA$185)&lt;=AsOfDate,IF($R105=0,$X105,IF(AND($T105&lt;&gt;"",EDATE($D105,Milestones!$AA$185)&gt;=$T105),$W105,IF(AND($S105&lt;&gt;"",EDATE($D105,Milestones!$AA$185)&gt;=$S105),$V105,$U105)))=Milestones!$AB$185),UPPER(TEXT(EDATE($D105,Milestones!$AA$185),"dd mmm yy"))&amp;" "&amp;Milestones!$AB$185&amp;" "&amp;Milestones!$AC$185&amp;";  ","")&amp;IF(AND(EDATE($D105,Milestones!$AA$186)&lt;=AsOfDate,IF($R105=0,$X105,IF(AND($T105&lt;&gt;"",EDATE($D105,Milestones!$AA$186)&gt;=$T105),$W105,IF(AND($S105&lt;&gt;"",EDATE($D105,Milestones!$AA$186)&gt;=$S105),$V105,$U105)))=Milestones!$AB$186),UPPER(TEXT(EDATE($D105,Milestones!$AA$186),"dd mmm yy"))&amp;" "&amp;Milestones!$AB$186&amp;" "&amp;Milestones!$AC$186&amp;";  ","")&amp;IF(AND(EDATE($D105,Milestones!$AA$187)&lt;=AsOfDate,IF($R105=0,$X105,IF(AND($T105&lt;&gt;"",EDATE($D105,Milestones!$AA$187)&gt;=$T105),$W105,IF(AND($S105&lt;&gt;"",EDATE($D105,Milestones!$AA$187)&gt;=$S105),$V105,$U105)))=Milestones!$AB$187),UPPER(TEXT(EDATE($D105,Milestones!$AA$187),"dd mmm yy"))&amp;" "&amp;Milestones!$AB$187&amp;" "&amp;Milestones!$AC$187&amp;";  ","")&amp;IF(AND(EDATE($D105,Milestones!$AA$188)&lt;=AsOfDate,IF($R105=0,$X105,IF(AND($T105&lt;&gt;"",EDATE($D105,Milestones!$AA$188)&gt;=$T105),$W105,IF(AND($S105&lt;&gt;"",EDATE($D105,Milestones!$AA$188)&gt;=$S105),$V105,$U105)))=Milestones!$AB$188),UPPER(TEXT(EDATE($D105,Milestones!$AA$188),"dd mmm yy"))&amp;" "&amp;Milestones!$AB$188&amp;" "&amp;Milestones!$AC$188&amp;";  ","")&amp;IF(AND(EDATE($D105,Milestones!$AA$189)&lt;=AsOfDate,IF($R105=0,$X105,IF(AND($T105&lt;&gt;"",EDATE($D105,Milestones!$AA$189)&gt;=$T105),$W105,IF(AND($S105&lt;&gt;"",EDATE($D105,Milestones!$AA$189)&gt;=$S105),$V105,$U105)))=Milestones!$AB$189),UPPER(TEXT(EDATE($D105,Milestones!$AA$189),"dd mmm yy"))&amp;" "&amp;Milestones!$AB$189&amp;" "&amp;Milestones!$AC$189&amp;";  ","")&amp;IF(AND(EDATE($D105,Milestones!$AA$190)&lt;=AsOfDate,IF($R105=0,$X105,IF(AND($T105&lt;&gt;"",EDATE($D105,Milestones!$AA$190)&gt;=$T105),$W105,IF(AND($S105&lt;&gt;"",EDATE($D105,Milestones!$AA$190)&gt;=$S105),$V105,$U105)))=Milestones!$AB$190),UPPER(TEXT(EDATE($D105,Milestones!$AA$190),"dd mmm yy"))&amp;" "&amp;Milestones!$AB$190&amp;" "&amp;Milestones!$AC$190&amp;";  ","")&amp;IF(AND(EDATE($D105,Milestones!$AA$191)&lt;=AsOfDate,IF($R105=0,$X105,IF(AND($T105&lt;&gt;"",EDATE($D105,Milestones!$AA$191)&gt;=$T105),$W105,IF(AND($S105&lt;&gt;"",EDATE($D105,Milestones!$AA$191)&gt;=$S105),$V105,$U105)))=Milestones!$AB$191),UPPER(TEXT(EDATE($D105,Milestones!$AA$191),"dd mmm yy"))&amp;" "&amp;Milestones!$AB$191&amp;" "&amp;Milestones!$AC$191&amp;";  ","")&amp;IF(AND(EDATE($D105,Milestones!$AA$192)&lt;=AsOfDate,IF($R105=0,$X105,IF(AND($T105&lt;&gt;"",EDATE($D105,Milestones!$AA$192)&gt;=$T105),$W105,IF(AND($S105&lt;&gt;"",EDATE($D105,Milestones!$AA$192)&gt;=$S105),$V105,$U105)))=Milestones!$AB$192),UPPER(TEXT(EDATE($D105,Milestones!$AA$192),"dd mmm yy"))&amp;" "&amp;Milestones!$AB$192&amp;" "&amp;Milestones!$AC$192&amp;";  ","")&amp;IF(AND(EDATE($D105,Milestones!$AA$193)&lt;=AsOfDate,IF($R105=0,$X105,IF(AND($T105&lt;&gt;"",EDATE($D105,Milestones!$AA$193)&gt;=$T105),$W105,IF(AND($S105&lt;&gt;"",EDATE($D105,Milestones!$AA$193)&gt;=$S105),$V105,$U105)))=Milestones!$AB$193),UPPER(TEXT(EDATE($D105,Milestones!$AA$193),"dd mmm yy"))&amp;" "&amp;Milestones!$AB$193&amp;" "&amp;Milestones!$AC$193&amp;";  ","")&amp;IF(AND(EDATE($D105,Milestones!$AA$194)&lt;=AsOfDate,IF($R105=0,$X105,IF(AND($T105&lt;&gt;"",EDATE($D105,Milestones!$AA$194)&gt;=$T105),$W105,IF(AND($S105&lt;&gt;"",EDATE($D105,Milestones!$AA$194)&gt;=$S105),$V105,$U105)))=Milestones!$AB$194),UPPER(TEXT(EDATE($D105,Milestones!$AA$194),"dd mmm yy"))&amp;" "&amp;Milestones!$AB$194&amp;" "&amp;Milestones!$AC$194&amp;";  ","")&amp;IF(AND(EDATE($D105,Milestones!$AA$195)&lt;=AsOfDate,IF($R105=0,$X105,IF(AND($T105&lt;&gt;"",EDATE($D105,Milestones!$AA$195)&gt;=$T105),$W105,IF(AND($S105&lt;&gt;"",EDATE($D105,Milestones!$AA$195)&gt;=$S105),$V105,$U105)))=Milestones!$AB$195),UPPER(TEXT(EDATE($D105,Milestones!$AA$195),"dd mmm yy"))&amp;" "&amp;Milestones!$AB$195&amp;" "&amp;Milestones!$AC$195&amp;";  ","")&amp;IF(AND(EDATE($D105,Milestones!$AA$196)&lt;=AsOfDate,IF($R105=0,$X105,IF(AND($T105&lt;&gt;"",EDATE($D105,Milestones!$AA$196)&gt;=$T105),$W105,IF(AND($S105&lt;&gt;"",EDATE($D105,Milestones!$AA$196)&gt;=$S105),$V105,$U105)))=Milestones!$AB$196),UPPER(TEXT(EDATE($D105,Milestones!$AA$196),"dd mmm yy"))&amp;" "&amp;Milestones!$AB$196&amp;" "&amp;Milestones!$AC$196&amp;";  ","")&amp;IF(AND(EDATE($D105,Milestones!$AA$197)&lt;=AsOfDate,IF($R105=0,$X105,IF(AND($T105&lt;&gt;"",EDATE($D105,Milestones!$AA$197)&gt;=$T105),$W105,IF(AND($S105&lt;&gt;"",EDATE($D105,Milestones!$AA$197)&gt;=$S105),$V105,$U105)))=Milestones!$AB$197),UPPER(TEXT(EDATE($D105,Milestones!$AA$197),"dd mmm yy"))&amp;" "&amp;Milestones!$AB$197&amp;" "&amp;Milestones!$AC$197&amp;";  ","")&amp;IF(AND(EDATE($D105,Milestones!$AA$198)&lt;=AsOfDate,IF($R105=0,$X105,IF(AND($T105&lt;&gt;"",EDATE($D105,Milestones!$AA$198)&gt;=$T105),$W105,IF(AND($S105&lt;&gt;"",EDATE($D105,Milestones!$AA$198)&gt;=$S105),$V105,$U105)))=Milestones!$AB$198),UPPER(TEXT(EDATE($D105,Milestones!$AA$198),"dd mmm yy"))&amp;" "&amp;Milestones!$AB$198&amp;" "&amp;Milestones!$AC$198&amp;";  ","")&amp;IF(AND(EDATE($D105,Milestones!$AA$199)&lt;=AsOfDate,IF($R105=0,$X105,IF(AND($T105&lt;&gt;"",EDATE($D105,Milestones!$AA$199)&gt;=$T105),$W105,IF(AND($S105&lt;&gt;"",EDATE($D105,Milestones!$AA$199)&gt;=$S105),$V105,$U105)))=Milestones!$AB$199),UPPER(TEXT(EDATE($D105,Milestones!$AA$199),"dd mmm yy"))&amp;" "&amp;Milestones!$AB$199&amp;" "&amp;Milestones!$AC$199&amp;";  ",""))</f>
        <v/>
      </c>
      <c r="R105" s="0" t="str">
        <f aca="false">IF(Staff!$A105="","",Staff!$AI105)</f>
        <v/>
      </c>
      <c r="S105" s="0" t="str">
        <f aca="false">IF(Staff!$A105="","",Staff!$AK105)</f>
        <v/>
      </c>
      <c r="T105" s="0" t="str">
        <f aca="false">IF(Staff!$A105="","",Staff!$AL105)</f>
        <v/>
      </c>
      <c r="U105" s="0" t="str">
        <f aca="false">IF(Staff!$A105="","",Staff!$AP105)</f>
        <v/>
      </c>
      <c r="V105" s="0" t="str">
        <f aca="false">IF(Staff!$A105="","",Staff!$AQ105)</f>
        <v/>
      </c>
      <c r="W105" s="0" t="str">
        <f aca="false">IF(Staff!$A105="","",Staff!$AR105)</f>
        <v/>
      </c>
      <c r="X105" s="0" t="str">
        <f aca="false">IF(Staff!$A105="","",Staff!$AS105)</f>
        <v/>
      </c>
    </row>
    <row r="106" customFormat="false" ht="15" hidden="false" customHeight="false" outlineLevel="0" collapsed="false">
      <c r="A106" s="14" t="str">
        <f aca="false">IF(Staff!$A106="","",Staff!$A106)</f>
        <v/>
      </c>
      <c r="B106" s="14" t="str">
        <f aca="false">IF(Staff!$A106="","",Staff!$B106)</f>
        <v/>
      </c>
      <c r="C106" s="14" t="str">
        <f aca="false">IF(Staff!$A106="","",Staff!$C106)</f>
        <v/>
      </c>
      <c r="D106" s="12" t="str">
        <f aca="false">IF(Staff!$A106="","",Staff!$AH106)</f>
        <v/>
      </c>
      <c r="E106" s="14" t="str">
        <f aca="false">IF(Staff!$A106="","",Staff!$O106)</f>
        <v/>
      </c>
      <c r="F106" s="14" t="str">
        <f aca="false">IF(E106="","",E106*HoursPerDay)</f>
        <v/>
      </c>
      <c r="G106" s="14" t="str">
        <f aca="false">IF(Staff!$A106="","",Staff!$AE106)</f>
        <v/>
      </c>
      <c r="H106" s="26" t="str">
        <f aca="false">IF($A106="","",I106&amp;J106&amp;K106&amp;L106&amp;M106&amp;N106&amp;O106&amp;P106&amp;Q106)</f>
        <v/>
      </c>
      <c r="I106" s="0" t="str">
        <f aca="false">IF(OR($A106="",$D106=""),"",IF(AND(EDATE($D106,Milestones!$AA$20)&lt;=AsOfDate,IF($R106=0,$X106,IF(AND($T106&lt;&gt;"",EDATE($D106,Milestones!$AA$20)&gt;=$T106),$W106,IF(AND($S106&lt;&gt;"",EDATE($D106,Milestones!$AA$20)&gt;=$S106),$V106,$U106)))=Milestones!$AB$20),UPPER(TEXT(EDATE($D106,Milestones!$AA$20),"dd mmm yy"))&amp;" "&amp;Milestones!$AB$20&amp;" "&amp;Milestones!$AC$20&amp;";  ","")&amp;IF(AND(EDATE($D106,Milestones!$AA$21)&lt;=AsOfDate,IF($R106=0,$X106,IF(AND($T106&lt;&gt;"",EDATE($D106,Milestones!$AA$21)&gt;=$T106),$W106,IF(AND($S106&lt;&gt;"",EDATE($D106,Milestones!$AA$21)&gt;=$S106),$V106,$U106)))=Milestones!$AB$21),UPPER(TEXT(EDATE($D106,Milestones!$AA$21),"dd mmm yy"))&amp;" "&amp;Milestones!$AB$21&amp;" "&amp;Milestones!$AC$21&amp;";  ","")&amp;IF(AND(EDATE($D106,Milestones!$AA$22)&lt;=AsOfDate,IF($R106=0,$X106,IF(AND($T106&lt;&gt;"",EDATE($D106,Milestones!$AA$22)&gt;=$T106),$W106,IF(AND($S106&lt;&gt;"",EDATE($D106,Milestones!$AA$22)&gt;=$S106),$V106,$U106)))=Milestones!$AB$22),UPPER(TEXT(EDATE($D106,Milestones!$AA$22),"dd mmm yy"))&amp;" "&amp;Milestones!$AB$22&amp;" "&amp;Milestones!$AC$22&amp;";  ","")&amp;IF(AND(EDATE($D106,Milestones!$AA$23)&lt;=AsOfDate,IF($R106=0,$X106,IF(AND($T106&lt;&gt;"",EDATE($D106,Milestones!$AA$23)&gt;=$T106),$W106,IF(AND($S106&lt;&gt;"",EDATE($D106,Milestones!$AA$23)&gt;=$S106),$V106,$U106)))=Milestones!$AB$23),UPPER(TEXT(EDATE($D106,Milestones!$AA$23),"dd mmm yy"))&amp;" "&amp;Milestones!$AB$23&amp;" "&amp;Milestones!$AC$23&amp;";  ","")&amp;IF(AND(EDATE($D106,Milestones!$AA$24)&lt;=AsOfDate,IF($R106=0,$X106,IF(AND($T106&lt;&gt;"",EDATE($D106,Milestones!$AA$24)&gt;=$T106),$W106,IF(AND($S106&lt;&gt;"",EDATE($D106,Milestones!$AA$24)&gt;=$S106),$V106,$U106)))=Milestones!$AB$24),UPPER(TEXT(EDATE($D106,Milestones!$AA$24),"dd mmm yy"))&amp;" "&amp;Milestones!$AB$24&amp;" "&amp;Milestones!$AC$24&amp;";  ","")&amp;IF(AND(EDATE($D106,Milestones!$AA$25)&lt;=AsOfDate,IF($R106=0,$X106,IF(AND($T106&lt;&gt;"",EDATE($D106,Milestones!$AA$25)&gt;=$T106),$W106,IF(AND($S106&lt;&gt;"",EDATE($D106,Milestones!$AA$25)&gt;=$S106),$V106,$U106)))=Milestones!$AB$25),UPPER(TEXT(EDATE($D106,Milestones!$AA$25),"dd mmm yy"))&amp;" "&amp;Milestones!$AB$25&amp;" "&amp;Milestones!$AC$25&amp;";  ","")&amp;IF(AND(EDATE($D106,Milestones!$AA$26)&lt;=AsOfDate,IF($R106=0,$X106,IF(AND($T106&lt;&gt;"",EDATE($D106,Milestones!$AA$26)&gt;=$T106),$W106,IF(AND($S106&lt;&gt;"",EDATE($D106,Milestones!$AA$26)&gt;=$S106),$V106,$U106)))=Milestones!$AB$26),UPPER(TEXT(EDATE($D106,Milestones!$AA$26),"dd mmm yy"))&amp;" "&amp;Milestones!$AB$26&amp;" "&amp;Milestones!$AC$26&amp;";  ","")&amp;IF(AND(EDATE($D106,Milestones!$AA$27)&lt;=AsOfDate,IF($R106=0,$X106,IF(AND($T106&lt;&gt;"",EDATE($D106,Milestones!$AA$27)&gt;=$T106),$W106,IF(AND($S106&lt;&gt;"",EDATE($D106,Milestones!$AA$27)&gt;=$S106),$V106,$U106)))=Milestones!$AB$27),UPPER(TEXT(EDATE($D106,Milestones!$AA$27),"dd mmm yy"))&amp;" "&amp;Milestones!$AB$27&amp;" "&amp;Milestones!$AC$27&amp;";  ","")&amp;IF(AND(EDATE($D106,Milestones!$AA$28)&lt;=AsOfDate,IF($R106=0,$X106,IF(AND($T106&lt;&gt;"",EDATE($D106,Milestones!$AA$28)&gt;=$T106),$W106,IF(AND($S106&lt;&gt;"",EDATE($D106,Milestones!$AA$28)&gt;=$S106),$V106,$U106)))=Milestones!$AB$28),UPPER(TEXT(EDATE($D106,Milestones!$AA$28),"dd mmm yy"))&amp;" "&amp;Milestones!$AB$28&amp;" "&amp;Milestones!$AC$28&amp;";  ","")&amp;IF(AND(EDATE($D106,Milestones!$AA$29)&lt;=AsOfDate,IF($R106=0,$X106,IF(AND($T106&lt;&gt;"",EDATE($D106,Milestones!$AA$29)&gt;=$T106),$W106,IF(AND($S106&lt;&gt;"",EDATE($D106,Milestones!$AA$29)&gt;=$S106),$V106,$U106)))=Milestones!$AB$29),UPPER(TEXT(EDATE($D106,Milestones!$AA$29),"dd mmm yy"))&amp;" "&amp;Milestones!$AB$29&amp;" "&amp;Milestones!$AC$29&amp;";  ","")&amp;IF(AND(EDATE($D106,Milestones!$AA$30)&lt;=AsOfDate,IF($R106=0,$X106,IF(AND($T106&lt;&gt;"",EDATE($D106,Milestones!$AA$30)&gt;=$T106),$W106,IF(AND($S106&lt;&gt;"",EDATE($D106,Milestones!$AA$30)&gt;=$S106),$V106,$U106)))=Milestones!$AB$30),UPPER(TEXT(EDATE($D106,Milestones!$AA$30),"dd mmm yy"))&amp;" "&amp;Milestones!$AB$30&amp;" "&amp;Milestones!$AC$30&amp;";  ","")&amp;IF(AND(EDATE($D106,Milestones!$AA$31)&lt;=AsOfDate,IF($R106=0,$X106,IF(AND($T106&lt;&gt;"",EDATE($D106,Milestones!$AA$31)&gt;=$T106),$W106,IF(AND($S106&lt;&gt;"",EDATE($D106,Milestones!$AA$31)&gt;=$S106),$V106,$U106)))=Milestones!$AB$31),UPPER(TEXT(EDATE($D106,Milestones!$AA$31),"dd mmm yy"))&amp;" "&amp;Milestones!$AB$31&amp;" "&amp;Milestones!$AC$31&amp;";  ","")&amp;IF(AND(EDATE($D106,Milestones!$AA$32)&lt;=AsOfDate,IF($R106=0,$X106,IF(AND($T106&lt;&gt;"",EDATE($D106,Milestones!$AA$32)&gt;=$T106),$W106,IF(AND($S106&lt;&gt;"",EDATE($D106,Milestones!$AA$32)&gt;=$S106),$V106,$U106)))=Milestones!$AB$32),UPPER(TEXT(EDATE($D106,Milestones!$AA$32),"dd mmm yy"))&amp;" "&amp;Milestones!$AB$32&amp;" "&amp;Milestones!$AC$32&amp;";  ","")&amp;IF(AND(EDATE($D106,Milestones!$AA$33)&lt;=AsOfDate,IF($R106=0,$X106,IF(AND($T106&lt;&gt;"",EDATE($D106,Milestones!$AA$33)&gt;=$T106),$W106,IF(AND($S106&lt;&gt;"",EDATE($D106,Milestones!$AA$33)&gt;=$S106),$V106,$U106)))=Milestones!$AB$33),UPPER(TEXT(EDATE($D106,Milestones!$AA$33),"dd mmm yy"))&amp;" "&amp;Milestones!$AB$33&amp;" "&amp;Milestones!$AC$33&amp;";  ","")&amp;IF(AND(EDATE($D106,Milestones!$AA$34)&lt;=AsOfDate,IF($R106=0,$X106,IF(AND($T106&lt;&gt;"",EDATE($D106,Milestones!$AA$34)&gt;=$T106),$W106,IF(AND($S106&lt;&gt;"",EDATE($D106,Milestones!$AA$34)&gt;=$S106),$V106,$U106)))=Milestones!$AB$34),UPPER(TEXT(EDATE($D106,Milestones!$AA$34),"dd mmm yy"))&amp;" "&amp;Milestones!$AB$34&amp;" "&amp;Milestones!$AC$34&amp;";  ","")&amp;IF(AND(EDATE($D106,Milestones!$AA$35)&lt;=AsOfDate,IF($R106=0,$X106,IF(AND($T106&lt;&gt;"",EDATE($D106,Milestones!$AA$35)&gt;=$T106),$W106,IF(AND($S106&lt;&gt;"",EDATE($D106,Milestones!$AA$35)&gt;=$S106),$V106,$U106)))=Milestones!$AB$35),UPPER(TEXT(EDATE($D106,Milestones!$AA$35),"dd mmm yy"))&amp;" "&amp;Milestones!$AB$35&amp;" "&amp;Milestones!$AC$35&amp;";  ","")&amp;IF(AND(EDATE($D106,Milestones!$AA$36)&lt;=AsOfDate,IF($R106=0,$X106,IF(AND($T106&lt;&gt;"",EDATE($D106,Milestones!$AA$36)&gt;=$T106),$W106,IF(AND($S106&lt;&gt;"",EDATE($D106,Milestones!$AA$36)&gt;=$S106),$V106,$U106)))=Milestones!$AB$36),UPPER(TEXT(EDATE($D106,Milestones!$AA$36),"dd mmm yy"))&amp;" "&amp;Milestones!$AB$36&amp;" "&amp;Milestones!$AC$36&amp;";  ","")&amp;IF(AND(EDATE($D106,Milestones!$AA$37)&lt;=AsOfDate,IF($R106=0,$X106,IF(AND($T106&lt;&gt;"",EDATE($D106,Milestones!$AA$37)&gt;=$T106),$W106,IF(AND($S106&lt;&gt;"",EDATE($D106,Milestones!$AA$37)&gt;=$S106),$V106,$U106)))=Milestones!$AB$37),UPPER(TEXT(EDATE($D106,Milestones!$AA$37),"dd mmm yy"))&amp;" "&amp;Milestones!$AB$37&amp;" "&amp;Milestones!$AC$37&amp;";  ","")&amp;IF(AND(EDATE($D106,Milestones!$AA$38)&lt;=AsOfDate,IF($R106=0,$X106,IF(AND($T106&lt;&gt;"",EDATE($D106,Milestones!$AA$38)&gt;=$T106),$W106,IF(AND($S106&lt;&gt;"",EDATE($D106,Milestones!$AA$38)&gt;=$S106),$V106,$U106)))=Milestones!$AB$38),UPPER(TEXT(EDATE($D106,Milestones!$AA$38),"dd mmm yy"))&amp;" "&amp;Milestones!$AB$38&amp;" "&amp;Milestones!$AC$38&amp;";  ","")&amp;IF(AND(EDATE($D106,Milestones!$AA$39)&lt;=AsOfDate,IF($R106=0,$X106,IF(AND($T106&lt;&gt;"",EDATE($D106,Milestones!$AA$39)&gt;=$T106),$W106,IF(AND($S106&lt;&gt;"",EDATE($D106,Milestones!$AA$39)&gt;=$S106),$V106,$U106)))=Milestones!$AB$39),UPPER(TEXT(EDATE($D106,Milestones!$AA$39),"dd mmm yy"))&amp;" "&amp;Milestones!$AB$39&amp;" "&amp;Milestones!$AC$39&amp;";  ",""))</f>
        <v/>
      </c>
      <c r="J106" s="0" t="str">
        <f aca="false">IF(OR($A106="",$D106=""),"",IF(AND(EDATE($D106,Milestones!$AA$40)&lt;=AsOfDate,IF($R106=0,$X106,IF(AND($T106&lt;&gt;"",EDATE($D106,Milestones!$AA$40)&gt;=$T106),$W106,IF(AND($S106&lt;&gt;"",EDATE($D106,Milestones!$AA$40)&gt;=$S106),$V106,$U106)))=Milestones!$AB$40),UPPER(TEXT(EDATE($D106,Milestones!$AA$40),"dd mmm yy"))&amp;" "&amp;Milestones!$AB$40&amp;" "&amp;Milestones!$AC$40&amp;";  ","")&amp;IF(AND(EDATE($D106,Milestones!$AA$41)&lt;=AsOfDate,IF($R106=0,$X106,IF(AND($T106&lt;&gt;"",EDATE($D106,Milestones!$AA$41)&gt;=$T106),$W106,IF(AND($S106&lt;&gt;"",EDATE($D106,Milestones!$AA$41)&gt;=$S106),$V106,$U106)))=Milestones!$AB$41),UPPER(TEXT(EDATE($D106,Milestones!$AA$41),"dd mmm yy"))&amp;" "&amp;Milestones!$AB$41&amp;" "&amp;Milestones!$AC$41&amp;";  ","")&amp;IF(AND(EDATE($D106,Milestones!$AA$42)&lt;=AsOfDate,IF($R106=0,$X106,IF(AND($T106&lt;&gt;"",EDATE($D106,Milestones!$AA$42)&gt;=$T106),$W106,IF(AND($S106&lt;&gt;"",EDATE($D106,Milestones!$AA$42)&gt;=$S106),$V106,$U106)))=Milestones!$AB$42),UPPER(TEXT(EDATE($D106,Milestones!$AA$42),"dd mmm yy"))&amp;" "&amp;Milestones!$AB$42&amp;" "&amp;Milestones!$AC$42&amp;";  ","")&amp;IF(AND(EDATE($D106,Milestones!$AA$43)&lt;=AsOfDate,IF($R106=0,$X106,IF(AND($T106&lt;&gt;"",EDATE($D106,Milestones!$AA$43)&gt;=$T106),$W106,IF(AND($S106&lt;&gt;"",EDATE($D106,Milestones!$AA$43)&gt;=$S106),$V106,$U106)))=Milestones!$AB$43),UPPER(TEXT(EDATE($D106,Milestones!$AA$43),"dd mmm yy"))&amp;" "&amp;Milestones!$AB$43&amp;" "&amp;Milestones!$AC$43&amp;";  ","")&amp;IF(AND(EDATE($D106,Milestones!$AA$44)&lt;=AsOfDate,IF($R106=0,$X106,IF(AND($T106&lt;&gt;"",EDATE($D106,Milestones!$AA$44)&gt;=$T106),$W106,IF(AND($S106&lt;&gt;"",EDATE($D106,Milestones!$AA$44)&gt;=$S106),$V106,$U106)))=Milestones!$AB$44),UPPER(TEXT(EDATE($D106,Milestones!$AA$44),"dd mmm yy"))&amp;" "&amp;Milestones!$AB$44&amp;" "&amp;Milestones!$AC$44&amp;";  ","")&amp;IF(AND(EDATE($D106,Milestones!$AA$45)&lt;=AsOfDate,IF($R106=0,$X106,IF(AND($T106&lt;&gt;"",EDATE($D106,Milestones!$AA$45)&gt;=$T106),$W106,IF(AND($S106&lt;&gt;"",EDATE($D106,Milestones!$AA$45)&gt;=$S106),$V106,$U106)))=Milestones!$AB$45),UPPER(TEXT(EDATE($D106,Milestones!$AA$45),"dd mmm yy"))&amp;" "&amp;Milestones!$AB$45&amp;" "&amp;Milestones!$AC$45&amp;";  ","")&amp;IF(AND(EDATE($D106,Milestones!$AA$46)&lt;=AsOfDate,IF($R106=0,$X106,IF(AND($T106&lt;&gt;"",EDATE($D106,Milestones!$AA$46)&gt;=$T106),$W106,IF(AND($S106&lt;&gt;"",EDATE($D106,Milestones!$AA$46)&gt;=$S106),$V106,$U106)))=Milestones!$AB$46),UPPER(TEXT(EDATE($D106,Milestones!$AA$46),"dd mmm yy"))&amp;" "&amp;Milestones!$AB$46&amp;" "&amp;Milestones!$AC$46&amp;";  ","")&amp;IF(AND(EDATE($D106,Milestones!$AA$47)&lt;=AsOfDate,IF($R106=0,$X106,IF(AND($T106&lt;&gt;"",EDATE($D106,Milestones!$AA$47)&gt;=$T106),$W106,IF(AND($S106&lt;&gt;"",EDATE($D106,Milestones!$AA$47)&gt;=$S106),$V106,$U106)))=Milestones!$AB$47),UPPER(TEXT(EDATE($D106,Milestones!$AA$47),"dd mmm yy"))&amp;" "&amp;Milestones!$AB$47&amp;" "&amp;Milestones!$AC$47&amp;";  ","")&amp;IF(AND(EDATE($D106,Milestones!$AA$48)&lt;=AsOfDate,IF($R106=0,$X106,IF(AND($T106&lt;&gt;"",EDATE($D106,Milestones!$AA$48)&gt;=$T106),$W106,IF(AND($S106&lt;&gt;"",EDATE($D106,Milestones!$AA$48)&gt;=$S106),$V106,$U106)))=Milestones!$AB$48),UPPER(TEXT(EDATE($D106,Milestones!$AA$48),"dd mmm yy"))&amp;" "&amp;Milestones!$AB$48&amp;" "&amp;Milestones!$AC$48&amp;";  ","")&amp;IF(AND(EDATE($D106,Milestones!$AA$49)&lt;=AsOfDate,IF($R106=0,$X106,IF(AND($T106&lt;&gt;"",EDATE($D106,Milestones!$AA$49)&gt;=$T106),$W106,IF(AND($S106&lt;&gt;"",EDATE($D106,Milestones!$AA$49)&gt;=$S106),$V106,$U106)))=Milestones!$AB$49),UPPER(TEXT(EDATE($D106,Milestones!$AA$49),"dd mmm yy"))&amp;" "&amp;Milestones!$AB$49&amp;" "&amp;Milestones!$AC$49&amp;";  ","")&amp;IF(AND(EDATE($D106,Milestones!$AA$50)&lt;=AsOfDate,IF($R106=0,$X106,IF(AND($T106&lt;&gt;"",EDATE($D106,Milestones!$AA$50)&gt;=$T106),$W106,IF(AND($S106&lt;&gt;"",EDATE($D106,Milestones!$AA$50)&gt;=$S106),$V106,$U106)))=Milestones!$AB$50),UPPER(TEXT(EDATE($D106,Milestones!$AA$50),"dd mmm yy"))&amp;" "&amp;Milestones!$AB$50&amp;" "&amp;Milestones!$AC$50&amp;";  ","")&amp;IF(AND(EDATE($D106,Milestones!$AA$51)&lt;=AsOfDate,IF($R106=0,$X106,IF(AND($T106&lt;&gt;"",EDATE($D106,Milestones!$AA$51)&gt;=$T106),$W106,IF(AND($S106&lt;&gt;"",EDATE($D106,Milestones!$AA$51)&gt;=$S106),$V106,$U106)))=Milestones!$AB$51),UPPER(TEXT(EDATE($D106,Milestones!$AA$51),"dd mmm yy"))&amp;" "&amp;Milestones!$AB$51&amp;" "&amp;Milestones!$AC$51&amp;";  ","")&amp;IF(AND(EDATE($D106,Milestones!$AA$52)&lt;=AsOfDate,IF($R106=0,$X106,IF(AND($T106&lt;&gt;"",EDATE($D106,Milestones!$AA$52)&gt;=$T106),$W106,IF(AND($S106&lt;&gt;"",EDATE($D106,Milestones!$AA$52)&gt;=$S106),$V106,$U106)))=Milestones!$AB$52),UPPER(TEXT(EDATE($D106,Milestones!$AA$52),"dd mmm yy"))&amp;" "&amp;Milestones!$AB$52&amp;" "&amp;Milestones!$AC$52&amp;";  ","")&amp;IF(AND(EDATE($D106,Milestones!$AA$53)&lt;=AsOfDate,IF($R106=0,$X106,IF(AND($T106&lt;&gt;"",EDATE($D106,Milestones!$AA$53)&gt;=$T106),$W106,IF(AND($S106&lt;&gt;"",EDATE($D106,Milestones!$AA$53)&gt;=$S106),$V106,$U106)))=Milestones!$AB$53),UPPER(TEXT(EDATE($D106,Milestones!$AA$53),"dd mmm yy"))&amp;" "&amp;Milestones!$AB$53&amp;" "&amp;Milestones!$AC$53&amp;";  ","")&amp;IF(AND(EDATE($D106,Milestones!$AA$54)&lt;=AsOfDate,IF($R106=0,$X106,IF(AND($T106&lt;&gt;"",EDATE($D106,Milestones!$AA$54)&gt;=$T106),$W106,IF(AND($S106&lt;&gt;"",EDATE($D106,Milestones!$AA$54)&gt;=$S106),$V106,$U106)))=Milestones!$AB$54),UPPER(TEXT(EDATE($D106,Milestones!$AA$54),"dd mmm yy"))&amp;" "&amp;Milestones!$AB$54&amp;" "&amp;Milestones!$AC$54&amp;";  ","")&amp;IF(AND(EDATE($D106,Milestones!$AA$55)&lt;=AsOfDate,IF($R106=0,$X106,IF(AND($T106&lt;&gt;"",EDATE($D106,Milestones!$AA$55)&gt;=$T106),$W106,IF(AND($S106&lt;&gt;"",EDATE($D106,Milestones!$AA$55)&gt;=$S106),$V106,$U106)))=Milestones!$AB$55),UPPER(TEXT(EDATE($D106,Milestones!$AA$55),"dd mmm yy"))&amp;" "&amp;Milestones!$AB$55&amp;" "&amp;Milestones!$AC$55&amp;";  ","")&amp;IF(AND(EDATE($D106,Milestones!$AA$56)&lt;=AsOfDate,IF($R106=0,$X106,IF(AND($T106&lt;&gt;"",EDATE($D106,Milestones!$AA$56)&gt;=$T106),$W106,IF(AND($S106&lt;&gt;"",EDATE($D106,Milestones!$AA$56)&gt;=$S106),$V106,$U106)))=Milestones!$AB$56),UPPER(TEXT(EDATE($D106,Milestones!$AA$56),"dd mmm yy"))&amp;" "&amp;Milestones!$AB$56&amp;" "&amp;Milestones!$AC$56&amp;";  ","")&amp;IF(AND(EDATE($D106,Milestones!$AA$57)&lt;=AsOfDate,IF($R106=0,$X106,IF(AND($T106&lt;&gt;"",EDATE($D106,Milestones!$AA$57)&gt;=$T106),$W106,IF(AND($S106&lt;&gt;"",EDATE($D106,Milestones!$AA$57)&gt;=$S106),$V106,$U106)))=Milestones!$AB$57),UPPER(TEXT(EDATE($D106,Milestones!$AA$57),"dd mmm yy"))&amp;" "&amp;Milestones!$AB$57&amp;" "&amp;Milestones!$AC$57&amp;";  ","")&amp;IF(AND(EDATE($D106,Milestones!$AA$58)&lt;=AsOfDate,IF($R106=0,$X106,IF(AND($T106&lt;&gt;"",EDATE($D106,Milestones!$AA$58)&gt;=$T106),$W106,IF(AND($S106&lt;&gt;"",EDATE($D106,Milestones!$AA$58)&gt;=$S106),$V106,$U106)))=Milestones!$AB$58),UPPER(TEXT(EDATE($D106,Milestones!$AA$58),"dd mmm yy"))&amp;" "&amp;Milestones!$AB$58&amp;" "&amp;Milestones!$AC$58&amp;";  ","")&amp;IF(AND(EDATE($D106,Milestones!$AA$59)&lt;=AsOfDate,IF($R106=0,$X106,IF(AND($T106&lt;&gt;"",EDATE($D106,Milestones!$AA$59)&gt;=$T106),$W106,IF(AND($S106&lt;&gt;"",EDATE($D106,Milestones!$AA$59)&gt;=$S106),$V106,$U106)))=Milestones!$AB$59),UPPER(TEXT(EDATE($D106,Milestones!$AA$59),"dd mmm yy"))&amp;" "&amp;Milestones!$AB$59&amp;" "&amp;Milestones!$AC$59&amp;";  ",""))</f>
        <v/>
      </c>
      <c r="K106" s="0" t="str">
        <f aca="false">IF(OR($A106="",$D106=""),"",IF(AND(EDATE($D106,Milestones!$AA$60)&lt;=AsOfDate,IF($R106=0,$X106,IF(AND($T106&lt;&gt;"",EDATE($D106,Milestones!$AA$60)&gt;=$T106),$W106,IF(AND($S106&lt;&gt;"",EDATE($D106,Milestones!$AA$60)&gt;=$S106),$V106,$U106)))=Milestones!$AB$60),UPPER(TEXT(EDATE($D106,Milestones!$AA$60),"dd mmm yy"))&amp;" "&amp;Milestones!$AB$60&amp;" "&amp;Milestones!$AC$60&amp;";  ","")&amp;IF(AND(EDATE($D106,Milestones!$AA$61)&lt;=AsOfDate,IF($R106=0,$X106,IF(AND($T106&lt;&gt;"",EDATE($D106,Milestones!$AA$61)&gt;=$T106),$W106,IF(AND($S106&lt;&gt;"",EDATE($D106,Milestones!$AA$61)&gt;=$S106),$V106,$U106)))=Milestones!$AB$61),UPPER(TEXT(EDATE($D106,Milestones!$AA$61),"dd mmm yy"))&amp;" "&amp;Milestones!$AB$61&amp;" "&amp;Milestones!$AC$61&amp;";  ","")&amp;IF(AND(EDATE($D106,Milestones!$AA$62)&lt;=AsOfDate,IF($R106=0,$X106,IF(AND($T106&lt;&gt;"",EDATE($D106,Milestones!$AA$62)&gt;=$T106),$W106,IF(AND($S106&lt;&gt;"",EDATE($D106,Milestones!$AA$62)&gt;=$S106),$V106,$U106)))=Milestones!$AB$62),UPPER(TEXT(EDATE($D106,Milestones!$AA$62),"dd mmm yy"))&amp;" "&amp;Milestones!$AB$62&amp;" "&amp;Milestones!$AC$62&amp;";  ","")&amp;IF(AND(EDATE($D106,Milestones!$AA$63)&lt;=AsOfDate,IF($R106=0,$X106,IF(AND($T106&lt;&gt;"",EDATE($D106,Milestones!$AA$63)&gt;=$T106),$W106,IF(AND($S106&lt;&gt;"",EDATE($D106,Milestones!$AA$63)&gt;=$S106),$V106,$U106)))=Milestones!$AB$63),UPPER(TEXT(EDATE($D106,Milestones!$AA$63),"dd mmm yy"))&amp;" "&amp;Milestones!$AB$63&amp;" "&amp;Milestones!$AC$63&amp;";  ","")&amp;IF(AND(EDATE($D106,Milestones!$AA$64)&lt;=AsOfDate,IF($R106=0,$X106,IF(AND($T106&lt;&gt;"",EDATE($D106,Milestones!$AA$64)&gt;=$T106),$W106,IF(AND($S106&lt;&gt;"",EDATE($D106,Milestones!$AA$64)&gt;=$S106),$V106,$U106)))=Milestones!$AB$64),UPPER(TEXT(EDATE($D106,Milestones!$AA$64),"dd mmm yy"))&amp;" "&amp;Milestones!$AB$64&amp;" "&amp;Milestones!$AC$64&amp;";  ","")&amp;IF(AND(EDATE($D106,Milestones!$AA$65)&lt;=AsOfDate,IF($R106=0,$X106,IF(AND($T106&lt;&gt;"",EDATE($D106,Milestones!$AA$65)&gt;=$T106),$W106,IF(AND($S106&lt;&gt;"",EDATE($D106,Milestones!$AA$65)&gt;=$S106),$V106,$U106)))=Milestones!$AB$65),UPPER(TEXT(EDATE($D106,Milestones!$AA$65),"dd mmm yy"))&amp;" "&amp;Milestones!$AB$65&amp;" "&amp;Milestones!$AC$65&amp;";  ","")&amp;IF(AND(EDATE($D106,Milestones!$AA$66)&lt;=AsOfDate,IF($R106=0,$X106,IF(AND($T106&lt;&gt;"",EDATE($D106,Milestones!$AA$66)&gt;=$T106),$W106,IF(AND($S106&lt;&gt;"",EDATE($D106,Milestones!$AA$66)&gt;=$S106),$V106,$U106)))=Milestones!$AB$66),UPPER(TEXT(EDATE($D106,Milestones!$AA$66),"dd mmm yy"))&amp;" "&amp;Milestones!$AB$66&amp;" "&amp;Milestones!$AC$66&amp;";  ","")&amp;IF(AND(EDATE($D106,Milestones!$AA$67)&lt;=AsOfDate,IF($R106=0,$X106,IF(AND($T106&lt;&gt;"",EDATE($D106,Milestones!$AA$67)&gt;=$T106),$W106,IF(AND($S106&lt;&gt;"",EDATE($D106,Milestones!$AA$67)&gt;=$S106),$V106,$U106)))=Milestones!$AB$67),UPPER(TEXT(EDATE($D106,Milestones!$AA$67),"dd mmm yy"))&amp;" "&amp;Milestones!$AB$67&amp;" "&amp;Milestones!$AC$67&amp;";  ","")&amp;IF(AND(EDATE($D106,Milestones!$AA$68)&lt;=AsOfDate,IF($R106=0,$X106,IF(AND($T106&lt;&gt;"",EDATE($D106,Milestones!$AA$68)&gt;=$T106),$W106,IF(AND($S106&lt;&gt;"",EDATE($D106,Milestones!$AA$68)&gt;=$S106),$V106,$U106)))=Milestones!$AB$68),UPPER(TEXT(EDATE($D106,Milestones!$AA$68),"dd mmm yy"))&amp;" "&amp;Milestones!$AB$68&amp;" "&amp;Milestones!$AC$68&amp;";  ","")&amp;IF(AND(EDATE($D106,Milestones!$AA$69)&lt;=AsOfDate,IF($R106=0,$X106,IF(AND($T106&lt;&gt;"",EDATE($D106,Milestones!$AA$69)&gt;=$T106),$W106,IF(AND($S106&lt;&gt;"",EDATE($D106,Milestones!$AA$69)&gt;=$S106),$V106,$U106)))=Milestones!$AB$69),UPPER(TEXT(EDATE($D106,Milestones!$AA$69),"dd mmm yy"))&amp;" "&amp;Milestones!$AB$69&amp;" "&amp;Milestones!$AC$69&amp;";  ","")&amp;IF(AND(EDATE($D106,Milestones!$AA$70)&lt;=AsOfDate,IF($R106=0,$X106,IF(AND($T106&lt;&gt;"",EDATE($D106,Milestones!$AA$70)&gt;=$T106),$W106,IF(AND($S106&lt;&gt;"",EDATE($D106,Milestones!$AA$70)&gt;=$S106),$V106,$U106)))=Milestones!$AB$70),UPPER(TEXT(EDATE($D106,Milestones!$AA$70),"dd mmm yy"))&amp;" "&amp;Milestones!$AB$70&amp;" "&amp;Milestones!$AC$70&amp;";  ","")&amp;IF(AND(EDATE($D106,Milestones!$AA$71)&lt;=AsOfDate,IF($R106=0,$X106,IF(AND($T106&lt;&gt;"",EDATE($D106,Milestones!$AA$71)&gt;=$T106),$W106,IF(AND($S106&lt;&gt;"",EDATE($D106,Milestones!$AA$71)&gt;=$S106),$V106,$U106)))=Milestones!$AB$71),UPPER(TEXT(EDATE($D106,Milestones!$AA$71),"dd mmm yy"))&amp;" "&amp;Milestones!$AB$71&amp;" "&amp;Milestones!$AC$71&amp;";  ","")&amp;IF(AND(EDATE($D106,Milestones!$AA$72)&lt;=AsOfDate,IF($R106=0,$X106,IF(AND($T106&lt;&gt;"",EDATE($D106,Milestones!$AA$72)&gt;=$T106),$W106,IF(AND($S106&lt;&gt;"",EDATE($D106,Milestones!$AA$72)&gt;=$S106),$V106,$U106)))=Milestones!$AB$72),UPPER(TEXT(EDATE($D106,Milestones!$AA$72),"dd mmm yy"))&amp;" "&amp;Milestones!$AB$72&amp;" "&amp;Milestones!$AC$72&amp;";  ","")&amp;IF(AND(EDATE($D106,Milestones!$AA$73)&lt;=AsOfDate,IF($R106=0,$X106,IF(AND($T106&lt;&gt;"",EDATE($D106,Milestones!$AA$73)&gt;=$T106),$W106,IF(AND($S106&lt;&gt;"",EDATE($D106,Milestones!$AA$73)&gt;=$S106),$V106,$U106)))=Milestones!$AB$73),UPPER(TEXT(EDATE($D106,Milestones!$AA$73),"dd mmm yy"))&amp;" "&amp;Milestones!$AB$73&amp;" "&amp;Milestones!$AC$73&amp;";  ","")&amp;IF(AND(EDATE($D106,Milestones!$AA$74)&lt;=AsOfDate,IF($R106=0,$X106,IF(AND($T106&lt;&gt;"",EDATE($D106,Milestones!$AA$74)&gt;=$T106),$W106,IF(AND($S106&lt;&gt;"",EDATE($D106,Milestones!$AA$74)&gt;=$S106),$V106,$U106)))=Milestones!$AB$74),UPPER(TEXT(EDATE($D106,Milestones!$AA$74),"dd mmm yy"))&amp;" "&amp;Milestones!$AB$74&amp;" "&amp;Milestones!$AC$74&amp;";  ","")&amp;IF(AND(EDATE($D106,Milestones!$AA$75)&lt;=AsOfDate,IF($R106=0,$X106,IF(AND($T106&lt;&gt;"",EDATE($D106,Milestones!$AA$75)&gt;=$T106),$W106,IF(AND($S106&lt;&gt;"",EDATE($D106,Milestones!$AA$75)&gt;=$S106),$V106,$U106)))=Milestones!$AB$75),UPPER(TEXT(EDATE($D106,Milestones!$AA$75),"dd mmm yy"))&amp;" "&amp;Milestones!$AB$75&amp;" "&amp;Milestones!$AC$75&amp;";  ","")&amp;IF(AND(EDATE($D106,Milestones!$AA$76)&lt;=AsOfDate,IF($R106=0,$X106,IF(AND($T106&lt;&gt;"",EDATE($D106,Milestones!$AA$76)&gt;=$T106),$W106,IF(AND($S106&lt;&gt;"",EDATE($D106,Milestones!$AA$76)&gt;=$S106),$V106,$U106)))=Milestones!$AB$76),UPPER(TEXT(EDATE($D106,Milestones!$AA$76),"dd mmm yy"))&amp;" "&amp;Milestones!$AB$76&amp;" "&amp;Milestones!$AC$76&amp;";  ","")&amp;IF(AND(EDATE($D106,Milestones!$AA$77)&lt;=AsOfDate,IF($R106=0,$X106,IF(AND($T106&lt;&gt;"",EDATE($D106,Milestones!$AA$77)&gt;=$T106),$W106,IF(AND($S106&lt;&gt;"",EDATE($D106,Milestones!$AA$77)&gt;=$S106),$V106,$U106)))=Milestones!$AB$77),UPPER(TEXT(EDATE($D106,Milestones!$AA$77),"dd mmm yy"))&amp;" "&amp;Milestones!$AB$77&amp;" "&amp;Milestones!$AC$77&amp;";  ","")&amp;IF(AND(EDATE($D106,Milestones!$AA$78)&lt;=AsOfDate,IF($R106=0,$X106,IF(AND($T106&lt;&gt;"",EDATE($D106,Milestones!$AA$78)&gt;=$T106),$W106,IF(AND($S106&lt;&gt;"",EDATE($D106,Milestones!$AA$78)&gt;=$S106),$V106,$U106)))=Milestones!$AB$78),UPPER(TEXT(EDATE($D106,Milestones!$AA$78),"dd mmm yy"))&amp;" "&amp;Milestones!$AB$78&amp;" "&amp;Milestones!$AC$78&amp;";  ","")&amp;IF(AND(EDATE($D106,Milestones!$AA$79)&lt;=AsOfDate,IF($R106=0,$X106,IF(AND($T106&lt;&gt;"",EDATE($D106,Milestones!$AA$79)&gt;=$T106),$W106,IF(AND($S106&lt;&gt;"",EDATE($D106,Milestones!$AA$79)&gt;=$S106),$V106,$U106)))=Milestones!$AB$79),UPPER(TEXT(EDATE($D106,Milestones!$AA$79),"dd mmm yy"))&amp;" "&amp;Milestones!$AB$79&amp;" "&amp;Milestones!$AC$79&amp;";  ",""))</f>
        <v/>
      </c>
      <c r="L106" s="0" t="str">
        <f aca="false">IF(OR($A106="",$D106=""),"",IF(AND(EDATE($D106,Milestones!$AA$80)&lt;=AsOfDate,IF($R106=0,$X106,IF(AND($T106&lt;&gt;"",EDATE($D106,Milestones!$AA$80)&gt;=$T106),$W106,IF(AND($S106&lt;&gt;"",EDATE($D106,Milestones!$AA$80)&gt;=$S106),$V106,$U106)))=Milestones!$AB$80),UPPER(TEXT(EDATE($D106,Milestones!$AA$80),"dd mmm yy"))&amp;" "&amp;Milestones!$AB$80&amp;" "&amp;Milestones!$AC$80&amp;";  ","")&amp;IF(AND(EDATE($D106,Milestones!$AA$81)&lt;=AsOfDate,IF($R106=0,$X106,IF(AND($T106&lt;&gt;"",EDATE($D106,Milestones!$AA$81)&gt;=$T106),$W106,IF(AND($S106&lt;&gt;"",EDATE($D106,Milestones!$AA$81)&gt;=$S106),$V106,$U106)))=Milestones!$AB$81),UPPER(TEXT(EDATE($D106,Milestones!$AA$81),"dd mmm yy"))&amp;" "&amp;Milestones!$AB$81&amp;" "&amp;Milestones!$AC$81&amp;";  ","")&amp;IF(AND(EDATE($D106,Milestones!$AA$82)&lt;=AsOfDate,IF($R106=0,$X106,IF(AND($T106&lt;&gt;"",EDATE($D106,Milestones!$AA$82)&gt;=$T106),$W106,IF(AND($S106&lt;&gt;"",EDATE($D106,Milestones!$AA$82)&gt;=$S106),$V106,$U106)))=Milestones!$AB$82),UPPER(TEXT(EDATE($D106,Milestones!$AA$82),"dd mmm yy"))&amp;" "&amp;Milestones!$AB$82&amp;" "&amp;Milestones!$AC$82&amp;";  ","")&amp;IF(AND(EDATE($D106,Milestones!$AA$83)&lt;=AsOfDate,IF($R106=0,$X106,IF(AND($T106&lt;&gt;"",EDATE($D106,Milestones!$AA$83)&gt;=$T106),$W106,IF(AND($S106&lt;&gt;"",EDATE($D106,Milestones!$AA$83)&gt;=$S106),$V106,$U106)))=Milestones!$AB$83),UPPER(TEXT(EDATE($D106,Milestones!$AA$83),"dd mmm yy"))&amp;" "&amp;Milestones!$AB$83&amp;" "&amp;Milestones!$AC$83&amp;";  ","")&amp;IF(AND(EDATE($D106,Milestones!$AA$84)&lt;=AsOfDate,IF($R106=0,$X106,IF(AND($T106&lt;&gt;"",EDATE($D106,Milestones!$AA$84)&gt;=$T106),$W106,IF(AND($S106&lt;&gt;"",EDATE($D106,Milestones!$AA$84)&gt;=$S106),$V106,$U106)))=Milestones!$AB$84),UPPER(TEXT(EDATE($D106,Milestones!$AA$84),"dd mmm yy"))&amp;" "&amp;Milestones!$AB$84&amp;" "&amp;Milestones!$AC$84&amp;";  ","")&amp;IF(AND(EDATE($D106,Milestones!$AA$85)&lt;=AsOfDate,IF($R106=0,$X106,IF(AND($T106&lt;&gt;"",EDATE($D106,Milestones!$AA$85)&gt;=$T106),$W106,IF(AND($S106&lt;&gt;"",EDATE($D106,Milestones!$AA$85)&gt;=$S106),$V106,$U106)))=Milestones!$AB$85),UPPER(TEXT(EDATE($D106,Milestones!$AA$85),"dd mmm yy"))&amp;" "&amp;Milestones!$AB$85&amp;" "&amp;Milestones!$AC$85&amp;";  ","")&amp;IF(AND(EDATE($D106,Milestones!$AA$86)&lt;=AsOfDate,IF($R106=0,$X106,IF(AND($T106&lt;&gt;"",EDATE($D106,Milestones!$AA$86)&gt;=$T106),$W106,IF(AND($S106&lt;&gt;"",EDATE($D106,Milestones!$AA$86)&gt;=$S106),$V106,$U106)))=Milestones!$AB$86),UPPER(TEXT(EDATE($D106,Milestones!$AA$86),"dd mmm yy"))&amp;" "&amp;Milestones!$AB$86&amp;" "&amp;Milestones!$AC$86&amp;";  ","")&amp;IF(AND(EDATE($D106,Milestones!$AA$87)&lt;=AsOfDate,IF($R106=0,$X106,IF(AND($T106&lt;&gt;"",EDATE($D106,Milestones!$AA$87)&gt;=$T106),$W106,IF(AND($S106&lt;&gt;"",EDATE($D106,Milestones!$AA$87)&gt;=$S106),$V106,$U106)))=Milestones!$AB$87),UPPER(TEXT(EDATE($D106,Milestones!$AA$87),"dd mmm yy"))&amp;" "&amp;Milestones!$AB$87&amp;" "&amp;Milestones!$AC$87&amp;";  ","")&amp;IF(AND(EDATE($D106,Milestones!$AA$88)&lt;=AsOfDate,IF($R106=0,$X106,IF(AND($T106&lt;&gt;"",EDATE($D106,Milestones!$AA$88)&gt;=$T106),$W106,IF(AND($S106&lt;&gt;"",EDATE($D106,Milestones!$AA$88)&gt;=$S106),$V106,$U106)))=Milestones!$AB$88),UPPER(TEXT(EDATE($D106,Milestones!$AA$88),"dd mmm yy"))&amp;" "&amp;Milestones!$AB$88&amp;" "&amp;Milestones!$AC$88&amp;";  ","")&amp;IF(AND(EDATE($D106,Milestones!$AA$89)&lt;=AsOfDate,IF($R106=0,$X106,IF(AND($T106&lt;&gt;"",EDATE($D106,Milestones!$AA$89)&gt;=$T106),$W106,IF(AND($S106&lt;&gt;"",EDATE($D106,Milestones!$AA$89)&gt;=$S106),$V106,$U106)))=Milestones!$AB$89),UPPER(TEXT(EDATE($D106,Milestones!$AA$89),"dd mmm yy"))&amp;" "&amp;Milestones!$AB$89&amp;" "&amp;Milestones!$AC$89&amp;";  ","")&amp;IF(AND(EDATE($D106,Milestones!$AA$90)&lt;=AsOfDate,IF($R106=0,$X106,IF(AND($T106&lt;&gt;"",EDATE($D106,Milestones!$AA$90)&gt;=$T106),$W106,IF(AND($S106&lt;&gt;"",EDATE($D106,Milestones!$AA$90)&gt;=$S106),$V106,$U106)))=Milestones!$AB$90),UPPER(TEXT(EDATE($D106,Milestones!$AA$90),"dd mmm yy"))&amp;" "&amp;Milestones!$AB$90&amp;" "&amp;Milestones!$AC$90&amp;";  ","")&amp;IF(AND(EDATE($D106,Milestones!$AA$91)&lt;=AsOfDate,IF($R106=0,$X106,IF(AND($T106&lt;&gt;"",EDATE($D106,Milestones!$AA$91)&gt;=$T106),$W106,IF(AND($S106&lt;&gt;"",EDATE($D106,Milestones!$AA$91)&gt;=$S106),$V106,$U106)))=Milestones!$AB$91),UPPER(TEXT(EDATE($D106,Milestones!$AA$91),"dd mmm yy"))&amp;" "&amp;Milestones!$AB$91&amp;" "&amp;Milestones!$AC$91&amp;";  ","")&amp;IF(AND(EDATE($D106,Milestones!$AA$92)&lt;=AsOfDate,IF($R106=0,$X106,IF(AND($T106&lt;&gt;"",EDATE($D106,Milestones!$AA$92)&gt;=$T106),$W106,IF(AND($S106&lt;&gt;"",EDATE($D106,Milestones!$AA$92)&gt;=$S106),$V106,$U106)))=Milestones!$AB$92),UPPER(TEXT(EDATE($D106,Milestones!$AA$92),"dd mmm yy"))&amp;" "&amp;Milestones!$AB$92&amp;" "&amp;Milestones!$AC$92&amp;";  ","")&amp;IF(AND(EDATE($D106,Milestones!$AA$93)&lt;=AsOfDate,IF($R106=0,$X106,IF(AND($T106&lt;&gt;"",EDATE($D106,Milestones!$AA$93)&gt;=$T106),$W106,IF(AND($S106&lt;&gt;"",EDATE($D106,Milestones!$AA$93)&gt;=$S106),$V106,$U106)))=Milestones!$AB$93),UPPER(TEXT(EDATE($D106,Milestones!$AA$93),"dd mmm yy"))&amp;" "&amp;Milestones!$AB$93&amp;" "&amp;Milestones!$AC$93&amp;";  ","")&amp;IF(AND(EDATE($D106,Milestones!$AA$94)&lt;=AsOfDate,IF($R106=0,$X106,IF(AND($T106&lt;&gt;"",EDATE($D106,Milestones!$AA$94)&gt;=$T106),$W106,IF(AND($S106&lt;&gt;"",EDATE($D106,Milestones!$AA$94)&gt;=$S106),$V106,$U106)))=Milestones!$AB$94),UPPER(TEXT(EDATE($D106,Milestones!$AA$94),"dd mmm yy"))&amp;" "&amp;Milestones!$AB$94&amp;" "&amp;Milestones!$AC$94&amp;";  ","")&amp;IF(AND(EDATE($D106,Milestones!$AA$95)&lt;=AsOfDate,IF($R106=0,$X106,IF(AND($T106&lt;&gt;"",EDATE($D106,Milestones!$AA$95)&gt;=$T106),$W106,IF(AND($S106&lt;&gt;"",EDATE($D106,Milestones!$AA$95)&gt;=$S106),$V106,$U106)))=Milestones!$AB$95),UPPER(TEXT(EDATE($D106,Milestones!$AA$95),"dd mmm yy"))&amp;" "&amp;Milestones!$AB$95&amp;" "&amp;Milestones!$AC$95&amp;";  ","")&amp;IF(AND(EDATE($D106,Milestones!$AA$96)&lt;=AsOfDate,IF($R106=0,$X106,IF(AND($T106&lt;&gt;"",EDATE($D106,Milestones!$AA$96)&gt;=$T106),$W106,IF(AND($S106&lt;&gt;"",EDATE($D106,Milestones!$AA$96)&gt;=$S106),$V106,$U106)))=Milestones!$AB$96),UPPER(TEXT(EDATE($D106,Milestones!$AA$96),"dd mmm yy"))&amp;" "&amp;Milestones!$AB$96&amp;" "&amp;Milestones!$AC$96&amp;";  ","")&amp;IF(AND(EDATE($D106,Milestones!$AA$97)&lt;=AsOfDate,IF($R106=0,$X106,IF(AND($T106&lt;&gt;"",EDATE($D106,Milestones!$AA$97)&gt;=$T106),$W106,IF(AND($S106&lt;&gt;"",EDATE($D106,Milestones!$AA$97)&gt;=$S106),$V106,$U106)))=Milestones!$AB$97),UPPER(TEXT(EDATE($D106,Milestones!$AA$97),"dd mmm yy"))&amp;" "&amp;Milestones!$AB$97&amp;" "&amp;Milestones!$AC$97&amp;";  ","")&amp;IF(AND(EDATE($D106,Milestones!$AA$98)&lt;=AsOfDate,IF($R106=0,$X106,IF(AND($T106&lt;&gt;"",EDATE($D106,Milestones!$AA$98)&gt;=$T106),$W106,IF(AND($S106&lt;&gt;"",EDATE($D106,Milestones!$AA$98)&gt;=$S106),$V106,$U106)))=Milestones!$AB$98),UPPER(TEXT(EDATE($D106,Milestones!$AA$98),"dd mmm yy"))&amp;" "&amp;Milestones!$AB$98&amp;" "&amp;Milestones!$AC$98&amp;";  ","")&amp;IF(AND(EDATE($D106,Milestones!$AA$99)&lt;=AsOfDate,IF($R106=0,$X106,IF(AND($T106&lt;&gt;"",EDATE($D106,Milestones!$AA$99)&gt;=$T106),$W106,IF(AND($S106&lt;&gt;"",EDATE($D106,Milestones!$AA$99)&gt;=$S106),$V106,$U106)))=Milestones!$AB$99),UPPER(TEXT(EDATE($D106,Milestones!$AA$99),"dd mmm yy"))&amp;" "&amp;Milestones!$AB$99&amp;" "&amp;Milestones!$AC$99&amp;";  ",""))</f>
        <v/>
      </c>
      <c r="M106" s="0" t="str">
        <f aca="false">IF(OR($A106="",$D106=""),"",IF(AND(EDATE($D106,Milestones!$AA$100)&lt;=AsOfDate,IF($R106=0,$X106,IF(AND($T106&lt;&gt;"",EDATE($D106,Milestones!$AA$100)&gt;=$T106),$W106,IF(AND($S106&lt;&gt;"",EDATE($D106,Milestones!$AA$100)&gt;=$S106),$V106,$U106)))=Milestones!$AB$100),UPPER(TEXT(EDATE($D106,Milestones!$AA$100),"dd mmm yy"))&amp;" "&amp;Milestones!$AB$100&amp;" "&amp;Milestones!$AC$100&amp;";  ","")&amp;IF(AND(EDATE($D106,Milestones!$AA$101)&lt;=AsOfDate,IF($R106=0,$X106,IF(AND($T106&lt;&gt;"",EDATE($D106,Milestones!$AA$101)&gt;=$T106),$W106,IF(AND($S106&lt;&gt;"",EDATE($D106,Milestones!$AA$101)&gt;=$S106),$V106,$U106)))=Milestones!$AB$101),UPPER(TEXT(EDATE($D106,Milestones!$AA$101),"dd mmm yy"))&amp;" "&amp;Milestones!$AB$101&amp;" "&amp;Milestones!$AC$101&amp;";  ","")&amp;IF(AND(EDATE($D106,Milestones!$AA$102)&lt;=AsOfDate,IF($R106=0,$X106,IF(AND($T106&lt;&gt;"",EDATE($D106,Milestones!$AA$102)&gt;=$T106),$W106,IF(AND($S106&lt;&gt;"",EDATE($D106,Milestones!$AA$102)&gt;=$S106),$V106,$U106)))=Milestones!$AB$102),UPPER(TEXT(EDATE($D106,Milestones!$AA$102),"dd mmm yy"))&amp;" "&amp;Milestones!$AB$102&amp;" "&amp;Milestones!$AC$102&amp;";  ","")&amp;IF(AND(EDATE($D106,Milestones!$AA$103)&lt;=AsOfDate,IF($R106=0,$X106,IF(AND($T106&lt;&gt;"",EDATE($D106,Milestones!$AA$103)&gt;=$T106),$W106,IF(AND($S106&lt;&gt;"",EDATE($D106,Milestones!$AA$103)&gt;=$S106),$V106,$U106)))=Milestones!$AB$103),UPPER(TEXT(EDATE($D106,Milestones!$AA$103),"dd mmm yy"))&amp;" "&amp;Milestones!$AB$103&amp;" "&amp;Milestones!$AC$103&amp;";  ","")&amp;IF(AND(EDATE($D106,Milestones!$AA$104)&lt;=AsOfDate,IF($R106=0,$X106,IF(AND($T106&lt;&gt;"",EDATE($D106,Milestones!$AA$104)&gt;=$T106),$W106,IF(AND($S106&lt;&gt;"",EDATE($D106,Milestones!$AA$104)&gt;=$S106),$V106,$U106)))=Milestones!$AB$104),UPPER(TEXT(EDATE($D106,Milestones!$AA$104),"dd mmm yy"))&amp;" "&amp;Milestones!$AB$104&amp;" "&amp;Milestones!$AC$104&amp;";  ","")&amp;IF(AND(EDATE($D106,Milestones!$AA$105)&lt;=AsOfDate,IF($R106=0,$X106,IF(AND($T106&lt;&gt;"",EDATE($D106,Milestones!$AA$105)&gt;=$T106),$W106,IF(AND($S106&lt;&gt;"",EDATE($D106,Milestones!$AA$105)&gt;=$S106),$V106,$U106)))=Milestones!$AB$105),UPPER(TEXT(EDATE($D106,Milestones!$AA$105),"dd mmm yy"))&amp;" "&amp;Milestones!$AB$105&amp;" "&amp;Milestones!$AC$105&amp;";  ","")&amp;IF(AND(EDATE($D106,Milestones!$AA$106)&lt;=AsOfDate,IF($R106=0,$X106,IF(AND($T106&lt;&gt;"",EDATE($D106,Milestones!$AA$106)&gt;=$T106),$W106,IF(AND($S106&lt;&gt;"",EDATE($D106,Milestones!$AA$106)&gt;=$S106),$V106,$U106)))=Milestones!$AB$106),UPPER(TEXT(EDATE($D106,Milestones!$AA$106),"dd mmm yy"))&amp;" "&amp;Milestones!$AB$106&amp;" "&amp;Milestones!$AC$106&amp;";  ","")&amp;IF(AND(EDATE($D106,Milestones!$AA$107)&lt;=AsOfDate,IF($R106=0,$X106,IF(AND($T106&lt;&gt;"",EDATE($D106,Milestones!$AA$107)&gt;=$T106),$W106,IF(AND($S106&lt;&gt;"",EDATE($D106,Milestones!$AA$107)&gt;=$S106),$V106,$U106)))=Milestones!$AB$107),UPPER(TEXT(EDATE($D106,Milestones!$AA$107),"dd mmm yy"))&amp;" "&amp;Milestones!$AB$107&amp;" "&amp;Milestones!$AC$107&amp;";  ","")&amp;IF(AND(EDATE($D106,Milestones!$AA$108)&lt;=AsOfDate,IF($R106=0,$X106,IF(AND($T106&lt;&gt;"",EDATE($D106,Milestones!$AA$108)&gt;=$T106),$W106,IF(AND($S106&lt;&gt;"",EDATE($D106,Milestones!$AA$108)&gt;=$S106),$V106,$U106)))=Milestones!$AB$108),UPPER(TEXT(EDATE($D106,Milestones!$AA$108),"dd mmm yy"))&amp;" "&amp;Milestones!$AB$108&amp;" "&amp;Milestones!$AC$108&amp;";  ","")&amp;IF(AND(EDATE($D106,Milestones!$AA$109)&lt;=AsOfDate,IF($R106=0,$X106,IF(AND($T106&lt;&gt;"",EDATE($D106,Milestones!$AA$109)&gt;=$T106),$W106,IF(AND($S106&lt;&gt;"",EDATE($D106,Milestones!$AA$109)&gt;=$S106),$V106,$U106)))=Milestones!$AB$109),UPPER(TEXT(EDATE($D106,Milestones!$AA$109),"dd mmm yy"))&amp;" "&amp;Milestones!$AB$109&amp;" "&amp;Milestones!$AC$109&amp;";  ","")&amp;IF(AND(EDATE($D106,Milestones!$AA$110)&lt;=AsOfDate,IF($R106=0,$X106,IF(AND($T106&lt;&gt;"",EDATE($D106,Milestones!$AA$110)&gt;=$T106),$W106,IF(AND($S106&lt;&gt;"",EDATE($D106,Milestones!$AA$110)&gt;=$S106),$V106,$U106)))=Milestones!$AB$110),UPPER(TEXT(EDATE($D106,Milestones!$AA$110),"dd mmm yy"))&amp;" "&amp;Milestones!$AB$110&amp;" "&amp;Milestones!$AC$110&amp;";  ","")&amp;IF(AND(EDATE($D106,Milestones!$AA$111)&lt;=AsOfDate,IF($R106=0,$X106,IF(AND($T106&lt;&gt;"",EDATE($D106,Milestones!$AA$111)&gt;=$T106),$W106,IF(AND($S106&lt;&gt;"",EDATE($D106,Milestones!$AA$111)&gt;=$S106),$V106,$U106)))=Milestones!$AB$111),UPPER(TEXT(EDATE($D106,Milestones!$AA$111),"dd mmm yy"))&amp;" "&amp;Milestones!$AB$111&amp;" "&amp;Milestones!$AC$111&amp;";  ","")&amp;IF(AND(EDATE($D106,Milestones!$AA$112)&lt;=AsOfDate,IF($R106=0,$X106,IF(AND($T106&lt;&gt;"",EDATE($D106,Milestones!$AA$112)&gt;=$T106),$W106,IF(AND($S106&lt;&gt;"",EDATE($D106,Milestones!$AA$112)&gt;=$S106),$V106,$U106)))=Milestones!$AB$112),UPPER(TEXT(EDATE($D106,Milestones!$AA$112),"dd mmm yy"))&amp;" "&amp;Milestones!$AB$112&amp;" "&amp;Milestones!$AC$112&amp;";  ","")&amp;IF(AND(EDATE($D106,Milestones!$AA$113)&lt;=AsOfDate,IF($R106=0,$X106,IF(AND($T106&lt;&gt;"",EDATE($D106,Milestones!$AA$113)&gt;=$T106),$W106,IF(AND($S106&lt;&gt;"",EDATE($D106,Milestones!$AA$113)&gt;=$S106),$V106,$U106)))=Milestones!$AB$113),UPPER(TEXT(EDATE($D106,Milestones!$AA$113),"dd mmm yy"))&amp;" "&amp;Milestones!$AB$113&amp;" "&amp;Milestones!$AC$113&amp;";  ","")&amp;IF(AND(EDATE($D106,Milestones!$AA$114)&lt;=AsOfDate,IF($R106=0,$X106,IF(AND($T106&lt;&gt;"",EDATE($D106,Milestones!$AA$114)&gt;=$T106),$W106,IF(AND($S106&lt;&gt;"",EDATE($D106,Milestones!$AA$114)&gt;=$S106),$V106,$U106)))=Milestones!$AB$114),UPPER(TEXT(EDATE($D106,Milestones!$AA$114),"dd mmm yy"))&amp;" "&amp;Milestones!$AB$114&amp;" "&amp;Milestones!$AC$114&amp;";  ","")&amp;IF(AND(EDATE($D106,Milestones!$AA$115)&lt;=AsOfDate,IF($R106=0,$X106,IF(AND($T106&lt;&gt;"",EDATE($D106,Milestones!$AA$115)&gt;=$T106),$W106,IF(AND($S106&lt;&gt;"",EDATE($D106,Milestones!$AA$115)&gt;=$S106),$V106,$U106)))=Milestones!$AB$115),UPPER(TEXT(EDATE($D106,Milestones!$AA$115),"dd mmm yy"))&amp;" "&amp;Milestones!$AB$115&amp;" "&amp;Milestones!$AC$115&amp;";  ","")&amp;IF(AND(EDATE($D106,Milestones!$AA$116)&lt;=AsOfDate,IF($R106=0,$X106,IF(AND($T106&lt;&gt;"",EDATE($D106,Milestones!$AA$116)&gt;=$T106),$W106,IF(AND($S106&lt;&gt;"",EDATE($D106,Milestones!$AA$116)&gt;=$S106),$V106,$U106)))=Milestones!$AB$116),UPPER(TEXT(EDATE($D106,Milestones!$AA$116),"dd mmm yy"))&amp;" "&amp;Milestones!$AB$116&amp;" "&amp;Milestones!$AC$116&amp;";  ","")&amp;IF(AND(EDATE($D106,Milestones!$AA$117)&lt;=AsOfDate,IF($R106=0,$X106,IF(AND($T106&lt;&gt;"",EDATE($D106,Milestones!$AA$117)&gt;=$T106),$W106,IF(AND($S106&lt;&gt;"",EDATE($D106,Milestones!$AA$117)&gt;=$S106),$V106,$U106)))=Milestones!$AB$117),UPPER(TEXT(EDATE($D106,Milestones!$AA$117),"dd mmm yy"))&amp;" "&amp;Milestones!$AB$117&amp;" "&amp;Milestones!$AC$117&amp;";  ","")&amp;IF(AND(EDATE($D106,Milestones!$AA$118)&lt;=AsOfDate,IF($R106=0,$X106,IF(AND($T106&lt;&gt;"",EDATE($D106,Milestones!$AA$118)&gt;=$T106),$W106,IF(AND($S106&lt;&gt;"",EDATE($D106,Milestones!$AA$118)&gt;=$S106),$V106,$U106)))=Milestones!$AB$118),UPPER(TEXT(EDATE($D106,Milestones!$AA$118),"dd mmm yy"))&amp;" "&amp;Milestones!$AB$118&amp;" "&amp;Milestones!$AC$118&amp;";  ","")&amp;IF(AND(EDATE($D106,Milestones!$AA$119)&lt;=AsOfDate,IF($R106=0,$X106,IF(AND($T106&lt;&gt;"",EDATE($D106,Milestones!$AA$119)&gt;=$T106),$W106,IF(AND($S106&lt;&gt;"",EDATE($D106,Milestones!$AA$119)&gt;=$S106),$V106,$U106)))=Milestones!$AB$119),UPPER(TEXT(EDATE($D106,Milestones!$AA$119),"dd mmm yy"))&amp;" "&amp;Milestones!$AB$119&amp;" "&amp;Milestones!$AC$119&amp;";  ",""))</f>
        <v/>
      </c>
      <c r="N106" s="0" t="str">
        <f aca="false">IF(OR($A106="",$D106=""),"",IF(AND(EDATE($D106,Milestones!$AA$120)&lt;=AsOfDate,IF($R106=0,$X106,IF(AND($T106&lt;&gt;"",EDATE($D106,Milestones!$AA$120)&gt;=$T106),$W106,IF(AND($S106&lt;&gt;"",EDATE($D106,Milestones!$AA$120)&gt;=$S106),$V106,$U106)))=Milestones!$AB$120),UPPER(TEXT(EDATE($D106,Milestones!$AA$120),"dd mmm yy"))&amp;" "&amp;Milestones!$AB$120&amp;" "&amp;Milestones!$AC$120&amp;";  ","")&amp;IF(AND(EDATE($D106,Milestones!$AA$121)&lt;=AsOfDate,IF($R106=0,$X106,IF(AND($T106&lt;&gt;"",EDATE($D106,Milestones!$AA$121)&gt;=$T106),$W106,IF(AND($S106&lt;&gt;"",EDATE($D106,Milestones!$AA$121)&gt;=$S106),$V106,$U106)))=Milestones!$AB$121),UPPER(TEXT(EDATE($D106,Milestones!$AA$121),"dd mmm yy"))&amp;" "&amp;Milestones!$AB$121&amp;" "&amp;Milestones!$AC$121&amp;";  ","")&amp;IF(AND(EDATE($D106,Milestones!$AA$122)&lt;=AsOfDate,IF($R106=0,$X106,IF(AND($T106&lt;&gt;"",EDATE($D106,Milestones!$AA$122)&gt;=$T106),$W106,IF(AND($S106&lt;&gt;"",EDATE($D106,Milestones!$AA$122)&gt;=$S106),$V106,$U106)))=Milestones!$AB$122),UPPER(TEXT(EDATE($D106,Milestones!$AA$122),"dd mmm yy"))&amp;" "&amp;Milestones!$AB$122&amp;" "&amp;Milestones!$AC$122&amp;";  ","")&amp;IF(AND(EDATE($D106,Milestones!$AA$123)&lt;=AsOfDate,IF($R106=0,$X106,IF(AND($T106&lt;&gt;"",EDATE($D106,Milestones!$AA$123)&gt;=$T106),$W106,IF(AND($S106&lt;&gt;"",EDATE($D106,Milestones!$AA$123)&gt;=$S106),$V106,$U106)))=Milestones!$AB$123),UPPER(TEXT(EDATE($D106,Milestones!$AA$123),"dd mmm yy"))&amp;" "&amp;Milestones!$AB$123&amp;" "&amp;Milestones!$AC$123&amp;";  ","")&amp;IF(AND(EDATE($D106,Milestones!$AA$124)&lt;=AsOfDate,IF($R106=0,$X106,IF(AND($T106&lt;&gt;"",EDATE($D106,Milestones!$AA$124)&gt;=$T106),$W106,IF(AND($S106&lt;&gt;"",EDATE($D106,Milestones!$AA$124)&gt;=$S106),$V106,$U106)))=Milestones!$AB$124),UPPER(TEXT(EDATE($D106,Milestones!$AA$124),"dd mmm yy"))&amp;" "&amp;Milestones!$AB$124&amp;" "&amp;Milestones!$AC$124&amp;";  ","")&amp;IF(AND(EDATE($D106,Milestones!$AA$125)&lt;=AsOfDate,IF($R106=0,$X106,IF(AND($T106&lt;&gt;"",EDATE($D106,Milestones!$AA$125)&gt;=$T106),$W106,IF(AND($S106&lt;&gt;"",EDATE($D106,Milestones!$AA$125)&gt;=$S106),$V106,$U106)))=Milestones!$AB$125),UPPER(TEXT(EDATE($D106,Milestones!$AA$125),"dd mmm yy"))&amp;" "&amp;Milestones!$AB$125&amp;" "&amp;Milestones!$AC$125&amp;";  ","")&amp;IF(AND(EDATE($D106,Milestones!$AA$126)&lt;=AsOfDate,IF($R106=0,$X106,IF(AND($T106&lt;&gt;"",EDATE($D106,Milestones!$AA$126)&gt;=$T106),$W106,IF(AND($S106&lt;&gt;"",EDATE($D106,Milestones!$AA$126)&gt;=$S106),$V106,$U106)))=Milestones!$AB$126),UPPER(TEXT(EDATE($D106,Milestones!$AA$126),"dd mmm yy"))&amp;" "&amp;Milestones!$AB$126&amp;" "&amp;Milestones!$AC$126&amp;";  ","")&amp;IF(AND(EDATE($D106,Milestones!$AA$127)&lt;=AsOfDate,IF($R106=0,$X106,IF(AND($T106&lt;&gt;"",EDATE($D106,Milestones!$AA$127)&gt;=$T106),$W106,IF(AND($S106&lt;&gt;"",EDATE($D106,Milestones!$AA$127)&gt;=$S106),$V106,$U106)))=Milestones!$AB$127),UPPER(TEXT(EDATE($D106,Milestones!$AA$127),"dd mmm yy"))&amp;" "&amp;Milestones!$AB$127&amp;" "&amp;Milestones!$AC$127&amp;";  ","")&amp;IF(AND(EDATE($D106,Milestones!$AA$128)&lt;=AsOfDate,IF($R106=0,$X106,IF(AND($T106&lt;&gt;"",EDATE($D106,Milestones!$AA$128)&gt;=$T106),$W106,IF(AND($S106&lt;&gt;"",EDATE($D106,Milestones!$AA$128)&gt;=$S106),$V106,$U106)))=Milestones!$AB$128),UPPER(TEXT(EDATE($D106,Milestones!$AA$128),"dd mmm yy"))&amp;" "&amp;Milestones!$AB$128&amp;" "&amp;Milestones!$AC$128&amp;";  ","")&amp;IF(AND(EDATE($D106,Milestones!$AA$129)&lt;=AsOfDate,IF($R106=0,$X106,IF(AND($T106&lt;&gt;"",EDATE($D106,Milestones!$AA$129)&gt;=$T106),$W106,IF(AND($S106&lt;&gt;"",EDATE($D106,Milestones!$AA$129)&gt;=$S106),$V106,$U106)))=Milestones!$AB$129),UPPER(TEXT(EDATE($D106,Milestones!$AA$129),"dd mmm yy"))&amp;" "&amp;Milestones!$AB$129&amp;" "&amp;Milestones!$AC$129&amp;";  ","")&amp;IF(AND(EDATE($D106,Milestones!$AA$130)&lt;=AsOfDate,IF($R106=0,$X106,IF(AND($T106&lt;&gt;"",EDATE($D106,Milestones!$AA$130)&gt;=$T106),$W106,IF(AND($S106&lt;&gt;"",EDATE($D106,Milestones!$AA$130)&gt;=$S106),$V106,$U106)))=Milestones!$AB$130),UPPER(TEXT(EDATE($D106,Milestones!$AA$130),"dd mmm yy"))&amp;" "&amp;Milestones!$AB$130&amp;" "&amp;Milestones!$AC$130&amp;";  ","")&amp;IF(AND(EDATE($D106,Milestones!$AA$131)&lt;=AsOfDate,IF($R106=0,$X106,IF(AND($T106&lt;&gt;"",EDATE($D106,Milestones!$AA$131)&gt;=$T106),$W106,IF(AND($S106&lt;&gt;"",EDATE($D106,Milestones!$AA$131)&gt;=$S106),$V106,$U106)))=Milestones!$AB$131),UPPER(TEXT(EDATE($D106,Milestones!$AA$131),"dd mmm yy"))&amp;" "&amp;Milestones!$AB$131&amp;" "&amp;Milestones!$AC$131&amp;";  ","")&amp;IF(AND(EDATE($D106,Milestones!$AA$132)&lt;=AsOfDate,IF($R106=0,$X106,IF(AND($T106&lt;&gt;"",EDATE($D106,Milestones!$AA$132)&gt;=$T106),$W106,IF(AND($S106&lt;&gt;"",EDATE($D106,Milestones!$AA$132)&gt;=$S106),$V106,$U106)))=Milestones!$AB$132),UPPER(TEXT(EDATE($D106,Milestones!$AA$132),"dd mmm yy"))&amp;" "&amp;Milestones!$AB$132&amp;" "&amp;Milestones!$AC$132&amp;";  ","")&amp;IF(AND(EDATE($D106,Milestones!$AA$133)&lt;=AsOfDate,IF($R106=0,$X106,IF(AND($T106&lt;&gt;"",EDATE($D106,Milestones!$AA$133)&gt;=$T106),$W106,IF(AND($S106&lt;&gt;"",EDATE($D106,Milestones!$AA$133)&gt;=$S106),$V106,$U106)))=Milestones!$AB$133),UPPER(TEXT(EDATE($D106,Milestones!$AA$133),"dd mmm yy"))&amp;" "&amp;Milestones!$AB$133&amp;" "&amp;Milestones!$AC$133&amp;";  ","")&amp;IF(AND(EDATE($D106,Milestones!$AA$134)&lt;=AsOfDate,IF($R106=0,$X106,IF(AND($T106&lt;&gt;"",EDATE($D106,Milestones!$AA$134)&gt;=$T106),$W106,IF(AND($S106&lt;&gt;"",EDATE($D106,Milestones!$AA$134)&gt;=$S106),$V106,$U106)))=Milestones!$AB$134),UPPER(TEXT(EDATE($D106,Milestones!$AA$134),"dd mmm yy"))&amp;" "&amp;Milestones!$AB$134&amp;" "&amp;Milestones!$AC$134&amp;";  ","")&amp;IF(AND(EDATE($D106,Milestones!$AA$135)&lt;=AsOfDate,IF($R106=0,$X106,IF(AND($T106&lt;&gt;"",EDATE($D106,Milestones!$AA$135)&gt;=$T106),$W106,IF(AND($S106&lt;&gt;"",EDATE($D106,Milestones!$AA$135)&gt;=$S106),$V106,$U106)))=Milestones!$AB$135),UPPER(TEXT(EDATE($D106,Milestones!$AA$135),"dd mmm yy"))&amp;" "&amp;Milestones!$AB$135&amp;" "&amp;Milestones!$AC$135&amp;";  ","")&amp;IF(AND(EDATE($D106,Milestones!$AA$136)&lt;=AsOfDate,IF($R106=0,$X106,IF(AND($T106&lt;&gt;"",EDATE($D106,Milestones!$AA$136)&gt;=$T106),$W106,IF(AND($S106&lt;&gt;"",EDATE($D106,Milestones!$AA$136)&gt;=$S106),$V106,$U106)))=Milestones!$AB$136),UPPER(TEXT(EDATE($D106,Milestones!$AA$136),"dd mmm yy"))&amp;" "&amp;Milestones!$AB$136&amp;" "&amp;Milestones!$AC$136&amp;";  ","")&amp;IF(AND(EDATE($D106,Milestones!$AA$137)&lt;=AsOfDate,IF($R106=0,$X106,IF(AND($T106&lt;&gt;"",EDATE($D106,Milestones!$AA$137)&gt;=$T106),$W106,IF(AND($S106&lt;&gt;"",EDATE($D106,Milestones!$AA$137)&gt;=$S106),$V106,$U106)))=Milestones!$AB$137),UPPER(TEXT(EDATE($D106,Milestones!$AA$137),"dd mmm yy"))&amp;" "&amp;Milestones!$AB$137&amp;" "&amp;Milestones!$AC$137&amp;";  ","")&amp;IF(AND(EDATE($D106,Milestones!$AA$138)&lt;=AsOfDate,IF($R106=0,$X106,IF(AND($T106&lt;&gt;"",EDATE($D106,Milestones!$AA$138)&gt;=$T106),$W106,IF(AND($S106&lt;&gt;"",EDATE($D106,Milestones!$AA$138)&gt;=$S106),$V106,$U106)))=Milestones!$AB$138),UPPER(TEXT(EDATE($D106,Milestones!$AA$138),"dd mmm yy"))&amp;" "&amp;Milestones!$AB$138&amp;" "&amp;Milestones!$AC$138&amp;";  ","")&amp;IF(AND(EDATE($D106,Milestones!$AA$139)&lt;=AsOfDate,IF($R106=0,$X106,IF(AND($T106&lt;&gt;"",EDATE($D106,Milestones!$AA$139)&gt;=$T106),$W106,IF(AND($S106&lt;&gt;"",EDATE($D106,Milestones!$AA$139)&gt;=$S106),$V106,$U106)))=Milestones!$AB$139),UPPER(TEXT(EDATE($D106,Milestones!$AA$139),"dd mmm yy"))&amp;" "&amp;Milestones!$AB$139&amp;" "&amp;Milestones!$AC$139&amp;";  ",""))</f>
        <v/>
      </c>
      <c r="O106" s="0" t="str">
        <f aca="false">IF(OR($A106="",$D106=""),"",IF(AND(EDATE($D106,Milestones!$AA$140)&lt;=AsOfDate,IF($R106=0,$X106,IF(AND($T106&lt;&gt;"",EDATE($D106,Milestones!$AA$140)&gt;=$T106),$W106,IF(AND($S106&lt;&gt;"",EDATE($D106,Milestones!$AA$140)&gt;=$S106),$V106,$U106)))=Milestones!$AB$140),UPPER(TEXT(EDATE($D106,Milestones!$AA$140),"dd mmm yy"))&amp;" "&amp;Milestones!$AB$140&amp;" "&amp;Milestones!$AC$140&amp;";  ","")&amp;IF(AND(EDATE($D106,Milestones!$AA$141)&lt;=AsOfDate,IF($R106=0,$X106,IF(AND($T106&lt;&gt;"",EDATE($D106,Milestones!$AA$141)&gt;=$T106),$W106,IF(AND($S106&lt;&gt;"",EDATE($D106,Milestones!$AA$141)&gt;=$S106),$V106,$U106)))=Milestones!$AB$141),UPPER(TEXT(EDATE($D106,Milestones!$AA$141),"dd mmm yy"))&amp;" "&amp;Milestones!$AB$141&amp;" "&amp;Milestones!$AC$141&amp;";  ","")&amp;IF(AND(EDATE($D106,Milestones!$AA$142)&lt;=AsOfDate,IF($R106=0,$X106,IF(AND($T106&lt;&gt;"",EDATE($D106,Milestones!$AA$142)&gt;=$T106),$W106,IF(AND($S106&lt;&gt;"",EDATE($D106,Milestones!$AA$142)&gt;=$S106),$V106,$U106)))=Milestones!$AB$142),UPPER(TEXT(EDATE($D106,Milestones!$AA$142),"dd mmm yy"))&amp;" "&amp;Milestones!$AB$142&amp;" "&amp;Milestones!$AC$142&amp;";  ","")&amp;IF(AND(EDATE($D106,Milestones!$AA$143)&lt;=AsOfDate,IF($R106=0,$X106,IF(AND($T106&lt;&gt;"",EDATE($D106,Milestones!$AA$143)&gt;=$T106),$W106,IF(AND($S106&lt;&gt;"",EDATE($D106,Milestones!$AA$143)&gt;=$S106),$V106,$U106)))=Milestones!$AB$143),UPPER(TEXT(EDATE($D106,Milestones!$AA$143),"dd mmm yy"))&amp;" "&amp;Milestones!$AB$143&amp;" "&amp;Milestones!$AC$143&amp;";  ","")&amp;IF(AND(EDATE($D106,Milestones!$AA$144)&lt;=AsOfDate,IF($R106=0,$X106,IF(AND($T106&lt;&gt;"",EDATE($D106,Milestones!$AA$144)&gt;=$T106),$W106,IF(AND($S106&lt;&gt;"",EDATE($D106,Milestones!$AA$144)&gt;=$S106),$V106,$U106)))=Milestones!$AB$144),UPPER(TEXT(EDATE($D106,Milestones!$AA$144),"dd mmm yy"))&amp;" "&amp;Milestones!$AB$144&amp;" "&amp;Milestones!$AC$144&amp;";  ","")&amp;IF(AND(EDATE($D106,Milestones!$AA$145)&lt;=AsOfDate,IF($R106=0,$X106,IF(AND($T106&lt;&gt;"",EDATE($D106,Milestones!$AA$145)&gt;=$T106),$W106,IF(AND($S106&lt;&gt;"",EDATE($D106,Milestones!$AA$145)&gt;=$S106),$V106,$U106)))=Milestones!$AB$145),UPPER(TEXT(EDATE($D106,Milestones!$AA$145),"dd mmm yy"))&amp;" "&amp;Milestones!$AB$145&amp;" "&amp;Milestones!$AC$145&amp;";  ","")&amp;IF(AND(EDATE($D106,Milestones!$AA$146)&lt;=AsOfDate,IF($R106=0,$X106,IF(AND($T106&lt;&gt;"",EDATE($D106,Milestones!$AA$146)&gt;=$T106),$W106,IF(AND($S106&lt;&gt;"",EDATE($D106,Milestones!$AA$146)&gt;=$S106),$V106,$U106)))=Milestones!$AB$146),UPPER(TEXT(EDATE($D106,Milestones!$AA$146),"dd mmm yy"))&amp;" "&amp;Milestones!$AB$146&amp;" "&amp;Milestones!$AC$146&amp;";  ","")&amp;IF(AND(EDATE($D106,Milestones!$AA$147)&lt;=AsOfDate,IF($R106=0,$X106,IF(AND($T106&lt;&gt;"",EDATE($D106,Milestones!$AA$147)&gt;=$T106),$W106,IF(AND($S106&lt;&gt;"",EDATE($D106,Milestones!$AA$147)&gt;=$S106),$V106,$U106)))=Milestones!$AB$147),UPPER(TEXT(EDATE($D106,Milestones!$AA$147),"dd mmm yy"))&amp;" "&amp;Milestones!$AB$147&amp;" "&amp;Milestones!$AC$147&amp;";  ","")&amp;IF(AND(EDATE($D106,Milestones!$AA$148)&lt;=AsOfDate,IF($R106=0,$X106,IF(AND($T106&lt;&gt;"",EDATE($D106,Milestones!$AA$148)&gt;=$T106),$W106,IF(AND($S106&lt;&gt;"",EDATE($D106,Milestones!$AA$148)&gt;=$S106),$V106,$U106)))=Milestones!$AB$148),UPPER(TEXT(EDATE($D106,Milestones!$AA$148),"dd mmm yy"))&amp;" "&amp;Milestones!$AB$148&amp;" "&amp;Milestones!$AC$148&amp;";  ","")&amp;IF(AND(EDATE($D106,Milestones!$AA$149)&lt;=AsOfDate,IF($R106=0,$X106,IF(AND($T106&lt;&gt;"",EDATE($D106,Milestones!$AA$149)&gt;=$T106),$W106,IF(AND($S106&lt;&gt;"",EDATE($D106,Milestones!$AA$149)&gt;=$S106),$V106,$U106)))=Milestones!$AB$149),UPPER(TEXT(EDATE($D106,Milestones!$AA$149),"dd mmm yy"))&amp;" "&amp;Milestones!$AB$149&amp;" "&amp;Milestones!$AC$149&amp;";  ","")&amp;IF(AND(EDATE($D106,Milestones!$AA$150)&lt;=AsOfDate,IF($R106=0,$X106,IF(AND($T106&lt;&gt;"",EDATE($D106,Milestones!$AA$150)&gt;=$T106),$W106,IF(AND($S106&lt;&gt;"",EDATE($D106,Milestones!$AA$150)&gt;=$S106),$V106,$U106)))=Milestones!$AB$150),UPPER(TEXT(EDATE($D106,Milestones!$AA$150),"dd mmm yy"))&amp;" "&amp;Milestones!$AB$150&amp;" "&amp;Milestones!$AC$150&amp;";  ","")&amp;IF(AND(EDATE($D106,Milestones!$AA$151)&lt;=AsOfDate,IF($R106=0,$X106,IF(AND($T106&lt;&gt;"",EDATE($D106,Milestones!$AA$151)&gt;=$T106),$W106,IF(AND($S106&lt;&gt;"",EDATE($D106,Milestones!$AA$151)&gt;=$S106),$V106,$U106)))=Milestones!$AB$151),UPPER(TEXT(EDATE($D106,Milestones!$AA$151),"dd mmm yy"))&amp;" "&amp;Milestones!$AB$151&amp;" "&amp;Milestones!$AC$151&amp;";  ","")&amp;IF(AND(EDATE($D106,Milestones!$AA$152)&lt;=AsOfDate,IF($R106=0,$X106,IF(AND($T106&lt;&gt;"",EDATE($D106,Milestones!$AA$152)&gt;=$T106),$W106,IF(AND($S106&lt;&gt;"",EDATE($D106,Milestones!$AA$152)&gt;=$S106),$V106,$U106)))=Milestones!$AB$152),UPPER(TEXT(EDATE($D106,Milestones!$AA$152),"dd mmm yy"))&amp;" "&amp;Milestones!$AB$152&amp;" "&amp;Milestones!$AC$152&amp;";  ","")&amp;IF(AND(EDATE($D106,Milestones!$AA$153)&lt;=AsOfDate,IF($R106=0,$X106,IF(AND($T106&lt;&gt;"",EDATE($D106,Milestones!$AA$153)&gt;=$T106),$W106,IF(AND($S106&lt;&gt;"",EDATE($D106,Milestones!$AA$153)&gt;=$S106),$V106,$U106)))=Milestones!$AB$153),UPPER(TEXT(EDATE($D106,Milestones!$AA$153),"dd mmm yy"))&amp;" "&amp;Milestones!$AB$153&amp;" "&amp;Milestones!$AC$153&amp;";  ","")&amp;IF(AND(EDATE($D106,Milestones!$AA$154)&lt;=AsOfDate,IF($R106=0,$X106,IF(AND($T106&lt;&gt;"",EDATE($D106,Milestones!$AA$154)&gt;=$T106),$W106,IF(AND($S106&lt;&gt;"",EDATE($D106,Milestones!$AA$154)&gt;=$S106),$V106,$U106)))=Milestones!$AB$154),UPPER(TEXT(EDATE($D106,Milestones!$AA$154),"dd mmm yy"))&amp;" "&amp;Milestones!$AB$154&amp;" "&amp;Milestones!$AC$154&amp;";  ","")&amp;IF(AND(EDATE($D106,Milestones!$AA$155)&lt;=AsOfDate,IF($R106=0,$X106,IF(AND($T106&lt;&gt;"",EDATE($D106,Milestones!$AA$155)&gt;=$T106),$W106,IF(AND($S106&lt;&gt;"",EDATE($D106,Milestones!$AA$155)&gt;=$S106),$V106,$U106)))=Milestones!$AB$155),UPPER(TEXT(EDATE($D106,Milestones!$AA$155),"dd mmm yy"))&amp;" "&amp;Milestones!$AB$155&amp;" "&amp;Milestones!$AC$155&amp;";  ","")&amp;IF(AND(EDATE($D106,Milestones!$AA$156)&lt;=AsOfDate,IF($R106=0,$X106,IF(AND($T106&lt;&gt;"",EDATE($D106,Milestones!$AA$156)&gt;=$T106),$W106,IF(AND($S106&lt;&gt;"",EDATE($D106,Milestones!$AA$156)&gt;=$S106),$V106,$U106)))=Milestones!$AB$156),UPPER(TEXT(EDATE($D106,Milestones!$AA$156),"dd mmm yy"))&amp;" "&amp;Milestones!$AB$156&amp;" "&amp;Milestones!$AC$156&amp;";  ","")&amp;IF(AND(EDATE($D106,Milestones!$AA$157)&lt;=AsOfDate,IF($R106=0,$X106,IF(AND($T106&lt;&gt;"",EDATE($D106,Milestones!$AA$157)&gt;=$T106),$W106,IF(AND($S106&lt;&gt;"",EDATE($D106,Milestones!$AA$157)&gt;=$S106),$V106,$U106)))=Milestones!$AB$157),UPPER(TEXT(EDATE($D106,Milestones!$AA$157),"dd mmm yy"))&amp;" "&amp;Milestones!$AB$157&amp;" "&amp;Milestones!$AC$157&amp;";  ","")&amp;IF(AND(EDATE($D106,Milestones!$AA$158)&lt;=AsOfDate,IF($R106=0,$X106,IF(AND($T106&lt;&gt;"",EDATE($D106,Milestones!$AA$158)&gt;=$T106),$W106,IF(AND($S106&lt;&gt;"",EDATE($D106,Milestones!$AA$158)&gt;=$S106),$V106,$U106)))=Milestones!$AB$158),UPPER(TEXT(EDATE($D106,Milestones!$AA$158),"dd mmm yy"))&amp;" "&amp;Milestones!$AB$158&amp;" "&amp;Milestones!$AC$158&amp;";  ","")&amp;IF(AND(EDATE($D106,Milestones!$AA$159)&lt;=AsOfDate,IF($R106=0,$X106,IF(AND($T106&lt;&gt;"",EDATE($D106,Milestones!$AA$159)&gt;=$T106),$W106,IF(AND($S106&lt;&gt;"",EDATE($D106,Milestones!$AA$159)&gt;=$S106),$V106,$U106)))=Milestones!$AB$159),UPPER(TEXT(EDATE($D106,Milestones!$AA$159),"dd mmm yy"))&amp;" "&amp;Milestones!$AB$159&amp;" "&amp;Milestones!$AC$159&amp;";  ",""))</f>
        <v/>
      </c>
      <c r="P106" s="0" t="str">
        <f aca="false">IF(OR($A106="",$D106=""),"",IF(AND(EDATE($D106,Milestones!$AA$160)&lt;=AsOfDate,IF($R106=0,$X106,IF(AND($T106&lt;&gt;"",EDATE($D106,Milestones!$AA$160)&gt;=$T106),$W106,IF(AND($S106&lt;&gt;"",EDATE($D106,Milestones!$AA$160)&gt;=$S106),$V106,$U106)))=Milestones!$AB$160),UPPER(TEXT(EDATE($D106,Milestones!$AA$160),"dd mmm yy"))&amp;" "&amp;Milestones!$AB$160&amp;" "&amp;Milestones!$AC$160&amp;";  ","")&amp;IF(AND(EDATE($D106,Milestones!$AA$161)&lt;=AsOfDate,IF($R106=0,$X106,IF(AND($T106&lt;&gt;"",EDATE($D106,Milestones!$AA$161)&gt;=$T106),$W106,IF(AND($S106&lt;&gt;"",EDATE($D106,Milestones!$AA$161)&gt;=$S106),$V106,$U106)))=Milestones!$AB$161),UPPER(TEXT(EDATE($D106,Milestones!$AA$161),"dd mmm yy"))&amp;" "&amp;Milestones!$AB$161&amp;" "&amp;Milestones!$AC$161&amp;";  ","")&amp;IF(AND(EDATE($D106,Milestones!$AA$162)&lt;=AsOfDate,IF($R106=0,$X106,IF(AND($T106&lt;&gt;"",EDATE($D106,Milestones!$AA$162)&gt;=$T106),$W106,IF(AND($S106&lt;&gt;"",EDATE($D106,Milestones!$AA$162)&gt;=$S106),$V106,$U106)))=Milestones!$AB$162),UPPER(TEXT(EDATE($D106,Milestones!$AA$162),"dd mmm yy"))&amp;" "&amp;Milestones!$AB$162&amp;" "&amp;Milestones!$AC$162&amp;";  ","")&amp;IF(AND(EDATE($D106,Milestones!$AA$163)&lt;=AsOfDate,IF($R106=0,$X106,IF(AND($T106&lt;&gt;"",EDATE($D106,Milestones!$AA$163)&gt;=$T106),$W106,IF(AND($S106&lt;&gt;"",EDATE($D106,Milestones!$AA$163)&gt;=$S106),$V106,$U106)))=Milestones!$AB$163),UPPER(TEXT(EDATE($D106,Milestones!$AA$163),"dd mmm yy"))&amp;" "&amp;Milestones!$AB$163&amp;" "&amp;Milestones!$AC$163&amp;";  ","")&amp;IF(AND(EDATE($D106,Milestones!$AA$164)&lt;=AsOfDate,IF($R106=0,$X106,IF(AND($T106&lt;&gt;"",EDATE($D106,Milestones!$AA$164)&gt;=$T106),$W106,IF(AND($S106&lt;&gt;"",EDATE($D106,Milestones!$AA$164)&gt;=$S106),$V106,$U106)))=Milestones!$AB$164),UPPER(TEXT(EDATE($D106,Milestones!$AA$164),"dd mmm yy"))&amp;" "&amp;Milestones!$AB$164&amp;" "&amp;Milestones!$AC$164&amp;";  ","")&amp;IF(AND(EDATE($D106,Milestones!$AA$165)&lt;=AsOfDate,IF($R106=0,$X106,IF(AND($T106&lt;&gt;"",EDATE($D106,Milestones!$AA$165)&gt;=$T106),$W106,IF(AND($S106&lt;&gt;"",EDATE($D106,Milestones!$AA$165)&gt;=$S106),$V106,$U106)))=Milestones!$AB$165),UPPER(TEXT(EDATE($D106,Milestones!$AA$165),"dd mmm yy"))&amp;" "&amp;Milestones!$AB$165&amp;" "&amp;Milestones!$AC$165&amp;";  ","")&amp;IF(AND(EDATE($D106,Milestones!$AA$166)&lt;=AsOfDate,IF($R106=0,$X106,IF(AND($T106&lt;&gt;"",EDATE($D106,Milestones!$AA$166)&gt;=$T106),$W106,IF(AND($S106&lt;&gt;"",EDATE($D106,Milestones!$AA$166)&gt;=$S106),$V106,$U106)))=Milestones!$AB$166),UPPER(TEXT(EDATE($D106,Milestones!$AA$166),"dd mmm yy"))&amp;" "&amp;Milestones!$AB$166&amp;" "&amp;Milestones!$AC$166&amp;";  ","")&amp;IF(AND(EDATE($D106,Milestones!$AA$167)&lt;=AsOfDate,IF($R106=0,$X106,IF(AND($T106&lt;&gt;"",EDATE($D106,Milestones!$AA$167)&gt;=$T106),$W106,IF(AND($S106&lt;&gt;"",EDATE($D106,Milestones!$AA$167)&gt;=$S106),$V106,$U106)))=Milestones!$AB$167),UPPER(TEXT(EDATE($D106,Milestones!$AA$167),"dd mmm yy"))&amp;" "&amp;Milestones!$AB$167&amp;" "&amp;Milestones!$AC$167&amp;";  ","")&amp;IF(AND(EDATE($D106,Milestones!$AA$168)&lt;=AsOfDate,IF($R106=0,$X106,IF(AND($T106&lt;&gt;"",EDATE($D106,Milestones!$AA$168)&gt;=$T106),$W106,IF(AND($S106&lt;&gt;"",EDATE($D106,Milestones!$AA$168)&gt;=$S106),$V106,$U106)))=Milestones!$AB$168),UPPER(TEXT(EDATE($D106,Milestones!$AA$168),"dd mmm yy"))&amp;" "&amp;Milestones!$AB$168&amp;" "&amp;Milestones!$AC$168&amp;";  ","")&amp;IF(AND(EDATE($D106,Milestones!$AA$169)&lt;=AsOfDate,IF($R106=0,$X106,IF(AND($T106&lt;&gt;"",EDATE($D106,Milestones!$AA$169)&gt;=$T106),$W106,IF(AND($S106&lt;&gt;"",EDATE($D106,Milestones!$AA$169)&gt;=$S106),$V106,$U106)))=Milestones!$AB$169),UPPER(TEXT(EDATE($D106,Milestones!$AA$169),"dd mmm yy"))&amp;" "&amp;Milestones!$AB$169&amp;" "&amp;Milestones!$AC$169&amp;";  ","")&amp;IF(AND(EDATE($D106,Milestones!$AA$170)&lt;=AsOfDate,IF($R106=0,$X106,IF(AND($T106&lt;&gt;"",EDATE($D106,Milestones!$AA$170)&gt;=$T106),$W106,IF(AND($S106&lt;&gt;"",EDATE($D106,Milestones!$AA$170)&gt;=$S106),$V106,$U106)))=Milestones!$AB$170),UPPER(TEXT(EDATE($D106,Milestones!$AA$170),"dd mmm yy"))&amp;" "&amp;Milestones!$AB$170&amp;" "&amp;Milestones!$AC$170&amp;";  ","")&amp;IF(AND(EDATE($D106,Milestones!$AA$171)&lt;=AsOfDate,IF($R106=0,$X106,IF(AND($T106&lt;&gt;"",EDATE($D106,Milestones!$AA$171)&gt;=$T106),$W106,IF(AND($S106&lt;&gt;"",EDATE($D106,Milestones!$AA$171)&gt;=$S106),$V106,$U106)))=Milestones!$AB$171),UPPER(TEXT(EDATE($D106,Milestones!$AA$171),"dd mmm yy"))&amp;" "&amp;Milestones!$AB$171&amp;" "&amp;Milestones!$AC$171&amp;";  ","")&amp;IF(AND(EDATE($D106,Milestones!$AA$172)&lt;=AsOfDate,IF($R106=0,$X106,IF(AND($T106&lt;&gt;"",EDATE($D106,Milestones!$AA$172)&gt;=$T106),$W106,IF(AND($S106&lt;&gt;"",EDATE($D106,Milestones!$AA$172)&gt;=$S106),$V106,$U106)))=Milestones!$AB$172),UPPER(TEXT(EDATE($D106,Milestones!$AA$172),"dd mmm yy"))&amp;" "&amp;Milestones!$AB$172&amp;" "&amp;Milestones!$AC$172&amp;";  ","")&amp;IF(AND(EDATE($D106,Milestones!$AA$173)&lt;=AsOfDate,IF($R106=0,$X106,IF(AND($T106&lt;&gt;"",EDATE($D106,Milestones!$AA$173)&gt;=$T106),$W106,IF(AND($S106&lt;&gt;"",EDATE($D106,Milestones!$AA$173)&gt;=$S106),$V106,$U106)))=Milestones!$AB$173),UPPER(TEXT(EDATE($D106,Milestones!$AA$173),"dd mmm yy"))&amp;" "&amp;Milestones!$AB$173&amp;" "&amp;Milestones!$AC$173&amp;";  ","")&amp;IF(AND(EDATE($D106,Milestones!$AA$174)&lt;=AsOfDate,IF($R106=0,$X106,IF(AND($T106&lt;&gt;"",EDATE($D106,Milestones!$AA$174)&gt;=$T106),$W106,IF(AND($S106&lt;&gt;"",EDATE($D106,Milestones!$AA$174)&gt;=$S106),$V106,$U106)))=Milestones!$AB$174),UPPER(TEXT(EDATE($D106,Milestones!$AA$174),"dd mmm yy"))&amp;" "&amp;Milestones!$AB$174&amp;" "&amp;Milestones!$AC$174&amp;";  ","")&amp;IF(AND(EDATE($D106,Milestones!$AA$175)&lt;=AsOfDate,IF($R106=0,$X106,IF(AND($T106&lt;&gt;"",EDATE($D106,Milestones!$AA$175)&gt;=$T106),$W106,IF(AND($S106&lt;&gt;"",EDATE($D106,Milestones!$AA$175)&gt;=$S106),$V106,$U106)))=Milestones!$AB$175),UPPER(TEXT(EDATE($D106,Milestones!$AA$175),"dd mmm yy"))&amp;" "&amp;Milestones!$AB$175&amp;" "&amp;Milestones!$AC$175&amp;";  ","")&amp;IF(AND(EDATE($D106,Milestones!$AA$176)&lt;=AsOfDate,IF($R106=0,$X106,IF(AND($T106&lt;&gt;"",EDATE($D106,Milestones!$AA$176)&gt;=$T106),$W106,IF(AND($S106&lt;&gt;"",EDATE($D106,Milestones!$AA$176)&gt;=$S106),$V106,$U106)))=Milestones!$AB$176),UPPER(TEXT(EDATE($D106,Milestones!$AA$176),"dd mmm yy"))&amp;" "&amp;Milestones!$AB$176&amp;" "&amp;Milestones!$AC$176&amp;";  ","")&amp;IF(AND(EDATE($D106,Milestones!$AA$177)&lt;=AsOfDate,IF($R106=0,$X106,IF(AND($T106&lt;&gt;"",EDATE($D106,Milestones!$AA$177)&gt;=$T106),$W106,IF(AND($S106&lt;&gt;"",EDATE($D106,Milestones!$AA$177)&gt;=$S106),$V106,$U106)))=Milestones!$AB$177),UPPER(TEXT(EDATE($D106,Milestones!$AA$177),"dd mmm yy"))&amp;" "&amp;Milestones!$AB$177&amp;" "&amp;Milestones!$AC$177&amp;";  ","")&amp;IF(AND(EDATE($D106,Milestones!$AA$178)&lt;=AsOfDate,IF($R106=0,$X106,IF(AND($T106&lt;&gt;"",EDATE($D106,Milestones!$AA$178)&gt;=$T106),$W106,IF(AND($S106&lt;&gt;"",EDATE($D106,Milestones!$AA$178)&gt;=$S106),$V106,$U106)))=Milestones!$AB$178),UPPER(TEXT(EDATE($D106,Milestones!$AA$178),"dd mmm yy"))&amp;" "&amp;Milestones!$AB$178&amp;" "&amp;Milestones!$AC$178&amp;";  ","")&amp;IF(AND(EDATE($D106,Milestones!$AA$179)&lt;=AsOfDate,IF($R106=0,$X106,IF(AND($T106&lt;&gt;"",EDATE($D106,Milestones!$AA$179)&gt;=$T106),$W106,IF(AND($S106&lt;&gt;"",EDATE($D106,Milestones!$AA$179)&gt;=$S106),$V106,$U106)))=Milestones!$AB$179),UPPER(TEXT(EDATE($D106,Milestones!$AA$179),"dd mmm yy"))&amp;" "&amp;Milestones!$AB$179&amp;" "&amp;Milestones!$AC$179&amp;";  ",""))</f>
        <v/>
      </c>
      <c r="Q106" s="0" t="str">
        <f aca="false">IF(OR($A106="",$D106=""),"",IF(AND(EDATE($D106,Milestones!$AA$180)&lt;=AsOfDate,IF($R106=0,$X106,IF(AND($T106&lt;&gt;"",EDATE($D106,Milestones!$AA$180)&gt;=$T106),$W106,IF(AND($S106&lt;&gt;"",EDATE($D106,Milestones!$AA$180)&gt;=$S106),$V106,$U106)))=Milestones!$AB$180),UPPER(TEXT(EDATE($D106,Milestones!$AA$180),"dd mmm yy"))&amp;" "&amp;Milestones!$AB$180&amp;" "&amp;Milestones!$AC$180&amp;";  ","")&amp;IF(AND(EDATE($D106,Milestones!$AA$181)&lt;=AsOfDate,IF($R106=0,$X106,IF(AND($T106&lt;&gt;"",EDATE($D106,Milestones!$AA$181)&gt;=$T106),$W106,IF(AND($S106&lt;&gt;"",EDATE($D106,Milestones!$AA$181)&gt;=$S106),$V106,$U106)))=Milestones!$AB$181),UPPER(TEXT(EDATE($D106,Milestones!$AA$181),"dd mmm yy"))&amp;" "&amp;Milestones!$AB$181&amp;" "&amp;Milestones!$AC$181&amp;";  ","")&amp;IF(AND(EDATE($D106,Milestones!$AA$182)&lt;=AsOfDate,IF($R106=0,$X106,IF(AND($T106&lt;&gt;"",EDATE($D106,Milestones!$AA$182)&gt;=$T106),$W106,IF(AND($S106&lt;&gt;"",EDATE($D106,Milestones!$AA$182)&gt;=$S106),$V106,$U106)))=Milestones!$AB$182),UPPER(TEXT(EDATE($D106,Milestones!$AA$182),"dd mmm yy"))&amp;" "&amp;Milestones!$AB$182&amp;" "&amp;Milestones!$AC$182&amp;";  ","")&amp;IF(AND(EDATE($D106,Milestones!$AA$183)&lt;=AsOfDate,IF($R106=0,$X106,IF(AND($T106&lt;&gt;"",EDATE($D106,Milestones!$AA$183)&gt;=$T106),$W106,IF(AND($S106&lt;&gt;"",EDATE($D106,Milestones!$AA$183)&gt;=$S106),$V106,$U106)))=Milestones!$AB$183),UPPER(TEXT(EDATE($D106,Milestones!$AA$183),"dd mmm yy"))&amp;" "&amp;Milestones!$AB$183&amp;" "&amp;Milestones!$AC$183&amp;";  ","")&amp;IF(AND(EDATE($D106,Milestones!$AA$184)&lt;=AsOfDate,IF($R106=0,$X106,IF(AND($T106&lt;&gt;"",EDATE($D106,Milestones!$AA$184)&gt;=$T106),$W106,IF(AND($S106&lt;&gt;"",EDATE($D106,Milestones!$AA$184)&gt;=$S106),$V106,$U106)))=Milestones!$AB$184),UPPER(TEXT(EDATE($D106,Milestones!$AA$184),"dd mmm yy"))&amp;" "&amp;Milestones!$AB$184&amp;" "&amp;Milestones!$AC$184&amp;";  ","")&amp;IF(AND(EDATE($D106,Milestones!$AA$185)&lt;=AsOfDate,IF($R106=0,$X106,IF(AND($T106&lt;&gt;"",EDATE($D106,Milestones!$AA$185)&gt;=$T106),$W106,IF(AND($S106&lt;&gt;"",EDATE($D106,Milestones!$AA$185)&gt;=$S106),$V106,$U106)))=Milestones!$AB$185),UPPER(TEXT(EDATE($D106,Milestones!$AA$185),"dd mmm yy"))&amp;" "&amp;Milestones!$AB$185&amp;" "&amp;Milestones!$AC$185&amp;";  ","")&amp;IF(AND(EDATE($D106,Milestones!$AA$186)&lt;=AsOfDate,IF($R106=0,$X106,IF(AND($T106&lt;&gt;"",EDATE($D106,Milestones!$AA$186)&gt;=$T106),$W106,IF(AND($S106&lt;&gt;"",EDATE($D106,Milestones!$AA$186)&gt;=$S106),$V106,$U106)))=Milestones!$AB$186),UPPER(TEXT(EDATE($D106,Milestones!$AA$186),"dd mmm yy"))&amp;" "&amp;Milestones!$AB$186&amp;" "&amp;Milestones!$AC$186&amp;";  ","")&amp;IF(AND(EDATE($D106,Milestones!$AA$187)&lt;=AsOfDate,IF($R106=0,$X106,IF(AND($T106&lt;&gt;"",EDATE($D106,Milestones!$AA$187)&gt;=$T106),$W106,IF(AND($S106&lt;&gt;"",EDATE($D106,Milestones!$AA$187)&gt;=$S106),$V106,$U106)))=Milestones!$AB$187),UPPER(TEXT(EDATE($D106,Milestones!$AA$187),"dd mmm yy"))&amp;" "&amp;Milestones!$AB$187&amp;" "&amp;Milestones!$AC$187&amp;";  ","")&amp;IF(AND(EDATE($D106,Milestones!$AA$188)&lt;=AsOfDate,IF($R106=0,$X106,IF(AND($T106&lt;&gt;"",EDATE($D106,Milestones!$AA$188)&gt;=$T106),$W106,IF(AND($S106&lt;&gt;"",EDATE($D106,Milestones!$AA$188)&gt;=$S106),$V106,$U106)))=Milestones!$AB$188),UPPER(TEXT(EDATE($D106,Milestones!$AA$188),"dd mmm yy"))&amp;" "&amp;Milestones!$AB$188&amp;" "&amp;Milestones!$AC$188&amp;";  ","")&amp;IF(AND(EDATE($D106,Milestones!$AA$189)&lt;=AsOfDate,IF($R106=0,$X106,IF(AND($T106&lt;&gt;"",EDATE($D106,Milestones!$AA$189)&gt;=$T106),$W106,IF(AND($S106&lt;&gt;"",EDATE($D106,Milestones!$AA$189)&gt;=$S106),$V106,$U106)))=Milestones!$AB$189),UPPER(TEXT(EDATE($D106,Milestones!$AA$189),"dd mmm yy"))&amp;" "&amp;Milestones!$AB$189&amp;" "&amp;Milestones!$AC$189&amp;";  ","")&amp;IF(AND(EDATE($D106,Milestones!$AA$190)&lt;=AsOfDate,IF($R106=0,$X106,IF(AND($T106&lt;&gt;"",EDATE($D106,Milestones!$AA$190)&gt;=$T106),$W106,IF(AND($S106&lt;&gt;"",EDATE($D106,Milestones!$AA$190)&gt;=$S106),$V106,$U106)))=Milestones!$AB$190),UPPER(TEXT(EDATE($D106,Milestones!$AA$190),"dd mmm yy"))&amp;" "&amp;Milestones!$AB$190&amp;" "&amp;Milestones!$AC$190&amp;";  ","")&amp;IF(AND(EDATE($D106,Milestones!$AA$191)&lt;=AsOfDate,IF($R106=0,$X106,IF(AND($T106&lt;&gt;"",EDATE($D106,Milestones!$AA$191)&gt;=$T106),$W106,IF(AND($S106&lt;&gt;"",EDATE($D106,Milestones!$AA$191)&gt;=$S106),$V106,$U106)))=Milestones!$AB$191),UPPER(TEXT(EDATE($D106,Milestones!$AA$191),"dd mmm yy"))&amp;" "&amp;Milestones!$AB$191&amp;" "&amp;Milestones!$AC$191&amp;";  ","")&amp;IF(AND(EDATE($D106,Milestones!$AA$192)&lt;=AsOfDate,IF($R106=0,$X106,IF(AND($T106&lt;&gt;"",EDATE($D106,Milestones!$AA$192)&gt;=$T106),$W106,IF(AND($S106&lt;&gt;"",EDATE($D106,Milestones!$AA$192)&gt;=$S106),$V106,$U106)))=Milestones!$AB$192),UPPER(TEXT(EDATE($D106,Milestones!$AA$192),"dd mmm yy"))&amp;" "&amp;Milestones!$AB$192&amp;" "&amp;Milestones!$AC$192&amp;";  ","")&amp;IF(AND(EDATE($D106,Milestones!$AA$193)&lt;=AsOfDate,IF($R106=0,$X106,IF(AND($T106&lt;&gt;"",EDATE($D106,Milestones!$AA$193)&gt;=$T106),$W106,IF(AND($S106&lt;&gt;"",EDATE($D106,Milestones!$AA$193)&gt;=$S106),$V106,$U106)))=Milestones!$AB$193),UPPER(TEXT(EDATE($D106,Milestones!$AA$193),"dd mmm yy"))&amp;" "&amp;Milestones!$AB$193&amp;" "&amp;Milestones!$AC$193&amp;";  ","")&amp;IF(AND(EDATE($D106,Milestones!$AA$194)&lt;=AsOfDate,IF($R106=0,$X106,IF(AND($T106&lt;&gt;"",EDATE($D106,Milestones!$AA$194)&gt;=$T106),$W106,IF(AND($S106&lt;&gt;"",EDATE($D106,Milestones!$AA$194)&gt;=$S106),$V106,$U106)))=Milestones!$AB$194),UPPER(TEXT(EDATE($D106,Milestones!$AA$194),"dd mmm yy"))&amp;" "&amp;Milestones!$AB$194&amp;" "&amp;Milestones!$AC$194&amp;";  ","")&amp;IF(AND(EDATE($D106,Milestones!$AA$195)&lt;=AsOfDate,IF($R106=0,$X106,IF(AND($T106&lt;&gt;"",EDATE($D106,Milestones!$AA$195)&gt;=$T106),$W106,IF(AND($S106&lt;&gt;"",EDATE($D106,Milestones!$AA$195)&gt;=$S106),$V106,$U106)))=Milestones!$AB$195),UPPER(TEXT(EDATE($D106,Milestones!$AA$195),"dd mmm yy"))&amp;" "&amp;Milestones!$AB$195&amp;" "&amp;Milestones!$AC$195&amp;";  ","")&amp;IF(AND(EDATE($D106,Milestones!$AA$196)&lt;=AsOfDate,IF($R106=0,$X106,IF(AND($T106&lt;&gt;"",EDATE($D106,Milestones!$AA$196)&gt;=$T106),$W106,IF(AND($S106&lt;&gt;"",EDATE($D106,Milestones!$AA$196)&gt;=$S106),$V106,$U106)))=Milestones!$AB$196),UPPER(TEXT(EDATE($D106,Milestones!$AA$196),"dd mmm yy"))&amp;" "&amp;Milestones!$AB$196&amp;" "&amp;Milestones!$AC$196&amp;";  ","")&amp;IF(AND(EDATE($D106,Milestones!$AA$197)&lt;=AsOfDate,IF($R106=0,$X106,IF(AND($T106&lt;&gt;"",EDATE($D106,Milestones!$AA$197)&gt;=$T106),$W106,IF(AND($S106&lt;&gt;"",EDATE($D106,Milestones!$AA$197)&gt;=$S106),$V106,$U106)))=Milestones!$AB$197),UPPER(TEXT(EDATE($D106,Milestones!$AA$197),"dd mmm yy"))&amp;" "&amp;Milestones!$AB$197&amp;" "&amp;Milestones!$AC$197&amp;";  ","")&amp;IF(AND(EDATE($D106,Milestones!$AA$198)&lt;=AsOfDate,IF($R106=0,$X106,IF(AND($T106&lt;&gt;"",EDATE($D106,Milestones!$AA$198)&gt;=$T106),$W106,IF(AND($S106&lt;&gt;"",EDATE($D106,Milestones!$AA$198)&gt;=$S106),$V106,$U106)))=Milestones!$AB$198),UPPER(TEXT(EDATE($D106,Milestones!$AA$198),"dd mmm yy"))&amp;" "&amp;Milestones!$AB$198&amp;" "&amp;Milestones!$AC$198&amp;";  ","")&amp;IF(AND(EDATE($D106,Milestones!$AA$199)&lt;=AsOfDate,IF($R106=0,$X106,IF(AND($T106&lt;&gt;"",EDATE($D106,Milestones!$AA$199)&gt;=$T106),$W106,IF(AND($S106&lt;&gt;"",EDATE($D106,Milestones!$AA$199)&gt;=$S106),$V106,$U106)))=Milestones!$AB$199),UPPER(TEXT(EDATE($D106,Milestones!$AA$199),"dd mmm yy"))&amp;" "&amp;Milestones!$AB$199&amp;" "&amp;Milestones!$AC$199&amp;";  ",""))</f>
        <v/>
      </c>
      <c r="R106" s="0" t="str">
        <f aca="false">IF(Staff!$A106="","",Staff!$AI106)</f>
        <v/>
      </c>
      <c r="S106" s="0" t="str">
        <f aca="false">IF(Staff!$A106="","",Staff!$AK106)</f>
        <v/>
      </c>
      <c r="T106" s="0" t="str">
        <f aca="false">IF(Staff!$A106="","",Staff!$AL106)</f>
        <v/>
      </c>
      <c r="U106" s="0" t="str">
        <f aca="false">IF(Staff!$A106="","",Staff!$AP106)</f>
        <v/>
      </c>
      <c r="V106" s="0" t="str">
        <f aca="false">IF(Staff!$A106="","",Staff!$AQ106)</f>
        <v/>
      </c>
      <c r="W106" s="0" t="str">
        <f aca="false">IF(Staff!$A106="","",Staff!$AR106)</f>
        <v/>
      </c>
      <c r="X106" s="0" t="str">
        <f aca="false">IF(Staff!$A106="","",Staff!$AS106)</f>
        <v/>
      </c>
    </row>
    <row r="107" customFormat="false" ht="15" hidden="false" customHeight="false" outlineLevel="0" collapsed="false">
      <c r="A107" s="14" t="str">
        <f aca="false">IF(Staff!$A107="","",Staff!$A107)</f>
        <v/>
      </c>
      <c r="B107" s="14" t="str">
        <f aca="false">IF(Staff!$A107="","",Staff!$B107)</f>
        <v/>
      </c>
      <c r="C107" s="14" t="str">
        <f aca="false">IF(Staff!$A107="","",Staff!$C107)</f>
        <v/>
      </c>
      <c r="D107" s="12" t="str">
        <f aca="false">IF(Staff!$A107="","",Staff!$AH107)</f>
        <v/>
      </c>
      <c r="E107" s="14" t="str">
        <f aca="false">IF(Staff!$A107="","",Staff!$O107)</f>
        <v/>
      </c>
      <c r="F107" s="14" t="str">
        <f aca="false">IF(E107="","",E107*HoursPerDay)</f>
        <v/>
      </c>
      <c r="G107" s="14" t="str">
        <f aca="false">IF(Staff!$A107="","",Staff!$AE107)</f>
        <v/>
      </c>
      <c r="H107" s="26" t="str">
        <f aca="false">IF($A107="","",I107&amp;J107&amp;K107&amp;L107&amp;M107&amp;N107&amp;O107&amp;P107&amp;Q107)</f>
        <v/>
      </c>
      <c r="I107" s="0" t="str">
        <f aca="false">IF(OR($A107="",$D107=""),"",IF(AND(EDATE($D107,Milestones!$AA$20)&lt;=AsOfDate,IF($R107=0,$X107,IF(AND($T107&lt;&gt;"",EDATE($D107,Milestones!$AA$20)&gt;=$T107),$W107,IF(AND($S107&lt;&gt;"",EDATE($D107,Milestones!$AA$20)&gt;=$S107),$V107,$U107)))=Milestones!$AB$20),UPPER(TEXT(EDATE($D107,Milestones!$AA$20),"dd mmm yy"))&amp;" "&amp;Milestones!$AB$20&amp;" "&amp;Milestones!$AC$20&amp;";  ","")&amp;IF(AND(EDATE($D107,Milestones!$AA$21)&lt;=AsOfDate,IF($R107=0,$X107,IF(AND($T107&lt;&gt;"",EDATE($D107,Milestones!$AA$21)&gt;=$T107),$W107,IF(AND($S107&lt;&gt;"",EDATE($D107,Milestones!$AA$21)&gt;=$S107),$V107,$U107)))=Milestones!$AB$21),UPPER(TEXT(EDATE($D107,Milestones!$AA$21),"dd mmm yy"))&amp;" "&amp;Milestones!$AB$21&amp;" "&amp;Milestones!$AC$21&amp;";  ","")&amp;IF(AND(EDATE($D107,Milestones!$AA$22)&lt;=AsOfDate,IF($R107=0,$X107,IF(AND($T107&lt;&gt;"",EDATE($D107,Milestones!$AA$22)&gt;=$T107),$W107,IF(AND($S107&lt;&gt;"",EDATE($D107,Milestones!$AA$22)&gt;=$S107),$V107,$U107)))=Milestones!$AB$22),UPPER(TEXT(EDATE($D107,Milestones!$AA$22),"dd mmm yy"))&amp;" "&amp;Milestones!$AB$22&amp;" "&amp;Milestones!$AC$22&amp;";  ","")&amp;IF(AND(EDATE($D107,Milestones!$AA$23)&lt;=AsOfDate,IF($R107=0,$X107,IF(AND($T107&lt;&gt;"",EDATE($D107,Milestones!$AA$23)&gt;=$T107),$W107,IF(AND($S107&lt;&gt;"",EDATE($D107,Milestones!$AA$23)&gt;=$S107),$V107,$U107)))=Milestones!$AB$23),UPPER(TEXT(EDATE($D107,Milestones!$AA$23),"dd mmm yy"))&amp;" "&amp;Milestones!$AB$23&amp;" "&amp;Milestones!$AC$23&amp;";  ","")&amp;IF(AND(EDATE($D107,Milestones!$AA$24)&lt;=AsOfDate,IF($R107=0,$X107,IF(AND($T107&lt;&gt;"",EDATE($D107,Milestones!$AA$24)&gt;=$T107),$W107,IF(AND($S107&lt;&gt;"",EDATE($D107,Milestones!$AA$24)&gt;=$S107),$V107,$U107)))=Milestones!$AB$24),UPPER(TEXT(EDATE($D107,Milestones!$AA$24),"dd mmm yy"))&amp;" "&amp;Milestones!$AB$24&amp;" "&amp;Milestones!$AC$24&amp;";  ","")&amp;IF(AND(EDATE($D107,Milestones!$AA$25)&lt;=AsOfDate,IF($R107=0,$X107,IF(AND($T107&lt;&gt;"",EDATE($D107,Milestones!$AA$25)&gt;=$T107),$W107,IF(AND($S107&lt;&gt;"",EDATE($D107,Milestones!$AA$25)&gt;=$S107),$V107,$U107)))=Milestones!$AB$25),UPPER(TEXT(EDATE($D107,Milestones!$AA$25),"dd mmm yy"))&amp;" "&amp;Milestones!$AB$25&amp;" "&amp;Milestones!$AC$25&amp;";  ","")&amp;IF(AND(EDATE($D107,Milestones!$AA$26)&lt;=AsOfDate,IF($R107=0,$X107,IF(AND($T107&lt;&gt;"",EDATE($D107,Milestones!$AA$26)&gt;=$T107),$W107,IF(AND($S107&lt;&gt;"",EDATE($D107,Milestones!$AA$26)&gt;=$S107),$V107,$U107)))=Milestones!$AB$26),UPPER(TEXT(EDATE($D107,Milestones!$AA$26),"dd mmm yy"))&amp;" "&amp;Milestones!$AB$26&amp;" "&amp;Milestones!$AC$26&amp;";  ","")&amp;IF(AND(EDATE($D107,Milestones!$AA$27)&lt;=AsOfDate,IF($R107=0,$X107,IF(AND($T107&lt;&gt;"",EDATE($D107,Milestones!$AA$27)&gt;=$T107),$W107,IF(AND($S107&lt;&gt;"",EDATE($D107,Milestones!$AA$27)&gt;=$S107),$V107,$U107)))=Milestones!$AB$27),UPPER(TEXT(EDATE($D107,Milestones!$AA$27),"dd mmm yy"))&amp;" "&amp;Milestones!$AB$27&amp;" "&amp;Milestones!$AC$27&amp;";  ","")&amp;IF(AND(EDATE($D107,Milestones!$AA$28)&lt;=AsOfDate,IF($R107=0,$X107,IF(AND($T107&lt;&gt;"",EDATE($D107,Milestones!$AA$28)&gt;=$T107),$W107,IF(AND($S107&lt;&gt;"",EDATE($D107,Milestones!$AA$28)&gt;=$S107),$V107,$U107)))=Milestones!$AB$28),UPPER(TEXT(EDATE($D107,Milestones!$AA$28),"dd mmm yy"))&amp;" "&amp;Milestones!$AB$28&amp;" "&amp;Milestones!$AC$28&amp;";  ","")&amp;IF(AND(EDATE($D107,Milestones!$AA$29)&lt;=AsOfDate,IF($R107=0,$X107,IF(AND($T107&lt;&gt;"",EDATE($D107,Milestones!$AA$29)&gt;=$T107),$W107,IF(AND($S107&lt;&gt;"",EDATE($D107,Milestones!$AA$29)&gt;=$S107),$V107,$U107)))=Milestones!$AB$29),UPPER(TEXT(EDATE($D107,Milestones!$AA$29),"dd mmm yy"))&amp;" "&amp;Milestones!$AB$29&amp;" "&amp;Milestones!$AC$29&amp;";  ","")&amp;IF(AND(EDATE($D107,Milestones!$AA$30)&lt;=AsOfDate,IF($R107=0,$X107,IF(AND($T107&lt;&gt;"",EDATE($D107,Milestones!$AA$30)&gt;=$T107),$W107,IF(AND($S107&lt;&gt;"",EDATE($D107,Milestones!$AA$30)&gt;=$S107),$V107,$U107)))=Milestones!$AB$30),UPPER(TEXT(EDATE($D107,Milestones!$AA$30),"dd mmm yy"))&amp;" "&amp;Milestones!$AB$30&amp;" "&amp;Milestones!$AC$30&amp;";  ","")&amp;IF(AND(EDATE($D107,Milestones!$AA$31)&lt;=AsOfDate,IF($R107=0,$X107,IF(AND($T107&lt;&gt;"",EDATE($D107,Milestones!$AA$31)&gt;=$T107),$W107,IF(AND($S107&lt;&gt;"",EDATE($D107,Milestones!$AA$31)&gt;=$S107),$V107,$U107)))=Milestones!$AB$31),UPPER(TEXT(EDATE($D107,Milestones!$AA$31),"dd mmm yy"))&amp;" "&amp;Milestones!$AB$31&amp;" "&amp;Milestones!$AC$31&amp;";  ","")&amp;IF(AND(EDATE($D107,Milestones!$AA$32)&lt;=AsOfDate,IF($R107=0,$X107,IF(AND($T107&lt;&gt;"",EDATE($D107,Milestones!$AA$32)&gt;=$T107),$W107,IF(AND($S107&lt;&gt;"",EDATE($D107,Milestones!$AA$32)&gt;=$S107),$V107,$U107)))=Milestones!$AB$32),UPPER(TEXT(EDATE($D107,Milestones!$AA$32),"dd mmm yy"))&amp;" "&amp;Milestones!$AB$32&amp;" "&amp;Milestones!$AC$32&amp;";  ","")&amp;IF(AND(EDATE($D107,Milestones!$AA$33)&lt;=AsOfDate,IF($R107=0,$X107,IF(AND($T107&lt;&gt;"",EDATE($D107,Milestones!$AA$33)&gt;=$T107),$W107,IF(AND($S107&lt;&gt;"",EDATE($D107,Milestones!$AA$33)&gt;=$S107),$V107,$U107)))=Milestones!$AB$33),UPPER(TEXT(EDATE($D107,Milestones!$AA$33),"dd mmm yy"))&amp;" "&amp;Milestones!$AB$33&amp;" "&amp;Milestones!$AC$33&amp;";  ","")&amp;IF(AND(EDATE($D107,Milestones!$AA$34)&lt;=AsOfDate,IF($R107=0,$X107,IF(AND($T107&lt;&gt;"",EDATE($D107,Milestones!$AA$34)&gt;=$T107),$W107,IF(AND($S107&lt;&gt;"",EDATE($D107,Milestones!$AA$34)&gt;=$S107),$V107,$U107)))=Milestones!$AB$34),UPPER(TEXT(EDATE($D107,Milestones!$AA$34),"dd mmm yy"))&amp;" "&amp;Milestones!$AB$34&amp;" "&amp;Milestones!$AC$34&amp;";  ","")&amp;IF(AND(EDATE($D107,Milestones!$AA$35)&lt;=AsOfDate,IF($R107=0,$X107,IF(AND($T107&lt;&gt;"",EDATE($D107,Milestones!$AA$35)&gt;=$T107),$W107,IF(AND($S107&lt;&gt;"",EDATE($D107,Milestones!$AA$35)&gt;=$S107),$V107,$U107)))=Milestones!$AB$35),UPPER(TEXT(EDATE($D107,Milestones!$AA$35),"dd mmm yy"))&amp;" "&amp;Milestones!$AB$35&amp;" "&amp;Milestones!$AC$35&amp;";  ","")&amp;IF(AND(EDATE($D107,Milestones!$AA$36)&lt;=AsOfDate,IF($R107=0,$X107,IF(AND($T107&lt;&gt;"",EDATE($D107,Milestones!$AA$36)&gt;=$T107),$W107,IF(AND($S107&lt;&gt;"",EDATE($D107,Milestones!$AA$36)&gt;=$S107),$V107,$U107)))=Milestones!$AB$36),UPPER(TEXT(EDATE($D107,Milestones!$AA$36),"dd mmm yy"))&amp;" "&amp;Milestones!$AB$36&amp;" "&amp;Milestones!$AC$36&amp;";  ","")&amp;IF(AND(EDATE($D107,Milestones!$AA$37)&lt;=AsOfDate,IF($R107=0,$X107,IF(AND($T107&lt;&gt;"",EDATE($D107,Milestones!$AA$37)&gt;=$T107),$W107,IF(AND($S107&lt;&gt;"",EDATE($D107,Milestones!$AA$37)&gt;=$S107),$V107,$U107)))=Milestones!$AB$37),UPPER(TEXT(EDATE($D107,Milestones!$AA$37),"dd mmm yy"))&amp;" "&amp;Milestones!$AB$37&amp;" "&amp;Milestones!$AC$37&amp;";  ","")&amp;IF(AND(EDATE($D107,Milestones!$AA$38)&lt;=AsOfDate,IF($R107=0,$X107,IF(AND($T107&lt;&gt;"",EDATE($D107,Milestones!$AA$38)&gt;=$T107),$W107,IF(AND($S107&lt;&gt;"",EDATE($D107,Milestones!$AA$38)&gt;=$S107),$V107,$U107)))=Milestones!$AB$38),UPPER(TEXT(EDATE($D107,Milestones!$AA$38),"dd mmm yy"))&amp;" "&amp;Milestones!$AB$38&amp;" "&amp;Milestones!$AC$38&amp;";  ","")&amp;IF(AND(EDATE($D107,Milestones!$AA$39)&lt;=AsOfDate,IF($R107=0,$X107,IF(AND($T107&lt;&gt;"",EDATE($D107,Milestones!$AA$39)&gt;=$T107),$W107,IF(AND($S107&lt;&gt;"",EDATE($D107,Milestones!$AA$39)&gt;=$S107),$V107,$U107)))=Milestones!$AB$39),UPPER(TEXT(EDATE($D107,Milestones!$AA$39),"dd mmm yy"))&amp;" "&amp;Milestones!$AB$39&amp;" "&amp;Milestones!$AC$39&amp;";  ",""))</f>
        <v/>
      </c>
      <c r="J107" s="0" t="str">
        <f aca="false">IF(OR($A107="",$D107=""),"",IF(AND(EDATE($D107,Milestones!$AA$40)&lt;=AsOfDate,IF($R107=0,$X107,IF(AND($T107&lt;&gt;"",EDATE($D107,Milestones!$AA$40)&gt;=$T107),$W107,IF(AND($S107&lt;&gt;"",EDATE($D107,Milestones!$AA$40)&gt;=$S107),$V107,$U107)))=Milestones!$AB$40),UPPER(TEXT(EDATE($D107,Milestones!$AA$40),"dd mmm yy"))&amp;" "&amp;Milestones!$AB$40&amp;" "&amp;Milestones!$AC$40&amp;";  ","")&amp;IF(AND(EDATE($D107,Milestones!$AA$41)&lt;=AsOfDate,IF($R107=0,$X107,IF(AND($T107&lt;&gt;"",EDATE($D107,Milestones!$AA$41)&gt;=$T107),$W107,IF(AND($S107&lt;&gt;"",EDATE($D107,Milestones!$AA$41)&gt;=$S107),$V107,$U107)))=Milestones!$AB$41),UPPER(TEXT(EDATE($D107,Milestones!$AA$41),"dd mmm yy"))&amp;" "&amp;Milestones!$AB$41&amp;" "&amp;Milestones!$AC$41&amp;";  ","")&amp;IF(AND(EDATE($D107,Milestones!$AA$42)&lt;=AsOfDate,IF($R107=0,$X107,IF(AND($T107&lt;&gt;"",EDATE($D107,Milestones!$AA$42)&gt;=$T107),$W107,IF(AND($S107&lt;&gt;"",EDATE($D107,Milestones!$AA$42)&gt;=$S107),$V107,$U107)))=Milestones!$AB$42),UPPER(TEXT(EDATE($D107,Milestones!$AA$42),"dd mmm yy"))&amp;" "&amp;Milestones!$AB$42&amp;" "&amp;Milestones!$AC$42&amp;";  ","")&amp;IF(AND(EDATE($D107,Milestones!$AA$43)&lt;=AsOfDate,IF($R107=0,$X107,IF(AND($T107&lt;&gt;"",EDATE($D107,Milestones!$AA$43)&gt;=$T107),$W107,IF(AND($S107&lt;&gt;"",EDATE($D107,Milestones!$AA$43)&gt;=$S107),$V107,$U107)))=Milestones!$AB$43),UPPER(TEXT(EDATE($D107,Milestones!$AA$43),"dd mmm yy"))&amp;" "&amp;Milestones!$AB$43&amp;" "&amp;Milestones!$AC$43&amp;";  ","")&amp;IF(AND(EDATE($D107,Milestones!$AA$44)&lt;=AsOfDate,IF($R107=0,$X107,IF(AND($T107&lt;&gt;"",EDATE($D107,Milestones!$AA$44)&gt;=$T107),$W107,IF(AND($S107&lt;&gt;"",EDATE($D107,Milestones!$AA$44)&gt;=$S107),$V107,$U107)))=Milestones!$AB$44),UPPER(TEXT(EDATE($D107,Milestones!$AA$44),"dd mmm yy"))&amp;" "&amp;Milestones!$AB$44&amp;" "&amp;Milestones!$AC$44&amp;";  ","")&amp;IF(AND(EDATE($D107,Milestones!$AA$45)&lt;=AsOfDate,IF($R107=0,$X107,IF(AND($T107&lt;&gt;"",EDATE($D107,Milestones!$AA$45)&gt;=$T107),$W107,IF(AND($S107&lt;&gt;"",EDATE($D107,Milestones!$AA$45)&gt;=$S107),$V107,$U107)))=Milestones!$AB$45),UPPER(TEXT(EDATE($D107,Milestones!$AA$45),"dd mmm yy"))&amp;" "&amp;Milestones!$AB$45&amp;" "&amp;Milestones!$AC$45&amp;";  ","")&amp;IF(AND(EDATE($D107,Milestones!$AA$46)&lt;=AsOfDate,IF($R107=0,$X107,IF(AND($T107&lt;&gt;"",EDATE($D107,Milestones!$AA$46)&gt;=$T107),$W107,IF(AND($S107&lt;&gt;"",EDATE($D107,Milestones!$AA$46)&gt;=$S107),$V107,$U107)))=Milestones!$AB$46),UPPER(TEXT(EDATE($D107,Milestones!$AA$46),"dd mmm yy"))&amp;" "&amp;Milestones!$AB$46&amp;" "&amp;Milestones!$AC$46&amp;";  ","")&amp;IF(AND(EDATE($D107,Milestones!$AA$47)&lt;=AsOfDate,IF($R107=0,$X107,IF(AND($T107&lt;&gt;"",EDATE($D107,Milestones!$AA$47)&gt;=$T107),$W107,IF(AND($S107&lt;&gt;"",EDATE($D107,Milestones!$AA$47)&gt;=$S107),$V107,$U107)))=Milestones!$AB$47),UPPER(TEXT(EDATE($D107,Milestones!$AA$47),"dd mmm yy"))&amp;" "&amp;Milestones!$AB$47&amp;" "&amp;Milestones!$AC$47&amp;";  ","")&amp;IF(AND(EDATE($D107,Milestones!$AA$48)&lt;=AsOfDate,IF($R107=0,$X107,IF(AND($T107&lt;&gt;"",EDATE($D107,Milestones!$AA$48)&gt;=$T107),$W107,IF(AND($S107&lt;&gt;"",EDATE($D107,Milestones!$AA$48)&gt;=$S107),$V107,$U107)))=Milestones!$AB$48),UPPER(TEXT(EDATE($D107,Milestones!$AA$48),"dd mmm yy"))&amp;" "&amp;Milestones!$AB$48&amp;" "&amp;Milestones!$AC$48&amp;";  ","")&amp;IF(AND(EDATE($D107,Milestones!$AA$49)&lt;=AsOfDate,IF($R107=0,$X107,IF(AND($T107&lt;&gt;"",EDATE($D107,Milestones!$AA$49)&gt;=$T107),$W107,IF(AND($S107&lt;&gt;"",EDATE($D107,Milestones!$AA$49)&gt;=$S107),$V107,$U107)))=Milestones!$AB$49),UPPER(TEXT(EDATE($D107,Milestones!$AA$49),"dd mmm yy"))&amp;" "&amp;Milestones!$AB$49&amp;" "&amp;Milestones!$AC$49&amp;";  ","")&amp;IF(AND(EDATE($D107,Milestones!$AA$50)&lt;=AsOfDate,IF($R107=0,$X107,IF(AND($T107&lt;&gt;"",EDATE($D107,Milestones!$AA$50)&gt;=$T107),$W107,IF(AND($S107&lt;&gt;"",EDATE($D107,Milestones!$AA$50)&gt;=$S107),$V107,$U107)))=Milestones!$AB$50),UPPER(TEXT(EDATE($D107,Milestones!$AA$50),"dd mmm yy"))&amp;" "&amp;Milestones!$AB$50&amp;" "&amp;Milestones!$AC$50&amp;";  ","")&amp;IF(AND(EDATE($D107,Milestones!$AA$51)&lt;=AsOfDate,IF($R107=0,$X107,IF(AND($T107&lt;&gt;"",EDATE($D107,Milestones!$AA$51)&gt;=$T107),$W107,IF(AND($S107&lt;&gt;"",EDATE($D107,Milestones!$AA$51)&gt;=$S107),$V107,$U107)))=Milestones!$AB$51),UPPER(TEXT(EDATE($D107,Milestones!$AA$51),"dd mmm yy"))&amp;" "&amp;Milestones!$AB$51&amp;" "&amp;Milestones!$AC$51&amp;";  ","")&amp;IF(AND(EDATE($D107,Milestones!$AA$52)&lt;=AsOfDate,IF($R107=0,$X107,IF(AND($T107&lt;&gt;"",EDATE($D107,Milestones!$AA$52)&gt;=$T107),$W107,IF(AND($S107&lt;&gt;"",EDATE($D107,Milestones!$AA$52)&gt;=$S107),$V107,$U107)))=Milestones!$AB$52),UPPER(TEXT(EDATE($D107,Milestones!$AA$52),"dd mmm yy"))&amp;" "&amp;Milestones!$AB$52&amp;" "&amp;Milestones!$AC$52&amp;";  ","")&amp;IF(AND(EDATE($D107,Milestones!$AA$53)&lt;=AsOfDate,IF($R107=0,$X107,IF(AND($T107&lt;&gt;"",EDATE($D107,Milestones!$AA$53)&gt;=$T107),$W107,IF(AND($S107&lt;&gt;"",EDATE($D107,Milestones!$AA$53)&gt;=$S107),$V107,$U107)))=Milestones!$AB$53),UPPER(TEXT(EDATE($D107,Milestones!$AA$53),"dd mmm yy"))&amp;" "&amp;Milestones!$AB$53&amp;" "&amp;Milestones!$AC$53&amp;";  ","")&amp;IF(AND(EDATE($D107,Milestones!$AA$54)&lt;=AsOfDate,IF($R107=0,$X107,IF(AND($T107&lt;&gt;"",EDATE($D107,Milestones!$AA$54)&gt;=$T107),$W107,IF(AND($S107&lt;&gt;"",EDATE($D107,Milestones!$AA$54)&gt;=$S107),$V107,$U107)))=Milestones!$AB$54),UPPER(TEXT(EDATE($D107,Milestones!$AA$54),"dd mmm yy"))&amp;" "&amp;Milestones!$AB$54&amp;" "&amp;Milestones!$AC$54&amp;";  ","")&amp;IF(AND(EDATE($D107,Milestones!$AA$55)&lt;=AsOfDate,IF($R107=0,$X107,IF(AND($T107&lt;&gt;"",EDATE($D107,Milestones!$AA$55)&gt;=$T107),$W107,IF(AND($S107&lt;&gt;"",EDATE($D107,Milestones!$AA$55)&gt;=$S107),$V107,$U107)))=Milestones!$AB$55),UPPER(TEXT(EDATE($D107,Milestones!$AA$55),"dd mmm yy"))&amp;" "&amp;Milestones!$AB$55&amp;" "&amp;Milestones!$AC$55&amp;";  ","")&amp;IF(AND(EDATE($D107,Milestones!$AA$56)&lt;=AsOfDate,IF($R107=0,$X107,IF(AND($T107&lt;&gt;"",EDATE($D107,Milestones!$AA$56)&gt;=$T107),$W107,IF(AND($S107&lt;&gt;"",EDATE($D107,Milestones!$AA$56)&gt;=$S107),$V107,$U107)))=Milestones!$AB$56),UPPER(TEXT(EDATE($D107,Milestones!$AA$56),"dd mmm yy"))&amp;" "&amp;Milestones!$AB$56&amp;" "&amp;Milestones!$AC$56&amp;";  ","")&amp;IF(AND(EDATE($D107,Milestones!$AA$57)&lt;=AsOfDate,IF($R107=0,$X107,IF(AND($T107&lt;&gt;"",EDATE($D107,Milestones!$AA$57)&gt;=$T107),$W107,IF(AND($S107&lt;&gt;"",EDATE($D107,Milestones!$AA$57)&gt;=$S107),$V107,$U107)))=Milestones!$AB$57),UPPER(TEXT(EDATE($D107,Milestones!$AA$57),"dd mmm yy"))&amp;" "&amp;Milestones!$AB$57&amp;" "&amp;Milestones!$AC$57&amp;";  ","")&amp;IF(AND(EDATE($D107,Milestones!$AA$58)&lt;=AsOfDate,IF($R107=0,$X107,IF(AND($T107&lt;&gt;"",EDATE($D107,Milestones!$AA$58)&gt;=$T107),$W107,IF(AND($S107&lt;&gt;"",EDATE($D107,Milestones!$AA$58)&gt;=$S107),$V107,$U107)))=Milestones!$AB$58),UPPER(TEXT(EDATE($D107,Milestones!$AA$58),"dd mmm yy"))&amp;" "&amp;Milestones!$AB$58&amp;" "&amp;Milestones!$AC$58&amp;";  ","")&amp;IF(AND(EDATE($D107,Milestones!$AA$59)&lt;=AsOfDate,IF($R107=0,$X107,IF(AND($T107&lt;&gt;"",EDATE($D107,Milestones!$AA$59)&gt;=$T107),$W107,IF(AND($S107&lt;&gt;"",EDATE($D107,Milestones!$AA$59)&gt;=$S107),$V107,$U107)))=Milestones!$AB$59),UPPER(TEXT(EDATE($D107,Milestones!$AA$59),"dd mmm yy"))&amp;" "&amp;Milestones!$AB$59&amp;" "&amp;Milestones!$AC$59&amp;";  ",""))</f>
        <v/>
      </c>
      <c r="K107" s="0" t="str">
        <f aca="false">IF(OR($A107="",$D107=""),"",IF(AND(EDATE($D107,Milestones!$AA$60)&lt;=AsOfDate,IF($R107=0,$X107,IF(AND($T107&lt;&gt;"",EDATE($D107,Milestones!$AA$60)&gt;=$T107),$W107,IF(AND($S107&lt;&gt;"",EDATE($D107,Milestones!$AA$60)&gt;=$S107),$V107,$U107)))=Milestones!$AB$60),UPPER(TEXT(EDATE($D107,Milestones!$AA$60),"dd mmm yy"))&amp;" "&amp;Milestones!$AB$60&amp;" "&amp;Milestones!$AC$60&amp;";  ","")&amp;IF(AND(EDATE($D107,Milestones!$AA$61)&lt;=AsOfDate,IF($R107=0,$X107,IF(AND($T107&lt;&gt;"",EDATE($D107,Milestones!$AA$61)&gt;=$T107),$W107,IF(AND($S107&lt;&gt;"",EDATE($D107,Milestones!$AA$61)&gt;=$S107),$V107,$U107)))=Milestones!$AB$61),UPPER(TEXT(EDATE($D107,Milestones!$AA$61),"dd mmm yy"))&amp;" "&amp;Milestones!$AB$61&amp;" "&amp;Milestones!$AC$61&amp;";  ","")&amp;IF(AND(EDATE($D107,Milestones!$AA$62)&lt;=AsOfDate,IF($R107=0,$X107,IF(AND($T107&lt;&gt;"",EDATE($D107,Milestones!$AA$62)&gt;=$T107),$W107,IF(AND($S107&lt;&gt;"",EDATE($D107,Milestones!$AA$62)&gt;=$S107),$V107,$U107)))=Milestones!$AB$62),UPPER(TEXT(EDATE($D107,Milestones!$AA$62),"dd mmm yy"))&amp;" "&amp;Milestones!$AB$62&amp;" "&amp;Milestones!$AC$62&amp;";  ","")&amp;IF(AND(EDATE($D107,Milestones!$AA$63)&lt;=AsOfDate,IF($R107=0,$X107,IF(AND($T107&lt;&gt;"",EDATE($D107,Milestones!$AA$63)&gt;=$T107),$W107,IF(AND($S107&lt;&gt;"",EDATE($D107,Milestones!$AA$63)&gt;=$S107),$V107,$U107)))=Milestones!$AB$63),UPPER(TEXT(EDATE($D107,Milestones!$AA$63),"dd mmm yy"))&amp;" "&amp;Milestones!$AB$63&amp;" "&amp;Milestones!$AC$63&amp;";  ","")&amp;IF(AND(EDATE($D107,Milestones!$AA$64)&lt;=AsOfDate,IF($R107=0,$X107,IF(AND($T107&lt;&gt;"",EDATE($D107,Milestones!$AA$64)&gt;=$T107),$W107,IF(AND($S107&lt;&gt;"",EDATE($D107,Milestones!$AA$64)&gt;=$S107),$V107,$U107)))=Milestones!$AB$64),UPPER(TEXT(EDATE($D107,Milestones!$AA$64),"dd mmm yy"))&amp;" "&amp;Milestones!$AB$64&amp;" "&amp;Milestones!$AC$64&amp;";  ","")&amp;IF(AND(EDATE($D107,Milestones!$AA$65)&lt;=AsOfDate,IF($R107=0,$X107,IF(AND($T107&lt;&gt;"",EDATE($D107,Milestones!$AA$65)&gt;=$T107),$W107,IF(AND($S107&lt;&gt;"",EDATE($D107,Milestones!$AA$65)&gt;=$S107),$V107,$U107)))=Milestones!$AB$65),UPPER(TEXT(EDATE($D107,Milestones!$AA$65),"dd mmm yy"))&amp;" "&amp;Milestones!$AB$65&amp;" "&amp;Milestones!$AC$65&amp;";  ","")&amp;IF(AND(EDATE($D107,Milestones!$AA$66)&lt;=AsOfDate,IF($R107=0,$X107,IF(AND($T107&lt;&gt;"",EDATE($D107,Milestones!$AA$66)&gt;=$T107),$W107,IF(AND($S107&lt;&gt;"",EDATE($D107,Milestones!$AA$66)&gt;=$S107),$V107,$U107)))=Milestones!$AB$66),UPPER(TEXT(EDATE($D107,Milestones!$AA$66),"dd mmm yy"))&amp;" "&amp;Milestones!$AB$66&amp;" "&amp;Milestones!$AC$66&amp;";  ","")&amp;IF(AND(EDATE($D107,Milestones!$AA$67)&lt;=AsOfDate,IF($R107=0,$X107,IF(AND($T107&lt;&gt;"",EDATE($D107,Milestones!$AA$67)&gt;=$T107),$W107,IF(AND($S107&lt;&gt;"",EDATE($D107,Milestones!$AA$67)&gt;=$S107),$V107,$U107)))=Milestones!$AB$67),UPPER(TEXT(EDATE($D107,Milestones!$AA$67),"dd mmm yy"))&amp;" "&amp;Milestones!$AB$67&amp;" "&amp;Milestones!$AC$67&amp;";  ","")&amp;IF(AND(EDATE($D107,Milestones!$AA$68)&lt;=AsOfDate,IF($R107=0,$X107,IF(AND($T107&lt;&gt;"",EDATE($D107,Milestones!$AA$68)&gt;=$T107),$W107,IF(AND($S107&lt;&gt;"",EDATE($D107,Milestones!$AA$68)&gt;=$S107),$V107,$U107)))=Milestones!$AB$68),UPPER(TEXT(EDATE($D107,Milestones!$AA$68),"dd mmm yy"))&amp;" "&amp;Milestones!$AB$68&amp;" "&amp;Milestones!$AC$68&amp;";  ","")&amp;IF(AND(EDATE($D107,Milestones!$AA$69)&lt;=AsOfDate,IF($R107=0,$X107,IF(AND($T107&lt;&gt;"",EDATE($D107,Milestones!$AA$69)&gt;=$T107),$W107,IF(AND($S107&lt;&gt;"",EDATE($D107,Milestones!$AA$69)&gt;=$S107),$V107,$U107)))=Milestones!$AB$69),UPPER(TEXT(EDATE($D107,Milestones!$AA$69),"dd mmm yy"))&amp;" "&amp;Milestones!$AB$69&amp;" "&amp;Milestones!$AC$69&amp;";  ","")&amp;IF(AND(EDATE($D107,Milestones!$AA$70)&lt;=AsOfDate,IF($R107=0,$X107,IF(AND($T107&lt;&gt;"",EDATE($D107,Milestones!$AA$70)&gt;=$T107),$W107,IF(AND($S107&lt;&gt;"",EDATE($D107,Milestones!$AA$70)&gt;=$S107),$V107,$U107)))=Milestones!$AB$70),UPPER(TEXT(EDATE($D107,Milestones!$AA$70),"dd mmm yy"))&amp;" "&amp;Milestones!$AB$70&amp;" "&amp;Milestones!$AC$70&amp;";  ","")&amp;IF(AND(EDATE($D107,Milestones!$AA$71)&lt;=AsOfDate,IF($R107=0,$X107,IF(AND($T107&lt;&gt;"",EDATE($D107,Milestones!$AA$71)&gt;=$T107),$W107,IF(AND($S107&lt;&gt;"",EDATE($D107,Milestones!$AA$71)&gt;=$S107),$V107,$U107)))=Milestones!$AB$71),UPPER(TEXT(EDATE($D107,Milestones!$AA$71),"dd mmm yy"))&amp;" "&amp;Milestones!$AB$71&amp;" "&amp;Milestones!$AC$71&amp;";  ","")&amp;IF(AND(EDATE($D107,Milestones!$AA$72)&lt;=AsOfDate,IF($R107=0,$X107,IF(AND($T107&lt;&gt;"",EDATE($D107,Milestones!$AA$72)&gt;=$T107),$W107,IF(AND($S107&lt;&gt;"",EDATE($D107,Milestones!$AA$72)&gt;=$S107),$V107,$U107)))=Milestones!$AB$72),UPPER(TEXT(EDATE($D107,Milestones!$AA$72),"dd mmm yy"))&amp;" "&amp;Milestones!$AB$72&amp;" "&amp;Milestones!$AC$72&amp;";  ","")&amp;IF(AND(EDATE($D107,Milestones!$AA$73)&lt;=AsOfDate,IF($R107=0,$X107,IF(AND($T107&lt;&gt;"",EDATE($D107,Milestones!$AA$73)&gt;=$T107),$W107,IF(AND($S107&lt;&gt;"",EDATE($D107,Milestones!$AA$73)&gt;=$S107),$V107,$U107)))=Milestones!$AB$73),UPPER(TEXT(EDATE($D107,Milestones!$AA$73),"dd mmm yy"))&amp;" "&amp;Milestones!$AB$73&amp;" "&amp;Milestones!$AC$73&amp;";  ","")&amp;IF(AND(EDATE($D107,Milestones!$AA$74)&lt;=AsOfDate,IF($R107=0,$X107,IF(AND($T107&lt;&gt;"",EDATE($D107,Milestones!$AA$74)&gt;=$T107),$W107,IF(AND($S107&lt;&gt;"",EDATE($D107,Milestones!$AA$74)&gt;=$S107),$V107,$U107)))=Milestones!$AB$74),UPPER(TEXT(EDATE($D107,Milestones!$AA$74),"dd mmm yy"))&amp;" "&amp;Milestones!$AB$74&amp;" "&amp;Milestones!$AC$74&amp;";  ","")&amp;IF(AND(EDATE($D107,Milestones!$AA$75)&lt;=AsOfDate,IF($R107=0,$X107,IF(AND($T107&lt;&gt;"",EDATE($D107,Milestones!$AA$75)&gt;=$T107),$W107,IF(AND($S107&lt;&gt;"",EDATE($D107,Milestones!$AA$75)&gt;=$S107),$V107,$U107)))=Milestones!$AB$75),UPPER(TEXT(EDATE($D107,Milestones!$AA$75),"dd mmm yy"))&amp;" "&amp;Milestones!$AB$75&amp;" "&amp;Milestones!$AC$75&amp;";  ","")&amp;IF(AND(EDATE($D107,Milestones!$AA$76)&lt;=AsOfDate,IF($R107=0,$X107,IF(AND($T107&lt;&gt;"",EDATE($D107,Milestones!$AA$76)&gt;=$T107),$W107,IF(AND($S107&lt;&gt;"",EDATE($D107,Milestones!$AA$76)&gt;=$S107),$V107,$U107)))=Milestones!$AB$76),UPPER(TEXT(EDATE($D107,Milestones!$AA$76),"dd mmm yy"))&amp;" "&amp;Milestones!$AB$76&amp;" "&amp;Milestones!$AC$76&amp;";  ","")&amp;IF(AND(EDATE($D107,Milestones!$AA$77)&lt;=AsOfDate,IF($R107=0,$X107,IF(AND($T107&lt;&gt;"",EDATE($D107,Milestones!$AA$77)&gt;=$T107),$W107,IF(AND($S107&lt;&gt;"",EDATE($D107,Milestones!$AA$77)&gt;=$S107),$V107,$U107)))=Milestones!$AB$77),UPPER(TEXT(EDATE($D107,Milestones!$AA$77),"dd mmm yy"))&amp;" "&amp;Milestones!$AB$77&amp;" "&amp;Milestones!$AC$77&amp;";  ","")&amp;IF(AND(EDATE($D107,Milestones!$AA$78)&lt;=AsOfDate,IF($R107=0,$X107,IF(AND($T107&lt;&gt;"",EDATE($D107,Milestones!$AA$78)&gt;=$T107),$W107,IF(AND($S107&lt;&gt;"",EDATE($D107,Milestones!$AA$78)&gt;=$S107),$V107,$U107)))=Milestones!$AB$78),UPPER(TEXT(EDATE($D107,Milestones!$AA$78),"dd mmm yy"))&amp;" "&amp;Milestones!$AB$78&amp;" "&amp;Milestones!$AC$78&amp;";  ","")&amp;IF(AND(EDATE($D107,Milestones!$AA$79)&lt;=AsOfDate,IF($R107=0,$X107,IF(AND($T107&lt;&gt;"",EDATE($D107,Milestones!$AA$79)&gt;=$T107),$W107,IF(AND($S107&lt;&gt;"",EDATE($D107,Milestones!$AA$79)&gt;=$S107),$V107,$U107)))=Milestones!$AB$79),UPPER(TEXT(EDATE($D107,Milestones!$AA$79),"dd mmm yy"))&amp;" "&amp;Milestones!$AB$79&amp;" "&amp;Milestones!$AC$79&amp;";  ",""))</f>
        <v/>
      </c>
      <c r="L107" s="0" t="str">
        <f aca="false">IF(OR($A107="",$D107=""),"",IF(AND(EDATE($D107,Milestones!$AA$80)&lt;=AsOfDate,IF($R107=0,$X107,IF(AND($T107&lt;&gt;"",EDATE($D107,Milestones!$AA$80)&gt;=$T107),$W107,IF(AND($S107&lt;&gt;"",EDATE($D107,Milestones!$AA$80)&gt;=$S107),$V107,$U107)))=Milestones!$AB$80),UPPER(TEXT(EDATE($D107,Milestones!$AA$80),"dd mmm yy"))&amp;" "&amp;Milestones!$AB$80&amp;" "&amp;Milestones!$AC$80&amp;";  ","")&amp;IF(AND(EDATE($D107,Milestones!$AA$81)&lt;=AsOfDate,IF($R107=0,$X107,IF(AND($T107&lt;&gt;"",EDATE($D107,Milestones!$AA$81)&gt;=$T107),$W107,IF(AND($S107&lt;&gt;"",EDATE($D107,Milestones!$AA$81)&gt;=$S107),$V107,$U107)))=Milestones!$AB$81),UPPER(TEXT(EDATE($D107,Milestones!$AA$81),"dd mmm yy"))&amp;" "&amp;Milestones!$AB$81&amp;" "&amp;Milestones!$AC$81&amp;";  ","")&amp;IF(AND(EDATE($D107,Milestones!$AA$82)&lt;=AsOfDate,IF($R107=0,$X107,IF(AND($T107&lt;&gt;"",EDATE($D107,Milestones!$AA$82)&gt;=$T107),$W107,IF(AND($S107&lt;&gt;"",EDATE($D107,Milestones!$AA$82)&gt;=$S107),$V107,$U107)))=Milestones!$AB$82),UPPER(TEXT(EDATE($D107,Milestones!$AA$82),"dd mmm yy"))&amp;" "&amp;Milestones!$AB$82&amp;" "&amp;Milestones!$AC$82&amp;";  ","")&amp;IF(AND(EDATE($D107,Milestones!$AA$83)&lt;=AsOfDate,IF($R107=0,$X107,IF(AND($T107&lt;&gt;"",EDATE($D107,Milestones!$AA$83)&gt;=$T107),$W107,IF(AND($S107&lt;&gt;"",EDATE($D107,Milestones!$AA$83)&gt;=$S107),$V107,$U107)))=Milestones!$AB$83),UPPER(TEXT(EDATE($D107,Milestones!$AA$83),"dd mmm yy"))&amp;" "&amp;Milestones!$AB$83&amp;" "&amp;Milestones!$AC$83&amp;";  ","")&amp;IF(AND(EDATE($D107,Milestones!$AA$84)&lt;=AsOfDate,IF($R107=0,$X107,IF(AND($T107&lt;&gt;"",EDATE($D107,Milestones!$AA$84)&gt;=$T107),$W107,IF(AND($S107&lt;&gt;"",EDATE($D107,Milestones!$AA$84)&gt;=$S107),$V107,$U107)))=Milestones!$AB$84),UPPER(TEXT(EDATE($D107,Milestones!$AA$84),"dd mmm yy"))&amp;" "&amp;Milestones!$AB$84&amp;" "&amp;Milestones!$AC$84&amp;";  ","")&amp;IF(AND(EDATE($D107,Milestones!$AA$85)&lt;=AsOfDate,IF($R107=0,$X107,IF(AND($T107&lt;&gt;"",EDATE($D107,Milestones!$AA$85)&gt;=$T107),$W107,IF(AND($S107&lt;&gt;"",EDATE($D107,Milestones!$AA$85)&gt;=$S107),$V107,$U107)))=Milestones!$AB$85),UPPER(TEXT(EDATE($D107,Milestones!$AA$85),"dd mmm yy"))&amp;" "&amp;Milestones!$AB$85&amp;" "&amp;Milestones!$AC$85&amp;";  ","")&amp;IF(AND(EDATE($D107,Milestones!$AA$86)&lt;=AsOfDate,IF($R107=0,$X107,IF(AND($T107&lt;&gt;"",EDATE($D107,Milestones!$AA$86)&gt;=$T107),$W107,IF(AND($S107&lt;&gt;"",EDATE($D107,Milestones!$AA$86)&gt;=$S107),$V107,$U107)))=Milestones!$AB$86),UPPER(TEXT(EDATE($D107,Milestones!$AA$86),"dd mmm yy"))&amp;" "&amp;Milestones!$AB$86&amp;" "&amp;Milestones!$AC$86&amp;";  ","")&amp;IF(AND(EDATE($D107,Milestones!$AA$87)&lt;=AsOfDate,IF($R107=0,$X107,IF(AND($T107&lt;&gt;"",EDATE($D107,Milestones!$AA$87)&gt;=$T107),$W107,IF(AND($S107&lt;&gt;"",EDATE($D107,Milestones!$AA$87)&gt;=$S107),$V107,$U107)))=Milestones!$AB$87),UPPER(TEXT(EDATE($D107,Milestones!$AA$87),"dd mmm yy"))&amp;" "&amp;Milestones!$AB$87&amp;" "&amp;Milestones!$AC$87&amp;";  ","")&amp;IF(AND(EDATE($D107,Milestones!$AA$88)&lt;=AsOfDate,IF($R107=0,$X107,IF(AND($T107&lt;&gt;"",EDATE($D107,Milestones!$AA$88)&gt;=$T107),$W107,IF(AND($S107&lt;&gt;"",EDATE($D107,Milestones!$AA$88)&gt;=$S107),$V107,$U107)))=Milestones!$AB$88),UPPER(TEXT(EDATE($D107,Milestones!$AA$88),"dd mmm yy"))&amp;" "&amp;Milestones!$AB$88&amp;" "&amp;Milestones!$AC$88&amp;";  ","")&amp;IF(AND(EDATE($D107,Milestones!$AA$89)&lt;=AsOfDate,IF($R107=0,$X107,IF(AND($T107&lt;&gt;"",EDATE($D107,Milestones!$AA$89)&gt;=$T107),$W107,IF(AND($S107&lt;&gt;"",EDATE($D107,Milestones!$AA$89)&gt;=$S107),$V107,$U107)))=Milestones!$AB$89),UPPER(TEXT(EDATE($D107,Milestones!$AA$89),"dd mmm yy"))&amp;" "&amp;Milestones!$AB$89&amp;" "&amp;Milestones!$AC$89&amp;";  ","")&amp;IF(AND(EDATE($D107,Milestones!$AA$90)&lt;=AsOfDate,IF($R107=0,$X107,IF(AND($T107&lt;&gt;"",EDATE($D107,Milestones!$AA$90)&gt;=$T107),$W107,IF(AND($S107&lt;&gt;"",EDATE($D107,Milestones!$AA$90)&gt;=$S107),$V107,$U107)))=Milestones!$AB$90),UPPER(TEXT(EDATE($D107,Milestones!$AA$90),"dd mmm yy"))&amp;" "&amp;Milestones!$AB$90&amp;" "&amp;Milestones!$AC$90&amp;";  ","")&amp;IF(AND(EDATE($D107,Milestones!$AA$91)&lt;=AsOfDate,IF($R107=0,$X107,IF(AND($T107&lt;&gt;"",EDATE($D107,Milestones!$AA$91)&gt;=$T107),$W107,IF(AND($S107&lt;&gt;"",EDATE($D107,Milestones!$AA$91)&gt;=$S107),$V107,$U107)))=Milestones!$AB$91),UPPER(TEXT(EDATE($D107,Milestones!$AA$91),"dd mmm yy"))&amp;" "&amp;Milestones!$AB$91&amp;" "&amp;Milestones!$AC$91&amp;";  ","")&amp;IF(AND(EDATE($D107,Milestones!$AA$92)&lt;=AsOfDate,IF($R107=0,$X107,IF(AND($T107&lt;&gt;"",EDATE($D107,Milestones!$AA$92)&gt;=$T107),$W107,IF(AND($S107&lt;&gt;"",EDATE($D107,Milestones!$AA$92)&gt;=$S107),$V107,$U107)))=Milestones!$AB$92),UPPER(TEXT(EDATE($D107,Milestones!$AA$92),"dd mmm yy"))&amp;" "&amp;Milestones!$AB$92&amp;" "&amp;Milestones!$AC$92&amp;";  ","")&amp;IF(AND(EDATE($D107,Milestones!$AA$93)&lt;=AsOfDate,IF($R107=0,$X107,IF(AND($T107&lt;&gt;"",EDATE($D107,Milestones!$AA$93)&gt;=$T107),$W107,IF(AND($S107&lt;&gt;"",EDATE($D107,Milestones!$AA$93)&gt;=$S107),$V107,$U107)))=Milestones!$AB$93),UPPER(TEXT(EDATE($D107,Milestones!$AA$93),"dd mmm yy"))&amp;" "&amp;Milestones!$AB$93&amp;" "&amp;Milestones!$AC$93&amp;";  ","")&amp;IF(AND(EDATE($D107,Milestones!$AA$94)&lt;=AsOfDate,IF($R107=0,$X107,IF(AND($T107&lt;&gt;"",EDATE($D107,Milestones!$AA$94)&gt;=$T107),$W107,IF(AND($S107&lt;&gt;"",EDATE($D107,Milestones!$AA$94)&gt;=$S107),$V107,$U107)))=Milestones!$AB$94),UPPER(TEXT(EDATE($D107,Milestones!$AA$94),"dd mmm yy"))&amp;" "&amp;Milestones!$AB$94&amp;" "&amp;Milestones!$AC$94&amp;";  ","")&amp;IF(AND(EDATE($D107,Milestones!$AA$95)&lt;=AsOfDate,IF($R107=0,$X107,IF(AND($T107&lt;&gt;"",EDATE($D107,Milestones!$AA$95)&gt;=$T107),$W107,IF(AND($S107&lt;&gt;"",EDATE($D107,Milestones!$AA$95)&gt;=$S107),$V107,$U107)))=Milestones!$AB$95),UPPER(TEXT(EDATE($D107,Milestones!$AA$95),"dd mmm yy"))&amp;" "&amp;Milestones!$AB$95&amp;" "&amp;Milestones!$AC$95&amp;";  ","")&amp;IF(AND(EDATE($D107,Milestones!$AA$96)&lt;=AsOfDate,IF($R107=0,$X107,IF(AND($T107&lt;&gt;"",EDATE($D107,Milestones!$AA$96)&gt;=$T107),$W107,IF(AND($S107&lt;&gt;"",EDATE($D107,Milestones!$AA$96)&gt;=$S107),$V107,$U107)))=Milestones!$AB$96),UPPER(TEXT(EDATE($D107,Milestones!$AA$96),"dd mmm yy"))&amp;" "&amp;Milestones!$AB$96&amp;" "&amp;Milestones!$AC$96&amp;";  ","")&amp;IF(AND(EDATE($D107,Milestones!$AA$97)&lt;=AsOfDate,IF($R107=0,$X107,IF(AND($T107&lt;&gt;"",EDATE($D107,Milestones!$AA$97)&gt;=$T107),$W107,IF(AND($S107&lt;&gt;"",EDATE($D107,Milestones!$AA$97)&gt;=$S107),$V107,$U107)))=Milestones!$AB$97),UPPER(TEXT(EDATE($D107,Milestones!$AA$97),"dd mmm yy"))&amp;" "&amp;Milestones!$AB$97&amp;" "&amp;Milestones!$AC$97&amp;";  ","")&amp;IF(AND(EDATE($D107,Milestones!$AA$98)&lt;=AsOfDate,IF($R107=0,$X107,IF(AND($T107&lt;&gt;"",EDATE($D107,Milestones!$AA$98)&gt;=$T107),$W107,IF(AND($S107&lt;&gt;"",EDATE($D107,Milestones!$AA$98)&gt;=$S107),$V107,$U107)))=Milestones!$AB$98),UPPER(TEXT(EDATE($D107,Milestones!$AA$98),"dd mmm yy"))&amp;" "&amp;Milestones!$AB$98&amp;" "&amp;Milestones!$AC$98&amp;";  ","")&amp;IF(AND(EDATE($D107,Milestones!$AA$99)&lt;=AsOfDate,IF($R107=0,$X107,IF(AND($T107&lt;&gt;"",EDATE($D107,Milestones!$AA$99)&gt;=$T107),$W107,IF(AND($S107&lt;&gt;"",EDATE($D107,Milestones!$AA$99)&gt;=$S107),$V107,$U107)))=Milestones!$AB$99),UPPER(TEXT(EDATE($D107,Milestones!$AA$99),"dd mmm yy"))&amp;" "&amp;Milestones!$AB$99&amp;" "&amp;Milestones!$AC$99&amp;";  ",""))</f>
        <v/>
      </c>
      <c r="M107" s="0" t="str">
        <f aca="false">IF(OR($A107="",$D107=""),"",IF(AND(EDATE($D107,Milestones!$AA$100)&lt;=AsOfDate,IF($R107=0,$X107,IF(AND($T107&lt;&gt;"",EDATE($D107,Milestones!$AA$100)&gt;=$T107),$W107,IF(AND($S107&lt;&gt;"",EDATE($D107,Milestones!$AA$100)&gt;=$S107),$V107,$U107)))=Milestones!$AB$100),UPPER(TEXT(EDATE($D107,Milestones!$AA$100),"dd mmm yy"))&amp;" "&amp;Milestones!$AB$100&amp;" "&amp;Milestones!$AC$100&amp;";  ","")&amp;IF(AND(EDATE($D107,Milestones!$AA$101)&lt;=AsOfDate,IF($R107=0,$X107,IF(AND($T107&lt;&gt;"",EDATE($D107,Milestones!$AA$101)&gt;=$T107),$W107,IF(AND($S107&lt;&gt;"",EDATE($D107,Milestones!$AA$101)&gt;=$S107),$V107,$U107)))=Milestones!$AB$101),UPPER(TEXT(EDATE($D107,Milestones!$AA$101),"dd mmm yy"))&amp;" "&amp;Milestones!$AB$101&amp;" "&amp;Milestones!$AC$101&amp;";  ","")&amp;IF(AND(EDATE($D107,Milestones!$AA$102)&lt;=AsOfDate,IF($R107=0,$X107,IF(AND($T107&lt;&gt;"",EDATE($D107,Milestones!$AA$102)&gt;=$T107),$W107,IF(AND($S107&lt;&gt;"",EDATE($D107,Milestones!$AA$102)&gt;=$S107),$V107,$U107)))=Milestones!$AB$102),UPPER(TEXT(EDATE($D107,Milestones!$AA$102),"dd mmm yy"))&amp;" "&amp;Milestones!$AB$102&amp;" "&amp;Milestones!$AC$102&amp;";  ","")&amp;IF(AND(EDATE($D107,Milestones!$AA$103)&lt;=AsOfDate,IF($R107=0,$X107,IF(AND($T107&lt;&gt;"",EDATE($D107,Milestones!$AA$103)&gt;=$T107),$W107,IF(AND($S107&lt;&gt;"",EDATE($D107,Milestones!$AA$103)&gt;=$S107),$V107,$U107)))=Milestones!$AB$103),UPPER(TEXT(EDATE($D107,Milestones!$AA$103),"dd mmm yy"))&amp;" "&amp;Milestones!$AB$103&amp;" "&amp;Milestones!$AC$103&amp;";  ","")&amp;IF(AND(EDATE($D107,Milestones!$AA$104)&lt;=AsOfDate,IF($R107=0,$X107,IF(AND($T107&lt;&gt;"",EDATE($D107,Milestones!$AA$104)&gt;=$T107),$W107,IF(AND($S107&lt;&gt;"",EDATE($D107,Milestones!$AA$104)&gt;=$S107),$V107,$U107)))=Milestones!$AB$104),UPPER(TEXT(EDATE($D107,Milestones!$AA$104),"dd mmm yy"))&amp;" "&amp;Milestones!$AB$104&amp;" "&amp;Milestones!$AC$104&amp;";  ","")&amp;IF(AND(EDATE($D107,Milestones!$AA$105)&lt;=AsOfDate,IF($R107=0,$X107,IF(AND($T107&lt;&gt;"",EDATE($D107,Milestones!$AA$105)&gt;=$T107),$W107,IF(AND($S107&lt;&gt;"",EDATE($D107,Milestones!$AA$105)&gt;=$S107),$V107,$U107)))=Milestones!$AB$105),UPPER(TEXT(EDATE($D107,Milestones!$AA$105),"dd mmm yy"))&amp;" "&amp;Milestones!$AB$105&amp;" "&amp;Milestones!$AC$105&amp;";  ","")&amp;IF(AND(EDATE($D107,Milestones!$AA$106)&lt;=AsOfDate,IF($R107=0,$X107,IF(AND($T107&lt;&gt;"",EDATE($D107,Milestones!$AA$106)&gt;=$T107),$W107,IF(AND($S107&lt;&gt;"",EDATE($D107,Milestones!$AA$106)&gt;=$S107),$V107,$U107)))=Milestones!$AB$106),UPPER(TEXT(EDATE($D107,Milestones!$AA$106),"dd mmm yy"))&amp;" "&amp;Milestones!$AB$106&amp;" "&amp;Milestones!$AC$106&amp;";  ","")&amp;IF(AND(EDATE($D107,Milestones!$AA$107)&lt;=AsOfDate,IF($R107=0,$X107,IF(AND($T107&lt;&gt;"",EDATE($D107,Milestones!$AA$107)&gt;=$T107),$W107,IF(AND($S107&lt;&gt;"",EDATE($D107,Milestones!$AA$107)&gt;=$S107),$V107,$U107)))=Milestones!$AB$107),UPPER(TEXT(EDATE($D107,Milestones!$AA$107),"dd mmm yy"))&amp;" "&amp;Milestones!$AB$107&amp;" "&amp;Milestones!$AC$107&amp;";  ","")&amp;IF(AND(EDATE($D107,Milestones!$AA$108)&lt;=AsOfDate,IF($R107=0,$X107,IF(AND($T107&lt;&gt;"",EDATE($D107,Milestones!$AA$108)&gt;=$T107),$W107,IF(AND($S107&lt;&gt;"",EDATE($D107,Milestones!$AA$108)&gt;=$S107),$V107,$U107)))=Milestones!$AB$108),UPPER(TEXT(EDATE($D107,Milestones!$AA$108),"dd mmm yy"))&amp;" "&amp;Milestones!$AB$108&amp;" "&amp;Milestones!$AC$108&amp;";  ","")&amp;IF(AND(EDATE($D107,Milestones!$AA$109)&lt;=AsOfDate,IF($R107=0,$X107,IF(AND($T107&lt;&gt;"",EDATE($D107,Milestones!$AA$109)&gt;=$T107),$W107,IF(AND($S107&lt;&gt;"",EDATE($D107,Milestones!$AA$109)&gt;=$S107),$V107,$U107)))=Milestones!$AB$109),UPPER(TEXT(EDATE($D107,Milestones!$AA$109),"dd mmm yy"))&amp;" "&amp;Milestones!$AB$109&amp;" "&amp;Milestones!$AC$109&amp;";  ","")&amp;IF(AND(EDATE($D107,Milestones!$AA$110)&lt;=AsOfDate,IF($R107=0,$X107,IF(AND($T107&lt;&gt;"",EDATE($D107,Milestones!$AA$110)&gt;=$T107),$W107,IF(AND($S107&lt;&gt;"",EDATE($D107,Milestones!$AA$110)&gt;=$S107),$V107,$U107)))=Milestones!$AB$110),UPPER(TEXT(EDATE($D107,Milestones!$AA$110),"dd mmm yy"))&amp;" "&amp;Milestones!$AB$110&amp;" "&amp;Milestones!$AC$110&amp;";  ","")&amp;IF(AND(EDATE($D107,Milestones!$AA$111)&lt;=AsOfDate,IF($R107=0,$X107,IF(AND($T107&lt;&gt;"",EDATE($D107,Milestones!$AA$111)&gt;=$T107),$W107,IF(AND($S107&lt;&gt;"",EDATE($D107,Milestones!$AA$111)&gt;=$S107),$V107,$U107)))=Milestones!$AB$111),UPPER(TEXT(EDATE($D107,Milestones!$AA$111),"dd mmm yy"))&amp;" "&amp;Milestones!$AB$111&amp;" "&amp;Milestones!$AC$111&amp;";  ","")&amp;IF(AND(EDATE($D107,Milestones!$AA$112)&lt;=AsOfDate,IF($R107=0,$X107,IF(AND($T107&lt;&gt;"",EDATE($D107,Milestones!$AA$112)&gt;=$T107),$W107,IF(AND($S107&lt;&gt;"",EDATE($D107,Milestones!$AA$112)&gt;=$S107),$V107,$U107)))=Milestones!$AB$112),UPPER(TEXT(EDATE($D107,Milestones!$AA$112),"dd mmm yy"))&amp;" "&amp;Milestones!$AB$112&amp;" "&amp;Milestones!$AC$112&amp;";  ","")&amp;IF(AND(EDATE($D107,Milestones!$AA$113)&lt;=AsOfDate,IF($R107=0,$X107,IF(AND($T107&lt;&gt;"",EDATE($D107,Milestones!$AA$113)&gt;=$T107),$W107,IF(AND($S107&lt;&gt;"",EDATE($D107,Milestones!$AA$113)&gt;=$S107),$V107,$U107)))=Milestones!$AB$113),UPPER(TEXT(EDATE($D107,Milestones!$AA$113),"dd mmm yy"))&amp;" "&amp;Milestones!$AB$113&amp;" "&amp;Milestones!$AC$113&amp;";  ","")&amp;IF(AND(EDATE($D107,Milestones!$AA$114)&lt;=AsOfDate,IF($R107=0,$X107,IF(AND($T107&lt;&gt;"",EDATE($D107,Milestones!$AA$114)&gt;=$T107),$W107,IF(AND($S107&lt;&gt;"",EDATE($D107,Milestones!$AA$114)&gt;=$S107),$V107,$U107)))=Milestones!$AB$114),UPPER(TEXT(EDATE($D107,Milestones!$AA$114),"dd mmm yy"))&amp;" "&amp;Milestones!$AB$114&amp;" "&amp;Milestones!$AC$114&amp;";  ","")&amp;IF(AND(EDATE($D107,Milestones!$AA$115)&lt;=AsOfDate,IF($R107=0,$X107,IF(AND($T107&lt;&gt;"",EDATE($D107,Milestones!$AA$115)&gt;=$T107),$W107,IF(AND($S107&lt;&gt;"",EDATE($D107,Milestones!$AA$115)&gt;=$S107),$V107,$U107)))=Milestones!$AB$115),UPPER(TEXT(EDATE($D107,Milestones!$AA$115),"dd mmm yy"))&amp;" "&amp;Milestones!$AB$115&amp;" "&amp;Milestones!$AC$115&amp;";  ","")&amp;IF(AND(EDATE($D107,Milestones!$AA$116)&lt;=AsOfDate,IF($R107=0,$X107,IF(AND($T107&lt;&gt;"",EDATE($D107,Milestones!$AA$116)&gt;=$T107),$W107,IF(AND($S107&lt;&gt;"",EDATE($D107,Milestones!$AA$116)&gt;=$S107),$V107,$U107)))=Milestones!$AB$116),UPPER(TEXT(EDATE($D107,Milestones!$AA$116),"dd mmm yy"))&amp;" "&amp;Milestones!$AB$116&amp;" "&amp;Milestones!$AC$116&amp;";  ","")&amp;IF(AND(EDATE($D107,Milestones!$AA$117)&lt;=AsOfDate,IF($R107=0,$X107,IF(AND($T107&lt;&gt;"",EDATE($D107,Milestones!$AA$117)&gt;=$T107),$W107,IF(AND($S107&lt;&gt;"",EDATE($D107,Milestones!$AA$117)&gt;=$S107),$V107,$U107)))=Milestones!$AB$117),UPPER(TEXT(EDATE($D107,Milestones!$AA$117),"dd mmm yy"))&amp;" "&amp;Milestones!$AB$117&amp;" "&amp;Milestones!$AC$117&amp;";  ","")&amp;IF(AND(EDATE($D107,Milestones!$AA$118)&lt;=AsOfDate,IF($R107=0,$X107,IF(AND($T107&lt;&gt;"",EDATE($D107,Milestones!$AA$118)&gt;=$T107),$W107,IF(AND($S107&lt;&gt;"",EDATE($D107,Milestones!$AA$118)&gt;=$S107),$V107,$U107)))=Milestones!$AB$118),UPPER(TEXT(EDATE($D107,Milestones!$AA$118),"dd mmm yy"))&amp;" "&amp;Milestones!$AB$118&amp;" "&amp;Milestones!$AC$118&amp;";  ","")&amp;IF(AND(EDATE($D107,Milestones!$AA$119)&lt;=AsOfDate,IF($R107=0,$X107,IF(AND($T107&lt;&gt;"",EDATE($D107,Milestones!$AA$119)&gt;=$T107),$W107,IF(AND($S107&lt;&gt;"",EDATE($D107,Milestones!$AA$119)&gt;=$S107),$V107,$U107)))=Milestones!$AB$119),UPPER(TEXT(EDATE($D107,Milestones!$AA$119),"dd mmm yy"))&amp;" "&amp;Milestones!$AB$119&amp;" "&amp;Milestones!$AC$119&amp;";  ",""))</f>
        <v/>
      </c>
      <c r="N107" s="0" t="str">
        <f aca="false">IF(OR($A107="",$D107=""),"",IF(AND(EDATE($D107,Milestones!$AA$120)&lt;=AsOfDate,IF($R107=0,$X107,IF(AND($T107&lt;&gt;"",EDATE($D107,Milestones!$AA$120)&gt;=$T107),$W107,IF(AND($S107&lt;&gt;"",EDATE($D107,Milestones!$AA$120)&gt;=$S107),$V107,$U107)))=Milestones!$AB$120),UPPER(TEXT(EDATE($D107,Milestones!$AA$120),"dd mmm yy"))&amp;" "&amp;Milestones!$AB$120&amp;" "&amp;Milestones!$AC$120&amp;";  ","")&amp;IF(AND(EDATE($D107,Milestones!$AA$121)&lt;=AsOfDate,IF($R107=0,$X107,IF(AND($T107&lt;&gt;"",EDATE($D107,Milestones!$AA$121)&gt;=$T107),$W107,IF(AND($S107&lt;&gt;"",EDATE($D107,Milestones!$AA$121)&gt;=$S107),$V107,$U107)))=Milestones!$AB$121),UPPER(TEXT(EDATE($D107,Milestones!$AA$121),"dd mmm yy"))&amp;" "&amp;Milestones!$AB$121&amp;" "&amp;Milestones!$AC$121&amp;";  ","")&amp;IF(AND(EDATE($D107,Milestones!$AA$122)&lt;=AsOfDate,IF($R107=0,$X107,IF(AND($T107&lt;&gt;"",EDATE($D107,Milestones!$AA$122)&gt;=$T107),$W107,IF(AND($S107&lt;&gt;"",EDATE($D107,Milestones!$AA$122)&gt;=$S107),$V107,$U107)))=Milestones!$AB$122),UPPER(TEXT(EDATE($D107,Milestones!$AA$122),"dd mmm yy"))&amp;" "&amp;Milestones!$AB$122&amp;" "&amp;Milestones!$AC$122&amp;";  ","")&amp;IF(AND(EDATE($D107,Milestones!$AA$123)&lt;=AsOfDate,IF($R107=0,$X107,IF(AND($T107&lt;&gt;"",EDATE($D107,Milestones!$AA$123)&gt;=$T107),$W107,IF(AND($S107&lt;&gt;"",EDATE($D107,Milestones!$AA$123)&gt;=$S107),$V107,$U107)))=Milestones!$AB$123),UPPER(TEXT(EDATE($D107,Milestones!$AA$123),"dd mmm yy"))&amp;" "&amp;Milestones!$AB$123&amp;" "&amp;Milestones!$AC$123&amp;";  ","")&amp;IF(AND(EDATE($D107,Milestones!$AA$124)&lt;=AsOfDate,IF($R107=0,$X107,IF(AND($T107&lt;&gt;"",EDATE($D107,Milestones!$AA$124)&gt;=$T107),$W107,IF(AND($S107&lt;&gt;"",EDATE($D107,Milestones!$AA$124)&gt;=$S107),$V107,$U107)))=Milestones!$AB$124),UPPER(TEXT(EDATE($D107,Milestones!$AA$124),"dd mmm yy"))&amp;" "&amp;Milestones!$AB$124&amp;" "&amp;Milestones!$AC$124&amp;";  ","")&amp;IF(AND(EDATE($D107,Milestones!$AA$125)&lt;=AsOfDate,IF($R107=0,$X107,IF(AND($T107&lt;&gt;"",EDATE($D107,Milestones!$AA$125)&gt;=$T107),$W107,IF(AND($S107&lt;&gt;"",EDATE($D107,Milestones!$AA$125)&gt;=$S107),$V107,$U107)))=Milestones!$AB$125),UPPER(TEXT(EDATE($D107,Milestones!$AA$125),"dd mmm yy"))&amp;" "&amp;Milestones!$AB$125&amp;" "&amp;Milestones!$AC$125&amp;";  ","")&amp;IF(AND(EDATE($D107,Milestones!$AA$126)&lt;=AsOfDate,IF($R107=0,$X107,IF(AND($T107&lt;&gt;"",EDATE($D107,Milestones!$AA$126)&gt;=$T107),$W107,IF(AND($S107&lt;&gt;"",EDATE($D107,Milestones!$AA$126)&gt;=$S107),$V107,$U107)))=Milestones!$AB$126),UPPER(TEXT(EDATE($D107,Milestones!$AA$126),"dd mmm yy"))&amp;" "&amp;Milestones!$AB$126&amp;" "&amp;Milestones!$AC$126&amp;";  ","")&amp;IF(AND(EDATE($D107,Milestones!$AA$127)&lt;=AsOfDate,IF($R107=0,$X107,IF(AND($T107&lt;&gt;"",EDATE($D107,Milestones!$AA$127)&gt;=$T107),$W107,IF(AND($S107&lt;&gt;"",EDATE($D107,Milestones!$AA$127)&gt;=$S107),$V107,$U107)))=Milestones!$AB$127),UPPER(TEXT(EDATE($D107,Milestones!$AA$127),"dd mmm yy"))&amp;" "&amp;Milestones!$AB$127&amp;" "&amp;Milestones!$AC$127&amp;";  ","")&amp;IF(AND(EDATE($D107,Milestones!$AA$128)&lt;=AsOfDate,IF($R107=0,$X107,IF(AND($T107&lt;&gt;"",EDATE($D107,Milestones!$AA$128)&gt;=$T107),$W107,IF(AND($S107&lt;&gt;"",EDATE($D107,Milestones!$AA$128)&gt;=$S107),$V107,$U107)))=Milestones!$AB$128),UPPER(TEXT(EDATE($D107,Milestones!$AA$128),"dd mmm yy"))&amp;" "&amp;Milestones!$AB$128&amp;" "&amp;Milestones!$AC$128&amp;";  ","")&amp;IF(AND(EDATE($D107,Milestones!$AA$129)&lt;=AsOfDate,IF($R107=0,$X107,IF(AND($T107&lt;&gt;"",EDATE($D107,Milestones!$AA$129)&gt;=$T107),$W107,IF(AND($S107&lt;&gt;"",EDATE($D107,Milestones!$AA$129)&gt;=$S107),$V107,$U107)))=Milestones!$AB$129),UPPER(TEXT(EDATE($D107,Milestones!$AA$129),"dd mmm yy"))&amp;" "&amp;Milestones!$AB$129&amp;" "&amp;Milestones!$AC$129&amp;";  ","")&amp;IF(AND(EDATE($D107,Milestones!$AA$130)&lt;=AsOfDate,IF($R107=0,$X107,IF(AND($T107&lt;&gt;"",EDATE($D107,Milestones!$AA$130)&gt;=$T107),$W107,IF(AND($S107&lt;&gt;"",EDATE($D107,Milestones!$AA$130)&gt;=$S107),$V107,$U107)))=Milestones!$AB$130),UPPER(TEXT(EDATE($D107,Milestones!$AA$130),"dd mmm yy"))&amp;" "&amp;Milestones!$AB$130&amp;" "&amp;Milestones!$AC$130&amp;";  ","")&amp;IF(AND(EDATE($D107,Milestones!$AA$131)&lt;=AsOfDate,IF($R107=0,$X107,IF(AND($T107&lt;&gt;"",EDATE($D107,Milestones!$AA$131)&gt;=$T107),$W107,IF(AND($S107&lt;&gt;"",EDATE($D107,Milestones!$AA$131)&gt;=$S107),$V107,$U107)))=Milestones!$AB$131),UPPER(TEXT(EDATE($D107,Milestones!$AA$131),"dd mmm yy"))&amp;" "&amp;Milestones!$AB$131&amp;" "&amp;Milestones!$AC$131&amp;";  ","")&amp;IF(AND(EDATE($D107,Milestones!$AA$132)&lt;=AsOfDate,IF($R107=0,$X107,IF(AND($T107&lt;&gt;"",EDATE($D107,Milestones!$AA$132)&gt;=$T107),$W107,IF(AND($S107&lt;&gt;"",EDATE($D107,Milestones!$AA$132)&gt;=$S107),$V107,$U107)))=Milestones!$AB$132),UPPER(TEXT(EDATE($D107,Milestones!$AA$132),"dd mmm yy"))&amp;" "&amp;Milestones!$AB$132&amp;" "&amp;Milestones!$AC$132&amp;";  ","")&amp;IF(AND(EDATE($D107,Milestones!$AA$133)&lt;=AsOfDate,IF($R107=0,$X107,IF(AND($T107&lt;&gt;"",EDATE($D107,Milestones!$AA$133)&gt;=$T107),$W107,IF(AND($S107&lt;&gt;"",EDATE($D107,Milestones!$AA$133)&gt;=$S107),$V107,$U107)))=Milestones!$AB$133),UPPER(TEXT(EDATE($D107,Milestones!$AA$133),"dd mmm yy"))&amp;" "&amp;Milestones!$AB$133&amp;" "&amp;Milestones!$AC$133&amp;";  ","")&amp;IF(AND(EDATE($D107,Milestones!$AA$134)&lt;=AsOfDate,IF($R107=0,$X107,IF(AND($T107&lt;&gt;"",EDATE($D107,Milestones!$AA$134)&gt;=$T107),$W107,IF(AND($S107&lt;&gt;"",EDATE($D107,Milestones!$AA$134)&gt;=$S107),$V107,$U107)))=Milestones!$AB$134),UPPER(TEXT(EDATE($D107,Milestones!$AA$134),"dd mmm yy"))&amp;" "&amp;Milestones!$AB$134&amp;" "&amp;Milestones!$AC$134&amp;";  ","")&amp;IF(AND(EDATE($D107,Milestones!$AA$135)&lt;=AsOfDate,IF($R107=0,$X107,IF(AND($T107&lt;&gt;"",EDATE($D107,Milestones!$AA$135)&gt;=$T107),$W107,IF(AND($S107&lt;&gt;"",EDATE($D107,Milestones!$AA$135)&gt;=$S107),$V107,$U107)))=Milestones!$AB$135),UPPER(TEXT(EDATE($D107,Milestones!$AA$135),"dd mmm yy"))&amp;" "&amp;Milestones!$AB$135&amp;" "&amp;Milestones!$AC$135&amp;";  ","")&amp;IF(AND(EDATE($D107,Milestones!$AA$136)&lt;=AsOfDate,IF($R107=0,$X107,IF(AND($T107&lt;&gt;"",EDATE($D107,Milestones!$AA$136)&gt;=$T107),$W107,IF(AND($S107&lt;&gt;"",EDATE($D107,Milestones!$AA$136)&gt;=$S107),$V107,$U107)))=Milestones!$AB$136),UPPER(TEXT(EDATE($D107,Milestones!$AA$136),"dd mmm yy"))&amp;" "&amp;Milestones!$AB$136&amp;" "&amp;Milestones!$AC$136&amp;";  ","")&amp;IF(AND(EDATE($D107,Milestones!$AA$137)&lt;=AsOfDate,IF($R107=0,$X107,IF(AND($T107&lt;&gt;"",EDATE($D107,Milestones!$AA$137)&gt;=$T107),$W107,IF(AND($S107&lt;&gt;"",EDATE($D107,Milestones!$AA$137)&gt;=$S107),$V107,$U107)))=Milestones!$AB$137),UPPER(TEXT(EDATE($D107,Milestones!$AA$137),"dd mmm yy"))&amp;" "&amp;Milestones!$AB$137&amp;" "&amp;Milestones!$AC$137&amp;";  ","")&amp;IF(AND(EDATE($D107,Milestones!$AA$138)&lt;=AsOfDate,IF($R107=0,$X107,IF(AND($T107&lt;&gt;"",EDATE($D107,Milestones!$AA$138)&gt;=$T107),$W107,IF(AND($S107&lt;&gt;"",EDATE($D107,Milestones!$AA$138)&gt;=$S107),$V107,$U107)))=Milestones!$AB$138),UPPER(TEXT(EDATE($D107,Milestones!$AA$138),"dd mmm yy"))&amp;" "&amp;Milestones!$AB$138&amp;" "&amp;Milestones!$AC$138&amp;";  ","")&amp;IF(AND(EDATE($D107,Milestones!$AA$139)&lt;=AsOfDate,IF($R107=0,$X107,IF(AND($T107&lt;&gt;"",EDATE($D107,Milestones!$AA$139)&gt;=$T107),$W107,IF(AND($S107&lt;&gt;"",EDATE($D107,Milestones!$AA$139)&gt;=$S107),$V107,$U107)))=Milestones!$AB$139),UPPER(TEXT(EDATE($D107,Milestones!$AA$139),"dd mmm yy"))&amp;" "&amp;Milestones!$AB$139&amp;" "&amp;Milestones!$AC$139&amp;";  ",""))</f>
        <v/>
      </c>
      <c r="O107" s="0" t="str">
        <f aca="false">IF(OR($A107="",$D107=""),"",IF(AND(EDATE($D107,Milestones!$AA$140)&lt;=AsOfDate,IF($R107=0,$X107,IF(AND($T107&lt;&gt;"",EDATE($D107,Milestones!$AA$140)&gt;=$T107),$W107,IF(AND($S107&lt;&gt;"",EDATE($D107,Milestones!$AA$140)&gt;=$S107),$V107,$U107)))=Milestones!$AB$140),UPPER(TEXT(EDATE($D107,Milestones!$AA$140),"dd mmm yy"))&amp;" "&amp;Milestones!$AB$140&amp;" "&amp;Milestones!$AC$140&amp;";  ","")&amp;IF(AND(EDATE($D107,Milestones!$AA$141)&lt;=AsOfDate,IF($R107=0,$X107,IF(AND($T107&lt;&gt;"",EDATE($D107,Milestones!$AA$141)&gt;=$T107),$W107,IF(AND($S107&lt;&gt;"",EDATE($D107,Milestones!$AA$141)&gt;=$S107),$V107,$U107)))=Milestones!$AB$141),UPPER(TEXT(EDATE($D107,Milestones!$AA$141),"dd mmm yy"))&amp;" "&amp;Milestones!$AB$141&amp;" "&amp;Milestones!$AC$141&amp;";  ","")&amp;IF(AND(EDATE($D107,Milestones!$AA$142)&lt;=AsOfDate,IF($R107=0,$X107,IF(AND($T107&lt;&gt;"",EDATE($D107,Milestones!$AA$142)&gt;=$T107),$W107,IF(AND($S107&lt;&gt;"",EDATE($D107,Milestones!$AA$142)&gt;=$S107),$V107,$U107)))=Milestones!$AB$142),UPPER(TEXT(EDATE($D107,Milestones!$AA$142),"dd mmm yy"))&amp;" "&amp;Milestones!$AB$142&amp;" "&amp;Milestones!$AC$142&amp;";  ","")&amp;IF(AND(EDATE($D107,Milestones!$AA$143)&lt;=AsOfDate,IF($R107=0,$X107,IF(AND($T107&lt;&gt;"",EDATE($D107,Milestones!$AA$143)&gt;=$T107),$W107,IF(AND($S107&lt;&gt;"",EDATE($D107,Milestones!$AA$143)&gt;=$S107),$V107,$U107)))=Milestones!$AB$143),UPPER(TEXT(EDATE($D107,Milestones!$AA$143),"dd mmm yy"))&amp;" "&amp;Milestones!$AB$143&amp;" "&amp;Milestones!$AC$143&amp;";  ","")&amp;IF(AND(EDATE($D107,Milestones!$AA$144)&lt;=AsOfDate,IF($R107=0,$X107,IF(AND($T107&lt;&gt;"",EDATE($D107,Milestones!$AA$144)&gt;=$T107),$W107,IF(AND($S107&lt;&gt;"",EDATE($D107,Milestones!$AA$144)&gt;=$S107),$V107,$U107)))=Milestones!$AB$144),UPPER(TEXT(EDATE($D107,Milestones!$AA$144),"dd mmm yy"))&amp;" "&amp;Milestones!$AB$144&amp;" "&amp;Milestones!$AC$144&amp;";  ","")&amp;IF(AND(EDATE($D107,Milestones!$AA$145)&lt;=AsOfDate,IF($R107=0,$X107,IF(AND($T107&lt;&gt;"",EDATE($D107,Milestones!$AA$145)&gt;=$T107),$W107,IF(AND($S107&lt;&gt;"",EDATE($D107,Milestones!$AA$145)&gt;=$S107),$V107,$U107)))=Milestones!$AB$145),UPPER(TEXT(EDATE($D107,Milestones!$AA$145),"dd mmm yy"))&amp;" "&amp;Milestones!$AB$145&amp;" "&amp;Milestones!$AC$145&amp;";  ","")&amp;IF(AND(EDATE($D107,Milestones!$AA$146)&lt;=AsOfDate,IF($R107=0,$X107,IF(AND($T107&lt;&gt;"",EDATE($D107,Milestones!$AA$146)&gt;=$T107),$W107,IF(AND($S107&lt;&gt;"",EDATE($D107,Milestones!$AA$146)&gt;=$S107),$V107,$U107)))=Milestones!$AB$146),UPPER(TEXT(EDATE($D107,Milestones!$AA$146),"dd mmm yy"))&amp;" "&amp;Milestones!$AB$146&amp;" "&amp;Milestones!$AC$146&amp;";  ","")&amp;IF(AND(EDATE($D107,Milestones!$AA$147)&lt;=AsOfDate,IF($R107=0,$X107,IF(AND($T107&lt;&gt;"",EDATE($D107,Milestones!$AA$147)&gt;=$T107),$W107,IF(AND($S107&lt;&gt;"",EDATE($D107,Milestones!$AA$147)&gt;=$S107),$V107,$U107)))=Milestones!$AB$147),UPPER(TEXT(EDATE($D107,Milestones!$AA$147),"dd mmm yy"))&amp;" "&amp;Milestones!$AB$147&amp;" "&amp;Milestones!$AC$147&amp;";  ","")&amp;IF(AND(EDATE($D107,Milestones!$AA$148)&lt;=AsOfDate,IF($R107=0,$X107,IF(AND($T107&lt;&gt;"",EDATE($D107,Milestones!$AA$148)&gt;=$T107),$W107,IF(AND($S107&lt;&gt;"",EDATE($D107,Milestones!$AA$148)&gt;=$S107),$V107,$U107)))=Milestones!$AB$148),UPPER(TEXT(EDATE($D107,Milestones!$AA$148),"dd mmm yy"))&amp;" "&amp;Milestones!$AB$148&amp;" "&amp;Milestones!$AC$148&amp;";  ","")&amp;IF(AND(EDATE($D107,Milestones!$AA$149)&lt;=AsOfDate,IF($R107=0,$X107,IF(AND($T107&lt;&gt;"",EDATE($D107,Milestones!$AA$149)&gt;=$T107),$W107,IF(AND($S107&lt;&gt;"",EDATE($D107,Milestones!$AA$149)&gt;=$S107),$V107,$U107)))=Milestones!$AB$149),UPPER(TEXT(EDATE($D107,Milestones!$AA$149),"dd mmm yy"))&amp;" "&amp;Milestones!$AB$149&amp;" "&amp;Milestones!$AC$149&amp;";  ","")&amp;IF(AND(EDATE($D107,Milestones!$AA$150)&lt;=AsOfDate,IF($R107=0,$X107,IF(AND($T107&lt;&gt;"",EDATE($D107,Milestones!$AA$150)&gt;=$T107),$W107,IF(AND($S107&lt;&gt;"",EDATE($D107,Milestones!$AA$150)&gt;=$S107),$V107,$U107)))=Milestones!$AB$150),UPPER(TEXT(EDATE($D107,Milestones!$AA$150),"dd mmm yy"))&amp;" "&amp;Milestones!$AB$150&amp;" "&amp;Milestones!$AC$150&amp;";  ","")&amp;IF(AND(EDATE($D107,Milestones!$AA$151)&lt;=AsOfDate,IF($R107=0,$X107,IF(AND($T107&lt;&gt;"",EDATE($D107,Milestones!$AA$151)&gt;=$T107),$W107,IF(AND($S107&lt;&gt;"",EDATE($D107,Milestones!$AA$151)&gt;=$S107),$V107,$U107)))=Milestones!$AB$151),UPPER(TEXT(EDATE($D107,Milestones!$AA$151),"dd mmm yy"))&amp;" "&amp;Milestones!$AB$151&amp;" "&amp;Milestones!$AC$151&amp;";  ","")&amp;IF(AND(EDATE($D107,Milestones!$AA$152)&lt;=AsOfDate,IF($R107=0,$X107,IF(AND($T107&lt;&gt;"",EDATE($D107,Milestones!$AA$152)&gt;=$T107),$W107,IF(AND($S107&lt;&gt;"",EDATE($D107,Milestones!$AA$152)&gt;=$S107),$V107,$U107)))=Milestones!$AB$152),UPPER(TEXT(EDATE($D107,Milestones!$AA$152),"dd mmm yy"))&amp;" "&amp;Milestones!$AB$152&amp;" "&amp;Milestones!$AC$152&amp;";  ","")&amp;IF(AND(EDATE($D107,Milestones!$AA$153)&lt;=AsOfDate,IF($R107=0,$X107,IF(AND($T107&lt;&gt;"",EDATE($D107,Milestones!$AA$153)&gt;=$T107),$W107,IF(AND($S107&lt;&gt;"",EDATE($D107,Milestones!$AA$153)&gt;=$S107),$V107,$U107)))=Milestones!$AB$153),UPPER(TEXT(EDATE($D107,Milestones!$AA$153),"dd mmm yy"))&amp;" "&amp;Milestones!$AB$153&amp;" "&amp;Milestones!$AC$153&amp;";  ","")&amp;IF(AND(EDATE($D107,Milestones!$AA$154)&lt;=AsOfDate,IF($R107=0,$X107,IF(AND($T107&lt;&gt;"",EDATE($D107,Milestones!$AA$154)&gt;=$T107),$W107,IF(AND($S107&lt;&gt;"",EDATE($D107,Milestones!$AA$154)&gt;=$S107),$V107,$U107)))=Milestones!$AB$154),UPPER(TEXT(EDATE($D107,Milestones!$AA$154),"dd mmm yy"))&amp;" "&amp;Milestones!$AB$154&amp;" "&amp;Milestones!$AC$154&amp;";  ","")&amp;IF(AND(EDATE($D107,Milestones!$AA$155)&lt;=AsOfDate,IF($R107=0,$X107,IF(AND($T107&lt;&gt;"",EDATE($D107,Milestones!$AA$155)&gt;=$T107),$W107,IF(AND($S107&lt;&gt;"",EDATE($D107,Milestones!$AA$155)&gt;=$S107),$V107,$U107)))=Milestones!$AB$155),UPPER(TEXT(EDATE($D107,Milestones!$AA$155),"dd mmm yy"))&amp;" "&amp;Milestones!$AB$155&amp;" "&amp;Milestones!$AC$155&amp;";  ","")&amp;IF(AND(EDATE($D107,Milestones!$AA$156)&lt;=AsOfDate,IF($R107=0,$X107,IF(AND($T107&lt;&gt;"",EDATE($D107,Milestones!$AA$156)&gt;=$T107),$W107,IF(AND($S107&lt;&gt;"",EDATE($D107,Milestones!$AA$156)&gt;=$S107),$V107,$U107)))=Milestones!$AB$156),UPPER(TEXT(EDATE($D107,Milestones!$AA$156),"dd mmm yy"))&amp;" "&amp;Milestones!$AB$156&amp;" "&amp;Milestones!$AC$156&amp;";  ","")&amp;IF(AND(EDATE($D107,Milestones!$AA$157)&lt;=AsOfDate,IF($R107=0,$X107,IF(AND($T107&lt;&gt;"",EDATE($D107,Milestones!$AA$157)&gt;=$T107),$W107,IF(AND($S107&lt;&gt;"",EDATE($D107,Milestones!$AA$157)&gt;=$S107),$V107,$U107)))=Milestones!$AB$157),UPPER(TEXT(EDATE($D107,Milestones!$AA$157),"dd mmm yy"))&amp;" "&amp;Milestones!$AB$157&amp;" "&amp;Milestones!$AC$157&amp;";  ","")&amp;IF(AND(EDATE($D107,Milestones!$AA$158)&lt;=AsOfDate,IF($R107=0,$X107,IF(AND($T107&lt;&gt;"",EDATE($D107,Milestones!$AA$158)&gt;=$T107),$W107,IF(AND($S107&lt;&gt;"",EDATE($D107,Milestones!$AA$158)&gt;=$S107),$V107,$U107)))=Milestones!$AB$158),UPPER(TEXT(EDATE($D107,Milestones!$AA$158),"dd mmm yy"))&amp;" "&amp;Milestones!$AB$158&amp;" "&amp;Milestones!$AC$158&amp;";  ","")&amp;IF(AND(EDATE($D107,Milestones!$AA$159)&lt;=AsOfDate,IF($R107=0,$X107,IF(AND($T107&lt;&gt;"",EDATE($D107,Milestones!$AA$159)&gt;=$T107),$W107,IF(AND($S107&lt;&gt;"",EDATE($D107,Milestones!$AA$159)&gt;=$S107),$V107,$U107)))=Milestones!$AB$159),UPPER(TEXT(EDATE($D107,Milestones!$AA$159),"dd mmm yy"))&amp;" "&amp;Milestones!$AB$159&amp;" "&amp;Milestones!$AC$159&amp;";  ",""))</f>
        <v/>
      </c>
      <c r="P107" s="0" t="str">
        <f aca="false">IF(OR($A107="",$D107=""),"",IF(AND(EDATE($D107,Milestones!$AA$160)&lt;=AsOfDate,IF($R107=0,$X107,IF(AND($T107&lt;&gt;"",EDATE($D107,Milestones!$AA$160)&gt;=$T107),$W107,IF(AND($S107&lt;&gt;"",EDATE($D107,Milestones!$AA$160)&gt;=$S107),$V107,$U107)))=Milestones!$AB$160),UPPER(TEXT(EDATE($D107,Milestones!$AA$160),"dd mmm yy"))&amp;" "&amp;Milestones!$AB$160&amp;" "&amp;Milestones!$AC$160&amp;";  ","")&amp;IF(AND(EDATE($D107,Milestones!$AA$161)&lt;=AsOfDate,IF($R107=0,$X107,IF(AND($T107&lt;&gt;"",EDATE($D107,Milestones!$AA$161)&gt;=$T107),$W107,IF(AND($S107&lt;&gt;"",EDATE($D107,Milestones!$AA$161)&gt;=$S107),$V107,$U107)))=Milestones!$AB$161),UPPER(TEXT(EDATE($D107,Milestones!$AA$161),"dd mmm yy"))&amp;" "&amp;Milestones!$AB$161&amp;" "&amp;Milestones!$AC$161&amp;";  ","")&amp;IF(AND(EDATE($D107,Milestones!$AA$162)&lt;=AsOfDate,IF($R107=0,$X107,IF(AND($T107&lt;&gt;"",EDATE($D107,Milestones!$AA$162)&gt;=$T107),$W107,IF(AND($S107&lt;&gt;"",EDATE($D107,Milestones!$AA$162)&gt;=$S107),$V107,$U107)))=Milestones!$AB$162),UPPER(TEXT(EDATE($D107,Milestones!$AA$162),"dd mmm yy"))&amp;" "&amp;Milestones!$AB$162&amp;" "&amp;Milestones!$AC$162&amp;";  ","")&amp;IF(AND(EDATE($D107,Milestones!$AA$163)&lt;=AsOfDate,IF($R107=0,$X107,IF(AND($T107&lt;&gt;"",EDATE($D107,Milestones!$AA$163)&gt;=$T107),$W107,IF(AND($S107&lt;&gt;"",EDATE($D107,Milestones!$AA$163)&gt;=$S107),$V107,$U107)))=Milestones!$AB$163),UPPER(TEXT(EDATE($D107,Milestones!$AA$163),"dd mmm yy"))&amp;" "&amp;Milestones!$AB$163&amp;" "&amp;Milestones!$AC$163&amp;";  ","")&amp;IF(AND(EDATE($D107,Milestones!$AA$164)&lt;=AsOfDate,IF($R107=0,$X107,IF(AND($T107&lt;&gt;"",EDATE($D107,Milestones!$AA$164)&gt;=$T107),$W107,IF(AND($S107&lt;&gt;"",EDATE($D107,Milestones!$AA$164)&gt;=$S107),$V107,$U107)))=Milestones!$AB$164),UPPER(TEXT(EDATE($D107,Milestones!$AA$164),"dd mmm yy"))&amp;" "&amp;Milestones!$AB$164&amp;" "&amp;Milestones!$AC$164&amp;";  ","")&amp;IF(AND(EDATE($D107,Milestones!$AA$165)&lt;=AsOfDate,IF($R107=0,$X107,IF(AND($T107&lt;&gt;"",EDATE($D107,Milestones!$AA$165)&gt;=$T107),$W107,IF(AND($S107&lt;&gt;"",EDATE($D107,Milestones!$AA$165)&gt;=$S107),$V107,$U107)))=Milestones!$AB$165),UPPER(TEXT(EDATE($D107,Milestones!$AA$165),"dd mmm yy"))&amp;" "&amp;Milestones!$AB$165&amp;" "&amp;Milestones!$AC$165&amp;";  ","")&amp;IF(AND(EDATE($D107,Milestones!$AA$166)&lt;=AsOfDate,IF($R107=0,$X107,IF(AND($T107&lt;&gt;"",EDATE($D107,Milestones!$AA$166)&gt;=$T107),$W107,IF(AND($S107&lt;&gt;"",EDATE($D107,Milestones!$AA$166)&gt;=$S107),$V107,$U107)))=Milestones!$AB$166),UPPER(TEXT(EDATE($D107,Milestones!$AA$166),"dd mmm yy"))&amp;" "&amp;Milestones!$AB$166&amp;" "&amp;Milestones!$AC$166&amp;";  ","")&amp;IF(AND(EDATE($D107,Milestones!$AA$167)&lt;=AsOfDate,IF($R107=0,$X107,IF(AND($T107&lt;&gt;"",EDATE($D107,Milestones!$AA$167)&gt;=$T107),$W107,IF(AND($S107&lt;&gt;"",EDATE($D107,Milestones!$AA$167)&gt;=$S107),$V107,$U107)))=Milestones!$AB$167),UPPER(TEXT(EDATE($D107,Milestones!$AA$167),"dd mmm yy"))&amp;" "&amp;Milestones!$AB$167&amp;" "&amp;Milestones!$AC$167&amp;";  ","")&amp;IF(AND(EDATE($D107,Milestones!$AA$168)&lt;=AsOfDate,IF($R107=0,$X107,IF(AND($T107&lt;&gt;"",EDATE($D107,Milestones!$AA$168)&gt;=$T107),$W107,IF(AND($S107&lt;&gt;"",EDATE($D107,Milestones!$AA$168)&gt;=$S107),$V107,$U107)))=Milestones!$AB$168),UPPER(TEXT(EDATE($D107,Milestones!$AA$168),"dd mmm yy"))&amp;" "&amp;Milestones!$AB$168&amp;" "&amp;Milestones!$AC$168&amp;";  ","")&amp;IF(AND(EDATE($D107,Milestones!$AA$169)&lt;=AsOfDate,IF($R107=0,$X107,IF(AND($T107&lt;&gt;"",EDATE($D107,Milestones!$AA$169)&gt;=$T107),$W107,IF(AND($S107&lt;&gt;"",EDATE($D107,Milestones!$AA$169)&gt;=$S107),$V107,$U107)))=Milestones!$AB$169),UPPER(TEXT(EDATE($D107,Milestones!$AA$169),"dd mmm yy"))&amp;" "&amp;Milestones!$AB$169&amp;" "&amp;Milestones!$AC$169&amp;";  ","")&amp;IF(AND(EDATE($D107,Milestones!$AA$170)&lt;=AsOfDate,IF($R107=0,$X107,IF(AND($T107&lt;&gt;"",EDATE($D107,Milestones!$AA$170)&gt;=$T107),$W107,IF(AND($S107&lt;&gt;"",EDATE($D107,Milestones!$AA$170)&gt;=$S107),$V107,$U107)))=Milestones!$AB$170),UPPER(TEXT(EDATE($D107,Milestones!$AA$170),"dd mmm yy"))&amp;" "&amp;Milestones!$AB$170&amp;" "&amp;Milestones!$AC$170&amp;";  ","")&amp;IF(AND(EDATE($D107,Milestones!$AA$171)&lt;=AsOfDate,IF($R107=0,$X107,IF(AND($T107&lt;&gt;"",EDATE($D107,Milestones!$AA$171)&gt;=$T107),$W107,IF(AND($S107&lt;&gt;"",EDATE($D107,Milestones!$AA$171)&gt;=$S107),$V107,$U107)))=Milestones!$AB$171),UPPER(TEXT(EDATE($D107,Milestones!$AA$171),"dd mmm yy"))&amp;" "&amp;Milestones!$AB$171&amp;" "&amp;Milestones!$AC$171&amp;";  ","")&amp;IF(AND(EDATE($D107,Milestones!$AA$172)&lt;=AsOfDate,IF($R107=0,$X107,IF(AND($T107&lt;&gt;"",EDATE($D107,Milestones!$AA$172)&gt;=$T107),$W107,IF(AND($S107&lt;&gt;"",EDATE($D107,Milestones!$AA$172)&gt;=$S107),$V107,$U107)))=Milestones!$AB$172),UPPER(TEXT(EDATE($D107,Milestones!$AA$172),"dd mmm yy"))&amp;" "&amp;Milestones!$AB$172&amp;" "&amp;Milestones!$AC$172&amp;";  ","")&amp;IF(AND(EDATE($D107,Milestones!$AA$173)&lt;=AsOfDate,IF($R107=0,$X107,IF(AND($T107&lt;&gt;"",EDATE($D107,Milestones!$AA$173)&gt;=$T107),$W107,IF(AND($S107&lt;&gt;"",EDATE($D107,Milestones!$AA$173)&gt;=$S107),$V107,$U107)))=Milestones!$AB$173),UPPER(TEXT(EDATE($D107,Milestones!$AA$173),"dd mmm yy"))&amp;" "&amp;Milestones!$AB$173&amp;" "&amp;Milestones!$AC$173&amp;";  ","")&amp;IF(AND(EDATE($D107,Milestones!$AA$174)&lt;=AsOfDate,IF($R107=0,$X107,IF(AND($T107&lt;&gt;"",EDATE($D107,Milestones!$AA$174)&gt;=$T107),$W107,IF(AND($S107&lt;&gt;"",EDATE($D107,Milestones!$AA$174)&gt;=$S107),$V107,$U107)))=Milestones!$AB$174),UPPER(TEXT(EDATE($D107,Milestones!$AA$174),"dd mmm yy"))&amp;" "&amp;Milestones!$AB$174&amp;" "&amp;Milestones!$AC$174&amp;";  ","")&amp;IF(AND(EDATE($D107,Milestones!$AA$175)&lt;=AsOfDate,IF($R107=0,$X107,IF(AND($T107&lt;&gt;"",EDATE($D107,Milestones!$AA$175)&gt;=$T107),$W107,IF(AND($S107&lt;&gt;"",EDATE($D107,Milestones!$AA$175)&gt;=$S107),$V107,$U107)))=Milestones!$AB$175),UPPER(TEXT(EDATE($D107,Milestones!$AA$175),"dd mmm yy"))&amp;" "&amp;Milestones!$AB$175&amp;" "&amp;Milestones!$AC$175&amp;";  ","")&amp;IF(AND(EDATE($D107,Milestones!$AA$176)&lt;=AsOfDate,IF($R107=0,$X107,IF(AND($T107&lt;&gt;"",EDATE($D107,Milestones!$AA$176)&gt;=$T107),$W107,IF(AND($S107&lt;&gt;"",EDATE($D107,Milestones!$AA$176)&gt;=$S107),$V107,$U107)))=Milestones!$AB$176),UPPER(TEXT(EDATE($D107,Milestones!$AA$176),"dd mmm yy"))&amp;" "&amp;Milestones!$AB$176&amp;" "&amp;Milestones!$AC$176&amp;";  ","")&amp;IF(AND(EDATE($D107,Milestones!$AA$177)&lt;=AsOfDate,IF($R107=0,$X107,IF(AND($T107&lt;&gt;"",EDATE($D107,Milestones!$AA$177)&gt;=$T107),$W107,IF(AND($S107&lt;&gt;"",EDATE($D107,Milestones!$AA$177)&gt;=$S107),$V107,$U107)))=Milestones!$AB$177),UPPER(TEXT(EDATE($D107,Milestones!$AA$177),"dd mmm yy"))&amp;" "&amp;Milestones!$AB$177&amp;" "&amp;Milestones!$AC$177&amp;";  ","")&amp;IF(AND(EDATE($D107,Milestones!$AA$178)&lt;=AsOfDate,IF($R107=0,$X107,IF(AND($T107&lt;&gt;"",EDATE($D107,Milestones!$AA$178)&gt;=$T107),$W107,IF(AND($S107&lt;&gt;"",EDATE($D107,Milestones!$AA$178)&gt;=$S107),$V107,$U107)))=Milestones!$AB$178),UPPER(TEXT(EDATE($D107,Milestones!$AA$178),"dd mmm yy"))&amp;" "&amp;Milestones!$AB$178&amp;" "&amp;Milestones!$AC$178&amp;";  ","")&amp;IF(AND(EDATE($D107,Milestones!$AA$179)&lt;=AsOfDate,IF($R107=0,$X107,IF(AND($T107&lt;&gt;"",EDATE($D107,Milestones!$AA$179)&gt;=$T107),$W107,IF(AND($S107&lt;&gt;"",EDATE($D107,Milestones!$AA$179)&gt;=$S107),$V107,$U107)))=Milestones!$AB$179),UPPER(TEXT(EDATE($D107,Milestones!$AA$179),"dd mmm yy"))&amp;" "&amp;Milestones!$AB$179&amp;" "&amp;Milestones!$AC$179&amp;";  ",""))</f>
        <v/>
      </c>
      <c r="Q107" s="0" t="str">
        <f aca="false">IF(OR($A107="",$D107=""),"",IF(AND(EDATE($D107,Milestones!$AA$180)&lt;=AsOfDate,IF($R107=0,$X107,IF(AND($T107&lt;&gt;"",EDATE($D107,Milestones!$AA$180)&gt;=$T107),$W107,IF(AND($S107&lt;&gt;"",EDATE($D107,Milestones!$AA$180)&gt;=$S107),$V107,$U107)))=Milestones!$AB$180),UPPER(TEXT(EDATE($D107,Milestones!$AA$180),"dd mmm yy"))&amp;" "&amp;Milestones!$AB$180&amp;" "&amp;Milestones!$AC$180&amp;";  ","")&amp;IF(AND(EDATE($D107,Milestones!$AA$181)&lt;=AsOfDate,IF($R107=0,$X107,IF(AND($T107&lt;&gt;"",EDATE($D107,Milestones!$AA$181)&gt;=$T107),$W107,IF(AND($S107&lt;&gt;"",EDATE($D107,Milestones!$AA$181)&gt;=$S107),$V107,$U107)))=Milestones!$AB$181),UPPER(TEXT(EDATE($D107,Milestones!$AA$181),"dd mmm yy"))&amp;" "&amp;Milestones!$AB$181&amp;" "&amp;Milestones!$AC$181&amp;";  ","")&amp;IF(AND(EDATE($D107,Milestones!$AA$182)&lt;=AsOfDate,IF($R107=0,$X107,IF(AND($T107&lt;&gt;"",EDATE($D107,Milestones!$AA$182)&gt;=$T107),$W107,IF(AND($S107&lt;&gt;"",EDATE($D107,Milestones!$AA$182)&gt;=$S107),$V107,$U107)))=Milestones!$AB$182),UPPER(TEXT(EDATE($D107,Milestones!$AA$182),"dd mmm yy"))&amp;" "&amp;Milestones!$AB$182&amp;" "&amp;Milestones!$AC$182&amp;";  ","")&amp;IF(AND(EDATE($D107,Milestones!$AA$183)&lt;=AsOfDate,IF($R107=0,$X107,IF(AND($T107&lt;&gt;"",EDATE($D107,Milestones!$AA$183)&gt;=$T107),$W107,IF(AND($S107&lt;&gt;"",EDATE($D107,Milestones!$AA$183)&gt;=$S107),$V107,$U107)))=Milestones!$AB$183),UPPER(TEXT(EDATE($D107,Milestones!$AA$183),"dd mmm yy"))&amp;" "&amp;Milestones!$AB$183&amp;" "&amp;Milestones!$AC$183&amp;";  ","")&amp;IF(AND(EDATE($D107,Milestones!$AA$184)&lt;=AsOfDate,IF($R107=0,$X107,IF(AND($T107&lt;&gt;"",EDATE($D107,Milestones!$AA$184)&gt;=$T107),$W107,IF(AND($S107&lt;&gt;"",EDATE($D107,Milestones!$AA$184)&gt;=$S107),$V107,$U107)))=Milestones!$AB$184),UPPER(TEXT(EDATE($D107,Milestones!$AA$184),"dd mmm yy"))&amp;" "&amp;Milestones!$AB$184&amp;" "&amp;Milestones!$AC$184&amp;";  ","")&amp;IF(AND(EDATE($D107,Milestones!$AA$185)&lt;=AsOfDate,IF($R107=0,$X107,IF(AND($T107&lt;&gt;"",EDATE($D107,Milestones!$AA$185)&gt;=$T107),$W107,IF(AND($S107&lt;&gt;"",EDATE($D107,Milestones!$AA$185)&gt;=$S107),$V107,$U107)))=Milestones!$AB$185),UPPER(TEXT(EDATE($D107,Milestones!$AA$185),"dd mmm yy"))&amp;" "&amp;Milestones!$AB$185&amp;" "&amp;Milestones!$AC$185&amp;";  ","")&amp;IF(AND(EDATE($D107,Milestones!$AA$186)&lt;=AsOfDate,IF($R107=0,$X107,IF(AND($T107&lt;&gt;"",EDATE($D107,Milestones!$AA$186)&gt;=$T107),$W107,IF(AND($S107&lt;&gt;"",EDATE($D107,Milestones!$AA$186)&gt;=$S107),$V107,$U107)))=Milestones!$AB$186),UPPER(TEXT(EDATE($D107,Milestones!$AA$186),"dd mmm yy"))&amp;" "&amp;Milestones!$AB$186&amp;" "&amp;Milestones!$AC$186&amp;";  ","")&amp;IF(AND(EDATE($D107,Milestones!$AA$187)&lt;=AsOfDate,IF($R107=0,$X107,IF(AND($T107&lt;&gt;"",EDATE($D107,Milestones!$AA$187)&gt;=$T107),$W107,IF(AND($S107&lt;&gt;"",EDATE($D107,Milestones!$AA$187)&gt;=$S107),$V107,$U107)))=Milestones!$AB$187),UPPER(TEXT(EDATE($D107,Milestones!$AA$187),"dd mmm yy"))&amp;" "&amp;Milestones!$AB$187&amp;" "&amp;Milestones!$AC$187&amp;";  ","")&amp;IF(AND(EDATE($D107,Milestones!$AA$188)&lt;=AsOfDate,IF($R107=0,$X107,IF(AND($T107&lt;&gt;"",EDATE($D107,Milestones!$AA$188)&gt;=$T107),$W107,IF(AND($S107&lt;&gt;"",EDATE($D107,Milestones!$AA$188)&gt;=$S107),$V107,$U107)))=Milestones!$AB$188),UPPER(TEXT(EDATE($D107,Milestones!$AA$188),"dd mmm yy"))&amp;" "&amp;Milestones!$AB$188&amp;" "&amp;Milestones!$AC$188&amp;";  ","")&amp;IF(AND(EDATE($D107,Milestones!$AA$189)&lt;=AsOfDate,IF($R107=0,$X107,IF(AND($T107&lt;&gt;"",EDATE($D107,Milestones!$AA$189)&gt;=$T107),$W107,IF(AND($S107&lt;&gt;"",EDATE($D107,Milestones!$AA$189)&gt;=$S107),$V107,$U107)))=Milestones!$AB$189),UPPER(TEXT(EDATE($D107,Milestones!$AA$189),"dd mmm yy"))&amp;" "&amp;Milestones!$AB$189&amp;" "&amp;Milestones!$AC$189&amp;";  ","")&amp;IF(AND(EDATE($D107,Milestones!$AA$190)&lt;=AsOfDate,IF($R107=0,$X107,IF(AND($T107&lt;&gt;"",EDATE($D107,Milestones!$AA$190)&gt;=$T107),$W107,IF(AND($S107&lt;&gt;"",EDATE($D107,Milestones!$AA$190)&gt;=$S107),$V107,$U107)))=Milestones!$AB$190),UPPER(TEXT(EDATE($D107,Milestones!$AA$190),"dd mmm yy"))&amp;" "&amp;Milestones!$AB$190&amp;" "&amp;Milestones!$AC$190&amp;";  ","")&amp;IF(AND(EDATE($D107,Milestones!$AA$191)&lt;=AsOfDate,IF($R107=0,$X107,IF(AND($T107&lt;&gt;"",EDATE($D107,Milestones!$AA$191)&gt;=$T107),$W107,IF(AND($S107&lt;&gt;"",EDATE($D107,Milestones!$AA$191)&gt;=$S107),$V107,$U107)))=Milestones!$AB$191),UPPER(TEXT(EDATE($D107,Milestones!$AA$191),"dd mmm yy"))&amp;" "&amp;Milestones!$AB$191&amp;" "&amp;Milestones!$AC$191&amp;";  ","")&amp;IF(AND(EDATE($D107,Milestones!$AA$192)&lt;=AsOfDate,IF($R107=0,$X107,IF(AND($T107&lt;&gt;"",EDATE($D107,Milestones!$AA$192)&gt;=$T107),$W107,IF(AND($S107&lt;&gt;"",EDATE($D107,Milestones!$AA$192)&gt;=$S107),$V107,$U107)))=Milestones!$AB$192),UPPER(TEXT(EDATE($D107,Milestones!$AA$192),"dd mmm yy"))&amp;" "&amp;Milestones!$AB$192&amp;" "&amp;Milestones!$AC$192&amp;";  ","")&amp;IF(AND(EDATE($D107,Milestones!$AA$193)&lt;=AsOfDate,IF($R107=0,$X107,IF(AND($T107&lt;&gt;"",EDATE($D107,Milestones!$AA$193)&gt;=$T107),$W107,IF(AND($S107&lt;&gt;"",EDATE($D107,Milestones!$AA$193)&gt;=$S107),$V107,$U107)))=Milestones!$AB$193),UPPER(TEXT(EDATE($D107,Milestones!$AA$193),"dd mmm yy"))&amp;" "&amp;Milestones!$AB$193&amp;" "&amp;Milestones!$AC$193&amp;";  ","")&amp;IF(AND(EDATE($D107,Milestones!$AA$194)&lt;=AsOfDate,IF($R107=0,$X107,IF(AND($T107&lt;&gt;"",EDATE($D107,Milestones!$AA$194)&gt;=$T107),$W107,IF(AND($S107&lt;&gt;"",EDATE($D107,Milestones!$AA$194)&gt;=$S107),$V107,$U107)))=Milestones!$AB$194),UPPER(TEXT(EDATE($D107,Milestones!$AA$194),"dd mmm yy"))&amp;" "&amp;Milestones!$AB$194&amp;" "&amp;Milestones!$AC$194&amp;";  ","")&amp;IF(AND(EDATE($D107,Milestones!$AA$195)&lt;=AsOfDate,IF($R107=0,$X107,IF(AND($T107&lt;&gt;"",EDATE($D107,Milestones!$AA$195)&gt;=$T107),$W107,IF(AND($S107&lt;&gt;"",EDATE($D107,Milestones!$AA$195)&gt;=$S107),$V107,$U107)))=Milestones!$AB$195),UPPER(TEXT(EDATE($D107,Milestones!$AA$195),"dd mmm yy"))&amp;" "&amp;Milestones!$AB$195&amp;" "&amp;Milestones!$AC$195&amp;";  ","")&amp;IF(AND(EDATE($D107,Milestones!$AA$196)&lt;=AsOfDate,IF($R107=0,$X107,IF(AND($T107&lt;&gt;"",EDATE($D107,Milestones!$AA$196)&gt;=$T107),$W107,IF(AND($S107&lt;&gt;"",EDATE($D107,Milestones!$AA$196)&gt;=$S107),$V107,$U107)))=Milestones!$AB$196),UPPER(TEXT(EDATE($D107,Milestones!$AA$196),"dd mmm yy"))&amp;" "&amp;Milestones!$AB$196&amp;" "&amp;Milestones!$AC$196&amp;";  ","")&amp;IF(AND(EDATE($D107,Milestones!$AA$197)&lt;=AsOfDate,IF($R107=0,$X107,IF(AND($T107&lt;&gt;"",EDATE($D107,Milestones!$AA$197)&gt;=$T107),$W107,IF(AND($S107&lt;&gt;"",EDATE($D107,Milestones!$AA$197)&gt;=$S107),$V107,$U107)))=Milestones!$AB$197),UPPER(TEXT(EDATE($D107,Milestones!$AA$197),"dd mmm yy"))&amp;" "&amp;Milestones!$AB$197&amp;" "&amp;Milestones!$AC$197&amp;";  ","")&amp;IF(AND(EDATE($D107,Milestones!$AA$198)&lt;=AsOfDate,IF($R107=0,$X107,IF(AND($T107&lt;&gt;"",EDATE($D107,Milestones!$AA$198)&gt;=$T107),$W107,IF(AND($S107&lt;&gt;"",EDATE($D107,Milestones!$AA$198)&gt;=$S107),$V107,$U107)))=Milestones!$AB$198),UPPER(TEXT(EDATE($D107,Milestones!$AA$198),"dd mmm yy"))&amp;" "&amp;Milestones!$AB$198&amp;" "&amp;Milestones!$AC$198&amp;";  ","")&amp;IF(AND(EDATE($D107,Milestones!$AA$199)&lt;=AsOfDate,IF($R107=0,$X107,IF(AND($T107&lt;&gt;"",EDATE($D107,Milestones!$AA$199)&gt;=$T107),$W107,IF(AND($S107&lt;&gt;"",EDATE($D107,Milestones!$AA$199)&gt;=$S107),$V107,$U107)))=Milestones!$AB$199),UPPER(TEXT(EDATE($D107,Milestones!$AA$199),"dd mmm yy"))&amp;" "&amp;Milestones!$AB$199&amp;" "&amp;Milestones!$AC$199&amp;";  ",""))</f>
        <v/>
      </c>
      <c r="R107" s="0" t="str">
        <f aca="false">IF(Staff!$A107="","",Staff!$AI107)</f>
        <v/>
      </c>
      <c r="S107" s="0" t="str">
        <f aca="false">IF(Staff!$A107="","",Staff!$AK107)</f>
        <v/>
      </c>
      <c r="T107" s="0" t="str">
        <f aca="false">IF(Staff!$A107="","",Staff!$AL107)</f>
        <v/>
      </c>
      <c r="U107" s="0" t="str">
        <f aca="false">IF(Staff!$A107="","",Staff!$AP107)</f>
        <v/>
      </c>
      <c r="V107" s="0" t="str">
        <f aca="false">IF(Staff!$A107="","",Staff!$AQ107)</f>
        <v/>
      </c>
      <c r="W107" s="0" t="str">
        <f aca="false">IF(Staff!$A107="","",Staff!$AR107)</f>
        <v/>
      </c>
      <c r="X107" s="0" t="str">
        <f aca="false">IF(Staff!$A107="","",Staff!$AS107)</f>
        <v/>
      </c>
    </row>
    <row r="108" customFormat="false" ht="15" hidden="false" customHeight="false" outlineLevel="0" collapsed="false">
      <c r="A108" s="14" t="str">
        <f aca="false">IF(Staff!$A108="","",Staff!$A108)</f>
        <v/>
      </c>
      <c r="B108" s="14" t="str">
        <f aca="false">IF(Staff!$A108="","",Staff!$B108)</f>
        <v/>
      </c>
      <c r="C108" s="14" t="str">
        <f aca="false">IF(Staff!$A108="","",Staff!$C108)</f>
        <v/>
      </c>
      <c r="D108" s="12" t="str">
        <f aca="false">IF(Staff!$A108="","",Staff!$AH108)</f>
        <v/>
      </c>
      <c r="E108" s="14" t="str">
        <f aca="false">IF(Staff!$A108="","",Staff!$O108)</f>
        <v/>
      </c>
      <c r="F108" s="14" t="str">
        <f aca="false">IF(E108="","",E108*HoursPerDay)</f>
        <v/>
      </c>
      <c r="G108" s="14" t="str">
        <f aca="false">IF(Staff!$A108="","",Staff!$AE108)</f>
        <v/>
      </c>
      <c r="H108" s="26" t="str">
        <f aca="false">IF($A108="","",I108&amp;J108&amp;K108&amp;L108&amp;M108&amp;N108&amp;O108&amp;P108&amp;Q108)</f>
        <v/>
      </c>
      <c r="I108" s="0" t="str">
        <f aca="false">IF(OR($A108="",$D108=""),"",IF(AND(EDATE($D108,Milestones!$AA$20)&lt;=AsOfDate,IF($R108=0,$X108,IF(AND($T108&lt;&gt;"",EDATE($D108,Milestones!$AA$20)&gt;=$T108),$W108,IF(AND($S108&lt;&gt;"",EDATE($D108,Milestones!$AA$20)&gt;=$S108),$V108,$U108)))=Milestones!$AB$20),UPPER(TEXT(EDATE($D108,Milestones!$AA$20),"dd mmm yy"))&amp;" "&amp;Milestones!$AB$20&amp;" "&amp;Milestones!$AC$20&amp;";  ","")&amp;IF(AND(EDATE($D108,Milestones!$AA$21)&lt;=AsOfDate,IF($R108=0,$X108,IF(AND($T108&lt;&gt;"",EDATE($D108,Milestones!$AA$21)&gt;=$T108),$W108,IF(AND($S108&lt;&gt;"",EDATE($D108,Milestones!$AA$21)&gt;=$S108),$V108,$U108)))=Milestones!$AB$21),UPPER(TEXT(EDATE($D108,Milestones!$AA$21),"dd mmm yy"))&amp;" "&amp;Milestones!$AB$21&amp;" "&amp;Milestones!$AC$21&amp;";  ","")&amp;IF(AND(EDATE($D108,Milestones!$AA$22)&lt;=AsOfDate,IF($R108=0,$X108,IF(AND($T108&lt;&gt;"",EDATE($D108,Milestones!$AA$22)&gt;=$T108),$W108,IF(AND($S108&lt;&gt;"",EDATE($D108,Milestones!$AA$22)&gt;=$S108),$V108,$U108)))=Milestones!$AB$22),UPPER(TEXT(EDATE($D108,Milestones!$AA$22),"dd mmm yy"))&amp;" "&amp;Milestones!$AB$22&amp;" "&amp;Milestones!$AC$22&amp;";  ","")&amp;IF(AND(EDATE($D108,Milestones!$AA$23)&lt;=AsOfDate,IF($R108=0,$X108,IF(AND($T108&lt;&gt;"",EDATE($D108,Milestones!$AA$23)&gt;=$T108),$W108,IF(AND($S108&lt;&gt;"",EDATE($D108,Milestones!$AA$23)&gt;=$S108),$V108,$U108)))=Milestones!$AB$23),UPPER(TEXT(EDATE($D108,Milestones!$AA$23),"dd mmm yy"))&amp;" "&amp;Milestones!$AB$23&amp;" "&amp;Milestones!$AC$23&amp;";  ","")&amp;IF(AND(EDATE($D108,Milestones!$AA$24)&lt;=AsOfDate,IF($R108=0,$X108,IF(AND($T108&lt;&gt;"",EDATE($D108,Milestones!$AA$24)&gt;=$T108),$W108,IF(AND($S108&lt;&gt;"",EDATE($D108,Milestones!$AA$24)&gt;=$S108),$V108,$U108)))=Milestones!$AB$24),UPPER(TEXT(EDATE($D108,Milestones!$AA$24),"dd mmm yy"))&amp;" "&amp;Milestones!$AB$24&amp;" "&amp;Milestones!$AC$24&amp;";  ","")&amp;IF(AND(EDATE($D108,Milestones!$AA$25)&lt;=AsOfDate,IF($R108=0,$X108,IF(AND($T108&lt;&gt;"",EDATE($D108,Milestones!$AA$25)&gt;=$T108),$W108,IF(AND($S108&lt;&gt;"",EDATE($D108,Milestones!$AA$25)&gt;=$S108),$V108,$U108)))=Milestones!$AB$25),UPPER(TEXT(EDATE($D108,Milestones!$AA$25),"dd mmm yy"))&amp;" "&amp;Milestones!$AB$25&amp;" "&amp;Milestones!$AC$25&amp;";  ","")&amp;IF(AND(EDATE($D108,Milestones!$AA$26)&lt;=AsOfDate,IF($R108=0,$X108,IF(AND($T108&lt;&gt;"",EDATE($D108,Milestones!$AA$26)&gt;=$T108),$W108,IF(AND($S108&lt;&gt;"",EDATE($D108,Milestones!$AA$26)&gt;=$S108),$V108,$U108)))=Milestones!$AB$26),UPPER(TEXT(EDATE($D108,Milestones!$AA$26),"dd mmm yy"))&amp;" "&amp;Milestones!$AB$26&amp;" "&amp;Milestones!$AC$26&amp;";  ","")&amp;IF(AND(EDATE($D108,Milestones!$AA$27)&lt;=AsOfDate,IF($R108=0,$X108,IF(AND($T108&lt;&gt;"",EDATE($D108,Milestones!$AA$27)&gt;=$T108),$W108,IF(AND($S108&lt;&gt;"",EDATE($D108,Milestones!$AA$27)&gt;=$S108),$V108,$U108)))=Milestones!$AB$27),UPPER(TEXT(EDATE($D108,Milestones!$AA$27),"dd mmm yy"))&amp;" "&amp;Milestones!$AB$27&amp;" "&amp;Milestones!$AC$27&amp;";  ","")&amp;IF(AND(EDATE($D108,Milestones!$AA$28)&lt;=AsOfDate,IF($R108=0,$X108,IF(AND($T108&lt;&gt;"",EDATE($D108,Milestones!$AA$28)&gt;=$T108),$W108,IF(AND($S108&lt;&gt;"",EDATE($D108,Milestones!$AA$28)&gt;=$S108),$V108,$U108)))=Milestones!$AB$28),UPPER(TEXT(EDATE($D108,Milestones!$AA$28),"dd mmm yy"))&amp;" "&amp;Milestones!$AB$28&amp;" "&amp;Milestones!$AC$28&amp;";  ","")&amp;IF(AND(EDATE($D108,Milestones!$AA$29)&lt;=AsOfDate,IF($R108=0,$X108,IF(AND($T108&lt;&gt;"",EDATE($D108,Milestones!$AA$29)&gt;=$T108),$W108,IF(AND($S108&lt;&gt;"",EDATE($D108,Milestones!$AA$29)&gt;=$S108),$V108,$U108)))=Milestones!$AB$29),UPPER(TEXT(EDATE($D108,Milestones!$AA$29),"dd mmm yy"))&amp;" "&amp;Milestones!$AB$29&amp;" "&amp;Milestones!$AC$29&amp;";  ","")&amp;IF(AND(EDATE($D108,Milestones!$AA$30)&lt;=AsOfDate,IF($R108=0,$X108,IF(AND($T108&lt;&gt;"",EDATE($D108,Milestones!$AA$30)&gt;=$T108),$W108,IF(AND($S108&lt;&gt;"",EDATE($D108,Milestones!$AA$30)&gt;=$S108),$V108,$U108)))=Milestones!$AB$30),UPPER(TEXT(EDATE($D108,Milestones!$AA$30),"dd mmm yy"))&amp;" "&amp;Milestones!$AB$30&amp;" "&amp;Milestones!$AC$30&amp;";  ","")&amp;IF(AND(EDATE($D108,Milestones!$AA$31)&lt;=AsOfDate,IF($R108=0,$X108,IF(AND($T108&lt;&gt;"",EDATE($D108,Milestones!$AA$31)&gt;=$T108),$W108,IF(AND($S108&lt;&gt;"",EDATE($D108,Milestones!$AA$31)&gt;=$S108),$V108,$U108)))=Milestones!$AB$31),UPPER(TEXT(EDATE($D108,Milestones!$AA$31),"dd mmm yy"))&amp;" "&amp;Milestones!$AB$31&amp;" "&amp;Milestones!$AC$31&amp;";  ","")&amp;IF(AND(EDATE($D108,Milestones!$AA$32)&lt;=AsOfDate,IF($R108=0,$X108,IF(AND($T108&lt;&gt;"",EDATE($D108,Milestones!$AA$32)&gt;=$T108),$W108,IF(AND($S108&lt;&gt;"",EDATE($D108,Milestones!$AA$32)&gt;=$S108),$V108,$U108)))=Milestones!$AB$32),UPPER(TEXT(EDATE($D108,Milestones!$AA$32),"dd mmm yy"))&amp;" "&amp;Milestones!$AB$32&amp;" "&amp;Milestones!$AC$32&amp;";  ","")&amp;IF(AND(EDATE($D108,Milestones!$AA$33)&lt;=AsOfDate,IF($R108=0,$X108,IF(AND($T108&lt;&gt;"",EDATE($D108,Milestones!$AA$33)&gt;=$T108),$W108,IF(AND($S108&lt;&gt;"",EDATE($D108,Milestones!$AA$33)&gt;=$S108),$V108,$U108)))=Milestones!$AB$33),UPPER(TEXT(EDATE($D108,Milestones!$AA$33),"dd mmm yy"))&amp;" "&amp;Milestones!$AB$33&amp;" "&amp;Milestones!$AC$33&amp;";  ","")&amp;IF(AND(EDATE($D108,Milestones!$AA$34)&lt;=AsOfDate,IF($R108=0,$X108,IF(AND($T108&lt;&gt;"",EDATE($D108,Milestones!$AA$34)&gt;=$T108),$W108,IF(AND($S108&lt;&gt;"",EDATE($D108,Milestones!$AA$34)&gt;=$S108),$V108,$U108)))=Milestones!$AB$34),UPPER(TEXT(EDATE($D108,Milestones!$AA$34),"dd mmm yy"))&amp;" "&amp;Milestones!$AB$34&amp;" "&amp;Milestones!$AC$34&amp;";  ","")&amp;IF(AND(EDATE($D108,Milestones!$AA$35)&lt;=AsOfDate,IF($R108=0,$X108,IF(AND($T108&lt;&gt;"",EDATE($D108,Milestones!$AA$35)&gt;=$T108),$W108,IF(AND($S108&lt;&gt;"",EDATE($D108,Milestones!$AA$35)&gt;=$S108),$V108,$U108)))=Milestones!$AB$35),UPPER(TEXT(EDATE($D108,Milestones!$AA$35),"dd mmm yy"))&amp;" "&amp;Milestones!$AB$35&amp;" "&amp;Milestones!$AC$35&amp;";  ","")&amp;IF(AND(EDATE($D108,Milestones!$AA$36)&lt;=AsOfDate,IF($R108=0,$X108,IF(AND($T108&lt;&gt;"",EDATE($D108,Milestones!$AA$36)&gt;=$T108),$W108,IF(AND($S108&lt;&gt;"",EDATE($D108,Milestones!$AA$36)&gt;=$S108),$V108,$U108)))=Milestones!$AB$36),UPPER(TEXT(EDATE($D108,Milestones!$AA$36),"dd mmm yy"))&amp;" "&amp;Milestones!$AB$36&amp;" "&amp;Milestones!$AC$36&amp;";  ","")&amp;IF(AND(EDATE($D108,Milestones!$AA$37)&lt;=AsOfDate,IF($R108=0,$X108,IF(AND($T108&lt;&gt;"",EDATE($D108,Milestones!$AA$37)&gt;=$T108),$W108,IF(AND($S108&lt;&gt;"",EDATE($D108,Milestones!$AA$37)&gt;=$S108),$V108,$U108)))=Milestones!$AB$37),UPPER(TEXT(EDATE($D108,Milestones!$AA$37),"dd mmm yy"))&amp;" "&amp;Milestones!$AB$37&amp;" "&amp;Milestones!$AC$37&amp;";  ","")&amp;IF(AND(EDATE($D108,Milestones!$AA$38)&lt;=AsOfDate,IF($R108=0,$X108,IF(AND($T108&lt;&gt;"",EDATE($D108,Milestones!$AA$38)&gt;=$T108),$W108,IF(AND($S108&lt;&gt;"",EDATE($D108,Milestones!$AA$38)&gt;=$S108),$V108,$U108)))=Milestones!$AB$38),UPPER(TEXT(EDATE($D108,Milestones!$AA$38),"dd mmm yy"))&amp;" "&amp;Milestones!$AB$38&amp;" "&amp;Milestones!$AC$38&amp;";  ","")&amp;IF(AND(EDATE($D108,Milestones!$AA$39)&lt;=AsOfDate,IF($R108=0,$X108,IF(AND($T108&lt;&gt;"",EDATE($D108,Milestones!$AA$39)&gt;=$T108),$W108,IF(AND($S108&lt;&gt;"",EDATE($D108,Milestones!$AA$39)&gt;=$S108),$V108,$U108)))=Milestones!$AB$39),UPPER(TEXT(EDATE($D108,Milestones!$AA$39),"dd mmm yy"))&amp;" "&amp;Milestones!$AB$39&amp;" "&amp;Milestones!$AC$39&amp;";  ",""))</f>
        <v/>
      </c>
      <c r="J108" s="0" t="str">
        <f aca="false">IF(OR($A108="",$D108=""),"",IF(AND(EDATE($D108,Milestones!$AA$40)&lt;=AsOfDate,IF($R108=0,$X108,IF(AND($T108&lt;&gt;"",EDATE($D108,Milestones!$AA$40)&gt;=$T108),$W108,IF(AND($S108&lt;&gt;"",EDATE($D108,Milestones!$AA$40)&gt;=$S108),$V108,$U108)))=Milestones!$AB$40),UPPER(TEXT(EDATE($D108,Milestones!$AA$40),"dd mmm yy"))&amp;" "&amp;Milestones!$AB$40&amp;" "&amp;Milestones!$AC$40&amp;";  ","")&amp;IF(AND(EDATE($D108,Milestones!$AA$41)&lt;=AsOfDate,IF($R108=0,$X108,IF(AND($T108&lt;&gt;"",EDATE($D108,Milestones!$AA$41)&gt;=$T108),$W108,IF(AND($S108&lt;&gt;"",EDATE($D108,Milestones!$AA$41)&gt;=$S108),$V108,$U108)))=Milestones!$AB$41),UPPER(TEXT(EDATE($D108,Milestones!$AA$41),"dd mmm yy"))&amp;" "&amp;Milestones!$AB$41&amp;" "&amp;Milestones!$AC$41&amp;";  ","")&amp;IF(AND(EDATE($D108,Milestones!$AA$42)&lt;=AsOfDate,IF($R108=0,$X108,IF(AND($T108&lt;&gt;"",EDATE($D108,Milestones!$AA$42)&gt;=$T108),$W108,IF(AND($S108&lt;&gt;"",EDATE($D108,Milestones!$AA$42)&gt;=$S108),$V108,$U108)))=Milestones!$AB$42),UPPER(TEXT(EDATE($D108,Milestones!$AA$42),"dd mmm yy"))&amp;" "&amp;Milestones!$AB$42&amp;" "&amp;Milestones!$AC$42&amp;";  ","")&amp;IF(AND(EDATE($D108,Milestones!$AA$43)&lt;=AsOfDate,IF($R108=0,$X108,IF(AND($T108&lt;&gt;"",EDATE($D108,Milestones!$AA$43)&gt;=$T108),$W108,IF(AND($S108&lt;&gt;"",EDATE($D108,Milestones!$AA$43)&gt;=$S108),$V108,$U108)))=Milestones!$AB$43),UPPER(TEXT(EDATE($D108,Milestones!$AA$43),"dd mmm yy"))&amp;" "&amp;Milestones!$AB$43&amp;" "&amp;Milestones!$AC$43&amp;";  ","")&amp;IF(AND(EDATE($D108,Milestones!$AA$44)&lt;=AsOfDate,IF($R108=0,$X108,IF(AND($T108&lt;&gt;"",EDATE($D108,Milestones!$AA$44)&gt;=$T108),$W108,IF(AND($S108&lt;&gt;"",EDATE($D108,Milestones!$AA$44)&gt;=$S108),$V108,$U108)))=Milestones!$AB$44),UPPER(TEXT(EDATE($D108,Milestones!$AA$44),"dd mmm yy"))&amp;" "&amp;Milestones!$AB$44&amp;" "&amp;Milestones!$AC$44&amp;";  ","")&amp;IF(AND(EDATE($D108,Milestones!$AA$45)&lt;=AsOfDate,IF($R108=0,$X108,IF(AND($T108&lt;&gt;"",EDATE($D108,Milestones!$AA$45)&gt;=$T108),$W108,IF(AND($S108&lt;&gt;"",EDATE($D108,Milestones!$AA$45)&gt;=$S108),$V108,$U108)))=Milestones!$AB$45),UPPER(TEXT(EDATE($D108,Milestones!$AA$45),"dd mmm yy"))&amp;" "&amp;Milestones!$AB$45&amp;" "&amp;Milestones!$AC$45&amp;";  ","")&amp;IF(AND(EDATE($D108,Milestones!$AA$46)&lt;=AsOfDate,IF($R108=0,$X108,IF(AND($T108&lt;&gt;"",EDATE($D108,Milestones!$AA$46)&gt;=$T108),$W108,IF(AND($S108&lt;&gt;"",EDATE($D108,Milestones!$AA$46)&gt;=$S108),$V108,$U108)))=Milestones!$AB$46),UPPER(TEXT(EDATE($D108,Milestones!$AA$46),"dd mmm yy"))&amp;" "&amp;Milestones!$AB$46&amp;" "&amp;Milestones!$AC$46&amp;";  ","")&amp;IF(AND(EDATE($D108,Milestones!$AA$47)&lt;=AsOfDate,IF($R108=0,$X108,IF(AND($T108&lt;&gt;"",EDATE($D108,Milestones!$AA$47)&gt;=$T108),$W108,IF(AND($S108&lt;&gt;"",EDATE($D108,Milestones!$AA$47)&gt;=$S108),$V108,$U108)))=Milestones!$AB$47),UPPER(TEXT(EDATE($D108,Milestones!$AA$47),"dd mmm yy"))&amp;" "&amp;Milestones!$AB$47&amp;" "&amp;Milestones!$AC$47&amp;";  ","")&amp;IF(AND(EDATE($D108,Milestones!$AA$48)&lt;=AsOfDate,IF($R108=0,$X108,IF(AND($T108&lt;&gt;"",EDATE($D108,Milestones!$AA$48)&gt;=$T108),$W108,IF(AND($S108&lt;&gt;"",EDATE($D108,Milestones!$AA$48)&gt;=$S108),$V108,$U108)))=Milestones!$AB$48),UPPER(TEXT(EDATE($D108,Milestones!$AA$48),"dd mmm yy"))&amp;" "&amp;Milestones!$AB$48&amp;" "&amp;Milestones!$AC$48&amp;";  ","")&amp;IF(AND(EDATE($D108,Milestones!$AA$49)&lt;=AsOfDate,IF($R108=0,$X108,IF(AND($T108&lt;&gt;"",EDATE($D108,Milestones!$AA$49)&gt;=$T108),$W108,IF(AND($S108&lt;&gt;"",EDATE($D108,Milestones!$AA$49)&gt;=$S108),$V108,$U108)))=Milestones!$AB$49),UPPER(TEXT(EDATE($D108,Milestones!$AA$49),"dd mmm yy"))&amp;" "&amp;Milestones!$AB$49&amp;" "&amp;Milestones!$AC$49&amp;";  ","")&amp;IF(AND(EDATE($D108,Milestones!$AA$50)&lt;=AsOfDate,IF($R108=0,$X108,IF(AND($T108&lt;&gt;"",EDATE($D108,Milestones!$AA$50)&gt;=$T108),$W108,IF(AND($S108&lt;&gt;"",EDATE($D108,Milestones!$AA$50)&gt;=$S108),$V108,$U108)))=Milestones!$AB$50),UPPER(TEXT(EDATE($D108,Milestones!$AA$50),"dd mmm yy"))&amp;" "&amp;Milestones!$AB$50&amp;" "&amp;Milestones!$AC$50&amp;";  ","")&amp;IF(AND(EDATE($D108,Milestones!$AA$51)&lt;=AsOfDate,IF($R108=0,$X108,IF(AND($T108&lt;&gt;"",EDATE($D108,Milestones!$AA$51)&gt;=$T108),$W108,IF(AND($S108&lt;&gt;"",EDATE($D108,Milestones!$AA$51)&gt;=$S108),$V108,$U108)))=Milestones!$AB$51),UPPER(TEXT(EDATE($D108,Milestones!$AA$51),"dd mmm yy"))&amp;" "&amp;Milestones!$AB$51&amp;" "&amp;Milestones!$AC$51&amp;";  ","")&amp;IF(AND(EDATE($D108,Milestones!$AA$52)&lt;=AsOfDate,IF($R108=0,$X108,IF(AND($T108&lt;&gt;"",EDATE($D108,Milestones!$AA$52)&gt;=$T108),$W108,IF(AND($S108&lt;&gt;"",EDATE($D108,Milestones!$AA$52)&gt;=$S108),$V108,$U108)))=Milestones!$AB$52),UPPER(TEXT(EDATE($D108,Milestones!$AA$52),"dd mmm yy"))&amp;" "&amp;Milestones!$AB$52&amp;" "&amp;Milestones!$AC$52&amp;";  ","")&amp;IF(AND(EDATE($D108,Milestones!$AA$53)&lt;=AsOfDate,IF($R108=0,$X108,IF(AND($T108&lt;&gt;"",EDATE($D108,Milestones!$AA$53)&gt;=$T108),$W108,IF(AND($S108&lt;&gt;"",EDATE($D108,Milestones!$AA$53)&gt;=$S108),$V108,$U108)))=Milestones!$AB$53),UPPER(TEXT(EDATE($D108,Milestones!$AA$53),"dd mmm yy"))&amp;" "&amp;Milestones!$AB$53&amp;" "&amp;Milestones!$AC$53&amp;";  ","")&amp;IF(AND(EDATE($D108,Milestones!$AA$54)&lt;=AsOfDate,IF($R108=0,$X108,IF(AND($T108&lt;&gt;"",EDATE($D108,Milestones!$AA$54)&gt;=$T108),$W108,IF(AND($S108&lt;&gt;"",EDATE($D108,Milestones!$AA$54)&gt;=$S108),$V108,$U108)))=Milestones!$AB$54),UPPER(TEXT(EDATE($D108,Milestones!$AA$54),"dd mmm yy"))&amp;" "&amp;Milestones!$AB$54&amp;" "&amp;Milestones!$AC$54&amp;";  ","")&amp;IF(AND(EDATE($D108,Milestones!$AA$55)&lt;=AsOfDate,IF($R108=0,$X108,IF(AND($T108&lt;&gt;"",EDATE($D108,Milestones!$AA$55)&gt;=$T108),$W108,IF(AND($S108&lt;&gt;"",EDATE($D108,Milestones!$AA$55)&gt;=$S108),$V108,$U108)))=Milestones!$AB$55),UPPER(TEXT(EDATE($D108,Milestones!$AA$55),"dd mmm yy"))&amp;" "&amp;Milestones!$AB$55&amp;" "&amp;Milestones!$AC$55&amp;";  ","")&amp;IF(AND(EDATE($D108,Milestones!$AA$56)&lt;=AsOfDate,IF($R108=0,$X108,IF(AND($T108&lt;&gt;"",EDATE($D108,Milestones!$AA$56)&gt;=$T108),$W108,IF(AND($S108&lt;&gt;"",EDATE($D108,Milestones!$AA$56)&gt;=$S108),$V108,$U108)))=Milestones!$AB$56),UPPER(TEXT(EDATE($D108,Milestones!$AA$56),"dd mmm yy"))&amp;" "&amp;Milestones!$AB$56&amp;" "&amp;Milestones!$AC$56&amp;";  ","")&amp;IF(AND(EDATE($D108,Milestones!$AA$57)&lt;=AsOfDate,IF($R108=0,$X108,IF(AND($T108&lt;&gt;"",EDATE($D108,Milestones!$AA$57)&gt;=$T108),$W108,IF(AND($S108&lt;&gt;"",EDATE($D108,Milestones!$AA$57)&gt;=$S108),$V108,$U108)))=Milestones!$AB$57),UPPER(TEXT(EDATE($D108,Milestones!$AA$57),"dd mmm yy"))&amp;" "&amp;Milestones!$AB$57&amp;" "&amp;Milestones!$AC$57&amp;";  ","")&amp;IF(AND(EDATE($D108,Milestones!$AA$58)&lt;=AsOfDate,IF($R108=0,$X108,IF(AND($T108&lt;&gt;"",EDATE($D108,Milestones!$AA$58)&gt;=$T108),$W108,IF(AND($S108&lt;&gt;"",EDATE($D108,Milestones!$AA$58)&gt;=$S108),$V108,$U108)))=Milestones!$AB$58),UPPER(TEXT(EDATE($D108,Milestones!$AA$58),"dd mmm yy"))&amp;" "&amp;Milestones!$AB$58&amp;" "&amp;Milestones!$AC$58&amp;";  ","")&amp;IF(AND(EDATE($D108,Milestones!$AA$59)&lt;=AsOfDate,IF($R108=0,$X108,IF(AND($T108&lt;&gt;"",EDATE($D108,Milestones!$AA$59)&gt;=$T108),$W108,IF(AND($S108&lt;&gt;"",EDATE($D108,Milestones!$AA$59)&gt;=$S108),$V108,$U108)))=Milestones!$AB$59),UPPER(TEXT(EDATE($D108,Milestones!$AA$59),"dd mmm yy"))&amp;" "&amp;Milestones!$AB$59&amp;" "&amp;Milestones!$AC$59&amp;";  ",""))</f>
        <v/>
      </c>
      <c r="K108" s="0" t="str">
        <f aca="false">IF(OR($A108="",$D108=""),"",IF(AND(EDATE($D108,Milestones!$AA$60)&lt;=AsOfDate,IF($R108=0,$X108,IF(AND($T108&lt;&gt;"",EDATE($D108,Milestones!$AA$60)&gt;=$T108),$W108,IF(AND($S108&lt;&gt;"",EDATE($D108,Milestones!$AA$60)&gt;=$S108),$V108,$U108)))=Milestones!$AB$60),UPPER(TEXT(EDATE($D108,Milestones!$AA$60),"dd mmm yy"))&amp;" "&amp;Milestones!$AB$60&amp;" "&amp;Milestones!$AC$60&amp;";  ","")&amp;IF(AND(EDATE($D108,Milestones!$AA$61)&lt;=AsOfDate,IF($R108=0,$X108,IF(AND($T108&lt;&gt;"",EDATE($D108,Milestones!$AA$61)&gt;=$T108),$W108,IF(AND($S108&lt;&gt;"",EDATE($D108,Milestones!$AA$61)&gt;=$S108),$V108,$U108)))=Milestones!$AB$61),UPPER(TEXT(EDATE($D108,Milestones!$AA$61),"dd mmm yy"))&amp;" "&amp;Milestones!$AB$61&amp;" "&amp;Milestones!$AC$61&amp;";  ","")&amp;IF(AND(EDATE($D108,Milestones!$AA$62)&lt;=AsOfDate,IF($R108=0,$X108,IF(AND($T108&lt;&gt;"",EDATE($D108,Milestones!$AA$62)&gt;=$T108),$W108,IF(AND($S108&lt;&gt;"",EDATE($D108,Milestones!$AA$62)&gt;=$S108),$V108,$U108)))=Milestones!$AB$62),UPPER(TEXT(EDATE($D108,Milestones!$AA$62),"dd mmm yy"))&amp;" "&amp;Milestones!$AB$62&amp;" "&amp;Milestones!$AC$62&amp;";  ","")&amp;IF(AND(EDATE($D108,Milestones!$AA$63)&lt;=AsOfDate,IF($R108=0,$X108,IF(AND($T108&lt;&gt;"",EDATE($D108,Milestones!$AA$63)&gt;=$T108),$W108,IF(AND($S108&lt;&gt;"",EDATE($D108,Milestones!$AA$63)&gt;=$S108),$V108,$U108)))=Milestones!$AB$63),UPPER(TEXT(EDATE($D108,Milestones!$AA$63),"dd mmm yy"))&amp;" "&amp;Milestones!$AB$63&amp;" "&amp;Milestones!$AC$63&amp;";  ","")&amp;IF(AND(EDATE($D108,Milestones!$AA$64)&lt;=AsOfDate,IF($R108=0,$X108,IF(AND($T108&lt;&gt;"",EDATE($D108,Milestones!$AA$64)&gt;=$T108),$W108,IF(AND($S108&lt;&gt;"",EDATE($D108,Milestones!$AA$64)&gt;=$S108),$V108,$U108)))=Milestones!$AB$64),UPPER(TEXT(EDATE($D108,Milestones!$AA$64),"dd mmm yy"))&amp;" "&amp;Milestones!$AB$64&amp;" "&amp;Milestones!$AC$64&amp;";  ","")&amp;IF(AND(EDATE($D108,Milestones!$AA$65)&lt;=AsOfDate,IF($R108=0,$X108,IF(AND($T108&lt;&gt;"",EDATE($D108,Milestones!$AA$65)&gt;=$T108),$W108,IF(AND($S108&lt;&gt;"",EDATE($D108,Milestones!$AA$65)&gt;=$S108),$V108,$U108)))=Milestones!$AB$65),UPPER(TEXT(EDATE($D108,Milestones!$AA$65),"dd mmm yy"))&amp;" "&amp;Milestones!$AB$65&amp;" "&amp;Milestones!$AC$65&amp;";  ","")&amp;IF(AND(EDATE($D108,Milestones!$AA$66)&lt;=AsOfDate,IF($R108=0,$X108,IF(AND($T108&lt;&gt;"",EDATE($D108,Milestones!$AA$66)&gt;=$T108),$W108,IF(AND($S108&lt;&gt;"",EDATE($D108,Milestones!$AA$66)&gt;=$S108),$V108,$U108)))=Milestones!$AB$66),UPPER(TEXT(EDATE($D108,Milestones!$AA$66),"dd mmm yy"))&amp;" "&amp;Milestones!$AB$66&amp;" "&amp;Milestones!$AC$66&amp;";  ","")&amp;IF(AND(EDATE($D108,Milestones!$AA$67)&lt;=AsOfDate,IF($R108=0,$X108,IF(AND($T108&lt;&gt;"",EDATE($D108,Milestones!$AA$67)&gt;=$T108),$W108,IF(AND($S108&lt;&gt;"",EDATE($D108,Milestones!$AA$67)&gt;=$S108),$V108,$U108)))=Milestones!$AB$67),UPPER(TEXT(EDATE($D108,Milestones!$AA$67),"dd mmm yy"))&amp;" "&amp;Milestones!$AB$67&amp;" "&amp;Milestones!$AC$67&amp;";  ","")&amp;IF(AND(EDATE($D108,Milestones!$AA$68)&lt;=AsOfDate,IF($R108=0,$X108,IF(AND($T108&lt;&gt;"",EDATE($D108,Milestones!$AA$68)&gt;=$T108),$W108,IF(AND($S108&lt;&gt;"",EDATE($D108,Milestones!$AA$68)&gt;=$S108),$V108,$U108)))=Milestones!$AB$68),UPPER(TEXT(EDATE($D108,Milestones!$AA$68),"dd mmm yy"))&amp;" "&amp;Milestones!$AB$68&amp;" "&amp;Milestones!$AC$68&amp;";  ","")&amp;IF(AND(EDATE($D108,Milestones!$AA$69)&lt;=AsOfDate,IF($R108=0,$X108,IF(AND($T108&lt;&gt;"",EDATE($D108,Milestones!$AA$69)&gt;=$T108),$W108,IF(AND($S108&lt;&gt;"",EDATE($D108,Milestones!$AA$69)&gt;=$S108),$V108,$U108)))=Milestones!$AB$69),UPPER(TEXT(EDATE($D108,Milestones!$AA$69),"dd mmm yy"))&amp;" "&amp;Milestones!$AB$69&amp;" "&amp;Milestones!$AC$69&amp;";  ","")&amp;IF(AND(EDATE($D108,Milestones!$AA$70)&lt;=AsOfDate,IF($R108=0,$X108,IF(AND($T108&lt;&gt;"",EDATE($D108,Milestones!$AA$70)&gt;=$T108),$W108,IF(AND($S108&lt;&gt;"",EDATE($D108,Milestones!$AA$70)&gt;=$S108),$V108,$U108)))=Milestones!$AB$70),UPPER(TEXT(EDATE($D108,Milestones!$AA$70),"dd mmm yy"))&amp;" "&amp;Milestones!$AB$70&amp;" "&amp;Milestones!$AC$70&amp;";  ","")&amp;IF(AND(EDATE($D108,Milestones!$AA$71)&lt;=AsOfDate,IF($R108=0,$X108,IF(AND($T108&lt;&gt;"",EDATE($D108,Milestones!$AA$71)&gt;=$T108),$W108,IF(AND($S108&lt;&gt;"",EDATE($D108,Milestones!$AA$71)&gt;=$S108),$V108,$U108)))=Milestones!$AB$71),UPPER(TEXT(EDATE($D108,Milestones!$AA$71),"dd mmm yy"))&amp;" "&amp;Milestones!$AB$71&amp;" "&amp;Milestones!$AC$71&amp;";  ","")&amp;IF(AND(EDATE($D108,Milestones!$AA$72)&lt;=AsOfDate,IF($R108=0,$X108,IF(AND($T108&lt;&gt;"",EDATE($D108,Milestones!$AA$72)&gt;=$T108),$W108,IF(AND($S108&lt;&gt;"",EDATE($D108,Milestones!$AA$72)&gt;=$S108),$V108,$U108)))=Milestones!$AB$72),UPPER(TEXT(EDATE($D108,Milestones!$AA$72),"dd mmm yy"))&amp;" "&amp;Milestones!$AB$72&amp;" "&amp;Milestones!$AC$72&amp;";  ","")&amp;IF(AND(EDATE($D108,Milestones!$AA$73)&lt;=AsOfDate,IF($R108=0,$X108,IF(AND($T108&lt;&gt;"",EDATE($D108,Milestones!$AA$73)&gt;=$T108),$W108,IF(AND($S108&lt;&gt;"",EDATE($D108,Milestones!$AA$73)&gt;=$S108),$V108,$U108)))=Milestones!$AB$73),UPPER(TEXT(EDATE($D108,Milestones!$AA$73),"dd mmm yy"))&amp;" "&amp;Milestones!$AB$73&amp;" "&amp;Milestones!$AC$73&amp;";  ","")&amp;IF(AND(EDATE($D108,Milestones!$AA$74)&lt;=AsOfDate,IF($R108=0,$X108,IF(AND($T108&lt;&gt;"",EDATE($D108,Milestones!$AA$74)&gt;=$T108),$W108,IF(AND($S108&lt;&gt;"",EDATE($D108,Milestones!$AA$74)&gt;=$S108),$V108,$U108)))=Milestones!$AB$74),UPPER(TEXT(EDATE($D108,Milestones!$AA$74),"dd mmm yy"))&amp;" "&amp;Milestones!$AB$74&amp;" "&amp;Milestones!$AC$74&amp;";  ","")&amp;IF(AND(EDATE($D108,Milestones!$AA$75)&lt;=AsOfDate,IF($R108=0,$X108,IF(AND($T108&lt;&gt;"",EDATE($D108,Milestones!$AA$75)&gt;=$T108),$W108,IF(AND($S108&lt;&gt;"",EDATE($D108,Milestones!$AA$75)&gt;=$S108),$V108,$U108)))=Milestones!$AB$75),UPPER(TEXT(EDATE($D108,Milestones!$AA$75),"dd mmm yy"))&amp;" "&amp;Milestones!$AB$75&amp;" "&amp;Milestones!$AC$75&amp;";  ","")&amp;IF(AND(EDATE($D108,Milestones!$AA$76)&lt;=AsOfDate,IF($R108=0,$X108,IF(AND($T108&lt;&gt;"",EDATE($D108,Milestones!$AA$76)&gt;=$T108),$W108,IF(AND($S108&lt;&gt;"",EDATE($D108,Milestones!$AA$76)&gt;=$S108),$V108,$U108)))=Milestones!$AB$76),UPPER(TEXT(EDATE($D108,Milestones!$AA$76),"dd mmm yy"))&amp;" "&amp;Milestones!$AB$76&amp;" "&amp;Milestones!$AC$76&amp;";  ","")&amp;IF(AND(EDATE($D108,Milestones!$AA$77)&lt;=AsOfDate,IF($R108=0,$X108,IF(AND($T108&lt;&gt;"",EDATE($D108,Milestones!$AA$77)&gt;=$T108),$W108,IF(AND($S108&lt;&gt;"",EDATE($D108,Milestones!$AA$77)&gt;=$S108),$V108,$U108)))=Milestones!$AB$77),UPPER(TEXT(EDATE($D108,Milestones!$AA$77),"dd mmm yy"))&amp;" "&amp;Milestones!$AB$77&amp;" "&amp;Milestones!$AC$77&amp;";  ","")&amp;IF(AND(EDATE($D108,Milestones!$AA$78)&lt;=AsOfDate,IF($R108=0,$X108,IF(AND($T108&lt;&gt;"",EDATE($D108,Milestones!$AA$78)&gt;=$T108),$W108,IF(AND($S108&lt;&gt;"",EDATE($D108,Milestones!$AA$78)&gt;=$S108),$V108,$U108)))=Milestones!$AB$78),UPPER(TEXT(EDATE($D108,Milestones!$AA$78),"dd mmm yy"))&amp;" "&amp;Milestones!$AB$78&amp;" "&amp;Milestones!$AC$78&amp;";  ","")&amp;IF(AND(EDATE($D108,Milestones!$AA$79)&lt;=AsOfDate,IF($R108=0,$X108,IF(AND($T108&lt;&gt;"",EDATE($D108,Milestones!$AA$79)&gt;=$T108),$W108,IF(AND($S108&lt;&gt;"",EDATE($D108,Milestones!$AA$79)&gt;=$S108),$V108,$U108)))=Milestones!$AB$79),UPPER(TEXT(EDATE($D108,Milestones!$AA$79),"dd mmm yy"))&amp;" "&amp;Milestones!$AB$79&amp;" "&amp;Milestones!$AC$79&amp;";  ",""))</f>
        <v/>
      </c>
      <c r="L108" s="0" t="str">
        <f aca="false">IF(OR($A108="",$D108=""),"",IF(AND(EDATE($D108,Milestones!$AA$80)&lt;=AsOfDate,IF($R108=0,$X108,IF(AND($T108&lt;&gt;"",EDATE($D108,Milestones!$AA$80)&gt;=$T108),$W108,IF(AND($S108&lt;&gt;"",EDATE($D108,Milestones!$AA$80)&gt;=$S108),$V108,$U108)))=Milestones!$AB$80),UPPER(TEXT(EDATE($D108,Milestones!$AA$80),"dd mmm yy"))&amp;" "&amp;Milestones!$AB$80&amp;" "&amp;Milestones!$AC$80&amp;";  ","")&amp;IF(AND(EDATE($D108,Milestones!$AA$81)&lt;=AsOfDate,IF($R108=0,$X108,IF(AND($T108&lt;&gt;"",EDATE($D108,Milestones!$AA$81)&gt;=$T108),$W108,IF(AND($S108&lt;&gt;"",EDATE($D108,Milestones!$AA$81)&gt;=$S108),$V108,$U108)))=Milestones!$AB$81),UPPER(TEXT(EDATE($D108,Milestones!$AA$81),"dd mmm yy"))&amp;" "&amp;Milestones!$AB$81&amp;" "&amp;Milestones!$AC$81&amp;";  ","")&amp;IF(AND(EDATE($D108,Milestones!$AA$82)&lt;=AsOfDate,IF($R108=0,$X108,IF(AND($T108&lt;&gt;"",EDATE($D108,Milestones!$AA$82)&gt;=$T108),$W108,IF(AND($S108&lt;&gt;"",EDATE($D108,Milestones!$AA$82)&gt;=$S108),$V108,$U108)))=Milestones!$AB$82),UPPER(TEXT(EDATE($D108,Milestones!$AA$82),"dd mmm yy"))&amp;" "&amp;Milestones!$AB$82&amp;" "&amp;Milestones!$AC$82&amp;";  ","")&amp;IF(AND(EDATE($D108,Milestones!$AA$83)&lt;=AsOfDate,IF($R108=0,$X108,IF(AND($T108&lt;&gt;"",EDATE($D108,Milestones!$AA$83)&gt;=$T108),$W108,IF(AND($S108&lt;&gt;"",EDATE($D108,Milestones!$AA$83)&gt;=$S108),$V108,$U108)))=Milestones!$AB$83),UPPER(TEXT(EDATE($D108,Milestones!$AA$83),"dd mmm yy"))&amp;" "&amp;Milestones!$AB$83&amp;" "&amp;Milestones!$AC$83&amp;";  ","")&amp;IF(AND(EDATE($D108,Milestones!$AA$84)&lt;=AsOfDate,IF($R108=0,$X108,IF(AND($T108&lt;&gt;"",EDATE($D108,Milestones!$AA$84)&gt;=$T108),$W108,IF(AND($S108&lt;&gt;"",EDATE($D108,Milestones!$AA$84)&gt;=$S108),$V108,$U108)))=Milestones!$AB$84),UPPER(TEXT(EDATE($D108,Milestones!$AA$84),"dd mmm yy"))&amp;" "&amp;Milestones!$AB$84&amp;" "&amp;Milestones!$AC$84&amp;";  ","")&amp;IF(AND(EDATE($D108,Milestones!$AA$85)&lt;=AsOfDate,IF($R108=0,$X108,IF(AND($T108&lt;&gt;"",EDATE($D108,Milestones!$AA$85)&gt;=$T108),$W108,IF(AND($S108&lt;&gt;"",EDATE($D108,Milestones!$AA$85)&gt;=$S108),$V108,$U108)))=Milestones!$AB$85),UPPER(TEXT(EDATE($D108,Milestones!$AA$85),"dd mmm yy"))&amp;" "&amp;Milestones!$AB$85&amp;" "&amp;Milestones!$AC$85&amp;";  ","")&amp;IF(AND(EDATE($D108,Milestones!$AA$86)&lt;=AsOfDate,IF($R108=0,$X108,IF(AND($T108&lt;&gt;"",EDATE($D108,Milestones!$AA$86)&gt;=$T108),$W108,IF(AND($S108&lt;&gt;"",EDATE($D108,Milestones!$AA$86)&gt;=$S108),$V108,$U108)))=Milestones!$AB$86),UPPER(TEXT(EDATE($D108,Milestones!$AA$86),"dd mmm yy"))&amp;" "&amp;Milestones!$AB$86&amp;" "&amp;Milestones!$AC$86&amp;";  ","")&amp;IF(AND(EDATE($D108,Milestones!$AA$87)&lt;=AsOfDate,IF($R108=0,$X108,IF(AND($T108&lt;&gt;"",EDATE($D108,Milestones!$AA$87)&gt;=$T108),$W108,IF(AND($S108&lt;&gt;"",EDATE($D108,Milestones!$AA$87)&gt;=$S108),$V108,$U108)))=Milestones!$AB$87),UPPER(TEXT(EDATE($D108,Milestones!$AA$87),"dd mmm yy"))&amp;" "&amp;Milestones!$AB$87&amp;" "&amp;Milestones!$AC$87&amp;";  ","")&amp;IF(AND(EDATE($D108,Milestones!$AA$88)&lt;=AsOfDate,IF($R108=0,$X108,IF(AND($T108&lt;&gt;"",EDATE($D108,Milestones!$AA$88)&gt;=$T108),$W108,IF(AND($S108&lt;&gt;"",EDATE($D108,Milestones!$AA$88)&gt;=$S108),$V108,$U108)))=Milestones!$AB$88),UPPER(TEXT(EDATE($D108,Milestones!$AA$88),"dd mmm yy"))&amp;" "&amp;Milestones!$AB$88&amp;" "&amp;Milestones!$AC$88&amp;";  ","")&amp;IF(AND(EDATE($D108,Milestones!$AA$89)&lt;=AsOfDate,IF($R108=0,$X108,IF(AND($T108&lt;&gt;"",EDATE($D108,Milestones!$AA$89)&gt;=$T108),$W108,IF(AND($S108&lt;&gt;"",EDATE($D108,Milestones!$AA$89)&gt;=$S108),$V108,$U108)))=Milestones!$AB$89),UPPER(TEXT(EDATE($D108,Milestones!$AA$89),"dd mmm yy"))&amp;" "&amp;Milestones!$AB$89&amp;" "&amp;Milestones!$AC$89&amp;";  ","")&amp;IF(AND(EDATE($D108,Milestones!$AA$90)&lt;=AsOfDate,IF($R108=0,$X108,IF(AND($T108&lt;&gt;"",EDATE($D108,Milestones!$AA$90)&gt;=$T108),$W108,IF(AND($S108&lt;&gt;"",EDATE($D108,Milestones!$AA$90)&gt;=$S108),$V108,$U108)))=Milestones!$AB$90),UPPER(TEXT(EDATE($D108,Milestones!$AA$90),"dd mmm yy"))&amp;" "&amp;Milestones!$AB$90&amp;" "&amp;Milestones!$AC$90&amp;";  ","")&amp;IF(AND(EDATE($D108,Milestones!$AA$91)&lt;=AsOfDate,IF($R108=0,$X108,IF(AND($T108&lt;&gt;"",EDATE($D108,Milestones!$AA$91)&gt;=$T108),$W108,IF(AND($S108&lt;&gt;"",EDATE($D108,Milestones!$AA$91)&gt;=$S108),$V108,$U108)))=Milestones!$AB$91),UPPER(TEXT(EDATE($D108,Milestones!$AA$91),"dd mmm yy"))&amp;" "&amp;Milestones!$AB$91&amp;" "&amp;Milestones!$AC$91&amp;";  ","")&amp;IF(AND(EDATE($D108,Milestones!$AA$92)&lt;=AsOfDate,IF($R108=0,$X108,IF(AND($T108&lt;&gt;"",EDATE($D108,Milestones!$AA$92)&gt;=$T108),$W108,IF(AND($S108&lt;&gt;"",EDATE($D108,Milestones!$AA$92)&gt;=$S108),$V108,$U108)))=Milestones!$AB$92),UPPER(TEXT(EDATE($D108,Milestones!$AA$92),"dd mmm yy"))&amp;" "&amp;Milestones!$AB$92&amp;" "&amp;Milestones!$AC$92&amp;";  ","")&amp;IF(AND(EDATE($D108,Milestones!$AA$93)&lt;=AsOfDate,IF($R108=0,$X108,IF(AND($T108&lt;&gt;"",EDATE($D108,Milestones!$AA$93)&gt;=$T108),$W108,IF(AND($S108&lt;&gt;"",EDATE($D108,Milestones!$AA$93)&gt;=$S108),$V108,$U108)))=Milestones!$AB$93),UPPER(TEXT(EDATE($D108,Milestones!$AA$93),"dd mmm yy"))&amp;" "&amp;Milestones!$AB$93&amp;" "&amp;Milestones!$AC$93&amp;";  ","")&amp;IF(AND(EDATE($D108,Milestones!$AA$94)&lt;=AsOfDate,IF($R108=0,$X108,IF(AND($T108&lt;&gt;"",EDATE($D108,Milestones!$AA$94)&gt;=$T108),$W108,IF(AND($S108&lt;&gt;"",EDATE($D108,Milestones!$AA$94)&gt;=$S108),$V108,$U108)))=Milestones!$AB$94),UPPER(TEXT(EDATE($D108,Milestones!$AA$94),"dd mmm yy"))&amp;" "&amp;Milestones!$AB$94&amp;" "&amp;Milestones!$AC$94&amp;";  ","")&amp;IF(AND(EDATE($D108,Milestones!$AA$95)&lt;=AsOfDate,IF($R108=0,$X108,IF(AND($T108&lt;&gt;"",EDATE($D108,Milestones!$AA$95)&gt;=$T108),$W108,IF(AND($S108&lt;&gt;"",EDATE($D108,Milestones!$AA$95)&gt;=$S108),$V108,$U108)))=Milestones!$AB$95),UPPER(TEXT(EDATE($D108,Milestones!$AA$95),"dd mmm yy"))&amp;" "&amp;Milestones!$AB$95&amp;" "&amp;Milestones!$AC$95&amp;";  ","")&amp;IF(AND(EDATE($D108,Milestones!$AA$96)&lt;=AsOfDate,IF($R108=0,$X108,IF(AND($T108&lt;&gt;"",EDATE($D108,Milestones!$AA$96)&gt;=$T108),$W108,IF(AND($S108&lt;&gt;"",EDATE($D108,Milestones!$AA$96)&gt;=$S108),$V108,$U108)))=Milestones!$AB$96),UPPER(TEXT(EDATE($D108,Milestones!$AA$96),"dd mmm yy"))&amp;" "&amp;Milestones!$AB$96&amp;" "&amp;Milestones!$AC$96&amp;";  ","")&amp;IF(AND(EDATE($D108,Milestones!$AA$97)&lt;=AsOfDate,IF($R108=0,$X108,IF(AND($T108&lt;&gt;"",EDATE($D108,Milestones!$AA$97)&gt;=$T108),$W108,IF(AND($S108&lt;&gt;"",EDATE($D108,Milestones!$AA$97)&gt;=$S108),$V108,$U108)))=Milestones!$AB$97),UPPER(TEXT(EDATE($D108,Milestones!$AA$97),"dd mmm yy"))&amp;" "&amp;Milestones!$AB$97&amp;" "&amp;Milestones!$AC$97&amp;";  ","")&amp;IF(AND(EDATE($D108,Milestones!$AA$98)&lt;=AsOfDate,IF($R108=0,$X108,IF(AND($T108&lt;&gt;"",EDATE($D108,Milestones!$AA$98)&gt;=$T108),$W108,IF(AND($S108&lt;&gt;"",EDATE($D108,Milestones!$AA$98)&gt;=$S108),$V108,$U108)))=Milestones!$AB$98),UPPER(TEXT(EDATE($D108,Milestones!$AA$98),"dd mmm yy"))&amp;" "&amp;Milestones!$AB$98&amp;" "&amp;Milestones!$AC$98&amp;";  ","")&amp;IF(AND(EDATE($D108,Milestones!$AA$99)&lt;=AsOfDate,IF($R108=0,$X108,IF(AND($T108&lt;&gt;"",EDATE($D108,Milestones!$AA$99)&gt;=$T108),$W108,IF(AND($S108&lt;&gt;"",EDATE($D108,Milestones!$AA$99)&gt;=$S108),$V108,$U108)))=Milestones!$AB$99),UPPER(TEXT(EDATE($D108,Milestones!$AA$99),"dd mmm yy"))&amp;" "&amp;Milestones!$AB$99&amp;" "&amp;Milestones!$AC$99&amp;";  ",""))</f>
        <v/>
      </c>
      <c r="M108" s="0" t="str">
        <f aca="false">IF(OR($A108="",$D108=""),"",IF(AND(EDATE($D108,Milestones!$AA$100)&lt;=AsOfDate,IF($R108=0,$X108,IF(AND($T108&lt;&gt;"",EDATE($D108,Milestones!$AA$100)&gt;=$T108),$W108,IF(AND($S108&lt;&gt;"",EDATE($D108,Milestones!$AA$100)&gt;=$S108),$V108,$U108)))=Milestones!$AB$100),UPPER(TEXT(EDATE($D108,Milestones!$AA$100),"dd mmm yy"))&amp;" "&amp;Milestones!$AB$100&amp;" "&amp;Milestones!$AC$100&amp;";  ","")&amp;IF(AND(EDATE($D108,Milestones!$AA$101)&lt;=AsOfDate,IF($R108=0,$X108,IF(AND($T108&lt;&gt;"",EDATE($D108,Milestones!$AA$101)&gt;=$T108),$W108,IF(AND($S108&lt;&gt;"",EDATE($D108,Milestones!$AA$101)&gt;=$S108),$V108,$U108)))=Milestones!$AB$101),UPPER(TEXT(EDATE($D108,Milestones!$AA$101),"dd mmm yy"))&amp;" "&amp;Milestones!$AB$101&amp;" "&amp;Milestones!$AC$101&amp;";  ","")&amp;IF(AND(EDATE($D108,Milestones!$AA$102)&lt;=AsOfDate,IF($R108=0,$X108,IF(AND($T108&lt;&gt;"",EDATE($D108,Milestones!$AA$102)&gt;=$T108),$W108,IF(AND($S108&lt;&gt;"",EDATE($D108,Milestones!$AA$102)&gt;=$S108),$V108,$U108)))=Milestones!$AB$102),UPPER(TEXT(EDATE($D108,Milestones!$AA$102),"dd mmm yy"))&amp;" "&amp;Milestones!$AB$102&amp;" "&amp;Milestones!$AC$102&amp;";  ","")&amp;IF(AND(EDATE($D108,Milestones!$AA$103)&lt;=AsOfDate,IF($R108=0,$X108,IF(AND($T108&lt;&gt;"",EDATE($D108,Milestones!$AA$103)&gt;=$T108),$W108,IF(AND($S108&lt;&gt;"",EDATE($D108,Milestones!$AA$103)&gt;=$S108),$V108,$U108)))=Milestones!$AB$103),UPPER(TEXT(EDATE($D108,Milestones!$AA$103),"dd mmm yy"))&amp;" "&amp;Milestones!$AB$103&amp;" "&amp;Milestones!$AC$103&amp;";  ","")&amp;IF(AND(EDATE($D108,Milestones!$AA$104)&lt;=AsOfDate,IF($R108=0,$X108,IF(AND($T108&lt;&gt;"",EDATE($D108,Milestones!$AA$104)&gt;=$T108),$W108,IF(AND($S108&lt;&gt;"",EDATE($D108,Milestones!$AA$104)&gt;=$S108),$V108,$U108)))=Milestones!$AB$104),UPPER(TEXT(EDATE($D108,Milestones!$AA$104),"dd mmm yy"))&amp;" "&amp;Milestones!$AB$104&amp;" "&amp;Milestones!$AC$104&amp;";  ","")&amp;IF(AND(EDATE($D108,Milestones!$AA$105)&lt;=AsOfDate,IF($R108=0,$X108,IF(AND($T108&lt;&gt;"",EDATE($D108,Milestones!$AA$105)&gt;=$T108),$W108,IF(AND($S108&lt;&gt;"",EDATE($D108,Milestones!$AA$105)&gt;=$S108),$V108,$U108)))=Milestones!$AB$105),UPPER(TEXT(EDATE($D108,Milestones!$AA$105),"dd mmm yy"))&amp;" "&amp;Milestones!$AB$105&amp;" "&amp;Milestones!$AC$105&amp;";  ","")&amp;IF(AND(EDATE($D108,Milestones!$AA$106)&lt;=AsOfDate,IF($R108=0,$X108,IF(AND($T108&lt;&gt;"",EDATE($D108,Milestones!$AA$106)&gt;=$T108),$W108,IF(AND($S108&lt;&gt;"",EDATE($D108,Milestones!$AA$106)&gt;=$S108),$V108,$U108)))=Milestones!$AB$106),UPPER(TEXT(EDATE($D108,Milestones!$AA$106),"dd mmm yy"))&amp;" "&amp;Milestones!$AB$106&amp;" "&amp;Milestones!$AC$106&amp;";  ","")&amp;IF(AND(EDATE($D108,Milestones!$AA$107)&lt;=AsOfDate,IF($R108=0,$X108,IF(AND($T108&lt;&gt;"",EDATE($D108,Milestones!$AA$107)&gt;=$T108),$W108,IF(AND($S108&lt;&gt;"",EDATE($D108,Milestones!$AA$107)&gt;=$S108),$V108,$U108)))=Milestones!$AB$107),UPPER(TEXT(EDATE($D108,Milestones!$AA$107),"dd mmm yy"))&amp;" "&amp;Milestones!$AB$107&amp;" "&amp;Milestones!$AC$107&amp;";  ","")&amp;IF(AND(EDATE($D108,Milestones!$AA$108)&lt;=AsOfDate,IF($R108=0,$X108,IF(AND($T108&lt;&gt;"",EDATE($D108,Milestones!$AA$108)&gt;=$T108),$W108,IF(AND($S108&lt;&gt;"",EDATE($D108,Milestones!$AA$108)&gt;=$S108),$V108,$U108)))=Milestones!$AB$108),UPPER(TEXT(EDATE($D108,Milestones!$AA$108),"dd mmm yy"))&amp;" "&amp;Milestones!$AB$108&amp;" "&amp;Milestones!$AC$108&amp;";  ","")&amp;IF(AND(EDATE($D108,Milestones!$AA$109)&lt;=AsOfDate,IF($R108=0,$X108,IF(AND($T108&lt;&gt;"",EDATE($D108,Milestones!$AA$109)&gt;=$T108),$W108,IF(AND($S108&lt;&gt;"",EDATE($D108,Milestones!$AA$109)&gt;=$S108),$V108,$U108)))=Milestones!$AB$109),UPPER(TEXT(EDATE($D108,Milestones!$AA$109),"dd mmm yy"))&amp;" "&amp;Milestones!$AB$109&amp;" "&amp;Milestones!$AC$109&amp;";  ","")&amp;IF(AND(EDATE($D108,Milestones!$AA$110)&lt;=AsOfDate,IF($R108=0,$X108,IF(AND($T108&lt;&gt;"",EDATE($D108,Milestones!$AA$110)&gt;=$T108),$W108,IF(AND($S108&lt;&gt;"",EDATE($D108,Milestones!$AA$110)&gt;=$S108),$V108,$U108)))=Milestones!$AB$110),UPPER(TEXT(EDATE($D108,Milestones!$AA$110),"dd mmm yy"))&amp;" "&amp;Milestones!$AB$110&amp;" "&amp;Milestones!$AC$110&amp;";  ","")&amp;IF(AND(EDATE($D108,Milestones!$AA$111)&lt;=AsOfDate,IF($R108=0,$X108,IF(AND($T108&lt;&gt;"",EDATE($D108,Milestones!$AA$111)&gt;=$T108),$W108,IF(AND($S108&lt;&gt;"",EDATE($D108,Milestones!$AA$111)&gt;=$S108),$V108,$U108)))=Milestones!$AB$111),UPPER(TEXT(EDATE($D108,Milestones!$AA$111),"dd mmm yy"))&amp;" "&amp;Milestones!$AB$111&amp;" "&amp;Milestones!$AC$111&amp;";  ","")&amp;IF(AND(EDATE($D108,Milestones!$AA$112)&lt;=AsOfDate,IF($R108=0,$X108,IF(AND($T108&lt;&gt;"",EDATE($D108,Milestones!$AA$112)&gt;=$T108),$W108,IF(AND($S108&lt;&gt;"",EDATE($D108,Milestones!$AA$112)&gt;=$S108),$V108,$U108)))=Milestones!$AB$112),UPPER(TEXT(EDATE($D108,Milestones!$AA$112),"dd mmm yy"))&amp;" "&amp;Milestones!$AB$112&amp;" "&amp;Milestones!$AC$112&amp;";  ","")&amp;IF(AND(EDATE($D108,Milestones!$AA$113)&lt;=AsOfDate,IF($R108=0,$X108,IF(AND($T108&lt;&gt;"",EDATE($D108,Milestones!$AA$113)&gt;=$T108),$W108,IF(AND($S108&lt;&gt;"",EDATE($D108,Milestones!$AA$113)&gt;=$S108),$V108,$U108)))=Milestones!$AB$113),UPPER(TEXT(EDATE($D108,Milestones!$AA$113),"dd mmm yy"))&amp;" "&amp;Milestones!$AB$113&amp;" "&amp;Milestones!$AC$113&amp;";  ","")&amp;IF(AND(EDATE($D108,Milestones!$AA$114)&lt;=AsOfDate,IF($R108=0,$X108,IF(AND($T108&lt;&gt;"",EDATE($D108,Milestones!$AA$114)&gt;=$T108),$W108,IF(AND($S108&lt;&gt;"",EDATE($D108,Milestones!$AA$114)&gt;=$S108),$V108,$U108)))=Milestones!$AB$114),UPPER(TEXT(EDATE($D108,Milestones!$AA$114),"dd mmm yy"))&amp;" "&amp;Milestones!$AB$114&amp;" "&amp;Milestones!$AC$114&amp;";  ","")&amp;IF(AND(EDATE($D108,Milestones!$AA$115)&lt;=AsOfDate,IF($R108=0,$X108,IF(AND($T108&lt;&gt;"",EDATE($D108,Milestones!$AA$115)&gt;=$T108),$W108,IF(AND($S108&lt;&gt;"",EDATE($D108,Milestones!$AA$115)&gt;=$S108),$V108,$U108)))=Milestones!$AB$115),UPPER(TEXT(EDATE($D108,Milestones!$AA$115),"dd mmm yy"))&amp;" "&amp;Milestones!$AB$115&amp;" "&amp;Milestones!$AC$115&amp;";  ","")&amp;IF(AND(EDATE($D108,Milestones!$AA$116)&lt;=AsOfDate,IF($R108=0,$X108,IF(AND($T108&lt;&gt;"",EDATE($D108,Milestones!$AA$116)&gt;=$T108),$W108,IF(AND($S108&lt;&gt;"",EDATE($D108,Milestones!$AA$116)&gt;=$S108),$V108,$U108)))=Milestones!$AB$116),UPPER(TEXT(EDATE($D108,Milestones!$AA$116),"dd mmm yy"))&amp;" "&amp;Milestones!$AB$116&amp;" "&amp;Milestones!$AC$116&amp;";  ","")&amp;IF(AND(EDATE($D108,Milestones!$AA$117)&lt;=AsOfDate,IF($R108=0,$X108,IF(AND($T108&lt;&gt;"",EDATE($D108,Milestones!$AA$117)&gt;=$T108),$W108,IF(AND($S108&lt;&gt;"",EDATE($D108,Milestones!$AA$117)&gt;=$S108),$V108,$U108)))=Milestones!$AB$117),UPPER(TEXT(EDATE($D108,Milestones!$AA$117),"dd mmm yy"))&amp;" "&amp;Milestones!$AB$117&amp;" "&amp;Milestones!$AC$117&amp;";  ","")&amp;IF(AND(EDATE($D108,Milestones!$AA$118)&lt;=AsOfDate,IF($R108=0,$X108,IF(AND($T108&lt;&gt;"",EDATE($D108,Milestones!$AA$118)&gt;=$T108),$W108,IF(AND($S108&lt;&gt;"",EDATE($D108,Milestones!$AA$118)&gt;=$S108),$V108,$U108)))=Milestones!$AB$118),UPPER(TEXT(EDATE($D108,Milestones!$AA$118),"dd mmm yy"))&amp;" "&amp;Milestones!$AB$118&amp;" "&amp;Milestones!$AC$118&amp;";  ","")&amp;IF(AND(EDATE($D108,Milestones!$AA$119)&lt;=AsOfDate,IF($R108=0,$X108,IF(AND($T108&lt;&gt;"",EDATE($D108,Milestones!$AA$119)&gt;=$T108),$W108,IF(AND($S108&lt;&gt;"",EDATE($D108,Milestones!$AA$119)&gt;=$S108),$V108,$U108)))=Milestones!$AB$119),UPPER(TEXT(EDATE($D108,Milestones!$AA$119),"dd mmm yy"))&amp;" "&amp;Milestones!$AB$119&amp;" "&amp;Milestones!$AC$119&amp;";  ",""))</f>
        <v/>
      </c>
      <c r="N108" s="0" t="str">
        <f aca="false">IF(OR($A108="",$D108=""),"",IF(AND(EDATE($D108,Milestones!$AA$120)&lt;=AsOfDate,IF($R108=0,$X108,IF(AND($T108&lt;&gt;"",EDATE($D108,Milestones!$AA$120)&gt;=$T108),$W108,IF(AND($S108&lt;&gt;"",EDATE($D108,Milestones!$AA$120)&gt;=$S108),$V108,$U108)))=Milestones!$AB$120),UPPER(TEXT(EDATE($D108,Milestones!$AA$120),"dd mmm yy"))&amp;" "&amp;Milestones!$AB$120&amp;" "&amp;Milestones!$AC$120&amp;";  ","")&amp;IF(AND(EDATE($D108,Milestones!$AA$121)&lt;=AsOfDate,IF($R108=0,$X108,IF(AND($T108&lt;&gt;"",EDATE($D108,Milestones!$AA$121)&gt;=$T108),$W108,IF(AND($S108&lt;&gt;"",EDATE($D108,Milestones!$AA$121)&gt;=$S108),$V108,$U108)))=Milestones!$AB$121),UPPER(TEXT(EDATE($D108,Milestones!$AA$121),"dd mmm yy"))&amp;" "&amp;Milestones!$AB$121&amp;" "&amp;Milestones!$AC$121&amp;";  ","")&amp;IF(AND(EDATE($D108,Milestones!$AA$122)&lt;=AsOfDate,IF($R108=0,$X108,IF(AND($T108&lt;&gt;"",EDATE($D108,Milestones!$AA$122)&gt;=$T108),$W108,IF(AND($S108&lt;&gt;"",EDATE($D108,Milestones!$AA$122)&gt;=$S108),$V108,$U108)))=Milestones!$AB$122),UPPER(TEXT(EDATE($D108,Milestones!$AA$122),"dd mmm yy"))&amp;" "&amp;Milestones!$AB$122&amp;" "&amp;Milestones!$AC$122&amp;";  ","")&amp;IF(AND(EDATE($D108,Milestones!$AA$123)&lt;=AsOfDate,IF($R108=0,$X108,IF(AND($T108&lt;&gt;"",EDATE($D108,Milestones!$AA$123)&gt;=$T108),$W108,IF(AND($S108&lt;&gt;"",EDATE($D108,Milestones!$AA$123)&gt;=$S108),$V108,$U108)))=Milestones!$AB$123),UPPER(TEXT(EDATE($D108,Milestones!$AA$123),"dd mmm yy"))&amp;" "&amp;Milestones!$AB$123&amp;" "&amp;Milestones!$AC$123&amp;";  ","")&amp;IF(AND(EDATE($D108,Milestones!$AA$124)&lt;=AsOfDate,IF($R108=0,$X108,IF(AND($T108&lt;&gt;"",EDATE($D108,Milestones!$AA$124)&gt;=$T108),$W108,IF(AND($S108&lt;&gt;"",EDATE($D108,Milestones!$AA$124)&gt;=$S108),$V108,$U108)))=Milestones!$AB$124),UPPER(TEXT(EDATE($D108,Milestones!$AA$124),"dd mmm yy"))&amp;" "&amp;Milestones!$AB$124&amp;" "&amp;Milestones!$AC$124&amp;";  ","")&amp;IF(AND(EDATE($D108,Milestones!$AA$125)&lt;=AsOfDate,IF($R108=0,$X108,IF(AND($T108&lt;&gt;"",EDATE($D108,Milestones!$AA$125)&gt;=$T108),$W108,IF(AND($S108&lt;&gt;"",EDATE($D108,Milestones!$AA$125)&gt;=$S108),$V108,$U108)))=Milestones!$AB$125),UPPER(TEXT(EDATE($D108,Milestones!$AA$125),"dd mmm yy"))&amp;" "&amp;Milestones!$AB$125&amp;" "&amp;Milestones!$AC$125&amp;";  ","")&amp;IF(AND(EDATE($D108,Milestones!$AA$126)&lt;=AsOfDate,IF($R108=0,$X108,IF(AND($T108&lt;&gt;"",EDATE($D108,Milestones!$AA$126)&gt;=$T108),$W108,IF(AND($S108&lt;&gt;"",EDATE($D108,Milestones!$AA$126)&gt;=$S108),$V108,$U108)))=Milestones!$AB$126),UPPER(TEXT(EDATE($D108,Milestones!$AA$126),"dd mmm yy"))&amp;" "&amp;Milestones!$AB$126&amp;" "&amp;Milestones!$AC$126&amp;";  ","")&amp;IF(AND(EDATE($D108,Milestones!$AA$127)&lt;=AsOfDate,IF($R108=0,$X108,IF(AND($T108&lt;&gt;"",EDATE($D108,Milestones!$AA$127)&gt;=$T108),$W108,IF(AND($S108&lt;&gt;"",EDATE($D108,Milestones!$AA$127)&gt;=$S108),$V108,$U108)))=Milestones!$AB$127),UPPER(TEXT(EDATE($D108,Milestones!$AA$127),"dd mmm yy"))&amp;" "&amp;Milestones!$AB$127&amp;" "&amp;Milestones!$AC$127&amp;";  ","")&amp;IF(AND(EDATE($D108,Milestones!$AA$128)&lt;=AsOfDate,IF($R108=0,$X108,IF(AND($T108&lt;&gt;"",EDATE($D108,Milestones!$AA$128)&gt;=$T108),$W108,IF(AND($S108&lt;&gt;"",EDATE($D108,Milestones!$AA$128)&gt;=$S108),$V108,$U108)))=Milestones!$AB$128),UPPER(TEXT(EDATE($D108,Milestones!$AA$128),"dd mmm yy"))&amp;" "&amp;Milestones!$AB$128&amp;" "&amp;Milestones!$AC$128&amp;";  ","")&amp;IF(AND(EDATE($D108,Milestones!$AA$129)&lt;=AsOfDate,IF($R108=0,$X108,IF(AND($T108&lt;&gt;"",EDATE($D108,Milestones!$AA$129)&gt;=$T108),$W108,IF(AND($S108&lt;&gt;"",EDATE($D108,Milestones!$AA$129)&gt;=$S108),$V108,$U108)))=Milestones!$AB$129),UPPER(TEXT(EDATE($D108,Milestones!$AA$129),"dd mmm yy"))&amp;" "&amp;Milestones!$AB$129&amp;" "&amp;Milestones!$AC$129&amp;";  ","")&amp;IF(AND(EDATE($D108,Milestones!$AA$130)&lt;=AsOfDate,IF($R108=0,$X108,IF(AND($T108&lt;&gt;"",EDATE($D108,Milestones!$AA$130)&gt;=$T108),$W108,IF(AND($S108&lt;&gt;"",EDATE($D108,Milestones!$AA$130)&gt;=$S108),$V108,$U108)))=Milestones!$AB$130),UPPER(TEXT(EDATE($D108,Milestones!$AA$130),"dd mmm yy"))&amp;" "&amp;Milestones!$AB$130&amp;" "&amp;Milestones!$AC$130&amp;";  ","")&amp;IF(AND(EDATE($D108,Milestones!$AA$131)&lt;=AsOfDate,IF($R108=0,$X108,IF(AND($T108&lt;&gt;"",EDATE($D108,Milestones!$AA$131)&gt;=$T108),$W108,IF(AND($S108&lt;&gt;"",EDATE($D108,Milestones!$AA$131)&gt;=$S108),$V108,$U108)))=Milestones!$AB$131),UPPER(TEXT(EDATE($D108,Milestones!$AA$131),"dd mmm yy"))&amp;" "&amp;Milestones!$AB$131&amp;" "&amp;Milestones!$AC$131&amp;";  ","")&amp;IF(AND(EDATE($D108,Milestones!$AA$132)&lt;=AsOfDate,IF($R108=0,$X108,IF(AND($T108&lt;&gt;"",EDATE($D108,Milestones!$AA$132)&gt;=$T108),$W108,IF(AND($S108&lt;&gt;"",EDATE($D108,Milestones!$AA$132)&gt;=$S108),$V108,$U108)))=Milestones!$AB$132),UPPER(TEXT(EDATE($D108,Milestones!$AA$132),"dd mmm yy"))&amp;" "&amp;Milestones!$AB$132&amp;" "&amp;Milestones!$AC$132&amp;";  ","")&amp;IF(AND(EDATE($D108,Milestones!$AA$133)&lt;=AsOfDate,IF($R108=0,$X108,IF(AND($T108&lt;&gt;"",EDATE($D108,Milestones!$AA$133)&gt;=$T108),$W108,IF(AND($S108&lt;&gt;"",EDATE($D108,Milestones!$AA$133)&gt;=$S108),$V108,$U108)))=Milestones!$AB$133),UPPER(TEXT(EDATE($D108,Milestones!$AA$133),"dd mmm yy"))&amp;" "&amp;Milestones!$AB$133&amp;" "&amp;Milestones!$AC$133&amp;";  ","")&amp;IF(AND(EDATE($D108,Milestones!$AA$134)&lt;=AsOfDate,IF($R108=0,$X108,IF(AND($T108&lt;&gt;"",EDATE($D108,Milestones!$AA$134)&gt;=$T108),$W108,IF(AND($S108&lt;&gt;"",EDATE($D108,Milestones!$AA$134)&gt;=$S108),$V108,$U108)))=Milestones!$AB$134),UPPER(TEXT(EDATE($D108,Milestones!$AA$134),"dd mmm yy"))&amp;" "&amp;Milestones!$AB$134&amp;" "&amp;Milestones!$AC$134&amp;";  ","")&amp;IF(AND(EDATE($D108,Milestones!$AA$135)&lt;=AsOfDate,IF($R108=0,$X108,IF(AND($T108&lt;&gt;"",EDATE($D108,Milestones!$AA$135)&gt;=$T108),$W108,IF(AND($S108&lt;&gt;"",EDATE($D108,Milestones!$AA$135)&gt;=$S108),$V108,$U108)))=Milestones!$AB$135),UPPER(TEXT(EDATE($D108,Milestones!$AA$135),"dd mmm yy"))&amp;" "&amp;Milestones!$AB$135&amp;" "&amp;Milestones!$AC$135&amp;";  ","")&amp;IF(AND(EDATE($D108,Milestones!$AA$136)&lt;=AsOfDate,IF($R108=0,$X108,IF(AND($T108&lt;&gt;"",EDATE($D108,Milestones!$AA$136)&gt;=$T108),$W108,IF(AND($S108&lt;&gt;"",EDATE($D108,Milestones!$AA$136)&gt;=$S108),$V108,$U108)))=Milestones!$AB$136),UPPER(TEXT(EDATE($D108,Milestones!$AA$136),"dd mmm yy"))&amp;" "&amp;Milestones!$AB$136&amp;" "&amp;Milestones!$AC$136&amp;";  ","")&amp;IF(AND(EDATE($D108,Milestones!$AA$137)&lt;=AsOfDate,IF($R108=0,$X108,IF(AND($T108&lt;&gt;"",EDATE($D108,Milestones!$AA$137)&gt;=$T108),$W108,IF(AND($S108&lt;&gt;"",EDATE($D108,Milestones!$AA$137)&gt;=$S108),$V108,$U108)))=Milestones!$AB$137),UPPER(TEXT(EDATE($D108,Milestones!$AA$137),"dd mmm yy"))&amp;" "&amp;Milestones!$AB$137&amp;" "&amp;Milestones!$AC$137&amp;";  ","")&amp;IF(AND(EDATE($D108,Milestones!$AA$138)&lt;=AsOfDate,IF($R108=0,$X108,IF(AND($T108&lt;&gt;"",EDATE($D108,Milestones!$AA$138)&gt;=$T108),$W108,IF(AND($S108&lt;&gt;"",EDATE($D108,Milestones!$AA$138)&gt;=$S108),$V108,$U108)))=Milestones!$AB$138),UPPER(TEXT(EDATE($D108,Milestones!$AA$138),"dd mmm yy"))&amp;" "&amp;Milestones!$AB$138&amp;" "&amp;Milestones!$AC$138&amp;";  ","")&amp;IF(AND(EDATE($D108,Milestones!$AA$139)&lt;=AsOfDate,IF($R108=0,$X108,IF(AND($T108&lt;&gt;"",EDATE($D108,Milestones!$AA$139)&gt;=$T108),$W108,IF(AND($S108&lt;&gt;"",EDATE($D108,Milestones!$AA$139)&gt;=$S108),$V108,$U108)))=Milestones!$AB$139),UPPER(TEXT(EDATE($D108,Milestones!$AA$139),"dd mmm yy"))&amp;" "&amp;Milestones!$AB$139&amp;" "&amp;Milestones!$AC$139&amp;";  ",""))</f>
        <v/>
      </c>
      <c r="O108" s="0" t="str">
        <f aca="false">IF(OR($A108="",$D108=""),"",IF(AND(EDATE($D108,Milestones!$AA$140)&lt;=AsOfDate,IF($R108=0,$X108,IF(AND($T108&lt;&gt;"",EDATE($D108,Milestones!$AA$140)&gt;=$T108),$W108,IF(AND($S108&lt;&gt;"",EDATE($D108,Milestones!$AA$140)&gt;=$S108),$V108,$U108)))=Milestones!$AB$140),UPPER(TEXT(EDATE($D108,Milestones!$AA$140),"dd mmm yy"))&amp;" "&amp;Milestones!$AB$140&amp;" "&amp;Milestones!$AC$140&amp;";  ","")&amp;IF(AND(EDATE($D108,Milestones!$AA$141)&lt;=AsOfDate,IF($R108=0,$X108,IF(AND($T108&lt;&gt;"",EDATE($D108,Milestones!$AA$141)&gt;=$T108),$W108,IF(AND($S108&lt;&gt;"",EDATE($D108,Milestones!$AA$141)&gt;=$S108),$V108,$U108)))=Milestones!$AB$141),UPPER(TEXT(EDATE($D108,Milestones!$AA$141),"dd mmm yy"))&amp;" "&amp;Milestones!$AB$141&amp;" "&amp;Milestones!$AC$141&amp;";  ","")&amp;IF(AND(EDATE($D108,Milestones!$AA$142)&lt;=AsOfDate,IF($R108=0,$X108,IF(AND($T108&lt;&gt;"",EDATE($D108,Milestones!$AA$142)&gt;=$T108),$W108,IF(AND($S108&lt;&gt;"",EDATE($D108,Milestones!$AA$142)&gt;=$S108),$V108,$U108)))=Milestones!$AB$142),UPPER(TEXT(EDATE($D108,Milestones!$AA$142),"dd mmm yy"))&amp;" "&amp;Milestones!$AB$142&amp;" "&amp;Milestones!$AC$142&amp;";  ","")&amp;IF(AND(EDATE($D108,Milestones!$AA$143)&lt;=AsOfDate,IF($R108=0,$X108,IF(AND($T108&lt;&gt;"",EDATE($D108,Milestones!$AA$143)&gt;=$T108),$W108,IF(AND($S108&lt;&gt;"",EDATE($D108,Milestones!$AA$143)&gt;=$S108),$V108,$U108)))=Milestones!$AB$143),UPPER(TEXT(EDATE($D108,Milestones!$AA$143),"dd mmm yy"))&amp;" "&amp;Milestones!$AB$143&amp;" "&amp;Milestones!$AC$143&amp;";  ","")&amp;IF(AND(EDATE($D108,Milestones!$AA$144)&lt;=AsOfDate,IF($R108=0,$X108,IF(AND($T108&lt;&gt;"",EDATE($D108,Milestones!$AA$144)&gt;=$T108),$W108,IF(AND($S108&lt;&gt;"",EDATE($D108,Milestones!$AA$144)&gt;=$S108),$V108,$U108)))=Milestones!$AB$144),UPPER(TEXT(EDATE($D108,Milestones!$AA$144),"dd mmm yy"))&amp;" "&amp;Milestones!$AB$144&amp;" "&amp;Milestones!$AC$144&amp;";  ","")&amp;IF(AND(EDATE($D108,Milestones!$AA$145)&lt;=AsOfDate,IF($R108=0,$X108,IF(AND($T108&lt;&gt;"",EDATE($D108,Milestones!$AA$145)&gt;=$T108),$W108,IF(AND($S108&lt;&gt;"",EDATE($D108,Milestones!$AA$145)&gt;=$S108),$V108,$U108)))=Milestones!$AB$145),UPPER(TEXT(EDATE($D108,Milestones!$AA$145),"dd mmm yy"))&amp;" "&amp;Milestones!$AB$145&amp;" "&amp;Milestones!$AC$145&amp;";  ","")&amp;IF(AND(EDATE($D108,Milestones!$AA$146)&lt;=AsOfDate,IF($R108=0,$X108,IF(AND($T108&lt;&gt;"",EDATE($D108,Milestones!$AA$146)&gt;=$T108),$W108,IF(AND($S108&lt;&gt;"",EDATE($D108,Milestones!$AA$146)&gt;=$S108),$V108,$U108)))=Milestones!$AB$146),UPPER(TEXT(EDATE($D108,Milestones!$AA$146),"dd mmm yy"))&amp;" "&amp;Milestones!$AB$146&amp;" "&amp;Milestones!$AC$146&amp;";  ","")&amp;IF(AND(EDATE($D108,Milestones!$AA$147)&lt;=AsOfDate,IF($R108=0,$X108,IF(AND($T108&lt;&gt;"",EDATE($D108,Milestones!$AA$147)&gt;=$T108),$W108,IF(AND($S108&lt;&gt;"",EDATE($D108,Milestones!$AA$147)&gt;=$S108),$V108,$U108)))=Milestones!$AB$147),UPPER(TEXT(EDATE($D108,Milestones!$AA$147),"dd mmm yy"))&amp;" "&amp;Milestones!$AB$147&amp;" "&amp;Milestones!$AC$147&amp;";  ","")&amp;IF(AND(EDATE($D108,Milestones!$AA$148)&lt;=AsOfDate,IF($R108=0,$X108,IF(AND($T108&lt;&gt;"",EDATE($D108,Milestones!$AA$148)&gt;=$T108),$W108,IF(AND($S108&lt;&gt;"",EDATE($D108,Milestones!$AA$148)&gt;=$S108),$V108,$U108)))=Milestones!$AB$148),UPPER(TEXT(EDATE($D108,Milestones!$AA$148),"dd mmm yy"))&amp;" "&amp;Milestones!$AB$148&amp;" "&amp;Milestones!$AC$148&amp;";  ","")&amp;IF(AND(EDATE($D108,Milestones!$AA$149)&lt;=AsOfDate,IF($R108=0,$X108,IF(AND($T108&lt;&gt;"",EDATE($D108,Milestones!$AA$149)&gt;=$T108),$W108,IF(AND($S108&lt;&gt;"",EDATE($D108,Milestones!$AA$149)&gt;=$S108),$V108,$U108)))=Milestones!$AB$149),UPPER(TEXT(EDATE($D108,Milestones!$AA$149),"dd mmm yy"))&amp;" "&amp;Milestones!$AB$149&amp;" "&amp;Milestones!$AC$149&amp;";  ","")&amp;IF(AND(EDATE($D108,Milestones!$AA$150)&lt;=AsOfDate,IF($R108=0,$X108,IF(AND($T108&lt;&gt;"",EDATE($D108,Milestones!$AA$150)&gt;=$T108),$W108,IF(AND($S108&lt;&gt;"",EDATE($D108,Milestones!$AA$150)&gt;=$S108),$V108,$U108)))=Milestones!$AB$150),UPPER(TEXT(EDATE($D108,Milestones!$AA$150),"dd mmm yy"))&amp;" "&amp;Milestones!$AB$150&amp;" "&amp;Milestones!$AC$150&amp;";  ","")&amp;IF(AND(EDATE($D108,Milestones!$AA$151)&lt;=AsOfDate,IF($R108=0,$X108,IF(AND($T108&lt;&gt;"",EDATE($D108,Milestones!$AA$151)&gt;=$T108),$W108,IF(AND($S108&lt;&gt;"",EDATE($D108,Milestones!$AA$151)&gt;=$S108),$V108,$U108)))=Milestones!$AB$151),UPPER(TEXT(EDATE($D108,Milestones!$AA$151),"dd mmm yy"))&amp;" "&amp;Milestones!$AB$151&amp;" "&amp;Milestones!$AC$151&amp;";  ","")&amp;IF(AND(EDATE($D108,Milestones!$AA$152)&lt;=AsOfDate,IF($R108=0,$X108,IF(AND($T108&lt;&gt;"",EDATE($D108,Milestones!$AA$152)&gt;=$T108),$W108,IF(AND($S108&lt;&gt;"",EDATE($D108,Milestones!$AA$152)&gt;=$S108),$V108,$U108)))=Milestones!$AB$152),UPPER(TEXT(EDATE($D108,Milestones!$AA$152),"dd mmm yy"))&amp;" "&amp;Milestones!$AB$152&amp;" "&amp;Milestones!$AC$152&amp;";  ","")&amp;IF(AND(EDATE($D108,Milestones!$AA$153)&lt;=AsOfDate,IF($R108=0,$X108,IF(AND($T108&lt;&gt;"",EDATE($D108,Milestones!$AA$153)&gt;=$T108),$W108,IF(AND($S108&lt;&gt;"",EDATE($D108,Milestones!$AA$153)&gt;=$S108),$V108,$U108)))=Milestones!$AB$153),UPPER(TEXT(EDATE($D108,Milestones!$AA$153),"dd mmm yy"))&amp;" "&amp;Milestones!$AB$153&amp;" "&amp;Milestones!$AC$153&amp;";  ","")&amp;IF(AND(EDATE($D108,Milestones!$AA$154)&lt;=AsOfDate,IF($R108=0,$X108,IF(AND($T108&lt;&gt;"",EDATE($D108,Milestones!$AA$154)&gt;=$T108),$W108,IF(AND($S108&lt;&gt;"",EDATE($D108,Milestones!$AA$154)&gt;=$S108),$V108,$U108)))=Milestones!$AB$154),UPPER(TEXT(EDATE($D108,Milestones!$AA$154),"dd mmm yy"))&amp;" "&amp;Milestones!$AB$154&amp;" "&amp;Milestones!$AC$154&amp;";  ","")&amp;IF(AND(EDATE($D108,Milestones!$AA$155)&lt;=AsOfDate,IF($R108=0,$X108,IF(AND($T108&lt;&gt;"",EDATE($D108,Milestones!$AA$155)&gt;=$T108),$W108,IF(AND($S108&lt;&gt;"",EDATE($D108,Milestones!$AA$155)&gt;=$S108),$V108,$U108)))=Milestones!$AB$155),UPPER(TEXT(EDATE($D108,Milestones!$AA$155),"dd mmm yy"))&amp;" "&amp;Milestones!$AB$155&amp;" "&amp;Milestones!$AC$155&amp;";  ","")&amp;IF(AND(EDATE($D108,Milestones!$AA$156)&lt;=AsOfDate,IF($R108=0,$X108,IF(AND($T108&lt;&gt;"",EDATE($D108,Milestones!$AA$156)&gt;=$T108),$W108,IF(AND($S108&lt;&gt;"",EDATE($D108,Milestones!$AA$156)&gt;=$S108),$V108,$U108)))=Milestones!$AB$156),UPPER(TEXT(EDATE($D108,Milestones!$AA$156),"dd mmm yy"))&amp;" "&amp;Milestones!$AB$156&amp;" "&amp;Milestones!$AC$156&amp;";  ","")&amp;IF(AND(EDATE($D108,Milestones!$AA$157)&lt;=AsOfDate,IF($R108=0,$X108,IF(AND($T108&lt;&gt;"",EDATE($D108,Milestones!$AA$157)&gt;=$T108),$W108,IF(AND($S108&lt;&gt;"",EDATE($D108,Milestones!$AA$157)&gt;=$S108),$V108,$U108)))=Milestones!$AB$157),UPPER(TEXT(EDATE($D108,Milestones!$AA$157),"dd mmm yy"))&amp;" "&amp;Milestones!$AB$157&amp;" "&amp;Milestones!$AC$157&amp;";  ","")&amp;IF(AND(EDATE($D108,Milestones!$AA$158)&lt;=AsOfDate,IF($R108=0,$X108,IF(AND($T108&lt;&gt;"",EDATE($D108,Milestones!$AA$158)&gt;=$T108),$W108,IF(AND($S108&lt;&gt;"",EDATE($D108,Milestones!$AA$158)&gt;=$S108),$V108,$U108)))=Milestones!$AB$158),UPPER(TEXT(EDATE($D108,Milestones!$AA$158),"dd mmm yy"))&amp;" "&amp;Milestones!$AB$158&amp;" "&amp;Milestones!$AC$158&amp;";  ","")&amp;IF(AND(EDATE($D108,Milestones!$AA$159)&lt;=AsOfDate,IF($R108=0,$X108,IF(AND($T108&lt;&gt;"",EDATE($D108,Milestones!$AA$159)&gt;=$T108),$W108,IF(AND($S108&lt;&gt;"",EDATE($D108,Milestones!$AA$159)&gt;=$S108),$V108,$U108)))=Milestones!$AB$159),UPPER(TEXT(EDATE($D108,Milestones!$AA$159),"dd mmm yy"))&amp;" "&amp;Milestones!$AB$159&amp;" "&amp;Milestones!$AC$159&amp;";  ",""))</f>
        <v/>
      </c>
      <c r="P108" s="0" t="str">
        <f aca="false">IF(OR($A108="",$D108=""),"",IF(AND(EDATE($D108,Milestones!$AA$160)&lt;=AsOfDate,IF($R108=0,$X108,IF(AND($T108&lt;&gt;"",EDATE($D108,Milestones!$AA$160)&gt;=$T108),$W108,IF(AND($S108&lt;&gt;"",EDATE($D108,Milestones!$AA$160)&gt;=$S108),$V108,$U108)))=Milestones!$AB$160),UPPER(TEXT(EDATE($D108,Milestones!$AA$160),"dd mmm yy"))&amp;" "&amp;Milestones!$AB$160&amp;" "&amp;Milestones!$AC$160&amp;";  ","")&amp;IF(AND(EDATE($D108,Milestones!$AA$161)&lt;=AsOfDate,IF($R108=0,$X108,IF(AND($T108&lt;&gt;"",EDATE($D108,Milestones!$AA$161)&gt;=$T108),$W108,IF(AND($S108&lt;&gt;"",EDATE($D108,Milestones!$AA$161)&gt;=$S108),$V108,$U108)))=Milestones!$AB$161),UPPER(TEXT(EDATE($D108,Milestones!$AA$161),"dd mmm yy"))&amp;" "&amp;Milestones!$AB$161&amp;" "&amp;Milestones!$AC$161&amp;";  ","")&amp;IF(AND(EDATE($D108,Milestones!$AA$162)&lt;=AsOfDate,IF($R108=0,$X108,IF(AND($T108&lt;&gt;"",EDATE($D108,Milestones!$AA$162)&gt;=$T108),$W108,IF(AND($S108&lt;&gt;"",EDATE($D108,Milestones!$AA$162)&gt;=$S108),$V108,$U108)))=Milestones!$AB$162),UPPER(TEXT(EDATE($D108,Milestones!$AA$162),"dd mmm yy"))&amp;" "&amp;Milestones!$AB$162&amp;" "&amp;Milestones!$AC$162&amp;";  ","")&amp;IF(AND(EDATE($D108,Milestones!$AA$163)&lt;=AsOfDate,IF($R108=0,$X108,IF(AND($T108&lt;&gt;"",EDATE($D108,Milestones!$AA$163)&gt;=$T108),$W108,IF(AND($S108&lt;&gt;"",EDATE($D108,Milestones!$AA$163)&gt;=$S108),$V108,$U108)))=Milestones!$AB$163),UPPER(TEXT(EDATE($D108,Milestones!$AA$163),"dd mmm yy"))&amp;" "&amp;Milestones!$AB$163&amp;" "&amp;Milestones!$AC$163&amp;";  ","")&amp;IF(AND(EDATE($D108,Milestones!$AA$164)&lt;=AsOfDate,IF($R108=0,$X108,IF(AND($T108&lt;&gt;"",EDATE($D108,Milestones!$AA$164)&gt;=$T108),$W108,IF(AND($S108&lt;&gt;"",EDATE($D108,Milestones!$AA$164)&gt;=$S108),$V108,$U108)))=Milestones!$AB$164),UPPER(TEXT(EDATE($D108,Milestones!$AA$164),"dd mmm yy"))&amp;" "&amp;Milestones!$AB$164&amp;" "&amp;Milestones!$AC$164&amp;";  ","")&amp;IF(AND(EDATE($D108,Milestones!$AA$165)&lt;=AsOfDate,IF($R108=0,$X108,IF(AND($T108&lt;&gt;"",EDATE($D108,Milestones!$AA$165)&gt;=$T108),$W108,IF(AND($S108&lt;&gt;"",EDATE($D108,Milestones!$AA$165)&gt;=$S108),$V108,$U108)))=Milestones!$AB$165),UPPER(TEXT(EDATE($D108,Milestones!$AA$165),"dd mmm yy"))&amp;" "&amp;Milestones!$AB$165&amp;" "&amp;Milestones!$AC$165&amp;";  ","")&amp;IF(AND(EDATE($D108,Milestones!$AA$166)&lt;=AsOfDate,IF($R108=0,$X108,IF(AND($T108&lt;&gt;"",EDATE($D108,Milestones!$AA$166)&gt;=$T108),$W108,IF(AND($S108&lt;&gt;"",EDATE($D108,Milestones!$AA$166)&gt;=$S108),$V108,$U108)))=Milestones!$AB$166),UPPER(TEXT(EDATE($D108,Milestones!$AA$166),"dd mmm yy"))&amp;" "&amp;Milestones!$AB$166&amp;" "&amp;Milestones!$AC$166&amp;";  ","")&amp;IF(AND(EDATE($D108,Milestones!$AA$167)&lt;=AsOfDate,IF($R108=0,$X108,IF(AND($T108&lt;&gt;"",EDATE($D108,Milestones!$AA$167)&gt;=$T108),$W108,IF(AND($S108&lt;&gt;"",EDATE($D108,Milestones!$AA$167)&gt;=$S108),$V108,$U108)))=Milestones!$AB$167),UPPER(TEXT(EDATE($D108,Milestones!$AA$167),"dd mmm yy"))&amp;" "&amp;Milestones!$AB$167&amp;" "&amp;Milestones!$AC$167&amp;";  ","")&amp;IF(AND(EDATE($D108,Milestones!$AA$168)&lt;=AsOfDate,IF($R108=0,$X108,IF(AND($T108&lt;&gt;"",EDATE($D108,Milestones!$AA$168)&gt;=$T108),$W108,IF(AND($S108&lt;&gt;"",EDATE($D108,Milestones!$AA$168)&gt;=$S108),$V108,$U108)))=Milestones!$AB$168),UPPER(TEXT(EDATE($D108,Milestones!$AA$168),"dd mmm yy"))&amp;" "&amp;Milestones!$AB$168&amp;" "&amp;Milestones!$AC$168&amp;";  ","")&amp;IF(AND(EDATE($D108,Milestones!$AA$169)&lt;=AsOfDate,IF($R108=0,$X108,IF(AND($T108&lt;&gt;"",EDATE($D108,Milestones!$AA$169)&gt;=$T108),$W108,IF(AND($S108&lt;&gt;"",EDATE($D108,Milestones!$AA$169)&gt;=$S108),$V108,$U108)))=Milestones!$AB$169),UPPER(TEXT(EDATE($D108,Milestones!$AA$169),"dd mmm yy"))&amp;" "&amp;Milestones!$AB$169&amp;" "&amp;Milestones!$AC$169&amp;";  ","")&amp;IF(AND(EDATE($D108,Milestones!$AA$170)&lt;=AsOfDate,IF($R108=0,$X108,IF(AND($T108&lt;&gt;"",EDATE($D108,Milestones!$AA$170)&gt;=$T108),$W108,IF(AND($S108&lt;&gt;"",EDATE($D108,Milestones!$AA$170)&gt;=$S108),$V108,$U108)))=Milestones!$AB$170),UPPER(TEXT(EDATE($D108,Milestones!$AA$170),"dd mmm yy"))&amp;" "&amp;Milestones!$AB$170&amp;" "&amp;Milestones!$AC$170&amp;";  ","")&amp;IF(AND(EDATE($D108,Milestones!$AA$171)&lt;=AsOfDate,IF($R108=0,$X108,IF(AND($T108&lt;&gt;"",EDATE($D108,Milestones!$AA$171)&gt;=$T108),$W108,IF(AND($S108&lt;&gt;"",EDATE($D108,Milestones!$AA$171)&gt;=$S108),$V108,$U108)))=Milestones!$AB$171),UPPER(TEXT(EDATE($D108,Milestones!$AA$171),"dd mmm yy"))&amp;" "&amp;Milestones!$AB$171&amp;" "&amp;Milestones!$AC$171&amp;";  ","")&amp;IF(AND(EDATE($D108,Milestones!$AA$172)&lt;=AsOfDate,IF($R108=0,$X108,IF(AND($T108&lt;&gt;"",EDATE($D108,Milestones!$AA$172)&gt;=$T108),$W108,IF(AND($S108&lt;&gt;"",EDATE($D108,Milestones!$AA$172)&gt;=$S108),$V108,$U108)))=Milestones!$AB$172),UPPER(TEXT(EDATE($D108,Milestones!$AA$172),"dd mmm yy"))&amp;" "&amp;Milestones!$AB$172&amp;" "&amp;Milestones!$AC$172&amp;";  ","")&amp;IF(AND(EDATE($D108,Milestones!$AA$173)&lt;=AsOfDate,IF($R108=0,$X108,IF(AND($T108&lt;&gt;"",EDATE($D108,Milestones!$AA$173)&gt;=$T108),$W108,IF(AND($S108&lt;&gt;"",EDATE($D108,Milestones!$AA$173)&gt;=$S108),$V108,$U108)))=Milestones!$AB$173),UPPER(TEXT(EDATE($D108,Milestones!$AA$173),"dd mmm yy"))&amp;" "&amp;Milestones!$AB$173&amp;" "&amp;Milestones!$AC$173&amp;";  ","")&amp;IF(AND(EDATE($D108,Milestones!$AA$174)&lt;=AsOfDate,IF($R108=0,$X108,IF(AND($T108&lt;&gt;"",EDATE($D108,Milestones!$AA$174)&gt;=$T108),$W108,IF(AND($S108&lt;&gt;"",EDATE($D108,Milestones!$AA$174)&gt;=$S108),$V108,$U108)))=Milestones!$AB$174),UPPER(TEXT(EDATE($D108,Milestones!$AA$174),"dd mmm yy"))&amp;" "&amp;Milestones!$AB$174&amp;" "&amp;Milestones!$AC$174&amp;";  ","")&amp;IF(AND(EDATE($D108,Milestones!$AA$175)&lt;=AsOfDate,IF($R108=0,$X108,IF(AND($T108&lt;&gt;"",EDATE($D108,Milestones!$AA$175)&gt;=$T108),$W108,IF(AND($S108&lt;&gt;"",EDATE($D108,Milestones!$AA$175)&gt;=$S108),$V108,$U108)))=Milestones!$AB$175),UPPER(TEXT(EDATE($D108,Milestones!$AA$175),"dd mmm yy"))&amp;" "&amp;Milestones!$AB$175&amp;" "&amp;Milestones!$AC$175&amp;";  ","")&amp;IF(AND(EDATE($D108,Milestones!$AA$176)&lt;=AsOfDate,IF($R108=0,$X108,IF(AND($T108&lt;&gt;"",EDATE($D108,Milestones!$AA$176)&gt;=$T108),$W108,IF(AND($S108&lt;&gt;"",EDATE($D108,Milestones!$AA$176)&gt;=$S108),$V108,$U108)))=Milestones!$AB$176),UPPER(TEXT(EDATE($D108,Milestones!$AA$176),"dd mmm yy"))&amp;" "&amp;Milestones!$AB$176&amp;" "&amp;Milestones!$AC$176&amp;";  ","")&amp;IF(AND(EDATE($D108,Milestones!$AA$177)&lt;=AsOfDate,IF($R108=0,$X108,IF(AND($T108&lt;&gt;"",EDATE($D108,Milestones!$AA$177)&gt;=$T108),$W108,IF(AND($S108&lt;&gt;"",EDATE($D108,Milestones!$AA$177)&gt;=$S108),$V108,$U108)))=Milestones!$AB$177),UPPER(TEXT(EDATE($D108,Milestones!$AA$177),"dd mmm yy"))&amp;" "&amp;Milestones!$AB$177&amp;" "&amp;Milestones!$AC$177&amp;";  ","")&amp;IF(AND(EDATE($D108,Milestones!$AA$178)&lt;=AsOfDate,IF($R108=0,$X108,IF(AND($T108&lt;&gt;"",EDATE($D108,Milestones!$AA$178)&gt;=$T108),$W108,IF(AND($S108&lt;&gt;"",EDATE($D108,Milestones!$AA$178)&gt;=$S108),$V108,$U108)))=Milestones!$AB$178),UPPER(TEXT(EDATE($D108,Milestones!$AA$178),"dd mmm yy"))&amp;" "&amp;Milestones!$AB$178&amp;" "&amp;Milestones!$AC$178&amp;";  ","")&amp;IF(AND(EDATE($D108,Milestones!$AA$179)&lt;=AsOfDate,IF($R108=0,$X108,IF(AND($T108&lt;&gt;"",EDATE($D108,Milestones!$AA$179)&gt;=$T108),$W108,IF(AND($S108&lt;&gt;"",EDATE($D108,Milestones!$AA$179)&gt;=$S108),$V108,$U108)))=Milestones!$AB$179),UPPER(TEXT(EDATE($D108,Milestones!$AA$179),"dd mmm yy"))&amp;" "&amp;Milestones!$AB$179&amp;" "&amp;Milestones!$AC$179&amp;";  ",""))</f>
        <v/>
      </c>
      <c r="Q108" s="0" t="str">
        <f aca="false">IF(OR($A108="",$D108=""),"",IF(AND(EDATE($D108,Milestones!$AA$180)&lt;=AsOfDate,IF($R108=0,$X108,IF(AND($T108&lt;&gt;"",EDATE($D108,Milestones!$AA$180)&gt;=$T108),$W108,IF(AND($S108&lt;&gt;"",EDATE($D108,Milestones!$AA$180)&gt;=$S108),$V108,$U108)))=Milestones!$AB$180),UPPER(TEXT(EDATE($D108,Milestones!$AA$180),"dd mmm yy"))&amp;" "&amp;Milestones!$AB$180&amp;" "&amp;Milestones!$AC$180&amp;";  ","")&amp;IF(AND(EDATE($D108,Milestones!$AA$181)&lt;=AsOfDate,IF($R108=0,$X108,IF(AND($T108&lt;&gt;"",EDATE($D108,Milestones!$AA$181)&gt;=$T108),$W108,IF(AND($S108&lt;&gt;"",EDATE($D108,Milestones!$AA$181)&gt;=$S108),$V108,$U108)))=Milestones!$AB$181),UPPER(TEXT(EDATE($D108,Milestones!$AA$181),"dd mmm yy"))&amp;" "&amp;Milestones!$AB$181&amp;" "&amp;Milestones!$AC$181&amp;";  ","")&amp;IF(AND(EDATE($D108,Milestones!$AA$182)&lt;=AsOfDate,IF($R108=0,$X108,IF(AND($T108&lt;&gt;"",EDATE($D108,Milestones!$AA$182)&gt;=$T108),$W108,IF(AND($S108&lt;&gt;"",EDATE($D108,Milestones!$AA$182)&gt;=$S108),$V108,$U108)))=Milestones!$AB$182),UPPER(TEXT(EDATE($D108,Milestones!$AA$182),"dd mmm yy"))&amp;" "&amp;Milestones!$AB$182&amp;" "&amp;Milestones!$AC$182&amp;";  ","")&amp;IF(AND(EDATE($D108,Milestones!$AA$183)&lt;=AsOfDate,IF($R108=0,$X108,IF(AND($T108&lt;&gt;"",EDATE($D108,Milestones!$AA$183)&gt;=$T108),$W108,IF(AND($S108&lt;&gt;"",EDATE($D108,Milestones!$AA$183)&gt;=$S108),$V108,$U108)))=Milestones!$AB$183),UPPER(TEXT(EDATE($D108,Milestones!$AA$183),"dd mmm yy"))&amp;" "&amp;Milestones!$AB$183&amp;" "&amp;Milestones!$AC$183&amp;";  ","")&amp;IF(AND(EDATE($D108,Milestones!$AA$184)&lt;=AsOfDate,IF($R108=0,$X108,IF(AND($T108&lt;&gt;"",EDATE($D108,Milestones!$AA$184)&gt;=$T108),$W108,IF(AND($S108&lt;&gt;"",EDATE($D108,Milestones!$AA$184)&gt;=$S108),$V108,$U108)))=Milestones!$AB$184),UPPER(TEXT(EDATE($D108,Milestones!$AA$184),"dd mmm yy"))&amp;" "&amp;Milestones!$AB$184&amp;" "&amp;Milestones!$AC$184&amp;";  ","")&amp;IF(AND(EDATE($D108,Milestones!$AA$185)&lt;=AsOfDate,IF($R108=0,$X108,IF(AND($T108&lt;&gt;"",EDATE($D108,Milestones!$AA$185)&gt;=$T108),$W108,IF(AND($S108&lt;&gt;"",EDATE($D108,Milestones!$AA$185)&gt;=$S108),$V108,$U108)))=Milestones!$AB$185),UPPER(TEXT(EDATE($D108,Milestones!$AA$185),"dd mmm yy"))&amp;" "&amp;Milestones!$AB$185&amp;" "&amp;Milestones!$AC$185&amp;";  ","")&amp;IF(AND(EDATE($D108,Milestones!$AA$186)&lt;=AsOfDate,IF($R108=0,$X108,IF(AND($T108&lt;&gt;"",EDATE($D108,Milestones!$AA$186)&gt;=$T108),$W108,IF(AND($S108&lt;&gt;"",EDATE($D108,Milestones!$AA$186)&gt;=$S108),$V108,$U108)))=Milestones!$AB$186),UPPER(TEXT(EDATE($D108,Milestones!$AA$186),"dd mmm yy"))&amp;" "&amp;Milestones!$AB$186&amp;" "&amp;Milestones!$AC$186&amp;";  ","")&amp;IF(AND(EDATE($D108,Milestones!$AA$187)&lt;=AsOfDate,IF($R108=0,$X108,IF(AND($T108&lt;&gt;"",EDATE($D108,Milestones!$AA$187)&gt;=$T108),$W108,IF(AND($S108&lt;&gt;"",EDATE($D108,Milestones!$AA$187)&gt;=$S108),$V108,$U108)))=Milestones!$AB$187),UPPER(TEXT(EDATE($D108,Milestones!$AA$187),"dd mmm yy"))&amp;" "&amp;Milestones!$AB$187&amp;" "&amp;Milestones!$AC$187&amp;";  ","")&amp;IF(AND(EDATE($D108,Milestones!$AA$188)&lt;=AsOfDate,IF($R108=0,$X108,IF(AND($T108&lt;&gt;"",EDATE($D108,Milestones!$AA$188)&gt;=$T108),$W108,IF(AND($S108&lt;&gt;"",EDATE($D108,Milestones!$AA$188)&gt;=$S108),$V108,$U108)))=Milestones!$AB$188),UPPER(TEXT(EDATE($D108,Milestones!$AA$188),"dd mmm yy"))&amp;" "&amp;Milestones!$AB$188&amp;" "&amp;Milestones!$AC$188&amp;";  ","")&amp;IF(AND(EDATE($D108,Milestones!$AA$189)&lt;=AsOfDate,IF($R108=0,$X108,IF(AND($T108&lt;&gt;"",EDATE($D108,Milestones!$AA$189)&gt;=$T108),$W108,IF(AND($S108&lt;&gt;"",EDATE($D108,Milestones!$AA$189)&gt;=$S108),$V108,$U108)))=Milestones!$AB$189),UPPER(TEXT(EDATE($D108,Milestones!$AA$189),"dd mmm yy"))&amp;" "&amp;Milestones!$AB$189&amp;" "&amp;Milestones!$AC$189&amp;";  ","")&amp;IF(AND(EDATE($D108,Milestones!$AA$190)&lt;=AsOfDate,IF($R108=0,$X108,IF(AND($T108&lt;&gt;"",EDATE($D108,Milestones!$AA$190)&gt;=$T108),$W108,IF(AND($S108&lt;&gt;"",EDATE($D108,Milestones!$AA$190)&gt;=$S108),$V108,$U108)))=Milestones!$AB$190),UPPER(TEXT(EDATE($D108,Milestones!$AA$190),"dd mmm yy"))&amp;" "&amp;Milestones!$AB$190&amp;" "&amp;Milestones!$AC$190&amp;";  ","")&amp;IF(AND(EDATE($D108,Milestones!$AA$191)&lt;=AsOfDate,IF($R108=0,$X108,IF(AND($T108&lt;&gt;"",EDATE($D108,Milestones!$AA$191)&gt;=$T108),$W108,IF(AND($S108&lt;&gt;"",EDATE($D108,Milestones!$AA$191)&gt;=$S108),$V108,$U108)))=Milestones!$AB$191),UPPER(TEXT(EDATE($D108,Milestones!$AA$191),"dd mmm yy"))&amp;" "&amp;Milestones!$AB$191&amp;" "&amp;Milestones!$AC$191&amp;";  ","")&amp;IF(AND(EDATE($D108,Milestones!$AA$192)&lt;=AsOfDate,IF($R108=0,$X108,IF(AND($T108&lt;&gt;"",EDATE($D108,Milestones!$AA$192)&gt;=$T108),$W108,IF(AND($S108&lt;&gt;"",EDATE($D108,Milestones!$AA$192)&gt;=$S108),$V108,$U108)))=Milestones!$AB$192),UPPER(TEXT(EDATE($D108,Milestones!$AA$192),"dd mmm yy"))&amp;" "&amp;Milestones!$AB$192&amp;" "&amp;Milestones!$AC$192&amp;";  ","")&amp;IF(AND(EDATE($D108,Milestones!$AA$193)&lt;=AsOfDate,IF($R108=0,$X108,IF(AND($T108&lt;&gt;"",EDATE($D108,Milestones!$AA$193)&gt;=$T108),$W108,IF(AND($S108&lt;&gt;"",EDATE($D108,Milestones!$AA$193)&gt;=$S108),$V108,$U108)))=Milestones!$AB$193),UPPER(TEXT(EDATE($D108,Milestones!$AA$193),"dd mmm yy"))&amp;" "&amp;Milestones!$AB$193&amp;" "&amp;Milestones!$AC$193&amp;";  ","")&amp;IF(AND(EDATE($D108,Milestones!$AA$194)&lt;=AsOfDate,IF($R108=0,$X108,IF(AND($T108&lt;&gt;"",EDATE($D108,Milestones!$AA$194)&gt;=$T108),$W108,IF(AND($S108&lt;&gt;"",EDATE($D108,Milestones!$AA$194)&gt;=$S108),$V108,$U108)))=Milestones!$AB$194),UPPER(TEXT(EDATE($D108,Milestones!$AA$194),"dd mmm yy"))&amp;" "&amp;Milestones!$AB$194&amp;" "&amp;Milestones!$AC$194&amp;";  ","")&amp;IF(AND(EDATE($D108,Milestones!$AA$195)&lt;=AsOfDate,IF($R108=0,$X108,IF(AND($T108&lt;&gt;"",EDATE($D108,Milestones!$AA$195)&gt;=$T108),$W108,IF(AND($S108&lt;&gt;"",EDATE($D108,Milestones!$AA$195)&gt;=$S108),$V108,$U108)))=Milestones!$AB$195),UPPER(TEXT(EDATE($D108,Milestones!$AA$195),"dd mmm yy"))&amp;" "&amp;Milestones!$AB$195&amp;" "&amp;Milestones!$AC$195&amp;";  ","")&amp;IF(AND(EDATE($D108,Milestones!$AA$196)&lt;=AsOfDate,IF($R108=0,$X108,IF(AND($T108&lt;&gt;"",EDATE($D108,Milestones!$AA$196)&gt;=$T108),$W108,IF(AND($S108&lt;&gt;"",EDATE($D108,Milestones!$AA$196)&gt;=$S108),$V108,$U108)))=Milestones!$AB$196),UPPER(TEXT(EDATE($D108,Milestones!$AA$196),"dd mmm yy"))&amp;" "&amp;Milestones!$AB$196&amp;" "&amp;Milestones!$AC$196&amp;";  ","")&amp;IF(AND(EDATE($D108,Milestones!$AA$197)&lt;=AsOfDate,IF($R108=0,$X108,IF(AND($T108&lt;&gt;"",EDATE($D108,Milestones!$AA$197)&gt;=$T108),$W108,IF(AND($S108&lt;&gt;"",EDATE($D108,Milestones!$AA$197)&gt;=$S108),$V108,$U108)))=Milestones!$AB$197),UPPER(TEXT(EDATE($D108,Milestones!$AA$197),"dd mmm yy"))&amp;" "&amp;Milestones!$AB$197&amp;" "&amp;Milestones!$AC$197&amp;";  ","")&amp;IF(AND(EDATE($D108,Milestones!$AA$198)&lt;=AsOfDate,IF($R108=0,$X108,IF(AND($T108&lt;&gt;"",EDATE($D108,Milestones!$AA$198)&gt;=$T108),$W108,IF(AND($S108&lt;&gt;"",EDATE($D108,Milestones!$AA$198)&gt;=$S108),$V108,$U108)))=Milestones!$AB$198),UPPER(TEXT(EDATE($D108,Milestones!$AA$198),"dd mmm yy"))&amp;" "&amp;Milestones!$AB$198&amp;" "&amp;Milestones!$AC$198&amp;";  ","")&amp;IF(AND(EDATE($D108,Milestones!$AA$199)&lt;=AsOfDate,IF($R108=0,$X108,IF(AND($T108&lt;&gt;"",EDATE($D108,Milestones!$AA$199)&gt;=$T108),$W108,IF(AND($S108&lt;&gt;"",EDATE($D108,Milestones!$AA$199)&gt;=$S108),$V108,$U108)))=Milestones!$AB$199),UPPER(TEXT(EDATE($D108,Milestones!$AA$199),"dd mmm yy"))&amp;" "&amp;Milestones!$AB$199&amp;" "&amp;Milestones!$AC$199&amp;";  ",""))</f>
        <v/>
      </c>
      <c r="R108" s="0" t="str">
        <f aca="false">IF(Staff!$A108="","",Staff!$AI108)</f>
        <v/>
      </c>
      <c r="S108" s="0" t="str">
        <f aca="false">IF(Staff!$A108="","",Staff!$AK108)</f>
        <v/>
      </c>
      <c r="T108" s="0" t="str">
        <f aca="false">IF(Staff!$A108="","",Staff!$AL108)</f>
        <v/>
      </c>
      <c r="U108" s="0" t="str">
        <f aca="false">IF(Staff!$A108="","",Staff!$AP108)</f>
        <v/>
      </c>
      <c r="V108" s="0" t="str">
        <f aca="false">IF(Staff!$A108="","",Staff!$AQ108)</f>
        <v/>
      </c>
      <c r="W108" s="0" t="str">
        <f aca="false">IF(Staff!$A108="","",Staff!$AR108)</f>
        <v/>
      </c>
      <c r="X108" s="0" t="str">
        <f aca="false">IF(Staff!$A108="","",Staff!$AS108)</f>
        <v/>
      </c>
    </row>
    <row r="109" customFormat="false" ht="15" hidden="false" customHeight="false" outlineLevel="0" collapsed="false">
      <c r="A109" s="14" t="str">
        <f aca="false">IF(Staff!$A109="","",Staff!$A109)</f>
        <v/>
      </c>
      <c r="B109" s="14" t="str">
        <f aca="false">IF(Staff!$A109="","",Staff!$B109)</f>
        <v/>
      </c>
      <c r="C109" s="14" t="str">
        <f aca="false">IF(Staff!$A109="","",Staff!$C109)</f>
        <v/>
      </c>
      <c r="D109" s="12" t="str">
        <f aca="false">IF(Staff!$A109="","",Staff!$AH109)</f>
        <v/>
      </c>
      <c r="E109" s="14" t="str">
        <f aca="false">IF(Staff!$A109="","",Staff!$O109)</f>
        <v/>
      </c>
      <c r="F109" s="14" t="str">
        <f aca="false">IF(E109="","",E109*HoursPerDay)</f>
        <v/>
      </c>
      <c r="G109" s="14" t="str">
        <f aca="false">IF(Staff!$A109="","",Staff!$AE109)</f>
        <v/>
      </c>
      <c r="H109" s="26" t="str">
        <f aca="false">IF($A109="","",I109&amp;J109&amp;K109&amp;L109&amp;M109&amp;N109&amp;O109&amp;P109&amp;Q109)</f>
        <v/>
      </c>
      <c r="I109" s="0" t="str">
        <f aca="false">IF(OR($A109="",$D109=""),"",IF(AND(EDATE($D109,Milestones!$AA$20)&lt;=AsOfDate,IF($R109=0,$X109,IF(AND($T109&lt;&gt;"",EDATE($D109,Milestones!$AA$20)&gt;=$T109),$W109,IF(AND($S109&lt;&gt;"",EDATE($D109,Milestones!$AA$20)&gt;=$S109),$V109,$U109)))=Milestones!$AB$20),UPPER(TEXT(EDATE($D109,Milestones!$AA$20),"dd mmm yy"))&amp;" "&amp;Milestones!$AB$20&amp;" "&amp;Milestones!$AC$20&amp;";  ","")&amp;IF(AND(EDATE($D109,Milestones!$AA$21)&lt;=AsOfDate,IF($R109=0,$X109,IF(AND($T109&lt;&gt;"",EDATE($D109,Milestones!$AA$21)&gt;=$T109),$W109,IF(AND($S109&lt;&gt;"",EDATE($D109,Milestones!$AA$21)&gt;=$S109),$V109,$U109)))=Milestones!$AB$21),UPPER(TEXT(EDATE($D109,Milestones!$AA$21),"dd mmm yy"))&amp;" "&amp;Milestones!$AB$21&amp;" "&amp;Milestones!$AC$21&amp;";  ","")&amp;IF(AND(EDATE($D109,Milestones!$AA$22)&lt;=AsOfDate,IF($R109=0,$X109,IF(AND($T109&lt;&gt;"",EDATE($D109,Milestones!$AA$22)&gt;=$T109),$W109,IF(AND($S109&lt;&gt;"",EDATE($D109,Milestones!$AA$22)&gt;=$S109),$V109,$U109)))=Milestones!$AB$22),UPPER(TEXT(EDATE($D109,Milestones!$AA$22),"dd mmm yy"))&amp;" "&amp;Milestones!$AB$22&amp;" "&amp;Milestones!$AC$22&amp;";  ","")&amp;IF(AND(EDATE($D109,Milestones!$AA$23)&lt;=AsOfDate,IF($R109=0,$X109,IF(AND($T109&lt;&gt;"",EDATE($D109,Milestones!$AA$23)&gt;=$T109),$W109,IF(AND($S109&lt;&gt;"",EDATE($D109,Milestones!$AA$23)&gt;=$S109),$V109,$U109)))=Milestones!$AB$23),UPPER(TEXT(EDATE($D109,Milestones!$AA$23),"dd mmm yy"))&amp;" "&amp;Milestones!$AB$23&amp;" "&amp;Milestones!$AC$23&amp;";  ","")&amp;IF(AND(EDATE($D109,Milestones!$AA$24)&lt;=AsOfDate,IF($R109=0,$X109,IF(AND($T109&lt;&gt;"",EDATE($D109,Milestones!$AA$24)&gt;=$T109),$W109,IF(AND($S109&lt;&gt;"",EDATE($D109,Milestones!$AA$24)&gt;=$S109),$V109,$U109)))=Milestones!$AB$24),UPPER(TEXT(EDATE($D109,Milestones!$AA$24),"dd mmm yy"))&amp;" "&amp;Milestones!$AB$24&amp;" "&amp;Milestones!$AC$24&amp;";  ","")&amp;IF(AND(EDATE($D109,Milestones!$AA$25)&lt;=AsOfDate,IF($R109=0,$X109,IF(AND($T109&lt;&gt;"",EDATE($D109,Milestones!$AA$25)&gt;=$T109),$W109,IF(AND($S109&lt;&gt;"",EDATE($D109,Milestones!$AA$25)&gt;=$S109),$V109,$U109)))=Milestones!$AB$25),UPPER(TEXT(EDATE($D109,Milestones!$AA$25),"dd mmm yy"))&amp;" "&amp;Milestones!$AB$25&amp;" "&amp;Milestones!$AC$25&amp;";  ","")&amp;IF(AND(EDATE($D109,Milestones!$AA$26)&lt;=AsOfDate,IF($R109=0,$X109,IF(AND($T109&lt;&gt;"",EDATE($D109,Milestones!$AA$26)&gt;=$T109),$W109,IF(AND($S109&lt;&gt;"",EDATE($D109,Milestones!$AA$26)&gt;=$S109),$V109,$U109)))=Milestones!$AB$26),UPPER(TEXT(EDATE($D109,Milestones!$AA$26),"dd mmm yy"))&amp;" "&amp;Milestones!$AB$26&amp;" "&amp;Milestones!$AC$26&amp;";  ","")&amp;IF(AND(EDATE($D109,Milestones!$AA$27)&lt;=AsOfDate,IF($R109=0,$X109,IF(AND($T109&lt;&gt;"",EDATE($D109,Milestones!$AA$27)&gt;=$T109),$W109,IF(AND($S109&lt;&gt;"",EDATE($D109,Milestones!$AA$27)&gt;=$S109),$V109,$U109)))=Milestones!$AB$27),UPPER(TEXT(EDATE($D109,Milestones!$AA$27),"dd mmm yy"))&amp;" "&amp;Milestones!$AB$27&amp;" "&amp;Milestones!$AC$27&amp;";  ","")&amp;IF(AND(EDATE($D109,Milestones!$AA$28)&lt;=AsOfDate,IF($R109=0,$X109,IF(AND($T109&lt;&gt;"",EDATE($D109,Milestones!$AA$28)&gt;=$T109),$W109,IF(AND($S109&lt;&gt;"",EDATE($D109,Milestones!$AA$28)&gt;=$S109),$V109,$U109)))=Milestones!$AB$28),UPPER(TEXT(EDATE($D109,Milestones!$AA$28),"dd mmm yy"))&amp;" "&amp;Milestones!$AB$28&amp;" "&amp;Milestones!$AC$28&amp;";  ","")&amp;IF(AND(EDATE($D109,Milestones!$AA$29)&lt;=AsOfDate,IF($R109=0,$X109,IF(AND($T109&lt;&gt;"",EDATE($D109,Milestones!$AA$29)&gt;=$T109),$W109,IF(AND($S109&lt;&gt;"",EDATE($D109,Milestones!$AA$29)&gt;=$S109),$V109,$U109)))=Milestones!$AB$29),UPPER(TEXT(EDATE($D109,Milestones!$AA$29),"dd mmm yy"))&amp;" "&amp;Milestones!$AB$29&amp;" "&amp;Milestones!$AC$29&amp;";  ","")&amp;IF(AND(EDATE($D109,Milestones!$AA$30)&lt;=AsOfDate,IF($R109=0,$X109,IF(AND($T109&lt;&gt;"",EDATE($D109,Milestones!$AA$30)&gt;=$T109),$W109,IF(AND($S109&lt;&gt;"",EDATE($D109,Milestones!$AA$30)&gt;=$S109),$V109,$U109)))=Milestones!$AB$30),UPPER(TEXT(EDATE($D109,Milestones!$AA$30),"dd mmm yy"))&amp;" "&amp;Milestones!$AB$30&amp;" "&amp;Milestones!$AC$30&amp;";  ","")&amp;IF(AND(EDATE($D109,Milestones!$AA$31)&lt;=AsOfDate,IF($R109=0,$X109,IF(AND($T109&lt;&gt;"",EDATE($D109,Milestones!$AA$31)&gt;=$T109),$W109,IF(AND($S109&lt;&gt;"",EDATE($D109,Milestones!$AA$31)&gt;=$S109),$V109,$U109)))=Milestones!$AB$31),UPPER(TEXT(EDATE($D109,Milestones!$AA$31),"dd mmm yy"))&amp;" "&amp;Milestones!$AB$31&amp;" "&amp;Milestones!$AC$31&amp;";  ","")&amp;IF(AND(EDATE($D109,Milestones!$AA$32)&lt;=AsOfDate,IF($R109=0,$X109,IF(AND($T109&lt;&gt;"",EDATE($D109,Milestones!$AA$32)&gt;=$T109),$W109,IF(AND($S109&lt;&gt;"",EDATE($D109,Milestones!$AA$32)&gt;=$S109),$V109,$U109)))=Milestones!$AB$32),UPPER(TEXT(EDATE($D109,Milestones!$AA$32),"dd mmm yy"))&amp;" "&amp;Milestones!$AB$32&amp;" "&amp;Milestones!$AC$32&amp;";  ","")&amp;IF(AND(EDATE($D109,Milestones!$AA$33)&lt;=AsOfDate,IF($R109=0,$X109,IF(AND($T109&lt;&gt;"",EDATE($D109,Milestones!$AA$33)&gt;=$T109),$W109,IF(AND($S109&lt;&gt;"",EDATE($D109,Milestones!$AA$33)&gt;=$S109),$V109,$U109)))=Milestones!$AB$33),UPPER(TEXT(EDATE($D109,Milestones!$AA$33),"dd mmm yy"))&amp;" "&amp;Milestones!$AB$33&amp;" "&amp;Milestones!$AC$33&amp;";  ","")&amp;IF(AND(EDATE($D109,Milestones!$AA$34)&lt;=AsOfDate,IF($R109=0,$X109,IF(AND($T109&lt;&gt;"",EDATE($D109,Milestones!$AA$34)&gt;=$T109),$W109,IF(AND($S109&lt;&gt;"",EDATE($D109,Milestones!$AA$34)&gt;=$S109),$V109,$U109)))=Milestones!$AB$34),UPPER(TEXT(EDATE($D109,Milestones!$AA$34),"dd mmm yy"))&amp;" "&amp;Milestones!$AB$34&amp;" "&amp;Milestones!$AC$34&amp;";  ","")&amp;IF(AND(EDATE($D109,Milestones!$AA$35)&lt;=AsOfDate,IF($R109=0,$X109,IF(AND($T109&lt;&gt;"",EDATE($D109,Milestones!$AA$35)&gt;=$T109),$W109,IF(AND($S109&lt;&gt;"",EDATE($D109,Milestones!$AA$35)&gt;=$S109),$V109,$U109)))=Milestones!$AB$35),UPPER(TEXT(EDATE($D109,Milestones!$AA$35),"dd mmm yy"))&amp;" "&amp;Milestones!$AB$35&amp;" "&amp;Milestones!$AC$35&amp;";  ","")&amp;IF(AND(EDATE($D109,Milestones!$AA$36)&lt;=AsOfDate,IF($R109=0,$X109,IF(AND($T109&lt;&gt;"",EDATE($D109,Milestones!$AA$36)&gt;=$T109),$W109,IF(AND($S109&lt;&gt;"",EDATE($D109,Milestones!$AA$36)&gt;=$S109),$V109,$U109)))=Milestones!$AB$36),UPPER(TEXT(EDATE($D109,Milestones!$AA$36),"dd mmm yy"))&amp;" "&amp;Milestones!$AB$36&amp;" "&amp;Milestones!$AC$36&amp;";  ","")&amp;IF(AND(EDATE($D109,Milestones!$AA$37)&lt;=AsOfDate,IF($R109=0,$X109,IF(AND($T109&lt;&gt;"",EDATE($D109,Milestones!$AA$37)&gt;=$T109),$W109,IF(AND($S109&lt;&gt;"",EDATE($D109,Milestones!$AA$37)&gt;=$S109),$V109,$U109)))=Milestones!$AB$37),UPPER(TEXT(EDATE($D109,Milestones!$AA$37),"dd mmm yy"))&amp;" "&amp;Milestones!$AB$37&amp;" "&amp;Milestones!$AC$37&amp;";  ","")&amp;IF(AND(EDATE($D109,Milestones!$AA$38)&lt;=AsOfDate,IF($R109=0,$X109,IF(AND($T109&lt;&gt;"",EDATE($D109,Milestones!$AA$38)&gt;=$T109),$W109,IF(AND($S109&lt;&gt;"",EDATE($D109,Milestones!$AA$38)&gt;=$S109),$V109,$U109)))=Milestones!$AB$38),UPPER(TEXT(EDATE($D109,Milestones!$AA$38),"dd mmm yy"))&amp;" "&amp;Milestones!$AB$38&amp;" "&amp;Milestones!$AC$38&amp;";  ","")&amp;IF(AND(EDATE($D109,Milestones!$AA$39)&lt;=AsOfDate,IF($R109=0,$X109,IF(AND($T109&lt;&gt;"",EDATE($D109,Milestones!$AA$39)&gt;=$T109),$W109,IF(AND($S109&lt;&gt;"",EDATE($D109,Milestones!$AA$39)&gt;=$S109),$V109,$U109)))=Milestones!$AB$39),UPPER(TEXT(EDATE($D109,Milestones!$AA$39),"dd mmm yy"))&amp;" "&amp;Milestones!$AB$39&amp;" "&amp;Milestones!$AC$39&amp;";  ",""))</f>
        <v/>
      </c>
      <c r="J109" s="0" t="str">
        <f aca="false">IF(OR($A109="",$D109=""),"",IF(AND(EDATE($D109,Milestones!$AA$40)&lt;=AsOfDate,IF($R109=0,$X109,IF(AND($T109&lt;&gt;"",EDATE($D109,Milestones!$AA$40)&gt;=$T109),$W109,IF(AND($S109&lt;&gt;"",EDATE($D109,Milestones!$AA$40)&gt;=$S109),$V109,$U109)))=Milestones!$AB$40),UPPER(TEXT(EDATE($D109,Milestones!$AA$40),"dd mmm yy"))&amp;" "&amp;Milestones!$AB$40&amp;" "&amp;Milestones!$AC$40&amp;";  ","")&amp;IF(AND(EDATE($D109,Milestones!$AA$41)&lt;=AsOfDate,IF($R109=0,$X109,IF(AND($T109&lt;&gt;"",EDATE($D109,Milestones!$AA$41)&gt;=$T109),$W109,IF(AND($S109&lt;&gt;"",EDATE($D109,Milestones!$AA$41)&gt;=$S109),$V109,$U109)))=Milestones!$AB$41),UPPER(TEXT(EDATE($D109,Milestones!$AA$41),"dd mmm yy"))&amp;" "&amp;Milestones!$AB$41&amp;" "&amp;Milestones!$AC$41&amp;";  ","")&amp;IF(AND(EDATE($D109,Milestones!$AA$42)&lt;=AsOfDate,IF($R109=0,$X109,IF(AND($T109&lt;&gt;"",EDATE($D109,Milestones!$AA$42)&gt;=$T109),$W109,IF(AND($S109&lt;&gt;"",EDATE($D109,Milestones!$AA$42)&gt;=$S109),$V109,$U109)))=Milestones!$AB$42),UPPER(TEXT(EDATE($D109,Milestones!$AA$42),"dd mmm yy"))&amp;" "&amp;Milestones!$AB$42&amp;" "&amp;Milestones!$AC$42&amp;";  ","")&amp;IF(AND(EDATE($D109,Milestones!$AA$43)&lt;=AsOfDate,IF($R109=0,$X109,IF(AND($T109&lt;&gt;"",EDATE($D109,Milestones!$AA$43)&gt;=$T109),$W109,IF(AND($S109&lt;&gt;"",EDATE($D109,Milestones!$AA$43)&gt;=$S109),$V109,$U109)))=Milestones!$AB$43),UPPER(TEXT(EDATE($D109,Milestones!$AA$43),"dd mmm yy"))&amp;" "&amp;Milestones!$AB$43&amp;" "&amp;Milestones!$AC$43&amp;";  ","")&amp;IF(AND(EDATE($D109,Milestones!$AA$44)&lt;=AsOfDate,IF($R109=0,$X109,IF(AND($T109&lt;&gt;"",EDATE($D109,Milestones!$AA$44)&gt;=$T109),$W109,IF(AND($S109&lt;&gt;"",EDATE($D109,Milestones!$AA$44)&gt;=$S109),$V109,$U109)))=Milestones!$AB$44),UPPER(TEXT(EDATE($D109,Milestones!$AA$44),"dd mmm yy"))&amp;" "&amp;Milestones!$AB$44&amp;" "&amp;Milestones!$AC$44&amp;";  ","")&amp;IF(AND(EDATE($D109,Milestones!$AA$45)&lt;=AsOfDate,IF($R109=0,$X109,IF(AND($T109&lt;&gt;"",EDATE($D109,Milestones!$AA$45)&gt;=$T109),$W109,IF(AND($S109&lt;&gt;"",EDATE($D109,Milestones!$AA$45)&gt;=$S109),$V109,$U109)))=Milestones!$AB$45),UPPER(TEXT(EDATE($D109,Milestones!$AA$45),"dd mmm yy"))&amp;" "&amp;Milestones!$AB$45&amp;" "&amp;Milestones!$AC$45&amp;";  ","")&amp;IF(AND(EDATE($D109,Milestones!$AA$46)&lt;=AsOfDate,IF($R109=0,$X109,IF(AND($T109&lt;&gt;"",EDATE($D109,Milestones!$AA$46)&gt;=$T109),$W109,IF(AND($S109&lt;&gt;"",EDATE($D109,Milestones!$AA$46)&gt;=$S109),$V109,$U109)))=Milestones!$AB$46),UPPER(TEXT(EDATE($D109,Milestones!$AA$46),"dd mmm yy"))&amp;" "&amp;Milestones!$AB$46&amp;" "&amp;Milestones!$AC$46&amp;";  ","")&amp;IF(AND(EDATE($D109,Milestones!$AA$47)&lt;=AsOfDate,IF($R109=0,$X109,IF(AND($T109&lt;&gt;"",EDATE($D109,Milestones!$AA$47)&gt;=$T109),$W109,IF(AND($S109&lt;&gt;"",EDATE($D109,Milestones!$AA$47)&gt;=$S109),$V109,$U109)))=Milestones!$AB$47),UPPER(TEXT(EDATE($D109,Milestones!$AA$47),"dd mmm yy"))&amp;" "&amp;Milestones!$AB$47&amp;" "&amp;Milestones!$AC$47&amp;";  ","")&amp;IF(AND(EDATE($D109,Milestones!$AA$48)&lt;=AsOfDate,IF($R109=0,$X109,IF(AND($T109&lt;&gt;"",EDATE($D109,Milestones!$AA$48)&gt;=$T109),$W109,IF(AND($S109&lt;&gt;"",EDATE($D109,Milestones!$AA$48)&gt;=$S109),$V109,$U109)))=Milestones!$AB$48),UPPER(TEXT(EDATE($D109,Milestones!$AA$48),"dd mmm yy"))&amp;" "&amp;Milestones!$AB$48&amp;" "&amp;Milestones!$AC$48&amp;";  ","")&amp;IF(AND(EDATE($D109,Milestones!$AA$49)&lt;=AsOfDate,IF($R109=0,$X109,IF(AND($T109&lt;&gt;"",EDATE($D109,Milestones!$AA$49)&gt;=$T109),$W109,IF(AND($S109&lt;&gt;"",EDATE($D109,Milestones!$AA$49)&gt;=$S109),$V109,$U109)))=Milestones!$AB$49),UPPER(TEXT(EDATE($D109,Milestones!$AA$49),"dd mmm yy"))&amp;" "&amp;Milestones!$AB$49&amp;" "&amp;Milestones!$AC$49&amp;";  ","")&amp;IF(AND(EDATE($D109,Milestones!$AA$50)&lt;=AsOfDate,IF($R109=0,$X109,IF(AND($T109&lt;&gt;"",EDATE($D109,Milestones!$AA$50)&gt;=$T109),$W109,IF(AND($S109&lt;&gt;"",EDATE($D109,Milestones!$AA$50)&gt;=$S109),$V109,$U109)))=Milestones!$AB$50),UPPER(TEXT(EDATE($D109,Milestones!$AA$50),"dd mmm yy"))&amp;" "&amp;Milestones!$AB$50&amp;" "&amp;Milestones!$AC$50&amp;";  ","")&amp;IF(AND(EDATE($D109,Milestones!$AA$51)&lt;=AsOfDate,IF($R109=0,$X109,IF(AND($T109&lt;&gt;"",EDATE($D109,Milestones!$AA$51)&gt;=$T109),$W109,IF(AND($S109&lt;&gt;"",EDATE($D109,Milestones!$AA$51)&gt;=$S109),$V109,$U109)))=Milestones!$AB$51),UPPER(TEXT(EDATE($D109,Milestones!$AA$51),"dd mmm yy"))&amp;" "&amp;Milestones!$AB$51&amp;" "&amp;Milestones!$AC$51&amp;";  ","")&amp;IF(AND(EDATE($D109,Milestones!$AA$52)&lt;=AsOfDate,IF($R109=0,$X109,IF(AND($T109&lt;&gt;"",EDATE($D109,Milestones!$AA$52)&gt;=$T109),$W109,IF(AND($S109&lt;&gt;"",EDATE($D109,Milestones!$AA$52)&gt;=$S109),$V109,$U109)))=Milestones!$AB$52),UPPER(TEXT(EDATE($D109,Milestones!$AA$52),"dd mmm yy"))&amp;" "&amp;Milestones!$AB$52&amp;" "&amp;Milestones!$AC$52&amp;";  ","")&amp;IF(AND(EDATE($D109,Milestones!$AA$53)&lt;=AsOfDate,IF($R109=0,$X109,IF(AND($T109&lt;&gt;"",EDATE($D109,Milestones!$AA$53)&gt;=$T109),$W109,IF(AND($S109&lt;&gt;"",EDATE($D109,Milestones!$AA$53)&gt;=$S109),$V109,$U109)))=Milestones!$AB$53),UPPER(TEXT(EDATE($D109,Milestones!$AA$53),"dd mmm yy"))&amp;" "&amp;Milestones!$AB$53&amp;" "&amp;Milestones!$AC$53&amp;";  ","")&amp;IF(AND(EDATE($D109,Milestones!$AA$54)&lt;=AsOfDate,IF($R109=0,$X109,IF(AND($T109&lt;&gt;"",EDATE($D109,Milestones!$AA$54)&gt;=$T109),$W109,IF(AND($S109&lt;&gt;"",EDATE($D109,Milestones!$AA$54)&gt;=$S109),$V109,$U109)))=Milestones!$AB$54),UPPER(TEXT(EDATE($D109,Milestones!$AA$54),"dd mmm yy"))&amp;" "&amp;Milestones!$AB$54&amp;" "&amp;Milestones!$AC$54&amp;";  ","")&amp;IF(AND(EDATE($D109,Milestones!$AA$55)&lt;=AsOfDate,IF($R109=0,$X109,IF(AND($T109&lt;&gt;"",EDATE($D109,Milestones!$AA$55)&gt;=$T109),$W109,IF(AND($S109&lt;&gt;"",EDATE($D109,Milestones!$AA$55)&gt;=$S109),$V109,$U109)))=Milestones!$AB$55),UPPER(TEXT(EDATE($D109,Milestones!$AA$55),"dd mmm yy"))&amp;" "&amp;Milestones!$AB$55&amp;" "&amp;Milestones!$AC$55&amp;";  ","")&amp;IF(AND(EDATE($D109,Milestones!$AA$56)&lt;=AsOfDate,IF($R109=0,$X109,IF(AND($T109&lt;&gt;"",EDATE($D109,Milestones!$AA$56)&gt;=$T109),$W109,IF(AND($S109&lt;&gt;"",EDATE($D109,Milestones!$AA$56)&gt;=$S109),$V109,$U109)))=Milestones!$AB$56),UPPER(TEXT(EDATE($D109,Milestones!$AA$56),"dd mmm yy"))&amp;" "&amp;Milestones!$AB$56&amp;" "&amp;Milestones!$AC$56&amp;";  ","")&amp;IF(AND(EDATE($D109,Milestones!$AA$57)&lt;=AsOfDate,IF($R109=0,$X109,IF(AND($T109&lt;&gt;"",EDATE($D109,Milestones!$AA$57)&gt;=$T109),$W109,IF(AND($S109&lt;&gt;"",EDATE($D109,Milestones!$AA$57)&gt;=$S109),$V109,$U109)))=Milestones!$AB$57),UPPER(TEXT(EDATE($D109,Milestones!$AA$57),"dd mmm yy"))&amp;" "&amp;Milestones!$AB$57&amp;" "&amp;Milestones!$AC$57&amp;";  ","")&amp;IF(AND(EDATE($D109,Milestones!$AA$58)&lt;=AsOfDate,IF($R109=0,$X109,IF(AND($T109&lt;&gt;"",EDATE($D109,Milestones!$AA$58)&gt;=$T109),$W109,IF(AND($S109&lt;&gt;"",EDATE($D109,Milestones!$AA$58)&gt;=$S109),$V109,$U109)))=Milestones!$AB$58),UPPER(TEXT(EDATE($D109,Milestones!$AA$58),"dd mmm yy"))&amp;" "&amp;Milestones!$AB$58&amp;" "&amp;Milestones!$AC$58&amp;";  ","")&amp;IF(AND(EDATE($D109,Milestones!$AA$59)&lt;=AsOfDate,IF($R109=0,$X109,IF(AND($T109&lt;&gt;"",EDATE($D109,Milestones!$AA$59)&gt;=$T109),$W109,IF(AND($S109&lt;&gt;"",EDATE($D109,Milestones!$AA$59)&gt;=$S109),$V109,$U109)))=Milestones!$AB$59),UPPER(TEXT(EDATE($D109,Milestones!$AA$59),"dd mmm yy"))&amp;" "&amp;Milestones!$AB$59&amp;" "&amp;Milestones!$AC$59&amp;";  ",""))</f>
        <v/>
      </c>
      <c r="K109" s="0" t="str">
        <f aca="false">IF(OR($A109="",$D109=""),"",IF(AND(EDATE($D109,Milestones!$AA$60)&lt;=AsOfDate,IF($R109=0,$X109,IF(AND($T109&lt;&gt;"",EDATE($D109,Milestones!$AA$60)&gt;=$T109),$W109,IF(AND($S109&lt;&gt;"",EDATE($D109,Milestones!$AA$60)&gt;=$S109),$V109,$U109)))=Milestones!$AB$60),UPPER(TEXT(EDATE($D109,Milestones!$AA$60),"dd mmm yy"))&amp;" "&amp;Milestones!$AB$60&amp;" "&amp;Milestones!$AC$60&amp;";  ","")&amp;IF(AND(EDATE($D109,Milestones!$AA$61)&lt;=AsOfDate,IF($R109=0,$X109,IF(AND($T109&lt;&gt;"",EDATE($D109,Milestones!$AA$61)&gt;=$T109),$W109,IF(AND($S109&lt;&gt;"",EDATE($D109,Milestones!$AA$61)&gt;=$S109),$V109,$U109)))=Milestones!$AB$61),UPPER(TEXT(EDATE($D109,Milestones!$AA$61),"dd mmm yy"))&amp;" "&amp;Milestones!$AB$61&amp;" "&amp;Milestones!$AC$61&amp;";  ","")&amp;IF(AND(EDATE($D109,Milestones!$AA$62)&lt;=AsOfDate,IF($R109=0,$X109,IF(AND($T109&lt;&gt;"",EDATE($D109,Milestones!$AA$62)&gt;=$T109),$W109,IF(AND($S109&lt;&gt;"",EDATE($D109,Milestones!$AA$62)&gt;=$S109),$V109,$U109)))=Milestones!$AB$62),UPPER(TEXT(EDATE($D109,Milestones!$AA$62),"dd mmm yy"))&amp;" "&amp;Milestones!$AB$62&amp;" "&amp;Milestones!$AC$62&amp;";  ","")&amp;IF(AND(EDATE($D109,Milestones!$AA$63)&lt;=AsOfDate,IF($R109=0,$X109,IF(AND($T109&lt;&gt;"",EDATE($D109,Milestones!$AA$63)&gt;=$T109),$W109,IF(AND($S109&lt;&gt;"",EDATE($D109,Milestones!$AA$63)&gt;=$S109),$V109,$U109)))=Milestones!$AB$63),UPPER(TEXT(EDATE($D109,Milestones!$AA$63),"dd mmm yy"))&amp;" "&amp;Milestones!$AB$63&amp;" "&amp;Milestones!$AC$63&amp;";  ","")&amp;IF(AND(EDATE($D109,Milestones!$AA$64)&lt;=AsOfDate,IF($R109=0,$X109,IF(AND($T109&lt;&gt;"",EDATE($D109,Milestones!$AA$64)&gt;=$T109),$W109,IF(AND($S109&lt;&gt;"",EDATE($D109,Milestones!$AA$64)&gt;=$S109),$V109,$U109)))=Milestones!$AB$64),UPPER(TEXT(EDATE($D109,Milestones!$AA$64),"dd mmm yy"))&amp;" "&amp;Milestones!$AB$64&amp;" "&amp;Milestones!$AC$64&amp;";  ","")&amp;IF(AND(EDATE($D109,Milestones!$AA$65)&lt;=AsOfDate,IF($R109=0,$X109,IF(AND($T109&lt;&gt;"",EDATE($D109,Milestones!$AA$65)&gt;=$T109),$W109,IF(AND($S109&lt;&gt;"",EDATE($D109,Milestones!$AA$65)&gt;=$S109),$V109,$U109)))=Milestones!$AB$65),UPPER(TEXT(EDATE($D109,Milestones!$AA$65),"dd mmm yy"))&amp;" "&amp;Milestones!$AB$65&amp;" "&amp;Milestones!$AC$65&amp;";  ","")&amp;IF(AND(EDATE($D109,Milestones!$AA$66)&lt;=AsOfDate,IF($R109=0,$X109,IF(AND($T109&lt;&gt;"",EDATE($D109,Milestones!$AA$66)&gt;=$T109),$W109,IF(AND($S109&lt;&gt;"",EDATE($D109,Milestones!$AA$66)&gt;=$S109),$V109,$U109)))=Milestones!$AB$66),UPPER(TEXT(EDATE($D109,Milestones!$AA$66),"dd mmm yy"))&amp;" "&amp;Milestones!$AB$66&amp;" "&amp;Milestones!$AC$66&amp;";  ","")&amp;IF(AND(EDATE($D109,Milestones!$AA$67)&lt;=AsOfDate,IF($R109=0,$X109,IF(AND($T109&lt;&gt;"",EDATE($D109,Milestones!$AA$67)&gt;=$T109),$W109,IF(AND($S109&lt;&gt;"",EDATE($D109,Milestones!$AA$67)&gt;=$S109),$V109,$U109)))=Milestones!$AB$67),UPPER(TEXT(EDATE($D109,Milestones!$AA$67),"dd mmm yy"))&amp;" "&amp;Milestones!$AB$67&amp;" "&amp;Milestones!$AC$67&amp;";  ","")&amp;IF(AND(EDATE($D109,Milestones!$AA$68)&lt;=AsOfDate,IF($R109=0,$X109,IF(AND($T109&lt;&gt;"",EDATE($D109,Milestones!$AA$68)&gt;=$T109),$W109,IF(AND($S109&lt;&gt;"",EDATE($D109,Milestones!$AA$68)&gt;=$S109),$V109,$U109)))=Milestones!$AB$68),UPPER(TEXT(EDATE($D109,Milestones!$AA$68),"dd mmm yy"))&amp;" "&amp;Milestones!$AB$68&amp;" "&amp;Milestones!$AC$68&amp;";  ","")&amp;IF(AND(EDATE($D109,Milestones!$AA$69)&lt;=AsOfDate,IF($R109=0,$X109,IF(AND($T109&lt;&gt;"",EDATE($D109,Milestones!$AA$69)&gt;=$T109),$W109,IF(AND($S109&lt;&gt;"",EDATE($D109,Milestones!$AA$69)&gt;=$S109),$V109,$U109)))=Milestones!$AB$69),UPPER(TEXT(EDATE($D109,Milestones!$AA$69),"dd mmm yy"))&amp;" "&amp;Milestones!$AB$69&amp;" "&amp;Milestones!$AC$69&amp;";  ","")&amp;IF(AND(EDATE($D109,Milestones!$AA$70)&lt;=AsOfDate,IF($R109=0,$X109,IF(AND($T109&lt;&gt;"",EDATE($D109,Milestones!$AA$70)&gt;=$T109),$W109,IF(AND($S109&lt;&gt;"",EDATE($D109,Milestones!$AA$70)&gt;=$S109),$V109,$U109)))=Milestones!$AB$70),UPPER(TEXT(EDATE($D109,Milestones!$AA$70),"dd mmm yy"))&amp;" "&amp;Milestones!$AB$70&amp;" "&amp;Milestones!$AC$70&amp;";  ","")&amp;IF(AND(EDATE($D109,Milestones!$AA$71)&lt;=AsOfDate,IF($R109=0,$X109,IF(AND($T109&lt;&gt;"",EDATE($D109,Milestones!$AA$71)&gt;=$T109),$W109,IF(AND($S109&lt;&gt;"",EDATE($D109,Milestones!$AA$71)&gt;=$S109),$V109,$U109)))=Milestones!$AB$71),UPPER(TEXT(EDATE($D109,Milestones!$AA$71),"dd mmm yy"))&amp;" "&amp;Milestones!$AB$71&amp;" "&amp;Milestones!$AC$71&amp;";  ","")&amp;IF(AND(EDATE($D109,Milestones!$AA$72)&lt;=AsOfDate,IF($R109=0,$X109,IF(AND($T109&lt;&gt;"",EDATE($D109,Milestones!$AA$72)&gt;=$T109),$W109,IF(AND($S109&lt;&gt;"",EDATE($D109,Milestones!$AA$72)&gt;=$S109),$V109,$U109)))=Milestones!$AB$72),UPPER(TEXT(EDATE($D109,Milestones!$AA$72),"dd mmm yy"))&amp;" "&amp;Milestones!$AB$72&amp;" "&amp;Milestones!$AC$72&amp;";  ","")&amp;IF(AND(EDATE($D109,Milestones!$AA$73)&lt;=AsOfDate,IF($R109=0,$X109,IF(AND($T109&lt;&gt;"",EDATE($D109,Milestones!$AA$73)&gt;=$T109),$W109,IF(AND($S109&lt;&gt;"",EDATE($D109,Milestones!$AA$73)&gt;=$S109),$V109,$U109)))=Milestones!$AB$73),UPPER(TEXT(EDATE($D109,Milestones!$AA$73),"dd mmm yy"))&amp;" "&amp;Milestones!$AB$73&amp;" "&amp;Milestones!$AC$73&amp;";  ","")&amp;IF(AND(EDATE($D109,Milestones!$AA$74)&lt;=AsOfDate,IF($R109=0,$X109,IF(AND($T109&lt;&gt;"",EDATE($D109,Milestones!$AA$74)&gt;=$T109),$W109,IF(AND($S109&lt;&gt;"",EDATE($D109,Milestones!$AA$74)&gt;=$S109),$V109,$U109)))=Milestones!$AB$74),UPPER(TEXT(EDATE($D109,Milestones!$AA$74),"dd mmm yy"))&amp;" "&amp;Milestones!$AB$74&amp;" "&amp;Milestones!$AC$74&amp;";  ","")&amp;IF(AND(EDATE($D109,Milestones!$AA$75)&lt;=AsOfDate,IF($R109=0,$X109,IF(AND($T109&lt;&gt;"",EDATE($D109,Milestones!$AA$75)&gt;=$T109),$W109,IF(AND($S109&lt;&gt;"",EDATE($D109,Milestones!$AA$75)&gt;=$S109),$V109,$U109)))=Milestones!$AB$75),UPPER(TEXT(EDATE($D109,Milestones!$AA$75),"dd mmm yy"))&amp;" "&amp;Milestones!$AB$75&amp;" "&amp;Milestones!$AC$75&amp;";  ","")&amp;IF(AND(EDATE($D109,Milestones!$AA$76)&lt;=AsOfDate,IF($R109=0,$X109,IF(AND($T109&lt;&gt;"",EDATE($D109,Milestones!$AA$76)&gt;=$T109),$W109,IF(AND($S109&lt;&gt;"",EDATE($D109,Milestones!$AA$76)&gt;=$S109),$V109,$U109)))=Milestones!$AB$76),UPPER(TEXT(EDATE($D109,Milestones!$AA$76),"dd mmm yy"))&amp;" "&amp;Milestones!$AB$76&amp;" "&amp;Milestones!$AC$76&amp;";  ","")&amp;IF(AND(EDATE($D109,Milestones!$AA$77)&lt;=AsOfDate,IF($R109=0,$X109,IF(AND($T109&lt;&gt;"",EDATE($D109,Milestones!$AA$77)&gt;=$T109),$W109,IF(AND($S109&lt;&gt;"",EDATE($D109,Milestones!$AA$77)&gt;=$S109),$V109,$U109)))=Milestones!$AB$77),UPPER(TEXT(EDATE($D109,Milestones!$AA$77),"dd mmm yy"))&amp;" "&amp;Milestones!$AB$77&amp;" "&amp;Milestones!$AC$77&amp;";  ","")&amp;IF(AND(EDATE($D109,Milestones!$AA$78)&lt;=AsOfDate,IF($R109=0,$X109,IF(AND($T109&lt;&gt;"",EDATE($D109,Milestones!$AA$78)&gt;=$T109),$W109,IF(AND($S109&lt;&gt;"",EDATE($D109,Milestones!$AA$78)&gt;=$S109),$V109,$U109)))=Milestones!$AB$78),UPPER(TEXT(EDATE($D109,Milestones!$AA$78),"dd mmm yy"))&amp;" "&amp;Milestones!$AB$78&amp;" "&amp;Milestones!$AC$78&amp;";  ","")&amp;IF(AND(EDATE($D109,Milestones!$AA$79)&lt;=AsOfDate,IF($R109=0,$X109,IF(AND($T109&lt;&gt;"",EDATE($D109,Milestones!$AA$79)&gt;=$T109),$W109,IF(AND($S109&lt;&gt;"",EDATE($D109,Milestones!$AA$79)&gt;=$S109),$V109,$U109)))=Milestones!$AB$79),UPPER(TEXT(EDATE($D109,Milestones!$AA$79),"dd mmm yy"))&amp;" "&amp;Milestones!$AB$79&amp;" "&amp;Milestones!$AC$79&amp;";  ",""))</f>
        <v/>
      </c>
      <c r="L109" s="0" t="str">
        <f aca="false">IF(OR($A109="",$D109=""),"",IF(AND(EDATE($D109,Milestones!$AA$80)&lt;=AsOfDate,IF($R109=0,$X109,IF(AND($T109&lt;&gt;"",EDATE($D109,Milestones!$AA$80)&gt;=$T109),$W109,IF(AND($S109&lt;&gt;"",EDATE($D109,Milestones!$AA$80)&gt;=$S109),$V109,$U109)))=Milestones!$AB$80),UPPER(TEXT(EDATE($D109,Milestones!$AA$80),"dd mmm yy"))&amp;" "&amp;Milestones!$AB$80&amp;" "&amp;Milestones!$AC$80&amp;";  ","")&amp;IF(AND(EDATE($D109,Milestones!$AA$81)&lt;=AsOfDate,IF($R109=0,$X109,IF(AND($T109&lt;&gt;"",EDATE($D109,Milestones!$AA$81)&gt;=$T109),$W109,IF(AND($S109&lt;&gt;"",EDATE($D109,Milestones!$AA$81)&gt;=$S109),$V109,$U109)))=Milestones!$AB$81),UPPER(TEXT(EDATE($D109,Milestones!$AA$81),"dd mmm yy"))&amp;" "&amp;Milestones!$AB$81&amp;" "&amp;Milestones!$AC$81&amp;";  ","")&amp;IF(AND(EDATE($D109,Milestones!$AA$82)&lt;=AsOfDate,IF($R109=0,$X109,IF(AND($T109&lt;&gt;"",EDATE($D109,Milestones!$AA$82)&gt;=$T109),$W109,IF(AND($S109&lt;&gt;"",EDATE($D109,Milestones!$AA$82)&gt;=$S109),$V109,$U109)))=Milestones!$AB$82),UPPER(TEXT(EDATE($D109,Milestones!$AA$82),"dd mmm yy"))&amp;" "&amp;Milestones!$AB$82&amp;" "&amp;Milestones!$AC$82&amp;";  ","")&amp;IF(AND(EDATE($D109,Milestones!$AA$83)&lt;=AsOfDate,IF($R109=0,$X109,IF(AND($T109&lt;&gt;"",EDATE($D109,Milestones!$AA$83)&gt;=$T109),$W109,IF(AND($S109&lt;&gt;"",EDATE($D109,Milestones!$AA$83)&gt;=$S109),$V109,$U109)))=Milestones!$AB$83),UPPER(TEXT(EDATE($D109,Milestones!$AA$83),"dd mmm yy"))&amp;" "&amp;Milestones!$AB$83&amp;" "&amp;Milestones!$AC$83&amp;";  ","")&amp;IF(AND(EDATE($D109,Milestones!$AA$84)&lt;=AsOfDate,IF($R109=0,$X109,IF(AND($T109&lt;&gt;"",EDATE($D109,Milestones!$AA$84)&gt;=$T109),$W109,IF(AND($S109&lt;&gt;"",EDATE($D109,Milestones!$AA$84)&gt;=$S109),$V109,$U109)))=Milestones!$AB$84),UPPER(TEXT(EDATE($D109,Milestones!$AA$84),"dd mmm yy"))&amp;" "&amp;Milestones!$AB$84&amp;" "&amp;Milestones!$AC$84&amp;";  ","")&amp;IF(AND(EDATE($D109,Milestones!$AA$85)&lt;=AsOfDate,IF($R109=0,$X109,IF(AND($T109&lt;&gt;"",EDATE($D109,Milestones!$AA$85)&gt;=$T109),$W109,IF(AND($S109&lt;&gt;"",EDATE($D109,Milestones!$AA$85)&gt;=$S109),$V109,$U109)))=Milestones!$AB$85),UPPER(TEXT(EDATE($D109,Milestones!$AA$85),"dd mmm yy"))&amp;" "&amp;Milestones!$AB$85&amp;" "&amp;Milestones!$AC$85&amp;";  ","")&amp;IF(AND(EDATE($D109,Milestones!$AA$86)&lt;=AsOfDate,IF($R109=0,$X109,IF(AND($T109&lt;&gt;"",EDATE($D109,Milestones!$AA$86)&gt;=$T109),$W109,IF(AND($S109&lt;&gt;"",EDATE($D109,Milestones!$AA$86)&gt;=$S109),$V109,$U109)))=Milestones!$AB$86),UPPER(TEXT(EDATE($D109,Milestones!$AA$86),"dd mmm yy"))&amp;" "&amp;Milestones!$AB$86&amp;" "&amp;Milestones!$AC$86&amp;";  ","")&amp;IF(AND(EDATE($D109,Milestones!$AA$87)&lt;=AsOfDate,IF($R109=0,$X109,IF(AND($T109&lt;&gt;"",EDATE($D109,Milestones!$AA$87)&gt;=$T109),$W109,IF(AND($S109&lt;&gt;"",EDATE($D109,Milestones!$AA$87)&gt;=$S109),$V109,$U109)))=Milestones!$AB$87),UPPER(TEXT(EDATE($D109,Milestones!$AA$87),"dd mmm yy"))&amp;" "&amp;Milestones!$AB$87&amp;" "&amp;Milestones!$AC$87&amp;";  ","")&amp;IF(AND(EDATE($D109,Milestones!$AA$88)&lt;=AsOfDate,IF($R109=0,$X109,IF(AND($T109&lt;&gt;"",EDATE($D109,Milestones!$AA$88)&gt;=$T109),$W109,IF(AND($S109&lt;&gt;"",EDATE($D109,Milestones!$AA$88)&gt;=$S109),$V109,$U109)))=Milestones!$AB$88),UPPER(TEXT(EDATE($D109,Milestones!$AA$88),"dd mmm yy"))&amp;" "&amp;Milestones!$AB$88&amp;" "&amp;Milestones!$AC$88&amp;";  ","")&amp;IF(AND(EDATE($D109,Milestones!$AA$89)&lt;=AsOfDate,IF($R109=0,$X109,IF(AND($T109&lt;&gt;"",EDATE($D109,Milestones!$AA$89)&gt;=$T109),$W109,IF(AND($S109&lt;&gt;"",EDATE($D109,Milestones!$AA$89)&gt;=$S109),$V109,$U109)))=Milestones!$AB$89),UPPER(TEXT(EDATE($D109,Milestones!$AA$89),"dd mmm yy"))&amp;" "&amp;Milestones!$AB$89&amp;" "&amp;Milestones!$AC$89&amp;";  ","")&amp;IF(AND(EDATE($D109,Milestones!$AA$90)&lt;=AsOfDate,IF($R109=0,$X109,IF(AND($T109&lt;&gt;"",EDATE($D109,Milestones!$AA$90)&gt;=$T109),$W109,IF(AND($S109&lt;&gt;"",EDATE($D109,Milestones!$AA$90)&gt;=$S109),$V109,$U109)))=Milestones!$AB$90),UPPER(TEXT(EDATE($D109,Milestones!$AA$90),"dd mmm yy"))&amp;" "&amp;Milestones!$AB$90&amp;" "&amp;Milestones!$AC$90&amp;";  ","")&amp;IF(AND(EDATE($D109,Milestones!$AA$91)&lt;=AsOfDate,IF($R109=0,$X109,IF(AND($T109&lt;&gt;"",EDATE($D109,Milestones!$AA$91)&gt;=$T109),$W109,IF(AND($S109&lt;&gt;"",EDATE($D109,Milestones!$AA$91)&gt;=$S109),$V109,$U109)))=Milestones!$AB$91),UPPER(TEXT(EDATE($D109,Milestones!$AA$91),"dd mmm yy"))&amp;" "&amp;Milestones!$AB$91&amp;" "&amp;Milestones!$AC$91&amp;";  ","")&amp;IF(AND(EDATE($D109,Milestones!$AA$92)&lt;=AsOfDate,IF($R109=0,$X109,IF(AND($T109&lt;&gt;"",EDATE($D109,Milestones!$AA$92)&gt;=$T109),$W109,IF(AND($S109&lt;&gt;"",EDATE($D109,Milestones!$AA$92)&gt;=$S109),$V109,$U109)))=Milestones!$AB$92),UPPER(TEXT(EDATE($D109,Milestones!$AA$92),"dd mmm yy"))&amp;" "&amp;Milestones!$AB$92&amp;" "&amp;Milestones!$AC$92&amp;";  ","")&amp;IF(AND(EDATE($D109,Milestones!$AA$93)&lt;=AsOfDate,IF($R109=0,$X109,IF(AND($T109&lt;&gt;"",EDATE($D109,Milestones!$AA$93)&gt;=$T109),$W109,IF(AND($S109&lt;&gt;"",EDATE($D109,Milestones!$AA$93)&gt;=$S109),$V109,$U109)))=Milestones!$AB$93),UPPER(TEXT(EDATE($D109,Milestones!$AA$93),"dd mmm yy"))&amp;" "&amp;Milestones!$AB$93&amp;" "&amp;Milestones!$AC$93&amp;";  ","")&amp;IF(AND(EDATE($D109,Milestones!$AA$94)&lt;=AsOfDate,IF($R109=0,$X109,IF(AND($T109&lt;&gt;"",EDATE($D109,Milestones!$AA$94)&gt;=$T109),$W109,IF(AND($S109&lt;&gt;"",EDATE($D109,Milestones!$AA$94)&gt;=$S109),$V109,$U109)))=Milestones!$AB$94),UPPER(TEXT(EDATE($D109,Milestones!$AA$94),"dd mmm yy"))&amp;" "&amp;Milestones!$AB$94&amp;" "&amp;Milestones!$AC$94&amp;";  ","")&amp;IF(AND(EDATE($D109,Milestones!$AA$95)&lt;=AsOfDate,IF($R109=0,$X109,IF(AND($T109&lt;&gt;"",EDATE($D109,Milestones!$AA$95)&gt;=$T109),$W109,IF(AND($S109&lt;&gt;"",EDATE($D109,Milestones!$AA$95)&gt;=$S109),$V109,$U109)))=Milestones!$AB$95),UPPER(TEXT(EDATE($D109,Milestones!$AA$95),"dd mmm yy"))&amp;" "&amp;Milestones!$AB$95&amp;" "&amp;Milestones!$AC$95&amp;";  ","")&amp;IF(AND(EDATE($D109,Milestones!$AA$96)&lt;=AsOfDate,IF($R109=0,$X109,IF(AND($T109&lt;&gt;"",EDATE($D109,Milestones!$AA$96)&gt;=$T109),$W109,IF(AND($S109&lt;&gt;"",EDATE($D109,Milestones!$AA$96)&gt;=$S109),$V109,$U109)))=Milestones!$AB$96),UPPER(TEXT(EDATE($D109,Milestones!$AA$96),"dd mmm yy"))&amp;" "&amp;Milestones!$AB$96&amp;" "&amp;Milestones!$AC$96&amp;";  ","")&amp;IF(AND(EDATE($D109,Milestones!$AA$97)&lt;=AsOfDate,IF($R109=0,$X109,IF(AND($T109&lt;&gt;"",EDATE($D109,Milestones!$AA$97)&gt;=$T109),$W109,IF(AND($S109&lt;&gt;"",EDATE($D109,Milestones!$AA$97)&gt;=$S109),$V109,$U109)))=Milestones!$AB$97),UPPER(TEXT(EDATE($D109,Milestones!$AA$97),"dd mmm yy"))&amp;" "&amp;Milestones!$AB$97&amp;" "&amp;Milestones!$AC$97&amp;";  ","")&amp;IF(AND(EDATE($D109,Milestones!$AA$98)&lt;=AsOfDate,IF($R109=0,$X109,IF(AND($T109&lt;&gt;"",EDATE($D109,Milestones!$AA$98)&gt;=$T109),$W109,IF(AND($S109&lt;&gt;"",EDATE($D109,Milestones!$AA$98)&gt;=$S109),$V109,$U109)))=Milestones!$AB$98),UPPER(TEXT(EDATE($D109,Milestones!$AA$98),"dd mmm yy"))&amp;" "&amp;Milestones!$AB$98&amp;" "&amp;Milestones!$AC$98&amp;";  ","")&amp;IF(AND(EDATE($D109,Milestones!$AA$99)&lt;=AsOfDate,IF($R109=0,$X109,IF(AND($T109&lt;&gt;"",EDATE($D109,Milestones!$AA$99)&gt;=$T109),$W109,IF(AND($S109&lt;&gt;"",EDATE($D109,Milestones!$AA$99)&gt;=$S109),$V109,$U109)))=Milestones!$AB$99),UPPER(TEXT(EDATE($D109,Milestones!$AA$99),"dd mmm yy"))&amp;" "&amp;Milestones!$AB$99&amp;" "&amp;Milestones!$AC$99&amp;";  ",""))</f>
        <v/>
      </c>
      <c r="M109" s="0" t="str">
        <f aca="false">IF(OR($A109="",$D109=""),"",IF(AND(EDATE($D109,Milestones!$AA$100)&lt;=AsOfDate,IF($R109=0,$X109,IF(AND($T109&lt;&gt;"",EDATE($D109,Milestones!$AA$100)&gt;=$T109),$W109,IF(AND($S109&lt;&gt;"",EDATE($D109,Milestones!$AA$100)&gt;=$S109),$V109,$U109)))=Milestones!$AB$100),UPPER(TEXT(EDATE($D109,Milestones!$AA$100),"dd mmm yy"))&amp;" "&amp;Milestones!$AB$100&amp;" "&amp;Milestones!$AC$100&amp;";  ","")&amp;IF(AND(EDATE($D109,Milestones!$AA$101)&lt;=AsOfDate,IF($R109=0,$X109,IF(AND($T109&lt;&gt;"",EDATE($D109,Milestones!$AA$101)&gt;=$T109),$W109,IF(AND($S109&lt;&gt;"",EDATE($D109,Milestones!$AA$101)&gt;=$S109),$V109,$U109)))=Milestones!$AB$101),UPPER(TEXT(EDATE($D109,Milestones!$AA$101),"dd mmm yy"))&amp;" "&amp;Milestones!$AB$101&amp;" "&amp;Milestones!$AC$101&amp;";  ","")&amp;IF(AND(EDATE($D109,Milestones!$AA$102)&lt;=AsOfDate,IF($R109=0,$X109,IF(AND($T109&lt;&gt;"",EDATE($D109,Milestones!$AA$102)&gt;=$T109),$W109,IF(AND($S109&lt;&gt;"",EDATE($D109,Milestones!$AA$102)&gt;=$S109),$V109,$U109)))=Milestones!$AB$102),UPPER(TEXT(EDATE($D109,Milestones!$AA$102),"dd mmm yy"))&amp;" "&amp;Milestones!$AB$102&amp;" "&amp;Milestones!$AC$102&amp;";  ","")&amp;IF(AND(EDATE($D109,Milestones!$AA$103)&lt;=AsOfDate,IF($R109=0,$X109,IF(AND($T109&lt;&gt;"",EDATE($D109,Milestones!$AA$103)&gt;=$T109),$W109,IF(AND($S109&lt;&gt;"",EDATE($D109,Milestones!$AA$103)&gt;=$S109),$V109,$U109)))=Milestones!$AB$103),UPPER(TEXT(EDATE($D109,Milestones!$AA$103),"dd mmm yy"))&amp;" "&amp;Milestones!$AB$103&amp;" "&amp;Milestones!$AC$103&amp;";  ","")&amp;IF(AND(EDATE($D109,Milestones!$AA$104)&lt;=AsOfDate,IF($R109=0,$X109,IF(AND($T109&lt;&gt;"",EDATE($D109,Milestones!$AA$104)&gt;=$T109),$W109,IF(AND($S109&lt;&gt;"",EDATE($D109,Milestones!$AA$104)&gt;=$S109),$V109,$U109)))=Milestones!$AB$104),UPPER(TEXT(EDATE($D109,Milestones!$AA$104),"dd mmm yy"))&amp;" "&amp;Milestones!$AB$104&amp;" "&amp;Milestones!$AC$104&amp;";  ","")&amp;IF(AND(EDATE($D109,Milestones!$AA$105)&lt;=AsOfDate,IF($R109=0,$X109,IF(AND($T109&lt;&gt;"",EDATE($D109,Milestones!$AA$105)&gt;=$T109),$W109,IF(AND($S109&lt;&gt;"",EDATE($D109,Milestones!$AA$105)&gt;=$S109),$V109,$U109)))=Milestones!$AB$105),UPPER(TEXT(EDATE($D109,Milestones!$AA$105),"dd mmm yy"))&amp;" "&amp;Milestones!$AB$105&amp;" "&amp;Milestones!$AC$105&amp;";  ","")&amp;IF(AND(EDATE($D109,Milestones!$AA$106)&lt;=AsOfDate,IF($R109=0,$X109,IF(AND($T109&lt;&gt;"",EDATE($D109,Milestones!$AA$106)&gt;=$T109),$W109,IF(AND($S109&lt;&gt;"",EDATE($D109,Milestones!$AA$106)&gt;=$S109),$V109,$U109)))=Milestones!$AB$106),UPPER(TEXT(EDATE($D109,Milestones!$AA$106),"dd mmm yy"))&amp;" "&amp;Milestones!$AB$106&amp;" "&amp;Milestones!$AC$106&amp;";  ","")&amp;IF(AND(EDATE($D109,Milestones!$AA$107)&lt;=AsOfDate,IF($R109=0,$X109,IF(AND($T109&lt;&gt;"",EDATE($D109,Milestones!$AA$107)&gt;=$T109),$W109,IF(AND($S109&lt;&gt;"",EDATE($D109,Milestones!$AA$107)&gt;=$S109),$V109,$U109)))=Milestones!$AB$107),UPPER(TEXT(EDATE($D109,Milestones!$AA$107),"dd mmm yy"))&amp;" "&amp;Milestones!$AB$107&amp;" "&amp;Milestones!$AC$107&amp;";  ","")&amp;IF(AND(EDATE($D109,Milestones!$AA$108)&lt;=AsOfDate,IF($R109=0,$X109,IF(AND($T109&lt;&gt;"",EDATE($D109,Milestones!$AA$108)&gt;=$T109),$W109,IF(AND($S109&lt;&gt;"",EDATE($D109,Milestones!$AA$108)&gt;=$S109),$V109,$U109)))=Milestones!$AB$108),UPPER(TEXT(EDATE($D109,Milestones!$AA$108),"dd mmm yy"))&amp;" "&amp;Milestones!$AB$108&amp;" "&amp;Milestones!$AC$108&amp;";  ","")&amp;IF(AND(EDATE($D109,Milestones!$AA$109)&lt;=AsOfDate,IF($R109=0,$X109,IF(AND($T109&lt;&gt;"",EDATE($D109,Milestones!$AA$109)&gt;=$T109),$W109,IF(AND($S109&lt;&gt;"",EDATE($D109,Milestones!$AA$109)&gt;=$S109),$V109,$U109)))=Milestones!$AB$109),UPPER(TEXT(EDATE($D109,Milestones!$AA$109),"dd mmm yy"))&amp;" "&amp;Milestones!$AB$109&amp;" "&amp;Milestones!$AC$109&amp;";  ","")&amp;IF(AND(EDATE($D109,Milestones!$AA$110)&lt;=AsOfDate,IF($R109=0,$X109,IF(AND($T109&lt;&gt;"",EDATE($D109,Milestones!$AA$110)&gt;=$T109),$W109,IF(AND($S109&lt;&gt;"",EDATE($D109,Milestones!$AA$110)&gt;=$S109),$V109,$U109)))=Milestones!$AB$110),UPPER(TEXT(EDATE($D109,Milestones!$AA$110),"dd mmm yy"))&amp;" "&amp;Milestones!$AB$110&amp;" "&amp;Milestones!$AC$110&amp;";  ","")&amp;IF(AND(EDATE($D109,Milestones!$AA$111)&lt;=AsOfDate,IF($R109=0,$X109,IF(AND($T109&lt;&gt;"",EDATE($D109,Milestones!$AA$111)&gt;=$T109),$W109,IF(AND($S109&lt;&gt;"",EDATE($D109,Milestones!$AA$111)&gt;=$S109),$V109,$U109)))=Milestones!$AB$111),UPPER(TEXT(EDATE($D109,Milestones!$AA$111),"dd mmm yy"))&amp;" "&amp;Milestones!$AB$111&amp;" "&amp;Milestones!$AC$111&amp;";  ","")&amp;IF(AND(EDATE($D109,Milestones!$AA$112)&lt;=AsOfDate,IF($R109=0,$X109,IF(AND($T109&lt;&gt;"",EDATE($D109,Milestones!$AA$112)&gt;=$T109),$W109,IF(AND($S109&lt;&gt;"",EDATE($D109,Milestones!$AA$112)&gt;=$S109),$V109,$U109)))=Milestones!$AB$112),UPPER(TEXT(EDATE($D109,Milestones!$AA$112),"dd mmm yy"))&amp;" "&amp;Milestones!$AB$112&amp;" "&amp;Milestones!$AC$112&amp;";  ","")&amp;IF(AND(EDATE($D109,Milestones!$AA$113)&lt;=AsOfDate,IF($R109=0,$X109,IF(AND($T109&lt;&gt;"",EDATE($D109,Milestones!$AA$113)&gt;=$T109),$W109,IF(AND($S109&lt;&gt;"",EDATE($D109,Milestones!$AA$113)&gt;=$S109),$V109,$U109)))=Milestones!$AB$113),UPPER(TEXT(EDATE($D109,Milestones!$AA$113),"dd mmm yy"))&amp;" "&amp;Milestones!$AB$113&amp;" "&amp;Milestones!$AC$113&amp;";  ","")&amp;IF(AND(EDATE($D109,Milestones!$AA$114)&lt;=AsOfDate,IF($R109=0,$X109,IF(AND($T109&lt;&gt;"",EDATE($D109,Milestones!$AA$114)&gt;=$T109),$W109,IF(AND($S109&lt;&gt;"",EDATE($D109,Milestones!$AA$114)&gt;=$S109),$V109,$U109)))=Milestones!$AB$114),UPPER(TEXT(EDATE($D109,Milestones!$AA$114),"dd mmm yy"))&amp;" "&amp;Milestones!$AB$114&amp;" "&amp;Milestones!$AC$114&amp;";  ","")&amp;IF(AND(EDATE($D109,Milestones!$AA$115)&lt;=AsOfDate,IF($R109=0,$X109,IF(AND($T109&lt;&gt;"",EDATE($D109,Milestones!$AA$115)&gt;=$T109),$W109,IF(AND($S109&lt;&gt;"",EDATE($D109,Milestones!$AA$115)&gt;=$S109),$V109,$U109)))=Milestones!$AB$115),UPPER(TEXT(EDATE($D109,Milestones!$AA$115),"dd mmm yy"))&amp;" "&amp;Milestones!$AB$115&amp;" "&amp;Milestones!$AC$115&amp;";  ","")&amp;IF(AND(EDATE($D109,Milestones!$AA$116)&lt;=AsOfDate,IF($R109=0,$X109,IF(AND($T109&lt;&gt;"",EDATE($D109,Milestones!$AA$116)&gt;=$T109),$W109,IF(AND($S109&lt;&gt;"",EDATE($D109,Milestones!$AA$116)&gt;=$S109),$V109,$U109)))=Milestones!$AB$116),UPPER(TEXT(EDATE($D109,Milestones!$AA$116),"dd mmm yy"))&amp;" "&amp;Milestones!$AB$116&amp;" "&amp;Milestones!$AC$116&amp;";  ","")&amp;IF(AND(EDATE($D109,Milestones!$AA$117)&lt;=AsOfDate,IF($R109=0,$X109,IF(AND($T109&lt;&gt;"",EDATE($D109,Milestones!$AA$117)&gt;=$T109),$W109,IF(AND($S109&lt;&gt;"",EDATE($D109,Milestones!$AA$117)&gt;=$S109),$V109,$U109)))=Milestones!$AB$117),UPPER(TEXT(EDATE($D109,Milestones!$AA$117),"dd mmm yy"))&amp;" "&amp;Milestones!$AB$117&amp;" "&amp;Milestones!$AC$117&amp;";  ","")&amp;IF(AND(EDATE($D109,Milestones!$AA$118)&lt;=AsOfDate,IF($R109=0,$X109,IF(AND($T109&lt;&gt;"",EDATE($D109,Milestones!$AA$118)&gt;=$T109),$W109,IF(AND($S109&lt;&gt;"",EDATE($D109,Milestones!$AA$118)&gt;=$S109),$V109,$U109)))=Milestones!$AB$118),UPPER(TEXT(EDATE($D109,Milestones!$AA$118),"dd mmm yy"))&amp;" "&amp;Milestones!$AB$118&amp;" "&amp;Milestones!$AC$118&amp;";  ","")&amp;IF(AND(EDATE($D109,Milestones!$AA$119)&lt;=AsOfDate,IF($R109=0,$X109,IF(AND($T109&lt;&gt;"",EDATE($D109,Milestones!$AA$119)&gt;=$T109),$W109,IF(AND($S109&lt;&gt;"",EDATE($D109,Milestones!$AA$119)&gt;=$S109),$V109,$U109)))=Milestones!$AB$119),UPPER(TEXT(EDATE($D109,Milestones!$AA$119),"dd mmm yy"))&amp;" "&amp;Milestones!$AB$119&amp;" "&amp;Milestones!$AC$119&amp;";  ",""))</f>
        <v/>
      </c>
      <c r="N109" s="0" t="str">
        <f aca="false">IF(OR($A109="",$D109=""),"",IF(AND(EDATE($D109,Milestones!$AA$120)&lt;=AsOfDate,IF($R109=0,$X109,IF(AND($T109&lt;&gt;"",EDATE($D109,Milestones!$AA$120)&gt;=$T109),$W109,IF(AND($S109&lt;&gt;"",EDATE($D109,Milestones!$AA$120)&gt;=$S109),$V109,$U109)))=Milestones!$AB$120),UPPER(TEXT(EDATE($D109,Milestones!$AA$120),"dd mmm yy"))&amp;" "&amp;Milestones!$AB$120&amp;" "&amp;Milestones!$AC$120&amp;";  ","")&amp;IF(AND(EDATE($D109,Milestones!$AA$121)&lt;=AsOfDate,IF($R109=0,$X109,IF(AND($T109&lt;&gt;"",EDATE($D109,Milestones!$AA$121)&gt;=$T109),$W109,IF(AND($S109&lt;&gt;"",EDATE($D109,Milestones!$AA$121)&gt;=$S109),$V109,$U109)))=Milestones!$AB$121),UPPER(TEXT(EDATE($D109,Milestones!$AA$121),"dd mmm yy"))&amp;" "&amp;Milestones!$AB$121&amp;" "&amp;Milestones!$AC$121&amp;";  ","")&amp;IF(AND(EDATE($D109,Milestones!$AA$122)&lt;=AsOfDate,IF($R109=0,$X109,IF(AND($T109&lt;&gt;"",EDATE($D109,Milestones!$AA$122)&gt;=$T109),$W109,IF(AND($S109&lt;&gt;"",EDATE($D109,Milestones!$AA$122)&gt;=$S109),$V109,$U109)))=Milestones!$AB$122),UPPER(TEXT(EDATE($D109,Milestones!$AA$122),"dd mmm yy"))&amp;" "&amp;Milestones!$AB$122&amp;" "&amp;Milestones!$AC$122&amp;";  ","")&amp;IF(AND(EDATE($D109,Milestones!$AA$123)&lt;=AsOfDate,IF($R109=0,$X109,IF(AND($T109&lt;&gt;"",EDATE($D109,Milestones!$AA$123)&gt;=$T109),$W109,IF(AND($S109&lt;&gt;"",EDATE($D109,Milestones!$AA$123)&gt;=$S109),$V109,$U109)))=Milestones!$AB$123),UPPER(TEXT(EDATE($D109,Milestones!$AA$123),"dd mmm yy"))&amp;" "&amp;Milestones!$AB$123&amp;" "&amp;Milestones!$AC$123&amp;";  ","")&amp;IF(AND(EDATE($D109,Milestones!$AA$124)&lt;=AsOfDate,IF($R109=0,$X109,IF(AND($T109&lt;&gt;"",EDATE($D109,Milestones!$AA$124)&gt;=$T109),$W109,IF(AND($S109&lt;&gt;"",EDATE($D109,Milestones!$AA$124)&gt;=$S109),$V109,$U109)))=Milestones!$AB$124),UPPER(TEXT(EDATE($D109,Milestones!$AA$124),"dd mmm yy"))&amp;" "&amp;Milestones!$AB$124&amp;" "&amp;Milestones!$AC$124&amp;";  ","")&amp;IF(AND(EDATE($D109,Milestones!$AA$125)&lt;=AsOfDate,IF($R109=0,$X109,IF(AND($T109&lt;&gt;"",EDATE($D109,Milestones!$AA$125)&gt;=$T109),$W109,IF(AND($S109&lt;&gt;"",EDATE($D109,Milestones!$AA$125)&gt;=$S109),$V109,$U109)))=Milestones!$AB$125),UPPER(TEXT(EDATE($D109,Milestones!$AA$125),"dd mmm yy"))&amp;" "&amp;Milestones!$AB$125&amp;" "&amp;Milestones!$AC$125&amp;";  ","")&amp;IF(AND(EDATE($D109,Milestones!$AA$126)&lt;=AsOfDate,IF($R109=0,$X109,IF(AND($T109&lt;&gt;"",EDATE($D109,Milestones!$AA$126)&gt;=$T109),$W109,IF(AND($S109&lt;&gt;"",EDATE($D109,Milestones!$AA$126)&gt;=$S109),$V109,$U109)))=Milestones!$AB$126),UPPER(TEXT(EDATE($D109,Milestones!$AA$126),"dd mmm yy"))&amp;" "&amp;Milestones!$AB$126&amp;" "&amp;Milestones!$AC$126&amp;";  ","")&amp;IF(AND(EDATE($D109,Milestones!$AA$127)&lt;=AsOfDate,IF($R109=0,$X109,IF(AND($T109&lt;&gt;"",EDATE($D109,Milestones!$AA$127)&gt;=$T109),$W109,IF(AND($S109&lt;&gt;"",EDATE($D109,Milestones!$AA$127)&gt;=$S109),$V109,$U109)))=Milestones!$AB$127),UPPER(TEXT(EDATE($D109,Milestones!$AA$127),"dd mmm yy"))&amp;" "&amp;Milestones!$AB$127&amp;" "&amp;Milestones!$AC$127&amp;";  ","")&amp;IF(AND(EDATE($D109,Milestones!$AA$128)&lt;=AsOfDate,IF($R109=0,$X109,IF(AND($T109&lt;&gt;"",EDATE($D109,Milestones!$AA$128)&gt;=$T109),$W109,IF(AND($S109&lt;&gt;"",EDATE($D109,Milestones!$AA$128)&gt;=$S109),$V109,$U109)))=Milestones!$AB$128),UPPER(TEXT(EDATE($D109,Milestones!$AA$128),"dd mmm yy"))&amp;" "&amp;Milestones!$AB$128&amp;" "&amp;Milestones!$AC$128&amp;";  ","")&amp;IF(AND(EDATE($D109,Milestones!$AA$129)&lt;=AsOfDate,IF($R109=0,$X109,IF(AND($T109&lt;&gt;"",EDATE($D109,Milestones!$AA$129)&gt;=$T109),$W109,IF(AND($S109&lt;&gt;"",EDATE($D109,Milestones!$AA$129)&gt;=$S109),$V109,$U109)))=Milestones!$AB$129),UPPER(TEXT(EDATE($D109,Milestones!$AA$129),"dd mmm yy"))&amp;" "&amp;Milestones!$AB$129&amp;" "&amp;Milestones!$AC$129&amp;";  ","")&amp;IF(AND(EDATE($D109,Milestones!$AA$130)&lt;=AsOfDate,IF($R109=0,$X109,IF(AND($T109&lt;&gt;"",EDATE($D109,Milestones!$AA$130)&gt;=$T109),$W109,IF(AND($S109&lt;&gt;"",EDATE($D109,Milestones!$AA$130)&gt;=$S109),$V109,$U109)))=Milestones!$AB$130),UPPER(TEXT(EDATE($D109,Milestones!$AA$130),"dd mmm yy"))&amp;" "&amp;Milestones!$AB$130&amp;" "&amp;Milestones!$AC$130&amp;";  ","")&amp;IF(AND(EDATE($D109,Milestones!$AA$131)&lt;=AsOfDate,IF($R109=0,$X109,IF(AND($T109&lt;&gt;"",EDATE($D109,Milestones!$AA$131)&gt;=$T109),$W109,IF(AND($S109&lt;&gt;"",EDATE($D109,Milestones!$AA$131)&gt;=$S109),$V109,$U109)))=Milestones!$AB$131),UPPER(TEXT(EDATE($D109,Milestones!$AA$131),"dd mmm yy"))&amp;" "&amp;Milestones!$AB$131&amp;" "&amp;Milestones!$AC$131&amp;";  ","")&amp;IF(AND(EDATE($D109,Milestones!$AA$132)&lt;=AsOfDate,IF($R109=0,$X109,IF(AND($T109&lt;&gt;"",EDATE($D109,Milestones!$AA$132)&gt;=$T109),$W109,IF(AND($S109&lt;&gt;"",EDATE($D109,Milestones!$AA$132)&gt;=$S109),$V109,$U109)))=Milestones!$AB$132),UPPER(TEXT(EDATE($D109,Milestones!$AA$132),"dd mmm yy"))&amp;" "&amp;Milestones!$AB$132&amp;" "&amp;Milestones!$AC$132&amp;";  ","")&amp;IF(AND(EDATE($D109,Milestones!$AA$133)&lt;=AsOfDate,IF($R109=0,$X109,IF(AND($T109&lt;&gt;"",EDATE($D109,Milestones!$AA$133)&gt;=$T109),$W109,IF(AND($S109&lt;&gt;"",EDATE($D109,Milestones!$AA$133)&gt;=$S109),$V109,$U109)))=Milestones!$AB$133),UPPER(TEXT(EDATE($D109,Milestones!$AA$133),"dd mmm yy"))&amp;" "&amp;Milestones!$AB$133&amp;" "&amp;Milestones!$AC$133&amp;";  ","")&amp;IF(AND(EDATE($D109,Milestones!$AA$134)&lt;=AsOfDate,IF($R109=0,$X109,IF(AND($T109&lt;&gt;"",EDATE($D109,Milestones!$AA$134)&gt;=$T109),$W109,IF(AND($S109&lt;&gt;"",EDATE($D109,Milestones!$AA$134)&gt;=$S109),$V109,$U109)))=Milestones!$AB$134),UPPER(TEXT(EDATE($D109,Milestones!$AA$134),"dd mmm yy"))&amp;" "&amp;Milestones!$AB$134&amp;" "&amp;Milestones!$AC$134&amp;";  ","")&amp;IF(AND(EDATE($D109,Milestones!$AA$135)&lt;=AsOfDate,IF($R109=0,$X109,IF(AND($T109&lt;&gt;"",EDATE($D109,Milestones!$AA$135)&gt;=$T109),$W109,IF(AND($S109&lt;&gt;"",EDATE($D109,Milestones!$AA$135)&gt;=$S109),$V109,$U109)))=Milestones!$AB$135),UPPER(TEXT(EDATE($D109,Milestones!$AA$135),"dd mmm yy"))&amp;" "&amp;Milestones!$AB$135&amp;" "&amp;Milestones!$AC$135&amp;";  ","")&amp;IF(AND(EDATE($D109,Milestones!$AA$136)&lt;=AsOfDate,IF($R109=0,$X109,IF(AND($T109&lt;&gt;"",EDATE($D109,Milestones!$AA$136)&gt;=$T109),$W109,IF(AND($S109&lt;&gt;"",EDATE($D109,Milestones!$AA$136)&gt;=$S109),$V109,$U109)))=Milestones!$AB$136),UPPER(TEXT(EDATE($D109,Milestones!$AA$136),"dd mmm yy"))&amp;" "&amp;Milestones!$AB$136&amp;" "&amp;Milestones!$AC$136&amp;";  ","")&amp;IF(AND(EDATE($D109,Milestones!$AA$137)&lt;=AsOfDate,IF($R109=0,$X109,IF(AND($T109&lt;&gt;"",EDATE($D109,Milestones!$AA$137)&gt;=$T109),$W109,IF(AND($S109&lt;&gt;"",EDATE($D109,Milestones!$AA$137)&gt;=$S109),$V109,$U109)))=Milestones!$AB$137),UPPER(TEXT(EDATE($D109,Milestones!$AA$137),"dd mmm yy"))&amp;" "&amp;Milestones!$AB$137&amp;" "&amp;Milestones!$AC$137&amp;";  ","")&amp;IF(AND(EDATE($D109,Milestones!$AA$138)&lt;=AsOfDate,IF($R109=0,$X109,IF(AND($T109&lt;&gt;"",EDATE($D109,Milestones!$AA$138)&gt;=$T109),$W109,IF(AND($S109&lt;&gt;"",EDATE($D109,Milestones!$AA$138)&gt;=$S109),$V109,$U109)))=Milestones!$AB$138),UPPER(TEXT(EDATE($D109,Milestones!$AA$138),"dd mmm yy"))&amp;" "&amp;Milestones!$AB$138&amp;" "&amp;Milestones!$AC$138&amp;";  ","")&amp;IF(AND(EDATE($D109,Milestones!$AA$139)&lt;=AsOfDate,IF($R109=0,$X109,IF(AND($T109&lt;&gt;"",EDATE($D109,Milestones!$AA$139)&gt;=$T109),$W109,IF(AND($S109&lt;&gt;"",EDATE($D109,Milestones!$AA$139)&gt;=$S109),$V109,$U109)))=Milestones!$AB$139),UPPER(TEXT(EDATE($D109,Milestones!$AA$139),"dd mmm yy"))&amp;" "&amp;Milestones!$AB$139&amp;" "&amp;Milestones!$AC$139&amp;";  ",""))</f>
        <v/>
      </c>
      <c r="O109" s="0" t="str">
        <f aca="false">IF(OR($A109="",$D109=""),"",IF(AND(EDATE($D109,Milestones!$AA$140)&lt;=AsOfDate,IF($R109=0,$X109,IF(AND($T109&lt;&gt;"",EDATE($D109,Milestones!$AA$140)&gt;=$T109),$W109,IF(AND($S109&lt;&gt;"",EDATE($D109,Milestones!$AA$140)&gt;=$S109),$V109,$U109)))=Milestones!$AB$140),UPPER(TEXT(EDATE($D109,Milestones!$AA$140),"dd mmm yy"))&amp;" "&amp;Milestones!$AB$140&amp;" "&amp;Milestones!$AC$140&amp;";  ","")&amp;IF(AND(EDATE($D109,Milestones!$AA$141)&lt;=AsOfDate,IF($R109=0,$X109,IF(AND($T109&lt;&gt;"",EDATE($D109,Milestones!$AA$141)&gt;=$T109),$W109,IF(AND($S109&lt;&gt;"",EDATE($D109,Milestones!$AA$141)&gt;=$S109),$V109,$U109)))=Milestones!$AB$141),UPPER(TEXT(EDATE($D109,Milestones!$AA$141),"dd mmm yy"))&amp;" "&amp;Milestones!$AB$141&amp;" "&amp;Milestones!$AC$141&amp;";  ","")&amp;IF(AND(EDATE($D109,Milestones!$AA$142)&lt;=AsOfDate,IF($R109=0,$X109,IF(AND($T109&lt;&gt;"",EDATE($D109,Milestones!$AA$142)&gt;=$T109),$W109,IF(AND($S109&lt;&gt;"",EDATE($D109,Milestones!$AA$142)&gt;=$S109),$V109,$U109)))=Milestones!$AB$142),UPPER(TEXT(EDATE($D109,Milestones!$AA$142),"dd mmm yy"))&amp;" "&amp;Milestones!$AB$142&amp;" "&amp;Milestones!$AC$142&amp;";  ","")&amp;IF(AND(EDATE($D109,Milestones!$AA$143)&lt;=AsOfDate,IF($R109=0,$X109,IF(AND($T109&lt;&gt;"",EDATE($D109,Milestones!$AA$143)&gt;=$T109),$W109,IF(AND($S109&lt;&gt;"",EDATE($D109,Milestones!$AA$143)&gt;=$S109),$V109,$U109)))=Milestones!$AB$143),UPPER(TEXT(EDATE($D109,Milestones!$AA$143),"dd mmm yy"))&amp;" "&amp;Milestones!$AB$143&amp;" "&amp;Milestones!$AC$143&amp;";  ","")&amp;IF(AND(EDATE($D109,Milestones!$AA$144)&lt;=AsOfDate,IF($R109=0,$X109,IF(AND($T109&lt;&gt;"",EDATE($D109,Milestones!$AA$144)&gt;=$T109),$W109,IF(AND($S109&lt;&gt;"",EDATE($D109,Milestones!$AA$144)&gt;=$S109),$V109,$U109)))=Milestones!$AB$144),UPPER(TEXT(EDATE($D109,Milestones!$AA$144),"dd mmm yy"))&amp;" "&amp;Milestones!$AB$144&amp;" "&amp;Milestones!$AC$144&amp;";  ","")&amp;IF(AND(EDATE($D109,Milestones!$AA$145)&lt;=AsOfDate,IF($R109=0,$X109,IF(AND($T109&lt;&gt;"",EDATE($D109,Milestones!$AA$145)&gt;=$T109),$W109,IF(AND($S109&lt;&gt;"",EDATE($D109,Milestones!$AA$145)&gt;=$S109),$V109,$U109)))=Milestones!$AB$145),UPPER(TEXT(EDATE($D109,Milestones!$AA$145),"dd mmm yy"))&amp;" "&amp;Milestones!$AB$145&amp;" "&amp;Milestones!$AC$145&amp;";  ","")&amp;IF(AND(EDATE($D109,Milestones!$AA$146)&lt;=AsOfDate,IF($R109=0,$X109,IF(AND($T109&lt;&gt;"",EDATE($D109,Milestones!$AA$146)&gt;=$T109),$W109,IF(AND($S109&lt;&gt;"",EDATE($D109,Milestones!$AA$146)&gt;=$S109),$V109,$U109)))=Milestones!$AB$146),UPPER(TEXT(EDATE($D109,Milestones!$AA$146),"dd mmm yy"))&amp;" "&amp;Milestones!$AB$146&amp;" "&amp;Milestones!$AC$146&amp;";  ","")&amp;IF(AND(EDATE($D109,Milestones!$AA$147)&lt;=AsOfDate,IF($R109=0,$X109,IF(AND($T109&lt;&gt;"",EDATE($D109,Milestones!$AA$147)&gt;=$T109),$W109,IF(AND($S109&lt;&gt;"",EDATE($D109,Milestones!$AA$147)&gt;=$S109),$V109,$U109)))=Milestones!$AB$147),UPPER(TEXT(EDATE($D109,Milestones!$AA$147),"dd mmm yy"))&amp;" "&amp;Milestones!$AB$147&amp;" "&amp;Milestones!$AC$147&amp;";  ","")&amp;IF(AND(EDATE($D109,Milestones!$AA$148)&lt;=AsOfDate,IF($R109=0,$X109,IF(AND($T109&lt;&gt;"",EDATE($D109,Milestones!$AA$148)&gt;=$T109),$W109,IF(AND($S109&lt;&gt;"",EDATE($D109,Milestones!$AA$148)&gt;=$S109),$V109,$U109)))=Milestones!$AB$148),UPPER(TEXT(EDATE($D109,Milestones!$AA$148),"dd mmm yy"))&amp;" "&amp;Milestones!$AB$148&amp;" "&amp;Milestones!$AC$148&amp;";  ","")&amp;IF(AND(EDATE($D109,Milestones!$AA$149)&lt;=AsOfDate,IF($R109=0,$X109,IF(AND($T109&lt;&gt;"",EDATE($D109,Milestones!$AA$149)&gt;=$T109),$W109,IF(AND($S109&lt;&gt;"",EDATE($D109,Milestones!$AA$149)&gt;=$S109),$V109,$U109)))=Milestones!$AB$149),UPPER(TEXT(EDATE($D109,Milestones!$AA$149),"dd mmm yy"))&amp;" "&amp;Milestones!$AB$149&amp;" "&amp;Milestones!$AC$149&amp;";  ","")&amp;IF(AND(EDATE($D109,Milestones!$AA$150)&lt;=AsOfDate,IF($R109=0,$X109,IF(AND($T109&lt;&gt;"",EDATE($D109,Milestones!$AA$150)&gt;=$T109),$W109,IF(AND($S109&lt;&gt;"",EDATE($D109,Milestones!$AA$150)&gt;=$S109),$V109,$U109)))=Milestones!$AB$150),UPPER(TEXT(EDATE($D109,Milestones!$AA$150),"dd mmm yy"))&amp;" "&amp;Milestones!$AB$150&amp;" "&amp;Milestones!$AC$150&amp;";  ","")&amp;IF(AND(EDATE($D109,Milestones!$AA$151)&lt;=AsOfDate,IF($R109=0,$X109,IF(AND($T109&lt;&gt;"",EDATE($D109,Milestones!$AA$151)&gt;=$T109),$W109,IF(AND($S109&lt;&gt;"",EDATE($D109,Milestones!$AA$151)&gt;=$S109),$V109,$U109)))=Milestones!$AB$151),UPPER(TEXT(EDATE($D109,Milestones!$AA$151),"dd mmm yy"))&amp;" "&amp;Milestones!$AB$151&amp;" "&amp;Milestones!$AC$151&amp;";  ","")&amp;IF(AND(EDATE($D109,Milestones!$AA$152)&lt;=AsOfDate,IF($R109=0,$X109,IF(AND($T109&lt;&gt;"",EDATE($D109,Milestones!$AA$152)&gt;=$T109),$W109,IF(AND($S109&lt;&gt;"",EDATE($D109,Milestones!$AA$152)&gt;=$S109),$V109,$U109)))=Milestones!$AB$152),UPPER(TEXT(EDATE($D109,Milestones!$AA$152),"dd mmm yy"))&amp;" "&amp;Milestones!$AB$152&amp;" "&amp;Milestones!$AC$152&amp;";  ","")&amp;IF(AND(EDATE($D109,Milestones!$AA$153)&lt;=AsOfDate,IF($R109=0,$X109,IF(AND($T109&lt;&gt;"",EDATE($D109,Milestones!$AA$153)&gt;=$T109),$W109,IF(AND($S109&lt;&gt;"",EDATE($D109,Milestones!$AA$153)&gt;=$S109),$V109,$U109)))=Milestones!$AB$153),UPPER(TEXT(EDATE($D109,Milestones!$AA$153),"dd mmm yy"))&amp;" "&amp;Milestones!$AB$153&amp;" "&amp;Milestones!$AC$153&amp;";  ","")&amp;IF(AND(EDATE($D109,Milestones!$AA$154)&lt;=AsOfDate,IF($R109=0,$X109,IF(AND($T109&lt;&gt;"",EDATE($D109,Milestones!$AA$154)&gt;=$T109),$W109,IF(AND($S109&lt;&gt;"",EDATE($D109,Milestones!$AA$154)&gt;=$S109),$V109,$U109)))=Milestones!$AB$154),UPPER(TEXT(EDATE($D109,Milestones!$AA$154),"dd mmm yy"))&amp;" "&amp;Milestones!$AB$154&amp;" "&amp;Milestones!$AC$154&amp;";  ","")&amp;IF(AND(EDATE($D109,Milestones!$AA$155)&lt;=AsOfDate,IF($R109=0,$X109,IF(AND($T109&lt;&gt;"",EDATE($D109,Milestones!$AA$155)&gt;=$T109),$W109,IF(AND($S109&lt;&gt;"",EDATE($D109,Milestones!$AA$155)&gt;=$S109),$V109,$U109)))=Milestones!$AB$155),UPPER(TEXT(EDATE($D109,Milestones!$AA$155),"dd mmm yy"))&amp;" "&amp;Milestones!$AB$155&amp;" "&amp;Milestones!$AC$155&amp;";  ","")&amp;IF(AND(EDATE($D109,Milestones!$AA$156)&lt;=AsOfDate,IF($R109=0,$X109,IF(AND($T109&lt;&gt;"",EDATE($D109,Milestones!$AA$156)&gt;=$T109),$W109,IF(AND($S109&lt;&gt;"",EDATE($D109,Milestones!$AA$156)&gt;=$S109),$V109,$U109)))=Milestones!$AB$156),UPPER(TEXT(EDATE($D109,Milestones!$AA$156),"dd mmm yy"))&amp;" "&amp;Milestones!$AB$156&amp;" "&amp;Milestones!$AC$156&amp;";  ","")&amp;IF(AND(EDATE($D109,Milestones!$AA$157)&lt;=AsOfDate,IF($R109=0,$X109,IF(AND($T109&lt;&gt;"",EDATE($D109,Milestones!$AA$157)&gt;=$T109),$W109,IF(AND($S109&lt;&gt;"",EDATE($D109,Milestones!$AA$157)&gt;=$S109),$V109,$U109)))=Milestones!$AB$157),UPPER(TEXT(EDATE($D109,Milestones!$AA$157),"dd mmm yy"))&amp;" "&amp;Milestones!$AB$157&amp;" "&amp;Milestones!$AC$157&amp;";  ","")&amp;IF(AND(EDATE($D109,Milestones!$AA$158)&lt;=AsOfDate,IF($R109=0,$X109,IF(AND($T109&lt;&gt;"",EDATE($D109,Milestones!$AA$158)&gt;=$T109),$W109,IF(AND($S109&lt;&gt;"",EDATE($D109,Milestones!$AA$158)&gt;=$S109),$V109,$U109)))=Milestones!$AB$158),UPPER(TEXT(EDATE($D109,Milestones!$AA$158),"dd mmm yy"))&amp;" "&amp;Milestones!$AB$158&amp;" "&amp;Milestones!$AC$158&amp;";  ","")&amp;IF(AND(EDATE($D109,Milestones!$AA$159)&lt;=AsOfDate,IF($R109=0,$X109,IF(AND($T109&lt;&gt;"",EDATE($D109,Milestones!$AA$159)&gt;=$T109),$W109,IF(AND($S109&lt;&gt;"",EDATE($D109,Milestones!$AA$159)&gt;=$S109),$V109,$U109)))=Milestones!$AB$159),UPPER(TEXT(EDATE($D109,Milestones!$AA$159),"dd mmm yy"))&amp;" "&amp;Milestones!$AB$159&amp;" "&amp;Milestones!$AC$159&amp;";  ",""))</f>
        <v/>
      </c>
      <c r="P109" s="0" t="str">
        <f aca="false">IF(OR($A109="",$D109=""),"",IF(AND(EDATE($D109,Milestones!$AA$160)&lt;=AsOfDate,IF($R109=0,$X109,IF(AND($T109&lt;&gt;"",EDATE($D109,Milestones!$AA$160)&gt;=$T109),$W109,IF(AND($S109&lt;&gt;"",EDATE($D109,Milestones!$AA$160)&gt;=$S109),$V109,$U109)))=Milestones!$AB$160),UPPER(TEXT(EDATE($D109,Milestones!$AA$160),"dd mmm yy"))&amp;" "&amp;Milestones!$AB$160&amp;" "&amp;Milestones!$AC$160&amp;";  ","")&amp;IF(AND(EDATE($D109,Milestones!$AA$161)&lt;=AsOfDate,IF($R109=0,$X109,IF(AND($T109&lt;&gt;"",EDATE($D109,Milestones!$AA$161)&gt;=$T109),$W109,IF(AND($S109&lt;&gt;"",EDATE($D109,Milestones!$AA$161)&gt;=$S109),$V109,$U109)))=Milestones!$AB$161),UPPER(TEXT(EDATE($D109,Milestones!$AA$161),"dd mmm yy"))&amp;" "&amp;Milestones!$AB$161&amp;" "&amp;Milestones!$AC$161&amp;";  ","")&amp;IF(AND(EDATE($D109,Milestones!$AA$162)&lt;=AsOfDate,IF($R109=0,$X109,IF(AND($T109&lt;&gt;"",EDATE($D109,Milestones!$AA$162)&gt;=$T109),$W109,IF(AND($S109&lt;&gt;"",EDATE($D109,Milestones!$AA$162)&gt;=$S109),$V109,$U109)))=Milestones!$AB$162),UPPER(TEXT(EDATE($D109,Milestones!$AA$162),"dd mmm yy"))&amp;" "&amp;Milestones!$AB$162&amp;" "&amp;Milestones!$AC$162&amp;";  ","")&amp;IF(AND(EDATE($D109,Milestones!$AA$163)&lt;=AsOfDate,IF($R109=0,$X109,IF(AND($T109&lt;&gt;"",EDATE($D109,Milestones!$AA$163)&gt;=$T109),$W109,IF(AND($S109&lt;&gt;"",EDATE($D109,Milestones!$AA$163)&gt;=$S109),$V109,$U109)))=Milestones!$AB$163),UPPER(TEXT(EDATE($D109,Milestones!$AA$163),"dd mmm yy"))&amp;" "&amp;Milestones!$AB$163&amp;" "&amp;Milestones!$AC$163&amp;";  ","")&amp;IF(AND(EDATE($D109,Milestones!$AA$164)&lt;=AsOfDate,IF($R109=0,$X109,IF(AND($T109&lt;&gt;"",EDATE($D109,Milestones!$AA$164)&gt;=$T109),$W109,IF(AND($S109&lt;&gt;"",EDATE($D109,Milestones!$AA$164)&gt;=$S109),$V109,$U109)))=Milestones!$AB$164),UPPER(TEXT(EDATE($D109,Milestones!$AA$164),"dd mmm yy"))&amp;" "&amp;Milestones!$AB$164&amp;" "&amp;Milestones!$AC$164&amp;";  ","")&amp;IF(AND(EDATE($D109,Milestones!$AA$165)&lt;=AsOfDate,IF($R109=0,$X109,IF(AND($T109&lt;&gt;"",EDATE($D109,Milestones!$AA$165)&gt;=$T109),$W109,IF(AND($S109&lt;&gt;"",EDATE($D109,Milestones!$AA$165)&gt;=$S109),$V109,$U109)))=Milestones!$AB$165),UPPER(TEXT(EDATE($D109,Milestones!$AA$165),"dd mmm yy"))&amp;" "&amp;Milestones!$AB$165&amp;" "&amp;Milestones!$AC$165&amp;";  ","")&amp;IF(AND(EDATE($D109,Milestones!$AA$166)&lt;=AsOfDate,IF($R109=0,$X109,IF(AND($T109&lt;&gt;"",EDATE($D109,Milestones!$AA$166)&gt;=$T109),$W109,IF(AND($S109&lt;&gt;"",EDATE($D109,Milestones!$AA$166)&gt;=$S109),$V109,$U109)))=Milestones!$AB$166),UPPER(TEXT(EDATE($D109,Milestones!$AA$166),"dd mmm yy"))&amp;" "&amp;Milestones!$AB$166&amp;" "&amp;Milestones!$AC$166&amp;";  ","")&amp;IF(AND(EDATE($D109,Milestones!$AA$167)&lt;=AsOfDate,IF($R109=0,$X109,IF(AND($T109&lt;&gt;"",EDATE($D109,Milestones!$AA$167)&gt;=$T109),$W109,IF(AND($S109&lt;&gt;"",EDATE($D109,Milestones!$AA$167)&gt;=$S109),$V109,$U109)))=Milestones!$AB$167),UPPER(TEXT(EDATE($D109,Milestones!$AA$167),"dd mmm yy"))&amp;" "&amp;Milestones!$AB$167&amp;" "&amp;Milestones!$AC$167&amp;";  ","")&amp;IF(AND(EDATE($D109,Milestones!$AA$168)&lt;=AsOfDate,IF($R109=0,$X109,IF(AND($T109&lt;&gt;"",EDATE($D109,Milestones!$AA$168)&gt;=$T109),$W109,IF(AND($S109&lt;&gt;"",EDATE($D109,Milestones!$AA$168)&gt;=$S109),$V109,$U109)))=Milestones!$AB$168),UPPER(TEXT(EDATE($D109,Milestones!$AA$168),"dd mmm yy"))&amp;" "&amp;Milestones!$AB$168&amp;" "&amp;Milestones!$AC$168&amp;";  ","")&amp;IF(AND(EDATE($D109,Milestones!$AA$169)&lt;=AsOfDate,IF($R109=0,$X109,IF(AND($T109&lt;&gt;"",EDATE($D109,Milestones!$AA$169)&gt;=$T109),$W109,IF(AND($S109&lt;&gt;"",EDATE($D109,Milestones!$AA$169)&gt;=$S109),$V109,$U109)))=Milestones!$AB$169),UPPER(TEXT(EDATE($D109,Milestones!$AA$169),"dd mmm yy"))&amp;" "&amp;Milestones!$AB$169&amp;" "&amp;Milestones!$AC$169&amp;";  ","")&amp;IF(AND(EDATE($D109,Milestones!$AA$170)&lt;=AsOfDate,IF($R109=0,$X109,IF(AND($T109&lt;&gt;"",EDATE($D109,Milestones!$AA$170)&gt;=$T109),$W109,IF(AND($S109&lt;&gt;"",EDATE($D109,Milestones!$AA$170)&gt;=$S109),$V109,$U109)))=Milestones!$AB$170),UPPER(TEXT(EDATE($D109,Milestones!$AA$170),"dd mmm yy"))&amp;" "&amp;Milestones!$AB$170&amp;" "&amp;Milestones!$AC$170&amp;";  ","")&amp;IF(AND(EDATE($D109,Milestones!$AA$171)&lt;=AsOfDate,IF($R109=0,$X109,IF(AND($T109&lt;&gt;"",EDATE($D109,Milestones!$AA$171)&gt;=$T109),$W109,IF(AND($S109&lt;&gt;"",EDATE($D109,Milestones!$AA$171)&gt;=$S109),$V109,$U109)))=Milestones!$AB$171),UPPER(TEXT(EDATE($D109,Milestones!$AA$171),"dd mmm yy"))&amp;" "&amp;Milestones!$AB$171&amp;" "&amp;Milestones!$AC$171&amp;";  ","")&amp;IF(AND(EDATE($D109,Milestones!$AA$172)&lt;=AsOfDate,IF($R109=0,$X109,IF(AND($T109&lt;&gt;"",EDATE($D109,Milestones!$AA$172)&gt;=$T109),$W109,IF(AND($S109&lt;&gt;"",EDATE($D109,Milestones!$AA$172)&gt;=$S109),$V109,$U109)))=Milestones!$AB$172),UPPER(TEXT(EDATE($D109,Milestones!$AA$172),"dd mmm yy"))&amp;" "&amp;Milestones!$AB$172&amp;" "&amp;Milestones!$AC$172&amp;";  ","")&amp;IF(AND(EDATE($D109,Milestones!$AA$173)&lt;=AsOfDate,IF($R109=0,$X109,IF(AND($T109&lt;&gt;"",EDATE($D109,Milestones!$AA$173)&gt;=$T109),$W109,IF(AND($S109&lt;&gt;"",EDATE($D109,Milestones!$AA$173)&gt;=$S109),$V109,$U109)))=Milestones!$AB$173),UPPER(TEXT(EDATE($D109,Milestones!$AA$173),"dd mmm yy"))&amp;" "&amp;Milestones!$AB$173&amp;" "&amp;Milestones!$AC$173&amp;";  ","")&amp;IF(AND(EDATE($D109,Milestones!$AA$174)&lt;=AsOfDate,IF($R109=0,$X109,IF(AND($T109&lt;&gt;"",EDATE($D109,Milestones!$AA$174)&gt;=$T109),$W109,IF(AND($S109&lt;&gt;"",EDATE($D109,Milestones!$AA$174)&gt;=$S109),$V109,$U109)))=Milestones!$AB$174),UPPER(TEXT(EDATE($D109,Milestones!$AA$174),"dd mmm yy"))&amp;" "&amp;Milestones!$AB$174&amp;" "&amp;Milestones!$AC$174&amp;";  ","")&amp;IF(AND(EDATE($D109,Milestones!$AA$175)&lt;=AsOfDate,IF($R109=0,$X109,IF(AND($T109&lt;&gt;"",EDATE($D109,Milestones!$AA$175)&gt;=$T109),$W109,IF(AND($S109&lt;&gt;"",EDATE($D109,Milestones!$AA$175)&gt;=$S109),$V109,$U109)))=Milestones!$AB$175),UPPER(TEXT(EDATE($D109,Milestones!$AA$175),"dd mmm yy"))&amp;" "&amp;Milestones!$AB$175&amp;" "&amp;Milestones!$AC$175&amp;";  ","")&amp;IF(AND(EDATE($D109,Milestones!$AA$176)&lt;=AsOfDate,IF($R109=0,$X109,IF(AND($T109&lt;&gt;"",EDATE($D109,Milestones!$AA$176)&gt;=$T109),$W109,IF(AND($S109&lt;&gt;"",EDATE($D109,Milestones!$AA$176)&gt;=$S109),$V109,$U109)))=Milestones!$AB$176),UPPER(TEXT(EDATE($D109,Milestones!$AA$176),"dd mmm yy"))&amp;" "&amp;Milestones!$AB$176&amp;" "&amp;Milestones!$AC$176&amp;";  ","")&amp;IF(AND(EDATE($D109,Milestones!$AA$177)&lt;=AsOfDate,IF($R109=0,$X109,IF(AND($T109&lt;&gt;"",EDATE($D109,Milestones!$AA$177)&gt;=$T109),$W109,IF(AND($S109&lt;&gt;"",EDATE($D109,Milestones!$AA$177)&gt;=$S109),$V109,$U109)))=Milestones!$AB$177),UPPER(TEXT(EDATE($D109,Milestones!$AA$177),"dd mmm yy"))&amp;" "&amp;Milestones!$AB$177&amp;" "&amp;Milestones!$AC$177&amp;";  ","")&amp;IF(AND(EDATE($D109,Milestones!$AA$178)&lt;=AsOfDate,IF($R109=0,$X109,IF(AND($T109&lt;&gt;"",EDATE($D109,Milestones!$AA$178)&gt;=$T109),$W109,IF(AND($S109&lt;&gt;"",EDATE($D109,Milestones!$AA$178)&gt;=$S109),$V109,$U109)))=Milestones!$AB$178),UPPER(TEXT(EDATE($D109,Milestones!$AA$178),"dd mmm yy"))&amp;" "&amp;Milestones!$AB$178&amp;" "&amp;Milestones!$AC$178&amp;";  ","")&amp;IF(AND(EDATE($D109,Milestones!$AA$179)&lt;=AsOfDate,IF($R109=0,$X109,IF(AND($T109&lt;&gt;"",EDATE($D109,Milestones!$AA$179)&gt;=$T109),$W109,IF(AND($S109&lt;&gt;"",EDATE($D109,Milestones!$AA$179)&gt;=$S109),$V109,$U109)))=Milestones!$AB$179),UPPER(TEXT(EDATE($D109,Milestones!$AA$179),"dd mmm yy"))&amp;" "&amp;Milestones!$AB$179&amp;" "&amp;Milestones!$AC$179&amp;";  ",""))</f>
        <v/>
      </c>
      <c r="Q109" s="0" t="str">
        <f aca="false">IF(OR($A109="",$D109=""),"",IF(AND(EDATE($D109,Milestones!$AA$180)&lt;=AsOfDate,IF($R109=0,$X109,IF(AND($T109&lt;&gt;"",EDATE($D109,Milestones!$AA$180)&gt;=$T109),$W109,IF(AND($S109&lt;&gt;"",EDATE($D109,Milestones!$AA$180)&gt;=$S109),$V109,$U109)))=Milestones!$AB$180),UPPER(TEXT(EDATE($D109,Milestones!$AA$180),"dd mmm yy"))&amp;" "&amp;Milestones!$AB$180&amp;" "&amp;Milestones!$AC$180&amp;";  ","")&amp;IF(AND(EDATE($D109,Milestones!$AA$181)&lt;=AsOfDate,IF($R109=0,$X109,IF(AND($T109&lt;&gt;"",EDATE($D109,Milestones!$AA$181)&gt;=$T109),$W109,IF(AND($S109&lt;&gt;"",EDATE($D109,Milestones!$AA$181)&gt;=$S109),$V109,$U109)))=Milestones!$AB$181),UPPER(TEXT(EDATE($D109,Milestones!$AA$181),"dd mmm yy"))&amp;" "&amp;Milestones!$AB$181&amp;" "&amp;Milestones!$AC$181&amp;";  ","")&amp;IF(AND(EDATE($D109,Milestones!$AA$182)&lt;=AsOfDate,IF($R109=0,$X109,IF(AND($T109&lt;&gt;"",EDATE($D109,Milestones!$AA$182)&gt;=$T109),$W109,IF(AND($S109&lt;&gt;"",EDATE($D109,Milestones!$AA$182)&gt;=$S109),$V109,$U109)))=Milestones!$AB$182),UPPER(TEXT(EDATE($D109,Milestones!$AA$182),"dd mmm yy"))&amp;" "&amp;Milestones!$AB$182&amp;" "&amp;Milestones!$AC$182&amp;";  ","")&amp;IF(AND(EDATE($D109,Milestones!$AA$183)&lt;=AsOfDate,IF($R109=0,$X109,IF(AND($T109&lt;&gt;"",EDATE($D109,Milestones!$AA$183)&gt;=$T109),$W109,IF(AND($S109&lt;&gt;"",EDATE($D109,Milestones!$AA$183)&gt;=$S109),$V109,$U109)))=Milestones!$AB$183),UPPER(TEXT(EDATE($D109,Milestones!$AA$183),"dd mmm yy"))&amp;" "&amp;Milestones!$AB$183&amp;" "&amp;Milestones!$AC$183&amp;";  ","")&amp;IF(AND(EDATE($D109,Milestones!$AA$184)&lt;=AsOfDate,IF($R109=0,$X109,IF(AND($T109&lt;&gt;"",EDATE($D109,Milestones!$AA$184)&gt;=$T109),$W109,IF(AND($S109&lt;&gt;"",EDATE($D109,Milestones!$AA$184)&gt;=$S109),$V109,$U109)))=Milestones!$AB$184),UPPER(TEXT(EDATE($D109,Milestones!$AA$184),"dd mmm yy"))&amp;" "&amp;Milestones!$AB$184&amp;" "&amp;Milestones!$AC$184&amp;";  ","")&amp;IF(AND(EDATE($D109,Milestones!$AA$185)&lt;=AsOfDate,IF($R109=0,$X109,IF(AND($T109&lt;&gt;"",EDATE($D109,Milestones!$AA$185)&gt;=$T109),$W109,IF(AND($S109&lt;&gt;"",EDATE($D109,Milestones!$AA$185)&gt;=$S109),$V109,$U109)))=Milestones!$AB$185),UPPER(TEXT(EDATE($D109,Milestones!$AA$185),"dd mmm yy"))&amp;" "&amp;Milestones!$AB$185&amp;" "&amp;Milestones!$AC$185&amp;";  ","")&amp;IF(AND(EDATE($D109,Milestones!$AA$186)&lt;=AsOfDate,IF($R109=0,$X109,IF(AND($T109&lt;&gt;"",EDATE($D109,Milestones!$AA$186)&gt;=$T109),$W109,IF(AND($S109&lt;&gt;"",EDATE($D109,Milestones!$AA$186)&gt;=$S109),$V109,$U109)))=Milestones!$AB$186),UPPER(TEXT(EDATE($D109,Milestones!$AA$186),"dd mmm yy"))&amp;" "&amp;Milestones!$AB$186&amp;" "&amp;Milestones!$AC$186&amp;";  ","")&amp;IF(AND(EDATE($D109,Milestones!$AA$187)&lt;=AsOfDate,IF($R109=0,$X109,IF(AND($T109&lt;&gt;"",EDATE($D109,Milestones!$AA$187)&gt;=$T109),$W109,IF(AND($S109&lt;&gt;"",EDATE($D109,Milestones!$AA$187)&gt;=$S109),$V109,$U109)))=Milestones!$AB$187),UPPER(TEXT(EDATE($D109,Milestones!$AA$187),"dd mmm yy"))&amp;" "&amp;Milestones!$AB$187&amp;" "&amp;Milestones!$AC$187&amp;";  ","")&amp;IF(AND(EDATE($D109,Milestones!$AA$188)&lt;=AsOfDate,IF($R109=0,$X109,IF(AND($T109&lt;&gt;"",EDATE($D109,Milestones!$AA$188)&gt;=$T109),$W109,IF(AND($S109&lt;&gt;"",EDATE($D109,Milestones!$AA$188)&gt;=$S109),$V109,$U109)))=Milestones!$AB$188),UPPER(TEXT(EDATE($D109,Milestones!$AA$188),"dd mmm yy"))&amp;" "&amp;Milestones!$AB$188&amp;" "&amp;Milestones!$AC$188&amp;";  ","")&amp;IF(AND(EDATE($D109,Milestones!$AA$189)&lt;=AsOfDate,IF($R109=0,$X109,IF(AND($T109&lt;&gt;"",EDATE($D109,Milestones!$AA$189)&gt;=$T109),$W109,IF(AND($S109&lt;&gt;"",EDATE($D109,Milestones!$AA$189)&gt;=$S109),$V109,$U109)))=Milestones!$AB$189),UPPER(TEXT(EDATE($D109,Milestones!$AA$189),"dd mmm yy"))&amp;" "&amp;Milestones!$AB$189&amp;" "&amp;Milestones!$AC$189&amp;";  ","")&amp;IF(AND(EDATE($D109,Milestones!$AA$190)&lt;=AsOfDate,IF($R109=0,$X109,IF(AND($T109&lt;&gt;"",EDATE($D109,Milestones!$AA$190)&gt;=$T109),$W109,IF(AND($S109&lt;&gt;"",EDATE($D109,Milestones!$AA$190)&gt;=$S109),$V109,$U109)))=Milestones!$AB$190),UPPER(TEXT(EDATE($D109,Milestones!$AA$190),"dd mmm yy"))&amp;" "&amp;Milestones!$AB$190&amp;" "&amp;Milestones!$AC$190&amp;";  ","")&amp;IF(AND(EDATE($D109,Milestones!$AA$191)&lt;=AsOfDate,IF($R109=0,$X109,IF(AND($T109&lt;&gt;"",EDATE($D109,Milestones!$AA$191)&gt;=$T109),$W109,IF(AND($S109&lt;&gt;"",EDATE($D109,Milestones!$AA$191)&gt;=$S109),$V109,$U109)))=Milestones!$AB$191),UPPER(TEXT(EDATE($D109,Milestones!$AA$191),"dd mmm yy"))&amp;" "&amp;Milestones!$AB$191&amp;" "&amp;Milestones!$AC$191&amp;";  ","")&amp;IF(AND(EDATE($D109,Milestones!$AA$192)&lt;=AsOfDate,IF($R109=0,$X109,IF(AND($T109&lt;&gt;"",EDATE($D109,Milestones!$AA$192)&gt;=$T109),$W109,IF(AND($S109&lt;&gt;"",EDATE($D109,Milestones!$AA$192)&gt;=$S109),$V109,$U109)))=Milestones!$AB$192),UPPER(TEXT(EDATE($D109,Milestones!$AA$192),"dd mmm yy"))&amp;" "&amp;Milestones!$AB$192&amp;" "&amp;Milestones!$AC$192&amp;";  ","")&amp;IF(AND(EDATE($D109,Milestones!$AA$193)&lt;=AsOfDate,IF($R109=0,$X109,IF(AND($T109&lt;&gt;"",EDATE($D109,Milestones!$AA$193)&gt;=$T109),$W109,IF(AND($S109&lt;&gt;"",EDATE($D109,Milestones!$AA$193)&gt;=$S109),$V109,$U109)))=Milestones!$AB$193),UPPER(TEXT(EDATE($D109,Milestones!$AA$193),"dd mmm yy"))&amp;" "&amp;Milestones!$AB$193&amp;" "&amp;Milestones!$AC$193&amp;";  ","")&amp;IF(AND(EDATE($D109,Milestones!$AA$194)&lt;=AsOfDate,IF($R109=0,$X109,IF(AND($T109&lt;&gt;"",EDATE($D109,Milestones!$AA$194)&gt;=$T109),$W109,IF(AND($S109&lt;&gt;"",EDATE($D109,Milestones!$AA$194)&gt;=$S109),$V109,$U109)))=Milestones!$AB$194),UPPER(TEXT(EDATE($D109,Milestones!$AA$194),"dd mmm yy"))&amp;" "&amp;Milestones!$AB$194&amp;" "&amp;Milestones!$AC$194&amp;";  ","")&amp;IF(AND(EDATE($D109,Milestones!$AA$195)&lt;=AsOfDate,IF($R109=0,$X109,IF(AND($T109&lt;&gt;"",EDATE($D109,Milestones!$AA$195)&gt;=$T109),$W109,IF(AND($S109&lt;&gt;"",EDATE($D109,Milestones!$AA$195)&gt;=$S109),$V109,$U109)))=Milestones!$AB$195),UPPER(TEXT(EDATE($D109,Milestones!$AA$195),"dd mmm yy"))&amp;" "&amp;Milestones!$AB$195&amp;" "&amp;Milestones!$AC$195&amp;";  ","")&amp;IF(AND(EDATE($D109,Milestones!$AA$196)&lt;=AsOfDate,IF($R109=0,$X109,IF(AND($T109&lt;&gt;"",EDATE($D109,Milestones!$AA$196)&gt;=$T109),$W109,IF(AND($S109&lt;&gt;"",EDATE($D109,Milestones!$AA$196)&gt;=$S109),$V109,$U109)))=Milestones!$AB$196),UPPER(TEXT(EDATE($D109,Milestones!$AA$196),"dd mmm yy"))&amp;" "&amp;Milestones!$AB$196&amp;" "&amp;Milestones!$AC$196&amp;";  ","")&amp;IF(AND(EDATE($D109,Milestones!$AA$197)&lt;=AsOfDate,IF($R109=0,$X109,IF(AND($T109&lt;&gt;"",EDATE($D109,Milestones!$AA$197)&gt;=$T109),$W109,IF(AND($S109&lt;&gt;"",EDATE($D109,Milestones!$AA$197)&gt;=$S109),$V109,$U109)))=Milestones!$AB$197),UPPER(TEXT(EDATE($D109,Milestones!$AA$197),"dd mmm yy"))&amp;" "&amp;Milestones!$AB$197&amp;" "&amp;Milestones!$AC$197&amp;";  ","")&amp;IF(AND(EDATE($D109,Milestones!$AA$198)&lt;=AsOfDate,IF($R109=0,$X109,IF(AND($T109&lt;&gt;"",EDATE($D109,Milestones!$AA$198)&gt;=$T109),$W109,IF(AND($S109&lt;&gt;"",EDATE($D109,Milestones!$AA$198)&gt;=$S109),$V109,$U109)))=Milestones!$AB$198),UPPER(TEXT(EDATE($D109,Milestones!$AA$198),"dd mmm yy"))&amp;" "&amp;Milestones!$AB$198&amp;" "&amp;Milestones!$AC$198&amp;";  ","")&amp;IF(AND(EDATE($D109,Milestones!$AA$199)&lt;=AsOfDate,IF($R109=0,$X109,IF(AND($T109&lt;&gt;"",EDATE($D109,Milestones!$AA$199)&gt;=$T109),$W109,IF(AND($S109&lt;&gt;"",EDATE($D109,Milestones!$AA$199)&gt;=$S109),$V109,$U109)))=Milestones!$AB$199),UPPER(TEXT(EDATE($D109,Milestones!$AA$199),"dd mmm yy"))&amp;" "&amp;Milestones!$AB$199&amp;" "&amp;Milestones!$AC$199&amp;";  ",""))</f>
        <v/>
      </c>
      <c r="R109" s="0" t="str">
        <f aca="false">IF(Staff!$A109="","",Staff!$AI109)</f>
        <v/>
      </c>
      <c r="S109" s="0" t="str">
        <f aca="false">IF(Staff!$A109="","",Staff!$AK109)</f>
        <v/>
      </c>
      <c r="T109" s="0" t="str">
        <f aca="false">IF(Staff!$A109="","",Staff!$AL109)</f>
        <v/>
      </c>
      <c r="U109" s="0" t="str">
        <f aca="false">IF(Staff!$A109="","",Staff!$AP109)</f>
        <v/>
      </c>
      <c r="V109" s="0" t="str">
        <f aca="false">IF(Staff!$A109="","",Staff!$AQ109)</f>
        <v/>
      </c>
      <c r="W109" s="0" t="str">
        <f aca="false">IF(Staff!$A109="","",Staff!$AR109)</f>
        <v/>
      </c>
      <c r="X109" s="0" t="str">
        <f aca="false">IF(Staff!$A109="","",Staff!$AS109)</f>
        <v/>
      </c>
    </row>
    <row r="110" customFormat="false" ht="15" hidden="false" customHeight="false" outlineLevel="0" collapsed="false">
      <c r="A110" s="14" t="str">
        <f aca="false">IF(Staff!$A110="","",Staff!$A110)</f>
        <v/>
      </c>
      <c r="B110" s="14" t="str">
        <f aca="false">IF(Staff!$A110="","",Staff!$B110)</f>
        <v/>
      </c>
      <c r="C110" s="14" t="str">
        <f aca="false">IF(Staff!$A110="","",Staff!$C110)</f>
        <v/>
      </c>
      <c r="D110" s="12" t="str">
        <f aca="false">IF(Staff!$A110="","",Staff!$AH110)</f>
        <v/>
      </c>
      <c r="E110" s="14" t="str">
        <f aca="false">IF(Staff!$A110="","",Staff!$O110)</f>
        <v/>
      </c>
      <c r="F110" s="14" t="str">
        <f aca="false">IF(E110="","",E110*HoursPerDay)</f>
        <v/>
      </c>
      <c r="G110" s="14" t="str">
        <f aca="false">IF(Staff!$A110="","",Staff!$AE110)</f>
        <v/>
      </c>
      <c r="H110" s="26" t="str">
        <f aca="false">IF($A110="","",I110&amp;J110&amp;K110&amp;L110&amp;M110&amp;N110&amp;O110&amp;P110&amp;Q110)</f>
        <v/>
      </c>
      <c r="I110" s="0" t="str">
        <f aca="false">IF(OR($A110="",$D110=""),"",IF(AND(EDATE($D110,Milestones!$AA$20)&lt;=AsOfDate,IF($R110=0,$X110,IF(AND($T110&lt;&gt;"",EDATE($D110,Milestones!$AA$20)&gt;=$T110),$W110,IF(AND($S110&lt;&gt;"",EDATE($D110,Milestones!$AA$20)&gt;=$S110),$V110,$U110)))=Milestones!$AB$20),UPPER(TEXT(EDATE($D110,Milestones!$AA$20),"dd mmm yy"))&amp;" "&amp;Milestones!$AB$20&amp;" "&amp;Milestones!$AC$20&amp;";  ","")&amp;IF(AND(EDATE($D110,Milestones!$AA$21)&lt;=AsOfDate,IF($R110=0,$X110,IF(AND($T110&lt;&gt;"",EDATE($D110,Milestones!$AA$21)&gt;=$T110),$W110,IF(AND($S110&lt;&gt;"",EDATE($D110,Milestones!$AA$21)&gt;=$S110),$V110,$U110)))=Milestones!$AB$21),UPPER(TEXT(EDATE($D110,Milestones!$AA$21),"dd mmm yy"))&amp;" "&amp;Milestones!$AB$21&amp;" "&amp;Milestones!$AC$21&amp;";  ","")&amp;IF(AND(EDATE($D110,Milestones!$AA$22)&lt;=AsOfDate,IF($R110=0,$X110,IF(AND($T110&lt;&gt;"",EDATE($D110,Milestones!$AA$22)&gt;=$T110),$W110,IF(AND($S110&lt;&gt;"",EDATE($D110,Milestones!$AA$22)&gt;=$S110),$V110,$U110)))=Milestones!$AB$22),UPPER(TEXT(EDATE($D110,Milestones!$AA$22),"dd mmm yy"))&amp;" "&amp;Milestones!$AB$22&amp;" "&amp;Milestones!$AC$22&amp;";  ","")&amp;IF(AND(EDATE($D110,Milestones!$AA$23)&lt;=AsOfDate,IF($R110=0,$X110,IF(AND($T110&lt;&gt;"",EDATE($D110,Milestones!$AA$23)&gt;=$T110),$W110,IF(AND($S110&lt;&gt;"",EDATE($D110,Milestones!$AA$23)&gt;=$S110),$V110,$U110)))=Milestones!$AB$23),UPPER(TEXT(EDATE($D110,Milestones!$AA$23),"dd mmm yy"))&amp;" "&amp;Milestones!$AB$23&amp;" "&amp;Milestones!$AC$23&amp;";  ","")&amp;IF(AND(EDATE($D110,Milestones!$AA$24)&lt;=AsOfDate,IF($R110=0,$X110,IF(AND($T110&lt;&gt;"",EDATE($D110,Milestones!$AA$24)&gt;=$T110),$W110,IF(AND($S110&lt;&gt;"",EDATE($D110,Milestones!$AA$24)&gt;=$S110),$V110,$U110)))=Milestones!$AB$24),UPPER(TEXT(EDATE($D110,Milestones!$AA$24),"dd mmm yy"))&amp;" "&amp;Milestones!$AB$24&amp;" "&amp;Milestones!$AC$24&amp;";  ","")&amp;IF(AND(EDATE($D110,Milestones!$AA$25)&lt;=AsOfDate,IF($R110=0,$X110,IF(AND($T110&lt;&gt;"",EDATE($D110,Milestones!$AA$25)&gt;=$T110),$W110,IF(AND($S110&lt;&gt;"",EDATE($D110,Milestones!$AA$25)&gt;=$S110),$V110,$U110)))=Milestones!$AB$25),UPPER(TEXT(EDATE($D110,Milestones!$AA$25),"dd mmm yy"))&amp;" "&amp;Milestones!$AB$25&amp;" "&amp;Milestones!$AC$25&amp;";  ","")&amp;IF(AND(EDATE($D110,Milestones!$AA$26)&lt;=AsOfDate,IF($R110=0,$X110,IF(AND($T110&lt;&gt;"",EDATE($D110,Milestones!$AA$26)&gt;=$T110),$W110,IF(AND($S110&lt;&gt;"",EDATE($D110,Milestones!$AA$26)&gt;=$S110),$V110,$U110)))=Milestones!$AB$26),UPPER(TEXT(EDATE($D110,Milestones!$AA$26),"dd mmm yy"))&amp;" "&amp;Milestones!$AB$26&amp;" "&amp;Milestones!$AC$26&amp;";  ","")&amp;IF(AND(EDATE($D110,Milestones!$AA$27)&lt;=AsOfDate,IF($R110=0,$X110,IF(AND($T110&lt;&gt;"",EDATE($D110,Milestones!$AA$27)&gt;=$T110),$W110,IF(AND($S110&lt;&gt;"",EDATE($D110,Milestones!$AA$27)&gt;=$S110),$V110,$U110)))=Milestones!$AB$27),UPPER(TEXT(EDATE($D110,Milestones!$AA$27),"dd mmm yy"))&amp;" "&amp;Milestones!$AB$27&amp;" "&amp;Milestones!$AC$27&amp;";  ","")&amp;IF(AND(EDATE($D110,Milestones!$AA$28)&lt;=AsOfDate,IF($R110=0,$X110,IF(AND($T110&lt;&gt;"",EDATE($D110,Milestones!$AA$28)&gt;=$T110),$W110,IF(AND($S110&lt;&gt;"",EDATE($D110,Milestones!$AA$28)&gt;=$S110),$V110,$U110)))=Milestones!$AB$28),UPPER(TEXT(EDATE($D110,Milestones!$AA$28),"dd mmm yy"))&amp;" "&amp;Milestones!$AB$28&amp;" "&amp;Milestones!$AC$28&amp;";  ","")&amp;IF(AND(EDATE($D110,Milestones!$AA$29)&lt;=AsOfDate,IF($R110=0,$X110,IF(AND($T110&lt;&gt;"",EDATE($D110,Milestones!$AA$29)&gt;=$T110),$W110,IF(AND($S110&lt;&gt;"",EDATE($D110,Milestones!$AA$29)&gt;=$S110),$V110,$U110)))=Milestones!$AB$29),UPPER(TEXT(EDATE($D110,Milestones!$AA$29),"dd mmm yy"))&amp;" "&amp;Milestones!$AB$29&amp;" "&amp;Milestones!$AC$29&amp;";  ","")&amp;IF(AND(EDATE($D110,Milestones!$AA$30)&lt;=AsOfDate,IF($R110=0,$X110,IF(AND($T110&lt;&gt;"",EDATE($D110,Milestones!$AA$30)&gt;=$T110),$W110,IF(AND($S110&lt;&gt;"",EDATE($D110,Milestones!$AA$30)&gt;=$S110),$V110,$U110)))=Milestones!$AB$30),UPPER(TEXT(EDATE($D110,Milestones!$AA$30),"dd mmm yy"))&amp;" "&amp;Milestones!$AB$30&amp;" "&amp;Milestones!$AC$30&amp;";  ","")&amp;IF(AND(EDATE($D110,Milestones!$AA$31)&lt;=AsOfDate,IF($R110=0,$X110,IF(AND($T110&lt;&gt;"",EDATE($D110,Milestones!$AA$31)&gt;=$T110),$W110,IF(AND($S110&lt;&gt;"",EDATE($D110,Milestones!$AA$31)&gt;=$S110),$V110,$U110)))=Milestones!$AB$31),UPPER(TEXT(EDATE($D110,Milestones!$AA$31),"dd mmm yy"))&amp;" "&amp;Milestones!$AB$31&amp;" "&amp;Milestones!$AC$31&amp;";  ","")&amp;IF(AND(EDATE($D110,Milestones!$AA$32)&lt;=AsOfDate,IF($R110=0,$X110,IF(AND($T110&lt;&gt;"",EDATE($D110,Milestones!$AA$32)&gt;=$T110),$W110,IF(AND($S110&lt;&gt;"",EDATE($D110,Milestones!$AA$32)&gt;=$S110),$V110,$U110)))=Milestones!$AB$32),UPPER(TEXT(EDATE($D110,Milestones!$AA$32),"dd mmm yy"))&amp;" "&amp;Milestones!$AB$32&amp;" "&amp;Milestones!$AC$32&amp;";  ","")&amp;IF(AND(EDATE($D110,Milestones!$AA$33)&lt;=AsOfDate,IF($R110=0,$X110,IF(AND($T110&lt;&gt;"",EDATE($D110,Milestones!$AA$33)&gt;=$T110),$W110,IF(AND($S110&lt;&gt;"",EDATE($D110,Milestones!$AA$33)&gt;=$S110),$V110,$U110)))=Milestones!$AB$33),UPPER(TEXT(EDATE($D110,Milestones!$AA$33),"dd mmm yy"))&amp;" "&amp;Milestones!$AB$33&amp;" "&amp;Milestones!$AC$33&amp;";  ","")&amp;IF(AND(EDATE($D110,Milestones!$AA$34)&lt;=AsOfDate,IF($R110=0,$X110,IF(AND($T110&lt;&gt;"",EDATE($D110,Milestones!$AA$34)&gt;=$T110),$W110,IF(AND($S110&lt;&gt;"",EDATE($D110,Milestones!$AA$34)&gt;=$S110),$V110,$U110)))=Milestones!$AB$34),UPPER(TEXT(EDATE($D110,Milestones!$AA$34),"dd mmm yy"))&amp;" "&amp;Milestones!$AB$34&amp;" "&amp;Milestones!$AC$34&amp;";  ","")&amp;IF(AND(EDATE($D110,Milestones!$AA$35)&lt;=AsOfDate,IF($R110=0,$X110,IF(AND($T110&lt;&gt;"",EDATE($D110,Milestones!$AA$35)&gt;=$T110),$W110,IF(AND($S110&lt;&gt;"",EDATE($D110,Milestones!$AA$35)&gt;=$S110),$V110,$U110)))=Milestones!$AB$35),UPPER(TEXT(EDATE($D110,Milestones!$AA$35),"dd mmm yy"))&amp;" "&amp;Milestones!$AB$35&amp;" "&amp;Milestones!$AC$35&amp;";  ","")&amp;IF(AND(EDATE($D110,Milestones!$AA$36)&lt;=AsOfDate,IF($R110=0,$X110,IF(AND($T110&lt;&gt;"",EDATE($D110,Milestones!$AA$36)&gt;=$T110),$W110,IF(AND($S110&lt;&gt;"",EDATE($D110,Milestones!$AA$36)&gt;=$S110),$V110,$U110)))=Milestones!$AB$36),UPPER(TEXT(EDATE($D110,Milestones!$AA$36),"dd mmm yy"))&amp;" "&amp;Milestones!$AB$36&amp;" "&amp;Milestones!$AC$36&amp;";  ","")&amp;IF(AND(EDATE($D110,Milestones!$AA$37)&lt;=AsOfDate,IF($R110=0,$X110,IF(AND($T110&lt;&gt;"",EDATE($D110,Milestones!$AA$37)&gt;=$T110),$W110,IF(AND($S110&lt;&gt;"",EDATE($D110,Milestones!$AA$37)&gt;=$S110),$V110,$U110)))=Milestones!$AB$37),UPPER(TEXT(EDATE($D110,Milestones!$AA$37),"dd mmm yy"))&amp;" "&amp;Milestones!$AB$37&amp;" "&amp;Milestones!$AC$37&amp;";  ","")&amp;IF(AND(EDATE($D110,Milestones!$AA$38)&lt;=AsOfDate,IF($R110=0,$X110,IF(AND($T110&lt;&gt;"",EDATE($D110,Milestones!$AA$38)&gt;=$T110),$W110,IF(AND($S110&lt;&gt;"",EDATE($D110,Milestones!$AA$38)&gt;=$S110),$V110,$U110)))=Milestones!$AB$38),UPPER(TEXT(EDATE($D110,Milestones!$AA$38),"dd mmm yy"))&amp;" "&amp;Milestones!$AB$38&amp;" "&amp;Milestones!$AC$38&amp;";  ","")&amp;IF(AND(EDATE($D110,Milestones!$AA$39)&lt;=AsOfDate,IF($R110=0,$X110,IF(AND($T110&lt;&gt;"",EDATE($D110,Milestones!$AA$39)&gt;=$T110),$W110,IF(AND($S110&lt;&gt;"",EDATE($D110,Milestones!$AA$39)&gt;=$S110),$V110,$U110)))=Milestones!$AB$39),UPPER(TEXT(EDATE($D110,Milestones!$AA$39),"dd mmm yy"))&amp;" "&amp;Milestones!$AB$39&amp;" "&amp;Milestones!$AC$39&amp;";  ",""))</f>
        <v/>
      </c>
      <c r="J110" s="0" t="str">
        <f aca="false">IF(OR($A110="",$D110=""),"",IF(AND(EDATE($D110,Milestones!$AA$40)&lt;=AsOfDate,IF($R110=0,$X110,IF(AND($T110&lt;&gt;"",EDATE($D110,Milestones!$AA$40)&gt;=$T110),$W110,IF(AND($S110&lt;&gt;"",EDATE($D110,Milestones!$AA$40)&gt;=$S110),$V110,$U110)))=Milestones!$AB$40),UPPER(TEXT(EDATE($D110,Milestones!$AA$40),"dd mmm yy"))&amp;" "&amp;Milestones!$AB$40&amp;" "&amp;Milestones!$AC$40&amp;";  ","")&amp;IF(AND(EDATE($D110,Milestones!$AA$41)&lt;=AsOfDate,IF($R110=0,$X110,IF(AND($T110&lt;&gt;"",EDATE($D110,Milestones!$AA$41)&gt;=$T110),$W110,IF(AND($S110&lt;&gt;"",EDATE($D110,Milestones!$AA$41)&gt;=$S110),$V110,$U110)))=Milestones!$AB$41),UPPER(TEXT(EDATE($D110,Milestones!$AA$41),"dd mmm yy"))&amp;" "&amp;Milestones!$AB$41&amp;" "&amp;Milestones!$AC$41&amp;";  ","")&amp;IF(AND(EDATE($D110,Milestones!$AA$42)&lt;=AsOfDate,IF($R110=0,$X110,IF(AND($T110&lt;&gt;"",EDATE($D110,Milestones!$AA$42)&gt;=$T110),$W110,IF(AND($S110&lt;&gt;"",EDATE($D110,Milestones!$AA$42)&gt;=$S110),$V110,$U110)))=Milestones!$AB$42),UPPER(TEXT(EDATE($D110,Milestones!$AA$42),"dd mmm yy"))&amp;" "&amp;Milestones!$AB$42&amp;" "&amp;Milestones!$AC$42&amp;";  ","")&amp;IF(AND(EDATE($D110,Milestones!$AA$43)&lt;=AsOfDate,IF($R110=0,$X110,IF(AND($T110&lt;&gt;"",EDATE($D110,Milestones!$AA$43)&gt;=$T110),$W110,IF(AND($S110&lt;&gt;"",EDATE($D110,Milestones!$AA$43)&gt;=$S110),$V110,$U110)))=Milestones!$AB$43),UPPER(TEXT(EDATE($D110,Milestones!$AA$43),"dd mmm yy"))&amp;" "&amp;Milestones!$AB$43&amp;" "&amp;Milestones!$AC$43&amp;";  ","")&amp;IF(AND(EDATE($D110,Milestones!$AA$44)&lt;=AsOfDate,IF($R110=0,$X110,IF(AND($T110&lt;&gt;"",EDATE($D110,Milestones!$AA$44)&gt;=$T110),$W110,IF(AND($S110&lt;&gt;"",EDATE($D110,Milestones!$AA$44)&gt;=$S110),$V110,$U110)))=Milestones!$AB$44),UPPER(TEXT(EDATE($D110,Milestones!$AA$44),"dd mmm yy"))&amp;" "&amp;Milestones!$AB$44&amp;" "&amp;Milestones!$AC$44&amp;";  ","")&amp;IF(AND(EDATE($D110,Milestones!$AA$45)&lt;=AsOfDate,IF($R110=0,$X110,IF(AND($T110&lt;&gt;"",EDATE($D110,Milestones!$AA$45)&gt;=$T110),$W110,IF(AND($S110&lt;&gt;"",EDATE($D110,Milestones!$AA$45)&gt;=$S110),$V110,$U110)))=Milestones!$AB$45),UPPER(TEXT(EDATE($D110,Milestones!$AA$45),"dd mmm yy"))&amp;" "&amp;Milestones!$AB$45&amp;" "&amp;Milestones!$AC$45&amp;";  ","")&amp;IF(AND(EDATE($D110,Milestones!$AA$46)&lt;=AsOfDate,IF($R110=0,$X110,IF(AND($T110&lt;&gt;"",EDATE($D110,Milestones!$AA$46)&gt;=$T110),$W110,IF(AND($S110&lt;&gt;"",EDATE($D110,Milestones!$AA$46)&gt;=$S110),$V110,$U110)))=Milestones!$AB$46),UPPER(TEXT(EDATE($D110,Milestones!$AA$46),"dd mmm yy"))&amp;" "&amp;Milestones!$AB$46&amp;" "&amp;Milestones!$AC$46&amp;";  ","")&amp;IF(AND(EDATE($D110,Milestones!$AA$47)&lt;=AsOfDate,IF($R110=0,$X110,IF(AND($T110&lt;&gt;"",EDATE($D110,Milestones!$AA$47)&gt;=$T110),$W110,IF(AND($S110&lt;&gt;"",EDATE($D110,Milestones!$AA$47)&gt;=$S110),$V110,$U110)))=Milestones!$AB$47),UPPER(TEXT(EDATE($D110,Milestones!$AA$47),"dd mmm yy"))&amp;" "&amp;Milestones!$AB$47&amp;" "&amp;Milestones!$AC$47&amp;";  ","")&amp;IF(AND(EDATE($D110,Milestones!$AA$48)&lt;=AsOfDate,IF($R110=0,$X110,IF(AND($T110&lt;&gt;"",EDATE($D110,Milestones!$AA$48)&gt;=$T110),$W110,IF(AND($S110&lt;&gt;"",EDATE($D110,Milestones!$AA$48)&gt;=$S110),$V110,$U110)))=Milestones!$AB$48),UPPER(TEXT(EDATE($D110,Milestones!$AA$48),"dd mmm yy"))&amp;" "&amp;Milestones!$AB$48&amp;" "&amp;Milestones!$AC$48&amp;";  ","")&amp;IF(AND(EDATE($D110,Milestones!$AA$49)&lt;=AsOfDate,IF($R110=0,$X110,IF(AND($T110&lt;&gt;"",EDATE($D110,Milestones!$AA$49)&gt;=$T110),$W110,IF(AND($S110&lt;&gt;"",EDATE($D110,Milestones!$AA$49)&gt;=$S110),$V110,$U110)))=Milestones!$AB$49),UPPER(TEXT(EDATE($D110,Milestones!$AA$49),"dd mmm yy"))&amp;" "&amp;Milestones!$AB$49&amp;" "&amp;Milestones!$AC$49&amp;";  ","")&amp;IF(AND(EDATE($D110,Milestones!$AA$50)&lt;=AsOfDate,IF($R110=0,$X110,IF(AND($T110&lt;&gt;"",EDATE($D110,Milestones!$AA$50)&gt;=$T110),$W110,IF(AND($S110&lt;&gt;"",EDATE($D110,Milestones!$AA$50)&gt;=$S110),$V110,$U110)))=Milestones!$AB$50),UPPER(TEXT(EDATE($D110,Milestones!$AA$50),"dd mmm yy"))&amp;" "&amp;Milestones!$AB$50&amp;" "&amp;Milestones!$AC$50&amp;";  ","")&amp;IF(AND(EDATE($D110,Milestones!$AA$51)&lt;=AsOfDate,IF($R110=0,$X110,IF(AND($T110&lt;&gt;"",EDATE($D110,Milestones!$AA$51)&gt;=$T110),$W110,IF(AND($S110&lt;&gt;"",EDATE($D110,Milestones!$AA$51)&gt;=$S110),$V110,$U110)))=Milestones!$AB$51),UPPER(TEXT(EDATE($D110,Milestones!$AA$51),"dd mmm yy"))&amp;" "&amp;Milestones!$AB$51&amp;" "&amp;Milestones!$AC$51&amp;";  ","")&amp;IF(AND(EDATE($D110,Milestones!$AA$52)&lt;=AsOfDate,IF($R110=0,$X110,IF(AND($T110&lt;&gt;"",EDATE($D110,Milestones!$AA$52)&gt;=$T110),$W110,IF(AND($S110&lt;&gt;"",EDATE($D110,Milestones!$AA$52)&gt;=$S110),$V110,$U110)))=Milestones!$AB$52),UPPER(TEXT(EDATE($D110,Milestones!$AA$52),"dd mmm yy"))&amp;" "&amp;Milestones!$AB$52&amp;" "&amp;Milestones!$AC$52&amp;";  ","")&amp;IF(AND(EDATE($D110,Milestones!$AA$53)&lt;=AsOfDate,IF($R110=0,$X110,IF(AND($T110&lt;&gt;"",EDATE($D110,Milestones!$AA$53)&gt;=$T110),$W110,IF(AND($S110&lt;&gt;"",EDATE($D110,Milestones!$AA$53)&gt;=$S110),$V110,$U110)))=Milestones!$AB$53),UPPER(TEXT(EDATE($D110,Milestones!$AA$53),"dd mmm yy"))&amp;" "&amp;Milestones!$AB$53&amp;" "&amp;Milestones!$AC$53&amp;";  ","")&amp;IF(AND(EDATE($D110,Milestones!$AA$54)&lt;=AsOfDate,IF($R110=0,$X110,IF(AND($T110&lt;&gt;"",EDATE($D110,Milestones!$AA$54)&gt;=$T110),$W110,IF(AND($S110&lt;&gt;"",EDATE($D110,Milestones!$AA$54)&gt;=$S110),$V110,$U110)))=Milestones!$AB$54),UPPER(TEXT(EDATE($D110,Milestones!$AA$54),"dd mmm yy"))&amp;" "&amp;Milestones!$AB$54&amp;" "&amp;Milestones!$AC$54&amp;";  ","")&amp;IF(AND(EDATE($D110,Milestones!$AA$55)&lt;=AsOfDate,IF($R110=0,$X110,IF(AND($T110&lt;&gt;"",EDATE($D110,Milestones!$AA$55)&gt;=$T110),$W110,IF(AND($S110&lt;&gt;"",EDATE($D110,Milestones!$AA$55)&gt;=$S110),$V110,$U110)))=Milestones!$AB$55),UPPER(TEXT(EDATE($D110,Milestones!$AA$55),"dd mmm yy"))&amp;" "&amp;Milestones!$AB$55&amp;" "&amp;Milestones!$AC$55&amp;";  ","")&amp;IF(AND(EDATE($D110,Milestones!$AA$56)&lt;=AsOfDate,IF($R110=0,$X110,IF(AND($T110&lt;&gt;"",EDATE($D110,Milestones!$AA$56)&gt;=$T110),$W110,IF(AND($S110&lt;&gt;"",EDATE($D110,Milestones!$AA$56)&gt;=$S110),$V110,$U110)))=Milestones!$AB$56),UPPER(TEXT(EDATE($D110,Milestones!$AA$56),"dd mmm yy"))&amp;" "&amp;Milestones!$AB$56&amp;" "&amp;Milestones!$AC$56&amp;";  ","")&amp;IF(AND(EDATE($D110,Milestones!$AA$57)&lt;=AsOfDate,IF($R110=0,$X110,IF(AND($T110&lt;&gt;"",EDATE($D110,Milestones!$AA$57)&gt;=$T110),$W110,IF(AND($S110&lt;&gt;"",EDATE($D110,Milestones!$AA$57)&gt;=$S110),$V110,$U110)))=Milestones!$AB$57),UPPER(TEXT(EDATE($D110,Milestones!$AA$57),"dd mmm yy"))&amp;" "&amp;Milestones!$AB$57&amp;" "&amp;Milestones!$AC$57&amp;";  ","")&amp;IF(AND(EDATE($D110,Milestones!$AA$58)&lt;=AsOfDate,IF($R110=0,$X110,IF(AND($T110&lt;&gt;"",EDATE($D110,Milestones!$AA$58)&gt;=$T110),$W110,IF(AND($S110&lt;&gt;"",EDATE($D110,Milestones!$AA$58)&gt;=$S110),$V110,$U110)))=Milestones!$AB$58),UPPER(TEXT(EDATE($D110,Milestones!$AA$58),"dd mmm yy"))&amp;" "&amp;Milestones!$AB$58&amp;" "&amp;Milestones!$AC$58&amp;";  ","")&amp;IF(AND(EDATE($D110,Milestones!$AA$59)&lt;=AsOfDate,IF($R110=0,$X110,IF(AND($T110&lt;&gt;"",EDATE($D110,Milestones!$AA$59)&gt;=$T110),$W110,IF(AND($S110&lt;&gt;"",EDATE($D110,Milestones!$AA$59)&gt;=$S110),$V110,$U110)))=Milestones!$AB$59),UPPER(TEXT(EDATE($D110,Milestones!$AA$59),"dd mmm yy"))&amp;" "&amp;Milestones!$AB$59&amp;" "&amp;Milestones!$AC$59&amp;";  ",""))</f>
        <v/>
      </c>
      <c r="K110" s="0" t="str">
        <f aca="false">IF(OR($A110="",$D110=""),"",IF(AND(EDATE($D110,Milestones!$AA$60)&lt;=AsOfDate,IF($R110=0,$X110,IF(AND($T110&lt;&gt;"",EDATE($D110,Milestones!$AA$60)&gt;=$T110),$W110,IF(AND($S110&lt;&gt;"",EDATE($D110,Milestones!$AA$60)&gt;=$S110),$V110,$U110)))=Milestones!$AB$60),UPPER(TEXT(EDATE($D110,Milestones!$AA$60),"dd mmm yy"))&amp;" "&amp;Milestones!$AB$60&amp;" "&amp;Milestones!$AC$60&amp;";  ","")&amp;IF(AND(EDATE($D110,Milestones!$AA$61)&lt;=AsOfDate,IF($R110=0,$X110,IF(AND($T110&lt;&gt;"",EDATE($D110,Milestones!$AA$61)&gt;=$T110),$W110,IF(AND($S110&lt;&gt;"",EDATE($D110,Milestones!$AA$61)&gt;=$S110),$V110,$U110)))=Milestones!$AB$61),UPPER(TEXT(EDATE($D110,Milestones!$AA$61),"dd mmm yy"))&amp;" "&amp;Milestones!$AB$61&amp;" "&amp;Milestones!$AC$61&amp;";  ","")&amp;IF(AND(EDATE($D110,Milestones!$AA$62)&lt;=AsOfDate,IF($R110=0,$X110,IF(AND($T110&lt;&gt;"",EDATE($D110,Milestones!$AA$62)&gt;=$T110),$W110,IF(AND($S110&lt;&gt;"",EDATE($D110,Milestones!$AA$62)&gt;=$S110),$V110,$U110)))=Milestones!$AB$62),UPPER(TEXT(EDATE($D110,Milestones!$AA$62),"dd mmm yy"))&amp;" "&amp;Milestones!$AB$62&amp;" "&amp;Milestones!$AC$62&amp;";  ","")&amp;IF(AND(EDATE($D110,Milestones!$AA$63)&lt;=AsOfDate,IF($R110=0,$X110,IF(AND($T110&lt;&gt;"",EDATE($D110,Milestones!$AA$63)&gt;=$T110),$W110,IF(AND($S110&lt;&gt;"",EDATE($D110,Milestones!$AA$63)&gt;=$S110),$V110,$U110)))=Milestones!$AB$63),UPPER(TEXT(EDATE($D110,Milestones!$AA$63),"dd mmm yy"))&amp;" "&amp;Milestones!$AB$63&amp;" "&amp;Milestones!$AC$63&amp;";  ","")&amp;IF(AND(EDATE($D110,Milestones!$AA$64)&lt;=AsOfDate,IF($R110=0,$X110,IF(AND($T110&lt;&gt;"",EDATE($D110,Milestones!$AA$64)&gt;=$T110),$W110,IF(AND($S110&lt;&gt;"",EDATE($D110,Milestones!$AA$64)&gt;=$S110),$V110,$U110)))=Milestones!$AB$64),UPPER(TEXT(EDATE($D110,Milestones!$AA$64),"dd mmm yy"))&amp;" "&amp;Milestones!$AB$64&amp;" "&amp;Milestones!$AC$64&amp;";  ","")&amp;IF(AND(EDATE($D110,Milestones!$AA$65)&lt;=AsOfDate,IF($R110=0,$X110,IF(AND($T110&lt;&gt;"",EDATE($D110,Milestones!$AA$65)&gt;=$T110),$W110,IF(AND($S110&lt;&gt;"",EDATE($D110,Milestones!$AA$65)&gt;=$S110),$V110,$U110)))=Milestones!$AB$65),UPPER(TEXT(EDATE($D110,Milestones!$AA$65),"dd mmm yy"))&amp;" "&amp;Milestones!$AB$65&amp;" "&amp;Milestones!$AC$65&amp;";  ","")&amp;IF(AND(EDATE($D110,Milestones!$AA$66)&lt;=AsOfDate,IF($R110=0,$X110,IF(AND($T110&lt;&gt;"",EDATE($D110,Milestones!$AA$66)&gt;=$T110),$W110,IF(AND($S110&lt;&gt;"",EDATE($D110,Milestones!$AA$66)&gt;=$S110),$V110,$U110)))=Milestones!$AB$66),UPPER(TEXT(EDATE($D110,Milestones!$AA$66),"dd mmm yy"))&amp;" "&amp;Milestones!$AB$66&amp;" "&amp;Milestones!$AC$66&amp;";  ","")&amp;IF(AND(EDATE($D110,Milestones!$AA$67)&lt;=AsOfDate,IF($R110=0,$X110,IF(AND($T110&lt;&gt;"",EDATE($D110,Milestones!$AA$67)&gt;=$T110),$W110,IF(AND($S110&lt;&gt;"",EDATE($D110,Milestones!$AA$67)&gt;=$S110),$V110,$U110)))=Milestones!$AB$67),UPPER(TEXT(EDATE($D110,Milestones!$AA$67),"dd mmm yy"))&amp;" "&amp;Milestones!$AB$67&amp;" "&amp;Milestones!$AC$67&amp;";  ","")&amp;IF(AND(EDATE($D110,Milestones!$AA$68)&lt;=AsOfDate,IF($R110=0,$X110,IF(AND($T110&lt;&gt;"",EDATE($D110,Milestones!$AA$68)&gt;=$T110),$W110,IF(AND($S110&lt;&gt;"",EDATE($D110,Milestones!$AA$68)&gt;=$S110),$V110,$U110)))=Milestones!$AB$68),UPPER(TEXT(EDATE($D110,Milestones!$AA$68),"dd mmm yy"))&amp;" "&amp;Milestones!$AB$68&amp;" "&amp;Milestones!$AC$68&amp;";  ","")&amp;IF(AND(EDATE($D110,Milestones!$AA$69)&lt;=AsOfDate,IF($R110=0,$X110,IF(AND($T110&lt;&gt;"",EDATE($D110,Milestones!$AA$69)&gt;=$T110),$W110,IF(AND($S110&lt;&gt;"",EDATE($D110,Milestones!$AA$69)&gt;=$S110),$V110,$U110)))=Milestones!$AB$69),UPPER(TEXT(EDATE($D110,Milestones!$AA$69),"dd mmm yy"))&amp;" "&amp;Milestones!$AB$69&amp;" "&amp;Milestones!$AC$69&amp;";  ","")&amp;IF(AND(EDATE($D110,Milestones!$AA$70)&lt;=AsOfDate,IF($R110=0,$X110,IF(AND($T110&lt;&gt;"",EDATE($D110,Milestones!$AA$70)&gt;=$T110),$W110,IF(AND($S110&lt;&gt;"",EDATE($D110,Milestones!$AA$70)&gt;=$S110),$V110,$U110)))=Milestones!$AB$70),UPPER(TEXT(EDATE($D110,Milestones!$AA$70),"dd mmm yy"))&amp;" "&amp;Milestones!$AB$70&amp;" "&amp;Milestones!$AC$70&amp;";  ","")&amp;IF(AND(EDATE($D110,Milestones!$AA$71)&lt;=AsOfDate,IF($R110=0,$X110,IF(AND($T110&lt;&gt;"",EDATE($D110,Milestones!$AA$71)&gt;=$T110),$W110,IF(AND($S110&lt;&gt;"",EDATE($D110,Milestones!$AA$71)&gt;=$S110),$V110,$U110)))=Milestones!$AB$71),UPPER(TEXT(EDATE($D110,Milestones!$AA$71),"dd mmm yy"))&amp;" "&amp;Milestones!$AB$71&amp;" "&amp;Milestones!$AC$71&amp;";  ","")&amp;IF(AND(EDATE($D110,Milestones!$AA$72)&lt;=AsOfDate,IF($R110=0,$X110,IF(AND($T110&lt;&gt;"",EDATE($D110,Milestones!$AA$72)&gt;=$T110),$W110,IF(AND($S110&lt;&gt;"",EDATE($D110,Milestones!$AA$72)&gt;=$S110),$V110,$U110)))=Milestones!$AB$72),UPPER(TEXT(EDATE($D110,Milestones!$AA$72),"dd mmm yy"))&amp;" "&amp;Milestones!$AB$72&amp;" "&amp;Milestones!$AC$72&amp;";  ","")&amp;IF(AND(EDATE($D110,Milestones!$AA$73)&lt;=AsOfDate,IF($R110=0,$X110,IF(AND($T110&lt;&gt;"",EDATE($D110,Milestones!$AA$73)&gt;=$T110),$W110,IF(AND($S110&lt;&gt;"",EDATE($D110,Milestones!$AA$73)&gt;=$S110),$V110,$U110)))=Milestones!$AB$73),UPPER(TEXT(EDATE($D110,Milestones!$AA$73),"dd mmm yy"))&amp;" "&amp;Milestones!$AB$73&amp;" "&amp;Milestones!$AC$73&amp;";  ","")&amp;IF(AND(EDATE($D110,Milestones!$AA$74)&lt;=AsOfDate,IF($R110=0,$X110,IF(AND($T110&lt;&gt;"",EDATE($D110,Milestones!$AA$74)&gt;=$T110),$W110,IF(AND($S110&lt;&gt;"",EDATE($D110,Milestones!$AA$74)&gt;=$S110),$V110,$U110)))=Milestones!$AB$74),UPPER(TEXT(EDATE($D110,Milestones!$AA$74),"dd mmm yy"))&amp;" "&amp;Milestones!$AB$74&amp;" "&amp;Milestones!$AC$74&amp;";  ","")&amp;IF(AND(EDATE($D110,Milestones!$AA$75)&lt;=AsOfDate,IF($R110=0,$X110,IF(AND($T110&lt;&gt;"",EDATE($D110,Milestones!$AA$75)&gt;=$T110),$W110,IF(AND($S110&lt;&gt;"",EDATE($D110,Milestones!$AA$75)&gt;=$S110),$V110,$U110)))=Milestones!$AB$75),UPPER(TEXT(EDATE($D110,Milestones!$AA$75),"dd mmm yy"))&amp;" "&amp;Milestones!$AB$75&amp;" "&amp;Milestones!$AC$75&amp;";  ","")&amp;IF(AND(EDATE($D110,Milestones!$AA$76)&lt;=AsOfDate,IF($R110=0,$X110,IF(AND($T110&lt;&gt;"",EDATE($D110,Milestones!$AA$76)&gt;=$T110),$W110,IF(AND($S110&lt;&gt;"",EDATE($D110,Milestones!$AA$76)&gt;=$S110),$V110,$U110)))=Milestones!$AB$76),UPPER(TEXT(EDATE($D110,Milestones!$AA$76),"dd mmm yy"))&amp;" "&amp;Milestones!$AB$76&amp;" "&amp;Milestones!$AC$76&amp;";  ","")&amp;IF(AND(EDATE($D110,Milestones!$AA$77)&lt;=AsOfDate,IF($R110=0,$X110,IF(AND($T110&lt;&gt;"",EDATE($D110,Milestones!$AA$77)&gt;=$T110),$W110,IF(AND($S110&lt;&gt;"",EDATE($D110,Milestones!$AA$77)&gt;=$S110),$V110,$U110)))=Milestones!$AB$77),UPPER(TEXT(EDATE($D110,Milestones!$AA$77),"dd mmm yy"))&amp;" "&amp;Milestones!$AB$77&amp;" "&amp;Milestones!$AC$77&amp;";  ","")&amp;IF(AND(EDATE($D110,Milestones!$AA$78)&lt;=AsOfDate,IF($R110=0,$X110,IF(AND($T110&lt;&gt;"",EDATE($D110,Milestones!$AA$78)&gt;=$T110),$W110,IF(AND($S110&lt;&gt;"",EDATE($D110,Milestones!$AA$78)&gt;=$S110),$V110,$U110)))=Milestones!$AB$78),UPPER(TEXT(EDATE($D110,Milestones!$AA$78),"dd mmm yy"))&amp;" "&amp;Milestones!$AB$78&amp;" "&amp;Milestones!$AC$78&amp;";  ","")&amp;IF(AND(EDATE($D110,Milestones!$AA$79)&lt;=AsOfDate,IF($R110=0,$X110,IF(AND($T110&lt;&gt;"",EDATE($D110,Milestones!$AA$79)&gt;=$T110),$W110,IF(AND($S110&lt;&gt;"",EDATE($D110,Milestones!$AA$79)&gt;=$S110),$V110,$U110)))=Milestones!$AB$79),UPPER(TEXT(EDATE($D110,Milestones!$AA$79),"dd mmm yy"))&amp;" "&amp;Milestones!$AB$79&amp;" "&amp;Milestones!$AC$79&amp;";  ",""))</f>
        <v/>
      </c>
      <c r="L110" s="0" t="str">
        <f aca="false">IF(OR($A110="",$D110=""),"",IF(AND(EDATE($D110,Milestones!$AA$80)&lt;=AsOfDate,IF($R110=0,$X110,IF(AND($T110&lt;&gt;"",EDATE($D110,Milestones!$AA$80)&gt;=$T110),$W110,IF(AND($S110&lt;&gt;"",EDATE($D110,Milestones!$AA$80)&gt;=$S110),$V110,$U110)))=Milestones!$AB$80),UPPER(TEXT(EDATE($D110,Milestones!$AA$80),"dd mmm yy"))&amp;" "&amp;Milestones!$AB$80&amp;" "&amp;Milestones!$AC$80&amp;";  ","")&amp;IF(AND(EDATE($D110,Milestones!$AA$81)&lt;=AsOfDate,IF($R110=0,$X110,IF(AND($T110&lt;&gt;"",EDATE($D110,Milestones!$AA$81)&gt;=$T110),$W110,IF(AND($S110&lt;&gt;"",EDATE($D110,Milestones!$AA$81)&gt;=$S110),$V110,$U110)))=Milestones!$AB$81),UPPER(TEXT(EDATE($D110,Milestones!$AA$81),"dd mmm yy"))&amp;" "&amp;Milestones!$AB$81&amp;" "&amp;Milestones!$AC$81&amp;";  ","")&amp;IF(AND(EDATE($D110,Milestones!$AA$82)&lt;=AsOfDate,IF($R110=0,$X110,IF(AND($T110&lt;&gt;"",EDATE($D110,Milestones!$AA$82)&gt;=$T110),$W110,IF(AND($S110&lt;&gt;"",EDATE($D110,Milestones!$AA$82)&gt;=$S110),$V110,$U110)))=Milestones!$AB$82),UPPER(TEXT(EDATE($D110,Milestones!$AA$82),"dd mmm yy"))&amp;" "&amp;Milestones!$AB$82&amp;" "&amp;Milestones!$AC$82&amp;";  ","")&amp;IF(AND(EDATE($D110,Milestones!$AA$83)&lt;=AsOfDate,IF($R110=0,$X110,IF(AND($T110&lt;&gt;"",EDATE($D110,Milestones!$AA$83)&gt;=$T110),$W110,IF(AND($S110&lt;&gt;"",EDATE($D110,Milestones!$AA$83)&gt;=$S110),$V110,$U110)))=Milestones!$AB$83),UPPER(TEXT(EDATE($D110,Milestones!$AA$83),"dd mmm yy"))&amp;" "&amp;Milestones!$AB$83&amp;" "&amp;Milestones!$AC$83&amp;";  ","")&amp;IF(AND(EDATE($D110,Milestones!$AA$84)&lt;=AsOfDate,IF($R110=0,$X110,IF(AND($T110&lt;&gt;"",EDATE($D110,Milestones!$AA$84)&gt;=$T110),$W110,IF(AND($S110&lt;&gt;"",EDATE($D110,Milestones!$AA$84)&gt;=$S110),$V110,$U110)))=Milestones!$AB$84),UPPER(TEXT(EDATE($D110,Milestones!$AA$84),"dd mmm yy"))&amp;" "&amp;Milestones!$AB$84&amp;" "&amp;Milestones!$AC$84&amp;";  ","")&amp;IF(AND(EDATE($D110,Milestones!$AA$85)&lt;=AsOfDate,IF($R110=0,$X110,IF(AND($T110&lt;&gt;"",EDATE($D110,Milestones!$AA$85)&gt;=$T110),$W110,IF(AND($S110&lt;&gt;"",EDATE($D110,Milestones!$AA$85)&gt;=$S110),$V110,$U110)))=Milestones!$AB$85),UPPER(TEXT(EDATE($D110,Milestones!$AA$85),"dd mmm yy"))&amp;" "&amp;Milestones!$AB$85&amp;" "&amp;Milestones!$AC$85&amp;";  ","")&amp;IF(AND(EDATE($D110,Milestones!$AA$86)&lt;=AsOfDate,IF($R110=0,$X110,IF(AND($T110&lt;&gt;"",EDATE($D110,Milestones!$AA$86)&gt;=$T110),$W110,IF(AND($S110&lt;&gt;"",EDATE($D110,Milestones!$AA$86)&gt;=$S110),$V110,$U110)))=Milestones!$AB$86),UPPER(TEXT(EDATE($D110,Milestones!$AA$86),"dd mmm yy"))&amp;" "&amp;Milestones!$AB$86&amp;" "&amp;Milestones!$AC$86&amp;";  ","")&amp;IF(AND(EDATE($D110,Milestones!$AA$87)&lt;=AsOfDate,IF($R110=0,$X110,IF(AND($T110&lt;&gt;"",EDATE($D110,Milestones!$AA$87)&gt;=$T110),$W110,IF(AND($S110&lt;&gt;"",EDATE($D110,Milestones!$AA$87)&gt;=$S110),$V110,$U110)))=Milestones!$AB$87),UPPER(TEXT(EDATE($D110,Milestones!$AA$87),"dd mmm yy"))&amp;" "&amp;Milestones!$AB$87&amp;" "&amp;Milestones!$AC$87&amp;";  ","")&amp;IF(AND(EDATE($D110,Milestones!$AA$88)&lt;=AsOfDate,IF($R110=0,$X110,IF(AND($T110&lt;&gt;"",EDATE($D110,Milestones!$AA$88)&gt;=$T110),$W110,IF(AND($S110&lt;&gt;"",EDATE($D110,Milestones!$AA$88)&gt;=$S110),$V110,$U110)))=Milestones!$AB$88),UPPER(TEXT(EDATE($D110,Milestones!$AA$88),"dd mmm yy"))&amp;" "&amp;Milestones!$AB$88&amp;" "&amp;Milestones!$AC$88&amp;";  ","")&amp;IF(AND(EDATE($D110,Milestones!$AA$89)&lt;=AsOfDate,IF($R110=0,$X110,IF(AND($T110&lt;&gt;"",EDATE($D110,Milestones!$AA$89)&gt;=$T110),$W110,IF(AND($S110&lt;&gt;"",EDATE($D110,Milestones!$AA$89)&gt;=$S110),$V110,$U110)))=Milestones!$AB$89),UPPER(TEXT(EDATE($D110,Milestones!$AA$89),"dd mmm yy"))&amp;" "&amp;Milestones!$AB$89&amp;" "&amp;Milestones!$AC$89&amp;";  ","")&amp;IF(AND(EDATE($D110,Milestones!$AA$90)&lt;=AsOfDate,IF($R110=0,$X110,IF(AND($T110&lt;&gt;"",EDATE($D110,Milestones!$AA$90)&gt;=$T110),$W110,IF(AND($S110&lt;&gt;"",EDATE($D110,Milestones!$AA$90)&gt;=$S110),$V110,$U110)))=Milestones!$AB$90),UPPER(TEXT(EDATE($D110,Milestones!$AA$90),"dd mmm yy"))&amp;" "&amp;Milestones!$AB$90&amp;" "&amp;Milestones!$AC$90&amp;";  ","")&amp;IF(AND(EDATE($D110,Milestones!$AA$91)&lt;=AsOfDate,IF($R110=0,$X110,IF(AND($T110&lt;&gt;"",EDATE($D110,Milestones!$AA$91)&gt;=$T110),$W110,IF(AND($S110&lt;&gt;"",EDATE($D110,Milestones!$AA$91)&gt;=$S110),$V110,$U110)))=Milestones!$AB$91),UPPER(TEXT(EDATE($D110,Milestones!$AA$91),"dd mmm yy"))&amp;" "&amp;Milestones!$AB$91&amp;" "&amp;Milestones!$AC$91&amp;";  ","")&amp;IF(AND(EDATE($D110,Milestones!$AA$92)&lt;=AsOfDate,IF($R110=0,$X110,IF(AND($T110&lt;&gt;"",EDATE($D110,Milestones!$AA$92)&gt;=$T110),$W110,IF(AND($S110&lt;&gt;"",EDATE($D110,Milestones!$AA$92)&gt;=$S110),$V110,$U110)))=Milestones!$AB$92),UPPER(TEXT(EDATE($D110,Milestones!$AA$92),"dd mmm yy"))&amp;" "&amp;Milestones!$AB$92&amp;" "&amp;Milestones!$AC$92&amp;";  ","")&amp;IF(AND(EDATE($D110,Milestones!$AA$93)&lt;=AsOfDate,IF($R110=0,$X110,IF(AND($T110&lt;&gt;"",EDATE($D110,Milestones!$AA$93)&gt;=$T110),$W110,IF(AND($S110&lt;&gt;"",EDATE($D110,Milestones!$AA$93)&gt;=$S110),$V110,$U110)))=Milestones!$AB$93),UPPER(TEXT(EDATE($D110,Milestones!$AA$93),"dd mmm yy"))&amp;" "&amp;Milestones!$AB$93&amp;" "&amp;Milestones!$AC$93&amp;";  ","")&amp;IF(AND(EDATE($D110,Milestones!$AA$94)&lt;=AsOfDate,IF($R110=0,$X110,IF(AND($T110&lt;&gt;"",EDATE($D110,Milestones!$AA$94)&gt;=$T110),$W110,IF(AND($S110&lt;&gt;"",EDATE($D110,Milestones!$AA$94)&gt;=$S110),$V110,$U110)))=Milestones!$AB$94),UPPER(TEXT(EDATE($D110,Milestones!$AA$94),"dd mmm yy"))&amp;" "&amp;Milestones!$AB$94&amp;" "&amp;Milestones!$AC$94&amp;";  ","")&amp;IF(AND(EDATE($D110,Milestones!$AA$95)&lt;=AsOfDate,IF($R110=0,$X110,IF(AND($T110&lt;&gt;"",EDATE($D110,Milestones!$AA$95)&gt;=$T110),$W110,IF(AND($S110&lt;&gt;"",EDATE($D110,Milestones!$AA$95)&gt;=$S110),$V110,$U110)))=Milestones!$AB$95),UPPER(TEXT(EDATE($D110,Milestones!$AA$95),"dd mmm yy"))&amp;" "&amp;Milestones!$AB$95&amp;" "&amp;Milestones!$AC$95&amp;";  ","")&amp;IF(AND(EDATE($D110,Milestones!$AA$96)&lt;=AsOfDate,IF($R110=0,$X110,IF(AND($T110&lt;&gt;"",EDATE($D110,Milestones!$AA$96)&gt;=$T110),$W110,IF(AND($S110&lt;&gt;"",EDATE($D110,Milestones!$AA$96)&gt;=$S110),$V110,$U110)))=Milestones!$AB$96),UPPER(TEXT(EDATE($D110,Milestones!$AA$96),"dd mmm yy"))&amp;" "&amp;Milestones!$AB$96&amp;" "&amp;Milestones!$AC$96&amp;";  ","")&amp;IF(AND(EDATE($D110,Milestones!$AA$97)&lt;=AsOfDate,IF($R110=0,$X110,IF(AND($T110&lt;&gt;"",EDATE($D110,Milestones!$AA$97)&gt;=$T110),$W110,IF(AND($S110&lt;&gt;"",EDATE($D110,Milestones!$AA$97)&gt;=$S110),$V110,$U110)))=Milestones!$AB$97),UPPER(TEXT(EDATE($D110,Milestones!$AA$97),"dd mmm yy"))&amp;" "&amp;Milestones!$AB$97&amp;" "&amp;Milestones!$AC$97&amp;";  ","")&amp;IF(AND(EDATE($D110,Milestones!$AA$98)&lt;=AsOfDate,IF($R110=0,$X110,IF(AND($T110&lt;&gt;"",EDATE($D110,Milestones!$AA$98)&gt;=$T110),$W110,IF(AND($S110&lt;&gt;"",EDATE($D110,Milestones!$AA$98)&gt;=$S110),$V110,$U110)))=Milestones!$AB$98),UPPER(TEXT(EDATE($D110,Milestones!$AA$98),"dd mmm yy"))&amp;" "&amp;Milestones!$AB$98&amp;" "&amp;Milestones!$AC$98&amp;";  ","")&amp;IF(AND(EDATE($D110,Milestones!$AA$99)&lt;=AsOfDate,IF($R110=0,$X110,IF(AND($T110&lt;&gt;"",EDATE($D110,Milestones!$AA$99)&gt;=$T110),$W110,IF(AND($S110&lt;&gt;"",EDATE($D110,Milestones!$AA$99)&gt;=$S110),$V110,$U110)))=Milestones!$AB$99),UPPER(TEXT(EDATE($D110,Milestones!$AA$99),"dd mmm yy"))&amp;" "&amp;Milestones!$AB$99&amp;" "&amp;Milestones!$AC$99&amp;";  ",""))</f>
        <v/>
      </c>
      <c r="M110" s="0" t="str">
        <f aca="false">IF(OR($A110="",$D110=""),"",IF(AND(EDATE($D110,Milestones!$AA$100)&lt;=AsOfDate,IF($R110=0,$X110,IF(AND($T110&lt;&gt;"",EDATE($D110,Milestones!$AA$100)&gt;=$T110),$W110,IF(AND($S110&lt;&gt;"",EDATE($D110,Milestones!$AA$100)&gt;=$S110),$V110,$U110)))=Milestones!$AB$100),UPPER(TEXT(EDATE($D110,Milestones!$AA$100),"dd mmm yy"))&amp;" "&amp;Milestones!$AB$100&amp;" "&amp;Milestones!$AC$100&amp;";  ","")&amp;IF(AND(EDATE($D110,Milestones!$AA$101)&lt;=AsOfDate,IF($R110=0,$X110,IF(AND($T110&lt;&gt;"",EDATE($D110,Milestones!$AA$101)&gt;=$T110),$W110,IF(AND($S110&lt;&gt;"",EDATE($D110,Milestones!$AA$101)&gt;=$S110),$V110,$U110)))=Milestones!$AB$101),UPPER(TEXT(EDATE($D110,Milestones!$AA$101),"dd mmm yy"))&amp;" "&amp;Milestones!$AB$101&amp;" "&amp;Milestones!$AC$101&amp;";  ","")&amp;IF(AND(EDATE($D110,Milestones!$AA$102)&lt;=AsOfDate,IF($R110=0,$X110,IF(AND($T110&lt;&gt;"",EDATE($D110,Milestones!$AA$102)&gt;=$T110),$W110,IF(AND($S110&lt;&gt;"",EDATE($D110,Milestones!$AA$102)&gt;=$S110),$V110,$U110)))=Milestones!$AB$102),UPPER(TEXT(EDATE($D110,Milestones!$AA$102),"dd mmm yy"))&amp;" "&amp;Milestones!$AB$102&amp;" "&amp;Milestones!$AC$102&amp;";  ","")&amp;IF(AND(EDATE($D110,Milestones!$AA$103)&lt;=AsOfDate,IF($R110=0,$X110,IF(AND($T110&lt;&gt;"",EDATE($D110,Milestones!$AA$103)&gt;=$T110),$W110,IF(AND($S110&lt;&gt;"",EDATE($D110,Milestones!$AA$103)&gt;=$S110),$V110,$U110)))=Milestones!$AB$103),UPPER(TEXT(EDATE($D110,Milestones!$AA$103),"dd mmm yy"))&amp;" "&amp;Milestones!$AB$103&amp;" "&amp;Milestones!$AC$103&amp;";  ","")&amp;IF(AND(EDATE($D110,Milestones!$AA$104)&lt;=AsOfDate,IF($R110=0,$X110,IF(AND($T110&lt;&gt;"",EDATE($D110,Milestones!$AA$104)&gt;=$T110),$W110,IF(AND($S110&lt;&gt;"",EDATE($D110,Milestones!$AA$104)&gt;=$S110),$V110,$U110)))=Milestones!$AB$104),UPPER(TEXT(EDATE($D110,Milestones!$AA$104),"dd mmm yy"))&amp;" "&amp;Milestones!$AB$104&amp;" "&amp;Milestones!$AC$104&amp;";  ","")&amp;IF(AND(EDATE($D110,Milestones!$AA$105)&lt;=AsOfDate,IF($R110=0,$X110,IF(AND($T110&lt;&gt;"",EDATE($D110,Milestones!$AA$105)&gt;=$T110),$W110,IF(AND($S110&lt;&gt;"",EDATE($D110,Milestones!$AA$105)&gt;=$S110),$V110,$U110)))=Milestones!$AB$105),UPPER(TEXT(EDATE($D110,Milestones!$AA$105),"dd mmm yy"))&amp;" "&amp;Milestones!$AB$105&amp;" "&amp;Milestones!$AC$105&amp;";  ","")&amp;IF(AND(EDATE($D110,Milestones!$AA$106)&lt;=AsOfDate,IF($R110=0,$X110,IF(AND($T110&lt;&gt;"",EDATE($D110,Milestones!$AA$106)&gt;=$T110),$W110,IF(AND($S110&lt;&gt;"",EDATE($D110,Milestones!$AA$106)&gt;=$S110),$V110,$U110)))=Milestones!$AB$106),UPPER(TEXT(EDATE($D110,Milestones!$AA$106),"dd mmm yy"))&amp;" "&amp;Milestones!$AB$106&amp;" "&amp;Milestones!$AC$106&amp;";  ","")&amp;IF(AND(EDATE($D110,Milestones!$AA$107)&lt;=AsOfDate,IF($R110=0,$X110,IF(AND($T110&lt;&gt;"",EDATE($D110,Milestones!$AA$107)&gt;=$T110),$W110,IF(AND($S110&lt;&gt;"",EDATE($D110,Milestones!$AA$107)&gt;=$S110),$V110,$U110)))=Milestones!$AB$107),UPPER(TEXT(EDATE($D110,Milestones!$AA$107),"dd mmm yy"))&amp;" "&amp;Milestones!$AB$107&amp;" "&amp;Milestones!$AC$107&amp;";  ","")&amp;IF(AND(EDATE($D110,Milestones!$AA$108)&lt;=AsOfDate,IF($R110=0,$X110,IF(AND($T110&lt;&gt;"",EDATE($D110,Milestones!$AA$108)&gt;=$T110),$W110,IF(AND($S110&lt;&gt;"",EDATE($D110,Milestones!$AA$108)&gt;=$S110),$V110,$U110)))=Milestones!$AB$108),UPPER(TEXT(EDATE($D110,Milestones!$AA$108),"dd mmm yy"))&amp;" "&amp;Milestones!$AB$108&amp;" "&amp;Milestones!$AC$108&amp;";  ","")&amp;IF(AND(EDATE($D110,Milestones!$AA$109)&lt;=AsOfDate,IF($R110=0,$X110,IF(AND($T110&lt;&gt;"",EDATE($D110,Milestones!$AA$109)&gt;=$T110),$W110,IF(AND($S110&lt;&gt;"",EDATE($D110,Milestones!$AA$109)&gt;=$S110),$V110,$U110)))=Milestones!$AB$109),UPPER(TEXT(EDATE($D110,Milestones!$AA$109),"dd mmm yy"))&amp;" "&amp;Milestones!$AB$109&amp;" "&amp;Milestones!$AC$109&amp;";  ","")&amp;IF(AND(EDATE($D110,Milestones!$AA$110)&lt;=AsOfDate,IF($R110=0,$X110,IF(AND($T110&lt;&gt;"",EDATE($D110,Milestones!$AA$110)&gt;=$T110),$W110,IF(AND($S110&lt;&gt;"",EDATE($D110,Milestones!$AA$110)&gt;=$S110),$V110,$U110)))=Milestones!$AB$110),UPPER(TEXT(EDATE($D110,Milestones!$AA$110),"dd mmm yy"))&amp;" "&amp;Milestones!$AB$110&amp;" "&amp;Milestones!$AC$110&amp;";  ","")&amp;IF(AND(EDATE($D110,Milestones!$AA$111)&lt;=AsOfDate,IF($R110=0,$X110,IF(AND($T110&lt;&gt;"",EDATE($D110,Milestones!$AA$111)&gt;=$T110),$W110,IF(AND($S110&lt;&gt;"",EDATE($D110,Milestones!$AA$111)&gt;=$S110),$V110,$U110)))=Milestones!$AB$111),UPPER(TEXT(EDATE($D110,Milestones!$AA$111),"dd mmm yy"))&amp;" "&amp;Milestones!$AB$111&amp;" "&amp;Milestones!$AC$111&amp;";  ","")&amp;IF(AND(EDATE($D110,Milestones!$AA$112)&lt;=AsOfDate,IF($R110=0,$X110,IF(AND($T110&lt;&gt;"",EDATE($D110,Milestones!$AA$112)&gt;=$T110),$W110,IF(AND($S110&lt;&gt;"",EDATE($D110,Milestones!$AA$112)&gt;=$S110),$V110,$U110)))=Milestones!$AB$112),UPPER(TEXT(EDATE($D110,Milestones!$AA$112),"dd mmm yy"))&amp;" "&amp;Milestones!$AB$112&amp;" "&amp;Milestones!$AC$112&amp;";  ","")&amp;IF(AND(EDATE($D110,Milestones!$AA$113)&lt;=AsOfDate,IF($R110=0,$X110,IF(AND($T110&lt;&gt;"",EDATE($D110,Milestones!$AA$113)&gt;=$T110),$W110,IF(AND($S110&lt;&gt;"",EDATE($D110,Milestones!$AA$113)&gt;=$S110),$V110,$U110)))=Milestones!$AB$113),UPPER(TEXT(EDATE($D110,Milestones!$AA$113),"dd mmm yy"))&amp;" "&amp;Milestones!$AB$113&amp;" "&amp;Milestones!$AC$113&amp;";  ","")&amp;IF(AND(EDATE($D110,Milestones!$AA$114)&lt;=AsOfDate,IF($R110=0,$X110,IF(AND($T110&lt;&gt;"",EDATE($D110,Milestones!$AA$114)&gt;=$T110),$W110,IF(AND($S110&lt;&gt;"",EDATE($D110,Milestones!$AA$114)&gt;=$S110),$V110,$U110)))=Milestones!$AB$114),UPPER(TEXT(EDATE($D110,Milestones!$AA$114),"dd mmm yy"))&amp;" "&amp;Milestones!$AB$114&amp;" "&amp;Milestones!$AC$114&amp;";  ","")&amp;IF(AND(EDATE($D110,Milestones!$AA$115)&lt;=AsOfDate,IF($R110=0,$X110,IF(AND($T110&lt;&gt;"",EDATE($D110,Milestones!$AA$115)&gt;=$T110),$W110,IF(AND($S110&lt;&gt;"",EDATE($D110,Milestones!$AA$115)&gt;=$S110),$V110,$U110)))=Milestones!$AB$115),UPPER(TEXT(EDATE($D110,Milestones!$AA$115),"dd mmm yy"))&amp;" "&amp;Milestones!$AB$115&amp;" "&amp;Milestones!$AC$115&amp;";  ","")&amp;IF(AND(EDATE($D110,Milestones!$AA$116)&lt;=AsOfDate,IF($R110=0,$X110,IF(AND($T110&lt;&gt;"",EDATE($D110,Milestones!$AA$116)&gt;=$T110),$W110,IF(AND($S110&lt;&gt;"",EDATE($D110,Milestones!$AA$116)&gt;=$S110),$V110,$U110)))=Milestones!$AB$116),UPPER(TEXT(EDATE($D110,Milestones!$AA$116),"dd mmm yy"))&amp;" "&amp;Milestones!$AB$116&amp;" "&amp;Milestones!$AC$116&amp;";  ","")&amp;IF(AND(EDATE($D110,Milestones!$AA$117)&lt;=AsOfDate,IF($R110=0,$X110,IF(AND($T110&lt;&gt;"",EDATE($D110,Milestones!$AA$117)&gt;=$T110),$W110,IF(AND($S110&lt;&gt;"",EDATE($D110,Milestones!$AA$117)&gt;=$S110),$V110,$U110)))=Milestones!$AB$117),UPPER(TEXT(EDATE($D110,Milestones!$AA$117),"dd mmm yy"))&amp;" "&amp;Milestones!$AB$117&amp;" "&amp;Milestones!$AC$117&amp;";  ","")&amp;IF(AND(EDATE($D110,Milestones!$AA$118)&lt;=AsOfDate,IF($R110=0,$X110,IF(AND($T110&lt;&gt;"",EDATE($D110,Milestones!$AA$118)&gt;=$T110),$W110,IF(AND($S110&lt;&gt;"",EDATE($D110,Milestones!$AA$118)&gt;=$S110),$V110,$U110)))=Milestones!$AB$118),UPPER(TEXT(EDATE($D110,Milestones!$AA$118),"dd mmm yy"))&amp;" "&amp;Milestones!$AB$118&amp;" "&amp;Milestones!$AC$118&amp;";  ","")&amp;IF(AND(EDATE($D110,Milestones!$AA$119)&lt;=AsOfDate,IF($R110=0,$X110,IF(AND($T110&lt;&gt;"",EDATE($D110,Milestones!$AA$119)&gt;=$T110),$W110,IF(AND($S110&lt;&gt;"",EDATE($D110,Milestones!$AA$119)&gt;=$S110),$V110,$U110)))=Milestones!$AB$119),UPPER(TEXT(EDATE($D110,Milestones!$AA$119),"dd mmm yy"))&amp;" "&amp;Milestones!$AB$119&amp;" "&amp;Milestones!$AC$119&amp;";  ",""))</f>
        <v/>
      </c>
      <c r="N110" s="0" t="str">
        <f aca="false">IF(OR($A110="",$D110=""),"",IF(AND(EDATE($D110,Milestones!$AA$120)&lt;=AsOfDate,IF($R110=0,$X110,IF(AND($T110&lt;&gt;"",EDATE($D110,Milestones!$AA$120)&gt;=$T110),$W110,IF(AND($S110&lt;&gt;"",EDATE($D110,Milestones!$AA$120)&gt;=$S110),$V110,$U110)))=Milestones!$AB$120),UPPER(TEXT(EDATE($D110,Milestones!$AA$120),"dd mmm yy"))&amp;" "&amp;Milestones!$AB$120&amp;" "&amp;Milestones!$AC$120&amp;";  ","")&amp;IF(AND(EDATE($D110,Milestones!$AA$121)&lt;=AsOfDate,IF($R110=0,$X110,IF(AND($T110&lt;&gt;"",EDATE($D110,Milestones!$AA$121)&gt;=$T110),$W110,IF(AND($S110&lt;&gt;"",EDATE($D110,Milestones!$AA$121)&gt;=$S110),$V110,$U110)))=Milestones!$AB$121),UPPER(TEXT(EDATE($D110,Milestones!$AA$121),"dd mmm yy"))&amp;" "&amp;Milestones!$AB$121&amp;" "&amp;Milestones!$AC$121&amp;";  ","")&amp;IF(AND(EDATE($D110,Milestones!$AA$122)&lt;=AsOfDate,IF($R110=0,$X110,IF(AND($T110&lt;&gt;"",EDATE($D110,Milestones!$AA$122)&gt;=$T110),$W110,IF(AND($S110&lt;&gt;"",EDATE($D110,Milestones!$AA$122)&gt;=$S110),$V110,$U110)))=Milestones!$AB$122),UPPER(TEXT(EDATE($D110,Milestones!$AA$122),"dd mmm yy"))&amp;" "&amp;Milestones!$AB$122&amp;" "&amp;Milestones!$AC$122&amp;";  ","")&amp;IF(AND(EDATE($D110,Milestones!$AA$123)&lt;=AsOfDate,IF($R110=0,$X110,IF(AND($T110&lt;&gt;"",EDATE($D110,Milestones!$AA$123)&gt;=$T110),$W110,IF(AND($S110&lt;&gt;"",EDATE($D110,Milestones!$AA$123)&gt;=$S110),$V110,$U110)))=Milestones!$AB$123),UPPER(TEXT(EDATE($D110,Milestones!$AA$123),"dd mmm yy"))&amp;" "&amp;Milestones!$AB$123&amp;" "&amp;Milestones!$AC$123&amp;";  ","")&amp;IF(AND(EDATE($D110,Milestones!$AA$124)&lt;=AsOfDate,IF($R110=0,$X110,IF(AND($T110&lt;&gt;"",EDATE($D110,Milestones!$AA$124)&gt;=$T110),$W110,IF(AND($S110&lt;&gt;"",EDATE($D110,Milestones!$AA$124)&gt;=$S110),$V110,$U110)))=Milestones!$AB$124),UPPER(TEXT(EDATE($D110,Milestones!$AA$124),"dd mmm yy"))&amp;" "&amp;Milestones!$AB$124&amp;" "&amp;Milestones!$AC$124&amp;";  ","")&amp;IF(AND(EDATE($D110,Milestones!$AA$125)&lt;=AsOfDate,IF($R110=0,$X110,IF(AND($T110&lt;&gt;"",EDATE($D110,Milestones!$AA$125)&gt;=$T110),$W110,IF(AND($S110&lt;&gt;"",EDATE($D110,Milestones!$AA$125)&gt;=$S110),$V110,$U110)))=Milestones!$AB$125),UPPER(TEXT(EDATE($D110,Milestones!$AA$125),"dd mmm yy"))&amp;" "&amp;Milestones!$AB$125&amp;" "&amp;Milestones!$AC$125&amp;";  ","")&amp;IF(AND(EDATE($D110,Milestones!$AA$126)&lt;=AsOfDate,IF($R110=0,$X110,IF(AND($T110&lt;&gt;"",EDATE($D110,Milestones!$AA$126)&gt;=$T110),$W110,IF(AND($S110&lt;&gt;"",EDATE($D110,Milestones!$AA$126)&gt;=$S110),$V110,$U110)))=Milestones!$AB$126),UPPER(TEXT(EDATE($D110,Milestones!$AA$126),"dd mmm yy"))&amp;" "&amp;Milestones!$AB$126&amp;" "&amp;Milestones!$AC$126&amp;";  ","")&amp;IF(AND(EDATE($D110,Milestones!$AA$127)&lt;=AsOfDate,IF($R110=0,$X110,IF(AND($T110&lt;&gt;"",EDATE($D110,Milestones!$AA$127)&gt;=$T110),$W110,IF(AND($S110&lt;&gt;"",EDATE($D110,Milestones!$AA$127)&gt;=$S110),$V110,$U110)))=Milestones!$AB$127),UPPER(TEXT(EDATE($D110,Milestones!$AA$127),"dd mmm yy"))&amp;" "&amp;Milestones!$AB$127&amp;" "&amp;Milestones!$AC$127&amp;";  ","")&amp;IF(AND(EDATE($D110,Milestones!$AA$128)&lt;=AsOfDate,IF($R110=0,$X110,IF(AND($T110&lt;&gt;"",EDATE($D110,Milestones!$AA$128)&gt;=$T110),$W110,IF(AND($S110&lt;&gt;"",EDATE($D110,Milestones!$AA$128)&gt;=$S110),$V110,$U110)))=Milestones!$AB$128),UPPER(TEXT(EDATE($D110,Milestones!$AA$128),"dd mmm yy"))&amp;" "&amp;Milestones!$AB$128&amp;" "&amp;Milestones!$AC$128&amp;";  ","")&amp;IF(AND(EDATE($D110,Milestones!$AA$129)&lt;=AsOfDate,IF($R110=0,$X110,IF(AND($T110&lt;&gt;"",EDATE($D110,Milestones!$AA$129)&gt;=$T110),$W110,IF(AND($S110&lt;&gt;"",EDATE($D110,Milestones!$AA$129)&gt;=$S110),$V110,$U110)))=Milestones!$AB$129),UPPER(TEXT(EDATE($D110,Milestones!$AA$129),"dd mmm yy"))&amp;" "&amp;Milestones!$AB$129&amp;" "&amp;Milestones!$AC$129&amp;";  ","")&amp;IF(AND(EDATE($D110,Milestones!$AA$130)&lt;=AsOfDate,IF($R110=0,$X110,IF(AND($T110&lt;&gt;"",EDATE($D110,Milestones!$AA$130)&gt;=$T110),$W110,IF(AND($S110&lt;&gt;"",EDATE($D110,Milestones!$AA$130)&gt;=$S110),$V110,$U110)))=Milestones!$AB$130),UPPER(TEXT(EDATE($D110,Milestones!$AA$130),"dd mmm yy"))&amp;" "&amp;Milestones!$AB$130&amp;" "&amp;Milestones!$AC$130&amp;";  ","")&amp;IF(AND(EDATE($D110,Milestones!$AA$131)&lt;=AsOfDate,IF($R110=0,$X110,IF(AND($T110&lt;&gt;"",EDATE($D110,Milestones!$AA$131)&gt;=$T110),$W110,IF(AND($S110&lt;&gt;"",EDATE($D110,Milestones!$AA$131)&gt;=$S110),$V110,$U110)))=Milestones!$AB$131),UPPER(TEXT(EDATE($D110,Milestones!$AA$131),"dd mmm yy"))&amp;" "&amp;Milestones!$AB$131&amp;" "&amp;Milestones!$AC$131&amp;";  ","")&amp;IF(AND(EDATE($D110,Milestones!$AA$132)&lt;=AsOfDate,IF($R110=0,$X110,IF(AND($T110&lt;&gt;"",EDATE($D110,Milestones!$AA$132)&gt;=$T110),$W110,IF(AND($S110&lt;&gt;"",EDATE($D110,Milestones!$AA$132)&gt;=$S110),$V110,$U110)))=Milestones!$AB$132),UPPER(TEXT(EDATE($D110,Milestones!$AA$132),"dd mmm yy"))&amp;" "&amp;Milestones!$AB$132&amp;" "&amp;Milestones!$AC$132&amp;";  ","")&amp;IF(AND(EDATE($D110,Milestones!$AA$133)&lt;=AsOfDate,IF($R110=0,$X110,IF(AND($T110&lt;&gt;"",EDATE($D110,Milestones!$AA$133)&gt;=$T110),$W110,IF(AND($S110&lt;&gt;"",EDATE($D110,Milestones!$AA$133)&gt;=$S110),$V110,$U110)))=Milestones!$AB$133),UPPER(TEXT(EDATE($D110,Milestones!$AA$133),"dd mmm yy"))&amp;" "&amp;Milestones!$AB$133&amp;" "&amp;Milestones!$AC$133&amp;";  ","")&amp;IF(AND(EDATE($D110,Milestones!$AA$134)&lt;=AsOfDate,IF($R110=0,$X110,IF(AND($T110&lt;&gt;"",EDATE($D110,Milestones!$AA$134)&gt;=$T110),$W110,IF(AND($S110&lt;&gt;"",EDATE($D110,Milestones!$AA$134)&gt;=$S110),$V110,$U110)))=Milestones!$AB$134),UPPER(TEXT(EDATE($D110,Milestones!$AA$134),"dd mmm yy"))&amp;" "&amp;Milestones!$AB$134&amp;" "&amp;Milestones!$AC$134&amp;";  ","")&amp;IF(AND(EDATE($D110,Milestones!$AA$135)&lt;=AsOfDate,IF($R110=0,$X110,IF(AND($T110&lt;&gt;"",EDATE($D110,Milestones!$AA$135)&gt;=$T110),$W110,IF(AND($S110&lt;&gt;"",EDATE($D110,Milestones!$AA$135)&gt;=$S110),$V110,$U110)))=Milestones!$AB$135),UPPER(TEXT(EDATE($D110,Milestones!$AA$135),"dd mmm yy"))&amp;" "&amp;Milestones!$AB$135&amp;" "&amp;Milestones!$AC$135&amp;";  ","")&amp;IF(AND(EDATE($D110,Milestones!$AA$136)&lt;=AsOfDate,IF($R110=0,$X110,IF(AND($T110&lt;&gt;"",EDATE($D110,Milestones!$AA$136)&gt;=$T110),$W110,IF(AND($S110&lt;&gt;"",EDATE($D110,Milestones!$AA$136)&gt;=$S110),$V110,$U110)))=Milestones!$AB$136),UPPER(TEXT(EDATE($D110,Milestones!$AA$136),"dd mmm yy"))&amp;" "&amp;Milestones!$AB$136&amp;" "&amp;Milestones!$AC$136&amp;";  ","")&amp;IF(AND(EDATE($D110,Milestones!$AA$137)&lt;=AsOfDate,IF($R110=0,$X110,IF(AND($T110&lt;&gt;"",EDATE($D110,Milestones!$AA$137)&gt;=$T110),$W110,IF(AND($S110&lt;&gt;"",EDATE($D110,Milestones!$AA$137)&gt;=$S110),$V110,$U110)))=Milestones!$AB$137),UPPER(TEXT(EDATE($D110,Milestones!$AA$137),"dd mmm yy"))&amp;" "&amp;Milestones!$AB$137&amp;" "&amp;Milestones!$AC$137&amp;";  ","")&amp;IF(AND(EDATE($D110,Milestones!$AA$138)&lt;=AsOfDate,IF($R110=0,$X110,IF(AND($T110&lt;&gt;"",EDATE($D110,Milestones!$AA$138)&gt;=$T110),$W110,IF(AND($S110&lt;&gt;"",EDATE($D110,Milestones!$AA$138)&gt;=$S110),$V110,$U110)))=Milestones!$AB$138),UPPER(TEXT(EDATE($D110,Milestones!$AA$138),"dd mmm yy"))&amp;" "&amp;Milestones!$AB$138&amp;" "&amp;Milestones!$AC$138&amp;";  ","")&amp;IF(AND(EDATE($D110,Milestones!$AA$139)&lt;=AsOfDate,IF($R110=0,$X110,IF(AND($T110&lt;&gt;"",EDATE($D110,Milestones!$AA$139)&gt;=$T110),$W110,IF(AND($S110&lt;&gt;"",EDATE($D110,Milestones!$AA$139)&gt;=$S110),$V110,$U110)))=Milestones!$AB$139),UPPER(TEXT(EDATE($D110,Milestones!$AA$139),"dd mmm yy"))&amp;" "&amp;Milestones!$AB$139&amp;" "&amp;Milestones!$AC$139&amp;";  ",""))</f>
        <v/>
      </c>
      <c r="O110" s="0" t="str">
        <f aca="false">IF(OR($A110="",$D110=""),"",IF(AND(EDATE($D110,Milestones!$AA$140)&lt;=AsOfDate,IF($R110=0,$X110,IF(AND($T110&lt;&gt;"",EDATE($D110,Milestones!$AA$140)&gt;=$T110),$W110,IF(AND($S110&lt;&gt;"",EDATE($D110,Milestones!$AA$140)&gt;=$S110),$V110,$U110)))=Milestones!$AB$140),UPPER(TEXT(EDATE($D110,Milestones!$AA$140),"dd mmm yy"))&amp;" "&amp;Milestones!$AB$140&amp;" "&amp;Milestones!$AC$140&amp;";  ","")&amp;IF(AND(EDATE($D110,Milestones!$AA$141)&lt;=AsOfDate,IF($R110=0,$X110,IF(AND($T110&lt;&gt;"",EDATE($D110,Milestones!$AA$141)&gt;=$T110),$W110,IF(AND($S110&lt;&gt;"",EDATE($D110,Milestones!$AA$141)&gt;=$S110),$V110,$U110)))=Milestones!$AB$141),UPPER(TEXT(EDATE($D110,Milestones!$AA$141),"dd mmm yy"))&amp;" "&amp;Milestones!$AB$141&amp;" "&amp;Milestones!$AC$141&amp;";  ","")&amp;IF(AND(EDATE($D110,Milestones!$AA$142)&lt;=AsOfDate,IF($R110=0,$X110,IF(AND($T110&lt;&gt;"",EDATE($D110,Milestones!$AA$142)&gt;=$T110),$W110,IF(AND($S110&lt;&gt;"",EDATE($D110,Milestones!$AA$142)&gt;=$S110),$V110,$U110)))=Milestones!$AB$142),UPPER(TEXT(EDATE($D110,Milestones!$AA$142),"dd mmm yy"))&amp;" "&amp;Milestones!$AB$142&amp;" "&amp;Milestones!$AC$142&amp;";  ","")&amp;IF(AND(EDATE($D110,Milestones!$AA$143)&lt;=AsOfDate,IF($R110=0,$X110,IF(AND($T110&lt;&gt;"",EDATE($D110,Milestones!$AA$143)&gt;=$T110),$W110,IF(AND($S110&lt;&gt;"",EDATE($D110,Milestones!$AA$143)&gt;=$S110),$V110,$U110)))=Milestones!$AB$143),UPPER(TEXT(EDATE($D110,Milestones!$AA$143),"dd mmm yy"))&amp;" "&amp;Milestones!$AB$143&amp;" "&amp;Milestones!$AC$143&amp;";  ","")&amp;IF(AND(EDATE($D110,Milestones!$AA$144)&lt;=AsOfDate,IF($R110=0,$X110,IF(AND($T110&lt;&gt;"",EDATE($D110,Milestones!$AA$144)&gt;=$T110),$W110,IF(AND($S110&lt;&gt;"",EDATE($D110,Milestones!$AA$144)&gt;=$S110),$V110,$U110)))=Milestones!$AB$144),UPPER(TEXT(EDATE($D110,Milestones!$AA$144),"dd mmm yy"))&amp;" "&amp;Milestones!$AB$144&amp;" "&amp;Milestones!$AC$144&amp;";  ","")&amp;IF(AND(EDATE($D110,Milestones!$AA$145)&lt;=AsOfDate,IF($R110=0,$X110,IF(AND($T110&lt;&gt;"",EDATE($D110,Milestones!$AA$145)&gt;=$T110),$W110,IF(AND($S110&lt;&gt;"",EDATE($D110,Milestones!$AA$145)&gt;=$S110),$V110,$U110)))=Milestones!$AB$145),UPPER(TEXT(EDATE($D110,Milestones!$AA$145),"dd mmm yy"))&amp;" "&amp;Milestones!$AB$145&amp;" "&amp;Milestones!$AC$145&amp;";  ","")&amp;IF(AND(EDATE($D110,Milestones!$AA$146)&lt;=AsOfDate,IF($R110=0,$X110,IF(AND($T110&lt;&gt;"",EDATE($D110,Milestones!$AA$146)&gt;=$T110),$W110,IF(AND($S110&lt;&gt;"",EDATE($D110,Milestones!$AA$146)&gt;=$S110),$V110,$U110)))=Milestones!$AB$146),UPPER(TEXT(EDATE($D110,Milestones!$AA$146),"dd mmm yy"))&amp;" "&amp;Milestones!$AB$146&amp;" "&amp;Milestones!$AC$146&amp;";  ","")&amp;IF(AND(EDATE($D110,Milestones!$AA$147)&lt;=AsOfDate,IF($R110=0,$X110,IF(AND($T110&lt;&gt;"",EDATE($D110,Milestones!$AA$147)&gt;=$T110),$W110,IF(AND($S110&lt;&gt;"",EDATE($D110,Milestones!$AA$147)&gt;=$S110),$V110,$U110)))=Milestones!$AB$147),UPPER(TEXT(EDATE($D110,Milestones!$AA$147),"dd mmm yy"))&amp;" "&amp;Milestones!$AB$147&amp;" "&amp;Milestones!$AC$147&amp;";  ","")&amp;IF(AND(EDATE($D110,Milestones!$AA$148)&lt;=AsOfDate,IF($R110=0,$X110,IF(AND($T110&lt;&gt;"",EDATE($D110,Milestones!$AA$148)&gt;=$T110),$W110,IF(AND($S110&lt;&gt;"",EDATE($D110,Milestones!$AA$148)&gt;=$S110),$V110,$U110)))=Milestones!$AB$148),UPPER(TEXT(EDATE($D110,Milestones!$AA$148),"dd mmm yy"))&amp;" "&amp;Milestones!$AB$148&amp;" "&amp;Milestones!$AC$148&amp;";  ","")&amp;IF(AND(EDATE($D110,Milestones!$AA$149)&lt;=AsOfDate,IF($R110=0,$X110,IF(AND($T110&lt;&gt;"",EDATE($D110,Milestones!$AA$149)&gt;=$T110),$W110,IF(AND($S110&lt;&gt;"",EDATE($D110,Milestones!$AA$149)&gt;=$S110),$V110,$U110)))=Milestones!$AB$149),UPPER(TEXT(EDATE($D110,Milestones!$AA$149),"dd mmm yy"))&amp;" "&amp;Milestones!$AB$149&amp;" "&amp;Milestones!$AC$149&amp;";  ","")&amp;IF(AND(EDATE($D110,Milestones!$AA$150)&lt;=AsOfDate,IF($R110=0,$X110,IF(AND($T110&lt;&gt;"",EDATE($D110,Milestones!$AA$150)&gt;=$T110),$W110,IF(AND($S110&lt;&gt;"",EDATE($D110,Milestones!$AA$150)&gt;=$S110),$V110,$U110)))=Milestones!$AB$150),UPPER(TEXT(EDATE($D110,Milestones!$AA$150),"dd mmm yy"))&amp;" "&amp;Milestones!$AB$150&amp;" "&amp;Milestones!$AC$150&amp;";  ","")&amp;IF(AND(EDATE($D110,Milestones!$AA$151)&lt;=AsOfDate,IF($R110=0,$X110,IF(AND($T110&lt;&gt;"",EDATE($D110,Milestones!$AA$151)&gt;=$T110),$W110,IF(AND($S110&lt;&gt;"",EDATE($D110,Milestones!$AA$151)&gt;=$S110),$V110,$U110)))=Milestones!$AB$151),UPPER(TEXT(EDATE($D110,Milestones!$AA$151),"dd mmm yy"))&amp;" "&amp;Milestones!$AB$151&amp;" "&amp;Milestones!$AC$151&amp;";  ","")&amp;IF(AND(EDATE($D110,Milestones!$AA$152)&lt;=AsOfDate,IF($R110=0,$X110,IF(AND($T110&lt;&gt;"",EDATE($D110,Milestones!$AA$152)&gt;=$T110),$W110,IF(AND($S110&lt;&gt;"",EDATE($D110,Milestones!$AA$152)&gt;=$S110),$V110,$U110)))=Milestones!$AB$152),UPPER(TEXT(EDATE($D110,Milestones!$AA$152),"dd mmm yy"))&amp;" "&amp;Milestones!$AB$152&amp;" "&amp;Milestones!$AC$152&amp;";  ","")&amp;IF(AND(EDATE($D110,Milestones!$AA$153)&lt;=AsOfDate,IF($R110=0,$X110,IF(AND($T110&lt;&gt;"",EDATE($D110,Milestones!$AA$153)&gt;=$T110),$W110,IF(AND($S110&lt;&gt;"",EDATE($D110,Milestones!$AA$153)&gt;=$S110),$V110,$U110)))=Milestones!$AB$153),UPPER(TEXT(EDATE($D110,Milestones!$AA$153),"dd mmm yy"))&amp;" "&amp;Milestones!$AB$153&amp;" "&amp;Milestones!$AC$153&amp;";  ","")&amp;IF(AND(EDATE($D110,Milestones!$AA$154)&lt;=AsOfDate,IF($R110=0,$X110,IF(AND($T110&lt;&gt;"",EDATE($D110,Milestones!$AA$154)&gt;=$T110),$W110,IF(AND($S110&lt;&gt;"",EDATE($D110,Milestones!$AA$154)&gt;=$S110),$V110,$U110)))=Milestones!$AB$154),UPPER(TEXT(EDATE($D110,Milestones!$AA$154),"dd mmm yy"))&amp;" "&amp;Milestones!$AB$154&amp;" "&amp;Milestones!$AC$154&amp;";  ","")&amp;IF(AND(EDATE($D110,Milestones!$AA$155)&lt;=AsOfDate,IF($R110=0,$X110,IF(AND($T110&lt;&gt;"",EDATE($D110,Milestones!$AA$155)&gt;=$T110),$W110,IF(AND($S110&lt;&gt;"",EDATE($D110,Milestones!$AA$155)&gt;=$S110),$V110,$U110)))=Milestones!$AB$155),UPPER(TEXT(EDATE($D110,Milestones!$AA$155),"dd mmm yy"))&amp;" "&amp;Milestones!$AB$155&amp;" "&amp;Milestones!$AC$155&amp;";  ","")&amp;IF(AND(EDATE($D110,Milestones!$AA$156)&lt;=AsOfDate,IF($R110=0,$X110,IF(AND($T110&lt;&gt;"",EDATE($D110,Milestones!$AA$156)&gt;=$T110),$W110,IF(AND($S110&lt;&gt;"",EDATE($D110,Milestones!$AA$156)&gt;=$S110),$V110,$U110)))=Milestones!$AB$156),UPPER(TEXT(EDATE($D110,Milestones!$AA$156),"dd mmm yy"))&amp;" "&amp;Milestones!$AB$156&amp;" "&amp;Milestones!$AC$156&amp;";  ","")&amp;IF(AND(EDATE($D110,Milestones!$AA$157)&lt;=AsOfDate,IF($R110=0,$X110,IF(AND($T110&lt;&gt;"",EDATE($D110,Milestones!$AA$157)&gt;=$T110),$W110,IF(AND($S110&lt;&gt;"",EDATE($D110,Milestones!$AA$157)&gt;=$S110),$V110,$U110)))=Milestones!$AB$157),UPPER(TEXT(EDATE($D110,Milestones!$AA$157),"dd mmm yy"))&amp;" "&amp;Milestones!$AB$157&amp;" "&amp;Milestones!$AC$157&amp;";  ","")&amp;IF(AND(EDATE($D110,Milestones!$AA$158)&lt;=AsOfDate,IF($R110=0,$X110,IF(AND($T110&lt;&gt;"",EDATE($D110,Milestones!$AA$158)&gt;=$T110),$W110,IF(AND($S110&lt;&gt;"",EDATE($D110,Milestones!$AA$158)&gt;=$S110),$V110,$U110)))=Milestones!$AB$158),UPPER(TEXT(EDATE($D110,Milestones!$AA$158),"dd mmm yy"))&amp;" "&amp;Milestones!$AB$158&amp;" "&amp;Milestones!$AC$158&amp;";  ","")&amp;IF(AND(EDATE($D110,Milestones!$AA$159)&lt;=AsOfDate,IF($R110=0,$X110,IF(AND($T110&lt;&gt;"",EDATE($D110,Milestones!$AA$159)&gt;=$T110),$W110,IF(AND($S110&lt;&gt;"",EDATE($D110,Milestones!$AA$159)&gt;=$S110),$V110,$U110)))=Milestones!$AB$159),UPPER(TEXT(EDATE($D110,Milestones!$AA$159),"dd mmm yy"))&amp;" "&amp;Milestones!$AB$159&amp;" "&amp;Milestones!$AC$159&amp;";  ",""))</f>
        <v/>
      </c>
      <c r="P110" s="0" t="str">
        <f aca="false">IF(OR($A110="",$D110=""),"",IF(AND(EDATE($D110,Milestones!$AA$160)&lt;=AsOfDate,IF($R110=0,$X110,IF(AND($T110&lt;&gt;"",EDATE($D110,Milestones!$AA$160)&gt;=$T110),$W110,IF(AND($S110&lt;&gt;"",EDATE($D110,Milestones!$AA$160)&gt;=$S110),$V110,$U110)))=Milestones!$AB$160),UPPER(TEXT(EDATE($D110,Milestones!$AA$160),"dd mmm yy"))&amp;" "&amp;Milestones!$AB$160&amp;" "&amp;Milestones!$AC$160&amp;";  ","")&amp;IF(AND(EDATE($D110,Milestones!$AA$161)&lt;=AsOfDate,IF($R110=0,$X110,IF(AND($T110&lt;&gt;"",EDATE($D110,Milestones!$AA$161)&gt;=$T110),$W110,IF(AND($S110&lt;&gt;"",EDATE($D110,Milestones!$AA$161)&gt;=$S110),$V110,$U110)))=Milestones!$AB$161),UPPER(TEXT(EDATE($D110,Milestones!$AA$161),"dd mmm yy"))&amp;" "&amp;Milestones!$AB$161&amp;" "&amp;Milestones!$AC$161&amp;";  ","")&amp;IF(AND(EDATE($D110,Milestones!$AA$162)&lt;=AsOfDate,IF($R110=0,$X110,IF(AND($T110&lt;&gt;"",EDATE($D110,Milestones!$AA$162)&gt;=$T110),$W110,IF(AND($S110&lt;&gt;"",EDATE($D110,Milestones!$AA$162)&gt;=$S110),$V110,$U110)))=Milestones!$AB$162),UPPER(TEXT(EDATE($D110,Milestones!$AA$162),"dd mmm yy"))&amp;" "&amp;Milestones!$AB$162&amp;" "&amp;Milestones!$AC$162&amp;";  ","")&amp;IF(AND(EDATE($D110,Milestones!$AA$163)&lt;=AsOfDate,IF($R110=0,$X110,IF(AND($T110&lt;&gt;"",EDATE($D110,Milestones!$AA$163)&gt;=$T110),$W110,IF(AND($S110&lt;&gt;"",EDATE($D110,Milestones!$AA$163)&gt;=$S110),$V110,$U110)))=Milestones!$AB$163),UPPER(TEXT(EDATE($D110,Milestones!$AA$163),"dd mmm yy"))&amp;" "&amp;Milestones!$AB$163&amp;" "&amp;Milestones!$AC$163&amp;";  ","")&amp;IF(AND(EDATE($D110,Milestones!$AA$164)&lt;=AsOfDate,IF($R110=0,$X110,IF(AND($T110&lt;&gt;"",EDATE($D110,Milestones!$AA$164)&gt;=$T110),$W110,IF(AND($S110&lt;&gt;"",EDATE($D110,Milestones!$AA$164)&gt;=$S110),$V110,$U110)))=Milestones!$AB$164),UPPER(TEXT(EDATE($D110,Milestones!$AA$164),"dd mmm yy"))&amp;" "&amp;Milestones!$AB$164&amp;" "&amp;Milestones!$AC$164&amp;";  ","")&amp;IF(AND(EDATE($D110,Milestones!$AA$165)&lt;=AsOfDate,IF($R110=0,$X110,IF(AND($T110&lt;&gt;"",EDATE($D110,Milestones!$AA$165)&gt;=$T110),$W110,IF(AND($S110&lt;&gt;"",EDATE($D110,Milestones!$AA$165)&gt;=$S110),$V110,$U110)))=Milestones!$AB$165),UPPER(TEXT(EDATE($D110,Milestones!$AA$165),"dd mmm yy"))&amp;" "&amp;Milestones!$AB$165&amp;" "&amp;Milestones!$AC$165&amp;";  ","")&amp;IF(AND(EDATE($D110,Milestones!$AA$166)&lt;=AsOfDate,IF($R110=0,$X110,IF(AND($T110&lt;&gt;"",EDATE($D110,Milestones!$AA$166)&gt;=$T110),$W110,IF(AND($S110&lt;&gt;"",EDATE($D110,Milestones!$AA$166)&gt;=$S110),$V110,$U110)))=Milestones!$AB$166),UPPER(TEXT(EDATE($D110,Milestones!$AA$166),"dd mmm yy"))&amp;" "&amp;Milestones!$AB$166&amp;" "&amp;Milestones!$AC$166&amp;";  ","")&amp;IF(AND(EDATE($D110,Milestones!$AA$167)&lt;=AsOfDate,IF($R110=0,$X110,IF(AND($T110&lt;&gt;"",EDATE($D110,Milestones!$AA$167)&gt;=$T110),$W110,IF(AND($S110&lt;&gt;"",EDATE($D110,Milestones!$AA$167)&gt;=$S110),$V110,$U110)))=Milestones!$AB$167),UPPER(TEXT(EDATE($D110,Milestones!$AA$167),"dd mmm yy"))&amp;" "&amp;Milestones!$AB$167&amp;" "&amp;Milestones!$AC$167&amp;";  ","")&amp;IF(AND(EDATE($D110,Milestones!$AA$168)&lt;=AsOfDate,IF($R110=0,$X110,IF(AND($T110&lt;&gt;"",EDATE($D110,Milestones!$AA$168)&gt;=$T110),$W110,IF(AND($S110&lt;&gt;"",EDATE($D110,Milestones!$AA$168)&gt;=$S110),$V110,$U110)))=Milestones!$AB$168),UPPER(TEXT(EDATE($D110,Milestones!$AA$168),"dd mmm yy"))&amp;" "&amp;Milestones!$AB$168&amp;" "&amp;Milestones!$AC$168&amp;";  ","")&amp;IF(AND(EDATE($D110,Milestones!$AA$169)&lt;=AsOfDate,IF($R110=0,$X110,IF(AND($T110&lt;&gt;"",EDATE($D110,Milestones!$AA$169)&gt;=$T110),$W110,IF(AND($S110&lt;&gt;"",EDATE($D110,Milestones!$AA$169)&gt;=$S110),$V110,$U110)))=Milestones!$AB$169),UPPER(TEXT(EDATE($D110,Milestones!$AA$169),"dd mmm yy"))&amp;" "&amp;Milestones!$AB$169&amp;" "&amp;Milestones!$AC$169&amp;";  ","")&amp;IF(AND(EDATE($D110,Milestones!$AA$170)&lt;=AsOfDate,IF($R110=0,$X110,IF(AND($T110&lt;&gt;"",EDATE($D110,Milestones!$AA$170)&gt;=$T110),$W110,IF(AND($S110&lt;&gt;"",EDATE($D110,Milestones!$AA$170)&gt;=$S110),$V110,$U110)))=Milestones!$AB$170),UPPER(TEXT(EDATE($D110,Milestones!$AA$170),"dd mmm yy"))&amp;" "&amp;Milestones!$AB$170&amp;" "&amp;Milestones!$AC$170&amp;";  ","")&amp;IF(AND(EDATE($D110,Milestones!$AA$171)&lt;=AsOfDate,IF($R110=0,$X110,IF(AND($T110&lt;&gt;"",EDATE($D110,Milestones!$AA$171)&gt;=$T110),$W110,IF(AND($S110&lt;&gt;"",EDATE($D110,Milestones!$AA$171)&gt;=$S110),$V110,$U110)))=Milestones!$AB$171),UPPER(TEXT(EDATE($D110,Milestones!$AA$171),"dd mmm yy"))&amp;" "&amp;Milestones!$AB$171&amp;" "&amp;Milestones!$AC$171&amp;";  ","")&amp;IF(AND(EDATE($D110,Milestones!$AA$172)&lt;=AsOfDate,IF($R110=0,$X110,IF(AND($T110&lt;&gt;"",EDATE($D110,Milestones!$AA$172)&gt;=$T110),$W110,IF(AND($S110&lt;&gt;"",EDATE($D110,Milestones!$AA$172)&gt;=$S110),$V110,$U110)))=Milestones!$AB$172),UPPER(TEXT(EDATE($D110,Milestones!$AA$172),"dd mmm yy"))&amp;" "&amp;Milestones!$AB$172&amp;" "&amp;Milestones!$AC$172&amp;";  ","")&amp;IF(AND(EDATE($D110,Milestones!$AA$173)&lt;=AsOfDate,IF($R110=0,$X110,IF(AND($T110&lt;&gt;"",EDATE($D110,Milestones!$AA$173)&gt;=$T110),$W110,IF(AND($S110&lt;&gt;"",EDATE($D110,Milestones!$AA$173)&gt;=$S110),$V110,$U110)))=Milestones!$AB$173),UPPER(TEXT(EDATE($D110,Milestones!$AA$173),"dd mmm yy"))&amp;" "&amp;Milestones!$AB$173&amp;" "&amp;Milestones!$AC$173&amp;";  ","")&amp;IF(AND(EDATE($D110,Milestones!$AA$174)&lt;=AsOfDate,IF($R110=0,$X110,IF(AND($T110&lt;&gt;"",EDATE($D110,Milestones!$AA$174)&gt;=$T110),$W110,IF(AND($S110&lt;&gt;"",EDATE($D110,Milestones!$AA$174)&gt;=$S110),$V110,$U110)))=Milestones!$AB$174),UPPER(TEXT(EDATE($D110,Milestones!$AA$174),"dd mmm yy"))&amp;" "&amp;Milestones!$AB$174&amp;" "&amp;Milestones!$AC$174&amp;";  ","")&amp;IF(AND(EDATE($D110,Milestones!$AA$175)&lt;=AsOfDate,IF($R110=0,$X110,IF(AND($T110&lt;&gt;"",EDATE($D110,Milestones!$AA$175)&gt;=$T110),$W110,IF(AND($S110&lt;&gt;"",EDATE($D110,Milestones!$AA$175)&gt;=$S110),$V110,$U110)))=Milestones!$AB$175),UPPER(TEXT(EDATE($D110,Milestones!$AA$175),"dd mmm yy"))&amp;" "&amp;Milestones!$AB$175&amp;" "&amp;Milestones!$AC$175&amp;";  ","")&amp;IF(AND(EDATE($D110,Milestones!$AA$176)&lt;=AsOfDate,IF($R110=0,$X110,IF(AND($T110&lt;&gt;"",EDATE($D110,Milestones!$AA$176)&gt;=$T110),$W110,IF(AND($S110&lt;&gt;"",EDATE($D110,Milestones!$AA$176)&gt;=$S110),$V110,$U110)))=Milestones!$AB$176),UPPER(TEXT(EDATE($D110,Milestones!$AA$176),"dd mmm yy"))&amp;" "&amp;Milestones!$AB$176&amp;" "&amp;Milestones!$AC$176&amp;";  ","")&amp;IF(AND(EDATE($D110,Milestones!$AA$177)&lt;=AsOfDate,IF($R110=0,$X110,IF(AND($T110&lt;&gt;"",EDATE($D110,Milestones!$AA$177)&gt;=$T110),$W110,IF(AND($S110&lt;&gt;"",EDATE($D110,Milestones!$AA$177)&gt;=$S110),$V110,$U110)))=Milestones!$AB$177),UPPER(TEXT(EDATE($D110,Milestones!$AA$177),"dd mmm yy"))&amp;" "&amp;Milestones!$AB$177&amp;" "&amp;Milestones!$AC$177&amp;";  ","")&amp;IF(AND(EDATE($D110,Milestones!$AA$178)&lt;=AsOfDate,IF($R110=0,$X110,IF(AND($T110&lt;&gt;"",EDATE($D110,Milestones!$AA$178)&gt;=$T110),$W110,IF(AND($S110&lt;&gt;"",EDATE($D110,Milestones!$AA$178)&gt;=$S110),$V110,$U110)))=Milestones!$AB$178),UPPER(TEXT(EDATE($D110,Milestones!$AA$178),"dd mmm yy"))&amp;" "&amp;Milestones!$AB$178&amp;" "&amp;Milestones!$AC$178&amp;";  ","")&amp;IF(AND(EDATE($D110,Milestones!$AA$179)&lt;=AsOfDate,IF($R110=0,$X110,IF(AND($T110&lt;&gt;"",EDATE($D110,Milestones!$AA$179)&gt;=$T110),$W110,IF(AND($S110&lt;&gt;"",EDATE($D110,Milestones!$AA$179)&gt;=$S110),$V110,$U110)))=Milestones!$AB$179),UPPER(TEXT(EDATE($D110,Milestones!$AA$179),"dd mmm yy"))&amp;" "&amp;Milestones!$AB$179&amp;" "&amp;Milestones!$AC$179&amp;";  ",""))</f>
        <v/>
      </c>
      <c r="Q110" s="0" t="str">
        <f aca="false">IF(OR($A110="",$D110=""),"",IF(AND(EDATE($D110,Milestones!$AA$180)&lt;=AsOfDate,IF($R110=0,$X110,IF(AND($T110&lt;&gt;"",EDATE($D110,Milestones!$AA$180)&gt;=$T110),$W110,IF(AND($S110&lt;&gt;"",EDATE($D110,Milestones!$AA$180)&gt;=$S110),$V110,$U110)))=Milestones!$AB$180),UPPER(TEXT(EDATE($D110,Milestones!$AA$180),"dd mmm yy"))&amp;" "&amp;Milestones!$AB$180&amp;" "&amp;Milestones!$AC$180&amp;";  ","")&amp;IF(AND(EDATE($D110,Milestones!$AA$181)&lt;=AsOfDate,IF($R110=0,$X110,IF(AND($T110&lt;&gt;"",EDATE($D110,Milestones!$AA$181)&gt;=$T110),$W110,IF(AND($S110&lt;&gt;"",EDATE($D110,Milestones!$AA$181)&gt;=$S110),$V110,$U110)))=Milestones!$AB$181),UPPER(TEXT(EDATE($D110,Milestones!$AA$181),"dd mmm yy"))&amp;" "&amp;Milestones!$AB$181&amp;" "&amp;Milestones!$AC$181&amp;";  ","")&amp;IF(AND(EDATE($D110,Milestones!$AA$182)&lt;=AsOfDate,IF($R110=0,$X110,IF(AND($T110&lt;&gt;"",EDATE($D110,Milestones!$AA$182)&gt;=$T110),$W110,IF(AND($S110&lt;&gt;"",EDATE($D110,Milestones!$AA$182)&gt;=$S110),$V110,$U110)))=Milestones!$AB$182),UPPER(TEXT(EDATE($D110,Milestones!$AA$182),"dd mmm yy"))&amp;" "&amp;Milestones!$AB$182&amp;" "&amp;Milestones!$AC$182&amp;";  ","")&amp;IF(AND(EDATE($D110,Milestones!$AA$183)&lt;=AsOfDate,IF($R110=0,$X110,IF(AND($T110&lt;&gt;"",EDATE($D110,Milestones!$AA$183)&gt;=$T110),$W110,IF(AND($S110&lt;&gt;"",EDATE($D110,Milestones!$AA$183)&gt;=$S110),$V110,$U110)))=Milestones!$AB$183),UPPER(TEXT(EDATE($D110,Milestones!$AA$183),"dd mmm yy"))&amp;" "&amp;Milestones!$AB$183&amp;" "&amp;Milestones!$AC$183&amp;";  ","")&amp;IF(AND(EDATE($D110,Milestones!$AA$184)&lt;=AsOfDate,IF($R110=0,$X110,IF(AND($T110&lt;&gt;"",EDATE($D110,Milestones!$AA$184)&gt;=$T110),$W110,IF(AND($S110&lt;&gt;"",EDATE($D110,Milestones!$AA$184)&gt;=$S110),$V110,$U110)))=Milestones!$AB$184),UPPER(TEXT(EDATE($D110,Milestones!$AA$184),"dd mmm yy"))&amp;" "&amp;Milestones!$AB$184&amp;" "&amp;Milestones!$AC$184&amp;";  ","")&amp;IF(AND(EDATE($D110,Milestones!$AA$185)&lt;=AsOfDate,IF($R110=0,$X110,IF(AND($T110&lt;&gt;"",EDATE($D110,Milestones!$AA$185)&gt;=$T110),$W110,IF(AND($S110&lt;&gt;"",EDATE($D110,Milestones!$AA$185)&gt;=$S110),$V110,$U110)))=Milestones!$AB$185),UPPER(TEXT(EDATE($D110,Milestones!$AA$185),"dd mmm yy"))&amp;" "&amp;Milestones!$AB$185&amp;" "&amp;Milestones!$AC$185&amp;";  ","")&amp;IF(AND(EDATE($D110,Milestones!$AA$186)&lt;=AsOfDate,IF($R110=0,$X110,IF(AND($T110&lt;&gt;"",EDATE($D110,Milestones!$AA$186)&gt;=$T110),$W110,IF(AND($S110&lt;&gt;"",EDATE($D110,Milestones!$AA$186)&gt;=$S110),$V110,$U110)))=Milestones!$AB$186),UPPER(TEXT(EDATE($D110,Milestones!$AA$186),"dd mmm yy"))&amp;" "&amp;Milestones!$AB$186&amp;" "&amp;Milestones!$AC$186&amp;";  ","")&amp;IF(AND(EDATE($D110,Milestones!$AA$187)&lt;=AsOfDate,IF($R110=0,$X110,IF(AND($T110&lt;&gt;"",EDATE($D110,Milestones!$AA$187)&gt;=$T110),$W110,IF(AND($S110&lt;&gt;"",EDATE($D110,Milestones!$AA$187)&gt;=$S110),$V110,$U110)))=Milestones!$AB$187),UPPER(TEXT(EDATE($D110,Milestones!$AA$187),"dd mmm yy"))&amp;" "&amp;Milestones!$AB$187&amp;" "&amp;Milestones!$AC$187&amp;";  ","")&amp;IF(AND(EDATE($D110,Milestones!$AA$188)&lt;=AsOfDate,IF($R110=0,$X110,IF(AND($T110&lt;&gt;"",EDATE($D110,Milestones!$AA$188)&gt;=$T110),$W110,IF(AND($S110&lt;&gt;"",EDATE($D110,Milestones!$AA$188)&gt;=$S110),$V110,$U110)))=Milestones!$AB$188),UPPER(TEXT(EDATE($D110,Milestones!$AA$188),"dd mmm yy"))&amp;" "&amp;Milestones!$AB$188&amp;" "&amp;Milestones!$AC$188&amp;";  ","")&amp;IF(AND(EDATE($D110,Milestones!$AA$189)&lt;=AsOfDate,IF($R110=0,$X110,IF(AND($T110&lt;&gt;"",EDATE($D110,Milestones!$AA$189)&gt;=$T110),$W110,IF(AND($S110&lt;&gt;"",EDATE($D110,Milestones!$AA$189)&gt;=$S110),$V110,$U110)))=Milestones!$AB$189),UPPER(TEXT(EDATE($D110,Milestones!$AA$189),"dd mmm yy"))&amp;" "&amp;Milestones!$AB$189&amp;" "&amp;Milestones!$AC$189&amp;";  ","")&amp;IF(AND(EDATE($D110,Milestones!$AA$190)&lt;=AsOfDate,IF($R110=0,$X110,IF(AND($T110&lt;&gt;"",EDATE($D110,Milestones!$AA$190)&gt;=$T110),$W110,IF(AND($S110&lt;&gt;"",EDATE($D110,Milestones!$AA$190)&gt;=$S110),$V110,$U110)))=Milestones!$AB$190),UPPER(TEXT(EDATE($D110,Milestones!$AA$190),"dd mmm yy"))&amp;" "&amp;Milestones!$AB$190&amp;" "&amp;Milestones!$AC$190&amp;";  ","")&amp;IF(AND(EDATE($D110,Milestones!$AA$191)&lt;=AsOfDate,IF($R110=0,$X110,IF(AND($T110&lt;&gt;"",EDATE($D110,Milestones!$AA$191)&gt;=$T110),$W110,IF(AND($S110&lt;&gt;"",EDATE($D110,Milestones!$AA$191)&gt;=$S110),$V110,$U110)))=Milestones!$AB$191),UPPER(TEXT(EDATE($D110,Milestones!$AA$191),"dd mmm yy"))&amp;" "&amp;Milestones!$AB$191&amp;" "&amp;Milestones!$AC$191&amp;";  ","")&amp;IF(AND(EDATE($D110,Milestones!$AA$192)&lt;=AsOfDate,IF($R110=0,$X110,IF(AND($T110&lt;&gt;"",EDATE($D110,Milestones!$AA$192)&gt;=$T110),$W110,IF(AND($S110&lt;&gt;"",EDATE($D110,Milestones!$AA$192)&gt;=$S110),$V110,$U110)))=Milestones!$AB$192),UPPER(TEXT(EDATE($D110,Milestones!$AA$192),"dd mmm yy"))&amp;" "&amp;Milestones!$AB$192&amp;" "&amp;Milestones!$AC$192&amp;";  ","")&amp;IF(AND(EDATE($D110,Milestones!$AA$193)&lt;=AsOfDate,IF($R110=0,$X110,IF(AND($T110&lt;&gt;"",EDATE($D110,Milestones!$AA$193)&gt;=$T110),$W110,IF(AND($S110&lt;&gt;"",EDATE($D110,Milestones!$AA$193)&gt;=$S110),$V110,$U110)))=Milestones!$AB$193),UPPER(TEXT(EDATE($D110,Milestones!$AA$193),"dd mmm yy"))&amp;" "&amp;Milestones!$AB$193&amp;" "&amp;Milestones!$AC$193&amp;";  ","")&amp;IF(AND(EDATE($D110,Milestones!$AA$194)&lt;=AsOfDate,IF($R110=0,$X110,IF(AND($T110&lt;&gt;"",EDATE($D110,Milestones!$AA$194)&gt;=$T110),$W110,IF(AND($S110&lt;&gt;"",EDATE($D110,Milestones!$AA$194)&gt;=$S110),$V110,$U110)))=Milestones!$AB$194),UPPER(TEXT(EDATE($D110,Milestones!$AA$194),"dd mmm yy"))&amp;" "&amp;Milestones!$AB$194&amp;" "&amp;Milestones!$AC$194&amp;";  ","")&amp;IF(AND(EDATE($D110,Milestones!$AA$195)&lt;=AsOfDate,IF($R110=0,$X110,IF(AND($T110&lt;&gt;"",EDATE($D110,Milestones!$AA$195)&gt;=$T110),$W110,IF(AND($S110&lt;&gt;"",EDATE($D110,Milestones!$AA$195)&gt;=$S110),$V110,$U110)))=Milestones!$AB$195),UPPER(TEXT(EDATE($D110,Milestones!$AA$195),"dd mmm yy"))&amp;" "&amp;Milestones!$AB$195&amp;" "&amp;Milestones!$AC$195&amp;";  ","")&amp;IF(AND(EDATE($D110,Milestones!$AA$196)&lt;=AsOfDate,IF($R110=0,$X110,IF(AND($T110&lt;&gt;"",EDATE($D110,Milestones!$AA$196)&gt;=$T110),$W110,IF(AND($S110&lt;&gt;"",EDATE($D110,Milestones!$AA$196)&gt;=$S110),$V110,$U110)))=Milestones!$AB$196),UPPER(TEXT(EDATE($D110,Milestones!$AA$196),"dd mmm yy"))&amp;" "&amp;Milestones!$AB$196&amp;" "&amp;Milestones!$AC$196&amp;";  ","")&amp;IF(AND(EDATE($D110,Milestones!$AA$197)&lt;=AsOfDate,IF($R110=0,$X110,IF(AND($T110&lt;&gt;"",EDATE($D110,Milestones!$AA$197)&gt;=$T110),$W110,IF(AND($S110&lt;&gt;"",EDATE($D110,Milestones!$AA$197)&gt;=$S110),$V110,$U110)))=Milestones!$AB$197),UPPER(TEXT(EDATE($D110,Milestones!$AA$197),"dd mmm yy"))&amp;" "&amp;Milestones!$AB$197&amp;" "&amp;Milestones!$AC$197&amp;";  ","")&amp;IF(AND(EDATE($D110,Milestones!$AA$198)&lt;=AsOfDate,IF($R110=0,$X110,IF(AND($T110&lt;&gt;"",EDATE($D110,Milestones!$AA$198)&gt;=$T110),$W110,IF(AND($S110&lt;&gt;"",EDATE($D110,Milestones!$AA$198)&gt;=$S110),$V110,$U110)))=Milestones!$AB$198),UPPER(TEXT(EDATE($D110,Milestones!$AA$198),"dd mmm yy"))&amp;" "&amp;Milestones!$AB$198&amp;" "&amp;Milestones!$AC$198&amp;";  ","")&amp;IF(AND(EDATE($D110,Milestones!$AA$199)&lt;=AsOfDate,IF($R110=0,$X110,IF(AND($T110&lt;&gt;"",EDATE($D110,Milestones!$AA$199)&gt;=$T110),$W110,IF(AND($S110&lt;&gt;"",EDATE($D110,Milestones!$AA$199)&gt;=$S110),$V110,$U110)))=Milestones!$AB$199),UPPER(TEXT(EDATE($D110,Milestones!$AA$199),"dd mmm yy"))&amp;" "&amp;Milestones!$AB$199&amp;" "&amp;Milestones!$AC$199&amp;";  ",""))</f>
        <v/>
      </c>
      <c r="R110" s="0" t="str">
        <f aca="false">IF(Staff!$A110="","",Staff!$AI110)</f>
        <v/>
      </c>
      <c r="S110" s="0" t="str">
        <f aca="false">IF(Staff!$A110="","",Staff!$AK110)</f>
        <v/>
      </c>
      <c r="T110" s="0" t="str">
        <f aca="false">IF(Staff!$A110="","",Staff!$AL110)</f>
        <v/>
      </c>
      <c r="U110" s="0" t="str">
        <f aca="false">IF(Staff!$A110="","",Staff!$AP110)</f>
        <v/>
      </c>
      <c r="V110" s="0" t="str">
        <f aca="false">IF(Staff!$A110="","",Staff!$AQ110)</f>
        <v/>
      </c>
      <c r="W110" s="0" t="str">
        <f aca="false">IF(Staff!$A110="","",Staff!$AR110)</f>
        <v/>
      </c>
      <c r="X110" s="0" t="str">
        <f aca="false">IF(Staff!$A110="","",Staff!$AS110)</f>
        <v/>
      </c>
    </row>
    <row r="111" customFormat="false" ht="15" hidden="false" customHeight="false" outlineLevel="0" collapsed="false">
      <c r="A111" s="14" t="str">
        <f aca="false">IF(Staff!$A111="","",Staff!$A111)</f>
        <v/>
      </c>
      <c r="B111" s="14" t="str">
        <f aca="false">IF(Staff!$A111="","",Staff!$B111)</f>
        <v/>
      </c>
      <c r="C111" s="14" t="str">
        <f aca="false">IF(Staff!$A111="","",Staff!$C111)</f>
        <v/>
      </c>
      <c r="D111" s="12" t="str">
        <f aca="false">IF(Staff!$A111="","",Staff!$AH111)</f>
        <v/>
      </c>
      <c r="E111" s="14" t="str">
        <f aca="false">IF(Staff!$A111="","",Staff!$O111)</f>
        <v/>
      </c>
      <c r="F111" s="14" t="str">
        <f aca="false">IF(E111="","",E111*HoursPerDay)</f>
        <v/>
      </c>
      <c r="G111" s="14" t="str">
        <f aca="false">IF(Staff!$A111="","",Staff!$AE111)</f>
        <v/>
      </c>
      <c r="H111" s="26" t="str">
        <f aca="false">IF($A111="","",I111&amp;J111&amp;K111&amp;L111&amp;M111&amp;N111&amp;O111&amp;P111&amp;Q111)</f>
        <v/>
      </c>
      <c r="I111" s="0" t="str">
        <f aca="false">IF(OR($A111="",$D111=""),"",IF(AND(EDATE($D111,Milestones!$AA$20)&lt;=AsOfDate,IF($R111=0,$X111,IF(AND($T111&lt;&gt;"",EDATE($D111,Milestones!$AA$20)&gt;=$T111),$W111,IF(AND($S111&lt;&gt;"",EDATE($D111,Milestones!$AA$20)&gt;=$S111),$V111,$U111)))=Milestones!$AB$20),UPPER(TEXT(EDATE($D111,Milestones!$AA$20),"dd mmm yy"))&amp;" "&amp;Milestones!$AB$20&amp;" "&amp;Milestones!$AC$20&amp;";  ","")&amp;IF(AND(EDATE($D111,Milestones!$AA$21)&lt;=AsOfDate,IF($R111=0,$X111,IF(AND($T111&lt;&gt;"",EDATE($D111,Milestones!$AA$21)&gt;=$T111),$W111,IF(AND($S111&lt;&gt;"",EDATE($D111,Milestones!$AA$21)&gt;=$S111),$V111,$U111)))=Milestones!$AB$21),UPPER(TEXT(EDATE($D111,Milestones!$AA$21),"dd mmm yy"))&amp;" "&amp;Milestones!$AB$21&amp;" "&amp;Milestones!$AC$21&amp;";  ","")&amp;IF(AND(EDATE($D111,Milestones!$AA$22)&lt;=AsOfDate,IF($R111=0,$X111,IF(AND($T111&lt;&gt;"",EDATE($D111,Milestones!$AA$22)&gt;=$T111),$W111,IF(AND($S111&lt;&gt;"",EDATE($D111,Milestones!$AA$22)&gt;=$S111),$V111,$U111)))=Milestones!$AB$22),UPPER(TEXT(EDATE($D111,Milestones!$AA$22),"dd mmm yy"))&amp;" "&amp;Milestones!$AB$22&amp;" "&amp;Milestones!$AC$22&amp;";  ","")&amp;IF(AND(EDATE($D111,Milestones!$AA$23)&lt;=AsOfDate,IF($R111=0,$X111,IF(AND($T111&lt;&gt;"",EDATE($D111,Milestones!$AA$23)&gt;=$T111),$W111,IF(AND($S111&lt;&gt;"",EDATE($D111,Milestones!$AA$23)&gt;=$S111),$V111,$U111)))=Milestones!$AB$23),UPPER(TEXT(EDATE($D111,Milestones!$AA$23),"dd mmm yy"))&amp;" "&amp;Milestones!$AB$23&amp;" "&amp;Milestones!$AC$23&amp;";  ","")&amp;IF(AND(EDATE($D111,Milestones!$AA$24)&lt;=AsOfDate,IF($R111=0,$X111,IF(AND($T111&lt;&gt;"",EDATE($D111,Milestones!$AA$24)&gt;=$T111),$W111,IF(AND($S111&lt;&gt;"",EDATE($D111,Milestones!$AA$24)&gt;=$S111),$V111,$U111)))=Milestones!$AB$24),UPPER(TEXT(EDATE($D111,Milestones!$AA$24),"dd mmm yy"))&amp;" "&amp;Milestones!$AB$24&amp;" "&amp;Milestones!$AC$24&amp;";  ","")&amp;IF(AND(EDATE($D111,Milestones!$AA$25)&lt;=AsOfDate,IF($R111=0,$X111,IF(AND($T111&lt;&gt;"",EDATE($D111,Milestones!$AA$25)&gt;=$T111),$W111,IF(AND($S111&lt;&gt;"",EDATE($D111,Milestones!$AA$25)&gt;=$S111),$V111,$U111)))=Milestones!$AB$25),UPPER(TEXT(EDATE($D111,Milestones!$AA$25),"dd mmm yy"))&amp;" "&amp;Milestones!$AB$25&amp;" "&amp;Milestones!$AC$25&amp;";  ","")&amp;IF(AND(EDATE($D111,Milestones!$AA$26)&lt;=AsOfDate,IF($R111=0,$X111,IF(AND($T111&lt;&gt;"",EDATE($D111,Milestones!$AA$26)&gt;=$T111),$W111,IF(AND($S111&lt;&gt;"",EDATE($D111,Milestones!$AA$26)&gt;=$S111),$V111,$U111)))=Milestones!$AB$26),UPPER(TEXT(EDATE($D111,Milestones!$AA$26),"dd mmm yy"))&amp;" "&amp;Milestones!$AB$26&amp;" "&amp;Milestones!$AC$26&amp;";  ","")&amp;IF(AND(EDATE($D111,Milestones!$AA$27)&lt;=AsOfDate,IF($R111=0,$X111,IF(AND($T111&lt;&gt;"",EDATE($D111,Milestones!$AA$27)&gt;=$T111),$W111,IF(AND($S111&lt;&gt;"",EDATE($D111,Milestones!$AA$27)&gt;=$S111),$V111,$U111)))=Milestones!$AB$27),UPPER(TEXT(EDATE($D111,Milestones!$AA$27),"dd mmm yy"))&amp;" "&amp;Milestones!$AB$27&amp;" "&amp;Milestones!$AC$27&amp;";  ","")&amp;IF(AND(EDATE($D111,Milestones!$AA$28)&lt;=AsOfDate,IF($R111=0,$X111,IF(AND($T111&lt;&gt;"",EDATE($D111,Milestones!$AA$28)&gt;=$T111),$W111,IF(AND($S111&lt;&gt;"",EDATE($D111,Milestones!$AA$28)&gt;=$S111),$V111,$U111)))=Milestones!$AB$28),UPPER(TEXT(EDATE($D111,Milestones!$AA$28),"dd mmm yy"))&amp;" "&amp;Milestones!$AB$28&amp;" "&amp;Milestones!$AC$28&amp;";  ","")&amp;IF(AND(EDATE($D111,Milestones!$AA$29)&lt;=AsOfDate,IF($R111=0,$X111,IF(AND($T111&lt;&gt;"",EDATE($D111,Milestones!$AA$29)&gt;=$T111),$W111,IF(AND($S111&lt;&gt;"",EDATE($D111,Milestones!$AA$29)&gt;=$S111),$V111,$U111)))=Milestones!$AB$29),UPPER(TEXT(EDATE($D111,Milestones!$AA$29),"dd mmm yy"))&amp;" "&amp;Milestones!$AB$29&amp;" "&amp;Milestones!$AC$29&amp;";  ","")&amp;IF(AND(EDATE($D111,Milestones!$AA$30)&lt;=AsOfDate,IF($R111=0,$X111,IF(AND($T111&lt;&gt;"",EDATE($D111,Milestones!$AA$30)&gt;=$T111),$W111,IF(AND($S111&lt;&gt;"",EDATE($D111,Milestones!$AA$30)&gt;=$S111),$V111,$U111)))=Milestones!$AB$30),UPPER(TEXT(EDATE($D111,Milestones!$AA$30),"dd mmm yy"))&amp;" "&amp;Milestones!$AB$30&amp;" "&amp;Milestones!$AC$30&amp;";  ","")&amp;IF(AND(EDATE($D111,Milestones!$AA$31)&lt;=AsOfDate,IF($R111=0,$X111,IF(AND($T111&lt;&gt;"",EDATE($D111,Milestones!$AA$31)&gt;=$T111),$W111,IF(AND($S111&lt;&gt;"",EDATE($D111,Milestones!$AA$31)&gt;=$S111),$V111,$U111)))=Milestones!$AB$31),UPPER(TEXT(EDATE($D111,Milestones!$AA$31),"dd mmm yy"))&amp;" "&amp;Milestones!$AB$31&amp;" "&amp;Milestones!$AC$31&amp;";  ","")&amp;IF(AND(EDATE($D111,Milestones!$AA$32)&lt;=AsOfDate,IF($R111=0,$X111,IF(AND($T111&lt;&gt;"",EDATE($D111,Milestones!$AA$32)&gt;=$T111),$W111,IF(AND($S111&lt;&gt;"",EDATE($D111,Milestones!$AA$32)&gt;=$S111),$V111,$U111)))=Milestones!$AB$32),UPPER(TEXT(EDATE($D111,Milestones!$AA$32),"dd mmm yy"))&amp;" "&amp;Milestones!$AB$32&amp;" "&amp;Milestones!$AC$32&amp;";  ","")&amp;IF(AND(EDATE($D111,Milestones!$AA$33)&lt;=AsOfDate,IF($R111=0,$X111,IF(AND($T111&lt;&gt;"",EDATE($D111,Milestones!$AA$33)&gt;=$T111),$W111,IF(AND($S111&lt;&gt;"",EDATE($D111,Milestones!$AA$33)&gt;=$S111),$V111,$U111)))=Milestones!$AB$33),UPPER(TEXT(EDATE($D111,Milestones!$AA$33),"dd mmm yy"))&amp;" "&amp;Milestones!$AB$33&amp;" "&amp;Milestones!$AC$33&amp;";  ","")&amp;IF(AND(EDATE($D111,Milestones!$AA$34)&lt;=AsOfDate,IF($R111=0,$X111,IF(AND($T111&lt;&gt;"",EDATE($D111,Milestones!$AA$34)&gt;=$T111),$W111,IF(AND($S111&lt;&gt;"",EDATE($D111,Milestones!$AA$34)&gt;=$S111),$V111,$U111)))=Milestones!$AB$34),UPPER(TEXT(EDATE($D111,Milestones!$AA$34),"dd mmm yy"))&amp;" "&amp;Milestones!$AB$34&amp;" "&amp;Milestones!$AC$34&amp;";  ","")&amp;IF(AND(EDATE($D111,Milestones!$AA$35)&lt;=AsOfDate,IF($R111=0,$X111,IF(AND($T111&lt;&gt;"",EDATE($D111,Milestones!$AA$35)&gt;=$T111),$W111,IF(AND($S111&lt;&gt;"",EDATE($D111,Milestones!$AA$35)&gt;=$S111),$V111,$U111)))=Milestones!$AB$35),UPPER(TEXT(EDATE($D111,Milestones!$AA$35),"dd mmm yy"))&amp;" "&amp;Milestones!$AB$35&amp;" "&amp;Milestones!$AC$35&amp;";  ","")&amp;IF(AND(EDATE($D111,Milestones!$AA$36)&lt;=AsOfDate,IF($R111=0,$X111,IF(AND($T111&lt;&gt;"",EDATE($D111,Milestones!$AA$36)&gt;=$T111),$W111,IF(AND($S111&lt;&gt;"",EDATE($D111,Milestones!$AA$36)&gt;=$S111),$V111,$U111)))=Milestones!$AB$36),UPPER(TEXT(EDATE($D111,Milestones!$AA$36),"dd mmm yy"))&amp;" "&amp;Milestones!$AB$36&amp;" "&amp;Milestones!$AC$36&amp;";  ","")&amp;IF(AND(EDATE($D111,Milestones!$AA$37)&lt;=AsOfDate,IF($R111=0,$X111,IF(AND($T111&lt;&gt;"",EDATE($D111,Milestones!$AA$37)&gt;=$T111),$W111,IF(AND($S111&lt;&gt;"",EDATE($D111,Milestones!$AA$37)&gt;=$S111),$V111,$U111)))=Milestones!$AB$37),UPPER(TEXT(EDATE($D111,Milestones!$AA$37),"dd mmm yy"))&amp;" "&amp;Milestones!$AB$37&amp;" "&amp;Milestones!$AC$37&amp;";  ","")&amp;IF(AND(EDATE($D111,Milestones!$AA$38)&lt;=AsOfDate,IF($R111=0,$X111,IF(AND($T111&lt;&gt;"",EDATE($D111,Milestones!$AA$38)&gt;=$T111),$W111,IF(AND($S111&lt;&gt;"",EDATE($D111,Milestones!$AA$38)&gt;=$S111),$V111,$U111)))=Milestones!$AB$38),UPPER(TEXT(EDATE($D111,Milestones!$AA$38),"dd mmm yy"))&amp;" "&amp;Milestones!$AB$38&amp;" "&amp;Milestones!$AC$38&amp;";  ","")&amp;IF(AND(EDATE($D111,Milestones!$AA$39)&lt;=AsOfDate,IF($R111=0,$X111,IF(AND($T111&lt;&gt;"",EDATE($D111,Milestones!$AA$39)&gt;=$T111),$W111,IF(AND($S111&lt;&gt;"",EDATE($D111,Milestones!$AA$39)&gt;=$S111),$V111,$U111)))=Milestones!$AB$39),UPPER(TEXT(EDATE($D111,Milestones!$AA$39),"dd mmm yy"))&amp;" "&amp;Milestones!$AB$39&amp;" "&amp;Milestones!$AC$39&amp;";  ",""))</f>
        <v/>
      </c>
      <c r="J111" s="0" t="str">
        <f aca="false">IF(OR($A111="",$D111=""),"",IF(AND(EDATE($D111,Milestones!$AA$40)&lt;=AsOfDate,IF($R111=0,$X111,IF(AND($T111&lt;&gt;"",EDATE($D111,Milestones!$AA$40)&gt;=$T111),$W111,IF(AND($S111&lt;&gt;"",EDATE($D111,Milestones!$AA$40)&gt;=$S111),$V111,$U111)))=Milestones!$AB$40),UPPER(TEXT(EDATE($D111,Milestones!$AA$40),"dd mmm yy"))&amp;" "&amp;Milestones!$AB$40&amp;" "&amp;Milestones!$AC$40&amp;";  ","")&amp;IF(AND(EDATE($D111,Milestones!$AA$41)&lt;=AsOfDate,IF($R111=0,$X111,IF(AND($T111&lt;&gt;"",EDATE($D111,Milestones!$AA$41)&gt;=$T111),$W111,IF(AND($S111&lt;&gt;"",EDATE($D111,Milestones!$AA$41)&gt;=$S111),$V111,$U111)))=Milestones!$AB$41),UPPER(TEXT(EDATE($D111,Milestones!$AA$41),"dd mmm yy"))&amp;" "&amp;Milestones!$AB$41&amp;" "&amp;Milestones!$AC$41&amp;";  ","")&amp;IF(AND(EDATE($D111,Milestones!$AA$42)&lt;=AsOfDate,IF($R111=0,$X111,IF(AND($T111&lt;&gt;"",EDATE($D111,Milestones!$AA$42)&gt;=$T111),$W111,IF(AND($S111&lt;&gt;"",EDATE($D111,Milestones!$AA$42)&gt;=$S111),$V111,$U111)))=Milestones!$AB$42),UPPER(TEXT(EDATE($D111,Milestones!$AA$42),"dd mmm yy"))&amp;" "&amp;Milestones!$AB$42&amp;" "&amp;Milestones!$AC$42&amp;";  ","")&amp;IF(AND(EDATE($D111,Milestones!$AA$43)&lt;=AsOfDate,IF($R111=0,$X111,IF(AND($T111&lt;&gt;"",EDATE($D111,Milestones!$AA$43)&gt;=$T111),$W111,IF(AND($S111&lt;&gt;"",EDATE($D111,Milestones!$AA$43)&gt;=$S111),$V111,$U111)))=Milestones!$AB$43),UPPER(TEXT(EDATE($D111,Milestones!$AA$43),"dd mmm yy"))&amp;" "&amp;Milestones!$AB$43&amp;" "&amp;Milestones!$AC$43&amp;";  ","")&amp;IF(AND(EDATE($D111,Milestones!$AA$44)&lt;=AsOfDate,IF($R111=0,$X111,IF(AND($T111&lt;&gt;"",EDATE($D111,Milestones!$AA$44)&gt;=$T111),$W111,IF(AND($S111&lt;&gt;"",EDATE($D111,Milestones!$AA$44)&gt;=$S111),$V111,$U111)))=Milestones!$AB$44),UPPER(TEXT(EDATE($D111,Milestones!$AA$44),"dd mmm yy"))&amp;" "&amp;Milestones!$AB$44&amp;" "&amp;Milestones!$AC$44&amp;";  ","")&amp;IF(AND(EDATE($D111,Milestones!$AA$45)&lt;=AsOfDate,IF($R111=0,$X111,IF(AND($T111&lt;&gt;"",EDATE($D111,Milestones!$AA$45)&gt;=$T111),$W111,IF(AND($S111&lt;&gt;"",EDATE($D111,Milestones!$AA$45)&gt;=$S111),$V111,$U111)))=Milestones!$AB$45),UPPER(TEXT(EDATE($D111,Milestones!$AA$45),"dd mmm yy"))&amp;" "&amp;Milestones!$AB$45&amp;" "&amp;Milestones!$AC$45&amp;";  ","")&amp;IF(AND(EDATE($D111,Milestones!$AA$46)&lt;=AsOfDate,IF($R111=0,$X111,IF(AND($T111&lt;&gt;"",EDATE($D111,Milestones!$AA$46)&gt;=$T111),$W111,IF(AND($S111&lt;&gt;"",EDATE($D111,Milestones!$AA$46)&gt;=$S111),$V111,$U111)))=Milestones!$AB$46),UPPER(TEXT(EDATE($D111,Milestones!$AA$46),"dd mmm yy"))&amp;" "&amp;Milestones!$AB$46&amp;" "&amp;Milestones!$AC$46&amp;";  ","")&amp;IF(AND(EDATE($D111,Milestones!$AA$47)&lt;=AsOfDate,IF($R111=0,$X111,IF(AND($T111&lt;&gt;"",EDATE($D111,Milestones!$AA$47)&gt;=$T111),$W111,IF(AND($S111&lt;&gt;"",EDATE($D111,Milestones!$AA$47)&gt;=$S111),$V111,$U111)))=Milestones!$AB$47),UPPER(TEXT(EDATE($D111,Milestones!$AA$47),"dd mmm yy"))&amp;" "&amp;Milestones!$AB$47&amp;" "&amp;Milestones!$AC$47&amp;";  ","")&amp;IF(AND(EDATE($D111,Milestones!$AA$48)&lt;=AsOfDate,IF($R111=0,$X111,IF(AND($T111&lt;&gt;"",EDATE($D111,Milestones!$AA$48)&gt;=$T111),$W111,IF(AND($S111&lt;&gt;"",EDATE($D111,Milestones!$AA$48)&gt;=$S111),$V111,$U111)))=Milestones!$AB$48),UPPER(TEXT(EDATE($D111,Milestones!$AA$48),"dd mmm yy"))&amp;" "&amp;Milestones!$AB$48&amp;" "&amp;Milestones!$AC$48&amp;";  ","")&amp;IF(AND(EDATE($D111,Milestones!$AA$49)&lt;=AsOfDate,IF($R111=0,$X111,IF(AND($T111&lt;&gt;"",EDATE($D111,Milestones!$AA$49)&gt;=$T111),$W111,IF(AND($S111&lt;&gt;"",EDATE($D111,Milestones!$AA$49)&gt;=$S111),$V111,$U111)))=Milestones!$AB$49),UPPER(TEXT(EDATE($D111,Milestones!$AA$49),"dd mmm yy"))&amp;" "&amp;Milestones!$AB$49&amp;" "&amp;Milestones!$AC$49&amp;";  ","")&amp;IF(AND(EDATE($D111,Milestones!$AA$50)&lt;=AsOfDate,IF($R111=0,$X111,IF(AND($T111&lt;&gt;"",EDATE($D111,Milestones!$AA$50)&gt;=$T111),$W111,IF(AND($S111&lt;&gt;"",EDATE($D111,Milestones!$AA$50)&gt;=$S111),$V111,$U111)))=Milestones!$AB$50),UPPER(TEXT(EDATE($D111,Milestones!$AA$50),"dd mmm yy"))&amp;" "&amp;Milestones!$AB$50&amp;" "&amp;Milestones!$AC$50&amp;";  ","")&amp;IF(AND(EDATE($D111,Milestones!$AA$51)&lt;=AsOfDate,IF($R111=0,$X111,IF(AND($T111&lt;&gt;"",EDATE($D111,Milestones!$AA$51)&gt;=$T111),$W111,IF(AND($S111&lt;&gt;"",EDATE($D111,Milestones!$AA$51)&gt;=$S111),$V111,$U111)))=Milestones!$AB$51),UPPER(TEXT(EDATE($D111,Milestones!$AA$51),"dd mmm yy"))&amp;" "&amp;Milestones!$AB$51&amp;" "&amp;Milestones!$AC$51&amp;";  ","")&amp;IF(AND(EDATE($D111,Milestones!$AA$52)&lt;=AsOfDate,IF($R111=0,$X111,IF(AND($T111&lt;&gt;"",EDATE($D111,Milestones!$AA$52)&gt;=$T111),$W111,IF(AND($S111&lt;&gt;"",EDATE($D111,Milestones!$AA$52)&gt;=$S111),$V111,$U111)))=Milestones!$AB$52),UPPER(TEXT(EDATE($D111,Milestones!$AA$52),"dd mmm yy"))&amp;" "&amp;Milestones!$AB$52&amp;" "&amp;Milestones!$AC$52&amp;";  ","")&amp;IF(AND(EDATE($D111,Milestones!$AA$53)&lt;=AsOfDate,IF($R111=0,$X111,IF(AND($T111&lt;&gt;"",EDATE($D111,Milestones!$AA$53)&gt;=$T111),$W111,IF(AND($S111&lt;&gt;"",EDATE($D111,Milestones!$AA$53)&gt;=$S111),$V111,$U111)))=Milestones!$AB$53),UPPER(TEXT(EDATE($D111,Milestones!$AA$53),"dd mmm yy"))&amp;" "&amp;Milestones!$AB$53&amp;" "&amp;Milestones!$AC$53&amp;";  ","")&amp;IF(AND(EDATE($D111,Milestones!$AA$54)&lt;=AsOfDate,IF($R111=0,$X111,IF(AND($T111&lt;&gt;"",EDATE($D111,Milestones!$AA$54)&gt;=$T111),$W111,IF(AND($S111&lt;&gt;"",EDATE($D111,Milestones!$AA$54)&gt;=$S111),$V111,$U111)))=Milestones!$AB$54),UPPER(TEXT(EDATE($D111,Milestones!$AA$54),"dd mmm yy"))&amp;" "&amp;Milestones!$AB$54&amp;" "&amp;Milestones!$AC$54&amp;";  ","")&amp;IF(AND(EDATE($D111,Milestones!$AA$55)&lt;=AsOfDate,IF($R111=0,$X111,IF(AND($T111&lt;&gt;"",EDATE($D111,Milestones!$AA$55)&gt;=$T111),$W111,IF(AND($S111&lt;&gt;"",EDATE($D111,Milestones!$AA$55)&gt;=$S111),$V111,$U111)))=Milestones!$AB$55),UPPER(TEXT(EDATE($D111,Milestones!$AA$55),"dd mmm yy"))&amp;" "&amp;Milestones!$AB$55&amp;" "&amp;Milestones!$AC$55&amp;";  ","")&amp;IF(AND(EDATE($D111,Milestones!$AA$56)&lt;=AsOfDate,IF($R111=0,$X111,IF(AND($T111&lt;&gt;"",EDATE($D111,Milestones!$AA$56)&gt;=$T111),$W111,IF(AND($S111&lt;&gt;"",EDATE($D111,Milestones!$AA$56)&gt;=$S111),$V111,$U111)))=Milestones!$AB$56),UPPER(TEXT(EDATE($D111,Milestones!$AA$56),"dd mmm yy"))&amp;" "&amp;Milestones!$AB$56&amp;" "&amp;Milestones!$AC$56&amp;";  ","")&amp;IF(AND(EDATE($D111,Milestones!$AA$57)&lt;=AsOfDate,IF($R111=0,$X111,IF(AND($T111&lt;&gt;"",EDATE($D111,Milestones!$AA$57)&gt;=$T111),$W111,IF(AND($S111&lt;&gt;"",EDATE($D111,Milestones!$AA$57)&gt;=$S111),$V111,$U111)))=Milestones!$AB$57),UPPER(TEXT(EDATE($D111,Milestones!$AA$57),"dd mmm yy"))&amp;" "&amp;Milestones!$AB$57&amp;" "&amp;Milestones!$AC$57&amp;";  ","")&amp;IF(AND(EDATE($D111,Milestones!$AA$58)&lt;=AsOfDate,IF($R111=0,$X111,IF(AND($T111&lt;&gt;"",EDATE($D111,Milestones!$AA$58)&gt;=$T111),$W111,IF(AND($S111&lt;&gt;"",EDATE($D111,Milestones!$AA$58)&gt;=$S111),$V111,$U111)))=Milestones!$AB$58),UPPER(TEXT(EDATE($D111,Milestones!$AA$58),"dd mmm yy"))&amp;" "&amp;Milestones!$AB$58&amp;" "&amp;Milestones!$AC$58&amp;";  ","")&amp;IF(AND(EDATE($D111,Milestones!$AA$59)&lt;=AsOfDate,IF($R111=0,$X111,IF(AND($T111&lt;&gt;"",EDATE($D111,Milestones!$AA$59)&gt;=$T111),$W111,IF(AND($S111&lt;&gt;"",EDATE($D111,Milestones!$AA$59)&gt;=$S111),$V111,$U111)))=Milestones!$AB$59),UPPER(TEXT(EDATE($D111,Milestones!$AA$59),"dd mmm yy"))&amp;" "&amp;Milestones!$AB$59&amp;" "&amp;Milestones!$AC$59&amp;";  ",""))</f>
        <v/>
      </c>
      <c r="K111" s="0" t="str">
        <f aca="false">IF(OR($A111="",$D111=""),"",IF(AND(EDATE($D111,Milestones!$AA$60)&lt;=AsOfDate,IF($R111=0,$X111,IF(AND($T111&lt;&gt;"",EDATE($D111,Milestones!$AA$60)&gt;=$T111),$W111,IF(AND($S111&lt;&gt;"",EDATE($D111,Milestones!$AA$60)&gt;=$S111),$V111,$U111)))=Milestones!$AB$60),UPPER(TEXT(EDATE($D111,Milestones!$AA$60),"dd mmm yy"))&amp;" "&amp;Milestones!$AB$60&amp;" "&amp;Milestones!$AC$60&amp;";  ","")&amp;IF(AND(EDATE($D111,Milestones!$AA$61)&lt;=AsOfDate,IF($R111=0,$X111,IF(AND($T111&lt;&gt;"",EDATE($D111,Milestones!$AA$61)&gt;=$T111),$W111,IF(AND($S111&lt;&gt;"",EDATE($D111,Milestones!$AA$61)&gt;=$S111),$V111,$U111)))=Milestones!$AB$61),UPPER(TEXT(EDATE($D111,Milestones!$AA$61),"dd mmm yy"))&amp;" "&amp;Milestones!$AB$61&amp;" "&amp;Milestones!$AC$61&amp;";  ","")&amp;IF(AND(EDATE($D111,Milestones!$AA$62)&lt;=AsOfDate,IF($R111=0,$X111,IF(AND($T111&lt;&gt;"",EDATE($D111,Milestones!$AA$62)&gt;=$T111),$W111,IF(AND($S111&lt;&gt;"",EDATE($D111,Milestones!$AA$62)&gt;=$S111),$V111,$U111)))=Milestones!$AB$62),UPPER(TEXT(EDATE($D111,Milestones!$AA$62),"dd mmm yy"))&amp;" "&amp;Milestones!$AB$62&amp;" "&amp;Milestones!$AC$62&amp;";  ","")&amp;IF(AND(EDATE($D111,Milestones!$AA$63)&lt;=AsOfDate,IF($R111=0,$X111,IF(AND($T111&lt;&gt;"",EDATE($D111,Milestones!$AA$63)&gt;=$T111),$W111,IF(AND($S111&lt;&gt;"",EDATE($D111,Milestones!$AA$63)&gt;=$S111),$V111,$U111)))=Milestones!$AB$63),UPPER(TEXT(EDATE($D111,Milestones!$AA$63),"dd mmm yy"))&amp;" "&amp;Milestones!$AB$63&amp;" "&amp;Milestones!$AC$63&amp;";  ","")&amp;IF(AND(EDATE($D111,Milestones!$AA$64)&lt;=AsOfDate,IF($R111=0,$X111,IF(AND($T111&lt;&gt;"",EDATE($D111,Milestones!$AA$64)&gt;=$T111),$W111,IF(AND($S111&lt;&gt;"",EDATE($D111,Milestones!$AA$64)&gt;=$S111),$V111,$U111)))=Milestones!$AB$64),UPPER(TEXT(EDATE($D111,Milestones!$AA$64),"dd mmm yy"))&amp;" "&amp;Milestones!$AB$64&amp;" "&amp;Milestones!$AC$64&amp;";  ","")&amp;IF(AND(EDATE($D111,Milestones!$AA$65)&lt;=AsOfDate,IF($R111=0,$X111,IF(AND($T111&lt;&gt;"",EDATE($D111,Milestones!$AA$65)&gt;=$T111),$W111,IF(AND($S111&lt;&gt;"",EDATE($D111,Milestones!$AA$65)&gt;=$S111),$V111,$U111)))=Milestones!$AB$65),UPPER(TEXT(EDATE($D111,Milestones!$AA$65),"dd mmm yy"))&amp;" "&amp;Milestones!$AB$65&amp;" "&amp;Milestones!$AC$65&amp;";  ","")&amp;IF(AND(EDATE($D111,Milestones!$AA$66)&lt;=AsOfDate,IF($R111=0,$X111,IF(AND($T111&lt;&gt;"",EDATE($D111,Milestones!$AA$66)&gt;=$T111),$W111,IF(AND($S111&lt;&gt;"",EDATE($D111,Milestones!$AA$66)&gt;=$S111),$V111,$U111)))=Milestones!$AB$66),UPPER(TEXT(EDATE($D111,Milestones!$AA$66),"dd mmm yy"))&amp;" "&amp;Milestones!$AB$66&amp;" "&amp;Milestones!$AC$66&amp;";  ","")&amp;IF(AND(EDATE($D111,Milestones!$AA$67)&lt;=AsOfDate,IF($R111=0,$X111,IF(AND($T111&lt;&gt;"",EDATE($D111,Milestones!$AA$67)&gt;=$T111),$W111,IF(AND($S111&lt;&gt;"",EDATE($D111,Milestones!$AA$67)&gt;=$S111),$V111,$U111)))=Milestones!$AB$67),UPPER(TEXT(EDATE($D111,Milestones!$AA$67),"dd mmm yy"))&amp;" "&amp;Milestones!$AB$67&amp;" "&amp;Milestones!$AC$67&amp;";  ","")&amp;IF(AND(EDATE($D111,Milestones!$AA$68)&lt;=AsOfDate,IF($R111=0,$X111,IF(AND($T111&lt;&gt;"",EDATE($D111,Milestones!$AA$68)&gt;=$T111),$W111,IF(AND($S111&lt;&gt;"",EDATE($D111,Milestones!$AA$68)&gt;=$S111),$V111,$U111)))=Milestones!$AB$68),UPPER(TEXT(EDATE($D111,Milestones!$AA$68),"dd mmm yy"))&amp;" "&amp;Milestones!$AB$68&amp;" "&amp;Milestones!$AC$68&amp;";  ","")&amp;IF(AND(EDATE($D111,Milestones!$AA$69)&lt;=AsOfDate,IF($R111=0,$X111,IF(AND($T111&lt;&gt;"",EDATE($D111,Milestones!$AA$69)&gt;=$T111),$W111,IF(AND($S111&lt;&gt;"",EDATE($D111,Milestones!$AA$69)&gt;=$S111),$V111,$U111)))=Milestones!$AB$69),UPPER(TEXT(EDATE($D111,Milestones!$AA$69),"dd mmm yy"))&amp;" "&amp;Milestones!$AB$69&amp;" "&amp;Milestones!$AC$69&amp;";  ","")&amp;IF(AND(EDATE($D111,Milestones!$AA$70)&lt;=AsOfDate,IF($R111=0,$X111,IF(AND($T111&lt;&gt;"",EDATE($D111,Milestones!$AA$70)&gt;=$T111),$W111,IF(AND($S111&lt;&gt;"",EDATE($D111,Milestones!$AA$70)&gt;=$S111),$V111,$U111)))=Milestones!$AB$70),UPPER(TEXT(EDATE($D111,Milestones!$AA$70),"dd mmm yy"))&amp;" "&amp;Milestones!$AB$70&amp;" "&amp;Milestones!$AC$70&amp;";  ","")&amp;IF(AND(EDATE($D111,Milestones!$AA$71)&lt;=AsOfDate,IF($R111=0,$X111,IF(AND($T111&lt;&gt;"",EDATE($D111,Milestones!$AA$71)&gt;=$T111),$W111,IF(AND($S111&lt;&gt;"",EDATE($D111,Milestones!$AA$71)&gt;=$S111),$V111,$U111)))=Milestones!$AB$71),UPPER(TEXT(EDATE($D111,Milestones!$AA$71),"dd mmm yy"))&amp;" "&amp;Milestones!$AB$71&amp;" "&amp;Milestones!$AC$71&amp;";  ","")&amp;IF(AND(EDATE($D111,Milestones!$AA$72)&lt;=AsOfDate,IF($R111=0,$X111,IF(AND($T111&lt;&gt;"",EDATE($D111,Milestones!$AA$72)&gt;=$T111),$W111,IF(AND($S111&lt;&gt;"",EDATE($D111,Milestones!$AA$72)&gt;=$S111),$V111,$U111)))=Milestones!$AB$72),UPPER(TEXT(EDATE($D111,Milestones!$AA$72),"dd mmm yy"))&amp;" "&amp;Milestones!$AB$72&amp;" "&amp;Milestones!$AC$72&amp;";  ","")&amp;IF(AND(EDATE($D111,Milestones!$AA$73)&lt;=AsOfDate,IF($R111=0,$X111,IF(AND($T111&lt;&gt;"",EDATE($D111,Milestones!$AA$73)&gt;=$T111),$W111,IF(AND($S111&lt;&gt;"",EDATE($D111,Milestones!$AA$73)&gt;=$S111),$V111,$U111)))=Milestones!$AB$73),UPPER(TEXT(EDATE($D111,Milestones!$AA$73),"dd mmm yy"))&amp;" "&amp;Milestones!$AB$73&amp;" "&amp;Milestones!$AC$73&amp;";  ","")&amp;IF(AND(EDATE($D111,Milestones!$AA$74)&lt;=AsOfDate,IF($R111=0,$X111,IF(AND($T111&lt;&gt;"",EDATE($D111,Milestones!$AA$74)&gt;=$T111),$W111,IF(AND($S111&lt;&gt;"",EDATE($D111,Milestones!$AA$74)&gt;=$S111),$V111,$U111)))=Milestones!$AB$74),UPPER(TEXT(EDATE($D111,Milestones!$AA$74),"dd mmm yy"))&amp;" "&amp;Milestones!$AB$74&amp;" "&amp;Milestones!$AC$74&amp;";  ","")&amp;IF(AND(EDATE($D111,Milestones!$AA$75)&lt;=AsOfDate,IF($R111=0,$X111,IF(AND($T111&lt;&gt;"",EDATE($D111,Milestones!$AA$75)&gt;=$T111),$W111,IF(AND($S111&lt;&gt;"",EDATE($D111,Milestones!$AA$75)&gt;=$S111),$V111,$U111)))=Milestones!$AB$75),UPPER(TEXT(EDATE($D111,Milestones!$AA$75),"dd mmm yy"))&amp;" "&amp;Milestones!$AB$75&amp;" "&amp;Milestones!$AC$75&amp;";  ","")&amp;IF(AND(EDATE($D111,Milestones!$AA$76)&lt;=AsOfDate,IF($R111=0,$X111,IF(AND($T111&lt;&gt;"",EDATE($D111,Milestones!$AA$76)&gt;=$T111),$W111,IF(AND($S111&lt;&gt;"",EDATE($D111,Milestones!$AA$76)&gt;=$S111),$V111,$U111)))=Milestones!$AB$76),UPPER(TEXT(EDATE($D111,Milestones!$AA$76),"dd mmm yy"))&amp;" "&amp;Milestones!$AB$76&amp;" "&amp;Milestones!$AC$76&amp;";  ","")&amp;IF(AND(EDATE($D111,Milestones!$AA$77)&lt;=AsOfDate,IF($R111=0,$X111,IF(AND($T111&lt;&gt;"",EDATE($D111,Milestones!$AA$77)&gt;=$T111),$W111,IF(AND($S111&lt;&gt;"",EDATE($D111,Milestones!$AA$77)&gt;=$S111),$V111,$U111)))=Milestones!$AB$77),UPPER(TEXT(EDATE($D111,Milestones!$AA$77),"dd mmm yy"))&amp;" "&amp;Milestones!$AB$77&amp;" "&amp;Milestones!$AC$77&amp;";  ","")&amp;IF(AND(EDATE($D111,Milestones!$AA$78)&lt;=AsOfDate,IF($R111=0,$X111,IF(AND($T111&lt;&gt;"",EDATE($D111,Milestones!$AA$78)&gt;=$T111),$W111,IF(AND($S111&lt;&gt;"",EDATE($D111,Milestones!$AA$78)&gt;=$S111),$V111,$U111)))=Milestones!$AB$78),UPPER(TEXT(EDATE($D111,Milestones!$AA$78),"dd mmm yy"))&amp;" "&amp;Milestones!$AB$78&amp;" "&amp;Milestones!$AC$78&amp;";  ","")&amp;IF(AND(EDATE($D111,Milestones!$AA$79)&lt;=AsOfDate,IF($R111=0,$X111,IF(AND($T111&lt;&gt;"",EDATE($D111,Milestones!$AA$79)&gt;=$T111),$W111,IF(AND($S111&lt;&gt;"",EDATE($D111,Milestones!$AA$79)&gt;=$S111),$V111,$U111)))=Milestones!$AB$79),UPPER(TEXT(EDATE($D111,Milestones!$AA$79),"dd mmm yy"))&amp;" "&amp;Milestones!$AB$79&amp;" "&amp;Milestones!$AC$79&amp;";  ",""))</f>
        <v/>
      </c>
      <c r="L111" s="0" t="str">
        <f aca="false">IF(OR($A111="",$D111=""),"",IF(AND(EDATE($D111,Milestones!$AA$80)&lt;=AsOfDate,IF($R111=0,$X111,IF(AND($T111&lt;&gt;"",EDATE($D111,Milestones!$AA$80)&gt;=$T111),$W111,IF(AND($S111&lt;&gt;"",EDATE($D111,Milestones!$AA$80)&gt;=$S111),$V111,$U111)))=Milestones!$AB$80),UPPER(TEXT(EDATE($D111,Milestones!$AA$80),"dd mmm yy"))&amp;" "&amp;Milestones!$AB$80&amp;" "&amp;Milestones!$AC$80&amp;";  ","")&amp;IF(AND(EDATE($D111,Milestones!$AA$81)&lt;=AsOfDate,IF($R111=0,$X111,IF(AND($T111&lt;&gt;"",EDATE($D111,Milestones!$AA$81)&gt;=$T111),$W111,IF(AND($S111&lt;&gt;"",EDATE($D111,Milestones!$AA$81)&gt;=$S111),$V111,$U111)))=Milestones!$AB$81),UPPER(TEXT(EDATE($D111,Milestones!$AA$81),"dd mmm yy"))&amp;" "&amp;Milestones!$AB$81&amp;" "&amp;Milestones!$AC$81&amp;";  ","")&amp;IF(AND(EDATE($D111,Milestones!$AA$82)&lt;=AsOfDate,IF($R111=0,$X111,IF(AND($T111&lt;&gt;"",EDATE($D111,Milestones!$AA$82)&gt;=$T111),$W111,IF(AND($S111&lt;&gt;"",EDATE($D111,Milestones!$AA$82)&gt;=$S111),$V111,$U111)))=Milestones!$AB$82),UPPER(TEXT(EDATE($D111,Milestones!$AA$82),"dd mmm yy"))&amp;" "&amp;Milestones!$AB$82&amp;" "&amp;Milestones!$AC$82&amp;";  ","")&amp;IF(AND(EDATE($D111,Milestones!$AA$83)&lt;=AsOfDate,IF($R111=0,$X111,IF(AND($T111&lt;&gt;"",EDATE($D111,Milestones!$AA$83)&gt;=$T111),$W111,IF(AND($S111&lt;&gt;"",EDATE($D111,Milestones!$AA$83)&gt;=$S111),$V111,$U111)))=Milestones!$AB$83),UPPER(TEXT(EDATE($D111,Milestones!$AA$83),"dd mmm yy"))&amp;" "&amp;Milestones!$AB$83&amp;" "&amp;Milestones!$AC$83&amp;";  ","")&amp;IF(AND(EDATE($D111,Milestones!$AA$84)&lt;=AsOfDate,IF($R111=0,$X111,IF(AND($T111&lt;&gt;"",EDATE($D111,Milestones!$AA$84)&gt;=$T111),$W111,IF(AND($S111&lt;&gt;"",EDATE($D111,Milestones!$AA$84)&gt;=$S111),$V111,$U111)))=Milestones!$AB$84),UPPER(TEXT(EDATE($D111,Milestones!$AA$84),"dd mmm yy"))&amp;" "&amp;Milestones!$AB$84&amp;" "&amp;Milestones!$AC$84&amp;";  ","")&amp;IF(AND(EDATE($D111,Milestones!$AA$85)&lt;=AsOfDate,IF($R111=0,$X111,IF(AND($T111&lt;&gt;"",EDATE($D111,Milestones!$AA$85)&gt;=$T111),$W111,IF(AND($S111&lt;&gt;"",EDATE($D111,Milestones!$AA$85)&gt;=$S111),$V111,$U111)))=Milestones!$AB$85),UPPER(TEXT(EDATE($D111,Milestones!$AA$85),"dd mmm yy"))&amp;" "&amp;Milestones!$AB$85&amp;" "&amp;Milestones!$AC$85&amp;";  ","")&amp;IF(AND(EDATE($D111,Milestones!$AA$86)&lt;=AsOfDate,IF($R111=0,$X111,IF(AND($T111&lt;&gt;"",EDATE($D111,Milestones!$AA$86)&gt;=$T111),$W111,IF(AND($S111&lt;&gt;"",EDATE($D111,Milestones!$AA$86)&gt;=$S111),$V111,$U111)))=Milestones!$AB$86),UPPER(TEXT(EDATE($D111,Milestones!$AA$86),"dd mmm yy"))&amp;" "&amp;Milestones!$AB$86&amp;" "&amp;Milestones!$AC$86&amp;";  ","")&amp;IF(AND(EDATE($D111,Milestones!$AA$87)&lt;=AsOfDate,IF($R111=0,$X111,IF(AND($T111&lt;&gt;"",EDATE($D111,Milestones!$AA$87)&gt;=$T111),$W111,IF(AND($S111&lt;&gt;"",EDATE($D111,Milestones!$AA$87)&gt;=$S111),$V111,$U111)))=Milestones!$AB$87),UPPER(TEXT(EDATE($D111,Milestones!$AA$87),"dd mmm yy"))&amp;" "&amp;Milestones!$AB$87&amp;" "&amp;Milestones!$AC$87&amp;";  ","")&amp;IF(AND(EDATE($D111,Milestones!$AA$88)&lt;=AsOfDate,IF($R111=0,$X111,IF(AND($T111&lt;&gt;"",EDATE($D111,Milestones!$AA$88)&gt;=$T111),$W111,IF(AND($S111&lt;&gt;"",EDATE($D111,Milestones!$AA$88)&gt;=$S111),$V111,$U111)))=Milestones!$AB$88),UPPER(TEXT(EDATE($D111,Milestones!$AA$88),"dd mmm yy"))&amp;" "&amp;Milestones!$AB$88&amp;" "&amp;Milestones!$AC$88&amp;";  ","")&amp;IF(AND(EDATE($D111,Milestones!$AA$89)&lt;=AsOfDate,IF($R111=0,$X111,IF(AND($T111&lt;&gt;"",EDATE($D111,Milestones!$AA$89)&gt;=$T111),$W111,IF(AND($S111&lt;&gt;"",EDATE($D111,Milestones!$AA$89)&gt;=$S111),$V111,$U111)))=Milestones!$AB$89),UPPER(TEXT(EDATE($D111,Milestones!$AA$89),"dd mmm yy"))&amp;" "&amp;Milestones!$AB$89&amp;" "&amp;Milestones!$AC$89&amp;";  ","")&amp;IF(AND(EDATE($D111,Milestones!$AA$90)&lt;=AsOfDate,IF($R111=0,$X111,IF(AND($T111&lt;&gt;"",EDATE($D111,Milestones!$AA$90)&gt;=$T111),$W111,IF(AND($S111&lt;&gt;"",EDATE($D111,Milestones!$AA$90)&gt;=$S111),$V111,$U111)))=Milestones!$AB$90),UPPER(TEXT(EDATE($D111,Milestones!$AA$90),"dd mmm yy"))&amp;" "&amp;Milestones!$AB$90&amp;" "&amp;Milestones!$AC$90&amp;";  ","")&amp;IF(AND(EDATE($D111,Milestones!$AA$91)&lt;=AsOfDate,IF($R111=0,$X111,IF(AND($T111&lt;&gt;"",EDATE($D111,Milestones!$AA$91)&gt;=$T111),$W111,IF(AND($S111&lt;&gt;"",EDATE($D111,Milestones!$AA$91)&gt;=$S111),$V111,$U111)))=Milestones!$AB$91),UPPER(TEXT(EDATE($D111,Milestones!$AA$91),"dd mmm yy"))&amp;" "&amp;Milestones!$AB$91&amp;" "&amp;Milestones!$AC$91&amp;";  ","")&amp;IF(AND(EDATE($D111,Milestones!$AA$92)&lt;=AsOfDate,IF($R111=0,$X111,IF(AND($T111&lt;&gt;"",EDATE($D111,Milestones!$AA$92)&gt;=$T111),$W111,IF(AND($S111&lt;&gt;"",EDATE($D111,Milestones!$AA$92)&gt;=$S111),$V111,$U111)))=Milestones!$AB$92),UPPER(TEXT(EDATE($D111,Milestones!$AA$92),"dd mmm yy"))&amp;" "&amp;Milestones!$AB$92&amp;" "&amp;Milestones!$AC$92&amp;";  ","")&amp;IF(AND(EDATE($D111,Milestones!$AA$93)&lt;=AsOfDate,IF($R111=0,$X111,IF(AND($T111&lt;&gt;"",EDATE($D111,Milestones!$AA$93)&gt;=$T111),$W111,IF(AND($S111&lt;&gt;"",EDATE($D111,Milestones!$AA$93)&gt;=$S111),$V111,$U111)))=Milestones!$AB$93),UPPER(TEXT(EDATE($D111,Milestones!$AA$93),"dd mmm yy"))&amp;" "&amp;Milestones!$AB$93&amp;" "&amp;Milestones!$AC$93&amp;";  ","")&amp;IF(AND(EDATE($D111,Milestones!$AA$94)&lt;=AsOfDate,IF($R111=0,$X111,IF(AND($T111&lt;&gt;"",EDATE($D111,Milestones!$AA$94)&gt;=$T111),$W111,IF(AND($S111&lt;&gt;"",EDATE($D111,Milestones!$AA$94)&gt;=$S111),$V111,$U111)))=Milestones!$AB$94),UPPER(TEXT(EDATE($D111,Milestones!$AA$94),"dd mmm yy"))&amp;" "&amp;Milestones!$AB$94&amp;" "&amp;Milestones!$AC$94&amp;";  ","")&amp;IF(AND(EDATE($D111,Milestones!$AA$95)&lt;=AsOfDate,IF($R111=0,$X111,IF(AND($T111&lt;&gt;"",EDATE($D111,Milestones!$AA$95)&gt;=$T111),$W111,IF(AND($S111&lt;&gt;"",EDATE($D111,Milestones!$AA$95)&gt;=$S111),$V111,$U111)))=Milestones!$AB$95),UPPER(TEXT(EDATE($D111,Milestones!$AA$95),"dd mmm yy"))&amp;" "&amp;Milestones!$AB$95&amp;" "&amp;Milestones!$AC$95&amp;";  ","")&amp;IF(AND(EDATE($D111,Milestones!$AA$96)&lt;=AsOfDate,IF($R111=0,$X111,IF(AND($T111&lt;&gt;"",EDATE($D111,Milestones!$AA$96)&gt;=$T111),$W111,IF(AND($S111&lt;&gt;"",EDATE($D111,Milestones!$AA$96)&gt;=$S111),$V111,$U111)))=Milestones!$AB$96),UPPER(TEXT(EDATE($D111,Milestones!$AA$96),"dd mmm yy"))&amp;" "&amp;Milestones!$AB$96&amp;" "&amp;Milestones!$AC$96&amp;";  ","")&amp;IF(AND(EDATE($D111,Milestones!$AA$97)&lt;=AsOfDate,IF($R111=0,$X111,IF(AND($T111&lt;&gt;"",EDATE($D111,Milestones!$AA$97)&gt;=$T111),$W111,IF(AND($S111&lt;&gt;"",EDATE($D111,Milestones!$AA$97)&gt;=$S111),$V111,$U111)))=Milestones!$AB$97),UPPER(TEXT(EDATE($D111,Milestones!$AA$97),"dd mmm yy"))&amp;" "&amp;Milestones!$AB$97&amp;" "&amp;Milestones!$AC$97&amp;";  ","")&amp;IF(AND(EDATE($D111,Milestones!$AA$98)&lt;=AsOfDate,IF($R111=0,$X111,IF(AND($T111&lt;&gt;"",EDATE($D111,Milestones!$AA$98)&gt;=$T111),$W111,IF(AND($S111&lt;&gt;"",EDATE($D111,Milestones!$AA$98)&gt;=$S111),$V111,$U111)))=Milestones!$AB$98),UPPER(TEXT(EDATE($D111,Milestones!$AA$98),"dd mmm yy"))&amp;" "&amp;Milestones!$AB$98&amp;" "&amp;Milestones!$AC$98&amp;";  ","")&amp;IF(AND(EDATE($D111,Milestones!$AA$99)&lt;=AsOfDate,IF($R111=0,$X111,IF(AND($T111&lt;&gt;"",EDATE($D111,Milestones!$AA$99)&gt;=$T111),$W111,IF(AND($S111&lt;&gt;"",EDATE($D111,Milestones!$AA$99)&gt;=$S111),$V111,$U111)))=Milestones!$AB$99),UPPER(TEXT(EDATE($D111,Milestones!$AA$99),"dd mmm yy"))&amp;" "&amp;Milestones!$AB$99&amp;" "&amp;Milestones!$AC$99&amp;";  ",""))</f>
        <v/>
      </c>
      <c r="M111" s="0" t="str">
        <f aca="false">IF(OR($A111="",$D111=""),"",IF(AND(EDATE($D111,Milestones!$AA$100)&lt;=AsOfDate,IF($R111=0,$X111,IF(AND($T111&lt;&gt;"",EDATE($D111,Milestones!$AA$100)&gt;=$T111),$W111,IF(AND($S111&lt;&gt;"",EDATE($D111,Milestones!$AA$100)&gt;=$S111),$V111,$U111)))=Milestones!$AB$100),UPPER(TEXT(EDATE($D111,Milestones!$AA$100),"dd mmm yy"))&amp;" "&amp;Milestones!$AB$100&amp;" "&amp;Milestones!$AC$100&amp;";  ","")&amp;IF(AND(EDATE($D111,Milestones!$AA$101)&lt;=AsOfDate,IF($R111=0,$X111,IF(AND($T111&lt;&gt;"",EDATE($D111,Milestones!$AA$101)&gt;=$T111),$W111,IF(AND($S111&lt;&gt;"",EDATE($D111,Milestones!$AA$101)&gt;=$S111),$V111,$U111)))=Milestones!$AB$101),UPPER(TEXT(EDATE($D111,Milestones!$AA$101),"dd mmm yy"))&amp;" "&amp;Milestones!$AB$101&amp;" "&amp;Milestones!$AC$101&amp;";  ","")&amp;IF(AND(EDATE($D111,Milestones!$AA$102)&lt;=AsOfDate,IF($R111=0,$X111,IF(AND($T111&lt;&gt;"",EDATE($D111,Milestones!$AA$102)&gt;=$T111),$W111,IF(AND($S111&lt;&gt;"",EDATE($D111,Milestones!$AA$102)&gt;=$S111),$V111,$U111)))=Milestones!$AB$102),UPPER(TEXT(EDATE($D111,Milestones!$AA$102),"dd mmm yy"))&amp;" "&amp;Milestones!$AB$102&amp;" "&amp;Milestones!$AC$102&amp;";  ","")&amp;IF(AND(EDATE($D111,Milestones!$AA$103)&lt;=AsOfDate,IF($R111=0,$X111,IF(AND($T111&lt;&gt;"",EDATE($D111,Milestones!$AA$103)&gt;=$T111),$W111,IF(AND($S111&lt;&gt;"",EDATE($D111,Milestones!$AA$103)&gt;=$S111),$V111,$U111)))=Milestones!$AB$103),UPPER(TEXT(EDATE($D111,Milestones!$AA$103),"dd mmm yy"))&amp;" "&amp;Milestones!$AB$103&amp;" "&amp;Milestones!$AC$103&amp;";  ","")&amp;IF(AND(EDATE($D111,Milestones!$AA$104)&lt;=AsOfDate,IF($R111=0,$X111,IF(AND($T111&lt;&gt;"",EDATE($D111,Milestones!$AA$104)&gt;=$T111),$W111,IF(AND($S111&lt;&gt;"",EDATE($D111,Milestones!$AA$104)&gt;=$S111),$V111,$U111)))=Milestones!$AB$104),UPPER(TEXT(EDATE($D111,Milestones!$AA$104),"dd mmm yy"))&amp;" "&amp;Milestones!$AB$104&amp;" "&amp;Milestones!$AC$104&amp;";  ","")&amp;IF(AND(EDATE($D111,Milestones!$AA$105)&lt;=AsOfDate,IF($R111=0,$X111,IF(AND($T111&lt;&gt;"",EDATE($D111,Milestones!$AA$105)&gt;=$T111),$W111,IF(AND($S111&lt;&gt;"",EDATE($D111,Milestones!$AA$105)&gt;=$S111),$V111,$U111)))=Milestones!$AB$105),UPPER(TEXT(EDATE($D111,Milestones!$AA$105),"dd mmm yy"))&amp;" "&amp;Milestones!$AB$105&amp;" "&amp;Milestones!$AC$105&amp;";  ","")&amp;IF(AND(EDATE($D111,Milestones!$AA$106)&lt;=AsOfDate,IF($R111=0,$X111,IF(AND($T111&lt;&gt;"",EDATE($D111,Milestones!$AA$106)&gt;=$T111),$W111,IF(AND($S111&lt;&gt;"",EDATE($D111,Milestones!$AA$106)&gt;=$S111),$V111,$U111)))=Milestones!$AB$106),UPPER(TEXT(EDATE($D111,Milestones!$AA$106),"dd mmm yy"))&amp;" "&amp;Milestones!$AB$106&amp;" "&amp;Milestones!$AC$106&amp;";  ","")&amp;IF(AND(EDATE($D111,Milestones!$AA$107)&lt;=AsOfDate,IF($R111=0,$X111,IF(AND($T111&lt;&gt;"",EDATE($D111,Milestones!$AA$107)&gt;=$T111),$W111,IF(AND($S111&lt;&gt;"",EDATE($D111,Milestones!$AA$107)&gt;=$S111),$V111,$U111)))=Milestones!$AB$107),UPPER(TEXT(EDATE($D111,Milestones!$AA$107),"dd mmm yy"))&amp;" "&amp;Milestones!$AB$107&amp;" "&amp;Milestones!$AC$107&amp;";  ","")&amp;IF(AND(EDATE($D111,Milestones!$AA$108)&lt;=AsOfDate,IF($R111=0,$X111,IF(AND($T111&lt;&gt;"",EDATE($D111,Milestones!$AA$108)&gt;=$T111),$W111,IF(AND($S111&lt;&gt;"",EDATE($D111,Milestones!$AA$108)&gt;=$S111),$V111,$U111)))=Milestones!$AB$108),UPPER(TEXT(EDATE($D111,Milestones!$AA$108),"dd mmm yy"))&amp;" "&amp;Milestones!$AB$108&amp;" "&amp;Milestones!$AC$108&amp;";  ","")&amp;IF(AND(EDATE($D111,Milestones!$AA$109)&lt;=AsOfDate,IF($R111=0,$X111,IF(AND($T111&lt;&gt;"",EDATE($D111,Milestones!$AA$109)&gt;=$T111),$W111,IF(AND($S111&lt;&gt;"",EDATE($D111,Milestones!$AA$109)&gt;=$S111),$V111,$U111)))=Milestones!$AB$109),UPPER(TEXT(EDATE($D111,Milestones!$AA$109),"dd mmm yy"))&amp;" "&amp;Milestones!$AB$109&amp;" "&amp;Milestones!$AC$109&amp;";  ","")&amp;IF(AND(EDATE($D111,Milestones!$AA$110)&lt;=AsOfDate,IF($R111=0,$X111,IF(AND($T111&lt;&gt;"",EDATE($D111,Milestones!$AA$110)&gt;=$T111),$W111,IF(AND($S111&lt;&gt;"",EDATE($D111,Milestones!$AA$110)&gt;=$S111),$V111,$U111)))=Milestones!$AB$110),UPPER(TEXT(EDATE($D111,Milestones!$AA$110),"dd mmm yy"))&amp;" "&amp;Milestones!$AB$110&amp;" "&amp;Milestones!$AC$110&amp;";  ","")&amp;IF(AND(EDATE($D111,Milestones!$AA$111)&lt;=AsOfDate,IF($R111=0,$X111,IF(AND($T111&lt;&gt;"",EDATE($D111,Milestones!$AA$111)&gt;=$T111),$W111,IF(AND($S111&lt;&gt;"",EDATE($D111,Milestones!$AA$111)&gt;=$S111),$V111,$U111)))=Milestones!$AB$111),UPPER(TEXT(EDATE($D111,Milestones!$AA$111),"dd mmm yy"))&amp;" "&amp;Milestones!$AB$111&amp;" "&amp;Milestones!$AC$111&amp;";  ","")&amp;IF(AND(EDATE($D111,Milestones!$AA$112)&lt;=AsOfDate,IF($R111=0,$X111,IF(AND($T111&lt;&gt;"",EDATE($D111,Milestones!$AA$112)&gt;=$T111),$W111,IF(AND($S111&lt;&gt;"",EDATE($D111,Milestones!$AA$112)&gt;=$S111),$V111,$U111)))=Milestones!$AB$112),UPPER(TEXT(EDATE($D111,Milestones!$AA$112),"dd mmm yy"))&amp;" "&amp;Milestones!$AB$112&amp;" "&amp;Milestones!$AC$112&amp;";  ","")&amp;IF(AND(EDATE($D111,Milestones!$AA$113)&lt;=AsOfDate,IF($R111=0,$X111,IF(AND($T111&lt;&gt;"",EDATE($D111,Milestones!$AA$113)&gt;=$T111),$W111,IF(AND($S111&lt;&gt;"",EDATE($D111,Milestones!$AA$113)&gt;=$S111),$V111,$U111)))=Milestones!$AB$113),UPPER(TEXT(EDATE($D111,Milestones!$AA$113),"dd mmm yy"))&amp;" "&amp;Milestones!$AB$113&amp;" "&amp;Milestones!$AC$113&amp;";  ","")&amp;IF(AND(EDATE($D111,Milestones!$AA$114)&lt;=AsOfDate,IF($R111=0,$X111,IF(AND($T111&lt;&gt;"",EDATE($D111,Milestones!$AA$114)&gt;=$T111),$W111,IF(AND($S111&lt;&gt;"",EDATE($D111,Milestones!$AA$114)&gt;=$S111),$V111,$U111)))=Milestones!$AB$114),UPPER(TEXT(EDATE($D111,Milestones!$AA$114),"dd mmm yy"))&amp;" "&amp;Milestones!$AB$114&amp;" "&amp;Milestones!$AC$114&amp;";  ","")&amp;IF(AND(EDATE($D111,Milestones!$AA$115)&lt;=AsOfDate,IF($R111=0,$X111,IF(AND($T111&lt;&gt;"",EDATE($D111,Milestones!$AA$115)&gt;=$T111),$W111,IF(AND($S111&lt;&gt;"",EDATE($D111,Milestones!$AA$115)&gt;=$S111),$V111,$U111)))=Milestones!$AB$115),UPPER(TEXT(EDATE($D111,Milestones!$AA$115),"dd mmm yy"))&amp;" "&amp;Milestones!$AB$115&amp;" "&amp;Milestones!$AC$115&amp;";  ","")&amp;IF(AND(EDATE($D111,Milestones!$AA$116)&lt;=AsOfDate,IF($R111=0,$X111,IF(AND($T111&lt;&gt;"",EDATE($D111,Milestones!$AA$116)&gt;=$T111),$W111,IF(AND($S111&lt;&gt;"",EDATE($D111,Milestones!$AA$116)&gt;=$S111),$V111,$U111)))=Milestones!$AB$116),UPPER(TEXT(EDATE($D111,Milestones!$AA$116),"dd mmm yy"))&amp;" "&amp;Milestones!$AB$116&amp;" "&amp;Milestones!$AC$116&amp;";  ","")&amp;IF(AND(EDATE($D111,Milestones!$AA$117)&lt;=AsOfDate,IF($R111=0,$X111,IF(AND($T111&lt;&gt;"",EDATE($D111,Milestones!$AA$117)&gt;=$T111),$W111,IF(AND($S111&lt;&gt;"",EDATE($D111,Milestones!$AA$117)&gt;=$S111),$V111,$U111)))=Milestones!$AB$117),UPPER(TEXT(EDATE($D111,Milestones!$AA$117),"dd mmm yy"))&amp;" "&amp;Milestones!$AB$117&amp;" "&amp;Milestones!$AC$117&amp;";  ","")&amp;IF(AND(EDATE($D111,Milestones!$AA$118)&lt;=AsOfDate,IF($R111=0,$X111,IF(AND($T111&lt;&gt;"",EDATE($D111,Milestones!$AA$118)&gt;=$T111),$W111,IF(AND($S111&lt;&gt;"",EDATE($D111,Milestones!$AA$118)&gt;=$S111),$V111,$U111)))=Milestones!$AB$118),UPPER(TEXT(EDATE($D111,Milestones!$AA$118),"dd mmm yy"))&amp;" "&amp;Milestones!$AB$118&amp;" "&amp;Milestones!$AC$118&amp;";  ","")&amp;IF(AND(EDATE($D111,Milestones!$AA$119)&lt;=AsOfDate,IF($R111=0,$X111,IF(AND($T111&lt;&gt;"",EDATE($D111,Milestones!$AA$119)&gt;=$T111),$W111,IF(AND($S111&lt;&gt;"",EDATE($D111,Milestones!$AA$119)&gt;=$S111),$V111,$U111)))=Milestones!$AB$119),UPPER(TEXT(EDATE($D111,Milestones!$AA$119),"dd mmm yy"))&amp;" "&amp;Milestones!$AB$119&amp;" "&amp;Milestones!$AC$119&amp;";  ",""))</f>
        <v/>
      </c>
      <c r="N111" s="0" t="str">
        <f aca="false">IF(OR($A111="",$D111=""),"",IF(AND(EDATE($D111,Milestones!$AA$120)&lt;=AsOfDate,IF($R111=0,$X111,IF(AND($T111&lt;&gt;"",EDATE($D111,Milestones!$AA$120)&gt;=$T111),$W111,IF(AND($S111&lt;&gt;"",EDATE($D111,Milestones!$AA$120)&gt;=$S111),$V111,$U111)))=Milestones!$AB$120),UPPER(TEXT(EDATE($D111,Milestones!$AA$120),"dd mmm yy"))&amp;" "&amp;Milestones!$AB$120&amp;" "&amp;Milestones!$AC$120&amp;";  ","")&amp;IF(AND(EDATE($D111,Milestones!$AA$121)&lt;=AsOfDate,IF($R111=0,$X111,IF(AND($T111&lt;&gt;"",EDATE($D111,Milestones!$AA$121)&gt;=$T111),$W111,IF(AND($S111&lt;&gt;"",EDATE($D111,Milestones!$AA$121)&gt;=$S111),$V111,$U111)))=Milestones!$AB$121),UPPER(TEXT(EDATE($D111,Milestones!$AA$121),"dd mmm yy"))&amp;" "&amp;Milestones!$AB$121&amp;" "&amp;Milestones!$AC$121&amp;";  ","")&amp;IF(AND(EDATE($D111,Milestones!$AA$122)&lt;=AsOfDate,IF($R111=0,$X111,IF(AND($T111&lt;&gt;"",EDATE($D111,Milestones!$AA$122)&gt;=$T111),$W111,IF(AND($S111&lt;&gt;"",EDATE($D111,Milestones!$AA$122)&gt;=$S111),$V111,$U111)))=Milestones!$AB$122),UPPER(TEXT(EDATE($D111,Milestones!$AA$122),"dd mmm yy"))&amp;" "&amp;Milestones!$AB$122&amp;" "&amp;Milestones!$AC$122&amp;";  ","")&amp;IF(AND(EDATE($D111,Milestones!$AA$123)&lt;=AsOfDate,IF($R111=0,$X111,IF(AND($T111&lt;&gt;"",EDATE($D111,Milestones!$AA$123)&gt;=$T111),$W111,IF(AND($S111&lt;&gt;"",EDATE($D111,Milestones!$AA$123)&gt;=$S111),$V111,$U111)))=Milestones!$AB$123),UPPER(TEXT(EDATE($D111,Milestones!$AA$123),"dd mmm yy"))&amp;" "&amp;Milestones!$AB$123&amp;" "&amp;Milestones!$AC$123&amp;";  ","")&amp;IF(AND(EDATE($D111,Milestones!$AA$124)&lt;=AsOfDate,IF($R111=0,$X111,IF(AND($T111&lt;&gt;"",EDATE($D111,Milestones!$AA$124)&gt;=$T111),$W111,IF(AND($S111&lt;&gt;"",EDATE($D111,Milestones!$AA$124)&gt;=$S111),$V111,$U111)))=Milestones!$AB$124),UPPER(TEXT(EDATE($D111,Milestones!$AA$124),"dd mmm yy"))&amp;" "&amp;Milestones!$AB$124&amp;" "&amp;Milestones!$AC$124&amp;";  ","")&amp;IF(AND(EDATE($D111,Milestones!$AA$125)&lt;=AsOfDate,IF($R111=0,$X111,IF(AND($T111&lt;&gt;"",EDATE($D111,Milestones!$AA$125)&gt;=$T111),$W111,IF(AND($S111&lt;&gt;"",EDATE($D111,Milestones!$AA$125)&gt;=$S111),$V111,$U111)))=Milestones!$AB$125),UPPER(TEXT(EDATE($D111,Milestones!$AA$125),"dd mmm yy"))&amp;" "&amp;Milestones!$AB$125&amp;" "&amp;Milestones!$AC$125&amp;";  ","")&amp;IF(AND(EDATE($D111,Milestones!$AA$126)&lt;=AsOfDate,IF($R111=0,$X111,IF(AND($T111&lt;&gt;"",EDATE($D111,Milestones!$AA$126)&gt;=$T111),$W111,IF(AND($S111&lt;&gt;"",EDATE($D111,Milestones!$AA$126)&gt;=$S111),$V111,$U111)))=Milestones!$AB$126),UPPER(TEXT(EDATE($D111,Milestones!$AA$126),"dd mmm yy"))&amp;" "&amp;Milestones!$AB$126&amp;" "&amp;Milestones!$AC$126&amp;";  ","")&amp;IF(AND(EDATE($D111,Milestones!$AA$127)&lt;=AsOfDate,IF($R111=0,$X111,IF(AND($T111&lt;&gt;"",EDATE($D111,Milestones!$AA$127)&gt;=$T111),$W111,IF(AND($S111&lt;&gt;"",EDATE($D111,Milestones!$AA$127)&gt;=$S111),$V111,$U111)))=Milestones!$AB$127),UPPER(TEXT(EDATE($D111,Milestones!$AA$127),"dd mmm yy"))&amp;" "&amp;Milestones!$AB$127&amp;" "&amp;Milestones!$AC$127&amp;";  ","")&amp;IF(AND(EDATE($D111,Milestones!$AA$128)&lt;=AsOfDate,IF($R111=0,$X111,IF(AND($T111&lt;&gt;"",EDATE($D111,Milestones!$AA$128)&gt;=$T111),$W111,IF(AND($S111&lt;&gt;"",EDATE($D111,Milestones!$AA$128)&gt;=$S111),$V111,$U111)))=Milestones!$AB$128),UPPER(TEXT(EDATE($D111,Milestones!$AA$128),"dd mmm yy"))&amp;" "&amp;Milestones!$AB$128&amp;" "&amp;Milestones!$AC$128&amp;";  ","")&amp;IF(AND(EDATE($D111,Milestones!$AA$129)&lt;=AsOfDate,IF($R111=0,$X111,IF(AND($T111&lt;&gt;"",EDATE($D111,Milestones!$AA$129)&gt;=$T111),$W111,IF(AND($S111&lt;&gt;"",EDATE($D111,Milestones!$AA$129)&gt;=$S111),$V111,$U111)))=Milestones!$AB$129),UPPER(TEXT(EDATE($D111,Milestones!$AA$129),"dd mmm yy"))&amp;" "&amp;Milestones!$AB$129&amp;" "&amp;Milestones!$AC$129&amp;";  ","")&amp;IF(AND(EDATE($D111,Milestones!$AA$130)&lt;=AsOfDate,IF($R111=0,$X111,IF(AND($T111&lt;&gt;"",EDATE($D111,Milestones!$AA$130)&gt;=$T111),$W111,IF(AND($S111&lt;&gt;"",EDATE($D111,Milestones!$AA$130)&gt;=$S111),$V111,$U111)))=Milestones!$AB$130),UPPER(TEXT(EDATE($D111,Milestones!$AA$130),"dd mmm yy"))&amp;" "&amp;Milestones!$AB$130&amp;" "&amp;Milestones!$AC$130&amp;";  ","")&amp;IF(AND(EDATE($D111,Milestones!$AA$131)&lt;=AsOfDate,IF($R111=0,$X111,IF(AND($T111&lt;&gt;"",EDATE($D111,Milestones!$AA$131)&gt;=$T111),$W111,IF(AND($S111&lt;&gt;"",EDATE($D111,Milestones!$AA$131)&gt;=$S111),$V111,$U111)))=Milestones!$AB$131),UPPER(TEXT(EDATE($D111,Milestones!$AA$131),"dd mmm yy"))&amp;" "&amp;Milestones!$AB$131&amp;" "&amp;Milestones!$AC$131&amp;";  ","")&amp;IF(AND(EDATE($D111,Milestones!$AA$132)&lt;=AsOfDate,IF($R111=0,$X111,IF(AND($T111&lt;&gt;"",EDATE($D111,Milestones!$AA$132)&gt;=$T111),$W111,IF(AND($S111&lt;&gt;"",EDATE($D111,Milestones!$AA$132)&gt;=$S111),$V111,$U111)))=Milestones!$AB$132),UPPER(TEXT(EDATE($D111,Milestones!$AA$132),"dd mmm yy"))&amp;" "&amp;Milestones!$AB$132&amp;" "&amp;Milestones!$AC$132&amp;";  ","")&amp;IF(AND(EDATE($D111,Milestones!$AA$133)&lt;=AsOfDate,IF($R111=0,$X111,IF(AND($T111&lt;&gt;"",EDATE($D111,Milestones!$AA$133)&gt;=$T111),$W111,IF(AND($S111&lt;&gt;"",EDATE($D111,Milestones!$AA$133)&gt;=$S111),$V111,$U111)))=Milestones!$AB$133),UPPER(TEXT(EDATE($D111,Milestones!$AA$133),"dd mmm yy"))&amp;" "&amp;Milestones!$AB$133&amp;" "&amp;Milestones!$AC$133&amp;";  ","")&amp;IF(AND(EDATE($D111,Milestones!$AA$134)&lt;=AsOfDate,IF($R111=0,$X111,IF(AND($T111&lt;&gt;"",EDATE($D111,Milestones!$AA$134)&gt;=$T111),$W111,IF(AND($S111&lt;&gt;"",EDATE($D111,Milestones!$AA$134)&gt;=$S111),$V111,$U111)))=Milestones!$AB$134),UPPER(TEXT(EDATE($D111,Milestones!$AA$134),"dd mmm yy"))&amp;" "&amp;Milestones!$AB$134&amp;" "&amp;Milestones!$AC$134&amp;";  ","")&amp;IF(AND(EDATE($D111,Milestones!$AA$135)&lt;=AsOfDate,IF($R111=0,$X111,IF(AND($T111&lt;&gt;"",EDATE($D111,Milestones!$AA$135)&gt;=$T111),$W111,IF(AND($S111&lt;&gt;"",EDATE($D111,Milestones!$AA$135)&gt;=$S111),$V111,$U111)))=Milestones!$AB$135),UPPER(TEXT(EDATE($D111,Milestones!$AA$135),"dd mmm yy"))&amp;" "&amp;Milestones!$AB$135&amp;" "&amp;Milestones!$AC$135&amp;";  ","")&amp;IF(AND(EDATE($D111,Milestones!$AA$136)&lt;=AsOfDate,IF($R111=0,$X111,IF(AND($T111&lt;&gt;"",EDATE($D111,Milestones!$AA$136)&gt;=$T111),$W111,IF(AND($S111&lt;&gt;"",EDATE($D111,Milestones!$AA$136)&gt;=$S111),$V111,$U111)))=Milestones!$AB$136),UPPER(TEXT(EDATE($D111,Milestones!$AA$136),"dd mmm yy"))&amp;" "&amp;Milestones!$AB$136&amp;" "&amp;Milestones!$AC$136&amp;";  ","")&amp;IF(AND(EDATE($D111,Milestones!$AA$137)&lt;=AsOfDate,IF($R111=0,$X111,IF(AND($T111&lt;&gt;"",EDATE($D111,Milestones!$AA$137)&gt;=$T111),$W111,IF(AND($S111&lt;&gt;"",EDATE($D111,Milestones!$AA$137)&gt;=$S111),$V111,$U111)))=Milestones!$AB$137),UPPER(TEXT(EDATE($D111,Milestones!$AA$137),"dd mmm yy"))&amp;" "&amp;Milestones!$AB$137&amp;" "&amp;Milestones!$AC$137&amp;";  ","")&amp;IF(AND(EDATE($D111,Milestones!$AA$138)&lt;=AsOfDate,IF($R111=0,$X111,IF(AND($T111&lt;&gt;"",EDATE($D111,Milestones!$AA$138)&gt;=$T111),$W111,IF(AND($S111&lt;&gt;"",EDATE($D111,Milestones!$AA$138)&gt;=$S111),$V111,$U111)))=Milestones!$AB$138),UPPER(TEXT(EDATE($D111,Milestones!$AA$138),"dd mmm yy"))&amp;" "&amp;Milestones!$AB$138&amp;" "&amp;Milestones!$AC$138&amp;";  ","")&amp;IF(AND(EDATE($D111,Milestones!$AA$139)&lt;=AsOfDate,IF($R111=0,$X111,IF(AND($T111&lt;&gt;"",EDATE($D111,Milestones!$AA$139)&gt;=$T111),$W111,IF(AND($S111&lt;&gt;"",EDATE($D111,Milestones!$AA$139)&gt;=$S111),$V111,$U111)))=Milestones!$AB$139),UPPER(TEXT(EDATE($D111,Milestones!$AA$139),"dd mmm yy"))&amp;" "&amp;Milestones!$AB$139&amp;" "&amp;Milestones!$AC$139&amp;";  ",""))</f>
        <v/>
      </c>
      <c r="O111" s="0" t="str">
        <f aca="false">IF(OR($A111="",$D111=""),"",IF(AND(EDATE($D111,Milestones!$AA$140)&lt;=AsOfDate,IF($R111=0,$X111,IF(AND($T111&lt;&gt;"",EDATE($D111,Milestones!$AA$140)&gt;=$T111),$W111,IF(AND($S111&lt;&gt;"",EDATE($D111,Milestones!$AA$140)&gt;=$S111),$V111,$U111)))=Milestones!$AB$140),UPPER(TEXT(EDATE($D111,Milestones!$AA$140),"dd mmm yy"))&amp;" "&amp;Milestones!$AB$140&amp;" "&amp;Milestones!$AC$140&amp;";  ","")&amp;IF(AND(EDATE($D111,Milestones!$AA$141)&lt;=AsOfDate,IF($R111=0,$X111,IF(AND($T111&lt;&gt;"",EDATE($D111,Milestones!$AA$141)&gt;=$T111),$W111,IF(AND($S111&lt;&gt;"",EDATE($D111,Milestones!$AA$141)&gt;=$S111),$V111,$U111)))=Milestones!$AB$141),UPPER(TEXT(EDATE($D111,Milestones!$AA$141),"dd mmm yy"))&amp;" "&amp;Milestones!$AB$141&amp;" "&amp;Milestones!$AC$141&amp;";  ","")&amp;IF(AND(EDATE($D111,Milestones!$AA$142)&lt;=AsOfDate,IF($R111=0,$X111,IF(AND($T111&lt;&gt;"",EDATE($D111,Milestones!$AA$142)&gt;=$T111),$W111,IF(AND($S111&lt;&gt;"",EDATE($D111,Milestones!$AA$142)&gt;=$S111),$V111,$U111)))=Milestones!$AB$142),UPPER(TEXT(EDATE($D111,Milestones!$AA$142),"dd mmm yy"))&amp;" "&amp;Milestones!$AB$142&amp;" "&amp;Milestones!$AC$142&amp;";  ","")&amp;IF(AND(EDATE($D111,Milestones!$AA$143)&lt;=AsOfDate,IF($R111=0,$X111,IF(AND($T111&lt;&gt;"",EDATE($D111,Milestones!$AA$143)&gt;=$T111),$W111,IF(AND($S111&lt;&gt;"",EDATE($D111,Milestones!$AA$143)&gt;=$S111),$V111,$U111)))=Milestones!$AB$143),UPPER(TEXT(EDATE($D111,Milestones!$AA$143),"dd mmm yy"))&amp;" "&amp;Milestones!$AB$143&amp;" "&amp;Milestones!$AC$143&amp;";  ","")&amp;IF(AND(EDATE($D111,Milestones!$AA$144)&lt;=AsOfDate,IF($R111=0,$X111,IF(AND($T111&lt;&gt;"",EDATE($D111,Milestones!$AA$144)&gt;=$T111),$W111,IF(AND($S111&lt;&gt;"",EDATE($D111,Milestones!$AA$144)&gt;=$S111),$V111,$U111)))=Milestones!$AB$144),UPPER(TEXT(EDATE($D111,Milestones!$AA$144),"dd mmm yy"))&amp;" "&amp;Milestones!$AB$144&amp;" "&amp;Milestones!$AC$144&amp;";  ","")&amp;IF(AND(EDATE($D111,Milestones!$AA$145)&lt;=AsOfDate,IF($R111=0,$X111,IF(AND($T111&lt;&gt;"",EDATE($D111,Milestones!$AA$145)&gt;=$T111),$W111,IF(AND($S111&lt;&gt;"",EDATE($D111,Milestones!$AA$145)&gt;=$S111),$V111,$U111)))=Milestones!$AB$145),UPPER(TEXT(EDATE($D111,Milestones!$AA$145),"dd mmm yy"))&amp;" "&amp;Milestones!$AB$145&amp;" "&amp;Milestones!$AC$145&amp;";  ","")&amp;IF(AND(EDATE($D111,Milestones!$AA$146)&lt;=AsOfDate,IF($R111=0,$X111,IF(AND($T111&lt;&gt;"",EDATE($D111,Milestones!$AA$146)&gt;=$T111),$W111,IF(AND($S111&lt;&gt;"",EDATE($D111,Milestones!$AA$146)&gt;=$S111),$V111,$U111)))=Milestones!$AB$146),UPPER(TEXT(EDATE($D111,Milestones!$AA$146),"dd mmm yy"))&amp;" "&amp;Milestones!$AB$146&amp;" "&amp;Milestones!$AC$146&amp;";  ","")&amp;IF(AND(EDATE($D111,Milestones!$AA$147)&lt;=AsOfDate,IF($R111=0,$X111,IF(AND($T111&lt;&gt;"",EDATE($D111,Milestones!$AA$147)&gt;=$T111),$W111,IF(AND($S111&lt;&gt;"",EDATE($D111,Milestones!$AA$147)&gt;=$S111),$V111,$U111)))=Milestones!$AB$147),UPPER(TEXT(EDATE($D111,Milestones!$AA$147),"dd mmm yy"))&amp;" "&amp;Milestones!$AB$147&amp;" "&amp;Milestones!$AC$147&amp;";  ","")&amp;IF(AND(EDATE($D111,Milestones!$AA$148)&lt;=AsOfDate,IF($R111=0,$X111,IF(AND($T111&lt;&gt;"",EDATE($D111,Milestones!$AA$148)&gt;=$T111),$W111,IF(AND($S111&lt;&gt;"",EDATE($D111,Milestones!$AA$148)&gt;=$S111),$V111,$U111)))=Milestones!$AB$148),UPPER(TEXT(EDATE($D111,Milestones!$AA$148),"dd mmm yy"))&amp;" "&amp;Milestones!$AB$148&amp;" "&amp;Milestones!$AC$148&amp;";  ","")&amp;IF(AND(EDATE($D111,Milestones!$AA$149)&lt;=AsOfDate,IF($R111=0,$X111,IF(AND($T111&lt;&gt;"",EDATE($D111,Milestones!$AA$149)&gt;=$T111),$W111,IF(AND($S111&lt;&gt;"",EDATE($D111,Milestones!$AA$149)&gt;=$S111),$V111,$U111)))=Milestones!$AB$149),UPPER(TEXT(EDATE($D111,Milestones!$AA$149),"dd mmm yy"))&amp;" "&amp;Milestones!$AB$149&amp;" "&amp;Milestones!$AC$149&amp;";  ","")&amp;IF(AND(EDATE($D111,Milestones!$AA$150)&lt;=AsOfDate,IF($R111=0,$X111,IF(AND($T111&lt;&gt;"",EDATE($D111,Milestones!$AA$150)&gt;=$T111),$W111,IF(AND($S111&lt;&gt;"",EDATE($D111,Milestones!$AA$150)&gt;=$S111),$V111,$U111)))=Milestones!$AB$150),UPPER(TEXT(EDATE($D111,Milestones!$AA$150),"dd mmm yy"))&amp;" "&amp;Milestones!$AB$150&amp;" "&amp;Milestones!$AC$150&amp;";  ","")&amp;IF(AND(EDATE($D111,Milestones!$AA$151)&lt;=AsOfDate,IF($R111=0,$X111,IF(AND($T111&lt;&gt;"",EDATE($D111,Milestones!$AA$151)&gt;=$T111),$W111,IF(AND($S111&lt;&gt;"",EDATE($D111,Milestones!$AA$151)&gt;=$S111),$V111,$U111)))=Milestones!$AB$151),UPPER(TEXT(EDATE($D111,Milestones!$AA$151),"dd mmm yy"))&amp;" "&amp;Milestones!$AB$151&amp;" "&amp;Milestones!$AC$151&amp;";  ","")&amp;IF(AND(EDATE($D111,Milestones!$AA$152)&lt;=AsOfDate,IF($R111=0,$X111,IF(AND($T111&lt;&gt;"",EDATE($D111,Milestones!$AA$152)&gt;=$T111),$W111,IF(AND($S111&lt;&gt;"",EDATE($D111,Milestones!$AA$152)&gt;=$S111),$V111,$U111)))=Milestones!$AB$152),UPPER(TEXT(EDATE($D111,Milestones!$AA$152),"dd mmm yy"))&amp;" "&amp;Milestones!$AB$152&amp;" "&amp;Milestones!$AC$152&amp;";  ","")&amp;IF(AND(EDATE($D111,Milestones!$AA$153)&lt;=AsOfDate,IF($R111=0,$X111,IF(AND($T111&lt;&gt;"",EDATE($D111,Milestones!$AA$153)&gt;=$T111),$W111,IF(AND($S111&lt;&gt;"",EDATE($D111,Milestones!$AA$153)&gt;=$S111),$V111,$U111)))=Milestones!$AB$153),UPPER(TEXT(EDATE($D111,Milestones!$AA$153),"dd mmm yy"))&amp;" "&amp;Milestones!$AB$153&amp;" "&amp;Milestones!$AC$153&amp;";  ","")&amp;IF(AND(EDATE($D111,Milestones!$AA$154)&lt;=AsOfDate,IF($R111=0,$X111,IF(AND($T111&lt;&gt;"",EDATE($D111,Milestones!$AA$154)&gt;=$T111),$W111,IF(AND($S111&lt;&gt;"",EDATE($D111,Milestones!$AA$154)&gt;=$S111),$V111,$U111)))=Milestones!$AB$154),UPPER(TEXT(EDATE($D111,Milestones!$AA$154),"dd mmm yy"))&amp;" "&amp;Milestones!$AB$154&amp;" "&amp;Milestones!$AC$154&amp;";  ","")&amp;IF(AND(EDATE($D111,Milestones!$AA$155)&lt;=AsOfDate,IF($R111=0,$X111,IF(AND($T111&lt;&gt;"",EDATE($D111,Milestones!$AA$155)&gt;=$T111),$W111,IF(AND($S111&lt;&gt;"",EDATE($D111,Milestones!$AA$155)&gt;=$S111),$V111,$U111)))=Milestones!$AB$155),UPPER(TEXT(EDATE($D111,Milestones!$AA$155),"dd mmm yy"))&amp;" "&amp;Milestones!$AB$155&amp;" "&amp;Milestones!$AC$155&amp;";  ","")&amp;IF(AND(EDATE($D111,Milestones!$AA$156)&lt;=AsOfDate,IF($R111=0,$X111,IF(AND($T111&lt;&gt;"",EDATE($D111,Milestones!$AA$156)&gt;=$T111),$W111,IF(AND($S111&lt;&gt;"",EDATE($D111,Milestones!$AA$156)&gt;=$S111),$V111,$U111)))=Milestones!$AB$156),UPPER(TEXT(EDATE($D111,Milestones!$AA$156),"dd mmm yy"))&amp;" "&amp;Milestones!$AB$156&amp;" "&amp;Milestones!$AC$156&amp;";  ","")&amp;IF(AND(EDATE($D111,Milestones!$AA$157)&lt;=AsOfDate,IF($R111=0,$X111,IF(AND($T111&lt;&gt;"",EDATE($D111,Milestones!$AA$157)&gt;=$T111),$W111,IF(AND($S111&lt;&gt;"",EDATE($D111,Milestones!$AA$157)&gt;=$S111),$V111,$U111)))=Milestones!$AB$157),UPPER(TEXT(EDATE($D111,Milestones!$AA$157),"dd mmm yy"))&amp;" "&amp;Milestones!$AB$157&amp;" "&amp;Milestones!$AC$157&amp;";  ","")&amp;IF(AND(EDATE($D111,Milestones!$AA$158)&lt;=AsOfDate,IF($R111=0,$X111,IF(AND($T111&lt;&gt;"",EDATE($D111,Milestones!$AA$158)&gt;=$T111),$W111,IF(AND($S111&lt;&gt;"",EDATE($D111,Milestones!$AA$158)&gt;=$S111),$V111,$U111)))=Milestones!$AB$158),UPPER(TEXT(EDATE($D111,Milestones!$AA$158),"dd mmm yy"))&amp;" "&amp;Milestones!$AB$158&amp;" "&amp;Milestones!$AC$158&amp;";  ","")&amp;IF(AND(EDATE($D111,Milestones!$AA$159)&lt;=AsOfDate,IF($R111=0,$X111,IF(AND($T111&lt;&gt;"",EDATE($D111,Milestones!$AA$159)&gt;=$T111),$W111,IF(AND($S111&lt;&gt;"",EDATE($D111,Milestones!$AA$159)&gt;=$S111),$V111,$U111)))=Milestones!$AB$159),UPPER(TEXT(EDATE($D111,Milestones!$AA$159),"dd mmm yy"))&amp;" "&amp;Milestones!$AB$159&amp;" "&amp;Milestones!$AC$159&amp;";  ",""))</f>
        <v/>
      </c>
      <c r="P111" s="0" t="str">
        <f aca="false">IF(OR($A111="",$D111=""),"",IF(AND(EDATE($D111,Milestones!$AA$160)&lt;=AsOfDate,IF($R111=0,$X111,IF(AND($T111&lt;&gt;"",EDATE($D111,Milestones!$AA$160)&gt;=$T111),$W111,IF(AND($S111&lt;&gt;"",EDATE($D111,Milestones!$AA$160)&gt;=$S111),$V111,$U111)))=Milestones!$AB$160),UPPER(TEXT(EDATE($D111,Milestones!$AA$160),"dd mmm yy"))&amp;" "&amp;Milestones!$AB$160&amp;" "&amp;Milestones!$AC$160&amp;";  ","")&amp;IF(AND(EDATE($D111,Milestones!$AA$161)&lt;=AsOfDate,IF($R111=0,$X111,IF(AND($T111&lt;&gt;"",EDATE($D111,Milestones!$AA$161)&gt;=$T111),$W111,IF(AND($S111&lt;&gt;"",EDATE($D111,Milestones!$AA$161)&gt;=$S111),$V111,$U111)))=Milestones!$AB$161),UPPER(TEXT(EDATE($D111,Milestones!$AA$161),"dd mmm yy"))&amp;" "&amp;Milestones!$AB$161&amp;" "&amp;Milestones!$AC$161&amp;";  ","")&amp;IF(AND(EDATE($D111,Milestones!$AA$162)&lt;=AsOfDate,IF($R111=0,$X111,IF(AND($T111&lt;&gt;"",EDATE($D111,Milestones!$AA$162)&gt;=$T111),$W111,IF(AND($S111&lt;&gt;"",EDATE($D111,Milestones!$AA$162)&gt;=$S111),$V111,$U111)))=Milestones!$AB$162),UPPER(TEXT(EDATE($D111,Milestones!$AA$162),"dd mmm yy"))&amp;" "&amp;Milestones!$AB$162&amp;" "&amp;Milestones!$AC$162&amp;";  ","")&amp;IF(AND(EDATE($D111,Milestones!$AA$163)&lt;=AsOfDate,IF($R111=0,$X111,IF(AND($T111&lt;&gt;"",EDATE($D111,Milestones!$AA$163)&gt;=$T111),$W111,IF(AND($S111&lt;&gt;"",EDATE($D111,Milestones!$AA$163)&gt;=$S111),$V111,$U111)))=Milestones!$AB$163),UPPER(TEXT(EDATE($D111,Milestones!$AA$163),"dd mmm yy"))&amp;" "&amp;Milestones!$AB$163&amp;" "&amp;Milestones!$AC$163&amp;";  ","")&amp;IF(AND(EDATE($D111,Milestones!$AA$164)&lt;=AsOfDate,IF($R111=0,$X111,IF(AND($T111&lt;&gt;"",EDATE($D111,Milestones!$AA$164)&gt;=$T111),$W111,IF(AND($S111&lt;&gt;"",EDATE($D111,Milestones!$AA$164)&gt;=$S111),$V111,$U111)))=Milestones!$AB$164),UPPER(TEXT(EDATE($D111,Milestones!$AA$164),"dd mmm yy"))&amp;" "&amp;Milestones!$AB$164&amp;" "&amp;Milestones!$AC$164&amp;";  ","")&amp;IF(AND(EDATE($D111,Milestones!$AA$165)&lt;=AsOfDate,IF($R111=0,$X111,IF(AND($T111&lt;&gt;"",EDATE($D111,Milestones!$AA$165)&gt;=$T111),$W111,IF(AND($S111&lt;&gt;"",EDATE($D111,Milestones!$AA$165)&gt;=$S111),$V111,$U111)))=Milestones!$AB$165),UPPER(TEXT(EDATE($D111,Milestones!$AA$165),"dd mmm yy"))&amp;" "&amp;Milestones!$AB$165&amp;" "&amp;Milestones!$AC$165&amp;";  ","")&amp;IF(AND(EDATE($D111,Milestones!$AA$166)&lt;=AsOfDate,IF($R111=0,$X111,IF(AND($T111&lt;&gt;"",EDATE($D111,Milestones!$AA$166)&gt;=$T111),$W111,IF(AND($S111&lt;&gt;"",EDATE($D111,Milestones!$AA$166)&gt;=$S111),$V111,$U111)))=Milestones!$AB$166),UPPER(TEXT(EDATE($D111,Milestones!$AA$166),"dd mmm yy"))&amp;" "&amp;Milestones!$AB$166&amp;" "&amp;Milestones!$AC$166&amp;";  ","")&amp;IF(AND(EDATE($D111,Milestones!$AA$167)&lt;=AsOfDate,IF($R111=0,$X111,IF(AND($T111&lt;&gt;"",EDATE($D111,Milestones!$AA$167)&gt;=$T111),$W111,IF(AND($S111&lt;&gt;"",EDATE($D111,Milestones!$AA$167)&gt;=$S111),$V111,$U111)))=Milestones!$AB$167),UPPER(TEXT(EDATE($D111,Milestones!$AA$167),"dd mmm yy"))&amp;" "&amp;Milestones!$AB$167&amp;" "&amp;Milestones!$AC$167&amp;";  ","")&amp;IF(AND(EDATE($D111,Milestones!$AA$168)&lt;=AsOfDate,IF($R111=0,$X111,IF(AND($T111&lt;&gt;"",EDATE($D111,Milestones!$AA$168)&gt;=$T111),$W111,IF(AND($S111&lt;&gt;"",EDATE($D111,Milestones!$AA$168)&gt;=$S111),$V111,$U111)))=Milestones!$AB$168),UPPER(TEXT(EDATE($D111,Milestones!$AA$168),"dd mmm yy"))&amp;" "&amp;Milestones!$AB$168&amp;" "&amp;Milestones!$AC$168&amp;";  ","")&amp;IF(AND(EDATE($D111,Milestones!$AA$169)&lt;=AsOfDate,IF($R111=0,$X111,IF(AND($T111&lt;&gt;"",EDATE($D111,Milestones!$AA$169)&gt;=$T111),$W111,IF(AND($S111&lt;&gt;"",EDATE($D111,Milestones!$AA$169)&gt;=$S111),$V111,$U111)))=Milestones!$AB$169),UPPER(TEXT(EDATE($D111,Milestones!$AA$169),"dd mmm yy"))&amp;" "&amp;Milestones!$AB$169&amp;" "&amp;Milestones!$AC$169&amp;";  ","")&amp;IF(AND(EDATE($D111,Milestones!$AA$170)&lt;=AsOfDate,IF($R111=0,$X111,IF(AND($T111&lt;&gt;"",EDATE($D111,Milestones!$AA$170)&gt;=$T111),$W111,IF(AND($S111&lt;&gt;"",EDATE($D111,Milestones!$AA$170)&gt;=$S111),$V111,$U111)))=Milestones!$AB$170),UPPER(TEXT(EDATE($D111,Milestones!$AA$170),"dd mmm yy"))&amp;" "&amp;Milestones!$AB$170&amp;" "&amp;Milestones!$AC$170&amp;";  ","")&amp;IF(AND(EDATE($D111,Milestones!$AA$171)&lt;=AsOfDate,IF($R111=0,$X111,IF(AND($T111&lt;&gt;"",EDATE($D111,Milestones!$AA$171)&gt;=$T111),$W111,IF(AND($S111&lt;&gt;"",EDATE($D111,Milestones!$AA$171)&gt;=$S111),$V111,$U111)))=Milestones!$AB$171),UPPER(TEXT(EDATE($D111,Milestones!$AA$171),"dd mmm yy"))&amp;" "&amp;Milestones!$AB$171&amp;" "&amp;Milestones!$AC$171&amp;";  ","")&amp;IF(AND(EDATE($D111,Milestones!$AA$172)&lt;=AsOfDate,IF($R111=0,$X111,IF(AND($T111&lt;&gt;"",EDATE($D111,Milestones!$AA$172)&gt;=$T111),$W111,IF(AND($S111&lt;&gt;"",EDATE($D111,Milestones!$AA$172)&gt;=$S111),$V111,$U111)))=Milestones!$AB$172),UPPER(TEXT(EDATE($D111,Milestones!$AA$172),"dd mmm yy"))&amp;" "&amp;Milestones!$AB$172&amp;" "&amp;Milestones!$AC$172&amp;";  ","")&amp;IF(AND(EDATE($D111,Milestones!$AA$173)&lt;=AsOfDate,IF($R111=0,$X111,IF(AND($T111&lt;&gt;"",EDATE($D111,Milestones!$AA$173)&gt;=$T111),$W111,IF(AND($S111&lt;&gt;"",EDATE($D111,Milestones!$AA$173)&gt;=$S111),$V111,$U111)))=Milestones!$AB$173),UPPER(TEXT(EDATE($D111,Milestones!$AA$173),"dd mmm yy"))&amp;" "&amp;Milestones!$AB$173&amp;" "&amp;Milestones!$AC$173&amp;";  ","")&amp;IF(AND(EDATE($D111,Milestones!$AA$174)&lt;=AsOfDate,IF($R111=0,$X111,IF(AND($T111&lt;&gt;"",EDATE($D111,Milestones!$AA$174)&gt;=$T111),$W111,IF(AND($S111&lt;&gt;"",EDATE($D111,Milestones!$AA$174)&gt;=$S111),$V111,$U111)))=Milestones!$AB$174),UPPER(TEXT(EDATE($D111,Milestones!$AA$174),"dd mmm yy"))&amp;" "&amp;Milestones!$AB$174&amp;" "&amp;Milestones!$AC$174&amp;";  ","")&amp;IF(AND(EDATE($D111,Milestones!$AA$175)&lt;=AsOfDate,IF($R111=0,$X111,IF(AND($T111&lt;&gt;"",EDATE($D111,Milestones!$AA$175)&gt;=$T111),$W111,IF(AND($S111&lt;&gt;"",EDATE($D111,Milestones!$AA$175)&gt;=$S111),$V111,$U111)))=Milestones!$AB$175),UPPER(TEXT(EDATE($D111,Milestones!$AA$175),"dd mmm yy"))&amp;" "&amp;Milestones!$AB$175&amp;" "&amp;Milestones!$AC$175&amp;";  ","")&amp;IF(AND(EDATE($D111,Milestones!$AA$176)&lt;=AsOfDate,IF($R111=0,$X111,IF(AND($T111&lt;&gt;"",EDATE($D111,Milestones!$AA$176)&gt;=$T111),$W111,IF(AND($S111&lt;&gt;"",EDATE($D111,Milestones!$AA$176)&gt;=$S111),$V111,$U111)))=Milestones!$AB$176),UPPER(TEXT(EDATE($D111,Milestones!$AA$176),"dd mmm yy"))&amp;" "&amp;Milestones!$AB$176&amp;" "&amp;Milestones!$AC$176&amp;";  ","")&amp;IF(AND(EDATE($D111,Milestones!$AA$177)&lt;=AsOfDate,IF($R111=0,$X111,IF(AND($T111&lt;&gt;"",EDATE($D111,Milestones!$AA$177)&gt;=$T111),$W111,IF(AND($S111&lt;&gt;"",EDATE($D111,Milestones!$AA$177)&gt;=$S111),$V111,$U111)))=Milestones!$AB$177),UPPER(TEXT(EDATE($D111,Milestones!$AA$177),"dd mmm yy"))&amp;" "&amp;Milestones!$AB$177&amp;" "&amp;Milestones!$AC$177&amp;";  ","")&amp;IF(AND(EDATE($D111,Milestones!$AA$178)&lt;=AsOfDate,IF($R111=0,$X111,IF(AND($T111&lt;&gt;"",EDATE($D111,Milestones!$AA$178)&gt;=$T111),$W111,IF(AND($S111&lt;&gt;"",EDATE($D111,Milestones!$AA$178)&gt;=$S111),$V111,$U111)))=Milestones!$AB$178),UPPER(TEXT(EDATE($D111,Milestones!$AA$178),"dd mmm yy"))&amp;" "&amp;Milestones!$AB$178&amp;" "&amp;Milestones!$AC$178&amp;";  ","")&amp;IF(AND(EDATE($D111,Milestones!$AA$179)&lt;=AsOfDate,IF($R111=0,$X111,IF(AND($T111&lt;&gt;"",EDATE($D111,Milestones!$AA$179)&gt;=$T111),$W111,IF(AND($S111&lt;&gt;"",EDATE($D111,Milestones!$AA$179)&gt;=$S111),$V111,$U111)))=Milestones!$AB$179),UPPER(TEXT(EDATE($D111,Milestones!$AA$179),"dd mmm yy"))&amp;" "&amp;Milestones!$AB$179&amp;" "&amp;Milestones!$AC$179&amp;";  ",""))</f>
        <v/>
      </c>
      <c r="Q111" s="0" t="str">
        <f aca="false">IF(OR($A111="",$D111=""),"",IF(AND(EDATE($D111,Milestones!$AA$180)&lt;=AsOfDate,IF($R111=0,$X111,IF(AND($T111&lt;&gt;"",EDATE($D111,Milestones!$AA$180)&gt;=$T111),$W111,IF(AND($S111&lt;&gt;"",EDATE($D111,Milestones!$AA$180)&gt;=$S111),$V111,$U111)))=Milestones!$AB$180),UPPER(TEXT(EDATE($D111,Milestones!$AA$180),"dd mmm yy"))&amp;" "&amp;Milestones!$AB$180&amp;" "&amp;Milestones!$AC$180&amp;";  ","")&amp;IF(AND(EDATE($D111,Milestones!$AA$181)&lt;=AsOfDate,IF($R111=0,$X111,IF(AND($T111&lt;&gt;"",EDATE($D111,Milestones!$AA$181)&gt;=$T111),$W111,IF(AND($S111&lt;&gt;"",EDATE($D111,Milestones!$AA$181)&gt;=$S111),$V111,$U111)))=Milestones!$AB$181),UPPER(TEXT(EDATE($D111,Milestones!$AA$181),"dd mmm yy"))&amp;" "&amp;Milestones!$AB$181&amp;" "&amp;Milestones!$AC$181&amp;";  ","")&amp;IF(AND(EDATE($D111,Milestones!$AA$182)&lt;=AsOfDate,IF($R111=0,$X111,IF(AND($T111&lt;&gt;"",EDATE($D111,Milestones!$AA$182)&gt;=$T111),$W111,IF(AND($S111&lt;&gt;"",EDATE($D111,Milestones!$AA$182)&gt;=$S111),$V111,$U111)))=Milestones!$AB$182),UPPER(TEXT(EDATE($D111,Milestones!$AA$182),"dd mmm yy"))&amp;" "&amp;Milestones!$AB$182&amp;" "&amp;Milestones!$AC$182&amp;";  ","")&amp;IF(AND(EDATE($D111,Milestones!$AA$183)&lt;=AsOfDate,IF($R111=0,$X111,IF(AND($T111&lt;&gt;"",EDATE($D111,Milestones!$AA$183)&gt;=$T111),$W111,IF(AND($S111&lt;&gt;"",EDATE($D111,Milestones!$AA$183)&gt;=$S111),$V111,$U111)))=Milestones!$AB$183),UPPER(TEXT(EDATE($D111,Milestones!$AA$183),"dd mmm yy"))&amp;" "&amp;Milestones!$AB$183&amp;" "&amp;Milestones!$AC$183&amp;";  ","")&amp;IF(AND(EDATE($D111,Milestones!$AA$184)&lt;=AsOfDate,IF($R111=0,$X111,IF(AND($T111&lt;&gt;"",EDATE($D111,Milestones!$AA$184)&gt;=$T111),$W111,IF(AND($S111&lt;&gt;"",EDATE($D111,Milestones!$AA$184)&gt;=$S111),$V111,$U111)))=Milestones!$AB$184),UPPER(TEXT(EDATE($D111,Milestones!$AA$184),"dd mmm yy"))&amp;" "&amp;Milestones!$AB$184&amp;" "&amp;Milestones!$AC$184&amp;";  ","")&amp;IF(AND(EDATE($D111,Milestones!$AA$185)&lt;=AsOfDate,IF($R111=0,$X111,IF(AND($T111&lt;&gt;"",EDATE($D111,Milestones!$AA$185)&gt;=$T111),$W111,IF(AND($S111&lt;&gt;"",EDATE($D111,Milestones!$AA$185)&gt;=$S111),$V111,$U111)))=Milestones!$AB$185),UPPER(TEXT(EDATE($D111,Milestones!$AA$185),"dd mmm yy"))&amp;" "&amp;Milestones!$AB$185&amp;" "&amp;Milestones!$AC$185&amp;";  ","")&amp;IF(AND(EDATE($D111,Milestones!$AA$186)&lt;=AsOfDate,IF($R111=0,$X111,IF(AND($T111&lt;&gt;"",EDATE($D111,Milestones!$AA$186)&gt;=$T111),$W111,IF(AND($S111&lt;&gt;"",EDATE($D111,Milestones!$AA$186)&gt;=$S111),$V111,$U111)))=Milestones!$AB$186),UPPER(TEXT(EDATE($D111,Milestones!$AA$186),"dd mmm yy"))&amp;" "&amp;Milestones!$AB$186&amp;" "&amp;Milestones!$AC$186&amp;";  ","")&amp;IF(AND(EDATE($D111,Milestones!$AA$187)&lt;=AsOfDate,IF($R111=0,$X111,IF(AND($T111&lt;&gt;"",EDATE($D111,Milestones!$AA$187)&gt;=$T111),$W111,IF(AND($S111&lt;&gt;"",EDATE($D111,Milestones!$AA$187)&gt;=$S111),$V111,$U111)))=Milestones!$AB$187),UPPER(TEXT(EDATE($D111,Milestones!$AA$187),"dd mmm yy"))&amp;" "&amp;Milestones!$AB$187&amp;" "&amp;Milestones!$AC$187&amp;";  ","")&amp;IF(AND(EDATE($D111,Milestones!$AA$188)&lt;=AsOfDate,IF($R111=0,$X111,IF(AND($T111&lt;&gt;"",EDATE($D111,Milestones!$AA$188)&gt;=$T111),$W111,IF(AND($S111&lt;&gt;"",EDATE($D111,Milestones!$AA$188)&gt;=$S111),$V111,$U111)))=Milestones!$AB$188),UPPER(TEXT(EDATE($D111,Milestones!$AA$188),"dd mmm yy"))&amp;" "&amp;Milestones!$AB$188&amp;" "&amp;Milestones!$AC$188&amp;";  ","")&amp;IF(AND(EDATE($D111,Milestones!$AA$189)&lt;=AsOfDate,IF($R111=0,$X111,IF(AND($T111&lt;&gt;"",EDATE($D111,Milestones!$AA$189)&gt;=$T111),$W111,IF(AND($S111&lt;&gt;"",EDATE($D111,Milestones!$AA$189)&gt;=$S111),$V111,$U111)))=Milestones!$AB$189),UPPER(TEXT(EDATE($D111,Milestones!$AA$189),"dd mmm yy"))&amp;" "&amp;Milestones!$AB$189&amp;" "&amp;Milestones!$AC$189&amp;";  ","")&amp;IF(AND(EDATE($D111,Milestones!$AA$190)&lt;=AsOfDate,IF($R111=0,$X111,IF(AND($T111&lt;&gt;"",EDATE($D111,Milestones!$AA$190)&gt;=$T111),$W111,IF(AND($S111&lt;&gt;"",EDATE($D111,Milestones!$AA$190)&gt;=$S111),$V111,$U111)))=Milestones!$AB$190),UPPER(TEXT(EDATE($D111,Milestones!$AA$190),"dd mmm yy"))&amp;" "&amp;Milestones!$AB$190&amp;" "&amp;Milestones!$AC$190&amp;";  ","")&amp;IF(AND(EDATE($D111,Milestones!$AA$191)&lt;=AsOfDate,IF($R111=0,$X111,IF(AND($T111&lt;&gt;"",EDATE($D111,Milestones!$AA$191)&gt;=$T111),$W111,IF(AND($S111&lt;&gt;"",EDATE($D111,Milestones!$AA$191)&gt;=$S111),$V111,$U111)))=Milestones!$AB$191),UPPER(TEXT(EDATE($D111,Milestones!$AA$191),"dd mmm yy"))&amp;" "&amp;Milestones!$AB$191&amp;" "&amp;Milestones!$AC$191&amp;";  ","")&amp;IF(AND(EDATE($D111,Milestones!$AA$192)&lt;=AsOfDate,IF($R111=0,$X111,IF(AND($T111&lt;&gt;"",EDATE($D111,Milestones!$AA$192)&gt;=$T111),$W111,IF(AND($S111&lt;&gt;"",EDATE($D111,Milestones!$AA$192)&gt;=$S111),$V111,$U111)))=Milestones!$AB$192),UPPER(TEXT(EDATE($D111,Milestones!$AA$192),"dd mmm yy"))&amp;" "&amp;Milestones!$AB$192&amp;" "&amp;Milestones!$AC$192&amp;";  ","")&amp;IF(AND(EDATE($D111,Milestones!$AA$193)&lt;=AsOfDate,IF($R111=0,$X111,IF(AND($T111&lt;&gt;"",EDATE($D111,Milestones!$AA$193)&gt;=$T111),$W111,IF(AND($S111&lt;&gt;"",EDATE($D111,Milestones!$AA$193)&gt;=$S111),$V111,$U111)))=Milestones!$AB$193),UPPER(TEXT(EDATE($D111,Milestones!$AA$193),"dd mmm yy"))&amp;" "&amp;Milestones!$AB$193&amp;" "&amp;Milestones!$AC$193&amp;";  ","")&amp;IF(AND(EDATE($D111,Milestones!$AA$194)&lt;=AsOfDate,IF($R111=0,$X111,IF(AND($T111&lt;&gt;"",EDATE($D111,Milestones!$AA$194)&gt;=$T111),$W111,IF(AND($S111&lt;&gt;"",EDATE($D111,Milestones!$AA$194)&gt;=$S111),$V111,$U111)))=Milestones!$AB$194),UPPER(TEXT(EDATE($D111,Milestones!$AA$194),"dd mmm yy"))&amp;" "&amp;Milestones!$AB$194&amp;" "&amp;Milestones!$AC$194&amp;";  ","")&amp;IF(AND(EDATE($D111,Milestones!$AA$195)&lt;=AsOfDate,IF($R111=0,$X111,IF(AND($T111&lt;&gt;"",EDATE($D111,Milestones!$AA$195)&gt;=$T111),$W111,IF(AND($S111&lt;&gt;"",EDATE($D111,Milestones!$AA$195)&gt;=$S111),$V111,$U111)))=Milestones!$AB$195),UPPER(TEXT(EDATE($D111,Milestones!$AA$195),"dd mmm yy"))&amp;" "&amp;Milestones!$AB$195&amp;" "&amp;Milestones!$AC$195&amp;";  ","")&amp;IF(AND(EDATE($D111,Milestones!$AA$196)&lt;=AsOfDate,IF($R111=0,$X111,IF(AND($T111&lt;&gt;"",EDATE($D111,Milestones!$AA$196)&gt;=$T111),$W111,IF(AND($S111&lt;&gt;"",EDATE($D111,Milestones!$AA$196)&gt;=$S111),$V111,$U111)))=Milestones!$AB$196),UPPER(TEXT(EDATE($D111,Milestones!$AA$196),"dd mmm yy"))&amp;" "&amp;Milestones!$AB$196&amp;" "&amp;Milestones!$AC$196&amp;";  ","")&amp;IF(AND(EDATE($D111,Milestones!$AA$197)&lt;=AsOfDate,IF($R111=0,$X111,IF(AND($T111&lt;&gt;"",EDATE($D111,Milestones!$AA$197)&gt;=$T111),$W111,IF(AND($S111&lt;&gt;"",EDATE($D111,Milestones!$AA$197)&gt;=$S111),$V111,$U111)))=Milestones!$AB$197),UPPER(TEXT(EDATE($D111,Milestones!$AA$197),"dd mmm yy"))&amp;" "&amp;Milestones!$AB$197&amp;" "&amp;Milestones!$AC$197&amp;";  ","")&amp;IF(AND(EDATE($D111,Milestones!$AA$198)&lt;=AsOfDate,IF($R111=0,$X111,IF(AND($T111&lt;&gt;"",EDATE($D111,Milestones!$AA$198)&gt;=$T111),$W111,IF(AND($S111&lt;&gt;"",EDATE($D111,Milestones!$AA$198)&gt;=$S111),$V111,$U111)))=Milestones!$AB$198),UPPER(TEXT(EDATE($D111,Milestones!$AA$198),"dd mmm yy"))&amp;" "&amp;Milestones!$AB$198&amp;" "&amp;Milestones!$AC$198&amp;";  ","")&amp;IF(AND(EDATE($D111,Milestones!$AA$199)&lt;=AsOfDate,IF($R111=0,$X111,IF(AND($T111&lt;&gt;"",EDATE($D111,Milestones!$AA$199)&gt;=$T111),$W111,IF(AND($S111&lt;&gt;"",EDATE($D111,Milestones!$AA$199)&gt;=$S111),$V111,$U111)))=Milestones!$AB$199),UPPER(TEXT(EDATE($D111,Milestones!$AA$199),"dd mmm yy"))&amp;" "&amp;Milestones!$AB$199&amp;" "&amp;Milestones!$AC$199&amp;";  ",""))</f>
        <v/>
      </c>
      <c r="R111" s="0" t="str">
        <f aca="false">IF(Staff!$A111="","",Staff!$AI111)</f>
        <v/>
      </c>
      <c r="S111" s="0" t="str">
        <f aca="false">IF(Staff!$A111="","",Staff!$AK111)</f>
        <v/>
      </c>
      <c r="T111" s="0" t="str">
        <f aca="false">IF(Staff!$A111="","",Staff!$AL111)</f>
        <v/>
      </c>
      <c r="U111" s="0" t="str">
        <f aca="false">IF(Staff!$A111="","",Staff!$AP111)</f>
        <v/>
      </c>
      <c r="V111" s="0" t="str">
        <f aca="false">IF(Staff!$A111="","",Staff!$AQ111)</f>
        <v/>
      </c>
      <c r="W111" s="0" t="str">
        <f aca="false">IF(Staff!$A111="","",Staff!$AR111)</f>
        <v/>
      </c>
      <c r="X111" s="0" t="str">
        <f aca="false">IF(Staff!$A111="","",Staff!$AS111)</f>
        <v/>
      </c>
    </row>
    <row r="112" customFormat="false" ht="15" hidden="false" customHeight="false" outlineLevel="0" collapsed="false">
      <c r="A112" s="14" t="str">
        <f aca="false">IF(Staff!$A112="","",Staff!$A112)</f>
        <v/>
      </c>
      <c r="B112" s="14" t="str">
        <f aca="false">IF(Staff!$A112="","",Staff!$B112)</f>
        <v/>
      </c>
      <c r="C112" s="14" t="str">
        <f aca="false">IF(Staff!$A112="","",Staff!$C112)</f>
        <v/>
      </c>
      <c r="D112" s="12" t="str">
        <f aca="false">IF(Staff!$A112="","",Staff!$AH112)</f>
        <v/>
      </c>
      <c r="E112" s="14" t="str">
        <f aca="false">IF(Staff!$A112="","",Staff!$O112)</f>
        <v/>
      </c>
      <c r="F112" s="14" t="str">
        <f aca="false">IF(E112="","",E112*HoursPerDay)</f>
        <v/>
      </c>
      <c r="G112" s="14" t="str">
        <f aca="false">IF(Staff!$A112="","",Staff!$AE112)</f>
        <v/>
      </c>
      <c r="H112" s="26" t="str">
        <f aca="false">IF($A112="","",I112&amp;J112&amp;K112&amp;L112&amp;M112&amp;N112&amp;O112&amp;P112&amp;Q112)</f>
        <v/>
      </c>
      <c r="I112" s="0" t="str">
        <f aca="false">IF(OR($A112="",$D112=""),"",IF(AND(EDATE($D112,Milestones!$AA$20)&lt;=AsOfDate,IF($R112=0,$X112,IF(AND($T112&lt;&gt;"",EDATE($D112,Milestones!$AA$20)&gt;=$T112),$W112,IF(AND($S112&lt;&gt;"",EDATE($D112,Milestones!$AA$20)&gt;=$S112),$V112,$U112)))=Milestones!$AB$20),UPPER(TEXT(EDATE($D112,Milestones!$AA$20),"dd mmm yy"))&amp;" "&amp;Milestones!$AB$20&amp;" "&amp;Milestones!$AC$20&amp;";  ","")&amp;IF(AND(EDATE($D112,Milestones!$AA$21)&lt;=AsOfDate,IF($R112=0,$X112,IF(AND($T112&lt;&gt;"",EDATE($D112,Milestones!$AA$21)&gt;=$T112),$W112,IF(AND($S112&lt;&gt;"",EDATE($D112,Milestones!$AA$21)&gt;=$S112),$V112,$U112)))=Milestones!$AB$21),UPPER(TEXT(EDATE($D112,Milestones!$AA$21),"dd mmm yy"))&amp;" "&amp;Milestones!$AB$21&amp;" "&amp;Milestones!$AC$21&amp;";  ","")&amp;IF(AND(EDATE($D112,Milestones!$AA$22)&lt;=AsOfDate,IF($R112=0,$X112,IF(AND($T112&lt;&gt;"",EDATE($D112,Milestones!$AA$22)&gt;=$T112),$W112,IF(AND($S112&lt;&gt;"",EDATE($D112,Milestones!$AA$22)&gt;=$S112),$V112,$U112)))=Milestones!$AB$22),UPPER(TEXT(EDATE($D112,Milestones!$AA$22),"dd mmm yy"))&amp;" "&amp;Milestones!$AB$22&amp;" "&amp;Milestones!$AC$22&amp;";  ","")&amp;IF(AND(EDATE($D112,Milestones!$AA$23)&lt;=AsOfDate,IF($R112=0,$X112,IF(AND($T112&lt;&gt;"",EDATE($D112,Milestones!$AA$23)&gt;=$T112),$W112,IF(AND($S112&lt;&gt;"",EDATE($D112,Milestones!$AA$23)&gt;=$S112),$V112,$U112)))=Milestones!$AB$23),UPPER(TEXT(EDATE($D112,Milestones!$AA$23),"dd mmm yy"))&amp;" "&amp;Milestones!$AB$23&amp;" "&amp;Milestones!$AC$23&amp;";  ","")&amp;IF(AND(EDATE($D112,Milestones!$AA$24)&lt;=AsOfDate,IF($R112=0,$X112,IF(AND($T112&lt;&gt;"",EDATE($D112,Milestones!$AA$24)&gt;=$T112),$W112,IF(AND($S112&lt;&gt;"",EDATE($D112,Milestones!$AA$24)&gt;=$S112),$V112,$U112)))=Milestones!$AB$24),UPPER(TEXT(EDATE($D112,Milestones!$AA$24),"dd mmm yy"))&amp;" "&amp;Milestones!$AB$24&amp;" "&amp;Milestones!$AC$24&amp;";  ","")&amp;IF(AND(EDATE($D112,Milestones!$AA$25)&lt;=AsOfDate,IF($R112=0,$X112,IF(AND($T112&lt;&gt;"",EDATE($D112,Milestones!$AA$25)&gt;=$T112),$W112,IF(AND($S112&lt;&gt;"",EDATE($D112,Milestones!$AA$25)&gt;=$S112),$V112,$U112)))=Milestones!$AB$25),UPPER(TEXT(EDATE($D112,Milestones!$AA$25),"dd mmm yy"))&amp;" "&amp;Milestones!$AB$25&amp;" "&amp;Milestones!$AC$25&amp;";  ","")&amp;IF(AND(EDATE($D112,Milestones!$AA$26)&lt;=AsOfDate,IF($R112=0,$X112,IF(AND($T112&lt;&gt;"",EDATE($D112,Milestones!$AA$26)&gt;=$T112),$W112,IF(AND($S112&lt;&gt;"",EDATE($D112,Milestones!$AA$26)&gt;=$S112),$V112,$U112)))=Milestones!$AB$26),UPPER(TEXT(EDATE($D112,Milestones!$AA$26),"dd mmm yy"))&amp;" "&amp;Milestones!$AB$26&amp;" "&amp;Milestones!$AC$26&amp;";  ","")&amp;IF(AND(EDATE($D112,Milestones!$AA$27)&lt;=AsOfDate,IF($R112=0,$X112,IF(AND($T112&lt;&gt;"",EDATE($D112,Milestones!$AA$27)&gt;=$T112),$W112,IF(AND($S112&lt;&gt;"",EDATE($D112,Milestones!$AA$27)&gt;=$S112),$V112,$U112)))=Milestones!$AB$27),UPPER(TEXT(EDATE($D112,Milestones!$AA$27),"dd mmm yy"))&amp;" "&amp;Milestones!$AB$27&amp;" "&amp;Milestones!$AC$27&amp;";  ","")&amp;IF(AND(EDATE($D112,Milestones!$AA$28)&lt;=AsOfDate,IF($R112=0,$X112,IF(AND($T112&lt;&gt;"",EDATE($D112,Milestones!$AA$28)&gt;=$T112),$W112,IF(AND($S112&lt;&gt;"",EDATE($D112,Milestones!$AA$28)&gt;=$S112),$V112,$U112)))=Milestones!$AB$28),UPPER(TEXT(EDATE($D112,Milestones!$AA$28),"dd mmm yy"))&amp;" "&amp;Milestones!$AB$28&amp;" "&amp;Milestones!$AC$28&amp;";  ","")&amp;IF(AND(EDATE($D112,Milestones!$AA$29)&lt;=AsOfDate,IF($R112=0,$X112,IF(AND($T112&lt;&gt;"",EDATE($D112,Milestones!$AA$29)&gt;=$T112),$W112,IF(AND($S112&lt;&gt;"",EDATE($D112,Milestones!$AA$29)&gt;=$S112),$V112,$U112)))=Milestones!$AB$29),UPPER(TEXT(EDATE($D112,Milestones!$AA$29),"dd mmm yy"))&amp;" "&amp;Milestones!$AB$29&amp;" "&amp;Milestones!$AC$29&amp;";  ","")&amp;IF(AND(EDATE($D112,Milestones!$AA$30)&lt;=AsOfDate,IF($R112=0,$X112,IF(AND($T112&lt;&gt;"",EDATE($D112,Milestones!$AA$30)&gt;=$T112),$W112,IF(AND($S112&lt;&gt;"",EDATE($D112,Milestones!$AA$30)&gt;=$S112),$V112,$U112)))=Milestones!$AB$30),UPPER(TEXT(EDATE($D112,Milestones!$AA$30),"dd mmm yy"))&amp;" "&amp;Milestones!$AB$30&amp;" "&amp;Milestones!$AC$30&amp;";  ","")&amp;IF(AND(EDATE($D112,Milestones!$AA$31)&lt;=AsOfDate,IF($R112=0,$X112,IF(AND($T112&lt;&gt;"",EDATE($D112,Milestones!$AA$31)&gt;=$T112),$W112,IF(AND($S112&lt;&gt;"",EDATE($D112,Milestones!$AA$31)&gt;=$S112),$V112,$U112)))=Milestones!$AB$31),UPPER(TEXT(EDATE($D112,Milestones!$AA$31),"dd mmm yy"))&amp;" "&amp;Milestones!$AB$31&amp;" "&amp;Milestones!$AC$31&amp;";  ","")&amp;IF(AND(EDATE($D112,Milestones!$AA$32)&lt;=AsOfDate,IF($R112=0,$X112,IF(AND($T112&lt;&gt;"",EDATE($D112,Milestones!$AA$32)&gt;=$T112),$W112,IF(AND($S112&lt;&gt;"",EDATE($D112,Milestones!$AA$32)&gt;=$S112),$V112,$U112)))=Milestones!$AB$32),UPPER(TEXT(EDATE($D112,Milestones!$AA$32),"dd mmm yy"))&amp;" "&amp;Milestones!$AB$32&amp;" "&amp;Milestones!$AC$32&amp;";  ","")&amp;IF(AND(EDATE($D112,Milestones!$AA$33)&lt;=AsOfDate,IF($R112=0,$X112,IF(AND($T112&lt;&gt;"",EDATE($D112,Milestones!$AA$33)&gt;=$T112),$W112,IF(AND($S112&lt;&gt;"",EDATE($D112,Milestones!$AA$33)&gt;=$S112),$V112,$U112)))=Milestones!$AB$33),UPPER(TEXT(EDATE($D112,Milestones!$AA$33),"dd mmm yy"))&amp;" "&amp;Milestones!$AB$33&amp;" "&amp;Milestones!$AC$33&amp;";  ","")&amp;IF(AND(EDATE($D112,Milestones!$AA$34)&lt;=AsOfDate,IF($R112=0,$X112,IF(AND($T112&lt;&gt;"",EDATE($D112,Milestones!$AA$34)&gt;=$T112),$W112,IF(AND($S112&lt;&gt;"",EDATE($D112,Milestones!$AA$34)&gt;=$S112),$V112,$U112)))=Milestones!$AB$34),UPPER(TEXT(EDATE($D112,Milestones!$AA$34),"dd mmm yy"))&amp;" "&amp;Milestones!$AB$34&amp;" "&amp;Milestones!$AC$34&amp;";  ","")&amp;IF(AND(EDATE($D112,Milestones!$AA$35)&lt;=AsOfDate,IF($R112=0,$X112,IF(AND($T112&lt;&gt;"",EDATE($D112,Milestones!$AA$35)&gt;=$T112),$W112,IF(AND($S112&lt;&gt;"",EDATE($D112,Milestones!$AA$35)&gt;=$S112),$V112,$U112)))=Milestones!$AB$35),UPPER(TEXT(EDATE($D112,Milestones!$AA$35),"dd mmm yy"))&amp;" "&amp;Milestones!$AB$35&amp;" "&amp;Milestones!$AC$35&amp;";  ","")&amp;IF(AND(EDATE($D112,Milestones!$AA$36)&lt;=AsOfDate,IF($R112=0,$X112,IF(AND($T112&lt;&gt;"",EDATE($D112,Milestones!$AA$36)&gt;=$T112),$W112,IF(AND($S112&lt;&gt;"",EDATE($D112,Milestones!$AA$36)&gt;=$S112),$V112,$U112)))=Milestones!$AB$36),UPPER(TEXT(EDATE($D112,Milestones!$AA$36),"dd mmm yy"))&amp;" "&amp;Milestones!$AB$36&amp;" "&amp;Milestones!$AC$36&amp;";  ","")&amp;IF(AND(EDATE($D112,Milestones!$AA$37)&lt;=AsOfDate,IF($R112=0,$X112,IF(AND($T112&lt;&gt;"",EDATE($D112,Milestones!$AA$37)&gt;=$T112),$W112,IF(AND($S112&lt;&gt;"",EDATE($D112,Milestones!$AA$37)&gt;=$S112),$V112,$U112)))=Milestones!$AB$37),UPPER(TEXT(EDATE($D112,Milestones!$AA$37),"dd mmm yy"))&amp;" "&amp;Milestones!$AB$37&amp;" "&amp;Milestones!$AC$37&amp;";  ","")&amp;IF(AND(EDATE($D112,Milestones!$AA$38)&lt;=AsOfDate,IF($R112=0,$X112,IF(AND($T112&lt;&gt;"",EDATE($D112,Milestones!$AA$38)&gt;=$T112),$W112,IF(AND($S112&lt;&gt;"",EDATE($D112,Milestones!$AA$38)&gt;=$S112),$V112,$U112)))=Milestones!$AB$38),UPPER(TEXT(EDATE($D112,Milestones!$AA$38),"dd mmm yy"))&amp;" "&amp;Milestones!$AB$38&amp;" "&amp;Milestones!$AC$38&amp;";  ","")&amp;IF(AND(EDATE($D112,Milestones!$AA$39)&lt;=AsOfDate,IF($R112=0,$X112,IF(AND($T112&lt;&gt;"",EDATE($D112,Milestones!$AA$39)&gt;=$T112),$W112,IF(AND($S112&lt;&gt;"",EDATE($D112,Milestones!$AA$39)&gt;=$S112),$V112,$U112)))=Milestones!$AB$39),UPPER(TEXT(EDATE($D112,Milestones!$AA$39),"dd mmm yy"))&amp;" "&amp;Milestones!$AB$39&amp;" "&amp;Milestones!$AC$39&amp;";  ",""))</f>
        <v/>
      </c>
      <c r="J112" s="0" t="str">
        <f aca="false">IF(OR($A112="",$D112=""),"",IF(AND(EDATE($D112,Milestones!$AA$40)&lt;=AsOfDate,IF($R112=0,$X112,IF(AND($T112&lt;&gt;"",EDATE($D112,Milestones!$AA$40)&gt;=$T112),$W112,IF(AND($S112&lt;&gt;"",EDATE($D112,Milestones!$AA$40)&gt;=$S112),$V112,$U112)))=Milestones!$AB$40),UPPER(TEXT(EDATE($D112,Milestones!$AA$40),"dd mmm yy"))&amp;" "&amp;Milestones!$AB$40&amp;" "&amp;Milestones!$AC$40&amp;";  ","")&amp;IF(AND(EDATE($D112,Milestones!$AA$41)&lt;=AsOfDate,IF($R112=0,$X112,IF(AND($T112&lt;&gt;"",EDATE($D112,Milestones!$AA$41)&gt;=$T112),$W112,IF(AND($S112&lt;&gt;"",EDATE($D112,Milestones!$AA$41)&gt;=$S112),$V112,$U112)))=Milestones!$AB$41),UPPER(TEXT(EDATE($D112,Milestones!$AA$41),"dd mmm yy"))&amp;" "&amp;Milestones!$AB$41&amp;" "&amp;Milestones!$AC$41&amp;";  ","")&amp;IF(AND(EDATE($D112,Milestones!$AA$42)&lt;=AsOfDate,IF($R112=0,$X112,IF(AND($T112&lt;&gt;"",EDATE($D112,Milestones!$AA$42)&gt;=$T112),$W112,IF(AND($S112&lt;&gt;"",EDATE($D112,Milestones!$AA$42)&gt;=$S112),$V112,$U112)))=Milestones!$AB$42),UPPER(TEXT(EDATE($D112,Milestones!$AA$42),"dd mmm yy"))&amp;" "&amp;Milestones!$AB$42&amp;" "&amp;Milestones!$AC$42&amp;";  ","")&amp;IF(AND(EDATE($D112,Milestones!$AA$43)&lt;=AsOfDate,IF($R112=0,$X112,IF(AND($T112&lt;&gt;"",EDATE($D112,Milestones!$AA$43)&gt;=$T112),$W112,IF(AND($S112&lt;&gt;"",EDATE($D112,Milestones!$AA$43)&gt;=$S112),$V112,$U112)))=Milestones!$AB$43),UPPER(TEXT(EDATE($D112,Milestones!$AA$43),"dd mmm yy"))&amp;" "&amp;Milestones!$AB$43&amp;" "&amp;Milestones!$AC$43&amp;";  ","")&amp;IF(AND(EDATE($D112,Milestones!$AA$44)&lt;=AsOfDate,IF($R112=0,$X112,IF(AND($T112&lt;&gt;"",EDATE($D112,Milestones!$AA$44)&gt;=$T112),$W112,IF(AND($S112&lt;&gt;"",EDATE($D112,Milestones!$AA$44)&gt;=$S112),$V112,$U112)))=Milestones!$AB$44),UPPER(TEXT(EDATE($D112,Milestones!$AA$44),"dd mmm yy"))&amp;" "&amp;Milestones!$AB$44&amp;" "&amp;Milestones!$AC$44&amp;";  ","")&amp;IF(AND(EDATE($D112,Milestones!$AA$45)&lt;=AsOfDate,IF($R112=0,$X112,IF(AND($T112&lt;&gt;"",EDATE($D112,Milestones!$AA$45)&gt;=$T112),$W112,IF(AND($S112&lt;&gt;"",EDATE($D112,Milestones!$AA$45)&gt;=$S112),$V112,$U112)))=Milestones!$AB$45),UPPER(TEXT(EDATE($D112,Milestones!$AA$45),"dd mmm yy"))&amp;" "&amp;Milestones!$AB$45&amp;" "&amp;Milestones!$AC$45&amp;";  ","")&amp;IF(AND(EDATE($D112,Milestones!$AA$46)&lt;=AsOfDate,IF($R112=0,$X112,IF(AND($T112&lt;&gt;"",EDATE($D112,Milestones!$AA$46)&gt;=$T112),$W112,IF(AND($S112&lt;&gt;"",EDATE($D112,Milestones!$AA$46)&gt;=$S112),$V112,$U112)))=Milestones!$AB$46),UPPER(TEXT(EDATE($D112,Milestones!$AA$46),"dd mmm yy"))&amp;" "&amp;Milestones!$AB$46&amp;" "&amp;Milestones!$AC$46&amp;";  ","")&amp;IF(AND(EDATE($D112,Milestones!$AA$47)&lt;=AsOfDate,IF($R112=0,$X112,IF(AND($T112&lt;&gt;"",EDATE($D112,Milestones!$AA$47)&gt;=$T112),$W112,IF(AND($S112&lt;&gt;"",EDATE($D112,Milestones!$AA$47)&gt;=$S112),$V112,$U112)))=Milestones!$AB$47),UPPER(TEXT(EDATE($D112,Milestones!$AA$47),"dd mmm yy"))&amp;" "&amp;Milestones!$AB$47&amp;" "&amp;Milestones!$AC$47&amp;";  ","")&amp;IF(AND(EDATE($D112,Milestones!$AA$48)&lt;=AsOfDate,IF($R112=0,$X112,IF(AND($T112&lt;&gt;"",EDATE($D112,Milestones!$AA$48)&gt;=$T112),$W112,IF(AND($S112&lt;&gt;"",EDATE($D112,Milestones!$AA$48)&gt;=$S112),$V112,$U112)))=Milestones!$AB$48),UPPER(TEXT(EDATE($D112,Milestones!$AA$48),"dd mmm yy"))&amp;" "&amp;Milestones!$AB$48&amp;" "&amp;Milestones!$AC$48&amp;";  ","")&amp;IF(AND(EDATE($D112,Milestones!$AA$49)&lt;=AsOfDate,IF($R112=0,$X112,IF(AND($T112&lt;&gt;"",EDATE($D112,Milestones!$AA$49)&gt;=$T112),$W112,IF(AND($S112&lt;&gt;"",EDATE($D112,Milestones!$AA$49)&gt;=$S112),$V112,$U112)))=Milestones!$AB$49),UPPER(TEXT(EDATE($D112,Milestones!$AA$49),"dd mmm yy"))&amp;" "&amp;Milestones!$AB$49&amp;" "&amp;Milestones!$AC$49&amp;";  ","")&amp;IF(AND(EDATE($D112,Milestones!$AA$50)&lt;=AsOfDate,IF($R112=0,$X112,IF(AND($T112&lt;&gt;"",EDATE($D112,Milestones!$AA$50)&gt;=$T112),$W112,IF(AND($S112&lt;&gt;"",EDATE($D112,Milestones!$AA$50)&gt;=$S112),$V112,$U112)))=Milestones!$AB$50),UPPER(TEXT(EDATE($D112,Milestones!$AA$50),"dd mmm yy"))&amp;" "&amp;Milestones!$AB$50&amp;" "&amp;Milestones!$AC$50&amp;";  ","")&amp;IF(AND(EDATE($D112,Milestones!$AA$51)&lt;=AsOfDate,IF($R112=0,$X112,IF(AND($T112&lt;&gt;"",EDATE($D112,Milestones!$AA$51)&gt;=$T112),$W112,IF(AND($S112&lt;&gt;"",EDATE($D112,Milestones!$AA$51)&gt;=$S112),$V112,$U112)))=Milestones!$AB$51),UPPER(TEXT(EDATE($D112,Milestones!$AA$51),"dd mmm yy"))&amp;" "&amp;Milestones!$AB$51&amp;" "&amp;Milestones!$AC$51&amp;";  ","")&amp;IF(AND(EDATE($D112,Milestones!$AA$52)&lt;=AsOfDate,IF($R112=0,$X112,IF(AND($T112&lt;&gt;"",EDATE($D112,Milestones!$AA$52)&gt;=$T112),$W112,IF(AND($S112&lt;&gt;"",EDATE($D112,Milestones!$AA$52)&gt;=$S112),$V112,$U112)))=Milestones!$AB$52),UPPER(TEXT(EDATE($D112,Milestones!$AA$52),"dd mmm yy"))&amp;" "&amp;Milestones!$AB$52&amp;" "&amp;Milestones!$AC$52&amp;";  ","")&amp;IF(AND(EDATE($D112,Milestones!$AA$53)&lt;=AsOfDate,IF($R112=0,$X112,IF(AND($T112&lt;&gt;"",EDATE($D112,Milestones!$AA$53)&gt;=$T112),$W112,IF(AND($S112&lt;&gt;"",EDATE($D112,Milestones!$AA$53)&gt;=$S112),$V112,$U112)))=Milestones!$AB$53),UPPER(TEXT(EDATE($D112,Milestones!$AA$53),"dd mmm yy"))&amp;" "&amp;Milestones!$AB$53&amp;" "&amp;Milestones!$AC$53&amp;";  ","")&amp;IF(AND(EDATE($D112,Milestones!$AA$54)&lt;=AsOfDate,IF($R112=0,$X112,IF(AND($T112&lt;&gt;"",EDATE($D112,Milestones!$AA$54)&gt;=$T112),$W112,IF(AND($S112&lt;&gt;"",EDATE($D112,Milestones!$AA$54)&gt;=$S112),$V112,$U112)))=Milestones!$AB$54),UPPER(TEXT(EDATE($D112,Milestones!$AA$54),"dd mmm yy"))&amp;" "&amp;Milestones!$AB$54&amp;" "&amp;Milestones!$AC$54&amp;";  ","")&amp;IF(AND(EDATE($D112,Milestones!$AA$55)&lt;=AsOfDate,IF($R112=0,$X112,IF(AND($T112&lt;&gt;"",EDATE($D112,Milestones!$AA$55)&gt;=$T112),$W112,IF(AND($S112&lt;&gt;"",EDATE($D112,Milestones!$AA$55)&gt;=$S112),$V112,$U112)))=Milestones!$AB$55),UPPER(TEXT(EDATE($D112,Milestones!$AA$55),"dd mmm yy"))&amp;" "&amp;Milestones!$AB$55&amp;" "&amp;Milestones!$AC$55&amp;";  ","")&amp;IF(AND(EDATE($D112,Milestones!$AA$56)&lt;=AsOfDate,IF($R112=0,$X112,IF(AND($T112&lt;&gt;"",EDATE($D112,Milestones!$AA$56)&gt;=$T112),$W112,IF(AND($S112&lt;&gt;"",EDATE($D112,Milestones!$AA$56)&gt;=$S112),$V112,$U112)))=Milestones!$AB$56),UPPER(TEXT(EDATE($D112,Milestones!$AA$56),"dd mmm yy"))&amp;" "&amp;Milestones!$AB$56&amp;" "&amp;Milestones!$AC$56&amp;";  ","")&amp;IF(AND(EDATE($D112,Milestones!$AA$57)&lt;=AsOfDate,IF($R112=0,$X112,IF(AND($T112&lt;&gt;"",EDATE($D112,Milestones!$AA$57)&gt;=$T112),$W112,IF(AND($S112&lt;&gt;"",EDATE($D112,Milestones!$AA$57)&gt;=$S112),$V112,$U112)))=Milestones!$AB$57),UPPER(TEXT(EDATE($D112,Milestones!$AA$57),"dd mmm yy"))&amp;" "&amp;Milestones!$AB$57&amp;" "&amp;Milestones!$AC$57&amp;";  ","")&amp;IF(AND(EDATE($D112,Milestones!$AA$58)&lt;=AsOfDate,IF($R112=0,$X112,IF(AND($T112&lt;&gt;"",EDATE($D112,Milestones!$AA$58)&gt;=$T112),$W112,IF(AND($S112&lt;&gt;"",EDATE($D112,Milestones!$AA$58)&gt;=$S112),$V112,$U112)))=Milestones!$AB$58),UPPER(TEXT(EDATE($D112,Milestones!$AA$58),"dd mmm yy"))&amp;" "&amp;Milestones!$AB$58&amp;" "&amp;Milestones!$AC$58&amp;";  ","")&amp;IF(AND(EDATE($D112,Milestones!$AA$59)&lt;=AsOfDate,IF($R112=0,$X112,IF(AND($T112&lt;&gt;"",EDATE($D112,Milestones!$AA$59)&gt;=$T112),$W112,IF(AND($S112&lt;&gt;"",EDATE($D112,Milestones!$AA$59)&gt;=$S112),$V112,$U112)))=Milestones!$AB$59),UPPER(TEXT(EDATE($D112,Milestones!$AA$59),"dd mmm yy"))&amp;" "&amp;Milestones!$AB$59&amp;" "&amp;Milestones!$AC$59&amp;";  ",""))</f>
        <v/>
      </c>
      <c r="K112" s="0" t="str">
        <f aca="false">IF(OR($A112="",$D112=""),"",IF(AND(EDATE($D112,Milestones!$AA$60)&lt;=AsOfDate,IF($R112=0,$X112,IF(AND($T112&lt;&gt;"",EDATE($D112,Milestones!$AA$60)&gt;=$T112),$W112,IF(AND($S112&lt;&gt;"",EDATE($D112,Milestones!$AA$60)&gt;=$S112),$V112,$U112)))=Milestones!$AB$60),UPPER(TEXT(EDATE($D112,Milestones!$AA$60),"dd mmm yy"))&amp;" "&amp;Milestones!$AB$60&amp;" "&amp;Milestones!$AC$60&amp;";  ","")&amp;IF(AND(EDATE($D112,Milestones!$AA$61)&lt;=AsOfDate,IF($R112=0,$X112,IF(AND($T112&lt;&gt;"",EDATE($D112,Milestones!$AA$61)&gt;=$T112),$W112,IF(AND($S112&lt;&gt;"",EDATE($D112,Milestones!$AA$61)&gt;=$S112),$V112,$U112)))=Milestones!$AB$61),UPPER(TEXT(EDATE($D112,Milestones!$AA$61),"dd mmm yy"))&amp;" "&amp;Milestones!$AB$61&amp;" "&amp;Milestones!$AC$61&amp;";  ","")&amp;IF(AND(EDATE($D112,Milestones!$AA$62)&lt;=AsOfDate,IF($R112=0,$X112,IF(AND($T112&lt;&gt;"",EDATE($D112,Milestones!$AA$62)&gt;=$T112),$W112,IF(AND($S112&lt;&gt;"",EDATE($D112,Milestones!$AA$62)&gt;=$S112),$V112,$U112)))=Milestones!$AB$62),UPPER(TEXT(EDATE($D112,Milestones!$AA$62),"dd mmm yy"))&amp;" "&amp;Milestones!$AB$62&amp;" "&amp;Milestones!$AC$62&amp;";  ","")&amp;IF(AND(EDATE($D112,Milestones!$AA$63)&lt;=AsOfDate,IF($R112=0,$X112,IF(AND($T112&lt;&gt;"",EDATE($D112,Milestones!$AA$63)&gt;=$T112),$W112,IF(AND($S112&lt;&gt;"",EDATE($D112,Milestones!$AA$63)&gt;=$S112),$V112,$U112)))=Milestones!$AB$63),UPPER(TEXT(EDATE($D112,Milestones!$AA$63),"dd mmm yy"))&amp;" "&amp;Milestones!$AB$63&amp;" "&amp;Milestones!$AC$63&amp;";  ","")&amp;IF(AND(EDATE($D112,Milestones!$AA$64)&lt;=AsOfDate,IF($R112=0,$X112,IF(AND($T112&lt;&gt;"",EDATE($D112,Milestones!$AA$64)&gt;=$T112),$W112,IF(AND($S112&lt;&gt;"",EDATE($D112,Milestones!$AA$64)&gt;=$S112),$V112,$U112)))=Milestones!$AB$64),UPPER(TEXT(EDATE($D112,Milestones!$AA$64),"dd mmm yy"))&amp;" "&amp;Milestones!$AB$64&amp;" "&amp;Milestones!$AC$64&amp;";  ","")&amp;IF(AND(EDATE($D112,Milestones!$AA$65)&lt;=AsOfDate,IF($R112=0,$X112,IF(AND($T112&lt;&gt;"",EDATE($D112,Milestones!$AA$65)&gt;=$T112),$W112,IF(AND($S112&lt;&gt;"",EDATE($D112,Milestones!$AA$65)&gt;=$S112),$V112,$U112)))=Milestones!$AB$65),UPPER(TEXT(EDATE($D112,Milestones!$AA$65),"dd mmm yy"))&amp;" "&amp;Milestones!$AB$65&amp;" "&amp;Milestones!$AC$65&amp;";  ","")&amp;IF(AND(EDATE($D112,Milestones!$AA$66)&lt;=AsOfDate,IF($R112=0,$X112,IF(AND($T112&lt;&gt;"",EDATE($D112,Milestones!$AA$66)&gt;=$T112),$W112,IF(AND($S112&lt;&gt;"",EDATE($D112,Milestones!$AA$66)&gt;=$S112),$V112,$U112)))=Milestones!$AB$66),UPPER(TEXT(EDATE($D112,Milestones!$AA$66),"dd mmm yy"))&amp;" "&amp;Milestones!$AB$66&amp;" "&amp;Milestones!$AC$66&amp;";  ","")&amp;IF(AND(EDATE($D112,Milestones!$AA$67)&lt;=AsOfDate,IF($R112=0,$X112,IF(AND($T112&lt;&gt;"",EDATE($D112,Milestones!$AA$67)&gt;=$T112),$W112,IF(AND($S112&lt;&gt;"",EDATE($D112,Milestones!$AA$67)&gt;=$S112),$V112,$U112)))=Milestones!$AB$67),UPPER(TEXT(EDATE($D112,Milestones!$AA$67),"dd mmm yy"))&amp;" "&amp;Milestones!$AB$67&amp;" "&amp;Milestones!$AC$67&amp;";  ","")&amp;IF(AND(EDATE($D112,Milestones!$AA$68)&lt;=AsOfDate,IF($R112=0,$X112,IF(AND($T112&lt;&gt;"",EDATE($D112,Milestones!$AA$68)&gt;=$T112),$W112,IF(AND($S112&lt;&gt;"",EDATE($D112,Milestones!$AA$68)&gt;=$S112),$V112,$U112)))=Milestones!$AB$68),UPPER(TEXT(EDATE($D112,Milestones!$AA$68),"dd mmm yy"))&amp;" "&amp;Milestones!$AB$68&amp;" "&amp;Milestones!$AC$68&amp;";  ","")&amp;IF(AND(EDATE($D112,Milestones!$AA$69)&lt;=AsOfDate,IF($R112=0,$X112,IF(AND($T112&lt;&gt;"",EDATE($D112,Milestones!$AA$69)&gt;=$T112),$W112,IF(AND($S112&lt;&gt;"",EDATE($D112,Milestones!$AA$69)&gt;=$S112),$V112,$U112)))=Milestones!$AB$69),UPPER(TEXT(EDATE($D112,Milestones!$AA$69),"dd mmm yy"))&amp;" "&amp;Milestones!$AB$69&amp;" "&amp;Milestones!$AC$69&amp;";  ","")&amp;IF(AND(EDATE($D112,Milestones!$AA$70)&lt;=AsOfDate,IF($R112=0,$X112,IF(AND($T112&lt;&gt;"",EDATE($D112,Milestones!$AA$70)&gt;=$T112),$W112,IF(AND($S112&lt;&gt;"",EDATE($D112,Milestones!$AA$70)&gt;=$S112),$V112,$U112)))=Milestones!$AB$70),UPPER(TEXT(EDATE($D112,Milestones!$AA$70),"dd mmm yy"))&amp;" "&amp;Milestones!$AB$70&amp;" "&amp;Milestones!$AC$70&amp;";  ","")&amp;IF(AND(EDATE($D112,Milestones!$AA$71)&lt;=AsOfDate,IF($R112=0,$X112,IF(AND($T112&lt;&gt;"",EDATE($D112,Milestones!$AA$71)&gt;=$T112),$W112,IF(AND($S112&lt;&gt;"",EDATE($D112,Milestones!$AA$71)&gt;=$S112),$V112,$U112)))=Milestones!$AB$71),UPPER(TEXT(EDATE($D112,Milestones!$AA$71),"dd mmm yy"))&amp;" "&amp;Milestones!$AB$71&amp;" "&amp;Milestones!$AC$71&amp;";  ","")&amp;IF(AND(EDATE($D112,Milestones!$AA$72)&lt;=AsOfDate,IF($R112=0,$X112,IF(AND($T112&lt;&gt;"",EDATE($D112,Milestones!$AA$72)&gt;=$T112),$W112,IF(AND($S112&lt;&gt;"",EDATE($D112,Milestones!$AA$72)&gt;=$S112),$V112,$U112)))=Milestones!$AB$72),UPPER(TEXT(EDATE($D112,Milestones!$AA$72),"dd mmm yy"))&amp;" "&amp;Milestones!$AB$72&amp;" "&amp;Milestones!$AC$72&amp;";  ","")&amp;IF(AND(EDATE($D112,Milestones!$AA$73)&lt;=AsOfDate,IF($R112=0,$X112,IF(AND($T112&lt;&gt;"",EDATE($D112,Milestones!$AA$73)&gt;=$T112),$W112,IF(AND($S112&lt;&gt;"",EDATE($D112,Milestones!$AA$73)&gt;=$S112),$V112,$U112)))=Milestones!$AB$73),UPPER(TEXT(EDATE($D112,Milestones!$AA$73),"dd mmm yy"))&amp;" "&amp;Milestones!$AB$73&amp;" "&amp;Milestones!$AC$73&amp;";  ","")&amp;IF(AND(EDATE($D112,Milestones!$AA$74)&lt;=AsOfDate,IF($R112=0,$X112,IF(AND($T112&lt;&gt;"",EDATE($D112,Milestones!$AA$74)&gt;=$T112),$W112,IF(AND($S112&lt;&gt;"",EDATE($D112,Milestones!$AA$74)&gt;=$S112),$V112,$U112)))=Milestones!$AB$74),UPPER(TEXT(EDATE($D112,Milestones!$AA$74),"dd mmm yy"))&amp;" "&amp;Milestones!$AB$74&amp;" "&amp;Milestones!$AC$74&amp;";  ","")&amp;IF(AND(EDATE($D112,Milestones!$AA$75)&lt;=AsOfDate,IF($R112=0,$X112,IF(AND($T112&lt;&gt;"",EDATE($D112,Milestones!$AA$75)&gt;=$T112),$W112,IF(AND($S112&lt;&gt;"",EDATE($D112,Milestones!$AA$75)&gt;=$S112),$V112,$U112)))=Milestones!$AB$75),UPPER(TEXT(EDATE($D112,Milestones!$AA$75),"dd mmm yy"))&amp;" "&amp;Milestones!$AB$75&amp;" "&amp;Milestones!$AC$75&amp;";  ","")&amp;IF(AND(EDATE($D112,Milestones!$AA$76)&lt;=AsOfDate,IF($R112=0,$X112,IF(AND($T112&lt;&gt;"",EDATE($D112,Milestones!$AA$76)&gt;=$T112),$W112,IF(AND($S112&lt;&gt;"",EDATE($D112,Milestones!$AA$76)&gt;=$S112),$V112,$U112)))=Milestones!$AB$76),UPPER(TEXT(EDATE($D112,Milestones!$AA$76),"dd mmm yy"))&amp;" "&amp;Milestones!$AB$76&amp;" "&amp;Milestones!$AC$76&amp;";  ","")&amp;IF(AND(EDATE($D112,Milestones!$AA$77)&lt;=AsOfDate,IF($R112=0,$X112,IF(AND($T112&lt;&gt;"",EDATE($D112,Milestones!$AA$77)&gt;=$T112),$W112,IF(AND($S112&lt;&gt;"",EDATE($D112,Milestones!$AA$77)&gt;=$S112),$V112,$U112)))=Milestones!$AB$77),UPPER(TEXT(EDATE($D112,Milestones!$AA$77),"dd mmm yy"))&amp;" "&amp;Milestones!$AB$77&amp;" "&amp;Milestones!$AC$77&amp;";  ","")&amp;IF(AND(EDATE($D112,Milestones!$AA$78)&lt;=AsOfDate,IF($R112=0,$X112,IF(AND($T112&lt;&gt;"",EDATE($D112,Milestones!$AA$78)&gt;=$T112),$W112,IF(AND($S112&lt;&gt;"",EDATE($D112,Milestones!$AA$78)&gt;=$S112),$V112,$U112)))=Milestones!$AB$78),UPPER(TEXT(EDATE($D112,Milestones!$AA$78),"dd mmm yy"))&amp;" "&amp;Milestones!$AB$78&amp;" "&amp;Milestones!$AC$78&amp;";  ","")&amp;IF(AND(EDATE($D112,Milestones!$AA$79)&lt;=AsOfDate,IF($R112=0,$X112,IF(AND($T112&lt;&gt;"",EDATE($D112,Milestones!$AA$79)&gt;=$T112),$W112,IF(AND($S112&lt;&gt;"",EDATE($D112,Milestones!$AA$79)&gt;=$S112),$V112,$U112)))=Milestones!$AB$79),UPPER(TEXT(EDATE($D112,Milestones!$AA$79),"dd mmm yy"))&amp;" "&amp;Milestones!$AB$79&amp;" "&amp;Milestones!$AC$79&amp;";  ",""))</f>
        <v/>
      </c>
      <c r="L112" s="0" t="str">
        <f aca="false">IF(OR($A112="",$D112=""),"",IF(AND(EDATE($D112,Milestones!$AA$80)&lt;=AsOfDate,IF($R112=0,$X112,IF(AND($T112&lt;&gt;"",EDATE($D112,Milestones!$AA$80)&gt;=$T112),$W112,IF(AND($S112&lt;&gt;"",EDATE($D112,Milestones!$AA$80)&gt;=$S112),$V112,$U112)))=Milestones!$AB$80),UPPER(TEXT(EDATE($D112,Milestones!$AA$80),"dd mmm yy"))&amp;" "&amp;Milestones!$AB$80&amp;" "&amp;Milestones!$AC$80&amp;";  ","")&amp;IF(AND(EDATE($D112,Milestones!$AA$81)&lt;=AsOfDate,IF($R112=0,$X112,IF(AND($T112&lt;&gt;"",EDATE($D112,Milestones!$AA$81)&gt;=$T112),$W112,IF(AND($S112&lt;&gt;"",EDATE($D112,Milestones!$AA$81)&gt;=$S112),$V112,$U112)))=Milestones!$AB$81),UPPER(TEXT(EDATE($D112,Milestones!$AA$81),"dd mmm yy"))&amp;" "&amp;Milestones!$AB$81&amp;" "&amp;Milestones!$AC$81&amp;";  ","")&amp;IF(AND(EDATE($D112,Milestones!$AA$82)&lt;=AsOfDate,IF($R112=0,$X112,IF(AND($T112&lt;&gt;"",EDATE($D112,Milestones!$AA$82)&gt;=$T112),$W112,IF(AND($S112&lt;&gt;"",EDATE($D112,Milestones!$AA$82)&gt;=$S112),$V112,$U112)))=Milestones!$AB$82),UPPER(TEXT(EDATE($D112,Milestones!$AA$82),"dd mmm yy"))&amp;" "&amp;Milestones!$AB$82&amp;" "&amp;Milestones!$AC$82&amp;";  ","")&amp;IF(AND(EDATE($D112,Milestones!$AA$83)&lt;=AsOfDate,IF($R112=0,$X112,IF(AND($T112&lt;&gt;"",EDATE($D112,Milestones!$AA$83)&gt;=$T112),$W112,IF(AND($S112&lt;&gt;"",EDATE($D112,Milestones!$AA$83)&gt;=$S112),$V112,$U112)))=Milestones!$AB$83),UPPER(TEXT(EDATE($D112,Milestones!$AA$83),"dd mmm yy"))&amp;" "&amp;Milestones!$AB$83&amp;" "&amp;Milestones!$AC$83&amp;";  ","")&amp;IF(AND(EDATE($D112,Milestones!$AA$84)&lt;=AsOfDate,IF($R112=0,$X112,IF(AND($T112&lt;&gt;"",EDATE($D112,Milestones!$AA$84)&gt;=$T112),$W112,IF(AND($S112&lt;&gt;"",EDATE($D112,Milestones!$AA$84)&gt;=$S112),$V112,$U112)))=Milestones!$AB$84),UPPER(TEXT(EDATE($D112,Milestones!$AA$84),"dd mmm yy"))&amp;" "&amp;Milestones!$AB$84&amp;" "&amp;Milestones!$AC$84&amp;";  ","")&amp;IF(AND(EDATE($D112,Milestones!$AA$85)&lt;=AsOfDate,IF($R112=0,$X112,IF(AND($T112&lt;&gt;"",EDATE($D112,Milestones!$AA$85)&gt;=$T112),$W112,IF(AND($S112&lt;&gt;"",EDATE($D112,Milestones!$AA$85)&gt;=$S112),$V112,$U112)))=Milestones!$AB$85),UPPER(TEXT(EDATE($D112,Milestones!$AA$85),"dd mmm yy"))&amp;" "&amp;Milestones!$AB$85&amp;" "&amp;Milestones!$AC$85&amp;";  ","")&amp;IF(AND(EDATE($D112,Milestones!$AA$86)&lt;=AsOfDate,IF($R112=0,$X112,IF(AND($T112&lt;&gt;"",EDATE($D112,Milestones!$AA$86)&gt;=$T112),$W112,IF(AND($S112&lt;&gt;"",EDATE($D112,Milestones!$AA$86)&gt;=$S112),$V112,$U112)))=Milestones!$AB$86),UPPER(TEXT(EDATE($D112,Milestones!$AA$86),"dd mmm yy"))&amp;" "&amp;Milestones!$AB$86&amp;" "&amp;Milestones!$AC$86&amp;";  ","")&amp;IF(AND(EDATE($D112,Milestones!$AA$87)&lt;=AsOfDate,IF($R112=0,$X112,IF(AND($T112&lt;&gt;"",EDATE($D112,Milestones!$AA$87)&gt;=$T112),$W112,IF(AND($S112&lt;&gt;"",EDATE($D112,Milestones!$AA$87)&gt;=$S112),$V112,$U112)))=Milestones!$AB$87),UPPER(TEXT(EDATE($D112,Milestones!$AA$87),"dd mmm yy"))&amp;" "&amp;Milestones!$AB$87&amp;" "&amp;Milestones!$AC$87&amp;";  ","")&amp;IF(AND(EDATE($D112,Milestones!$AA$88)&lt;=AsOfDate,IF($R112=0,$X112,IF(AND($T112&lt;&gt;"",EDATE($D112,Milestones!$AA$88)&gt;=$T112),$W112,IF(AND($S112&lt;&gt;"",EDATE($D112,Milestones!$AA$88)&gt;=$S112),$V112,$U112)))=Milestones!$AB$88),UPPER(TEXT(EDATE($D112,Milestones!$AA$88),"dd mmm yy"))&amp;" "&amp;Milestones!$AB$88&amp;" "&amp;Milestones!$AC$88&amp;";  ","")&amp;IF(AND(EDATE($D112,Milestones!$AA$89)&lt;=AsOfDate,IF($R112=0,$X112,IF(AND($T112&lt;&gt;"",EDATE($D112,Milestones!$AA$89)&gt;=$T112),$W112,IF(AND($S112&lt;&gt;"",EDATE($D112,Milestones!$AA$89)&gt;=$S112),$V112,$U112)))=Milestones!$AB$89),UPPER(TEXT(EDATE($D112,Milestones!$AA$89),"dd mmm yy"))&amp;" "&amp;Milestones!$AB$89&amp;" "&amp;Milestones!$AC$89&amp;";  ","")&amp;IF(AND(EDATE($D112,Milestones!$AA$90)&lt;=AsOfDate,IF($R112=0,$X112,IF(AND($T112&lt;&gt;"",EDATE($D112,Milestones!$AA$90)&gt;=$T112),$W112,IF(AND($S112&lt;&gt;"",EDATE($D112,Milestones!$AA$90)&gt;=$S112),$V112,$U112)))=Milestones!$AB$90),UPPER(TEXT(EDATE($D112,Milestones!$AA$90),"dd mmm yy"))&amp;" "&amp;Milestones!$AB$90&amp;" "&amp;Milestones!$AC$90&amp;";  ","")&amp;IF(AND(EDATE($D112,Milestones!$AA$91)&lt;=AsOfDate,IF($R112=0,$X112,IF(AND($T112&lt;&gt;"",EDATE($D112,Milestones!$AA$91)&gt;=$T112),$W112,IF(AND($S112&lt;&gt;"",EDATE($D112,Milestones!$AA$91)&gt;=$S112),$V112,$U112)))=Milestones!$AB$91),UPPER(TEXT(EDATE($D112,Milestones!$AA$91),"dd mmm yy"))&amp;" "&amp;Milestones!$AB$91&amp;" "&amp;Milestones!$AC$91&amp;";  ","")&amp;IF(AND(EDATE($D112,Milestones!$AA$92)&lt;=AsOfDate,IF($R112=0,$X112,IF(AND($T112&lt;&gt;"",EDATE($D112,Milestones!$AA$92)&gt;=$T112),$W112,IF(AND($S112&lt;&gt;"",EDATE($D112,Milestones!$AA$92)&gt;=$S112),$V112,$U112)))=Milestones!$AB$92),UPPER(TEXT(EDATE($D112,Milestones!$AA$92),"dd mmm yy"))&amp;" "&amp;Milestones!$AB$92&amp;" "&amp;Milestones!$AC$92&amp;";  ","")&amp;IF(AND(EDATE($D112,Milestones!$AA$93)&lt;=AsOfDate,IF($R112=0,$X112,IF(AND($T112&lt;&gt;"",EDATE($D112,Milestones!$AA$93)&gt;=$T112),$W112,IF(AND($S112&lt;&gt;"",EDATE($D112,Milestones!$AA$93)&gt;=$S112),$V112,$U112)))=Milestones!$AB$93),UPPER(TEXT(EDATE($D112,Milestones!$AA$93),"dd mmm yy"))&amp;" "&amp;Milestones!$AB$93&amp;" "&amp;Milestones!$AC$93&amp;";  ","")&amp;IF(AND(EDATE($D112,Milestones!$AA$94)&lt;=AsOfDate,IF($R112=0,$X112,IF(AND($T112&lt;&gt;"",EDATE($D112,Milestones!$AA$94)&gt;=$T112),$W112,IF(AND($S112&lt;&gt;"",EDATE($D112,Milestones!$AA$94)&gt;=$S112),$V112,$U112)))=Milestones!$AB$94),UPPER(TEXT(EDATE($D112,Milestones!$AA$94),"dd mmm yy"))&amp;" "&amp;Milestones!$AB$94&amp;" "&amp;Milestones!$AC$94&amp;";  ","")&amp;IF(AND(EDATE($D112,Milestones!$AA$95)&lt;=AsOfDate,IF($R112=0,$X112,IF(AND($T112&lt;&gt;"",EDATE($D112,Milestones!$AA$95)&gt;=$T112),$W112,IF(AND($S112&lt;&gt;"",EDATE($D112,Milestones!$AA$95)&gt;=$S112),$V112,$U112)))=Milestones!$AB$95),UPPER(TEXT(EDATE($D112,Milestones!$AA$95),"dd mmm yy"))&amp;" "&amp;Milestones!$AB$95&amp;" "&amp;Milestones!$AC$95&amp;";  ","")&amp;IF(AND(EDATE($D112,Milestones!$AA$96)&lt;=AsOfDate,IF($R112=0,$X112,IF(AND($T112&lt;&gt;"",EDATE($D112,Milestones!$AA$96)&gt;=$T112),$W112,IF(AND($S112&lt;&gt;"",EDATE($D112,Milestones!$AA$96)&gt;=$S112),$V112,$U112)))=Milestones!$AB$96),UPPER(TEXT(EDATE($D112,Milestones!$AA$96),"dd mmm yy"))&amp;" "&amp;Milestones!$AB$96&amp;" "&amp;Milestones!$AC$96&amp;";  ","")&amp;IF(AND(EDATE($D112,Milestones!$AA$97)&lt;=AsOfDate,IF($R112=0,$X112,IF(AND($T112&lt;&gt;"",EDATE($D112,Milestones!$AA$97)&gt;=$T112),$W112,IF(AND($S112&lt;&gt;"",EDATE($D112,Milestones!$AA$97)&gt;=$S112),$V112,$U112)))=Milestones!$AB$97),UPPER(TEXT(EDATE($D112,Milestones!$AA$97),"dd mmm yy"))&amp;" "&amp;Milestones!$AB$97&amp;" "&amp;Milestones!$AC$97&amp;";  ","")&amp;IF(AND(EDATE($D112,Milestones!$AA$98)&lt;=AsOfDate,IF($R112=0,$X112,IF(AND($T112&lt;&gt;"",EDATE($D112,Milestones!$AA$98)&gt;=$T112),$W112,IF(AND($S112&lt;&gt;"",EDATE($D112,Milestones!$AA$98)&gt;=$S112),$V112,$U112)))=Milestones!$AB$98),UPPER(TEXT(EDATE($D112,Milestones!$AA$98),"dd mmm yy"))&amp;" "&amp;Milestones!$AB$98&amp;" "&amp;Milestones!$AC$98&amp;";  ","")&amp;IF(AND(EDATE($D112,Milestones!$AA$99)&lt;=AsOfDate,IF($R112=0,$X112,IF(AND($T112&lt;&gt;"",EDATE($D112,Milestones!$AA$99)&gt;=$T112),$W112,IF(AND($S112&lt;&gt;"",EDATE($D112,Milestones!$AA$99)&gt;=$S112),$V112,$U112)))=Milestones!$AB$99),UPPER(TEXT(EDATE($D112,Milestones!$AA$99),"dd mmm yy"))&amp;" "&amp;Milestones!$AB$99&amp;" "&amp;Milestones!$AC$99&amp;";  ",""))</f>
        <v/>
      </c>
      <c r="M112" s="0" t="str">
        <f aca="false">IF(OR($A112="",$D112=""),"",IF(AND(EDATE($D112,Milestones!$AA$100)&lt;=AsOfDate,IF($R112=0,$X112,IF(AND($T112&lt;&gt;"",EDATE($D112,Milestones!$AA$100)&gt;=$T112),$W112,IF(AND($S112&lt;&gt;"",EDATE($D112,Milestones!$AA$100)&gt;=$S112),$V112,$U112)))=Milestones!$AB$100),UPPER(TEXT(EDATE($D112,Milestones!$AA$100),"dd mmm yy"))&amp;" "&amp;Milestones!$AB$100&amp;" "&amp;Milestones!$AC$100&amp;";  ","")&amp;IF(AND(EDATE($D112,Milestones!$AA$101)&lt;=AsOfDate,IF($R112=0,$X112,IF(AND($T112&lt;&gt;"",EDATE($D112,Milestones!$AA$101)&gt;=$T112),$W112,IF(AND($S112&lt;&gt;"",EDATE($D112,Milestones!$AA$101)&gt;=$S112),$V112,$U112)))=Milestones!$AB$101),UPPER(TEXT(EDATE($D112,Milestones!$AA$101),"dd mmm yy"))&amp;" "&amp;Milestones!$AB$101&amp;" "&amp;Milestones!$AC$101&amp;";  ","")&amp;IF(AND(EDATE($D112,Milestones!$AA$102)&lt;=AsOfDate,IF($R112=0,$X112,IF(AND($T112&lt;&gt;"",EDATE($D112,Milestones!$AA$102)&gt;=$T112),$W112,IF(AND($S112&lt;&gt;"",EDATE($D112,Milestones!$AA$102)&gt;=$S112),$V112,$U112)))=Milestones!$AB$102),UPPER(TEXT(EDATE($D112,Milestones!$AA$102),"dd mmm yy"))&amp;" "&amp;Milestones!$AB$102&amp;" "&amp;Milestones!$AC$102&amp;";  ","")&amp;IF(AND(EDATE($D112,Milestones!$AA$103)&lt;=AsOfDate,IF($R112=0,$X112,IF(AND($T112&lt;&gt;"",EDATE($D112,Milestones!$AA$103)&gt;=$T112),$W112,IF(AND($S112&lt;&gt;"",EDATE($D112,Milestones!$AA$103)&gt;=$S112),$V112,$U112)))=Milestones!$AB$103),UPPER(TEXT(EDATE($D112,Milestones!$AA$103),"dd mmm yy"))&amp;" "&amp;Milestones!$AB$103&amp;" "&amp;Milestones!$AC$103&amp;";  ","")&amp;IF(AND(EDATE($D112,Milestones!$AA$104)&lt;=AsOfDate,IF($R112=0,$X112,IF(AND($T112&lt;&gt;"",EDATE($D112,Milestones!$AA$104)&gt;=$T112),$W112,IF(AND($S112&lt;&gt;"",EDATE($D112,Milestones!$AA$104)&gt;=$S112),$V112,$U112)))=Milestones!$AB$104),UPPER(TEXT(EDATE($D112,Milestones!$AA$104),"dd mmm yy"))&amp;" "&amp;Milestones!$AB$104&amp;" "&amp;Milestones!$AC$104&amp;";  ","")&amp;IF(AND(EDATE($D112,Milestones!$AA$105)&lt;=AsOfDate,IF($R112=0,$X112,IF(AND($T112&lt;&gt;"",EDATE($D112,Milestones!$AA$105)&gt;=$T112),$W112,IF(AND($S112&lt;&gt;"",EDATE($D112,Milestones!$AA$105)&gt;=$S112),$V112,$U112)))=Milestones!$AB$105),UPPER(TEXT(EDATE($D112,Milestones!$AA$105),"dd mmm yy"))&amp;" "&amp;Milestones!$AB$105&amp;" "&amp;Milestones!$AC$105&amp;";  ","")&amp;IF(AND(EDATE($D112,Milestones!$AA$106)&lt;=AsOfDate,IF($R112=0,$X112,IF(AND($T112&lt;&gt;"",EDATE($D112,Milestones!$AA$106)&gt;=$T112),$W112,IF(AND($S112&lt;&gt;"",EDATE($D112,Milestones!$AA$106)&gt;=$S112),$V112,$U112)))=Milestones!$AB$106),UPPER(TEXT(EDATE($D112,Milestones!$AA$106),"dd mmm yy"))&amp;" "&amp;Milestones!$AB$106&amp;" "&amp;Milestones!$AC$106&amp;";  ","")&amp;IF(AND(EDATE($D112,Milestones!$AA$107)&lt;=AsOfDate,IF($R112=0,$X112,IF(AND($T112&lt;&gt;"",EDATE($D112,Milestones!$AA$107)&gt;=$T112),$W112,IF(AND($S112&lt;&gt;"",EDATE($D112,Milestones!$AA$107)&gt;=$S112),$V112,$U112)))=Milestones!$AB$107),UPPER(TEXT(EDATE($D112,Milestones!$AA$107),"dd mmm yy"))&amp;" "&amp;Milestones!$AB$107&amp;" "&amp;Milestones!$AC$107&amp;";  ","")&amp;IF(AND(EDATE($D112,Milestones!$AA$108)&lt;=AsOfDate,IF($R112=0,$X112,IF(AND($T112&lt;&gt;"",EDATE($D112,Milestones!$AA$108)&gt;=$T112),$W112,IF(AND($S112&lt;&gt;"",EDATE($D112,Milestones!$AA$108)&gt;=$S112),$V112,$U112)))=Milestones!$AB$108),UPPER(TEXT(EDATE($D112,Milestones!$AA$108),"dd mmm yy"))&amp;" "&amp;Milestones!$AB$108&amp;" "&amp;Milestones!$AC$108&amp;";  ","")&amp;IF(AND(EDATE($D112,Milestones!$AA$109)&lt;=AsOfDate,IF($R112=0,$X112,IF(AND($T112&lt;&gt;"",EDATE($D112,Milestones!$AA$109)&gt;=$T112),$W112,IF(AND($S112&lt;&gt;"",EDATE($D112,Milestones!$AA$109)&gt;=$S112),$V112,$U112)))=Milestones!$AB$109),UPPER(TEXT(EDATE($D112,Milestones!$AA$109),"dd mmm yy"))&amp;" "&amp;Milestones!$AB$109&amp;" "&amp;Milestones!$AC$109&amp;";  ","")&amp;IF(AND(EDATE($D112,Milestones!$AA$110)&lt;=AsOfDate,IF($R112=0,$X112,IF(AND($T112&lt;&gt;"",EDATE($D112,Milestones!$AA$110)&gt;=$T112),$W112,IF(AND($S112&lt;&gt;"",EDATE($D112,Milestones!$AA$110)&gt;=$S112),$V112,$U112)))=Milestones!$AB$110),UPPER(TEXT(EDATE($D112,Milestones!$AA$110),"dd mmm yy"))&amp;" "&amp;Milestones!$AB$110&amp;" "&amp;Milestones!$AC$110&amp;";  ","")&amp;IF(AND(EDATE($D112,Milestones!$AA$111)&lt;=AsOfDate,IF($R112=0,$X112,IF(AND($T112&lt;&gt;"",EDATE($D112,Milestones!$AA$111)&gt;=$T112),$W112,IF(AND($S112&lt;&gt;"",EDATE($D112,Milestones!$AA$111)&gt;=$S112),$V112,$U112)))=Milestones!$AB$111),UPPER(TEXT(EDATE($D112,Milestones!$AA$111),"dd mmm yy"))&amp;" "&amp;Milestones!$AB$111&amp;" "&amp;Milestones!$AC$111&amp;";  ","")&amp;IF(AND(EDATE($D112,Milestones!$AA$112)&lt;=AsOfDate,IF($R112=0,$X112,IF(AND($T112&lt;&gt;"",EDATE($D112,Milestones!$AA$112)&gt;=$T112),$W112,IF(AND($S112&lt;&gt;"",EDATE($D112,Milestones!$AA$112)&gt;=$S112),$V112,$U112)))=Milestones!$AB$112),UPPER(TEXT(EDATE($D112,Milestones!$AA$112),"dd mmm yy"))&amp;" "&amp;Milestones!$AB$112&amp;" "&amp;Milestones!$AC$112&amp;";  ","")&amp;IF(AND(EDATE($D112,Milestones!$AA$113)&lt;=AsOfDate,IF($R112=0,$X112,IF(AND($T112&lt;&gt;"",EDATE($D112,Milestones!$AA$113)&gt;=$T112),$W112,IF(AND($S112&lt;&gt;"",EDATE($D112,Milestones!$AA$113)&gt;=$S112),$V112,$U112)))=Milestones!$AB$113),UPPER(TEXT(EDATE($D112,Milestones!$AA$113),"dd mmm yy"))&amp;" "&amp;Milestones!$AB$113&amp;" "&amp;Milestones!$AC$113&amp;";  ","")&amp;IF(AND(EDATE($D112,Milestones!$AA$114)&lt;=AsOfDate,IF($R112=0,$X112,IF(AND($T112&lt;&gt;"",EDATE($D112,Milestones!$AA$114)&gt;=$T112),$W112,IF(AND($S112&lt;&gt;"",EDATE($D112,Milestones!$AA$114)&gt;=$S112),$V112,$U112)))=Milestones!$AB$114),UPPER(TEXT(EDATE($D112,Milestones!$AA$114),"dd mmm yy"))&amp;" "&amp;Milestones!$AB$114&amp;" "&amp;Milestones!$AC$114&amp;";  ","")&amp;IF(AND(EDATE($D112,Milestones!$AA$115)&lt;=AsOfDate,IF($R112=0,$X112,IF(AND($T112&lt;&gt;"",EDATE($D112,Milestones!$AA$115)&gt;=$T112),$W112,IF(AND($S112&lt;&gt;"",EDATE($D112,Milestones!$AA$115)&gt;=$S112),$V112,$U112)))=Milestones!$AB$115),UPPER(TEXT(EDATE($D112,Milestones!$AA$115),"dd mmm yy"))&amp;" "&amp;Milestones!$AB$115&amp;" "&amp;Milestones!$AC$115&amp;";  ","")&amp;IF(AND(EDATE($D112,Milestones!$AA$116)&lt;=AsOfDate,IF($R112=0,$X112,IF(AND($T112&lt;&gt;"",EDATE($D112,Milestones!$AA$116)&gt;=$T112),$W112,IF(AND($S112&lt;&gt;"",EDATE($D112,Milestones!$AA$116)&gt;=$S112),$V112,$U112)))=Milestones!$AB$116),UPPER(TEXT(EDATE($D112,Milestones!$AA$116),"dd mmm yy"))&amp;" "&amp;Milestones!$AB$116&amp;" "&amp;Milestones!$AC$116&amp;";  ","")&amp;IF(AND(EDATE($D112,Milestones!$AA$117)&lt;=AsOfDate,IF($R112=0,$X112,IF(AND($T112&lt;&gt;"",EDATE($D112,Milestones!$AA$117)&gt;=$T112),$W112,IF(AND($S112&lt;&gt;"",EDATE($D112,Milestones!$AA$117)&gt;=$S112),$V112,$U112)))=Milestones!$AB$117),UPPER(TEXT(EDATE($D112,Milestones!$AA$117),"dd mmm yy"))&amp;" "&amp;Milestones!$AB$117&amp;" "&amp;Milestones!$AC$117&amp;";  ","")&amp;IF(AND(EDATE($D112,Milestones!$AA$118)&lt;=AsOfDate,IF($R112=0,$X112,IF(AND($T112&lt;&gt;"",EDATE($D112,Milestones!$AA$118)&gt;=$T112),$W112,IF(AND($S112&lt;&gt;"",EDATE($D112,Milestones!$AA$118)&gt;=$S112),$V112,$U112)))=Milestones!$AB$118),UPPER(TEXT(EDATE($D112,Milestones!$AA$118),"dd mmm yy"))&amp;" "&amp;Milestones!$AB$118&amp;" "&amp;Milestones!$AC$118&amp;";  ","")&amp;IF(AND(EDATE($D112,Milestones!$AA$119)&lt;=AsOfDate,IF($R112=0,$X112,IF(AND($T112&lt;&gt;"",EDATE($D112,Milestones!$AA$119)&gt;=$T112),$W112,IF(AND($S112&lt;&gt;"",EDATE($D112,Milestones!$AA$119)&gt;=$S112),$V112,$U112)))=Milestones!$AB$119),UPPER(TEXT(EDATE($D112,Milestones!$AA$119),"dd mmm yy"))&amp;" "&amp;Milestones!$AB$119&amp;" "&amp;Milestones!$AC$119&amp;";  ",""))</f>
        <v/>
      </c>
      <c r="N112" s="0" t="str">
        <f aca="false">IF(OR($A112="",$D112=""),"",IF(AND(EDATE($D112,Milestones!$AA$120)&lt;=AsOfDate,IF($R112=0,$X112,IF(AND($T112&lt;&gt;"",EDATE($D112,Milestones!$AA$120)&gt;=$T112),$W112,IF(AND($S112&lt;&gt;"",EDATE($D112,Milestones!$AA$120)&gt;=$S112),$V112,$U112)))=Milestones!$AB$120),UPPER(TEXT(EDATE($D112,Milestones!$AA$120),"dd mmm yy"))&amp;" "&amp;Milestones!$AB$120&amp;" "&amp;Milestones!$AC$120&amp;";  ","")&amp;IF(AND(EDATE($D112,Milestones!$AA$121)&lt;=AsOfDate,IF($R112=0,$X112,IF(AND($T112&lt;&gt;"",EDATE($D112,Milestones!$AA$121)&gt;=$T112),$W112,IF(AND($S112&lt;&gt;"",EDATE($D112,Milestones!$AA$121)&gt;=$S112),$V112,$U112)))=Milestones!$AB$121),UPPER(TEXT(EDATE($D112,Milestones!$AA$121),"dd mmm yy"))&amp;" "&amp;Milestones!$AB$121&amp;" "&amp;Milestones!$AC$121&amp;";  ","")&amp;IF(AND(EDATE($D112,Milestones!$AA$122)&lt;=AsOfDate,IF($R112=0,$X112,IF(AND($T112&lt;&gt;"",EDATE($D112,Milestones!$AA$122)&gt;=$T112),$W112,IF(AND($S112&lt;&gt;"",EDATE($D112,Milestones!$AA$122)&gt;=$S112),$V112,$U112)))=Milestones!$AB$122),UPPER(TEXT(EDATE($D112,Milestones!$AA$122),"dd mmm yy"))&amp;" "&amp;Milestones!$AB$122&amp;" "&amp;Milestones!$AC$122&amp;";  ","")&amp;IF(AND(EDATE($D112,Milestones!$AA$123)&lt;=AsOfDate,IF($R112=0,$X112,IF(AND($T112&lt;&gt;"",EDATE($D112,Milestones!$AA$123)&gt;=$T112),$W112,IF(AND($S112&lt;&gt;"",EDATE($D112,Milestones!$AA$123)&gt;=$S112),$V112,$U112)))=Milestones!$AB$123),UPPER(TEXT(EDATE($D112,Milestones!$AA$123),"dd mmm yy"))&amp;" "&amp;Milestones!$AB$123&amp;" "&amp;Milestones!$AC$123&amp;";  ","")&amp;IF(AND(EDATE($D112,Milestones!$AA$124)&lt;=AsOfDate,IF($R112=0,$X112,IF(AND($T112&lt;&gt;"",EDATE($D112,Milestones!$AA$124)&gt;=$T112),$W112,IF(AND($S112&lt;&gt;"",EDATE($D112,Milestones!$AA$124)&gt;=$S112),$V112,$U112)))=Milestones!$AB$124),UPPER(TEXT(EDATE($D112,Milestones!$AA$124),"dd mmm yy"))&amp;" "&amp;Milestones!$AB$124&amp;" "&amp;Milestones!$AC$124&amp;";  ","")&amp;IF(AND(EDATE($D112,Milestones!$AA$125)&lt;=AsOfDate,IF($R112=0,$X112,IF(AND($T112&lt;&gt;"",EDATE($D112,Milestones!$AA$125)&gt;=$T112),$W112,IF(AND($S112&lt;&gt;"",EDATE($D112,Milestones!$AA$125)&gt;=$S112),$V112,$U112)))=Milestones!$AB$125),UPPER(TEXT(EDATE($D112,Milestones!$AA$125),"dd mmm yy"))&amp;" "&amp;Milestones!$AB$125&amp;" "&amp;Milestones!$AC$125&amp;";  ","")&amp;IF(AND(EDATE($D112,Milestones!$AA$126)&lt;=AsOfDate,IF($R112=0,$X112,IF(AND($T112&lt;&gt;"",EDATE($D112,Milestones!$AA$126)&gt;=$T112),$W112,IF(AND($S112&lt;&gt;"",EDATE($D112,Milestones!$AA$126)&gt;=$S112),$V112,$U112)))=Milestones!$AB$126),UPPER(TEXT(EDATE($D112,Milestones!$AA$126),"dd mmm yy"))&amp;" "&amp;Milestones!$AB$126&amp;" "&amp;Milestones!$AC$126&amp;";  ","")&amp;IF(AND(EDATE($D112,Milestones!$AA$127)&lt;=AsOfDate,IF($R112=0,$X112,IF(AND($T112&lt;&gt;"",EDATE($D112,Milestones!$AA$127)&gt;=$T112),$W112,IF(AND($S112&lt;&gt;"",EDATE($D112,Milestones!$AA$127)&gt;=$S112),$V112,$U112)))=Milestones!$AB$127),UPPER(TEXT(EDATE($D112,Milestones!$AA$127),"dd mmm yy"))&amp;" "&amp;Milestones!$AB$127&amp;" "&amp;Milestones!$AC$127&amp;";  ","")&amp;IF(AND(EDATE($D112,Milestones!$AA$128)&lt;=AsOfDate,IF($R112=0,$X112,IF(AND($T112&lt;&gt;"",EDATE($D112,Milestones!$AA$128)&gt;=$T112),$W112,IF(AND($S112&lt;&gt;"",EDATE($D112,Milestones!$AA$128)&gt;=$S112),$V112,$U112)))=Milestones!$AB$128),UPPER(TEXT(EDATE($D112,Milestones!$AA$128),"dd mmm yy"))&amp;" "&amp;Milestones!$AB$128&amp;" "&amp;Milestones!$AC$128&amp;";  ","")&amp;IF(AND(EDATE($D112,Milestones!$AA$129)&lt;=AsOfDate,IF($R112=0,$X112,IF(AND($T112&lt;&gt;"",EDATE($D112,Milestones!$AA$129)&gt;=$T112),$W112,IF(AND($S112&lt;&gt;"",EDATE($D112,Milestones!$AA$129)&gt;=$S112),$V112,$U112)))=Milestones!$AB$129),UPPER(TEXT(EDATE($D112,Milestones!$AA$129),"dd mmm yy"))&amp;" "&amp;Milestones!$AB$129&amp;" "&amp;Milestones!$AC$129&amp;";  ","")&amp;IF(AND(EDATE($D112,Milestones!$AA$130)&lt;=AsOfDate,IF($R112=0,$X112,IF(AND($T112&lt;&gt;"",EDATE($D112,Milestones!$AA$130)&gt;=$T112),$W112,IF(AND($S112&lt;&gt;"",EDATE($D112,Milestones!$AA$130)&gt;=$S112),$V112,$U112)))=Milestones!$AB$130),UPPER(TEXT(EDATE($D112,Milestones!$AA$130),"dd mmm yy"))&amp;" "&amp;Milestones!$AB$130&amp;" "&amp;Milestones!$AC$130&amp;";  ","")&amp;IF(AND(EDATE($D112,Milestones!$AA$131)&lt;=AsOfDate,IF($R112=0,$X112,IF(AND($T112&lt;&gt;"",EDATE($D112,Milestones!$AA$131)&gt;=$T112),$W112,IF(AND($S112&lt;&gt;"",EDATE($D112,Milestones!$AA$131)&gt;=$S112),$V112,$U112)))=Milestones!$AB$131),UPPER(TEXT(EDATE($D112,Milestones!$AA$131),"dd mmm yy"))&amp;" "&amp;Milestones!$AB$131&amp;" "&amp;Milestones!$AC$131&amp;";  ","")&amp;IF(AND(EDATE($D112,Milestones!$AA$132)&lt;=AsOfDate,IF($R112=0,$X112,IF(AND($T112&lt;&gt;"",EDATE($D112,Milestones!$AA$132)&gt;=$T112),$W112,IF(AND($S112&lt;&gt;"",EDATE($D112,Milestones!$AA$132)&gt;=$S112),$V112,$U112)))=Milestones!$AB$132),UPPER(TEXT(EDATE($D112,Milestones!$AA$132),"dd mmm yy"))&amp;" "&amp;Milestones!$AB$132&amp;" "&amp;Milestones!$AC$132&amp;";  ","")&amp;IF(AND(EDATE($D112,Milestones!$AA$133)&lt;=AsOfDate,IF($R112=0,$X112,IF(AND($T112&lt;&gt;"",EDATE($D112,Milestones!$AA$133)&gt;=$T112),$W112,IF(AND($S112&lt;&gt;"",EDATE($D112,Milestones!$AA$133)&gt;=$S112),$V112,$U112)))=Milestones!$AB$133),UPPER(TEXT(EDATE($D112,Milestones!$AA$133),"dd mmm yy"))&amp;" "&amp;Milestones!$AB$133&amp;" "&amp;Milestones!$AC$133&amp;";  ","")&amp;IF(AND(EDATE($D112,Milestones!$AA$134)&lt;=AsOfDate,IF($R112=0,$X112,IF(AND($T112&lt;&gt;"",EDATE($D112,Milestones!$AA$134)&gt;=$T112),$W112,IF(AND($S112&lt;&gt;"",EDATE($D112,Milestones!$AA$134)&gt;=$S112),$V112,$U112)))=Milestones!$AB$134),UPPER(TEXT(EDATE($D112,Milestones!$AA$134),"dd mmm yy"))&amp;" "&amp;Milestones!$AB$134&amp;" "&amp;Milestones!$AC$134&amp;";  ","")&amp;IF(AND(EDATE($D112,Milestones!$AA$135)&lt;=AsOfDate,IF($R112=0,$X112,IF(AND($T112&lt;&gt;"",EDATE($D112,Milestones!$AA$135)&gt;=$T112),$W112,IF(AND($S112&lt;&gt;"",EDATE($D112,Milestones!$AA$135)&gt;=$S112),$V112,$U112)))=Milestones!$AB$135),UPPER(TEXT(EDATE($D112,Milestones!$AA$135),"dd mmm yy"))&amp;" "&amp;Milestones!$AB$135&amp;" "&amp;Milestones!$AC$135&amp;";  ","")&amp;IF(AND(EDATE($D112,Milestones!$AA$136)&lt;=AsOfDate,IF($R112=0,$X112,IF(AND($T112&lt;&gt;"",EDATE($D112,Milestones!$AA$136)&gt;=$T112),$W112,IF(AND($S112&lt;&gt;"",EDATE($D112,Milestones!$AA$136)&gt;=$S112),$V112,$U112)))=Milestones!$AB$136),UPPER(TEXT(EDATE($D112,Milestones!$AA$136),"dd mmm yy"))&amp;" "&amp;Milestones!$AB$136&amp;" "&amp;Milestones!$AC$136&amp;";  ","")&amp;IF(AND(EDATE($D112,Milestones!$AA$137)&lt;=AsOfDate,IF($R112=0,$X112,IF(AND($T112&lt;&gt;"",EDATE($D112,Milestones!$AA$137)&gt;=$T112),$W112,IF(AND($S112&lt;&gt;"",EDATE($D112,Milestones!$AA$137)&gt;=$S112),$V112,$U112)))=Milestones!$AB$137),UPPER(TEXT(EDATE($D112,Milestones!$AA$137),"dd mmm yy"))&amp;" "&amp;Milestones!$AB$137&amp;" "&amp;Milestones!$AC$137&amp;";  ","")&amp;IF(AND(EDATE($D112,Milestones!$AA$138)&lt;=AsOfDate,IF($R112=0,$X112,IF(AND($T112&lt;&gt;"",EDATE($D112,Milestones!$AA$138)&gt;=$T112),$W112,IF(AND($S112&lt;&gt;"",EDATE($D112,Milestones!$AA$138)&gt;=$S112),$V112,$U112)))=Milestones!$AB$138),UPPER(TEXT(EDATE($D112,Milestones!$AA$138),"dd mmm yy"))&amp;" "&amp;Milestones!$AB$138&amp;" "&amp;Milestones!$AC$138&amp;";  ","")&amp;IF(AND(EDATE($D112,Milestones!$AA$139)&lt;=AsOfDate,IF($R112=0,$X112,IF(AND($T112&lt;&gt;"",EDATE($D112,Milestones!$AA$139)&gt;=$T112),$W112,IF(AND($S112&lt;&gt;"",EDATE($D112,Milestones!$AA$139)&gt;=$S112),$V112,$U112)))=Milestones!$AB$139),UPPER(TEXT(EDATE($D112,Milestones!$AA$139),"dd mmm yy"))&amp;" "&amp;Milestones!$AB$139&amp;" "&amp;Milestones!$AC$139&amp;";  ",""))</f>
        <v/>
      </c>
      <c r="O112" s="0" t="str">
        <f aca="false">IF(OR($A112="",$D112=""),"",IF(AND(EDATE($D112,Milestones!$AA$140)&lt;=AsOfDate,IF($R112=0,$X112,IF(AND($T112&lt;&gt;"",EDATE($D112,Milestones!$AA$140)&gt;=$T112),$W112,IF(AND($S112&lt;&gt;"",EDATE($D112,Milestones!$AA$140)&gt;=$S112),$V112,$U112)))=Milestones!$AB$140),UPPER(TEXT(EDATE($D112,Milestones!$AA$140),"dd mmm yy"))&amp;" "&amp;Milestones!$AB$140&amp;" "&amp;Milestones!$AC$140&amp;";  ","")&amp;IF(AND(EDATE($D112,Milestones!$AA$141)&lt;=AsOfDate,IF($R112=0,$X112,IF(AND($T112&lt;&gt;"",EDATE($D112,Milestones!$AA$141)&gt;=$T112),$W112,IF(AND($S112&lt;&gt;"",EDATE($D112,Milestones!$AA$141)&gt;=$S112),$V112,$U112)))=Milestones!$AB$141),UPPER(TEXT(EDATE($D112,Milestones!$AA$141),"dd mmm yy"))&amp;" "&amp;Milestones!$AB$141&amp;" "&amp;Milestones!$AC$141&amp;";  ","")&amp;IF(AND(EDATE($D112,Milestones!$AA$142)&lt;=AsOfDate,IF($R112=0,$X112,IF(AND($T112&lt;&gt;"",EDATE($D112,Milestones!$AA$142)&gt;=$T112),$W112,IF(AND($S112&lt;&gt;"",EDATE($D112,Milestones!$AA$142)&gt;=$S112),$V112,$U112)))=Milestones!$AB$142),UPPER(TEXT(EDATE($D112,Milestones!$AA$142),"dd mmm yy"))&amp;" "&amp;Milestones!$AB$142&amp;" "&amp;Milestones!$AC$142&amp;";  ","")&amp;IF(AND(EDATE($D112,Milestones!$AA$143)&lt;=AsOfDate,IF($R112=0,$X112,IF(AND($T112&lt;&gt;"",EDATE($D112,Milestones!$AA$143)&gt;=$T112),$W112,IF(AND($S112&lt;&gt;"",EDATE($D112,Milestones!$AA$143)&gt;=$S112),$V112,$U112)))=Milestones!$AB$143),UPPER(TEXT(EDATE($D112,Milestones!$AA$143),"dd mmm yy"))&amp;" "&amp;Milestones!$AB$143&amp;" "&amp;Milestones!$AC$143&amp;";  ","")&amp;IF(AND(EDATE($D112,Milestones!$AA$144)&lt;=AsOfDate,IF($R112=0,$X112,IF(AND($T112&lt;&gt;"",EDATE($D112,Milestones!$AA$144)&gt;=$T112),$W112,IF(AND($S112&lt;&gt;"",EDATE($D112,Milestones!$AA$144)&gt;=$S112),$V112,$U112)))=Milestones!$AB$144),UPPER(TEXT(EDATE($D112,Milestones!$AA$144),"dd mmm yy"))&amp;" "&amp;Milestones!$AB$144&amp;" "&amp;Milestones!$AC$144&amp;";  ","")&amp;IF(AND(EDATE($D112,Milestones!$AA$145)&lt;=AsOfDate,IF($R112=0,$X112,IF(AND($T112&lt;&gt;"",EDATE($D112,Milestones!$AA$145)&gt;=$T112),$W112,IF(AND($S112&lt;&gt;"",EDATE($D112,Milestones!$AA$145)&gt;=$S112),$V112,$U112)))=Milestones!$AB$145),UPPER(TEXT(EDATE($D112,Milestones!$AA$145),"dd mmm yy"))&amp;" "&amp;Milestones!$AB$145&amp;" "&amp;Milestones!$AC$145&amp;";  ","")&amp;IF(AND(EDATE($D112,Milestones!$AA$146)&lt;=AsOfDate,IF($R112=0,$X112,IF(AND($T112&lt;&gt;"",EDATE($D112,Milestones!$AA$146)&gt;=$T112),$W112,IF(AND($S112&lt;&gt;"",EDATE($D112,Milestones!$AA$146)&gt;=$S112),$V112,$U112)))=Milestones!$AB$146),UPPER(TEXT(EDATE($D112,Milestones!$AA$146),"dd mmm yy"))&amp;" "&amp;Milestones!$AB$146&amp;" "&amp;Milestones!$AC$146&amp;";  ","")&amp;IF(AND(EDATE($D112,Milestones!$AA$147)&lt;=AsOfDate,IF($R112=0,$X112,IF(AND($T112&lt;&gt;"",EDATE($D112,Milestones!$AA$147)&gt;=$T112),$W112,IF(AND($S112&lt;&gt;"",EDATE($D112,Milestones!$AA$147)&gt;=$S112),$V112,$U112)))=Milestones!$AB$147),UPPER(TEXT(EDATE($D112,Milestones!$AA$147),"dd mmm yy"))&amp;" "&amp;Milestones!$AB$147&amp;" "&amp;Milestones!$AC$147&amp;";  ","")&amp;IF(AND(EDATE($D112,Milestones!$AA$148)&lt;=AsOfDate,IF($R112=0,$X112,IF(AND($T112&lt;&gt;"",EDATE($D112,Milestones!$AA$148)&gt;=$T112),$W112,IF(AND($S112&lt;&gt;"",EDATE($D112,Milestones!$AA$148)&gt;=$S112),$V112,$U112)))=Milestones!$AB$148),UPPER(TEXT(EDATE($D112,Milestones!$AA$148),"dd mmm yy"))&amp;" "&amp;Milestones!$AB$148&amp;" "&amp;Milestones!$AC$148&amp;";  ","")&amp;IF(AND(EDATE($D112,Milestones!$AA$149)&lt;=AsOfDate,IF($R112=0,$X112,IF(AND($T112&lt;&gt;"",EDATE($D112,Milestones!$AA$149)&gt;=$T112),$W112,IF(AND($S112&lt;&gt;"",EDATE($D112,Milestones!$AA$149)&gt;=$S112),$V112,$U112)))=Milestones!$AB$149),UPPER(TEXT(EDATE($D112,Milestones!$AA$149),"dd mmm yy"))&amp;" "&amp;Milestones!$AB$149&amp;" "&amp;Milestones!$AC$149&amp;";  ","")&amp;IF(AND(EDATE($D112,Milestones!$AA$150)&lt;=AsOfDate,IF($R112=0,$X112,IF(AND($T112&lt;&gt;"",EDATE($D112,Milestones!$AA$150)&gt;=$T112),$W112,IF(AND($S112&lt;&gt;"",EDATE($D112,Milestones!$AA$150)&gt;=$S112),$V112,$U112)))=Milestones!$AB$150),UPPER(TEXT(EDATE($D112,Milestones!$AA$150),"dd mmm yy"))&amp;" "&amp;Milestones!$AB$150&amp;" "&amp;Milestones!$AC$150&amp;";  ","")&amp;IF(AND(EDATE($D112,Milestones!$AA$151)&lt;=AsOfDate,IF($R112=0,$X112,IF(AND($T112&lt;&gt;"",EDATE($D112,Milestones!$AA$151)&gt;=$T112),$W112,IF(AND($S112&lt;&gt;"",EDATE($D112,Milestones!$AA$151)&gt;=$S112),$V112,$U112)))=Milestones!$AB$151),UPPER(TEXT(EDATE($D112,Milestones!$AA$151),"dd mmm yy"))&amp;" "&amp;Milestones!$AB$151&amp;" "&amp;Milestones!$AC$151&amp;";  ","")&amp;IF(AND(EDATE($D112,Milestones!$AA$152)&lt;=AsOfDate,IF($R112=0,$X112,IF(AND($T112&lt;&gt;"",EDATE($D112,Milestones!$AA$152)&gt;=$T112),$W112,IF(AND($S112&lt;&gt;"",EDATE($D112,Milestones!$AA$152)&gt;=$S112),$V112,$U112)))=Milestones!$AB$152),UPPER(TEXT(EDATE($D112,Milestones!$AA$152),"dd mmm yy"))&amp;" "&amp;Milestones!$AB$152&amp;" "&amp;Milestones!$AC$152&amp;";  ","")&amp;IF(AND(EDATE($D112,Milestones!$AA$153)&lt;=AsOfDate,IF($R112=0,$X112,IF(AND($T112&lt;&gt;"",EDATE($D112,Milestones!$AA$153)&gt;=$T112),$W112,IF(AND($S112&lt;&gt;"",EDATE($D112,Milestones!$AA$153)&gt;=$S112),$V112,$U112)))=Milestones!$AB$153),UPPER(TEXT(EDATE($D112,Milestones!$AA$153),"dd mmm yy"))&amp;" "&amp;Milestones!$AB$153&amp;" "&amp;Milestones!$AC$153&amp;";  ","")&amp;IF(AND(EDATE($D112,Milestones!$AA$154)&lt;=AsOfDate,IF($R112=0,$X112,IF(AND($T112&lt;&gt;"",EDATE($D112,Milestones!$AA$154)&gt;=$T112),$W112,IF(AND($S112&lt;&gt;"",EDATE($D112,Milestones!$AA$154)&gt;=$S112),$V112,$U112)))=Milestones!$AB$154),UPPER(TEXT(EDATE($D112,Milestones!$AA$154),"dd mmm yy"))&amp;" "&amp;Milestones!$AB$154&amp;" "&amp;Milestones!$AC$154&amp;";  ","")&amp;IF(AND(EDATE($D112,Milestones!$AA$155)&lt;=AsOfDate,IF($R112=0,$X112,IF(AND($T112&lt;&gt;"",EDATE($D112,Milestones!$AA$155)&gt;=$T112),$W112,IF(AND($S112&lt;&gt;"",EDATE($D112,Milestones!$AA$155)&gt;=$S112),$V112,$U112)))=Milestones!$AB$155),UPPER(TEXT(EDATE($D112,Milestones!$AA$155),"dd mmm yy"))&amp;" "&amp;Milestones!$AB$155&amp;" "&amp;Milestones!$AC$155&amp;";  ","")&amp;IF(AND(EDATE($D112,Milestones!$AA$156)&lt;=AsOfDate,IF($R112=0,$X112,IF(AND($T112&lt;&gt;"",EDATE($D112,Milestones!$AA$156)&gt;=$T112),$W112,IF(AND($S112&lt;&gt;"",EDATE($D112,Milestones!$AA$156)&gt;=$S112),$V112,$U112)))=Milestones!$AB$156),UPPER(TEXT(EDATE($D112,Milestones!$AA$156),"dd mmm yy"))&amp;" "&amp;Milestones!$AB$156&amp;" "&amp;Milestones!$AC$156&amp;";  ","")&amp;IF(AND(EDATE($D112,Milestones!$AA$157)&lt;=AsOfDate,IF($R112=0,$X112,IF(AND($T112&lt;&gt;"",EDATE($D112,Milestones!$AA$157)&gt;=$T112),$W112,IF(AND($S112&lt;&gt;"",EDATE($D112,Milestones!$AA$157)&gt;=$S112),$V112,$U112)))=Milestones!$AB$157),UPPER(TEXT(EDATE($D112,Milestones!$AA$157),"dd mmm yy"))&amp;" "&amp;Milestones!$AB$157&amp;" "&amp;Milestones!$AC$157&amp;";  ","")&amp;IF(AND(EDATE($D112,Milestones!$AA$158)&lt;=AsOfDate,IF($R112=0,$X112,IF(AND($T112&lt;&gt;"",EDATE($D112,Milestones!$AA$158)&gt;=$T112),$W112,IF(AND($S112&lt;&gt;"",EDATE($D112,Milestones!$AA$158)&gt;=$S112),$V112,$U112)))=Milestones!$AB$158),UPPER(TEXT(EDATE($D112,Milestones!$AA$158),"dd mmm yy"))&amp;" "&amp;Milestones!$AB$158&amp;" "&amp;Milestones!$AC$158&amp;";  ","")&amp;IF(AND(EDATE($D112,Milestones!$AA$159)&lt;=AsOfDate,IF($R112=0,$X112,IF(AND($T112&lt;&gt;"",EDATE($D112,Milestones!$AA$159)&gt;=$T112),$W112,IF(AND($S112&lt;&gt;"",EDATE($D112,Milestones!$AA$159)&gt;=$S112),$V112,$U112)))=Milestones!$AB$159),UPPER(TEXT(EDATE($D112,Milestones!$AA$159),"dd mmm yy"))&amp;" "&amp;Milestones!$AB$159&amp;" "&amp;Milestones!$AC$159&amp;";  ",""))</f>
        <v/>
      </c>
      <c r="P112" s="0" t="str">
        <f aca="false">IF(OR($A112="",$D112=""),"",IF(AND(EDATE($D112,Milestones!$AA$160)&lt;=AsOfDate,IF($R112=0,$X112,IF(AND($T112&lt;&gt;"",EDATE($D112,Milestones!$AA$160)&gt;=$T112),$W112,IF(AND($S112&lt;&gt;"",EDATE($D112,Milestones!$AA$160)&gt;=$S112),$V112,$U112)))=Milestones!$AB$160),UPPER(TEXT(EDATE($D112,Milestones!$AA$160),"dd mmm yy"))&amp;" "&amp;Milestones!$AB$160&amp;" "&amp;Milestones!$AC$160&amp;";  ","")&amp;IF(AND(EDATE($D112,Milestones!$AA$161)&lt;=AsOfDate,IF($R112=0,$X112,IF(AND($T112&lt;&gt;"",EDATE($D112,Milestones!$AA$161)&gt;=$T112),$W112,IF(AND($S112&lt;&gt;"",EDATE($D112,Milestones!$AA$161)&gt;=$S112),$V112,$U112)))=Milestones!$AB$161),UPPER(TEXT(EDATE($D112,Milestones!$AA$161),"dd mmm yy"))&amp;" "&amp;Milestones!$AB$161&amp;" "&amp;Milestones!$AC$161&amp;";  ","")&amp;IF(AND(EDATE($D112,Milestones!$AA$162)&lt;=AsOfDate,IF($R112=0,$X112,IF(AND($T112&lt;&gt;"",EDATE($D112,Milestones!$AA$162)&gt;=$T112),$W112,IF(AND($S112&lt;&gt;"",EDATE($D112,Milestones!$AA$162)&gt;=$S112),$V112,$U112)))=Milestones!$AB$162),UPPER(TEXT(EDATE($D112,Milestones!$AA$162),"dd mmm yy"))&amp;" "&amp;Milestones!$AB$162&amp;" "&amp;Milestones!$AC$162&amp;";  ","")&amp;IF(AND(EDATE($D112,Milestones!$AA$163)&lt;=AsOfDate,IF($R112=0,$X112,IF(AND($T112&lt;&gt;"",EDATE($D112,Milestones!$AA$163)&gt;=$T112),$W112,IF(AND($S112&lt;&gt;"",EDATE($D112,Milestones!$AA$163)&gt;=$S112),$V112,$U112)))=Milestones!$AB$163),UPPER(TEXT(EDATE($D112,Milestones!$AA$163),"dd mmm yy"))&amp;" "&amp;Milestones!$AB$163&amp;" "&amp;Milestones!$AC$163&amp;";  ","")&amp;IF(AND(EDATE($D112,Milestones!$AA$164)&lt;=AsOfDate,IF($R112=0,$X112,IF(AND($T112&lt;&gt;"",EDATE($D112,Milestones!$AA$164)&gt;=$T112),$W112,IF(AND($S112&lt;&gt;"",EDATE($D112,Milestones!$AA$164)&gt;=$S112),$V112,$U112)))=Milestones!$AB$164),UPPER(TEXT(EDATE($D112,Milestones!$AA$164),"dd mmm yy"))&amp;" "&amp;Milestones!$AB$164&amp;" "&amp;Milestones!$AC$164&amp;";  ","")&amp;IF(AND(EDATE($D112,Milestones!$AA$165)&lt;=AsOfDate,IF($R112=0,$X112,IF(AND($T112&lt;&gt;"",EDATE($D112,Milestones!$AA$165)&gt;=$T112),$W112,IF(AND($S112&lt;&gt;"",EDATE($D112,Milestones!$AA$165)&gt;=$S112),$V112,$U112)))=Milestones!$AB$165),UPPER(TEXT(EDATE($D112,Milestones!$AA$165),"dd mmm yy"))&amp;" "&amp;Milestones!$AB$165&amp;" "&amp;Milestones!$AC$165&amp;";  ","")&amp;IF(AND(EDATE($D112,Milestones!$AA$166)&lt;=AsOfDate,IF($R112=0,$X112,IF(AND($T112&lt;&gt;"",EDATE($D112,Milestones!$AA$166)&gt;=$T112),$W112,IF(AND($S112&lt;&gt;"",EDATE($D112,Milestones!$AA$166)&gt;=$S112),$V112,$U112)))=Milestones!$AB$166),UPPER(TEXT(EDATE($D112,Milestones!$AA$166),"dd mmm yy"))&amp;" "&amp;Milestones!$AB$166&amp;" "&amp;Milestones!$AC$166&amp;";  ","")&amp;IF(AND(EDATE($D112,Milestones!$AA$167)&lt;=AsOfDate,IF($R112=0,$X112,IF(AND($T112&lt;&gt;"",EDATE($D112,Milestones!$AA$167)&gt;=$T112),$W112,IF(AND($S112&lt;&gt;"",EDATE($D112,Milestones!$AA$167)&gt;=$S112),$V112,$U112)))=Milestones!$AB$167),UPPER(TEXT(EDATE($D112,Milestones!$AA$167),"dd mmm yy"))&amp;" "&amp;Milestones!$AB$167&amp;" "&amp;Milestones!$AC$167&amp;";  ","")&amp;IF(AND(EDATE($D112,Milestones!$AA$168)&lt;=AsOfDate,IF($R112=0,$X112,IF(AND($T112&lt;&gt;"",EDATE($D112,Milestones!$AA$168)&gt;=$T112),$W112,IF(AND($S112&lt;&gt;"",EDATE($D112,Milestones!$AA$168)&gt;=$S112),$V112,$U112)))=Milestones!$AB$168),UPPER(TEXT(EDATE($D112,Milestones!$AA$168),"dd mmm yy"))&amp;" "&amp;Milestones!$AB$168&amp;" "&amp;Milestones!$AC$168&amp;";  ","")&amp;IF(AND(EDATE($D112,Milestones!$AA$169)&lt;=AsOfDate,IF($R112=0,$X112,IF(AND($T112&lt;&gt;"",EDATE($D112,Milestones!$AA$169)&gt;=$T112),$W112,IF(AND($S112&lt;&gt;"",EDATE($D112,Milestones!$AA$169)&gt;=$S112),$V112,$U112)))=Milestones!$AB$169),UPPER(TEXT(EDATE($D112,Milestones!$AA$169),"dd mmm yy"))&amp;" "&amp;Milestones!$AB$169&amp;" "&amp;Milestones!$AC$169&amp;";  ","")&amp;IF(AND(EDATE($D112,Milestones!$AA$170)&lt;=AsOfDate,IF($R112=0,$X112,IF(AND($T112&lt;&gt;"",EDATE($D112,Milestones!$AA$170)&gt;=$T112),$W112,IF(AND($S112&lt;&gt;"",EDATE($D112,Milestones!$AA$170)&gt;=$S112),$V112,$U112)))=Milestones!$AB$170),UPPER(TEXT(EDATE($D112,Milestones!$AA$170),"dd mmm yy"))&amp;" "&amp;Milestones!$AB$170&amp;" "&amp;Milestones!$AC$170&amp;";  ","")&amp;IF(AND(EDATE($D112,Milestones!$AA$171)&lt;=AsOfDate,IF($R112=0,$X112,IF(AND($T112&lt;&gt;"",EDATE($D112,Milestones!$AA$171)&gt;=$T112),$W112,IF(AND($S112&lt;&gt;"",EDATE($D112,Milestones!$AA$171)&gt;=$S112),$V112,$U112)))=Milestones!$AB$171),UPPER(TEXT(EDATE($D112,Milestones!$AA$171),"dd mmm yy"))&amp;" "&amp;Milestones!$AB$171&amp;" "&amp;Milestones!$AC$171&amp;";  ","")&amp;IF(AND(EDATE($D112,Milestones!$AA$172)&lt;=AsOfDate,IF($R112=0,$X112,IF(AND($T112&lt;&gt;"",EDATE($D112,Milestones!$AA$172)&gt;=$T112),$W112,IF(AND($S112&lt;&gt;"",EDATE($D112,Milestones!$AA$172)&gt;=$S112),$V112,$U112)))=Milestones!$AB$172),UPPER(TEXT(EDATE($D112,Milestones!$AA$172),"dd mmm yy"))&amp;" "&amp;Milestones!$AB$172&amp;" "&amp;Milestones!$AC$172&amp;";  ","")&amp;IF(AND(EDATE($D112,Milestones!$AA$173)&lt;=AsOfDate,IF($R112=0,$X112,IF(AND($T112&lt;&gt;"",EDATE($D112,Milestones!$AA$173)&gt;=$T112),$W112,IF(AND($S112&lt;&gt;"",EDATE($D112,Milestones!$AA$173)&gt;=$S112),$V112,$U112)))=Milestones!$AB$173),UPPER(TEXT(EDATE($D112,Milestones!$AA$173),"dd mmm yy"))&amp;" "&amp;Milestones!$AB$173&amp;" "&amp;Milestones!$AC$173&amp;";  ","")&amp;IF(AND(EDATE($D112,Milestones!$AA$174)&lt;=AsOfDate,IF($R112=0,$X112,IF(AND($T112&lt;&gt;"",EDATE($D112,Milestones!$AA$174)&gt;=$T112),$W112,IF(AND($S112&lt;&gt;"",EDATE($D112,Milestones!$AA$174)&gt;=$S112),$V112,$U112)))=Milestones!$AB$174),UPPER(TEXT(EDATE($D112,Milestones!$AA$174),"dd mmm yy"))&amp;" "&amp;Milestones!$AB$174&amp;" "&amp;Milestones!$AC$174&amp;";  ","")&amp;IF(AND(EDATE($D112,Milestones!$AA$175)&lt;=AsOfDate,IF($R112=0,$X112,IF(AND($T112&lt;&gt;"",EDATE($D112,Milestones!$AA$175)&gt;=$T112),$W112,IF(AND($S112&lt;&gt;"",EDATE($D112,Milestones!$AA$175)&gt;=$S112),$V112,$U112)))=Milestones!$AB$175),UPPER(TEXT(EDATE($D112,Milestones!$AA$175),"dd mmm yy"))&amp;" "&amp;Milestones!$AB$175&amp;" "&amp;Milestones!$AC$175&amp;";  ","")&amp;IF(AND(EDATE($D112,Milestones!$AA$176)&lt;=AsOfDate,IF($R112=0,$X112,IF(AND($T112&lt;&gt;"",EDATE($D112,Milestones!$AA$176)&gt;=$T112),$W112,IF(AND($S112&lt;&gt;"",EDATE($D112,Milestones!$AA$176)&gt;=$S112),$V112,$U112)))=Milestones!$AB$176),UPPER(TEXT(EDATE($D112,Milestones!$AA$176),"dd mmm yy"))&amp;" "&amp;Milestones!$AB$176&amp;" "&amp;Milestones!$AC$176&amp;";  ","")&amp;IF(AND(EDATE($D112,Milestones!$AA$177)&lt;=AsOfDate,IF($R112=0,$X112,IF(AND($T112&lt;&gt;"",EDATE($D112,Milestones!$AA$177)&gt;=$T112),$W112,IF(AND($S112&lt;&gt;"",EDATE($D112,Milestones!$AA$177)&gt;=$S112),$V112,$U112)))=Milestones!$AB$177),UPPER(TEXT(EDATE($D112,Milestones!$AA$177),"dd mmm yy"))&amp;" "&amp;Milestones!$AB$177&amp;" "&amp;Milestones!$AC$177&amp;";  ","")&amp;IF(AND(EDATE($D112,Milestones!$AA$178)&lt;=AsOfDate,IF($R112=0,$X112,IF(AND($T112&lt;&gt;"",EDATE($D112,Milestones!$AA$178)&gt;=$T112),$W112,IF(AND($S112&lt;&gt;"",EDATE($D112,Milestones!$AA$178)&gt;=$S112),$V112,$U112)))=Milestones!$AB$178),UPPER(TEXT(EDATE($D112,Milestones!$AA$178),"dd mmm yy"))&amp;" "&amp;Milestones!$AB$178&amp;" "&amp;Milestones!$AC$178&amp;";  ","")&amp;IF(AND(EDATE($D112,Milestones!$AA$179)&lt;=AsOfDate,IF($R112=0,$X112,IF(AND($T112&lt;&gt;"",EDATE($D112,Milestones!$AA$179)&gt;=$T112),$W112,IF(AND($S112&lt;&gt;"",EDATE($D112,Milestones!$AA$179)&gt;=$S112),$V112,$U112)))=Milestones!$AB$179),UPPER(TEXT(EDATE($D112,Milestones!$AA$179),"dd mmm yy"))&amp;" "&amp;Milestones!$AB$179&amp;" "&amp;Milestones!$AC$179&amp;";  ",""))</f>
        <v/>
      </c>
      <c r="Q112" s="0" t="str">
        <f aca="false">IF(OR($A112="",$D112=""),"",IF(AND(EDATE($D112,Milestones!$AA$180)&lt;=AsOfDate,IF($R112=0,$X112,IF(AND($T112&lt;&gt;"",EDATE($D112,Milestones!$AA$180)&gt;=$T112),$W112,IF(AND($S112&lt;&gt;"",EDATE($D112,Milestones!$AA$180)&gt;=$S112),$V112,$U112)))=Milestones!$AB$180),UPPER(TEXT(EDATE($D112,Milestones!$AA$180),"dd mmm yy"))&amp;" "&amp;Milestones!$AB$180&amp;" "&amp;Milestones!$AC$180&amp;";  ","")&amp;IF(AND(EDATE($D112,Milestones!$AA$181)&lt;=AsOfDate,IF($R112=0,$X112,IF(AND($T112&lt;&gt;"",EDATE($D112,Milestones!$AA$181)&gt;=$T112),$W112,IF(AND($S112&lt;&gt;"",EDATE($D112,Milestones!$AA$181)&gt;=$S112),$V112,$U112)))=Milestones!$AB$181),UPPER(TEXT(EDATE($D112,Milestones!$AA$181),"dd mmm yy"))&amp;" "&amp;Milestones!$AB$181&amp;" "&amp;Milestones!$AC$181&amp;";  ","")&amp;IF(AND(EDATE($D112,Milestones!$AA$182)&lt;=AsOfDate,IF($R112=0,$X112,IF(AND($T112&lt;&gt;"",EDATE($D112,Milestones!$AA$182)&gt;=$T112),$W112,IF(AND($S112&lt;&gt;"",EDATE($D112,Milestones!$AA$182)&gt;=$S112),$V112,$U112)))=Milestones!$AB$182),UPPER(TEXT(EDATE($D112,Milestones!$AA$182),"dd mmm yy"))&amp;" "&amp;Milestones!$AB$182&amp;" "&amp;Milestones!$AC$182&amp;";  ","")&amp;IF(AND(EDATE($D112,Milestones!$AA$183)&lt;=AsOfDate,IF($R112=0,$X112,IF(AND($T112&lt;&gt;"",EDATE($D112,Milestones!$AA$183)&gt;=$T112),$W112,IF(AND($S112&lt;&gt;"",EDATE($D112,Milestones!$AA$183)&gt;=$S112),$V112,$U112)))=Milestones!$AB$183),UPPER(TEXT(EDATE($D112,Milestones!$AA$183),"dd mmm yy"))&amp;" "&amp;Milestones!$AB$183&amp;" "&amp;Milestones!$AC$183&amp;";  ","")&amp;IF(AND(EDATE($D112,Milestones!$AA$184)&lt;=AsOfDate,IF($R112=0,$X112,IF(AND($T112&lt;&gt;"",EDATE($D112,Milestones!$AA$184)&gt;=$T112),$W112,IF(AND($S112&lt;&gt;"",EDATE($D112,Milestones!$AA$184)&gt;=$S112),$V112,$U112)))=Milestones!$AB$184),UPPER(TEXT(EDATE($D112,Milestones!$AA$184),"dd mmm yy"))&amp;" "&amp;Milestones!$AB$184&amp;" "&amp;Milestones!$AC$184&amp;";  ","")&amp;IF(AND(EDATE($D112,Milestones!$AA$185)&lt;=AsOfDate,IF($R112=0,$X112,IF(AND($T112&lt;&gt;"",EDATE($D112,Milestones!$AA$185)&gt;=$T112),$W112,IF(AND($S112&lt;&gt;"",EDATE($D112,Milestones!$AA$185)&gt;=$S112),$V112,$U112)))=Milestones!$AB$185),UPPER(TEXT(EDATE($D112,Milestones!$AA$185),"dd mmm yy"))&amp;" "&amp;Milestones!$AB$185&amp;" "&amp;Milestones!$AC$185&amp;";  ","")&amp;IF(AND(EDATE($D112,Milestones!$AA$186)&lt;=AsOfDate,IF($R112=0,$X112,IF(AND($T112&lt;&gt;"",EDATE($D112,Milestones!$AA$186)&gt;=$T112),$W112,IF(AND($S112&lt;&gt;"",EDATE($D112,Milestones!$AA$186)&gt;=$S112),$V112,$U112)))=Milestones!$AB$186),UPPER(TEXT(EDATE($D112,Milestones!$AA$186),"dd mmm yy"))&amp;" "&amp;Milestones!$AB$186&amp;" "&amp;Milestones!$AC$186&amp;";  ","")&amp;IF(AND(EDATE($D112,Milestones!$AA$187)&lt;=AsOfDate,IF($R112=0,$X112,IF(AND($T112&lt;&gt;"",EDATE($D112,Milestones!$AA$187)&gt;=$T112),$W112,IF(AND($S112&lt;&gt;"",EDATE($D112,Milestones!$AA$187)&gt;=$S112),$V112,$U112)))=Milestones!$AB$187),UPPER(TEXT(EDATE($D112,Milestones!$AA$187),"dd mmm yy"))&amp;" "&amp;Milestones!$AB$187&amp;" "&amp;Milestones!$AC$187&amp;";  ","")&amp;IF(AND(EDATE($D112,Milestones!$AA$188)&lt;=AsOfDate,IF($R112=0,$X112,IF(AND($T112&lt;&gt;"",EDATE($D112,Milestones!$AA$188)&gt;=$T112),$W112,IF(AND($S112&lt;&gt;"",EDATE($D112,Milestones!$AA$188)&gt;=$S112),$V112,$U112)))=Milestones!$AB$188),UPPER(TEXT(EDATE($D112,Milestones!$AA$188),"dd mmm yy"))&amp;" "&amp;Milestones!$AB$188&amp;" "&amp;Milestones!$AC$188&amp;";  ","")&amp;IF(AND(EDATE($D112,Milestones!$AA$189)&lt;=AsOfDate,IF($R112=0,$X112,IF(AND($T112&lt;&gt;"",EDATE($D112,Milestones!$AA$189)&gt;=$T112),$W112,IF(AND($S112&lt;&gt;"",EDATE($D112,Milestones!$AA$189)&gt;=$S112),$V112,$U112)))=Milestones!$AB$189),UPPER(TEXT(EDATE($D112,Milestones!$AA$189),"dd mmm yy"))&amp;" "&amp;Milestones!$AB$189&amp;" "&amp;Milestones!$AC$189&amp;";  ","")&amp;IF(AND(EDATE($D112,Milestones!$AA$190)&lt;=AsOfDate,IF($R112=0,$X112,IF(AND($T112&lt;&gt;"",EDATE($D112,Milestones!$AA$190)&gt;=$T112),$W112,IF(AND($S112&lt;&gt;"",EDATE($D112,Milestones!$AA$190)&gt;=$S112),$V112,$U112)))=Milestones!$AB$190),UPPER(TEXT(EDATE($D112,Milestones!$AA$190),"dd mmm yy"))&amp;" "&amp;Milestones!$AB$190&amp;" "&amp;Milestones!$AC$190&amp;";  ","")&amp;IF(AND(EDATE($D112,Milestones!$AA$191)&lt;=AsOfDate,IF($R112=0,$X112,IF(AND($T112&lt;&gt;"",EDATE($D112,Milestones!$AA$191)&gt;=$T112),$W112,IF(AND($S112&lt;&gt;"",EDATE($D112,Milestones!$AA$191)&gt;=$S112),$V112,$U112)))=Milestones!$AB$191),UPPER(TEXT(EDATE($D112,Milestones!$AA$191),"dd mmm yy"))&amp;" "&amp;Milestones!$AB$191&amp;" "&amp;Milestones!$AC$191&amp;";  ","")&amp;IF(AND(EDATE($D112,Milestones!$AA$192)&lt;=AsOfDate,IF($R112=0,$X112,IF(AND($T112&lt;&gt;"",EDATE($D112,Milestones!$AA$192)&gt;=$T112),$W112,IF(AND($S112&lt;&gt;"",EDATE($D112,Milestones!$AA$192)&gt;=$S112),$V112,$U112)))=Milestones!$AB$192),UPPER(TEXT(EDATE($D112,Milestones!$AA$192),"dd mmm yy"))&amp;" "&amp;Milestones!$AB$192&amp;" "&amp;Milestones!$AC$192&amp;";  ","")&amp;IF(AND(EDATE($D112,Milestones!$AA$193)&lt;=AsOfDate,IF($R112=0,$X112,IF(AND($T112&lt;&gt;"",EDATE($D112,Milestones!$AA$193)&gt;=$T112),$W112,IF(AND($S112&lt;&gt;"",EDATE($D112,Milestones!$AA$193)&gt;=$S112),$V112,$U112)))=Milestones!$AB$193),UPPER(TEXT(EDATE($D112,Milestones!$AA$193),"dd mmm yy"))&amp;" "&amp;Milestones!$AB$193&amp;" "&amp;Milestones!$AC$193&amp;";  ","")&amp;IF(AND(EDATE($D112,Milestones!$AA$194)&lt;=AsOfDate,IF($R112=0,$X112,IF(AND($T112&lt;&gt;"",EDATE($D112,Milestones!$AA$194)&gt;=$T112),$W112,IF(AND($S112&lt;&gt;"",EDATE($D112,Milestones!$AA$194)&gt;=$S112),$V112,$U112)))=Milestones!$AB$194),UPPER(TEXT(EDATE($D112,Milestones!$AA$194),"dd mmm yy"))&amp;" "&amp;Milestones!$AB$194&amp;" "&amp;Milestones!$AC$194&amp;";  ","")&amp;IF(AND(EDATE($D112,Milestones!$AA$195)&lt;=AsOfDate,IF($R112=0,$X112,IF(AND($T112&lt;&gt;"",EDATE($D112,Milestones!$AA$195)&gt;=$T112),$W112,IF(AND($S112&lt;&gt;"",EDATE($D112,Milestones!$AA$195)&gt;=$S112),$V112,$U112)))=Milestones!$AB$195),UPPER(TEXT(EDATE($D112,Milestones!$AA$195),"dd mmm yy"))&amp;" "&amp;Milestones!$AB$195&amp;" "&amp;Milestones!$AC$195&amp;";  ","")&amp;IF(AND(EDATE($D112,Milestones!$AA$196)&lt;=AsOfDate,IF($R112=0,$X112,IF(AND($T112&lt;&gt;"",EDATE($D112,Milestones!$AA$196)&gt;=$T112),$W112,IF(AND($S112&lt;&gt;"",EDATE($D112,Milestones!$AA$196)&gt;=$S112),$V112,$U112)))=Milestones!$AB$196),UPPER(TEXT(EDATE($D112,Milestones!$AA$196),"dd mmm yy"))&amp;" "&amp;Milestones!$AB$196&amp;" "&amp;Milestones!$AC$196&amp;";  ","")&amp;IF(AND(EDATE($D112,Milestones!$AA$197)&lt;=AsOfDate,IF($R112=0,$X112,IF(AND($T112&lt;&gt;"",EDATE($D112,Milestones!$AA$197)&gt;=$T112),$W112,IF(AND($S112&lt;&gt;"",EDATE($D112,Milestones!$AA$197)&gt;=$S112),$V112,$U112)))=Milestones!$AB$197),UPPER(TEXT(EDATE($D112,Milestones!$AA$197),"dd mmm yy"))&amp;" "&amp;Milestones!$AB$197&amp;" "&amp;Milestones!$AC$197&amp;";  ","")&amp;IF(AND(EDATE($D112,Milestones!$AA$198)&lt;=AsOfDate,IF($R112=0,$X112,IF(AND($T112&lt;&gt;"",EDATE($D112,Milestones!$AA$198)&gt;=$T112),$W112,IF(AND($S112&lt;&gt;"",EDATE($D112,Milestones!$AA$198)&gt;=$S112),$V112,$U112)))=Milestones!$AB$198),UPPER(TEXT(EDATE($D112,Milestones!$AA$198),"dd mmm yy"))&amp;" "&amp;Milestones!$AB$198&amp;" "&amp;Milestones!$AC$198&amp;";  ","")&amp;IF(AND(EDATE($D112,Milestones!$AA$199)&lt;=AsOfDate,IF($R112=0,$X112,IF(AND($T112&lt;&gt;"",EDATE($D112,Milestones!$AA$199)&gt;=$T112),$W112,IF(AND($S112&lt;&gt;"",EDATE($D112,Milestones!$AA$199)&gt;=$S112),$V112,$U112)))=Milestones!$AB$199),UPPER(TEXT(EDATE($D112,Milestones!$AA$199),"dd mmm yy"))&amp;" "&amp;Milestones!$AB$199&amp;" "&amp;Milestones!$AC$199&amp;";  ",""))</f>
        <v/>
      </c>
      <c r="R112" s="0" t="str">
        <f aca="false">IF(Staff!$A112="","",Staff!$AI112)</f>
        <v/>
      </c>
      <c r="S112" s="0" t="str">
        <f aca="false">IF(Staff!$A112="","",Staff!$AK112)</f>
        <v/>
      </c>
      <c r="T112" s="0" t="str">
        <f aca="false">IF(Staff!$A112="","",Staff!$AL112)</f>
        <v/>
      </c>
      <c r="U112" s="0" t="str">
        <f aca="false">IF(Staff!$A112="","",Staff!$AP112)</f>
        <v/>
      </c>
      <c r="V112" s="0" t="str">
        <f aca="false">IF(Staff!$A112="","",Staff!$AQ112)</f>
        <v/>
      </c>
      <c r="W112" s="0" t="str">
        <f aca="false">IF(Staff!$A112="","",Staff!$AR112)</f>
        <v/>
      </c>
      <c r="X112" s="0" t="str">
        <f aca="false">IF(Staff!$A112="","",Staff!$AS112)</f>
        <v/>
      </c>
    </row>
    <row r="113" customFormat="false" ht="15" hidden="false" customHeight="false" outlineLevel="0" collapsed="false">
      <c r="A113" s="14" t="str">
        <f aca="false">IF(Staff!$A113="","",Staff!$A113)</f>
        <v/>
      </c>
      <c r="B113" s="14" t="str">
        <f aca="false">IF(Staff!$A113="","",Staff!$B113)</f>
        <v/>
      </c>
      <c r="C113" s="14" t="str">
        <f aca="false">IF(Staff!$A113="","",Staff!$C113)</f>
        <v/>
      </c>
      <c r="D113" s="12" t="str">
        <f aca="false">IF(Staff!$A113="","",Staff!$AH113)</f>
        <v/>
      </c>
      <c r="E113" s="14" t="str">
        <f aca="false">IF(Staff!$A113="","",Staff!$O113)</f>
        <v/>
      </c>
      <c r="F113" s="14" t="str">
        <f aca="false">IF(E113="","",E113*HoursPerDay)</f>
        <v/>
      </c>
      <c r="G113" s="14" t="str">
        <f aca="false">IF(Staff!$A113="","",Staff!$AE113)</f>
        <v/>
      </c>
      <c r="H113" s="26" t="str">
        <f aca="false">IF($A113="","",I113&amp;J113&amp;K113&amp;L113&amp;M113&amp;N113&amp;O113&amp;P113&amp;Q113)</f>
        <v/>
      </c>
      <c r="I113" s="0" t="str">
        <f aca="false">IF(OR($A113="",$D113=""),"",IF(AND(EDATE($D113,Milestones!$AA$20)&lt;=AsOfDate,IF($R113=0,$X113,IF(AND($T113&lt;&gt;"",EDATE($D113,Milestones!$AA$20)&gt;=$T113),$W113,IF(AND($S113&lt;&gt;"",EDATE($D113,Milestones!$AA$20)&gt;=$S113),$V113,$U113)))=Milestones!$AB$20),UPPER(TEXT(EDATE($D113,Milestones!$AA$20),"dd mmm yy"))&amp;" "&amp;Milestones!$AB$20&amp;" "&amp;Milestones!$AC$20&amp;";  ","")&amp;IF(AND(EDATE($D113,Milestones!$AA$21)&lt;=AsOfDate,IF($R113=0,$X113,IF(AND($T113&lt;&gt;"",EDATE($D113,Milestones!$AA$21)&gt;=$T113),$W113,IF(AND($S113&lt;&gt;"",EDATE($D113,Milestones!$AA$21)&gt;=$S113),$V113,$U113)))=Milestones!$AB$21),UPPER(TEXT(EDATE($D113,Milestones!$AA$21),"dd mmm yy"))&amp;" "&amp;Milestones!$AB$21&amp;" "&amp;Milestones!$AC$21&amp;";  ","")&amp;IF(AND(EDATE($D113,Milestones!$AA$22)&lt;=AsOfDate,IF($R113=0,$X113,IF(AND($T113&lt;&gt;"",EDATE($D113,Milestones!$AA$22)&gt;=$T113),$W113,IF(AND($S113&lt;&gt;"",EDATE($D113,Milestones!$AA$22)&gt;=$S113),$V113,$U113)))=Milestones!$AB$22),UPPER(TEXT(EDATE($D113,Milestones!$AA$22),"dd mmm yy"))&amp;" "&amp;Milestones!$AB$22&amp;" "&amp;Milestones!$AC$22&amp;";  ","")&amp;IF(AND(EDATE($D113,Milestones!$AA$23)&lt;=AsOfDate,IF($R113=0,$X113,IF(AND($T113&lt;&gt;"",EDATE($D113,Milestones!$AA$23)&gt;=$T113),$W113,IF(AND($S113&lt;&gt;"",EDATE($D113,Milestones!$AA$23)&gt;=$S113),$V113,$U113)))=Milestones!$AB$23),UPPER(TEXT(EDATE($D113,Milestones!$AA$23),"dd mmm yy"))&amp;" "&amp;Milestones!$AB$23&amp;" "&amp;Milestones!$AC$23&amp;";  ","")&amp;IF(AND(EDATE($D113,Milestones!$AA$24)&lt;=AsOfDate,IF($R113=0,$X113,IF(AND($T113&lt;&gt;"",EDATE($D113,Milestones!$AA$24)&gt;=$T113),$W113,IF(AND($S113&lt;&gt;"",EDATE($D113,Milestones!$AA$24)&gt;=$S113),$V113,$U113)))=Milestones!$AB$24),UPPER(TEXT(EDATE($D113,Milestones!$AA$24),"dd mmm yy"))&amp;" "&amp;Milestones!$AB$24&amp;" "&amp;Milestones!$AC$24&amp;";  ","")&amp;IF(AND(EDATE($D113,Milestones!$AA$25)&lt;=AsOfDate,IF($R113=0,$X113,IF(AND($T113&lt;&gt;"",EDATE($D113,Milestones!$AA$25)&gt;=$T113),$W113,IF(AND($S113&lt;&gt;"",EDATE($D113,Milestones!$AA$25)&gt;=$S113),$V113,$U113)))=Milestones!$AB$25),UPPER(TEXT(EDATE($D113,Milestones!$AA$25),"dd mmm yy"))&amp;" "&amp;Milestones!$AB$25&amp;" "&amp;Milestones!$AC$25&amp;";  ","")&amp;IF(AND(EDATE($D113,Milestones!$AA$26)&lt;=AsOfDate,IF($R113=0,$X113,IF(AND($T113&lt;&gt;"",EDATE($D113,Milestones!$AA$26)&gt;=$T113),$W113,IF(AND($S113&lt;&gt;"",EDATE($D113,Milestones!$AA$26)&gt;=$S113),$V113,$U113)))=Milestones!$AB$26),UPPER(TEXT(EDATE($D113,Milestones!$AA$26),"dd mmm yy"))&amp;" "&amp;Milestones!$AB$26&amp;" "&amp;Milestones!$AC$26&amp;";  ","")&amp;IF(AND(EDATE($D113,Milestones!$AA$27)&lt;=AsOfDate,IF($R113=0,$X113,IF(AND($T113&lt;&gt;"",EDATE($D113,Milestones!$AA$27)&gt;=$T113),$W113,IF(AND($S113&lt;&gt;"",EDATE($D113,Milestones!$AA$27)&gt;=$S113),$V113,$U113)))=Milestones!$AB$27),UPPER(TEXT(EDATE($D113,Milestones!$AA$27),"dd mmm yy"))&amp;" "&amp;Milestones!$AB$27&amp;" "&amp;Milestones!$AC$27&amp;";  ","")&amp;IF(AND(EDATE($D113,Milestones!$AA$28)&lt;=AsOfDate,IF($R113=0,$X113,IF(AND($T113&lt;&gt;"",EDATE($D113,Milestones!$AA$28)&gt;=$T113),$W113,IF(AND($S113&lt;&gt;"",EDATE($D113,Milestones!$AA$28)&gt;=$S113),$V113,$U113)))=Milestones!$AB$28),UPPER(TEXT(EDATE($D113,Milestones!$AA$28),"dd mmm yy"))&amp;" "&amp;Milestones!$AB$28&amp;" "&amp;Milestones!$AC$28&amp;";  ","")&amp;IF(AND(EDATE($D113,Milestones!$AA$29)&lt;=AsOfDate,IF($R113=0,$X113,IF(AND($T113&lt;&gt;"",EDATE($D113,Milestones!$AA$29)&gt;=$T113),$W113,IF(AND($S113&lt;&gt;"",EDATE($D113,Milestones!$AA$29)&gt;=$S113),$V113,$U113)))=Milestones!$AB$29),UPPER(TEXT(EDATE($D113,Milestones!$AA$29),"dd mmm yy"))&amp;" "&amp;Milestones!$AB$29&amp;" "&amp;Milestones!$AC$29&amp;";  ","")&amp;IF(AND(EDATE($D113,Milestones!$AA$30)&lt;=AsOfDate,IF($R113=0,$X113,IF(AND($T113&lt;&gt;"",EDATE($D113,Milestones!$AA$30)&gt;=$T113),$W113,IF(AND($S113&lt;&gt;"",EDATE($D113,Milestones!$AA$30)&gt;=$S113),$V113,$U113)))=Milestones!$AB$30),UPPER(TEXT(EDATE($D113,Milestones!$AA$30),"dd mmm yy"))&amp;" "&amp;Milestones!$AB$30&amp;" "&amp;Milestones!$AC$30&amp;";  ","")&amp;IF(AND(EDATE($D113,Milestones!$AA$31)&lt;=AsOfDate,IF($R113=0,$X113,IF(AND($T113&lt;&gt;"",EDATE($D113,Milestones!$AA$31)&gt;=$T113),$W113,IF(AND($S113&lt;&gt;"",EDATE($D113,Milestones!$AA$31)&gt;=$S113),$V113,$U113)))=Milestones!$AB$31),UPPER(TEXT(EDATE($D113,Milestones!$AA$31),"dd mmm yy"))&amp;" "&amp;Milestones!$AB$31&amp;" "&amp;Milestones!$AC$31&amp;";  ","")&amp;IF(AND(EDATE($D113,Milestones!$AA$32)&lt;=AsOfDate,IF($R113=0,$X113,IF(AND($T113&lt;&gt;"",EDATE($D113,Milestones!$AA$32)&gt;=$T113),$W113,IF(AND($S113&lt;&gt;"",EDATE($D113,Milestones!$AA$32)&gt;=$S113),$V113,$U113)))=Milestones!$AB$32),UPPER(TEXT(EDATE($D113,Milestones!$AA$32),"dd mmm yy"))&amp;" "&amp;Milestones!$AB$32&amp;" "&amp;Milestones!$AC$32&amp;";  ","")&amp;IF(AND(EDATE($D113,Milestones!$AA$33)&lt;=AsOfDate,IF($R113=0,$X113,IF(AND($T113&lt;&gt;"",EDATE($D113,Milestones!$AA$33)&gt;=$T113),$W113,IF(AND($S113&lt;&gt;"",EDATE($D113,Milestones!$AA$33)&gt;=$S113),$V113,$U113)))=Milestones!$AB$33),UPPER(TEXT(EDATE($D113,Milestones!$AA$33),"dd mmm yy"))&amp;" "&amp;Milestones!$AB$33&amp;" "&amp;Milestones!$AC$33&amp;";  ","")&amp;IF(AND(EDATE($D113,Milestones!$AA$34)&lt;=AsOfDate,IF($R113=0,$X113,IF(AND($T113&lt;&gt;"",EDATE($D113,Milestones!$AA$34)&gt;=$T113),$W113,IF(AND($S113&lt;&gt;"",EDATE($D113,Milestones!$AA$34)&gt;=$S113),$V113,$U113)))=Milestones!$AB$34),UPPER(TEXT(EDATE($D113,Milestones!$AA$34),"dd mmm yy"))&amp;" "&amp;Milestones!$AB$34&amp;" "&amp;Milestones!$AC$34&amp;";  ","")&amp;IF(AND(EDATE($D113,Milestones!$AA$35)&lt;=AsOfDate,IF($R113=0,$X113,IF(AND($T113&lt;&gt;"",EDATE($D113,Milestones!$AA$35)&gt;=$T113),$W113,IF(AND($S113&lt;&gt;"",EDATE($D113,Milestones!$AA$35)&gt;=$S113),$V113,$U113)))=Milestones!$AB$35),UPPER(TEXT(EDATE($D113,Milestones!$AA$35),"dd mmm yy"))&amp;" "&amp;Milestones!$AB$35&amp;" "&amp;Milestones!$AC$35&amp;";  ","")&amp;IF(AND(EDATE($D113,Milestones!$AA$36)&lt;=AsOfDate,IF($R113=0,$X113,IF(AND($T113&lt;&gt;"",EDATE($D113,Milestones!$AA$36)&gt;=$T113),$W113,IF(AND($S113&lt;&gt;"",EDATE($D113,Milestones!$AA$36)&gt;=$S113),$V113,$U113)))=Milestones!$AB$36),UPPER(TEXT(EDATE($D113,Milestones!$AA$36),"dd mmm yy"))&amp;" "&amp;Milestones!$AB$36&amp;" "&amp;Milestones!$AC$36&amp;";  ","")&amp;IF(AND(EDATE($D113,Milestones!$AA$37)&lt;=AsOfDate,IF($R113=0,$X113,IF(AND($T113&lt;&gt;"",EDATE($D113,Milestones!$AA$37)&gt;=$T113),$W113,IF(AND($S113&lt;&gt;"",EDATE($D113,Milestones!$AA$37)&gt;=$S113),$V113,$U113)))=Milestones!$AB$37),UPPER(TEXT(EDATE($D113,Milestones!$AA$37),"dd mmm yy"))&amp;" "&amp;Milestones!$AB$37&amp;" "&amp;Milestones!$AC$37&amp;";  ","")&amp;IF(AND(EDATE($D113,Milestones!$AA$38)&lt;=AsOfDate,IF($R113=0,$X113,IF(AND($T113&lt;&gt;"",EDATE($D113,Milestones!$AA$38)&gt;=$T113),$W113,IF(AND($S113&lt;&gt;"",EDATE($D113,Milestones!$AA$38)&gt;=$S113),$V113,$U113)))=Milestones!$AB$38),UPPER(TEXT(EDATE($D113,Milestones!$AA$38),"dd mmm yy"))&amp;" "&amp;Milestones!$AB$38&amp;" "&amp;Milestones!$AC$38&amp;";  ","")&amp;IF(AND(EDATE($D113,Milestones!$AA$39)&lt;=AsOfDate,IF($R113=0,$X113,IF(AND($T113&lt;&gt;"",EDATE($D113,Milestones!$AA$39)&gt;=$T113),$W113,IF(AND($S113&lt;&gt;"",EDATE($D113,Milestones!$AA$39)&gt;=$S113),$V113,$U113)))=Milestones!$AB$39),UPPER(TEXT(EDATE($D113,Milestones!$AA$39),"dd mmm yy"))&amp;" "&amp;Milestones!$AB$39&amp;" "&amp;Milestones!$AC$39&amp;";  ",""))</f>
        <v/>
      </c>
      <c r="J113" s="0" t="str">
        <f aca="false">IF(OR($A113="",$D113=""),"",IF(AND(EDATE($D113,Milestones!$AA$40)&lt;=AsOfDate,IF($R113=0,$X113,IF(AND($T113&lt;&gt;"",EDATE($D113,Milestones!$AA$40)&gt;=$T113),$W113,IF(AND($S113&lt;&gt;"",EDATE($D113,Milestones!$AA$40)&gt;=$S113),$V113,$U113)))=Milestones!$AB$40),UPPER(TEXT(EDATE($D113,Milestones!$AA$40),"dd mmm yy"))&amp;" "&amp;Milestones!$AB$40&amp;" "&amp;Milestones!$AC$40&amp;";  ","")&amp;IF(AND(EDATE($D113,Milestones!$AA$41)&lt;=AsOfDate,IF($R113=0,$X113,IF(AND($T113&lt;&gt;"",EDATE($D113,Milestones!$AA$41)&gt;=$T113),$W113,IF(AND($S113&lt;&gt;"",EDATE($D113,Milestones!$AA$41)&gt;=$S113),$V113,$U113)))=Milestones!$AB$41),UPPER(TEXT(EDATE($D113,Milestones!$AA$41),"dd mmm yy"))&amp;" "&amp;Milestones!$AB$41&amp;" "&amp;Milestones!$AC$41&amp;";  ","")&amp;IF(AND(EDATE($D113,Milestones!$AA$42)&lt;=AsOfDate,IF($R113=0,$X113,IF(AND($T113&lt;&gt;"",EDATE($D113,Milestones!$AA$42)&gt;=$T113),$W113,IF(AND($S113&lt;&gt;"",EDATE($D113,Milestones!$AA$42)&gt;=$S113),$V113,$U113)))=Milestones!$AB$42),UPPER(TEXT(EDATE($D113,Milestones!$AA$42),"dd mmm yy"))&amp;" "&amp;Milestones!$AB$42&amp;" "&amp;Milestones!$AC$42&amp;";  ","")&amp;IF(AND(EDATE($D113,Milestones!$AA$43)&lt;=AsOfDate,IF($R113=0,$X113,IF(AND($T113&lt;&gt;"",EDATE($D113,Milestones!$AA$43)&gt;=$T113),$W113,IF(AND($S113&lt;&gt;"",EDATE($D113,Milestones!$AA$43)&gt;=$S113),$V113,$U113)))=Milestones!$AB$43),UPPER(TEXT(EDATE($D113,Milestones!$AA$43),"dd mmm yy"))&amp;" "&amp;Milestones!$AB$43&amp;" "&amp;Milestones!$AC$43&amp;";  ","")&amp;IF(AND(EDATE($D113,Milestones!$AA$44)&lt;=AsOfDate,IF($R113=0,$X113,IF(AND($T113&lt;&gt;"",EDATE($D113,Milestones!$AA$44)&gt;=$T113),$W113,IF(AND($S113&lt;&gt;"",EDATE($D113,Milestones!$AA$44)&gt;=$S113),$V113,$U113)))=Milestones!$AB$44),UPPER(TEXT(EDATE($D113,Milestones!$AA$44),"dd mmm yy"))&amp;" "&amp;Milestones!$AB$44&amp;" "&amp;Milestones!$AC$44&amp;";  ","")&amp;IF(AND(EDATE($D113,Milestones!$AA$45)&lt;=AsOfDate,IF($R113=0,$X113,IF(AND($T113&lt;&gt;"",EDATE($D113,Milestones!$AA$45)&gt;=$T113),$W113,IF(AND($S113&lt;&gt;"",EDATE($D113,Milestones!$AA$45)&gt;=$S113),$V113,$U113)))=Milestones!$AB$45),UPPER(TEXT(EDATE($D113,Milestones!$AA$45),"dd mmm yy"))&amp;" "&amp;Milestones!$AB$45&amp;" "&amp;Milestones!$AC$45&amp;";  ","")&amp;IF(AND(EDATE($D113,Milestones!$AA$46)&lt;=AsOfDate,IF($R113=0,$X113,IF(AND($T113&lt;&gt;"",EDATE($D113,Milestones!$AA$46)&gt;=$T113),$W113,IF(AND($S113&lt;&gt;"",EDATE($D113,Milestones!$AA$46)&gt;=$S113),$V113,$U113)))=Milestones!$AB$46),UPPER(TEXT(EDATE($D113,Milestones!$AA$46),"dd mmm yy"))&amp;" "&amp;Milestones!$AB$46&amp;" "&amp;Milestones!$AC$46&amp;";  ","")&amp;IF(AND(EDATE($D113,Milestones!$AA$47)&lt;=AsOfDate,IF($R113=0,$X113,IF(AND($T113&lt;&gt;"",EDATE($D113,Milestones!$AA$47)&gt;=$T113),$W113,IF(AND($S113&lt;&gt;"",EDATE($D113,Milestones!$AA$47)&gt;=$S113),$V113,$U113)))=Milestones!$AB$47),UPPER(TEXT(EDATE($D113,Milestones!$AA$47),"dd mmm yy"))&amp;" "&amp;Milestones!$AB$47&amp;" "&amp;Milestones!$AC$47&amp;";  ","")&amp;IF(AND(EDATE($D113,Milestones!$AA$48)&lt;=AsOfDate,IF($R113=0,$X113,IF(AND($T113&lt;&gt;"",EDATE($D113,Milestones!$AA$48)&gt;=$T113),$W113,IF(AND($S113&lt;&gt;"",EDATE($D113,Milestones!$AA$48)&gt;=$S113),$V113,$U113)))=Milestones!$AB$48),UPPER(TEXT(EDATE($D113,Milestones!$AA$48),"dd mmm yy"))&amp;" "&amp;Milestones!$AB$48&amp;" "&amp;Milestones!$AC$48&amp;";  ","")&amp;IF(AND(EDATE($D113,Milestones!$AA$49)&lt;=AsOfDate,IF($R113=0,$X113,IF(AND($T113&lt;&gt;"",EDATE($D113,Milestones!$AA$49)&gt;=$T113),$W113,IF(AND($S113&lt;&gt;"",EDATE($D113,Milestones!$AA$49)&gt;=$S113),$V113,$U113)))=Milestones!$AB$49),UPPER(TEXT(EDATE($D113,Milestones!$AA$49),"dd mmm yy"))&amp;" "&amp;Milestones!$AB$49&amp;" "&amp;Milestones!$AC$49&amp;";  ","")&amp;IF(AND(EDATE($D113,Milestones!$AA$50)&lt;=AsOfDate,IF($R113=0,$X113,IF(AND($T113&lt;&gt;"",EDATE($D113,Milestones!$AA$50)&gt;=$T113),$W113,IF(AND($S113&lt;&gt;"",EDATE($D113,Milestones!$AA$50)&gt;=$S113),$V113,$U113)))=Milestones!$AB$50),UPPER(TEXT(EDATE($D113,Milestones!$AA$50),"dd mmm yy"))&amp;" "&amp;Milestones!$AB$50&amp;" "&amp;Milestones!$AC$50&amp;";  ","")&amp;IF(AND(EDATE($D113,Milestones!$AA$51)&lt;=AsOfDate,IF($R113=0,$X113,IF(AND($T113&lt;&gt;"",EDATE($D113,Milestones!$AA$51)&gt;=$T113),$W113,IF(AND($S113&lt;&gt;"",EDATE($D113,Milestones!$AA$51)&gt;=$S113),$V113,$U113)))=Milestones!$AB$51),UPPER(TEXT(EDATE($D113,Milestones!$AA$51),"dd mmm yy"))&amp;" "&amp;Milestones!$AB$51&amp;" "&amp;Milestones!$AC$51&amp;";  ","")&amp;IF(AND(EDATE($D113,Milestones!$AA$52)&lt;=AsOfDate,IF($R113=0,$X113,IF(AND($T113&lt;&gt;"",EDATE($D113,Milestones!$AA$52)&gt;=$T113),$W113,IF(AND($S113&lt;&gt;"",EDATE($D113,Milestones!$AA$52)&gt;=$S113),$V113,$U113)))=Milestones!$AB$52),UPPER(TEXT(EDATE($D113,Milestones!$AA$52),"dd mmm yy"))&amp;" "&amp;Milestones!$AB$52&amp;" "&amp;Milestones!$AC$52&amp;";  ","")&amp;IF(AND(EDATE($D113,Milestones!$AA$53)&lt;=AsOfDate,IF($R113=0,$X113,IF(AND($T113&lt;&gt;"",EDATE($D113,Milestones!$AA$53)&gt;=$T113),$W113,IF(AND($S113&lt;&gt;"",EDATE($D113,Milestones!$AA$53)&gt;=$S113),$V113,$U113)))=Milestones!$AB$53),UPPER(TEXT(EDATE($D113,Milestones!$AA$53),"dd mmm yy"))&amp;" "&amp;Milestones!$AB$53&amp;" "&amp;Milestones!$AC$53&amp;";  ","")&amp;IF(AND(EDATE($D113,Milestones!$AA$54)&lt;=AsOfDate,IF($R113=0,$X113,IF(AND($T113&lt;&gt;"",EDATE($D113,Milestones!$AA$54)&gt;=$T113),$W113,IF(AND($S113&lt;&gt;"",EDATE($D113,Milestones!$AA$54)&gt;=$S113),$V113,$U113)))=Milestones!$AB$54),UPPER(TEXT(EDATE($D113,Milestones!$AA$54),"dd mmm yy"))&amp;" "&amp;Milestones!$AB$54&amp;" "&amp;Milestones!$AC$54&amp;";  ","")&amp;IF(AND(EDATE($D113,Milestones!$AA$55)&lt;=AsOfDate,IF($R113=0,$X113,IF(AND($T113&lt;&gt;"",EDATE($D113,Milestones!$AA$55)&gt;=$T113),$W113,IF(AND($S113&lt;&gt;"",EDATE($D113,Milestones!$AA$55)&gt;=$S113),$V113,$U113)))=Milestones!$AB$55),UPPER(TEXT(EDATE($D113,Milestones!$AA$55),"dd mmm yy"))&amp;" "&amp;Milestones!$AB$55&amp;" "&amp;Milestones!$AC$55&amp;";  ","")&amp;IF(AND(EDATE($D113,Milestones!$AA$56)&lt;=AsOfDate,IF($R113=0,$X113,IF(AND($T113&lt;&gt;"",EDATE($D113,Milestones!$AA$56)&gt;=$T113),$W113,IF(AND($S113&lt;&gt;"",EDATE($D113,Milestones!$AA$56)&gt;=$S113),$V113,$U113)))=Milestones!$AB$56),UPPER(TEXT(EDATE($D113,Milestones!$AA$56),"dd mmm yy"))&amp;" "&amp;Milestones!$AB$56&amp;" "&amp;Milestones!$AC$56&amp;";  ","")&amp;IF(AND(EDATE($D113,Milestones!$AA$57)&lt;=AsOfDate,IF($R113=0,$X113,IF(AND($T113&lt;&gt;"",EDATE($D113,Milestones!$AA$57)&gt;=$T113),$W113,IF(AND($S113&lt;&gt;"",EDATE($D113,Milestones!$AA$57)&gt;=$S113),$V113,$U113)))=Milestones!$AB$57),UPPER(TEXT(EDATE($D113,Milestones!$AA$57),"dd mmm yy"))&amp;" "&amp;Milestones!$AB$57&amp;" "&amp;Milestones!$AC$57&amp;";  ","")&amp;IF(AND(EDATE($D113,Milestones!$AA$58)&lt;=AsOfDate,IF($R113=0,$X113,IF(AND($T113&lt;&gt;"",EDATE($D113,Milestones!$AA$58)&gt;=$T113),$W113,IF(AND($S113&lt;&gt;"",EDATE($D113,Milestones!$AA$58)&gt;=$S113),$V113,$U113)))=Milestones!$AB$58),UPPER(TEXT(EDATE($D113,Milestones!$AA$58),"dd mmm yy"))&amp;" "&amp;Milestones!$AB$58&amp;" "&amp;Milestones!$AC$58&amp;";  ","")&amp;IF(AND(EDATE($D113,Milestones!$AA$59)&lt;=AsOfDate,IF($R113=0,$X113,IF(AND($T113&lt;&gt;"",EDATE($D113,Milestones!$AA$59)&gt;=$T113),$W113,IF(AND($S113&lt;&gt;"",EDATE($D113,Milestones!$AA$59)&gt;=$S113),$V113,$U113)))=Milestones!$AB$59),UPPER(TEXT(EDATE($D113,Milestones!$AA$59),"dd mmm yy"))&amp;" "&amp;Milestones!$AB$59&amp;" "&amp;Milestones!$AC$59&amp;";  ",""))</f>
        <v/>
      </c>
      <c r="K113" s="0" t="str">
        <f aca="false">IF(OR($A113="",$D113=""),"",IF(AND(EDATE($D113,Milestones!$AA$60)&lt;=AsOfDate,IF($R113=0,$X113,IF(AND($T113&lt;&gt;"",EDATE($D113,Milestones!$AA$60)&gt;=$T113),$W113,IF(AND($S113&lt;&gt;"",EDATE($D113,Milestones!$AA$60)&gt;=$S113),$V113,$U113)))=Milestones!$AB$60),UPPER(TEXT(EDATE($D113,Milestones!$AA$60),"dd mmm yy"))&amp;" "&amp;Milestones!$AB$60&amp;" "&amp;Milestones!$AC$60&amp;";  ","")&amp;IF(AND(EDATE($D113,Milestones!$AA$61)&lt;=AsOfDate,IF($R113=0,$X113,IF(AND($T113&lt;&gt;"",EDATE($D113,Milestones!$AA$61)&gt;=$T113),$W113,IF(AND($S113&lt;&gt;"",EDATE($D113,Milestones!$AA$61)&gt;=$S113),$V113,$U113)))=Milestones!$AB$61),UPPER(TEXT(EDATE($D113,Milestones!$AA$61),"dd mmm yy"))&amp;" "&amp;Milestones!$AB$61&amp;" "&amp;Milestones!$AC$61&amp;";  ","")&amp;IF(AND(EDATE($D113,Milestones!$AA$62)&lt;=AsOfDate,IF($R113=0,$X113,IF(AND($T113&lt;&gt;"",EDATE($D113,Milestones!$AA$62)&gt;=$T113),$W113,IF(AND($S113&lt;&gt;"",EDATE($D113,Milestones!$AA$62)&gt;=$S113),$V113,$U113)))=Milestones!$AB$62),UPPER(TEXT(EDATE($D113,Milestones!$AA$62),"dd mmm yy"))&amp;" "&amp;Milestones!$AB$62&amp;" "&amp;Milestones!$AC$62&amp;";  ","")&amp;IF(AND(EDATE($D113,Milestones!$AA$63)&lt;=AsOfDate,IF($R113=0,$X113,IF(AND($T113&lt;&gt;"",EDATE($D113,Milestones!$AA$63)&gt;=$T113),$W113,IF(AND($S113&lt;&gt;"",EDATE($D113,Milestones!$AA$63)&gt;=$S113),$V113,$U113)))=Milestones!$AB$63),UPPER(TEXT(EDATE($D113,Milestones!$AA$63),"dd mmm yy"))&amp;" "&amp;Milestones!$AB$63&amp;" "&amp;Milestones!$AC$63&amp;";  ","")&amp;IF(AND(EDATE($D113,Milestones!$AA$64)&lt;=AsOfDate,IF($R113=0,$X113,IF(AND($T113&lt;&gt;"",EDATE($D113,Milestones!$AA$64)&gt;=$T113),$W113,IF(AND($S113&lt;&gt;"",EDATE($D113,Milestones!$AA$64)&gt;=$S113),$V113,$U113)))=Milestones!$AB$64),UPPER(TEXT(EDATE($D113,Milestones!$AA$64),"dd mmm yy"))&amp;" "&amp;Milestones!$AB$64&amp;" "&amp;Milestones!$AC$64&amp;";  ","")&amp;IF(AND(EDATE($D113,Milestones!$AA$65)&lt;=AsOfDate,IF($R113=0,$X113,IF(AND($T113&lt;&gt;"",EDATE($D113,Milestones!$AA$65)&gt;=$T113),$W113,IF(AND($S113&lt;&gt;"",EDATE($D113,Milestones!$AA$65)&gt;=$S113),$V113,$U113)))=Milestones!$AB$65),UPPER(TEXT(EDATE($D113,Milestones!$AA$65),"dd mmm yy"))&amp;" "&amp;Milestones!$AB$65&amp;" "&amp;Milestones!$AC$65&amp;";  ","")&amp;IF(AND(EDATE($D113,Milestones!$AA$66)&lt;=AsOfDate,IF($R113=0,$X113,IF(AND($T113&lt;&gt;"",EDATE($D113,Milestones!$AA$66)&gt;=$T113),$W113,IF(AND($S113&lt;&gt;"",EDATE($D113,Milestones!$AA$66)&gt;=$S113),$V113,$U113)))=Milestones!$AB$66),UPPER(TEXT(EDATE($D113,Milestones!$AA$66),"dd mmm yy"))&amp;" "&amp;Milestones!$AB$66&amp;" "&amp;Milestones!$AC$66&amp;";  ","")&amp;IF(AND(EDATE($D113,Milestones!$AA$67)&lt;=AsOfDate,IF($R113=0,$X113,IF(AND($T113&lt;&gt;"",EDATE($D113,Milestones!$AA$67)&gt;=$T113),$W113,IF(AND($S113&lt;&gt;"",EDATE($D113,Milestones!$AA$67)&gt;=$S113),$V113,$U113)))=Milestones!$AB$67),UPPER(TEXT(EDATE($D113,Milestones!$AA$67),"dd mmm yy"))&amp;" "&amp;Milestones!$AB$67&amp;" "&amp;Milestones!$AC$67&amp;";  ","")&amp;IF(AND(EDATE($D113,Milestones!$AA$68)&lt;=AsOfDate,IF($R113=0,$X113,IF(AND($T113&lt;&gt;"",EDATE($D113,Milestones!$AA$68)&gt;=$T113),$W113,IF(AND($S113&lt;&gt;"",EDATE($D113,Milestones!$AA$68)&gt;=$S113),$V113,$U113)))=Milestones!$AB$68),UPPER(TEXT(EDATE($D113,Milestones!$AA$68),"dd mmm yy"))&amp;" "&amp;Milestones!$AB$68&amp;" "&amp;Milestones!$AC$68&amp;";  ","")&amp;IF(AND(EDATE($D113,Milestones!$AA$69)&lt;=AsOfDate,IF($R113=0,$X113,IF(AND($T113&lt;&gt;"",EDATE($D113,Milestones!$AA$69)&gt;=$T113),$W113,IF(AND($S113&lt;&gt;"",EDATE($D113,Milestones!$AA$69)&gt;=$S113),$V113,$U113)))=Milestones!$AB$69),UPPER(TEXT(EDATE($D113,Milestones!$AA$69),"dd mmm yy"))&amp;" "&amp;Milestones!$AB$69&amp;" "&amp;Milestones!$AC$69&amp;";  ","")&amp;IF(AND(EDATE($D113,Milestones!$AA$70)&lt;=AsOfDate,IF($R113=0,$X113,IF(AND($T113&lt;&gt;"",EDATE($D113,Milestones!$AA$70)&gt;=$T113),$W113,IF(AND($S113&lt;&gt;"",EDATE($D113,Milestones!$AA$70)&gt;=$S113),$V113,$U113)))=Milestones!$AB$70),UPPER(TEXT(EDATE($D113,Milestones!$AA$70),"dd mmm yy"))&amp;" "&amp;Milestones!$AB$70&amp;" "&amp;Milestones!$AC$70&amp;";  ","")&amp;IF(AND(EDATE($D113,Milestones!$AA$71)&lt;=AsOfDate,IF($R113=0,$X113,IF(AND($T113&lt;&gt;"",EDATE($D113,Milestones!$AA$71)&gt;=$T113),$W113,IF(AND($S113&lt;&gt;"",EDATE($D113,Milestones!$AA$71)&gt;=$S113),$V113,$U113)))=Milestones!$AB$71),UPPER(TEXT(EDATE($D113,Milestones!$AA$71),"dd mmm yy"))&amp;" "&amp;Milestones!$AB$71&amp;" "&amp;Milestones!$AC$71&amp;";  ","")&amp;IF(AND(EDATE($D113,Milestones!$AA$72)&lt;=AsOfDate,IF($R113=0,$X113,IF(AND($T113&lt;&gt;"",EDATE($D113,Milestones!$AA$72)&gt;=$T113),$W113,IF(AND($S113&lt;&gt;"",EDATE($D113,Milestones!$AA$72)&gt;=$S113),$V113,$U113)))=Milestones!$AB$72),UPPER(TEXT(EDATE($D113,Milestones!$AA$72),"dd mmm yy"))&amp;" "&amp;Milestones!$AB$72&amp;" "&amp;Milestones!$AC$72&amp;";  ","")&amp;IF(AND(EDATE($D113,Milestones!$AA$73)&lt;=AsOfDate,IF($R113=0,$X113,IF(AND($T113&lt;&gt;"",EDATE($D113,Milestones!$AA$73)&gt;=$T113),$W113,IF(AND($S113&lt;&gt;"",EDATE($D113,Milestones!$AA$73)&gt;=$S113),$V113,$U113)))=Milestones!$AB$73),UPPER(TEXT(EDATE($D113,Milestones!$AA$73),"dd mmm yy"))&amp;" "&amp;Milestones!$AB$73&amp;" "&amp;Milestones!$AC$73&amp;";  ","")&amp;IF(AND(EDATE($D113,Milestones!$AA$74)&lt;=AsOfDate,IF($R113=0,$X113,IF(AND($T113&lt;&gt;"",EDATE($D113,Milestones!$AA$74)&gt;=$T113),$W113,IF(AND($S113&lt;&gt;"",EDATE($D113,Milestones!$AA$74)&gt;=$S113),$V113,$U113)))=Milestones!$AB$74),UPPER(TEXT(EDATE($D113,Milestones!$AA$74),"dd mmm yy"))&amp;" "&amp;Milestones!$AB$74&amp;" "&amp;Milestones!$AC$74&amp;";  ","")&amp;IF(AND(EDATE($D113,Milestones!$AA$75)&lt;=AsOfDate,IF($R113=0,$X113,IF(AND($T113&lt;&gt;"",EDATE($D113,Milestones!$AA$75)&gt;=$T113),$W113,IF(AND($S113&lt;&gt;"",EDATE($D113,Milestones!$AA$75)&gt;=$S113),$V113,$U113)))=Milestones!$AB$75),UPPER(TEXT(EDATE($D113,Milestones!$AA$75),"dd mmm yy"))&amp;" "&amp;Milestones!$AB$75&amp;" "&amp;Milestones!$AC$75&amp;";  ","")&amp;IF(AND(EDATE($D113,Milestones!$AA$76)&lt;=AsOfDate,IF($R113=0,$X113,IF(AND($T113&lt;&gt;"",EDATE($D113,Milestones!$AA$76)&gt;=$T113),$W113,IF(AND($S113&lt;&gt;"",EDATE($D113,Milestones!$AA$76)&gt;=$S113),$V113,$U113)))=Milestones!$AB$76),UPPER(TEXT(EDATE($D113,Milestones!$AA$76),"dd mmm yy"))&amp;" "&amp;Milestones!$AB$76&amp;" "&amp;Milestones!$AC$76&amp;";  ","")&amp;IF(AND(EDATE($D113,Milestones!$AA$77)&lt;=AsOfDate,IF($R113=0,$X113,IF(AND($T113&lt;&gt;"",EDATE($D113,Milestones!$AA$77)&gt;=$T113),$W113,IF(AND($S113&lt;&gt;"",EDATE($D113,Milestones!$AA$77)&gt;=$S113),$V113,$U113)))=Milestones!$AB$77),UPPER(TEXT(EDATE($D113,Milestones!$AA$77),"dd mmm yy"))&amp;" "&amp;Milestones!$AB$77&amp;" "&amp;Milestones!$AC$77&amp;";  ","")&amp;IF(AND(EDATE($D113,Milestones!$AA$78)&lt;=AsOfDate,IF($R113=0,$X113,IF(AND($T113&lt;&gt;"",EDATE($D113,Milestones!$AA$78)&gt;=$T113),$W113,IF(AND($S113&lt;&gt;"",EDATE($D113,Milestones!$AA$78)&gt;=$S113),$V113,$U113)))=Milestones!$AB$78),UPPER(TEXT(EDATE($D113,Milestones!$AA$78),"dd mmm yy"))&amp;" "&amp;Milestones!$AB$78&amp;" "&amp;Milestones!$AC$78&amp;";  ","")&amp;IF(AND(EDATE($D113,Milestones!$AA$79)&lt;=AsOfDate,IF($R113=0,$X113,IF(AND($T113&lt;&gt;"",EDATE($D113,Milestones!$AA$79)&gt;=$T113),$W113,IF(AND($S113&lt;&gt;"",EDATE($D113,Milestones!$AA$79)&gt;=$S113),$V113,$U113)))=Milestones!$AB$79),UPPER(TEXT(EDATE($D113,Milestones!$AA$79),"dd mmm yy"))&amp;" "&amp;Milestones!$AB$79&amp;" "&amp;Milestones!$AC$79&amp;";  ",""))</f>
        <v/>
      </c>
      <c r="L113" s="0" t="str">
        <f aca="false">IF(OR($A113="",$D113=""),"",IF(AND(EDATE($D113,Milestones!$AA$80)&lt;=AsOfDate,IF($R113=0,$X113,IF(AND($T113&lt;&gt;"",EDATE($D113,Milestones!$AA$80)&gt;=$T113),$W113,IF(AND($S113&lt;&gt;"",EDATE($D113,Milestones!$AA$80)&gt;=$S113),$V113,$U113)))=Milestones!$AB$80),UPPER(TEXT(EDATE($D113,Milestones!$AA$80),"dd mmm yy"))&amp;" "&amp;Milestones!$AB$80&amp;" "&amp;Milestones!$AC$80&amp;";  ","")&amp;IF(AND(EDATE($D113,Milestones!$AA$81)&lt;=AsOfDate,IF($R113=0,$X113,IF(AND($T113&lt;&gt;"",EDATE($D113,Milestones!$AA$81)&gt;=$T113),$W113,IF(AND($S113&lt;&gt;"",EDATE($D113,Milestones!$AA$81)&gt;=$S113),$V113,$U113)))=Milestones!$AB$81),UPPER(TEXT(EDATE($D113,Milestones!$AA$81),"dd mmm yy"))&amp;" "&amp;Milestones!$AB$81&amp;" "&amp;Milestones!$AC$81&amp;";  ","")&amp;IF(AND(EDATE($D113,Milestones!$AA$82)&lt;=AsOfDate,IF($R113=0,$X113,IF(AND($T113&lt;&gt;"",EDATE($D113,Milestones!$AA$82)&gt;=$T113),$W113,IF(AND($S113&lt;&gt;"",EDATE($D113,Milestones!$AA$82)&gt;=$S113),$V113,$U113)))=Milestones!$AB$82),UPPER(TEXT(EDATE($D113,Milestones!$AA$82),"dd mmm yy"))&amp;" "&amp;Milestones!$AB$82&amp;" "&amp;Milestones!$AC$82&amp;";  ","")&amp;IF(AND(EDATE($D113,Milestones!$AA$83)&lt;=AsOfDate,IF($R113=0,$X113,IF(AND($T113&lt;&gt;"",EDATE($D113,Milestones!$AA$83)&gt;=$T113),$W113,IF(AND($S113&lt;&gt;"",EDATE($D113,Milestones!$AA$83)&gt;=$S113),$V113,$U113)))=Milestones!$AB$83),UPPER(TEXT(EDATE($D113,Milestones!$AA$83),"dd mmm yy"))&amp;" "&amp;Milestones!$AB$83&amp;" "&amp;Milestones!$AC$83&amp;";  ","")&amp;IF(AND(EDATE($D113,Milestones!$AA$84)&lt;=AsOfDate,IF($R113=0,$X113,IF(AND($T113&lt;&gt;"",EDATE($D113,Milestones!$AA$84)&gt;=$T113),$W113,IF(AND($S113&lt;&gt;"",EDATE($D113,Milestones!$AA$84)&gt;=$S113),$V113,$U113)))=Milestones!$AB$84),UPPER(TEXT(EDATE($D113,Milestones!$AA$84),"dd mmm yy"))&amp;" "&amp;Milestones!$AB$84&amp;" "&amp;Milestones!$AC$84&amp;";  ","")&amp;IF(AND(EDATE($D113,Milestones!$AA$85)&lt;=AsOfDate,IF($R113=0,$X113,IF(AND($T113&lt;&gt;"",EDATE($D113,Milestones!$AA$85)&gt;=$T113),$W113,IF(AND($S113&lt;&gt;"",EDATE($D113,Milestones!$AA$85)&gt;=$S113),$V113,$U113)))=Milestones!$AB$85),UPPER(TEXT(EDATE($D113,Milestones!$AA$85),"dd mmm yy"))&amp;" "&amp;Milestones!$AB$85&amp;" "&amp;Milestones!$AC$85&amp;";  ","")&amp;IF(AND(EDATE($D113,Milestones!$AA$86)&lt;=AsOfDate,IF($R113=0,$X113,IF(AND($T113&lt;&gt;"",EDATE($D113,Milestones!$AA$86)&gt;=$T113),$W113,IF(AND($S113&lt;&gt;"",EDATE($D113,Milestones!$AA$86)&gt;=$S113),$V113,$U113)))=Milestones!$AB$86),UPPER(TEXT(EDATE($D113,Milestones!$AA$86),"dd mmm yy"))&amp;" "&amp;Milestones!$AB$86&amp;" "&amp;Milestones!$AC$86&amp;";  ","")&amp;IF(AND(EDATE($D113,Milestones!$AA$87)&lt;=AsOfDate,IF($R113=0,$X113,IF(AND($T113&lt;&gt;"",EDATE($D113,Milestones!$AA$87)&gt;=$T113),$W113,IF(AND($S113&lt;&gt;"",EDATE($D113,Milestones!$AA$87)&gt;=$S113),$V113,$U113)))=Milestones!$AB$87),UPPER(TEXT(EDATE($D113,Milestones!$AA$87),"dd mmm yy"))&amp;" "&amp;Milestones!$AB$87&amp;" "&amp;Milestones!$AC$87&amp;";  ","")&amp;IF(AND(EDATE($D113,Milestones!$AA$88)&lt;=AsOfDate,IF($R113=0,$X113,IF(AND($T113&lt;&gt;"",EDATE($D113,Milestones!$AA$88)&gt;=$T113),$W113,IF(AND($S113&lt;&gt;"",EDATE($D113,Milestones!$AA$88)&gt;=$S113),$V113,$U113)))=Milestones!$AB$88),UPPER(TEXT(EDATE($D113,Milestones!$AA$88),"dd mmm yy"))&amp;" "&amp;Milestones!$AB$88&amp;" "&amp;Milestones!$AC$88&amp;";  ","")&amp;IF(AND(EDATE($D113,Milestones!$AA$89)&lt;=AsOfDate,IF($R113=0,$X113,IF(AND($T113&lt;&gt;"",EDATE($D113,Milestones!$AA$89)&gt;=$T113),$W113,IF(AND($S113&lt;&gt;"",EDATE($D113,Milestones!$AA$89)&gt;=$S113),$V113,$U113)))=Milestones!$AB$89),UPPER(TEXT(EDATE($D113,Milestones!$AA$89),"dd mmm yy"))&amp;" "&amp;Milestones!$AB$89&amp;" "&amp;Milestones!$AC$89&amp;";  ","")&amp;IF(AND(EDATE($D113,Milestones!$AA$90)&lt;=AsOfDate,IF($R113=0,$X113,IF(AND($T113&lt;&gt;"",EDATE($D113,Milestones!$AA$90)&gt;=$T113),$W113,IF(AND($S113&lt;&gt;"",EDATE($D113,Milestones!$AA$90)&gt;=$S113),$V113,$U113)))=Milestones!$AB$90),UPPER(TEXT(EDATE($D113,Milestones!$AA$90),"dd mmm yy"))&amp;" "&amp;Milestones!$AB$90&amp;" "&amp;Milestones!$AC$90&amp;";  ","")&amp;IF(AND(EDATE($D113,Milestones!$AA$91)&lt;=AsOfDate,IF($R113=0,$X113,IF(AND($T113&lt;&gt;"",EDATE($D113,Milestones!$AA$91)&gt;=$T113),$W113,IF(AND($S113&lt;&gt;"",EDATE($D113,Milestones!$AA$91)&gt;=$S113),$V113,$U113)))=Milestones!$AB$91),UPPER(TEXT(EDATE($D113,Milestones!$AA$91),"dd mmm yy"))&amp;" "&amp;Milestones!$AB$91&amp;" "&amp;Milestones!$AC$91&amp;";  ","")&amp;IF(AND(EDATE($D113,Milestones!$AA$92)&lt;=AsOfDate,IF($R113=0,$X113,IF(AND($T113&lt;&gt;"",EDATE($D113,Milestones!$AA$92)&gt;=$T113),$W113,IF(AND($S113&lt;&gt;"",EDATE($D113,Milestones!$AA$92)&gt;=$S113),$V113,$U113)))=Milestones!$AB$92),UPPER(TEXT(EDATE($D113,Milestones!$AA$92),"dd mmm yy"))&amp;" "&amp;Milestones!$AB$92&amp;" "&amp;Milestones!$AC$92&amp;";  ","")&amp;IF(AND(EDATE($D113,Milestones!$AA$93)&lt;=AsOfDate,IF($R113=0,$X113,IF(AND($T113&lt;&gt;"",EDATE($D113,Milestones!$AA$93)&gt;=$T113),$W113,IF(AND($S113&lt;&gt;"",EDATE($D113,Milestones!$AA$93)&gt;=$S113),$V113,$U113)))=Milestones!$AB$93),UPPER(TEXT(EDATE($D113,Milestones!$AA$93),"dd mmm yy"))&amp;" "&amp;Milestones!$AB$93&amp;" "&amp;Milestones!$AC$93&amp;";  ","")&amp;IF(AND(EDATE($D113,Milestones!$AA$94)&lt;=AsOfDate,IF($R113=0,$X113,IF(AND($T113&lt;&gt;"",EDATE($D113,Milestones!$AA$94)&gt;=$T113),$W113,IF(AND($S113&lt;&gt;"",EDATE($D113,Milestones!$AA$94)&gt;=$S113),$V113,$U113)))=Milestones!$AB$94),UPPER(TEXT(EDATE($D113,Milestones!$AA$94),"dd mmm yy"))&amp;" "&amp;Milestones!$AB$94&amp;" "&amp;Milestones!$AC$94&amp;";  ","")&amp;IF(AND(EDATE($D113,Milestones!$AA$95)&lt;=AsOfDate,IF($R113=0,$X113,IF(AND($T113&lt;&gt;"",EDATE($D113,Milestones!$AA$95)&gt;=$T113),$W113,IF(AND($S113&lt;&gt;"",EDATE($D113,Milestones!$AA$95)&gt;=$S113),$V113,$U113)))=Milestones!$AB$95),UPPER(TEXT(EDATE($D113,Milestones!$AA$95),"dd mmm yy"))&amp;" "&amp;Milestones!$AB$95&amp;" "&amp;Milestones!$AC$95&amp;";  ","")&amp;IF(AND(EDATE($D113,Milestones!$AA$96)&lt;=AsOfDate,IF($R113=0,$X113,IF(AND($T113&lt;&gt;"",EDATE($D113,Milestones!$AA$96)&gt;=$T113),$W113,IF(AND($S113&lt;&gt;"",EDATE($D113,Milestones!$AA$96)&gt;=$S113),$V113,$U113)))=Milestones!$AB$96),UPPER(TEXT(EDATE($D113,Milestones!$AA$96),"dd mmm yy"))&amp;" "&amp;Milestones!$AB$96&amp;" "&amp;Milestones!$AC$96&amp;";  ","")&amp;IF(AND(EDATE($D113,Milestones!$AA$97)&lt;=AsOfDate,IF($R113=0,$X113,IF(AND($T113&lt;&gt;"",EDATE($D113,Milestones!$AA$97)&gt;=$T113),$W113,IF(AND($S113&lt;&gt;"",EDATE($D113,Milestones!$AA$97)&gt;=$S113),$V113,$U113)))=Milestones!$AB$97),UPPER(TEXT(EDATE($D113,Milestones!$AA$97),"dd mmm yy"))&amp;" "&amp;Milestones!$AB$97&amp;" "&amp;Milestones!$AC$97&amp;";  ","")&amp;IF(AND(EDATE($D113,Milestones!$AA$98)&lt;=AsOfDate,IF($R113=0,$X113,IF(AND($T113&lt;&gt;"",EDATE($D113,Milestones!$AA$98)&gt;=$T113),$W113,IF(AND($S113&lt;&gt;"",EDATE($D113,Milestones!$AA$98)&gt;=$S113),$V113,$U113)))=Milestones!$AB$98),UPPER(TEXT(EDATE($D113,Milestones!$AA$98),"dd mmm yy"))&amp;" "&amp;Milestones!$AB$98&amp;" "&amp;Milestones!$AC$98&amp;";  ","")&amp;IF(AND(EDATE($D113,Milestones!$AA$99)&lt;=AsOfDate,IF($R113=0,$X113,IF(AND($T113&lt;&gt;"",EDATE($D113,Milestones!$AA$99)&gt;=$T113),$W113,IF(AND($S113&lt;&gt;"",EDATE($D113,Milestones!$AA$99)&gt;=$S113),$V113,$U113)))=Milestones!$AB$99),UPPER(TEXT(EDATE($D113,Milestones!$AA$99),"dd mmm yy"))&amp;" "&amp;Milestones!$AB$99&amp;" "&amp;Milestones!$AC$99&amp;";  ",""))</f>
        <v/>
      </c>
      <c r="M113" s="0" t="str">
        <f aca="false">IF(OR($A113="",$D113=""),"",IF(AND(EDATE($D113,Milestones!$AA$100)&lt;=AsOfDate,IF($R113=0,$X113,IF(AND($T113&lt;&gt;"",EDATE($D113,Milestones!$AA$100)&gt;=$T113),$W113,IF(AND($S113&lt;&gt;"",EDATE($D113,Milestones!$AA$100)&gt;=$S113),$V113,$U113)))=Milestones!$AB$100),UPPER(TEXT(EDATE($D113,Milestones!$AA$100),"dd mmm yy"))&amp;" "&amp;Milestones!$AB$100&amp;" "&amp;Milestones!$AC$100&amp;";  ","")&amp;IF(AND(EDATE($D113,Milestones!$AA$101)&lt;=AsOfDate,IF($R113=0,$X113,IF(AND($T113&lt;&gt;"",EDATE($D113,Milestones!$AA$101)&gt;=$T113),$W113,IF(AND($S113&lt;&gt;"",EDATE($D113,Milestones!$AA$101)&gt;=$S113),$V113,$U113)))=Milestones!$AB$101),UPPER(TEXT(EDATE($D113,Milestones!$AA$101),"dd mmm yy"))&amp;" "&amp;Milestones!$AB$101&amp;" "&amp;Milestones!$AC$101&amp;";  ","")&amp;IF(AND(EDATE($D113,Milestones!$AA$102)&lt;=AsOfDate,IF($R113=0,$X113,IF(AND($T113&lt;&gt;"",EDATE($D113,Milestones!$AA$102)&gt;=$T113),$W113,IF(AND($S113&lt;&gt;"",EDATE($D113,Milestones!$AA$102)&gt;=$S113),$V113,$U113)))=Milestones!$AB$102),UPPER(TEXT(EDATE($D113,Milestones!$AA$102),"dd mmm yy"))&amp;" "&amp;Milestones!$AB$102&amp;" "&amp;Milestones!$AC$102&amp;";  ","")&amp;IF(AND(EDATE($D113,Milestones!$AA$103)&lt;=AsOfDate,IF($R113=0,$X113,IF(AND($T113&lt;&gt;"",EDATE($D113,Milestones!$AA$103)&gt;=$T113),$W113,IF(AND($S113&lt;&gt;"",EDATE($D113,Milestones!$AA$103)&gt;=$S113),$V113,$U113)))=Milestones!$AB$103),UPPER(TEXT(EDATE($D113,Milestones!$AA$103),"dd mmm yy"))&amp;" "&amp;Milestones!$AB$103&amp;" "&amp;Milestones!$AC$103&amp;";  ","")&amp;IF(AND(EDATE($D113,Milestones!$AA$104)&lt;=AsOfDate,IF($R113=0,$X113,IF(AND($T113&lt;&gt;"",EDATE($D113,Milestones!$AA$104)&gt;=$T113),$W113,IF(AND($S113&lt;&gt;"",EDATE($D113,Milestones!$AA$104)&gt;=$S113),$V113,$U113)))=Milestones!$AB$104),UPPER(TEXT(EDATE($D113,Milestones!$AA$104),"dd mmm yy"))&amp;" "&amp;Milestones!$AB$104&amp;" "&amp;Milestones!$AC$104&amp;";  ","")&amp;IF(AND(EDATE($D113,Milestones!$AA$105)&lt;=AsOfDate,IF($R113=0,$X113,IF(AND($T113&lt;&gt;"",EDATE($D113,Milestones!$AA$105)&gt;=$T113),$W113,IF(AND($S113&lt;&gt;"",EDATE($D113,Milestones!$AA$105)&gt;=$S113),$V113,$U113)))=Milestones!$AB$105),UPPER(TEXT(EDATE($D113,Milestones!$AA$105),"dd mmm yy"))&amp;" "&amp;Milestones!$AB$105&amp;" "&amp;Milestones!$AC$105&amp;";  ","")&amp;IF(AND(EDATE($D113,Milestones!$AA$106)&lt;=AsOfDate,IF($R113=0,$X113,IF(AND($T113&lt;&gt;"",EDATE($D113,Milestones!$AA$106)&gt;=$T113),$W113,IF(AND($S113&lt;&gt;"",EDATE($D113,Milestones!$AA$106)&gt;=$S113),$V113,$U113)))=Milestones!$AB$106),UPPER(TEXT(EDATE($D113,Milestones!$AA$106),"dd mmm yy"))&amp;" "&amp;Milestones!$AB$106&amp;" "&amp;Milestones!$AC$106&amp;";  ","")&amp;IF(AND(EDATE($D113,Milestones!$AA$107)&lt;=AsOfDate,IF($R113=0,$X113,IF(AND($T113&lt;&gt;"",EDATE($D113,Milestones!$AA$107)&gt;=$T113),$W113,IF(AND($S113&lt;&gt;"",EDATE($D113,Milestones!$AA$107)&gt;=$S113),$V113,$U113)))=Milestones!$AB$107),UPPER(TEXT(EDATE($D113,Milestones!$AA$107),"dd mmm yy"))&amp;" "&amp;Milestones!$AB$107&amp;" "&amp;Milestones!$AC$107&amp;";  ","")&amp;IF(AND(EDATE($D113,Milestones!$AA$108)&lt;=AsOfDate,IF($R113=0,$X113,IF(AND($T113&lt;&gt;"",EDATE($D113,Milestones!$AA$108)&gt;=$T113),$W113,IF(AND($S113&lt;&gt;"",EDATE($D113,Milestones!$AA$108)&gt;=$S113),$V113,$U113)))=Milestones!$AB$108),UPPER(TEXT(EDATE($D113,Milestones!$AA$108),"dd mmm yy"))&amp;" "&amp;Milestones!$AB$108&amp;" "&amp;Milestones!$AC$108&amp;";  ","")&amp;IF(AND(EDATE($D113,Milestones!$AA$109)&lt;=AsOfDate,IF($R113=0,$X113,IF(AND($T113&lt;&gt;"",EDATE($D113,Milestones!$AA$109)&gt;=$T113),$W113,IF(AND($S113&lt;&gt;"",EDATE($D113,Milestones!$AA$109)&gt;=$S113),$V113,$U113)))=Milestones!$AB$109),UPPER(TEXT(EDATE($D113,Milestones!$AA$109),"dd mmm yy"))&amp;" "&amp;Milestones!$AB$109&amp;" "&amp;Milestones!$AC$109&amp;";  ","")&amp;IF(AND(EDATE($D113,Milestones!$AA$110)&lt;=AsOfDate,IF($R113=0,$X113,IF(AND($T113&lt;&gt;"",EDATE($D113,Milestones!$AA$110)&gt;=$T113),$W113,IF(AND($S113&lt;&gt;"",EDATE($D113,Milestones!$AA$110)&gt;=$S113),$V113,$U113)))=Milestones!$AB$110),UPPER(TEXT(EDATE($D113,Milestones!$AA$110),"dd mmm yy"))&amp;" "&amp;Milestones!$AB$110&amp;" "&amp;Milestones!$AC$110&amp;";  ","")&amp;IF(AND(EDATE($D113,Milestones!$AA$111)&lt;=AsOfDate,IF($R113=0,$X113,IF(AND($T113&lt;&gt;"",EDATE($D113,Milestones!$AA$111)&gt;=$T113),$W113,IF(AND($S113&lt;&gt;"",EDATE($D113,Milestones!$AA$111)&gt;=$S113),$V113,$U113)))=Milestones!$AB$111),UPPER(TEXT(EDATE($D113,Milestones!$AA$111),"dd mmm yy"))&amp;" "&amp;Milestones!$AB$111&amp;" "&amp;Milestones!$AC$111&amp;";  ","")&amp;IF(AND(EDATE($D113,Milestones!$AA$112)&lt;=AsOfDate,IF($R113=0,$X113,IF(AND($T113&lt;&gt;"",EDATE($D113,Milestones!$AA$112)&gt;=$T113),$W113,IF(AND($S113&lt;&gt;"",EDATE($D113,Milestones!$AA$112)&gt;=$S113),$V113,$U113)))=Milestones!$AB$112),UPPER(TEXT(EDATE($D113,Milestones!$AA$112),"dd mmm yy"))&amp;" "&amp;Milestones!$AB$112&amp;" "&amp;Milestones!$AC$112&amp;";  ","")&amp;IF(AND(EDATE($D113,Milestones!$AA$113)&lt;=AsOfDate,IF($R113=0,$X113,IF(AND($T113&lt;&gt;"",EDATE($D113,Milestones!$AA$113)&gt;=$T113),$W113,IF(AND($S113&lt;&gt;"",EDATE($D113,Milestones!$AA$113)&gt;=$S113),$V113,$U113)))=Milestones!$AB$113),UPPER(TEXT(EDATE($D113,Milestones!$AA$113),"dd mmm yy"))&amp;" "&amp;Milestones!$AB$113&amp;" "&amp;Milestones!$AC$113&amp;";  ","")&amp;IF(AND(EDATE($D113,Milestones!$AA$114)&lt;=AsOfDate,IF($R113=0,$X113,IF(AND($T113&lt;&gt;"",EDATE($D113,Milestones!$AA$114)&gt;=$T113),$W113,IF(AND($S113&lt;&gt;"",EDATE($D113,Milestones!$AA$114)&gt;=$S113),$V113,$U113)))=Milestones!$AB$114),UPPER(TEXT(EDATE($D113,Milestones!$AA$114),"dd mmm yy"))&amp;" "&amp;Milestones!$AB$114&amp;" "&amp;Milestones!$AC$114&amp;";  ","")&amp;IF(AND(EDATE($D113,Milestones!$AA$115)&lt;=AsOfDate,IF($R113=0,$X113,IF(AND($T113&lt;&gt;"",EDATE($D113,Milestones!$AA$115)&gt;=$T113),$W113,IF(AND($S113&lt;&gt;"",EDATE($D113,Milestones!$AA$115)&gt;=$S113),$V113,$U113)))=Milestones!$AB$115),UPPER(TEXT(EDATE($D113,Milestones!$AA$115),"dd mmm yy"))&amp;" "&amp;Milestones!$AB$115&amp;" "&amp;Milestones!$AC$115&amp;";  ","")&amp;IF(AND(EDATE($D113,Milestones!$AA$116)&lt;=AsOfDate,IF($R113=0,$X113,IF(AND($T113&lt;&gt;"",EDATE($D113,Milestones!$AA$116)&gt;=$T113),$W113,IF(AND($S113&lt;&gt;"",EDATE($D113,Milestones!$AA$116)&gt;=$S113),$V113,$U113)))=Milestones!$AB$116),UPPER(TEXT(EDATE($D113,Milestones!$AA$116),"dd mmm yy"))&amp;" "&amp;Milestones!$AB$116&amp;" "&amp;Milestones!$AC$116&amp;";  ","")&amp;IF(AND(EDATE($D113,Milestones!$AA$117)&lt;=AsOfDate,IF($R113=0,$X113,IF(AND($T113&lt;&gt;"",EDATE($D113,Milestones!$AA$117)&gt;=$T113),$W113,IF(AND($S113&lt;&gt;"",EDATE($D113,Milestones!$AA$117)&gt;=$S113),$V113,$U113)))=Milestones!$AB$117),UPPER(TEXT(EDATE($D113,Milestones!$AA$117),"dd mmm yy"))&amp;" "&amp;Milestones!$AB$117&amp;" "&amp;Milestones!$AC$117&amp;";  ","")&amp;IF(AND(EDATE($D113,Milestones!$AA$118)&lt;=AsOfDate,IF($R113=0,$X113,IF(AND($T113&lt;&gt;"",EDATE($D113,Milestones!$AA$118)&gt;=$T113),$W113,IF(AND($S113&lt;&gt;"",EDATE($D113,Milestones!$AA$118)&gt;=$S113),$V113,$U113)))=Milestones!$AB$118),UPPER(TEXT(EDATE($D113,Milestones!$AA$118),"dd mmm yy"))&amp;" "&amp;Milestones!$AB$118&amp;" "&amp;Milestones!$AC$118&amp;";  ","")&amp;IF(AND(EDATE($D113,Milestones!$AA$119)&lt;=AsOfDate,IF($R113=0,$X113,IF(AND($T113&lt;&gt;"",EDATE($D113,Milestones!$AA$119)&gt;=$T113),$W113,IF(AND($S113&lt;&gt;"",EDATE($D113,Milestones!$AA$119)&gt;=$S113),$V113,$U113)))=Milestones!$AB$119),UPPER(TEXT(EDATE($D113,Milestones!$AA$119),"dd mmm yy"))&amp;" "&amp;Milestones!$AB$119&amp;" "&amp;Milestones!$AC$119&amp;";  ",""))</f>
        <v/>
      </c>
      <c r="N113" s="0" t="str">
        <f aca="false">IF(OR($A113="",$D113=""),"",IF(AND(EDATE($D113,Milestones!$AA$120)&lt;=AsOfDate,IF($R113=0,$X113,IF(AND($T113&lt;&gt;"",EDATE($D113,Milestones!$AA$120)&gt;=$T113),$W113,IF(AND($S113&lt;&gt;"",EDATE($D113,Milestones!$AA$120)&gt;=$S113),$V113,$U113)))=Milestones!$AB$120),UPPER(TEXT(EDATE($D113,Milestones!$AA$120),"dd mmm yy"))&amp;" "&amp;Milestones!$AB$120&amp;" "&amp;Milestones!$AC$120&amp;";  ","")&amp;IF(AND(EDATE($D113,Milestones!$AA$121)&lt;=AsOfDate,IF($R113=0,$X113,IF(AND($T113&lt;&gt;"",EDATE($D113,Milestones!$AA$121)&gt;=$T113),$W113,IF(AND($S113&lt;&gt;"",EDATE($D113,Milestones!$AA$121)&gt;=$S113),$V113,$U113)))=Milestones!$AB$121),UPPER(TEXT(EDATE($D113,Milestones!$AA$121),"dd mmm yy"))&amp;" "&amp;Milestones!$AB$121&amp;" "&amp;Milestones!$AC$121&amp;";  ","")&amp;IF(AND(EDATE($D113,Milestones!$AA$122)&lt;=AsOfDate,IF($R113=0,$X113,IF(AND($T113&lt;&gt;"",EDATE($D113,Milestones!$AA$122)&gt;=$T113),$W113,IF(AND($S113&lt;&gt;"",EDATE($D113,Milestones!$AA$122)&gt;=$S113),$V113,$U113)))=Milestones!$AB$122),UPPER(TEXT(EDATE($D113,Milestones!$AA$122),"dd mmm yy"))&amp;" "&amp;Milestones!$AB$122&amp;" "&amp;Milestones!$AC$122&amp;";  ","")&amp;IF(AND(EDATE($D113,Milestones!$AA$123)&lt;=AsOfDate,IF($R113=0,$X113,IF(AND($T113&lt;&gt;"",EDATE($D113,Milestones!$AA$123)&gt;=$T113),$W113,IF(AND($S113&lt;&gt;"",EDATE($D113,Milestones!$AA$123)&gt;=$S113),$V113,$U113)))=Milestones!$AB$123),UPPER(TEXT(EDATE($D113,Milestones!$AA$123),"dd mmm yy"))&amp;" "&amp;Milestones!$AB$123&amp;" "&amp;Milestones!$AC$123&amp;";  ","")&amp;IF(AND(EDATE($D113,Milestones!$AA$124)&lt;=AsOfDate,IF($R113=0,$X113,IF(AND($T113&lt;&gt;"",EDATE($D113,Milestones!$AA$124)&gt;=$T113),$W113,IF(AND($S113&lt;&gt;"",EDATE($D113,Milestones!$AA$124)&gt;=$S113),$V113,$U113)))=Milestones!$AB$124),UPPER(TEXT(EDATE($D113,Milestones!$AA$124),"dd mmm yy"))&amp;" "&amp;Milestones!$AB$124&amp;" "&amp;Milestones!$AC$124&amp;";  ","")&amp;IF(AND(EDATE($D113,Milestones!$AA$125)&lt;=AsOfDate,IF($R113=0,$X113,IF(AND($T113&lt;&gt;"",EDATE($D113,Milestones!$AA$125)&gt;=$T113),$W113,IF(AND($S113&lt;&gt;"",EDATE($D113,Milestones!$AA$125)&gt;=$S113),$V113,$U113)))=Milestones!$AB$125),UPPER(TEXT(EDATE($D113,Milestones!$AA$125),"dd mmm yy"))&amp;" "&amp;Milestones!$AB$125&amp;" "&amp;Milestones!$AC$125&amp;";  ","")&amp;IF(AND(EDATE($D113,Milestones!$AA$126)&lt;=AsOfDate,IF($R113=0,$X113,IF(AND($T113&lt;&gt;"",EDATE($D113,Milestones!$AA$126)&gt;=$T113),$W113,IF(AND($S113&lt;&gt;"",EDATE($D113,Milestones!$AA$126)&gt;=$S113),$V113,$U113)))=Milestones!$AB$126),UPPER(TEXT(EDATE($D113,Milestones!$AA$126),"dd mmm yy"))&amp;" "&amp;Milestones!$AB$126&amp;" "&amp;Milestones!$AC$126&amp;";  ","")&amp;IF(AND(EDATE($D113,Milestones!$AA$127)&lt;=AsOfDate,IF($R113=0,$X113,IF(AND($T113&lt;&gt;"",EDATE($D113,Milestones!$AA$127)&gt;=$T113),$W113,IF(AND($S113&lt;&gt;"",EDATE($D113,Milestones!$AA$127)&gt;=$S113),$V113,$U113)))=Milestones!$AB$127),UPPER(TEXT(EDATE($D113,Milestones!$AA$127),"dd mmm yy"))&amp;" "&amp;Milestones!$AB$127&amp;" "&amp;Milestones!$AC$127&amp;";  ","")&amp;IF(AND(EDATE($D113,Milestones!$AA$128)&lt;=AsOfDate,IF($R113=0,$X113,IF(AND($T113&lt;&gt;"",EDATE($D113,Milestones!$AA$128)&gt;=$T113),$W113,IF(AND($S113&lt;&gt;"",EDATE($D113,Milestones!$AA$128)&gt;=$S113),$V113,$U113)))=Milestones!$AB$128),UPPER(TEXT(EDATE($D113,Milestones!$AA$128),"dd mmm yy"))&amp;" "&amp;Milestones!$AB$128&amp;" "&amp;Milestones!$AC$128&amp;";  ","")&amp;IF(AND(EDATE($D113,Milestones!$AA$129)&lt;=AsOfDate,IF($R113=0,$X113,IF(AND($T113&lt;&gt;"",EDATE($D113,Milestones!$AA$129)&gt;=$T113),$W113,IF(AND($S113&lt;&gt;"",EDATE($D113,Milestones!$AA$129)&gt;=$S113),$V113,$U113)))=Milestones!$AB$129),UPPER(TEXT(EDATE($D113,Milestones!$AA$129),"dd mmm yy"))&amp;" "&amp;Milestones!$AB$129&amp;" "&amp;Milestones!$AC$129&amp;";  ","")&amp;IF(AND(EDATE($D113,Milestones!$AA$130)&lt;=AsOfDate,IF($R113=0,$X113,IF(AND($T113&lt;&gt;"",EDATE($D113,Milestones!$AA$130)&gt;=$T113),$W113,IF(AND($S113&lt;&gt;"",EDATE($D113,Milestones!$AA$130)&gt;=$S113),$V113,$U113)))=Milestones!$AB$130),UPPER(TEXT(EDATE($D113,Milestones!$AA$130),"dd mmm yy"))&amp;" "&amp;Milestones!$AB$130&amp;" "&amp;Milestones!$AC$130&amp;";  ","")&amp;IF(AND(EDATE($D113,Milestones!$AA$131)&lt;=AsOfDate,IF($R113=0,$X113,IF(AND($T113&lt;&gt;"",EDATE($D113,Milestones!$AA$131)&gt;=$T113),$W113,IF(AND($S113&lt;&gt;"",EDATE($D113,Milestones!$AA$131)&gt;=$S113),$V113,$U113)))=Milestones!$AB$131),UPPER(TEXT(EDATE($D113,Milestones!$AA$131),"dd mmm yy"))&amp;" "&amp;Milestones!$AB$131&amp;" "&amp;Milestones!$AC$131&amp;";  ","")&amp;IF(AND(EDATE($D113,Milestones!$AA$132)&lt;=AsOfDate,IF($R113=0,$X113,IF(AND($T113&lt;&gt;"",EDATE($D113,Milestones!$AA$132)&gt;=$T113),$W113,IF(AND($S113&lt;&gt;"",EDATE($D113,Milestones!$AA$132)&gt;=$S113),$V113,$U113)))=Milestones!$AB$132),UPPER(TEXT(EDATE($D113,Milestones!$AA$132),"dd mmm yy"))&amp;" "&amp;Milestones!$AB$132&amp;" "&amp;Milestones!$AC$132&amp;";  ","")&amp;IF(AND(EDATE($D113,Milestones!$AA$133)&lt;=AsOfDate,IF($R113=0,$X113,IF(AND($T113&lt;&gt;"",EDATE($D113,Milestones!$AA$133)&gt;=$T113),$W113,IF(AND($S113&lt;&gt;"",EDATE($D113,Milestones!$AA$133)&gt;=$S113),$V113,$U113)))=Milestones!$AB$133),UPPER(TEXT(EDATE($D113,Milestones!$AA$133),"dd mmm yy"))&amp;" "&amp;Milestones!$AB$133&amp;" "&amp;Milestones!$AC$133&amp;";  ","")&amp;IF(AND(EDATE($D113,Milestones!$AA$134)&lt;=AsOfDate,IF($R113=0,$X113,IF(AND($T113&lt;&gt;"",EDATE($D113,Milestones!$AA$134)&gt;=$T113),$W113,IF(AND($S113&lt;&gt;"",EDATE($D113,Milestones!$AA$134)&gt;=$S113),$V113,$U113)))=Milestones!$AB$134),UPPER(TEXT(EDATE($D113,Milestones!$AA$134),"dd mmm yy"))&amp;" "&amp;Milestones!$AB$134&amp;" "&amp;Milestones!$AC$134&amp;";  ","")&amp;IF(AND(EDATE($D113,Milestones!$AA$135)&lt;=AsOfDate,IF($R113=0,$X113,IF(AND($T113&lt;&gt;"",EDATE($D113,Milestones!$AA$135)&gt;=$T113),$W113,IF(AND($S113&lt;&gt;"",EDATE($D113,Milestones!$AA$135)&gt;=$S113),$V113,$U113)))=Milestones!$AB$135),UPPER(TEXT(EDATE($D113,Milestones!$AA$135),"dd mmm yy"))&amp;" "&amp;Milestones!$AB$135&amp;" "&amp;Milestones!$AC$135&amp;";  ","")&amp;IF(AND(EDATE($D113,Milestones!$AA$136)&lt;=AsOfDate,IF($R113=0,$X113,IF(AND($T113&lt;&gt;"",EDATE($D113,Milestones!$AA$136)&gt;=$T113),$W113,IF(AND($S113&lt;&gt;"",EDATE($D113,Milestones!$AA$136)&gt;=$S113),$V113,$U113)))=Milestones!$AB$136),UPPER(TEXT(EDATE($D113,Milestones!$AA$136),"dd mmm yy"))&amp;" "&amp;Milestones!$AB$136&amp;" "&amp;Milestones!$AC$136&amp;";  ","")&amp;IF(AND(EDATE($D113,Milestones!$AA$137)&lt;=AsOfDate,IF($R113=0,$X113,IF(AND($T113&lt;&gt;"",EDATE($D113,Milestones!$AA$137)&gt;=$T113),$W113,IF(AND($S113&lt;&gt;"",EDATE($D113,Milestones!$AA$137)&gt;=$S113),$V113,$U113)))=Milestones!$AB$137),UPPER(TEXT(EDATE($D113,Milestones!$AA$137),"dd mmm yy"))&amp;" "&amp;Milestones!$AB$137&amp;" "&amp;Milestones!$AC$137&amp;";  ","")&amp;IF(AND(EDATE($D113,Milestones!$AA$138)&lt;=AsOfDate,IF($R113=0,$X113,IF(AND($T113&lt;&gt;"",EDATE($D113,Milestones!$AA$138)&gt;=$T113),$W113,IF(AND($S113&lt;&gt;"",EDATE($D113,Milestones!$AA$138)&gt;=$S113),$V113,$U113)))=Milestones!$AB$138),UPPER(TEXT(EDATE($D113,Milestones!$AA$138),"dd mmm yy"))&amp;" "&amp;Milestones!$AB$138&amp;" "&amp;Milestones!$AC$138&amp;";  ","")&amp;IF(AND(EDATE($D113,Milestones!$AA$139)&lt;=AsOfDate,IF($R113=0,$X113,IF(AND($T113&lt;&gt;"",EDATE($D113,Milestones!$AA$139)&gt;=$T113),$W113,IF(AND($S113&lt;&gt;"",EDATE($D113,Milestones!$AA$139)&gt;=$S113),$V113,$U113)))=Milestones!$AB$139),UPPER(TEXT(EDATE($D113,Milestones!$AA$139),"dd mmm yy"))&amp;" "&amp;Milestones!$AB$139&amp;" "&amp;Milestones!$AC$139&amp;";  ",""))</f>
        <v/>
      </c>
      <c r="O113" s="0" t="str">
        <f aca="false">IF(OR($A113="",$D113=""),"",IF(AND(EDATE($D113,Milestones!$AA$140)&lt;=AsOfDate,IF($R113=0,$X113,IF(AND($T113&lt;&gt;"",EDATE($D113,Milestones!$AA$140)&gt;=$T113),$W113,IF(AND($S113&lt;&gt;"",EDATE($D113,Milestones!$AA$140)&gt;=$S113),$V113,$U113)))=Milestones!$AB$140),UPPER(TEXT(EDATE($D113,Milestones!$AA$140),"dd mmm yy"))&amp;" "&amp;Milestones!$AB$140&amp;" "&amp;Milestones!$AC$140&amp;";  ","")&amp;IF(AND(EDATE($D113,Milestones!$AA$141)&lt;=AsOfDate,IF($R113=0,$X113,IF(AND($T113&lt;&gt;"",EDATE($D113,Milestones!$AA$141)&gt;=$T113),$W113,IF(AND($S113&lt;&gt;"",EDATE($D113,Milestones!$AA$141)&gt;=$S113),$V113,$U113)))=Milestones!$AB$141),UPPER(TEXT(EDATE($D113,Milestones!$AA$141),"dd mmm yy"))&amp;" "&amp;Milestones!$AB$141&amp;" "&amp;Milestones!$AC$141&amp;";  ","")&amp;IF(AND(EDATE($D113,Milestones!$AA$142)&lt;=AsOfDate,IF($R113=0,$X113,IF(AND($T113&lt;&gt;"",EDATE($D113,Milestones!$AA$142)&gt;=$T113),$W113,IF(AND($S113&lt;&gt;"",EDATE($D113,Milestones!$AA$142)&gt;=$S113),$V113,$U113)))=Milestones!$AB$142),UPPER(TEXT(EDATE($D113,Milestones!$AA$142),"dd mmm yy"))&amp;" "&amp;Milestones!$AB$142&amp;" "&amp;Milestones!$AC$142&amp;";  ","")&amp;IF(AND(EDATE($D113,Milestones!$AA$143)&lt;=AsOfDate,IF($R113=0,$X113,IF(AND($T113&lt;&gt;"",EDATE($D113,Milestones!$AA$143)&gt;=$T113),$W113,IF(AND($S113&lt;&gt;"",EDATE($D113,Milestones!$AA$143)&gt;=$S113),$V113,$U113)))=Milestones!$AB$143),UPPER(TEXT(EDATE($D113,Milestones!$AA$143),"dd mmm yy"))&amp;" "&amp;Milestones!$AB$143&amp;" "&amp;Milestones!$AC$143&amp;";  ","")&amp;IF(AND(EDATE($D113,Milestones!$AA$144)&lt;=AsOfDate,IF($R113=0,$X113,IF(AND($T113&lt;&gt;"",EDATE($D113,Milestones!$AA$144)&gt;=$T113),$W113,IF(AND($S113&lt;&gt;"",EDATE($D113,Milestones!$AA$144)&gt;=$S113),$V113,$U113)))=Milestones!$AB$144),UPPER(TEXT(EDATE($D113,Milestones!$AA$144),"dd mmm yy"))&amp;" "&amp;Milestones!$AB$144&amp;" "&amp;Milestones!$AC$144&amp;";  ","")&amp;IF(AND(EDATE($D113,Milestones!$AA$145)&lt;=AsOfDate,IF($R113=0,$X113,IF(AND($T113&lt;&gt;"",EDATE($D113,Milestones!$AA$145)&gt;=$T113),$W113,IF(AND($S113&lt;&gt;"",EDATE($D113,Milestones!$AA$145)&gt;=$S113),$V113,$U113)))=Milestones!$AB$145),UPPER(TEXT(EDATE($D113,Milestones!$AA$145),"dd mmm yy"))&amp;" "&amp;Milestones!$AB$145&amp;" "&amp;Milestones!$AC$145&amp;";  ","")&amp;IF(AND(EDATE($D113,Milestones!$AA$146)&lt;=AsOfDate,IF($R113=0,$X113,IF(AND($T113&lt;&gt;"",EDATE($D113,Milestones!$AA$146)&gt;=$T113),$W113,IF(AND($S113&lt;&gt;"",EDATE($D113,Milestones!$AA$146)&gt;=$S113),$V113,$U113)))=Milestones!$AB$146),UPPER(TEXT(EDATE($D113,Milestones!$AA$146),"dd mmm yy"))&amp;" "&amp;Milestones!$AB$146&amp;" "&amp;Milestones!$AC$146&amp;";  ","")&amp;IF(AND(EDATE($D113,Milestones!$AA$147)&lt;=AsOfDate,IF($R113=0,$X113,IF(AND($T113&lt;&gt;"",EDATE($D113,Milestones!$AA$147)&gt;=$T113),$W113,IF(AND($S113&lt;&gt;"",EDATE($D113,Milestones!$AA$147)&gt;=$S113),$V113,$U113)))=Milestones!$AB$147),UPPER(TEXT(EDATE($D113,Milestones!$AA$147),"dd mmm yy"))&amp;" "&amp;Milestones!$AB$147&amp;" "&amp;Milestones!$AC$147&amp;";  ","")&amp;IF(AND(EDATE($D113,Milestones!$AA$148)&lt;=AsOfDate,IF($R113=0,$X113,IF(AND($T113&lt;&gt;"",EDATE($D113,Milestones!$AA$148)&gt;=$T113),$W113,IF(AND($S113&lt;&gt;"",EDATE($D113,Milestones!$AA$148)&gt;=$S113),$V113,$U113)))=Milestones!$AB$148),UPPER(TEXT(EDATE($D113,Milestones!$AA$148),"dd mmm yy"))&amp;" "&amp;Milestones!$AB$148&amp;" "&amp;Milestones!$AC$148&amp;";  ","")&amp;IF(AND(EDATE($D113,Milestones!$AA$149)&lt;=AsOfDate,IF($R113=0,$X113,IF(AND($T113&lt;&gt;"",EDATE($D113,Milestones!$AA$149)&gt;=$T113),$W113,IF(AND($S113&lt;&gt;"",EDATE($D113,Milestones!$AA$149)&gt;=$S113),$V113,$U113)))=Milestones!$AB$149),UPPER(TEXT(EDATE($D113,Milestones!$AA$149),"dd mmm yy"))&amp;" "&amp;Milestones!$AB$149&amp;" "&amp;Milestones!$AC$149&amp;";  ","")&amp;IF(AND(EDATE($D113,Milestones!$AA$150)&lt;=AsOfDate,IF($R113=0,$X113,IF(AND($T113&lt;&gt;"",EDATE($D113,Milestones!$AA$150)&gt;=$T113),$W113,IF(AND($S113&lt;&gt;"",EDATE($D113,Milestones!$AA$150)&gt;=$S113),$V113,$U113)))=Milestones!$AB$150),UPPER(TEXT(EDATE($D113,Milestones!$AA$150),"dd mmm yy"))&amp;" "&amp;Milestones!$AB$150&amp;" "&amp;Milestones!$AC$150&amp;";  ","")&amp;IF(AND(EDATE($D113,Milestones!$AA$151)&lt;=AsOfDate,IF($R113=0,$X113,IF(AND($T113&lt;&gt;"",EDATE($D113,Milestones!$AA$151)&gt;=$T113),$W113,IF(AND($S113&lt;&gt;"",EDATE($D113,Milestones!$AA$151)&gt;=$S113),$V113,$U113)))=Milestones!$AB$151),UPPER(TEXT(EDATE($D113,Milestones!$AA$151),"dd mmm yy"))&amp;" "&amp;Milestones!$AB$151&amp;" "&amp;Milestones!$AC$151&amp;";  ","")&amp;IF(AND(EDATE($D113,Milestones!$AA$152)&lt;=AsOfDate,IF($R113=0,$X113,IF(AND($T113&lt;&gt;"",EDATE($D113,Milestones!$AA$152)&gt;=$T113),$W113,IF(AND($S113&lt;&gt;"",EDATE($D113,Milestones!$AA$152)&gt;=$S113),$V113,$U113)))=Milestones!$AB$152),UPPER(TEXT(EDATE($D113,Milestones!$AA$152),"dd mmm yy"))&amp;" "&amp;Milestones!$AB$152&amp;" "&amp;Milestones!$AC$152&amp;";  ","")&amp;IF(AND(EDATE($D113,Milestones!$AA$153)&lt;=AsOfDate,IF($R113=0,$X113,IF(AND($T113&lt;&gt;"",EDATE($D113,Milestones!$AA$153)&gt;=$T113),$W113,IF(AND($S113&lt;&gt;"",EDATE($D113,Milestones!$AA$153)&gt;=$S113),$V113,$U113)))=Milestones!$AB$153),UPPER(TEXT(EDATE($D113,Milestones!$AA$153),"dd mmm yy"))&amp;" "&amp;Milestones!$AB$153&amp;" "&amp;Milestones!$AC$153&amp;";  ","")&amp;IF(AND(EDATE($D113,Milestones!$AA$154)&lt;=AsOfDate,IF($R113=0,$X113,IF(AND($T113&lt;&gt;"",EDATE($D113,Milestones!$AA$154)&gt;=$T113),$W113,IF(AND($S113&lt;&gt;"",EDATE($D113,Milestones!$AA$154)&gt;=$S113),$V113,$U113)))=Milestones!$AB$154),UPPER(TEXT(EDATE($D113,Milestones!$AA$154),"dd mmm yy"))&amp;" "&amp;Milestones!$AB$154&amp;" "&amp;Milestones!$AC$154&amp;";  ","")&amp;IF(AND(EDATE($D113,Milestones!$AA$155)&lt;=AsOfDate,IF($R113=0,$X113,IF(AND($T113&lt;&gt;"",EDATE($D113,Milestones!$AA$155)&gt;=$T113),$W113,IF(AND($S113&lt;&gt;"",EDATE($D113,Milestones!$AA$155)&gt;=$S113),$V113,$U113)))=Milestones!$AB$155),UPPER(TEXT(EDATE($D113,Milestones!$AA$155),"dd mmm yy"))&amp;" "&amp;Milestones!$AB$155&amp;" "&amp;Milestones!$AC$155&amp;";  ","")&amp;IF(AND(EDATE($D113,Milestones!$AA$156)&lt;=AsOfDate,IF($R113=0,$X113,IF(AND($T113&lt;&gt;"",EDATE($D113,Milestones!$AA$156)&gt;=$T113),$W113,IF(AND($S113&lt;&gt;"",EDATE($D113,Milestones!$AA$156)&gt;=$S113),$V113,$U113)))=Milestones!$AB$156),UPPER(TEXT(EDATE($D113,Milestones!$AA$156),"dd mmm yy"))&amp;" "&amp;Milestones!$AB$156&amp;" "&amp;Milestones!$AC$156&amp;";  ","")&amp;IF(AND(EDATE($D113,Milestones!$AA$157)&lt;=AsOfDate,IF($R113=0,$X113,IF(AND($T113&lt;&gt;"",EDATE($D113,Milestones!$AA$157)&gt;=$T113),$W113,IF(AND($S113&lt;&gt;"",EDATE($D113,Milestones!$AA$157)&gt;=$S113),$V113,$U113)))=Milestones!$AB$157),UPPER(TEXT(EDATE($D113,Milestones!$AA$157),"dd mmm yy"))&amp;" "&amp;Milestones!$AB$157&amp;" "&amp;Milestones!$AC$157&amp;";  ","")&amp;IF(AND(EDATE($D113,Milestones!$AA$158)&lt;=AsOfDate,IF($R113=0,$X113,IF(AND($T113&lt;&gt;"",EDATE($D113,Milestones!$AA$158)&gt;=$T113),$W113,IF(AND($S113&lt;&gt;"",EDATE($D113,Milestones!$AA$158)&gt;=$S113),$V113,$U113)))=Milestones!$AB$158),UPPER(TEXT(EDATE($D113,Milestones!$AA$158),"dd mmm yy"))&amp;" "&amp;Milestones!$AB$158&amp;" "&amp;Milestones!$AC$158&amp;";  ","")&amp;IF(AND(EDATE($D113,Milestones!$AA$159)&lt;=AsOfDate,IF($R113=0,$X113,IF(AND($T113&lt;&gt;"",EDATE($D113,Milestones!$AA$159)&gt;=$T113),$W113,IF(AND($S113&lt;&gt;"",EDATE($D113,Milestones!$AA$159)&gt;=$S113),$V113,$U113)))=Milestones!$AB$159),UPPER(TEXT(EDATE($D113,Milestones!$AA$159),"dd mmm yy"))&amp;" "&amp;Milestones!$AB$159&amp;" "&amp;Milestones!$AC$159&amp;";  ",""))</f>
        <v/>
      </c>
      <c r="P113" s="0" t="str">
        <f aca="false">IF(OR($A113="",$D113=""),"",IF(AND(EDATE($D113,Milestones!$AA$160)&lt;=AsOfDate,IF($R113=0,$X113,IF(AND($T113&lt;&gt;"",EDATE($D113,Milestones!$AA$160)&gt;=$T113),$W113,IF(AND($S113&lt;&gt;"",EDATE($D113,Milestones!$AA$160)&gt;=$S113),$V113,$U113)))=Milestones!$AB$160),UPPER(TEXT(EDATE($D113,Milestones!$AA$160),"dd mmm yy"))&amp;" "&amp;Milestones!$AB$160&amp;" "&amp;Milestones!$AC$160&amp;";  ","")&amp;IF(AND(EDATE($D113,Milestones!$AA$161)&lt;=AsOfDate,IF($R113=0,$X113,IF(AND($T113&lt;&gt;"",EDATE($D113,Milestones!$AA$161)&gt;=$T113),$W113,IF(AND($S113&lt;&gt;"",EDATE($D113,Milestones!$AA$161)&gt;=$S113),$V113,$U113)))=Milestones!$AB$161),UPPER(TEXT(EDATE($D113,Milestones!$AA$161),"dd mmm yy"))&amp;" "&amp;Milestones!$AB$161&amp;" "&amp;Milestones!$AC$161&amp;";  ","")&amp;IF(AND(EDATE($D113,Milestones!$AA$162)&lt;=AsOfDate,IF($R113=0,$X113,IF(AND($T113&lt;&gt;"",EDATE($D113,Milestones!$AA$162)&gt;=$T113),$W113,IF(AND($S113&lt;&gt;"",EDATE($D113,Milestones!$AA$162)&gt;=$S113),$V113,$U113)))=Milestones!$AB$162),UPPER(TEXT(EDATE($D113,Milestones!$AA$162),"dd mmm yy"))&amp;" "&amp;Milestones!$AB$162&amp;" "&amp;Milestones!$AC$162&amp;";  ","")&amp;IF(AND(EDATE($D113,Milestones!$AA$163)&lt;=AsOfDate,IF($R113=0,$X113,IF(AND($T113&lt;&gt;"",EDATE($D113,Milestones!$AA$163)&gt;=$T113),$W113,IF(AND($S113&lt;&gt;"",EDATE($D113,Milestones!$AA$163)&gt;=$S113),$V113,$U113)))=Milestones!$AB$163),UPPER(TEXT(EDATE($D113,Milestones!$AA$163),"dd mmm yy"))&amp;" "&amp;Milestones!$AB$163&amp;" "&amp;Milestones!$AC$163&amp;";  ","")&amp;IF(AND(EDATE($D113,Milestones!$AA$164)&lt;=AsOfDate,IF($R113=0,$X113,IF(AND($T113&lt;&gt;"",EDATE($D113,Milestones!$AA$164)&gt;=$T113),$W113,IF(AND($S113&lt;&gt;"",EDATE($D113,Milestones!$AA$164)&gt;=$S113),$V113,$U113)))=Milestones!$AB$164),UPPER(TEXT(EDATE($D113,Milestones!$AA$164),"dd mmm yy"))&amp;" "&amp;Milestones!$AB$164&amp;" "&amp;Milestones!$AC$164&amp;";  ","")&amp;IF(AND(EDATE($D113,Milestones!$AA$165)&lt;=AsOfDate,IF($R113=0,$X113,IF(AND($T113&lt;&gt;"",EDATE($D113,Milestones!$AA$165)&gt;=$T113),$W113,IF(AND($S113&lt;&gt;"",EDATE($D113,Milestones!$AA$165)&gt;=$S113),$V113,$U113)))=Milestones!$AB$165),UPPER(TEXT(EDATE($D113,Milestones!$AA$165),"dd mmm yy"))&amp;" "&amp;Milestones!$AB$165&amp;" "&amp;Milestones!$AC$165&amp;";  ","")&amp;IF(AND(EDATE($D113,Milestones!$AA$166)&lt;=AsOfDate,IF($R113=0,$X113,IF(AND($T113&lt;&gt;"",EDATE($D113,Milestones!$AA$166)&gt;=$T113),$W113,IF(AND($S113&lt;&gt;"",EDATE($D113,Milestones!$AA$166)&gt;=$S113),$V113,$U113)))=Milestones!$AB$166),UPPER(TEXT(EDATE($D113,Milestones!$AA$166),"dd mmm yy"))&amp;" "&amp;Milestones!$AB$166&amp;" "&amp;Milestones!$AC$166&amp;";  ","")&amp;IF(AND(EDATE($D113,Milestones!$AA$167)&lt;=AsOfDate,IF($R113=0,$X113,IF(AND($T113&lt;&gt;"",EDATE($D113,Milestones!$AA$167)&gt;=$T113),$W113,IF(AND($S113&lt;&gt;"",EDATE($D113,Milestones!$AA$167)&gt;=$S113),$V113,$U113)))=Milestones!$AB$167),UPPER(TEXT(EDATE($D113,Milestones!$AA$167),"dd mmm yy"))&amp;" "&amp;Milestones!$AB$167&amp;" "&amp;Milestones!$AC$167&amp;";  ","")&amp;IF(AND(EDATE($D113,Milestones!$AA$168)&lt;=AsOfDate,IF($R113=0,$X113,IF(AND($T113&lt;&gt;"",EDATE($D113,Milestones!$AA$168)&gt;=$T113),$W113,IF(AND($S113&lt;&gt;"",EDATE($D113,Milestones!$AA$168)&gt;=$S113),$V113,$U113)))=Milestones!$AB$168),UPPER(TEXT(EDATE($D113,Milestones!$AA$168),"dd mmm yy"))&amp;" "&amp;Milestones!$AB$168&amp;" "&amp;Milestones!$AC$168&amp;";  ","")&amp;IF(AND(EDATE($D113,Milestones!$AA$169)&lt;=AsOfDate,IF($R113=0,$X113,IF(AND($T113&lt;&gt;"",EDATE($D113,Milestones!$AA$169)&gt;=$T113),$W113,IF(AND($S113&lt;&gt;"",EDATE($D113,Milestones!$AA$169)&gt;=$S113),$V113,$U113)))=Milestones!$AB$169),UPPER(TEXT(EDATE($D113,Milestones!$AA$169),"dd mmm yy"))&amp;" "&amp;Milestones!$AB$169&amp;" "&amp;Milestones!$AC$169&amp;";  ","")&amp;IF(AND(EDATE($D113,Milestones!$AA$170)&lt;=AsOfDate,IF($R113=0,$X113,IF(AND($T113&lt;&gt;"",EDATE($D113,Milestones!$AA$170)&gt;=$T113),$W113,IF(AND($S113&lt;&gt;"",EDATE($D113,Milestones!$AA$170)&gt;=$S113),$V113,$U113)))=Milestones!$AB$170),UPPER(TEXT(EDATE($D113,Milestones!$AA$170),"dd mmm yy"))&amp;" "&amp;Milestones!$AB$170&amp;" "&amp;Milestones!$AC$170&amp;";  ","")&amp;IF(AND(EDATE($D113,Milestones!$AA$171)&lt;=AsOfDate,IF($R113=0,$X113,IF(AND($T113&lt;&gt;"",EDATE($D113,Milestones!$AA$171)&gt;=$T113),$W113,IF(AND($S113&lt;&gt;"",EDATE($D113,Milestones!$AA$171)&gt;=$S113),$V113,$U113)))=Milestones!$AB$171),UPPER(TEXT(EDATE($D113,Milestones!$AA$171),"dd mmm yy"))&amp;" "&amp;Milestones!$AB$171&amp;" "&amp;Milestones!$AC$171&amp;";  ","")&amp;IF(AND(EDATE($D113,Milestones!$AA$172)&lt;=AsOfDate,IF($R113=0,$X113,IF(AND($T113&lt;&gt;"",EDATE($D113,Milestones!$AA$172)&gt;=$T113),$W113,IF(AND($S113&lt;&gt;"",EDATE($D113,Milestones!$AA$172)&gt;=$S113),$V113,$U113)))=Milestones!$AB$172),UPPER(TEXT(EDATE($D113,Milestones!$AA$172),"dd mmm yy"))&amp;" "&amp;Milestones!$AB$172&amp;" "&amp;Milestones!$AC$172&amp;";  ","")&amp;IF(AND(EDATE($D113,Milestones!$AA$173)&lt;=AsOfDate,IF($R113=0,$X113,IF(AND($T113&lt;&gt;"",EDATE($D113,Milestones!$AA$173)&gt;=$T113),$W113,IF(AND($S113&lt;&gt;"",EDATE($D113,Milestones!$AA$173)&gt;=$S113),$V113,$U113)))=Milestones!$AB$173),UPPER(TEXT(EDATE($D113,Milestones!$AA$173),"dd mmm yy"))&amp;" "&amp;Milestones!$AB$173&amp;" "&amp;Milestones!$AC$173&amp;";  ","")&amp;IF(AND(EDATE($D113,Milestones!$AA$174)&lt;=AsOfDate,IF($R113=0,$X113,IF(AND($T113&lt;&gt;"",EDATE($D113,Milestones!$AA$174)&gt;=$T113),$W113,IF(AND($S113&lt;&gt;"",EDATE($D113,Milestones!$AA$174)&gt;=$S113),$V113,$U113)))=Milestones!$AB$174),UPPER(TEXT(EDATE($D113,Milestones!$AA$174),"dd mmm yy"))&amp;" "&amp;Milestones!$AB$174&amp;" "&amp;Milestones!$AC$174&amp;";  ","")&amp;IF(AND(EDATE($D113,Milestones!$AA$175)&lt;=AsOfDate,IF($R113=0,$X113,IF(AND($T113&lt;&gt;"",EDATE($D113,Milestones!$AA$175)&gt;=$T113),$W113,IF(AND($S113&lt;&gt;"",EDATE($D113,Milestones!$AA$175)&gt;=$S113),$V113,$U113)))=Milestones!$AB$175),UPPER(TEXT(EDATE($D113,Milestones!$AA$175),"dd mmm yy"))&amp;" "&amp;Milestones!$AB$175&amp;" "&amp;Milestones!$AC$175&amp;";  ","")&amp;IF(AND(EDATE($D113,Milestones!$AA$176)&lt;=AsOfDate,IF($R113=0,$X113,IF(AND($T113&lt;&gt;"",EDATE($D113,Milestones!$AA$176)&gt;=$T113),$W113,IF(AND($S113&lt;&gt;"",EDATE($D113,Milestones!$AA$176)&gt;=$S113),$V113,$U113)))=Milestones!$AB$176),UPPER(TEXT(EDATE($D113,Milestones!$AA$176),"dd mmm yy"))&amp;" "&amp;Milestones!$AB$176&amp;" "&amp;Milestones!$AC$176&amp;";  ","")&amp;IF(AND(EDATE($D113,Milestones!$AA$177)&lt;=AsOfDate,IF($R113=0,$X113,IF(AND($T113&lt;&gt;"",EDATE($D113,Milestones!$AA$177)&gt;=$T113),$W113,IF(AND($S113&lt;&gt;"",EDATE($D113,Milestones!$AA$177)&gt;=$S113),$V113,$U113)))=Milestones!$AB$177),UPPER(TEXT(EDATE($D113,Milestones!$AA$177),"dd mmm yy"))&amp;" "&amp;Milestones!$AB$177&amp;" "&amp;Milestones!$AC$177&amp;";  ","")&amp;IF(AND(EDATE($D113,Milestones!$AA$178)&lt;=AsOfDate,IF($R113=0,$X113,IF(AND($T113&lt;&gt;"",EDATE($D113,Milestones!$AA$178)&gt;=$T113),$W113,IF(AND($S113&lt;&gt;"",EDATE($D113,Milestones!$AA$178)&gt;=$S113),$V113,$U113)))=Milestones!$AB$178),UPPER(TEXT(EDATE($D113,Milestones!$AA$178),"dd mmm yy"))&amp;" "&amp;Milestones!$AB$178&amp;" "&amp;Milestones!$AC$178&amp;";  ","")&amp;IF(AND(EDATE($D113,Milestones!$AA$179)&lt;=AsOfDate,IF($R113=0,$X113,IF(AND($T113&lt;&gt;"",EDATE($D113,Milestones!$AA$179)&gt;=$T113),$W113,IF(AND($S113&lt;&gt;"",EDATE($D113,Milestones!$AA$179)&gt;=$S113),$V113,$U113)))=Milestones!$AB$179),UPPER(TEXT(EDATE($D113,Milestones!$AA$179),"dd mmm yy"))&amp;" "&amp;Milestones!$AB$179&amp;" "&amp;Milestones!$AC$179&amp;";  ",""))</f>
        <v/>
      </c>
      <c r="Q113" s="0" t="str">
        <f aca="false">IF(OR($A113="",$D113=""),"",IF(AND(EDATE($D113,Milestones!$AA$180)&lt;=AsOfDate,IF($R113=0,$X113,IF(AND($T113&lt;&gt;"",EDATE($D113,Milestones!$AA$180)&gt;=$T113),$W113,IF(AND($S113&lt;&gt;"",EDATE($D113,Milestones!$AA$180)&gt;=$S113),$V113,$U113)))=Milestones!$AB$180),UPPER(TEXT(EDATE($D113,Milestones!$AA$180),"dd mmm yy"))&amp;" "&amp;Milestones!$AB$180&amp;" "&amp;Milestones!$AC$180&amp;";  ","")&amp;IF(AND(EDATE($D113,Milestones!$AA$181)&lt;=AsOfDate,IF($R113=0,$X113,IF(AND($T113&lt;&gt;"",EDATE($D113,Milestones!$AA$181)&gt;=$T113),$W113,IF(AND($S113&lt;&gt;"",EDATE($D113,Milestones!$AA$181)&gt;=$S113),$V113,$U113)))=Milestones!$AB$181),UPPER(TEXT(EDATE($D113,Milestones!$AA$181),"dd mmm yy"))&amp;" "&amp;Milestones!$AB$181&amp;" "&amp;Milestones!$AC$181&amp;";  ","")&amp;IF(AND(EDATE($D113,Milestones!$AA$182)&lt;=AsOfDate,IF($R113=0,$X113,IF(AND($T113&lt;&gt;"",EDATE($D113,Milestones!$AA$182)&gt;=$T113),$W113,IF(AND($S113&lt;&gt;"",EDATE($D113,Milestones!$AA$182)&gt;=$S113),$V113,$U113)))=Milestones!$AB$182),UPPER(TEXT(EDATE($D113,Milestones!$AA$182),"dd mmm yy"))&amp;" "&amp;Milestones!$AB$182&amp;" "&amp;Milestones!$AC$182&amp;";  ","")&amp;IF(AND(EDATE($D113,Milestones!$AA$183)&lt;=AsOfDate,IF($R113=0,$X113,IF(AND($T113&lt;&gt;"",EDATE($D113,Milestones!$AA$183)&gt;=$T113),$W113,IF(AND($S113&lt;&gt;"",EDATE($D113,Milestones!$AA$183)&gt;=$S113),$V113,$U113)))=Milestones!$AB$183),UPPER(TEXT(EDATE($D113,Milestones!$AA$183),"dd mmm yy"))&amp;" "&amp;Milestones!$AB$183&amp;" "&amp;Milestones!$AC$183&amp;";  ","")&amp;IF(AND(EDATE($D113,Milestones!$AA$184)&lt;=AsOfDate,IF($R113=0,$X113,IF(AND($T113&lt;&gt;"",EDATE($D113,Milestones!$AA$184)&gt;=$T113),$W113,IF(AND($S113&lt;&gt;"",EDATE($D113,Milestones!$AA$184)&gt;=$S113),$V113,$U113)))=Milestones!$AB$184),UPPER(TEXT(EDATE($D113,Milestones!$AA$184),"dd mmm yy"))&amp;" "&amp;Milestones!$AB$184&amp;" "&amp;Milestones!$AC$184&amp;";  ","")&amp;IF(AND(EDATE($D113,Milestones!$AA$185)&lt;=AsOfDate,IF($R113=0,$X113,IF(AND($T113&lt;&gt;"",EDATE($D113,Milestones!$AA$185)&gt;=$T113),$W113,IF(AND($S113&lt;&gt;"",EDATE($D113,Milestones!$AA$185)&gt;=$S113),$V113,$U113)))=Milestones!$AB$185),UPPER(TEXT(EDATE($D113,Milestones!$AA$185),"dd mmm yy"))&amp;" "&amp;Milestones!$AB$185&amp;" "&amp;Milestones!$AC$185&amp;";  ","")&amp;IF(AND(EDATE($D113,Milestones!$AA$186)&lt;=AsOfDate,IF($R113=0,$X113,IF(AND($T113&lt;&gt;"",EDATE($D113,Milestones!$AA$186)&gt;=$T113),$W113,IF(AND($S113&lt;&gt;"",EDATE($D113,Milestones!$AA$186)&gt;=$S113),$V113,$U113)))=Milestones!$AB$186),UPPER(TEXT(EDATE($D113,Milestones!$AA$186),"dd mmm yy"))&amp;" "&amp;Milestones!$AB$186&amp;" "&amp;Milestones!$AC$186&amp;";  ","")&amp;IF(AND(EDATE($D113,Milestones!$AA$187)&lt;=AsOfDate,IF($R113=0,$X113,IF(AND($T113&lt;&gt;"",EDATE($D113,Milestones!$AA$187)&gt;=$T113),$W113,IF(AND($S113&lt;&gt;"",EDATE($D113,Milestones!$AA$187)&gt;=$S113),$V113,$U113)))=Milestones!$AB$187),UPPER(TEXT(EDATE($D113,Milestones!$AA$187),"dd mmm yy"))&amp;" "&amp;Milestones!$AB$187&amp;" "&amp;Milestones!$AC$187&amp;";  ","")&amp;IF(AND(EDATE($D113,Milestones!$AA$188)&lt;=AsOfDate,IF($R113=0,$X113,IF(AND($T113&lt;&gt;"",EDATE($D113,Milestones!$AA$188)&gt;=$T113),$W113,IF(AND($S113&lt;&gt;"",EDATE($D113,Milestones!$AA$188)&gt;=$S113),$V113,$U113)))=Milestones!$AB$188),UPPER(TEXT(EDATE($D113,Milestones!$AA$188),"dd mmm yy"))&amp;" "&amp;Milestones!$AB$188&amp;" "&amp;Milestones!$AC$188&amp;";  ","")&amp;IF(AND(EDATE($D113,Milestones!$AA$189)&lt;=AsOfDate,IF($R113=0,$X113,IF(AND($T113&lt;&gt;"",EDATE($D113,Milestones!$AA$189)&gt;=$T113),$W113,IF(AND($S113&lt;&gt;"",EDATE($D113,Milestones!$AA$189)&gt;=$S113),$V113,$U113)))=Milestones!$AB$189),UPPER(TEXT(EDATE($D113,Milestones!$AA$189),"dd mmm yy"))&amp;" "&amp;Milestones!$AB$189&amp;" "&amp;Milestones!$AC$189&amp;";  ","")&amp;IF(AND(EDATE($D113,Milestones!$AA$190)&lt;=AsOfDate,IF($R113=0,$X113,IF(AND($T113&lt;&gt;"",EDATE($D113,Milestones!$AA$190)&gt;=$T113),$W113,IF(AND($S113&lt;&gt;"",EDATE($D113,Milestones!$AA$190)&gt;=$S113),$V113,$U113)))=Milestones!$AB$190),UPPER(TEXT(EDATE($D113,Milestones!$AA$190),"dd mmm yy"))&amp;" "&amp;Milestones!$AB$190&amp;" "&amp;Milestones!$AC$190&amp;";  ","")&amp;IF(AND(EDATE($D113,Milestones!$AA$191)&lt;=AsOfDate,IF($R113=0,$X113,IF(AND($T113&lt;&gt;"",EDATE($D113,Milestones!$AA$191)&gt;=$T113),$W113,IF(AND($S113&lt;&gt;"",EDATE($D113,Milestones!$AA$191)&gt;=$S113),$V113,$U113)))=Milestones!$AB$191),UPPER(TEXT(EDATE($D113,Milestones!$AA$191),"dd mmm yy"))&amp;" "&amp;Milestones!$AB$191&amp;" "&amp;Milestones!$AC$191&amp;";  ","")&amp;IF(AND(EDATE($D113,Milestones!$AA$192)&lt;=AsOfDate,IF($R113=0,$X113,IF(AND($T113&lt;&gt;"",EDATE($D113,Milestones!$AA$192)&gt;=$T113),$W113,IF(AND($S113&lt;&gt;"",EDATE($D113,Milestones!$AA$192)&gt;=$S113),$V113,$U113)))=Milestones!$AB$192),UPPER(TEXT(EDATE($D113,Milestones!$AA$192),"dd mmm yy"))&amp;" "&amp;Milestones!$AB$192&amp;" "&amp;Milestones!$AC$192&amp;";  ","")&amp;IF(AND(EDATE($D113,Milestones!$AA$193)&lt;=AsOfDate,IF($R113=0,$X113,IF(AND($T113&lt;&gt;"",EDATE($D113,Milestones!$AA$193)&gt;=$T113),$W113,IF(AND($S113&lt;&gt;"",EDATE($D113,Milestones!$AA$193)&gt;=$S113),$V113,$U113)))=Milestones!$AB$193),UPPER(TEXT(EDATE($D113,Milestones!$AA$193),"dd mmm yy"))&amp;" "&amp;Milestones!$AB$193&amp;" "&amp;Milestones!$AC$193&amp;";  ","")&amp;IF(AND(EDATE($D113,Milestones!$AA$194)&lt;=AsOfDate,IF($R113=0,$X113,IF(AND($T113&lt;&gt;"",EDATE($D113,Milestones!$AA$194)&gt;=$T113),$W113,IF(AND($S113&lt;&gt;"",EDATE($D113,Milestones!$AA$194)&gt;=$S113),$V113,$U113)))=Milestones!$AB$194),UPPER(TEXT(EDATE($D113,Milestones!$AA$194),"dd mmm yy"))&amp;" "&amp;Milestones!$AB$194&amp;" "&amp;Milestones!$AC$194&amp;";  ","")&amp;IF(AND(EDATE($D113,Milestones!$AA$195)&lt;=AsOfDate,IF($R113=0,$X113,IF(AND($T113&lt;&gt;"",EDATE($D113,Milestones!$AA$195)&gt;=$T113),$W113,IF(AND($S113&lt;&gt;"",EDATE($D113,Milestones!$AA$195)&gt;=$S113),$V113,$U113)))=Milestones!$AB$195),UPPER(TEXT(EDATE($D113,Milestones!$AA$195),"dd mmm yy"))&amp;" "&amp;Milestones!$AB$195&amp;" "&amp;Milestones!$AC$195&amp;";  ","")&amp;IF(AND(EDATE($D113,Milestones!$AA$196)&lt;=AsOfDate,IF($R113=0,$X113,IF(AND($T113&lt;&gt;"",EDATE($D113,Milestones!$AA$196)&gt;=$T113),$W113,IF(AND($S113&lt;&gt;"",EDATE($D113,Milestones!$AA$196)&gt;=$S113),$V113,$U113)))=Milestones!$AB$196),UPPER(TEXT(EDATE($D113,Milestones!$AA$196),"dd mmm yy"))&amp;" "&amp;Milestones!$AB$196&amp;" "&amp;Milestones!$AC$196&amp;";  ","")&amp;IF(AND(EDATE($D113,Milestones!$AA$197)&lt;=AsOfDate,IF($R113=0,$X113,IF(AND($T113&lt;&gt;"",EDATE($D113,Milestones!$AA$197)&gt;=$T113),$W113,IF(AND($S113&lt;&gt;"",EDATE($D113,Milestones!$AA$197)&gt;=$S113),$V113,$U113)))=Milestones!$AB$197),UPPER(TEXT(EDATE($D113,Milestones!$AA$197),"dd mmm yy"))&amp;" "&amp;Milestones!$AB$197&amp;" "&amp;Milestones!$AC$197&amp;";  ","")&amp;IF(AND(EDATE($D113,Milestones!$AA$198)&lt;=AsOfDate,IF($R113=0,$X113,IF(AND($T113&lt;&gt;"",EDATE($D113,Milestones!$AA$198)&gt;=$T113),$W113,IF(AND($S113&lt;&gt;"",EDATE($D113,Milestones!$AA$198)&gt;=$S113),$V113,$U113)))=Milestones!$AB$198),UPPER(TEXT(EDATE($D113,Milestones!$AA$198),"dd mmm yy"))&amp;" "&amp;Milestones!$AB$198&amp;" "&amp;Milestones!$AC$198&amp;";  ","")&amp;IF(AND(EDATE($D113,Milestones!$AA$199)&lt;=AsOfDate,IF($R113=0,$X113,IF(AND($T113&lt;&gt;"",EDATE($D113,Milestones!$AA$199)&gt;=$T113),$W113,IF(AND($S113&lt;&gt;"",EDATE($D113,Milestones!$AA$199)&gt;=$S113),$V113,$U113)))=Milestones!$AB$199),UPPER(TEXT(EDATE($D113,Milestones!$AA$199),"dd mmm yy"))&amp;" "&amp;Milestones!$AB$199&amp;" "&amp;Milestones!$AC$199&amp;";  ",""))</f>
        <v/>
      </c>
      <c r="R113" s="0" t="str">
        <f aca="false">IF(Staff!$A113="","",Staff!$AI113)</f>
        <v/>
      </c>
      <c r="S113" s="0" t="str">
        <f aca="false">IF(Staff!$A113="","",Staff!$AK113)</f>
        <v/>
      </c>
      <c r="T113" s="0" t="str">
        <f aca="false">IF(Staff!$A113="","",Staff!$AL113)</f>
        <v/>
      </c>
      <c r="U113" s="0" t="str">
        <f aca="false">IF(Staff!$A113="","",Staff!$AP113)</f>
        <v/>
      </c>
      <c r="V113" s="0" t="str">
        <f aca="false">IF(Staff!$A113="","",Staff!$AQ113)</f>
        <v/>
      </c>
      <c r="W113" s="0" t="str">
        <f aca="false">IF(Staff!$A113="","",Staff!$AR113)</f>
        <v/>
      </c>
      <c r="X113" s="0" t="str">
        <f aca="false">IF(Staff!$A113="","",Staff!$AS113)</f>
        <v/>
      </c>
    </row>
    <row r="114" customFormat="false" ht="15" hidden="false" customHeight="false" outlineLevel="0" collapsed="false">
      <c r="A114" s="14" t="str">
        <f aca="false">IF(Staff!$A114="","",Staff!$A114)</f>
        <v/>
      </c>
      <c r="B114" s="14" t="str">
        <f aca="false">IF(Staff!$A114="","",Staff!$B114)</f>
        <v/>
      </c>
      <c r="C114" s="14" t="str">
        <f aca="false">IF(Staff!$A114="","",Staff!$C114)</f>
        <v/>
      </c>
      <c r="D114" s="12" t="str">
        <f aca="false">IF(Staff!$A114="","",Staff!$AH114)</f>
        <v/>
      </c>
      <c r="E114" s="14" t="str">
        <f aca="false">IF(Staff!$A114="","",Staff!$O114)</f>
        <v/>
      </c>
      <c r="F114" s="14" t="str">
        <f aca="false">IF(E114="","",E114*HoursPerDay)</f>
        <v/>
      </c>
      <c r="G114" s="14" t="str">
        <f aca="false">IF(Staff!$A114="","",Staff!$AE114)</f>
        <v/>
      </c>
      <c r="H114" s="26" t="str">
        <f aca="false">IF($A114="","",I114&amp;J114&amp;K114&amp;L114&amp;M114&amp;N114&amp;O114&amp;P114&amp;Q114)</f>
        <v/>
      </c>
      <c r="I114" s="0" t="str">
        <f aca="false">IF(OR($A114="",$D114=""),"",IF(AND(EDATE($D114,Milestones!$AA$20)&lt;=AsOfDate,IF($R114=0,$X114,IF(AND($T114&lt;&gt;"",EDATE($D114,Milestones!$AA$20)&gt;=$T114),$W114,IF(AND($S114&lt;&gt;"",EDATE($D114,Milestones!$AA$20)&gt;=$S114),$V114,$U114)))=Milestones!$AB$20),UPPER(TEXT(EDATE($D114,Milestones!$AA$20),"dd mmm yy"))&amp;" "&amp;Milestones!$AB$20&amp;" "&amp;Milestones!$AC$20&amp;";  ","")&amp;IF(AND(EDATE($D114,Milestones!$AA$21)&lt;=AsOfDate,IF($R114=0,$X114,IF(AND($T114&lt;&gt;"",EDATE($D114,Milestones!$AA$21)&gt;=$T114),$W114,IF(AND($S114&lt;&gt;"",EDATE($D114,Milestones!$AA$21)&gt;=$S114),$V114,$U114)))=Milestones!$AB$21),UPPER(TEXT(EDATE($D114,Milestones!$AA$21),"dd mmm yy"))&amp;" "&amp;Milestones!$AB$21&amp;" "&amp;Milestones!$AC$21&amp;";  ","")&amp;IF(AND(EDATE($D114,Milestones!$AA$22)&lt;=AsOfDate,IF($R114=0,$X114,IF(AND($T114&lt;&gt;"",EDATE($D114,Milestones!$AA$22)&gt;=$T114),$W114,IF(AND($S114&lt;&gt;"",EDATE($D114,Milestones!$AA$22)&gt;=$S114),$V114,$U114)))=Milestones!$AB$22),UPPER(TEXT(EDATE($D114,Milestones!$AA$22),"dd mmm yy"))&amp;" "&amp;Milestones!$AB$22&amp;" "&amp;Milestones!$AC$22&amp;";  ","")&amp;IF(AND(EDATE($D114,Milestones!$AA$23)&lt;=AsOfDate,IF($R114=0,$X114,IF(AND($T114&lt;&gt;"",EDATE($D114,Milestones!$AA$23)&gt;=$T114),$W114,IF(AND($S114&lt;&gt;"",EDATE($D114,Milestones!$AA$23)&gt;=$S114),$V114,$U114)))=Milestones!$AB$23),UPPER(TEXT(EDATE($D114,Milestones!$AA$23),"dd mmm yy"))&amp;" "&amp;Milestones!$AB$23&amp;" "&amp;Milestones!$AC$23&amp;";  ","")&amp;IF(AND(EDATE($D114,Milestones!$AA$24)&lt;=AsOfDate,IF($R114=0,$X114,IF(AND($T114&lt;&gt;"",EDATE($D114,Milestones!$AA$24)&gt;=$T114),$W114,IF(AND($S114&lt;&gt;"",EDATE($D114,Milestones!$AA$24)&gt;=$S114),$V114,$U114)))=Milestones!$AB$24),UPPER(TEXT(EDATE($D114,Milestones!$AA$24),"dd mmm yy"))&amp;" "&amp;Milestones!$AB$24&amp;" "&amp;Milestones!$AC$24&amp;";  ","")&amp;IF(AND(EDATE($D114,Milestones!$AA$25)&lt;=AsOfDate,IF($R114=0,$X114,IF(AND($T114&lt;&gt;"",EDATE($D114,Milestones!$AA$25)&gt;=$T114),$W114,IF(AND($S114&lt;&gt;"",EDATE($D114,Milestones!$AA$25)&gt;=$S114),$V114,$U114)))=Milestones!$AB$25),UPPER(TEXT(EDATE($D114,Milestones!$AA$25),"dd mmm yy"))&amp;" "&amp;Milestones!$AB$25&amp;" "&amp;Milestones!$AC$25&amp;";  ","")&amp;IF(AND(EDATE($D114,Milestones!$AA$26)&lt;=AsOfDate,IF($R114=0,$X114,IF(AND($T114&lt;&gt;"",EDATE($D114,Milestones!$AA$26)&gt;=$T114),$W114,IF(AND($S114&lt;&gt;"",EDATE($D114,Milestones!$AA$26)&gt;=$S114),$V114,$U114)))=Milestones!$AB$26),UPPER(TEXT(EDATE($D114,Milestones!$AA$26),"dd mmm yy"))&amp;" "&amp;Milestones!$AB$26&amp;" "&amp;Milestones!$AC$26&amp;";  ","")&amp;IF(AND(EDATE($D114,Milestones!$AA$27)&lt;=AsOfDate,IF($R114=0,$X114,IF(AND($T114&lt;&gt;"",EDATE($D114,Milestones!$AA$27)&gt;=$T114),$W114,IF(AND($S114&lt;&gt;"",EDATE($D114,Milestones!$AA$27)&gt;=$S114),$V114,$U114)))=Milestones!$AB$27),UPPER(TEXT(EDATE($D114,Milestones!$AA$27),"dd mmm yy"))&amp;" "&amp;Milestones!$AB$27&amp;" "&amp;Milestones!$AC$27&amp;";  ","")&amp;IF(AND(EDATE($D114,Milestones!$AA$28)&lt;=AsOfDate,IF($R114=0,$X114,IF(AND($T114&lt;&gt;"",EDATE($D114,Milestones!$AA$28)&gt;=$T114),$W114,IF(AND($S114&lt;&gt;"",EDATE($D114,Milestones!$AA$28)&gt;=$S114),$V114,$U114)))=Milestones!$AB$28),UPPER(TEXT(EDATE($D114,Milestones!$AA$28),"dd mmm yy"))&amp;" "&amp;Milestones!$AB$28&amp;" "&amp;Milestones!$AC$28&amp;";  ","")&amp;IF(AND(EDATE($D114,Milestones!$AA$29)&lt;=AsOfDate,IF($R114=0,$X114,IF(AND($T114&lt;&gt;"",EDATE($D114,Milestones!$AA$29)&gt;=$T114),$W114,IF(AND($S114&lt;&gt;"",EDATE($D114,Milestones!$AA$29)&gt;=$S114),$V114,$U114)))=Milestones!$AB$29),UPPER(TEXT(EDATE($D114,Milestones!$AA$29),"dd mmm yy"))&amp;" "&amp;Milestones!$AB$29&amp;" "&amp;Milestones!$AC$29&amp;";  ","")&amp;IF(AND(EDATE($D114,Milestones!$AA$30)&lt;=AsOfDate,IF($R114=0,$X114,IF(AND($T114&lt;&gt;"",EDATE($D114,Milestones!$AA$30)&gt;=$T114),$W114,IF(AND($S114&lt;&gt;"",EDATE($D114,Milestones!$AA$30)&gt;=$S114),$V114,$U114)))=Milestones!$AB$30),UPPER(TEXT(EDATE($D114,Milestones!$AA$30),"dd mmm yy"))&amp;" "&amp;Milestones!$AB$30&amp;" "&amp;Milestones!$AC$30&amp;";  ","")&amp;IF(AND(EDATE($D114,Milestones!$AA$31)&lt;=AsOfDate,IF($R114=0,$X114,IF(AND($T114&lt;&gt;"",EDATE($D114,Milestones!$AA$31)&gt;=$T114),$W114,IF(AND($S114&lt;&gt;"",EDATE($D114,Milestones!$AA$31)&gt;=$S114),$V114,$U114)))=Milestones!$AB$31),UPPER(TEXT(EDATE($D114,Milestones!$AA$31),"dd mmm yy"))&amp;" "&amp;Milestones!$AB$31&amp;" "&amp;Milestones!$AC$31&amp;";  ","")&amp;IF(AND(EDATE($D114,Milestones!$AA$32)&lt;=AsOfDate,IF($R114=0,$X114,IF(AND($T114&lt;&gt;"",EDATE($D114,Milestones!$AA$32)&gt;=$T114),$W114,IF(AND($S114&lt;&gt;"",EDATE($D114,Milestones!$AA$32)&gt;=$S114),$V114,$U114)))=Milestones!$AB$32),UPPER(TEXT(EDATE($D114,Milestones!$AA$32),"dd mmm yy"))&amp;" "&amp;Milestones!$AB$32&amp;" "&amp;Milestones!$AC$32&amp;";  ","")&amp;IF(AND(EDATE($D114,Milestones!$AA$33)&lt;=AsOfDate,IF($R114=0,$X114,IF(AND($T114&lt;&gt;"",EDATE($D114,Milestones!$AA$33)&gt;=$T114),$W114,IF(AND($S114&lt;&gt;"",EDATE($D114,Milestones!$AA$33)&gt;=$S114),$V114,$U114)))=Milestones!$AB$33),UPPER(TEXT(EDATE($D114,Milestones!$AA$33),"dd mmm yy"))&amp;" "&amp;Milestones!$AB$33&amp;" "&amp;Milestones!$AC$33&amp;";  ","")&amp;IF(AND(EDATE($D114,Milestones!$AA$34)&lt;=AsOfDate,IF($R114=0,$X114,IF(AND($T114&lt;&gt;"",EDATE($D114,Milestones!$AA$34)&gt;=$T114),$W114,IF(AND($S114&lt;&gt;"",EDATE($D114,Milestones!$AA$34)&gt;=$S114),$V114,$U114)))=Milestones!$AB$34),UPPER(TEXT(EDATE($D114,Milestones!$AA$34),"dd mmm yy"))&amp;" "&amp;Milestones!$AB$34&amp;" "&amp;Milestones!$AC$34&amp;";  ","")&amp;IF(AND(EDATE($D114,Milestones!$AA$35)&lt;=AsOfDate,IF($R114=0,$X114,IF(AND($T114&lt;&gt;"",EDATE($D114,Milestones!$AA$35)&gt;=$T114),$W114,IF(AND($S114&lt;&gt;"",EDATE($D114,Milestones!$AA$35)&gt;=$S114),$V114,$U114)))=Milestones!$AB$35),UPPER(TEXT(EDATE($D114,Milestones!$AA$35),"dd mmm yy"))&amp;" "&amp;Milestones!$AB$35&amp;" "&amp;Milestones!$AC$35&amp;";  ","")&amp;IF(AND(EDATE($D114,Milestones!$AA$36)&lt;=AsOfDate,IF($R114=0,$X114,IF(AND($T114&lt;&gt;"",EDATE($D114,Milestones!$AA$36)&gt;=$T114),$W114,IF(AND($S114&lt;&gt;"",EDATE($D114,Milestones!$AA$36)&gt;=$S114),$V114,$U114)))=Milestones!$AB$36),UPPER(TEXT(EDATE($D114,Milestones!$AA$36),"dd mmm yy"))&amp;" "&amp;Milestones!$AB$36&amp;" "&amp;Milestones!$AC$36&amp;";  ","")&amp;IF(AND(EDATE($D114,Milestones!$AA$37)&lt;=AsOfDate,IF($R114=0,$X114,IF(AND($T114&lt;&gt;"",EDATE($D114,Milestones!$AA$37)&gt;=$T114),$W114,IF(AND($S114&lt;&gt;"",EDATE($D114,Milestones!$AA$37)&gt;=$S114),$V114,$U114)))=Milestones!$AB$37),UPPER(TEXT(EDATE($D114,Milestones!$AA$37),"dd mmm yy"))&amp;" "&amp;Milestones!$AB$37&amp;" "&amp;Milestones!$AC$37&amp;";  ","")&amp;IF(AND(EDATE($D114,Milestones!$AA$38)&lt;=AsOfDate,IF($R114=0,$X114,IF(AND($T114&lt;&gt;"",EDATE($D114,Milestones!$AA$38)&gt;=$T114),$W114,IF(AND($S114&lt;&gt;"",EDATE($D114,Milestones!$AA$38)&gt;=$S114),$V114,$U114)))=Milestones!$AB$38),UPPER(TEXT(EDATE($D114,Milestones!$AA$38),"dd mmm yy"))&amp;" "&amp;Milestones!$AB$38&amp;" "&amp;Milestones!$AC$38&amp;";  ","")&amp;IF(AND(EDATE($D114,Milestones!$AA$39)&lt;=AsOfDate,IF($R114=0,$X114,IF(AND($T114&lt;&gt;"",EDATE($D114,Milestones!$AA$39)&gt;=$T114),$W114,IF(AND($S114&lt;&gt;"",EDATE($D114,Milestones!$AA$39)&gt;=$S114),$V114,$U114)))=Milestones!$AB$39),UPPER(TEXT(EDATE($D114,Milestones!$AA$39),"dd mmm yy"))&amp;" "&amp;Milestones!$AB$39&amp;" "&amp;Milestones!$AC$39&amp;";  ",""))</f>
        <v/>
      </c>
      <c r="J114" s="0" t="str">
        <f aca="false">IF(OR($A114="",$D114=""),"",IF(AND(EDATE($D114,Milestones!$AA$40)&lt;=AsOfDate,IF($R114=0,$X114,IF(AND($T114&lt;&gt;"",EDATE($D114,Milestones!$AA$40)&gt;=$T114),$W114,IF(AND($S114&lt;&gt;"",EDATE($D114,Milestones!$AA$40)&gt;=$S114),$V114,$U114)))=Milestones!$AB$40),UPPER(TEXT(EDATE($D114,Milestones!$AA$40),"dd mmm yy"))&amp;" "&amp;Milestones!$AB$40&amp;" "&amp;Milestones!$AC$40&amp;";  ","")&amp;IF(AND(EDATE($D114,Milestones!$AA$41)&lt;=AsOfDate,IF($R114=0,$X114,IF(AND($T114&lt;&gt;"",EDATE($D114,Milestones!$AA$41)&gt;=$T114),$W114,IF(AND($S114&lt;&gt;"",EDATE($D114,Milestones!$AA$41)&gt;=$S114),$V114,$U114)))=Milestones!$AB$41),UPPER(TEXT(EDATE($D114,Milestones!$AA$41),"dd mmm yy"))&amp;" "&amp;Milestones!$AB$41&amp;" "&amp;Milestones!$AC$41&amp;";  ","")&amp;IF(AND(EDATE($D114,Milestones!$AA$42)&lt;=AsOfDate,IF($R114=0,$X114,IF(AND($T114&lt;&gt;"",EDATE($D114,Milestones!$AA$42)&gt;=$T114),$W114,IF(AND($S114&lt;&gt;"",EDATE($D114,Milestones!$AA$42)&gt;=$S114),$V114,$U114)))=Milestones!$AB$42),UPPER(TEXT(EDATE($D114,Milestones!$AA$42),"dd mmm yy"))&amp;" "&amp;Milestones!$AB$42&amp;" "&amp;Milestones!$AC$42&amp;";  ","")&amp;IF(AND(EDATE($D114,Milestones!$AA$43)&lt;=AsOfDate,IF($R114=0,$X114,IF(AND($T114&lt;&gt;"",EDATE($D114,Milestones!$AA$43)&gt;=$T114),$W114,IF(AND($S114&lt;&gt;"",EDATE($D114,Milestones!$AA$43)&gt;=$S114),$V114,$U114)))=Milestones!$AB$43),UPPER(TEXT(EDATE($D114,Milestones!$AA$43),"dd mmm yy"))&amp;" "&amp;Milestones!$AB$43&amp;" "&amp;Milestones!$AC$43&amp;";  ","")&amp;IF(AND(EDATE($D114,Milestones!$AA$44)&lt;=AsOfDate,IF($R114=0,$X114,IF(AND($T114&lt;&gt;"",EDATE($D114,Milestones!$AA$44)&gt;=$T114),$W114,IF(AND($S114&lt;&gt;"",EDATE($D114,Milestones!$AA$44)&gt;=$S114),$V114,$U114)))=Milestones!$AB$44),UPPER(TEXT(EDATE($D114,Milestones!$AA$44),"dd mmm yy"))&amp;" "&amp;Milestones!$AB$44&amp;" "&amp;Milestones!$AC$44&amp;";  ","")&amp;IF(AND(EDATE($D114,Milestones!$AA$45)&lt;=AsOfDate,IF($R114=0,$X114,IF(AND($T114&lt;&gt;"",EDATE($D114,Milestones!$AA$45)&gt;=$T114),$W114,IF(AND($S114&lt;&gt;"",EDATE($D114,Milestones!$AA$45)&gt;=$S114),$V114,$U114)))=Milestones!$AB$45),UPPER(TEXT(EDATE($D114,Milestones!$AA$45),"dd mmm yy"))&amp;" "&amp;Milestones!$AB$45&amp;" "&amp;Milestones!$AC$45&amp;";  ","")&amp;IF(AND(EDATE($D114,Milestones!$AA$46)&lt;=AsOfDate,IF($R114=0,$X114,IF(AND($T114&lt;&gt;"",EDATE($D114,Milestones!$AA$46)&gt;=$T114),$W114,IF(AND($S114&lt;&gt;"",EDATE($D114,Milestones!$AA$46)&gt;=$S114),$V114,$U114)))=Milestones!$AB$46),UPPER(TEXT(EDATE($D114,Milestones!$AA$46),"dd mmm yy"))&amp;" "&amp;Milestones!$AB$46&amp;" "&amp;Milestones!$AC$46&amp;";  ","")&amp;IF(AND(EDATE($D114,Milestones!$AA$47)&lt;=AsOfDate,IF($R114=0,$X114,IF(AND($T114&lt;&gt;"",EDATE($D114,Milestones!$AA$47)&gt;=$T114),$W114,IF(AND($S114&lt;&gt;"",EDATE($D114,Milestones!$AA$47)&gt;=$S114),$V114,$U114)))=Milestones!$AB$47),UPPER(TEXT(EDATE($D114,Milestones!$AA$47),"dd mmm yy"))&amp;" "&amp;Milestones!$AB$47&amp;" "&amp;Milestones!$AC$47&amp;";  ","")&amp;IF(AND(EDATE($D114,Milestones!$AA$48)&lt;=AsOfDate,IF($R114=0,$X114,IF(AND($T114&lt;&gt;"",EDATE($D114,Milestones!$AA$48)&gt;=$T114),$W114,IF(AND($S114&lt;&gt;"",EDATE($D114,Milestones!$AA$48)&gt;=$S114),$V114,$U114)))=Milestones!$AB$48),UPPER(TEXT(EDATE($D114,Milestones!$AA$48),"dd mmm yy"))&amp;" "&amp;Milestones!$AB$48&amp;" "&amp;Milestones!$AC$48&amp;";  ","")&amp;IF(AND(EDATE($D114,Milestones!$AA$49)&lt;=AsOfDate,IF($R114=0,$X114,IF(AND($T114&lt;&gt;"",EDATE($D114,Milestones!$AA$49)&gt;=$T114),$W114,IF(AND($S114&lt;&gt;"",EDATE($D114,Milestones!$AA$49)&gt;=$S114),$V114,$U114)))=Milestones!$AB$49),UPPER(TEXT(EDATE($D114,Milestones!$AA$49),"dd mmm yy"))&amp;" "&amp;Milestones!$AB$49&amp;" "&amp;Milestones!$AC$49&amp;";  ","")&amp;IF(AND(EDATE($D114,Milestones!$AA$50)&lt;=AsOfDate,IF($R114=0,$X114,IF(AND($T114&lt;&gt;"",EDATE($D114,Milestones!$AA$50)&gt;=$T114),$W114,IF(AND($S114&lt;&gt;"",EDATE($D114,Milestones!$AA$50)&gt;=$S114),$V114,$U114)))=Milestones!$AB$50),UPPER(TEXT(EDATE($D114,Milestones!$AA$50),"dd mmm yy"))&amp;" "&amp;Milestones!$AB$50&amp;" "&amp;Milestones!$AC$50&amp;";  ","")&amp;IF(AND(EDATE($D114,Milestones!$AA$51)&lt;=AsOfDate,IF($R114=0,$X114,IF(AND($T114&lt;&gt;"",EDATE($D114,Milestones!$AA$51)&gt;=$T114),$W114,IF(AND($S114&lt;&gt;"",EDATE($D114,Milestones!$AA$51)&gt;=$S114),$V114,$U114)))=Milestones!$AB$51),UPPER(TEXT(EDATE($D114,Milestones!$AA$51),"dd mmm yy"))&amp;" "&amp;Milestones!$AB$51&amp;" "&amp;Milestones!$AC$51&amp;";  ","")&amp;IF(AND(EDATE($D114,Milestones!$AA$52)&lt;=AsOfDate,IF($R114=0,$X114,IF(AND($T114&lt;&gt;"",EDATE($D114,Milestones!$AA$52)&gt;=$T114),$W114,IF(AND($S114&lt;&gt;"",EDATE($D114,Milestones!$AA$52)&gt;=$S114),$V114,$U114)))=Milestones!$AB$52),UPPER(TEXT(EDATE($D114,Milestones!$AA$52),"dd mmm yy"))&amp;" "&amp;Milestones!$AB$52&amp;" "&amp;Milestones!$AC$52&amp;";  ","")&amp;IF(AND(EDATE($D114,Milestones!$AA$53)&lt;=AsOfDate,IF($R114=0,$X114,IF(AND($T114&lt;&gt;"",EDATE($D114,Milestones!$AA$53)&gt;=$T114),$W114,IF(AND($S114&lt;&gt;"",EDATE($D114,Milestones!$AA$53)&gt;=$S114),$V114,$U114)))=Milestones!$AB$53),UPPER(TEXT(EDATE($D114,Milestones!$AA$53),"dd mmm yy"))&amp;" "&amp;Milestones!$AB$53&amp;" "&amp;Milestones!$AC$53&amp;";  ","")&amp;IF(AND(EDATE($D114,Milestones!$AA$54)&lt;=AsOfDate,IF($R114=0,$X114,IF(AND($T114&lt;&gt;"",EDATE($D114,Milestones!$AA$54)&gt;=$T114),$W114,IF(AND($S114&lt;&gt;"",EDATE($D114,Milestones!$AA$54)&gt;=$S114),$V114,$U114)))=Milestones!$AB$54),UPPER(TEXT(EDATE($D114,Milestones!$AA$54),"dd mmm yy"))&amp;" "&amp;Milestones!$AB$54&amp;" "&amp;Milestones!$AC$54&amp;";  ","")&amp;IF(AND(EDATE($D114,Milestones!$AA$55)&lt;=AsOfDate,IF($R114=0,$X114,IF(AND($T114&lt;&gt;"",EDATE($D114,Milestones!$AA$55)&gt;=$T114),$W114,IF(AND($S114&lt;&gt;"",EDATE($D114,Milestones!$AA$55)&gt;=$S114),$V114,$U114)))=Milestones!$AB$55),UPPER(TEXT(EDATE($D114,Milestones!$AA$55),"dd mmm yy"))&amp;" "&amp;Milestones!$AB$55&amp;" "&amp;Milestones!$AC$55&amp;";  ","")&amp;IF(AND(EDATE($D114,Milestones!$AA$56)&lt;=AsOfDate,IF($R114=0,$X114,IF(AND($T114&lt;&gt;"",EDATE($D114,Milestones!$AA$56)&gt;=$T114),$W114,IF(AND($S114&lt;&gt;"",EDATE($D114,Milestones!$AA$56)&gt;=$S114),$V114,$U114)))=Milestones!$AB$56),UPPER(TEXT(EDATE($D114,Milestones!$AA$56),"dd mmm yy"))&amp;" "&amp;Milestones!$AB$56&amp;" "&amp;Milestones!$AC$56&amp;";  ","")&amp;IF(AND(EDATE($D114,Milestones!$AA$57)&lt;=AsOfDate,IF($R114=0,$X114,IF(AND($T114&lt;&gt;"",EDATE($D114,Milestones!$AA$57)&gt;=$T114),$W114,IF(AND($S114&lt;&gt;"",EDATE($D114,Milestones!$AA$57)&gt;=$S114),$V114,$U114)))=Milestones!$AB$57),UPPER(TEXT(EDATE($D114,Milestones!$AA$57),"dd mmm yy"))&amp;" "&amp;Milestones!$AB$57&amp;" "&amp;Milestones!$AC$57&amp;";  ","")&amp;IF(AND(EDATE($D114,Milestones!$AA$58)&lt;=AsOfDate,IF($R114=0,$X114,IF(AND($T114&lt;&gt;"",EDATE($D114,Milestones!$AA$58)&gt;=$T114),$W114,IF(AND($S114&lt;&gt;"",EDATE($D114,Milestones!$AA$58)&gt;=$S114),$V114,$U114)))=Milestones!$AB$58),UPPER(TEXT(EDATE($D114,Milestones!$AA$58),"dd mmm yy"))&amp;" "&amp;Milestones!$AB$58&amp;" "&amp;Milestones!$AC$58&amp;";  ","")&amp;IF(AND(EDATE($D114,Milestones!$AA$59)&lt;=AsOfDate,IF($R114=0,$X114,IF(AND($T114&lt;&gt;"",EDATE($D114,Milestones!$AA$59)&gt;=$T114),$W114,IF(AND($S114&lt;&gt;"",EDATE($D114,Milestones!$AA$59)&gt;=$S114),$V114,$U114)))=Milestones!$AB$59),UPPER(TEXT(EDATE($D114,Milestones!$AA$59),"dd mmm yy"))&amp;" "&amp;Milestones!$AB$59&amp;" "&amp;Milestones!$AC$59&amp;";  ",""))</f>
        <v/>
      </c>
      <c r="K114" s="0" t="str">
        <f aca="false">IF(OR($A114="",$D114=""),"",IF(AND(EDATE($D114,Milestones!$AA$60)&lt;=AsOfDate,IF($R114=0,$X114,IF(AND($T114&lt;&gt;"",EDATE($D114,Milestones!$AA$60)&gt;=$T114),$W114,IF(AND($S114&lt;&gt;"",EDATE($D114,Milestones!$AA$60)&gt;=$S114),$V114,$U114)))=Milestones!$AB$60),UPPER(TEXT(EDATE($D114,Milestones!$AA$60),"dd mmm yy"))&amp;" "&amp;Milestones!$AB$60&amp;" "&amp;Milestones!$AC$60&amp;";  ","")&amp;IF(AND(EDATE($D114,Milestones!$AA$61)&lt;=AsOfDate,IF($R114=0,$X114,IF(AND($T114&lt;&gt;"",EDATE($D114,Milestones!$AA$61)&gt;=$T114),$W114,IF(AND($S114&lt;&gt;"",EDATE($D114,Milestones!$AA$61)&gt;=$S114),$V114,$U114)))=Milestones!$AB$61),UPPER(TEXT(EDATE($D114,Milestones!$AA$61),"dd mmm yy"))&amp;" "&amp;Milestones!$AB$61&amp;" "&amp;Milestones!$AC$61&amp;";  ","")&amp;IF(AND(EDATE($D114,Milestones!$AA$62)&lt;=AsOfDate,IF($R114=0,$X114,IF(AND($T114&lt;&gt;"",EDATE($D114,Milestones!$AA$62)&gt;=$T114),$W114,IF(AND($S114&lt;&gt;"",EDATE($D114,Milestones!$AA$62)&gt;=$S114),$V114,$U114)))=Milestones!$AB$62),UPPER(TEXT(EDATE($D114,Milestones!$AA$62),"dd mmm yy"))&amp;" "&amp;Milestones!$AB$62&amp;" "&amp;Milestones!$AC$62&amp;";  ","")&amp;IF(AND(EDATE($D114,Milestones!$AA$63)&lt;=AsOfDate,IF($R114=0,$X114,IF(AND($T114&lt;&gt;"",EDATE($D114,Milestones!$AA$63)&gt;=$T114),$W114,IF(AND($S114&lt;&gt;"",EDATE($D114,Milestones!$AA$63)&gt;=$S114),$V114,$U114)))=Milestones!$AB$63),UPPER(TEXT(EDATE($D114,Milestones!$AA$63),"dd mmm yy"))&amp;" "&amp;Milestones!$AB$63&amp;" "&amp;Milestones!$AC$63&amp;";  ","")&amp;IF(AND(EDATE($D114,Milestones!$AA$64)&lt;=AsOfDate,IF($R114=0,$X114,IF(AND($T114&lt;&gt;"",EDATE($D114,Milestones!$AA$64)&gt;=$T114),$W114,IF(AND($S114&lt;&gt;"",EDATE($D114,Milestones!$AA$64)&gt;=$S114),$V114,$U114)))=Milestones!$AB$64),UPPER(TEXT(EDATE($D114,Milestones!$AA$64),"dd mmm yy"))&amp;" "&amp;Milestones!$AB$64&amp;" "&amp;Milestones!$AC$64&amp;";  ","")&amp;IF(AND(EDATE($D114,Milestones!$AA$65)&lt;=AsOfDate,IF($R114=0,$X114,IF(AND($T114&lt;&gt;"",EDATE($D114,Milestones!$AA$65)&gt;=$T114),$W114,IF(AND($S114&lt;&gt;"",EDATE($D114,Milestones!$AA$65)&gt;=$S114),$V114,$U114)))=Milestones!$AB$65),UPPER(TEXT(EDATE($D114,Milestones!$AA$65),"dd mmm yy"))&amp;" "&amp;Milestones!$AB$65&amp;" "&amp;Milestones!$AC$65&amp;";  ","")&amp;IF(AND(EDATE($D114,Milestones!$AA$66)&lt;=AsOfDate,IF($R114=0,$X114,IF(AND($T114&lt;&gt;"",EDATE($D114,Milestones!$AA$66)&gt;=$T114),$W114,IF(AND($S114&lt;&gt;"",EDATE($D114,Milestones!$AA$66)&gt;=$S114),$V114,$U114)))=Milestones!$AB$66),UPPER(TEXT(EDATE($D114,Milestones!$AA$66),"dd mmm yy"))&amp;" "&amp;Milestones!$AB$66&amp;" "&amp;Milestones!$AC$66&amp;";  ","")&amp;IF(AND(EDATE($D114,Milestones!$AA$67)&lt;=AsOfDate,IF($R114=0,$X114,IF(AND($T114&lt;&gt;"",EDATE($D114,Milestones!$AA$67)&gt;=$T114),$W114,IF(AND($S114&lt;&gt;"",EDATE($D114,Milestones!$AA$67)&gt;=$S114),$V114,$U114)))=Milestones!$AB$67),UPPER(TEXT(EDATE($D114,Milestones!$AA$67),"dd mmm yy"))&amp;" "&amp;Milestones!$AB$67&amp;" "&amp;Milestones!$AC$67&amp;";  ","")&amp;IF(AND(EDATE($D114,Milestones!$AA$68)&lt;=AsOfDate,IF($R114=0,$X114,IF(AND($T114&lt;&gt;"",EDATE($D114,Milestones!$AA$68)&gt;=$T114),$W114,IF(AND($S114&lt;&gt;"",EDATE($D114,Milestones!$AA$68)&gt;=$S114),$V114,$U114)))=Milestones!$AB$68),UPPER(TEXT(EDATE($D114,Milestones!$AA$68),"dd mmm yy"))&amp;" "&amp;Milestones!$AB$68&amp;" "&amp;Milestones!$AC$68&amp;";  ","")&amp;IF(AND(EDATE($D114,Milestones!$AA$69)&lt;=AsOfDate,IF($R114=0,$X114,IF(AND($T114&lt;&gt;"",EDATE($D114,Milestones!$AA$69)&gt;=$T114),$W114,IF(AND($S114&lt;&gt;"",EDATE($D114,Milestones!$AA$69)&gt;=$S114),$V114,$U114)))=Milestones!$AB$69),UPPER(TEXT(EDATE($D114,Milestones!$AA$69),"dd mmm yy"))&amp;" "&amp;Milestones!$AB$69&amp;" "&amp;Milestones!$AC$69&amp;";  ","")&amp;IF(AND(EDATE($D114,Milestones!$AA$70)&lt;=AsOfDate,IF($R114=0,$X114,IF(AND($T114&lt;&gt;"",EDATE($D114,Milestones!$AA$70)&gt;=$T114),$W114,IF(AND($S114&lt;&gt;"",EDATE($D114,Milestones!$AA$70)&gt;=$S114),$V114,$U114)))=Milestones!$AB$70),UPPER(TEXT(EDATE($D114,Milestones!$AA$70),"dd mmm yy"))&amp;" "&amp;Milestones!$AB$70&amp;" "&amp;Milestones!$AC$70&amp;";  ","")&amp;IF(AND(EDATE($D114,Milestones!$AA$71)&lt;=AsOfDate,IF($R114=0,$X114,IF(AND($T114&lt;&gt;"",EDATE($D114,Milestones!$AA$71)&gt;=$T114),$W114,IF(AND($S114&lt;&gt;"",EDATE($D114,Milestones!$AA$71)&gt;=$S114),$V114,$U114)))=Milestones!$AB$71),UPPER(TEXT(EDATE($D114,Milestones!$AA$71),"dd mmm yy"))&amp;" "&amp;Milestones!$AB$71&amp;" "&amp;Milestones!$AC$71&amp;";  ","")&amp;IF(AND(EDATE($D114,Milestones!$AA$72)&lt;=AsOfDate,IF($R114=0,$X114,IF(AND($T114&lt;&gt;"",EDATE($D114,Milestones!$AA$72)&gt;=$T114),$W114,IF(AND($S114&lt;&gt;"",EDATE($D114,Milestones!$AA$72)&gt;=$S114),$V114,$U114)))=Milestones!$AB$72),UPPER(TEXT(EDATE($D114,Milestones!$AA$72),"dd mmm yy"))&amp;" "&amp;Milestones!$AB$72&amp;" "&amp;Milestones!$AC$72&amp;";  ","")&amp;IF(AND(EDATE($D114,Milestones!$AA$73)&lt;=AsOfDate,IF($R114=0,$X114,IF(AND($T114&lt;&gt;"",EDATE($D114,Milestones!$AA$73)&gt;=$T114),$W114,IF(AND($S114&lt;&gt;"",EDATE($D114,Milestones!$AA$73)&gt;=$S114),$V114,$U114)))=Milestones!$AB$73),UPPER(TEXT(EDATE($D114,Milestones!$AA$73),"dd mmm yy"))&amp;" "&amp;Milestones!$AB$73&amp;" "&amp;Milestones!$AC$73&amp;";  ","")&amp;IF(AND(EDATE($D114,Milestones!$AA$74)&lt;=AsOfDate,IF($R114=0,$X114,IF(AND($T114&lt;&gt;"",EDATE($D114,Milestones!$AA$74)&gt;=$T114),$W114,IF(AND($S114&lt;&gt;"",EDATE($D114,Milestones!$AA$74)&gt;=$S114),$V114,$U114)))=Milestones!$AB$74),UPPER(TEXT(EDATE($D114,Milestones!$AA$74),"dd mmm yy"))&amp;" "&amp;Milestones!$AB$74&amp;" "&amp;Milestones!$AC$74&amp;";  ","")&amp;IF(AND(EDATE($D114,Milestones!$AA$75)&lt;=AsOfDate,IF($R114=0,$X114,IF(AND($T114&lt;&gt;"",EDATE($D114,Milestones!$AA$75)&gt;=$T114),$W114,IF(AND($S114&lt;&gt;"",EDATE($D114,Milestones!$AA$75)&gt;=$S114),$V114,$U114)))=Milestones!$AB$75),UPPER(TEXT(EDATE($D114,Milestones!$AA$75),"dd mmm yy"))&amp;" "&amp;Milestones!$AB$75&amp;" "&amp;Milestones!$AC$75&amp;";  ","")&amp;IF(AND(EDATE($D114,Milestones!$AA$76)&lt;=AsOfDate,IF($R114=0,$X114,IF(AND($T114&lt;&gt;"",EDATE($D114,Milestones!$AA$76)&gt;=$T114),$W114,IF(AND($S114&lt;&gt;"",EDATE($D114,Milestones!$AA$76)&gt;=$S114),$V114,$U114)))=Milestones!$AB$76),UPPER(TEXT(EDATE($D114,Milestones!$AA$76),"dd mmm yy"))&amp;" "&amp;Milestones!$AB$76&amp;" "&amp;Milestones!$AC$76&amp;";  ","")&amp;IF(AND(EDATE($D114,Milestones!$AA$77)&lt;=AsOfDate,IF($R114=0,$X114,IF(AND($T114&lt;&gt;"",EDATE($D114,Milestones!$AA$77)&gt;=$T114),$W114,IF(AND($S114&lt;&gt;"",EDATE($D114,Milestones!$AA$77)&gt;=$S114),$V114,$U114)))=Milestones!$AB$77),UPPER(TEXT(EDATE($D114,Milestones!$AA$77),"dd mmm yy"))&amp;" "&amp;Milestones!$AB$77&amp;" "&amp;Milestones!$AC$77&amp;";  ","")&amp;IF(AND(EDATE($D114,Milestones!$AA$78)&lt;=AsOfDate,IF($R114=0,$X114,IF(AND($T114&lt;&gt;"",EDATE($D114,Milestones!$AA$78)&gt;=$T114),$W114,IF(AND($S114&lt;&gt;"",EDATE($D114,Milestones!$AA$78)&gt;=$S114),$V114,$U114)))=Milestones!$AB$78),UPPER(TEXT(EDATE($D114,Milestones!$AA$78),"dd mmm yy"))&amp;" "&amp;Milestones!$AB$78&amp;" "&amp;Milestones!$AC$78&amp;";  ","")&amp;IF(AND(EDATE($D114,Milestones!$AA$79)&lt;=AsOfDate,IF($R114=0,$X114,IF(AND($T114&lt;&gt;"",EDATE($D114,Milestones!$AA$79)&gt;=$T114),$W114,IF(AND($S114&lt;&gt;"",EDATE($D114,Milestones!$AA$79)&gt;=$S114),$V114,$U114)))=Milestones!$AB$79),UPPER(TEXT(EDATE($D114,Milestones!$AA$79),"dd mmm yy"))&amp;" "&amp;Milestones!$AB$79&amp;" "&amp;Milestones!$AC$79&amp;";  ",""))</f>
        <v/>
      </c>
      <c r="L114" s="0" t="str">
        <f aca="false">IF(OR($A114="",$D114=""),"",IF(AND(EDATE($D114,Milestones!$AA$80)&lt;=AsOfDate,IF($R114=0,$X114,IF(AND($T114&lt;&gt;"",EDATE($D114,Milestones!$AA$80)&gt;=$T114),$W114,IF(AND($S114&lt;&gt;"",EDATE($D114,Milestones!$AA$80)&gt;=$S114),$V114,$U114)))=Milestones!$AB$80),UPPER(TEXT(EDATE($D114,Milestones!$AA$80),"dd mmm yy"))&amp;" "&amp;Milestones!$AB$80&amp;" "&amp;Milestones!$AC$80&amp;";  ","")&amp;IF(AND(EDATE($D114,Milestones!$AA$81)&lt;=AsOfDate,IF($R114=0,$X114,IF(AND($T114&lt;&gt;"",EDATE($D114,Milestones!$AA$81)&gt;=$T114),$W114,IF(AND($S114&lt;&gt;"",EDATE($D114,Milestones!$AA$81)&gt;=$S114),$V114,$U114)))=Milestones!$AB$81),UPPER(TEXT(EDATE($D114,Milestones!$AA$81),"dd mmm yy"))&amp;" "&amp;Milestones!$AB$81&amp;" "&amp;Milestones!$AC$81&amp;";  ","")&amp;IF(AND(EDATE($D114,Milestones!$AA$82)&lt;=AsOfDate,IF($R114=0,$X114,IF(AND($T114&lt;&gt;"",EDATE($D114,Milestones!$AA$82)&gt;=$T114),$W114,IF(AND($S114&lt;&gt;"",EDATE($D114,Milestones!$AA$82)&gt;=$S114),$V114,$U114)))=Milestones!$AB$82),UPPER(TEXT(EDATE($D114,Milestones!$AA$82),"dd mmm yy"))&amp;" "&amp;Milestones!$AB$82&amp;" "&amp;Milestones!$AC$82&amp;";  ","")&amp;IF(AND(EDATE($D114,Milestones!$AA$83)&lt;=AsOfDate,IF($R114=0,$X114,IF(AND($T114&lt;&gt;"",EDATE($D114,Milestones!$AA$83)&gt;=$T114),$W114,IF(AND($S114&lt;&gt;"",EDATE($D114,Milestones!$AA$83)&gt;=$S114),$V114,$U114)))=Milestones!$AB$83),UPPER(TEXT(EDATE($D114,Milestones!$AA$83),"dd mmm yy"))&amp;" "&amp;Milestones!$AB$83&amp;" "&amp;Milestones!$AC$83&amp;";  ","")&amp;IF(AND(EDATE($D114,Milestones!$AA$84)&lt;=AsOfDate,IF($R114=0,$X114,IF(AND($T114&lt;&gt;"",EDATE($D114,Milestones!$AA$84)&gt;=$T114),$W114,IF(AND($S114&lt;&gt;"",EDATE($D114,Milestones!$AA$84)&gt;=$S114),$V114,$U114)))=Milestones!$AB$84),UPPER(TEXT(EDATE($D114,Milestones!$AA$84),"dd mmm yy"))&amp;" "&amp;Milestones!$AB$84&amp;" "&amp;Milestones!$AC$84&amp;";  ","")&amp;IF(AND(EDATE($D114,Milestones!$AA$85)&lt;=AsOfDate,IF($R114=0,$X114,IF(AND($T114&lt;&gt;"",EDATE($D114,Milestones!$AA$85)&gt;=$T114),$W114,IF(AND($S114&lt;&gt;"",EDATE($D114,Milestones!$AA$85)&gt;=$S114),$V114,$U114)))=Milestones!$AB$85),UPPER(TEXT(EDATE($D114,Milestones!$AA$85),"dd mmm yy"))&amp;" "&amp;Milestones!$AB$85&amp;" "&amp;Milestones!$AC$85&amp;";  ","")&amp;IF(AND(EDATE($D114,Milestones!$AA$86)&lt;=AsOfDate,IF($R114=0,$X114,IF(AND($T114&lt;&gt;"",EDATE($D114,Milestones!$AA$86)&gt;=$T114),$W114,IF(AND($S114&lt;&gt;"",EDATE($D114,Milestones!$AA$86)&gt;=$S114),$V114,$U114)))=Milestones!$AB$86),UPPER(TEXT(EDATE($D114,Milestones!$AA$86),"dd mmm yy"))&amp;" "&amp;Milestones!$AB$86&amp;" "&amp;Milestones!$AC$86&amp;";  ","")&amp;IF(AND(EDATE($D114,Milestones!$AA$87)&lt;=AsOfDate,IF($R114=0,$X114,IF(AND($T114&lt;&gt;"",EDATE($D114,Milestones!$AA$87)&gt;=$T114),$W114,IF(AND($S114&lt;&gt;"",EDATE($D114,Milestones!$AA$87)&gt;=$S114),$V114,$U114)))=Milestones!$AB$87),UPPER(TEXT(EDATE($D114,Milestones!$AA$87),"dd mmm yy"))&amp;" "&amp;Milestones!$AB$87&amp;" "&amp;Milestones!$AC$87&amp;";  ","")&amp;IF(AND(EDATE($D114,Milestones!$AA$88)&lt;=AsOfDate,IF($R114=0,$X114,IF(AND($T114&lt;&gt;"",EDATE($D114,Milestones!$AA$88)&gt;=$T114),$W114,IF(AND($S114&lt;&gt;"",EDATE($D114,Milestones!$AA$88)&gt;=$S114),$V114,$U114)))=Milestones!$AB$88),UPPER(TEXT(EDATE($D114,Milestones!$AA$88),"dd mmm yy"))&amp;" "&amp;Milestones!$AB$88&amp;" "&amp;Milestones!$AC$88&amp;";  ","")&amp;IF(AND(EDATE($D114,Milestones!$AA$89)&lt;=AsOfDate,IF($R114=0,$X114,IF(AND($T114&lt;&gt;"",EDATE($D114,Milestones!$AA$89)&gt;=$T114),$W114,IF(AND($S114&lt;&gt;"",EDATE($D114,Milestones!$AA$89)&gt;=$S114),$V114,$U114)))=Milestones!$AB$89),UPPER(TEXT(EDATE($D114,Milestones!$AA$89),"dd mmm yy"))&amp;" "&amp;Milestones!$AB$89&amp;" "&amp;Milestones!$AC$89&amp;";  ","")&amp;IF(AND(EDATE($D114,Milestones!$AA$90)&lt;=AsOfDate,IF($R114=0,$X114,IF(AND($T114&lt;&gt;"",EDATE($D114,Milestones!$AA$90)&gt;=$T114),$W114,IF(AND($S114&lt;&gt;"",EDATE($D114,Milestones!$AA$90)&gt;=$S114),$V114,$U114)))=Milestones!$AB$90),UPPER(TEXT(EDATE($D114,Milestones!$AA$90),"dd mmm yy"))&amp;" "&amp;Milestones!$AB$90&amp;" "&amp;Milestones!$AC$90&amp;";  ","")&amp;IF(AND(EDATE($D114,Milestones!$AA$91)&lt;=AsOfDate,IF($R114=0,$X114,IF(AND($T114&lt;&gt;"",EDATE($D114,Milestones!$AA$91)&gt;=$T114),$W114,IF(AND($S114&lt;&gt;"",EDATE($D114,Milestones!$AA$91)&gt;=$S114),$V114,$U114)))=Milestones!$AB$91),UPPER(TEXT(EDATE($D114,Milestones!$AA$91),"dd mmm yy"))&amp;" "&amp;Milestones!$AB$91&amp;" "&amp;Milestones!$AC$91&amp;";  ","")&amp;IF(AND(EDATE($D114,Milestones!$AA$92)&lt;=AsOfDate,IF($R114=0,$X114,IF(AND($T114&lt;&gt;"",EDATE($D114,Milestones!$AA$92)&gt;=$T114),$W114,IF(AND($S114&lt;&gt;"",EDATE($D114,Milestones!$AA$92)&gt;=$S114),$V114,$U114)))=Milestones!$AB$92),UPPER(TEXT(EDATE($D114,Milestones!$AA$92),"dd mmm yy"))&amp;" "&amp;Milestones!$AB$92&amp;" "&amp;Milestones!$AC$92&amp;";  ","")&amp;IF(AND(EDATE($D114,Milestones!$AA$93)&lt;=AsOfDate,IF($R114=0,$X114,IF(AND($T114&lt;&gt;"",EDATE($D114,Milestones!$AA$93)&gt;=$T114),$W114,IF(AND($S114&lt;&gt;"",EDATE($D114,Milestones!$AA$93)&gt;=$S114),$V114,$U114)))=Milestones!$AB$93),UPPER(TEXT(EDATE($D114,Milestones!$AA$93),"dd mmm yy"))&amp;" "&amp;Milestones!$AB$93&amp;" "&amp;Milestones!$AC$93&amp;";  ","")&amp;IF(AND(EDATE($D114,Milestones!$AA$94)&lt;=AsOfDate,IF($R114=0,$X114,IF(AND($T114&lt;&gt;"",EDATE($D114,Milestones!$AA$94)&gt;=$T114),$W114,IF(AND($S114&lt;&gt;"",EDATE($D114,Milestones!$AA$94)&gt;=$S114),$V114,$U114)))=Milestones!$AB$94),UPPER(TEXT(EDATE($D114,Milestones!$AA$94),"dd mmm yy"))&amp;" "&amp;Milestones!$AB$94&amp;" "&amp;Milestones!$AC$94&amp;";  ","")&amp;IF(AND(EDATE($D114,Milestones!$AA$95)&lt;=AsOfDate,IF($R114=0,$X114,IF(AND($T114&lt;&gt;"",EDATE($D114,Milestones!$AA$95)&gt;=$T114),$W114,IF(AND($S114&lt;&gt;"",EDATE($D114,Milestones!$AA$95)&gt;=$S114),$V114,$U114)))=Milestones!$AB$95),UPPER(TEXT(EDATE($D114,Milestones!$AA$95),"dd mmm yy"))&amp;" "&amp;Milestones!$AB$95&amp;" "&amp;Milestones!$AC$95&amp;";  ","")&amp;IF(AND(EDATE($D114,Milestones!$AA$96)&lt;=AsOfDate,IF($R114=0,$X114,IF(AND($T114&lt;&gt;"",EDATE($D114,Milestones!$AA$96)&gt;=$T114),$W114,IF(AND($S114&lt;&gt;"",EDATE($D114,Milestones!$AA$96)&gt;=$S114),$V114,$U114)))=Milestones!$AB$96),UPPER(TEXT(EDATE($D114,Milestones!$AA$96),"dd mmm yy"))&amp;" "&amp;Milestones!$AB$96&amp;" "&amp;Milestones!$AC$96&amp;";  ","")&amp;IF(AND(EDATE($D114,Milestones!$AA$97)&lt;=AsOfDate,IF($R114=0,$X114,IF(AND($T114&lt;&gt;"",EDATE($D114,Milestones!$AA$97)&gt;=$T114),$W114,IF(AND($S114&lt;&gt;"",EDATE($D114,Milestones!$AA$97)&gt;=$S114),$V114,$U114)))=Milestones!$AB$97),UPPER(TEXT(EDATE($D114,Milestones!$AA$97),"dd mmm yy"))&amp;" "&amp;Milestones!$AB$97&amp;" "&amp;Milestones!$AC$97&amp;";  ","")&amp;IF(AND(EDATE($D114,Milestones!$AA$98)&lt;=AsOfDate,IF($R114=0,$X114,IF(AND($T114&lt;&gt;"",EDATE($D114,Milestones!$AA$98)&gt;=$T114),$W114,IF(AND($S114&lt;&gt;"",EDATE($D114,Milestones!$AA$98)&gt;=$S114),$V114,$U114)))=Milestones!$AB$98),UPPER(TEXT(EDATE($D114,Milestones!$AA$98),"dd mmm yy"))&amp;" "&amp;Milestones!$AB$98&amp;" "&amp;Milestones!$AC$98&amp;";  ","")&amp;IF(AND(EDATE($D114,Milestones!$AA$99)&lt;=AsOfDate,IF($R114=0,$X114,IF(AND($T114&lt;&gt;"",EDATE($D114,Milestones!$AA$99)&gt;=$T114),$W114,IF(AND($S114&lt;&gt;"",EDATE($D114,Milestones!$AA$99)&gt;=$S114),$V114,$U114)))=Milestones!$AB$99),UPPER(TEXT(EDATE($D114,Milestones!$AA$99),"dd mmm yy"))&amp;" "&amp;Milestones!$AB$99&amp;" "&amp;Milestones!$AC$99&amp;";  ",""))</f>
        <v/>
      </c>
      <c r="M114" s="0" t="str">
        <f aca="false">IF(OR($A114="",$D114=""),"",IF(AND(EDATE($D114,Milestones!$AA$100)&lt;=AsOfDate,IF($R114=0,$X114,IF(AND($T114&lt;&gt;"",EDATE($D114,Milestones!$AA$100)&gt;=$T114),$W114,IF(AND($S114&lt;&gt;"",EDATE($D114,Milestones!$AA$100)&gt;=$S114),$V114,$U114)))=Milestones!$AB$100),UPPER(TEXT(EDATE($D114,Milestones!$AA$100),"dd mmm yy"))&amp;" "&amp;Milestones!$AB$100&amp;" "&amp;Milestones!$AC$100&amp;";  ","")&amp;IF(AND(EDATE($D114,Milestones!$AA$101)&lt;=AsOfDate,IF($R114=0,$X114,IF(AND($T114&lt;&gt;"",EDATE($D114,Milestones!$AA$101)&gt;=$T114),$W114,IF(AND($S114&lt;&gt;"",EDATE($D114,Milestones!$AA$101)&gt;=$S114),$V114,$U114)))=Milestones!$AB$101),UPPER(TEXT(EDATE($D114,Milestones!$AA$101),"dd mmm yy"))&amp;" "&amp;Milestones!$AB$101&amp;" "&amp;Milestones!$AC$101&amp;";  ","")&amp;IF(AND(EDATE($D114,Milestones!$AA$102)&lt;=AsOfDate,IF($R114=0,$X114,IF(AND($T114&lt;&gt;"",EDATE($D114,Milestones!$AA$102)&gt;=$T114),$W114,IF(AND($S114&lt;&gt;"",EDATE($D114,Milestones!$AA$102)&gt;=$S114),$V114,$U114)))=Milestones!$AB$102),UPPER(TEXT(EDATE($D114,Milestones!$AA$102),"dd mmm yy"))&amp;" "&amp;Milestones!$AB$102&amp;" "&amp;Milestones!$AC$102&amp;";  ","")&amp;IF(AND(EDATE($D114,Milestones!$AA$103)&lt;=AsOfDate,IF($R114=0,$X114,IF(AND($T114&lt;&gt;"",EDATE($D114,Milestones!$AA$103)&gt;=$T114),$W114,IF(AND($S114&lt;&gt;"",EDATE($D114,Milestones!$AA$103)&gt;=$S114),$V114,$U114)))=Milestones!$AB$103),UPPER(TEXT(EDATE($D114,Milestones!$AA$103),"dd mmm yy"))&amp;" "&amp;Milestones!$AB$103&amp;" "&amp;Milestones!$AC$103&amp;";  ","")&amp;IF(AND(EDATE($D114,Milestones!$AA$104)&lt;=AsOfDate,IF($R114=0,$X114,IF(AND($T114&lt;&gt;"",EDATE($D114,Milestones!$AA$104)&gt;=$T114),$W114,IF(AND($S114&lt;&gt;"",EDATE($D114,Milestones!$AA$104)&gt;=$S114),$V114,$U114)))=Milestones!$AB$104),UPPER(TEXT(EDATE($D114,Milestones!$AA$104),"dd mmm yy"))&amp;" "&amp;Milestones!$AB$104&amp;" "&amp;Milestones!$AC$104&amp;";  ","")&amp;IF(AND(EDATE($D114,Milestones!$AA$105)&lt;=AsOfDate,IF($R114=0,$X114,IF(AND($T114&lt;&gt;"",EDATE($D114,Milestones!$AA$105)&gt;=$T114),$W114,IF(AND($S114&lt;&gt;"",EDATE($D114,Milestones!$AA$105)&gt;=$S114),$V114,$U114)))=Milestones!$AB$105),UPPER(TEXT(EDATE($D114,Milestones!$AA$105),"dd mmm yy"))&amp;" "&amp;Milestones!$AB$105&amp;" "&amp;Milestones!$AC$105&amp;";  ","")&amp;IF(AND(EDATE($D114,Milestones!$AA$106)&lt;=AsOfDate,IF($R114=0,$X114,IF(AND($T114&lt;&gt;"",EDATE($D114,Milestones!$AA$106)&gt;=$T114),$W114,IF(AND($S114&lt;&gt;"",EDATE($D114,Milestones!$AA$106)&gt;=$S114),$V114,$U114)))=Milestones!$AB$106),UPPER(TEXT(EDATE($D114,Milestones!$AA$106),"dd mmm yy"))&amp;" "&amp;Milestones!$AB$106&amp;" "&amp;Milestones!$AC$106&amp;";  ","")&amp;IF(AND(EDATE($D114,Milestones!$AA$107)&lt;=AsOfDate,IF($R114=0,$X114,IF(AND($T114&lt;&gt;"",EDATE($D114,Milestones!$AA$107)&gt;=$T114),$W114,IF(AND($S114&lt;&gt;"",EDATE($D114,Milestones!$AA$107)&gt;=$S114),$V114,$U114)))=Milestones!$AB$107),UPPER(TEXT(EDATE($D114,Milestones!$AA$107),"dd mmm yy"))&amp;" "&amp;Milestones!$AB$107&amp;" "&amp;Milestones!$AC$107&amp;";  ","")&amp;IF(AND(EDATE($D114,Milestones!$AA$108)&lt;=AsOfDate,IF($R114=0,$X114,IF(AND($T114&lt;&gt;"",EDATE($D114,Milestones!$AA$108)&gt;=$T114),$W114,IF(AND($S114&lt;&gt;"",EDATE($D114,Milestones!$AA$108)&gt;=$S114),$V114,$U114)))=Milestones!$AB$108),UPPER(TEXT(EDATE($D114,Milestones!$AA$108),"dd mmm yy"))&amp;" "&amp;Milestones!$AB$108&amp;" "&amp;Milestones!$AC$108&amp;";  ","")&amp;IF(AND(EDATE($D114,Milestones!$AA$109)&lt;=AsOfDate,IF($R114=0,$X114,IF(AND($T114&lt;&gt;"",EDATE($D114,Milestones!$AA$109)&gt;=$T114),$W114,IF(AND($S114&lt;&gt;"",EDATE($D114,Milestones!$AA$109)&gt;=$S114),$V114,$U114)))=Milestones!$AB$109),UPPER(TEXT(EDATE($D114,Milestones!$AA$109),"dd mmm yy"))&amp;" "&amp;Milestones!$AB$109&amp;" "&amp;Milestones!$AC$109&amp;";  ","")&amp;IF(AND(EDATE($D114,Milestones!$AA$110)&lt;=AsOfDate,IF($R114=0,$X114,IF(AND($T114&lt;&gt;"",EDATE($D114,Milestones!$AA$110)&gt;=$T114),$W114,IF(AND($S114&lt;&gt;"",EDATE($D114,Milestones!$AA$110)&gt;=$S114),$V114,$U114)))=Milestones!$AB$110),UPPER(TEXT(EDATE($D114,Milestones!$AA$110),"dd mmm yy"))&amp;" "&amp;Milestones!$AB$110&amp;" "&amp;Milestones!$AC$110&amp;";  ","")&amp;IF(AND(EDATE($D114,Milestones!$AA$111)&lt;=AsOfDate,IF($R114=0,$X114,IF(AND($T114&lt;&gt;"",EDATE($D114,Milestones!$AA$111)&gt;=$T114),$W114,IF(AND($S114&lt;&gt;"",EDATE($D114,Milestones!$AA$111)&gt;=$S114),$V114,$U114)))=Milestones!$AB$111),UPPER(TEXT(EDATE($D114,Milestones!$AA$111),"dd mmm yy"))&amp;" "&amp;Milestones!$AB$111&amp;" "&amp;Milestones!$AC$111&amp;";  ","")&amp;IF(AND(EDATE($D114,Milestones!$AA$112)&lt;=AsOfDate,IF($R114=0,$X114,IF(AND($T114&lt;&gt;"",EDATE($D114,Milestones!$AA$112)&gt;=$T114),$W114,IF(AND($S114&lt;&gt;"",EDATE($D114,Milestones!$AA$112)&gt;=$S114),$V114,$U114)))=Milestones!$AB$112),UPPER(TEXT(EDATE($D114,Milestones!$AA$112),"dd mmm yy"))&amp;" "&amp;Milestones!$AB$112&amp;" "&amp;Milestones!$AC$112&amp;";  ","")&amp;IF(AND(EDATE($D114,Milestones!$AA$113)&lt;=AsOfDate,IF($R114=0,$X114,IF(AND($T114&lt;&gt;"",EDATE($D114,Milestones!$AA$113)&gt;=$T114),$W114,IF(AND($S114&lt;&gt;"",EDATE($D114,Milestones!$AA$113)&gt;=$S114),$V114,$U114)))=Milestones!$AB$113),UPPER(TEXT(EDATE($D114,Milestones!$AA$113),"dd mmm yy"))&amp;" "&amp;Milestones!$AB$113&amp;" "&amp;Milestones!$AC$113&amp;";  ","")&amp;IF(AND(EDATE($D114,Milestones!$AA$114)&lt;=AsOfDate,IF($R114=0,$X114,IF(AND($T114&lt;&gt;"",EDATE($D114,Milestones!$AA$114)&gt;=$T114),$W114,IF(AND($S114&lt;&gt;"",EDATE($D114,Milestones!$AA$114)&gt;=$S114),$V114,$U114)))=Milestones!$AB$114),UPPER(TEXT(EDATE($D114,Milestones!$AA$114),"dd mmm yy"))&amp;" "&amp;Milestones!$AB$114&amp;" "&amp;Milestones!$AC$114&amp;";  ","")&amp;IF(AND(EDATE($D114,Milestones!$AA$115)&lt;=AsOfDate,IF($R114=0,$X114,IF(AND($T114&lt;&gt;"",EDATE($D114,Milestones!$AA$115)&gt;=$T114),$W114,IF(AND($S114&lt;&gt;"",EDATE($D114,Milestones!$AA$115)&gt;=$S114),$V114,$U114)))=Milestones!$AB$115),UPPER(TEXT(EDATE($D114,Milestones!$AA$115),"dd mmm yy"))&amp;" "&amp;Milestones!$AB$115&amp;" "&amp;Milestones!$AC$115&amp;";  ","")&amp;IF(AND(EDATE($D114,Milestones!$AA$116)&lt;=AsOfDate,IF($R114=0,$X114,IF(AND($T114&lt;&gt;"",EDATE($D114,Milestones!$AA$116)&gt;=$T114),$W114,IF(AND($S114&lt;&gt;"",EDATE($D114,Milestones!$AA$116)&gt;=$S114),$V114,$U114)))=Milestones!$AB$116),UPPER(TEXT(EDATE($D114,Milestones!$AA$116),"dd mmm yy"))&amp;" "&amp;Milestones!$AB$116&amp;" "&amp;Milestones!$AC$116&amp;";  ","")&amp;IF(AND(EDATE($D114,Milestones!$AA$117)&lt;=AsOfDate,IF($R114=0,$X114,IF(AND($T114&lt;&gt;"",EDATE($D114,Milestones!$AA$117)&gt;=$T114),$W114,IF(AND($S114&lt;&gt;"",EDATE($D114,Milestones!$AA$117)&gt;=$S114),$V114,$U114)))=Milestones!$AB$117),UPPER(TEXT(EDATE($D114,Milestones!$AA$117),"dd mmm yy"))&amp;" "&amp;Milestones!$AB$117&amp;" "&amp;Milestones!$AC$117&amp;";  ","")&amp;IF(AND(EDATE($D114,Milestones!$AA$118)&lt;=AsOfDate,IF($R114=0,$X114,IF(AND($T114&lt;&gt;"",EDATE($D114,Milestones!$AA$118)&gt;=$T114),$W114,IF(AND($S114&lt;&gt;"",EDATE($D114,Milestones!$AA$118)&gt;=$S114),$V114,$U114)))=Milestones!$AB$118),UPPER(TEXT(EDATE($D114,Milestones!$AA$118),"dd mmm yy"))&amp;" "&amp;Milestones!$AB$118&amp;" "&amp;Milestones!$AC$118&amp;";  ","")&amp;IF(AND(EDATE($D114,Milestones!$AA$119)&lt;=AsOfDate,IF($R114=0,$X114,IF(AND($T114&lt;&gt;"",EDATE($D114,Milestones!$AA$119)&gt;=$T114),$W114,IF(AND($S114&lt;&gt;"",EDATE($D114,Milestones!$AA$119)&gt;=$S114),$V114,$U114)))=Milestones!$AB$119),UPPER(TEXT(EDATE($D114,Milestones!$AA$119),"dd mmm yy"))&amp;" "&amp;Milestones!$AB$119&amp;" "&amp;Milestones!$AC$119&amp;";  ",""))</f>
        <v/>
      </c>
      <c r="N114" s="0" t="str">
        <f aca="false">IF(OR($A114="",$D114=""),"",IF(AND(EDATE($D114,Milestones!$AA$120)&lt;=AsOfDate,IF($R114=0,$X114,IF(AND($T114&lt;&gt;"",EDATE($D114,Milestones!$AA$120)&gt;=$T114),$W114,IF(AND($S114&lt;&gt;"",EDATE($D114,Milestones!$AA$120)&gt;=$S114),$V114,$U114)))=Milestones!$AB$120),UPPER(TEXT(EDATE($D114,Milestones!$AA$120),"dd mmm yy"))&amp;" "&amp;Milestones!$AB$120&amp;" "&amp;Milestones!$AC$120&amp;";  ","")&amp;IF(AND(EDATE($D114,Milestones!$AA$121)&lt;=AsOfDate,IF($R114=0,$X114,IF(AND($T114&lt;&gt;"",EDATE($D114,Milestones!$AA$121)&gt;=$T114),$W114,IF(AND($S114&lt;&gt;"",EDATE($D114,Milestones!$AA$121)&gt;=$S114),$V114,$U114)))=Milestones!$AB$121),UPPER(TEXT(EDATE($D114,Milestones!$AA$121),"dd mmm yy"))&amp;" "&amp;Milestones!$AB$121&amp;" "&amp;Milestones!$AC$121&amp;";  ","")&amp;IF(AND(EDATE($D114,Milestones!$AA$122)&lt;=AsOfDate,IF($R114=0,$X114,IF(AND($T114&lt;&gt;"",EDATE($D114,Milestones!$AA$122)&gt;=$T114),$W114,IF(AND($S114&lt;&gt;"",EDATE($D114,Milestones!$AA$122)&gt;=$S114),$V114,$U114)))=Milestones!$AB$122),UPPER(TEXT(EDATE($D114,Milestones!$AA$122),"dd mmm yy"))&amp;" "&amp;Milestones!$AB$122&amp;" "&amp;Milestones!$AC$122&amp;";  ","")&amp;IF(AND(EDATE($D114,Milestones!$AA$123)&lt;=AsOfDate,IF($R114=0,$X114,IF(AND($T114&lt;&gt;"",EDATE($D114,Milestones!$AA$123)&gt;=$T114),$W114,IF(AND($S114&lt;&gt;"",EDATE($D114,Milestones!$AA$123)&gt;=$S114),$V114,$U114)))=Milestones!$AB$123),UPPER(TEXT(EDATE($D114,Milestones!$AA$123),"dd mmm yy"))&amp;" "&amp;Milestones!$AB$123&amp;" "&amp;Milestones!$AC$123&amp;";  ","")&amp;IF(AND(EDATE($D114,Milestones!$AA$124)&lt;=AsOfDate,IF($R114=0,$X114,IF(AND($T114&lt;&gt;"",EDATE($D114,Milestones!$AA$124)&gt;=$T114),$W114,IF(AND($S114&lt;&gt;"",EDATE($D114,Milestones!$AA$124)&gt;=$S114),$V114,$U114)))=Milestones!$AB$124),UPPER(TEXT(EDATE($D114,Milestones!$AA$124),"dd mmm yy"))&amp;" "&amp;Milestones!$AB$124&amp;" "&amp;Milestones!$AC$124&amp;";  ","")&amp;IF(AND(EDATE($D114,Milestones!$AA$125)&lt;=AsOfDate,IF($R114=0,$X114,IF(AND($T114&lt;&gt;"",EDATE($D114,Milestones!$AA$125)&gt;=$T114),$W114,IF(AND($S114&lt;&gt;"",EDATE($D114,Milestones!$AA$125)&gt;=$S114),$V114,$U114)))=Milestones!$AB$125),UPPER(TEXT(EDATE($D114,Milestones!$AA$125),"dd mmm yy"))&amp;" "&amp;Milestones!$AB$125&amp;" "&amp;Milestones!$AC$125&amp;";  ","")&amp;IF(AND(EDATE($D114,Milestones!$AA$126)&lt;=AsOfDate,IF($R114=0,$X114,IF(AND($T114&lt;&gt;"",EDATE($D114,Milestones!$AA$126)&gt;=$T114),$W114,IF(AND($S114&lt;&gt;"",EDATE($D114,Milestones!$AA$126)&gt;=$S114),$V114,$U114)))=Milestones!$AB$126),UPPER(TEXT(EDATE($D114,Milestones!$AA$126),"dd mmm yy"))&amp;" "&amp;Milestones!$AB$126&amp;" "&amp;Milestones!$AC$126&amp;";  ","")&amp;IF(AND(EDATE($D114,Milestones!$AA$127)&lt;=AsOfDate,IF($R114=0,$X114,IF(AND($T114&lt;&gt;"",EDATE($D114,Milestones!$AA$127)&gt;=$T114),$W114,IF(AND($S114&lt;&gt;"",EDATE($D114,Milestones!$AA$127)&gt;=$S114),$V114,$U114)))=Milestones!$AB$127),UPPER(TEXT(EDATE($D114,Milestones!$AA$127),"dd mmm yy"))&amp;" "&amp;Milestones!$AB$127&amp;" "&amp;Milestones!$AC$127&amp;";  ","")&amp;IF(AND(EDATE($D114,Milestones!$AA$128)&lt;=AsOfDate,IF($R114=0,$X114,IF(AND($T114&lt;&gt;"",EDATE($D114,Milestones!$AA$128)&gt;=$T114),$W114,IF(AND($S114&lt;&gt;"",EDATE($D114,Milestones!$AA$128)&gt;=$S114),$V114,$U114)))=Milestones!$AB$128),UPPER(TEXT(EDATE($D114,Milestones!$AA$128),"dd mmm yy"))&amp;" "&amp;Milestones!$AB$128&amp;" "&amp;Milestones!$AC$128&amp;";  ","")&amp;IF(AND(EDATE($D114,Milestones!$AA$129)&lt;=AsOfDate,IF($R114=0,$X114,IF(AND($T114&lt;&gt;"",EDATE($D114,Milestones!$AA$129)&gt;=$T114),$W114,IF(AND($S114&lt;&gt;"",EDATE($D114,Milestones!$AA$129)&gt;=$S114),$V114,$U114)))=Milestones!$AB$129),UPPER(TEXT(EDATE($D114,Milestones!$AA$129),"dd mmm yy"))&amp;" "&amp;Milestones!$AB$129&amp;" "&amp;Milestones!$AC$129&amp;";  ","")&amp;IF(AND(EDATE($D114,Milestones!$AA$130)&lt;=AsOfDate,IF($R114=0,$X114,IF(AND($T114&lt;&gt;"",EDATE($D114,Milestones!$AA$130)&gt;=$T114),$W114,IF(AND($S114&lt;&gt;"",EDATE($D114,Milestones!$AA$130)&gt;=$S114),$V114,$U114)))=Milestones!$AB$130),UPPER(TEXT(EDATE($D114,Milestones!$AA$130),"dd mmm yy"))&amp;" "&amp;Milestones!$AB$130&amp;" "&amp;Milestones!$AC$130&amp;";  ","")&amp;IF(AND(EDATE($D114,Milestones!$AA$131)&lt;=AsOfDate,IF($R114=0,$X114,IF(AND($T114&lt;&gt;"",EDATE($D114,Milestones!$AA$131)&gt;=$T114),$W114,IF(AND($S114&lt;&gt;"",EDATE($D114,Milestones!$AA$131)&gt;=$S114),$V114,$U114)))=Milestones!$AB$131),UPPER(TEXT(EDATE($D114,Milestones!$AA$131),"dd mmm yy"))&amp;" "&amp;Milestones!$AB$131&amp;" "&amp;Milestones!$AC$131&amp;";  ","")&amp;IF(AND(EDATE($D114,Milestones!$AA$132)&lt;=AsOfDate,IF($R114=0,$X114,IF(AND($T114&lt;&gt;"",EDATE($D114,Milestones!$AA$132)&gt;=$T114),$W114,IF(AND($S114&lt;&gt;"",EDATE($D114,Milestones!$AA$132)&gt;=$S114),$V114,$U114)))=Milestones!$AB$132),UPPER(TEXT(EDATE($D114,Milestones!$AA$132),"dd mmm yy"))&amp;" "&amp;Milestones!$AB$132&amp;" "&amp;Milestones!$AC$132&amp;";  ","")&amp;IF(AND(EDATE($D114,Milestones!$AA$133)&lt;=AsOfDate,IF($R114=0,$X114,IF(AND($T114&lt;&gt;"",EDATE($D114,Milestones!$AA$133)&gt;=$T114),$W114,IF(AND($S114&lt;&gt;"",EDATE($D114,Milestones!$AA$133)&gt;=$S114),$V114,$U114)))=Milestones!$AB$133),UPPER(TEXT(EDATE($D114,Milestones!$AA$133),"dd mmm yy"))&amp;" "&amp;Milestones!$AB$133&amp;" "&amp;Milestones!$AC$133&amp;";  ","")&amp;IF(AND(EDATE($D114,Milestones!$AA$134)&lt;=AsOfDate,IF($R114=0,$X114,IF(AND($T114&lt;&gt;"",EDATE($D114,Milestones!$AA$134)&gt;=$T114),$W114,IF(AND($S114&lt;&gt;"",EDATE($D114,Milestones!$AA$134)&gt;=$S114),$V114,$U114)))=Milestones!$AB$134),UPPER(TEXT(EDATE($D114,Milestones!$AA$134),"dd mmm yy"))&amp;" "&amp;Milestones!$AB$134&amp;" "&amp;Milestones!$AC$134&amp;";  ","")&amp;IF(AND(EDATE($D114,Milestones!$AA$135)&lt;=AsOfDate,IF($R114=0,$X114,IF(AND($T114&lt;&gt;"",EDATE($D114,Milestones!$AA$135)&gt;=$T114),$W114,IF(AND($S114&lt;&gt;"",EDATE($D114,Milestones!$AA$135)&gt;=$S114),$V114,$U114)))=Milestones!$AB$135),UPPER(TEXT(EDATE($D114,Milestones!$AA$135),"dd mmm yy"))&amp;" "&amp;Milestones!$AB$135&amp;" "&amp;Milestones!$AC$135&amp;";  ","")&amp;IF(AND(EDATE($D114,Milestones!$AA$136)&lt;=AsOfDate,IF($R114=0,$X114,IF(AND($T114&lt;&gt;"",EDATE($D114,Milestones!$AA$136)&gt;=$T114),$W114,IF(AND($S114&lt;&gt;"",EDATE($D114,Milestones!$AA$136)&gt;=$S114),$V114,$U114)))=Milestones!$AB$136),UPPER(TEXT(EDATE($D114,Milestones!$AA$136),"dd mmm yy"))&amp;" "&amp;Milestones!$AB$136&amp;" "&amp;Milestones!$AC$136&amp;";  ","")&amp;IF(AND(EDATE($D114,Milestones!$AA$137)&lt;=AsOfDate,IF($R114=0,$X114,IF(AND($T114&lt;&gt;"",EDATE($D114,Milestones!$AA$137)&gt;=$T114),$W114,IF(AND($S114&lt;&gt;"",EDATE($D114,Milestones!$AA$137)&gt;=$S114),$V114,$U114)))=Milestones!$AB$137),UPPER(TEXT(EDATE($D114,Milestones!$AA$137),"dd mmm yy"))&amp;" "&amp;Milestones!$AB$137&amp;" "&amp;Milestones!$AC$137&amp;";  ","")&amp;IF(AND(EDATE($D114,Milestones!$AA$138)&lt;=AsOfDate,IF($R114=0,$X114,IF(AND($T114&lt;&gt;"",EDATE($D114,Milestones!$AA$138)&gt;=$T114),$W114,IF(AND($S114&lt;&gt;"",EDATE($D114,Milestones!$AA$138)&gt;=$S114),$V114,$U114)))=Milestones!$AB$138),UPPER(TEXT(EDATE($D114,Milestones!$AA$138),"dd mmm yy"))&amp;" "&amp;Milestones!$AB$138&amp;" "&amp;Milestones!$AC$138&amp;";  ","")&amp;IF(AND(EDATE($D114,Milestones!$AA$139)&lt;=AsOfDate,IF($R114=0,$X114,IF(AND($T114&lt;&gt;"",EDATE($D114,Milestones!$AA$139)&gt;=$T114),$W114,IF(AND($S114&lt;&gt;"",EDATE($D114,Milestones!$AA$139)&gt;=$S114),$V114,$U114)))=Milestones!$AB$139),UPPER(TEXT(EDATE($D114,Milestones!$AA$139),"dd mmm yy"))&amp;" "&amp;Milestones!$AB$139&amp;" "&amp;Milestones!$AC$139&amp;";  ",""))</f>
        <v/>
      </c>
      <c r="O114" s="0" t="str">
        <f aca="false">IF(OR($A114="",$D114=""),"",IF(AND(EDATE($D114,Milestones!$AA$140)&lt;=AsOfDate,IF($R114=0,$X114,IF(AND($T114&lt;&gt;"",EDATE($D114,Milestones!$AA$140)&gt;=$T114),$W114,IF(AND($S114&lt;&gt;"",EDATE($D114,Milestones!$AA$140)&gt;=$S114),$V114,$U114)))=Milestones!$AB$140),UPPER(TEXT(EDATE($D114,Milestones!$AA$140),"dd mmm yy"))&amp;" "&amp;Milestones!$AB$140&amp;" "&amp;Milestones!$AC$140&amp;";  ","")&amp;IF(AND(EDATE($D114,Milestones!$AA$141)&lt;=AsOfDate,IF($R114=0,$X114,IF(AND($T114&lt;&gt;"",EDATE($D114,Milestones!$AA$141)&gt;=$T114),$W114,IF(AND($S114&lt;&gt;"",EDATE($D114,Milestones!$AA$141)&gt;=$S114),$V114,$U114)))=Milestones!$AB$141),UPPER(TEXT(EDATE($D114,Milestones!$AA$141),"dd mmm yy"))&amp;" "&amp;Milestones!$AB$141&amp;" "&amp;Milestones!$AC$141&amp;";  ","")&amp;IF(AND(EDATE($D114,Milestones!$AA$142)&lt;=AsOfDate,IF($R114=0,$X114,IF(AND($T114&lt;&gt;"",EDATE($D114,Milestones!$AA$142)&gt;=$T114),$W114,IF(AND($S114&lt;&gt;"",EDATE($D114,Milestones!$AA$142)&gt;=$S114),$V114,$U114)))=Milestones!$AB$142),UPPER(TEXT(EDATE($D114,Milestones!$AA$142),"dd mmm yy"))&amp;" "&amp;Milestones!$AB$142&amp;" "&amp;Milestones!$AC$142&amp;";  ","")&amp;IF(AND(EDATE($D114,Milestones!$AA$143)&lt;=AsOfDate,IF($R114=0,$X114,IF(AND($T114&lt;&gt;"",EDATE($D114,Milestones!$AA$143)&gt;=$T114),$W114,IF(AND($S114&lt;&gt;"",EDATE($D114,Milestones!$AA$143)&gt;=$S114),$V114,$U114)))=Milestones!$AB$143),UPPER(TEXT(EDATE($D114,Milestones!$AA$143),"dd mmm yy"))&amp;" "&amp;Milestones!$AB$143&amp;" "&amp;Milestones!$AC$143&amp;";  ","")&amp;IF(AND(EDATE($D114,Milestones!$AA$144)&lt;=AsOfDate,IF($R114=0,$X114,IF(AND($T114&lt;&gt;"",EDATE($D114,Milestones!$AA$144)&gt;=$T114),$W114,IF(AND($S114&lt;&gt;"",EDATE($D114,Milestones!$AA$144)&gt;=$S114),$V114,$U114)))=Milestones!$AB$144),UPPER(TEXT(EDATE($D114,Milestones!$AA$144),"dd mmm yy"))&amp;" "&amp;Milestones!$AB$144&amp;" "&amp;Milestones!$AC$144&amp;";  ","")&amp;IF(AND(EDATE($D114,Milestones!$AA$145)&lt;=AsOfDate,IF($R114=0,$X114,IF(AND($T114&lt;&gt;"",EDATE($D114,Milestones!$AA$145)&gt;=$T114),$W114,IF(AND($S114&lt;&gt;"",EDATE($D114,Milestones!$AA$145)&gt;=$S114),$V114,$U114)))=Milestones!$AB$145),UPPER(TEXT(EDATE($D114,Milestones!$AA$145),"dd mmm yy"))&amp;" "&amp;Milestones!$AB$145&amp;" "&amp;Milestones!$AC$145&amp;";  ","")&amp;IF(AND(EDATE($D114,Milestones!$AA$146)&lt;=AsOfDate,IF($R114=0,$X114,IF(AND($T114&lt;&gt;"",EDATE($D114,Milestones!$AA$146)&gt;=$T114),$W114,IF(AND($S114&lt;&gt;"",EDATE($D114,Milestones!$AA$146)&gt;=$S114),$V114,$U114)))=Milestones!$AB$146),UPPER(TEXT(EDATE($D114,Milestones!$AA$146),"dd mmm yy"))&amp;" "&amp;Milestones!$AB$146&amp;" "&amp;Milestones!$AC$146&amp;";  ","")&amp;IF(AND(EDATE($D114,Milestones!$AA$147)&lt;=AsOfDate,IF($R114=0,$X114,IF(AND($T114&lt;&gt;"",EDATE($D114,Milestones!$AA$147)&gt;=$T114),$W114,IF(AND($S114&lt;&gt;"",EDATE($D114,Milestones!$AA$147)&gt;=$S114),$V114,$U114)))=Milestones!$AB$147),UPPER(TEXT(EDATE($D114,Milestones!$AA$147),"dd mmm yy"))&amp;" "&amp;Milestones!$AB$147&amp;" "&amp;Milestones!$AC$147&amp;";  ","")&amp;IF(AND(EDATE($D114,Milestones!$AA$148)&lt;=AsOfDate,IF($R114=0,$X114,IF(AND($T114&lt;&gt;"",EDATE($D114,Milestones!$AA$148)&gt;=$T114),$W114,IF(AND($S114&lt;&gt;"",EDATE($D114,Milestones!$AA$148)&gt;=$S114),$V114,$U114)))=Milestones!$AB$148),UPPER(TEXT(EDATE($D114,Milestones!$AA$148),"dd mmm yy"))&amp;" "&amp;Milestones!$AB$148&amp;" "&amp;Milestones!$AC$148&amp;";  ","")&amp;IF(AND(EDATE($D114,Milestones!$AA$149)&lt;=AsOfDate,IF($R114=0,$X114,IF(AND($T114&lt;&gt;"",EDATE($D114,Milestones!$AA$149)&gt;=$T114),$W114,IF(AND($S114&lt;&gt;"",EDATE($D114,Milestones!$AA$149)&gt;=$S114),$V114,$U114)))=Milestones!$AB$149),UPPER(TEXT(EDATE($D114,Milestones!$AA$149),"dd mmm yy"))&amp;" "&amp;Milestones!$AB$149&amp;" "&amp;Milestones!$AC$149&amp;";  ","")&amp;IF(AND(EDATE($D114,Milestones!$AA$150)&lt;=AsOfDate,IF($R114=0,$X114,IF(AND($T114&lt;&gt;"",EDATE($D114,Milestones!$AA$150)&gt;=$T114),$W114,IF(AND($S114&lt;&gt;"",EDATE($D114,Milestones!$AA$150)&gt;=$S114),$V114,$U114)))=Milestones!$AB$150),UPPER(TEXT(EDATE($D114,Milestones!$AA$150),"dd mmm yy"))&amp;" "&amp;Milestones!$AB$150&amp;" "&amp;Milestones!$AC$150&amp;";  ","")&amp;IF(AND(EDATE($D114,Milestones!$AA$151)&lt;=AsOfDate,IF($R114=0,$X114,IF(AND($T114&lt;&gt;"",EDATE($D114,Milestones!$AA$151)&gt;=$T114),$W114,IF(AND($S114&lt;&gt;"",EDATE($D114,Milestones!$AA$151)&gt;=$S114),$V114,$U114)))=Milestones!$AB$151),UPPER(TEXT(EDATE($D114,Milestones!$AA$151),"dd mmm yy"))&amp;" "&amp;Milestones!$AB$151&amp;" "&amp;Milestones!$AC$151&amp;";  ","")&amp;IF(AND(EDATE($D114,Milestones!$AA$152)&lt;=AsOfDate,IF($R114=0,$X114,IF(AND($T114&lt;&gt;"",EDATE($D114,Milestones!$AA$152)&gt;=$T114),$W114,IF(AND($S114&lt;&gt;"",EDATE($D114,Milestones!$AA$152)&gt;=$S114),$V114,$U114)))=Milestones!$AB$152),UPPER(TEXT(EDATE($D114,Milestones!$AA$152),"dd mmm yy"))&amp;" "&amp;Milestones!$AB$152&amp;" "&amp;Milestones!$AC$152&amp;";  ","")&amp;IF(AND(EDATE($D114,Milestones!$AA$153)&lt;=AsOfDate,IF($R114=0,$X114,IF(AND($T114&lt;&gt;"",EDATE($D114,Milestones!$AA$153)&gt;=$T114),$W114,IF(AND($S114&lt;&gt;"",EDATE($D114,Milestones!$AA$153)&gt;=$S114),$V114,$U114)))=Milestones!$AB$153),UPPER(TEXT(EDATE($D114,Milestones!$AA$153),"dd mmm yy"))&amp;" "&amp;Milestones!$AB$153&amp;" "&amp;Milestones!$AC$153&amp;";  ","")&amp;IF(AND(EDATE($D114,Milestones!$AA$154)&lt;=AsOfDate,IF($R114=0,$X114,IF(AND($T114&lt;&gt;"",EDATE($D114,Milestones!$AA$154)&gt;=$T114),$W114,IF(AND($S114&lt;&gt;"",EDATE($D114,Milestones!$AA$154)&gt;=$S114),$V114,$U114)))=Milestones!$AB$154),UPPER(TEXT(EDATE($D114,Milestones!$AA$154),"dd mmm yy"))&amp;" "&amp;Milestones!$AB$154&amp;" "&amp;Milestones!$AC$154&amp;";  ","")&amp;IF(AND(EDATE($D114,Milestones!$AA$155)&lt;=AsOfDate,IF($R114=0,$X114,IF(AND($T114&lt;&gt;"",EDATE($D114,Milestones!$AA$155)&gt;=$T114),$W114,IF(AND($S114&lt;&gt;"",EDATE($D114,Milestones!$AA$155)&gt;=$S114),$V114,$U114)))=Milestones!$AB$155),UPPER(TEXT(EDATE($D114,Milestones!$AA$155),"dd mmm yy"))&amp;" "&amp;Milestones!$AB$155&amp;" "&amp;Milestones!$AC$155&amp;";  ","")&amp;IF(AND(EDATE($D114,Milestones!$AA$156)&lt;=AsOfDate,IF($R114=0,$X114,IF(AND($T114&lt;&gt;"",EDATE($D114,Milestones!$AA$156)&gt;=$T114),$W114,IF(AND($S114&lt;&gt;"",EDATE($D114,Milestones!$AA$156)&gt;=$S114),$V114,$U114)))=Milestones!$AB$156),UPPER(TEXT(EDATE($D114,Milestones!$AA$156),"dd mmm yy"))&amp;" "&amp;Milestones!$AB$156&amp;" "&amp;Milestones!$AC$156&amp;";  ","")&amp;IF(AND(EDATE($D114,Milestones!$AA$157)&lt;=AsOfDate,IF($R114=0,$X114,IF(AND($T114&lt;&gt;"",EDATE($D114,Milestones!$AA$157)&gt;=$T114),$W114,IF(AND($S114&lt;&gt;"",EDATE($D114,Milestones!$AA$157)&gt;=$S114),$V114,$U114)))=Milestones!$AB$157),UPPER(TEXT(EDATE($D114,Milestones!$AA$157),"dd mmm yy"))&amp;" "&amp;Milestones!$AB$157&amp;" "&amp;Milestones!$AC$157&amp;";  ","")&amp;IF(AND(EDATE($D114,Milestones!$AA$158)&lt;=AsOfDate,IF($R114=0,$X114,IF(AND($T114&lt;&gt;"",EDATE($D114,Milestones!$AA$158)&gt;=$T114),$W114,IF(AND($S114&lt;&gt;"",EDATE($D114,Milestones!$AA$158)&gt;=$S114),$V114,$U114)))=Milestones!$AB$158),UPPER(TEXT(EDATE($D114,Milestones!$AA$158),"dd mmm yy"))&amp;" "&amp;Milestones!$AB$158&amp;" "&amp;Milestones!$AC$158&amp;";  ","")&amp;IF(AND(EDATE($D114,Milestones!$AA$159)&lt;=AsOfDate,IF($R114=0,$X114,IF(AND($T114&lt;&gt;"",EDATE($D114,Milestones!$AA$159)&gt;=$T114),$W114,IF(AND($S114&lt;&gt;"",EDATE($D114,Milestones!$AA$159)&gt;=$S114),$V114,$U114)))=Milestones!$AB$159),UPPER(TEXT(EDATE($D114,Milestones!$AA$159),"dd mmm yy"))&amp;" "&amp;Milestones!$AB$159&amp;" "&amp;Milestones!$AC$159&amp;";  ",""))</f>
        <v/>
      </c>
      <c r="P114" s="0" t="str">
        <f aca="false">IF(OR($A114="",$D114=""),"",IF(AND(EDATE($D114,Milestones!$AA$160)&lt;=AsOfDate,IF($R114=0,$X114,IF(AND($T114&lt;&gt;"",EDATE($D114,Milestones!$AA$160)&gt;=$T114),$W114,IF(AND($S114&lt;&gt;"",EDATE($D114,Milestones!$AA$160)&gt;=$S114),$V114,$U114)))=Milestones!$AB$160),UPPER(TEXT(EDATE($D114,Milestones!$AA$160),"dd mmm yy"))&amp;" "&amp;Milestones!$AB$160&amp;" "&amp;Milestones!$AC$160&amp;";  ","")&amp;IF(AND(EDATE($D114,Milestones!$AA$161)&lt;=AsOfDate,IF($R114=0,$X114,IF(AND($T114&lt;&gt;"",EDATE($D114,Milestones!$AA$161)&gt;=$T114),$W114,IF(AND($S114&lt;&gt;"",EDATE($D114,Milestones!$AA$161)&gt;=$S114),$V114,$U114)))=Milestones!$AB$161),UPPER(TEXT(EDATE($D114,Milestones!$AA$161),"dd mmm yy"))&amp;" "&amp;Milestones!$AB$161&amp;" "&amp;Milestones!$AC$161&amp;";  ","")&amp;IF(AND(EDATE($D114,Milestones!$AA$162)&lt;=AsOfDate,IF($R114=0,$X114,IF(AND($T114&lt;&gt;"",EDATE($D114,Milestones!$AA$162)&gt;=$T114),$W114,IF(AND($S114&lt;&gt;"",EDATE($D114,Milestones!$AA$162)&gt;=$S114),$V114,$U114)))=Milestones!$AB$162),UPPER(TEXT(EDATE($D114,Milestones!$AA$162),"dd mmm yy"))&amp;" "&amp;Milestones!$AB$162&amp;" "&amp;Milestones!$AC$162&amp;";  ","")&amp;IF(AND(EDATE($D114,Milestones!$AA$163)&lt;=AsOfDate,IF($R114=0,$X114,IF(AND($T114&lt;&gt;"",EDATE($D114,Milestones!$AA$163)&gt;=$T114),$W114,IF(AND($S114&lt;&gt;"",EDATE($D114,Milestones!$AA$163)&gt;=$S114),$V114,$U114)))=Milestones!$AB$163),UPPER(TEXT(EDATE($D114,Milestones!$AA$163),"dd mmm yy"))&amp;" "&amp;Milestones!$AB$163&amp;" "&amp;Milestones!$AC$163&amp;";  ","")&amp;IF(AND(EDATE($D114,Milestones!$AA$164)&lt;=AsOfDate,IF($R114=0,$X114,IF(AND($T114&lt;&gt;"",EDATE($D114,Milestones!$AA$164)&gt;=$T114),$W114,IF(AND($S114&lt;&gt;"",EDATE($D114,Milestones!$AA$164)&gt;=$S114),$V114,$U114)))=Milestones!$AB$164),UPPER(TEXT(EDATE($D114,Milestones!$AA$164),"dd mmm yy"))&amp;" "&amp;Milestones!$AB$164&amp;" "&amp;Milestones!$AC$164&amp;";  ","")&amp;IF(AND(EDATE($D114,Milestones!$AA$165)&lt;=AsOfDate,IF($R114=0,$X114,IF(AND($T114&lt;&gt;"",EDATE($D114,Milestones!$AA$165)&gt;=$T114),$W114,IF(AND($S114&lt;&gt;"",EDATE($D114,Milestones!$AA$165)&gt;=$S114),$V114,$U114)))=Milestones!$AB$165),UPPER(TEXT(EDATE($D114,Milestones!$AA$165),"dd mmm yy"))&amp;" "&amp;Milestones!$AB$165&amp;" "&amp;Milestones!$AC$165&amp;";  ","")&amp;IF(AND(EDATE($D114,Milestones!$AA$166)&lt;=AsOfDate,IF($R114=0,$X114,IF(AND($T114&lt;&gt;"",EDATE($D114,Milestones!$AA$166)&gt;=$T114),$W114,IF(AND($S114&lt;&gt;"",EDATE($D114,Milestones!$AA$166)&gt;=$S114),$V114,$U114)))=Milestones!$AB$166),UPPER(TEXT(EDATE($D114,Milestones!$AA$166),"dd mmm yy"))&amp;" "&amp;Milestones!$AB$166&amp;" "&amp;Milestones!$AC$166&amp;";  ","")&amp;IF(AND(EDATE($D114,Milestones!$AA$167)&lt;=AsOfDate,IF($R114=0,$X114,IF(AND($T114&lt;&gt;"",EDATE($D114,Milestones!$AA$167)&gt;=$T114),$W114,IF(AND($S114&lt;&gt;"",EDATE($D114,Milestones!$AA$167)&gt;=$S114),$V114,$U114)))=Milestones!$AB$167),UPPER(TEXT(EDATE($D114,Milestones!$AA$167),"dd mmm yy"))&amp;" "&amp;Milestones!$AB$167&amp;" "&amp;Milestones!$AC$167&amp;";  ","")&amp;IF(AND(EDATE($D114,Milestones!$AA$168)&lt;=AsOfDate,IF($R114=0,$X114,IF(AND($T114&lt;&gt;"",EDATE($D114,Milestones!$AA$168)&gt;=$T114),$W114,IF(AND($S114&lt;&gt;"",EDATE($D114,Milestones!$AA$168)&gt;=$S114),$V114,$U114)))=Milestones!$AB$168),UPPER(TEXT(EDATE($D114,Milestones!$AA$168),"dd mmm yy"))&amp;" "&amp;Milestones!$AB$168&amp;" "&amp;Milestones!$AC$168&amp;";  ","")&amp;IF(AND(EDATE($D114,Milestones!$AA$169)&lt;=AsOfDate,IF($R114=0,$X114,IF(AND($T114&lt;&gt;"",EDATE($D114,Milestones!$AA$169)&gt;=$T114),$W114,IF(AND($S114&lt;&gt;"",EDATE($D114,Milestones!$AA$169)&gt;=$S114),$V114,$U114)))=Milestones!$AB$169),UPPER(TEXT(EDATE($D114,Milestones!$AA$169),"dd mmm yy"))&amp;" "&amp;Milestones!$AB$169&amp;" "&amp;Milestones!$AC$169&amp;";  ","")&amp;IF(AND(EDATE($D114,Milestones!$AA$170)&lt;=AsOfDate,IF($R114=0,$X114,IF(AND($T114&lt;&gt;"",EDATE($D114,Milestones!$AA$170)&gt;=$T114),$W114,IF(AND($S114&lt;&gt;"",EDATE($D114,Milestones!$AA$170)&gt;=$S114),$V114,$U114)))=Milestones!$AB$170),UPPER(TEXT(EDATE($D114,Milestones!$AA$170),"dd mmm yy"))&amp;" "&amp;Milestones!$AB$170&amp;" "&amp;Milestones!$AC$170&amp;";  ","")&amp;IF(AND(EDATE($D114,Milestones!$AA$171)&lt;=AsOfDate,IF($R114=0,$X114,IF(AND($T114&lt;&gt;"",EDATE($D114,Milestones!$AA$171)&gt;=$T114),$W114,IF(AND($S114&lt;&gt;"",EDATE($D114,Milestones!$AA$171)&gt;=$S114),$V114,$U114)))=Milestones!$AB$171),UPPER(TEXT(EDATE($D114,Milestones!$AA$171),"dd mmm yy"))&amp;" "&amp;Milestones!$AB$171&amp;" "&amp;Milestones!$AC$171&amp;";  ","")&amp;IF(AND(EDATE($D114,Milestones!$AA$172)&lt;=AsOfDate,IF($R114=0,$X114,IF(AND($T114&lt;&gt;"",EDATE($D114,Milestones!$AA$172)&gt;=$T114),$W114,IF(AND($S114&lt;&gt;"",EDATE($D114,Milestones!$AA$172)&gt;=$S114),$V114,$U114)))=Milestones!$AB$172),UPPER(TEXT(EDATE($D114,Milestones!$AA$172),"dd mmm yy"))&amp;" "&amp;Milestones!$AB$172&amp;" "&amp;Milestones!$AC$172&amp;";  ","")&amp;IF(AND(EDATE($D114,Milestones!$AA$173)&lt;=AsOfDate,IF($R114=0,$X114,IF(AND($T114&lt;&gt;"",EDATE($D114,Milestones!$AA$173)&gt;=$T114),$W114,IF(AND($S114&lt;&gt;"",EDATE($D114,Milestones!$AA$173)&gt;=$S114),$V114,$U114)))=Milestones!$AB$173),UPPER(TEXT(EDATE($D114,Milestones!$AA$173),"dd mmm yy"))&amp;" "&amp;Milestones!$AB$173&amp;" "&amp;Milestones!$AC$173&amp;";  ","")&amp;IF(AND(EDATE($D114,Milestones!$AA$174)&lt;=AsOfDate,IF($R114=0,$X114,IF(AND($T114&lt;&gt;"",EDATE($D114,Milestones!$AA$174)&gt;=$T114),$W114,IF(AND($S114&lt;&gt;"",EDATE($D114,Milestones!$AA$174)&gt;=$S114),$V114,$U114)))=Milestones!$AB$174),UPPER(TEXT(EDATE($D114,Milestones!$AA$174),"dd mmm yy"))&amp;" "&amp;Milestones!$AB$174&amp;" "&amp;Milestones!$AC$174&amp;";  ","")&amp;IF(AND(EDATE($D114,Milestones!$AA$175)&lt;=AsOfDate,IF($R114=0,$X114,IF(AND($T114&lt;&gt;"",EDATE($D114,Milestones!$AA$175)&gt;=$T114),$W114,IF(AND($S114&lt;&gt;"",EDATE($D114,Milestones!$AA$175)&gt;=$S114),$V114,$U114)))=Milestones!$AB$175),UPPER(TEXT(EDATE($D114,Milestones!$AA$175),"dd mmm yy"))&amp;" "&amp;Milestones!$AB$175&amp;" "&amp;Milestones!$AC$175&amp;";  ","")&amp;IF(AND(EDATE($D114,Milestones!$AA$176)&lt;=AsOfDate,IF($R114=0,$X114,IF(AND($T114&lt;&gt;"",EDATE($D114,Milestones!$AA$176)&gt;=$T114),$W114,IF(AND($S114&lt;&gt;"",EDATE($D114,Milestones!$AA$176)&gt;=$S114),$V114,$U114)))=Milestones!$AB$176),UPPER(TEXT(EDATE($D114,Milestones!$AA$176),"dd mmm yy"))&amp;" "&amp;Milestones!$AB$176&amp;" "&amp;Milestones!$AC$176&amp;";  ","")&amp;IF(AND(EDATE($D114,Milestones!$AA$177)&lt;=AsOfDate,IF($R114=0,$X114,IF(AND($T114&lt;&gt;"",EDATE($D114,Milestones!$AA$177)&gt;=$T114),$W114,IF(AND($S114&lt;&gt;"",EDATE($D114,Milestones!$AA$177)&gt;=$S114),$V114,$U114)))=Milestones!$AB$177),UPPER(TEXT(EDATE($D114,Milestones!$AA$177),"dd mmm yy"))&amp;" "&amp;Milestones!$AB$177&amp;" "&amp;Milestones!$AC$177&amp;";  ","")&amp;IF(AND(EDATE($D114,Milestones!$AA$178)&lt;=AsOfDate,IF($R114=0,$X114,IF(AND($T114&lt;&gt;"",EDATE($D114,Milestones!$AA$178)&gt;=$T114),$W114,IF(AND($S114&lt;&gt;"",EDATE($D114,Milestones!$AA$178)&gt;=$S114),$V114,$U114)))=Milestones!$AB$178),UPPER(TEXT(EDATE($D114,Milestones!$AA$178),"dd mmm yy"))&amp;" "&amp;Milestones!$AB$178&amp;" "&amp;Milestones!$AC$178&amp;";  ","")&amp;IF(AND(EDATE($D114,Milestones!$AA$179)&lt;=AsOfDate,IF($R114=0,$X114,IF(AND($T114&lt;&gt;"",EDATE($D114,Milestones!$AA$179)&gt;=$T114),$W114,IF(AND($S114&lt;&gt;"",EDATE($D114,Milestones!$AA$179)&gt;=$S114),$V114,$U114)))=Milestones!$AB$179),UPPER(TEXT(EDATE($D114,Milestones!$AA$179),"dd mmm yy"))&amp;" "&amp;Milestones!$AB$179&amp;" "&amp;Milestones!$AC$179&amp;";  ",""))</f>
        <v/>
      </c>
      <c r="Q114" s="0" t="str">
        <f aca="false">IF(OR($A114="",$D114=""),"",IF(AND(EDATE($D114,Milestones!$AA$180)&lt;=AsOfDate,IF($R114=0,$X114,IF(AND($T114&lt;&gt;"",EDATE($D114,Milestones!$AA$180)&gt;=$T114),$W114,IF(AND($S114&lt;&gt;"",EDATE($D114,Milestones!$AA$180)&gt;=$S114),$V114,$U114)))=Milestones!$AB$180),UPPER(TEXT(EDATE($D114,Milestones!$AA$180),"dd mmm yy"))&amp;" "&amp;Milestones!$AB$180&amp;" "&amp;Milestones!$AC$180&amp;";  ","")&amp;IF(AND(EDATE($D114,Milestones!$AA$181)&lt;=AsOfDate,IF($R114=0,$X114,IF(AND($T114&lt;&gt;"",EDATE($D114,Milestones!$AA$181)&gt;=$T114),$W114,IF(AND($S114&lt;&gt;"",EDATE($D114,Milestones!$AA$181)&gt;=$S114),$V114,$U114)))=Milestones!$AB$181),UPPER(TEXT(EDATE($D114,Milestones!$AA$181),"dd mmm yy"))&amp;" "&amp;Milestones!$AB$181&amp;" "&amp;Milestones!$AC$181&amp;";  ","")&amp;IF(AND(EDATE($D114,Milestones!$AA$182)&lt;=AsOfDate,IF($R114=0,$X114,IF(AND($T114&lt;&gt;"",EDATE($D114,Milestones!$AA$182)&gt;=$T114),$W114,IF(AND($S114&lt;&gt;"",EDATE($D114,Milestones!$AA$182)&gt;=$S114),$V114,$U114)))=Milestones!$AB$182),UPPER(TEXT(EDATE($D114,Milestones!$AA$182),"dd mmm yy"))&amp;" "&amp;Milestones!$AB$182&amp;" "&amp;Milestones!$AC$182&amp;";  ","")&amp;IF(AND(EDATE($D114,Milestones!$AA$183)&lt;=AsOfDate,IF($R114=0,$X114,IF(AND($T114&lt;&gt;"",EDATE($D114,Milestones!$AA$183)&gt;=$T114),$W114,IF(AND($S114&lt;&gt;"",EDATE($D114,Milestones!$AA$183)&gt;=$S114),$V114,$U114)))=Milestones!$AB$183),UPPER(TEXT(EDATE($D114,Milestones!$AA$183),"dd mmm yy"))&amp;" "&amp;Milestones!$AB$183&amp;" "&amp;Milestones!$AC$183&amp;";  ","")&amp;IF(AND(EDATE($D114,Milestones!$AA$184)&lt;=AsOfDate,IF($R114=0,$X114,IF(AND($T114&lt;&gt;"",EDATE($D114,Milestones!$AA$184)&gt;=$T114),$W114,IF(AND($S114&lt;&gt;"",EDATE($D114,Milestones!$AA$184)&gt;=$S114),$V114,$U114)))=Milestones!$AB$184),UPPER(TEXT(EDATE($D114,Milestones!$AA$184),"dd mmm yy"))&amp;" "&amp;Milestones!$AB$184&amp;" "&amp;Milestones!$AC$184&amp;";  ","")&amp;IF(AND(EDATE($D114,Milestones!$AA$185)&lt;=AsOfDate,IF($R114=0,$X114,IF(AND($T114&lt;&gt;"",EDATE($D114,Milestones!$AA$185)&gt;=$T114),$W114,IF(AND($S114&lt;&gt;"",EDATE($D114,Milestones!$AA$185)&gt;=$S114),$V114,$U114)))=Milestones!$AB$185),UPPER(TEXT(EDATE($D114,Milestones!$AA$185),"dd mmm yy"))&amp;" "&amp;Milestones!$AB$185&amp;" "&amp;Milestones!$AC$185&amp;";  ","")&amp;IF(AND(EDATE($D114,Milestones!$AA$186)&lt;=AsOfDate,IF($R114=0,$X114,IF(AND($T114&lt;&gt;"",EDATE($D114,Milestones!$AA$186)&gt;=$T114),$W114,IF(AND($S114&lt;&gt;"",EDATE($D114,Milestones!$AA$186)&gt;=$S114),$V114,$U114)))=Milestones!$AB$186),UPPER(TEXT(EDATE($D114,Milestones!$AA$186),"dd mmm yy"))&amp;" "&amp;Milestones!$AB$186&amp;" "&amp;Milestones!$AC$186&amp;";  ","")&amp;IF(AND(EDATE($D114,Milestones!$AA$187)&lt;=AsOfDate,IF($R114=0,$X114,IF(AND($T114&lt;&gt;"",EDATE($D114,Milestones!$AA$187)&gt;=$T114),$W114,IF(AND($S114&lt;&gt;"",EDATE($D114,Milestones!$AA$187)&gt;=$S114),$V114,$U114)))=Milestones!$AB$187),UPPER(TEXT(EDATE($D114,Milestones!$AA$187),"dd mmm yy"))&amp;" "&amp;Milestones!$AB$187&amp;" "&amp;Milestones!$AC$187&amp;";  ","")&amp;IF(AND(EDATE($D114,Milestones!$AA$188)&lt;=AsOfDate,IF($R114=0,$X114,IF(AND($T114&lt;&gt;"",EDATE($D114,Milestones!$AA$188)&gt;=$T114),$W114,IF(AND($S114&lt;&gt;"",EDATE($D114,Milestones!$AA$188)&gt;=$S114),$V114,$U114)))=Milestones!$AB$188),UPPER(TEXT(EDATE($D114,Milestones!$AA$188),"dd mmm yy"))&amp;" "&amp;Milestones!$AB$188&amp;" "&amp;Milestones!$AC$188&amp;";  ","")&amp;IF(AND(EDATE($D114,Milestones!$AA$189)&lt;=AsOfDate,IF($R114=0,$X114,IF(AND($T114&lt;&gt;"",EDATE($D114,Milestones!$AA$189)&gt;=$T114),$W114,IF(AND($S114&lt;&gt;"",EDATE($D114,Milestones!$AA$189)&gt;=$S114),$V114,$U114)))=Milestones!$AB$189),UPPER(TEXT(EDATE($D114,Milestones!$AA$189),"dd mmm yy"))&amp;" "&amp;Milestones!$AB$189&amp;" "&amp;Milestones!$AC$189&amp;";  ","")&amp;IF(AND(EDATE($D114,Milestones!$AA$190)&lt;=AsOfDate,IF($R114=0,$X114,IF(AND($T114&lt;&gt;"",EDATE($D114,Milestones!$AA$190)&gt;=$T114),$W114,IF(AND($S114&lt;&gt;"",EDATE($D114,Milestones!$AA$190)&gt;=$S114),$V114,$U114)))=Milestones!$AB$190),UPPER(TEXT(EDATE($D114,Milestones!$AA$190),"dd mmm yy"))&amp;" "&amp;Milestones!$AB$190&amp;" "&amp;Milestones!$AC$190&amp;";  ","")&amp;IF(AND(EDATE($D114,Milestones!$AA$191)&lt;=AsOfDate,IF($R114=0,$X114,IF(AND($T114&lt;&gt;"",EDATE($D114,Milestones!$AA$191)&gt;=$T114),$W114,IF(AND($S114&lt;&gt;"",EDATE($D114,Milestones!$AA$191)&gt;=$S114),$V114,$U114)))=Milestones!$AB$191),UPPER(TEXT(EDATE($D114,Milestones!$AA$191),"dd mmm yy"))&amp;" "&amp;Milestones!$AB$191&amp;" "&amp;Milestones!$AC$191&amp;";  ","")&amp;IF(AND(EDATE($D114,Milestones!$AA$192)&lt;=AsOfDate,IF($R114=0,$X114,IF(AND($T114&lt;&gt;"",EDATE($D114,Milestones!$AA$192)&gt;=$T114),$W114,IF(AND($S114&lt;&gt;"",EDATE($D114,Milestones!$AA$192)&gt;=$S114),$V114,$U114)))=Milestones!$AB$192),UPPER(TEXT(EDATE($D114,Milestones!$AA$192),"dd mmm yy"))&amp;" "&amp;Milestones!$AB$192&amp;" "&amp;Milestones!$AC$192&amp;";  ","")&amp;IF(AND(EDATE($D114,Milestones!$AA$193)&lt;=AsOfDate,IF($R114=0,$X114,IF(AND($T114&lt;&gt;"",EDATE($D114,Milestones!$AA$193)&gt;=$T114),$W114,IF(AND($S114&lt;&gt;"",EDATE($D114,Milestones!$AA$193)&gt;=$S114),$V114,$U114)))=Milestones!$AB$193),UPPER(TEXT(EDATE($D114,Milestones!$AA$193),"dd mmm yy"))&amp;" "&amp;Milestones!$AB$193&amp;" "&amp;Milestones!$AC$193&amp;";  ","")&amp;IF(AND(EDATE($D114,Milestones!$AA$194)&lt;=AsOfDate,IF($R114=0,$X114,IF(AND($T114&lt;&gt;"",EDATE($D114,Milestones!$AA$194)&gt;=$T114),$W114,IF(AND($S114&lt;&gt;"",EDATE($D114,Milestones!$AA$194)&gt;=$S114),$V114,$U114)))=Milestones!$AB$194),UPPER(TEXT(EDATE($D114,Milestones!$AA$194),"dd mmm yy"))&amp;" "&amp;Milestones!$AB$194&amp;" "&amp;Milestones!$AC$194&amp;";  ","")&amp;IF(AND(EDATE($D114,Milestones!$AA$195)&lt;=AsOfDate,IF($R114=0,$X114,IF(AND($T114&lt;&gt;"",EDATE($D114,Milestones!$AA$195)&gt;=$T114),$W114,IF(AND($S114&lt;&gt;"",EDATE($D114,Milestones!$AA$195)&gt;=$S114),$V114,$U114)))=Milestones!$AB$195),UPPER(TEXT(EDATE($D114,Milestones!$AA$195),"dd mmm yy"))&amp;" "&amp;Milestones!$AB$195&amp;" "&amp;Milestones!$AC$195&amp;";  ","")&amp;IF(AND(EDATE($D114,Milestones!$AA$196)&lt;=AsOfDate,IF($R114=0,$X114,IF(AND($T114&lt;&gt;"",EDATE($D114,Milestones!$AA$196)&gt;=$T114),$W114,IF(AND($S114&lt;&gt;"",EDATE($D114,Milestones!$AA$196)&gt;=$S114),$V114,$U114)))=Milestones!$AB$196),UPPER(TEXT(EDATE($D114,Milestones!$AA$196),"dd mmm yy"))&amp;" "&amp;Milestones!$AB$196&amp;" "&amp;Milestones!$AC$196&amp;";  ","")&amp;IF(AND(EDATE($D114,Milestones!$AA$197)&lt;=AsOfDate,IF($R114=0,$X114,IF(AND($T114&lt;&gt;"",EDATE($D114,Milestones!$AA$197)&gt;=$T114),$W114,IF(AND($S114&lt;&gt;"",EDATE($D114,Milestones!$AA$197)&gt;=$S114),$V114,$U114)))=Milestones!$AB$197),UPPER(TEXT(EDATE($D114,Milestones!$AA$197),"dd mmm yy"))&amp;" "&amp;Milestones!$AB$197&amp;" "&amp;Milestones!$AC$197&amp;";  ","")&amp;IF(AND(EDATE($D114,Milestones!$AA$198)&lt;=AsOfDate,IF($R114=0,$X114,IF(AND($T114&lt;&gt;"",EDATE($D114,Milestones!$AA$198)&gt;=$T114),$W114,IF(AND($S114&lt;&gt;"",EDATE($D114,Milestones!$AA$198)&gt;=$S114),$V114,$U114)))=Milestones!$AB$198),UPPER(TEXT(EDATE($D114,Milestones!$AA$198),"dd mmm yy"))&amp;" "&amp;Milestones!$AB$198&amp;" "&amp;Milestones!$AC$198&amp;";  ","")&amp;IF(AND(EDATE($D114,Milestones!$AA$199)&lt;=AsOfDate,IF($R114=0,$X114,IF(AND($T114&lt;&gt;"",EDATE($D114,Milestones!$AA$199)&gt;=$T114),$W114,IF(AND($S114&lt;&gt;"",EDATE($D114,Milestones!$AA$199)&gt;=$S114),$V114,$U114)))=Milestones!$AB$199),UPPER(TEXT(EDATE($D114,Milestones!$AA$199),"dd mmm yy"))&amp;" "&amp;Milestones!$AB$199&amp;" "&amp;Milestones!$AC$199&amp;";  ",""))</f>
        <v/>
      </c>
      <c r="R114" s="0" t="str">
        <f aca="false">IF(Staff!$A114="","",Staff!$AI114)</f>
        <v/>
      </c>
      <c r="S114" s="0" t="str">
        <f aca="false">IF(Staff!$A114="","",Staff!$AK114)</f>
        <v/>
      </c>
      <c r="T114" s="0" t="str">
        <f aca="false">IF(Staff!$A114="","",Staff!$AL114)</f>
        <v/>
      </c>
      <c r="U114" s="0" t="str">
        <f aca="false">IF(Staff!$A114="","",Staff!$AP114)</f>
        <v/>
      </c>
      <c r="V114" s="0" t="str">
        <f aca="false">IF(Staff!$A114="","",Staff!$AQ114)</f>
        <v/>
      </c>
      <c r="W114" s="0" t="str">
        <f aca="false">IF(Staff!$A114="","",Staff!$AR114)</f>
        <v/>
      </c>
      <c r="X114" s="0" t="str">
        <f aca="false">IF(Staff!$A114="","",Staff!$AS114)</f>
        <v/>
      </c>
    </row>
    <row r="115" customFormat="false" ht="15" hidden="false" customHeight="false" outlineLevel="0" collapsed="false">
      <c r="A115" s="14" t="str">
        <f aca="false">IF(Staff!$A115="","",Staff!$A115)</f>
        <v/>
      </c>
      <c r="B115" s="14" t="str">
        <f aca="false">IF(Staff!$A115="","",Staff!$B115)</f>
        <v/>
      </c>
      <c r="C115" s="14" t="str">
        <f aca="false">IF(Staff!$A115="","",Staff!$C115)</f>
        <v/>
      </c>
      <c r="D115" s="12" t="str">
        <f aca="false">IF(Staff!$A115="","",Staff!$AH115)</f>
        <v/>
      </c>
      <c r="E115" s="14" t="str">
        <f aca="false">IF(Staff!$A115="","",Staff!$O115)</f>
        <v/>
      </c>
      <c r="F115" s="14" t="str">
        <f aca="false">IF(E115="","",E115*HoursPerDay)</f>
        <v/>
      </c>
      <c r="G115" s="14" t="str">
        <f aca="false">IF(Staff!$A115="","",Staff!$AE115)</f>
        <v/>
      </c>
      <c r="H115" s="26" t="str">
        <f aca="false">IF($A115="","",I115&amp;J115&amp;K115&amp;L115&amp;M115&amp;N115&amp;O115&amp;P115&amp;Q115)</f>
        <v/>
      </c>
      <c r="I115" s="0" t="str">
        <f aca="false">IF(OR($A115="",$D115=""),"",IF(AND(EDATE($D115,Milestones!$AA$20)&lt;=AsOfDate,IF($R115=0,$X115,IF(AND($T115&lt;&gt;"",EDATE($D115,Milestones!$AA$20)&gt;=$T115),$W115,IF(AND($S115&lt;&gt;"",EDATE($D115,Milestones!$AA$20)&gt;=$S115),$V115,$U115)))=Milestones!$AB$20),UPPER(TEXT(EDATE($D115,Milestones!$AA$20),"dd mmm yy"))&amp;" "&amp;Milestones!$AB$20&amp;" "&amp;Milestones!$AC$20&amp;";  ","")&amp;IF(AND(EDATE($D115,Milestones!$AA$21)&lt;=AsOfDate,IF($R115=0,$X115,IF(AND($T115&lt;&gt;"",EDATE($D115,Milestones!$AA$21)&gt;=$T115),$W115,IF(AND($S115&lt;&gt;"",EDATE($D115,Milestones!$AA$21)&gt;=$S115),$V115,$U115)))=Milestones!$AB$21),UPPER(TEXT(EDATE($D115,Milestones!$AA$21),"dd mmm yy"))&amp;" "&amp;Milestones!$AB$21&amp;" "&amp;Milestones!$AC$21&amp;";  ","")&amp;IF(AND(EDATE($D115,Milestones!$AA$22)&lt;=AsOfDate,IF($R115=0,$X115,IF(AND($T115&lt;&gt;"",EDATE($D115,Milestones!$AA$22)&gt;=$T115),$W115,IF(AND($S115&lt;&gt;"",EDATE($D115,Milestones!$AA$22)&gt;=$S115),$V115,$U115)))=Milestones!$AB$22),UPPER(TEXT(EDATE($D115,Milestones!$AA$22),"dd mmm yy"))&amp;" "&amp;Milestones!$AB$22&amp;" "&amp;Milestones!$AC$22&amp;";  ","")&amp;IF(AND(EDATE($D115,Milestones!$AA$23)&lt;=AsOfDate,IF($R115=0,$X115,IF(AND($T115&lt;&gt;"",EDATE($D115,Milestones!$AA$23)&gt;=$T115),$W115,IF(AND($S115&lt;&gt;"",EDATE($D115,Milestones!$AA$23)&gt;=$S115),$V115,$U115)))=Milestones!$AB$23),UPPER(TEXT(EDATE($D115,Milestones!$AA$23),"dd mmm yy"))&amp;" "&amp;Milestones!$AB$23&amp;" "&amp;Milestones!$AC$23&amp;";  ","")&amp;IF(AND(EDATE($D115,Milestones!$AA$24)&lt;=AsOfDate,IF($R115=0,$X115,IF(AND($T115&lt;&gt;"",EDATE($D115,Milestones!$AA$24)&gt;=$T115),$W115,IF(AND($S115&lt;&gt;"",EDATE($D115,Milestones!$AA$24)&gt;=$S115),$V115,$U115)))=Milestones!$AB$24),UPPER(TEXT(EDATE($D115,Milestones!$AA$24),"dd mmm yy"))&amp;" "&amp;Milestones!$AB$24&amp;" "&amp;Milestones!$AC$24&amp;";  ","")&amp;IF(AND(EDATE($D115,Milestones!$AA$25)&lt;=AsOfDate,IF($R115=0,$X115,IF(AND($T115&lt;&gt;"",EDATE($D115,Milestones!$AA$25)&gt;=$T115),$W115,IF(AND($S115&lt;&gt;"",EDATE($D115,Milestones!$AA$25)&gt;=$S115),$V115,$U115)))=Milestones!$AB$25),UPPER(TEXT(EDATE($D115,Milestones!$AA$25),"dd mmm yy"))&amp;" "&amp;Milestones!$AB$25&amp;" "&amp;Milestones!$AC$25&amp;";  ","")&amp;IF(AND(EDATE($D115,Milestones!$AA$26)&lt;=AsOfDate,IF($R115=0,$X115,IF(AND($T115&lt;&gt;"",EDATE($D115,Milestones!$AA$26)&gt;=$T115),$W115,IF(AND($S115&lt;&gt;"",EDATE($D115,Milestones!$AA$26)&gt;=$S115),$V115,$U115)))=Milestones!$AB$26),UPPER(TEXT(EDATE($D115,Milestones!$AA$26),"dd mmm yy"))&amp;" "&amp;Milestones!$AB$26&amp;" "&amp;Milestones!$AC$26&amp;";  ","")&amp;IF(AND(EDATE($D115,Milestones!$AA$27)&lt;=AsOfDate,IF($R115=0,$X115,IF(AND($T115&lt;&gt;"",EDATE($D115,Milestones!$AA$27)&gt;=$T115),$W115,IF(AND($S115&lt;&gt;"",EDATE($D115,Milestones!$AA$27)&gt;=$S115),$V115,$U115)))=Milestones!$AB$27),UPPER(TEXT(EDATE($D115,Milestones!$AA$27),"dd mmm yy"))&amp;" "&amp;Milestones!$AB$27&amp;" "&amp;Milestones!$AC$27&amp;";  ","")&amp;IF(AND(EDATE($D115,Milestones!$AA$28)&lt;=AsOfDate,IF($R115=0,$X115,IF(AND($T115&lt;&gt;"",EDATE($D115,Milestones!$AA$28)&gt;=$T115),$W115,IF(AND($S115&lt;&gt;"",EDATE($D115,Milestones!$AA$28)&gt;=$S115),$V115,$U115)))=Milestones!$AB$28),UPPER(TEXT(EDATE($D115,Milestones!$AA$28),"dd mmm yy"))&amp;" "&amp;Milestones!$AB$28&amp;" "&amp;Milestones!$AC$28&amp;";  ","")&amp;IF(AND(EDATE($D115,Milestones!$AA$29)&lt;=AsOfDate,IF($R115=0,$X115,IF(AND($T115&lt;&gt;"",EDATE($D115,Milestones!$AA$29)&gt;=$T115),$W115,IF(AND($S115&lt;&gt;"",EDATE($D115,Milestones!$AA$29)&gt;=$S115),$V115,$U115)))=Milestones!$AB$29),UPPER(TEXT(EDATE($D115,Milestones!$AA$29),"dd mmm yy"))&amp;" "&amp;Milestones!$AB$29&amp;" "&amp;Milestones!$AC$29&amp;";  ","")&amp;IF(AND(EDATE($D115,Milestones!$AA$30)&lt;=AsOfDate,IF($R115=0,$X115,IF(AND($T115&lt;&gt;"",EDATE($D115,Milestones!$AA$30)&gt;=$T115),$W115,IF(AND($S115&lt;&gt;"",EDATE($D115,Milestones!$AA$30)&gt;=$S115),$V115,$U115)))=Milestones!$AB$30),UPPER(TEXT(EDATE($D115,Milestones!$AA$30),"dd mmm yy"))&amp;" "&amp;Milestones!$AB$30&amp;" "&amp;Milestones!$AC$30&amp;";  ","")&amp;IF(AND(EDATE($D115,Milestones!$AA$31)&lt;=AsOfDate,IF($R115=0,$X115,IF(AND($T115&lt;&gt;"",EDATE($D115,Milestones!$AA$31)&gt;=$T115),$W115,IF(AND($S115&lt;&gt;"",EDATE($D115,Milestones!$AA$31)&gt;=$S115),$V115,$U115)))=Milestones!$AB$31),UPPER(TEXT(EDATE($D115,Milestones!$AA$31),"dd mmm yy"))&amp;" "&amp;Milestones!$AB$31&amp;" "&amp;Milestones!$AC$31&amp;";  ","")&amp;IF(AND(EDATE($D115,Milestones!$AA$32)&lt;=AsOfDate,IF($R115=0,$X115,IF(AND($T115&lt;&gt;"",EDATE($D115,Milestones!$AA$32)&gt;=$T115),$W115,IF(AND($S115&lt;&gt;"",EDATE($D115,Milestones!$AA$32)&gt;=$S115),$V115,$U115)))=Milestones!$AB$32),UPPER(TEXT(EDATE($D115,Milestones!$AA$32),"dd mmm yy"))&amp;" "&amp;Milestones!$AB$32&amp;" "&amp;Milestones!$AC$32&amp;";  ","")&amp;IF(AND(EDATE($D115,Milestones!$AA$33)&lt;=AsOfDate,IF($R115=0,$X115,IF(AND($T115&lt;&gt;"",EDATE($D115,Milestones!$AA$33)&gt;=$T115),$W115,IF(AND($S115&lt;&gt;"",EDATE($D115,Milestones!$AA$33)&gt;=$S115),$V115,$U115)))=Milestones!$AB$33),UPPER(TEXT(EDATE($D115,Milestones!$AA$33),"dd mmm yy"))&amp;" "&amp;Milestones!$AB$33&amp;" "&amp;Milestones!$AC$33&amp;";  ","")&amp;IF(AND(EDATE($D115,Milestones!$AA$34)&lt;=AsOfDate,IF($R115=0,$X115,IF(AND($T115&lt;&gt;"",EDATE($D115,Milestones!$AA$34)&gt;=$T115),$W115,IF(AND($S115&lt;&gt;"",EDATE($D115,Milestones!$AA$34)&gt;=$S115),$V115,$U115)))=Milestones!$AB$34),UPPER(TEXT(EDATE($D115,Milestones!$AA$34),"dd mmm yy"))&amp;" "&amp;Milestones!$AB$34&amp;" "&amp;Milestones!$AC$34&amp;";  ","")&amp;IF(AND(EDATE($D115,Milestones!$AA$35)&lt;=AsOfDate,IF($R115=0,$X115,IF(AND($T115&lt;&gt;"",EDATE($D115,Milestones!$AA$35)&gt;=$T115),$W115,IF(AND($S115&lt;&gt;"",EDATE($D115,Milestones!$AA$35)&gt;=$S115),$V115,$U115)))=Milestones!$AB$35),UPPER(TEXT(EDATE($D115,Milestones!$AA$35),"dd mmm yy"))&amp;" "&amp;Milestones!$AB$35&amp;" "&amp;Milestones!$AC$35&amp;";  ","")&amp;IF(AND(EDATE($D115,Milestones!$AA$36)&lt;=AsOfDate,IF($R115=0,$X115,IF(AND($T115&lt;&gt;"",EDATE($D115,Milestones!$AA$36)&gt;=$T115),$W115,IF(AND($S115&lt;&gt;"",EDATE($D115,Milestones!$AA$36)&gt;=$S115),$V115,$U115)))=Milestones!$AB$36),UPPER(TEXT(EDATE($D115,Milestones!$AA$36),"dd mmm yy"))&amp;" "&amp;Milestones!$AB$36&amp;" "&amp;Milestones!$AC$36&amp;";  ","")&amp;IF(AND(EDATE($D115,Milestones!$AA$37)&lt;=AsOfDate,IF($R115=0,$X115,IF(AND($T115&lt;&gt;"",EDATE($D115,Milestones!$AA$37)&gt;=$T115),$W115,IF(AND($S115&lt;&gt;"",EDATE($D115,Milestones!$AA$37)&gt;=$S115),$V115,$U115)))=Milestones!$AB$37),UPPER(TEXT(EDATE($D115,Milestones!$AA$37),"dd mmm yy"))&amp;" "&amp;Milestones!$AB$37&amp;" "&amp;Milestones!$AC$37&amp;";  ","")&amp;IF(AND(EDATE($D115,Milestones!$AA$38)&lt;=AsOfDate,IF($R115=0,$X115,IF(AND($T115&lt;&gt;"",EDATE($D115,Milestones!$AA$38)&gt;=$T115),$W115,IF(AND($S115&lt;&gt;"",EDATE($D115,Milestones!$AA$38)&gt;=$S115),$V115,$U115)))=Milestones!$AB$38),UPPER(TEXT(EDATE($D115,Milestones!$AA$38),"dd mmm yy"))&amp;" "&amp;Milestones!$AB$38&amp;" "&amp;Milestones!$AC$38&amp;";  ","")&amp;IF(AND(EDATE($D115,Milestones!$AA$39)&lt;=AsOfDate,IF($R115=0,$X115,IF(AND($T115&lt;&gt;"",EDATE($D115,Milestones!$AA$39)&gt;=$T115),$W115,IF(AND($S115&lt;&gt;"",EDATE($D115,Milestones!$AA$39)&gt;=$S115),$V115,$U115)))=Milestones!$AB$39),UPPER(TEXT(EDATE($D115,Milestones!$AA$39),"dd mmm yy"))&amp;" "&amp;Milestones!$AB$39&amp;" "&amp;Milestones!$AC$39&amp;";  ",""))</f>
        <v/>
      </c>
      <c r="J115" s="0" t="str">
        <f aca="false">IF(OR($A115="",$D115=""),"",IF(AND(EDATE($D115,Milestones!$AA$40)&lt;=AsOfDate,IF($R115=0,$X115,IF(AND($T115&lt;&gt;"",EDATE($D115,Milestones!$AA$40)&gt;=$T115),$W115,IF(AND($S115&lt;&gt;"",EDATE($D115,Milestones!$AA$40)&gt;=$S115),$V115,$U115)))=Milestones!$AB$40),UPPER(TEXT(EDATE($D115,Milestones!$AA$40),"dd mmm yy"))&amp;" "&amp;Milestones!$AB$40&amp;" "&amp;Milestones!$AC$40&amp;";  ","")&amp;IF(AND(EDATE($D115,Milestones!$AA$41)&lt;=AsOfDate,IF($R115=0,$X115,IF(AND($T115&lt;&gt;"",EDATE($D115,Milestones!$AA$41)&gt;=$T115),$W115,IF(AND($S115&lt;&gt;"",EDATE($D115,Milestones!$AA$41)&gt;=$S115),$V115,$U115)))=Milestones!$AB$41),UPPER(TEXT(EDATE($D115,Milestones!$AA$41),"dd mmm yy"))&amp;" "&amp;Milestones!$AB$41&amp;" "&amp;Milestones!$AC$41&amp;";  ","")&amp;IF(AND(EDATE($D115,Milestones!$AA$42)&lt;=AsOfDate,IF($R115=0,$X115,IF(AND($T115&lt;&gt;"",EDATE($D115,Milestones!$AA$42)&gt;=$T115),$W115,IF(AND($S115&lt;&gt;"",EDATE($D115,Milestones!$AA$42)&gt;=$S115),$V115,$U115)))=Milestones!$AB$42),UPPER(TEXT(EDATE($D115,Milestones!$AA$42),"dd mmm yy"))&amp;" "&amp;Milestones!$AB$42&amp;" "&amp;Milestones!$AC$42&amp;";  ","")&amp;IF(AND(EDATE($D115,Milestones!$AA$43)&lt;=AsOfDate,IF($R115=0,$X115,IF(AND($T115&lt;&gt;"",EDATE($D115,Milestones!$AA$43)&gt;=$T115),$W115,IF(AND($S115&lt;&gt;"",EDATE($D115,Milestones!$AA$43)&gt;=$S115),$V115,$U115)))=Milestones!$AB$43),UPPER(TEXT(EDATE($D115,Milestones!$AA$43),"dd mmm yy"))&amp;" "&amp;Milestones!$AB$43&amp;" "&amp;Milestones!$AC$43&amp;";  ","")&amp;IF(AND(EDATE($D115,Milestones!$AA$44)&lt;=AsOfDate,IF($R115=0,$X115,IF(AND($T115&lt;&gt;"",EDATE($D115,Milestones!$AA$44)&gt;=$T115),$W115,IF(AND($S115&lt;&gt;"",EDATE($D115,Milestones!$AA$44)&gt;=$S115),$V115,$U115)))=Milestones!$AB$44),UPPER(TEXT(EDATE($D115,Milestones!$AA$44),"dd mmm yy"))&amp;" "&amp;Milestones!$AB$44&amp;" "&amp;Milestones!$AC$44&amp;";  ","")&amp;IF(AND(EDATE($D115,Milestones!$AA$45)&lt;=AsOfDate,IF($R115=0,$X115,IF(AND($T115&lt;&gt;"",EDATE($D115,Milestones!$AA$45)&gt;=$T115),$W115,IF(AND($S115&lt;&gt;"",EDATE($D115,Milestones!$AA$45)&gt;=$S115),$V115,$U115)))=Milestones!$AB$45),UPPER(TEXT(EDATE($D115,Milestones!$AA$45),"dd mmm yy"))&amp;" "&amp;Milestones!$AB$45&amp;" "&amp;Milestones!$AC$45&amp;";  ","")&amp;IF(AND(EDATE($D115,Milestones!$AA$46)&lt;=AsOfDate,IF($R115=0,$X115,IF(AND($T115&lt;&gt;"",EDATE($D115,Milestones!$AA$46)&gt;=$T115),$W115,IF(AND($S115&lt;&gt;"",EDATE($D115,Milestones!$AA$46)&gt;=$S115),$V115,$U115)))=Milestones!$AB$46),UPPER(TEXT(EDATE($D115,Milestones!$AA$46),"dd mmm yy"))&amp;" "&amp;Milestones!$AB$46&amp;" "&amp;Milestones!$AC$46&amp;";  ","")&amp;IF(AND(EDATE($D115,Milestones!$AA$47)&lt;=AsOfDate,IF($R115=0,$X115,IF(AND($T115&lt;&gt;"",EDATE($D115,Milestones!$AA$47)&gt;=$T115),$W115,IF(AND($S115&lt;&gt;"",EDATE($D115,Milestones!$AA$47)&gt;=$S115),$V115,$U115)))=Milestones!$AB$47),UPPER(TEXT(EDATE($D115,Milestones!$AA$47),"dd mmm yy"))&amp;" "&amp;Milestones!$AB$47&amp;" "&amp;Milestones!$AC$47&amp;";  ","")&amp;IF(AND(EDATE($D115,Milestones!$AA$48)&lt;=AsOfDate,IF($R115=0,$X115,IF(AND($T115&lt;&gt;"",EDATE($D115,Milestones!$AA$48)&gt;=$T115),$W115,IF(AND($S115&lt;&gt;"",EDATE($D115,Milestones!$AA$48)&gt;=$S115),$V115,$U115)))=Milestones!$AB$48),UPPER(TEXT(EDATE($D115,Milestones!$AA$48),"dd mmm yy"))&amp;" "&amp;Milestones!$AB$48&amp;" "&amp;Milestones!$AC$48&amp;";  ","")&amp;IF(AND(EDATE($D115,Milestones!$AA$49)&lt;=AsOfDate,IF($R115=0,$X115,IF(AND($T115&lt;&gt;"",EDATE($D115,Milestones!$AA$49)&gt;=$T115),$W115,IF(AND($S115&lt;&gt;"",EDATE($D115,Milestones!$AA$49)&gt;=$S115),$V115,$U115)))=Milestones!$AB$49),UPPER(TEXT(EDATE($D115,Milestones!$AA$49),"dd mmm yy"))&amp;" "&amp;Milestones!$AB$49&amp;" "&amp;Milestones!$AC$49&amp;";  ","")&amp;IF(AND(EDATE($D115,Milestones!$AA$50)&lt;=AsOfDate,IF($R115=0,$X115,IF(AND($T115&lt;&gt;"",EDATE($D115,Milestones!$AA$50)&gt;=$T115),$W115,IF(AND($S115&lt;&gt;"",EDATE($D115,Milestones!$AA$50)&gt;=$S115),$V115,$U115)))=Milestones!$AB$50),UPPER(TEXT(EDATE($D115,Milestones!$AA$50),"dd mmm yy"))&amp;" "&amp;Milestones!$AB$50&amp;" "&amp;Milestones!$AC$50&amp;";  ","")&amp;IF(AND(EDATE($D115,Milestones!$AA$51)&lt;=AsOfDate,IF($R115=0,$X115,IF(AND($T115&lt;&gt;"",EDATE($D115,Milestones!$AA$51)&gt;=$T115),$W115,IF(AND($S115&lt;&gt;"",EDATE($D115,Milestones!$AA$51)&gt;=$S115),$V115,$U115)))=Milestones!$AB$51),UPPER(TEXT(EDATE($D115,Milestones!$AA$51),"dd mmm yy"))&amp;" "&amp;Milestones!$AB$51&amp;" "&amp;Milestones!$AC$51&amp;";  ","")&amp;IF(AND(EDATE($D115,Milestones!$AA$52)&lt;=AsOfDate,IF($R115=0,$X115,IF(AND($T115&lt;&gt;"",EDATE($D115,Milestones!$AA$52)&gt;=$T115),$W115,IF(AND($S115&lt;&gt;"",EDATE($D115,Milestones!$AA$52)&gt;=$S115),$V115,$U115)))=Milestones!$AB$52),UPPER(TEXT(EDATE($D115,Milestones!$AA$52),"dd mmm yy"))&amp;" "&amp;Milestones!$AB$52&amp;" "&amp;Milestones!$AC$52&amp;";  ","")&amp;IF(AND(EDATE($D115,Milestones!$AA$53)&lt;=AsOfDate,IF($R115=0,$X115,IF(AND($T115&lt;&gt;"",EDATE($D115,Milestones!$AA$53)&gt;=$T115),$W115,IF(AND($S115&lt;&gt;"",EDATE($D115,Milestones!$AA$53)&gt;=$S115),$V115,$U115)))=Milestones!$AB$53),UPPER(TEXT(EDATE($D115,Milestones!$AA$53),"dd mmm yy"))&amp;" "&amp;Milestones!$AB$53&amp;" "&amp;Milestones!$AC$53&amp;";  ","")&amp;IF(AND(EDATE($D115,Milestones!$AA$54)&lt;=AsOfDate,IF($R115=0,$X115,IF(AND($T115&lt;&gt;"",EDATE($D115,Milestones!$AA$54)&gt;=$T115),$W115,IF(AND($S115&lt;&gt;"",EDATE($D115,Milestones!$AA$54)&gt;=$S115),$V115,$U115)))=Milestones!$AB$54),UPPER(TEXT(EDATE($D115,Milestones!$AA$54),"dd mmm yy"))&amp;" "&amp;Milestones!$AB$54&amp;" "&amp;Milestones!$AC$54&amp;";  ","")&amp;IF(AND(EDATE($D115,Milestones!$AA$55)&lt;=AsOfDate,IF($R115=0,$X115,IF(AND($T115&lt;&gt;"",EDATE($D115,Milestones!$AA$55)&gt;=$T115),$W115,IF(AND($S115&lt;&gt;"",EDATE($D115,Milestones!$AA$55)&gt;=$S115),$V115,$U115)))=Milestones!$AB$55),UPPER(TEXT(EDATE($D115,Milestones!$AA$55),"dd mmm yy"))&amp;" "&amp;Milestones!$AB$55&amp;" "&amp;Milestones!$AC$55&amp;";  ","")&amp;IF(AND(EDATE($D115,Milestones!$AA$56)&lt;=AsOfDate,IF($R115=0,$X115,IF(AND($T115&lt;&gt;"",EDATE($D115,Milestones!$AA$56)&gt;=$T115),$W115,IF(AND($S115&lt;&gt;"",EDATE($D115,Milestones!$AA$56)&gt;=$S115),$V115,$U115)))=Milestones!$AB$56),UPPER(TEXT(EDATE($D115,Milestones!$AA$56),"dd mmm yy"))&amp;" "&amp;Milestones!$AB$56&amp;" "&amp;Milestones!$AC$56&amp;";  ","")&amp;IF(AND(EDATE($D115,Milestones!$AA$57)&lt;=AsOfDate,IF($R115=0,$X115,IF(AND($T115&lt;&gt;"",EDATE($D115,Milestones!$AA$57)&gt;=$T115),$W115,IF(AND($S115&lt;&gt;"",EDATE($D115,Milestones!$AA$57)&gt;=$S115),$V115,$U115)))=Milestones!$AB$57),UPPER(TEXT(EDATE($D115,Milestones!$AA$57),"dd mmm yy"))&amp;" "&amp;Milestones!$AB$57&amp;" "&amp;Milestones!$AC$57&amp;";  ","")&amp;IF(AND(EDATE($D115,Milestones!$AA$58)&lt;=AsOfDate,IF($R115=0,$X115,IF(AND($T115&lt;&gt;"",EDATE($D115,Milestones!$AA$58)&gt;=$T115),$W115,IF(AND($S115&lt;&gt;"",EDATE($D115,Milestones!$AA$58)&gt;=$S115),$V115,$U115)))=Milestones!$AB$58),UPPER(TEXT(EDATE($D115,Milestones!$AA$58),"dd mmm yy"))&amp;" "&amp;Milestones!$AB$58&amp;" "&amp;Milestones!$AC$58&amp;";  ","")&amp;IF(AND(EDATE($D115,Milestones!$AA$59)&lt;=AsOfDate,IF($R115=0,$X115,IF(AND($T115&lt;&gt;"",EDATE($D115,Milestones!$AA$59)&gt;=$T115),$W115,IF(AND($S115&lt;&gt;"",EDATE($D115,Milestones!$AA$59)&gt;=$S115),$V115,$U115)))=Milestones!$AB$59),UPPER(TEXT(EDATE($D115,Milestones!$AA$59),"dd mmm yy"))&amp;" "&amp;Milestones!$AB$59&amp;" "&amp;Milestones!$AC$59&amp;";  ",""))</f>
        <v/>
      </c>
      <c r="K115" s="0" t="str">
        <f aca="false">IF(OR($A115="",$D115=""),"",IF(AND(EDATE($D115,Milestones!$AA$60)&lt;=AsOfDate,IF($R115=0,$X115,IF(AND($T115&lt;&gt;"",EDATE($D115,Milestones!$AA$60)&gt;=$T115),$W115,IF(AND($S115&lt;&gt;"",EDATE($D115,Milestones!$AA$60)&gt;=$S115),$V115,$U115)))=Milestones!$AB$60),UPPER(TEXT(EDATE($D115,Milestones!$AA$60),"dd mmm yy"))&amp;" "&amp;Milestones!$AB$60&amp;" "&amp;Milestones!$AC$60&amp;";  ","")&amp;IF(AND(EDATE($D115,Milestones!$AA$61)&lt;=AsOfDate,IF($R115=0,$X115,IF(AND($T115&lt;&gt;"",EDATE($D115,Milestones!$AA$61)&gt;=$T115),$W115,IF(AND($S115&lt;&gt;"",EDATE($D115,Milestones!$AA$61)&gt;=$S115),$V115,$U115)))=Milestones!$AB$61),UPPER(TEXT(EDATE($D115,Milestones!$AA$61),"dd mmm yy"))&amp;" "&amp;Milestones!$AB$61&amp;" "&amp;Milestones!$AC$61&amp;";  ","")&amp;IF(AND(EDATE($D115,Milestones!$AA$62)&lt;=AsOfDate,IF($R115=0,$X115,IF(AND($T115&lt;&gt;"",EDATE($D115,Milestones!$AA$62)&gt;=$T115),$W115,IF(AND($S115&lt;&gt;"",EDATE($D115,Milestones!$AA$62)&gt;=$S115),$V115,$U115)))=Milestones!$AB$62),UPPER(TEXT(EDATE($D115,Milestones!$AA$62),"dd mmm yy"))&amp;" "&amp;Milestones!$AB$62&amp;" "&amp;Milestones!$AC$62&amp;";  ","")&amp;IF(AND(EDATE($D115,Milestones!$AA$63)&lt;=AsOfDate,IF($R115=0,$X115,IF(AND($T115&lt;&gt;"",EDATE($D115,Milestones!$AA$63)&gt;=$T115),$W115,IF(AND($S115&lt;&gt;"",EDATE($D115,Milestones!$AA$63)&gt;=$S115),$V115,$U115)))=Milestones!$AB$63),UPPER(TEXT(EDATE($D115,Milestones!$AA$63),"dd mmm yy"))&amp;" "&amp;Milestones!$AB$63&amp;" "&amp;Milestones!$AC$63&amp;";  ","")&amp;IF(AND(EDATE($D115,Milestones!$AA$64)&lt;=AsOfDate,IF($R115=0,$X115,IF(AND($T115&lt;&gt;"",EDATE($D115,Milestones!$AA$64)&gt;=$T115),$W115,IF(AND($S115&lt;&gt;"",EDATE($D115,Milestones!$AA$64)&gt;=$S115),$V115,$U115)))=Milestones!$AB$64),UPPER(TEXT(EDATE($D115,Milestones!$AA$64),"dd mmm yy"))&amp;" "&amp;Milestones!$AB$64&amp;" "&amp;Milestones!$AC$64&amp;";  ","")&amp;IF(AND(EDATE($D115,Milestones!$AA$65)&lt;=AsOfDate,IF($R115=0,$X115,IF(AND($T115&lt;&gt;"",EDATE($D115,Milestones!$AA$65)&gt;=$T115),$W115,IF(AND($S115&lt;&gt;"",EDATE($D115,Milestones!$AA$65)&gt;=$S115),$V115,$U115)))=Milestones!$AB$65),UPPER(TEXT(EDATE($D115,Milestones!$AA$65),"dd mmm yy"))&amp;" "&amp;Milestones!$AB$65&amp;" "&amp;Milestones!$AC$65&amp;";  ","")&amp;IF(AND(EDATE($D115,Milestones!$AA$66)&lt;=AsOfDate,IF($R115=0,$X115,IF(AND($T115&lt;&gt;"",EDATE($D115,Milestones!$AA$66)&gt;=$T115),$W115,IF(AND($S115&lt;&gt;"",EDATE($D115,Milestones!$AA$66)&gt;=$S115),$V115,$U115)))=Milestones!$AB$66),UPPER(TEXT(EDATE($D115,Milestones!$AA$66),"dd mmm yy"))&amp;" "&amp;Milestones!$AB$66&amp;" "&amp;Milestones!$AC$66&amp;";  ","")&amp;IF(AND(EDATE($D115,Milestones!$AA$67)&lt;=AsOfDate,IF($R115=0,$X115,IF(AND($T115&lt;&gt;"",EDATE($D115,Milestones!$AA$67)&gt;=$T115),$W115,IF(AND($S115&lt;&gt;"",EDATE($D115,Milestones!$AA$67)&gt;=$S115),$V115,$U115)))=Milestones!$AB$67),UPPER(TEXT(EDATE($D115,Milestones!$AA$67),"dd mmm yy"))&amp;" "&amp;Milestones!$AB$67&amp;" "&amp;Milestones!$AC$67&amp;";  ","")&amp;IF(AND(EDATE($D115,Milestones!$AA$68)&lt;=AsOfDate,IF($R115=0,$X115,IF(AND($T115&lt;&gt;"",EDATE($D115,Milestones!$AA$68)&gt;=$T115),$W115,IF(AND($S115&lt;&gt;"",EDATE($D115,Milestones!$AA$68)&gt;=$S115),$V115,$U115)))=Milestones!$AB$68),UPPER(TEXT(EDATE($D115,Milestones!$AA$68),"dd mmm yy"))&amp;" "&amp;Milestones!$AB$68&amp;" "&amp;Milestones!$AC$68&amp;";  ","")&amp;IF(AND(EDATE($D115,Milestones!$AA$69)&lt;=AsOfDate,IF($R115=0,$X115,IF(AND($T115&lt;&gt;"",EDATE($D115,Milestones!$AA$69)&gt;=$T115),$W115,IF(AND($S115&lt;&gt;"",EDATE($D115,Milestones!$AA$69)&gt;=$S115),$V115,$U115)))=Milestones!$AB$69),UPPER(TEXT(EDATE($D115,Milestones!$AA$69),"dd mmm yy"))&amp;" "&amp;Milestones!$AB$69&amp;" "&amp;Milestones!$AC$69&amp;";  ","")&amp;IF(AND(EDATE($D115,Milestones!$AA$70)&lt;=AsOfDate,IF($R115=0,$X115,IF(AND($T115&lt;&gt;"",EDATE($D115,Milestones!$AA$70)&gt;=$T115),$W115,IF(AND($S115&lt;&gt;"",EDATE($D115,Milestones!$AA$70)&gt;=$S115),$V115,$U115)))=Milestones!$AB$70),UPPER(TEXT(EDATE($D115,Milestones!$AA$70),"dd mmm yy"))&amp;" "&amp;Milestones!$AB$70&amp;" "&amp;Milestones!$AC$70&amp;";  ","")&amp;IF(AND(EDATE($D115,Milestones!$AA$71)&lt;=AsOfDate,IF($R115=0,$X115,IF(AND($T115&lt;&gt;"",EDATE($D115,Milestones!$AA$71)&gt;=$T115),$W115,IF(AND($S115&lt;&gt;"",EDATE($D115,Milestones!$AA$71)&gt;=$S115),$V115,$U115)))=Milestones!$AB$71),UPPER(TEXT(EDATE($D115,Milestones!$AA$71),"dd mmm yy"))&amp;" "&amp;Milestones!$AB$71&amp;" "&amp;Milestones!$AC$71&amp;";  ","")&amp;IF(AND(EDATE($D115,Milestones!$AA$72)&lt;=AsOfDate,IF($R115=0,$X115,IF(AND($T115&lt;&gt;"",EDATE($D115,Milestones!$AA$72)&gt;=$T115),$W115,IF(AND($S115&lt;&gt;"",EDATE($D115,Milestones!$AA$72)&gt;=$S115),$V115,$U115)))=Milestones!$AB$72),UPPER(TEXT(EDATE($D115,Milestones!$AA$72),"dd mmm yy"))&amp;" "&amp;Milestones!$AB$72&amp;" "&amp;Milestones!$AC$72&amp;";  ","")&amp;IF(AND(EDATE($D115,Milestones!$AA$73)&lt;=AsOfDate,IF($R115=0,$X115,IF(AND($T115&lt;&gt;"",EDATE($D115,Milestones!$AA$73)&gt;=$T115),$W115,IF(AND($S115&lt;&gt;"",EDATE($D115,Milestones!$AA$73)&gt;=$S115),$V115,$U115)))=Milestones!$AB$73),UPPER(TEXT(EDATE($D115,Milestones!$AA$73),"dd mmm yy"))&amp;" "&amp;Milestones!$AB$73&amp;" "&amp;Milestones!$AC$73&amp;";  ","")&amp;IF(AND(EDATE($D115,Milestones!$AA$74)&lt;=AsOfDate,IF($R115=0,$X115,IF(AND($T115&lt;&gt;"",EDATE($D115,Milestones!$AA$74)&gt;=$T115),$W115,IF(AND($S115&lt;&gt;"",EDATE($D115,Milestones!$AA$74)&gt;=$S115),$V115,$U115)))=Milestones!$AB$74),UPPER(TEXT(EDATE($D115,Milestones!$AA$74),"dd mmm yy"))&amp;" "&amp;Milestones!$AB$74&amp;" "&amp;Milestones!$AC$74&amp;";  ","")&amp;IF(AND(EDATE($D115,Milestones!$AA$75)&lt;=AsOfDate,IF($R115=0,$X115,IF(AND($T115&lt;&gt;"",EDATE($D115,Milestones!$AA$75)&gt;=$T115),$W115,IF(AND($S115&lt;&gt;"",EDATE($D115,Milestones!$AA$75)&gt;=$S115),$V115,$U115)))=Milestones!$AB$75),UPPER(TEXT(EDATE($D115,Milestones!$AA$75),"dd mmm yy"))&amp;" "&amp;Milestones!$AB$75&amp;" "&amp;Milestones!$AC$75&amp;";  ","")&amp;IF(AND(EDATE($D115,Milestones!$AA$76)&lt;=AsOfDate,IF($R115=0,$X115,IF(AND($T115&lt;&gt;"",EDATE($D115,Milestones!$AA$76)&gt;=$T115),$W115,IF(AND($S115&lt;&gt;"",EDATE($D115,Milestones!$AA$76)&gt;=$S115),$V115,$U115)))=Milestones!$AB$76),UPPER(TEXT(EDATE($D115,Milestones!$AA$76),"dd mmm yy"))&amp;" "&amp;Milestones!$AB$76&amp;" "&amp;Milestones!$AC$76&amp;";  ","")&amp;IF(AND(EDATE($D115,Milestones!$AA$77)&lt;=AsOfDate,IF($R115=0,$X115,IF(AND($T115&lt;&gt;"",EDATE($D115,Milestones!$AA$77)&gt;=$T115),$W115,IF(AND($S115&lt;&gt;"",EDATE($D115,Milestones!$AA$77)&gt;=$S115),$V115,$U115)))=Milestones!$AB$77),UPPER(TEXT(EDATE($D115,Milestones!$AA$77),"dd mmm yy"))&amp;" "&amp;Milestones!$AB$77&amp;" "&amp;Milestones!$AC$77&amp;";  ","")&amp;IF(AND(EDATE($D115,Milestones!$AA$78)&lt;=AsOfDate,IF($R115=0,$X115,IF(AND($T115&lt;&gt;"",EDATE($D115,Milestones!$AA$78)&gt;=$T115),$W115,IF(AND($S115&lt;&gt;"",EDATE($D115,Milestones!$AA$78)&gt;=$S115),$V115,$U115)))=Milestones!$AB$78),UPPER(TEXT(EDATE($D115,Milestones!$AA$78),"dd mmm yy"))&amp;" "&amp;Milestones!$AB$78&amp;" "&amp;Milestones!$AC$78&amp;";  ","")&amp;IF(AND(EDATE($D115,Milestones!$AA$79)&lt;=AsOfDate,IF($R115=0,$X115,IF(AND($T115&lt;&gt;"",EDATE($D115,Milestones!$AA$79)&gt;=$T115),$W115,IF(AND($S115&lt;&gt;"",EDATE($D115,Milestones!$AA$79)&gt;=$S115),$V115,$U115)))=Milestones!$AB$79),UPPER(TEXT(EDATE($D115,Milestones!$AA$79),"dd mmm yy"))&amp;" "&amp;Milestones!$AB$79&amp;" "&amp;Milestones!$AC$79&amp;";  ",""))</f>
        <v/>
      </c>
      <c r="L115" s="0" t="str">
        <f aca="false">IF(OR($A115="",$D115=""),"",IF(AND(EDATE($D115,Milestones!$AA$80)&lt;=AsOfDate,IF($R115=0,$X115,IF(AND($T115&lt;&gt;"",EDATE($D115,Milestones!$AA$80)&gt;=$T115),$W115,IF(AND($S115&lt;&gt;"",EDATE($D115,Milestones!$AA$80)&gt;=$S115),$V115,$U115)))=Milestones!$AB$80),UPPER(TEXT(EDATE($D115,Milestones!$AA$80),"dd mmm yy"))&amp;" "&amp;Milestones!$AB$80&amp;" "&amp;Milestones!$AC$80&amp;";  ","")&amp;IF(AND(EDATE($D115,Milestones!$AA$81)&lt;=AsOfDate,IF($R115=0,$X115,IF(AND($T115&lt;&gt;"",EDATE($D115,Milestones!$AA$81)&gt;=$T115),$W115,IF(AND($S115&lt;&gt;"",EDATE($D115,Milestones!$AA$81)&gt;=$S115),$V115,$U115)))=Milestones!$AB$81),UPPER(TEXT(EDATE($D115,Milestones!$AA$81),"dd mmm yy"))&amp;" "&amp;Milestones!$AB$81&amp;" "&amp;Milestones!$AC$81&amp;";  ","")&amp;IF(AND(EDATE($D115,Milestones!$AA$82)&lt;=AsOfDate,IF($R115=0,$X115,IF(AND($T115&lt;&gt;"",EDATE($D115,Milestones!$AA$82)&gt;=$T115),$W115,IF(AND($S115&lt;&gt;"",EDATE($D115,Milestones!$AA$82)&gt;=$S115),$V115,$U115)))=Milestones!$AB$82),UPPER(TEXT(EDATE($D115,Milestones!$AA$82),"dd mmm yy"))&amp;" "&amp;Milestones!$AB$82&amp;" "&amp;Milestones!$AC$82&amp;";  ","")&amp;IF(AND(EDATE($D115,Milestones!$AA$83)&lt;=AsOfDate,IF($R115=0,$X115,IF(AND($T115&lt;&gt;"",EDATE($D115,Milestones!$AA$83)&gt;=$T115),$W115,IF(AND($S115&lt;&gt;"",EDATE($D115,Milestones!$AA$83)&gt;=$S115),$V115,$U115)))=Milestones!$AB$83),UPPER(TEXT(EDATE($D115,Milestones!$AA$83),"dd mmm yy"))&amp;" "&amp;Milestones!$AB$83&amp;" "&amp;Milestones!$AC$83&amp;";  ","")&amp;IF(AND(EDATE($D115,Milestones!$AA$84)&lt;=AsOfDate,IF($R115=0,$X115,IF(AND($T115&lt;&gt;"",EDATE($D115,Milestones!$AA$84)&gt;=$T115),$W115,IF(AND($S115&lt;&gt;"",EDATE($D115,Milestones!$AA$84)&gt;=$S115),$V115,$U115)))=Milestones!$AB$84),UPPER(TEXT(EDATE($D115,Milestones!$AA$84),"dd mmm yy"))&amp;" "&amp;Milestones!$AB$84&amp;" "&amp;Milestones!$AC$84&amp;";  ","")&amp;IF(AND(EDATE($D115,Milestones!$AA$85)&lt;=AsOfDate,IF($R115=0,$X115,IF(AND($T115&lt;&gt;"",EDATE($D115,Milestones!$AA$85)&gt;=$T115),$W115,IF(AND($S115&lt;&gt;"",EDATE($D115,Milestones!$AA$85)&gt;=$S115),$V115,$U115)))=Milestones!$AB$85),UPPER(TEXT(EDATE($D115,Milestones!$AA$85),"dd mmm yy"))&amp;" "&amp;Milestones!$AB$85&amp;" "&amp;Milestones!$AC$85&amp;";  ","")&amp;IF(AND(EDATE($D115,Milestones!$AA$86)&lt;=AsOfDate,IF($R115=0,$X115,IF(AND($T115&lt;&gt;"",EDATE($D115,Milestones!$AA$86)&gt;=$T115),$W115,IF(AND($S115&lt;&gt;"",EDATE($D115,Milestones!$AA$86)&gt;=$S115),$V115,$U115)))=Milestones!$AB$86),UPPER(TEXT(EDATE($D115,Milestones!$AA$86),"dd mmm yy"))&amp;" "&amp;Milestones!$AB$86&amp;" "&amp;Milestones!$AC$86&amp;";  ","")&amp;IF(AND(EDATE($D115,Milestones!$AA$87)&lt;=AsOfDate,IF($R115=0,$X115,IF(AND($T115&lt;&gt;"",EDATE($D115,Milestones!$AA$87)&gt;=$T115),$W115,IF(AND($S115&lt;&gt;"",EDATE($D115,Milestones!$AA$87)&gt;=$S115),$V115,$U115)))=Milestones!$AB$87),UPPER(TEXT(EDATE($D115,Milestones!$AA$87),"dd mmm yy"))&amp;" "&amp;Milestones!$AB$87&amp;" "&amp;Milestones!$AC$87&amp;";  ","")&amp;IF(AND(EDATE($D115,Milestones!$AA$88)&lt;=AsOfDate,IF($R115=0,$X115,IF(AND($T115&lt;&gt;"",EDATE($D115,Milestones!$AA$88)&gt;=$T115),$W115,IF(AND($S115&lt;&gt;"",EDATE($D115,Milestones!$AA$88)&gt;=$S115),$V115,$U115)))=Milestones!$AB$88),UPPER(TEXT(EDATE($D115,Milestones!$AA$88),"dd mmm yy"))&amp;" "&amp;Milestones!$AB$88&amp;" "&amp;Milestones!$AC$88&amp;";  ","")&amp;IF(AND(EDATE($D115,Milestones!$AA$89)&lt;=AsOfDate,IF($R115=0,$X115,IF(AND($T115&lt;&gt;"",EDATE($D115,Milestones!$AA$89)&gt;=$T115),$W115,IF(AND($S115&lt;&gt;"",EDATE($D115,Milestones!$AA$89)&gt;=$S115),$V115,$U115)))=Milestones!$AB$89),UPPER(TEXT(EDATE($D115,Milestones!$AA$89),"dd mmm yy"))&amp;" "&amp;Milestones!$AB$89&amp;" "&amp;Milestones!$AC$89&amp;";  ","")&amp;IF(AND(EDATE($D115,Milestones!$AA$90)&lt;=AsOfDate,IF($R115=0,$X115,IF(AND($T115&lt;&gt;"",EDATE($D115,Milestones!$AA$90)&gt;=$T115),$W115,IF(AND($S115&lt;&gt;"",EDATE($D115,Milestones!$AA$90)&gt;=$S115),$V115,$U115)))=Milestones!$AB$90),UPPER(TEXT(EDATE($D115,Milestones!$AA$90),"dd mmm yy"))&amp;" "&amp;Milestones!$AB$90&amp;" "&amp;Milestones!$AC$90&amp;";  ","")&amp;IF(AND(EDATE($D115,Milestones!$AA$91)&lt;=AsOfDate,IF($R115=0,$X115,IF(AND($T115&lt;&gt;"",EDATE($D115,Milestones!$AA$91)&gt;=$T115),$W115,IF(AND($S115&lt;&gt;"",EDATE($D115,Milestones!$AA$91)&gt;=$S115),$V115,$U115)))=Milestones!$AB$91),UPPER(TEXT(EDATE($D115,Milestones!$AA$91),"dd mmm yy"))&amp;" "&amp;Milestones!$AB$91&amp;" "&amp;Milestones!$AC$91&amp;";  ","")&amp;IF(AND(EDATE($D115,Milestones!$AA$92)&lt;=AsOfDate,IF($R115=0,$X115,IF(AND($T115&lt;&gt;"",EDATE($D115,Milestones!$AA$92)&gt;=$T115),$W115,IF(AND($S115&lt;&gt;"",EDATE($D115,Milestones!$AA$92)&gt;=$S115),$V115,$U115)))=Milestones!$AB$92),UPPER(TEXT(EDATE($D115,Milestones!$AA$92),"dd mmm yy"))&amp;" "&amp;Milestones!$AB$92&amp;" "&amp;Milestones!$AC$92&amp;";  ","")&amp;IF(AND(EDATE($D115,Milestones!$AA$93)&lt;=AsOfDate,IF($R115=0,$X115,IF(AND($T115&lt;&gt;"",EDATE($D115,Milestones!$AA$93)&gt;=$T115),$W115,IF(AND($S115&lt;&gt;"",EDATE($D115,Milestones!$AA$93)&gt;=$S115),$V115,$U115)))=Milestones!$AB$93),UPPER(TEXT(EDATE($D115,Milestones!$AA$93),"dd mmm yy"))&amp;" "&amp;Milestones!$AB$93&amp;" "&amp;Milestones!$AC$93&amp;";  ","")&amp;IF(AND(EDATE($D115,Milestones!$AA$94)&lt;=AsOfDate,IF($R115=0,$X115,IF(AND($T115&lt;&gt;"",EDATE($D115,Milestones!$AA$94)&gt;=$T115),$W115,IF(AND($S115&lt;&gt;"",EDATE($D115,Milestones!$AA$94)&gt;=$S115),$V115,$U115)))=Milestones!$AB$94),UPPER(TEXT(EDATE($D115,Milestones!$AA$94),"dd mmm yy"))&amp;" "&amp;Milestones!$AB$94&amp;" "&amp;Milestones!$AC$94&amp;";  ","")&amp;IF(AND(EDATE($D115,Milestones!$AA$95)&lt;=AsOfDate,IF($R115=0,$X115,IF(AND($T115&lt;&gt;"",EDATE($D115,Milestones!$AA$95)&gt;=$T115),$W115,IF(AND($S115&lt;&gt;"",EDATE($D115,Milestones!$AA$95)&gt;=$S115),$V115,$U115)))=Milestones!$AB$95),UPPER(TEXT(EDATE($D115,Milestones!$AA$95),"dd mmm yy"))&amp;" "&amp;Milestones!$AB$95&amp;" "&amp;Milestones!$AC$95&amp;";  ","")&amp;IF(AND(EDATE($D115,Milestones!$AA$96)&lt;=AsOfDate,IF($R115=0,$X115,IF(AND($T115&lt;&gt;"",EDATE($D115,Milestones!$AA$96)&gt;=$T115),$W115,IF(AND($S115&lt;&gt;"",EDATE($D115,Milestones!$AA$96)&gt;=$S115),$V115,$U115)))=Milestones!$AB$96),UPPER(TEXT(EDATE($D115,Milestones!$AA$96),"dd mmm yy"))&amp;" "&amp;Milestones!$AB$96&amp;" "&amp;Milestones!$AC$96&amp;";  ","")&amp;IF(AND(EDATE($D115,Milestones!$AA$97)&lt;=AsOfDate,IF($R115=0,$X115,IF(AND($T115&lt;&gt;"",EDATE($D115,Milestones!$AA$97)&gt;=$T115),$W115,IF(AND($S115&lt;&gt;"",EDATE($D115,Milestones!$AA$97)&gt;=$S115),$V115,$U115)))=Milestones!$AB$97),UPPER(TEXT(EDATE($D115,Milestones!$AA$97),"dd mmm yy"))&amp;" "&amp;Milestones!$AB$97&amp;" "&amp;Milestones!$AC$97&amp;";  ","")&amp;IF(AND(EDATE($D115,Milestones!$AA$98)&lt;=AsOfDate,IF($R115=0,$X115,IF(AND($T115&lt;&gt;"",EDATE($D115,Milestones!$AA$98)&gt;=$T115),$W115,IF(AND($S115&lt;&gt;"",EDATE($D115,Milestones!$AA$98)&gt;=$S115),$V115,$U115)))=Milestones!$AB$98),UPPER(TEXT(EDATE($D115,Milestones!$AA$98),"dd mmm yy"))&amp;" "&amp;Milestones!$AB$98&amp;" "&amp;Milestones!$AC$98&amp;";  ","")&amp;IF(AND(EDATE($D115,Milestones!$AA$99)&lt;=AsOfDate,IF($R115=0,$X115,IF(AND($T115&lt;&gt;"",EDATE($D115,Milestones!$AA$99)&gt;=$T115),$W115,IF(AND($S115&lt;&gt;"",EDATE($D115,Milestones!$AA$99)&gt;=$S115),$V115,$U115)))=Milestones!$AB$99),UPPER(TEXT(EDATE($D115,Milestones!$AA$99),"dd mmm yy"))&amp;" "&amp;Milestones!$AB$99&amp;" "&amp;Milestones!$AC$99&amp;";  ",""))</f>
        <v/>
      </c>
      <c r="M115" s="0" t="str">
        <f aca="false">IF(OR($A115="",$D115=""),"",IF(AND(EDATE($D115,Milestones!$AA$100)&lt;=AsOfDate,IF($R115=0,$X115,IF(AND($T115&lt;&gt;"",EDATE($D115,Milestones!$AA$100)&gt;=$T115),$W115,IF(AND($S115&lt;&gt;"",EDATE($D115,Milestones!$AA$100)&gt;=$S115),$V115,$U115)))=Milestones!$AB$100),UPPER(TEXT(EDATE($D115,Milestones!$AA$100),"dd mmm yy"))&amp;" "&amp;Milestones!$AB$100&amp;" "&amp;Milestones!$AC$100&amp;";  ","")&amp;IF(AND(EDATE($D115,Milestones!$AA$101)&lt;=AsOfDate,IF($R115=0,$X115,IF(AND($T115&lt;&gt;"",EDATE($D115,Milestones!$AA$101)&gt;=$T115),$W115,IF(AND($S115&lt;&gt;"",EDATE($D115,Milestones!$AA$101)&gt;=$S115),$V115,$U115)))=Milestones!$AB$101),UPPER(TEXT(EDATE($D115,Milestones!$AA$101),"dd mmm yy"))&amp;" "&amp;Milestones!$AB$101&amp;" "&amp;Milestones!$AC$101&amp;";  ","")&amp;IF(AND(EDATE($D115,Milestones!$AA$102)&lt;=AsOfDate,IF($R115=0,$X115,IF(AND($T115&lt;&gt;"",EDATE($D115,Milestones!$AA$102)&gt;=$T115),$W115,IF(AND($S115&lt;&gt;"",EDATE($D115,Milestones!$AA$102)&gt;=$S115),$V115,$U115)))=Milestones!$AB$102),UPPER(TEXT(EDATE($D115,Milestones!$AA$102),"dd mmm yy"))&amp;" "&amp;Milestones!$AB$102&amp;" "&amp;Milestones!$AC$102&amp;";  ","")&amp;IF(AND(EDATE($D115,Milestones!$AA$103)&lt;=AsOfDate,IF($R115=0,$X115,IF(AND($T115&lt;&gt;"",EDATE($D115,Milestones!$AA$103)&gt;=$T115),$W115,IF(AND($S115&lt;&gt;"",EDATE($D115,Milestones!$AA$103)&gt;=$S115),$V115,$U115)))=Milestones!$AB$103),UPPER(TEXT(EDATE($D115,Milestones!$AA$103),"dd mmm yy"))&amp;" "&amp;Milestones!$AB$103&amp;" "&amp;Milestones!$AC$103&amp;";  ","")&amp;IF(AND(EDATE($D115,Milestones!$AA$104)&lt;=AsOfDate,IF($R115=0,$X115,IF(AND($T115&lt;&gt;"",EDATE($D115,Milestones!$AA$104)&gt;=$T115),$W115,IF(AND($S115&lt;&gt;"",EDATE($D115,Milestones!$AA$104)&gt;=$S115),$V115,$U115)))=Milestones!$AB$104),UPPER(TEXT(EDATE($D115,Milestones!$AA$104),"dd mmm yy"))&amp;" "&amp;Milestones!$AB$104&amp;" "&amp;Milestones!$AC$104&amp;";  ","")&amp;IF(AND(EDATE($D115,Milestones!$AA$105)&lt;=AsOfDate,IF($R115=0,$X115,IF(AND($T115&lt;&gt;"",EDATE($D115,Milestones!$AA$105)&gt;=$T115),$W115,IF(AND($S115&lt;&gt;"",EDATE($D115,Milestones!$AA$105)&gt;=$S115),$V115,$U115)))=Milestones!$AB$105),UPPER(TEXT(EDATE($D115,Milestones!$AA$105),"dd mmm yy"))&amp;" "&amp;Milestones!$AB$105&amp;" "&amp;Milestones!$AC$105&amp;";  ","")&amp;IF(AND(EDATE($D115,Milestones!$AA$106)&lt;=AsOfDate,IF($R115=0,$X115,IF(AND($T115&lt;&gt;"",EDATE($D115,Milestones!$AA$106)&gt;=$T115),$W115,IF(AND($S115&lt;&gt;"",EDATE($D115,Milestones!$AA$106)&gt;=$S115),$V115,$U115)))=Milestones!$AB$106),UPPER(TEXT(EDATE($D115,Milestones!$AA$106),"dd mmm yy"))&amp;" "&amp;Milestones!$AB$106&amp;" "&amp;Milestones!$AC$106&amp;";  ","")&amp;IF(AND(EDATE($D115,Milestones!$AA$107)&lt;=AsOfDate,IF($R115=0,$X115,IF(AND($T115&lt;&gt;"",EDATE($D115,Milestones!$AA$107)&gt;=$T115),$W115,IF(AND($S115&lt;&gt;"",EDATE($D115,Milestones!$AA$107)&gt;=$S115),$V115,$U115)))=Milestones!$AB$107),UPPER(TEXT(EDATE($D115,Milestones!$AA$107),"dd mmm yy"))&amp;" "&amp;Milestones!$AB$107&amp;" "&amp;Milestones!$AC$107&amp;";  ","")&amp;IF(AND(EDATE($D115,Milestones!$AA$108)&lt;=AsOfDate,IF($R115=0,$X115,IF(AND($T115&lt;&gt;"",EDATE($D115,Milestones!$AA$108)&gt;=$T115),$W115,IF(AND($S115&lt;&gt;"",EDATE($D115,Milestones!$AA$108)&gt;=$S115),$V115,$U115)))=Milestones!$AB$108),UPPER(TEXT(EDATE($D115,Milestones!$AA$108),"dd mmm yy"))&amp;" "&amp;Milestones!$AB$108&amp;" "&amp;Milestones!$AC$108&amp;";  ","")&amp;IF(AND(EDATE($D115,Milestones!$AA$109)&lt;=AsOfDate,IF($R115=0,$X115,IF(AND($T115&lt;&gt;"",EDATE($D115,Milestones!$AA$109)&gt;=$T115),$W115,IF(AND($S115&lt;&gt;"",EDATE($D115,Milestones!$AA$109)&gt;=$S115),$V115,$U115)))=Milestones!$AB$109),UPPER(TEXT(EDATE($D115,Milestones!$AA$109),"dd mmm yy"))&amp;" "&amp;Milestones!$AB$109&amp;" "&amp;Milestones!$AC$109&amp;";  ","")&amp;IF(AND(EDATE($D115,Milestones!$AA$110)&lt;=AsOfDate,IF($R115=0,$X115,IF(AND($T115&lt;&gt;"",EDATE($D115,Milestones!$AA$110)&gt;=$T115),$W115,IF(AND($S115&lt;&gt;"",EDATE($D115,Milestones!$AA$110)&gt;=$S115),$V115,$U115)))=Milestones!$AB$110),UPPER(TEXT(EDATE($D115,Milestones!$AA$110),"dd mmm yy"))&amp;" "&amp;Milestones!$AB$110&amp;" "&amp;Milestones!$AC$110&amp;";  ","")&amp;IF(AND(EDATE($D115,Milestones!$AA$111)&lt;=AsOfDate,IF($R115=0,$X115,IF(AND($T115&lt;&gt;"",EDATE($D115,Milestones!$AA$111)&gt;=$T115),$W115,IF(AND($S115&lt;&gt;"",EDATE($D115,Milestones!$AA$111)&gt;=$S115),$V115,$U115)))=Milestones!$AB$111),UPPER(TEXT(EDATE($D115,Milestones!$AA$111),"dd mmm yy"))&amp;" "&amp;Milestones!$AB$111&amp;" "&amp;Milestones!$AC$111&amp;";  ","")&amp;IF(AND(EDATE($D115,Milestones!$AA$112)&lt;=AsOfDate,IF($R115=0,$X115,IF(AND($T115&lt;&gt;"",EDATE($D115,Milestones!$AA$112)&gt;=$T115),$W115,IF(AND($S115&lt;&gt;"",EDATE($D115,Milestones!$AA$112)&gt;=$S115),$V115,$U115)))=Milestones!$AB$112),UPPER(TEXT(EDATE($D115,Milestones!$AA$112),"dd mmm yy"))&amp;" "&amp;Milestones!$AB$112&amp;" "&amp;Milestones!$AC$112&amp;";  ","")&amp;IF(AND(EDATE($D115,Milestones!$AA$113)&lt;=AsOfDate,IF($R115=0,$X115,IF(AND($T115&lt;&gt;"",EDATE($D115,Milestones!$AA$113)&gt;=$T115),$W115,IF(AND($S115&lt;&gt;"",EDATE($D115,Milestones!$AA$113)&gt;=$S115),$V115,$U115)))=Milestones!$AB$113),UPPER(TEXT(EDATE($D115,Milestones!$AA$113),"dd mmm yy"))&amp;" "&amp;Milestones!$AB$113&amp;" "&amp;Milestones!$AC$113&amp;";  ","")&amp;IF(AND(EDATE($D115,Milestones!$AA$114)&lt;=AsOfDate,IF($R115=0,$X115,IF(AND($T115&lt;&gt;"",EDATE($D115,Milestones!$AA$114)&gt;=$T115),$W115,IF(AND($S115&lt;&gt;"",EDATE($D115,Milestones!$AA$114)&gt;=$S115),$V115,$U115)))=Milestones!$AB$114),UPPER(TEXT(EDATE($D115,Milestones!$AA$114),"dd mmm yy"))&amp;" "&amp;Milestones!$AB$114&amp;" "&amp;Milestones!$AC$114&amp;";  ","")&amp;IF(AND(EDATE($D115,Milestones!$AA$115)&lt;=AsOfDate,IF($R115=0,$X115,IF(AND($T115&lt;&gt;"",EDATE($D115,Milestones!$AA$115)&gt;=$T115),$W115,IF(AND($S115&lt;&gt;"",EDATE($D115,Milestones!$AA$115)&gt;=$S115),$V115,$U115)))=Milestones!$AB$115),UPPER(TEXT(EDATE($D115,Milestones!$AA$115),"dd mmm yy"))&amp;" "&amp;Milestones!$AB$115&amp;" "&amp;Milestones!$AC$115&amp;";  ","")&amp;IF(AND(EDATE($D115,Milestones!$AA$116)&lt;=AsOfDate,IF($R115=0,$X115,IF(AND($T115&lt;&gt;"",EDATE($D115,Milestones!$AA$116)&gt;=$T115),$W115,IF(AND($S115&lt;&gt;"",EDATE($D115,Milestones!$AA$116)&gt;=$S115),$V115,$U115)))=Milestones!$AB$116),UPPER(TEXT(EDATE($D115,Milestones!$AA$116),"dd mmm yy"))&amp;" "&amp;Milestones!$AB$116&amp;" "&amp;Milestones!$AC$116&amp;";  ","")&amp;IF(AND(EDATE($D115,Milestones!$AA$117)&lt;=AsOfDate,IF($R115=0,$X115,IF(AND($T115&lt;&gt;"",EDATE($D115,Milestones!$AA$117)&gt;=$T115),$W115,IF(AND($S115&lt;&gt;"",EDATE($D115,Milestones!$AA$117)&gt;=$S115),$V115,$U115)))=Milestones!$AB$117),UPPER(TEXT(EDATE($D115,Milestones!$AA$117),"dd mmm yy"))&amp;" "&amp;Milestones!$AB$117&amp;" "&amp;Milestones!$AC$117&amp;";  ","")&amp;IF(AND(EDATE($D115,Milestones!$AA$118)&lt;=AsOfDate,IF($R115=0,$X115,IF(AND($T115&lt;&gt;"",EDATE($D115,Milestones!$AA$118)&gt;=$T115),$W115,IF(AND($S115&lt;&gt;"",EDATE($D115,Milestones!$AA$118)&gt;=$S115),$V115,$U115)))=Milestones!$AB$118),UPPER(TEXT(EDATE($D115,Milestones!$AA$118),"dd mmm yy"))&amp;" "&amp;Milestones!$AB$118&amp;" "&amp;Milestones!$AC$118&amp;";  ","")&amp;IF(AND(EDATE($D115,Milestones!$AA$119)&lt;=AsOfDate,IF($R115=0,$X115,IF(AND($T115&lt;&gt;"",EDATE($D115,Milestones!$AA$119)&gt;=$T115),$W115,IF(AND($S115&lt;&gt;"",EDATE($D115,Milestones!$AA$119)&gt;=$S115),$V115,$U115)))=Milestones!$AB$119),UPPER(TEXT(EDATE($D115,Milestones!$AA$119),"dd mmm yy"))&amp;" "&amp;Milestones!$AB$119&amp;" "&amp;Milestones!$AC$119&amp;";  ",""))</f>
        <v/>
      </c>
      <c r="N115" s="0" t="str">
        <f aca="false">IF(OR($A115="",$D115=""),"",IF(AND(EDATE($D115,Milestones!$AA$120)&lt;=AsOfDate,IF($R115=0,$X115,IF(AND($T115&lt;&gt;"",EDATE($D115,Milestones!$AA$120)&gt;=$T115),$W115,IF(AND($S115&lt;&gt;"",EDATE($D115,Milestones!$AA$120)&gt;=$S115),$V115,$U115)))=Milestones!$AB$120),UPPER(TEXT(EDATE($D115,Milestones!$AA$120),"dd mmm yy"))&amp;" "&amp;Milestones!$AB$120&amp;" "&amp;Milestones!$AC$120&amp;";  ","")&amp;IF(AND(EDATE($D115,Milestones!$AA$121)&lt;=AsOfDate,IF($R115=0,$X115,IF(AND($T115&lt;&gt;"",EDATE($D115,Milestones!$AA$121)&gt;=$T115),$W115,IF(AND($S115&lt;&gt;"",EDATE($D115,Milestones!$AA$121)&gt;=$S115),$V115,$U115)))=Milestones!$AB$121),UPPER(TEXT(EDATE($D115,Milestones!$AA$121),"dd mmm yy"))&amp;" "&amp;Milestones!$AB$121&amp;" "&amp;Milestones!$AC$121&amp;";  ","")&amp;IF(AND(EDATE($D115,Milestones!$AA$122)&lt;=AsOfDate,IF($R115=0,$X115,IF(AND($T115&lt;&gt;"",EDATE($D115,Milestones!$AA$122)&gt;=$T115),$W115,IF(AND($S115&lt;&gt;"",EDATE($D115,Milestones!$AA$122)&gt;=$S115),$V115,$U115)))=Milestones!$AB$122),UPPER(TEXT(EDATE($D115,Milestones!$AA$122),"dd mmm yy"))&amp;" "&amp;Milestones!$AB$122&amp;" "&amp;Milestones!$AC$122&amp;";  ","")&amp;IF(AND(EDATE($D115,Milestones!$AA$123)&lt;=AsOfDate,IF($R115=0,$X115,IF(AND($T115&lt;&gt;"",EDATE($D115,Milestones!$AA$123)&gt;=$T115),$W115,IF(AND($S115&lt;&gt;"",EDATE($D115,Milestones!$AA$123)&gt;=$S115),$V115,$U115)))=Milestones!$AB$123),UPPER(TEXT(EDATE($D115,Milestones!$AA$123),"dd mmm yy"))&amp;" "&amp;Milestones!$AB$123&amp;" "&amp;Milestones!$AC$123&amp;";  ","")&amp;IF(AND(EDATE($D115,Milestones!$AA$124)&lt;=AsOfDate,IF($R115=0,$X115,IF(AND($T115&lt;&gt;"",EDATE($D115,Milestones!$AA$124)&gt;=$T115),$W115,IF(AND($S115&lt;&gt;"",EDATE($D115,Milestones!$AA$124)&gt;=$S115),$V115,$U115)))=Milestones!$AB$124),UPPER(TEXT(EDATE($D115,Milestones!$AA$124),"dd mmm yy"))&amp;" "&amp;Milestones!$AB$124&amp;" "&amp;Milestones!$AC$124&amp;";  ","")&amp;IF(AND(EDATE($D115,Milestones!$AA$125)&lt;=AsOfDate,IF($R115=0,$X115,IF(AND($T115&lt;&gt;"",EDATE($D115,Milestones!$AA$125)&gt;=$T115),$W115,IF(AND($S115&lt;&gt;"",EDATE($D115,Milestones!$AA$125)&gt;=$S115),$V115,$U115)))=Milestones!$AB$125),UPPER(TEXT(EDATE($D115,Milestones!$AA$125),"dd mmm yy"))&amp;" "&amp;Milestones!$AB$125&amp;" "&amp;Milestones!$AC$125&amp;";  ","")&amp;IF(AND(EDATE($D115,Milestones!$AA$126)&lt;=AsOfDate,IF($R115=0,$X115,IF(AND($T115&lt;&gt;"",EDATE($D115,Milestones!$AA$126)&gt;=$T115),$W115,IF(AND($S115&lt;&gt;"",EDATE($D115,Milestones!$AA$126)&gt;=$S115),$V115,$U115)))=Milestones!$AB$126),UPPER(TEXT(EDATE($D115,Milestones!$AA$126),"dd mmm yy"))&amp;" "&amp;Milestones!$AB$126&amp;" "&amp;Milestones!$AC$126&amp;";  ","")&amp;IF(AND(EDATE($D115,Milestones!$AA$127)&lt;=AsOfDate,IF($R115=0,$X115,IF(AND($T115&lt;&gt;"",EDATE($D115,Milestones!$AA$127)&gt;=$T115),$W115,IF(AND($S115&lt;&gt;"",EDATE($D115,Milestones!$AA$127)&gt;=$S115),$V115,$U115)))=Milestones!$AB$127),UPPER(TEXT(EDATE($D115,Milestones!$AA$127),"dd mmm yy"))&amp;" "&amp;Milestones!$AB$127&amp;" "&amp;Milestones!$AC$127&amp;";  ","")&amp;IF(AND(EDATE($D115,Milestones!$AA$128)&lt;=AsOfDate,IF($R115=0,$X115,IF(AND($T115&lt;&gt;"",EDATE($D115,Milestones!$AA$128)&gt;=$T115),$W115,IF(AND($S115&lt;&gt;"",EDATE($D115,Milestones!$AA$128)&gt;=$S115),$V115,$U115)))=Milestones!$AB$128),UPPER(TEXT(EDATE($D115,Milestones!$AA$128),"dd mmm yy"))&amp;" "&amp;Milestones!$AB$128&amp;" "&amp;Milestones!$AC$128&amp;";  ","")&amp;IF(AND(EDATE($D115,Milestones!$AA$129)&lt;=AsOfDate,IF($R115=0,$X115,IF(AND($T115&lt;&gt;"",EDATE($D115,Milestones!$AA$129)&gt;=$T115),$W115,IF(AND($S115&lt;&gt;"",EDATE($D115,Milestones!$AA$129)&gt;=$S115),$V115,$U115)))=Milestones!$AB$129),UPPER(TEXT(EDATE($D115,Milestones!$AA$129),"dd mmm yy"))&amp;" "&amp;Milestones!$AB$129&amp;" "&amp;Milestones!$AC$129&amp;";  ","")&amp;IF(AND(EDATE($D115,Milestones!$AA$130)&lt;=AsOfDate,IF($R115=0,$X115,IF(AND($T115&lt;&gt;"",EDATE($D115,Milestones!$AA$130)&gt;=$T115),$W115,IF(AND($S115&lt;&gt;"",EDATE($D115,Milestones!$AA$130)&gt;=$S115),$V115,$U115)))=Milestones!$AB$130),UPPER(TEXT(EDATE($D115,Milestones!$AA$130),"dd mmm yy"))&amp;" "&amp;Milestones!$AB$130&amp;" "&amp;Milestones!$AC$130&amp;";  ","")&amp;IF(AND(EDATE($D115,Milestones!$AA$131)&lt;=AsOfDate,IF($R115=0,$X115,IF(AND($T115&lt;&gt;"",EDATE($D115,Milestones!$AA$131)&gt;=$T115),$W115,IF(AND($S115&lt;&gt;"",EDATE($D115,Milestones!$AA$131)&gt;=$S115),$V115,$U115)))=Milestones!$AB$131),UPPER(TEXT(EDATE($D115,Milestones!$AA$131),"dd mmm yy"))&amp;" "&amp;Milestones!$AB$131&amp;" "&amp;Milestones!$AC$131&amp;";  ","")&amp;IF(AND(EDATE($D115,Milestones!$AA$132)&lt;=AsOfDate,IF($R115=0,$X115,IF(AND($T115&lt;&gt;"",EDATE($D115,Milestones!$AA$132)&gt;=$T115),$W115,IF(AND($S115&lt;&gt;"",EDATE($D115,Milestones!$AA$132)&gt;=$S115),$V115,$U115)))=Milestones!$AB$132),UPPER(TEXT(EDATE($D115,Milestones!$AA$132),"dd mmm yy"))&amp;" "&amp;Milestones!$AB$132&amp;" "&amp;Milestones!$AC$132&amp;";  ","")&amp;IF(AND(EDATE($D115,Milestones!$AA$133)&lt;=AsOfDate,IF($R115=0,$X115,IF(AND($T115&lt;&gt;"",EDATE($D115,Milestones!$AA$133)&gt;=$T115),$W115,IF(AND($S115&lt;&gt;"",EDATE($D115,Milestones!$AA$133)&gt;=$S115),$V115,$U115)))=Milestones!$AB$133),UPPER(TEXT(EDATE($D115,Milestones!$AA$133),"dd mmm yy"))&amp;" "&amp;Milestones!$AB$133&amp;" "&amp;Milestones!$AC$133&amp;";  ","")&amp;IF(AND(EDATE($D115,Milestones!$AA$134)&lt;=AsOfDate,IF($R115=0,$X115,IF(AND($T115&lt;&gt;"",EDATE($D115,Milestones!$AA$134)&gt;=$T115),$W115,IF(AND($S115&lt;&gt;"",EDATE($D115,Milestones!$AA$134)&gt;=$S115),$V115,$U115)))=Milestones!$AB$134),UPPER(TEXT(EDATE($D115,Milestones!$AA$134),"dd mmm yy"))&amp;" "&amp;Milestones!$AB$134&amp;" "&amp;Milestones!$AC$134&amp;";  ","")&amp;IF(AND(EDATE($D115,Milestones!$AA$135)&lt;=AsOfDate,IF($R115=0,$X115,IF(AND($T115&lt;&gt;"",EDATE($D115,Milestones!$AA$135)&gt;=$T115),$W115,IF(AND($S115&lt;&gt;"",EDATE($D115,Milestones!$AA$135)&gt;=$S115),$V115,$U115)))=Milestones!$AB$135),UPPER(TEXT(EDATE($D115,Milestones!$AA$135),"dd mmm yy"))&amp;" "&amp;Milestones!$AB$135&amp;" "&amp;Milestones!$AC$135&amp;";  ","")&amp;IF(AND(EDATE($D115,Milestones!$AA$136)&lt;=AsOfDate,IF($R115=0,$X115,IF(AND($T115&lt;&gt;"",EDATE($D115,Milestones!$AA$136)&gt;=$T115),$W115,IF(AND($S115&lt;&gt;"",EDATE($D115,Milestones!$AA$136)&gt;=$S115),$V115,$U115)))=Milestones!$AB$136),UPPER(TEXT(EDATE($D115,Milestones!$AA$136),"dd mmm yy"))&amp;" "&amp;Milestones!$AB$136&amp;" "&amp;Milestones!$AC$136&amp;";  ","")&amp;IF(AND(EDATE($D115,Milestones!$AA$137)&lt;=AsOfDate,IF($R115=0,$X115,IF(AND($T115&lt;&gt;"",EDATE($D115,Milestones!$AA$137)&gt;=$T115),$W115,IF(AND($S115&lt;&gt;"",EDATE($D115,Milestones!$AA$137)&gt;=$S115),$V115,$U115)))=Milestones!$AB$137),UPPER(TEXT(EDATE($D115,Milestones!$AA$137),"dd mmm yy"))&amp;" "&amp;Milestones!$AB$137&amp;" "&amp;Milestones!$AC$137&amp;";  ","")&amp;IF(AND(EDATE($D115,Milestones!$AA$138)&lt;=AsOfDate,IF($R115=0,$X115,IF(AND($T115&lt;&gt;"",EDATE($D115,Milestones!$AA$138)&gt;=$T115),$W115,IF(AND($S115&lt;&gt;"",EDATE($D115,Milestones!$AA$138)&gt;=$S115),$V115,$U115)))=Milestones!$AB$138),UPPER(TEXT(EDATE($D115,Milestones!$AA$138),"dd mmm yy"))&amp;" "&amp;Milestones!$AB$138&amp;" "&amp;Milestones!$AC$138&amp;";  ","")&amp;IF(AND(EDATE($D115,Milestones!$AA$139)&lt;=AsOfDate,IF($R115=0,$X115,IF(AND($T115&lt;&gt;"",EDATE($D115,Milestones!$AA$139)&gt;=$T115),$W115,IF(AND($S115&lt;&gt;"",EDATE($D115,Milestones!$AA$139)&gt;=$S115),$V115,$U115)))=Milestones!$AB$139),UPPER(TEXT(EDATE($D115,Milestones!$AA$139),"dd mmm yy"))&amp;" "&amp;Milestones!$AB$139&amp;" "&amp;Milestones!$AC$139&amp;";  ",""))</f>
        <v/>
      </c>
      <c r="O115" s="0" t="str">
        <f aca="false">IF(OR($A115="",$D115=""),"",IF(AND(EDATE($D115,Milestones!$AA$140)&lt;=AsOfDate,IF($R115=0,$X115,IF(AND($T115&lt;&gt;"",EDATE($D115,Milestones!$AA$140)&gt;=$T115),$W115,IF(AND($S115&lt;&gt;"",EDATE($D115,Milestones!$AA$140)&gt;=$S115),$V115,$U115)))=Milestones!$AB$140),UPPER(TEXT(EDATE($D115,Milestones!$AA$140),"dd mmm yy"))&amp;" "&amp;Milestones!$AB$140&amp;" "&amp;Milestones!$AC$140&amp;";  ","")&amp;IF(AND(EDATE($D115,Milestones!$AA$141)&lt;=AsOfDate,IF($R115=0,$X115,IF(AND($T115&lt;&gt;"",EDATE($D115,Milestones!$AA$141)&gt;=$T115),$W115,IF(AND($S115&lt;&gt;"",EDATE($D115,Milestones!$AA$141)&gt;=$S115),$V115,$U115)))=Milestones!$AB$141),UPPER(TEXT(EDATE($D115,Milestones!$AA$141),"dd mmm yy"))&amp;" "&amp;Milestones!$AB$141&amp;" "&amp;Milestones!$AC$141&amp;";  ","")&amp;IF(AND(EDATE($D115,Milestones!$AA$142)&lt;=AsOfDate,IF($R115=0,$X115,IF(AND($T115&lt;&gt;"",EDATE($D115,Milestones!$AA$142)&gt;=$T115),$W115,IF(AND($S115&lt;&gt;"",EDATE($D115,Milestones!$AA$142)&gt;=$S115),$V115,$U115)))=Milestones!$AB$142),UPPER(TEXT(EDATE($D115,Milestones!$AA$142),"dd mmm yy"))&amp;" "&amp;Milestones!$AB$142&amp;" "&amp;Milestones!$AC$142&amp;";  ","")&amp;IF(AND(EDATE($D115,Milestones!$AA$143)&lt;=AsOfDate,IF($R115=0,$X115,IF(AND($T115&lt;&gt;"",EDATE($D115,Milestones!$AA$143)&gt;=$T115),$W115,IF(AND($S115&lt;&gt;"",EDATE($D115,Milestones!$AA$143)&gt;=$S115),$V115,$U115)))=Milestones!$AB$143),UPPER(TEXT(EDATE($D115,Milestones!$AA$143),"dd mmm yy"))&amp;" "&amp;Milestones!$AB$143&amp;" "&amp;Milestones!$AC$143&amp;";  ","")&amp;IF(AND(EDATE($D115,Milestones!$AA$144)&lt;=AsOfDate,IF($R115=0,$X115,IF(AND($T115&lt;&gt;"",EDATE($D115,Milestones!$AA$144)&gt;=$T115),$W115,IF(AND($S115&lt;&gt;"",EDATE($D115,Milestones!$AA$144)&gt;=$S115),$V115,$U115)))=Milestones!$AB$144),UPPER(TEXT(EDATE($D115,Milestones!$AA$144),"dd mmm yy"))&amp;" "&amp;Milestones!$AB$144&amp;" "&amp;Milestones!$AC$144&amp;";  ","")&amp;IF(AND(EDATE($D115,Milestones!$AA$145)&lt;=AsOfDate,IF($R115=0,$X115,IF(AND($T115&lt;&gt;"",EDATE($D115,Milestones!$AA$145)&gt;=$T115),$W115,IF(AND($S115&lt;&gt;"",EDATE($D115,Milestones!$AA$145)&gt;=$S115),$V115,$U115)))=Milestones!$AB$145),UPPER(TEXT(EDATE($D115,Milestones!$AA$145),"dd mmm yy"))&amp;" "&amp;Milestones!$AB$145&amp;" "&amp;Milestones!$AC$145&amp;";  ","")&amp;IF(AND(EDATE($D115,Milestones!$AA$146)&lt;=AsOfDate,IF($R115=0,$X115,IF(AND($T115&lt;&gt;"",EDATE($D115,Milestones!$AA$146)&gt;=$T115),$W115,IF(AND($S115&lt;&gt;"",EDATE($D115,Milestones!$AA$146)&gt;=$S115),$V115,$U115)))=Milestones!$AB$146),UPPER(TEXT(EDATE($D115,Milestones!$AA$146),"dd mmm yy"))&amp;" "&amp;Milestones!$AB$146&amp;" "&amp;Milestones!$AC$146&amp;";  ","")&amp;IF(AND(EDATE($D115,Milestones!$AA$147)&lt;=AsOfDate,IF($R115=0,$X115,IF(AND($T115&lt;&gt;"",EDATE($D115,Milestones!$AA$147)&gt;=$T115),$W115,IF(AND($S115&lt;&gt;"",EDATE($D115,Milestones!$AA$147)&gt;=$S115),$V115,$U115)))=Milestones!$AB$147),UPPER(TEXT(EDATE($D115,Milestones!$AA$147),"dd mmm yy"))&amp;" "&amp;Milestones!$AB$147&amp;" "&amp;Milestones!$AC$147&amp;";  ","")&amp;IF(AND(EDATE($D115,Milestones!$AA$148)&lt;=AsOfDate,IF($R115=0,$X115,IF(AND($T115&lt;&gt;"",EDATE($D115,Milestones!$AA$148)&gt;=$T115),$W115,IF(AND($S115&lt;&gt;"",EDATE($D115,Milestones!$AA$148)&gt;=$S115),$V115,$U115)))=Milestones!$AB$148),UPPER(TEXT(EDATE($D115,Milestones!$AA$148),"dd mmm yy"))&amp;" "&amp;Milestones!$AB$148&amp;" "&amp;Milestones!$AC$148&amp;";  ","")&amp;IF(AND(EDATE($D115,Milestones!$AA$149)&lt;=AsOfDate,IF($R115=0,$X115,IF(AND($T115&lt;&gt;"",EDATE($D115,Milestones!$AA$149)&gt;=$T115),$W115,IF(AND($S115&lt;&gt;"",EDATE($D115,Milestones!$AA$149)&gt;=$S115),$V115,$U115)))=Milestones!$AB$149),UPPER(TEXT(EDATE($D115,Milestones!$AA$149),"dd mmm yy"))&amp;" "&amp;Milestones!$AB$149&amp;" "&amp;Milestones!$AC$149&amp;";  ","")&amp;IF(AND(EDATE($D115,Milestones!$AA$150)&lt;=AsOfDate,IF($R115=0,$X115,IF(AND($T115&lt;&gt;"",EDATE($D115,Milestones!$AA$150)&gt;=$T115),$W115,IF(AND($S115&lt;&gt;"",EDATE($D115,Milestones!$AA$150)&gt;=$S115),$V115,$U115)))=Milestones!$AB$150),UPPER(TEXT(EDATE($D115,Milestones!$AA$150),"dd mmm yy"))&amp;" "&amp;Milestones!$AB$150&amp;" "&amp;Milestones!$AC$150&amp;";  ","")&amp;IF(AND(EDATE($D115,Milestones!$AA$151)&lt;=AsOfDate,IF($R115=0,$X115,IF(AND($T115&lt;&gt;"",EDATE($D115,Milestones!$AA$151)&gt;=$T115),$W115,IF(AND($S115&lt;&gt;"",EDATE($D115,Milestones!$AA$151)&gt;=$S115),$V115,$U115)))=Milestones!$AB$151),UPPER(TEXT(EDATE($D115,Milestones!$AA$151),"dd mmm yy"))&amp;" "&amp;Milestones!$AB$151&amp;" "&amp;Milestones!$AC$151&amp;";  ","")&amp;IF(AND(EDATE($D115,Milestones!$AA$152)&lt;=AsOfDate,IF($R115=0,$X115,IF(AND($T115&lt;&gt;"",EDATE($D115,Milestones!$AA$152)&gt;=$T115),$W115,IF(AND($S115&lt;&gt;"",EDATE($D115,Milestones!$AA$152)&gt;=$S115),$V115,$U115)))=Milestones!$AB$152),UPPER(TEXT(EDATE($D115,Milestones!$AA$152),"dd mmm yy"))&amp;" "&amp;Milestones!$AB$152&amp;" "&amp;Milestones!$AC$152&amp;";  ","")&amp;IF(AND(EDATE($D115,Milestones!$AA$153)&lt;=AsOfDate,IF($R115=0,$X115,IF(AND($T115&lt;&gt;"",EDATE($D115,Milestones!$AA$153)&gt;=$T115),$W115,IF(AND($S115&lt;&gt;"",EDATE($D115,Milestones!$AA$153)&gt;=$S115),$V115,$U115)))=Milestones!$AB$153),UPPER(TEXT(EDATE($D115,Milestones!$AA$153),"dd mmm yy"))&amp;" "&amp;Milestones!$AB$153&amp;" "&amp;Milestones!$AC$153&amp;";  ","")&amp;IF(AND(EDATE($D115,Milestones!$AA$154)&lt;=AsOfDate,IF($R115=0,$X115,IF(AND($T115&lt;&gt;"",EDATE($D115,Milestones!$AA$154)&gt;=$T115),$W115,IF(AND($S115&lt;&gt;"",EDATE($D115,Milestones!$AA$154)&gt;=$S115),$V115,$U115)))=Milestones!$AB$154),UPPER(TEXT(EDATE($D115,Milestones!$AA$154),"dd mmm yy"))&amp;" "&amp;Milestones!$AB$154&amp;" "&amp;Milestones!$AC$154&amp;";  ","")&amp;IF(AND(EDATE($D115,Milestones!$AA$155)&lt;=AsOfDate,IF($R115=0,$X115,IF(AND($T115&lt;&gt;"",EDATE($D115,Milestones!$AA$155)&gt;=$T115),$W115,IF(AND($S115&lt;&gt;"",EDATE($D115,Milestones!$AA$155)&gt;=$S115),$V115,$U115)))=Milestones!$AB$155),UPPER(TEXT(EDATE($D115,Milestones!$AA$155),"dd mmm yy"))&amp;" "&amp;Milestones!$AB$155&amp;" "&amp;Milestones!$AC$155&amp;";  ","")&amp;IF(AND(EDATE($D115,Milestones!$AA$156)&lt;=AsOfDate,IF($R115=0,$X115,IF(AND($T115&lt;&gt;"",EDATE($D115,Milestones!$AA$156)&gt;=$T115),$W115,IF(AND($S115&lt;&gt;"",EDATE($D115,Milestones!$AA$156)&gt;=$S115),$V115,$U115)))=Milestones!$AB$156),UPPER(TEXT(EDATE($D115,Milestones!$AA$156),"dd mmm yy"))&amp;" "&amp;Milestones!$AB$156&amp;" "&amp;Milestones!$AC$156&amp;";  ","")&amp;IF(AND(EDATE($D115,Milestones!$AA$157)&lt;=AsOfDate,IF($R115=0,$X115,IF(AND($T115&lt;&gt;"",EDATE($D115,Milestones!$AA$157)&gt;=$T115),$W115,IF(AND($S115&lt;&gt;"",EDATE($D115,Milestones!$AA$157)&gt;=$S115),$V115,$U115)))=Milestones!$AB$157),UPPER(TEXT(EDATE($D115,Milestones!$AA$157),"dd mmm yy"))&amp;" "&amp;Milestones!$AB$157&amp;" "&amp;Milestones!$AC$157&amp;";  ","")&amp;IF(AND(EDATE($D115,Milestones!$AA$158)&lt;=AsOfDate,IF($R115=0,$X115,IF(AND($T115&lt;&gt;"",EDATE($D115,Milestones!$AA$158)&gt;=$T115),$W115,IF(AND($S115&lt;&gt;"",EDATE($D115,Milestones!$AA$158)&gt;=$S115),$V115,$U115)))=Milestones!$AB$158),UPPER(TEXT(EDATE($D115,Milestones!$AA$158),"dd mmm yy"))&amp;" "&amp;Milestones!$AB$158&amp;" "&amp;Milestones!$AC$158&amp;";  ","")&amp;IF(AND(EDATE($D115,Milestones!$AA$159)&lt;=AsOfDate,IF($R115=0,$X115,IF(AND($T115&lt;&gt;"",EDATE($D115,Milestones!$AA$159)&gt;=$T115),$W115,IF(AND($S115&lt;&gt;"",EDATE($D115,Milestones!$AA$159)&gt;=$S115),$V115,$U115)))=Milestones!$AB$159),UPPER(TEXT(EDATE($D115,Milestones!$AA$159),"dd mmm yy"))&amp;" "&amp;Milestones!$AB$159&amp;" "&amp;Milestones!$AC$159&amp;";  ",""))</f>
        <v/>
      </c>
      <c r="P115" s="0" t="str">
        <f aca="false">IF(OR($A115="",$D115=""),"",IF(AND(EDATE($D115,Milestones!$AA$160)&lt;=AsOfDate,IF($R115=0,$X115,IF(AND($T115&lt;&gt;"",EDATE($D115,Milestones!$AA$160)&gt;=$T115),$W115,IF(AND($S115&lt;&gt;"",EDATE($D115,Milestones!$AA$160)&gt;=$S115),$V115,$U115)))=Milestones!$AB$160),UPPER(TEXT(EDATE($D115,Milestones!$AA$160),"dd mmm yy"))&amp;" "&amp;Milestones!$AB$160&amp;" "&amp;Milestones!$AC$160&amp;";  ","")&amp;IF(AND(EDATE($D115,Milestones!$AA$161)&lt;=AsOfDate,IF($R115=0,$X115,IF(AND($T115&lt;&gt;"",EDATE($D115,Milestones!$AA$161)&gt;=$T115),$W115,IF(AND($S115&lt;&gt;"",EDATE($D115,Milestones!$AA$161)&gt;=$S115),$V115,$U115)))=Milestones!$AB$161),UPPER(TEXT(EDATE($D115,Milestones!$AA$161),"dd mmm yy"))&amp;" "&amp;Milestones!$AB$161&amp;" "&amp;Milestones!$AC$161&amp;";  ","")&amp;IF(AND(EDATE($D115,Milestones!$AA$162)&lt;=AsOfDate,IF($R115=0,$X115,IF(AND($T115&lt;&gt;"",EDATE($D115,Milestones!$AA$162)&gt;=$T115),$W115,IF(AND($S115&lt;&gt;"",EDATE($D115,Milestones!$AA$162)&gt;=$S115),$V115,$U115)))=Milestones!$AB$162),UPPER(TEXT(EDATE($D115,Milestones!$AA$162),"dd mmm yy"))&amp;" "&amp;Milestones!$AB$162&amp;" "&amp;Milestones!$AC$162&amp;";  ","")&amp;IF(AND(EDATE($D115,Milestones!$AA$163)&lt;=AsOfDate,IF($R115=0,$X115,IF(AND($T115&lt;&gt;"",EDATE($D115,Milestones!$AA$163)&gt;=$T115),$W115,IF(AND($S115&lt;&gt;"",EDATE($D115,Milestones!$AA$163)&gt;=$S115),$V115,$U115)))=Milestones!$AB$163),UPPER(TEXT(EDATE($D115,Milestones!$AA$163),"dd mmm yy"))&amp;" "&amp;Milestones!$AB$163&amp;" "&amp;Milestones!$AC$163&amp;";  ","")&amp;IF(AND(EDATE($D115,Milestones!$AA$164)&lt;=AsOfDate,IF($R115=0,$X115,IF(AND($T115&lt;&gt;"",EDATE($D115,Milestones!$AA$164)&gt;=$T115),$W115,IF(AND($S115&lt;&gt;"",EDATE($D115,Milestones!$AA$164)&gt;=$S115),$V115,$U115)))=Milestones!$AB$164),UPPER(TEXT(EDATE($D115,Milestones!$AA$164),"dd mmm yy"))&amp;" "&amp;Milestones!$AB$164&amp;" "&amp;Milestones!$AC$164&amp;";  ","")&amp;IF(AND(EDATE($D115,Milestones!$AA$165)&lt;=AsOfDate,IF($R115=0,$X115,IF(AND($T115&lt;&gt;"",EDATE($D115,Milestones!$AA$165)&gt;=$T115),$W115,IF(AND($S115&lt;&gt;"",EDATE($D115,Milestones!$AA$165)&gt;=$S115),$V115,$U115)))=Milestones!$AB$165),UPPER(TEXT(EDATE($D115,Milestones!$AA$165),"dd mmm yy"))&amp;" "&amp;Milestones!$AB$165&amp;" "&amp;Milestones!$AC$165&amp;";  ","")&amp;IF(AND(EDATE($D115,Milestones!$AA$166)&lt;=AsOfDate,IF($R115=0,$X115,IF(AND($T115&lt;&gt;"",EDATE($D115,Milestones!$AA$166)&gt;=$T115),$W115,IF(AND($S115&lt;&gt;"",EDATE($D115,Milestones!$AA$166)&gt;=$S115),$V115,$U115)))=Milestones!$AB$166),UPPER(TEXT(EDATE($D115,Milestones!$AA$166),"dd mmm yy"))&amp;" "&amp;Milestones!$AB$166&amp;" "&amp;Milestones!$AC$166&amp;";  ","")&amp;IF(AND(EDATE($D115,Milestones!$AA$167)&lt;=AsOfDate,IF($R115=0,$X115,IF(AND($T115&lt;&gt;"",EDATE($D115,Milestones!$AA$167)&gt;=$T115),$W115,IF(AND($S115&lt;&gt;"",EDATE($D115,Milestones!$AA$167)&gt;=$S115),$V115,$U115)))=Milestones!$AB$167),UPPER(TEXT(EDATE($D115,Milestones!$AA$167),"dd mmm yy"))&amp;" "&amp;Milestones!$AB$167&amp;" "&amp;Milestones!$AC$167&amp;";  ","")&amp;IF(AND(EDATE($D115,Milestones!$AA$168)&lt;=AsOfDate,IF($R115=0,$X115,IF(AND($T115&lt;&gt;"",EDATE($D115,Milestones!$AA$168)&gt;=$T115),$W115,IF(AND($S115&lt;&gt;"",EDATE($D115,Milestones!$AA$168)&gt;=$S115),$V115,$U115)))=Milestones!$AB$168),UPPER(TEXT(EDATE($D115,Milestones!$AA$168),"dd mmm yy"))&amp;" "&amp;Milestones!$AB$168&amp;" "&amp;Milestones!$AC$168&amp;";  ","")&amp;IF(AND(EDATE($D115,Milestones!$AA$169)&lt;=AsOfDate,IF($R115=0,$X115,IF(AND($T115&lt;&gt;"",EDATE($D115,Milestones!$AA$169)&gt;=$T115),$W115,IF(AND($S115&lt;&gt;"",EDATE($D115,Milestones!$AA$169)&gt;=$S115),$V115,$U115)))=Milestones!$AB$169),UPPER(TEXT(EDATE($D115,Milestones!$AA$169),"dd mmm yy"))&amp;" "&amp;Milestones!$AB$169&amp;" "&amp;Milestones!$AC$169&amp;";  ","")&amp;IF(AND(EDATE($D115,Milestones!$AA$170)&lt;=AsOfDate,IF($R115=0,$X115,IF(AND($T115&lt;&gt;"",EDATE($D115,Milestones!$AA$170)&gt;=$T115),$W115,IF(AND($S115&lt;&gt;"",EDATE($D115,Milestones!$AA$170)&gt;=$S115),$V115,$U115)))=Milestones!$AB$170),UPPER(TEXT(EDATE($D115,Milestones!$AA$170),"dd mmm yy"))&amp;" "&amp;Milestones!$AB$170&amp;" "&amp;Milestones!$AC$170&amp;";  ","")&amp;IF(AND(EDATE($D115,Milestones!$AA$171)&lt;=AsOfDate,IF($R115=0,$X115,IF(AND($T115&lt;&gt;"",EDATE($D115,Milestones!$AA$171)&gt;=$T115),$W115,IF(AND($S115&lt;&gt;"",EDATE($D115,Milestones!$AA$171)&gt;=$S115),$V115,$U115)))=Milestones!$AB$171),UPPER(TEXT(EDATE($D115,Milestones!$AA$171),"dd mmm yy"))&amp;" "&amp;Milestones!$AB$171&amp;" "&amp;Milestones!$AC$171&amp;";  ","")&amp;IF(AND(EDATE($D115,Milestones!$AA$172)&lt;=AsOfDate,IF($R115=0,$X115,IF(AND($T115&lt;&gt;"",EDATE($D115,Milestones!$AA$172)&gt;=$T115),$W115,IF(AND($S115&lt;&gt;"",EDATE($D115,Milestones!$AA$172)&gt;=$S115),$V115,$U115)))=Milestones!$AB$172),UPPER(TEXT(EDATE($D115,Milestones!$AA$172),"dd mmm yy"))&amp;" "&amp;Milestones!$AB$172&amp;" "&amp;Milestones!$AC$172&amp;";  ","")&amp;IF(AND(EDATE($D115,Milestones!$AA$173)&lt;=AsOfDate,IF($R115=0,$X115,IF(AND($T115&lt;&gt;"",EDATE($D115,Milestones!$AA$173)&gt;=$T115),$W115,IF(AND($S115&lt;&gt;"",EDATE($D115,Milestones!$AA$173)&gt;=$S115),$V115,$U115)))=Milestones!$AB$173),UPPER(TEXT(EDATE($D115,Milestones!$AA$173),"dd mmm yy"))&amp;" "&amp;Milestones!$AB$173&amp;" "&amp;Milestones!$AC$173&amp;";  ","")&amp;IF(AND(EDATE($D115,Milestones!$AA$174)&lt;=AsOfDate,IF($R115=0,$X115,IF(AND($T115&lt;&gt;"",EDATE($D115,Milestones!$AA$174)&gt;=$T115),$W115,IF(AND($S115&lt;&gt;"",EDATE($D115,Milestones!$AA$174)&gt;=$S115),$V115,$U115)))=Milestones!$AB$174),UPPER(TEXT(EDATE($D115,Milestones!$AA$174),"dd mmm yy"))&amp;" "&amp;Milestones!$AB$174&amp;" "&amp;Milestones!$AC$174&amp;";  ","")&amp;IF(AND(EDATE($D115,Milestones!$AA$175)&lt;=AsOfDate,IF($R115=0,$X115,IF(AND($T115&lt;&gt;"",EDATE($D115,Milestones!$AA$175)&gt;=$T115),$W115,IF(AND($S115&lt;&gt;"",EDATE($D115,Milestones!$AA$175)&gt;=$S115),$V115,$U115)))=Milestones!$AB$175),UPPER(TEXT(EDATE($D115,Milestones!$AA$175),"dd mmm yy"))&amp;" "&amp;Milestones!$AB$175&amp;" "&amp;Milestones!$AC$175&amp;";  ","")&amp;IF(AND(EDATE($D115,Milestones!$AA$176)&lt;=AsOfDate,IF($R115=0,$X115,IF(AND($T115&lt;&gt;"",EDATE($D115,Milestones!$AA$176)&gt;=$T115),$W115,IF(AND($S115&lt;&gt;"",EDATE($D115,Milestones!$AA$176)&gt;=$S115),$V115,$U115)))=Milestones!$AB$176),UPPER(TEXT(EDATE($D115,Milestones!$AA$176),"dd mmm yy"))&amp;" "&amp;Milestones!$AB$176&amp;" "&amp;Milestones!$AC$176&amp;";  ","")&amp;IF(AND(EDATE($D115,Milestones!$AA$177)&lt;=AsOfDate,IF($R115=0,$X115,IF(AND($T115&lt;&gt;"",EDATE($D115,Milestones!$AA$177)&gt;=$T115),$W115,IF(AND($S115&lt;&gt;"",EDATE($D115,Milestones!$AA$177)&gt;=$S115),$V115,$U115)))=Milestones!$AB$177),UPPER(TEXT(EDATE($D115,Milestones!$AA$177),"dd mmm yy"))&amp;" "&amp;Milestones!$AB$177&amp;" "&amp;Milestones!$AC$177&amp;";  ","")&amp;IF(AND(EDATE($D115,Milestones!$AA$178)&lt;=AsOfDate,IF($R115=0,$X115,IF(AND($T115&lt;&gt;"",EDATE($D115,Milestones!$AA$178)&gt;=$T115),$W115,IF(AND($S115&lt;&gt;"",EDATE($D115,Milestones!$AA$178)&gt;=$S115),$V115,$U115)))=Milestones!$AB$178),UPPER(TEXT(EDATE($D115,Milestones!$AA$178),"dd mmm yy"))&amp;" "&amp;Milestones!$AB$178&amp;" "&amp;Milestones!$AC$178&amp;";  ","")&amp;IF(AND(EDATE($D115,Milestones!$AA$179)&lt;=AsOfDate,IF($R115=0,$X115,IF(AND($T115&lt;&gt;"",EDATE($D115,Milestones!$AA$179)&gt;=$T115),$W115,IF(AND($S115&lt;&gt;"",EDATE($D115,Milestones!$AA$179)&gt;=$S115),$V115,$U115)))=Milestones!$AB$179),UPPER(TEXT(EDATE($D115,Milestones!$AA$179),"dd mmm yy"))&amp;" "&amp;Milestones!$AB$179&amp;" "&amp;Milestones!$AC$179&amp;";  ",""))</f>
        <v/>
      </c>
      <c r="Q115" s="0" t="str">
        <f aca="false">IF(OR($A115="",$D115=""),"",IF(AND(EDATE($D115,Milestones!$AA$180)&lt;=AsOfDate,IF($R115=0,$X115,IF(AND($T115&lt;&gt;"",EDATE($D115,Milestones!$AA$180)&gt;=$T115),$W115,IF(AND($S115&lt;&gt;"",EDATE($D115,Milestones!$AA$180)&gt;=$S115),$V115,$U115)))=Milestones!$AB$180),UPPER(TEXT(EDATE($D115,Milestones!$AA$180),"dd mmm yy"))&amp;" "&amp;Milestones!$AB$180&amp;" "&amp;Milestones!$AC$180&amp;";  ","")&amp;IF(AND(EDATE($D115,Milestones!$AA$181)&lt;=AsOfDate,IF($R115=0,$X115,IF(AND($T115&lt;&gt;"",EDATE($D115,Milestones!$AA$181)&gt;=$T115),$W115,IF(AND($S115&lt;&gt;"",EDATE($D115,Milestones!$AA$181)&gt;=$S115),$V115,$U115)))=Milestones!$AB$181),UPPER(TEXT(EDATE($D115,Milestones!$AA$181),"dd mmm yy"))&amp;" "&amp;Milestones!$AB$181&amp;" "&amp;Milestones!$AC$181&amp;";  ","")&amp;IF(AND(EDATE($D115,Milestones!$AA$182)&lt;=AsOfDate,IF($R115=0,$X115,IF(AND($T115&lt;&gt;"",EDATE($D115,Milestones!$AA$182)&gt;=$T115),$W115,IF(AND($S115&lt;&gt;"",EDATE($D115,Milestones!$AA$182)&gt;=$S115),$V115,$U115)))=Milestones!$AB$182),UPPER(TEXT(EDATE($D115,Milestones!$AA$182),"dd mmm yy"))&amp;" "&amp;Milestones!$AB$182&amp;" "&amp;Milestones!$AC$182&amp;";  ","")&amp;IF(AND(EDATE($D115,Milestones!$AA$183)&lt;=AsOfDate,IF($R115=0,$X115,IF(AND($T115&lt;&gt;"",EDATE($D115,Milestones!$AA$183)&gt;=$T115),$W115,IF(AND($S115&lt;&gt;"",EDATE($D115,Milestones!$AA$183)&gt;=$S115),$V115,$U115)))=Milestones!$AB$183),UPPER(TEXT(EDATE($D115,Milestones!$AA$183),"dd mmm yy"))&amp;" "&amp;Milestones!$AB$183&amp;" "&amp;Milestones!$AC$183&amp;";  ","")&amp;IF(AND(EDATE($D115,Milestones!$AA$184)&lt;=AsOfDate,IF($R115=0,$X115,IF(AND($T115&lt;&gt;"",EDATE($D115,Milestones!$AA$184)&gt;=$T115),$W115,IF(AND($S115&lt;&gt;"",EDATE($D115,Milestones!$AA$184)&gt;=$S115),$V115,$U115)))=Milestones!$AB$184),UPPER(TEXT(EDATE($D115,Milestones!$AA$184),"dd mmm yy"))&amp;" "&amp;Milestones!$AB$184&amp;" "&amp;Milestones!$AC$184&amp;";  ","")&amp;IF(AND(EDATE($D115,Milestones!$AA$185)&lt;=AsOfDate,IF($R115=0,$X115,IF(AND($T115&lt;&gt;"",EDATE($D115,Milestones!$AA$185)&gt;=$T115),$W115,IF(AND($S115&lt;&gt;"",EDATE($D115,Milestones!$AA$185)&gt;=$S115),$V115,$U115)))=Milestones!$AB$185),UPPER(TEXT(EDATE($D115,Milestones!$AA$185),"dd mmm yy"))&amp;" "&amp;Milestones!$AB$185&amp;" "&amp;Milestones!$AC$185&amp;";  ","")&amp;IF(AND(EDATE($D115,Milestones!$AA$186)&lt;=AsOfDate,IF($R115=0,$X115,IF(AND($T115&lt;&gt;"",EDATE($D115,Milestones!$AA$186)&gt;=$T115),$W115,IF(AND($S115&lt;&gt;"",EDATE($D115,Milestones!$AA$186)&gt;=$S115),$V115,$U115)))=Milestones!$AB$186),UPPER(TEXT(EDATE($D115,Milestones!$AA$186),"dd mmm yy"))&amp;" "&amp;Milestones!$AB$186&amp;" "&amp;Milestones!$AC$186&amp;";  ","")&amp;IF(AND(EDATE($D115,Milestones!$AA$187)&lt;=AsOfDate,IF($R115=0,$X115,IF(AND($T115&lt;&gt;"",EDATE($D115,Milestones!$AA$187)&gt;=$T115),$W115,IF(AND($S115&lt;&gt;"",EDATE($D115,Milestones!$AA$187)&gt;=$S115),$V115,$U115)))=Milestones!$AB$187),UPPER(TEXT(EDATE($D115,Milestones!$AA$187),"dd mmm yy"))&amp;" "&amp;Milestones!$AB$187&amp;" "&amp;Milestones!$AC$187&amp;";  ","")&amp;IF(AND(EDATE($D115,Milestones!$AA$188)&lt;=AsOfDate,IF($R115=0,$X115,IF(AND($T115&lt;&gt;"",EDATE($D115,Milestones!$AA$188)&gt;=$T115),$W115,IF(AND($S115&lt;&gt;"",EDATE($D115,Milestones!$AA$188)&gt;=$S115),$V115,$U115)))=Milestones!$AB$188),UPPER(TEXT(EDATE($D115,Milestones!$AA$188),"dd mmm yy"))&amp;" "&amp;Milestones!$AB$188&amp;" "&amp;Milestones!$AC$188&amp;";  ","")&amp;IF(AND(EDATE($D115,Milestones!$AA$189)&lt;=AsOfDate,IF($R115=0,$X115,IF(AND($T115&lt;&gt;"",EDATE($D115,Milestones!$AA$189)&gt;=$T115),$W115,IF(AND($S115&lt;&gt;"",EDATE($D115,Milestones!$AA$189)&gt;=$S115),$V115,$U115)))=Milestones!$AB$189),UPPER(TEXT(EDATE($D115,Milestones!$AA$189),"dd mmm yy"))&amp;" "&amp;Milestones!$AB$189&amp;" "&amp;Milestones!$AC$189&amp;";  ","")&amp;IF(AND(EDATE($D115,Milestones!$AA$190)&lt;=AsOfDate,IF($R115=0,$X115,IF(AND($T115&lt;&gt;"",EDATE($D115,Milestones!$AA$190)&gt;=$T115),$W115,IF(AND($S115&lt;&gt;"",EDATE($D115,Milestones!$AA$190)&gt;=$S115),$V115,$U115)))=Milestones!$AB$190),UPPER(TEXT(EDATE($D115,Milestones!$AA$190),"dd mmm yy"))&amp;" "&amp;Milestones!$AB$190&amp;" "&amp;Milestones!$AC$190&amp;";  ","")&amp;IF(AND(EDATE($D115,Milestones!$AA$191)&lt;=AsOfDate,IF($R115=0,$X115,IF(AND($T115&lt;&gt;"",EDATE($D115,Milestones!$AA$191)&gt;=$T115),$W115,IF(AND($S115&lt;&gt;"",EDATE($D115,Milestones!$AA$191)&gt;=$S115),$V115,$U115)))=Milestones!$AB$191),UPPER(TEXT(EDATE($D115,Milestones!$AA$191),"dd mmm yy"))&amp;" "&amp;Milestones!$AB$191&amp;" "&amp;Milestones!$AC$191&amp;";  ","")&amp;IF(AND(EDATE($D115,Milestones!$AA$192)&lt;=AsOfDate,IF($R115=0,$X115,IF(AND($T115&lt;&gt;"",EDATE($D115,Milestones!$AA$192)&gt;=$T115),$W115,IF(AND($S115&lt;&gt;"",EDATE($D115,Milestones!$AA$192)&gt;=$S115),$V115,$U115)))=Milestones!$AB$192),UPPER(TEXT(EDATE($D115,Milestones!$AA$192),"dd mmm yy"))&amp;" "&amp;Milestones!$AB$192&amp;" "&amp;Milestones!$AC$192&amp;";  ","")&amp;IF(AND(EDATE($D115,Milestones!$AA$193)&lt;=AsOfDate,IF($R115=0,$X115,IF(AND($T115&lt;&gt;"",EDATE($D115,Milestones!$AA$193)&gt;=$T115),$W115,IF(AND($S115&lt;&gt;"",EDATE($D115,Milestones!$AA$193)&gt;=$S115),$V115,$U115)))=Milestones!$AB$193),UPPER(TEXT(EDATE($D115,Milestones!$AA$193),"dd mmm yy"))&amp;" "&amp;Milestones!$AB$193&amp;" "&amp;Milestones!$AC$193&amp;";  ","")&amp;IF(AND(EDATE($D115,Milestones!$AA$194)&lt;=AsOfDate,IF($R115=0,$X115,IF(AND($T115&lt;&gt;"",EDATE($D115,Milestones!$AA$194)&gt;=$T115),$W115,IF(AND($S115&lt;&gt;"",EDATE($D115,Milestones!$AA$194)&gt;=$S115),$V115,$U115)))=Milestones!$AB$194),UPPER(TEXT(EDATE($D115,Milestones!$AA$194),"dd mmm yy"))&amp;" "&amp;Milestones!$AB$194&amp;" "&amp;Milestones!$AC$194&amp;";  ","")&amp;IF(AND(EDATE($D115,Milestones!$AA$195)&lt;=AsOfDate,IF($R115=0,$X115,IF(AND($T115&lt;&gt;"",EDATE($D115,Milestones!$AA$195)&gt;=$T115),$W115,IF(AND($S115&lt;&gt;"",EDATE($D115,Milestones!$AA$195)&gt;=$S115),$V115,$U115)))=Milestones!$AB$195),UPPER(TEXT(EDATE($D115,Milestones!$AA$195),"dd mmm yy"))&amp;" "&amp;Milestones!$AB$195&amp;" "&amp;Milestones!$AC$195&amp;";  ","")&amp;IF(AND(EDATE($D115,Milestones!$AA$196)&lt;=AsOfDate,IF($R115=0,$X115,IF(AND($T115&lt;&gt;"",EDATE($D115,Milestones!$AA$196)&gt;=$T115),$W115,IF(AND($S115&lt;&gt;"",EDATE($D115,Milestones!$AA$196)&gt;=$S115),$V115,$U115)))=Milestones!$AB$196),UPPER(TEXT(EDATE($D115,Milestones!$AA$196),"dd mmm yy"))&amp;" "&amp;Milestones!$AB$196&amp;" "&amp;Milestones!$AC$196&amp;";  ","")&amp;IF(AND(EDATE($D115,Milestones!$AA$197)&lt;=AsOfDate,IF($R115=0,$X115,IF(AND($T115&lt;&gt;"",EDATE($D115,Milestones!$AA$197)&gt;=$T115),$W115,IF(AND($S115&lt;&gt;"",EDATE($D115,Milestones!$AA$197)&gt;=$S115),$V115,$U115)))=Milestones!$AB$197),UPPER(TEXT(EDATE($D115,Milestones!$AA$197),"dd mmm yy"))&amp;" "&amp;Milestones!$AB$197&amp;" "&amp;Milestones!$AC$197&amp;";  ","")&amp;IF(AND(EDATE($D115,Milestones!$AA$198)&lt;=AsOfDate,IF($R115=0,$X115,IF(AND($T115&lt;&gt;"",EDATE($D115,Milestones!$AA$198)&gt;=$T115),$W115,IF(AND($S115&lt;&gt;"",EDATE($D115,Milestones!$AA$198)&gt;=$S115),$V115,$U115)))=Milestones!$AB$198),UPPER(TEXT(EDATE($D115,Milestones!$AA$198),"dd mmm yy"))&amp;" "&amp;Milestones!$AB$198&amp;" "&amp;Milestones!$AC$198&amp;";  ","")&amp;IF(AND(EDATE($D115,Milestones!$AA$199)&lt;=AsOfDate,IF($R115=0,$X115,IF(AND($T115&lt;&gt;"",EDATE($D115,Milestones!$AA$199)&gt;=$T115),$W115,IF(AND($S115&lt;&gt;"",EDATE($D115,Milestones!$AA$199)&gt;=$S115),$V115,$U115)))=Milestones!$AB$199),UPPER(TEXT(EDATE($D115,Milestones!$AA$199),"dd mmm yy"))&amp;" "&amp;Milestones!$AB$199&amp;" "&amp;Milestones!$AC$199&amp;";  ",""))</f>
        <v/>
      </c>
      <c r="R115" s="0" t="str">
        <f aca="false">IF(Staff!$A115="","",Staff!$AI115)</f>
        <v/>
      </c>
      <c r="S115" s="0" t="str">
        <f aca="false">IF(Staff!$A115="","",Staff!$AK115)</f>
        <v/>
      </c>
      <c r="T115" s="0" t="str">
        <f aca="false">IF(Staff!$A115="","",Staff!$AL115)</f>
        <v/>
      </c>
      <c r="U115" s="0" t="str">
        <f aca="false">IF(Staff!$A115="","",Staff!$AP115)</f>
        <v/>
      </c>
      <c r="V115" s="0" t="str">
        <f aca="false">IF(Staff!$A115="","",Staff!$AQ115)</f>
        <v/>
      </c>
      <c r="W115" s="0" t="str">
        <f aca="false">IF(Staff!$A115="","",Staff!$AR115)</f>
        <v/>
      </c>
      <c r="X115" s="0" t="str">
        <f aca="false">IF(Staff!$A115="","",Staff!$AS115)</f>
        <v/>
      </c>
    </row>
    <row r="116" customFormat="false" ht="15" hidden="false" customHeight="false" outlineLevel="0" collapsed="false">
      <c r="A116" s="14" t="str">
        <f aca="false">IF(Staff!$A116="","",Staff!$A116)</f>
        <v/>
      </c>
      <c r="B116" s="14" t="str">
        <f aca="false">IF(Staff!$A116="","",Staff!$B116)</f>
        <v/>
      </c>
      <c r="C116" s="14" t="str">
        <f aca="false">IF(Staff!$A116="","",Staff!$C116)</f>
        <v/>
      </c>
      <c r="D116" s="12" t="str">
        <f aca="false">IF(Staff!$A116="","",Staff!$AH116)</f>
        <v/>
      </c>
      <c r="E116" s="14" t="str">
        <f aca="false">IF(Staff!$A116="","",Staff!$O116)</f>
        <v/>
      </c>
      <c r="F116" s="14" t="str">
        <f aca="false">IF(E116="","",E116*HoursPerDay)</f>
        <v/>
      </c>
      <c r="G116" s="14" t="str">
        <f aca="false">IF(Staff!$A116="","",Staff!$AE116)</f>
        <v/>
      </c>
      <c r="H116" s="26" t="str">
        <f aca="false">IF($A116="","",I116&amp;J116&amp;K116&amp;L116&amp;M116&amp;N116&amp;O116&amp;P116&amp;Q116)</f>
        <v/>
      </c>
      <c r="I116" s="0" t="str">
        <f aca="false">IF(OR($A116="",$D116=""),"",IF(AND(EDATE($D116,Milestones!$AA$20)&lt;=AsOfDate,IF($R116=0,$X116,IF(AND($T116&lt;&gt;"",EDATE($D116,Milestones!$AA$20)&gt;=$T116),$W116,IF(AND($S116&lt;&gt;"",EDATE($D116,Milestones!$AA$20)&gt;=$S116),$V116,$U116)))=Milestones!$AB$20),UPPER(TEXT(EDATE($D116,Milestones!$AA$20),"dd mmm yy"))&amp;" "&amp;Milestones!$AB$20&amp;" "&amp;Milestones!$AC$20&amp;";  ","")&amp;IF(AND(EDATE($D116,Milestones!$AA$21)&lt;=AsOfDate,IF($R116=0,$X116,IF(AND($T116&lt;&gt;"",EDATE($D116,Milestones!$AA$21)&gt;=$T116),$W116,IF(AND($S116&lt;&gt;"",EDATE($D116,Milestones!$AA$21)&gt;=$S116),$V116,$U116)))=Milestones!$AB$21),UPPER(TEXT(EDATE($D116,Milestones!$AA$21),"dd mmm yy"))&amp;" "&amp;Milestones!$AB$21&amp;" "&amp;Milestones!$AC$21&amp;";  ","")&amp;IF(AND(EDATE($D116,Milestones!$AA$22)&lt;=AsOfDate,IF($R116=0,$X116,IF(AND($T116&lt;&gt;"",EDATE($D116,Milestones!$AA$22)&gt;=$T116),$W116,IF(AND($S116&lt;&gt;"",EDATE($D116,Milestones!$AA$22)&gt;=$S116),$V116,$U116)))=Milestones!$AB$22),UPPER(TEXT(EDATE($D116,Milestones!$AA$22),"dd mmm yy"))&amp;" "&amp;Milestones!$AB$22&amp;" "&amp;Milestones!$AC$22&amp;";  ","")&amp;IF(AND(EDATE($D116,Milestones!$AA$23)&lt;=AsOfDate,IF($R116=0,$X116,IF(AND($T116&lt;&gt;"",EDATE($D116,Milestones!$AA$23)&gt;=$T116),$W116,IF(AND($S116&lt;&gt;"",EDATE($D116,Milestones!$AA$23)&gt;=$S116),$V116,$U116)))=Milestones!$AB$23),UPPER(TEXT(EDATE($D116,Milestones!$AA$23),"dd mmm yy"))&amp;" "&amp;Milestones!$AB$23&amp;" "&amp;Milestones!$AC$23&amp;";  ","")&amp;IF(AND(EDATE($D116,Milestones!$AA$24)&lt;=AsOfDate,IF($R116=0,$X116,IF(AND($T116&lt;&gt;"",EDATE($D116,Milestones!$AA$24)&gt;=$T116),$W116,IF(AND($S116&lt;&gt;"",EDATE($D116,Milestones!$AA$24)&gt;=$S116),$V116,$U116)))=Milestones!$AB$24),UPPER(TEXT(EDATE($D116,Milestones!$AA$24),"dd mmm yy"))&amp;" "&amp;Milestones!$AB$24&amp;" "&amp;Milestones!$AC$24&amp;";  ","")&amp;IF(AND(EDATE($D116,Milestones!$AA$25)&lt;=AsOfDate,IF($R116=0,$X116,IF(AND($T116&lt;&gt;"",EDATE($D116,Milestones!$AA$25)&gt;=$T116),$W116,IF(AND($S116&lt;&gt;"",EDATE($D116,Milestones!$AA$25)&gt;=$S116),$V116,$U116)))=Milestones!$AB$25),UPPER(TEXT(EDATE($D116,Milestones!$AA$25),"dd mmm yy"))&amp;" "&amp;Milestones!$AB$25&amp;" "&amp;Milestones!$AC$25&amp;";  ","")&amp;IF(AND(EDATE($D116,Milestones!$AA$26)&lt;=AsOfDate,IF($R116=0,$X116,IF(AND($T116&lt;&gt;"",EDATE($D116,Milestones!$AA$26)&gt;=$T116),$W116,IF(AND($S116&lt;&gt;"",EDATE($D116,Milestones!$AA$26)&gt;=$S116),$V116,$U116)))=Milestones!$AB$26),UPPER(TEXT(EDATE($D116,Milestones!$AA$26),"dd mmm yy"))&amp;" "&amp;Milestones!$AB$26&amp;" "&amp;Milestones!$AC$26&amp;";  ","")&amp;IF(AND(EDATE($D116,Milestones!$AA$27)&lt;=AsOfDate,IF($R116=0,$X116,IF(AND($T116&lt;&gt;"",EDATE($D116,Milestones!$AA$27)&gt;=$T116),$W116,IF(AND($S116&lt;&gt;"",EDATE($D116,Milestones!$AA$27)&gt;=$S116),$V116,$U116)))=Milestones!$AB$27),UPPER(TEXT(EDATE($D116,Milestones!$AA$27),"dd mmm yy"))&amp;" "&amp;Milestones!$AB$27&amp;" "&amp;Milestones!$AC$27&amp;";  ","")&amp;IF(AND(EDATE($D116,Milestones!$AA$28)&lt;=AsOfDate,IF($R116=0,$X116,IF(AND($T116&lt;&gt;"",EDATE($D116,Milestones!$AA$28)&gt;=$T116),$W116,IF(AND($S116&lt;&gt;"",EDATE($D116,Milestones!$AA$28)&gt;=$S116),$V116,$U116)))=Milestones!$AB$28),UPPER(TEXT(EDATE($D116,Milestones!$AA$28),"dd mmm yy"))&amp;" "&amp;Milestones!$AB$28&amp;" "&amp;Milestones!$AC$28&amp;";  ","")&amp;IF(AND(EDATE($D116,Milestones!$AA$29)&lt;=AsOfDate,IF($R116=0,$X116,IF(AND($T116&lt;&gt;"",EDATE($D116,Milestones!$AA$29)&gt;=$T116),$W116,IF(AND($S116&lt;&gt;"",EDATE($D116,Milestones!$AA$29)&gt;=$S116),$V116,$U116)))=Milestones!$AB$29),UPPER(TEXT(EDATE($D116,Milestones!$AA$29),"dd mmm yy"))&amp;" "&amp;Milestones!$AB$29&amp;" "&amp;Milestones!$AC$29&amp;";  ","")&amp;IF(AND(EDATE($D116,Milestones!$AA$30)&lt;=AsOfDate,IF($R116=0,$X116,IF(AND($T116&lt;&gt;"",EDATE($D116,Milestones!$AA$30)&gt;=$T116),$W116,IF(AND($S116&lt;&gt;"",EDATE($D116,Milestones!$AA$30)&gt;=$S116),$V116,$U116)))=Milestones!$AB$30),UPPER(TEXT(EDATE($D116,Milestones!$AA$30),"dd mmm yy"))&amp;" "&amp;Milestones!$AB$30&amp;" "&amp;Milestones!$AC$30&amp;";  ","")&amp;IF(AND(EDATE($D116,Milestones!$AA$31)&lt;=AsOfDate,IF($R116=0,$X116,IF(AND($T116&lt;&gt;"",EDATE($D116,Milestones!$AA$31)&gt;=$T116),$W116,IF(AND($S116&lt;&gt;"",EDATE($D116,Milestones!$AA$31)&gt;=$S116),$V116,$U116)))=Milestones!$AB$31),UPPER(TEXT(EDATE($D116,Milestones!$AA$31),"dd mmm yy"))&amp;" "&amp;Milestones!$AB$31&amp;" "&amp;Milestones!$AC$31&amp;";  ","")&amp;IF(AND(EDATE($D116,Milestones!$AA$32)&lt;=AsOfDate,IF($R116=0,$X116,IF(AND($T116&lt;&gt;"",EDATE($D116,Milestones!$AA$32)&gt;=$T116),$W116,IF(AND($S116&lt;&gt;"",EDATE($D116,Milestones!$AA$32)&gt;=$S116),$V116,$U116)))=Milestones!$AB$32),UPPER(TEXT(EDATE($D116,Milestones!$AA$32),"dd mmm yy"))&amp;" "&amp;Milestones!$AB$32&amp;" "&amp;Milestones!$AC$32&amp;";  ","")&amp;IF(AND(EDATE($D116,Milestones!$AA$33)&lt;=AsOfDate,IF($R116=0,$X116,IF(AND($T116&lt;&gt;"",EDATE($D116,Milestones!$AA$33)&gt;=$T116),$W116,IF(AND($S116&lt;&gt;"",EDATE($D116,Milestones!$AA$33)&gt;=$S116),$V116,$U116)))=Milestones!$AB$33),UPPER(TEXT(EDATE($D116,Milestones!$AA$33),"dd mmm yy"))&amp;" "&amp;Milestones!$AB$33&amp;" "&amp;Milestones!$AC$33&amp;";  ","")&amp;IF(AND(EDATE($D116,Milestones!$AA$34)&lt;=AsOfDate,IF($R116=0,$X116,IF(AND($T116&lt;&gt;"",EDATE($D116,Milestones!$AA$34)&gt;=$T116),$W116,IF(AND($S116&lt;&gt;"",EDATE($D116,Milestones!$AA$34)&gt;=$S116),$V116,$U116)))=Milestones!$AB$34),UPPER(TEXT(EDATE($D116,Milestones!$AA$34),"dd mmm yy"))&amp;" "&amp;Milestones!$AB$34&amp;" "&amp;Milestones!$AC$34&amp;";  ","")&amp;IF(AND(EDATE($D116,Milestones!$AA$35)&lt;=AsOfDate,IF($R116=0,$X116,IF(AND($T116&lt;&gt;"",EDATE($D116,Milestones!$AA$35)&gt;=$T116),$W116,IF(AND($S116&lt;&gt;"",EDATE($D116,Milestones!$AA$35)&gt;=$S116),$V116,$U116)))=Milestones!$AB$35),UPPER(TEXT(EDATE($D116,Milestones!$AA$35),"dd mmm yy"))&amp;" "&amp;Milestones!$AB$35&amp;" "&amp;Milestones!$AC$35&amp;";  ","")&amp;IF(AND(EDATE($D116,Milestones!$AA$36)&lt;=AsOfDate,IF($R116=0,$X116,IF(AND($T116&lt;&gt;"",EDATE($D116,Milestones!$AA$36)&gt;=$T116),$W116,IF(AND($S116&lt;&gt;"",EDATE($D116,Milestones!$AA$36)&gt;=$S116),$V116,$U116)))=Milestones!$AB$36),UPPER(TEXT(EDATE($D116,Milestones!$AA$36),"dd mmm yy"))&amp;" "&amp;Milestones!$AB$36&amp;" "&amp;Milestones!$AC$36&amp;";  ","")&amp;IF(AND(EDATE($D116,Milestones!$AA$37)&lt;=AsOfDate,IF($R116=0,$X116,IF(AND($T116&lt;&gt;"",EDATE($D116,Milestones!$AA$37)&gt;=$T116),$W116,IF(AND($S116&lt;&gt;"",EDATE($D116,Milestones!$AA$37)&gt;=$S116),$V116,$U116)))=Milestones!$AB$37),UPPER(TEXT(EDATE($D116,Milestones!$AA$37),"dd mmm yy"))&amp;" "&amp;Milestones!$AB$37&amp;" "&amp;Milestones!$AC$37&amp;";  ","")&amp;IF(AND(EDATE($D116,Milestones!$AA$38)&lt;=AsOfDate,IF($R116=0,$X116,IF(AND($T116&lt;&gt;"",EDATE($D116,Milestones!$AA$38)&gt;=$T116),$W116,IF(AND($S116&lt;&gt;"",EDATE($D116,Milestones!$AA$38)&gt;=$S116),$V116,$U116)))=Milestones!$AB$38),UPPER(TEXT(EDATE($D116,Milestones!$AA$38),"dd mmm yy"))&amp;" "&amp;Milestones!$AB$38&amp;" "&amp;Milestones!$AC$38&amp;";  ","")&amp;IF(AND(EDATE($D116,Milestones!$AA$39)&lt;=AsOfDate,IF($R116=0,$X116,IF(AND($T116&lt;&gt;"",EDATE($D116,Milestones!$AA$39)&gt;=$T116),$W116,IF(AND($S116&lt;&gt;"",EDATE($D116,Milestones!$AA$39)&gt;=$S116),$V116,$U116)))=Milestones!$AB$39),UPPER(TEXT(EDATE($D116,Milestones!$AA$39),"dd mmm yy"))&amp;" "&amp;Milestones!$AB$39&amp;" "&amp;Milestones!$AC$39&amp;";  ",""))</f>
        <v/>
      </c>
      <c r="J116" s="0" t="str">
        <f aca="false">IF(OR($A116="",$D116=""),"",IF(AND(EDATE($D116,Milestones!$AA$40)&lt;=AsOfDate,IF($R116=0,$X116,IF(AND($T116&lt;&gt;"",EDATE($D116,Milestones!$AA$40)&gt;=$T116),$W116,IF(AND($S116&lt;&gt;"",EDATE($D116,Milestones!$AA$40)&gt;=$S116),$V116,$U116)))=Milestones!$AB$40),UPPER(TEXT(EDATE($D116,Milestones!$AA$40),"dd mmm yy"))&amp;" "&amp;Milestones!$AB$40&amp;" "&amp;Milestones!$AC$40&amp;";  ","")&amp;IF(AND(EDATE($D116,Milestones!$AA$41)&lt;=AsOfDate,IF($R116=0,$X116,IF(AND($T116&lt;&gt;"",EDATE($D116,Milestones!$AA$41)&gt;=$T116),$W116,IF(AND($S116&lt;&gt;"",EDATE($D116,Milestones!$AA$41)&gt;=$S116),$V116,$U116)))=Milestones!$AB$41),UPPER(TEXT(EDATE($D116,Milestones!$AA$41),"dd mmm yy"))&amp;" "&amp;Milestones!$AB$41&amp;" "&amp;Milestones!$AC$41&amp;";  ","")&amp;IF(AND(EDATE($D116,Milestones!$AA$42)&lt;=AsOfDate,IF($R116=0,$X116,IF(AND($T116&lt;&gt;"",EDATE($D116,Milestones!$AA$42)&gt;=$T116),$W116,IF(AND($S116&lt;&gt;"",EDATE($D116,Milestones!$AA$42)&gt;=$S116),$V116,$U116)))=Milestones!$AB$42),UPPER(TEXT(EDATE($D116,Milestones!$AA$42),"dd mmm yy"))&amp;" "&amp;Milestones!$AB$42&amp;" "&amp;Milestones!$AC$42&amp;";  ","")&amp;IF(AND(EDATE($D116,Milestones!$AA$43)&lt;=AsOfDate,IF($R116=0,$X116,IF(AND($T116&lt;&gt;"",EDATE($D116,Milestones!$AA$43)&gt;=$T116),$W116,IF(AND($S116&lt;&gt;"",EDATE($D116,Milestones!$AA$43)&gt;=$S116),$V116,$U116)))=Milestones!$AB$43),UPPER(TEXT(EDATE($D116,Milestones!$AA$43),"dd mmm yy"))&amp;" "&amp;Milestones!$AB$43&amp;" "&amp;Milestones!$AC$43&amp;";  ","")&amp;IF(AND(EDATE($D116,Milestones!$AA$44)&lt;=AsOfDate,IF($R116=0,$X116,IF(AND($T116&lt;&gt;"",EDATE($D116,Milestones!$AA$44)&gt;=$T116),$W116,IF(AND($S116&lt;&gt;"",EDATE($D116,Milestones!$AA$44)&gt;=$S116),$V116,$U116)))=Milestones!$AB$44),UPPER(TEXT(EDATE($D116,Milestones!$AA$44),"dd mmm yy"))&amp;" "&amp;Milestones!$AB$44&amp;" "&amp;Milestones!$AC$44&amp;";  ","")&amp;IF(AND(EDATE($D116,Milestones!$AA$45)&lt;=AsOfDate,IF($R116=0,$X116,IF(AND($T116&lt;&gt;"",EDATE($D116,Milestones!$AA$45)&gt;=$T116),$W116,IF(AND($S116&lt;&gt;"",EDATE($D116,Milestones!$AA$45)&gt;=$S116),$V116,$U116)))=Milestones!$AB$45),UPPER(TEXT(EDATE($D116,Milestones!$AA$45),"dd mmm yy"))&amp;" "&amp;Milestones!$AB$45&amp;" "&amp;Milestones!$AC$45&amp;";  ","")&amp;IF(AND(EDATE($D116,Milestones!$AA$46)&lt;=AsOfDate,IF($R116=0,$X116,IF(AND($T116&lt;&gt;"",EDATE($D116,Milestones!$AA$46)&gt;=$T116),$W116,IF(AND($S116&lt;&gt;"",EDATE($D116,Milestones!$AA$46)&gt;=$S116),$V116,$U116)))=Milestones!$AB$46),UPPER(TEXT(EDATE($D116,Milestones!$AA$46),"dd mmm yy"))&amp;" "&amp;Milestones!$AB$46&amp;" "&amp;Milestones!$AC$46&amp;";  ","")&amp;IF(AND(EDATE($D116,Milestones!$AA$47)&lt;=AsOfDate,IF($R116=0,$X116,IF(AND($T116&lt;&gt;"",EDATE($D116,Milestones!$AA$47)&gt;=$T116),$W116,IF(AND($S116&lt;&gt;"",EDATE($D116,Milestones!$AA$47)&gt;=$S116),$V116,$U116)))=Milestones!$AB$47),UPPER(TEXT(EDATE($D116,Milestones!$AA$47),"dd mmm yy"))&amp;" "&amp;Milestones!$AB$47&amp;" "&amp;Milestones!$AC$47&amp;";  ","")&amp;IF(AND(EDATE($D116,Milestones!$AA$48)&lt;=AsOfDate,IF($R116=0,$X116,IF(AND($T116&lt;&gt;"",EDATE($D116,Milestones!$AA$48)&gt;=$T116),$W116,IF(AND($S116&lt;&gt;"",EDATE($D116,Milestones!$AA$48)&gt;=$S116),$V116,$U116)))=Milestones!$AB$48),UPPER(TEXT(EDATE($D116,Milestones!$AA$48),"dd mmm yy"))&amp;" "&amp;Milestones!$AB$48&amp;" "&amp;Milestones!$AC$48&amp;";  ","")&amp;IF(AND(EDATE($D116,Milestones!$AA$49)&lt;=AsOfDate,IF($R116=0,$X116,IF(AND($T116&lt;&gt;"",EDATE($D116,Milestones!$AA$49)&gt;=$T116),$W116,IF(AND($S116&lt;&gt;"",EDATE($D116,Milestones!$AA$49)&gt;=$S116),$V116,$U116)))=Milestones!$AB$49),UPPER(TEXT(EDATE($D116,Milestones!$AA$49),"dd mmm yy"))&amp;" "&amp;Milestones!$AB$49&amp;" "&amp;Milestones!$AC$49&amp;";  ","")&amp;IF(AND(EDATE($D116,Milestones!$AA$50)&lt;=AsOfDate,IF($R116=0,$X116,IF(AND($T116&lt;&gt;"",EDATE($D116,Milestones!$AA$50)&gt;=$T116),$W116,IF(AND($S116&lt;&gt;"",EDATE($D116,Milestones!$AA$50)&gt;=$S116),$V116,$U116)))=Milestones!$AB$50),UPPER(TEXT(EDATE($D116,Milestones!$AA$50),"dd mmm yy"))&amp;" "&amp;Milestones!$AB$50&amp;" "&amp;Milestones!$AC$50&amp;";  ","")&amp;IF(AND(EDATE($D116,Milestones!$AA$51)&lt;=AsOfDate,IF($R116=0,$X116,IF(AND($T116&lt;&gt;"",EDATE($D116,Milestones!$AA$51)&gt;=$T116),$W116,IF(AND($S116&lt;&gt;"",EDATE($D116,Milestones!$AA$51)&gt;=$S116),$V116,$U116)))=Milestones!$AB$51),UPPER(TEXT(EDATE($D116,Milestones!$AA$51),"dd mmm yy"))&amp;" "&amp;Milestones!$AB$51&amp;" "&amp;Milestones!$AC$51&amp;";  ","")&amp;IF(AND(EDATE($D116,Milestones!$AA$52)&lt;=AsOfDate,IF($R116=0,$X116,IF(AND($T116&lt;&gt;"",EDATE($D116,Milestones!$AA$52)&gt;=$T116),$W116,IF(AND($S116&lt;&gt;"",EDATE($D116,Milestones!$AA$52)&gt;=$S116),$V116,$U116)))=Milestones!$AB$52),UPPER(TEXT(EDATE($D116,Milestones!$AA$52),"dd mmm yy"))&amp;" "&amp;Milestones!$AB$52&amp;" "&amp;Milestones!$AC$52&amp;";  ","")&amp;IF(AND(EDATE($D116,Milestones!$AA$53)&lt;=AsOfDate,IF($R116=0,$X116,IF(AND($T116&lt;&gt;"",EDATE($D116,Milestones!$AA$53)&gt;=$T116),$W116,IF(AND($S116&lt;&gt;"",EDATE($D116,Milestones!$AA$53)&gt;=$S116),$V116,$U116)))=Milestones!$AB$53),UPPER(TEXT(EDATE($D116,Milestones!$AA$53),"dd mmm yy"))&amp;" "&amp;Milestones!$AB$53&amp;" "&amp;Milestones!$AC$53&amp;";  ","")&amp;IF(AND(EDATE($D116,Milestones!$AA$54)&lt;=AsOfDate,IF($R116=0,$X116,IF(AND($T116&lt;&gt;"",EDATE($D116,Milestones!$AA$54)&gt;=$T116),$W116,IF(AND($S116&lt;&gt;"",EDATE($D116,Milestones!$AA$54)&gt;=$S116),$V116,$U116)))=Milestones!$AB$54),UPPER(TEXT(EDATE($D116,Milestones!$AA$54),"dd mmm yy"))&amp;" "&amp;Milestones!$AB$54&amp;" "&amp;Milestones!$AC$54&amp;";  ","")&amp;IF(AND(EDATE($D116,Milestones!$AA$55)&lt;=AsOfDate,IF($R116=0,$X116,IF(AND($T116&lt;&gt;"",EDATE($D116,Milestones!$AA$55)&gt;=$T116),$W116,IF(AND($S116&lt;&gt;"",EDATE($D116,Milestones!$AA$55)&gt;=$S116),$V116,$U116)))=Milestones!$AB$55),UPPER(TEXT(EDATE($D116,Milestones!$AA$55),"dd mmm yy"))&amp;" "&amp;Milestones!$AB$55&amp;" "&amp;Milestones!$AC$55&amp;";  ","")&amp;IF(AND(EDATE($D116,Milestones!$AA$56)&lt;=AsOfDate,IF($R116=0,$X116,IF(AND($T116&lt;&gt;"",EDATE($D116,Milestones!$AA$56)&gt;=$T116),$W116,IF(AND($S116&lt;&gt;"",EDATE($D116,Milestones!$AA$56)&gt;=$S116),$V116,$U116)))=Milestones!$AB$56),UPPER(TEXT(EDATE($D116,Milestones!$AA$56),"dd mmm yy"))&amp;" "&amp;Milestones!$AB$56&amp;" "&amp;Milestones!$AC$56&amp;";  ","")&amp;IF(AND(EDATE($D116,Milestones!$AA$57)&lt;=AsOfDate,IF($R116=0,$X116,IF(AND($T116&lt;&gt;"",EDATE($D116,Milestones!$AA$57)&gt;=$T116),$W116,IF(AND($S116&lt;&gt;"",EDATE($D116,Milestones!$AA$57)&gt;=$S116),$V116,$U116)))=Milestones!$AB$57),UPPER(TEXT(EDATE($D116,Milestones!$AA$57),"dd mmm yy"))&amp;" "&amp;Milestones!$AB$57&amp;" "&amp;Milestones!$AC$57&amp;";  ","")&amp;IF(AND(EDATE($D116,Milestones!$AA$58)&lt;=AsOfDate,IF($R116=0,$X116,IF(AND($T116&lt;&gt;"",EDATE($D116,Milestones!$AA$58)&gt;=$T116),$W116,IF(AND($S116&lt;&gt;"",EDATE($D116,Milestones!$AA$58)&gt;=$S116),$V116,$U116)))=Milestones!$AB$58),UPPER(TEXT(EDATE($D116,Milestones!$AA$58),"dd mmm yy"))&amp;" "&amp;Milestones!$AB$58&amp;" "&amp;Milestones!$AC$58&amp;";  ","")&amp;IF(AND(EDATE($D116,Milestones!$AA$59)&lt;=AsOfDate,IF($R116=0,$X116,IF(AND($T116&lt;&gt;"",EDATE($D116,Milestones!$AA$59)&gt;=$T116),$W116,IF(AND($S116&lt;&gt;"",EDATE($D116,Milestones!$AA$59)&gt;=$S116),$V116,$U116)))=Milestones!$AB$59),UPPER(TEXT(EDATE($D116,Milestones!$AA$59),"dd mmm yy"))&amp;" "&amp;Milestones!$AB$59&amp;" "&amp;Milestones!$AC$59&amp;";  ",""))</f>
        <v/>
      </c>
      <c r="K116" s="0" t="str">
        <f aca="false">IF(OR($A116="",$D116=""),"",IF(AND(EDATE($D116,Milestones!$AA$60)&lt;=AsOfDate,IF($R116=0,$X116,IF(AND($T116&lt;&gt;"",EDATE($D116,Milestones!$AA$60)&gt;=$T116),$W116,IF(AND($S116&lt;&gt;"",EDATE($D116,Milestones!$AA$60)&gt;=$S116),$V116,$U116)))=Milestones!$AB$60),UPPER(TEXT(EDATE($D116,Milestones!$AA$60),"dd mmm yy"))&amp;" "&amp;Milestones!$AB$60&amp;" "&amp;Milestones!$AC$60&amp;";  ","")&amp;IF(AND(EDATE($D116,Milestones!$AA$61)&lt;=AsOfDate,IF($R116=0,$X116,IF(AND($T116&lt;&gt;"",EDATE($D116,Milestones!$AA$61)&gt;=$T116),$W116,IF(AND($S116&lt;&gt;"",EDATE($D116,Milestones!$AA$61)&gt;=$S116),$V116,$U116)))=Milestones!$AB$61),UPPER(TEXT(EDATE($D116,Milestones!$AA$61),"dd mmm yy"))&amp;" "&amp;Milestones!$AB$61&amp;" "&amp;Milestones!$AC$61&amp;";  ","")&amp;IF(AND(EDATE($D116,Milestones!$AA$62)&lt;=AsOfDate,IF($R116=0,$X116,IF(AND($T116&lt;&gt;"",EDATE($D116,Milestones!$AA$62)&gt;=$T116),$W116,IF(AND($S116&lt;&gt;"",EDATE($D116,Milestones!$AA$62)&gt;=$S116),$V116,$U116)))=Milestones!$AB$62),UPPER(TEXT(EDATE($D116,Milestones!$AA$62),"dd mmm yy"))&amp;" "&amp;Milestones!$AB$62&amp;" "&amp;Milestones!$AC$62&amp;";  ","")&amp;IF(AND(EDATE($D116,Milestones!$AA$63)&lt;=AsOfDate,IF($R116=0,$X116,IF(AND($T116&lt;&gt;"",EDATE($D116,Milestones!$AA$63)&gt;=$T116),$W116,IF(AND($S116&lt;&gt;"",EDATE($D116,Milestones!$AA$63)&gt;=$S116),$V116,$U116)))=Milestones!$AB$63),UPPER(TEXT(EDATE($D116,Milestones!$AA$63),"dd mmm yy"))&amp;" "&amp;Milestones!$AB$63&amp;" "&amp;Milestones!$AC$63&amp;";  ","")&amp;IF(AND(EDATE($D116,Milestones!$AA$64)&lt;=AsOfDate,IF($R116=0,$X116,IF(AND($T116&lt;&gt;"",EDATE($D116,Milestones!$AA$64)&gt;=$T116),$W116,IF(AND($S116&lt;&gt;"",EDATE($D116,Milestones!$AA$64)&gt;=$S116),$V116,$U116)))=Milestones!$AB$64),UPPER(TEXT(EDATE($D116,Milestones!$AA$64),"dd mmm yy"))&amp;" "&amp;Milestones!$AB$64&amp;" "&amp;Milestones!$AC$64&amp;";  ","")&amp;IF(AND(EDATE($D116,Milestones!$AA$65)&lt;=AsOfDate,IF($R116=0,$X116,IF(AND($T116&lt;&gt;"",EDATE($D116,Milestones!$AA$65)&gt;=$T116),$W116,IF(AND($S116&lt;&gt;"",EDATE($D116,Milestones!$AA$65)&gt;=$S116),$V116,$U116)))=Milestones!$AB$65),UPPER(TEXT(EDATE($D116,Milestones!$AA$65),"dd mmm yy"))&amp;" "&amp;Milestones!$AB$65&amp;" "&amp;Milestones!$AC$65&amp;";  ","")&amp;IF(AND(EDATE($D116,Milestones!$AA$66)&lt;=AsOfDate,IF($R116=0,$X116,IF(AND($T116&lt;&gt;"",EDATE($D116,Milestones!$AA$66)&gt;=$T116),$W116,IF(AND($S116&lt;&gt;"",EDATE($D116,Milestones!$AA$66)&gt;=$S116),$V116,$U116)))=Milestones!$AB$66),UPPER(TEXT(EDATE($D116,Milestones!$AA$66),"dd mmm yy"))&amp;" "&amp;Milestones!$AB$66&amp;" "&amp;Milestones!$AC$66&amp;";  ","")&amp;IF(AND(EDATE($D116,Milestones!$AA$67)&lt;=AsOfDate,IF($R116=0,$X116,IF(AND($T116&lt;&gt;"",EDATE($D116,Milestones!$AA$67)&gt;=$T116),$W116,IF(AND($S116&lt;&gt;"",EDATE($D116,Milestones!$AA$67)&gt;=$S116),$V116,$U116)))=Milestones!$AB$67),UPPER(TEXT(EDATE($D116,Milestones!$AA$67),"dd mmm yy"))&amp;" "&amp;Milestones!$AB$67&amp;" "&amp;Milestones!$AC$67&amp;";  ","")&amp;IF(AND(EDATE($D116,Milestones!$AA$68)&lt;=AsOfDate,IF($R116=0,$X116,IF(AND($T116&lt;&gt;"",EDATE($D116,Milestones!$AA$68)&gt;=$T116),$W116,IF(AND($S116&lt;&gt;"",EDATE($D116,Milestones!$AA$68)&gt;=$S116),$V116,$U116)))=Milestones!$AB$68),UPPER(TEXT(EDATE($D116,Milestones!$AA$68),"dd mmm yy"))&amp;" "&amp;Milestones!$AB$68&amp;" "&amp;Milestones!$AC$68&amp;";  ","")&amp;IF(AND(EDATE($D116,Milestones!$AA$69)&lt;=AsOfDate,IF($R116=0,$X116,IF(AND($T116&lt;&gt;"",EDATE($D116,Milestones!$AA$69)&gt;=$T116),$W116,IF(AND($S116&lt;&gt;"",EDATE($D116,Milestones!$AA$69)&gt;=$S116),$V116,$U116)))=Milestones!$AB$69),UPPER(TEXT(EDATE($D116,Milestones!$AA$69),"dd mmm yy"))&amp;" "&amp;Milestones!$AB$69&amp;" "&amp;Milestones!$AC$69&amp;";  ","")&amp;IF(AND(EDATE($D116,Milestones!$AA$70)&lt;=AsOfDate,IF($R116=0,$X116,IF(AND($T116&lt;&gt;"",EDATE($D116,Milestones!$AA$70)&gt;=$T116),$W116,IF(AND($S116&lt;&gt;"",EDATE($D116,Milestones!$AA$70)&gt;=$S116),$V116,$U116)))=Milestones!$AB$70),UPPER(TEXT(EDATE($D116,Milestones!$AA$70),"dd mmm yy"))&amp;" "&amp;Milestones!$AB$70&amp;" "&amp;Milestones!$AC$70&amp;";  ","")&amp;IF(AND(EDATE($D116,Milestones!$AA$71)&lt;=AsOfDate,IF($R116=0,$X116,IF(AND($T116&lt;&gt;"",EDATE($D116,Milestones!$AA$71)&gt;=$T116),$W116,IF(AND($S116&lt;&gt;"",EDATE($D116,Milestones!$AA$71)&gt;=$S116),$V116,$U116)))=Milestones!$AB$71),UPPER(TEXT(EDATE($D116,Milestones!$AA$71),"dd mmm yy"))&amp;" "&amp;Milestones!$AB$71&amp;" "&amp;Milestones!$AC$71&amp;";  ","")&amp;IF(AND(EDATE($D116,Milestones!$AA$72)&lt;=AsOfDate,IF($R116=0,$X116,IF(AND($T116&lt;&gt;"",EDATE($D116,Milestones!$AA$72)&gt;=$T116),$W116,IF(AND($S116&lt;&gt;"",EDATE($D116,Milestones!$AA$72)&gt;=$S116),$V116,$U116)))=Milestones!$AB$72),UPPER(TEXT(EDATE($D116,Milestones!$AA$72),"dd mmm yy"))&amp;" "&amp;Milestones!$AB$72&amp;" "&amp;Milestones!$AC$72&amp;";  ","")&amp;IF(AND(EDATE($D116,Milestones!$AA$73)&lt;=AsOfDate,IF($R116=0,$X116,IF(AND($T116&lt;&gt;"",EDATE($D116,Milestones!$AA$73)&gt;=$T116),$W116,IF(AND($S116&lt;&gt;"",EDATE($D116,Milestones!$AA$73)&gt;=$S116),$V116,$U116)))=Milestones!$AB$73),UPPER(TEXT(EDATE($D116,Milestones!$AA$73),"dd mmm yy"))&amp;" "&amp;Milestones!$AB$73&amp;" "&amp;Milestones!$AC$73&amp;";  ","")&amp;IF(AND(EDATE($D116,Milestones!$AA$74)&lt;=AsOfDate,IF($R116=0,$X116,IF(AND($T116&lt;&gt;"",EDATE($D116,Milestones!$AA$74)&gt;=$T116),$W116,IF(AND($S116&lt;&gt;"",EDATE($D116,Milestones!$AA$74)&gt;=$S116),$V116,$U116)))=Milestones!$AB$74),UPPER(TEXT(EDATE($D116,Milestones!$AA$74),"dd mmm yy"))&amp;" "&amp;Milestones!$AB$74&amp;" "&amp;Milestones!$AC$74&amp;";  ","")&amp;IF(AND(EDATE($D116,Milestones!$AA$75)&lt;=AsOfDate,IF($R116=0,$X116,IF(AND($T116&lt;&gt;"",EDATE($D116,Milestones!$AA$75)&gt;=$T116),$W116,IF(AND($S116&lt;&gt;"",EDATE($D116,Milestones!$AA$75)&gt;=$S116),$V116,$U116)))=Milestones!$AB$75),UPPER(TEXT(EDATE($D116,Milestones!$AA$75),"dd mmm yy"))&amp;" "&amp;Milestones!$AB$75&amp;" "&amp;Milestones!$AC$75&amp;";  ","")&amp;IF(AND(EDATE($D116,Milestones!$AA$76)&lt;=AsOfDate,IF($R116=0,$X116,IF(AND($T116&lt;&gt;"",EDATE($D116,Milestones!$AA$76)&gt;=$T116),$W116,IF(AND($S116&lt;&gt;"",EDATE($D116,Milestones!$AA$76)&gt;=$S116),$V116,$U116)))=Milestones!$AB$76),UPPER(TEXT(EDATE($D116,Milestones!$AA$76),"dd mmm yy"))&amp;" "&amp;Milestones!$AB$76&amp;" "&amp;Milestones!$AC$76&amp;";  ","")&amp;IF(AND(EDATE($D116,Milestones!$AA$77)&lt;=AsOfDate,IF($R116=0,$X116,IF(AND($T116&lt;&gt;"",EDATE($D116,Milestones!$AA$77)&gt;=$T116),$W116,IF(AND($S116&lt;&gt;"",EDATE($D116,Milestones!$AA$77)&gt;=$S116),$V116,$U116)))=Milestones!$AB$77),UPPER(TEXT(EDATE($D116,Milestones!$AA$77),"dd mmm yy"))&amp;" "&amp;Milestones!$AB$77&amp;" "&amp;Milestones!$AC$77&amp;";  ","")&amp;IF(AND(EDATE($D116,Milestones!$AA$78)&lt;=AsOfDate,IF($R116=0,$X116,IF(AND($T116&lt;&gt;"",EDATE($D116,Milestones!$AA$78)&gt;=$T116),$W116,IF(AND($S116&lt;&gt;"",EDATE($D116,Milestones!$AA$78)&gt;=$S116),$V116,$U116)))=Milestones!$AB$78),UPPER(TEXT(EDATE($D116,Milestones!$AA$78),"dd mmm yy"))&amp;" "&amp;Milestones!$AB$78&amp;" "&amp;Milestones!$AC$78&amp;";  ","")&amp;IF(AND(EDATE($D116,Milestones!$AA$79)&lt;=AsOfDate,IF($R116=0,$X116,IF(AND($T116&lt;&gt;"",EDATE($D116,Milestones!$AA$79)&gt;=$T116),$W116,IF(AND($S116&lt;&gt;"",EDATE($D116,Milestones!$AA$79)&gt;=$S116),$V116,$U116)))=Milestones!$AB$79),UPPER(TEXT(EDATE($D116,Milestones!$AA$79),"dd mmm yy"))&amp;" "&amp;Milestones!$AB$79&amp;" "&amp;Milestones!$AC$79&amp;";  ",""))</f>
        <v/>
      </c>
      <c r="L116" s="0" t="str">
        <f aca="false">IF(OR($A116="",$D116=""),"",IF(AND(EDATE($D116,Milestones!$AA$80)&lt;=AsOfDate,IF($R116=0,$X116,IF(AND($T116&lt;&gt;"",EDATE($D116,Milestones!$AA$80)&gt;=$T116),$W116,IF(AND($S116&lt;&gt;"",EDATE($D116,Milestones!$AA$80)&gt;=$S116),$V116,$U116)))=Milestones!$AB$80),UPPER(TEXT(EDATE($D116,Milestones!$AA$80),"dd mmm yy"))&amp;" "&amp;Milestones!$AB$80&amp;" "&amp;Milestones!$AC$80&amp;";  ","")&amp;IF(AND(EDATE($D116,Milestones!$AA$81)&lt;=AsOfDate,IF($R116=0,$X116,IF(AND($T116&lt;&gt;"",EDATE($D116,Milestones!$AA$81)&gt;=$T116),$W116,IF(AND($S116&lt;&gt;"",EDATE($D116,Milestones!$AA$81)&gt;=$S116),$V116,$U116)))=Milestones!$AB$81),UPPER(TEXT(EDATE($D116,Milestones!$AA$81),"dd mmm yy"))&amp;" "&amp;Milestones!$AB$81&amp;" "&amp;Milestones!$AC$81&amp;";  ","")&amp;IF(AND(EDATE($D116,Milestones!$AA$82)&lt;=AsOfDate,IF($R116=0,$X116,IF(AND($T116&lt;&gt;"",EDATE($D116,Milestones!$AA$82)&gt;=$T116),$W116,IF(AND($S116&lt;&gt;"",EDATE($D116,Milestones!$AA$82)&gt;=$S116),$V116,$U116)))=Milestones!$AB$82),UPPER(TEXT(EDATE($D116,Milestones!$AA$82),"dd mmm yy"))&amp;" "&amp;Milestones!$AB$82&amp;" "&amp;Milestones!$AC$82&amp;";  ","")&amp;IF(AND(EDATE($D116,Milestones!$AA$83)&lt;=AsOfDate,IF($R116=0,$X116,IF(AND($T116&lt;&gt;"",EDATE($D116,Milestones!$AA$83)&gt;=$T116),$W116,IF(AND($S116&lt;&gt;"",EDATE($D116,Milestones!$AA$83)&gt;=$S116),$V116,$U116)))=Milestones!$AB$83),UPPER(TEXT(EDATE($D116,Milestones!$AA$83),"dd mmm yy"))&amp;" "&amp;Milestones!$AB$83&amp;" "&amp;Milestones!$AC$83&amp;";  ","")&amp;IF(AND(EDATE($D116,Milestones!$AA$84)&lt;=AsOfDate,IF($R116=0,$X116,IF(AND($T116&lt;&gt;"",EDATE($D116,Milestones!$AA$84)&gt;=$T116),$W116,IF(AND($S116&lt;&gt;"",EDATE($D116,Milestones!$AA$84)&gt;=$S116),$V116,$U116)))=Milestones!$AB$84),UPPER(TEXT(EDATE($D116,Milestones!$AA$84),"dd mmm yy"))&amp;" "&amp;Milestones!$AB$84&amp;" "&amp;Milestones!$AC$84&amp;";  ","")&amp;IF(AND(EDATE($D116,Milestones!$AA$85)&lt;=AsOfDate,IF($R116=0,$X116,IF(AND($T116&lt;&gt;"",EDATE($D116,Milestones!$AA$85)&gt;=$T116),$W116,IF(AND($S116&lt;&gt;"",EDATE($D116,Milestones!$AA$85)&gt;=$S116),$V116,$U116)))=Milestones!$AB$85),UPPER(TEXT(EDATE($D116,Milestones!$AA$85),"dd mmm yy"))&amp;" "&amp;Milestones!$AB$85&amp;" "&amp;Milestones!$AC$85&amp;";  ","")&amp;IF(AND(EDATE($D116,Milestones!$AA$86)&lt;=AsOfDate,IF($R116=0,$X116,IF(AND($T116&lt;&gt;"",EDATE($D116,Milestones!$AA$86)&gt;=$T116),$W116,IF(AND($S116&lt;&gt;"",EDATE($D116,Milestones!$AA$86)&gt;=$S116),$V116,$U116)))=Milestones!$AB$86),UPPER(TEXT(EDATE($D116,Milestones!$AA$86),"dd mmm yy"))&amp;" "&amp;Milestones!$AB$86&amp;" "&amp;Milestones!$AC$86&amp;";  ","")&amp;IF(AND(EDATE($D116,Milestones!$AA$87)&lt;=AsOfDate,IF($R116=0,$X116,IF(AND($T116&lt;&gt;"",EDATE($D116,Milestones!$AA$87)&gt;=$T116),$W116,IF(AND($S116&lt;&gt;"",EDATE($D116,Milestones!$AA$87)&gt;=$S116),$V116,$U116)))=Milestones!$AB$87),UPPER(TEXT(EDATE($D116,Milestones!$AA$87),"dd mmm yy"))&amp;" "&amp;Milestones!$AB$87&amp;" "&amp;Milestones!$AC$87&amp;";  ","")&amp;IF(AND(EDATE($D116,Milestones!$AA$88)&lt;=AsOfDate,IF($R116=0,$X116,IF(AND($T116&lt;&gt;"",EDATE($D116,Milestones!$AA$88)&gt;=$T116),$W116,IF(AND($S116&lt;&gt;"",EDATE($D116,Milestones!$AA$88)&gt;=$S116),$V116,$U116)))=Milestones!$AB$88),UPPER(TEXT(EDATE($D116,Milestones!$AA$88),"dd mmm yy"))&amp;" "&amp;Milestones!$AB$88&amp;" "&amp;Milestones!$AC$88&amp;";  ","")&amp;IF(AND(EDATE($D116,Milestones!$AA$89)&lt;=AsOfDate,IF($R116=0,$X116,IF(AND($T116&lt;&gt;"",EDATE($D116,Milestones!$AA$89)&gt;=$T116),$W116,IF(AND($S116&lt;&gt;"",EDATE($D116,Milestones!$AA$89)&gt;=$S116),$V116,$U116)))=Milestones!$AB$89),UPPER(TEXT(EDATE($D116,Milestones!$AA$89),"dd mmm yy"))&amp;" "&amp;Milestones!$AB$89&amp;" "&amp;Milestones!$AC$89&amp;";  ","")&amp;IF(AND(EDATE($D116,Milestones!$AA$90)&lt;=AsOfDate,IF($R116=0,$X116,IF(AND($T116&lt;&gt;"",EDATE($D116,Milestones!$AA$90)&gt;=$T116),$W116,IF(AND($S116&lt;&gt;"",EDATE($D116,Milestones!$AA$90)&gt;=$S116),$V116,$U116)))=Milestones!$AB$90),UPPER(TEXT(EDATE($D116,Milestones!$AA$90),"dd mmm yy"))&amp;" "&amp;Milestones!$AB$90&amp;" "&amp;Milestones!$AC$90&amp;";  ","")&amp;IF(AND(EDATE($D116,Milestones!$AA$91)&lt;=AsOfDate,IF($R116=0,$X116,IF(AND($T116&lt;&gt;"",EDATE($D116,Milestones!$AA$91)&gt;=$T116),$W116,IF(AND($S116&lt;&gt;"",EDATE($D116,Milestones!$AA$91)&gt;=$S116),$V116,$U116)))=Milestones!$AB$91),UPPER(TEXT(EDATE($D116,Milestones!$AA$91),"dd mmm yy"))&amp;" "&amp;Milestones!$AB$91&amp;" "&amp;Milestones!$AC$91&amp;";  ","")&amp;IF(AND(EDATE($D116,Milestones!$AA$92)&lt;=AsOfDate,IF($R116=0,$X116,IF(AND($T116&lt;&gt;"",EDATE($D116,Milestones!$AA$92)&gt;=$T116),$W116,IF(AND($S116&lt;&gt;"",EDATE($D116,Milestones!$AA$92)&gt;=$S116),$V116,$U116)))=Milestones!$AB$92),UPPER(TEXT(EDATE($D116,Milestones!$AA$92),"dd mmm yy"))&amp;" "&amp;Milestones!$AB$92&amp;" "&amp;Milestones!$AC$92&amp;";  ","")&amp;IF(AND(EDATE($D116,Milestones!$AA$93)&lt;=AsOfDate,IF($R116=0,$X116,IF(AND($T116&lt;&gt;"",EDATE($D116,Milestones!$AA$93)&gt;=$T116),$W116,IF(AND($S116&lt;&gt;"",EDATE($D116,Milestones!$AA$93)&gt;=$S116),$V116,$U116)))=Milestones!$AB$93),UPPER(TEXT(EDATE($D116,Milestones!$AA$93),"dd mmm yy"))&amp;" "&amp;Milestones!$AB$93&amp;" "&amp;Milestones!$AC$93&amp;";  ","")&amp;IF(AND(EDATE($D116,Milestones!$AA$94)&lt;=AsOfDate,IF($R116=0,$X116,IF(AND($T116&lt;&gt;"",EDATE($D116,Milestones!$AA$94)&gt;=$T116),$W116,IF(AND($S116&lt;&gt;"",EDATE($D116,Milestones!$AA$94)&gt;=$S116),$V116,$U116)))=Milestones!$AB$94),UPPER(TEXT(EDATE($D116,Milestones!$AA$94),"dd mmm yy"))&amp;" "&amp;Milestones!$AB$94&amp;" "&amp;Milestones!$AC$94&amp;";  ","")&amp;IF(AND(EDATE($D116,Milestones!$AA$95)&lt;=AsOfDate,IF($R116=0,$X116,IF(AND($T116&lt;&gt;"",EDATE($D116,Milestones!$AA$95)&gt;=$T116),$W116,IF(AND($S116&lt;&gt;"",EDATE($D116,Milestones!$AA$95)&gt;=$S116),$V116,$U116)))=Milestones!$AB$95),UPPER(TEXT(EDATE($D116,Milestones!$AA$95),"dd mmm yy"))&amp;" "&amp;Milestones!$AB$95&amp;" "&amp;Milestones!$AC$95&amp;";  ","")&amp;IF(AND(EDATE($D116,Milestones!$AA$96)&lt;=AsOfDate,IF($R116=0,$X116,IF(AND($T116&lt;&gt;"",EDATE($D116,Milestones!$AA$96)&gt;=$T116),$W116,IF(AND($S116&lt;&gt;"",EDATE($D116,Milestones!$AA$96)&gt;=$S116),$V116,$U116)))=Milestones!$AB$96),UPPER(TEXT(EDATE($D116,Milestones!$AA$96),"dd mmm yy"))&amp;" "&amp;Milestones!$AB$96&amp;" "&amp;Milestones!$AC$96&amp;";  ","")&amp;IF(AND(EDATE($D116,Milestones!$AA$97)&lt;=AsOfDate,IF($R116=0,$X116,IF(AND($T116&lt;&gt;"",EDATE($D116,Milestones!$AA$97)&gt;=$T116),$W116,IF(AND($S116&lt;&gt;"",EDATE($D116,Milestones!$AA$97)&gt;=$S116),$V116,$U116)))=Milestones!$AB$97),UPPER(TEXT(EDATE($D116,Milestones!$AA$97),"dd mmm yy"))&amp;" "&amp;Milestones!$AB$97&amp;" "&amp;Milestones!$AC$97&amp;";  ","")&amp;IF(AND(EDATE($D116,Milestones!$AA$98)&lt;=AsOfDate,IF($R116=0,$X116,IF(AND($T116&lt;&gt;"",EDATE($D116,Milestones!$AA$98)&gt;=$T116),$W116,IF(AND($S116&lt;&gt;"",EDATE($D116,Milestones!$AA$98)&gt;=$S116),$V116,$U116)))=Milestones!$AB$98),UPPER(TEXT(EDATE($D116,Milestones!$AA$98),"dd mmm yy"))&amp;" "&amp;Milestones!$AB$98&amp;" "&amp;Milestones!$AC$98&amp;";  ","")&amp;IF(AND(EDATE($D116,Milestones!$AA$99)&lt;=AsOfDate,IF($R116=0,$X116,IF(AND($T116&lt;&gt;"",EDATE($D116,Milestones!$AA$99)&gt;=$T116),$W116,IF(AND($S116&lt;&gt;"",EDATE($D116,Milestones!$AA$99)&gt;=$S116),$V116,$U116)))=Milestones!$AB$99),UPPER(TEXT(EDATE($D116,Milestones!$AA$99),"dd mmm yy"))&amp;" "&amp;Milestones!$AB$99&amp;" "&amp;Milestones!$AC$99&amp;";  ",""))</f>
        <v/>
      </c>
      <c r="M116" s="0" t="str">
        <f aca="false">IF(OR($A116="",$D116=""),"",IF(AND(EDATE($D116,Milestones!$AA$100)&lt;=AsOfDate,IF($R116=0,$X116,IF(AND($T116&lt;&gt;"",EDATE($D116,Milestones!$AA$100)&gt;=$T116),$W116,IF(AND($S116&lt;&gt;"",EDATE($D116,Milestones!$AA$100)&gt;=$S116),$V116,$U116)))=Milestones!$AB$100),UPPER(TEXT(EDATE($D116,Milestones!$AA$100),"dd mmm yy"))&amp;" "&amp;Milestones!$AB$100&amp;" "&amp;Milestones!$AC$100&amp;";  ","")&amp;IF(AND(EDATE($D116,Milestones!$AA$101)&lt;=AsOfDate,IF($R116=0,$X116,IF(AND($T116&lt;&gt;"",EDATE($D116,Milestones!$AA$101)&gt;=$T116),$W116,IF(AND($S116&lt;&gt;"",EDATE($D116,Milestones!$AA$101)&gt;=$S116),$V116,$U116)))=Milestones!$AB$101),UPPER(TEXT(EDATE($D116,Milestones!$AA$101),"dd mmm yy"))&amp;" "&amp;Milestones!$AB$101&amp;" "&amp;Milestones!$AC$101&amp;";  ","")&amp;IF(AND(EDATE($D116,Milestones!$AA$102)&lt;=AsOfDate,IF($R116=0,$X116,IF(AND($T116&lt;&gt;"",EDATE($D116,Milestones!$AA$102)&gt;=$T116),$W116,IF(AND($S116&lt;&gt;"",EDATE($D116,Milestones!$AA$102)&gt;=$S116),$V116,$U116)))=Milestones!$AB$102),UPPER(TEXT(EDATE($D116,Milestones!$AA$102),"dd mmm yy"))&amp;" "&amp;Milestones!$AB$102&amp;" "&amp;Milestones!$AC$102&amp;";  ","")&amp;IF(AND(EDATE($D116,Milestones!$AA$103)&lt;=AsOfDate,IF($R116=0,$X116,IF(AND($T116&lt;&gt;"",EDATE($D116,Milestones!$AA$103)&gt;=$T116),$W116,IF(AND($S116&lt;&gt;"",EDATE($D116,Milestones!$AA$103)&gt;=$S116),$V116,$U116)))=Milestones!$AB$103),UPPER(TEXT(EDATE($D116,Milestones!$AA$103),"dd mmm yy"))&amp;" "&amp;Milestones!$AB$103&amp;" "&amp;Milestones!$AC$103&amp;";  ","")&amp;IF(AND(EDATE($D116,Milestones!$AA$104)&lt;=AsOfDate,IF($R116=0,$X116,IF(AND($T116&lt;&gt;"",EDATE($D116,Milestones!$AA$104)&gt;=$T116),$W116,IF(AND($S116&lt;&gt;"",EDATE($D116,Milestones!$AA$104)&gt;=$S116),$V116,$U116)))=Milestones!$AB$104),UPPER(TEXT(EDATE($D116,Milestones!$AA$104),"dd mmm yy"))&amp;" "&amp;Milestones!$AB$104&amp;" "&amp;Milestones!$AC$104&amp;";  ","")&amp;IF(AND(EDATE($D116,Milestones!$AA$105)&lt;=AsOfDate,IF($R116=0,$X116,IF(AND($T116&lt;&gt;"",EDATE($D116,Milestones!$AA$105)&gt;=$T116),$W116,IF(AND($S116&lt;&gt;"",EDATE($D116,Milestones!$AA$105)&gt;=$S116),$V116,$U116)))=Milestones!$AB$105),UPPER(TEXT(EDATE($D116,Milestones!$AA$105),"dd mmm yy"))&amp;" "&amp;Milestones!$AB$105&amp;" "&amp;Milestones!$AC$105&amp;";  ","")&amp;IF(AND(EDATE($D116,Milestones!$AA$106)&lt;=AsOfDate,IF($R116=0,$X116,IF(AND($T116&lt;&gt;"",EDATE($D116,Milestones!$AA$106)&gt;=$T116),$W116,IF(AND($S116&lt;&gt;"",EDATE($D116,Milestones!$AA$106)&gt;=$S116),$V116,$U116)))=Milestones!$AB$106),UPPER(TEXT(EDATE($D116,Milestones!$AA$106),"dd mmm yy"))&amp;" "&amp;Milestones!$AB$106&amp;" "&amp;Milestones!$AC$106&amp;";  ","")&amp;IF(AND(EDATE($D116,Milestones!$AA$107)&lt;=AsOfDate,IF($R116=0,$X116,IF(AND($T116&lt;&gt;"",EDATE($D116,Milestones!$AA$107)&gt;=$T116),$W116,IF(AND($S116&lt;&gt;"",EDATE($D116,Milestones!$AA$107)&gt;=$S116),$V116,$U116)))=Milestones!$AB$107),UPPER(TEXT(EDATE($D116,Milestones!$AA$107),"dd mmm yy"))&amp;" "&amp;Milestones!$AB$107&amp;" "&amp;Milestones!$AC$107&amp;";  ","")&amp;IF(AND(EDATE($D116,Milestones!$AA$108)&lt;=AsOfDate,IF($R116=0,$X116,IF(AND($T116&lt;&gt;"",EDATE($D116,Milestones!$AA$108)&gt;=$T116),$W116,IF(AND($S116&lt;&gt;"",EDATE($D116,Milestones!$AA$108)&gt;=$S116),$V116,$U116)))=Milestones!$AB$108),UPPER(TEXT(EDATE($D116,Milestones!$AA$108),"dd mmm yy"))&amp;" "&amp;Milestones!$AB$108&amp;" "&amp;Milestones!$AC$108&amp;";  ","")&amp;IF(AND(EDATE($D116,Milestones!$AA$109)&lt;=AsOfDate,IF($R116=0,$X116,IF(AND($T116&lt;&gt;"",EDATE($D116,Milestones!$AA$109)&gt;=$T116),$W116,IF(AND($S116&lt;&gt;"",EDATE($D116,Milestones!$AA$109)&gt;=$S116),$V116,$U116)))=Milestones!$AB$109),UPPER(TEXT(EDATE($D116,Milestones!$AA$109),"dd mmm yy"))&amp;" "&amp;Milestones!$AB$109&amp;" "&amp;Milestones!$AC$109&amp;";  ","")&amp;IF(AND(EDATE($D116,Milestones!$AA$110)&lt;=AsOfDate,IF($R116=0,$X116,IF(AND($T116&lt;&gt;"",EDATE($D116,Milestones!$AA$110)&gt;=$T116),$W116,IF(AND($S116&lt;&gt;"",EDATE($D116,Milestones!$AA$110)&gt;=$S116),$V116,$U116)))=Milestones!$AB$110),UPPER(TEXT(EDATE($D116,Milestones!$AA$110),"dd mmm yy"))&amp;" "&amp;Milestones!$AB$110&amp;" "&amp;Milestones!$AC$110&amp;";  ","")&amp;IF(AND(EDATE($D116,Milestones!$AA$111)&lt;=AsOfDate,IF($R116=0,$X116,IF(AND($T116&lt;&gt;"",EDATE($D116,Milestones!$AA$111)&gt;=$T116),$W116,IF(AND($S116&lt;&gt;"",EDATE($D116,Milestones!$AA$111)&gt;=$S116),$V116,$U116)))=Milestones!$AB$111),UPPER(TEXT(EDATE($D116,Milestones!$AA$111),"dd mmm yy"))&amp;" "&amp;Milestones!$AB$111&amp;" "&amp;Milestones!$AC$111&amp;";  ","")&amp;IF(AND(EDATE($D116,Milestones!$AA$112)&lt;=AsOfDate,IF($R116=0,$X116,IF(AND($T116&lt;&gt;"",EDATE($D116,Milestones!$AA$112)&gt;=$T116),$W116,IF(AND($S116&lt;&gt;"",EDATE($D116,Milestones!$AA$112)&gt;=$S116),$V116,$U116)))=Milestones!$AB$112),UPPER(TEXT(EDATE($D116,Milestones!$AA$112),"dd mmm yy"))&amp;" "&amp;Milestones!$AB$112&amp;" "&amp;Milestones!$AC$112&amp;";  ","")&amp;IF(AND(EDATE($D116,Milestones!$AA$113)&lt;=AsOfDate,IF($R116=0,$X116,IF(AND($T116&lt;&gt;"",EDATE($D116,Milestones!$AA$113)&gt;=$T116),$W116,IF(AND($S116&lt;&gt;"",EDATE($D116,Milestones!$AA$113)&gt;=$S116),$V116,$U116)))=Milestones!$AB$113),UPPER(TEXT(EDATE($D116,Milestones!$AA$113),"dd mmm yy"))&amp;" "&amp;Milestones!$AB$113&amp;" "&amp;Milestones!$AC$113&amp;";  ","")&amp;IF(AND(EDATE($D116,Milestones!$AA$114)&lt;=AsOfDate,IF($R116=0,$X116,IF(AND($T116&lt;&gt;"",EDATE($D116,Milestones!$AA$114)&gt;=$T116),$W116,IF(AND($S116&lt;&gt;"",EDATE($D116,Milestones!$AA$114)&gt;=$S116),$V116,$U116)))=Milestones!$AB$114),UPPER(TEXT(EDATE($D116,Milestones!$AA$114),"dd mmm yy"))&amp;" "&amp;Milestones!$AB$114&amp;" "&amp;Milestones!$AC$114&amp;";  ","")&amp;IF(AND(EDATE($D116,Milestones!$AA$115)&lt;=AsOfDate,IF($R116=0,$X116,IF(AND($T116&lt;&gt;"",EDATE($D116,Milestones!$AA$115)&gt;=$T116),$W116,IF(AND($S116&lt;&gt;"",EDATE($D116,Milestones!$AA$115)&gt;=$S116),$V116,$U116)))=Milestones!$AB$115),UPPER(TEXT(EDATE($D116,Milestones!$AA$115),"dd mmm yy"))&amp;" "&amp;Milestones!$AB$115&amp;" "&amp;Milestones!$AC$115&amp;";  ","")&amp;IF(AND(EDATE($D116,Milestones!$AA$116)&lt;=AsOfDate,IF($R116=0,$X116,IF(AND($T116&lt;&gt;"",EDATE($D116,Milestones!$AA$116)&gt;=$T116),$W116,IF(AND($S116&lt;&gt;"",EDATE($D116,Milestones!$AA$116)&gt;=$S116),$V116,$U116)))=Milestones!$AB$116),UPPER(TEXT(EDATE($D116,Milestones!$AA$116),"dd mmm yy"))&amp;" "&amp;Milestones!$AB$116&amp;" "&amp;Milestones!$AC$116&amp;";  ","")&amp;IF(AND(EDATE($D116,Milestones!$AA$117)&lt;=AsOfDate,IF($R116=0,$X116,IF(AND($T116&lt;&gt;"",EDATE($D116,Milestones!$AA$117)&gt;=$T116),$W116,IF(AND($S116&lt;&gt;"",EDATE($D116,Milestones!$AA$117)&gt;=$S116),$V116,$U116)))=Milestones!$AB$117),UPPER(TEXT(EDATE($D116,Milestones!$AA$117),"dd mmm yy"))&amp;" "&amp;Milestones!$AB$117&amp;" "&amp;Milestones!$AC$117&amp;";  ","")&amp;IF(AND(EDATE($D116,Milestones!$AA$118)&lt;=AsOfDate,IF($R116=0,$X116,IF(AND($T116&lt;&gt;"",EDATE($D116,Milestones!$AA$118)&gt;=$T116),$W116,IF(AND($S116&lt;&gt;"",EDATE($D116,Milestones!$AA$118)&gt;=$S116),$V116,$U116)))=Milestones!$AB$118),UPPER(TEXT(EDATE($D116,Milestones!$AA$118),"dd mmm yy"))&amp;" "&amp;Milestones!$AB$118&amp;" "&amp;Milestones!$AC$118&amp;";  ","")&amp;IF(AND(EDATE($D116,Milestones!$AA$119)&lt;=AsOfDate,IF($R116=0,$X116,IF(AND($T116&lt;&gt;"",EDATE($D116,Milestones!$AA$119)&gt;=$T116),$W116,IF(AND($S116&lt;&gt;"",EDATE($D116,Milestones!$AA$119)&gt;=$S116),$V116,$U116)))=Milestones!$AB$119),UPPER(TEXT(EDATE($D116,Milestones!$AA$119),"dd mmm yy"))&amp;" "&amp;Milestones!$AB$119&amp;" "&amp;Milestones!$AC$119&amp;";  ",""))</f>
        <v/>
      </c>
      <c r="N116" s="0" t="str">
        <f aca="false">IF(OR($A116="",$D116=""),"",IF(AND(EDATE($D116,Milestones!$AA$120)&lt;=AsOfDate,IF($R116=0,$X116,IF(AND($T116&lt;&gt;"",EDATE($D116,Milestones!$AA$120)&gt;=$T116),$W116,IF(AND($S116&lt;&gt;"",EDATE($D116,Milestones!$AA$120)&gt;=$S116),$V116,$U116)))=Milestones!$AB$120),UPPER(TEXT(EDATE($D116,Milestones!$AA$120),"dd mmm yy"))&amp;" "&amp;Milestones!$AB$120&amp;" "&amp;Milestones!$AC$120&amp;";  ","")&amp;IF(AND(EDATE($D116,Milestones!$AA$121)&lt;=AsOfDate,IF($R116=0,$X116,IF(AND($T116&lt;&gt;"",EDATE($D116,Milestones!$AA$121)&gt;=$T116),$W116,IF(AND($S116&lt;&gt;"",EDATE($D116,Milestones!$AA$121)&gt;=$S116),$V116,$U116)))=Milestones!$AB$121),UPPER(TEXT(EDATE($D116,Milestones!$AA$121),"dd mmm yy"))&amp;" "&amp;Milestones!$AB$121&amp;" "&amp;Milestones!$AC$121&amp;";  ","")&amp;IF(AND(EDATE($D116,Milestones!$AA$122)&lt;=AsOfDate,IF($R116=0,$X116,IF(AND($T116&lt;&gt;"",EDATE($D116,Milestones!$AA$122)&gt;=$T116),$W116,IF(AND($S116&lt;&gt;"",EDATE($D116,Milestones!$AA$122)&gt;=$S116),$V116,$U116)))=Milestones!$AB$122),UPPER(TEXT(EDATE($D116,Milestones!$AA$122),"dd mmm yy"))&amp;" "&amp;Milestones!$AB$122&amp;" "&amp;Milestones!$AC$122&amp;";  ","")&amp;IF(AND(EDATE($D116,Milestones!$AA$123)&lt;=AsOfDate,IF($R116=0,$X116,IF(AND($T116&lt;&gt;"",EDATE($D116,Milestones!$AA$123)&gt;=$T116),$W116,IF(AND($S116&lt;&gt;"",EDATE($D116,Milestones!$AA$123)&gt;=$S116),$V116,$U116)))=Milestones!$AB$123),UPPER(TEXT(EDATE($D116,Milestones!$AA$123),"dd mmm yy"))&amp;" "&amp;Milestones!$AB$123&amp;" "&amp;Milestones!$AC$123&amp;";  ","")&amp;IF(AND(EDATE($D116,Milestones!$AA$124)&lt;=AsOfDate,IF($R116=0,$X116,IF(AND($T116&lt;&gt;"",EDATE($D116,Milestones!$AA$124)&gt;=$T116),$W116,IF(AND($S116&lt;&gt;"",EDATE($D116,Milestones!$AA$124)&gt;=$S116),$V116,$U116)))=Milestones!$AB$124),UPPER(TEXT(EDATE($D116,Milestones!$AA$124),"dd mmm yy"))&amp;" "&amp;Milestones!$AB$124&amp;" "&amp;Milestones!$AC$124&amp;";  ","")&amp;IF(AND(EDATE($D116,Milestones!$AA$125)&lt;=AsOfDate,IF($R116=0,$X116,IF(AND($T116&lt;&gt;"",EDATE($D116,Milestones!$AA$125)&gt;=$T116),$W116,IF(AND($S116&lt;&gt;"",EDATE($D116,Milestones!$AA$125)&gt;=$S116),$V116,$U116)))=Milestones!$AB$125),UPPER(TEXT(EDATE($D116,Milestones!$AA$125),"dd mmm yy"))&amp;" "&amp;Milestones!$AB$125&amp;" "&amp;Milestones!$AC$125&amp;";  ","")&amp;IF(AND(EDATE($D116,Milestones!$AA$126)&lt;=AsOfDate,IF($R116=0,$X116,IF(AND($T116&lt;&gt;"",EDATE($D116,Milestones!$AA$126)&gt;=$T116),$W116,IF(AND($S116&lt;&gt;"",EDATE($D116,Milestones!$AA$126)&gt;=$S116),$V116,$U116)))=Milestones!$AB$126),UPPER(TEXT(EDATE($D116,Milestones!$AA$126),"dd mmm yy"))&amp;" "&amp;Milestones!$AB$126&amp;" "&amp;Milestones!$AC$126&amp;";  ","")&amp;IF(AND(EDATE($D116,Milestones!$AA$127)&lt;=AsOfDate,IF($R116=0,$X116,IF(AND($T116&lt;&gt;"",EDATE($D116,Milestones!$AA$127)&gt;=$T116),$W116,IF(AND($S116&lt;&gt;"",EDATE($D116,Milestones!$AA$127)&gt;=$S116),$V116,$U116)))=Milestones!$AB$127),UPPER(TEXT(EDATE($D116,Milestones!$AA$127),"dd mmm yy"))&amp;" "&amp;Milestones!$AB$127&amp;" "&amp;Milestones!$AC$127&amp;";  ","")&amp;IF(AND(EDATE($D116,Milestones!$AA$128)&lt;=AsOfDate,IF($R116=0,$X116,IF(AND($T116&lt;&gt;"",EDATE($D116,Milestones!$AA$128)&gt;=$T116),$W116,IF(AND($S116&lt;&gt;"",EDATE($D116,Milestones!$AA$128)&gt;=$S116),$V116,$U116)))=Milestones!$AB$128),UPPER(TEXT(EDATE($D116,Milestones!$AA$128),"dd mmm yy"))&amp;" "&amp;Milestones!$AB$128&amp;" "&amp;Milestones!$AC$128&amp;";  ","")&amp;IF(AND(EDATE($D116,Milestones!$AA$129)&lt;=AsOfDate,IF($R116=0,$X116,IF(AND($T116&lt;&gt;"",EDATE($D116,Milestones!$AA$129)&gt;=$T116),$W116,IF(AND($S116&lt;&gt;"",EDATE($D116,Milestones!$AA$129)&gt;=$S116),$V116,$U116)))=Milestones!$AB$129),UPPER(TEXT(EDATE($D116,Milestones!$AA$129),"dd mmm yy"))&amp;" "&amp;Milestones!$AB$129&amp;" "&amp;Milestones!$AC$129&amp;";  ","")&amp;IF(AND(EDATE($D116,Milestones!$AA$130)&lt;=AsOfDate,IF($R116=0,$X116,IF(AND($T116&lt;&gt;"",EDATE($D116,Milestones!$AA$130)&gt;=$T116),$W116,IF(AND($S116&lt;&gt;"",EDATE($D116,Milestones!$AA$130)&gt;=$S116),$V116,$U116)))=Milestones!$AB$130),UPPER(TEXT(EDATE($D116,Milestones!$AA$130),"dd mmm yy"))&amp;" "&amp;Milestones!$AB$130&amp;" "&amp;Milestones!$AC$130&amp;";  ","")&amp;IF(AND(EDATE($D116,Milestones!$AA$131)&lt;=AsOfDate,IF($R116=0,$X116,IF(AND($T116&lt;&gt;"",EDATE($D116,Milestones!$AA$131)&gt;=$T116),$W116,IF(AND($S116&lt;&gt;"",EDATE($D116,Milestones!$AA$131)&gt;=$S116),$V116,$U116)))=Milestones!$AB$131),UPPER(TEXT(EDATE($D116,Milestones!$AA$131),"dd mmm yy"))&amp;" "&amp;Milestones!$AB$131&amp;" "&amp;Milestones!$AC$131&amp;";  ","")&amp;IF(AND(EDATE($D116,Milestones!$AA$132)&lt;=AsOfDate,IF($R116=0,$X116,IF(AND($T116&lt;&gt;"",EDATE($D116,Milestones!$AA$132)&gt;=$T116),$W116,IF(AND($S116&lt;&gt;"",EDATE($D116,Milestones!$AA$132)&gt;=$S116),$V116,$U116)))=Milestones!$AB$132),UPPER(TEXT(EDATE($D116,Milestones!$AA$132),"dd mmm yy"))&amp;" "&amp;Milestones!$AB$132&amp;" "&amp;Milestones!$AC$132&amp;";  ","")&amp;IF(AND(EDATE($D116,Milestones!$AA$133)&lt;=AsOfDate,IF($R116=0,$X116,IF(AND($T116&lt;&gt;"",EDATE($D116,Milestones!$AA$133)&gt;=$T116),$W116,IF(AND($S116&lt;&gt;"",EDATE($D116,Milestones!$AA$133)&gt;=$S116),$V116,$U116)))=Milestones!$AB$133),UPPER(TEXT(EDATE($D116,Milestones!$AA$133),"dd mmm yy"))&amp;" "&amp;Milestones!$AB$133&amp;" "&amp;Milestones!$AC$133&amp;";  ","")&amp;IF(AND(EDATE($D116,Milestones!$AA$134)&lt;=AsOfDate,IF($R116=0,$X116,IF(AND($T116&lt;&gt;"",EDATE($D116,Milestones!$AA$134)&gt;=$T116),$W116,IF(AND($S116&lt;&gt;"",EDATE($D116,Milestones!$AA$134)&gt;=$S116),$V116,$U116)))=Milestones!$AB$134),UPPER(TEXT(EDATE($D116,Milestones!$AA$134),"dd mmm yy"))&amp;" "&amp;Milestones!$AB$134&amp;" "&amp;Milestones!$AC$134&amp;";  ","")&amp;IF(AND(EDATE($D116,Milestones!$AA$135)&lt;=AsOfDate,IF($R116=0,$X116,IF(AND($T116&lt;&gt;"",EDATE($D116,Milestones!$AA$135)&gt;=$T116),$W116,IF(AND($S116&lt;&gt;"",EDATE($D116,Milestones!$AA$135)&gt;=$S116),$V116,$U116)))=Milestones!$AB$135),UPPER(TEXT(EDATE($D116,Milestones!$AA$135),"dd mmm yy"))&amp;" "&amp;Milestones!$AB$135&amp;" "&amp;Milestones!$AC$135&amp;";  ","")&amp;IF(AND(EDATE($D116,Milestones!$AA$136)&lt;=AsOfDate,IF($R116=0,$X116,IF(AND($T116&lt;&gt;"",EDATE($D116,Milestones!$AA$136)&gt;=$T116),$W116,IF(AND($S116&lt;&gt;"",EDATE($D116,Milestones!$AA$136)&gt;=$S116),$V116,$U116)))=Milestones!$AB$136),UPPER(TEXT(EDATE($D116,Milestones!$AA$136),"dd mmm yy"))&amp;" "&amp;Milestones!$AB$136&amp;" "&amp;Milestones!$AC$136&amp;";  ","")&amp;IF(AND(EDATE($D116,Milestones!$AA$137)&lt;=AsOfDate,IF($R116=0,$X116,IF(AND($T116&lt;&gt;"",EDATE($D116,Milestones!$AA$137)&gt;=$T116),$W116,IF(AND($S116&lt;&gt;"",EDATE($D116,Milestones!$AA$137)&gt;=$S116),$V116,$U116)))=Milestones!$AB$137),UPPER(TEXT(EDATE($D116,Milestones!$AA$137),"dd mmm yy"))&amp;" "&amp;Milestones!$AB$137&amp;" "&amp;Milestones!$AC$137&amp;";  ","")&amp;IF(AND(EDATE($D116,Milestones!$AA$138)&lt;=AsOfDate,IF($R116=0,$X116,IF(AND($T116&lt;&gt;"",EDATE($D116,Milestones!$AA$138)&gt;=$T116),$W116,IF(AND($S116&lt;&gt;"",EDATE($D116,Milestones!$AA$138)&gt;=$S116),$V116,$U116)))=Milestones!$AB$138),UPPER(TEXT(EDATE($D116,Milestones!$AA$138),"dd mmm yy"))&amp;" "&amp;Milestones!$AB$138&amp;" "&amp;Milestones!$AC$138&amp;";  ","")&amp;IF(AND(EDATE($D116,Milestones!$AA$139)&lt;=AsOfDate,IF($R116=0,$X116,IF(AND($T116&lt;&gt;"",EDATE($D116,Milestones!$AA$139)&gt;=$T116),$W116,IF(AND($S116&lt;&gt;"",EDATE($D116,Milestones!$AA$139)&gt;=$S116),$V116,$U116)))=Milestones!$AB$139),UPPER(TEXT(EDATE($D116,Milestones!$AA$139),"dd mmm yy"))&amp;" "&amp;Milestones!$AB$139&amp;" "&amp;Milestones!$AC$139&amp;";  ",""))</f>
        <v/>
      </c>
      <c r="O116" s="0" t="str">
        <f aca="false">IF(OR($A116="",$D116=""),"",IF(AND(EDATE($D116,Milestones!$AA$140)&lt;=AsOfDate,IF($R116=0,$X116,IF(AND($T116&lt;&gt;"",EDATE($D116,Milestones!$AA$140)&gt;=$T116),$W116,IF(AND($S116&lt;&gt;"",EDATE($D116,Milestones!$AA$140)&gt;=$S116),$V116,$U116)))=Milestones!$AB$140),UPPER(TEXT(EDATE($D116,Milestones!$AA$140),"dd mmm yy"))&amp;" "&amp;Milestones!$AB$140&amp;" "&amp;Milestones!$AC$140&amp;";  ","")&amp;IF(AND(EDATE($D116,Milestones!$AA$141)&lt;=AsOfDate,IF($R116=0,$X116,IF(AND($T116&lt;&gt;"",EDATE($D116,Milestones!$AA$141)&gt;=$T116),$W116,IF(AND($S116&lt;&gt;"",EDATE($D116,Milestones!$AA$141)&gt;=$S116),$V116,$U116)))=Milestones!$AB$141),UPPER(TEXT(EDATE($D116,Milestones!$AA$141),"dd mmm yy"))&amp;" "&amp;Milestones!$AB$141&amp;" "&amp;Milestones!$AC$141&amp;";  ","")&amp;IF(AND(EDATE($D116,Milestones!$AA$142)&lt;=AsOfDate,IF($R116=0,$X116,IF(AND($T116&lt;&gt;"",EDATE($D116,Milestones!$AA$142)&gt;=$T116),$W116,IF(AND($S116&lt;&gt;"",EDATE($D116,Milestones!$AA$142)&gt;=$S116),$V116,$U116)))=Milestones!$AB$142),UPPER(TEXT(EDATE($D116,Milestones!$AA$142),"dd mmm yy"))&amp;" "&amp;Milestones!$AB$142&amp;" "&amp;Milestones!$AC$142&amp;";  ","")&amp;IF(AND(EDATE($D116,Milestones!$AA$143)&lt;=AsOfDate,IF($R116=0,$X116,IF(AND($T116&lt;&gt;"",EDATE($D116,Milestones!$AA$143)&gt;=$T116),$W116,IF(AND($S116&lt;&gt;"",EDATE($D116,Milestones!$AA$143)&gt;=$S116),$V116,$U116)))=Milestones!$AB$143),UPPER(TEXT(EDATE($D116,Milestones!$AA$143),"dd mmm yy"))&amp;" "&amp;Milestones!$AB$143&amp;" "&amp;Milestones!$AC$143&amp;";  ","")&amp;IF(AND(EDATE($D116,Milestones!$AA$144)&lt;=AsOfDate,IF($R116=0,$X116,IF(AND($T116&lt;&gt;"",EDATE($D116,Milestones!$AA$144)&gt;=$T116),$W116,IF(AND($S116&lt;&gt;"",EDATE($D116,Milestones!$AA$144)&gt;=$S116),$V116,$U116)))=Milestones!$AB$144),UPPER(TEXT(EDATE($D116,Milestones!$AA$144),"dd mmm yy"))&amp;" "&amp;Milestones!$AB$144&amp;" "&amp;Milestones!$AC$144&amp;";  ","")&amp;IF(AND(EDATE($D116,Milestones!$AA$145)&lt;=AsOfDate,IF($R116=0,$X116,IF(AND($T116&lt;&gt;"",EDATE($D116,Milestones!$AA$145)&gt;=$T116),$W116,IF(AND($S116&lt;&gt;"",EDATE($D116,Milestones!$AA$145)&gt;=$S116),$V116,$U116)))=Milestones!$AB$145),UPPER(TEXT(EDATE($D116,Milestones!$AA$145),"dd mmm yy"))&amp;" "&amp;Milestones!$AB$145&amp;" "&amp;Milestones!$AC$145&amp;";  ","")&amp;IF(AND(EDATE($D116,Milestones!$AA$146)&lt;=AsOfDate,IF($R116=0,$X116,IF(AND($T116&lt;&gt;"",EDATE($D116,Milestones!$AA$146)&gt;=$T116),$W116,IF(AND($S116&lt;&gt;"",EDATE($D116,Milestones!$AA$146)&gt;=$S116),$V116,$U116)))=Milestones!$AB$146),UPPER(TEXT(EDATE($D116,Milestones!$AA$146),"dd mmm yy"))&amp;" "&amp;Milestones!$AB$146&amp;" "&amp;Milestones!$AC$146&amp;";  ","")&amp;IF(AND(EDATE($D116,Milestones!$AA$147)&lt;=AsOfDate,IF($R116=0,$X116,IF(AND($T116&lt;&gt;"",EDATE($D116,Milestones!$AA$147)&gt;=$T116),$W116,IF(AND($S116&lt;&gt;"",EDATE($D116,Milestones!$AA$147)&gt;=$S116),$V116,$U116)))=Milestones!$AB$147),UPPER(TEXT(EDATE($D116,Milestones!$AA$147),"dd mmm yy"))&amp;" "&amp;Milestones!$AB$147&amp;" "&amp;Milestones!$AC$147&amp;";  ","")&amp;IF(AND(EDATE($D116,Milestones!$AA$148)&lt;=AsOfDate,IF($R116=0,$X116,IF(AND($T116&lt;&gt;"",EDATE($D116,Milestones!$AA$148)&gt;=$T116),$W116,IF(AND($S116&lt;&gt;"",EDATE($D116,Milestones!$AA$148)&gt;=$S116),$V116,$U116)))=Milestones!$AB$148),UPPER(TEXT(EDATE($D116,Milestones!$AA$148),"dd mmm yy"))&amp;" "&amp;Milestones!$AB$148&amp;" "&amp;Milestones!$AC$148&amp;";  ","")&amp;IF(AND(EDATE($D116,Milestones!$AA$149)&lt;=AsOfDate,IF($R116=0,$X116,IF(AND($T116&lt;&gt;"",EDATE($D116,Milestones!$AA$149)&gt;=$T116),$W116,IF(AND($S116&lt;&gt;"",EDATE($D116,Milestones!$AA$149)&gt;=$S116),$V116,$U116)))=Milestones!$AB$149),UPPER(TEXT(EDATE($D116,Milestones!$AA$149),"dd mmm yy"))&amp;" "&amp;Milestones!$AB$149&amp;" "&amp;Milestones!$AC$149&amp;";  ","")&amp;IF(AND(EDATE($D116,Milestones!$AA$150)&lt;=AsOfDate,IF($R116=0,$X116,IF(AND($T116&lt;&gt;"",EDATE($D116,Milestones!$AA$150)&gt;=$T116),$W116,IF(AND($S116&lt;&gt;"",EDATE($D116,Milestones!$AA$150)&gt;=$S116),$V116,$U116)))=Milestones!$AB$150),UPPER(TEXT(EDATE($D116,Milestones!$AA$150),"dd mmm yy"))&amp;" "&amp;Milestones!$AB$150&amp;" "&amp;Milestones!$AC$150&amp;";  ","")&amp;IF(AND(EDATE($D116,Milestones!$AA$151)&lt;=AsOfDate,IF($R116=0,$X116,IF(AND($T116&lt;&gt;"",EDATE($D116,Milestones!$AA$151)&gt;=$T116),$W116,IF(AND($S116&lt;&gt;"",EDATE($D116,Milestones!$AA$151)&gt;=$S116),$V116,$U116)))=Milestones!$AB$151),UPPER(TEXT(EDATE($D116,Milestones!$AA$151),"dd mmm yy"))&amp;" "&amp;Milestones!$AB$151&amp;" "&amp;Milestones!$AC$151&amp;";  ","")&amp;IF(AND(EDATE($D116,Milestones!$AA$152)&lt;=AsOfDate,IF($R116=0,$X116,IF(AND($T116&lt;&gt;"",EDATE($D116,Milestones!$AA$152)&gt;=$T116),$W116,IF(AND($S116&lt;&gt;"",EDATE($D116,Milestones!$AA$152)&gt;=$S116),$V116,$U116)))=Milestones!$AB$152),UPPER(TEXT(EDATE($D116,Milestones!$AA$152),"dd mmm yy"))&amp;" "&amp;Milestones!$AB$152&amp;" "&amp;Milestones!$AC$152&amp;";  ","")&amp;IF(AND(EDATE($D116,Milestones!$AA$153)&lt;=AsOfDate,IF($R116=0,$X116,IF(AND($T116&lt;&gt;"",EDATE($D116,Milestones!$AA$153)&gt;=$T116),$W116,IF(AND($S116&lt;&gt;"",EDATE($D116,Milestones!$AA$153)&gt;=$S116),$V116,$U116)))=Milestones!$AB$153),UPPER(TEXT(EDATE($D116,Milestones!$AA$153),"dd mmm yy"))&amp;" "&amp;Milestones!$AB$153&amp;" "&amp;Milestones!$AC$153&amp;";  ","")&amp;IF(AND(EDATE($D116,Milestones!$AA$154)&lt;=AsOfDate,IF($R116=0,$X116,IF(AND($T116&lt;&gt;"",EDATE($D116,Milestones!$AA$154)&gt;=$T116),$W116,IF(AND($S116&lt;&gt;"",EDATE($D116,Milestones!$AA$154)&gt;=$S116),$V116,$U116)))=Milestones!$AB$154),UPPER(TEXT(EDATE($D116,Milestones!$AA$154),"dd mmm yy"))&amp;" "&amp;Milestones!$AB$154&amp;" "&amp;Milestones!$AC$154&amp;";  ","")&amp;IF(AND(EDATE($D116,Milestones!$AA$155)&lt;=AsOfDate,IF($R116=0,$X116,IF(AND($T116&lt;&gt;"",EDATE($D116,Milestones!$AA$155)&gt;=$T116),$W116,IF(AND($S116&lt;&gt;"",EDATE($D116,Milestones!$AA$155)&gt;=$S116),$V116,$U116)))=Milestones!$AB$155),UPPER(TEXT(EDATE($D116,Milestones!$AA$155),"dd mmm yy"))&amp;" "&amp;Milestones!$AB$155&amp;" "&amp;Milestones!$AC$155&amp;";  ","")&amp;IF(AND(EDATE($D116,Milestones!$AA$156)&lt;=AsOfDate,IF($R116=0,$X116,IF(AND($T116&lt;&gt;"",EDATE($D116,Milestones!$AA$156)&gt;=$T116),$W116,IF(AND($S116&lt;&gt;"",EDATE($D116,Milestones!$AA$156)&gt;=$S116),$V116,$U116)))=Milestones!$AB$156),UPPER(TEXT(EDATE($D116,Milestones!$AA$156),"dd mmm yy"))&amp;" "&amp;Milestones!$AB$156&amp;" "&amp;Milestones!$AC$156&amp;";  ","")&amp;IF(AND(EDATE($D116,Milestones!$AA$157)&lt;=AsOfDate,IF($R116=0,$X116,IF(AND($T116&lt;&gt;"",EDATE($D116,Milestones!$AA$157)&gt;=$T116),$W116,IF(AND($S116&lt;&gt;"",EDATE($D116,Milestones!$AA$157)&gt;=$S116),$V116,$U116)))=Milestones!$AB$157),UPPER(TEXT(EDATE($D116,Milestones!$AA$157),"dd mmm yy"))&amp;" "&amp;Milestones!$AB$157&amp;" "&amp;Milestones!$AC$157&amp;";  ","")&amp;IF(AND(EDATE($D116,Milestones!$AA$158)&lt;=AsOfDate,IF($R116=0,$X116,IF(AND($T116&lt;&gt;"",EDATE($D116,Milestones!$AA$158)&gt;=$T116),$W116,IF(AND($S116&lt;&gt;"",EDATE($D116,Milestones!$AA$158)&gt;=$S116),$V116,$U116)))=Milestones!$AB$158),UPPER(TEXT(EDATE($D116,Milestones!$AA$158),"dd mmm yy"))&amp;" "&amp;Milestones!$AB$158&amp;" "&amp;Milestones!$AC$158&amp;";  ","")&amp;IF(AND(EDATE($D116,Milestones!$AA$159)&lt;=AsOfDate,IF($R116=0,$X116,IF(AND($T116&lt;&gt;"",EDATE($D116,Milestones!$AA$159)&gt;=$T116),$W116,IF(AND($S116&lt;&gt;"",EDATE($D116,Milestones!$AA$159)&gt;=$S116),$V116,$U116)))=Milestones!$AB$159),UPPER(TEXT(EDATE($D116,Milestones!$AA$159),"dd mmm yy"))&amp;" "&amp;Milestones!$AB$159&amp;" "&amp;Milestones!$AC$159&amp;";  ",""))</f>
        <v/>
      </c>
      <c r="P116" s="0" t="str">
        <f aca="false">IF(OR($A116="",$D116=""),"",IF(AND(EDATE($D116,Milestones!$AA$160)&lt;=AsOfDate,IF($R116=0,$X116,IF(AND($T116&lt;&gt;"",EDATE($D116,Milestones!$AA$160)&gt;=$T116),$W116,IF(AND($S116&lt;&gt;"",EDATE($D116,Milestones!$AA$160)&gt;=$S116),$V116,$U116)))=Milestones!$AB$160),UPPER(TEXT(EDATE($D116,Milestones!$AA$160),"dd mmm yy"))&amp;" "&amp;Milestones!$AB$160&amp;" "&amp;Milestones!$AC$160&amp;";  ","")&amp;IF(AND(EDATE($D116,Milestones!$AA$161)&lt;=AsOfDate,IF($R116=0,$X116,IF(AND($T116&lt;&gt;"",EDATE($D116,Milestones!$AA$161)&gt;=$T116),$W116,IF(AND($S116&lt;&gt;"",EDATE($D116,Milestones!$AA$161)&gt;=$S116),$V116,$U116)))=Milestones!$AB$161),UPPER(TEXT(EDATE($D116,Milestones!$AA$161),"dd mmm yy"))&amp;" "&amp;Milestones!$AB$161&amp;" "&amp;Milestones!$AC$161&amp;";  ","")&amp;IF(AND(EDATE($D116,Milestones!$AA$162)&lt;=AsOfDate,IF($R116=0,$X116,IF(AND($T116&lt;&gt;"",EDATE($D116,Milestones!$AA$162)&gt;=$T116),$W116,IF(AND($S116&lt;&gt;"",EDATE($D116,Milestones!$AA$162)&gt;=$S116),$V116,$U116)))=Milestones!$AB$162),UPPER(TEXT(EDATE($D116,Milestones!$AA$162),"dd mmm yy"))&amp;" "&amp;Milestones!$AB$162&amp;" "&amp;Milestones!$AC$162&amp;";  ","")&amp;IF(AND(EDATE($D116,Milestones!$AA$163)&lt;=AsOfDate,IF($R116=0,$X116,IF(AND($T116&lt;&gt;"",EDATE($D116,Milestones!$AA$163)&gt;=$T116),$W116,IF(AND($S116&lt;&gt;"",EDATE($D116,Milestones!$AA$163)&gt;=$S116),$V116,$U116)))=Milestones!$AB$163),UPPER(TEXT(EDATE($D116,Milestones!$AA$163),"dd mmm yy"))&amp;" "&amp;Milestones!$AB$163&amp;" "&amp;Milestones!$AC$163&amp;";  ","")&amp;IF(AND(EDATE($D116,Milestones!$AA$164)&lt;=AsOfDate,IF($R116=0,$X116,IF(AND($T116&lt;&gt;"",EDATE($D116,Milestones!$AA$164)&gt;=$T116),$W116,IF(AND($S116&lt;&gt;"",EDATE($D116,Milestones!$AA$164)&gt;=$S116),$V116,$U116)))=Milestones!$AB$164),UPPER(TEXT(EDATE($D116,Milestones!$AA$164),"dd mmm yy"))&amp;" "&amp;Milestones!$AB$164&amp;" "&amp;Milestones!$AC$164&amp;";  ","")&amp;IF(AND(EDATE($D116,Milestones!$AA$165)&lt;=AsOfDate,IF($R116=0,$X116,IF(AND($T116&lt;&gt;"",EDATE($D116,Milestones!$AA$165)&gt;=$T116),$W116,IF(AND($S116&lt;&gt;"",EDATE($D116,Milestones!$AA$165)&gt;=$S116),$V116,$U116)))=Milestones!$AB$165),UPPER(TEXT(EDATE($D116,Milestones!$AA$165),"dd mmm yy"))&amp;" "&amp;Milestones!$AB$165&amp;" "&amp;Milestones!$AC$165&amp;";  ","")&amp;IF(AND(EDATE($D116,Milestones!$AA$166)&lt;=AsOfDate,IF($R116=0,$X116,IF(AND($T116&lt;&gt;"",EDATE($D116,Milestones!$AA$166)&gt;=$T116),$W116,IF(AND($S116&lt;&gt;"",EDATE($D116,Milestones!$AA$166)&gt;=$S116),$V116,$U116)))=Milestones!$AB$166),UPPER(TEXT(EDATE($D116,Milestones!$AA$166),"dd mmm yy"))&amp;" "&amp;Milestones!$AB$166&amp;" "&amp;Milestones!$AC$166&amp;";  ","")&amp;IF(AND(EDATE($D116,Milestones!$AA$167)&lt;=AsOfDate,IF($R116=0,$X116,IF(AND($T116&lt;&gt;"",EDATE($D116,Milestones!$AA$167)&gt;=$T116),$W116,IF(AND($S116&lt;&gt;"",EDATE($D116,Milestones!$AA$167)&gt;=$S116),$V116,$U116)))=Milestones!$AB$167),UPPER(TEXT(EDATE($D116,Milestones!$AA$167),"dd mmm yy"))&amp;" "&amp;Milestones!$AB$167&amp;" "&amp;Milestones!$AC$167&amp;";  ","")&amp;IF(AND(EDATE($D116,Milestones!$AA$168)&lt;=AsOfDate,IF($R116=0,$X116,IF(AND($T116&lt;&gt;"",EDATE($D116,Milestones!$AA$168)&gt;=$T116),$W116,IF(AND($S116&lt;&gt;"",EDATE($D116,Milestones!$AA$168)&gt;=$S116),$V116,$U116)))=Milestones!$AB$168),UPPER(TEXT(EDATE($D116,Milestones!$AA$168),"dd mmm yy"))&amp;" "&amp;Milestones!$AB$168&amp;" "&amp;Milestones!$AC$168&amp;";  ","")&amp;IF(AND(EDATE($D116,Milestones!$AA$169)&lt;=AsOfDate,IF($R116=0,$X116,IF(AND($T116&lt;&gt;"",EDATE($D116,Milestones!$AA$169)&gt;=$T116),$W116,IF(AND($S116&lt;&gt;"",EDATE($D116,Milestones!$AA$169)&gt;=$S116),$V116,$U116)))=Milestones!$AB$169),UPPER(TEXT(EDATE($D116,Milestones!$AA$169),"dd mmm yy"))&amp;" "&amp;Milestones!$AB$169&amp;" "&amp;Milestones!$AC$169&amp;";  ","")&amp;IF(AND(EDATE($D116,Milestones!$AA$170)&lt;=AsOfDate,IF($R116=0,$X116,IF(AND($T116&lt;&gt;"",EDATE($D116,Milestones!$AA$170)&gt;=$T116),$W116,IF(AND($S116&lt;&gt;"",EDATE($D116,Milestones!$AA$170)&gt;=$S116),$V116,$U116)))=Milestones!$AB$170),UPPER(TEXT(EDATE($D116,Milestones!$AA$170),"dd mmm yy"))&amp;" "&amp;Milestones!$AB$170&amp;" "&amp;Milestones!$AC$170&amp;";  ","")&amp;IF(AND(EDATE($D116,Milestones!$AA$171)&lt;=AsOfDate,IF($R116=0,$X116,IF(AND($T116&lt;&gt;"",EDATE($D116,Milestones!$AA$171)&gt;=$T116),$W116,IF(AND($S116&lt;&gt;"",EDATE($D116,Milestones!$AA$171)&gt;=$S116),$V116,$U116)))=Milestones!$AB$171),UPPER(TEXT(EDATE($D116,Milestones!$AA$171),"dd mmm yy"))&amp;" "&amp;Milestones!$AB$171&amp;" "&amp;Milestones!$AC$171&amp;";  ","")&amp;IF(AND(EDATE($D116,Milestones!$AA$172)&lt;=AsOfDate,IF($R116=0,$X116,IF(AND($T116&lt;&gt;"",EDATE($D116,Milestones!$AA$172)&gt;=$T116),$W116,IF(AND($S116&lt;&gt;"",EDATE($D116,Milestones!$AA$172)&gt;=$S116),$V116,$U116)))=Milestones!$AB$172),UPPER(TEXT(EDATE($D116,Milestones!$AA$172),"dd mmm yy"))&amp;" "&amp;Milestones!$AB$172&amp;" "&amp;Milestones!$AC$172&amp;";  ","")&amp;IF(AND(EDATE($D116,Milestones!$AA$173)&lt;=AsOfDate,IF($R116=0,$X116,IF(AND($T116&lt;&gt;"",EDATE($D116,Milestones!$AA$173)&gt;=$T116),$W116,IF(AND($S116&lt;&gt;"",EDATE($D116,Milestones!$AA$173)&gt;=$S116),$V116,$U116)))=Milestones!$AB$173),UPPER(TEXT(EDATE($D116,Milestones!$AA$173),"dd mmm yy"))&amp;" "&amp;Milestones!$AB$173&amp;" "&amp;Milestones!$AC$173&amp;";  ","")&amp;IF(AND(EDATE($D116,Milestones!$AA$174)&lt;=AsOfDate,IF($R116=0,$X116,IF(AND($T116&lt;&gt;"",EDATE($D116,Milestones!$AA$174)&gt;=$T116),$W116,IF(AND($S116&lt;&gt;"",EDATE($D116,Milestones!$AA$174)&gt;=$S116),$V116,$U116)))=Milestones!$AB$174),UPPER(TEXT(EDATE($D116,Milestones!$AA$174),"dd mmm yy"))&amp;" "&amp;Milestones!$AB$174&amp;" "&amp;Milestones!$AC$174&amp;";  ","")&amp;IF(AND(EDATE($D116,Milestones!$AA$175)&lt;=AsOfDate,IF($R116=0,$X116,IF(AND($T116&lt;&gt;"",EDATE($D116,Milestones!$AA$175)&gt;=$T116),$W116,IF(AND($S116&lt;&gt;"",EDATE($D116,Milestones!$AA$175)&gt;=$S116),$V116,$U116)))=Milestones!$AB$175),UPPER(TEXT(EDATE($D116,Milestones!$AA$175),"dd mmm yy"))&amp;" "&amp;Milestones!$AB$175&amp;" "&amp;Milestones!$AC$175&amp;";  ","")&amp;IF(AND(EDATE($D116,Milestones!$AA$176)&lt;=AsOfDate,IF($R116=0,$X116,IF(AND($T116&lt;&gt;"",EDATE($D116,Milestones!$AA$176)&gt;=$T116),$W116,IF(AND($S116&lt;&gt;"",EDATE($D116,Milestones!$AA$176)&gt;=$S116),$V116,$U116)))=Milestones!$AB$176),UPPER(TEXT(EDATE($D116,Milestones!$AA$176),"dd mmm yy"))&amp;" "&amp;Milestones!$AB$176&amp;" "&amp;Milestones!$AC$176&amp;";  ","")&amp;IF(AND(EDATE($D116,Milestones!$AA$177)&lt;=AsOfDate,IF($R116=0,$X116,IF(AND($T116&lt;&gt;"",EDATE($D116,Milestones!$AA$177)&gt;=$T116),$W116,IF(AND($S116&lt;&gt;"",EDATE($D116,Milestones!$AA$177)&gt;=$S116),$V116,$U116)))=Milestones!$AB$177),UPPER(TEXT(EDATE($D116,Milestones!$AA$177),"dd mmm yy"))&amp;" "&amp;Milestones!$AB$177&amp;" "&amp;Milestones!$AC$177&amp;";  ","")&amp;IF(AND(EDATE($D116,Milestones!$AA$178)&lt;=AsOfDate,IF($R116=0,$X116,IF(AND($T116&lt;&gt;"",EDATE($D116,Milestones!$AA$178)&gt;=$T116),$W116,IF(AND($S116&lt;&gt;"",EDATE($D116,Milestones!$AA$178)&gt;=$S116),$V116,$U116)))=Milestones!$AB$178),UPPER(TEXT(EDATE($D116,Milestones!$AA$178),"dd mmm yy"))&amp;" "&amp;Milestones!$AB$178&amp;" "&amp;Milestones!$AC$178&amp;";  ","")&amp;IF(AND(EDATE($D116,Milestones!$AA$179)&lt;=AsOfDate,IF($R116=0,$X116,IF(AND($T116&lt;&gt;"",EDATE($D116,Milestones!$AA$179)&gt;=$T116),$W116,IF(AND($S116&lt;&gt;"",EDATE($D116,Milestones!$AA$179)&gt;=$S116),$V116,$U116)))=Milestones!$AB$179),UPPER(TEXT(EDATE($D116,Milestones!$AA$179),"dd mmm yy"))&amp;" "&amp;Milestones!$AB$179&amp;" "&amp;Milestones!$AC$179&amp;";  ",""))</f>
        <v/>
      </c>
      <c r="Q116" s="0" t="str">
        <f aca="false">IF(OR($A116="",$D116=""),"",IF(AND(EDATE($D116,Milestones!$AA$180)&lt;=AsOfDate,IF($R116=0,$X116,IF(AND($T116&lt;&gt;"",EDATE($D116,Milestones!$AA$180)&gt;=$T116),$W116,IF(AND($S116&lt;&gt;"",EDATE($D116,Milestones!$AA$180)&gt;=$S116),$V116,$U116)))=Milestones!$AB$180),UPPER(TEXT(EDATE($D116,Milestones!$AA$180),"dd mmm yy"))&amp;" "&amp;Milestones!$AB$180&amp;" "&amp;Milestones!$AC$180&amp;";  ","")&amp;IF(AND(EDATE($D116,Milestones!$AA$181)&lt;=AsOfDate,IF($R116=0,$X116,IF(AND($T116&lt;&gt;"",EDATE($D116,Milestones!$AA$181)&gt;=$T116),$W116,IF(AND($S116&lt;&gt;"",EDATE($D116,Milestones!$AA$181)&gt;=$S116),$V116,$U116)))=Milestones!$AB$181),UPPER(TEXT(EDATE($D116,Milestones!$AA$181),"dd mmm yy"))&amp;" "&amp;Milestones!$AB$181&amp;" "&amp;Milestones!$AC$181&amp;";  ","")&amp;IF(AND(EDATE($D116,Milestones!$AA$182)&lt;=AsOfDate,IF($R116=0,$X116,IF(AND($T116&lt;&gt;"",EDATE($D116,Milestones!$AA$182)&gt;=$T116),$W116,IF(AND($S116&lt;&gt;"",EDATE($D116,Milestones!$AA$182)&gt;=$S116),$V116,$U116)))=Milestones!$AB$182),UPPER(TEXT(EDATE($D116,Milestones!$AA$182),"dd mmm yy"))&amp;" "&amp;Milestones!$AB$182&amp;" "&amp;Milestones!$AC$182&amp;";  ","")&amp;IF(AND(EDATE($D116,Milestones!$AA$183)&lt;=AsOfDate,IF($R116=0,$X116,IF(AND($T116&lt;&gt;"",EDATE($D116,Milestones!$AA$183)&gt;=$T116),$W116,IF(AND($S116&lt;&gt;"",EDATE($D116,Milestones!$AA$183)&gt;=$S116),$V116,$U116)))=Milestones!$AB$183),UPPER(TEXT(EDATE($D116,Milestones!$AA$183),"dd mmm yy"))&amp;" "&amp;Milestones!$AB$183&amp;" "&amp;Milestones!$AC$183&amp;";  ","")&amp;IF(AND(EDATE($D116,Milestones!$AA$184)&lt;=AsOfDate,IF($R116=0,$X116,IF(AND($T116&lt;&gt;"",EDATE($D116,Milestones!$AA$184)&gt;=$T116),$W116,IF(AND($S116&lt;&gt;"",EDATE($D116,Milestones!$AA$184)&gt;=$S116),$V116,$U116)))=Milestones!$AB$184),UPPER(TEXT(EDATE($D116,Milestones!$AA$184),"dd mmm yy"))&amp;" "&amp;Milestones!$AB$184&amp;" "&amp;Milestones!$AC$184&amp;";  ","")&amp;IF(AND(EDATE($D116,Milestones!$AA$185)&lt;=AsOfDate,IF($R116=0,$X116,IF(AND($T116&lt;&gt;"",EDATE($D116,Milestones!$AA$185)&gt;=$T116),$W116,IF(AND($S116&lt;&gt;"",EDATE($D116,Milestones!$AA$185)&gt;=$S116),$V116,$U116)))=Milestones!$AB$185),UPPER(TEXT(EDATE($D116,Milestones!$AA$185),"dd mmm yy"))&amp;" "&amp;Milestones!$AB$185&amp;" "&amp;Milestones!$AC$185&amp;";  ","")&amp;IF(AND(EDATE($D116,Milestones!$AA$186)&lt;=AsOfDate,IF($R116=0,$X116,IF(AND($T116&lt;&gt;"",EDATE($D116,Milestones!$AA$186)&gt;=$T116),$W116,IF(AND($S116&lt;&gt;"",EDATE($D116,Milestones!$AA$186)&gt;=$S116),$V116,$U116)))=Milestones!$AB$186),UPPER(TEXT(EDATE($D116,Milestones!$AA$186),"dd mmm yy"))&amp;" "&amp;Milestones!$AB$186&amp;" "&amp;Milestones!$AC$186&amp;";  ","")&amp;IF(AND(EDATE($D116,Milestones!$AA$187)&lt;=AsOfDate,IF($R116=0,$X116,IF(AND($T116&lt;&gt;"",EDATE($D116,Milestones!$AA$187)&gt;=$T116),$W116,IF(AND($S116&lt;&gt;"",EDATE($D116,Milestones!$AA$187)&gt;=$S116),$V116,$U116)))=Milestones!$AB$187),UPPER(TEXT(EDATE($D116,Milestones!$AA$187),"dd mmm yy"))&amp;" "&amp;Milestones!$AB$187&amp;" "&amp;Milestones!$AC$187&amp;";  ","")&amp;IF(AND(EDATE($D116,Milestones!$AA$188)&lt;=AsOfDate,IF($R116=0,$X116,IF(AND($T116&lt;&gt;"",EDATE($D116,Milestones!$AA$188)&gt;=$T116),$W116,IF(AND($S116&lt;&gt;"",EDATE($D116,Milestones!$AA$188)&gt;=$S116),$V116,$U116)))=Milestones!$AB$188),UPPER(TEXT(EDATE($D116,Milestones!$AA$188),"dd mmm yy"))&amp;" "&amp;Milestones!$AB$188&amp;" "&amp;Milestones!$AC$188&amp;";  ","")&amp;IF(AND(EDATE($D116,Milestones!$AA$189)&lt;=AsOfDate,IF($R116=0,$X116,IF(AND($T116&lt;&gt;"",EDATE($D116,Milestones!$AA$189)&gt;=$T116),$W116,IF(AND($S116&lt;&gt;"",EDATE($D116,Milestones!$AA$189)&gt;=$S116),$V116,$U116)))=Milestones!$AB$189),UPPER(TEXT(EDATE($D116,Milestones!$AA$189),"dd mmm yy"))&amp;" "&amp;Milestones!$AB$189&amp;" "&amp;Milestones!$AC$189&amp;";  ","")&amp;IF(AND(EDATE($D116,Milestones!$AA$190)&lt;=AsOfDate,IF($R116=0,$X116,IF(AND($T116&lt;&gt;"",EDATE($D116,Milestones!$AA$190)&gt;=$T116),$W116,IF(AND($S116&lt;&gt;"",EDATE($D116,Milestones!$AA$190)&gt;=$S116),$V116,$U116)))=Milestones!$AB$190),UPPER(TEXT(EDATE($D116,Milestones!$AA$190),"dd mmm yy"))&amp;" "&amp;Milestones!$AB$190&amp;" "&amp;Milestones!$AC$190&amp;";  ","")&amp;IF(AND(EDATE($D116,Milestones!$AA$191)&lt;=AsOfDate,IF($R116=0,$X116,IF(AND($T116&lt;&gt;"",EDATE($D116,Milestones!$AA$191)&gt;=$T116),$W116,IF(AND($S116&lt;&gt;"",EDATE($D116,Milestones!$AA$191)&gt;=$S116),$V116,$U116)))=Milestones!$AB$191),UPPER(TEXT(EDATE($D116,Milestones!$AA$191),"dd mmm yy"))&amp;" "&amp;Milestones!$AB$191&amp;" "&amp;Milestones!$AC$191&amp;";  ","")&amp;IF(AND(EDATE($D116,Milestones!$AA$192)&lt;=AsOfDate,IF($R116=0,$X116,IF(AND($T116&lt;&gt;"",EDATE($D116,Milestones!$AA$192)&gt;=$T116),$W116,IF(AND($S116&lt;&gt;"",EDATE($D116,Milestones!$AA$192)&gt;=$S116),$V116,$U116)))=Milestones!$AB$192),UPPER(TEXT(EDATE($D116,Milestones!$AA$192),"dd mmm yy"))&amp;" "&amp;Milestones!$AB$192&amp;" "&amp;Milestones!$AC$192&amp;";  ","")&amp;IF(AND(EDATE($D116,Milestones!$AA$193)&lt;=AsOfDate,IF($R116=0,$X116,IF(AND($T116&lt;&gt;"",EDATE($D116,Milestones!$AA$193)&gt;=$T116),$W116,IF(AND($S116&lt;&gt;"",EDATE($D116,Milestones!$AA$193)&gt;=$S116),$V116,$U116)))=Milestones!$AB$193),UPPER(TEXT(EDATE($D116,Milestones!$AA$193),"dd mmm yy"))&amp;" "&amp;Milestones!$AB$193&amp;" "&amp;Milestones!$AC$193&amp;";  ","")&amp;IF(AND(EDATE($D116,Milestones!$AA$194)&lt;=AsOfDate,IF($R116=0,$X116,IF(AND($T116&lt;&gt;"",EDATE($D116,Milestones!$AA$194)&gt;=$T116),$W116,IF(AND($S116&lt;&gt;"",EDATE($D116,Milestones!$AA$194)&gt;=$S116),$V116,$U116)))=Milestones!$AB$194),UPPER(TEXT(EDATE($D116,Milestones!$AA$194),"dd mmm yy"))&amp;" "&amp;Milestones!$AB$194&amp;" "&amp;Milestones!$AC$194&amp;";  ","")&amp;IF(AND(EDATE($D116,Milestones!$AA$195)&lt;=AsOfDate,IF($R116=0,$X116,IF(AND($T116&lt;&gt;"",EDATE($D116,Milestones!$AA$195)&gt;=$T116),$W116,IF(AND($S116&lt;&gt;"",EDATE($D116,Milestones!$AA$195)&gt;=$S116),$V116,$U116)))=Milestones!$AB$195),UPPER(TEXT(EDATE($D116,Milestones!$AA$195),"dd mmm yy"))&amp;" "&amp;Milestones!$AB$195&amp;" "&amp;Milestones!$AC$195&amp;";  ","")&amp;IF(AND(EDATE($D116,Milestones!$AA$196)&lt;=AsOfDate,IF($R116=0,$X116,IF(AND($T116&lt;&gt;"",EDATE($D116,Milestones!$AA$196)&gt;=$T116),$W116,IF(AND($S116&lt;&gt;"",EDATE($D116,Milestones!$AA$196)&gt;=$S116),$V116,$U116)))=Milestones!$AB$196),UPPER(TEXT(EDATE($D116,Milestones!$AA$196),"dd mmm yy"))&amp;" "&amp;Milestones!$AB$196&amp;" "&amp;Milestones!$AC$196&amp;";  ","")&amp;IF(AND(EDATE($D116,Milestones!$AA$197)&lt;=AsOfDate,IF($R116=0,$X116,IF(AND($T116&lt;&gt;"",EDATE($D116,Milestones!$AA$197)&gt;=$T116),$W116,IF(AND($S116&lt;&gt;"",EDATE($D116,Milestones!$AA$197)&gt;=$S116),$V116,$U116)))=Milestones!$AB$197),UPPER(TEXT(EDATE($D116,Milestones!$AA$197),"dd mmm yy"))&amp;" "&amp;Milestones!$AB$197&amp;" "&amp;Milestones!$AC$197&amp;";  ","")&amp;IF(AND(EDATE($D116,Milestones!$AA$198)&lt;=AsOfDate,IF($R116=0,$X116,IF(AND($T116&lt;&gt;"",EDATE($D116,Milestones!$AA$198)&gt;=$T116),$W116,IF(AND($S116&lt;&gt;"",EDATE($D116,Milestones!$AA$198)&gt;=$S116),$V116,$U116)))=Milestones!$AB$198),UPPER(TEXT(EDATE($D116,Milestones!$AA$198),"dd mmm yy"))&amp;" "&amp;Milestones!$AB$198&amp;" "&amp;Milestones!$AC$198&amp;";  ","")&amp;IF(AND(EDATE($D116,Milestones!$AA$199)&lt;=AsOfDate,IF($R116=0,$X116,IF(AND($T116&lt;&gt;"",EDATE($D116,Milestones!$AA$199)&gt;=$T116),$W116,IF(AND($S116&lt;&gt;"",EDATE($D116,Milestones!$AA$199)&gt;=$S116),$V116,$U116)))=Milestones!$AB$199),UPPER(TEXT(EDATE($D116,Milestones!$AA$199),"dd mmm yy"))&amp;" "&amp;Milestones!$AB$199&amp;" "&amp;Milestones!$AC$199&amp;";  ",""))</f>
        <v/>
      </c>
      <c r="R116" s="0" t="str">
        <f aca="false">IF(Staff!$A116="","",Staff!$AI116)</f>
        <v/>
      </c>
      <c r="S116" s="0" t="str">
        <f aca="false">IF(Staff!$A116="","",Staff!$AK116)</f>
        <v/>
      </c>
      <c r="T116" s="0" t="str">
        <f aca="false">IF(Staff!$A116="","",Staff!$AL116)</f>
        <v/>
      </c>
      <c r="U116" s="0" t="str">
        <f aca="false">IF(Staff!$A116="","",Staff!$AP116)</f>
        <v/>
      </c>
      <c r="V116" s="0" t="str">
        <f aca="false">IF(Staff!$A116="","",Staff!$AQ116)</f>
        <v/>
      </c>
      <c r="W116" s="0" t="str">
        <f aca="false">IF(Staff!$A116="","",Staff!$AR116)</f>
        <v/>
      </c>
      <c r="X116" s="0" t="str">
        <f aca="false">IF(Staff!$A116="","",Staff!$AS116)</f>
        <v/>
      </c>
    </row>
    <row r="117" customFormat="false" ht="15" hidden="false" customHeight="false" outlineLevel="0" collapsed="false">
      <c r="A117" s="14" t="str">
        <f aca="false">IF(Staff!$A117="","",Staff!$A117)</f>
        <v/>
      </c>
      <c r="B117" s="14" t="str">
        <f aca="false">IF(Staff!$A117="","",Staff!$B117)</f>
        <v/>
      </c>
      <c r="C117" s="14" t="str">
        <f aca="false">IF(Staff!$A117="","",Staff!$C117)</f>
        <v/>
      </c>
      <c r="D117" s="12" t="str">
        <f aca="false">IF(Staff!$A117="","",Staff!$AH117)</f>
        <v/>
      </c>
      <c r="E117" s="14" t="str">
        <f aca="false">IF(Staff!$A117="","",Staff!$O117)</f>
        <v/>
      </c>
      <c r="F117" s="14" t="str">
        <f aca="false">IF(E117="","",E117*HoursPerDay)</f>
        <v/>
      </c>
      <c r="G117" s="14" t="str">
        <f aca="false">IF(Staff!$A117="","",Staff!$AE117)</f>
        <v/>
      </c>
      <c r="H117" s="26" t="str">
        <f aca="false">IF($A117="","",I117&amp;J117&amp;K117&amp;L117&amp;M117&amp;N117&amp;O117&amp;P117&amp;Q117)</f>
        <v/>
      </c>
      <c r="I117" s="0" t="str">
        <f aca="false">IF(OR($A117="",$D117=""),"",IF(AND(EDATE($D117,Milestones!$AA$20)&lt;=AsOfDate,IF($R117=0,$X117,IF(AND($T117&lt;&gt;"",EDATE($D117,Milestones!$AA$20)&gt;=$T117),$W117,IF(AND($S117&lt;&gt;"",EDATE($D117,Milestones!$AA$20)&gt;=$S117),$V117,$U117)))=Milestones!$AB$20),UPPER(TEXT(EDATE($D117,Milestones!$AA$20),"dd mmm yy"))&amp;" "&amp;Milestones!$AB$20&amp;" "&amp;Milestones!$AC$20&amp;";  ","")&amp;IF(AND(EDATE($D117,Milestones!$AA$21)&lt;=AsOfDate,IF($R117=0,$X117,IF(AND($T117&lt;&gt;"",EDATE($D117,Milestones!$AA$21)&gt;=$T117),$W117,IF(AND($S117&lt;&gt;"",EDATE($D117,Milestones!$AA$21)&gt;=$S117),$V117,$U117)))=Milestones!$AB$21),UPPER(TEXT(EDATE($D117,Milestones!$AA$21),"dd mmm yy"))&amp;" "&amp;Milestones!$AB$21&amp;" "&amp;Milestones!$AC$21&amp;";  ","")&amp;IF(AND(EDATE($D117,Milestones!$AA$22)&lt;=AsOfDate,IF($R117=0,$X117,IF(AND($T117&lt;&gt;"",EDATE($D117,Milestones!$AA$22)&gt;=$T117),$W117,IF(AND($S117&lt;&gt;"",EDATE($D117,Milestones!$AA$22)&gt;=$S117),$V117,$U117)))=Milestones!$AB$22),UPPER(TEXT(EDATE($D117,Milestones!$AA$22),"dd mmm yy"))&amp;" "&amp;Milestones!$AB$22&amp;" "&amp;Milestones!$AC$22&amp;";  ","")&amp;IF(AND(EDATE($D117,Milestones!$AA$23)&lt;=AsOfDate,IF($R117=0,$X117,IF(AND($T117&lt;&gt;"",EDATE($D117,Milestones!$AA$23)&gt;=$T117),$W117,IF(AND($S117&lt;&gt;"",EDATE($D117,Milestones!$AA$23)&gt;=$S117),$V117,$U117)))=Milestones!$AB$23),UPPER(TEXT(EDATE($D117,Milestones!$AA$23),"dd mmm yy"))&amp;" "&amp;Milestones!$AB$23&amp;" "&amp;Milestones!$AC$23&amp;";  ","")&amp;IF(AND(EDATE($D117,Milestones!$AA$24)&lt;=AsOfDate,IF($R117=0,$X117,IF(AND($T117&lt;&gt;"",EDATE($D117,Milestones!$AA$24)&gt;=$T117),$W117,IF(AND($S117&lt;&gt;"",EDATE($D117,Milestones!$AA$24)&gt;=$S117),$V117,$U117)))=Milestones!$AB$24),UPPER(TEXT(EDATE($D117,Milestones!$AA$24),"dd mmm yy"))&amp;" "&amp;Milestones!$AB$24&amp;" "&amp;Milestones!$AC$24&amp;";  ","")&amp;IF(AND(EDATE($D117,Milestones!$AA$25)&lt;=AsOfDate,IF($R117=0,$X117,IF(AND($T117&lt;&gt;"",EDATE($D117,Milestones!$AA$25)&gt;=$T117),$W117,IF(AND($S117&lt;&gt;"",EDATE($D117,Milestones!$AA$25)&gt;=$S117),$V117,$U117)))=Milestones!$AB$25),UPPER(TEXT(EDATE($D117,Milestones!$AA$25),"dd mmm yy"))&amp;" "&amp;Milestones!$AB$25&amp;" "&amp;Milestones!$AC$25&amp;";  ","")&amp;IF(AND(EDATE($D117,Milestones!$AA$26)&lt;=AsOfDate,IF($R117=0,$X117,IF(AND($T117&lt;&gt;"",EDATE($D117,Milestones!$AA$26)&gt;=$T117),$W117,IF(AND($S117&lt;&gt;"",EDATE($D117,Milestones!$AA$26)&gt;=$S117),$V117,$U117)))=Milestones!$AB$26),UPPER(TEXT(EDATE($D117,Milestones!$AA$26),"dd mmm yy"))&amp;" "&amp;Milestones!$AB$26&amp;" "&amp;Milestones!$AC$26&amp;";  ","")&amp;IF(AND(EDATE($D117,Milestones!$AA$27)&lt;=AsOfDate,IF($R117=0,$X117,IF(AND($T117&lt;&gt;"",EDATE($D117,Milestones!$AA$27)&gt;=$T117),$W117,IF(AND($S117&lt;&gt;"",EDATE($D117,Milestones!$AA$27)&gt;=$S117),$V117,$U117)))=Milestones!$AB$27),UPPER(TEXT(EDATE($D117,Milestones!$AA$27),"dd mmm yy"))&amp;" "&amp;Milestones!$AB$27&amp;" "&amp;Milestones!$AC$27&amp;";  ","")&amp;IF(AND(EDATE($D117,Milestones!$AA$28)&lt;=AsOfDate,IF($R117=0,$X117,IF(AND($T117&lt;&gt;"",EDATE($D117,Milestones!$AA$28)&gt;=$T117),$W117,IF(AND($S117&lt;&gt;"",EDATE($D117,Milestones!$AA$28)&gt;=$S117),$V117,$U117)))=Milestones!$AB$28),UPPER(TEXT(EDATE($D117,Milestones!$AA$28),"dd mmm yy"))&amp;" "&amp;Milestones!$AB$28&amp;" "&amp;Milestones!$AC$28&amp;";  ","")&amp;IF(AND(EDATE($D117,Milestones!$AA$29)&lt;=AsOfDate,IF($R117=0,$X117,IF(AND($T117&lt;&gt;"",EDATE($D117,Milestones!$AA$29)&gt;=$T117),$W117,IF(AND($S117&lt;&gt;"",EDATE($D117,Milestones!$AA$29)&gt;=$S117),$V117,$U117)))=Milestones!$AB$29),UPPER(TEXT(EDATE($D117,Milestones!$AA$29),"dd mmm yy"))&amp;" "&amp;Milestones!$AB$29&amp;" "&amp;Milestones!$AC$29&amp;";  ","")&amp;IF(AND(EDATE($D117,Milestones!$AA$30)&lt;=AsOfDate,IF($R117=0,$X117,IF(AND($T117&lt;&gt;"",EDATE($D117,Milestones!$AA$30)&gt;=$T117),$W117,IF(AND($S117&lt;&gt;"",EDATE($D117,Milestones!$AA$30)&gt;=$S117),$V117,$U117)))=Milestones!$AB$30),UPPER(TEXT(EDATE($D117,Milestones!$AA$30),"dd mmm yy"))&amp;" "&amp;Milestones!$AB$30&amp;" "&amp;Milestones!$AC$30&amp;";  ","")&amp;IF(AND(EDATE($D117,Milestones!$AA$31)&lt;=AsOfDate,IF($R117=0,$X117,IF(AND($T117&lt;&gt;"",EDATE($D117,Milestones!$AA$31)&gt;=$T117),$W117,IF(AND($S117&lt;&gt;"",EDATE($D117,Milestones!$AA$31)&gt;=$S117),$V117,$U117)))=Milestones!$AB$31),UPPER(TEXT(EDATE($D117,Milestones!$AA$31),"dd mmm yy"))&amp;" "&amp;Milestones!$AB$31&amp;" "&amp;Milestones!$AC$31&amp;";  ","")&amp;IF(AND(EDATE($D117,Milestones!$AA$32)&lt;=AsOfDate,IF($R117=0,$X117,IF(AND($T117&lt;&gt;"",EDATE($D117,Milestones!$AA$32)&gt;=$T117),$W117,IF(AND($S117&lt;&gt;"",EDATE($D117,Milestones!$AA$32)&gt;=$S117),$V117,$U117)))=Milestones!$AB$32),UPPER(TEXT(EDATE($D117,Milestones!$AA$32),"dd mmm yy"))&amp;" "&amp;Milestones!$AB$32&amp;" "&amp;Milestones!$AC$32&amp;";  ","")&amp;IF(AND(EDATE($D117,Milestones!$AA$33)&lt;=AsOfDate,IF($R117=0,$X117,IF(AND($T117&lt;&gt;"",EDATE($D117,Milestones!$AA$33)&gt;=$T117),$W117,IF(AND($S117&lt;&gt;"",EDATE($D117,Milestones!$AA$33)&gt;=$S117),$V117,$U117)))=Milestones!$AB$33),UPPER(TEXT(EDATE($D117,Milestones!$AA$33),"dd mmm yy"))&amp;" "&amp;Milestones!$AB$33&amp;" "&amp;Milestones!$AC$33&amp;";  ","")&amp;IF(AND(EDATE($D117,Milestones!$AA$34)&lt;=AsOfDate,IF($R117=0,$X117,IF(AND($T117&lt;&gt;"",EDATE($D117,Milestones!$AA$34)&gt;=$T117),$W117,IF(AND($S117&lt;&gt;"",EDATE($D117,Milestones!$AA$34)&gt;=$S117),$V117,$U117)))=Milestones!$AB$34),UPPER(TEXT(EDATE($D117,Milestones!$AA$34),"dd mmm yy"))&amp;" "&amp;Milestones!$AB$34&amp;" "&amp;Milestones!$AC$34&amp;";  ","")&amp;IF(AND(EDATE($D117,Milestones!$AA$35)&lt;=AsOfDate,IF($R117=0,$X117,IF(AND($T117&lt;&gt;"",EDATE($D117,Milestones!$AA$35)&gt;=$T117),$W117,IF(AND($S117&lt;&gt;"",EDATE($D117,Milestones!$AA$35)&gt;=$S117),$V117,$U117)))=Milestones!$AB$35),UPPER(TEXT(EDATE($D117,Milestones!$AA$35),"dd mmm yy"))&amp;" "&amp;Milestones!$AB$35&amp;" "&amp;Milestones!$AC$35&amp;";  ","")&amp;IF(AND(EDATE($D117,Milestones!$AA$36)&lt;=AsOfDate,IF($R117=0,$X117,IF(AND($T117&lt;&gt;"",EDATE($D117,Milestones!$AA$36)&gt;=$T117),$W117,IF(AND($S117&lt;&gt;"",EDATE($D117,Milestones!$AA$36)&gt;=$S117),$V117,$U117)))=Milestones!$AB$36),UPPER(TEXT(EDATE($D117,Milestones!$AA$36),"dd mmm yy"))&amp;" "&amp;Milestones!$AB$36&amp;" "&amp;Milestones!$AC$36&amp;";  ","")&amp;IF(AND(EDATE($D117,Milestones!$AA$37)&lt;=AsOfDate,IF($R117=0,$X117,IF(AND($T117&lt;&gt;"",EDATE($D117,Milestones!$AA$37)&gt;=$T117),$W117,IF(AND($S117&lt;&gt;"",EDATE($D117,Milestones!$AA$37)&gt;=$S117),$V117,$U117)))=Milestones!$AB$37),UPPER(TEXT(EDATE($D117,Milestones!$AA$37),"dd mmm yy"))&amp;" "&amp;Milestones!$AB$37&amp;" "&amp;Milestones!$AC$37&amp;";  ","")&amp;IF(AND(EDATE($D117,Milestones!$AA$38)&lt;=AsOfDate,IF($R117=0,$X117,IF(AND($T117&lt;&gt;"",EDATE($D117,Milestones!$AA$38)&gt;=$T117),$W117,IF(AND($S117&lt;&gt;"",EDATE($D117,Milestones!$AA$38)&gt;=$S117),$V117,$U117)))=Milestones!$AB$38),UPPER(TEXT(EDATE($D117,Milestones!$AA$38),"dd mmm yy"))&amp;" "&amp;Milestones!$AB$38&amp;" "&amp;Milestones!$AC$38&amp;";  ","")&amp;IF(AND(EDATE($D117,Milestones!$AA$39)&lt;=AsOfDate,IF($R117=0,$X117,IF(AND($T117&lt;&gt;"",EDATE($D117,Milestones!$AA$39)&gt;=$T117),$W117,IF(AND($S117&lt;&gt;"",EDATE($D117,Milestones!$AA$39)&gt;=$S117),$V117,$U117)))=Milestones!$AB$39),UPPER(TEXT(EDATE($D117,Milestones!$AA$39),"dd mmm yy"))&amp;" "&amp;Milestones!$AB$39&amp;" "&amp;Milestones!$AC$39&amp;";  ",""))</f>
        <v/>
      </c>
      <c r="J117" s="0" t="str">
        <f aca="false">IF(OR($A117="",$D117=""),"",IF(AND(EDATE($D117,Milestones!$AA$40)&lt;=AsOfDate,IF($R117=0,$X117,IF(AND($T117&lt;&gt;"",EDATE($D117,Milestones!$AA$40)&gt;=$T117),$W117,IF(AND($S117&lt;&gt;"",EDATE($D117,Milestones!$AA$40)&gt;=$S117),$V117,$U117)))=Milestones!$AB$40),UPPER(TEXT(EDATE($D117,Milestones!$AA$40),"dd mmm yy"))&amp;" "&amp;Milestones!$AB$40&amp;" "&amp;Milestones!$AC$40&amp;";  ","")&amp;IF(AND(EDATE($D117,Milestones!$AA$41)&lt;=AsOfDate,IF($R117=0,$X117,IF(AND($T117&lt;&gt;"",EDATE($D117,Milestones!$AA$41)&gt;=$T117),$W117,IF(AND($S117&lt;&gt;"",EDATE($D117,Milestones!$AA$41)&gt;=$S117),$V117,$U117)))=Milestones!$AB$41),UPPER(TEXT(EDATE($D117,Milestones!$AA$41),"dd mmm yy"))&amp;" "&amp;Milestones!$AB$41&amp;" "&amp;Milestones!$AC$41&amp;";  ","")&amp;IF(AND(EDATE($D117,Milestones!$AA$42)&lt;=AsOfDate,IF($R117=0,$X117,IF(AND($T117&lt;&gt;"",EDATE($D117,Milestones!$AA$42)&gt;=$T117),$W117,IF(AND($S117&lt;&gt;"",EDATE($D117,Milestones!$AA$42)&gt;=$S117),$V117,$U117)))=Milestones!$AB$42),UPPER(TEXT(EDATE($D117,Milestones!$AA$42),"dd mmm yy"))&amp;" "&amp;Milestones!$AB$42&amp;" "&amp;Milestones!$AC$42&amp;";  ","")&amp;IF(AND(EDATE($D117,Milestones!$AA$43)&lt;=AsOfDate,IF($R117=0,$X117,IF(AND($T117&lt;&gt;"",EDATE($D117,Milestones!$AA$43)&gt;=$T117),$W117,IF(AND($S117&lt;&gt;"",EDATE($D117,Milestones!$AA$43)&gt;=$S117),$V117,$U117)))=Milestones!$AB$43),UPPER(TEXT(EDATE($D117,Milestones!$AA$43),"dd mmm yy"))&amp;" "&amp;Milestones!$AB$43&amp;" "&amp;Milestones!$AC$43&amp;";  ","")&amp;IF(AND(EDATE($D117,Milestones!$AA$44)&lt;=AsOfDate,IF($R117=0,$X117,IF(AND($T117&lt;&gt;"",EDATE($D117,Milestones!$AA$44)&gt;=$T117),$W117,IF(AND($S117&lt;&gt;"",EDATE($D117,Milestones!$AA$44)&gt;=$S117),$V117,$U117)))=Milestones!$AB$44),UPPER(TEXT(EDATE($D117,Milestones!$AA$44),"dd mmm yy"))&amp;" "&amp;Milestones!$AB$44&amp;" "&amp;Milestones!$AC$44&amp;";  ","")&amp;IF(AND(EDATE($D117,Milestones!$AA$45)&lt;=AsOfDate,IF($R117=0,$X117,IF(AND($T117&lt;&gt;"",EDATE($D117,Milestones!$AA$45)&gt;=$T117),$W117,IF(AND($S117&lt;&gt;"",EDATE($D117,Milestones!$AA$45)&gt;=$S117),$V117,$U117)))=Milestones!$AB$45),UPPER(TEXT(EDATE($D117,Milestones!$AA$45),"dd mmm yy"))&amp;" "&amp;Milestones!$AB$45&amp;" "&amp;Milestones!$AC$45&amp;";  ","")&amp;IF(AND(EDATE($D117,Milestones!$AA$46)&lt;=AsOfDate,IF($R117=0,$X117,IF(AND($T117&lt;&gt;"",EDATE($D117,Milestones!$AA$46)&gt;=$T117),$W117,IF(AND($S117&lt;&gt;"",EDATE($D117,Milestones!$AA$46)&gt;=$S117),$V117,$U117)))=Milestones!$AB$46),UPPER(TEXT(EDATE($D117,Milestones!$AA$46),"dd mmm yy"))&amp;" "&amp;Milestones!$AB$46&amp;" "&amp;Milestones!$AC$46&amp;";  ","")&amp;IF(AND(EDATE($D117,Milestones!$AA$47)&lt;=AsOfDate,IF($R117=0,$X117,IF(AND($T117&lt;&gt;"",EDATE($D117,Milestones!$AA$47)&gt;=$T117),$W117,IF(AND($S117&lt;&gt;"",EDATE($D117,Milestones!$AA$47)&gt;=$S117),$V117,$U117)))=Milestones!$AB$47),UPPER(TEXT(EDATE($D117,Milestones!$AA$47),"dd mmm yy"))&amp;" "&amp;Milestones!$AB$47&amp;" "&amp;Milestones!$AC$47&amp;";  ","")&amp;IF(AND(EDATE($D117,Milestones!$AA$48)&lt;=AsOfDate,IF($R117=0,$X117,IF(AND($T117&lt;&gt;"",EDATE($D117,Milestones!$AA$48)&gt;=$T117),$W117,IF(AND($S117&lt;&gt;"",EDATE($D117,Milestones!$AA$48)&gt;=$S117),$V117,$U117)))=Milestones!$AB$48),UPPER(TEXT(EDATE($D117,Milestones!$AA$48),"dd mmm yy"))&amp;" "&amp;Milestones!$AB$48&amp;" "&amp;Milestones!$AC$48&amp;";  ","")&amp;IF(AND(EDATE($D117,Milestones!$AA$49)&lt;=AsOfDate,IF($R117=0,$X117,IF(AND($T117&lt;&gt;"",EDATE($D117,Milestones!$AA$49)&gt;=$T117),$W117,IF(AND($S117&lt;&gt;"",EDATE($D117,Milestones!$AA$49)&gt;=$S117),$V117,$U117)))=Milestones!$AB$49),UPPER(TEXT(EDATE($D117,Milestones!$AA$49),"dd mmm yy"))&amp;" "&amp;Milestones!$AB$49&amp;" "&amp;Milestones!$AC$49&amp;";  ","")&amp;IF(AND(EDATE($D117,Milestones!$AA$50)&lt;=AsOfDate,IF($R117=0,$X117,IF(AND($T117&lt;&gt;"",EDATE($D117,Milestones!$AA$50)&gt;=$T117),$W117,IF(AND($S117&lt;&gt;"",EDATE($D117,Milestones!$AA$50)&gt;=$S117),$V117,$U117)))=Milestones!$AB$50),UPPER(TEXT(EDATE($D117,Milestones!$AA$50),"dd mmm yy"))&amp;" "&amp;Milestones!$AB$50&amp;" "&amp;Milestones!$AC$50&amp;";  ","")&amp;IF(AND(EDATE($D117,Milestones!$AA$51)&lt;=AsOfDate,IF($R117=0,$X117,IF(AND($T117&lt;&gt;"",EDATE($D117,Milestones!$AA$51)&gt;=$T117),$W117,IF(AND($S117&lt;&gt;"",EDATE($D117,Milestones!$AA$51)&gt;=$S117),$V117,$U117)))=Milestones!$AB$51),UPPER(TEXT(EDATE($D117,Milestones!$AA$51),"dd mmm yy"))&amp;" "&amp;Milestones!$AB$51&amp;" "&amp;Milestones!$AC$51&amp;";  ","")&amp;IF(AND(EDATE($D117,Milestones!$AA$52)&lt;=AsOfDate,IF($R117=0,$X117,IF(AND($T117&lt;&gt;"",EDATE($D117,Milestones!$AA$52)&gt;=$T117),$W117,IF(AND($S117&lt;&gt;"",EDATE($D117,Milestones!$AA$52)&gt;=$S117),$V117,$U117)))=Milestones!$AB$52),UPPER(TEXT(EDATE($D117,Milestones!$AA$52),"dd mmm yy"))&amp;" "&amp;Milestones!$AB$52&amp;" "&amp;Milestones!$AC$52&amp;";  ","")&amp;IF(AND(EDATE($D117,Milestones!$AA$53)&lt;=AsOfDate,IF($R117=0,$X117,IF(AND($T117&lt;&gt;"",EDATE($D117,Milestones!$AA$53)&gt;=$T117),$W117,IF(AND($S117&lt;&gt;"",EDATE($D117,Milestones!$AA$53)&gt;=$S117),$V117,$U117)))=Milestones!$AB$53),UPPER(TEXT(EDATE($D117,Milestones!$AA$53),"dd mmm yy"))&amp;" "&amp;Milestones!$AB$53&amp;" "&amp;Milestones!$AC$53&amp;";  ","")&amp;IF(AND(EDATE($D117,Milestones!$AA$54)&lt;=AsOfDate,IF($R117=0,$X117,IF(AND($T117&lt;&gt;"",EDATE($D117,Milestones!$AA$54)&gt;=$T117),$W117,IF(AND($S117&lt;&gt;"",EDATE($D117,Milestones!$AA$54)&gt;=$S117),$V117,$U117)))=Milestones!$AB$54),UPPER(TEXT(EDATE($D117,Milestones!$AA$54),"dd mmm yy"))&amp;" "&amp;Milestones!$AB$54&amp;" "&amp;Milestones!$AC$54&amp;";  ","")&amp;IF(AND(EDATE($D117,Milestones!$AA$55)&lt;=AsOfDate,IF($R117=0,$X117,IF(AND($T117&lt;&gt;"",EDATE($D117,Milestones!$AA$55)&gt;=$T117),$W117,IF(AND($S117&lt;&gt;"",EDATE($D117,Milestones!$AA$55)&gt;=$S117),$V117,$U117)))=Milestones!$AB$55),UPPER(TEXT(EDATE($D117,Milestones!$AA$55),"dd mmm yy"))&amp;" "&amp;Milestones!$AB$55&amp;" "&amp;Milestones!$AC$55&amp;";  ","")&amp;IF(AND(EDATE($D117,Milestones!$AA$56)&lt;=AsOfDate,IF($R117=0,$X117,IF(AND($T117&lt;&gt;"",EDATE($D117,Milestones!$AA$56)&gt;=$T117),$W117,IF(AND($S117&lt;&gt;"",EDATE($D117,Milestones!$AA$56)&gt;=$S117),$V117,$U117)))=Milestones!$AB$56),UPPER(TEXT(EDATE($D117,Milestones!$AA$56),"dd mmm yy"))&amp;" "&amp;Milestones!$AB$56&amp;" "&amp;Milestones!$AC$56&amp;";  ","")&amp;IF(AND(EDATE($D117,Milestones!$AA$57)&lt;=AsOfDate,IF($R117=0,$X117,IF(AND($T117&lt;&gt;"",EDATE($D117,Milestones!$AA$57)&gt;=$T117),$W117,IF(AND($S117&lt;&gt;"",EDATE($D117,Milestones!$AA$57)&gt;=$S117),$V117,$U117)))=Milestones!$AB$57),UPPER(TEXT(EDATE($D117,Milestones!$AA$57),"dd mmm yy"))&amp;" "&amp;Milestones!$AB$57&amp;" "&amp;Milestones!$AC$57&amp;";  ","")&amp;IF(AND(EDATE($D117,Milestones!$AA$58)&lt;=AsOfDate,IF($R117=0,$X117,IF(AND($T117&lt;&gt;"",EDATE($D117,Milestones!$AA$58)&gt;=$T117),$W117,IF(AND($S117&lt;&gt;"",EDATE($D117,Milestones!$AA$58)&gt;=$S117),$V117,$U117)))=Milestones!$AB$58),UPPER(TEXT(EDATE($D117,Milestones!$AA$58),"dd mmm yy"))&amp;" "&amp;Milestones!$AB$58&amp;" "&amp;Milestones!$AC$58&amp;";  ","")&amp;IF(AND(EDATE($D117,Milestones!$AA$59)&lt;=AsOfDate,IF($R117=0,$X117,IF(AND($T117&lt;&gt;"",EDATE($D117,Milestones!$AA$59)&gt;=$T117),$W117,IF(AND($S117&lt;&gt;"",EDATE($D117,Milestones!$AA$59)&gt;=$S117),$V117,$U117)))=Milestones!$AB$59),UPPER(TEXT(EDATE($D117,Milestones!$AA$59),"dd mmm yy"))&amp;" "&amp;Milestones!$AB$59&amp;" "&amp;Milestones!$AC$59&amp;";  ",""))</f>
        <v/>
      </c>
      <c r="K117" s="0" t="str">
        <f aca="false">IF(OR($A117="",$D117=""),"",IF(AND(EDATE($D117,Milestones!$AA$60)&lt;=AsOfDate,IF($R117=0,$X117,IF(AND($T117&lt;&gt;"",EDATE($D117,Milestones!$AA$60)&gt;=$T117),$W117,IF(AND($S117&lt;&gt;"",EDATE($D117,Milestones!$AA$60)&gt;=$S117),$V117,$U117)))=Milestones!$AB$60),UPPER(TEXT(EDATE($D117,Milestones!$AA$60),"dd mmm yy"))&amp;" "&amp;Milestones!$AB$60&amp;" "&amp;Milestones!$AC$60&amp;";  ","")&amp;IF(AND(EDATE($D117,Milestones!$AA$61)&lt;=AsOfDate,IF($R117=0,$X117,IF(AND($T117&lt;&gt;"",EDATE($D117,Milestones!$AA$61)&gt;=$T117),$W117,IF(AND($S117&lt;&gt;"",EDATE($D117,Milestones!$AA$61)&gt;=$S117),$V117,$U117)))=Milestones!$AB$61),UPPER(TEXT(EDATE($D117,Milestones!$AA$61),"dd mmm yy"))&amp;" "&amp;Milestones!$AB$61&amp;" "&amp;Milestones!$AC$61&amp;";  ","")&amp;IF(AND(EDATE($D117,Milestones!$AA$62)&lt;=AsOfDate,IF($R117=0,$X117,IF(AND($T117&lt;&gt;"",EDATE($D117,Milestones!$AA$62)&gt;=$T117),$W117,IF(AND($S117&lt;&gt;"",EDATE($D117,Milestones!$AA$62)&gt;=$S117),$V117,$U117)))=Milestones!$AB$62),UPPER(TEXT(EDATE($D117,Milestones!$AA$62),"dd mmm yy"))&amp;" "&amp;Milestones!$AB$62&amp;" "&amp;Milestones!$AC$62&amp;";  ","")&amp;IF(AND(EDATE($D117,Milestones!$AA$63)&lt;=AsOfDate,IF($R117=0,$X117,IF(AND($T117&lt;&gt;"",EDATE($D117,Milestones!$AA$63)&gt;=$T117),$W117,IF(AND($S117&lt;&gt;"",EDATE($D117,Milestones!$AA$63)&gt;=$S117),$V117,$U117)))=Milestones!$AB$63),UPPER(TEXT(EDATE($D117,Milestones!$AA$63),"dd mmm yy"))&amp;" "&amp;Milestones!$AB$63&amp;" "&amp;Milestones!$AC$63&amp;";  ","")&amp;IF(AND(EDATE($D117,Milestones!$AA$64)&lt;=AsOfDate,IF($R117=0,$X117,IF(AND($T117&lt;&gt;"",EDATE($D117,Milestones!$AA$64)&gt;=$T117),$W117,IF(AND($S117&lt;&gt;"",EDATE($D117,Milestones!$AA$64)&gt;=$S117),$V117,$U117)))=Milestones!$AB$64),UPPER(TEXT(EDATE($D117,Milestones!$AA$64),"dd mmm yy"))&amp;" "&amp;Milestones!$AB$64&amp;" "&amp;Milestones!$AC$64&amp;";  ","")&amp;IF(AND(EDATE($D117,Milestones!$AA$65)&lt;=AsOfDate,IF($R117=0,$X117,IF(AND($T117&lt;&gt;"",EDATE($D117,Milestones!$AA$65)&gt;=$T117),$W117,IF(AND($S117&lt;&gt;"",EDATE($D117,Milestones!$AA$65)&gt;=$S117),$V117,$U117)))=Milestones!$AB$65),UPPER(TEXT(EDATE($D117,Milestones!$AA$65),"dd mmm yy"))&amp;" "&amp;Milestones!$AB$65&amp;" "&amp;Milestones!$AC$65&amp;";  ","")&amp;IF(AND(EDATE($D117,Milestones!$AA$66)&lt;=AsOfDate,IF($R117=0,$X117,IF(AND($T117&lt;&gt;"",EDATE($D117,Milestones!$AA$66)&gt;=$T117),$W117,IF(AND($S117&lt;&gt;"",EDATE($D117,Milestones!$AA$66)&gt;=$S117),$V117,$U117)))=Milestones!$AB$66),UPPER(TEXT(EDATE($D117,Milestones!$AA$66),"dd mmm yy"))&amp;" "&amp;Milestones!$AB$66&amp;" "&amp;Milestones!$AC$66&amp;";  ","")&amp;IF(AND(EDATE($D117,Milestones!$AA$67)&lt;=AsOfDate,IF($R117=0,$X117,IF(AND($T117&lt;&gt;"",EDATE($D117,Milestones!$AA$67)&gt;=$T117),$W117,IF(AND($S117&lt;&gt;"",EDATE($D117,Milestones!$AA$67)&gt;=$S117),$V117,$U117)))=Milestones!$AB$67),UPPER(TEXT(EDATE($D117,Milestones!$AA$67),"dd mmm yy"))&amp;" "&amp;Milestones!$AB$67&amp;" "&amp;Milestones!$AC$67&amp;";  ","")&amp;IF(AND(EDATE($D117,Milestones!$AA$68)&lt;=AsOfDate,IF($R117=0,$X117,IF(AND($T117&lt;&gt;"",EDATE($D117,Milestones!$AA$68)&gt;=$T117),$W117,IF(AND($S117&lt;&gt;"",EDATE($D117,Milestones!$AA$68)&gt;=$S117),$V117,$U117)))=Milestones!$AB$68),UPPER(TEXT(EDATE($D117,Milestones!$AA$68),"dd mmm yy"))&amp;" "&amp;Milestones!$AB$68&amp;" "&amp;Milestones!$AC$68&amp;";  ","")&amp;IF(AND(EDATE($D117,Milestones!$AA$69)&lt;=AsOfDate,IF($R117=0,$X117,IF(AND($T117&lt;&gt;"",EDATE($D117,Milestones!$AA$69)&gt;=$T117),$W117,IF(AND($S117&lt;&gt;"",EDATE($D117,Milestones!$AA$69)&gt;=$S117),$V117,$U117)))=Milestones!$AB$69),UPPER(TEXT(EDATE($D117,Milestones!$AA$69),"dd mmm yy"))&amp;" "&amp;Milestones!$AB$69&amp;" "&amp;Milestones!$AC$69&amp;";  ","")&amp;IF(AND(EDATE($D117,Milestones!$AA$70)&lt;=AsOfDate,IF($R117=0,$X117,IF(AND($T117&lt;&gt;"",EDATE($D117,Milestones!$AA$70)&gt;=$T117),$W117,IF(AND($S117&lt;&gt;"",EDATE($D117,Milestones!$AA$70)&gt;=$S117),$V117,$U117)))=Milestones!$AB$70),UPPER(TEXT(EDATE($D117,Milestones!$AA$70),"dd mmm yy"))&amp;" "&amp;Milestones!$AB$70&amp;" "&amp;Milestones!$AC$70&amp;";  ","")&amp;IF(AND(EDATE($D117,Milestones!$AA$71)&lt;=AsOfDate,IF($R117=0,$X117,IF(AND($T117&lt;&gt;"",EDATE($D117,Milestones!$AA$71)&gt;=$T117),$W117,IF(AND($S117&lt;&gt;"",EDATE($D117,Milestones!$AA$71)&gt;=$S117),$V117,$U117)))=Milestones!$AB$71),UPPER(TEXT(EDATE($D117,Milestones!$AA$71),"dd mmm yy"))&amp;" "&amp;Milestones!$AB$71&amp;" "&amp;Milestones!$AC$71&amp;";  ","")&amp;IF(AND(EDATE($D117,Milestones!$AA$72)&lt;=AsOfDate,IF($R117=0,$X117,IF(AND($T117&lt;&gt;"",EDATE($D117,Milestones!$AA$72)&gt;=$T117),$W117,IF(AND($S117&lt;&gt;"",EDATE($D117,Milestones!$AA$72)&gt;=$S117),$V117,$U117)))=Milestones!$AB$72),UPPER(TEXT(EDATE($D117,Milestones!$AA$72),"dd mmm yy"))&amp;" "&amp;Milestones!$AB$72&amp;" "&amp;Milestones!$AC$72&amp;";  ","")&amp;IF(AND(EDATE($D117,Milestones!$AA$73)&lt;=AsOfDate,IF($R117=0,$X117,IF(AND($T117&lt;&gt;"",EDATE($D117,Milestones!$AA$73)&gt;=$T117),$W117,IF(AND($S117&lt;&gt;"",EDATE($D117,Milestones!$AA$73)&gt;=$S117),$V117,$U117)))=Milestones!$AB$73),UPPER(TEXT(EDATE($D117,Milestones!$AA$73),"dd mmm yy"))&amp;" "&amp;Milestones!$AB$73&amp;" "&amp;Milestones!$AC$73&amp;";  ","")&amp;IF(AND(EDATE($D117,Milestones!$AA$74)&lt;=AsOfDate,IF($R117=0,$X117,IF(AND($T117&lt;&gt;"",EDATE($D117,Milestones!$AA$74)&gt;=$T117),$W117,IF(AND($S117&lt;&gt;"",EDATE($D117,Milestones!$AA$74)&gt;=$S117),$V117,$U117)))=Milestones!$AB$74),UPPER(TEXT(EDATE($D117,Milestones!$AA$74),"dd mmm yy"))&amp;" "&amp;Milestones!$AB$74&amp;" "&amp;Milestones!$AC$74&amp;";  ","")&amp;IF(AND(EDATE($D117,Milestones!$AA$75)&lt;=AsOfDate,IF($R117=0,$X117,IF(AND($T117&lt;&gt;"",EDATE($D117,Milestones!$AA$75)&gt;=$T117),$W117,IF(AND($S117&lt;&gt;"",EDATE($D117,Milestones!$AA$75)&gt;=$S117),$V117,$U117)))=Milestones!$AB$75),UPPER(TEXT(EDATE($D117,Milestones!$AA$75),"dd mmm yy"))&amp;" "&amp;Milestones!$AB$75&amp;" "&amp;Milestones!$AC$75&amp;";  ","")&amp;IF(AND(EDATE($D117,Milestones!$AA$76)&lt;=AsOfDate,IF($R117=0,$X117,IF(AND($T117&lt;&gt;"",EDATE($D117,Milestones!$AA$76)&gt;=$T117),$W117,IF(AND($S117&lt;&gt;"",EDATE($D117,Milestones!$AA$76)&gt;=$S117),$V117,$U117)))=Milestones!$AB$76),UPPER(TEXT(EDATE($D117,Milestones!$AA$76),"dd mmm yy"))&amp;" "&amp;Milestones!$AB$76&amp;" "&amp;Milestones!$AC$76&amp;";  ","")&amp;IF(AND(EDATE($D117,Milestones!$AA$77)&lt;=AsOfDate,IF($R117=0,$X117,IF(AND($T117&lt;&gt;"",EDATE($D117,Milestones!$AA$77)&gt;=$T117),$W117,IF(AND($S117&lt;&gt;"",EDATE($D117,Milestones!$AA$77)&gt;=$S117),$V117,$U117)))=Milestones!$AB$77),UPPER(TEXT(EDATE($D117,Milestones!$AA$77),"dd mmm yy"))&amp;" "&amp;Milestones!$AB$77&amp;" "&amp;Milestones!$AC$77&amp;";  ","")&amp;IF(AND(EDATE($D117,Milestones!$AA$78)&lt;=AsOfDate,IF($R117=0,$X117,IF(AND($T117&lt;&gt;"",EDATE($D117,Milestones!$AA$78)&gt;=$T117),$W117,IF(AND($S117&lt;&gt;"",EDATE($D117,Milestones!$AA$78)&gt;=$S117),$V117,$U117)))=Milestones!$AB$78),UPPER(TEXT(EDATE($D117,Milestones!$AA$78),"dd mmm yy"))&amp;" "&amp;Milestones!$AB$78&amp;" "&amp;Milestones!$AC$78&amp;";  ","")&amp;IF(AND(EDATE($D117,Milestones!$AA$79)&lt;=AsOfDate,IF($R117=0,$X117,IF(AND($T117&lt;&gt;"",EDATE($D117,Milestones!$AA$79)&gt;=$T117),$W117,IF(AND($S117&lt;&gt;"",EDATE($D117,Milestones!$AA$79)&gt;=$S117),$V117,$U117)))=Milestones!$AB$79),UPPER(TEXT(EDATE($D117,Milestones!$AA$79),"dd mmm yy"))&amp;" "&amp;Milestones!$AB$79&amp;" "&amp;Milestones!$AC$79&amp;";  ",""))</f>
        <v/>
      </c>
      <c r="L117" s="0" t="str">
        <f aca="false">IF(OR($A117="",$D117=""),"",IF(AND(EDATE($D117,Milestones!$AA$80)&lt;=AsOfDate,IF($R117=0,$X117,IF(AND($T117&lt;&gt;"",EDATE($D117,Milestones!$AA$80)&gt;=$T117),$W117,IF(AND($S117&lt;&gt;"",EDATE($D117,Milestones!$AA$80)&gt;=$S117),$V117,$U117)))=Milestones!$AB$80),UPPER(TEXT(EDATE($D117,Milestones!$AA$80),"dd mmm yy"))&amp;" "&amp;Milestones!$AB$80&amp;" "&amp;Milestones!$AC$80&amp;";  ","")&amp;IF(AND(EDATE($D117,Milestones!$AA$81)&lt;=AsOfDate,IF($R117=0,$X117,IF(AND($T117&lt;&gt;"",EDATE($D117,Milestones!$AA$81)&gt;=$T117),$W117,IF(AND($S117&lt;&gt;"",EDATE($D117,Milestones!$AA$81)&gt;=$S117),$V117,$U117)))=Milestones!$AB$81),UPPER(TEXT(EDATE($D117,Milestones!$AA$81),"dd mmm yy"))&amp;" "&amp;Milestones!$AB$81&amp;" "&amp;Milestones!$AC$81&amp;";  ","")&amp;IF(AND(EDATE($D117,Milestones!$AA$82)&lt;=AsOfDate,IF($R117=0,$X117,IF(AND($T117&lt;&gt;"",EDATE($D117,Milestones!$AA$82)&gt;=$T117),$W117,IF(AND($S117&lt;&gt;"",EDATE($D117,Milestones!$AA$82)&gt;=$S117),$V117,$U117)))=Milestones!$AB$82),UPPER(TEXT(EDATE($D117,Milestones!$AA$82),"dd mmm yy"))&amp;" "&amp;Milestones!$AB$82&amp;" "&amp;Milestones!$AC$82&amp;";  ","")&amp;IF(AND(EDATE($D117,Milestones!$AA$83)&lt;=AsOfDate,IF($R117=0,$X117,IF(AND($T117&lt;&gt;"",EDATE($D117,Milestones!$AA$83)&gt;=$T117),$W117,IF(AND($S117&lt;&gt;"",EDATE($D117,Milestones!$AA$83)&gt;=$S117),$V117,$U117)))=Milestones!$AB$83),UPPER(TEXT(EDATE($D117,Milestones!$AA$83),"dd mmm yy"))&amp;" "&amp;Milestones!$AB$83&amp;" "&amp;Milestones!$AC$83&amp;";  ","")&amp;IF(AND(EDATE($D117,Milestones!$AA$84)&lt;=AsOfDate,IF($R117=0,$X117,IF(AND($T117&lt;&gt;"",EDATE($D117,Milestones!$AA$84)&gt;=$T117),$W117,IF(AND($S117&lt;&gt;"",EDATE($D117,Milestones!$AA$84)&gt;=$S117),$V117,$U117)))=Milestones!$AB$84),UPPER(TEXT(EDATE($D117,Milestones!$AA$84),"dd mmm yy"))&amp;" "&amp;Milestones!$AB$84&amp;" "&amp;Milestones!$AC$84&amp;";  ","")&amp;IF(AND(EDATE($D117,Milestones!$AA$85)&lt;=AsOfDate,IF($R117=0,$X117,IF(AND($T117&lt;&gt;"",EDATE($D117,Milestones!$AA$85)&gt;=$T117),$W117,IF(AND($S117&lt;&gt;"",EDATE($D117,Milestones!$AA$85)&gt;=$S117),$V117,$U117)))=Milestones!$AB$85),UPPER(TEXT(EDATE($D117,Milestones!$AA$85),"dd mmm yy"))&amp;" "&amp;Milestones!$AB$85&amp;" "&amp;Milestones!$AC$85&amp;";  ","")&amp;IF(AND(EDATE($D117,Milestones!$AA$86)&lt;=AsOfDate,IF($R117=0,$X117,IF(AND($T117&lt;&gt;"",EDATE($D117,Milestones!$AA$86)&gt;=$T117),$W117,IF(AND($S117&lt;&gt;"",EDATE($D117,Milestones!$AA$86)&gt;=$S117),$V117,$U117)))=Milestones!$AB$86),UPPER(TEXT(EDATE($D117,Milestones!$AA$86),"dd mmm yy"))&amp;" "&amp;Milestones!$AB$86&amp;" "&amp;Milestones!$AC$86&amp;";  ","")&amp;IF(AND(EDATE($D117,Milestones!$AA$87)&lt;=AsOfDate,IF($R117=0,$X117,IF(AND($T117&lt;&gt;"",EDATE($D117,Milestones!$AA$87)&gt;=$T117),$W117,IF(AND($S117&lt;&gt;"",EDATE($D117,Milestones!$AA$87)&gt;=$S117),$V117,$U117)))=Milestones!$AB$87),UPPER(TEXT(EDATE($D117,Milestones!$AA$87),"dd mmm yy"))&amp;" "&amp;Milestones!$AB$87&amp;" "&amp;Milestones!$AC$87&amp;";  ","")&amp;IF(AND(EDATE($D117,Milestones!$AA$88)&lt;=AsOfDate,IF($R117=0,$X117,IF(AND($T117&lt;&gt;"",EDATE($D117,Milestones!$AA$88)&gt;=$T117),$W117,IF(AND($S117&lt;&gt;"",EDATE($D117,Milestones!$AA$88)&gt;=$S117),$V117,$U117)))=Milestones!$AB$88),UPPER(TEXT(EDATE($D117,Milestones!$AA$88),"dd mmm yy"))&amp;" "&amp;Milestones!$AB$88&amp;" "&amp;Milestones!$AC$88&amp;";  ","")&amp;IF(AND(EDATE($D117,Milestones!$AA$89)&lt;=AsOfDate,IF($R117=0,$X117,IF(AND($T117&lt;&gt;"",EDATE($D117,Milestones!$AA$89)&gt;=$T117),$W117,IF(AND($S117&lt;&gt;"",EDATE($D117,Milestones!$AA$89)&gt;=$S117),$V117,$U117)))=Milestones!$AB$89),UPPER(TEXT(EDATE($D117,Milestones!$AA$89),"dd mmm yy"))&amp;" "&amp;Milestones!$AB$89&amp;" "&amp;Milestones!$AC$89&amp;";  ","")&amp;IF(AND(EDATE($D117,Milestones!$AA$90)&lt;=AsOfDate,IF($R117=0,$X117,IF(AND($T117&lt;&gt;"",EDATE($D117,Milestones!$AA$90)&gt;=$T117),$W117,IF(AND($S117&lt;&gt;"",EDATE($D117,Milestones!$AA$90)&gt;=$S117),$V117,$U117)))=Milestones!$AB$90),UPPER(TEXT(EDATE($D117,Milestones!$AA$90),"dd mmm yy"))&amp;" "&amp;Milestones!$AB$90&amp;" "&amp;Milestones!$AC$90&amp;";  ","")&amp;IF(AND(EDATE($D117,Milestones!$AA$91)&lt;=AsOfDate,IF($R117=0,$X117,IF(AND($T117&lt;&gt;"",EDATE($D117,Milestones!$AA$91)&gt;=$T117),$W117,IF(AND($S117&lt;&gt;"",EDATE($D117,Milestones!$AA$91)&gt;=$S117),$V117,$U117)))=Milestones!$AB$91),UPPER(TEXT(EDATE($D117,Milestones!$AA$91),"dd mmm yy"))&amp;" "&amp;Milestones!$AB$91&amp;" "&amp;Milestones!$AC$91&amp;";  ","")&amp;IF(AND(EDATE($D117,Milestones!$AA$92)&lt;=AsOfDate,IF($R117=0,$X117,IF(AND($T117&lt;&gt;"",EDATE($D117,Milestones!$AA$92)&gt;=$T117),$W117,IF(AND($S117&lt;&gt;"",EDATE($D117,Milestones!$AA$92)&gt;=$S117),$V117,$U117)))=Milestones!$AB$92),UPPER(TEXT(EDATE($D117,Milestones!$AA$92),"dd mmm yy"))&amp;" "&amp;Milestones!$AB$92&amp;" "&amp;Milestones!$AC$92&amp;";  ","")&amp;IF(AND(EDATE($D117,Milestones!$AA$93)&lt;=AsOfDate,IF($R117=0,$X117,IF(AND($T117&lt;&gt;"",EDATE($D117,Milestones!$AA$93)&gt;=$T117),$W117,IF(AND($S117&lt;&gt;"",EDATE($D117,Milestones!$AA$93)&gt;=$S117),$V117,$U117)))=Milestones!$AB$93),UPPER(TEXT(EDATE($D117,Milestones!$AA$93),"dd mmm yy"))&amp;" "&amp;Milestones!$AB$93&amp;" "&amp;Milestones!$AC$93&amp;";  ","")&amp;IF(AND(EDATE($D117,Milestones!$AA$94)&lt;=AsOfDate,IF($R117=0,$X117,IF(AND($T117&lt;&gt;"",EDATE($D117,Milestones!$AA$94)&gt;=$T117),$W117,IF(AND($S117&lt;&gt;"",EDATE($D117,Milestones!$AA$94)&gt;=$S117),$V117,$U117)))=Milestones!$AB$94),UPPER(TEXT(EDATE($D117,Milestones!$AA$94),"dd mmm yy"))&amp;" "&amp;Milestones!$AB$94&amp;" "&amp;Milestones!$AC$94&amp;";  ","")&amp;IF(AND(EDATE($D117,Milestones!$AA$95)&lt;=AsOfDate,IF($R117=0,$X117,IF(AND($T117&lt;&gt;"",EDATE($D117,Milestones!$AA$95)&gt;=$T117),$W117,IF(AND($S117&lt;&gt;"",EDATE($D117,Milestones!$AA$95)&gt;=$S117),$V117,$U117)))=Milestones!$AB$95),UPPER(TEXT(EDATE($D117,Milestones!$AA$95),"dd mmm yy"))&amp;" "&amp;Milestones!$AB$95&amp;" "&amp;Milestones!$AC$95&amp;";  ","")&amp;IF(AND(EDATE($D117,Milestones!$AA$96)&lt;=AsOfDate,IF($R117=0,$X117,IF(AND($T117&lt;&gt;"",EDATE($D117,Milestones!$AA$96)&gt;=$T117),$W117,IF(AND($S117&lt;&gt;"",EDATE($D117,Milestones!$AA$96)&gt;=$S117),$V117,$U117)))=Milestones!$AB$96),UPPER(TEXT(EDATE($D117,Milestones!$AA$96),"dd mmm yy"))&amp;" "&amp;Milestones!$AB$96&amp;" "&amp;Milestones!$AC$96&amp;";  ","")&amp;IF(AND(EDATE($D117,Milestones!$AA$97)&lt;=AsOfDate,IF($R117=0,$X117,IF(AND($T117&lt;&gt;"",EDATE($D117,Milestones!$AA$97)&gt;=$T117),$W117,IF(AND($S117&lt;&gt;"",EDATE($D117,Milestones!$AA$97)&gt;=$S117),$V117,$U117)))=Milestones!$AB$97),UPPER(TEXT(EDATE($D117,Milestones!$AA$97),"dd mmm yy"))&amp;" "&amp;Milestones!$AB$97&amp;" "&amp;Milestones!$AC$97&amp;";  ","")&amp;IF(AND(EDATE($D117,Milestones!$AA$98)&lt;=AsOfDate,IF($R117=0,$X117,IF(AND($T117&lt;&gt;"",EDATE($D117,Milestones!$AA$98)&gt;=$T117),$W117,IF(AND($S117&lt;&gt;"",EDATE($D117,Milestones!$AA$98)&gt;=$S117),$V117,$U117)))=Milestones!$AB$98),UPPER(TEXT(EDATE($D117,Milestones!$AA$98),"dd mmm yy"))&amp;" "&amp;Milestones!$AB$98&amp;" "&amp;Milestones!$AC$98&amp;";  ","")&amp;IF(AND(EDATE($D117,Milestones!$AA$99)&lt;=AsOfDate,IF($R117=0,$X117,IF(AND($T117&lt;&gt;"",EDATE($D117,Milestones!$AA$99)&gt;=$T117),$W117,IF(AND($S117&lt;&gt;"",EDATE($D117,Milestones!$AA$99)&gt;=$S117),$V117,$U117)))=Milestones!$AB$99),UPPER(TEXT(EDATE($D117,Milestones!$AA$99),"dd mmm yy"))&amp;" "&amp;Milestones!$AB$99&amp;" "&amp;Milestones!$AC$99&amp;";  ",""))</f>
        <v/>
      </c>
      <c r="M117" s="0" t="str">
        <f aca="false">IF(OR($A117="",$D117=""),"",IF(AND(EDATE($D117,Milestones!$AA$100)&lt;=AsOfDate,IF($R117=0,$X117,IF(AND($T117&lt;&gt;"",EDATE($D117,Milestones!$AA$100)&gt;=$T117),$W117,IF(AND($S117&lt;&gt;"",EDATE($D117,Milestones!$AA$100)&gt;=$S117),$V117,$U117)))=Milestones!$AB$100),UPPER(TEXT(EDATE($D117,Milestones!$AA$100),"dd mmm yy"))&amp;" "&amp;Milestones!$AB$100&amp;" "&amp;Milestones!$AC$100&amp;";  ","")&amp;IF(AND(EDATE($D117,Milestones!$AA$101)&lt;=AsOfDate,IF($R117=0,$X117,IF(AND($T117&lt;&gt;"",EDATE($D117,Milestones!$AA$101)&gt;=$T117),$W117,IF(AND($S117&lt;&gt;"",EDATE($D117,Milestones!$AA$101)&gt;=$S117),$V117,$U117)))=Milestones!$AB$101),UPPER(TEXT(EDATE($D117,Milestones!$AA$101),"dd mmm yy"))&amp;" "&amp;Milestones!$AB$101&amp;" "&amp;Milestones!$AC$101&amp;";  ","")&amp;IF(AND(EDATE($D117,Milestones!$AA$102)&lt;=AsOfDate,IF($R117=0,$X117,IF(AND($T117&lt;&gt;"",EDATE($D117,Milestones!$AA$102)&gt;=$T117),$W117,IF(AND($S117&lt;&gt;"",EDATE($D117,Milestones!$AA$102)&gt;=$S117),$V117,$U117)))=Milestones!$AB$102),UPPER(TEXT(EDATE($D117,Milestones!$AA$102),"dd mmm yy"))&amp;" "&amp;Milestones!$AB$102&amp;" "&amp;Milestones!$AC$102&amp;";  ","")&amp;IF(AND(EDATE($D117,Milestones!$AA$103)&lt;=AsOfDate,IF($R117=0,$X117,IF(AND($T117&lt;&gt;"",EDATE($D117,Milestones!$AA$103)&gt;=$T117),$W117,IF(AND($S117&lt;&gt;"",EDATE($D117,Milestones!$AA$103)&gt;=$S117),$V117,$U117)))=Milestones!$AB$103),UPPER(TEXT(EDATE($D117,Milestones!$AA$103),"dd mmm yy"))&amp;" "&amp;Milestones!$AB$103&amp;" "&amp;Milestones!$AC$103&amp;";  ","")&amp;IF(AND(EDATE($D117,Milestones!$AA$104)&lt;=AsOfDate,IF($R117=0,$X117,IF(AND($T117&lt;&gt;"",EDATE($D117,Milestones!$AA$104)&gt;=$T117),$W117,IF(AND($S117&lt;&gt;"",EDATE($D117,Milestones!$AA$104)&gt;=$S117),$V117,$U117)))=Milestones!$AB$104),UPPER(TEXT(EDATE($D117,Milestones!$AA$104),"dd mmm yy"))&amp;" "&amp;Milestones!$AB$104&amp;" "&amp;Milestones!$AC$104&amp;";  ","")&amp;IF(AND(EDATE($D117,Milestones!$AA$105)&lt;=AsOfDate,IF($R117=0,$X117,IF(AND($T117&lt;&gt;"",EDATE($D117,Milestones!$AA$105)&gt;=$T117),$W117,IF(AND($S117&lt;&gt;"",EDATE($D117,Milestones!$AA$105)&gt;=$S117),$V117,$U117)))=Milestones!$AB$105),UPPER(TEXT(EDATE($D117,Milestones!$AA$105),"dd mmm yy"))&amp;" "&amp;Milestones!$AB$105&amp;" "&amp;Milestones!$AC$105&amp;";  ","")&amp;IF(AND(EDATE($D117,Milestones!$AA$106)&lt;=AsOfDate,IF($R117=0,$X117,IF(AND($T117&lt;&gt;"",EDATE($D117,Milestones!$AA$106)&gt;=$T117),$W117,IF(AND($S117&lt;&gt;"",EDATE($D117,Milestones!$AA$106)&gt;=$S117),$V117,$U117)))=Milestones!$AB$106),UPPER(TEXT(EDATE($D117,Milestones!$AA$106),"dd mmm yy"))&amp;" "&amp;Milestones!$AB$106&amp;" "&amp;Milestones!$AC$106&amp;";  ","")&amp;IF(AND(EDATE($D117,Milestones!$AA$107)&lt;=AsOfDate,IF($R117=0,$X117,IF(AND($T117&lt;&gt;"",EDATE($D117,Milestones!$AA$107)&gt;=$T117),$W117,IF(AND($S117&lt;&gt;"",EDATE($D117,Milestones!$AA$107)&gt;=$S117),$V117,$U117)))=Milestones!$AB$107),UPPER(TEXT(EDATE($D117,Milestones!$AA$107),"dd mmm yy"))&amp;" "&amp;Milestones!$AB$107&amp;" "&amp;Milestones!$AC$107&amp;";  ","")&amp;IF(AND(EDATE($D117,Milestones!$AA$108)&lt;=AsOfDate,IF($R117=0,$X117,IF(AND($T117&lt;&gt;"",EDATE($D117,Milestones!$AA$108)&gt;=$T117),$W117,IF(AND($S117&lt;&gt;"",EDATE($D117,Milestones!$AA$108)&gt;=$S117),$V117,$U117)))=Milestones!$AB$108),UPPER(TEXT(EDATE($D117,Milestones!$AA$108),"dd mmm yy"))&amp;" "&amp;Milestones!$AB$108&amp;" "&amp;Milestones!$AC$108&amp;";  ","")&amp;IF(AND(EDATE($D117,Milestones!$AA$109)&lt;=AsOfDate,IF($R117=0,$X117,IF(AND($T117&lt;&gt;"",EDATE($D117,Milestones!$AA$109)&gt;=$T117),$W117,IF(AND($S117&lt;&gt;"",EDATE($D117,Milestones!$AA$109)&gt;=$S117),$V117,$U117)))=Milestones!$AB$109),UPPER(TEXT(EDATE($D117,Milestones!$AA$109),"dd mmm yy"))&amp;" "&amp;Milestones!$AB$109&amp;" "&amp;Milestones!$AC$109&amp;";  ","")&amp;IF(AND(EDATE($D117,Milestones!$AA$110)&lt;=AsOfDate,IF($R117=0,$X117,IF(AND($T117&lt;&gt;"",EDATE($D117,Milestones!$AA$110)&gt;=$T117),$W117,IF(AND($S117&lt;&gt;"",EDATE($D117,Milestones!$AA$110)&gt;=$S117),$V117,$U117)))=Milestones!$AB$110),UPPER(TEXT(EDATE($D117,Milestones!$AA$110),"dd mmm yy"))&amp;" "&amp;Milestones!$AB$110&amp;" "&amp;Milestones!$AC$110&amp;";  ","")&amp;IF(AND(EDATE($D117,Milestones!$AA$111)&lt;=AsOfDate,IF($R117=0,$X117,IF(AND($T117&lt;&gt;"",EDATE($D117,Milestones!$AA$111)&gt;=$T117),$W117,IF(AND($S117&lt;&gt;"",EDATE($D117,Milestones!$AA$111)&gt;=$S117),$V117,$U117)))=Milestones!$AB$111),UPPER(TEXT(EDATE($D117,Milestones!$AA$111),"dd mmm yy"))&amp;" "&amp;Milestones!$AB$111&amp;" "&amp;Milestones!$AC$111&amp;";  ","")&amp;IF(AND(EDATE($D117,Milestones!$AA$112)&lt;=AsOfDate,IF($R117=0,$X117,IF(AND($T117&lt;&gt;"",EDATE($D117,Milestones!$AA$112)&gt;=$T117),$W117,IF(AND($S117&lt;&gt;"",EDATE($D117,Milestones!$AA$112)&gt;=$S117),$V117,$U117)))=Milestones!$AB$112),UPPER(TEXT(EDATE($D117,Milestones!$AA$112),"dd mmm yy"))&amp;" "&amp;Milestones!$AB$112&amp;" "&amp;Milestones!$AC$112&amp;";  ","")&amp;IF(AND(EDATE($D117,Milestones!$AA$113)&lt;=AsOfDate,IF($R117=0,$X117,IF(AND($T117&lt;&gt;"",EDATE($D117,Milestones!$AA$113)&gt;=$T117),$W117,IF(AND($S117&lt;&gt;"",EDATE($D117,Milestones!$AA$113)&gt;=$S117),$V117,$U117)))=Milestones!$AB$113),UPPER(TEXT(EDATE($D117,Milestones!$AA$113),"dd mmm yy"))&amp;" "&amp;Milestones!$AB$113&amp;" "&amp;Milestones!$AC$113&amp;";  ","")&amp;IF(AND(EDATE($D117,Milestones!$AA$114)&lt;=AsOfDate,IF($R117=0,$X117,IF(AND($T117&lt;&gt;"",EDATE($D117,Milestones!$AA$114)&gt;=$T117),$W117,IF(AND($S117&lt;&gt;"",EDATE($D117,Milestones!$AA$114)&gt;=$S117),$V117,$U117)))=Milestones!$AB$114),UPPER(TEXT(EDATE($D117,Milestones!$AA$114),"dd mmm yy"))&amp;" "&amp;Milestones!$AB$114&amp;" "&amp;Milestones!$AC$114&amp;";  ","")&amp;IF(AND(EDATE($D117,Milestones!$AA$115)&lt;=AsOfDate,IF($R117=0,$X117,IF(AND($T117&lt;&gt;"",EDATE($D117,Milestones!$AA$115)&gt;=$T117),$W117,IF(AND($S117&lt;&gt;"",EDATE($D117,Milestones!$AA$115)&gt;=$S117),$V117,$U117)))=Milestones!$AB$115),UPPER(TEXT(EDATE($D117,Milestones!$AA$115),"dd mmm yy"))&amp;" "&amp;Milestones!$AB$115&amp;" "&amp;Milestones!$AC$115&amp;";  ","")&amp;IF(AND(EDATE($D117,Milestones!$AA$116)&lt;=AsOfDate,IF($R117=0,$X117,IF(AND($T117&lt;&gt;"",EDATE($D117,Milestones!$AA$116)&gt;=$T117),$W117,IF(AND($S117&lt;&gt;"",EDATE($D117,Milestones!$AA$116)&gt;=$S117),$V117,$U117)))=Milestones!$AB$116),UPPER(TEXT(EDATE($D117,Milestones!$AA$116),"dd mmm yy"))&amp;" "&amp;Milestones!$AB$116&amp;" "&amp;Milestones!$AC$116&amp;";  ","")&amp;IF(AND(EDATE($D117,Milestones!$AA$117)&lt;=AsOfDate,IF($R117=0,$X117,IF(AND($T117&lt;&gt;"",EDATE($D117,Milestones!$AA$117)&gt;=$T117),$W117,IF(AND($S117&lt;&gt;"",EDATE($D117,Milestones!$AA$117)&gt;=$S117),$V117,$U117)))=Milestones!$AB$117),UPPER(TEXT(EDATE($D117,Milestones!$AA$117),"dd mmm yy"))&amp;" "&amp;Milestones!$AB$117&amp;" "&amp;Milestones!$AC$117&amp;";  ","")&amp;IF(AND(EDATE($D117,Milestones!$AA$118)&lt;=AsOfDate,IF($R117=0,$X117,IF(AND($T117&lt;&gt;"",EDATE($D117,Milestones!$AA$118)&gt;=$T117),$W117,IF(AND($S117&lt;&gt;"",EDATE($D117,Milestones!$AA$118)&gt;=$S117),$V117,$U117)))=Milestones!$AB$118),UPPER(TEXT(EDATE($D117,Milestones!$AA$118),"dd mmm yy"))&amp;" "&amp;Milestones!$AB$118&amp;" "&amp;Milestones!$AC$118&amp;";  ","")&amp;IF(AND(EDATE($D117,Milestones!$AA$119)&lt;=AsOfDate,IF($R117=0,$X117,IF(AND($T117&lt;&gt;"",EDATE($D117,Milestones!$AA$119)&gt;=$T117),$W117,IF(AND($S117&lt;&gt;"",EDATE($D117,Milestones!$AA$119)&gt;=$S117),$V117,$U117)))=Milestones!$AB$119),UPPER(TEXT(EDATE($D117,Milestones!$AA$119),"dd mmm yy"))&amp;" "&amp;Milestones!$AB$119&amp;" "&amp;Milestones!$AC$119&amp;";  ",""))</f>
        <v/>
      </c>
      <c r="N117" s="0" t="str">
        <f aca="false">IF(OR($A117="",$D117=""),"",IF(AND(EDATE($D117,Milestones!$AA$120)&lt;=AsOfDate,IF($R117=0,$X117,IF(AND($T117&lt;&gt;"",EDATE($D117,Milestones!$AA$120)&gt;=$T117),$W117,IF(AND($S117&lt;&gt;"",EDATE($D117,Milestones!$AA$120)&gt;=$S117),$V117,$U117)))=Milestones!$AB$120),UPPER(TEXT(EDATE($D117,Milestones!$AA$120),"dd mmm yy"))&amp;" "&amp;Milestones!$AB$120&amp;" "&amp;Milestones!$AC$120&amp;";  ","")&amp;IF(AND(EDATE($D117,Milestones!$AA$121)&lt;=AsOfDate,IF($R117=0,$X117,IF(AND($T117&lt;&gt;"",EDATE($D117,Milestones!$AA$121)&gt;=$T117),$W117,IF(AND($S117&lt;&gt;"",EDATE($D117,Milestones!$AA$121)&gt;=$S117),$V117,$U117)))=Milestones!$AB$121),UPPER(TEXT(EDATE($D117,Milestones!$AA$121),"dd mmm yy"))&amp;" "&amp;Milestones!$AB$121&amp;" "&amp;Milestones!$AC$121&amp;";  ","")&amp;IF(AND(EDATE($D117,Milestones!$AA$122)&lt;=AsOfDate,IF($R117=0,$X117,IF(AND($T117&lt;&gt;"",EDATE($D117,Milestones!$AA$122)&gt;=$T117),$W117,IF(AND($S117&lt;&gt;"",EDATE($D117,Milestones!$AA$122)&gt;=$S117),$V117,$U117)))=Milestones!$AB$122),UPPER(TEXT(EDATE($D117,Milestones!$AA$122),"dd mmm yy"))&amp;" "&amp;Milestones!$AB$122&amp;" "&amp;Milestones!$AC$122&amp;";  ","")&amp;IF(AND(EDATE($D117,Milestones!$AA$123)&lt;=AsOfDate,IF($R117=0,$X117,IF(AND($T117&lt;&gt;"",EDATE($D117,Milestones!$AA$123)&gt;=$T117),$W117,IF(AND($S117&lt;&gt;"",EDATE($D117,Milestones!$AA$123)&gt;=$S117),$V117,$U117)))=Milestones!$AB$123),UPPER(TEXT(EDATE($D117,Milestones!$AA$123),"dd mmm yy"))&amp;" "&amp;Milestones!$AB$123&amp;" "&amp;Milestones!$AC$123&amp;";  ","")&amp;IF(AND(EDATE($D117,Milestones!$AA$124)&lt;=AsOfDate,IF($R117=0,$X117,IF(AND($T117&lt;&gt;"",EDATE($D117,Milestones!$AA$124)&gt;=$T117),$W117,IF(AND($S117&lt;&gt;"",EDATE($D117,Milestones!$AA$124)&gt;=$S117),$V117,$U117)))=Milestones!$AB$124),UPPER(TEXT(EDATE($D117,Milestones!$AA$124),"dd mmm yy"))&amp;" "&amp;Milestones!$AB$124&amp;" "&amp;Milestones!$AC$124&amp;";  ","")&amp;IF(AND(EDATE($D117,Milestones!$AA$125)&lt;=AsOfDate,IF($R117=0,$X117,IF(AND($T117&lt;&gt;"",EDATE($D117,Milestones!$AA$125)&gt;=$T117),$W117,IF(AND($S117&lt;&gt;"",EDATE($D117,Milestones!$AA$125)&gt;=$S117),$V117,$U117)))=Milestones!$AB$125),UPPER(TEXT(EDATE($D117,Milestones!$AA$125),"dd mmm yy"))&amp;" "&amp;Milestones!$AB$125&amp;" "&amp;Milestones!$AC$125&amp;";  ","")&amp;IF(AND(EDATE($D117,Milestones!$AA$126)&lt;=AsOfDate,IF($R117=0,$X117,IF(AND($T117&lt;&gt;"",EDATE($D117,Milestones!$AA$126)&gt;=$T117),$W117,IF(AND($S117&lt;&gt;"",EDATE($D117,Milestones!$AA$126)&gt;=$S117),$V117,$U117)))=Milestones!$AB$126),UPPER(TEXT(EDATE($D117,Milestones!$AA$126),"dd mmm yy"))&amp;" "&amp;Milestones!$AB$126&amp;" "&amp;Milestones!$AC$126&amp;";  ","")&amp;IF(AND(EDATE($D117,Milestones!$AA$127)&lt;=AsOfDate,IF($R117=0,$X117,IF(AND($T117&lt;&gt;"",EDATE($D117,Milestones!$AA$127)&gt;=$T117),$W117,IF(AND($S117&lt;&gt;"",EDATE($D117,Milestones!$AA$127)&gt;=$S117),$V117,$U117)))=Milestones!$AB$127),UPPER(TEXT(EDATE($D117,Milestones!$AA$127),"dd mmm yy"))&amp;" "&amp;Milestones!$AB$127&amp;" "&amp;Milestones!$AC$127&amp;";  ","")&amp;IF(AND(EDATE($D117,Milestones!$AA$128)&lt;=AsOfDate,IF($R117=0,$X117,IF(AND($T117&lt;&gt;"",EDATE($D117,Milestones!$AA$128)&gt;=$T117),$W117,IF(AND($S117&lt;&gt;"",EDATE($D117,Milestones!$AA$128)&gt;=$S117),$V117,$U117)))=Milestones!$AB$128),UPPER(TEXT(EDATE($D117,Milestones!$AA$128),"dd mmm yy"))&amp;" "&amp;Milestones!$AB$128&amp;" "&amp;Milestones!$AC$128&amp;";  ","")&amp;IF(AND(EDATE($D117,Milestones!$AA$129)&lt;=AsOfDate,IF($R117=0,$X117,IF(AND($T117&lt;&gt;"",EDATE($D117,Milestones!$AA$129)&gt;=$T117),$W117,IF(AND($S117&lt;&gt;"",EDATE($D117,Milestones!$AA$129)&gt;=$S117),$V117,$U117)))=Milestones!$AB$129),UPPER(TEXT(EDATE($D117,Milestones!$AA$129),"dd mmm yy"))&amp;" "&amp;Milestones!$AB$129&amp;" "&amp;Milestones!$AC$129&amp;";  ","")&amp;IF(AND(EDATE($D117,Milestones!$AA$130)&lt;=AsOfDate,IF($R117=0,$X117,IF(AND($T117&lt;&gt;"",EDATE($D117,Milestones!$AA$130)&gt;=$T117),$W117,IF(AND($S117&lt;&gt;"",EDATE($D117,Milestones!$AA$130)&gt;=$S117),$V117,$U117)))=Milestones!$AB$130),UPPER(TEXT(EDATE($D117,Milestones!$AA$130),"dd mmm yy"))&amp;" "&amp;Milestones!$AB$130&amp;" "&amp;Milestones!$AC$130&amp;";  ","")&amp;IF(AND(EDATE($D117,Milestones!$AA$131)&lt;=AsOfDate,IF($R117=0,$X117,IF(AND($T117&lt;&gt;"",EDATE($D117,Milestones!$AA$131)&gt;=$T117),$W117,IF(AND($S117&lt;&gt;"",EDATE($D117,Milestones!$AA$131)&gt;=$S117),$V117,$U117)))=Milestones!$AB$131),UPPER(TEXT(EDATE($D117,Milestones!$AA$131),"dd mmm yy"))&amp;" "&amp;Milestones!$AB$131&amp;" "&amp;Milestones!$AC$131&amp;";  ","")&amp;IF(AND(EDATE($D117,Milestones!$AA$132)&lt;=AsOfDate,IF($R117=0,$X117,IF(AND($T117&lt;&gt;"",EDATE($D117,Milestones!$AA$132)&gt;=$T117),$W117,IF(AND($S117&lt;&gt;"",EDATE($D117,Milestones!$AA$132)&gt;=$S117),$V117,$U117)))=Milestones!$AB$132),UPPER(TEXT(EDATE($D117,Milestones!$AA$132),"dd mmm yy"))&amp;" "&amp;Milestones!$AB$132&amp;" "&amp;Milestones!$AC$132&amp;";  ","")&amp;IF(AND(EDATE($D117,Milestones!$AA$133)&lt;=AsOfDate,IF($R117=0,$X117,IF(AND($T117&lt;&gt;"",EDATE($D117,Milestones!$AA$133)&gt;=$T117),$W117,IF(AND($S117&lt;&gt;"",EDATE($D117,Milestones!$AA$133)&gt;=$S117),$V117,$U117)))=Milestones!$AB$133),UPPER(TEXT(EDATE($D117,Milestones!$AA$133),"dd mmm yy"))&amp;" "&amp;Milestones!$AB$133&amp;" "&amp;Milestones!$AC$133&amp;";  ","")&amp;IF(AND(EDATE($D117,Milestones!$AA$134)&lt;=AsOfDate,IF($R117=0,$X117,IF(AND($T117&lt;&gt;"",EDATE($D117,Milestones!$AA$134)&gt;=$T117),$W117,IF(AND($S117&lt;&gt;"",EDATE($D117,Milestones!$AA$134)&gt;=$S117),$V117,$U117)))=Milestones!$AB$134),UPPER(TEXT(EDATE($D117,Milestones!$AA$134),"dd mmm yy"))&amp;" "&amp;Milestones!$AB$134&amp;" "&amp;Milestones!$AC$134&amp;";  ","")&amp;IF(AND(EDATE($D117,Milestones!$AA$135)&lt;=AsOfDate,IF($R117=0,$X117,IF(AND($T117&lt;&gt;"",EDATE($D117,Milestones!$AA$135)&gt;=$T117),$W117,IF(AND($S117&lt;&gt;"",EDATE($D117,Milestones!$AA$135)&gt;=$S117),$V117,$U117)))=Milestones!$AB$135),UPPER(TEXT(EDATE($D117,Milestones!$AA$135),"dd mmm yy"))&amp;" "&amp;Milestones!$AB$135&amp;" "&amp;Milestones!$AC$135&amp;";  ","")&amp;IF(AND(EDATE($D117,Milestones!$AA$136)&lt;=AsOfDate,IF($R117=0,$X117,IF(AND($T117&lt;&gt;"",EDATE($D117,Milestones!$AA$136)&gt;=$T117),$W117,IF(AND($S117&lt;&gt;"",EDATE($D117,Milestones!$AA$136)&gt;=$S117),$V117,$U117)))=Milestones!$AB$136),UPPER(TEXT(EDATE($D117,Milestones!$AA$136),"dd mmm yy"))&amp;" "&amp;Milestones!$AB$136&amp;" "&amp;Milestones!$AC$136&amp;";  ","")&amp;IF(AND(EDATE($D117,Milestones!$AA$137)&lt;=AsOfDate,IF($R117=0,$X117,IF(AND($T117&lt;&gt;"",EDATE($D117,Milestones!$AA$137)&gt;=$T117),$W117,IF(AND($S117&lt;&gt;"",EDATE($D117,Milestones!$AA$137)&gt;=$S117),$V117,$U117)))=Milestones!$AB$137),UPPER(TEXT(EDATE($D117,Milestones!$AA$137),"dd mmm yy"))&amp;" "&amp;Milestones!$AB$137&amp;" "&amp;Milestones!$AC$137&amp;";  ","")&amp;IF(AND(EDATE($D117,Milestones!$AA$138)&lt;=AsOfDate,IF($R117=0,$X117,IF(AND($T117&lt;&gt;"",EDATE($D117,Milestones!$AA$138)&gt;=$T117),$W117,IF(AND($S117&lt;&gt;"",EDATE($D117,Milestones!$AA$138)&gt;=$S117),$V117,$U117)))=Milestones!$AB$138),UPPER(TEXT(EDATE($D117,Milestones!$AA$138),"dd mmm yy"))&amp;" "&amp;Milestones!$AB$138&amp;" "&amp;Milestones!$AC$138&amp;";  ","")&amp;IF(AND(EDATE($D117,Milestones!$AA$139)&lt;=AsOfDate,IF($R117=0,$X117,IF(AND($T117&lt;&gt;"",EDATE($D117,Milestones!$AA$139)&gt;=$T117),$W117,IF(AND($S117&lt;&gt;"",EDATE($D117,Milestones!$AA$139)&gt;=$S117),$V117,$U117)))=Milestones!$AB$139),UPPER(TEXT(EDATE($D117,Milestones!$AA$139),"dd mmm yy"))&amp;" "&amp;Milestones!$AB$139&amp;" "&amp;Milestones!$AC$139&amp;";  ",""))</f>
        <v/>
      </c>
      <c r="O117" s="0" t="str">
        <f aca="false">IF(OR($A117="",$D117=""),"",IF(AND(EDATE($D117,Milestones!$AA$140)&lt;=AsOfDate,IF($R117=0,$X117,IF(AND($T117&lt;&gt;"",EDATE($D117,Milestones!$AA$140)&gt;=$T117),$W117,IF(AND($S117&lt;&gt;"",EDATE($D117,Milestones!$AA$140)&gt;=$S117),$V117,$U117)))=Milestones!$AB$140),UPPER(TEXT(EDATE($D117,Milestones!$AA$140),"dd mmm yy"))&amp;" "&amp;Milestones!$AB$140&amp;" "&amp;Milestones!$AC$140&amp;";  ","")&amp;IF(AND(EDATE($D117,Milestones!$AA$141)&lt;=AsOfDate,IF($R117=0,$X117,IF(AND($T117&lt;&gt;"",EDATE($D117,Milestones!$AA$141)&gt;=$T117),$W117,IF(AND($S117&lt;&gt;"",EDATE($D117,Milestones!$AA$141)&gt;=$S117),$V117,$U117)))=Milestones!$AB$141),UPPER(TEXT(EDATE($D117,Milestones!$AA$141),"dd mmm yy"))&amp;" "&amp;Milestones!$AB$141&amp;" "&amp;Milestones!$AC$141&amp;";  ","")&amp;IF(AND(EDATE($D117,Milestones!$AA$142)&lt;=AsOfDate,IF($R117=0,$X117,IF(AND($T117&lt;&gt;"",EDATE($D117,Milestones!$AA$142)&gt;=$T117),$W117,IF(AND($S117&lt;&gt;"",EDATE($D117,Milestones!$AA$142)&gt;=$S117),$V117,$U117)))=Milestones!$AB$142),UPPER(TEXT(EDATE($D117,Milestones!$AA$142),"dd mmm yy"))&amp;" "&amp;Milestones!$AB$142&amp;" "&amp;Milestones!$AC$142&amp;";  ","")&amp;IF(AND(EDATE($D117,Milestones!$AA$143)&lt;=AsOfDate,IF($R117=0,$X117,IF(AND($T117&lt;&gt;"",EDATE($D117,Milestones!$AA$143)&gt;=$T117),$W117,IF(AND($S117&lt;&gt;"",EDATE($D117,Milestones!$AA$143)&gt;=$S117),$V117,$U117)))=Milestones!$AB$143),UPPER(TEXT(EDATE($D117,Milestones!$AA$143),"dd mmm yy"))&amp;" "&amp;Milestones!$AB$143&amp;" "&amp;Milestones!$AC$143&amp;";  ","")&amp;IF(AND(EDATE($D117,Milestones!$AA$144)&lt;=AsOfDate,IF($R117=0,$X117,IF(AND($T117&lt;&gt;"",EDATE($D117,Milestones!$AA$144)&gt;=$T117),$W117,IF(AND($S117&lt;&gt;"",EDATE($D117,Milestones!$AA$144)&gt;=$S117),$V117,$U117)))=Milestones!$AB$144),UPPER(TEXT(EDATE($D117,Milestones!$AA$144),"dd mmm yy"))&amp;" "&amp;Milestones!$AB$144&amp;" "&amp;Milestones!$AC$144&amp;";  ","")&amp;IF(AND(EDATE($D117,Milestones!$AA$145)&lt;=AsOfDate,IF($R117=0,$X117,IF(AND($T117&lt;&gt;"",EDATE($D117,Milestones!$AA$145)&gt;=$T117),$W117,IF(AND($S117&lt;&gt;"",EDATE($D117,Milestones!$AA$145)&gt;=$S117),$V117,$U117)))=Milestones!$AB$145),UPPER(TEXT(EDATE($D117,Milestones!$AA$145),"dd mmm yy"))&amp;" "&amp;Milestones!$AB$145&amp;" "&amp;Milestones!$AC$145&amp;";  ","")&amp;IF(AND(EDATE($D117,Milestones!$AA$146)&lt;=AsOfDate,IF($R117=0,$X117,IF(AND($T117&lt;&gt;"",EDATE($D117,Milestones!$AA$146)&gt;=$T117),$W117,IF(AND($S117&lt;&gt;"",EDATE($D117,Milestones!$AA$146)&gt;=$S117),$V117,$U117)))=Milestones!$AB$146),UPPER(TEXT(EDATE($D117,Milestones!$AA$146),"dd mmm yy"))&amp;" "&amp;Milestones!$AB$146&amp;" "&amp;Milestones!$AC$146&amp;";  ","")&amp;IF(AND(EDATE($D117,Milestones!$AA$147)&lt;=AsOfDate,IF($R117=0,$X117,IF(AND($T117&lt;&gt;"",EDATE($D117,Milestones!$AA$147)&gt;=$T117),$W117,IF(AND($S117&lt;&gt;"",EDATE($D117,Milestones!$AA$147)&gt;=$S117),$V117,$U117)))=Milestones!$AB$147),UPPER(TEXT(EDATE($D117,Milestones!$AA$147),"dd mmm yy"))&amp;" "&amp;Milestones!$AB$147&amp;" "&amp;Milestones!$AC$147&amp;";  ","")&amp;IF(AND(EDATE($D117,Milestones!$AA$148)&lt;=AsOfDate,IF($R117=0,$X117,IF(AND($T117&lt;&gt;"",EDATE($D117,Milestones!$AA$148)&gt;=$T117),$W117,IF(AND($S117&lt;&gt;"",EDATE($D117,Milestones!$AA$148)&gt;=$S117),$V117,$U117)))=Milestones!$AB$148),UPPER(TEXT(EDATE($D117,Milestones!$AA$148),"dd mmm yy"))&amp;" "&amp;Milestones!$AB$148&amp;" "&amp;Milestones!$AC$148&amp;";  ","")&amp;IF(AND(EDATE($D117,Milestones!$AA$149)&lt;=AsOfDate,IF($R117=0,$X117,IF(AND($T117&lt;&gt;"",EDATE($D117,Milestones!$AA$149)&gt;=$T117),$W117,IF(AND($S117&lt;&gt;"",EDATE($D117,Milestones!$AA$149)&gt;=$S117),$V117,$U117)))=Milestones!$AB$149),UPPER(TEXT(EDATE($D117,Milestones!$AA$149),"dd mmm yy"))&amp;" "&amp;Milestones!$AB$149&amp;" "&amp;Milestones!$AC$149&amp;";  ","")&amp;IF(AND(EDATE($D117,Milestones!$AA$150)&lt;=AsOfDate,IF($R117=0,$X117,IF(AND($T117&lt;&gt;"",EDATE($D117,Milestones!$AA$150)&gt;=$T117),$W117,IF(AND($S117&lt;&gt;"",EDATE($D117,Milestones!$AA$150)&gt;=$S117),$V117,$U117)))=Milestones!$AB$150),UPPER(TEXT(EDATE($D117,Milestones!$AA$150),"dd mmm yy"))&amp;" "&amp;Milestones!$AB$150&amp;" "&amp;Milestones!$AC$150&amp;";  ","")&amp;IF(AND(EDATE($D117,Milestones!$AA$151)&lt;=AsOfDate,IF($R117=0,$X117,IF(AND($T117&lt;&gt;"",EDATE($D117,Milestones!$AA$151)&gt;=$T117),$W117,IF(AND($S117&lt;&gt;"",EDATE($D117,Milestones!$AA$151)&gt;=$S117),$V117,$U117)))=Milestones!$AB$151),UPPER(TEXT(EDATE($D117,Milestones!$AA$151),"dd mmm yy"))&amp;" "&amp;Milestones!$AB$151&amp;" "&amp;Milestones!$AC$151&amp;";  ","")&amp;IF(AND(EDATE($D117,Milestones!$AA$152)&lt;=AsOfDate,IF($R117=0,$X117,IF(AND($T117&lt;&gt;"",EDATE($D117,Milestones!$AA$152)&gt;=$T117),$W117,IF(AND($S117&lt;&gt;"",EDATE($D117,Milestones!$AA$152)&gt;=$S117),$V117,$U117)))=Milestones!$AB$152),UPPER(TEXT(EDATE($D117,Milestones!$AA$152),"dd mmm yy"))&amp;" "&amp;Milestones!$AB$152&amp;" "&amp;Milestones!$AC$152&amp;";  ","")&amp;IF(AND(EDATE($D117,Milestones!$AA$153)&lt;=AsOfDate,IF($R117=0,$X117,IF(AND($T117&lt;&gt;"",EDATE($D117,Milestones!$AA$153)&gt;=$T117),$W117,IF(AND($S117&lt;&gt;"",EDATE($D117,Milestones!$AA$153)&gt;=$S117),$V117,$U117)))=Milestones!$AB$153),UPPER(TEXT(EDATE($D117,Milestones!$AA$153),"dd mmm yy"))&amp;" "&amp;Milestones!$AB$153&amp;" "&amp;Milestones!$AC$153&amp;";  ","")&amp;IF(AND(EDATE($D117,Milestones!$AA$154)&lt;=AsOfDate,IF($R117=0,$X117,IF(AND($T117&lt;&gt;"",EDATE($D117,Milestones!$AA$154)&gt;=$T117),$W117,IF(AND($S117&lt;&gt;"",EDATE($D117,Milestones!$AA$154)&gt;=$S117),$V117,$U117)))=Milestones!$AB$154),UPPER(TEXT(EDATE($D117,Milestones!$AA$154),"dd mmm yy"))&amp;" "&amp;Milestones!$AB$154&amp;" "&amp;Milestones!$AC$154&amp;";  ","")&amp;IF(AND(EDATE($D117,Milestones!$AA$155)&lt;=AsOfDate,IF($R117=0,$X117,IF(AND($T117&lt;&gt;"",EDATE($D117,Milestones!$AA$155)&gt;=$T117),$W117,IF(AND($S117&lt;&gt;"",EDATE($D117,Milestones!$AA$155)&gt;=$S117),$V117,$U117)))=Milestones!$AB$155),UPPER(TEXT(EDATE($D117,Milestones!$AA$155),"dd mmm yy"))&amp;" "&amp;Milestones!$AB$155&amp;" "&amp;Milestones!$AC$155&amp;";  ","")&amp;IF(AND(EDATE($D117,Milestones!$AA$156)&lt;=AsOfDate,IF($R117=0,$X117,IF(AND($T117&lt;&gt;"",EDATE($D117,Milestones!$AA$156)&gt;=$T117),$W117,IF(AND($S117&lt;&gt;"",EDATE($D117,Milestones!$AA$156)&gt;=$S117),$V117,$U117)))=Milestones!$AB$156),UPPER(TEXT(EDATE($D117,Milestones!$AA$156),"dd mmm yy"))&amp;" "&amp;Milestones!$AB$156&amp;" "&amp;Milestones!$AC$156&amp;";  ","")&amp;IF(AND(EDATE($D117,Milestones!$AA$157)&lt;=AsOfDate,IF($R117=0,$X117,IF(AND($T117&lt;&gt;"",EDATE($D117,Milestones!$AA$157)&gt;=$T117),$W117,IF(AND($S117&lt;&gt;"",EDATE($D117,Milestones!$AA$157)&gt;=$S117),$V117,$U117)))=Milestones!$AB$157),UPPER(TEXT(EDATE($D117,Milestones!$AA$157),"dd mmm yy"))&amp;" "&amp;Milestones!$AB$157&amp;" "&amp;Milestones!$AC$157&amp;";  ","")&amp;IF(AND(EDATE($D117,Milestones!$AA$158)&lt;=AsOfDate,IF($R117=0,$X117,IF(AND($T117&lt;&gt;"",EDATE($D117,Milestones!$AA$158)&gt;=$T117),$W117,IF(AND($S117&lt;&gt;"",EDATE($D117,Milestones!$AA$158)&gt;=$S117),$V117,$U117)))=Milestones!$AB$158),UPPER(TEXT(EDATE($D117,Milestones!$AA$158),"dd mmm yy"))&amp;" "&amp;Milestones!$AB$158&amp;" "&amp;Milestones!$AC$158&amp;";  ","")&amp;IF(AND(EDATE($D117,Milestones!$AA$159)&lt;=AsOfDate,IF($R117=0,$X117,IF(AND($T117&lt;&gt;"",EDATE($D117,Milestones!$AA$159)&gt;=$T117),$W117,IF(AND($S117&lt;&gt;"",EDATE($D117,Milestones!$AA$159)&gt;=$S117),$V117,$U117)))=Milestones!$AB$159),UPPER(TEXT(EDATE($D117,Milestones!$AA$159),"dd mmm yy"))&amp;" "&amp;Milestones!$AB$159&amp;" "&amp;Milestones!$AC$159&amp;";  ",""))</f>
        <v/>
      </c>
      <c r="P117" s="0" t="str">
        <f aca="false">IF(OR($A117="",$D117=""),"",IF(AND(EDATE($D117,Milestones!$AA$160)&lt;=AsOfDate,IF($R117=0,$X117,IF(AND($T117&lt;&gt;"",EDATE($D117,Milestones!$AA$160)&gt;=$T117),$W117,IF(AND($S117&lt;&gt;"",EDATE($D117,Milestones!$AA$160)&gt;=$S117),$V117,$U117)))=Milestones!$AB$160),UPPER(TEXT(EDATE($D117,Milestones!$AA$160),"dd mmm yy"))&amp;" "&amp;Milestones!$AB$160&amp;" "&amp;Milestones!$AC$160&amp;";  ","")&amp;IF(AND(EDATE($D117,Milestones!$AA$161)&lt;=AsOfDate,IF($R117=0,$X117,IF(AND($T117&lt;&gt;"",EDATE($D117,Milestones!$AA$161)&gt;=$T117),$W117,IF(AND($S117&lt;&gt;"",EDATE($D117,Milestones!$AA$161)&gt;=$S117),$V117,$U117)))=Milestones!$AB$161),UPPER(TEXT(EDATE($D117,Milestones!$AA$161),"dd mmm yy"))&amp;" "&amp;Milestones!$AB$161&amp;" "&amp;Milestones!$AC$161&amp;";  ","")&amp;IF(AND(EDATE($D117,Milestones!$AA$162)&lt;=AsOfDate,IF($R117=0,$X117,IF(AND($T117&lt;&gt;"",EDATE($D117,Milestones!$AA$162)&gt;=$T117),$W117,IF(AND($S117&lt;&gt;"",EDATE($D117,Milestones!$AA$162)&gt;=$S117),$V117,$U117)))=Milestones!$AB$162),UPPER(TEXT(EDATE($D117,Milestones!$AA$162),"dd mmm yy"))&amp;" "&amp;Milestones!$AB$162&amp;" "&amp;Milestones!$AC$162&amp;";  ","")&amp;IF(AND(EDATE($D117,Milestones!$AA$163)&lt;=AsOfDate,IF($R117=0,$X117,IF(AND($T117&lt;&gt;"",EDATE($D117,Milestones!$AA$163)&gt;=$T117),$W117,IF(AND($S117&lt;&gt;"",EDATE($D117,Milestones!$AA$163)&gt;=$S117),$V117,$U117)))=Milestones!$AB$163),UPPER(TEXT(EDATE($D117,Milestones!$AA$163),"dd mmm yy"))&amp;" "&amp;Milestones!$AB$163&amp;" "&amp;Milestones!$AC$163&amp;";  ","")&amp;IF(AND(EDATE($D117,Milestones!$AA$164)&lt;=AsOfDate,IF($R117=0,$X117,IF(AND($T117&lt;&gt;"",EDATE($D117,Milestones!$AA$164)&gt;=$T117),$W117,IF(AND($S117&lt;&gt;"",EDATE($D117,Milestones!$AA$164)&gt;=$S117),$V117,$U117)))=Milestones!$AB$164),UPPER(TEXT(EDATE($D117,Milestones!$AA$164),"dd mmm yy"))&amp;" "&amp;Milestones!$AB$164&amp;" "&amp;Milestones!$AC$164&amp;";  ","")&amp;IF(AND(EDATE($D117,Milestones!$AA$165)&lt;=AsOfDate,IF($R117=0,$X117,IF(AND($T117&lt;&gt;"",EDATE($D117,Milestones!$AA$165)&gt;=$T117),$W117,IF(AND($S117&lt;&gt;"",EDATE($D117,Milestones!$AA$165)&gt;=$S117),$V117,$U117)))=Milestones!$AB$165),UPPER(TEXT(EDATE($D117,Milestones!$AA$165),"dd mmm yy"))&amp;" "&amp;Milestones!$AB$165&amp;" "&amp;Milestones!$AC$165&amp;";  ","")&amp;IF(AND(EDATE($D117,Milestones!$AA$166)&lt;=AsOfDate,IF($R117=0,$X117,IF(AND($T117&lt;&gt;"",EDATE($D117,Milestones!$AA$166)&gt;=$T117),$W117,IF(AND($S117&lt;&gt;"",EDATE($D117,Milestones!$AA$166)&gt;=$S117),$V117,$U117)))=Milestones!$AB$166),UPPER(TEXT(EDATE($D117,Milestones!$AA$166),"dd mmm yy"))&amp;" "&amp;Milestones!$AB$166&amp;" "&amp;Milestones!$AC$166&amp;";  ","")&amp;IF(AND(EDATE($D117,Milestones!$AA$167)&lt;=AsOfDate,IF($R117=0,$X117,IF(AND($T117&lt;&gt;"",EDATE($D117,Milestones!$AA$167)&gt;=$T117),$W117,IF(AND($S117&lt;&gt;"",EDATE($D117,Milestones!$AA$167)&gt;=$S117),$V117,$U117)))=Milestones!$AB$167),UPPER(TEXT(EDATE($D117,Milestones!$AA$167),"dd mmm yy"))&amp;" "&amp;Milestones!$AB$167&amp;" "&amp;Milestones!$AC$167&amp;";  ","")&amp;IF(AND(EDATE($D117,Milestones!$AA$168)&lt;=AsOfDate,IF($R117=0,$X117,IF(AND($T117&lt;&gt;"",EDATE($D117,Milestones!$AA$168)&gt;=$T117),$W117,IF(AND($S117&lt;&gt;"",EDATE($D117,Milestones!$AA$168)&gt;=$S117),$V117,$U117)))=Milestones!$AB$168),UPPER(TEXT(EDATE($D117,Milestones!$AA$168),"dd mmm yy"))&amp;" "&amp;Milestones!$AB$168&amp;" "&amp;Milestones!$AC$168&amp;";  ","")&amp;IF(AND(EDATE($D117,Milestones!$AA$169)&lt;=AsOfDate,IF($R117=0,$X117,IF(AND($T117&lt;&gt;"",EDATE($D117,Milestones!$AA$169)&gt;=$T117),$W117,IF(AND($S117&lt;&gt;"",EDATE($D117,Milestones!$AA$169)&gt;=$S117),$V117,$U117)))=Milestones!$AB$169),UPPER(TEXT(EDATE($D117,Milestones!$AA$169),"dd mmm yy"))&amp;" "&amp;Milestones!$AB$169&amp;" "&amp;Milestones!$AC$169&amp;";  ","")&amp;IF(AND(EDATE($D117,Milestones!$AA$170)&lt;=AsOfDate,IF($R117=0,$X117,IF(AND($T117&lt;&gt;"",EDATE($D117,Milestones!$AA$170)&gt;=$T117),$W117,IF(AND($S117&lt;&gt;"",EDATE($D117,Milestones!$AA$170)&gt;=$S117),$V117,$U117)))=Milestones!$AB$170),UPPER(TEXT(EDATE($D117,Milestones!$AA$170),"dd mmm yy"))&amp;" "&amp;Milestones!$AB$170&amp;" "&amp;Milestones!$AC$170&amp;";  ","")&amp;IF(AND(EDATE($D117,Milestones!$AA$171)&lt;=AsOfDate,IF($R117=0,$X117,IF(AND($T117&lt;&gt;"",EDATE($D117,Milestones!$AA$171)&gt;=$T117),$W117,IF(AND($S117&lt;&gt;"",EDATE($D117,Milestones!$AA$171)&gt;=$S117),$V117,$U117)))=Milestones!$AB$171),UPPER(TEXT(EDATE($D117,Milestones!$AA$171),"dd mmm yy"))&amp;" "&amp;Milestones!$AB$171&amp;" "&amp;Milestones!$AC$171&amp;";  ","")&amp;IF(AND(EDATE($D117,Milestones!$AA$172)&lt;=AsOfDate,IF($R117=0,$X117,IF(AND($T117&lt;&gt;"",EDATE($D117,Milestones!$AA$172)&gt;=$T117),$W117,IF(AND($S117&lt;&gt;"",EDATE($D117,Milestones!$AA$172)&gt;=$S117),$V117,$U117)))=Milestones!$AB$172),UPPER(TEXT(EDATE($D117,Milestones!$AA$172),"dd mmm yy"))&amp;" "&amp;Milestones!$AB$172&amp;" "&amp;Milestones!$AC$172&amp;";  ","")&amp;IF(AND(EDATE($D117,Milestones!$AA$173)&lt;=AsOfDate,IF($R117=0,$X117,IF(AND($T117&lt;&gt;"",EDATE($D117,Milestones!$AA$173)&gt;=$T117),$W117,IF(AND($S117&lt;&gt;"",EDATE($D117,Milestones!$AA$173)&gt;=$S117),$V117,$U117)))=Milestones!$AB$173),UPPER(TEXT(EDATE($D117,Milestones!$AA$173),"dd mmm yy"))&amp;" "&amp;Milestones!$AB$173&amp;" "&amp;Milestones!$AC$173&amp;";  ","")&amp;IF(AND(EDATE($D117,Milestones!$AA$174)&lt;=AsOfDate,IF($R117=0,$X117,IF(AND($T117&lt;&gt;"",EDATE($D117,Milestones!$AA$174)&gt;=$T117),$W117,IF(AND($S117&lt;&gt;"",EDATE($D117,Milestones!$AA$174)&gt;=$S117),$V117,$U117)))=Milestones!$AB$174),UPPER(TEXT(EDATE($D117,Milestones!$AA$174),"dd mmm yy"))&amp;" "&amp;Milestones!$AB$174&amp;" "&amp;Milestones!$AC$174&amp;";  ","")&amp;IF(AND(EDATE($D117,Milestones!$AA$175)&lt;=AsOfDate,IF($R117=0,$X117,IF(AND($T117&lt;&gt;"",EDATE($D117,Milestones!$AA$175)&gt;=$T117),$W117,IF(AND($S117&lt;&gt;"",EDATE($D117,Milestones!$AA$175)&gt;=$S117),$V117,$U117)))=Milestones!$AB$175),UPPER(TEXT(EDATE($D117,Milestones!$AA$175),"dd mmm yy"))&amp;" "&amp;Milestones!$AB$175&amp;" "&amp;Milestones!$AC$175&amp;";  ","")&amp;IF(AND(EDATE($D117,Milestones!$AA$176)&lt;=AsOfDate,IF($R117=0,$X117,IF(AND($T117&lt;&gt;"",EDATE($D117,Milestones!$AA$176)&gt;=$T117),$W117,IF(AND($S117&lt;&gt;"",EDATE($D117,Milestones!$AA$176)&gt;=$S117),$V117,$U117)))=Milestones!$AB$176),UPPER(TEXT(EDATE($D117,Milestones!$AA$176),"dd mmm yy"))&amp;" "&amp;Milestones!$AB$176&amp;" "&amp;Milestones!$AC$176&amp;";  ","")&amp;IF(AND(EDATE($D117,Milestones!$AA$177)&lt;=AsOfDate,IF($R117=0,$X117,IF(AND($T117&lt;&gt;"",EDATE($D117,Milestones!$AA$177)&gt;=$T117),$W117,IF(AND($S117&lt;&gt;"",EDATE($D117,Milestones!$AA$177)&gt;=$S117),$V117,$U117)))=Milestones!$AB$177),UPPER(TEXT(EDATE($D117,Milestones!$AA$177),"dd mmm yy"))&amp;" "&amp;Milestones!$AB$177&amp;" "&amp;Milestones!$AC$177&amp;";  ","")&amp;IF(AND(EDATE($D117,Milestones!$AA$178)&lt;=AsOfDate,IF($R117=0,$X117,IF(AND($T117&lt;&gt;"",EDATE($D117,Milestones!$AA$178)&gt;=$T117),$W117,IF(AND($S117&lt;&gt;"",EDATE($D117,Milestones!$AA$178)&gt;=$S117),$V117,$U117)))=Milestones!$AB$178),UPPER(TEXT(EDATE($D117,Milestones!$AA$178),"dd mmm yy"))&amp;" "&amp;Milestones!$AB$178&amp;" "&amp;Milestones!$AC$178&amp;";  ","")&amp;IF(AND(EDATE($D117,Milestones!$AA$179)&lt;=AsOfDate,IF($R117=0,$X117,IF(AND($T117&lt;&gt;"",EDATE($D117,Milestones!$AA$179)&gt;=$T117),$W117,IF(AND($S117&lt;&gt;"",EDATE($D117,Milestones!$AA$179)&gt;=$S117),$V117,$U117)))=Milestones!$AB$179),UPPER(TEXT(EDATE($D117,Milestones!$AA$179),"dd mmm yy"))&amp;" "&amp;Milestones!$AB$179&amp;" "&amp;Milestones!$AC$179&amp;";  ",""))</f>
        <v/>
      </c>
      <c r="Q117" s="0" t="str">
        <f aca="false">IF(OR($A117="",$D117=""),"",IF(AND(EDATE($D117,Milestones!$AA$180)&lt;=AsOfDate,IF($R117=0,$X117,IF(AND($T117&lt;&gt;"",EDATE($D117,Milestones!$AA$180)&gt;=$T117),$W117,IF(AND($S117&lt;&gt;"",EDATE($D117,Milestones!$AA$180)&gt;=$S117),$V117,$U117)))=Milestones!$AB$180),UPPER(TEXT(EDATE($D117,Milestones!$AA$180),"dd mmm yy"))&amp;" "&amp;Milestones!$AB$180&amp;" "&amp;Milestones!$AC$180&amp;";  ","")&amp;IF(AND(EDATE($D117,Milestones!$AA$181)&lt;=AsOfDate,IF($R117=0,$X117,IF(AND($T117&lt;&gt;"",EDATE($D117,Milestones!$AA$181)&gt;=$T117),$W117,IF(AND($S117&lt;&gt;"",EDATE($D117,Milestones!$AA$181)&gt;=$S117),$V117,$U117)))=Milestones!$AB$181),UPPER(TEXT(EDATE($D117,Milestones!$AA$181),"dd mmm yy"))&amp;" "&amp;Milestones!$AB$181&amp;" "&amp;Milestones!$AC$181&amp;";  ","")&amp;IF(AND(EDATE($D117,Milestones!$AA$182)&lt;=AsOfDate,IF($R117=0,$X117,IF(AND($T117&lt;&gt;"",EDATE($D117,Milestones!$AA$182)&gt;=$T117),$W117,IF(AND($S117&lt;&gt;"",EDATE($D117,Milestones!$AA$182)&gt;=$S117),$V117,$U117)))=Milestones!$AB$182),UPPER(TEXT(EDATE($D117,Milestones!$AA$182),"dd mmm yy"))&amp;" "&amp;Milestones!$AB$182&amp;" "&amp;Milestones!$AC$182&amp;";  ","")&amp;IF(AND(EDATE($D117,Milestones!$AA$183)&lt;=AsOfDate,IF($R117=0,$X117,IF(AND($T117&lt;&gt;"",EDATE($D117,Milestones!$AA$183)&gt;=$T117),$W117,IF(AND($S117&lt;&gt;"",EDATE($D117,Milestones!$AA$183)&gt;=$S117),$V117,$U117)))=Milestones!$AB$183),UPPER(TEXT(EDATE($D117,Milestones!$AA$183),"dd mmm yy"))&amp;" "&amp;Milestones!$AB$183&amp;" "&amp;Milestones!$AC$183&amp;";  ","")&amp;IF(AND(EDATE($D117,Milestones!$AA$184)&lt;=AsOfDate,IF($R117=0,$X117,IF(AND($T117&lt;&gt;"",EDATE($D117,Milestones!$AA$184)&gt;=$T117),$W117,IF(AND($S117&lt;&gt;"",EDATE($D117,Milestones!$AA$184)&gt;=$S117),$V117,$U117)))=Milestones!$AB$184),UPPER(TEXT(EDATE($D117,Milestones!$AA$184),"dd mmm yy"))&amp;" "&amp;Milestones!$AB$184&amp;" "&amp;Milestones!$AC$184&amp;";  ","")&amp;IF(AND(EDATE($D117,Milestones!$AA$185)&lt;=AsOfDate,IF($R117=0,$X117,IF(AND($T117&lt;&gt;"",EDATE($D117,Milestones!$AA$185)&gt;=$T117),$W117,IF(AND($S117&lt;&gt;"",EDATE($D117,Milestones!$AA$185)&gt;=$S117),$V117,$U117)))=Milestones!$AB$185),UPPER(TEXT(EDATE($D117,Milestones!$AA$185),"dd mmm yy"))&amp;" "&amp;Milestones!$AB$185&amp;" "&amp;Milestones!$AC$185&amp;";  ","")&amp;IF(AND(EDATE($D117,Milestones!$AA$186)&lt;=AsOfDate,IF($R117=0,$X117,IF(AND($T117&lt;&gt;"",EDATE($D117,Milestones!$AA$186)&gt;=$T117),$W117,IF(AND($S117&lt;&gt;"",EDATE($D117,Milestones!$AA$186)&gt;=$S117),$V117,$U117)))=Milestones!$AB$186),UPPER(TEXT(EDATE($D117,Milestones!$AA$186),"dd mmm yy"))&amp;" "&amp;Milestones!$AB$186&amp;" "&amp;Milestones!$AC$186&amp;";  ","")&amp;IF(AND(EDATE($D117,Milestones!$AA$187)&lt;=AsOfDate,IF($R117=0,$X117,IF(AND($T117&lt;&gt;"",EDATE($D117,Milestones!$AA$187)&gt;=$T117),$W117,IF(AND($S117&lt;&gt;"",EDATE($D117,Milestones!$AA$187)&gt;=$S117),$V117,$U117)))=Milestones!$AB$187),UPPER(TEXT(EDATE($D117,Milestones!$AA$187),"dd mmm yy"))&amp;" "&amp;Milestones!$AB$187&amp;" "&amp;Milestones!$AC$187&amp;";  ","")&amp;IF(AND(EDATE($D117,Milestones!$AA$188)&lt;=AsOfDate,IF($R117=0,$X117,IF(AND($T117&lt;&gt;"",EDATE($D117,Milestones!$AA$188)&gt;=$T117),$W117,IF(AND($S117&lt;&gt;"",EDATE($D117,Milestones!$AA$188)&gt;=$S117),$V117,$U117)))=Milestones!$AB$188),UPPER(TEXT(EDATE($D117,Milestones!$AA$188),"dd mmm yy"))&amp;" "&amp;Milestones!$AB$188&amp;" "&amp;Milestones!$AC$188&amp;";  ","")&amp;IF(AND(EDATE($D117,Milestones!$AA$189)&lt;=AsOfDate,IF($R117=0,$X117,IF(AND($T117&lt;&gt;"",EDATE($D117,Milestones!$AA$189)&gt;=$T117),$W117,IF(AND($S117&lt;&gt;"",EDATE($D117,Milestones!$AA$189)&gt;=$S117),$V117,$U117)))=Milestones!$AB$189),UPPER(TEXT(EDATE($D117,Milestones!$AA$189),"dd mmm yy"))&amp;" "&amp;Milestones!$AB$189&amp;" "&amp;Milestones!$AC$189&amp;";  ","")&amp;IF(AND(EDATE($D117,Milestones!$AA$190)&lt;=AsOfDate,IF($R117=0,$X117,IF(AND($T117&lt;&gt;"",EDATE($D117,Milestones!$AA$190)&gt;=$T117),$W117,IF(AND($S117&lt;&gt;"",EDATE($D117,Milestones!$AA$190)&gt;=$S117),$V117,$U117)))=Milestones!$AB$190),UPPER(TEXT(EDATE($D117,Milestones!$AA$190),"dd mmm yy"))&amp;" "&amp;Milestones!$AB$190&amp;" "&amp;Milestones!$AC$190&amp;";  ","")&amp;IF(AND(EDATE($D117,Milestones!$AA$191)&lt;=AsOfDate,IF($R117=0,$X117,IF(AND($T117&lt;&gt;"",EDATE($D117,Milestones!$AA$191)&gt;=$T117),$W117,IF(AND($S117&lt;&gt;"",EDATE($D117,Milestones!$AA$191)&gt;=$S117),$V117,$U117)))=Milestones!$AB$191),UPPER(TEXT(EDATE($D117,Milestones!$AA$191),"dd mmm yy"))&amp;" "&amp;Milestones!$AB$191&amp;" "&amp;Milestones!$AC$191&amp;";  ","")&amp;IF(AND(EDATE($D117,Milestones!$AA$192)&lt;=AsOfDate,IF($R117=0,$X117,IF(AND($T117&lt;&gt;"",EDATE($D117,Milestones!$AA$192)&gt;=$T117),$W117,IF(AND($S117&lt;&gt;"",EDATE($D117,Milestones!$AA$192)&gt;=$S117),$V117,$U117)))=Milestones!$AB$192),UPPER(TEXT(EDATE($D117,Milestones!$AA$192),"dd mmm yy"))&amp;" "&amp;Milestones!$AB$192&amp;" "&amp;Milestones!$AC$192&amp;";  ","")&amp;IF(AND(EDATE($D117,Milestones!$AA$193)&lt;=AsOfDate,IF($R117=0,$X117,IF(AND($T117&lt;&gt;"",EDATE($D117,Milestones!$AA$193)&gt;=$T117),$W117,IF(AND($S117&lt;&gt;"",EDATE($D117,Milestones!$AA$193)&gt;=$S117),$V117,$U117)))=Milestones!$AB$193),UPPER(TEXT(EDATE($D117,Milestones!$AA$193),"dd mmm yy"))&amp;" "&amp;Milestones!$AB$193&amp;" "&amp;Milestones!$AC$193&amp;";  ","")&amp;IF(AND(EDATE($D117,Milestones!$AA$194)&lt;=AsOfDate,IF($R117=0,$X117,IF(AND($T117&lt;&gt;"",EDATE($D117,Milestones!$AA$194)&gt;=$T117),$W117,IF(AND($S117&lt;&gt;"",EDATE($D117,Milestones!$AA$194)&gt;=$S117),$V117,$U117)))=Milestones!$AB$194),UPPER(TEXT(EDATE($D117,Milestones!$AA$194),"dd mmm yy"))&amp;" "&amp;Milestones!$AB$194&amp;" "&amp;Milestones!$AC$194&amp;";  ","")&amp;IF(AND(EDATE($D117,Milestones!$AA$195)&lt;=AsOfDate,IF($R117=0,$X117,IF(AND($T117&lt;&gt;"",EDATE($D117,Milestones!$AA$195)&gt;=$T117),$W117,IF(AND($S117&lt;&gt;"",EDATE($D117,Milestones!$AA$195)&gt;=$S117),$V117,$U117)))=Milestones!$AB$195),UPPER(TEXT(EDATE($D117,Milestones!$AA$195),"dd mmm yy"))&amp;" "&amp;Milestones!$AB$195&amp;" "&amp;Milestones!$AC$195&amp;";  ","")&amp;IF(AND(EDATE($D117,Milestones!$AA$196)&lt;=AsOfDate,IF($R117=0,$X117,IF(AND($T117&lt;&gt;"",EDATE($D117,Milestones!$AA$196)&gt;=$T117),$W117,IF(AND($S117&lt;&gt;"",EDATE($D117,Milestones!$AA$196)&gt;=$S117),$V117,$U117)))=Milestones!$AB$196),UPPER(TEXT(EDATE($D117,Milestones!$AA$196),"dd mmm yy"))&amp;" "&amp;Milestones!$AB$196&amp;" "&amp;Milestones!$AC$196&amp;";  ","")&amp;IF(AND(EDATE($D117,Milestones!$AA$197)&lt;=AsOfDate,IF($R117=0,$X117,IF(AND($T117&lt;&gt;"",EDATE($D117,Milestones!$AA$197)&gt;=$T117),$W117,IF(AND($S117&lt;&gt;"",EDATE($D117,Milestones!$AA$197)&gt;=$S117),$V117,$U117)))=Milestones!$AB$197),UPPER(TEXT(EDATE($D117,Milestones!$AA$197),"dd mmm yy"))&amp;" "&amp;Milestones!$AB$197&amp;" "&amp;Milestones!$AC$197&amp;";  ","")&amp;IF(AND(EDATE($D117,Milestones!$AA$198)&lt;=AsOfDate,IF($R117=0,$X117,IF(AND($T117&lt;&gt;"",EDATE($D117,Milestones!$AA$198)&gt;=$T117),$W117,IF(AND($S117&lt;&gt;"",EDATE($D117,Milestones!$AA$198)&gt;=$S117),$V117,$U117)))=Milestones!$AB$198),UPPER(TEXT(EDATE($D117,Milestones!$AA$198),"dd mmm yy"))&amp;" "&amp;Milestones!$AB$198&amp;" "&amp;Milestones!$AC$198&amp;";  ","")&amp;IF(AND(EDATE($D117,Milestones!$AA$199)&lt;=AsOfDate,IF($R117=0,$X117,IF(AND($T117&lt;&gt;"",EDATE($D117,Milestones!$AA$199)&gt;=$T117),$W117,IF(AND($S117&lt;&gt;"",EDATE($D117,Milestones!$AA$199)&gt;=$S117),$V117,$U117)))=Milestones!$AB$199),UPPER(TEXT(EDATE($D117,Milestones!$AA$199),"dd mmm yy"))&amp;" "&amp;Milestones!$AB$199&amp;" "&amp;Milestones!$AC$199&amp;";  ",""))</f>
        <v/>
      </c>
      <c r="R117" s="0" t="str">
        <f aca="false">IF(Staff!$A117="","",Staff!$AI117)</f>
        <v/>
      </c>
      <c r="S117" s="0" t="str">
        <f aca="false">IF(Staff!$A117="","",Staff!$AK117)</f>
        <v/>
      </c>
      <c r="T117" s="0" t="str">
        <f aca="false">IF(Staff!$A117="","",Staff!$AL117)</f>
        <v/>
      </c>
      <c r="U117" s="0" t="str">
        <f aca="false">IF(Staff!$A117="","",Staff!$AP117)</f>
        <v/>
      </c>
      <c r="V117" s="0" t="str">
        <f aca="false">IF(Staff!$A117="","",Staff!$AQ117)</f>
        <v/>
      </c>
      <c r="W117" s="0" t="str">
        <f aca="false">IF(Staff!$A117="","",Staff!$AR117)</f>
        <v/>
      </c>
      <c r="X117" s="0" t="str">
        <f aca="false">IF(Staff!$A117="","",Staff!$AS117)</f>
        <v/>
      </c>
    </row>
    <row r="118" customFormat="false" ht="15" hidden="false" customHeight="false" outlineLevel="0" collapsed="false">
      <c r="A118" s="14" t="str">
        <f aca="false">IF(Staff!$A118="","",Staff!$A118)</f>
        <v/>
      </c>
      <c r="B118" s="14" t="str">
        <f aca="false">IF(Staff!$A118="","",Staff!$B118)</f>
        <v/>
      </c>
      <c r="C118" s="14" t="str">
        <f aca="false">IF(Staff!$A118="","",Staff!$C118)</f>
        <v/>
      </c>
      <c r="D118" s="12" t="str">
        <f aca="false">IF(Staff!$A118="","",Staff!$AH118)</f>
        <v/>
      </c>
      <c r="E118" s="14" t="str">
        <f aca="false">IF(Staff!$A118="","",Staff!$O118)</f>
        <v/>
      </c>
      <c r="F118" s="14" t="str">
        <f aca="false">IF(E118="","",E118*HoursPerDay)</f>
        <v/>
      </c>
      <c r="G118" s="14" t="str">
        <f aca="false">IF(Staff!$A118="","",Staff!$AE118)</f>
        <v/>
      </c>
      <c r="H118" s="26" t="str">
        <f aca="false">IF($A118="","",I118&amp;J118&amp;K118&amp;L118&amp;M118&amp;N118&amp;O118&amp;P118&amp;Q118)</f>
        <v/>
      </c>
      <c r="I118" s="0" t="str">
        <f aca="false">IF(OR($A118="",$D118=""),"",IF(AND(EDATE($D118,Milestones!$AA$20)&lt;=AsOfDate,IF($R118=0,$X118,IF(AND($T118&lt;&gt;"",EDATE($D118,Milestones!$AA$20)&gt;=$T118),$W118,IF(AND($S118&lt;&gt;"",EDATE($D118,Milestones!$AA$20)&gt;=$S118),$V118,$U118)))=Milestones!$AB$20),UPPER(TEXT(EDATE($D118,Milestones!$AA$20),"dd mmm yy"))&amp;" "&amp;Milestones!$AB$20&amp;" "&amp;Milestones!$AC$20&amp;";  ","")&amp;IF(AND(EDATE($D118,Milestones!$AA$21)&lt;=AsOfDate,IF($R118=0,$X118,IF(AND($T118&lt;&gt;"",EDATE($D118,Milestones!$AA$21)&gt;=$T118),$W118,IF(AND($S118&lt;&gt;"",EDATE($D118,Milestones!$AA$21)&gt;=$S118),$V118,$U118)))=Milestones!$AB$21),UPPER(TEXT(EDATE($D118,Milestones!$AA$21),"dd mmm yy"))&amp;" "&amp;Milestones!$AB$21&amp;" "&amp;Milestones!$AC$21&amp;";  ","")&amp;IF(AND(EDATE($D118,Milestones!$AA$22)&lt;=AsOfDate,IF($R118=0,$X118,IF(AND($T118&lt;&gt;"",EDATE($D118,Milestones!$AA$22)&gt;=$T118),$W118,IF(AND($S118&lt;&gt;"",EDATE($D118,Milestones!$AA$22)&gt;=$S118),$V118,$U118)))=Milestones!$AB$22),UPPER(TEXT(EDATE($D118,Milestones!$AA$22),"dd mmm yy"))&amp;" "&amp;Milestones!$AB$22&amp;" "&amp;Milestones!$AC$22&amp;";  ","")&amp;IF(AND(EDATE($D118,Milestones!$AA$23)&lt;=AsOfDate,IF($R118=0,$X118,IF(AND($T118&lt;&gt;"",EDATE($D118,Milestones!$AA$23)&gt;=$T118),$W118,IF(AND($S118&lt;&gt;"",EDATE($D118,Milestones!$AA$23)&gt;=$S118),$V118,$U118)))=Milestones!$AB$23),UPPER(TEXT(EDATE($D118,Milestones!$AA$23),"dd mmm yy"))&amp;" "&amp;Milestones!$AB$23&amp;" "&amp;Milestones!$AC$23&amp;";  ","")&amp;IF(AND(EDATE($D118,Milestones!$AA$24)&lt;=AsOfDate,IF($R118=0,$X118,IF(AND($T118&lt;&gt;"",EDATE($D118,Milestones!$AA$24)&gt;=$T118),$W118,IF(AND($S118&lt;&gt;"",EDATE($D118,Milestones!$AA$24)&gt;=$S118),$V118,$U118)))=Milestones!$AB$24),UPPER(TEXT(EDATE($D118,Milestones!$AA$24),"dd mmm yy"))&amp;" "&amp;Milestones!$AB$24&amp;" "&amp;Milestones!$AC$24&amp;";  ","")&amp;IF(AND(EDATE($D118,Milestones!$AA$25)&lt;=AsOfDate,IF($R118=0,$X118,IF(AND($T118&lt;&gt;"",EDATE($D118,Milestones!$AA$25)&gt;=$T118),$W118,IF(AND($S118&lt;&gt;"",EDATE($D118,Milestones!$AA$25)&gt;=$S118),$V118,$U118)))=Milestones!$AB$25),UPPER(TEXT(EDATE($D118,Milestones!$AA$25),"dd mmm yy"))&amp;" "&amp;Milestones!$AB$25&amp;" "&amp;Milestones!$AC$25&amp;";  ","")&amp;IF(AND(EDATE($D118,Milestones!$AA$26)&lt;=AsOfDate,IF($R118=0,$X118,IF(AND($T118&lt;&gt;"",EDATE($D118,Milestones!$AA$26)&gt;=$T118),$W118,IF(AND($S118&lt;&gt;"",EDATE($D118,Milestones!$AA$26)&gt;=$S118),$V118,$U118)))=Milestones!$AB$26),UPPER(TEXT(EDATE($D118,Milestones!$AA$26),"dd mmm yy"))&amp;" "&amp;Milestones!$AB$26&amp;" "&amp;Milestones!$AC$26&amp;";  ","")&amp;IF(AND(EDATE($D118,Milestones!$AA$27)&lt;=AsOfDate,IF($R118=0,$X118,IF(AND($T118&lt;&gt;"",EDATE($D118,Milestones!$AA$27)&gt;=$T118),$W118,IF(AND($S118&lt;&gt;"",EDATE($D118,Milestones!$AA$27)&gt;=$S118),$V118,$U118)))=Milestones!$AB$27),UPPER(TEXT(EDATE($D118,Milestones!$AA$27),"dd mmm yy"))&amp;" "&amp;Milestones!$AB$27&amp;" "&amp;Milestones!$AC$27&amp;";  ","")&amp;IF(AND(EDATE($D118,Milestones!$AA$28)&lt;=AsOfDate,IF($R118=0,$X118,IF(AND($T118&lt;&gt;"",EDATE($D118,Milestones!$AA$28)&gt;=$T118),$W118,IF(AND($S118&lt;&gt;"",EDATE($D118,Milestones!$AA$28)&gt;=$S118),$V118,$U118)))=Milestones!$AB$28),UPPER(TEXT(EDATE($D118,Milestones!$AA$28),"dd mmm yy"))&amp;" "&amp;Milestones!$AB$28&amp;" "&amp;Milestones!$AC$28&amp;";  ","")&amp;IF(AND(EDATE($D118,Milestones!$AA$29)&lt;=AsOfDate,IF($R118=0,$X118,IF(AND($T118&lt;&gt;"",EDATE($D118,Milestones!$AA$29)&gt;=$T118),$W118,IF(AND($S118&lt;&gt;"",EDATE($D118,Milestones!$AA$29)&gt;=$S118),$V118,$U118)))=Milestones!$AB$29),UPPER(TEXT(EDATE($D118,Milestones!$AA$29),"dd mmm yy"))&amp;" "&amp;Milestones!$AB$29&amp;" "&amp;Milestones!$AC$29&amp;";  ","")&amp;IF(AND(EDATE($D118,Milestones!$AA$30)&lt;=AsOfDate,IF($R118=0,$X118,IF(AND($T118&lt;&gt;"",EDATE($D118,Milestones!$AA$30)&gt;=$T118),$W118,IF(AND($S118&lt;&gt;"",EDATE($D118,Milestones!$AA$30)&gt;=$S118),$V118,$U118)))=Milestones!$AB$30),UPPER(TEXT(EDATE($D118,Milestones!$AA$30),"dd mmm yy"))&amp;" "&amp;Milestones!$AB$30&amp;" "&amp;Milestones!$AC$30&amp;";  ","")&amp;IF(AND(EDATE($D118,Milestones!$AA$31)&lt;=AsOfDate,IF($R118=0,$X118,IF(AND($T118&lt;&gt;"",EDATE($D118,Milestones!$AA$31)&gt;=$T118),$W118,IF(AND($S118&lt;&gt;"",EDATE($D118,Milestones!$AA$31)&gt;=$S118),$V118,$U118)))=Milestones!$AB$31),UPPER(TEXT(EDATE($D118,Milestones!$AA$31),"dd mmm yy"))&amp;" "&amp;Milestones!$AB$31&amp;" "&amp;Milestones!$AC$31&amp;";  ","")&amp;IF(AND(EDATE($D118,Milestones!$AA$32)&lt;=AsOfDate,IF($R118=0,$X118,IF(AND($T118&lt;&gt;"",EDATE($D118,Milestones!$AA$32)&gt;=$T118),$W118,IF(AND($S118&lt;&gt;"",EDATE($D118,Milestones!$AA$32)&gt;=$S118),$V118,$U118)))=Milestones!$AB$32),UPPER(TEXT(EDATE($D118,Milestones!$AA$32),"dd mmm yy"))&amp;" "&amp;Milestones!$AB$32&amp;" "&amp;Milestones!$AC$32&amp;";  ","")&amp;IF(AND(EDATE($D118,Milestones!$AA$33)&lt;=AsOfDate,IF($R118=0,$X118,IF(AND($T118&lt;&gt;"",EDATE($D118,Milestones!$AA$33)&gt;=$T118),$W118,IF(AND($S118&lt;&gt;"",EDATE($D118,Milestones!$AA$33)&gt;=$S118),$V118,$U118)))=Milestones!$AB$33),UPPER(TEXT(EDATE($D118,Milestones!$AA$33),"dd mmm yy"))&amp;" "&amp;Milestones!$AB$33&amp;" "&amp;Milestones!$AC$33&amp;";  ","")&amp;IF(AND(EDATE($D118,Milestones!$AA$34)&lt;=AsOfDate,IF($R118=0,$X118,IF(AND($T118&lt;&gt;"",EDATE($D118,Milestones!$AA$34)&gt;=$T118),$W118,IF(AND($S118&lt;&gt;"",EDATE($D118,Milestones!$AA$34)&gt;=$S118),$V118,$U118)))=Milestones!$AB$34),UPPER(TEXT(EDATE($D118,Milestones!$AA$34),"dd mmm yy"))&amp;" "&amp;Milestones!$AB$34&amp;" "&amp;Milestones!$AC$34&amp;";  ","")&amp;IF(AND(EDATE($D118,Milestones!$AA$35)&lt;=AsOfDate,IF($R118=0,$X118,IF(AND($T118&lt;&gt;"",EDATE($D118,Milestones!$AA$35)&gt;=$T118),$W118,IF(AND($S118&lt;&gt;"",EDATE($D118,Milestones!$AA$35)&gt;=$S118),$V118,$U118)))=Milestones!$AB$35),UPPER(TEXT(EDATE($D118,Milestones!$AA$35),"dd mmm yy"))&amp;" "&amp;Milestones!$AB$35&amp;" "&amp;Milestones!$AC$35&amp;";  ","")&amp;IF(AND(EDATE($D118,Milestones!$AA$36)&lt;=AsOfDate,IF($R118=0,$X118,IF(AND($T118&lt;&gt;"",EDATE($D118,Milestones!$AA$36)&gt;=$T118),$W118,IF(AND($S118&lt;&gt;"",EDATE($D118,Milestones!$AA$36)&gt;=$S118),$V118,$U118)))=Milestones!$AB$36),UPPER(TEXT(EDATE($D118,Milestones!$AA$36),"dd mmm yy"))&amp;" "&amp;Milestones!$AB$36&amp;" "&amp;Milestones!$AC$36&amp;";  ","")&amp;IF(AND(EDATE($D118,Milestones!$AA$37)&lt;=AsOfDate,IF($R118=0,$X118,IF(AND($T118&lt;&gt;"",EDATE($D118,Milestones!$AA$37)&gt;=$T118),$W118,IF(AND($S118&lt;&gt;"",EDATE($D118,Milestones!$AA$37)&gt;=$S118),$V118,$U118)))=Milestones!$AB$37),UPPER(TEXT(EDATE($D118,Milestones!$AA$37),"dd mmm yy"))&amp;" "&amp;Milestones!$AB$37&amp;" "&amp;Milestones!$AC$37&amp;";  ","")&amp;IF(AND(EDATE($D118,Milestones!$AA$38)&lt;=AsOfDate,IF($R118=0,$X118,IF(AND($T118&lt;&gt;"",EDATE($D118,Milestones!$AA$38)&gt;=$T118),$W118,IF(AND($S118&lt;&gt;"",EDATE($D118,Milestones!$AA$38)&gt;=$S118),$V118,$U118)))=Milestones!$AB$38),UPPER(TEXT(EDATE($D118,Milestones!$AA$38),"dd mmm yy"))&amp;" "&amp;Milestones!$AB$38&amp;" "&amp;Milestones!$AC$38&amp;";  ","")&amp;IF(AND(EDATE($D118,Milestones!$AA$39)&lt;=AsOfDate,IF($R118=0,$X118,IF(AND($T118&lt;&gt;"",EDATE($D118,Milestones!$AA$39)&gt;=$T118),$W118,IF(AND($S118&lt;&gt;"",EDATE($D118,Milestones!$AA$39)&gt;=$S118),$V118,$U118)))=Milestones!$AB$39),UPPER(TEXT(EDATE($D118,Milestones!$AA$39),"dd mmm yy"))&amp;" "&amp;Milestones!$AB$39&amp;" "&amp;Milestones!$AC$39&amp;";  ",""))</f>
        <v/>
      </c>
      <c r="J118" s="0" t="str">
        <f aca="false">IF(OR($A118="",$D118=""),"",IF(AND(EDATE($D118,Milestones!$AA$40)&lt;=AsOfDate,IF($R118=0,$X118,IF(AND($T118&lt;&gt;"",EDATE($D118,Milestones!$AA$40)&gt;=$T118),$W118,IF(AND($S118&lt;&gt;"",EDATE($D118,Milestones!$AA$40)&gt;=$S118),$V118,$U118)))=Milestones!$AB$40),UPPER(TEXT(EDATE($D118,Milestones!$AA$40),"dd mmm yy"))&amp;" "&amp;Milestones!$AB$40&amp;" "&amp;Milestones!$AC$40&amp;";  ","")&amp;IF(AND(EDATE($D118,Milestones!$AA$41)&lt;=AsOfDate,IF($R118=0,$X118,IF(AND($T118&lt;&gt;"",EDATE($D118,Milestones!$AA$41)&gt;=$T118),$W118,IF(AND($S118&lt;&gt;"",EDATE($D118,Milestones!$AA$41)&gt;=$S118),$V118,$U118)))=Milestones!$AB$41),UPPER(TEXT(EDATE($D118,Milestones!$AA$41),"dd mmm yy"))&amp;" "&amp;Milestones!$AB$41&amp;" "&amp;Milestones!$AC$41&amp;";  ","")&amp;IF(AND(EDATE($D118,Milestones!$AA$42)&lt;=AsOfDate,IF($R118=0,$X118,IF(AND($T118&lt;&gt;"",EDATE($D118,Milestones!$AA$42)&gt;=$T118),$W118,IF(AND($S118&lt;&gt;"",EDATE($D118,Milestones!$AA$42)&gt;=$S118),$V118,$U118)))=Milestones!$AB$42),UPPER(TEXT(EDATE($D118,Milestones!$AA$42),"dd mmm yy"))&amp;" "&amp;Milestones!$AB$42&amp;" "&amp;Milestones!$AC$42&amp;";  ","")&amp;IF(AND(EDATE($D118,Milestones!$AA$43)&lt;=AsOfDate,IF($R118=0,$X118,IF(AND($T118&lt;&gt;"",EDATE($D118,Milestones!$AA$43)&gt;=$T118),$W118,IF(AND($S118&lt;&gt;"",EDATE($D118,Milestones!$AA$43)&gt;=$S118),$V118,$U118)))=Milestones!$AB$43),UPPER(TEXT(EDATE($D118,Milestones!$AA$43),"dd mmm yy"))&amp;" "&amp;Milestones!$AB$43&amp;" "&amp;Milestones!$AC$43&amp;";  ","")&amp;IF(AND(EDATE($D118,Milestones!$AA$44)&lt;=AsOfDate,IF($R118=0,$X118,IF(AND($T118&lt;&gt;"",EDATE($D118,Milestones!$AA$44)&gt;=$T118),$W118,IF(AND($S118&lt;&gt;"",EDATE($D118,Milestones!$AA$44)&gt;=$S118),$V118,$U118)))=Milestones!$AB$44),UPPER(TEXT(EDATE($D118,Milestones!$AA$44),"dd mmm yy"))&amp;" "&amp;Milestones!$AB$44&amp;" "&amp;Milestones!$AC$44&amp;";  ","")&amp;IF(AND(EDATE($D118,Milestones!$AA$45)&lt;=AsOfDate,IF($R118=0,$X118,IF(AND($T118&lt;&gt;"",EDATE($D118,Milestones!$AA$45)&gt;=$T118),$W118,IF(AND($S118&lt;&gt;"",EDATE($D118,Milestones!$AA$45)&gt;=$S118),$V118,$U118)))=Milestones!$AB$45),UPPER(TEXT(EDATE($D118,Milestones!$AA$45),"dd mmm yy"))&amp;" "&amp;Milestones!$AB$45&amp;" "&amp;Milestones!$AC$45&amp;";  ","")&amp;IF(AND(EDATE($D118,Milestones!$AA$46)&lt;=AsOfDate,IF($R118=0,$X118,IF(AND($T118&lt;&gt;"",EDATE($D118,Milestones!$AA$46)&gt;=$T118),$W118,IF(AND($S118&lt;&gt;"",EDATE($D118,Milestones!$AA$46)&gt;=$S118),$V118,$U118)))=Milestones!$AB$46),UPPER(TEXT(EDATE($D118,Milestones!$AA$46),"dd mmm yy"))&amp;" "&amp;Milestones!$AB$46&amp;" "&amp;Milestones!$AC$46&amp;";  ","")&amp;IF(AND(EDATE($D118,Milestones!$AA$47)&lt;=AsOfDate,IF($R118=0,$X118,IF(AND($T118&lt;&gt;"",EDATE($D118,Milestones!$AA$47)&gt;=$T118),$W118,IF(AND($S118&lt;&gt;"",EDATE($D118,Milestones!$AA$47)&gt;=$S118),$V118,$U118)))=Milestones!$AB$47),UPPER(TEXT(EDATE($D118,Milestones!$AA$47),"dd mmm yy"))&amp;" "&amp;Milestones!$AB$47&amp;" "&amp;Milestones!$AC$47&amp;";  ","")&amp;IF(AND(EDATE($D118,Milestones!$AA$48)&lt;=AsOfDate,IF($R118=0,$X118,IF(AND($T118&lt;&gt;"",EDATE($D118,Milestones!$AA$48)&gt;=$T118),$W118,IF(AND($S118&lt;&gt;"",EDATE($D118,Milestones!$AA$48)&gt;=$S118),$V118,$U118)))=Milestones!$AB$48),UPPER(TEXT(EDATE($D118,Milestones!$AA$48),"dd mmm yy"))&amp;" "&amp;Milestones!$AB$48&amp;" "&amp;Milestones!$AC$48&amp;";  ","")&amp;IF(AND(EDATE($D118,Milestones!$AA$49)&lt;=AsOfDate,IF($R118=0,$X118,IF(AND($T118&lt;&gt;"",EDATE($D118,Milestones!$AA$49)&gt;=$T118),$W118,IF(AND($S118&lt;&gt;"",EDATE($D118,Milestones!$AA$49)&gt;=$S118),$V118,$U118)))=Milestones!$AB$49),UPPER(TEXT(EDATE($D118,Milestones!$AA$49),"dd mmm yy"))&amp;" "&amp;Milestones!$AB$49&amp;" "&amp;Milestones!$AC$49&amp;";  ","")&amp;IF(AND(EDATE($D118,Milestones!$AA$50)&lt;=AsOfDate,IF($R118=0,$X118,IF(AND($T118&lt;&gt;"",EDATE($D118,Milestones!$AA$50)&gt;=$T118),$W118,IF(AND($S118&lt;&gt;"",EDATE($D118,Milestones!$AA$50)&gt;=$S118),$V118,$U118)))=Milestones!$AB$50),UPPER(TEXT(EDATE($D118,Milestones!$AA$50),"dd mmm yy"))&amp;" "&amp;Milestones!$AB$50&amp;" "&amp;Milestones!$AC$50&amp;";  ","")&amp;IF(AND(EDATE($D118,Milestones!$AA$51)&lt;=AsOfDate,IF($R118=0,$X118,IF(AND($T118&lt;&gt;"",EDATE($D118,Milestones!$AA$51)&gt;=$T118),$W118,IF(AND($S118&lt;&gt;"",EDATE($D118,Milestones!$AA$51)&gt;=$S118),$V118,$U118)))=Milestones!$AB$51),UPPER(TEXT(EDATE($D118,Milestones!$AA$51),"dd mmm yy"))&amp;" "&amp;Milestones!$AB$51&amp;" "&amp;Milestones!$AC$51&amp;";  ","")&amp;IF(AND(EDATE($D118,Milestones!$AA$52)&lt;=AsOfDate,IF($R118=0,$X118,IF(AND($T118&lt;&gt;"",EDATE($D118,Milestones!$AA$52)&gt;=$T118),$W118,IF(AND($S118&lt;&gt;"",EDATE($D118,Milestones!$AA$52)&gt;=$S118),$V118,$U118)))=Milestones!$AB$52),UPPER(TEXT(EDATE($D118,Milestones!$AA$52),"dd mmm yy"))&amp;" "&amp;Milestones!$AB$52&amp;" "&amp;Milestones!$AC$52&amp;";  ","")&amp;IF(AND(EDATE($D118,Milestones!$AA$53)&lt;=AsOfDate,IF($R118=0,$X118,IF(AND($T118&lt;&gt;"",EDATE($D118,Milestones!$AA$53)&gt;=$T118),$W118,IF(AND($S118&lt;&gt;"",EDATE($D118,Milestones!$AA$53)&gt;=$S118),$V118,$U118)))=Milestones!$AB$53),UPPER(TEXT(EDATE($D118,Milestones!$AA$53),"dd mmm yy"))&amp;" "&amp;Milestones!$AB$53&amp;" "&amp;Milestones!$AC$53&amp;";  ","")&amp;IF(AND(EDATE($D118,Milestones!$AA$54)&lt;=AsOfDate,IF($R118=0,$X118,IF(AND($T118&lt;&gt;"",EDATE($D118,Milestones!$AA$54)&gt;=$T118),$W118,IF(AND($S118&lt;&gt;"",EDATE($D118,Milestones!$AA$54)&gt;=$S118),$V118,$U118)))=Milestones!$AB$54),UPPER(TEXT(EDATE($D118,Milestones!$AA$54),"dd mmm yy"))&amp;" "&amp;Milestones!$AB$54&amp;" "&amp;Milestones!$AC$54&amp;";  ","")&amp;IF(AND(EDATE($D118,Milestones!$AA$55)&lt;=AsOfDate,IF($R118=0,$X118,IF(AND($T118&lt;&gt;"",EDATE($D118,Milestones!$AA$55)&gt;=$T118),$W118,IF(AND($S118&lt;&gt;"",EDATE($D118,Milestones!$AA$55)&gt;=$S118),$V118,$U118)))=Milestones!$AB$55),UPPER(TEXT(EDATE($D118,Milestones!$AA$55),"dd mmm yy"))&amp;" "&amp;Milestones!$AB$55&amp;" "&amp;Milestones!$AC$55&amp;";  ","")&amp;IF(AND(EDATE($D118,Milestones!$AA$56)&lt;=AsOfDate,IF($R118=0,$X118,IF(AND($T118&lt;&gt;"",EDATE($D118,Milestones!$AA$56)&gt;=$T118),$W118,IF(AND($S118&lt;&gt;"",EDATE($D118,Milestones!$AA$56)&gt;=$S118),$V118,$U118)))=Milestones!$AB$56),UPPER(TEXT(EDATE($D118,Milestones!$AA$56),"dd mmm yy"))&amp;" "&amp;Milestones!$AB$56&amp;" "&amp;Milestones!$AC$56&amp;";  ","")&amp;IF(AND(EDATE($D118,Milestones!$AA$57)&lt;=AsOfDate,IF($R118=0,$X118,IF(AND($T118&lt;&gt;"",EDATE($D118,Milestones!$AA$57)&gt;=$T118),$W118,IF(AND($S118&lt;&gt;"",EDATE($D118,Milestones!$AA$57)&gt;=$S118),$V118,$U118)))=Milestones!$AB$57),UPPER(TEXT(EDATE($D118,Milestones!$AA$57),"dd mmm yy"))&amp;" "&amp;Milestones!$AB$57&amp;" "&amp;Milestones!$AC$57&amp;";  ","")&amp;IF(AND(EDATE($D118,Milestones!$AA$58)&lt;=AsOfDate,IF($R118=0,$X118,IF(AND($T118&lt;&gt;"",EDATE($D118,Milestones!$AA$58)&gt;=$T118),$W118,IF(AND($S118&lt;&gt;"",EDATE($D118,Milestones!$AA$58)&gt;=$S118),$V118,$U118)))=Milestones!$AB$58),UPPER(TEXT(EDATE($D118,Milestones!$AA$58),"dd mmm yy"))&amp;" "&amp;Milestones!$AB$58&amp;" "&amp;Milestones!$AC$58&amp;";  ","")&amp;IF(AND(EDATE($D118,Milestones!$AA$59)&lt;=AsOfDate,IF($R118=0,$X118,IF(AND($T118&lt;&gt;"",EDATE($D118,Milestones!$AA$59)&gt;=$T118),$W118,IF(AND($S118&lt;&gt;"",EDATE($D118,Milestones!$AA$59)&gt;=$S118),$V118,$U118)))=Milestones!$AB$59),UPPER(TEXT(EDATE($D118,Milestones!$AA$59),"dd mmm yy"))&amp;" "&amp;Milestones!$AB$59&amp;" "&amp;Milestones!$AC$59&amp;";  ",""))</f>
        <v/>
      </c>
      <c r="K118" s="0" t="str">
        <f aca="false">IF(OR($A118="",$D118=""),"",IF(AND(EDATE($D118,Milestones!$AA$60)&lt;=AsOfDate,IF($R118=0,$X118,IF(AND($T118&lt;&gt;"",EDATE($D118,Milestones!$AA$60)&gt;=$T118),$W118,IF(AND($S118&lt;&gt;"",EDATE($D118,Milestones!$AA$60)&gt;=$S118),$V118,$U118)))=Milestones!$AB$60),UPPER(TEXT(EDATE($D118,Milestones!$AA$60),"dd mmm yy"))&amp;" "&amp;Milestones!$AB$60&amp;" "&amp;Milestones!$AC$60&amp;";  ","")&amp;IF(AND(EDATE($D118,Milestones!$AA$61)&lt;=AsOfDate,IF($R118=0,$X118,IF(AND($T118&lt;&gt;"",EDATE($D118,Milestones!$AA$61)&gt;=$T118),$W118,IF(AND($S118&lt;&gt;"",EDATE($D118,Milestones!$AA$61)&gt;=$S118),$V118,$U118)))=Milestones!$AB$61),UPPER(TEXT(EDATE($D118,Milestones!$AA$61),"dd mmm yy"))&amp;" "&amp;Milestones!$AB$61&amp;" "&amp;Milestones!$AC$61&amp;";  ","")&amp;IF(AND(EDATE($D118,Milestones!$AA$62)&lt;=AsOfDate,IF($R118=0,$X118,IF(AND($T118&lt;&gt;"",EDATE($D118,Milestones!$AA$62)&gt;=$T118),$W118,IF(AND($S118&lt;&gt;"",EDATE($D118,Milestones!$AA$62)&gt;=$S118),$V118,$U118)))=Milestones!$AB$62),UPPER(TEXT(EDATE($D118,Milestones!$AA$62),"dd mmm yy"))&amp;" "&amp;Milestones!$AB$62&amp;" "&amp;Milestones!$AC$62&amp;";  ","")&amp;IF(AND(EDATE($D118,Milestones!$AA$63)&lt;=AsOfDate,IF($R118=0,$X118,IF(AND($T118&lt;&gt;"",EDATE($D118,Milestones!$AA$63)&gt;=$T118),$W118,IF(AND($S118&lt;&gt;"",EDATE($D118,Milestones!$AA$63)&gt;=$S118),$V118,$U118)))=Milestones!$AB$63),UPPER(TEXT(EDATE($D118,Milestones!$AA$63),"dd mmm yy"))&amp;" "&amp;Milestones!$AB$63&amp;" "&amp;Milestones!$AC$63&amp;";  ","")&amp;IF(AND(EDATE($D118,Milestones!$AA$64)&lt;=AsOfDate,IF($R118=0,$X118,IF(AND($T118&lt;&gt;"",EDATE($D118,Milestones!$AA$64)&gt;=$T118),$W118,IF(AND($S118&lt;&gt;"",EDATE($D118,Milestones!$AA$64)&gt;=$S118),$V118,$U118)))=Milestones!$AB$64),UPPER(TEXT(EDATE($D118,Milestones!$AA$64),"dd mmm yy"))&amp;" "&amp;Milestones!$AB$64&amp;" "&amp;Milestones!$AC$64&amp;";  ","")&amp;IF(AND(EDATE($D118,Milestones!$AA$65)&lt;=AsOfDate,IF($R118=0,$X118,IF(AND($T118&lt;&gt;"",EDATE($D118,Milestones!$AA$65)&gt;=$T118),$W118,IF(AND($S118&lt;&gt;"",EDATE($D118,Milestones!$AA$65)&gt;=$S118),$V118,$U118)))=Milestones!$AB$65),UPPER(TEXT(EDATE($D118,Milestones!$AA$65),"dd mmm yy"))&amp;" "&amp;Milestones!$AB$65&amp;" "&amp;Milestones!$AC$65&amp;";  ","")&amp;IF(AND(EDATE($D118,Milestones!$AA$66)&lt;=AsOfDate,IF($R118=0,$X118,IF(AND($T118&lt;&gt;"",EDATE($D118,Milestones!$AA$66)&gt;=$T118),$W118,IF(AND($S118&lt;&gt;"",EDATE($D118,Milestones!$AA$66)&gt;=$S118),$V118,$U118)))=Milestones!$AB$66),UPPER(TEXT(EDATE($D118,Milestones!$AA$66),"dd mmm yy"))&amp;" "&amp;Milestones!$AB$66&amp;" "&amp;Milestones!$AC$66&amp;";  ","")&amp;IF(AND(EDATE($D118,Milestones!$AA$67)&lt;=AsOfDate,IF($R118=0,$X118,IF(AND($T118&lt;&gt;"",EDATE($D118,Milestones!$AA$67)&gt;=$T118),$W118,IF(AND($S118&lt;&gt;"",EDATE($D118,Milestones!$AA$67)&gt;=$S118),$V118,$U118)))=Milestones!$AB$67),UPPER(TEXT(EDATE($D118,Milestones!$AA$67),"dd mmm yy"))&amp;" "&amp;Milestones!$AB$67&amp;" "&amp;Milestones!$AC$67&amp;";  ","")&amp;IF(AND(EDATE($D118,Milestones!$AA$68)&lt;=AsOfDate,IF($R118=0,$X118,IF(AND($T118&lt;&gt;"",EDATE($D118,Milestones!$AA$68)&gt;=$T118),$W118,IF(AND($S118&lt;&gt;"",EDATE($D118,Milestones!$AA$68)&gt;=$S118),$V118,$U118)))=Milestones!$AB$68),UPPER(TEXT(EDATE($D118,Milestones!$AA$68),"dd mmm yy"))&amp;" "&amp;Milestones!$AB$68&amp;" "&amp;Milestones!$AC$68&amp;";  ","")&amp;IF(AND(EDATE($D118,Milestones!$AA$69)&lt;=AsOfDate,IF($R118=0,$X118,IF(AND($T118&lt;&gt;"",EDATE($D118,Milestones!$AA$69)&gt;=$T118),$W118,IF(AND($S118&lt;&gt;"",EDATE($D118,Milestones!$AA$69)&gt;=$S118),$V118,$U118)))=Milestones!$AB$69),UPPER(TEXT(EDATE($D118,Milestones!$AA$69),"dd mmm yy"))&amp;" "&amp;Milestones!$AB$69&amp;" "&amp;Milestones!$AC$69&amp;";  ","")&amp;IF(AND(EDATE($D118,Milestones!$AA$70)&lt;=AsOfDate,IF($R118=0,$X118,IF(AND($T118&lt;&gt;"",EDATE($D118,Milestones!$AA$70)&gt;=$T118),$W118,IF(AND($S118&lt;&gt;"",EDATE($D118,Milestones!$AA$70)&gt;=$S118),$V118,$U118)))=Milestones!$AB$70),UPPER(TEXT(EDATE($D118,Milestones!$AA$70),"dd mmm yy"))&amp;" "&amp;Milestones!$AB$70&amp;" "&amp;Milestones!$AC$70&amp;";  ","")&amp;IF(AND(EDATE($D118,Milestones!$AA$71)&lt;=AsOfDate,IF($R118=0,$X118,IF(AND($T118&lt;&gt;"",EDATE($D118,Milestones!$AA$71)&gt;=$T118),$W118,IF(AND($S118&lt;&gt;"",EDATE($D118,Milestones!$AA$71)&gt;=$S118),$V118,$U118)))=Milestones!$AB$71),UPPER(TEXT(EDATE($D118,Milestones!$AA$71),"dd mmm yy"))&amp;" "&amp;Milestones!$AB$71&amp;" "&amp;Milestones!$AC$71&amp;";  ","")&amp;IF(AND(EDATE($D118,Milestones!$AA$72)&lt;=AsOfDate,IF($R118=0,$X118,IF(AND($T118&lt;&gt;"",EDATE($D118,Milestones!$AA$72)&gt;=$T118),$W118,IF(AND($S118&lt;&gt;"",EDATE($D118,Milestones!$AA$72)&gt;=$S118),$V118,$U118)))=Milestones!$AB$72),UPPER(TEXT(EDATE($D118,Milestones!$AA$72),"dd mmm yy"))&amp;" "&amp;Milestones!$AB$72&amp;" "&amp;Milestones!$AC$72&amp;";  ","")&amp;IF(AND(EDATE($D118,Milestones!$AA$73)&lt;=AsOfDate,IF($R118=0,$X118,IF(AND($T118&lt;&gt;"",EDATE($D118,Milestones!$AA$73)&gt;=$T118),$W118,IF(AND($S118&lt;&gt;"",EDATE($D118,Milestones!$AA$73)&gt;=$S118),$V118,$U118)))=Milestones!$AB$73),UPPER(TEXT(EDATE($D118,Milestones!$AA$73),"dd mmm yy"))&amp;" "&amp;Milestones!$AB$73&amp;" "&amp;Milestones!$AC$73&amp;";  ","")&amp;IF(AND(EDATE($D118,Milestones!$AA$74)&lt;=AsOfDate,IF($R118=0,$X118,IF(AND($T118&lt;&gt;"",EDATE($D118,Milestones!$AA$74)&gt;=$T118),$W118,IF(AND($S118&lt;&gt;"",EDATE($D118,Milestones!$AA$74)&gt;=$S118),$V118,$U118)))=Milestones!$AB$74),UPPER(TEXT(EDATE($D118,Milestones!$AA$74),"dd mmm yy"))&amp;" "&amp;Milestones!$AB$74&amp;" "&amp;Milestones!$AC$74&amp;";  ","")&amp;IF(AND(EDATE($D118,Milestones!$AA$75)&lt;=AsOfDate,IF($R118=0,$X118,IF(AND($T118&lt;&gt;"",EDATE($D118,Milestones!$AA$75)&gt;=$T118),$W118,IF(AND($S118&lt;&gt;"",EDATE($D118,Milestones!$AA$75)&gt;=$S118),$V118,$U118)))=Milestones!$AB$75),UPPER(TEXT(EDATE($D118,Milestones!$AA$75),"dd mmm yy"))&amp;" "&amp;Milestones!$AB$75&amp;" "&amp;Milestones!$AC$75&amp;";  ","")&amp;IF(AND(EDATE($D118,Milestones!$AA$76)&lt;=AsOfDate,IF($R118=0,$X118,IF(AND($T118&lt;&gt;"",EDATE($D118,Milestones!$AA$76)&gt;=$T118),$W118,IF(AND($S118&lt;&gt;"",EDATE($D118,Milestones!$AA$76)&gt;=$S118),$V118,$U118)))=Milestones!$AB$76),UPPER(TEXT(EDATE($D118,Milestones!$AA$76),"dd mmm yy"))&amp;" "&amp;Milestones!$AB$76&amp;" "&amp;Milestones!$AC$76&amp;";  ","")&amp;IF(AND(EDATE($D118,Milestones!$AA$77)&lt;=AsOfDate,IF($R118=0,$X118,IF(AND($T118&lt;&gt;"",EDATE($D118,Milestones!$AA$77)&gt;=$T118),$W118,IF(AND($S118&lt;&gt;"",EDATE($D118,Milestones!$AA$77)&gt;=$S118),$V118,$U118)))=Milestones!$AB$77),UPPER(TEXT(EDATE($D118,Milestones!$AA$77),"dd mmm yy"))&amp;" "&amp;Milestones!$AB$77&amp;" "&amp;Milestones!$AC$77&amp;";  ","")&amp;IF(AND(EDATE($D118,Milestones!$AA$78)&lt;=AsOfDate,IF($R118=0,$X118,IF(AND($T118&lt;&gt;"",EDATE($D118,Milestones!$AA$78)&gt;=$T118),$W118,IF(AND($S118&lt;&gt;"",EDATE($D118,Milestones!$AA$78)&gt;=$S118),$V118,$U118)))=Milestones!$AB$78),UPPER(TEXT(EDATE($D118,Milestones!$AA$78),"dd mmm yy"))&amp;" "&amp;Milestones!$AB$78&amp;" "&amp;Milestones!$AC$78&amp;";  ","")&amp;IF(AND(EDATE($D118,Milestones!$AA$79)&lt;=AsOfDate,IF($R118=0,$X118,IF(AND($T118&lt;&gt;"",EDATE($D118,Milestones!$AA$79)&gt;=$T118),$W118,IF(AND($S118&lt;&gt;"",EDATE($D118,Milestones!$AA$79)&gt;=$S118),$V118,$U118)))=Milestones!$AB$79),UPPER(TEXT(EDATE($D118,Milestones!$AA$79),"dd mmm yy"))&amp;" "&amp;Milestones!$AB$79&amp;" "&amp;Milestones!$AC$79&amp;";  ",""))</f>
        <v/>
      </c>
      <c r="L118" s="0" t="str">
        <f aca="false">IF(OR($A118="",$D118=""),"",IF(AND(EDATE($D118,Milestones!$AA$80)&lt;=AsOfDate,IF($R118=0,$X118,IF(AND($T118&lt;&gt;"",EDATE($D118,Milestones!$AA$80)&gt;=$T118),$W118,IF(AND($S118&lt;&gt;"",EDATE($D118,Milestones!$AA$80)&gt;=$S118),$V118,$U118)))=Milestones!$AB$80),UPPER(TEXT(EDATE($D118,Milestones!$AA$80),"dd mmm yy"))&amp;" "&amp;Milestones!$AB$80&amp;" "&amp;Milestones!$AC$80&amp;";  ","")&amp;IF(AND(EDATE($D118,Milestones!$AA$81)&lt;=AsOfDate,IF($R118=0,$X118,IF(AND($T118&lt;&gt;"",EDATE($D118,Milestones!$AA$81)&gt;=$T118),$W118,IF(AND($S118&lt;&gt;"",EDATE($D118,Milestones!$AA$81)&gt;=$S118),$V118,$U118)))=Milestones!$AB$81),UPPER(TEXT(EDATE($D118,Milestones!$AA$81),"dd mmm yy"))&amp;" "&amp;Milestones!$AB$81&amp;" "&amp;Milestones!$AC$81&amp;";  ","")&amp;IF(AND(EDATE($D118,Milestones!$AA$82)&lt;=AsOfDate,IF($R118=0,$X118,IF(AND($T118&lt;&gt;"",EDATE($D118,Milestones!$AA$82)&gt;=$T118),$W118,IF(AND($S118&lt;&gt;"",EDATE($D118,Milestones!$AA$82)&gt;=$S118),$V118,$U118)))=Milestones!$AB$82),UPPER(TEXT(EDATE($D118,Milestones!$AA$82),"dd mmm yy"))&amp;" "&amp;Milestones!$AB$82&amp;" "&amp;Milestones!$AC$82&amp;";  ","")&amp;IF(AND(EDATE($D118,Milestones!$AA$83)&lt;=AsOfDate,IF($R118=0,$X118,IF(AND($T118&lt;&gt;"",EDATE($D118,Milestones!$AA$83)&gt;=$T118),$W118,IF(AND($S118&lt;&gt;"",EDATE($D118,Milestones!$AA$83)&gt;=$S118),$V118,$U118)))=Milestones!$AB$83),UPPER(TEXT(EDATE($D118,Milestones!$AA$83),"dd mmm yy"))&amp;" "&amp;Milestones!$AB$83&amp;" "&amp;Milestones!$AC$83&amp;";  ","")&amp;IF(AND(EDATE($D118,Milestones!$AA$84)&lt;=AsOfDate,IF($R118=0,$X118,IF(AND($T118&lt;&gt;"",EDATE($D118,Milestones!$AA$84)&gt;=$T118),$W118,IF(AND($S118&lt;&gt;"",EDATE($D118,Milestones!$AA$84)&gt;=$S118),$V118,$U118)))=Milestones!$AB$84),UPPER(TEXT(EDATE($D118,Milestones!$AA$84),"dd mmm yy"))&amp;" "&amp;Milestones!$AB$84&amp;" "&amp;Milestones!$AC$84&amp;";  ","")&amp;IF(AND(EDATE($D118,Milestones!$AA$85)&lt;=AsOfDate,IF($R118=0,$X118,IF(AND($T118&lt;&gt;"",EDATE($D118,Milestones!$AA$85)&gt;=$T118),$W118,IF(AND($S118&lt;&gt;"",EDATE($D118,Milestones!$AA$85)&gt;=$S118),$V118,$U118)))=Milestones!$AB$85),UPPER(TEXT(EDATE($D118,Milestones!$AA$85),"dd mmm yy"))&amp;" "&amp;Milestones!$AB$85&amp;" "&amp;Milestones!$AC$85&amp;";  ","")&amp;IF(AND(EDATE($D118,Milestones!$AA$86)&lt;=AsOfDate,IF($R118=0,$X118,IF(AND($T118&lt;&gt;"",EDATE($D118,Milestones!$AA$86)&gt;=$T118),$W118,IF(AND($S118&lt;&gt;"",EDATE($D118,Milestones!$AA$86)&gt;=$S118),$V118,$U118)))=Milestones!$AB$86),UPPER(TEXT(EDATE($D118,Milestones!$AA$86),"dd mmm yy"))&amp;" "&amp;Milestones!$AB$86&amp;" "&amp;Milestones!$AC$86&amp;";  ","")&amp;IF(AND(EDATE($D118,Milestones!$AA$87)&lt;=AsOfDate,IF($R118=0,$X118,IF(AND($T118&lt;&gt;"",EDATE($D118,Milestones!$AA$87)&gt;=$T118),$W118,IF(AND($S118&lt;&gt;"",EDATE($D118,Milestones!$AA$87)&gt;=$S118),$V118,$U118)))=Milestones!$AB$87),UPPER(TEXT(EDATE($D118,Milestones!$AA$87),"dd mmm yy"))&amp;" "&amp;Milestones!$AB$87&amp;" "&amp;Milestones!$AC$87&amp;";  ","")&amp;IF(AND(EDATE($D118,Milestones!$AA$88)&lt;=AsOfDate,IF($R118=0,$X118,IF(AND($T118&lt;&gt;"",EDATE($D118,Milestones!$AA$88)&gt;=$T118),$W118,IF(AND($S118&lt;&gt;"",EDATE($D118,Milestones!$AA$88)&gt;=$S118),$V118,$U118)))=Milestones!$AB$88),UPPER(TEXT(EDATE($D118,Milestones!$AA$88),"dd mmm yy"))&amp;" "&amp;Milestones!$AB$88&amp;" "&amp;Milestones!$AC$88&amp;";  ","")&amp;IF(AND(EDATE($D118,Milestones!$AA$89)&lt;=AsOfDate,IF($R118=0,$X118,IF(AND($T118&lt;&gt;"",EDATE($D118,Milestones!$AA$89)&gt;=$T118),$W118,IF(AND($S118&lt;&gt;"",EDATE($D118,Milestones!$AA$89)&gt;=$S118),$V118,$U118)))=Milestones!$AB$89),UPPER(TEXT(EDATE($D118,Milestones!$AA$89),"dd mmm yy"))&amp;" "&amp;Milestones!$AB$89&amp;" "&amp;Milestones!$AC$89&amp;";  ","")&amp;IF(AND(EDATE($D118,Milestones!$AA$90)&lt;=AsOfDate,IF($R118=0,$X118,IF(AND($T118&lt;&gt;"",EDATE($D118,Milestones!$AA$90)&gt;=$T118),$W118,IF(AND($S118&lt;&gt;"",EDATE($D118,Milestones!$AA$90)&gt;=$S118),$V118,$U118)))=Milestones!$AB$90),UPPER(TEXT(EDATE($D118,Milestones!$AA$90),"dd mmm yy"))&amp;" "&amp;Milestones!$AB$90&amp;" "&amp;Milestones!$AC$90&amp;";  ","")&amp;IF(AND(EDATE($D118,Milestones!$AA$91)&lt;=AsOfDate,IF($R118=0,$X118,IF(AND($T118&lt;&gt;"",EDATE($D118,Milestones!$AA$91)&gt;=$T118),$W118,IF(AND($S118&lt;&gt;"",EDATE($D118,Milestones!$AA$91)&gt;=$S118),$V118,$U118)))=Milestones!$AB$91),UPPER(TEXT(EDATE($D118,Milestones!$AA$91),"dd mmm yy"))&amp;" "&amp;Milestones!$AB$91&amp;" "&amp;Milestones!$AC$91&amp;";  ","")&amp;IF(AND(EDATE($D118,Milestones!$AA$92)&lt;=AsOfDate,IF($R118=0,$X118,IF(AND($T118&lt;&gt;"",EDATE($D118,Milestones!$AA$92)&gt;=$T118),$W118,IF(AND($S118&lt;&gt;"",EDATE($D118,Milestones!$AA$92)&gt;=$S118),$V118,$U118)))=Milestones!$AB$92),UPPER(TEXT(EDATE($D118,Milestones!$AA$92),"dd mmm yy"))&amp;" "&amp;Milestones!$AB$92&amp;" "&amp;Milestones!$AC$92&amp;";  ","")&amp;IF(AND(EDATE($D118,Milestones!$AA$93)&lt;=AsOfDate,IF($R118=0,$X118,IF(AND($T118&lt;&gt;"",EDATE($D118,Milestones!$AA$93)&gt;=$T118),$W118,IF(AND($S118&lt;&gt;"",EDATE($D118,Milestones!$AA$93)&gt;=$S118),$V118,$U118)))=Milestones!$AB$93),UPPER(TEXT(EDATE($D118,Milestones!$AA$93),"dd mmm yy"))&amp;" "&amp;Milestones!$AB$93&amp;" "&amp;Milestones!$AC$93&amp;";  ","")&amp;IF(AND(EDATE($D118,Milestones!$AA$94)&lt;=AsOfDate,IF($R118=0,$X118,IF(AND($T118&lt;&gt;"",EDATE($D118,Milestones!$AA$94)&gt;=$T118),$W118,IF(AND($S118&lt;&gt;"",EDATE($D118,Milestones!$AA$94)&gt;=$S118),$V118,$U118)))=Milestones!$AB$94),UPPER(TEXT(EDATE($D118,Milestones!$AA$94),"dd mmm yy"))&amp;" "&amp;Milestones!$AB$94&amp;" "&amp;Milestones!$AC$94&amp;";  ","")&amp;IF(AND(EDATE($D118,Milestones!$AA$95)&lt;=AsOfDate,IF($R118=0,$X118,IF(AND($T118&lt;&gt;"",EDATE($D118,Milestones!$AA$95)&gt;=$T118),$W118,IF(AND($S118&lt;&gt;"",EDATE($D118,Milestones!$AA$95)&gt;=$S118),$V118,$U118)))=Milestones!$AB$95),UPPER(TEXT(EDATE($D118,Milestones!$AA$95),"dd mmm yy"))&amp;" "&amp;Milestones!$AB$95&amp;" "&amp;Milestones!$AC$95&amp;";  ","")&amp;IF(AND(EDATE($D118,Milestones!$AA$96)&lt;=AsOfDate,IF($R118=0,$X118,IF(AND($T118&lt;&gt;"",EDATE($D118,Milestones!$AA$96)&gt;=$T118),$W118,IF(AND($S118&lt;&gt;"",EDATE($D118,Milestones!$AA$96)&gt;=$S118),$V118,$U118)))=Milestones!$AB$96),UPPER(TEXT(EDATE($D118,Milestones!$AA$96),"dd mmm yy"))&amp;" "&amp;Milestones!$AB$96&amp;" "&amp;Milestones!$AC$96&amp;";  ","")&amp;IF(AND(EDATE($D118,Milestones!$AA$97)&lt;=AsOfDate,IF($R118=0,$X118,IF(AND($T118&lt;&gt;"",EDATE($D118,Milestones!$AA$97)&gt;=$T118),$W118,IF(AND($S118&lt;&gt;"",EDATE($D118,Milestones!$AA$97)&gt;=$S118),$V118,$U118)))=Milestones!$AB$97),UPPER(TEXT(EDATE($D118,Milestones!$AA$97),"dd mmm yy"))&amp;" "&amp;Milestones!$AB$97&amp;" "&amp;Milestones!$AC$97&amp;";  ","")&amp;IF(AND(EDATE($D118,Milestones!$AA$98)&lt;=AsOfDate,IF($R118=0,$X118,IF(AND($T118&lt;&gt;"",EDATE($D118,Milestones!$AA$98)&gt;=$T118),$W118,IF(AND($S118&lt;&gt;"",EDATE($D118,Milestones!$AA$98)&gt;=$S118),$V118,$U118)))=Milestones!$AB$98),UPPER(TEXT(EDATE($D118,Milestones!$AA$98),"dd mmm yy"))&amp;" "&amp;Milestones!$AB$98&amp;" "&amp;Milestones!$AC$98&amp;";  ","")&amp;IF(AND(EDATE($D118,Milestones!$AA$99)&lt;=AsOfDate,IF($R118=0,$X118,IF(AND($T118&lt;&gt;"",EDATE($D118,Milestones!$AA$99)&gt;=$T118),$W118,IF(AND($S118&lt;&gt;"",EDATE($D118,Milestones!$AA$99)&gt;=$S118),$V118,$U118)))=Milestones!$AB$99),UPPER(TEXT(EDATE($D118,Milestones!$AA$99),"dd mmm yy"))&amp;" "&amp;Milestones!$AB$99&amp;" "&amp;Milestones!$AC$99&amp;";  ",""))</f>
        <v/>
      </c>
      <c r="M118" s="0" t="str">
        <f aca="false">IF(OR($A118="",$D118=""),"",IF(AND(EDATE($D118,Milestones!$AA$100)&lt;=AsOfDate,IF($R118=0,$X118,IF(AND($T118&lt;&gt;"",EDATE($D118,Milestones!$AA$100)&gt;=$T118),$W118,IF(AND($S118&lt;&gt;"",EDATE($D118,Milestones!$AA$100)&gt;=$S118),$V118,$U118)))=Milestones!$AB$100),UPPER(TEXT(EDATE($D118,Milestones!$AA$100),"dd mmm yy"))&amp;" "&amp;Milestones!$AB$100&amp;" "&amp;Milestones!$AC$100&amp;";  ","")&amp;IF(AND(EDATE($D118,Milestones!$AA$101)&lt;=AsOfDate,IF($R118=0,$X118,IF(AND($T118&lt;&gt;"",EDATE($D118,Milestones!$AA$101)&gt;=$T118),$W118,IF(AND($S118&lt;&gt;"",EDATE($D118,Milestones!$AA$101)&gt;=$S118),$V118,$U118)))=Milestones!$AB$101),UPPER(TEXT(EDATE($D118,Milestones!$AA$101),"dd mmm yy"))&amp;" "&amp;Milestones!$AB$101&amp;" "&amp;Milestones!$AC$101&amp;";  ","")&amp;IF(AND(EDATE($D118,Milestones!$AA$102)&lt;=AsOfDate,IF($R118=0,$X118,IF(AND($T118&lt;&gt;"",EDATE($D118,Milestones!$AA$102)&gt;=$T118),$W118,IF(AND($S118&lt;&gt;"",EDATE($D118,Milestones!$AA$102)&gt;=$S118),$V118,$U118)))=Milestones!$AB$102),UPPER(TEXT(EDATE($D118,Milestones!$AA$102),"dd mmm yy"))&amp;" "&amp;Milestones!$AB$102&amp;" "&amp;Milestones!$AC$102&amp;";  ","")&amp;IF(AND(EDATE($D118,Milestones!$AA$103)&lt;=AsOfDate,IF($R118=0,$X118,IF(AND($T118&lt;&gt;"",EDATE($D118,Milestones!$AA$103)&gt;=$T118),$W118,IF(AND($S118&lt;&gt;"",EDATE($D118,Milestones!$AA$103)&gt;=$S118),$V118,$U118)))=Milestones!$AB$103),UPPER(TEXT(EDATE($D118,Milestones!$AA$103),"dd mmm yy"))&amp;" "&amp;Milestones!$AB$103&amp;" "&amp;Milestones!$AC$103&amp;";  ","")&amp;IF(AND(EDATE($D118,Milestones!$AA$104)&lt;=AsOfDate,IF($R118=0,$X118,IF(AND($T118&lt;&gt;"",EDATE($D118,Milestones!$AA$104)&gt;=$T118),$W118,IF(AND($S118&lt;&gt;"",EDATE($D118,Milestones!$AA$104)&gt;=$S118),$V118,$U118)))=Milestones!$AB$104),UPPER(TEXT(EDATE($D118,Milestones!$AA$104),"dd mmm yy"))&amp;" "&amp;Milestones!$AB$104&amp;" "&amp;Milestones!$AC$104&amp;";  ","")&amp;IF(AND(EDATE($D118,Milestones!$AA$105)&lt;=AsOfDate,IF($R118=0,$X118,IF(AND($T118&lt;&gt;"",EDATE($D118,Milestones!$AA$105)&gt;=$T118),$W118,IF(AND($S118&lt;&gt;"",EDATE($D118,Milestones!$AA$105)&gt;=$S118),$V118,$U118)))=Milestones!$AB$105),UPPER(TEXT(EDATE($D118,Milestones!$AA$105),"dd mmm yy"))&amp;" "&amp;Milestones!$AB$105&amp;" "&amp;Milestones!$AC$105&amp;";  ","")&amp;IF(AND(EDATE($D118,Milestones!$AA$106)&lt;=AsOfDate,IF($R118=0,$X118,IF(AND($T118&lt;&gt;"",EDATE($D118,Milestones!$AA$106)&gt;=$T118),$W118,IF(AND($S118&lt;&gt;"",EDATE($D118,Milestones!$AA$106)&gt;=$S118),$V118,$U118)))=Milestones!$AB$106),UPPER(TEXT(EDATE($D118,Milestones!$AA$106),"dd mmm yy"))&amp;" "&amp;Milestones!$AB$106&amp;" "&amp;Milestones!$AC$106&amp;";  ","")&amp;IF(AND(EDATE($D118,Milestones!$AA$107)&lt;=AsOfDate,IF($R118=0,$X118,IF(AND($T118&lt;&gt;"",EDATE($D118,Milestones!$AA$107)&gt;=$T118),$W118,IF(AND($S118&lt;&gt;"",EDATE($D118,Milestones!$AA$107)&gt;=$S118),$V118,$U118)))=Milestones!$AB$107),UPPER(TEXT(EDATE($D118,Milestones!$AA$107),"dd mmm yy"))&amp;" "&amp;Milestones!$AB$107&amp;" "&amp;Milestones!$AC$107&amp;";  ","")&amp;IF(AND(EDATE($D118,Milestones!$AA$108)&lt;=AsOfDate,IF($R118=0,$X118,IF(AND($T118&lt;&gt;"",EDATE($D118,Milestones!$AA$108)&gt;=$T118),$W118,IF(AND($S118&lt;&gt;"",EDATE($D118,Milestones!$AA$108)&gt;=$S118),$V118,$U118)))=Milestones!$AB$108),UPPER(TEXT(EDATE($D118,Milestones!$AA$108),"dd mmm yy"))&amp;" "&amp;Milestones!$AB$108&amp;" "&amp;Milestones!$AC$108&amp;";  ","")&amp;IF(AND(EDATE($D118,Milestones!$AA$109)&lt;=AsOfDate,IF($R118=0,$X118,IF(AND($T118&lt;&gt;"",EDATE($D118,Milestones!$AA$109)&gt;=$T118),$W118,IF(AND($S118&lt;&gt;"",EDATE($D118,Milestones!$AA$109)&gt;=$S118),$V118,$U118)))=Milestones!$AB$109),UPPER(TEXT(EDATE($D118,Milestones!$AA$109),"dd mmm yy"))&amp;" "&amp;Milestones!$AB$109&amp;" "&amp;Milestones!$AC$109&amp;";  ","")&amp;IF(AND(EDATE($D118,Milestones!$AA$110)&lt;=AsOfDate,IF($R118=0,$X118,IF(AND($T118&lt;&gt;"",EDATE($D118,Milestones!$AA$110)&gt;=$T118),$W118,IF(AND($S118&lt;&gt;"",EDATE($D118,Milestones!$AA$110)&gt;=$S118),$V118,$U118)))=Milestones!$AB$110),UPPER(TEXT(EDATE($D118,Milestones!$AA$110),"dd mmm yy"))&amp;" "&amp;Milestones!$AB$110&amp;" "&amp;Milestones!$AC$110&amp;";  ","")&amp;IF(AND(EDATE($D118,Milestones!$AA$111)&lt;=AsOfDate,IF($R118=0,$X118,IF(AND($T118&lt;&gt;"",EDATE($D118,Milestones!$AA$111)&gt;=$T118),$W118,IF(AND($S118&lt;&gt;"",EDATE($D118,Milestones!$AA$111)&gt;=$S118),$V118,$U118)))=Milestones!$AB$111),UPPER(TEXT(EDATE($D118,Milestones!$AA$111),"dd mmm yy"))&amp;" "&amp;Milestones!$AB$111&amp;" "&amp;Milestones!$AC$111&amp;";  ","")&amp;IF(AND(EDATE($D118,Milestones!$AA$112)&lt;=AsOfDate,IF($R118=0,$X118,IF(AND($T118&lt;&gt;"",EDATE($D118,Milestones!$AA$112)&gt;=$T118),$W118,IF(AND($S118&lt;&gt;"",EDATE($D118,Milestones!$AA$112)&gt;=$S118),$V118,$U118)))=Milestones!$AB$112),UPPER(TEXT(EDATE($D118,Milestones!$AA$112),"dd mmm yy"))&amp;" "&amp;Milestones!$AB$112&amp;" "&amp;Milestones!$AC$112&amp;";  ","")&amp;IF(AND(EDATE($D118,Milestones!$AA$113)&lt;=AsOfDate,IF($R118=0,$X118,IF(AND($T118&lt;&gt;"",EDATE($D118,Milestones!$AA$113)&gt;=$T118),$W118,IF(AND($S118&lt;&gt;"",EDATE($D118,Milestones!$AA$113)&gt;=$S118),$V118,$U118)))=Milestones!$AB$113),UPPER(TEXT(EDATE($D118,Milestones!$AA$113),"dd mmm yy"))&amp;" "&amp;Milestones!$AB$113&amp;" "&amp;Milestones!$AC$113&amp;";  ","")&amp;IF(AND(EDATE($D118,Milestones!$AA$114)&lt;=AsOfDate,IF($R118=0,$X118,IF(AND($T118&lt;&gt;"",EDATE($D118,Milestones!$AA$114)&gt;=$T118),$W118,IF(AND($S118&lt;&gt;"",EDATE($D118,Milestones!$AA$114)&gt;=$S118),$V118,$U118)))=Milestones!$AB$114),UPPER(TEXT(EDATE($D118,Milestones!$AA$114),"dd mmm yy"))&amp;" "&amp;Milestones!$AB$114&amp;" "&amp;Milestones!$AC$114&amp;";  ","")&amp;IF(AND(EDATE($D118,Milestones!$AA$115)&lt;=AsOfDate,IF($R118=0,$X118,IF(AND($T118&lt;&gt;"",EDATE($D118,Milestones!$AA$115)&gt;=$T118),$W118,IF(AND($S118&lt;&gt;"",EDATE($D118,Milestones!$AA$115)&gt;=$S118),$V118,$U118)))=Milestones!$AB$115),UPPER(TEXT(EDATE($D118,Milestones!$AA$115),"dd mmm yy"))&amp;" "&amp;Milestones!$AB$115&amp;" "&amp;Milestones!$AC$115&amp;";  ","")&amp;IF(AND(EDATE($D118,Milestones!$AA$116)&lt;=AsOfDate,IF($R118=0,$X118,IF(AND($T118&lt;&gt;"",EDATE($D118,Milestones!$AA$116)&gt;=$T118),$W118,IF(AND($S118&lt;&gt;"",EDATE($D118,Milestones!$AA$116)&gt;=$S118),$V118,$U118)))=Milestones!$AB$116),UPPER(TEXT(EDATE($D118,Milestones!$AA$116),"dd mmm yy"))&amp;" "&amp;Milestones!$AB$116&amp;" "&amp;Milestones!$AC$116&amp;";  ","")&amp;IF(AND(EDATE($D118,Milestones!$AA$117)&lt;=AsOfDate,IF($R118=0,$X118,IF(AND($T118&lt;&gt;"",EDATE($D118,Milestones!$AA$117)&gt;=$T118),$W118,IF(AND($S118&lt;&gt;"",EDATE($D118,Milestones!$AA$117)&gt;=$S118),$V118,$U118)))=Milestones!$AB$117),UPPER(TEXT(EDATE($D118,Milestones!$AA$117),"dd mmm yy"))&amp;" "&amp;Milestones!$AB$117&amp;" "&amp;Milestones!$AC$117&amp;";  ","")&amp;IF(AND(EDATE($D118,Milestones!$AA$118)&lt;=AsOfDate,IF($R118=0,$X118,IF(AND($T118&lt;&gt;"",EDATE($D118,Milestones!$AA$118)&gt;=$T118),$W118,IF(AND($S118&lt;&gt;"",EDATE($D118,Milestones!$AA$118)&gt;=$S118),$V118,$U118)))=Milestones!$AB$118),UPPER(TEXT(EDATE($D118,Milestones!$AA$118),"dd mmm yy"))&amp;" "&amp;Milestones!$AB$118&amp;" "&amp;Milestones!$AC$118&amp;";  ","")&amp;IF(AND(EDATE($D118,Milestones!$AA$119)&lt;=AsOfDate,IF($R118=0,$X118,IF(AND($T118&lt;&gt;"",EDATE($D118,Milestones!$AA$119)&gt;=$T118),$W118,IF(AND($S118&lt;&gt;"",EDATE($D118,Milestones!$AA$119)&gt;=$S118),$V118,$U118)))=Milestones!$AB$119),UPPER(TEXT(EDATE($D118,Milestones!$AA$119),"dd mmm yy"))&amp;" "&amp;Milestones!$AB$119&amp;" "&amp;Milestones!$AC$119&amp;";  ",""))</f>
        <v/>
      </c>
      <c r="N118" s="0" t="str">
        <f aca="false">IF(OR($A118="",$D118=""),"",IF(AND(EDATE($D118,Milestones!$AA$120)&lt;=AsOfDate,IF($R118=0,$X118,IF(AND($T118&lt;&gt;"",EDATE($D118,Milestones!$AA$120)&gt;=$T118),$W118,IF(AND($S118&lt;&gt;"",EDATE($D118,Milestones!$AA$120)&gt;=$S118),$V118,$U118)))=Milestones!$AB$120),UPPER(TEXT(EDATE($D118,Milestones!$AA$120),"dd mmm yy"))&amp;" "&amp;Milestones!$AB$120&amp;" "&amp;Milestones!$AC$120&amp;";  ","")&amp;IF(AND(EDATE($D118,Milestones!$AA$121)&lt;=AsOfDate,IF($R118=0,$X118,IF(AND($T118&lt;&gt;"",EDATE($D118,Milestones!$AA$121)&gt;=$T118),$W118,IF(AND($S118&lt;&gt;"",EDATE($D118,Milestones!$AA$121)&gt;=$S118),$V118,$U118)))=Milestones!$AB$121),UPPER(TEXT(EDATE($D118,Milestones!$AA$121),"dd mmm yy"))&amp;" "&amp;Milestones!$AB$121&amp;" "&amp;Milestones!$AC$121&amp;";  ","")&amp;IF(AND(EDATE($D118,Milestones!$AA$122)&lt;=AsOfDate,IF($R118=0,$X118,IF(AND($T118&lt;&gt;"",EDATE($D118,Milestones!$AA$122)&gt;=$T118),$W118,IF(AND($S118&lt;&gt;"",EDATE($D118,Milestones!$AA$122)&gt;=$S118),$V118,$U118)))=Milestones!$AB$122),UPPER(TEXT(EDATE($D118,Milestones!$AA$122),"dd mmm yy"))&amp;" "&amp;Milestones!$AB$122&amp;" "&amp;Milestones!$AC$122&amp;";  ","")&amp;IF(AND(EDATE($D118,Milestones!$AA$123)&lt;=AsOfDate,IF($R118=0,$X118,IF(AND($T118&lt;&gt;"",EDATE($D118,Milestones!$AA$123)&gt;=$T118),$W118,IF(AND($S118&lt;&gt;"",EDATE($D118,Milestones!$AA$123)&gt;=$S118),$V118,$U118)))=Milestones!$AB$123),UPPER(TEXT(EDATE($D118,Milestones!$AA$123),"dd mmm yy"))&amp;" "&amp;Milestones!$AB$123&amp;" "&amp;Milestones!$AC$123&amp;";  ","")&amp;IF(AND(EDATE($D118,Milestones!$AA$124)&lt;=AsOfDate,IF($R118=0,$X118,IF(AND($T118&lt;&gt;"",EDATE($D118,Milestones!$AA$124)&gt;=$T118),$W118,IF(AND($S118&lt;&gt;"",EDATE($D118,Milestones!$AA$124)&gt;=$S118),$V118,$U118)))=Milestones!$AB$124),UPPER(TEXT(EDATE($D118,Milestones!$AA$124),"dd mmm yy"))&amp;" "&amp;Milestones!$AB$124&amp;" "&amp;Milestones!$AC$124&amp;";  ","")&amp;IF(AND(EDATE($D118,Milestones!$AA$125)&lt;=AsOfDate,IF($R118=0,$X118,IF(AND($T118&lt;&gt;"",EDATE($D118,Milestones!$AA$125)&gt;=$T118),$W118,IF(AND($S118&lt;&gt;"",EDATE($D118,Milestones!$AA$125)&gt;=$S118),$V118,$U118)))=Milestones!$AB$125),UPPER(TEXT(EDATE($D118,Milestones!$AA$125),"dd mmm yy"))&amp;" "&amp;Milestones!$AB$125&amp;" "&amp;Milestones!$AC$125&amp;";  ","")&amp;IF(AND(EDATE($D118,Milestones!$AA$126)&lt;=AsOfDate,IF($R118=0,$X118,IF(AND($T118&lt;&gt;"",EDATE($D118,Milestones!$AA$126)&gt;=$T118),$W118,IF(AND($S118&lt;&gt;"",EDATE($D118,Milestones!$AA$126)&gt;=$S118),$V118,$U118)))=Milestones!$AB$126),UPPER(TEXT(EDATE($D118,Milestones!$AA$126),"dd mmm yy"))&amp;" "&amp;Milestones!$AB$126&amp;" "&amp;Milestones!$AC$126&amp;";  ","")&amp;IF(AND(EDATE($D118,Milestones!$AA$127)&lt;=AsOfDate,IF($R118=0,$X118,IF(AND($T118&lt;&gt;"",EDATE($D118,Milestones!$AA$127)&gt;=$T118),$W118,IF(AND($S118&lt;&gt;"",EDATE($D118,Milestones!$AA$127)&gt;=$S118),$V118,$U118)))=Milestones!$AB$127),UPPER(TEXT(EDATE($D118,Milestones!$AA$127),"dd mmm yy"))&amp;" "&amp;Milestones!$AB$127&amp;" "&amp;Milestones!$AC$127&amp;";  ","")&amp;IF(AND(EDATE($D118,Milestones!$AA$128)&lt;=AsOfDate,IF($R118=0,$X118,IF(AND($T118&lt;&gt;"",EDATE($D118,Milestones!$AA$128)&gt;=$T118),$W118,IF(AND($S118&lt;&gt;"",EDATE($D118,Milestones!$AA$128)&gt;=$S118),$V118,$U118)))=Milestones!$AB$128),UPPER(TEXT(EDATE($D118,Milestones!$AA$128),"dd mmm yy"))&amp;" "&amp;Milestones!$AB$128&amp;" "&amp;Milestones!$AC$128&amp;";  ","")&amp;IF(AND(EDATE($D118,Milestones!$AA$129)&lt;=AsOfDate,IF($R118=0,$X118,IF(AND($T118&lt;&gt;"",EDATE($D118,Milestones!$AA$129)&gt;=$T118),$W118,IF(AND($S118&lt;&gt;"",EDATE($D118,Milestones!$AA$129)&gt;=$S118),$V118,$U118)))=Milestones!$AB$129),UPPER(TEXT(EDATE($D118,Milestones!$AA$129),"dd mmm yy"))&amp;" "&amp;Milestones!$AB$129&amp;" "&amp;Milestones!$AC$129&amp;";  ","")&amp;IF(AND(EDATE($D118,Milestones!$AA$130)&lt;=AsOfDate,IF($R118=0,$X118,IF(AND($T118&lt;&gt;"",EDATE($D118,Milestones!$AA$130)&gt;=$T118),$W118,IF(AND($S118&lt;&gt;"",EDATE($D118,Milestones!$AA$130)&gt;=$S118),$V118,$U118)))=Milestones!$AB$130),UPPER(TEXT(EDATE($D118,Milestones!$AA$130),"dd mmm yy"))&amp;" "&amp;Milestones!$AB$130&amp;" "&amp;Milestones!$AC$130&amp;";  ","")&amp;IF(AND(EDATE($D118,Milestones!$AA$131)&lt;=AsOfDate,IF($R118=0,$X118,IF(AND($T118&lt;&gt;"",EDATE($D118,Milestones!$AA$131)&gt;=$T118),$W118,IF(AND($S118&lt;&gt;"",EDATE($D118,Milestones!$AA$131)&gt;=$S118),$V118,$U118)))=Milestones!$AB$131),UPPER(TEXT(EDATE($D118,Milestones!$AA$131),"dd mmm yy"))&amp;" "&amp;Milestones!$AB$131&amp;" "&amp;Milestones!$AC$131&amp;";  ","")&amp;IF(AND(EDATE($D118,Milestones!$AA$132)&lt;=AsOfDate,IF($R118=0,$X118,IF(AND($T118&lt;&gt;"",EDATE($D118,Milestones!$AA$132)&gt;=$T118),$W118,IF(AND($S118&lt;&gt;"",EDATE($D118,Milestones!$AA$132)&gt;=$S118),$V118,$U118)))=Milestones!$AB$132),UPPER(TEXT(EDATE($D118,Milestones!$AA$132),"dd mmm yy"))&amp;" "&amp;Milestones!$AB$132&amp;" "&amp;Milestones!$AC$132&amp;";  ","")&amp;IF(AND(EDATE($D118,Milestones!$AA$133)&lt;=AsOfDate,IF($R118=0,$X118,IF(AND($T118&lt;&gt;"",EDATE($D118,Milestones!$AA$133)&gt;=$T118),$W118,IF(AND($S118&lt;&gt;"",EDATE($D118,Milestones!$AA$133)&gt;=$S118),$V118,$U118)))=Milestones!$AB$133),UPPER(TEXT(EDATE($D118,Milestones!$AA$133),"dd mmm yy"))&amp;" "&amp;Milestones!$AB$133&amp;" "&amp;Milestones!$AC$133&amp;";  ","")&amp;IF(AND(EDATE($D118,Milestones!$AA$134)&lt;=AsOfDate,IF($R118=0,$X118,IF(AND($T118&lt;&gt;"",EDATE($D118,Milestones!$AA$134)&gt;=$T118),$W118,IF(AND($S118&lt;&gt;"",EDATE($D118,Milestones!$AA$134)&gt;=$S118),$V118,$U118)))=Milestones!$AB$134),UPPER(TEXT(EDATE($D118,Milestones!$AA$134),"dd mmm yy"))&amp;" "&amp;Milestones!$AB$134&amp;" "&amp;Milestones!$AC$134&amp;";  ","")&amp;IF(AND(EDATE($D118,Milestones!$AA$135)&lt;=AsOfDate,IF($R118=0,$X118,IF(AND($T118&lt;&gt;"",EDATE($D118,Milestones!$AA$135)&gt;=$T118),$W118,IF(AND($S118&lt;&gt;"",EDATE($D118,Milestones!$AA$135)&gt;=$S118),$V118,$U118)))=Milestones!$AB$135),UPPER(TEXT(EDATE($D118,Milestones!$AA$135),"dd mmm yy"))&amp;" "&amp;Milestones!$AB$135&amp;" "&amp;Milestones!$AC$135&amp;";  ","")&amp;IF(AND(EDATE($D118,Milestones!$AA$136)&lt;=AsOfDate,IF($R118=0,$X118,IF(AND($T118&lt;&gt;"",EDATE($D118,Milestones!$AA$136)&gt;=$T118),$W118,IF(AND($S118&lt;&gt;"",EDATE($D118,Milestones!$AA$136)&gt;=$S118),$V118,$U118)))=Milestones!$AB$136),UPPER(TEXT(EDATE($D118,Milestones!$AA$136),"dd mmm yy"))&amp;" "&amp;Milestones!$AB$136&amp;" "&amp;Milestones!$AC$136&amp;";  ","")&amp;IF(AND(EDATE($D118,Milestones!$AA$137)&lt;=AsOfDate,IF($R118=0,$X118,IF(AND($T118&lt;&gt;"",EDATE($D118,Milestones!$AA$137)&gt;=$T118),$W118,IF(AND($S118&lt;&gt;"",EDATE($D118,Milestones!$AA$137)&gt;=$S118),$V118,$U118)))=Milestones!$AB$137),UPPER(TEXT(EDATE($D118,Milestones!$AA$137),"dd mmm yy"))&amp;" "&amp;Milestones!$AB$137&amp;" "&amp;Milestones!$AC$137&amp;";  ","")&amp;IF(AND(EDATE($D118,Milestones!$AA$138)&lt;=AsOfDate,IF($R118=0,$X118,IF(AND($T118&lt;&gt;"",EDATE($D118,Milestones!$AA$138)&gt;=$T118),$W118,IF(AND($S118&lt;&gt;"",EDATE($D118,Milestones!$AA$138)&gt;=$S118),$V118,$U118)))=Milestones!$AB$138),UPPER(TEXT(EDATE($D118,Milestones!$AA$138),"dd mmm yy"))&amp;" "&amp;Milestones!$AB$138&amp;" "&amp;Milestones!$AC$138&amp;";  ","")&amp;IF(AND(EDATE($D118,Milestones!$AA$139)&lt;=AsOfDate,IF($R118=0,$X118,IF(AND($T118&lt;&gt;"",EDATE($D118,Milestones!$AA$139)&gt;=$T118),$W118,IF(AND($S118&lt;&gt;"",EDATE($D118,Milestones!$AA$139)&gt;=$S118),$V118,$U118)))=Milestones!$AB$139),UPPER(TEXT(EDATE($D118,Milestones!$AA$139),"dd mmm yy"))&amp;" "&amp;Milestones!$AB$139&amp;" "&amp;Milestones!$AC$139&amp;";  ",""))</f>
        <v/>
      </c>
      <c r="O118" s="0" t="str">
        <f aca="false">IF(OR($A118="",$D118=""),"",IF(AND(EDATE($D118,Milestones!$AA$140)&lt;=AsOfDate,IF($R118=0,$X118,IF(AND($T118&lt;&gt;"",EDATE($D118,Milestones!$AA$140)&gt;=$T118),$W118,IF(AND($S118&lt;&gt;"",EDATE($D118,Milestones!$AA$140)&gt;=$S118),$V118,$U118)))=Milestones!$AB$140),UPPER(TEXT(EDATE($D118,Milestones!$AA$140),"dd mmm yy"))&amp;" "&amp;Milestones!$AB$140&amp;" "&amp;Milestones!$AC$140&amp;";  ","")&amp;IF(AND(EDATE($D118,Milestones!$AA$141)&lt;=AsOfDate,IF($R118=0,$X118,IF(AND($T118&lt;&gt;"",EDATE($D118,Milestones!$AA$141)&gt;=$T118),$W118,IF(AND($S118&lt;&gt;"",EDATE($D118,Milestones!$AA$141)&gt;=$S118),$V118,$U118)))=Milestones!$AB$141),UPPER(TEXT(EDATE($D118,Milestones!$AA$141),"dd mmm yy"))&amp;" "&amp;Milestones!$AB$141&amp;" "&amp;Milestones!$AC$141&amp;";  ","")&amp;IF(AND(EDATE($D118,Milestones!$AA$142)&lt;=AsOfDate,IF($R118=0,$X118,IF(AND($T118&lt;&gt;"",EDATE($D118,Milestones!$AA$142)&gt;=$T118),$W118,IF(AND($S118&lt;&gt;"",EDATE($D118,Milestones!$AA$142)&gt;=$S118),$V118,$U118)))=Milestones!$AB$142),UPPER(TEXT(EDATE($D118,Milestones!$AA$142),"dd mmm yy"))&amp;" "&amp;Milestones!$AB$142&amp;" "&amp;Milestones!$AC$142&amp;";  ","")&amp;IF(AND(EDATE($D118,Milestones!$AA$143)&lt;=AsOfDate,IF($R118=0,$X118,IF(AND($T118&lt;&gt;"",EDATE($D118,Milestones!$AA$143)&gt;=$T118),$W118,IF(AND($S118&lt;&gt;"",EDATE($D118,Milestones!$AA$143)&gt;=$S118),$V118,$U118)))=Milestones!$AB$143),UPPER(TEXT(EDATE($D118,Milestones!$AA$143),"dd mmm yy"))&amp;" "&amp;Milestones!$AB$143&amp;" "&amp;Milestones!$AC$143&amp;";  ","")&amp;IF(AND(EDATE($D118,Milestones!$AA$144)&lt;=AsOfDate,IF($R118=0,$X118,IF(AND($T118&lt;&gt;"",EDATE($D118,Milestones!$AA$144)&gt;=$T118),$W118,IF(AND($S118&lt;&gt;"",EDATE($D118,Milestones!$AA$144)&gt;=$S118),$V118,$U118)))=Milestones!$AB$144),UPPER(TEXT(EDATE($D118,Milestones!$AA$144),"dd mmm yy"))&amp;" "&amp;Milestones!$AB$144&amp;" "&amp;Milestones!$AC$144&amp;";  ","")&amp;IF(AND(EDATE($D118,Milestones!$AA$145)&lt;=AsOfDate,IF($R118=0,$X118,IF(AND($T118&lt;&gt;"",EDATE($D118,Milestones!$AA$145)&gt;=$T118),$W118,IF(AND($S118&lt;&gt;"",EDATE($D118,Milestones!$AA$145)&gt;=$S118),$V118,$U118)))=Milestones!$AB$145),UPPER(TEXT(EDATE($D118,Milestones!$AA$145),"dd mmm yy"))&amp;" "&amp;Milestones!$AB$145&amp;" "&amp;Milestones!$AC$145&amp;";  ","")&amp;IF(AND(EDATE($D118,Milestones!$AA$146)&lt;=AsOfDate,IF($R118=0,$X118,IF(AND($T118&lt;&gt;"",EDATE($D118,Milestones!$AA$146)&gt;=$T118),$W118,IF(AND($S118&lt;&gt;"",EDATE($D118,Milestones!$AA$146)&gt;=$S118),$V118,$U118)))=Milestones!$AB$146),UPPER(TEXT(EDATE($D118,Milestones!$AA$146),"dd mmm yy"))&amp;" "&amp;Milestones!$AB$146&amp;" "&amp;Milestones!$AC$146&amp;";  ","")&amp;IF(AND(EDATE($D118,Milestones!$AA$147)&lt;=AsOfDate,IF($R118=0,$X118,IF(AND($T118&lt;&gt;"",EDATE($D118,Milestones!$AA$147)&gt;=$T118),$W118,IF(AND($S118&lt;&gt;"",EDATE($D118,Milestones!$AA$147)&gt;=$S118),$V118,$U118)))=Milestones!$AB$147),UPPER(TEXT(EDATE($D118,Milestones!$AA$147),"dd mmm yy"))&amp;" "&amp;Milestones!$AB$147&amp;" "&amp;Milestones!$AC$147&amp;";  ","")&amp;IF(AND(EDATE($D118,Milestones!$AA$148)&lt;=AsOfDate,IF($R118=0,$X118,IF(AND($T118&lt;&gt;"",EDATE($D118,Milestones!$AA$148)&gt;=$T118),$W118,IF(AND($S118&lt;&gt;"",EDATE($D118,Milestones!$AA$148)&gt;=$S118),$V118,$U118)))=Milestones!$AB$148),UPPER(TEXT(EDATE($D118,Milestones!$AA$148),"dd mmm yy"))&amp;" "&amp;Milestones!$AB$148&amp;" "&amp;Milestones!$AC$148&amp;";  ","")&amp;IF(AND(EDATE($D118,Milestones!$AA$149)&lt;=AsOfDate,IF($R118=0,$X118,IF(AND($T118&lt;&gt;"",EDATE($D118,Milestones!$AA$149)&gt;=$T118),$W118,IF(AND($S118&lt;&gt;"",EDATE($D118,Milestones!$AA$149)&gt;=$S118),$V118,$U118)))=Milestones!$AB$149),UPPER(TEXT(EDATE($D118,Milestones!$AA$149),"dd mmm yy"))&amp;" "&amp;Milestones!$AB$149&amp;" "&amp;Milestones!$AC$149&amp;";  ","")&amp;IF(AND(EDATE($D118,Milestones!$AA$150)&lt;=AsOfDate,IF($R118=0,$X118,IF(AND($T118&lt;&gt;"",EDATE($D118,Milestones!$AA$150)&gt;=$T118),$W118,IF(AND($S118&lt;&gt;"",EDATE($D118,Milestones!$AA$150)&gt;=$S118),$V118,$U118)))=Milestones!$AB$150),UPPER(TEXT(EDATE($D118,Milestones!$AA$150),"dd mmm yy"))&amp;" "&amp;Milestones!$AB$150&amp;" "&amp;Milestones!$AC$150&amp;";  ","")&amp;IF(AND(EDATE($D118,Milestones!$AA$151)&lt;=AsOfDate,IF($R118=0,$X118,IF(AND($T118&lt;&gt;"",EDATE($D118,Milestones!$AA$151)&gt;=$T118),$W118,IF(AND($S118&lt;&gt;"",EDATE($D118,Milestones!$AA$151)&gt;=$S118),$V118,$U118)))=Milestones!$AB$151),UPPER(TEXT(EDATE($D118,Milestones!$AA$151),"dd mmm yy"))&amp;" "&amp;Milestones!$AB$151&amp;" "&amp;Milestones!$AC$151&amp;";  ","")&amp;IF(AND(EDATE($D118,Milestones!$AA$152)&lt;=AsOfDate,IF($R118=0,$X118,IF(AND($T118&lt;&gt;"",EDATE($D118,Milestones!$AA$152)&gt;=$T118),$W118,IF(AND($S118&lt;&gt;"",EDATE($D118,Milestones!$AA$152)&gt;=$S118),$V118,$U118)))=Milestones!$AB$152),UPPER(TEXT(EDATE($D118,Milestones!$AA$152),"dd mmm yy"))&amp;" "&amp;Milestones!$AB$152&amp;" "&amp;Milestones!$AC$152&amp;";  ","")&amp;IF(AND(EDATE($D118,Milestones!$AA$153)&lt;=AsOfDate,IF($R118=0,$X118,IF(AND($T118&lt;&gt;"",EDATE($D118,Milestones!$AA$153)&gt;=$T118),$W118,IF(AND($S118&lt;&gt;"",EDATE($D118,Milestones!$AA$153)&gt;=$S118),$V118,$U118)))=Milestones!$AB$153),UPPER(TEXT(EDATE($D118,Milestones!$AA$153),"dd mmm yy"))&amp;" "&amp;Milestones!$AB$153&amp;" "&amp;Milestones!$AC$153&amp;";  ","")&amp;IF(AND(EDATE($D118,Milestones!$AA$154)&lt;=AsOfDate,IF($R118=0,$X118,IF(AND($T118&lt;&gt;"",EDATE($D118,Milestones!$AA$154)&gt;=$T118),$W118,IF(AND($S118&lt;&gt;"",EDATE($D118,Milestones!$AA$154)&gt;=$S118),$V118,$U118)))=Milestones!$AB$154),UPPER(TEXT(EDATE($D118,Milestones!$AA$154),"dd mmm yy"))&amp;" "&amp;Milestones!$AB$154&amp;" "&amp;Milestones!$AC$154&amp;";  ","")&amp;IF(AND(EDATE($D118,Milestones!$AA$155)&lt;=AsOfDate,IF($R118=0,$X118,IF(AND($T118&lt;&gt;"",EDATE($D118,Milestones!$AA$155)&gt;=$T118),$W118,IF(AND($S118&lt;&gt;"",EDATE($D118,Milestones!$AA$155)&gt;=$S118),$V118,$U118)))=Milestones!$AB$155),UPPER(TEXT(EDATE($D118,Milestones!$AA$155),"dd mmm yy"))&amp;" "&amp;Milestones!$AB$155&amp;" "&amp;Milestones!$AC$155&amp;";  ","")&amp;IF(AND(EDATE($D118,Milestones!$AA$156)&lt;=AsOfDate,IF($R118=0,$X118,IF(AND($T118&lt;&gt;"",EDATE($D118,Milestones!$AA$156)&gt;=$T118),$W118,IF(AND($S118&lt;&gt;"",EDATE($D118,Milestones!$AA$156)&gt;=$S118),$V118,$U118)))=Milestones!$AB$156),UPPER(TEXT(EDATE($D118,Milestones!$AA$156),"dd mmm yy"))&amp;" "&amp;Milestones!$AB$156&amp;" "&amp;Milestones!$AC$156&amp;";  ","")&amp;IF(AND(EDATE($D118,Milestones!$AA$157)&lt;=AsOfDate,IF($R118=0,$X118,IF(AND($T118&lt;&gt;"",EDATE($D118,Milestones!$AA$157)&gt;=$T118),$W118,IF(AND($S118&lt;&gt;"",EDATE($D118,Milestones!$AA$157)&gt;=$S118),$V118,$U118)))=Milestones!$AB$157),UPPER(TEXT(EDATE($D118,Milestones!$AA$157),"dd mmm yy"))&amp;" "&amp;Milestones!$AB$157&amp;" "&amp;Milestones!$AC$157&amp;";  ","")&amp;IF(AND(EDATE($D118,Milestones!$AA$158)&lt;=AsOfDate,IF($R118=0,$X118,IF(AND($T118&lt;&gt;"",EDATE($D118,Milestones!$AA$158)&gt;=$T118),$W118,IF(AND($S118&lt;&gt;"",EDATE($D118,Milestones!$AA$158)&gt;=$S118),$V118,$U118)))=Milestones!$AB$158),UPPER(TEXT(EDATE($D118,Milestones!$AA$158),"dd mmm yy"))&amp;" "&amp;Milestones!$AB$158&amp;" "&amp;Milestones!$AC$158&amp;";  ","")&amp;IF(AND(EDATE($D118,Milestones!$AA$159)&lt;=AsOfDate,IF($R118=0,$X118,IF(AND($T118&lt;&gt;"",EDATE($D118,Milestones!$AA$159)&gt;=$T118),$W118,IF(AND($S118&lt;&gt;"",EDATE($D118,Milestones!$AA$159)&gt;=$S118),$V118,$U118)))=Milestones!$AB$159),UPPER(TEXT(EDATE($D118,Milestones!$AA$159),"dd mmm yy"))&amp;" "&amp;Milestones!$AB$159&amp;" "&amp;Milestones!$AC$159&amp;";  ",""))</f>
        <v/>
      </c>
      <c r="P118" s="0" t="str">
        <f aca="false">IF(OR($A118="",$D118=""),"",IF(AND(EDATE($D118,Milestones!$AA$160)&lt;=AsOfDate,IF($R118=0,$X118,IF(AND($T118&lt;&gt;"",EDATE($D118,Milestones!$AA$160)&gt;=$T118),$W118,IF(AND($S118&lt;&gt;"",EDATE($D118,Milestones!$AA$160)&gt;=$S118),$V118,$U118)))=Milestones!$AB$160),UPPER(TEXT(EDATE($D118,Milestones!$AA$160),"dd mmm yy"))&amp;" "&amp;Milestones!$AB$160&amp;" "&amp;Milestones!$AC$160&amp;";  ","")&amp;IF(AND(EDATE($D118,Milestones!$AA$161)&lt;=AsOfDate,IF($R118=0,$X118,IF(AND($T118&lt;&gt;"",EDATE($D118,Milestones!$AA$161)&gt;=$T118),$W118,IF(AND($S118&lt;&gt;"",EDATE($D118,Milestones!$AA$161)&gt;=$S118),$V118,$U118)))=Milestones!$AB$161),UPPER(TEXT(EDATE($D118,Milestones!$AA$161),"dd mmm yy"))&amp;" "&amp;Milestones!$AB$161&amp;" "&amp;Milestones!$AC$161&amp;";  ","")&amp;IF(AND(EDATE($D118,Milestones!$AA$162)&lt;=AsOfDate,IF($R118=0,$X118,IF(AND($T118&lt;&gt;"",EDATE($D118,Milestones!$AA$162)&gt;=$T118),$W118,IF(AND($S118&lt;&gt;"",EDATE($D118,Milestones!$AA$162)&gt;=$S118),$V118,$U118)))=Milestones!$AB$162),UPPER(TEXT(EDATE($D118,Milestones!$AA$162),"dd mmm yy"))&amp;" "&amp;Milestones!$AB$162&amp;" "&amp;Milestones!$AC$162&amp;";  ","")&amp;IF(AND(EDATE($D118,Milestones!$AA$163)&lt;=AsOfDate,IF($R118=0,$X118,IF(AND($T118&lt;&gt;"",EDATE($D118,Milestones!$AA$163)&gt;=$T118),$W118,IF(AND($S118&lt;&gt;"",EDATE($D118,Milestones!$AA$163)&gt;=$S118),$V118,$U118)))=Milestones!$AB$163),UPPER(TEXT(EDATE($D118,Milestones!$AA$163),"dd mmm yy"))&amp;" "&amp;Milestones!$AB$163&amp;" "&amp;Milestones!$AC$163&amp;";  ","")&amp;IF(AND(EDATE($D118,Milestones!$AA$164)&lt;=AsOfDate,IF($R118=0,$X118,IF(AND($T118&lt;&gt;"",EDATE($D118,Milestones!$AA$164)&gt;=$T118),$W118,IF(AND($S118&lt;&gt;"",EDATE($D118,Milestones!$AA$164)&gt;=$S118),$V118,$U118)))=Milestones!$AB$164),UPPER(TEXT(EDATE($D118,Milestones!$AA$164),"dd mmm yy"))&amp;" "&amp;Milestones!$AB$164&amp;" "&amp;Milestones!$AC$164&amp;";  ","")&amp;IF(AND(EDATE($D118,Milestones!$AA$165)&lt;=AsOfDate,IF($R118=0,$X118,IF(AND($T118&lt;&gt;"",EDATE($D118,Milestones!$AA$165)&gt;=$T118),$W118,IF(AND($S118&lt;&gt;"",EDATE($D118,Milestones!$AA$165)&gt;=$S118),$V118,$U118)))=Milestones!$AB$165),UPPER(TEXT(EDATE($D118,Milestones!$AA$165),"dd mmm yy"))&amp;" "&amp;Milestones!$AB$165&amp;" "&amp;Milestones!$AC$165&amp;";  ","")&amp;IF(AND(EDATE($D118,Milestones!$AA$166)&lt;=AsOfDate,IF($R118=0,$X118,IF(AND($T118&lt;&gt;"",EDATE($D118,Milestones!$AA$166)&gt;=$T118),$W118,IF(AND($S118&lt;&gt;"",EDATE($D118,Milestones!$AA$166)&gt;=$S118),$V118,$U118)))=Milestones!$AB$166),UPPER(TEXT(EDATE($D118,Milestones!$AA$166),"dd mmm yy"))&amp;" "&amp;Milestones!$AB$166&amp;" "&amp;Milestones!$AC$166&amp;";  ","")&amp;IF(AND(EDATE($D118,Milestones!$AA$167)&lt;=AsOfDate,IF($R118=0,$X118,IF(AND($T118&lt;&gt;"",EDATE($D118,Milestones!$AA$167)&gt;=$T118),$W118,IF(AND($S118&lt;&gt;"",EDATE($D118,Milestones!$AA$167)&gt;=$S118),$V118,$U118)))=Milestones!$AB$167),UPPER(TEXT(EDATE($D118,Milestones!$AA$167),"dd mmm yy"))&amp;" "&amp;Milestones!$AB$167&amp;" "&amp;Milestones!$AC$167&amp;";  ","")&amp;IF(AND(EDATE($D118,Milestones!$AA$168)&lt;=AsOfDate,IF($R118=0,$X118,IF(AND($T118&lt;&gt;"",EDATE($D118,Milestones!$AA$168)&gt;=$T118),$W118,IF(AND($S118&lt;&gt;"",EDATE($D118,Milestones!$AA$168)&gt;=$S118),$V118,$U118)))=Milestones!$AB$168),UPPER(TEXT(EDATE($D118,Milestones!$AA$168),"dd mmm yy"))&amp;" "&amp;Milestones!$AB$168&amp;" "&amp;Milestones!$AC$168&amp;";  ","")&amp;IF(AND(EDATE($D118,Milestones!$AA$169)&lt;=AsOfDate,IF($R118=0,$X118,IF(AND($T118&lt;&gt;"",EDATE($D118,Milestones!$AA$169)&gt;=$T118),$W118,IF(AND($S118&lt;&gt;"",EDATE($D118,Milestones!$AA$169)&gt;=$S118),$V118,$U118)))=Milestones!$AB$169),UPPER(TEXT(EDATE($D118,Milestones!$AA$169),"dd mmm yy"))&amp;" "&amp;Milestones!$AB$169&amp;" "&amp;Milestones!$AC$169&amp;";  ","")&amp;IF(AND(EDATE($D118,Milestones!$AA$170)&lt;=AsOfDate,IF($R118=0,$X118,IF(AND($T118&lt;&gt;"",EDATE($D118,Milestones!$AA$170)&gt;=$T118),$W118,IF(AND($S118&lt;&gt;"",EDATE($D118,Milestones!$AA$170)&gt;=$S118),$V118,$U118)))=Milestones!$AB$170),UPPER(TEXT(EDATE($D118,Milestones!$AA$170),"dd mmm yy"))&amp;" "&amp;Milestones!$AB$170&amp;" "&amp;Milestones!$AC$170&amp;";  ","")&amp;IF(AND(EDATE($D118,Milestones!$AA$171)&lt;=AsOfDate,IF($R118=0,$X118,IF(AND($T118&lt;&gt;"",EDATE($D118,Milestones!$AA$171)&gt;=$T118),$W118,IF(AND($S118&lt;&gt;"",EDATE($D118,Milestones!$AA$171)&gt;=$S118),$V118,$U118)))=Milestones!$AB$171),UPPER(TEXT(EDATE($D118,Milestones!$AA$171),"dd mmm yy"))&amp;" "&amp;Milestones!$AB$171&amp;" "&amp;Milestones!$AC$171&amp;";  ","")&amp;IF(AND(EDATE($D118,Milestones!$AA$172)&lt;=AsOfDate,IF($R118=0,$X118,IF(AND($T118&lt;&gt;"",EDATE($D118,Milestones!$AA$172)&gt;=$T118),$W118,IF(AND($S118&lt;&gt;"",EDATE($D118,Milestones!$AA$172)&gt;=$S118),$V118,$U118)))=Milestones!$AB$172),UPPER(TEXT(EDATE($D118,Milestones!$AA$172),"dd mmm yy"))&amp;" "&amp;Milestones!$AB$172&amp;" "&amp;Milestones!$AC$172&amp;";  ","")&amp;IF(AND(EDATE($D118,Milestones!$AA$173)&lt;=AsOfDate,IF($R118=0,$X118,IF(AND($T118&lt;&gt;"",EDATE($D118,Milestones!$AA$173)&gt;=$T118),$W118,IF(AND($S118&lt;&gt;"",EDATE($D118,Milestones!$AA$173)&gt;=$S118),$V118,$U118)))=Milestones!$AB$173),UPPER(TEXT(EDATE($D118,Milestones!$AA$173),"dd mmm yy"))&amp;" "&amp;Milestones!$AB$173&amp;" "&amp;Milestones!$AC$173&amp;";  ","")&amp;IF(AND(EDATE($D118,Milestones!$AA$174)&lt;=AsOfDate,IF($R118=0,$X118,IF(AND($T118&lt;&gt;"",EDATE($D118,Milestones!$AA$174)&gt;=$T118),$W118,IF(AND($S118&lt;&gt;"",EDATE($D118,Milestones!$AA$174)&gt;=$S118),$V118,$U118)))=Milestones!$AB$174),UPPER(TEXT(EDATE($D118,Milestones!$AA$174),"dd mmm yy"))&amp;" "&amp;Milestones!$AB$174&amp;" "&amp;Milestones!$AC$174&amp;";  ","")&amp;IF(AND(EDATE($D118,Milestones!$AA$175)&lt;=AsOfDate,IF($R118=0,$X118,IF(AND($T118&lt;&gt;"",EDATE($D118,Milestones!$AA$175)&gt;=$T118),$W118,IF(AND($S118&lt;&gt;"",EDATE($D118,Milestones!$AA$175)&gt;=$S118),$V118,$U118)))=Milestones!$AB$175),UPPER(TEXT(EDATE($D118,Milestones!$AA$175),"dd mmm yy"))&amp;" "&amp;Milestones!$AB$175&amp;" "&amp;Milestones!$AC$175&amp;";  ","")&amp;IF(AND(EDATE($D118,Milestones!$AA$176)&lt;=AsOfDate,IF($R118=0,$X118,IF(AND($T118&lt;&gt;"",EDATE($D118,Milestones!$AA$176)&gt;=$T118),$W118,IF(AND($S118&lt;&gt;"",EDATE($D118,Milestones!$AA$176)&gt;=$S118),$V118,$U118)))=Milestones!$AB$176),UPPER(TEXT(EDATE($D118,Milestones!$AA$176),"dd mmm yy"))&amp;" "&amp;Milestones!$AB$176&amp;" "&amp;Milestones!$AC$176&amp;";  ","")&amp;IF(AND(EDATE($D118,Milestones!$AA$177)&lt;=AsOfDate,IF($R118=0,$X118,IF(AND($T118&lt;&gt;"",EDATE($D118,Milestones!$AA$177)&gt;=$T118),$W118,IF(AND($S118&lt;&gt;"",EDATE($D118,Milestones!$AA$177)&gt;=$S118),$V118,$U118)))=Milestones!$AB$177),UPPER(TEXT(EDATE($D118,Milestones!$AA$177),"dd mmm yy"))&amp;" "&amp;Milestones!$AB$177&amp;" "&amp;Milestones!$AC$177&amp;";  ","")&amp;IF(AND(EDATE($D118,Milestones!$AA$178)&lt;=AsOfDate,IF($R118=0,$X118,IF(AND($T118&lt;&gt;"",EDATE($D118,Milestones!$AA$178)&gt;=$T118),$W118,IF(AND($S118&lt;&gt;"",EDATE($D118,Milestones!$AA$178)&gt;=$S118),$V118,$U118)))=Milestones!$AB$178),UPPER(TEXT(EDATE($D118,Milestones!$AA$178),"dd mmm yy"))&amp;" "&amp;Milestones!$AB$178&amp;" "&amp;Milestones!$AC$178&amp;";  ","")&amp;IF(AND(EDATE($D118,Milestones!$AA$179)&lt;=AsOfDate,IF($R118=0,$X118,IF(AND($T118&lt;&gt;"",EDATE($D118,Milestones!$AA$179)&gt;=$T118),$W118,IF(AND($S118&lt;&gt;"",EDATE($D118,Milestones!$AA$179)&gt;=$S118),$V118,$U118)))=Milestones!$AB$179),UPPER(TEXT(EDATE($D118,Milestones!$AA$179),"dd mmm yy"))&amp;" "&amp;Milestones!$AB$179&amp;" "&amp;Milestones!$AC$179&amp;";  ",""))</f>
        <v/>
      </c>
      <c r="Q118" s="0" t="str">
        <f aca="false">IF(OR($A118="",$D118=""),"",IF(AND(EDATE($D118,Milestones!$AA$180)&lt;=AsOfDate,IF($R118=0,$X118,IF(AND($T118&lt;&gt;"",EDATE($D118,Milestones!$AA$180)&gt;=$T118),$W118,IF(AND($S118&lt;&gt;"",EDATE($D118,Milestones!$AA$180)&gt;=$S118),$V118,$U118)))=Milestones!$AB$180),UPPER(TEXT(EDATE($D118,Milestones!$AA$180),"dd mmm yy"))&amp;" "&amp;Milestones!$AB$180&amp;" "&amp;Milestones!$AC$180&amp;";  ","")&amp;IF(AND(EDATE($D118,Milestones!$AA$181)&lt;=AsOfDate,IF($R118=0,$X118,IF(AND($T118&lt;&gt;"",EDATE($D118,Milestones!$AA$181)&gt;=$T118),$W118,IF(AND($S118&lt;&gt;"",EDATE($D118,Milestones!$AA$181)&gt;=$S118),$V118,$U118)))=Milestones!$AB$181),UPPER(TEXT(EDATE($D118,Milestones!$AA$181),"dd mmm yy"))&amp;" "&amp;Milestones!$AB$181&amp;" "&amp;Milestones!$AC$181&amp;";  ","")&amp;IF(AND(EDATE($D118,Milestones!$AA$182)&lt;=AsOfDate,IF($R118=0,$X118,IF(AND($T118&lt;&gt;"",EDATE($D118,Milestones!$AA$182)&gt;=$T118),$W118,IF(AND($S118&lt;&gt;"",EDATE($D118,Milestones!$AA$182)&gt;=$S118),$V118,$U118)))=Milestones!$AB$182),UPPER(TEXT(EDATE($D118,Milestones!$AA$182),"dd mmm yy"))&amp;" "&amp;Milestones!$AB$182&amp;" "&amp;Milestones!$AC$182&amp;";  ","")&amp;IF(AND(EDATE($D118,Milestones!$AA$183)&lt;=AsOfDate,IF($R118=0,$X118,IF(AND($T118&lt;&gt;"",EDATE($D118,Milestones!$AA$183)&gt;=$T118),$W118,IF(AND($S118&lt;&gt;"",EDATE($D118,Milestones!$AA$183)&gt;=$S118),$V118,$U118)))=Milestones!$AB$183),UPPER(TEXT(EDATE($D118,Milestones!$AA$183),"dd mmm yy"))&amp;" "&amp;Milestones!$AB$183&amp;" "&amp;Milestones!$AC$183&amp;";  ","")&amp;IF(AND(EDATE($D118,Milestones!$AA$184)&lt;=AsOfDate,IF($R118=0,$X118,IF(AND($T118&lt;&gt;"",EDATE($D118,Milestones!$AA$184)&gt;=$T118),$W118,IF(AND($S118&lt;&gt;"",EDATE($D118,Milestones!$AA$184)&gt;=$S118),$V118,$U118)))=Milestones!$AB$184),UPPER(TEXT(EDATE($D118,Milestones!$AA$184),"dd mmm yy"))&amp;" "&amp;Milestones!$AB$184&amp;" "&amp;Milestones!$AC$184&amp;";  ","")&amp;IF(AND(EDATE($D118,Milestones!$AA$185)&lt;=AsOfDate,IF($R118=0,$X118,IF(AND($T118&lt;&gt;"",EDATE($D118,Milestones!$AA$185)&gt;=$T118),$W118,IF(AND($S118&lt;&gt;"",EDATE($D118,Milestones!$AA$185)&gt;=$S118),$V118,$U118)))=Milestones!$AB$185),UPPER(TEXT(EDATE($D118,Milestones!$AA$185),"dd mmm yy"))&amp;" "&amp;Milestones!$AB$185&amp;" "&amp;Milestones!$AC$185&amp;";  ","")&amp;IF(AND(EDATE($D118,Milestones!$AA$186)&lt;=AsOfDate,IF($R118=0,$X118,IF(AND($T118&lt;&gt;"",EDATE($D118,Milestones!$AA$186)&gt;=$T118),$W118,IF(AND($S118&lt;&gt;"",EDATE($D118,Milestones!$AA$186)&gt;=$S118),$V118,$U118)))=Milestones!$AB$186),UPPER(TEXT(EDATE($D118,Milestones!$AA$186),"dd mmm yy"))&amp;" "&amp;Milestones!$AB$186&amp;" "&amp;Milestones!$AC$186&amp;";  ","")&amp;IF(AND(EDATE($D118,Milestones!$AA$187)&lt;=AsOfDate,IF($R118=0,$X118,IF(AND($T118&lt;&gt;"",EDATE($D118,Milestones!$AA$187)&gt;=$T118),$W118,IF(AND($S118&lt;&gt;"",EDATE($D118,Milestones!$AA$187)&gt;=$S118),$V118,$U118)))=Milestones!$AB$187),UPPER(TEXT(EDATE($D118,Milestones!$AA$187),"dd mmm yy"))&amp;" "&amp;Milestones!$AB$187&amp;" "&amp;Milestones!$AC$187&amp;";  ","")&amp;IF(AND(EDATE($D118,Milestones!$AA$188)&lt;=AsOfDate,IF($R118=0,$X118,IF(AND($T118&lt;&gt;"",EDATE($D118,Milestones!$AA$188)&gt;=$T118),$W118,IF(AND($S118&lt;&gt;"",EDATE($D118,Milestones!$AA$188)&gt;=$S118),$V118,$U118)))=Milestones!$AB$188),UPPER(TEXT(EDATE($D118,Milestones!$AA$188),"dd mmm yy"))&amp;" "&amp;Milestones!$AB$188&amp;" "&amp;Milestones!$AC$188&amp;";  ","")&amp;IF(AND(EDATE($D118,Milestones!$AA$189)&lt;=AsOfDate,IF($R118=0,$X118,IF(AND($T118&lt;&gt;"",EDATE($D118,Milestones!$AA$189)&gt;=$T118),$W118,IF(AND($S118&lt;&gt;"",EDATE($D118,Milestones!$AA$189)&gt;=$S118),$V118,$U118)))=Milestones!$AB$189),UPPER(TEXT(EDATE($D118,Milestones!$AA$189),"dd mmm yy"))&amp;" "&amp;Milestones!$AB$189&amp;" "&amp;Milestones!$AC$189&amp;";  ","")&amp;IF(AND(EDATE($D118,Milestones!$AA$190)&lt;=AsOfDate,IF($R118=0,$X118,IF(AND($T118&lt;&gt;"",EDATE($D118,Milestones!$AA$190)&gt;=$T118),$W118,IF(AND($S118&lt;&gt;"",EDATE($D118,Milestones!$AA$190)&gt;=$S118),$V118,$U118)))=Milestones!$AB$190),UPPER(TEXT(EDATE($D118,Milestones!$AA$190),"dd mmm yy"))&amp;" "&amp;Milestones!$AB$190&amp;" "&amp;Milestones!$AC$190&amp;";  ","")&amp;IF(AND(EDATE($D118,Milestones!$AA$191)&lt;=AsOfDate,IF($R118=0,$X118,IF(AND($T118&lt;&gt;"",EDATE($D118,Milestones!$AA$191)&gt;=$T118),$W118,IF(AND($S118&lt;&gt;"",EDATE($D118,Milestones!$AA$191)&gt;=$S118),$V118,$U118)))=Milestones!$AB$191),UPPER(TEXT(EDATE($D118,Milestones!$AA$191),"dd mmm yy"))&amp;" "&amp;Milestones!$AB$191&amp;" "&amp;Milestones!$AC$191&amp;";  ","")&amp;IF(AND(EDATE($D118,Milestones!$AA$192)&lt;=AsOfDate,IF($R118=0,$X118,IF(AND($T118&lt;&gt;"",EDATE($D118,Milestones!$AA$192)&gt;=$T118),$W118,IF(AND($S118&lt;&gt;"",EDATE($D118,Milestones!$AA$192)&gt;=$S118),$V118,$U118)))=Milestones!$AB$192),UPPER(TEXT(EDATE($D118,Milestones!$AA$192),"dd mmm yy"))&amp;" "&amp;Milestones!$AB$192&amp;" "&amp;Milestones!$AC$192&amp;";  ","")&amp;IF(AND(EDATE($D118,Milestones!$AA$193)&lt;=AsOfDate,IF($R118=0,$X118,IF(AND($T118&lt;&gt;"",EDATE($D118,Milestones!$AA$193)&gt;=$T118),$W118,IF(AND($S118&lt;&gt;"",EDATE($D118,Milestones!$AA$193)&gt;=$S118),$V118,$U118)))=Milestones!$AB$193),UPPER(TEXT(EDATE($D118,Milestones!$AA$193),"dd mmm yy"))&amp;" "&amp;Milestones!$AB$193&amp;" "&amp;Milestones!$AC$193&amp;";  ","")&amp;IF(AND(EDATE($D118,Milestones!$AA$194)&lt;=AsOfDate,IF($R118=0,$X118,IF(AND($T118&lt;&gt;"",EDATE($D118,Milestones!$AA$194)&gt;=$T118),$W118,IF(AND($S118&lt;&gt;"",EDATE($D118,Milestones!$AA$194)&gt;=$S118),$V118,$U118)))=Milestones!$AB$194),UPPER(TEXT(EDATE($D118,Milestones!$AA$194),"dd mmm yy"))&amp;" "&amp;Milestones!$AB$194&amp;" "&amp;Milestones!$AC$194&amp;";  ","")&amp;IF(AND(EDATE($D118,Milestones!$AA$195)&lt;=AsOfDate,IF($R118=0,$X118,IF(AND($T118&lt;&gt;"",EDATE($D118,Milestones!$AA$195)&gt;=$T118),$W118,IF(AND($S118&lt;&gt;"",EDATE($D118,Milestones!$AA$195)&gt;=$S118),$V118,$U118)))=Milestones!$AB$195),UPPER(TEXT(EDATE($D118,Milestones!$AA$195),"dd mmm yy"))&amp;" "&amp;Milestones!$AB$195&amp;" "&amp;Milestones!$AC$195&amp;";  ","")&amp;IF(AND(EDATE($D118,Milestones!$AA$196)&lt;=AsOfDate,IF($R118=0,$X118,IF(AND($T118&lt;&gt;"",EDATE($D118,Milestones!$AA$196)&gt;=$T118),$W118,IF(AND($S118&lt;&gt;"",EDATE($D118,Milestones!$AA$196)&gt;=$S118),$V118,$U118)))=Milestones!$AB$196),UPPER(TEXT(EDATE($D118,Milestones!$AA$196),"dd mmm yy"))&amp;" "&amp;Milestones!$AB$196&amp;" "&amp;Milestones!$AC$196&amp;";  ","")&amp;IF(AND(EDATE($D118,Milestones!$AA$197)&lt;=AsOfDate,IF($R118=0,$X118,IF(AND($T118&lt;&gt;"",EDATE($D118,Milestones!$AA$197)&gt;=$T118),$W118,IF(AND($S118&lt;&gt;"",EDATE($D118,Milestones!$AA$197)&gt;=$S118),$V118,$U118)))=Milestones!$AB$197),UPPER(TEXT(EDATE($D118,Milestones!$AA$197),"dd mmm yy"))&amp;" "&amp;Milestones!$AB$197&amp;" "&amp;Milestones!$AC$197&amp;";  ","")&amp;IF(AND(EDATE($D118,Milestones!$AA$198)&lt;=AsOfDate,IF($R118=0,$X118,IF(AND($T118&lt;&gt;"",EDATE($D118,Milestones!$AA$198)&gt;=$T118),$W118,IF(AND($S118&lt;&gt;"",EDATE($D118,Milestones!$AA$198)&gt;=$S118),$V118,$U118)))=Milestones!$AB$198),UPPER(TEXT(EDATE($D118,Milestones!$AA$198),"dd mmm yy"))&amp;" "&amp;Milestones!$AB$198&amp;" "&amp;Milestones!$AC$198&amp;";  ","")&amp;IF(AND(EDATE($D118,Milestones!$AA$199)&lt;=AsOfDate,IF($R118=0,$X118,IF(AND($T118&lt;&gt;"",EDATE($D118,Milestones!$AA$199)&gt;=$T118),$W118,IF(AND($S118&lt;&gt;"",EDATE($D118,Milestones!$AA$199)&gt;=$S118),$V118,$U118)))=Milestones!$AB$199),UPPER(TEXT(EDATE($D118,Milestones!$AA$199),"dd mmm yy"))&amp;" "&amp;Milestones!$AB$199&amp;" "&amp;Milestones!$AC$199&amp;";  ",""))</f>
        <v/>
      </c>
      <c r="R118" s="0" t="str">
        <f aca="false">IF(Staff!$A118="","",Staff!$AI118)</f>
        <v/>
      </c>
      <c r="S118" s="0" t="str">
        <f aca="false">IF(Staff!$A118="","",Staff!$AK118)</f>
        <v/>
      </c>
      <c r="T118" s="0" t="str">
        <f aca="false">IF(Staff!$A118="","",Staff!$AL118)</f>
        <v/>
      </c>
      <c r="U118" s="0" t="str">
        <f aca="false">IF(Staff!$A118="","",Staff!$AP118)</f>
        <v/>
      </c>
      <c r="V118" s="0" t="str">
        <f aca="false">IF(Staff!$A118="","",Staff!$AQ118)</f>
        <v/>
      </c>
      <c r="W118" s="0" t="str">
        <f aca="false">IF(Staff!$A118="","",Staff!$AR118)</f>
        <v/>
      </c>
      <c r="X118" s="0" t="str">
        <f aca="false">IF(Staff!$A118="","",Staff!$AS118)</f>
        <v/>
      </c>
    </row>
    <row r="119" customFormat="false" ht="15" hidden="false" customHeight="false" outlineLevel="0" collapsed="false">
      <c r="A119" s="14" t="str">
        <f aca="false">IF(Staff!$A119="","",Staff!$A119)</f>
        <v/>
      </c>
      <c r="B119" s="14" t="str">
        <f aca="false">IF(Staff!$A119="","",Staff!$B119)</f>
        <v/>
      </c>
      <c r="C119" s="14" t="str">
        <f aca="false">IF(Staff!$A119="","",Staff!$C119)</f>
        <v/>
      </c>
      <c r="D119" s="12" t="str">
        <f aca="false">IF(Staff!$A119="","",Staff!$AH119)</f>
        <v/>
      </c>
      <c r="E119" s="14" t="str">
        <f aca="false">IF(Staff!$A119="","",Staff!$O119)</f>
        <v/>
      </c>
      <c r="F119" s="14" t="str">
        <f aca="false">IF(E119="","",E119*HoursPerDay)</f>
        <v/>
      </c>
      <c r="G119" s="14" t="str">
        <f aca="false">IF(Staff!$A119="","",Staff!$AE119)</f>
        <v/>
      </c>
      <c r="H119" s="26" t="str">
        <f aca="false">IF($A119="","",I119&amp;J119&amp;K119&amp;L119&amp;M119&amp;N119&amp;O119&amp;P119&amp;Q119)</f>
        <v/>
      </c>
      <c r="I119" s="0" t="str">
        <f aca="false">IF(OR($A119="",$D119=""),"",IF(AND(EDATE($D119,Milestones!$AA$20)&lt;=AsOfDate,IF($R119=0,$X119,IF(AND($T119&lt;&gt;"",EDATE($D119,Milestones!$AA$20)&gt;=$T119),$W119,IF(AND($S119&lt;&gt;"",EDATE($D119,Milestones!$AA$20)&gt;=$S119),$V119,$U119)))=Milestones!$AB$20),UPPER(TEXT(EDATE($D119,Milestones!$AA$20),"dd mmm yy"))&amp;" "&amp;Milestones!$AB$20&amp;" "&amp;Milestones!$AC$20&amp;";  ","")&amp;IF(AND(EDATE($D119,Milestones!$AA$21)&lt;=AsOfDate,IF($R119=0,$X119,IF(AND($T119&lt;&gt;"",EDATE($D119,Milestones!$AA$21)&gt;=$T119),$W119,IF(AND($S119&lt;&gt;"",EDATE($D119,Milestones!$AA$21)&gt;=$S119),$V119,$U119)))=Milestones!$AB$21),UPPER(TEXT(EDATE($D119,Milestones!$AA$21),"dd mmm yy"))&amp;" "&amp;Milestones!$AB$21&amp;" "&amp;Milestones!$AC$21&amp;";  ","")&amp;IF(AND(EDATE($D119,Milestones!$AA$22)&lt;=AsOfDate,IF($R119=0,$X119,IF(AND($T119&lt;&gt;"",EDATE($D119,Milestones!$AA$22)&gt;=$T119),$W119,IF(AND($S119&lt;&gt;"",EDATE($D119,Milestones!$AA$22)&gt;=$S119),$V119,$U119)))=Milestones!$AB$22),UPPER(TEXT(EDATE($D119,Milestones!$AA$22),"dd mmm yy"))&amp;" "&amp;Milestones!$AB$22&amp;" "&amp;Milestones!$AC$22&amp;";  ","")&amp;IF(AND(EDATE($D119,Milestones!$AA$23)&lt;=AsOfDate,IF($R119=0,$X119,IF(AND($T119&lt;&gt;"",EDATE($D119,Milestones!$AA$23)&gt;=$T119),$W119,IF(AND($S119&lt;&gt;"",EDATE($D119,Milestones!$AA$23)&gt;=$S119),$V119,$U119)))=Milestones!$AB$23),UPPER(TEXT(EDATE($D119,Milestones!$AA$23),"dd mmm yy"))&amp;" "&amp;Milestones!$AB$23&amp;" "&amp;Milestones!$AC$23&amp;";  ","")&amp;IF(AND(EDATE($D119,Milestones!$AA$24)&lt;=AsOfDate,IF($R119=0,$X119,IF(AND($T119&lt;&gt;"",EDATE($D119,Milestones!$AA$24)&gt;=$T119),$W119,IF(AND($S119&lt;&gt;"",EDATE($D119,Milestones!$AA$24)&gt;=$S119),$V119,$U119)))=Milestones!$AB$24),UPPER(TEXT(EDATE($D119,Milestones!$AA$24),"dd mmm yy"))&amp;" "&amp;Milestones!$AB$24&amp;" "&amp;Milestones!$AC$24&amp;";  ","")&amp;IF(AND(EDATE($D119,Milestones!$AA$25)&lt;=AsOfDate,IF($R119=0,$X119,IF(AND($T119&lt;&gt;"",EDATE($D119,Milestones!$AA$25)&gt;=$T119),$W119,IF(AND($S119&lt;&gt;"",EDATE($D119,Milestones!$AA$25)&gt;=$S119),$V119,$U119)))=Milestones!$AB$25),UPPER(TEXT(EDATE($D119,Milestones!$AA$25),"dd mmm yy"))&amp;" "&amp;Milestones!$AB$25&amp;" "&amp;Milestones!$AC$25&amp;";  ","")&amp;IF(AND(EDATE($D119,Milestones!$AA$26)&lt;=AsOfDate,IF($R119=0,$X119,IF(AND($T119&lt;&gt;"",EDATE($D119,Milestones!$AA$26)&gt;=$T119),$W119,IF(AND($S119&lt;&gt;"",EDATE($D119,Milestones!$AA$26)&gt;=$S119),$V119,$U119)))=Milestones!$AB$26),UPPER(TEXT(EDATE($D119,Milestones!$AA$26),"dd mmm yy"))&amp;" "&amp;Milestones!$AB$26&amp;" "&amp;Milestones!$AC$26&amp;";  ","")&amp;IF(AND(EDATE($D119,Milestones!$AA$27)&lt;=AsOfDate,IF($R119=0,$X119,IF(AND($T119&lt;&gt;"",EDATE($D119,Milestones!$AA$27)&gt;=$T119),$W119,IF(AND($S119&lt;&gt;"",EDATE($D119,Milestones!$AA$27)&gt;=$S119),$V119,$U119)))=Milestones!$AB$27),UPPER(TEXT(EDATE($D119,Milestones!$AA$27),"dd mmm yy"))&amp;" "&amp;Milestones!$AB$27&amp;" "&amp;Milestones!$AC$27&amp;";  ","")&amp;IF(AND(EDATE($D119,Milestones!$AA$28)&lt;=AsOfDate,IF($R119=0,$X119,IF(AND($T119&lt;&gt;"",EDATE($D119,Milestones!$AA$28)&gt;=$T119),$W119,IF(AND($S119&lt;&gt;"",EDATE($D119,Milestones!$AA$28)&gt;=$S119),$V119,$U119)))=Milestones!$AB$28),UPPER(TEXT(EDATE($D119,Milestones!$AA$28),"dd mmm yy"))&amp;" "&amp;Milestones!$AB$28&amp;" "&amp;Milestones!$AC$28&amp;";  ","")&amp;IF(AND(EDATE($D119,Milestones!$AA$29)&lt;=AsOfDate,IF($R119=0,$X119,IF(AND($T119&lt;&gt;"",EDATE($D119,Milestones!$AA$29)&gt;=$T119),$W119,IF(AND($S119&lt;&gt;"",EDATE($D119,Milestones!$AA$29)&gt;=$S119),$V119,$U119)))=Milestones!$AB$29),UPPER(TEXT(EDATE($D119,Milestones!$AA$29),"dd mmm yy"))&amp;" "&amp;Milestones!$AB$29&amp;" "&amp;Milestones!$AC$29&amp;";  ","")&amp;IF(AND(EDATE($D119,Milestones!$AA$30)&lt;=AsOfDate,IF($R119=0,$X119,IF(AND($T119&lt;&gt;"",EDATE($D119,Milestones!$AA$30)&gt;=$T119),$W119,IF(AND($S119&lt;&gt;"",EDATE($D119,Milestones!$AA$30)&gt;=$S119),$V119,$U119)))=Milestones!$AB$30),UPPER(TEXT(EDATE($D119,Milestones!$AA$30),"dd mmm yy"))&amp;" "&amp;Milestones!$AB$30&amp;" "&amp;Milestones!$AC$30&amp;";  ","")&amp;IF(AND(EDATE($D119,Milestones!$AA$31)&lt;=AsOfDate,IF($R119=0,$X119,IF(AND($T119&lt;&gt;"",EDATE($D119,Milestones!$AA$31)&gt;=$T119),$W119,IF(AND($S119&lt;&gt;"",EDATE($D119,Milestones!$AA$31)&gt;=$S119),$V119,$U119)))=Milestones!$AB$31),UPPER(TEXT(EDATE($D119,Milestones!$AA$31),"dd mmm yy"))&amp;" "&amp;Milestones!$AB$31&amp;" "&amp;Milestones!$AC$31&amp;";  ","")&amp;IF(AND(EDATE($D119,Milestones!$AA$32)&lt;=AsOfDate,IF($R119=0,$X119,IF(AND($T119&lt;&gt;"",EDATE($D119,Milestones!$AA$32)&gt;=$T119),$W119,IF(AND($S119&lt;&gt;"",EDATE($D119,Milestones!$AA$32)&gt;=$S119),$V119,$U119)))=Milestones!$AB$32),UPPER(TEXT(EDATE($D119,Milestones!$AA$32),"dd mmm yy"))&amp;" "&amp;Milestones!$AB$32&amp;" "&amp;Milestones!$AC$32&amp;";  ","")&amp;IF(AND(EDATE($D119,Milestones!$AA$33)&lt;=AsOfDate,IF($R119=0,$X119,IF(AND($T119&lt;&gt;"",EDATE($D119,Milestones!$AA$33)&gt;=$T119),$W119,IF(AND($S119&lt;&gt;"",EDATE($D119,Milestones!$AA$33)&gt;=$S119),$V119,$U119)))=Milestones!$AB$33),UPPER(TEXT(EDATE($D119,Milestones!$AA$33),"dd mmm yy"))&amp;" "&amp;Milestones!$AB$33&amp;" "&amp;Milestones!$AC$33&amp;";  ","")&amp;IF(AND(EDATE($D119,Milestones!$AA$34)&lt;=AsOfDate,IF($R119=0,$X119,IF(AND($T119&lt;&gt;"",EDATE($D119,Milestones!$AA$34)&gt;=$T119),$W119,IF(AND($S119&lt;&gt;"",EDATE($D119,Milestones!$AA$34)&gt;=$S119),$V119,$U119)))=Milestones!$AB$34),UPPER(TEXT(EDATE($D119,Milestones!$AA$34),"dd mmm yy"))&amp;" "&amp;Milestones!$AB$34&amp;" "&amp;Milestones!$AC$34&amp;";  ","")&amp;IF(AND(EDATE($D119,Milestones!$AA$35)&lt;=AsOfDate,IF($R119=0,$X119,IF(AND($T119&lt;&gt;"",EDATE($D119,Milestones!$AA$35)&gt;=$T119),$W119,IF(AND($S119&lt;&gt;"",EDATE($D119,Milestones!$AA$35)&gt;=$S119),$V119,$U119)))=Milestones!$AB$35),UPPER(TEXT(EDATE($D119,Milestones!$AA$35),"dd mmm yy"))&amp;" "&amp;Milestones!$AB$35&amp;" "&amp;Milestones!$AC$35&amp;";  ","")&amp;IF(AND(EDATE($D119,Milestones!$AA$36)&lt;=AsOfDate,IF($R119=0,$X119,IF(AND($T119&lt;&gt;"",EDATE($D119,Milestones!$AA$36)&gt;=$T119),$W119,IF(AND($S119&lt;&gt;"",EDATE($D119,Milestones!$AA$36)&gt;=$S119),$V119,$U119)))=Milestones!$AB$36),UPPER(TEXT(EDATE($D119,Milestones!$AA$36),"dd mmm yy"))&amp;" "&amp;Milestones!$AB$36&amp;" "&amp;Milestones!$AC$36&amp;";  ","")&amp;IF(AND(EDATE($D119,Milestones!$AA$37)&lt;=AsOfDate,IF($R119=0,$X119,IF(AND($T119&lt;&gt;"",EDATE($D119,Milestones!$AA$37)&gt;=$T119),$W119,IF(AND($S119&lt;&gt;"",EDATE($D119,Milestones!$AA$37)&gt;=$S119),$V119,$U119)))=Milestones!$AB$37),UPPER(TEXT(EDATE($D119,Milestones!$AA$37),"dd mmm yy"))&amp;" "&amp;Milestones!$AB$37&amp;" "&amp;Milestones!$AC$37&amp;";  ","")&amp;IF(AND(EDATE($D119,Milestones!$AA$38)&lt;=AsOfDate,IF($R119=0,$X119,IF(AND($T119&lt;&gt;"",EDATE($D119,Milestones!$AA$38)&gt;=$T119),$W119,IF(AND($S119&lt;&gt;"",EDATE($D119,Milestones!$AA$38)&gt;=$S119),$V119,$U119)))=Milestones!$AB$38),UPPER(TEXT(EDATE($D119,Milestones!$AA$38),"dd mmm yy"))&amp;" "&amp;Milestones!$AB$38&amp;" "&amp;Milestones!$AC$38&amp;";  ","")&amp;IF(AND(EDATE($D119,Milestones!$AA$39)&lt;=AsOfDate,IF($R119=0,$X119,IF(AND($T119&lt;&gt;"",EDATE($D119,Milestones!$AA$39)&gt;=$T119),$W119,IF(AND($S119&lt;&gt;"",EDATE($D119,Milestones!$AA$39)&gt;=$S119),$V119,$U119)))=Milestones!$AB$39),UPPER(TEXT(EDATE($D119,Milestones!$AA$39),"dd mmm yy"))&amp;" "&amp;Milestones!$AB$39&amp;" "&amp;Milestones!$AC$39&amp;";  ",""))</f>
        <v/>
      </c>
      <c r="J119" s="0" t="str">
        <f aca="false">IF(OR($A119="",$D119=""),"",IF(AND(EDATE($D119,Milestones!$AA$40)&lt;=AsOfDate,IF($R119=0,$X119,IF(AND($T119&lt;&gt;"",EDATE($D119,Milestones!$AA$40)&gt;=$T119),$W119,IF(AND($S119&lt;&gt;"",EDATE($D119,Milestones!$AA$40)&gt;=$S119),$V119,$U119)))=Milestones!$AB$40),UPPER(TEXT(EDATE($D119,Milestones!$AA$40),"dd mmm yy"))&amp;" "&amp;Milestones!$AB$40&amp;" "&amp;Milestones!$AC$40&amp;";  ","")&amp;IF(AND(EDATE($D119,Milestones!$AA$41)&lt;=AsOfDate,IF($R119=0,$X119,IF(AND($T119&lt;&gt;"",EDATE($D119,Milestones!$AA$41)&gt;=$T119),$W119,IF(AND($S119&lt;&gt;"",EDATE($D119,Milestones!$AA$41)&gt;=$S119),$V119,$U119)))=Milestones!$AB$41),UPPER(TEXT(EDATE($D119,Milestones!$AA$41),"dd mmm yy"))&amp;" "&amp;Milestones!$AB$41&amp;" "&amp;Milestones!$AC$41&amp;";  ","")&amp;IF(AND(EDATE($D119,Milestones!$AA$42)&lt;=AsOfDate,IF($R119=0,$X119,IF(AND($T119&lt;&gt;"",EDATE($D119,Milestones!$AA$42)&gt;=$T119),$W119,IF(AND($S119&lt;&gt;"",EDATE($D119,Milestones!$AA$42)&gt;=$S119),$V119,$U119)))=Milestones!$AB$42),UPPER(TEXT(EDATE($D119,Milestones!$AA$42),"dd mmm yy"))&amp;" "&amp;Milestones!$AB$42&amp;" "&amp;Milestones!$AC$42&amp;";  ","")&amp;IF(AND(EDATE($D119,Milestones!$AA$43)&lt;=AsOfDate,IF($R119=0,$X119,IF(AND($T119&lt;&gt;"",EDATE($D119,Milestones!$AA$43)&gt;=$T119),$W119,IF(AND($S119&lt;&gt;"",EDATE($D119,Milestones!$AA$43)&gt;=$S119),$V119,$U119)))=Milestones!$AB$43),UPPER(TEXT(EDATE($D119,Milestones!$AA$43),"dd mmm yy"))&amp;" "&amp;Milestones!$AB$43&amp;" "&amp;Milestones!$AC$43&amp;";  ","")&amp;IF(AND(EDATE($D119,Milestones!$AA$44)&lt;=AsOfDate,IF($R119=0,$X119,IF(AND($T119&lt;&gt;"",EDATE($D119,Milestones!$AA$44)&gt;=$T119),$W119,IF(AND($S119&lt;&gt;"",EDATE($D119,Milestones!$AA$44)&gt;=$S119),$V119,$U119)))=Milestones!$AB$44),UPPER(TEXT(EDATE($D119,Milestones!$AA$44),"dd mmm yy"))&amp;" "&amp;Milestones!$AB$44&amp;" "&amp;Milestones!$AC$44&amp;";  ","")&amp;IF(AND(EDATE($D119,Milestones!$AA$45)&lt;=AsOfDate,IF($R119=0,$X119,IF(AND($T119&lt;&gt;"",EDATE($D119,Milestones!$AA$45)&gt;=$T119),$W119,IF(AND($S119&lt;&gt;"",EDATE($D119,Milestones!$AA$45)&gt;=$S119),$V119,$U119)))=Milestones!$AB$45),UPPER(TEXT(EDATE($D119,Milestones!$AA$45),"dd mmm yy"))&amp;" "&amp;Milestones!$AB$45&amp;" "&amp;Milestones!$AC$45&amp;";  ","")&amp;IF(AND(EDATE($D119,Milestones!$AA$46)&lt;=AsOfDate,IF($R119=0,$X119,IF(AND($T119&lt;&gt;"",EDATE($D119,Milestones!$AA$46)&gt;=$T119),$W119,IF(AND($S119&lt;&gt;"",EDATE($D119,Milestones!$AA$46)&gt;=$S119),$V119,$U119)))=Milestones!$AB$46),UPPER(TEXT(EDATE($D119,Milestones!$AA$46),"dd mmm yy"))&amp;" "&amp;Milestones!$AB$46&amp;" "&amp;Milestones!$AC$46&amp;";  ","")&amp;IF(AND(EDATE($D119,Milestones!$AA$47)&lt;=AsOfDate,IF($R119=0,$X119,IF(AND($T119&lt;&gt;"",EDATE($D119,Milestones!$AA$47)&gt;=$T119),$W119,IF(AND($S119&lt;&gt;"",EDATE($D119,Milestones!$AA$47)&gt;=$S119),$V119,$U119)))=Milestones!$AB$47),UPPER(TEXT(EDATE($D119,Milestones!$AA$47),"dd mmm yy"))&amp;" "&amp;Milestones!$AB$47&amp;" "&amp;Milestones!$AC$47&amp;";  ","")&amp;IF(AND(EDATE($D119,Milestones!$AA$48)&lt;=AsOfDate,IF($R119=0,$X119,IF(AND($T119&lt;&gt;"",EDATE($D119,Milestones!$AA$48)&gt;=$T119),$W119,IF(AND($S119&lt;&gt;"",EDATE($D119,Milestones!$AA$48)&gt;=$S119),$V119,$U119)))=Milestones!$AB$48),UPPER(TEXT(EDATE($D119,Milestones!$AA$48),"dd mmm yy"))&amp;" "&amp;Milestones!$AB$48&amp;" "&amp;Milestones!$AC$48&amp;";  ","")&amp;IF(AND(EDATE($D119,Milestones!$AA$49)&lt;=AsOfDate,IF($R119=0,$X119,IF(AND($T119&lt;&gt;"",EDATE($D119,Milestones!$AA$49)&gt;=$T119),$W119,IF(AND($S119&lt;&gt;"",EDATE($D119,Milestones!$AA$49)&gt;=$S119),$V119,$U119)))=Milestones!$AB$49),UPPER(TEXT(EDATE($D119,Milestones!$AA$49),"dd mmm yy"))&amp;" "&amp;Milestones!$AB$49&amp;" "&amp;Milestones!$AC$49&amp;";  ","")&amp;IF(AND(EDATE($D119,Milestones!$AA$50)&lt;=AsOfDate,IF($R119=0,$X119,IF(AND($T119&lt;&gt;"",EDATE($D119,Milestones!$AA$50)&gt;=$T119),$W119,IF(AND($S119&lt;&gt;"",EDATE($D119,Milestones!$AA$50)&gt;=$S119),$V119,$U119)))=Milestones!$AB$50),UPPER(TEXT(EDATE($D119,Milestones!$AA$50),"dd mmm yy"))&amp;" "&amp;Milestones!$AB$50&amp;" "&amp;Milestones!$AC$50&amp;";  ","")&amp;IF(AND(EDATE($D119,Milestones!$AA$51)&lt;=AsOfDate,IF($R119=0,$X119,IF(AND($T119&lt;&gt;"",EDATE($D119,Milestones!$AA$51)&gt;=$T119),$W119,IF(AND($S119&lt;&gt;"",EDATE($D119,Milestones!$AA$51)&gt;=$S119),$V119,$U119)))=Milestones!$AB$51),UPPER(TEXT(EDATE($D119,Milestones!$AA$51),"dd mmm yy"))&amp;" "&amp;Milestones!$AB$51&amp;" "&amp;Milestones!$AC$51&amp;";  ","")&amp;IF(AND(EDATE($D119,Milestones!$AA$52)&lt;=AsOfDate,IF($R119=0,$X119,IF(AND($T119&lt;&gt;"",EDATE($D119,Milestones!$AA$52)&gt;=$T119),$W119,IF(AND($S119&lt;&gt;"",EDATE($D119,Milestones!$AA$52)&gt;=$S119),$V119,$U119)))=Milestones!$AB$52),UPPER(TEXT(EDATE($D119,Milestones!$AA$52),"dd mmm yy"))&amp;" "&amp;Milestones!$AB$52&amp;" "&amp;Milestones!$AC$52&amp;";  ","")&amp;IF(AND(EDATE($D119,Milestones!$AA$53)&lt;=AsOfDate,IF($R119=0,$X119,IF(AND($T119&lt;&gt;"",EDATE($D119,Milestones!$AA$53)&gt;=$T119),$W119,IF(AND($S119&lt;&gt;"",EDATE($D119,Milestones!$AA$53)&gt;=$S119),$V119,$U119)))=Milestones!$AB$53),UPPER(TEXT(EDATE($D119,Milestones!$AA$53),"dd mmm yy"))&amp;" "&amp;Milestones!$AB$53&amp;" "&amp;Milestones!$AC$53&amp;";  ","")&amp;IF(AND(EDATE($D119,Milestones!$AA$54)&lt;=AsOfDate,IF($R119=0,$X119,IF(AND($T119&lt;&gt;"",EDATE($D119,Milestones!$AA$54)&gt;=$T119),$W119,IF(AND($S119&lt;&gt;"",EDATE($D119,Milestones!$AA$54)&gt;=$S119),$V119,$U119)))=Milestones!$AB$54),UPPER(TEXT(EDATE($D119,Milestones!$AA$54),"dd mmm yy"))&amp;" "&amp;Milestones!$AB$54&amp;" "&amp;Milestones!$AC$54&amp;";  ","")&amp;IF(AND(EDATE($D119,Milestones!$AA$55)&lt;=AsOfDate,IF($R119=0,$X119,IF(AND($T119&lt;&gt;"",EDATE($D119,Milestones!$AA$55)&gt;=$T119),$W119,IF(AND($S119&lt;&gt;"",EDATE($D119,Milestones!$AA$55)&gt;=$S119),$V119,$U119)))=Milestones!$AB$55),UPPER(TEXT(EDATE($D119,Milestones!$AA$55),"dd mmm yy"))&amp;" "&amp;Milestones!$AB$55&amp;" "&amp;Milestones!$AC$55&amp;";  ","")&amp;IF(AND(EDATE($D119,Milestones!$AA$56)&lt;=AsOfDate,IF($R119=0,$X119,IF(AND($T119&lt;&gt;"",EDATE($D119,Milestones!$AA$56)&gt;=$T119),$W119,IF(AND($S119&lt;&gt;"",EDATE($D119,Milestones!$AA$56)&gt;=$S119),$V119,$U119)))=Milestones!$AB$56),UPPER(TEXT(EDATE($D119,Milestones!$AA$56),"dd mmm yy"))&amp;" "&amp;Milestones!$AB$56&amp;" "&amp;Milestones!$AC$56&amp;";  ","")&amp;IF(AND(EDATE($D119,Milestones!$AA$57)&lt;=AsOfDate,IF($R119=0,$X119,IF(AND($T119&lt;&gt;"",EDATE($D119,Milestones!$AA$57)&gt;=$T119),$W119,IF(AND($S119&lt;&gt;"",EDATE($D119,Milestones!$AA$57)&gt;=$S119),$V119,$U119)))=Milestones!$AB$57),UPPER(TEXT(EDATE($D119,Milestones!$AA$57),"dd mmm yy"))&amp;" "&amp;Milestones!$AB$57&amp;" "&amp;Milestones!$AC$57&amp;";  ","")&amp;IF(AND(EDATE($D119,Milestones!$AA$58)&lt;=AsOfDate,IF($R119=0,$X119,IF(AND($T119&lt;&gt;"",EDATE($D119,Milestones!$AA$58)&gt;=$T119),$W119,IF(AND($S119&lt;&gt;"",EDATE($D119,Milestones!$AA$58)&gt;=$S119),$V119,$U119)))=Milestones!$AB$58),UPPER(TEXT(EDATE($D119,Milestones!$AA$58),"dd mmm yy"))&amp;" "&amp;Milestones!$AB$58&amp;" "&amp;Milestones!$AC$58&amp;";  ","")&amp;IF(AND(EDATE($D119,Milestones!$AA$59)&lt;=AsOfDate,IF($R119=0,$X119,IF(AND($T119&lt;&gt;"",EDATE($D119,Milestones!$AA$59)&gt;=$T119),$W119,IF(AND($S119&lt;&gt;"",EDATE($D119,Milestones!$AA$59)&gt;=$S119),$V119,$U119)))=Milestones!$AB$59),UPPER(TEXT(EDATE($D119,Milestones!$AA$59),"dd mmm yy"))&amp;" "&amp;Milestones!$AB$59&amp;" "&amp;Milestones!$AC$59&amp;";  ",""))</f>
        <v/>
      </c>
      <c r="K119" s="0" t="str">
        <f aca="false">IF(OR($A119="",$D119=""),"",IF(AND(EDATE($D119,Milestones!$AA$60)&lt;=AsOfDate,IF($R119=0,$X119,IF(AND($T119&lt;&gt;"",EDATE($D119,Milestones!$AA$60)&gt;=$T119),$W119,IF(AND($S119&lt;&gt;"",EDATE($D119,Milestones!$AA$60)&gt;=$S119),$V119,$U119)))=Milestones!$AB$60),UPPER(TEXT(EDATE($D119,Milestones!$AA$60),"dd mmm yy"))&amp;" "&amp;Milestones!$AB$60&amp;" "&amp;Milestones!$AC$60&amp;";  ","")&amp;IF(AND(EDATE($D119,Milestones!$AA$61)&lt;=AsOfDate,IF($R119=0,$X119,IF(AND($T119&lt;&gt;"",EDATE($D119,Milestones!$AA$61)&gt;=$T119),$W119,IF(AND($S119&lt;&gt;"",EDATE($D119,Milestones!$AA$61)&gt;=$S119),$V119,$U119)))=Milestones!$AB$61),UPPER(TEXT(EDATE($D119,Milestones!$AA$61),"dd mmm yy"))&amp;" "&amp;Milestones!$AB$61&amp;" "&amp;Milestones!$AC$61&amp;";  ","")&amp;IF(AND(EDATE($D119,Milestones!$AA$62)&lt;=AsOfDate,IF($R119=0,$X119,IF(AND($T119&lt;&gt;"",EDATE($D119,Milestones!$AA$62)&gt;=$T119),$W119,IF(AND($S119&lt;&gt;"",EDATE($D119,Milestones!$AA$62)&gt;=$S119),$V119,$U119)))=Milestones!$AB$62),UPPER(TEXT(EDATE($D119,Milestones!$AA$62),"dd mmm yy"))&amp;" "&amp;Milestones!$AB$62&amp;" "&amp;Milestones!$AC$62&amp;";  ","")&amp;IF(AND(EDATE($D119,Milestones!$AA$63)&lt;=AsOfDate,IF($R119=0,$X119,IF(AND($T119&lt;&gt;"",EDATE($D119,Milestones!$AA$63)&gt;=$T119),$W119,IF(AND($S119&lt;&gt;"",EDATE($D119,Milestones!$AA$63)&gt;=$S119),$V119,$U119)))=Milestones!$AB$63),UPPER(TEXT(EDATE($D119,Milestones!$AA$63),"dd mmm yy"))&amp;" "&amp;Milestones!$AB$63&amp;" "&amp;Milestones!$AC$63&amp;";  ","")&amp;IF(AND(EDATE($D119,Milestones!$AA$64)&lt;=AsOfDate,IF($R119=0,$X119,IF(AND($T119&lt;&gt;"",EDATE($D119,Milestones!$AA$64)&gt;=$T119),$W119,IF(AND($S119&lt;&gt;"",EDATE($D119,Milestones!$AA$64)&gt;=$S119),$V119,$U119)))=Milestones!$AB$64),UPPER(TEXT(EDATE($D119,Milestones!$AA$64),"dd mmm yy"))&amp;" "&amp;Milestones!$AB$64&amp;" "&amp;Milestones!$AC$64&amp;";  ","")&amp;IF(AND(EDATE($D119,Milestones!$AA$65)&lt;=AsOfDate,IF($R119=0,$X119,IF(AND($T119&lt;&gt;"",EDATE($D119,Milestones!$AA$65)&gt;=$T119),$W119,IF(AND($S119&lt;&gt;"",EDATE($D119,Milestones!$AA$65)&gt;=$S119),$V119,$U119)))=Milestones!$AB$65),UPPER(TEXT(EDATE($D119,Milestones!$AA$65),"dd mmm yy"))&amp;" "&amp;Milestones!$AB$65&amp;" "&amp;Milestones!$AC$65&amp;";  ","")&amp;IF(AND(EDATE($D119,Milestones!$AA$66)&lt;=AsOfDate,IF($R119=0,$X119,IF(AND($T119&lt;&gt;"",EDATE($D119,Milestones!$AA$66)&gt;=$T119),$W119,IF(AND($S119&lt;&gt;"",EDATE($D119,Milestones!$AA$66)&gt;=$S119),$V119,$U119)))=Milestones!$AB$66),UPPER(TEXT(EDATE($D119,Milestones!$AA$66),"dd mmm yy"))&amp;" "&amp;Milestones!$AB$66&amp;" "&amp;Milestones!$AC$66&amp;";  ","")&amp;IF(AND(EDATE($D119,Milestones!$AA$67)&lt;=AsOfDate,IF($R119=0,$X119,IF(AND($T119&lt;&gt;"",EDATE($D119,Milestones!$AA$67)&gt;=$T119),$W119,IF(AND($S119&lt;&gt;"",EDATE($D119,Milestones!$AA$67)&gt;=$S119),$V119,$U119)))=Milestones!$AB$67),UPPER(TEXT(EDATE($D119,Milestones!$AA$67),"dd mmm yy"))&amp;" "&amp;Milestones!$AB$67&amp;" "&amp;Milestones!$AC$67&amp;";  ","")&amp;IF(AND(EDATE($D119,Milestones!$AA$68)&lt;=AsOfDate,IF($R119=0,$X119,IF(AND($T119&lt;&gt;"",EDATE($D119,Milestones!$AA$68)&gt;=$T119),$W119,IF(AND($S119&lt;&gt;"",EDATE($D119,Milestones!$AA$68)&gt;=$S119),$V119,$U119)))=Milestones!$AB$68),UPPER(TEXT(EDATE($D119,Milestones!$AA$68),"dd mmm yy"))&amp;" "&amp;Milestones!$AB$68&amp;" "&amp;Milestones!$AC$68&amp;";  ","")&amp;IF(AND(EDATE($D119,Milestones!$AA$69)&lt;=AsOfDate,IF($R119=0,$X119,IF(AND($T119&lt;&gt;"",EDATE($D119,Milestones!$AA$69)&gt;=$T119),$W119,IF(AND($S119&lt;&gt;"",EDATE($D119,Milestones!$AA$69)&gt;=$S119),$V119,$U119)))=Milestones!$AB$69),UPPER(TEXT(EDATE($D119,Milestones!$AA$69),"dd mmm yy"))&amp;" "&amp;Milestones!$AB$69&amp;" "&amp;Milestones!$AC$69&amp;";  ","")&amp;IF(AND(EDATE($D119,Milestones!$AA$70)&lt;=AsOfDate,IF($R119=0,$X119,IF(AND($T119&lt;&gt;"",EDATE($D119,Milestones!$AA$70)&gt;=$T119),$W119,IF(AND($S119&lt;&gt;"",EDATE($D119,Milestones!$AA$70)&gt;=$S119),$V119,$U119)))=Milestones!$AB$70),UPPER(TEXT(EDATE($D119,Milestones!$AA$70),"dd mmm yy"))&amp;" "&amp;Milestones!$AB$70&amp;" "&amp;Milestones!$AC$70&amp;";  ","")&amp;IF(AND(EDATE($D119,Milestones!$AA$71)&lt;=AsOfDate,IF($R119=0,$X119,IF(AND($T119&lt;&gt;"",EDATE($D119,Milestones!$AA$71)&gt;=$T119),$W119,IF(AND($S119&lt;&gt;"",EDATE($D119,Milestones!$AA$71)&gt;=$S119),$V119,$U119)))=Milestones!$AB$71),UPPER(TEXT(EDATE($D119,Milestones!$AA$71),"dd mmm yy"))&amp;" "&amp;Milestones!$AB$71&amp;" "&amp;Milestones!$AC$71&amp;";  ","")&amp;IF(AND(EDATE($D119,Milestones!$AA$72)&lt;=AsOfDate,IF($R119=0,$X119,IF(AND($T119&lt;&gt;"",EDATE($D119,Milestones!$AA$72)&gt;=$T119),$W119,IF(AND($S119&lt;&gt;"",EDATE($D119,Milestones!$AA$72)&gt;=$S119),$V119,$U119)))=Milestones!$AB$72),UPPER(TEXT(EDATE($D119,Milestones!$AA$72),"dd mmm yy"))&amp;" "&amp;Milestones!$AB$72&amp;" "&amp;Milestones!$AC$72&amp;";  ","")&amp;IF(AND(EDATE($D119,Milestones!$AA$73)&lt;=AsOfDate,IF($R119=0,$X119,IF(AND($T119&lt;&gt;"",EDATE($D119,Milestones!$AA$73)&gt;=$T119),$W119,IF(AND($S119&lt;&gt;"",EDATE($D119,Milestones!$AA$73)&gt;=$S119),$V119,$U119)))=Milestones!$AB$73),UPPER(TEXT(EDATE($D119,Milestones!$AA$73),"dd mmm yy"))&amp;" "&amp;Milestones!$AB$73&amp;" "&amp;Milestones!$AC$73&amp;";  ","")&amp;IF(AND(EDATE($D119,Milestones!$AA$74)&lt;=AsOfDate,IF($R119=0,$X119,IF(AND($T119&lt;&gt;"",EDATE($D119,Milestones!$AA$74)&gt;=$T119),$W119,IF(AND($S119&lt;&gt;"",EDATE($D119,Milestones!$AA$74)&gt;=$S119),$V119,$U119)))=Milestones!$AB$74),UPPER(TEXT(EDATE($D119,Milestones!$AA$74),"dd mmm yy"))&amp;" "&amp;Milestones!$AB$74&amp;" "&amp;Milestones!$AC$74&amp;";  ","")&amp;IF(AND(EDATE($D119,Milestones!$AA$75)&lt;=AsOfDate,IF($R119=0,$X119,IF(AND($T119&lt;&gt;"",EDATE($D119,Milestones!$AA$75)&gt;=$T119),$W119,IF(AND($S119&lt;&gt;"",EDATE($D119,Milestones!$AA$75)&gt;=$S119),$V119,$U119)))=Milestones!$AB$75),UPPER(TEXT(EDATE($D119,Milestones!$AA$75),"dd mmm yy"))&amp;" "&amp;Milestones!$AB$75&amp;" "&amp;Milestones!$AC$75&amp;";  ","")&amp;IF(AND(EDATE($D119,Milestones!$AA$76)&lt;=AsOfDate,IF($R119=0,$X119,IF(AND($T119&lt;&gt;"",EDATE($D119,Milestones!$AA$76)&gt;=$T119),$W119,IF(AND($S119&lt;&gt;"",EDATE($D119,Milestones!$AA$76)&gt;=$S119),$V119,$U119)))=Milestones!$AB$76),UPPER(TEXT(EDATE($D119,Milestones!$AA$76),"dd mmm yy"))&amp;" "&amp;Milestones!$AB$76&amp;" "&amp;Milestones!$AC$76&amp;";  ","")&amp;IF(AND(EDATE($D119,Milestones!$AA$77)&lt;=AsOfDate,IF($R119=0,$X119,IF(AND($T119&lt;&gt;"",EDATE($D119,Milestones!$AA$77)&gt;=$T119),$W119,IF(AND($S119&lt;&gt;"",EDATE($D119,Milestones!$AA$77)&gt;=$S119),$V119,$U119)))=Milestones!$AB$77),UPPER(TEXT(EDATE($D119,Milestones!$AA$77),"dd mmm yy"))&amp;" "&amp;Milestones!$AB$77&amp;" "&amp;Milestones!$AC$77&amp;";  ","")&amp;IF(AND(EDATE($D119,Milestones!$AA$78)&lt;=AsOfDate,IF($R119=0,$X119,IF(AND($T119&lt;&gt;"",EDATE($D119,Milestones!$AA$78)&gt;=$T119),$W119,IF(AND($S119&lt;&gt;"",EDATE($D119,Milestones!$AA$78)&gt;=$S119),$V119,$U119)))=Milestones!$AB$78),UPPER(TEXT(EDATE($D119,Milestones!$AA$78),"dd mmm yy"))&amp;" "&amp;Milestones!$AB$78&amp;" "&amp;Milestones!$AC$78&amp;";  ","")&amp;IF(AND(EDATE($D119,Milestones!$AA$79)&lt;=AsOfDate,IF($R119=0,$X119,IF(AND($T119&lt;&gt;"",EDATE($D119,Milestones!$AA$79)&gt;=$T119),$W119,IF(AND($S119&lt;&gt;"",EDATE($D119,Milestones!$AA$79)&gt;=$S119),$V119,$U119)))=Milestones!$AB$79),UPPER(TEXT(EDATE($D119,Milestones!$AA$79),"dd mmm yy"))&amp;" "&amp;Milestones!$AB$79&amp;" "&amp;Milestones!$AC$79&amp;";  ",""))</f>
        <v/>
      </c>
      <c r="L119" s="0" t="str">
        <f aca="false">IF(OR($A119="",$D119=""),"",IF(AND(EDATE($D119,Milestones!$AA$80)&lt;=AsOfDate,IF($R119=0,$X119,IF(AND($T119&lt;&gt;"",EDATE($D119,Milestones!$AA$80)&gt;=$T119),$W119,IF(AND($S119&lt;&gt;"",EDATE($D119,Milestones!$AA$80)&gt;=$S119),$V119,$U119)))=Milestones!$AB$80),UPPER(TEXT(EDATE($D119,Milestones!$AA$80),"dd mmm yy"))&amp;" "&amp;Milestones!$AB$80&amp;" "&amp;Milestones!$AC$80&amp;";  ","")&amp;IF(AND(EDATE($D119,Milestones!$AA$81)&lt;=AsOfDate,IF($R119=0,$X119,IF(AND($T119&lt;&gt;"",EDATE($D119,Milestones!$AA$81)&gt;=$T119),$W119,IF(AND($S119&lt;&gt;"",EDATE($D119,Milestones!$AA$81)&gt;=$S119),$V119,$U119)))=Milestones!$AB$81),UPPER(TEXT(EDATE($D119,Milestones!$AA$81),"dd mmm yy"))&amp;" "&amp;Milestones!$AB$81&amp;" "&amp;Milestones!$AC$81&amp;";  ","")&amp;IF(AND(EDATE($D119,Milestones!$AA$82)&lt;=AsOfDate,IF($R119=0,$X119,IF(AND($T119&lt;&gt;"",EDATE($D119,Milestones!$AA$82)&gt;=$T119),$W119,IF(AND($S119&lt;&gt;"",EDATE($D119,Milestones!$AA$82)&gt;=$S119),$V119,$U119)))=Milestones!$AB$82),UPPER(TEXT(EDATE($D119,Milestones!$AA$82),"dd mmm yy"))&amp;" "&amp;Milestones!$AB$82&amp;" "&amp;Milestones!$AC$82&amp;";  ","")&amp;IF(AND(EDATE($D119,Milestones!$AA$83)&lt;=AsOfDate,IF($R119=0,$X119,IF(AND($T119&lt;&gt;"",EDATE($D119,Milestones!$AA$83)&gt;=$T119),$W119,IF(AND($S119&lt;&gt;"",EDATE($D119,Milestones!$AA$83)&gt;=$S119),$V119,$U119)))=Milestones!$AB$83),UPPER(TEXT(EDATE($D119,Milestones!$AA$83),"dd mmm yy"))&amp;" "&amp;Milestones!$AB$83&amp;" "&amp;Milestones!$AC$83&amp;";  ","")&amp;IF(AND(EDATE($D119,Milestones!$AA$84)&lt;=AsOfDate,IF($R119=0,$X119,IF(AND($T119&lt;&gt;"",EDATE($D119,Milestones!$AA$84)&gt;=$T119),$W119,IF(AND($S119&lt;&gt;"",EDATE($D119,Milestones!$AA$84)&gt;=$S119),$V119,$U119)))=Milestones!$AB$84),UPPER(TEXT(EDATE($D119,Milestones!$AA$84),"dd mmm yy"))&amp;" "&amp;Milestones!$AB$84&amp;" "&amp;Milestones!$AC$84&amp;";  ","")&amp;IF(AND(EDATE($D119,Milestones!$AA$85)&lt;=AsOfDate,IF($R119=0,$X119,IF(AND($T119&lt;&gt;"",EDATE($D119,Milestones!$AA$85)&gt;=$T119),$W119,IF(AND($S119&lt;&gt;"",EDATE($D119,Milestones!$AA$85)&gt;=$S119),$V119,$U119)))=Milestones!$AB$85),UPPER(TEXT(EDATE($D119,Milestones!$AA$85),"dd mmm yy"))&amp;" "&amp;Milestones!$AB$85&amp;" "&amp;Milestones!$AC$85&amp;";  ","")&amp;IF(AND(EDATE($D119,Milestones!$AA$86)&lt;=AsOfDate,IF($R119=0,$X119,IF(AND($T119&lt;&gt;"",EDATE($D119,Milestones!$AA$86)&gt;=$T119),$W119,IF(AND($S119&lt;&gt;"",EDATE($D119,Milestones!$AA$86)&gt;=$S119),$V119,$U119)))=Milestones!$AB$86),UPPER(TEXT(EDATE($D119,Milestones!$AA$86),"dd mmm yy"))&amp;" "&amp;Milestones!$AB$86&amp;" "&amp;Milestones!$AC$86&amp;";  ","")&amp;IF(AND(EDATE($D119,Milestones!$AA$87)&lt;=AsOfDate,IF($R119=0,$X119,IF(AND($T119&lt;&gt;"",EDATE($D119,Milestones!$AA$87)&gt;=$T119),$W119,IF(AND($S119&lt;&gt;"",EDATE($D119,Milestones!$AA$87)&gt;=$S119),$V119,$U119)))=Milestones!$AB$87),UPPER(TEXT(EDATE($D119,Milestones!$AA$87),"dd mmm yy"))&amp;" "&amp;Milestones!$AB$87&amp;" "&amp;Milestones!$AC$87&amp;";  ","")&amp;IF(AND(EDATE($D119,Milestones!$AA$88)&lt;=AsOfDate,IF($R119=0,$X119,IF(AND($T119&lt;&gt;"",EDATE($D119,Milestones!$AA$88)&gt;=$T119),$W119,IF(AND($S119&lt;&gt;"",EDATE($D119,Milestones!$AA$88)&gt;=$S119),$V119,$U119)))=Milestones!$AB$88),UPPER(TEXT(EDATE($D119,Milestones!$AA$88),"dd mmm yy"))&amp;" "&amp;Milestones!$AB$88&amp;" "&amp;Milestones!$AC$88&amp;";  ","")&amp;IF(AND(EDATE($D119,Milestones!$AA$89)&lt;=AsOfDate,IF($R119=0,$X119,IF(AND($T119&lt;&gt;"",EDATE($D119,Milestones!$AA$89)&gt;=$T119),$W119,IF(AND($S119&lt;&gt;"",EDATE($D119,Milestones!$AA$89)&gt;=$S119),$V119,$U119)))=Milestones!$AB$89),UPPER(TEXT(EDATE($D119,Milestones!$AA$89),"dd mmm yy"))&amp;" "&amp;Milestones!$AB$89&amp;" "&amp;Milestones!$AC$89&amp;";  ","")&amp;IF(AND(EDATE($D119,Milestones!$AA$90)&lt;=AsOfDate,IF($R119=0,$X119,IF(AND($T119&lt;&gt;"",EDATE($D119,Milestones!$AA$90)&gt;=$T119),$W119,IF(AND($S119&lt;&gt;"",EDATE($D119,Milestones!$AA$90)&gt;=$S119),$V119,$U119)))=Milestones!$AB$90),UPPER(TEXT(EDATE($D119,Milestones!$AA$90),"dd mmm yy"))&amp;" "&amp;Milestones!$AB$90&amp;" "&amp;Milestones!$AC$90&amp;";  ","")&amp;IF(AND(EDATE($D119,Milestones!$AA$91)&lt;=AsOfDate,IF($R119=0,$X119,IF(AND($T119&lt;&gt;"",EDATE($D119,Milestones!$AA$91)&gt;=$T119),$W119,IF(AND($S119&lt;&gt;"",EDATE($D119,Milestones!$AA$91)&gt;=$S119),$V119,$U119)))=Milestones!$AB$91),UPPER(TEXT(EDATE($D119,Milestones!$AA$91),"dd mmm yy"))&amp;" "&amp;Milestones!$AB$91&amp;" "&amp;Milestones!$AC$91&amp;";  ","")&amp;IF(AND(EDATE($D119,Milestones!$AA$92)&lt;=AsOfDate,IF($R119=0,$X119,IF(AND($T119&lt;&gt;"",EDATE($D119,Milestones!$AA$92)&gt;=$T119),$W119,IF(AND($S119&lt;&gt;"",EDATE($D119,Milestones!$AA$92)&gt;=$S119),$V119,$U119)))=Milestones!$AB$92),UPPER(TEXT(EDATE($D119,Milestones!$AA$92),"dd mmm yy"))&amp;" "&amp;Milestones!$AB$92&amp;" "&amp;Milestones!$AC$92&amp;";  ","")&amp;IF(AND(EDATE($D119,Milestones!$AA$93)&lt;=AsOfDate,IF($R119=0,$X119,IF(AND($T119&lt;&gt;"",EDATE($D119,Milestones!$AA$93)&gt;=$T119),$W119,IF(AND($S119&lt;&gt;"",EDATE($D119,Milestones!$AA$93)&gt;=$S119),$V119,$U119)))=Milestones!$AB$93),UPPER(TEXT(EDATE($D119,Milestones!$AA$93),"dd mmm yy"))&amp;" "&amp;Milestones!$AB$93&amp;" "&amp;Milestones!$AC$93&amp;";  ","")&amp;IF(AND(EDATE($D119,Milestones!$AA$94)&lt;=AsOfDate,IF($R119=0,$X119,IF(AND($T119&lt;&gt;"",EDATE($D119,Milestones!$AA$94)&gt;=$T119),$W119,IF(AND($S119&lt;&gt;"",EDATE($D119,Milestones!$AA$94)&gt;=$S119),$V119,$U119)))=Milestones!$AB$94),UPPER(TEXT(EDATE($D119,Milestones!$AA$94),"dd mmm yy"))&amp;" "&amp;Milestones!$AB$94&amp;" "&amp;Milestones!$AC$94&amp;";  ","")&amp;IF(AND(EDATE($D119,Milestones!$AA$95)&lt;=AsOfDate,IF($R119=0,$X119,IF(AND($T119&lt;&gt;"",EDATE($D119,Milestones!$AA$95)&gt;=$T119),$W119,IF(AND($S119&lt;&gt;"",EDATE($D119,Milestones!$AA$95)&gt;=$S119),$V119,$U119)))=Milestones!$AB$95),UPPER(TEXT(EDATE($D119,Milestones!$AA$95),"dd mmm yy"))&amp;" "&amp;Milestones!$AB$95&amp;" "&amp;Milestones!$AC$95&amp;";  ","")&amp;IF(AND(EDATE($D119,Milestones!$AA$96)&lt;=AsOfDate,IF($R119=0,$X119,IF(AND($T119&lt;&gt;"",EDATE($D119,Milestones!$AA$96)&gt;=$T119),$W119,IF(AND($S119&lt;&gt;"",EDATE($D119,Milestones!$AA$96)&gt;=$S119),$V119,$U119)))=Milestones!$AB$96),UPPER(TEXT(EDATE($D119,Milestones!$AA$96),"dd mmm yy"))&amp;" "&amp;Milestones!$AB$96&amp;" "&amp;Milestones!$AC$96&amp;";  ","")&amp;IF(AND(EDATE($D119,Milestones!$AA$97)&lt;=AsOfDate,IF($R119=0,$X119,IF(AND($T119&lt;&gt;"",EDATE($D119,Milestones!$AA$97)&gt;=$T119),$W119,IF(AND($S119&lt;&gt;"",EDATE($D119,Milestones!$AA$97)&gt;=$S119),$V119,$U119)))=Milestones!$AB$97),UPPER(TEXT(EDATE($D119,Milestones!$AA$97),"dd mmm yy"))&amp;" "&amp;Milestones!$AB$97&amp;" "&amp;Milestones!$AC$97&amp;";  ","")&amp;IF(AND(EDATE($D119,Milestones!$AA$98)&lt;=AsOfDate,IF($R119=0,$X119,IF(AND($T119&lt;&gt;"",EDATE($D119,Milestones!$AA$98)&gt;=$T119),$W119,IF(AND($S119&lt;&gt;"",EDATE($D119,Milestones!$AA$98)&gt;=$S119),$V119,$U119)))=Milestones!$AB$98),UPPER(TEXT(EDATE($D119,Milestones!$AA$98),"dd mmm yy"))&amp;" "&amp;Milestones!$AB$98&amp;" "&amp;Milestones!$AC$98&amp;";  ","")&amp;IF(AND(EDATE($D119,Milestones!$AA$99)&lt;=AsOfDate,IF($R119=0,$X119,IF(AND($T119&lt;&gt;"",EDATE($D119,Milestones!$AA$99)&gt;=$T119),$W119,IF(AND($S119&lt;&gt;"",EDATE($D119,Milestones!$AA$99)&gt;=$S119),$V119,$U119)))=Milestones!$AB$99),UPPER(TEXT(EDATE($D119,Milestones!$AA$99),"dd mmm yy"))&amp;" "&amp;Milestones!$AB$99&amp;" "&amp;Milestones!$AC$99&amp;";  ",""))</f>
        <v/>
      </c>
      <c r="M119" s="0" t="str">
        <f aca="false">IF(OR($A119="",$D119=""),"",IF(AND(EDATE($D119,Milestones!$AA$100)&lt;=AsOfDate,IF($R119=0,$X119,IF(AND($T119&lt;&gt;"",EDATE($D119,Milestones!$AA$100)&gt;=$T119),$W119,IF(AND($S119&lt;&gt;"",EDATE($D119,Milestones!$AA$100)&gt;=$S119),$V119,$U119)))=Milestones!$AB$100),UPPER(TEXT(EDATE($D119,Milestones!$AA$100),"dd mmm yy"))&amp;" "&amp;Milestones!$AB$100&amp;" "&amp;Milestones!$AC$100&amp;";  ","")&amp;IF(AND(EDATE($D119,Milestones!$AA$101)&lt;=AsOfDate,IF($R119=0,$X119,IF(AND($T119&lt;&gt;"",EDATE($D119,Milestones!$AA$101)&gt;=$T119),$W119,IF(AND($S119&lt;&gt;"",EDATE($D119,Milestones!$AA$101)&gt;=$S119),$V119,$U119)))=Milestones!$AB$101),UPPER(TEXT(EDATE($D119,Milestones!$AA$101),"dd mmm yy"))&amp;" "&amp;Milestones!$AB$101&amp;" "&amp;Milestones!$AC$101&amp;";  ","")&amp;IF(AND(EDATE($D119,Milestones!$AA$102)&lt;=AsOfDate,IF($R119=0,$X119,IF(AND($T119&lt;&gt;"",EDATE($D119,Milestones!$AA$102)&gt;=$T119),$W119,IF(AND($S119&lt;&gt;"",EDATE($D119,Milestones!$AA$102)&gt;=$S119),$V119,$U119)))=Milestones!$AB$102),UPPER(TEXT(EDATE($D119,Milestones!$AA$102),"dd mmm yy"))&amp;" "&amp;Milestones!$AB$102&amp;" "&amp;Milestones!$AC$102&amp;";  ","")&amp;IF(AND(EDATE($D119,Milestones!$AA$103)&lt;=AsOfDate,IF($R119=0,$X119,IF(AND($T119&lt;&gt;"",EDATE($D119,Milestones!$AA$103)&gt;=$T119),$W119,IF(AND($S119&lt;&gt;"",EDATE($D119,Milestones!$AA$103)&gt;=$S119),$V119,$U119)))=Milestones!$AB$103),UPPER(TEXT(EDATE($D119,Milestones!$AA$103),"dd mmm yy"))&amp;" "&amp;Milestones!$AB$103&amp;" "&amp;Milestones!$AC$103&amp;";  ","")&amp;IF(AND(EDATE($D119,Milestones!$AA$104)&lt;=AsOfDate,IF($R119=0,$X119,IF(AND($T119&lt;&gt;"",EDATE($D119,Milestones!$AA$104)&gt;=$T119),$W119,IF(AND($S119&lt;&gt;"",EDATE($D119,Milestones!$AA$104)&gt;=$S119),$V119,$U119)))=Milestones!$AB$104),UPPER(TEXT(EDATE($D119,Milestones!$AA$104),"dd mmm yy"))&amp;" "&amp;Milestones!$AB$104&amp;" "&amp;Milestones!$AC$104&amp;";  ","")&amp;IF(AND(EDATE($D119,Milestones!$AA$105)&lt;=AsOfDate,IF($R119=0,$X119,IF(AND($T119&lt;&gt;"",EDATE($D119,Milestones!$AA$105)&gt;=$T119),$W119,IF(AND($S119&lt;&gt;"",EDATE($D119,Milestones!$AA$105)&gt;=$S119),$V119,$U119)))=Milestones!$AB$105),UPPER(TEXT(EDATE($D119,Milestones!$AA$105),"dd mmm yy"))&amp;" "&amp;Milestones!$AB$105&amp;" "&amp;Milestones!$AC$105&amp;";  ","")&amp;IF(AND(EDATE($D119,Milestones!$AA$106)&lt;=AsOfDate,IF($R119=0,$X119,IF(AND($T119&lt;&gt;"",EDATE($D119,Milestones!$AA$106)&gt;=$T119),$W119,IF(AND($S119&lt;&gt;"",EDATE($D119,Milestones!$AA$106)&gt;=$S119),$V119,$U119)))=Milestones!$AB$106),UPPER(TEXT(EDATE($D119,Milestones!$AA$106),"dd mmm yy"))&amp;" "&amp;Milestones!$AB$106&amp;" "&amp;Milestones!$AC$106&amp;";  ","")&amp;IF(AND(EDATE($D119,Milestones!$AA$107)&lt;=AsOfDate,IF($R119=0,$X119,IF(AND($T119&lt;&gt;"",EDATE($D119,Milestones!$AA$107)&gt;=$T119),$W119,IF(AND($S119&lt;&gt;"",EDATE($D119,Milestones!$AA$107)&gt;=$S119),$V119,$U119)))=Milestones!$AB$107),UPPER(TEXT(EDATE($D119,Milestones!$AA$107),"dd mmm yy"))&amp;" "&amp;Milestones!$AB$107&amp;" "&amp;Milestones!$AC$107&amp;";  ","")&amp;IF(AND(EDATE($D119,Milestones!$AA$108)&lt;=AsOfDate,IF($R119=0,$X119,IF(AND($T119&lt;&gt;"",EDATE($D119,Milestones!$AA$108)&gt;=$T119),$W119,IF(AND($S119&lt;&gt;"",EDATE($D119,Milestones!$AA$108)&gt;=$S119),$V119,$U119)))=Milestones!$AB$108),UPPER(TEXT(EDATE($D119,Milestones!$AA$108),"dd mmm yy"))&amp;" "&amp;Milestones!$AB$108&amp;" "&amp;Milestones!$AC$108&amp;";  ","")&amp;IF(AND(EDATE($D119,Milestones!$AA$109)&lt;=AsOfDate,IF($R119=0,$X119,IF(AND($T119&lt;&gt;"",EDATE($D119,Milestones!$AA$109)&gt;=$T119),$W119,IF(AND($S119&lt;&gt;"",EDATE($D119,Milestones!$AA$109)&gt;=$S119),$V119,$U119)))=Milestones!$AB$109),UPPER(TEXT(EDATE($D119,Milestones!$AA$109),"dd mmm yy"))&amp;" "&amp;Milestones!$AB$109&amp;" "&amp;Milestones!$AC$109&amp;";  ","")&amp;IF(AND(EDATE($D119,Milestones!$AA$110)&lt;=AsOfDate,IF($R119=0,$X119,IF(AND($T119&lt;&gt;"",EDATE($D119,Milestones!$AA$110)&gt;=$T119),$W119,IF(AND($S119&lt;&gt;"",EDATE($D119,Milestones!$AA$110)&gt;=$S119),$V119,$U119)))=Milestones!$AB$110),UPPER(TEXT(EDATE($D119,Milestones!$AA$110),"dd mmm yy"))&amp;" "&amp;Milestones!$AB$110&amp;" "&amp;Milestones!$AC$110&amp;";  ","")&amp;IF(AND(EDATE($D119,Milestones!$AA$111)&lt;=AsOfDate,IF($R119=0,$X119,IF(AND($T119&lt;&gt;"",EDATE($D119,Milestones!$AA$111)&gt;=$T119),$W119,IF(AND($S119&lt;&gt;"",EDATE($D119,Milestones!$AA$111)&gt;=$S119),$V119,$U119)))=Milestones!$AB$111),UPPER(TEXT(EDATE($D119,Milestones!$AA$111),"dd mmm yy"))&amp;" "&amp;Milestones!$AB$111&amp;" "&amp;Milestones!$AC$111&amp;";  ","")&amp;IF(AND(EDATE($D119,Milestones!$AA$112)&lt;=AsOfDate,IF($R119=0,$X119,IF(AND($T119&lt;&gt;"",EDATE($D119,Milestones!$AA$112)&gt;=$T119),$W119,IF(AND($S119&lt;&gt;"",EDATE($D119,Milestones!$AA$112)&gt;=$S119),$V119,$U119)))=Milestones!$AB$112),UPPER(TEXT(EDATE($D119,Milestones!$AA$112),"dd mmm yy"))&amp;" "&amp;Milestones!$AB$112&amp;" "&amp;Milestones!$AC$112&amp;";  ","")&amp;IF(AND(EDATE($D119,Milestones!$AA$113)&lt;=AsOfDate,IF($R119=0,$X119,IF(AND($T119&lt;&gt;"",EDATE($D119,Milestones!$AA$113)&gt;=$T119),$W119,IF(AND($S119&lt;&gt;"",EDATE($D119,Milestones!$AA$113)&gt;=$S119),$V119,$U119)))=Milestones!$AB$113),UPPER(TEXT(EDATE($D119,Milestones!$AA$113),"dd mmm yy"))&amp;" "&amp;Milestones!$AB$113&amp;" "&amp;Milestones!$AC$113&amp;";  ","")&amp;IF(AND(EDATE($D119,Milestones!$AA$114)&lt;=AsOfDate,IF($R119=0,$X119,IF(AND($T119&lt;&gt;"",EDATE($D119,Milestones!$AA$114)&gt;=$T119),$W119,IF(AND($S119&lt;&gt;"",EDATE($D119,Milestones!$AA$114)&gt;=$S119),$V119,$U119)))=Milestones!$AB$114),UPPER(TEXT(EDATE($D119,Milestones!$AA$114),"dd mmm yy"))&amp;" "&amp;Milestones!$AB$114&amp;" "&amp;Milestones!$AC$114&amp;";  ","")&amp;IF(AND(EDATE($D119,Milestones!$AA$115)&lt;=AsOfDate,IF($R119=0,$X119,IF(AND($T119&lt;&gt;"",EDATE($D119,Milestones!$AA$115)&gt;=$T119),$W119,IF(AND($S119&lt;&gt;"",EDATE($D119,Milestones!$AA$115)&gt;=$S119),$V119,$U119)))=Milestones!$AB$115),UPPER(TEXT(EDATE($D119,Milestones!$AA$115),"dd mmm yy"))&amp;" "&amp;Milestones!$AB$115&amp;" "&amp;Milestones!$AC$115&amp;";  ","")&amp;IF(AND(EDATE($D119,Milestones!$AA$116)&lt;=AsOfDate,IF($R119=0,$X119,IF(AND($T119&lt;&gt;"",EDATE($D119,Milestones!$AA$116)&gt;=$T119),$W119,IF(AND($S119&lt;&gt;"",EDATE($D119,Milestones!$AA$116)&gt;=$S119),$V119,$U119)))=Milestones!$AB$116),UPPER(TEXT(EDATE($D119,Milestones!$AA$116),"dd mmm yy"))&amp;" "&amp;Milestones!$AB$116&amp;" "&amp;Milestones!$AC$116&amp;";  ","")&amp;IF(AND(EDATE($D119,Milestones!$AA$117)&lt;=AsOfDate,IF($R119=0,$X119,IF(AND($T119&lt;&gt;"",EDATE($D119,Milestones!$AA$117)&gt;=$T119),$W119,IF(AND($S119&lt;&gt;"",EDATE($D119,Milestones!$AA$117)&gt;=$S119),$V119,$U119)))=Milestones!$AB$117),UPPER(TEXT(EDATE($D119,Milestones!$AA$117),"dd mmm yy"))&amp;" "&amp;Milestones!$AB$117&amp;" "&amp;Milestones!$AC$117&amp;";  ","")&amp;IF(AND(EDATE($D119,Milestones!$AA$118)&lt;=AsOfDate,IF($R119=0,$X119,IF(AND($T119&lt;&gt;"",EDATE($D119,Milestones!$AA$118)&gt;=$T119),$W119,IF(AND($S119&lt;&gt;"",EDATE($D119,Milestones!$AA$118)&gt;=$S119),$V119,$U119)))=Milestones!$AB$118),UPPER(TEXT(EDATE($D119,Milestones!$AA$118),"dd mmm yy"))&amp;" "&amp;Milestones!$AB$118&amp;" "&amp;Milestones!$AC$118&amp;";  ","")&amp;IF(AND(EDATE($D119,Milestones!$AA$119)&lt;=AsOfDate,IF($R119=0,$X119,IF(AND($T119&lt;&gt;"",EDATE($D119,Milestones!$AA$119)&gt;=$T119),$W119,IF(AND($S119&lt;&gt;"",EDATE($D119,Milestones!$AA$119)&gt;=$S119),$V119,$U119)))=Milestones!$AB$119),UPPER(TEXT(EDATE($D119,Milestones!$AA$119),"dd mmm yy"))&amp;" "&amp;Milestones!$AB$119&amp;" "&amp;Milestones!$AC$119&amp;";  ",""))</f>
        <v/>
      </c>
      <c r="N119" s="0" t="str">
        <f aca="false">IF(OR($A119="",$D119=""),"",IF(AND(EDATE($D119,Milestones!$AA$120)&lt;=AsOfDate,IF($R119=0,$X119,IF(AND($T119&lt;&gt;"",EDATE($D119,Milestones!$AA$120)&gt;=$T119),$W119,IF(AND($S119&lt;&gt;"",EDATE($D119,Milestones!$AA$120)&gt;=$S119),$V119,$U119)))=Milestones!$AB$120),UPPER(TEXT(EDATE($D119,Milestones!$AA$120),"dd mmm yy"))&amp;" "&amp;Milestones!$AB$120&amp;" "&amp;Milestones!$AC$120&amp;";  ","")&amp;IF(AND(EDATE($D119,Milestones!$AA$121)&lt;=AsOfDate,IF($R119=0,$X119,IF(AND($T119&lt;&gt;"",EDATE($D119,Milestones!$AA$121)&gt;=$T119),$W119,IF(AND($S119&lt;&gt;"",EDATE($D119,Milestones!$AA$121)&gt;=$S119),$V119,$U119)))=Milestones!$AB$121),UPPER(TEXT(EDATE($D119,Milestones!$AA$121),"dd mmm yy"))&amp;" "&amp;Milestones!$AB$121&amp;" "&amp;Milestones!$AC$121&amp;";  ","")&amp;IF(AND(EDATE($D119,Milestones!$AA$122)&lt;=AsOfDate,IF($R119=0,$X119,IF(AND($T119&lt;&gt;"",EDATE($D119,Milestones!$AA$122)&gt;=$T119),$W119,IF(AND($S119&lt;&gt;"",EDATE($D119,Milestones!$AA$122)&gt;=$S119),$V119,$U119)))=Milestones!$AB$122),UPPER(TEXT(EDATE($D119,Milestones!$AA$122),"dd mmm yy"))&amp;" "&amp;Milestones!$AB$122&amp;" "&amp;Milestones!$AC$122&amp;";  ","")&amp;IF(AND(EDATE($D119,Milestones!$AA$123)&lt;=AsOfDate,IF($R119=0,$X119,IF(AND($T119&lt;&gt;"",EDATE($D119,Milestones!$AA$123)&gt;=$T119),$W119,IF(AND($S119&lt;&gt;"",EDATE($D119,Milestones!$AA$123)&gt;=$S119),$V119,$U119)))=Milestones!$AB$123),UPPER(TEXT(EDATE($D119,Milestones!$AA$123),"dd mmm yy"))&amp;" "&amp;Milestones!$AB$123&amp;" "&amp;Milestones!$AC$123&amp;";  ","")&amp;IF(AND(EDATE($D119,Milestones!$AA$124)&lt;=AsOfDate,IF($R119=0,$X119,IF(AND($T119&lt;&gt;"",EDATE($D119,Milestones!$AA$124)&gt;=$T119),$W119,IF(AND($S119&lt;&gt;"",EDATE($D119,Milestones!$AA$124)&gt;=$S119),$V119,$U119)))=Milestones!$AB$124),UPPER(TEXT(EDATE($D119,Milestones!$AA$124),"dd mmm yy"))&amp;" "&amp;Milestones!$AB$124&amp;" "&amp;Milestones!$AC$124&amp;";  ","")&amp;IF(AND(EDATE($D119,Milestones!$AA$125)&lt;=AsOfDate,IF($R119=0,$X119,IF(AND($T119&lt;&gt;"",EDATE($D119,Milestones!$AA$125)&gt;=$T119),$W119,IF(AND($S119&lt;&gt;"",EDATE($D119,Milestones!$AA$125)&gt;=$S119),$V119,$U119)))=Milestones!$AB$125),UPPER(TEXT(EDATE($D119,Milestones!$AA$125),"dd mmm yy"))&amp;" "&amp;Milestones!$AB$125&amp;" "&amp;Milestones!$AC$125&amp;";  ","")&amp;IF(AND(EDATE($D119,Milestones!$AA$126)&lt;=AsOfDate,IF($R119=0,$X119,IF(AND($T119&lt;&gt;"",EDATE($D119,Milestones!$AA$126)&gt;=$T119),$W119,IF(AND($S119&lt;&gt;"",EDATE($D119,Milestones!$AA$126)&gt;=$S119),$V119,$U119)))=Milestones!$AB$126),UPPER(TEXT(EDATE($D119,Milestones!$AA$126),"dd mmm yy"))&amp;" "&amp;Milestones!$AB$126&amp;" "&amp;Milestones!$AC$126&amp;";  ","")&amp;IF(AND(EDATE($D119,Milestones!$AA$127)&lt;=AsOfDate,IF($R119=0,$X119,IF(AND($T119&lt;&gt;"",EDATE($D119,Milestones!$AA$127)&gt;=$T119),$W119,IF(AND($S119&lt;&gt;"",EDATE($D119,Milestones!$AA$127)&gt;=$S119),$V119,$U119)))=Milestones!$AB$127),UPPER(TEXT(EDATE($D119,Milestones!$AA$127),"dd mmm yy"))&amp;" "&amp;Milestones!$AB$127&amp;" "&amp;Milestones!$AC$127&amp;";  ","")&amp;IF(AND(EDATE($D119,Milestones!$AA$128)&lt;=AsOfDate,IF($R119=0,$X119,IF(AND($T119&lt;&gt;"",EDATE($D119,Milestones!$AA$128)&gt;=$T119),$W119,IF(AND($S119&lt;&gt;"",EDATE($D119,Milestones!$AA$128)&gt;=$S119),$V119,$U119)))=Milestones!$AB$128),UPPER(TEXT(EDATE($D119,Milestones!$AA$128),"dd mmm yy"))&amp;" "&amp;Milestones!$AB$128&amp;" "&amp;Milestones!$AC$128&amp;";  ","")&amp;IF(AND(EDATE($D119,Milestones!$AA$129)&lt;=AsOfDate,IF($R119=0,$X119,IF(AND($T119&lt;&gt;"",EDATE($D119,Milestones!$AA$129)&gt;=$T119),$W119,IF(AND($S119&lt;&gt;"",EDATE($D119,Milestones!$AA$129)&gt;=$S119),$V119,$U119)))=Milestones!$AB$129),UPPER(TEXT(EDATE($D119,Milestones!$AA$129),"dd mmm yy"))&amp;" "&amp;Milestones!$AB$129&amp;" "&amp;Milestones!$AC$129&amp;";  ","")&amp;IF(AND(EDATE($D119,Milestones!$AA$130)&lt;=AsOfDate,IF($R119=0,$X119,IF(AND($T119&lt;&gt;"",EDATE($D119,Milestones!$AA$130)&gt;=$T119),$W119,IF(AND($S119&lt;&gt;"",EDATE($D119,Milestones!$AA$130)&gt;=$S119),$V119,$U119)))=Milestones!$AB$130),UPPER(TEXT(EDATE($D119,Milestones!$AA$130),"dd mmm yy"))&amp;" "&amp;Milestones!$AB$130&amp;" "&amp;Milestones!$AC$130&amp;";  ","")&amp;IF(AND(EDATE($D119,Milestones!$AA$131)&lt;=AsOfDate,IF($R119=0,$X119,IF(AND($T119&lt;&gt;"",EDATE($D119,Milestones!$AA$131)&gt;=$T119),$W119,IF(AND($S119&lt;&gt;"",EDATE($D119,Milestones!$AA$131)&gt;=$S119),$V119,$U119)))=Milestones!$AB$131),UPPER(TEXT(EDATE($D119,Milestones!$AA$131),"dd mmm yy"))&amp;" "&amp;Milestones!$AB$131&amp;" "&amp;Milestones!$AC$131&amp;";  ","")&amp;IF(AND(EDATE($D119,Milestones!$AA$132)&lt;=AsOfDate,IF($R119=0,$X119,IF(AND($T119&lt;&gt;"",EDATE($D119,Milestones!$AA$132)&gt;=$T119),$W119,IF(AND($S119&lt;&gt;"",EDATE($D119,Milestones!$AA$132)&gt;=$S119),$V119,$U119)))=Milestones!$AB$132),UPPER(TEXT(EDATE($D119,Milestones!$AA$132),"dd mmm yy"))&amp;" "&amp;Milestones!$AB$132&amp;" "&amp;Milestones!$AC$132&amp;";  ","")&amp;IF(AND(EDATE($D119,Milestones!$AA$133)&lt;=AsOfDate,IF($R119=0,$X119,IF(AND($T119&lt;&gt;"",EDATE($D119,Milestones!$AA$133)&gt;=$T119),$W119,IF(AND($S119&lt;&gt;"",EDATE($D119,Milestones!$AA$133)&gt;=$S119),$V119,$U119)))=Milestones!$AB$133),UPPER(TEXT(EDATE($D119,Milestones!$AA$133),"dd mmm yy"))&amp;" "&amp;Milestones!$AB$133&amp;" "&amp;Milestones!$AC$133&amp;";  ","")&amp;IF(AND(EDATE($D119,Milestones!$AA$134)&lt;=AsOfDate,IF($R119=0,$X119,IF(AND($T119&lt;&gt;"",EDATE($D119,Milestones!$AA$134)&gt;=$T119),$W119,IF(AND($S119&lt;&gt;"",EDATE($D119,Milestones!$AA$134)&gt;=$S119),$V119,$U119)))=Milestones!$AB$134),UPPER(TEXT(EDATE($D119,Milestones!$AA$134),"dd mmm yy"))&amp;" "&amp;Milestones!$AB$134&amp;" "&amp;Milestones!$AC$134&amp;";  ","")&amp;IF(AND(EDATE($D119,Milestones!$AA$135)&lt;=AsOfDate,IF($R119=0,$X119,IF(AND($T119&lt;&gt;"",EDATE($D119,Milestones!$AA$135)&gt;=$T119),$W119,IF(AND($S119&lt;&gt;"",EDATE($D119,Milestones!$AA$135)&gt;=$S119),$V119,$U119)))=Milestones!$AB$135),UPPER(TEXT(EDATE($D119,Milestones!$AA$135),"dd mmm yy"))&amp;" "&amp;Milestones!$AB$135&amp;" "&amp;Milestones!$AC$135&amp;";  ","")&amp;IF(AND(EDATE($D119,Milestones!$AA$136)&lt;=AsOfDate,IF($R119=0,$X119,IF(AND($T119&lt;&gt;"",EDATE($D119,Milestones!$AA$136)&gt;=$T119),$W119,IF(AND($S119&lt;&gt;"",EDATE($D119,Milestones!$AA$136)&gt;=$S119),$V119,$U119)))=Milestones!$AB$136),UPPER(TEXT(EDATE($D119,Milestones!$AA$136),"dd mmm yy"))&amp;" "&amp;Milestones!$AB$136&amp;" "&amp;Milestones!$AC$136&amp;";  ","")&amp;IF(AND(EDATE($D119,Milestones!$AA$137)&lt;=AsOfDate,IF($R119=0,$X119,IF(AND($T119&lt;&gt;"",EDATE($D119,Milestones!$AA$137)&gt;=$T119),$W119,IF(AND($S119&lt;&gt;"",EDATE($D119,Milestones!$AA$137)&gt;=$S119),$V119,$U119)))=Milestones!$AB$137),UPPER(TEXT(EDATE($D119,Milestones!$AA$137),"dd mmm yy"))&amp;" "&amp;Milestones!$AB$137&amp;" "&amp;Milestones!$AC$137&amp;";  ","")&amp;IF(AND(EDATE($D119,Milestones!$AA$138)&lt;=AsOfDate,IF($R119=0,$X119,IF(AND($T119&lt;&gt;"",EDATE($D119,Milestones!$AA$138)&gt;=$T119),$W119,IF(AND($S119&lt;&gt;"",EDATE($D119,Milestones!$AA$138)&gt;=$S119),$V119,$U119)))=Milestones!$AB$138),UPPER(TEXT(EDATE($D119,Milestones!$AA$138),"dd mmm yy"))&amp;" "&amp;Milestones!$AB$138&amp;" "&amp;Milestones!$AC$138&amp;";  ","")&amp;IF(AND(EDATE($D119,Milestones!$AA$139)&lt;=AsOfDate,IF($R119=0,$X119,IF(AND($T119&lt;&gt;"",EDATE($D119,Milestones!$AA$139)&gt;=$T119),$W119,IF(AND($S119&lt;&gt;"",EDATE($D119,Milestones!$AA$139)&gt;=$S119),$V119,$U119)))=Milestones!$AB$139),UPPER(TEXT(EDATE($D119,Milestones!$AA$139),"dd mmm yy"))&amp;" "&amp;Milestones!$AB$139&amp;" "&amp;Milestones!$AC$139&amp;";  ",""))</f>
        <v/>
      </c>
      <c r="O119" s="0" t="str">
        <f aca="false">IF(OR($A119="",$D119=""),"",IF(AND(EDATE($D119,Milestones!$AA$140)&lt;=AsOfDate,IF($R119=0,$X119,IF(AND($T119&lt;&gt;"",EDATE($D119,Milestones!$AA$140)&gt;=$T119),$W119,IF(AND($S119&lt;&gt;"",EDATE($D119,Milestones!$AA$140)&gt;=$S119),$V119,$U119)))=Milestones!$AB$140),UPPER(TEXT(EDATE($D119,Milestones!$AA$140),"dd mmm yy"))&amp;" "&amp;Milestones!$AB$140&amp;" "&amp;Milestones!$AC$140&amp;";  ","")&amp;IF(AND(EDATE($D119,Milestones!$AA$141)&lt;=AsOfDate,IF($R119=0,$X119,IF(AND($T119&lt;&gt;"",EDATE($D119,Milestones!$AA$141)&gt;=$T119),$W119,IF(AND($S119&lt;&gt;"",EDATE($D119,Milestones!$AA$141)&gt;=$S119),$V119,$U119)))=Milestones!$AB$141),UPPER(TEXT(EDATE($D119,Milestones!$AA$141),"dd mmm yy"))&amp;" "&amp;Milestones!$AB$141&amp;" "&amp;Milestones!$AC$141&amp;";  ","")&amp;IF(AND(EDATE($D119,Milestones!$AA$142)&lt;=AsOfDate,IF($R119=0,$X119,IF(AND($T119&lt;&gt;"",EDATE($D119,Milestones!$AA$142)&gt;=$T119),$W119,IF(AND($S119&lt;&gt;"",EDATE($D119,Milestones!$AA$142)&gt;=$S119),$V119,$U119)))=Milestones!$AB$142),UPPER(TEXT(EDATE($D119,Milestones!$AA$142),"dd mmm yy"))&amp;" "&amp;Milestones!$AB$142&amp;" "&amp;Milestones!$AC$142&amp;";  ","")&amp;IF(AND(EDATE($D119,Milestones!$AA$143)&lt;=AsOfDate,IF($R119=0,$X119,IF(AND($T119&lt;&gt;"",EDATE($D119,Milestones!$AA$143)&gt;=$T119),$W119,IF(AND($S119&lt;&gt;"",EDATE($D119,Milestones!$AA$143)&gt;=$S119),$V119,$U119)))=Milestones!$AB$143),UPPER(TEXT(EDATE($D119,Milestones!$AA$143),"dd mmm yy"))&amp;" "&amp;Milestones!$AB$143&amp;" "&amp;Milestones!$AC$143&amp;";  ","")&amp;IF(AND(EDATE($D119,Milestones!$AA$144)&lt;=AsOfDate,IF($R119=0,$X119,IF(AND($T119&lt;&gt;"",EDATE($D119,Milestones!$AA$144)&gt;=$T119),$W119,IF(AND($S119&lt;&gt;"",EDATE($D119,Milestones!$AA$144)&gt;=$S119),$V119,$U119)))=Milestones!$AB$144),UPPER(TEXT(EDATE($D119,Milestones!$AA$144),"dd mmm yy"))&amp;" "&amp;Milestones!$AB$144&amp;" "&amp;Milestones!$AC$144&amp;";  ","")&amp;IF(AND(EDATE($D119,Milestones!$AA$145)&lt;=AsOfDate,IF($R119=0,$X119,IF(AND($T119&lt;&gt;"",EDATE($D119,Milestones!$AA$145)&gt;=$T119),$W119,IF(AND($S119&lt;&gt;"",EDATE($D119,Milestones!$AA$145)&gt;=$S119),$V119,$U119)))=Milestones!$AB$145),UPPER(TEXT(EDATE($D119,Milestones!$AA$145),"dd mmm yy"))&amp;" "&amp;Milestones!$AB$145&amp;" "&amp;Milestones!$AC$145&amp;";  ","")&amp;IF(AND(EDATE($D119,Milestones!$AA$146)&lt;=AsOfDate,IF($R119=0,$X119,IF(AND($T119&lt;&gt;"",EDATE($D119,Milestones!$AA$146)&gt;=$T119),$W119,IF(AND($S119&lt;&gt;"",EDATE($D119,Milestones!$AA$146)&gt;=$S119),$V119,$U119)))=Milestones!$AB$146),UPPER(TEXT(EDATE($D119,Milestones!$AA$146),"dd mmm yy"))&amp;" "&amp;Milestones!$AB$146&amp;" "&amp;Milestones!$AC$146&amp;";  ","")&amp;IF(AND(EDATE($D119,Milestones!$AA$147)&lt;=AsOfDate,IF($R119=0,$X119,IF(AND($T119&lt;&gt;"",EDATE($D119,Milestones!$AA$147)&gt;=$T119),$W119,IF(AND($S119&lt;&gt;"",EDATE($D119,Milestones!$AA$147)&gt;=$S119),$V119,$U119)))=Milestones!$AB$147),UPPER(TEXT(EDATE($D119,Milestones!$AA$147),"dd mmm yy"))&amp;" "&amp;Milestones!$AB$147&amp;" "&amp;Milestones!$AC$147&amp;";  ","")&amp;IF(AND(EDATE($D119,Milestones!$AA$148)&lt;=AsOfDate,IF($R119=0,$X119,IF(AND($T119&lt;&gt;"",EDATE($D119,Milestones!$AA$148)&gt;=$T119),$W119,IF(AND($S119&lt;&gt;"",EDATE($D119,Milestones!$AA$148)&gt;=$S119),$V119,$U119)))=Milestones!$AB$148),UPPER(TEXT(EDATE($D119,Milestones!$AA$148),"dd mmm yy"))&amp;" "&amp;Milestones!$AB$148&amp;" "&amp;Milestones!$AC$148&amp;";  ","")&amp;IF(AND(EDATE($D119,Milestones!$AA$149)&lt;=AsOfDate,IF($R119=0,$X119,IF(AND($T119&lt;&gt;"",EDATE($D119,Milestones!$AA$149)&gt;=$T119),$W119,IF(AND($S119&lt;&gt;"",EDATE($D119,Milestones!$AA$149)&gt;=$S119),$V119,$U119)))=Milestones!$AB$149),UPPER(TEXT(EDATE($D119,Milestones!$AA$149),"dd mmm yy"))&amp;" "&amp;Milestones!$AB$149&amp;" "&amp;Milestones!$AC$149&amp;";  ","")&amp;IF(AND(EDATE($D119,Milestones!$AA$150)&lt;=AsOfDate,IF($R119=0,$X119,IF(AND($T119&lt;&gt;"",EDATE($D119,Milestones!$AA$150)&gt;=$T119),$W119,IF(AND($S119&lt;&gt;"",EDATE($D119,Milestones!$AA$150)&gt;=$S119),$V119,$U119)))=Milestones!$AB$150),UPPER(TEXT(EDATE($D119,Milestones!$AA$150),"dd mmm yy"))&amp;" "&amp;Milestones!$AB$150&amp;" "&amp;Milestones!$AC$150&amp;";  ","")&amp;IF(AND(EDATE($D119,Milestones!$AA$151)&lt;=AsOfDate,IF($R119=0,$X119,IF(AND($T119&lt;&gt;"",EDATE($D119,Milestones!$AA$151)&gt;=$T119),$W119,IF(AND($S119&lt;&gt;"",EDATE($D119,Milestones!$AA$151)&gt;=$S119),$V119,$U119)))=Milestones!$AB$151),UPPER(TEXT(EDATE($D119,Milestones!$AA$151),"dd mmm yy"))&amp;" "&amp;Milestones!$AB$151&amp;" "&amp;Milestones!$AC$151&amp;";  ","")&amp;IF(AND(EDATE($D119,Milestones!$AA$152)&lt;=AsOfDate,IF($R119=0,$X119,IF(AND($T119&lt;&gt;"",EDATE($D119,Milestones!$AA$152)&gt;=$T119),$W119,IF(AND($S119&lt;&gt;"",EDATE($D119,Milestones!$AA$152)&gt;=$S119),$V119,$U119)))=Milestones!$AB$152),UPPER(TEXT(EDATE($D119,Milestones!$AA$152),"dd mmm yy"))&amp;" "&amp;Milestones!$AB$152&amp;" "&amp;Milestones!$AC$152&amp;";  ","")&amp;IF(AND(EDATE($D119,Milestones!$AA$153)&lt;=AsOfDate,IF($R119=0,$X119,IF(AND($T119&lt;&gt;"",EDATE($D119,Milestones!$AA$153)&gt;=$T119),$W119,IF(AND($S119&lt;&gt;"",EDATE($D119,Milestones!$AA$153)&gt;=$S119),$V119,$U119)))=Milestones!$AB$153),UPPER(TEXT(EDATE($D119,Milestones!$AA$153),"dd mmm yy"))&amp;" "&amp;Milestones!$AB$153&amp;" "&amp;Milestones!$AC$153&amp;";  ","")&amp;IF(AND(EDATE($D119,Milestones!$AA$154)&lt;=AsOfDate,IF($R119=0,$X119,IF(AND($T119&lt;&gt;"",EDATE($D119,Milestones!$AA$154)&gt;=$T119),$W119,IF(AND($S119&lt;&gt;"",EDATE($D119,Milestones!$AA$154)&gt;=$S119),$V119,$U119)))=Milestones!$AB$154),UPPER(TEXT(EDATE($D119,Milestones!$AA$154),"dd mmm yy"))&amp;" "&amp;Milestones!$AB$154&amp;" "&amp;Milestones!$AC$154&amp;";  ","")&amp;IF(AND(EDATE($D119,Milestones!$AA$155)&lt;=AsOfDate,IF($R119=0,$X119,IF(AND($T119&lt;&gt;"",EDATE($D119,Milestones!$AA$155)&gt;=$T119),$W119,IF(AND($S119&lt;&gt;"",EDATE($D119,Milestones!$AA$155)&gt;=$S119),$V119,$U119)))=Milestones!$AB$155),UPPER(TEXT(EDATE($D119,Milestones!$AA$155),"dd mmm yy"))&amp;" "&amp;Milestones!$AB$155&amp;" "&amp;Milestones!$AC$155&amp;";  ","")&amp;IF(AND(EDATE($D119,Milestones!$AA$156)&lt;=AsOfDate,IF($R119=0,$X119,IF(AND($T119&lt;&gt;"",EDATE($D119,Milestones!$AA$156)&gt;=$T119),$W119,IF(AND($S119&lt;&gt;"",EDATE($D119,Milestones!$AA$156)&gt;=$S119),$V119,$U119)))=Milestones!$AB$156),UPPER(TEXT(EDATE($D119,Milestones!$AA$156),"dd mmm yy"))&amp;" "&amp;Milestones!$AB$156&amp;" "&amp;Milestones!$AC$156&amp;";  ","")&amp;IF(AND(EDATE($D119,Milestones!$AA$157)&lt;=AsOfDate,IF($R119=0,$X119,IF(AND($T119&lt;&gt;"",EDATE($D119,Milestones!$AA$157)&gt;=$T119),$W119,IF(AND($S119&lt;&gt;"",EDATE($D119,Milestones!$AA$157)&gt;=$S119),$V119,$U119)))=Milestones!$AB$157),UPPER(TEXT(EDATE($D119,Milestones!$AA$157),"dd mmm yy"))&amp;" "&amp;Milestones!$AB$157&amp;" "&amp;Milestones!$AC$157&amp;";  ","")&amp;IF(AND(EDATE($D119,Milestones!$AA$158)&lt;=AsOfDate,IF($R119=0,$X119,IF(AND($T119&lt;&gt;"",EDATE($D119,Milestones!$AA$158)&gt;=$T119),$W119,IF(AND($S119&lt;&gt;"",EDATE($D119,Milestones!$AA$158)&gt;=$S119),$V119,$U119)))=Milestones!$AB$158),UPPER(TEXT(EDATE($D119,Milestones!$AA$158),"dd mmm yy"))&amp;" "&amp;Milestones!$AB$158&amp;" "&amp;Milestones!$AC$158&amp;";  ","")&amp;IF(AND(EDATE($D119,Milestones!$AA$159)&lt;=AsOfDate,IF($R119=0,$X119,IF(AND($T119&lt;&gt;"",EDATE($D119,Milestones!$AA$159)&gt;=$T119),$W119,IF(AND($S119&lt;&gt;"",EDATE($D119,Milestones!$AA$159)&gt;=$S119),$V119,$U119)))=Milestones!$AB$159),UPPER(TEXT(EDATE($D119,Milestones!$AA$159),"dd mmm yy"))&amp;" "&amp;Milestones!$AB$159&amp;" "&amp;Milestones!$AC$159&amp;";  ",""))</f>
        <v/>
      </c>
      <c r="P119" s="0" t="str">
        <f aca="false">IF(OR($A119="",$D119=""),"",IF(AND(EDATE($D119,Milestones!$AA$160)&lt;=AsOfDate,IF($R119=0,$X119,IF(AND($T119&lt;&gt;"",EDATE($D119,Milestones!$AA$160)&gt;=$T119),$W119,IF(AND($S119&lt;&gt;"",EDATE($D119,Milestones!$AA$160)&gt;=$S119),$V119,$U119)))=Milestones!$AB$160),UPPER(TEXT(EDATE($D119,Milestones!$AA$160),"dd mmm yy"))&amp;" "&amp;Milestones!$AB$160&amp;" "&amp;Milestones!$AC$160&amp;";  ","")&amp;IF(AND(EDATE($D119,Milestones!$AA$161)&lt;=AsOfDate,IF($R119=0,$X119,IF(AND($T119&lt;&gt;"",EDATE($D119,Milestones!$AA$161)&gt;=$T119),$W119,IF(AND($S119&lt;&gt;"",EDATE($D119,Milestones!$AA$161)&gt;=$S119),$V119,$U119)))=Milestones!$AB$161),UPPER(TEXT(EDATE($D119,Milestones!$AA$161),"dd mmm yy"))&amp;" "&amp;Milestones!$AB$161&amp;" "&amp;Milestones!$AC$161&amp;";  ","")&amp;IF(AND(EDATE($D119,Milestones!$AA$162)&lt;=AsOfDate,IF($R119=0,$X119,IF(AND($T119&lt;&gt;"",EDATE($D119,Milestones!$AA$162)&gt;=$T119),$W119,IF(AND($S119&lt;&gt;"",EDATE($D119,Milestones!$AA$162)&gt;=$S119),$V119,$U119)))=Milestones!$AB$162),UPPER(TEXT(EDATE($D119,Milestones!$AA$162),"dd mmm yy"))&amp;" "&amp;Milestones!$AB$162&amp;" "&amp;Milestones!$AC$162&amp;";  ","")&amp;IF(AND(EDATE($D119,Milestones!$AA$163)&lt;=AsOfDate,IF($R119=0,$X119,IF(AND($T119&lt;&gt;"",EDATE($D119,Milestones!$AA$163)&gt;=$T119),$W119,IF(AND($S119&lt;&gt;"",EDATE($D119,Milestones!$AA$163)&gt;=$S119),$V119,$U119)))=Milestones!$AB$163),UPPER(TEXT(EDATE($D119,Milestones!$AA$163),"dd mmm yy"))&amp;" "&amp;Milestones!$AB$163&amp;" "&amp;Milestones!$AC$163&amp;";  ","")&amp;IF(AND(EDATE($D119,Milestones!$AA$164)&lt;=AsOfDate,IF($R119=0,$X119,IF(AND($T119&lt;&gt;"",EDATE($D119,Milestones!$AA$164)&gt;=$T119),$W119,IF(AND($S119&lt;&gt;"",EDATE($D119,Milestones!$AA$164)&gt;=$S119),$V119,$U119)))=Milestones!$AB$164),UPPER(TEXT(EDATE($D119,Milestones!$AA$164),"dd mmm yy"))&amp;" "&amp;Milestones!$AB$164&amp;" "&amp;Milestones!$AC$164&amp;";  ","")&amp;IF(AND(EDATE($D119,Milestones!$AA$165)&lt;=AsOfDate,IF($R119=0,$X119,IF(AND($T119&lt;&gt;"",EDATE($D119,Milestones!$AA$165)&gt;=$T119),$W119,IF(AND($S119&lt;&gt;"",EDATE($D119,Milestones!$AA$165)&gt;=$S119),$V119,$U119)))=Milestones!$AB$165),UPPER(TEXT(EDATE($D119,Milestones!$AA$165),"dd mmm yy"))&amp;" "&amp;Milestones!$AB$165&amp;" "&amp;Milestones!$AC$165&amp;";  ","")&amp;IF(AND(EDATE($D119,Milestones!$AA$166)&lt;=AsOfDate,IF($R119=0,$X119,IF(AND($T119&lt;&gt;"",EDATE($D119,Milestones!$AA$166)&gt;=$T119),$W119,IF(AND($S119&lt;&gt;"",EDATE($D119,Milestones!$AA$166)&gt;=$S119),$V119,$U119)))=Milestones!$AB$166),UPPER(TEXT(EDATE($D119,Milestones!$AA$166),"dd mmm yy"))&amp;" "&amp;Milestones!$AB$166&amp;" "&amp;Milestones!$AC$166&amp;";  ","")&amp;IF(AND(EDATE($D119,Milestones!$AA$167)&lt;=AsOfDate,IF($R119=0,$X119,IF(AND($T119&lt;&gt;"",EDATE($D119,Milestones!$AA$167)&gt;=$T119),$W119,IF(AND($S119&lt;&gt;"",EDATE($D119,Milestones!$AA$167)&gt;=$S119),$V119,$U119)))=Milestones!$AB$167),UPPER(TEXT(EDATE($D119,Milestones!$AA$167),"dd mmm yy"))&amp;" "&amp;Milestones!$AB$167&amp;" "&amp;Milestones!$AC$167&amp;";  ","")&amp;IF(AND(EDATE($D119,Milestones!$AA$168)&lt;=AsOfDate,IF($R119=0,$X119,IF(AND($T119&lt;&gt;"",EDATE($D119,Milestones!$AA$168)&gt;=$T119),$W119,IF(AND($S119&lt;&gt;"",EDATE($D119,Milestones!$AA$168)&gt;=$S119),$V119,$U119)))=Milestones!$AB$168),UPPER(TEXT(EDATE($D119,Milestones!$AA$168),"dd mmm yy"))&amp;" "&amp;Milestones!$AB$168&amp;" "&amp;Milestones!$AC$168&amp;";  ","")&amp;IF(AND(EDATE($D119,Milestones!$AA$169)&lt;=AsOfDate,IF($R119=0,$X119,IF(AND($T119&lt;&gt;"",EDATE($D119,Milestones!$AA$169)&gt;=$T119),$W119,IF(AND($S119&lt;&gt;"",EDATE($D119,Milestones!$AA$169)&gt;=$S119),$V119,$U119)))=Milestones!$AB$169),UPPER(TEXT(EDATE($D119,Milestones!$AA$169),"dd mmm yy"))&amp;" "&amp;Milestones!$AB$169&amp;" "&amp;Milestones!$AC$169&amp;";  ","")&amp;IF(AND(EDATE($D119,Milestones!$AA$170)&lt;=AsOfDate,IF($R119=0,$X119,IF(AND($T119&lt;&gt;"",EDATE($D119,Milestones!$AA$170)&gt;=$T119),$W119,IF(AND($S119&lt;&gt;"",EDATE($D119,Milestones!$AA$170)&gt;=$S119),$V119,$U119)))=Milestones!$AB$170),UPPER(TEXT(EDATE($D119,Milestones!$AA$170),"dd mmm yy"))&amp;" "&amp;Milestones!$AB$170&amp;" "&amp;Milestones!$AC$170&amp;";  ","")&amp;IF(AND(EDATE($D119,Milestones!$AA$171)&lt;=AsOfDate,IF($R119=0,$X119,IF(AND($T119&lt;&gt;"",EDATE($D119,Milestones!$AA$171)&gt;=$T119),$W119,IF(AND($S119&lt;&gt;"",EDATE($D119,Milestones!$AA$171)&gt;=$S119),$V119,$U119)))=Milestones!$AB$171),UPPER(TEXT(EDATE($D119,Milestones!$AA$171),"dd mmm yy"))&amp;" "&amp;Milestones!$AB$171&amp;" "&amp;Milestones!$AC$171&amp;";  ","")&amp;IF(AND(EDATE($D119,Milestones!$AA$172)&lt;=AsOfDate,IF($R119=0,$X119,IF(AND($T119&lt;&gt;"",EDATE($D119,Milestones!$AA$172)&gt;=$T119),$W119,IF(AND($S119&lt;&gt;"",EDATE($D119,Milestones!$AA$172)&gt;=$S119),$V119,$U119)))=Milestones!$AB$172),UPPER(TEXT(EDATE($D119,Milestones!$AA$172),"dd mmm yy"))&amp;" "&amp;Milestones!$AB$172&amp;" "&amp;Milestones!$AC$172&amp;";  ","")&amp;IF(AND(EDATE($D119,Milestones!$AA$173)&lt;=AsOfDate,IF($R119=0,$X119,IF(AND($T119&lt;&gt;"",EDATE($D119,Milestones!$AA$173)&gt;=$T119),$W119,IF(AND($S119&lt;&gt;"",EDATE($D119,Milestones!$AA$173)&gt;=$S119),$V119,$U119)))=Milestones!$AB$173),UPPER(TEXT(EDATE($D119,Milestones!$AA$173),"dd mmm yy"))&amp;" "&amp;Milestones!$AB$173&amp;" "&amp;Milestones!$AC$173&amp;";  ","")&amp;IF(AND(EDATE($D119,Milestones!$AA$174)&lt;=AsOfDate,IF($R119=0,$X119,IF(AND($T119&lt;&gt;"",EDATE($D119,Milestones!$AA$174)&gt;=$T119),$W119,IF(AND($S119&lt;&gt;"",EDATE($D119,Milestones!$AA$174)&gt;=$S119),$V119,$U119)))=Milestones!$AB$174),UPPER(TEXT(EDATE($D119,Milestones!$AA$174),"dd mmm yy"))&amp;" "&amp;Milestones!$AB$174&amp;" "&amp;Milestones!$AC$174&amp;";  ","")&amp;IF(AND(EDATE($D119,Milestones!$AA$175)&lt;=AsOfDate,IF($R119=0,$X119,IF(AND($T119&lt;&gt;"",EDATE($D119,Milestones!$AA$175)&gt;=$T119),$W119,IF(AND($S119&lt;&gt;"",EDATE($D119,Milestones!$AA$175)&gt;=$S119),$V119,$U119)))=Milestones!$AB$175),UPPER(TEXT(EDATE($D119,Milestones!$AA$175),"dd mmm yy"))&amp;" "&amp;Milestones!$AB$175&amp;" "&amp;Milestones!$AC$175&amp;";  ","")&amp;IF(AND(EDATE($D119,Milestones!$AA$176)&lt;=AsOfDate,IF($R119=0,$X119,IF(AND($T119&lt;&gt;"",EDATE($D119,Milestones!$AA$176)&gt;=$T119),$W119,IF(AND($S119&lt;&gt;"",EDATE($D119,Milestones!$AA$176)&gt;=$S119),$V119,$U119)))=Milestones!$AB$176),UPPER(TEXT(EDATE($D119,Milestones!$AA$176),"dd mmm yy"))&amp;" "&amp;Milestones!$AB$176&amp;" "&amp;Milestones!$AC$176&amp;";  ","")&amp;IF(AND(EDATE($D119,Milestones!$AA$177)&lt;=AsOfDate,IF($R119=0,$X119,IF(AND($T119&lt;&gt;"",EDATE($D119,Milestones!$AA$177)&gt;=$T119),$W119,IF(AND($S119&lt;&gt;"",EDATE($D119,Milestones!$AA$177)&gt;=$S119),$V119,$U119)))=Milestones!$AB$177),UPPER(TEXT(EDATE($D119,Milestones!$AA$177),"dd mmm yy"))&amp;" "&amp;Milestones!$AB$177&amp;" "&amp;Milestones!$AC$177&amp;";  ","")&amp;IF(AND(EDATE($D119,Milestones!$AA$178)&lt;=AsOfDate,IF($R119=0,$X119,IF(AND($T119&lt;&gt;"",EDATE($D119,Milestones!$AA$178)&gt;=$T119),$W119,IF(AND($S119&lt;&gt;"",EDATE($D119,Milestones!$AA$178)&gt;=$S119),$V119,$U119)))=Milestones!$AB$178),UPPER(TEXT(EDATE($D119,Milestones!$AA$178),"dd mmm yy"))&amp;" "&amp;Milestones!$AB$178&amp;" "&amp;Milestones!$AC$178&amp;";  ","")&amp;IF(AND(EDATE($D119,Milestones!$AA$179)&lt;=AsOfDate,IF($R119=0,$X119,IF(AND($T119&lt;&gt;"",EDATE($D119,Milestones!$AA$179)&gt;=$T119),$W119,IF(AND($S119&lt;&gt;"",EDATE($D119,Milestones!$AA$179)&gt;=$S119),$V119,$U119)))=Milestones!$AB$179),UPPER(TEXT(EDATE($D119,Milestones!$AA$179),"dd mmm yy"))&amp;" "&amp;Milestones!$AB$179&amp;" "&amp;Milestones!$AC$179&amp;";  ",""))</f>
        <v/>
      </c>
      <c r="Q119" s="0" t="str">
        <f aca="false">IF(OR($A119="",$D119=""),"",IF(AND(EDATE($D119,Milestones!$AA$180)&lt;=AsOfDate,IF($R119=0,$X119,IF(AND($T119&lt;&gt;"",EDATE($D119,Milestones!$AA$180)&gt;=$T119),$W119,IF(AND($S119&lt;&gt;"",EDATE($D119,Milestones!$AA$180)&gt;=$S119),$V119,$U119)))=Milestones!$AB$180),UPPER(TEXT(EDATE($D119,Milestones!$AA$180),"dd mmm yy"))&amp;" "&amp;Milestones!$AB$180&amp;" "&amp;Milestones!$AC$180&amp;";  ","")&amp;IF(AND(EDATE($D119,Milestones!$AA$181)&lt;=AsOfDate,IF($R119=0,$X119,IF(AND($T119&lt;&gt;"",EDATE($D119,Milestones!$AA$181)&gt;=$T119),$W119,IF(AND($S119&lt;&gt;"",EDATE($D119,Milestones!$AA$181)&gt;=$S119),$V119,$U119)))=Milestones!$AB$181),UPPER(TEXT(EDATE($D119,Milestones!$AA$181),"dd mmm yy"))&amp;" "&amp;Milestones!$AB$181&amp;" "&amp;Milestones!$AC$181&amp;";  ","")&amp;IF(AND(EDATE($D119,Milestones!$AA$182)&lt;=AsOfDate,IF($R119=0,$X119,IF(AND($T119&lt;&gt;"",EDATE($D119,Milestones!$AA$182)&gt;=$T119),$W119,IF(AND($S119&lt;&gt;"",EDATE($D119,Milestones!$AA$182)&gt;=$S119),$V119,$U119)))=Milestones!$AB$182),UPPER(TEXT(EDATE($D119,Milestones!$AA$182),"dd mmm yy"))&amp;" "&amp;Milestones!$AB$182&amp;" "&amp;Milestones!$AC$182&amp;";  ","")&amp;IF(AND(EDATE($D119,Milestones!$AA$183)&lt;=AsOfDate,IF($R119=0,$X119,IF(AND($T119&lt;&gt;"",EDATE($D119,Milestones!$AA$183)&gt;=$T119),$W119,IF(AND($S119&lt;&gt;"",EDATE($D119,Milestones!$AA$183)&gt;=$S119),$V119,$U119)))=Milestones!$AB$183),UPPER(TEXT(EDATE($D119,Milestones!$AA$183),"dd mmm yy"))&amp;" "&amp;Milestones!$AB$183&amp;" "&amp;Milestones!$AC$183&amp;";  ","")&amp;IF(AND(EDATE($D119,Milestones!$AA$184)&lt;=AsOfDate,IF($R119=0,$X119,IF(AND($T119&lt;&gt;"",EDATE($D119,Milestones!$AA$184)&gt;=$T119),$W119,IF(AND($S119&lt;&gt;"",EDATE($D119,Milestones!$AA$184)&gt;=$S119),$V119,$U119)))=Milestones!$AB$184),UPPER(TEXT(EDATE($D119,Milestones!$AA$184),"dd mmm yy"))&amp;" "&amp;Milestones!$AB$184&amp;" "&amp;Milestones!$AC$184&amp;";  ","")&amp;IF(AND(EDATE($D119,Milestones!$AA$185)&lt;=AsOfDate,IF($R119=0,$X119,IF(AND($T119&lt;&gt;"",EDATE($D119,Milestones!$AA$185)&gt;=$T119),$W119,IF(AND($S119&lt;&gt;"",EDATE($D119,Milestones!$AA$185)&gt;=$S119),$V119,$U119)))=Milestones!$AB$185),UPPER(TEXT(EDATE($D119,Milestones!$AA$185),"dd mmm yy"))&amp;" "&amp;Milestones!$AB$185&amp;" "&amp;Milestones!$AC$185&amp;";  ","")&amp;IF(AND(EDATE($D119,Milestones!$AA$186)&lt;=AsOfDate,IF($R119=0,$X119,IF(AND($T119&lt;&gt;"",EDATE($D119,Milestones!$AA$186)&gt;=$T119),$W119,IF(AND($S119&lt;&gt;"",EDATE($D119,Milestones!$AA$186)&gt;=$S119),$V119,$U119)))=Milestones!$AB$186),UPPER(TEXT(EDATE($D119,Milestones!$AA$186),"dd mmm yy"))&amp;" "&amp;Milestones!$AB$186&amp;" "&amp;Milestones!$AC$186&amp;";  ","")&amp;IF(AND(EDATE($D119,Milestones!$AA$187)&lt;=AsOfDate,IF($R119=0,$X119,IF(AND($T119&lt;&gt;"",EDATE($D119,Milestones!$AA$187)&gt;=$T119),$W119,IF(AND($S119&lt;&gt;"",EDATE($D119,Milestones!$AA$187)&gt;=$S119),$V119,$U119)))=Milestones!$AB$187),UPPER(TEXT(EDATE($D119,Milestones!$AA$187),"dd mmm yy"))&amp;" "&amp;Milestones!$AB$187&amp;" "&amp;Milestones!$AC$187&amp;";  ","")&amp;IF(AND(EDATE($D119,Milestones!$AA$188)&lt;=AsOfDate,IF($R119=0,$X119,IF(AND($T119&lt;&gt;"",EDATE($D119,Milestones!$AA$188)&gt;=$T119),$W119,IF(AND($S119&lt;&gt;"",EDATE($D119,Milestones!$AA$188)&gt;=$S119),$V119,$U119)))=Milestones!$AB$188),UPPER(TEXT(EDATE($D119,Milestones!$AA$188),"dd mmm yy"))&amp;" "&amp;Milestones!$AB$188&amp;" "&amp;Milestones!$AC$188&amp;";  ","")&amp;IF(AND(EDATE($D119,Milestones!$AA$189)&lt;=AsOfDate,IF($R119=0,$X119,IF(AND($T119&lt;&gt;"",EDATE($D119,Milestones!$AA$189)&gt;=$T119),$W119,IF(AND($S119&lt;&gt;"",EDATE($D119,Milestones!$AA$189)&gt;=$S119),$V119,$U119)))=Milestones!$AB$189),UPPER(TEXT(EDATE($D119,Milestones!$AA$189),"dd mmm yy"))&amp;" "&amp;Milestones!$AB$189&amp;" "&amp;Milestones!$AC$189&amp;";  ","")&amp;IF(AND(EDATE($D119,Milestones!$AA$190)&lt;=AsOfDate,IF($R119=0,$X119,IF(AND($T119&lt;&gt;"",EDATE($D119,Milestones!$AA$190)&gt;=$T119),$W119,IF(AND($S119&lt;&gt;"",EDATE($D119,Milestones!$AA$190)&gt;=$S119),$V119,$U119)))=Milestones!$AB$190),UPPER(TEXT(EDATE($D119,Milestones!$AA$190),"dd mmm yy"))&amp;" "&amp;Milestones!$AB$190&amp;" "&amp;Milestones!$AC$190&amp;";  ","")&amp;IF(AND(EDATE($D119,Milestones!$AA$191)&lt;=AsOfDate,IF($R119=0,$X119,IF(AND($T119&lt;&gt;"",EDATE($D119,Milestones!$AA$191)&gt;=$T119),$W119,IF(AND($S119&lt;&gt;"",EDATE($D119,Milestones!$AA$191)&gt;=$S119),$V119,$U119)))=Milestones!$AB$191),UPPER(TEXT(EDATE($D119,Milestones!$AA$191),"dd mmm yy"))&amp;" "&amp;Milestones!$AB$191&amp;" "&amp;Milestones!$AC$191&amp;";  ","")&amp;IF(AND(EDATE($D119,Milestones!$AA$192)&lt;=AsOfDate,IF($R119=0,$X119,IF(AND($T119&lt;&gt;"",EDATE($D119,Milestones!$AA$192)&gt;=$T119),$W119,IF(AND($S119&lt;&gt;"",EDATE($D119,Milestones!$AA$192)&gt;=$S119),$V119,$U119)))=Milestones!$AB$192),UPPER(TEXT(EDATE($D119,Milestones!$AA$192),"dd mmm yy"))&amp;" "&amp;Milestones!$AB$192&amp;" "&amp;Milestones!$AC$192&amp;";  ","")&amp;IF(AND(EDATE($D119,Milestones!$AA$193)&lt;=AsOfDate,IF($R119=0,$X119,IF(AND($T119&lt;&gt;"",EDATE($D119,Milestones!$AA$193)&gt;=$T119),$W119,IF(AND($S119&lt;&gt;"",EDATE($D119,Milestones!$AA$193)&gt;=$S119),$V119,$U119)))=Milestones!$AB$193),UPPER(TEXT(EDATE($D119,Milestones!$AA$193),"dd mmm yy"))&amp;" "&amp;Milestones!$AB$193&amp;" "&amp;Milestones!$AC$193&amp;";  ","")&amp;IF(AND(EDATE($D119,Milestones!$AA$194)&lt;=AsOfDate,IF($R119=0,$X119,IF(AND($T119&lt;&gt;"",EDATE($D119,Milestones!$AA$194)&gt;=$T119),$W119,IF(AND($S119&lt;&gt;"",EDATE($D119,Milestones!$AA$194)&gt;=$S119),$V119,$U119)))=Milestones!$AB$194),UPPER(TEXT(EDATE($D119,Milestones!$AA$194),"dd mmm yy"))&amp;" "&amp;Milestones!$AB$194&amp;" "&amp;Milestones!$AC$194&amp;";  ","")&amp;IF(AND(EDATE($D119,Milestones!$AA$195)&lt;=AsOfDate,IF($R119=0,$X119,IF(AND($T119&lt;&gt;"",EDATE($D119,Milestones!$AA$195)&gt;=$T119),$W119,IF(AND($S119&lt;&gt;"",EDATE($D119,Milestones!$AA$195)&gt;=$S119),$V119,$U119)))=Milestones!$AB$195),UPPER(TEXT(EDATE($D119,Milestones!$AA$195),"dd mmm yy"))&amp;" "&amp;Milestones!$AB$195&amp;" "&amp;Milestones!$AC$195&amp;";  ","")&amp;IF(AND(EDATE($D119,Milestones!$AA$196)&lt;=AsOfDate,IF($R119=0,$X119,IF(AND($T119&lt;&gt;"",EDATE($D119,Milestones!$AA$196)&gt;=$T119),$W119,IF(AND($S119&lt;&gt;"",EDATE($D119,Milestones!$AA$196)&gt;=$S119),$V119,$U119)))=Milestones!$AB$196),UPPER(TEXT(EDATE($D119,Milestones!$AA$196),"dd mmm yy"))&amp;" "&amp;Milestones!$AB$196&amp;" "&amp;Milestones!$AC$196&amp;";  ","")&amp;IF(AND(EDATE($D119,Milestones!$AA$197)&lt;=AsOfDate,IF($R119=0,$X119,IF(AND($T119&lt;&gt;"",EDATE($D119,Milestones!$AA$197)&gt;=$T119),$W119,IF(AND($S119&lt;&gt;"",EDATE($D119,Milestones!$AA$197)&gt;=$S119),$V119,$U119)))=Milestones!$AB$197),UPPER(TEXT(EDATE($D119,Milestones!$AA$197),"dd mmm yy"))&amp;" "&amp;Milestones!$AB$197&amp;" "&amp;Milestones!$AC$197&amp;";  ","")&amp;IF(AND(EDATE($D119,Milestones!$AA$198)&lt;=AsOfDate,IF($R119=0,$X119,IF(AND($T119&lt;&gt;"",EDATE($D119,Milestones!$AA$198)&gt;=$T119),$W119,IF(AND($S119&lt;&gt;"",EDATE($D119,Milestones!$AA$198)&gt;=$S119),$V119,$U119)))=Milestones!$AB$198),UPPER(TEXT(EDATE($D119,Milestones!$AA$198),"dd mmm yy"))&amp;" "&amp;Milestones!$AB$198&amp;" "&amp;Milestones!$AC$198&amp;";  ","")&amp;IF(AND(EDATE($D119,Milestones!$AA$199)&lt;=AsOfDate,IF($R119=0,$X119,IF(AND($T119&lt;&gt;"",EDATE($D119,Milestones!$AA$199)&gt;=$T119),$W119,IF(AND($S119&lt;&gt;"",EDATE($D119,Milestones!$AA$199)&gt;=$S119),$V119,$U119)))=Milestones!$AB$199),UPPER(TEXT(EDATE($D119,Milestones!$AA$199),"dd mmm yy"))&amp;" "&amp;Milestones!$AB$199&amp;" "&amp;Milestones!$AC$199&amp;";  ",""))</f>
        <v/>
      </c>
      <c r="R119" s="0" t="str">
        <f aca="false">IF(Staff!$A119="","",Staff!$AI119)</f>
        <v/>
      </c>
      <c r="S119" s="0" t="str">
        <f aca="false">IF(Staff!$A119="","",Staff!$AK119)</f>
        <v/>
      </c>
      <c r="T119" s="0" t="str">
        <f aca="false">IF(Staff!$A119="","",Staff!$AL119)</f>
        <v/>
      </c>
      <c r="U119" s="0" t="str">
        <f aca="false">IF(Staff!$A119="","",Staff!$AP119)</f>
        <v/>
      </c>
      <c r="V119" s="0" t="str">
        <f aca="false">IF(Staff!$A119="","",Staff!$AQ119)</f>
        <v/>
      </c>
      <c r="W119" s="0" t="str">
        <f aca="false">IF(Staff!$A119="","",Staff!$AR119)</f>
        <v/>
      </c>
      <c r="X119" s="0" t="str">
        <f aca="false">IF(Staff!$A119="","",Staff!$AS119)</f>
        <v/>
      </c>
    </row>
    <row r="120" customFormat="false" ht="15" hidden="false" customHeight="false" outlineLevel="0" collapsed="false">
      <c r="A120" s="14" t="str">
        <f aca="false">IF(Staff!$A120="","",Staff!$A120)</f>
        <v/>
      </c>
      <c r="B120" s="14" t="str">
        <f aca="false">IF(Staff!$A120="","",Staff!$B120)</f>
        <v/>
      </c>
      <c r="C120" s="14" t="str">
        <f aca="false">IF(Staff!$A120="","",Staff!$C120)</f>
        <v/>
      </c>
      <c r="D120" s="12" t="str">
        <f aca="false">IF(Staff!$A120="","",Staff!$AH120)</f>
        <v/>
      </c>
      <c r="E120" s="14" t="str">
        <f aca="false">IF(Staff!$A120="","",Staff!$O120)</f>
        <v/>
      </c>
      <c r="F120" s="14" t="str">
        <f aca="false">IF(E120="","",E120*HoursPerDay)</f>
        <v/>
      </c>
      <c r="G120" s="14" t="str">
        <f aca="false">IF(Staff!$A120="","",Staff!$AE120)</f>
        <v/>
      </c>
      <c r="H120" s="26" t="str">
        <f aca="false">IF($A120="","",I120&amp;J120&amp;K120&amp;L120&amp;M120&amp;N120&amp;O120&amp;P120&amp;Q120)</f>
        <v/>
      </c>
      <c r="I120" s="0" t="str">
        <f aca="false">IF(OR($A120="",$D120=""),"",IF(AND(EDATE($D120,Milestones!$AA$20)&lt;=AsOfDate,IF($R120=0,$X120,IF(AND($T120&lt;&gt;"",EDATE($D120,Milestones!$AA$20)&gt;=$T120),$W120,IF(AND($S120&lt;&gt;"",EDATE($D120,Milestones!$AA$20)&gt;=$S120),$V120,$U120)))=Milestones!$AB$20),UPPER(TEXT(EDATE($D120,Milestones!$AA$20),"dd mmm yy"))&amp;" "&amp;Milestones!$AB$20&amp;" "&amp;Milestones!$AC$20&amp;";  ","")&amp;IF(AND(EDATE($D120,Milestones!$AA$21)&lt;=AsOfDate,IF($R120=0,$X120,IF(AND($T120&lt;&gt;"",EDATE($D120,Milestones!$AA$21)&gt;=$T120),$W120,IF(AND($S120&lt;&gt;"",EDATE($D120,Milestones!$AA$21)&gt;=$S120),$V120,$U120)))=Milestones!$AB$21),UPPER(TEXT(EDATE($D120,Milestones!$AA$21),"dd mmm yy"))&amp;" "&amp;Milestones!$AB$21&amp;" "&amp;Milestones!$AC$21&amp;";  ","")&amp;IF(AND(EDATE($D120,Milestones!$AA$22)&lt;=AsOfDate,IF($R120=0,$X120,IF(AND($T120&lt;&gt;"",EDATE($D120,Milestones!$AA$22)&gt;=$T120),$W120,IF(AND($S120&lt;&gt;"",EDATE($D120,Milestones!$AA$22)&gt;=$S120),$V120,$U120)))=Milestones!$AB$22),UPPER(TEXT(EDATE($D120,Milestones!$AA$22),"dd mmm yy"))&amp;" "&amp;Milestones!$AB$22&amp;" "&amp;Milestones!$AC$22&amp;";  ","")&amp;IF(AND(EDATE($D120,Milestones!$AA$23)&lt;=AsOfDate,IF($R120=0,$X120,IF(AND($T120&lt;&gt;"",EDATE($D120,Milestones!$AA$23)&gt;=$T120),$W120,IF(AND($S120&lt;&gt;"",EDATE($D120,Milestones!$AA$23)&gt;=$S120),$V120,$U120)))=Milestones!$AB$23),UPPER(TEXT(EDATE($D120,Milestones!$AA$23),"dd mmm yy"))&amp;" "&amp;Milestones!$AB$23&amp;" "&amp;Milestones!$AC$23&amp;";  ","")&amp;IF(AND(EDATE($D120,Milestones!$AA$24)&lt;=AsOfDate,IF($R120=0,$X120,IF(AND($T120&lt;&gt;"",EDATE($D120,Milestones!$AA$24)&gt;=$T120),$W120,IF(AND($S120&lt;&gt;"",EDATE($D120,Milestones!$AA$24)&gt;=$S120),$V120,$U120)))=Milestones!$AB$24),UPPER(TEXT(EDATE($D120,Milestones!$AA$24),"dd mmm yy"))&amp;" "&amp;Milestones!$AB$24&amp;" "&amp;Milestones!$AC$24&amp;";  ","")&amp;IF(AND(EDATE($D120,Milestones!$AA$25)&lt;=AsOfDate,IF($R120=0,$X120,IF(AND($T120&lt;&gt;"",EDATE($D120,Milestones!$AA$25)&gt;=$T120),$W120,IF(AND($S120&lt;&gt;"",EDATE($D120,Milestones!$AA$25)&gt;=$S120),$V120,$U120)))=Milestones!$AB$25),UPPER(TEXT(EDATE($D120,Milestones!$AA$25),"dd mmm yy"))&amp;" "&amp;Milestones!$AB$25&amp;" "&amp;Milestones!$AC$25&amp;";  ","")&amp;IF(AND(EDATE($D120,Milestones!$AA$26)&lt;=AsOfDate,IF($R120=0,$X120,IF(AND($T120&lt;&gt;"",EDATE($D120,Milestones!$AA$26)&gt;=$T120),$W120,IF(AND($S120&lt;&gt;"",EDATE($D120,Milestones!$AA$26)&gt;=$S120),$V120,$U120)))=Milestones!$AB$26),UPPER(TEXT(EDATE($D120,Milestones!$AA$26),"dd mmm yy"))&amp;" "&amp;Milestones!$AB$26&amp;" "&amp;Milestones!$AC$26&amp;";  ","")&amp;IF(AND(EDATE($D120,Milestones!$AA$27)&lt;=AsOfDate,IF($R120=0,$X120,IF(AND($T120&lt;&gt;"",EDATE($D120,Milestones!$AA$27)&gt;=$T120),$W120,IF(AND($S120&lt;&gt;"",EDATE($D120,Milestones!$AA$27)&gt;=$S120),$V120,$U120)))=Milestones!$AB$27),UPPER(TEXT(EDATE($D120,Milestones!$AA$27),"dd mmm yy"))&amp;" "&amp;Milestones!$AB$27&amp;" "&amp;Milestones!$AC$27&amp;";  ","")&amp;IF(AND(EDATE($D120,Milestones!$AA$28)&lt;=AsOfDate,IF($R120=0,$X120,IF(AND($T120&lt;&gt;"",EDATE($D120,Milestones!$AA$28)&gt;=$T120),$W120,IF(AND($S120&lt;&gt;"",EDATE($D120,Milestones!$AA$28)&gt;=$S120),$V120,$U120)))=Milestones!$AB$28),UPPER(TEXT(EDATE($D120,Milestones!$AA$28),"dd mmm yy"))&amp;" "&amp;Milestones!$AB$28&amp;" "&amp;Milestones!$AC$28&amp;";  ","")&amp;IF(AND(EDATE($D120,Milestones!$AA$29)&lt;=AsOfDate,IF($R120=0,$X120,IF(AND($T120&lt;&gt;"",EDATE($D120,Milestones!$AA$29)&gt;=$T120),$W120,IF(AND($S120&lt;&gt;"",EDATE($D120,Milestones!$AA$29)&gt;=$S120),$V120,$U120)))=Milestones!$AB$29),UPPER(TEXT(EDATE($D120,Milestones!$AA$29),"dd mmm yy"))&amp;" "&amp;Milestones!$AB$29&amp;" "&amp;Milestones!$AC$29&amp;";  ","")&amp;IF(AND(EDATE($D120,Milestones!$AA$30)&lt;=AsOfDate,IF($R120=0,$X120,IF(AND($T120&lt;&gt;"",EDATE($D120,Milestones!$AA$30)&gt;=$T120),$W120,IF(AND($S120&lt;&gt;"",EDATE($D120,Milestones!$AA$30)&gt;=$S120),$V120,$U120)))=Milestones!$AB$30),UPPER(TEXT(EDATE($D120,Milestones!$AA$30),"dd mmm yy"))&amp;" "&amp;Milestones!$AB$30&amp;" "&amp;Milestones!$AC$30&amp;";  ","")&amp;IF(AND(EDATE($D120,Milestones!$AA$31)&lt;=AsOfDate,IF($R120=0,$X120,IF(AND($T120&lt;&gt;"",EDATE($D120,Milestones!$AA$31)&gt;=$T120),$W120,IF(AND($S120&lt;&gt;"",EDATE($D120,Milestones!$AA$31)&gt;=$S120),$V120,$U120)))=Milestones!$AB$31),UPPER(TEXT(EDATE($D120,Milestones!$AA$31),"dd mmm yy"))&amp;" "&amp;Milestones!$AB$31&amp;" "&amp;Milestones!$AC$31&amp;";  ","")&amp;IF(AND(EDATE($D120,Milestones!$AA$32)&lt;=AsOfDate,IF($R120=0,$X120,IF(AND($T120&lt;&gt;"",EDATE($D120,Milestones!$AA$32)&gt;=$T120),$W120,IF(AND($S120&lt;&gt;"",EDATE($D120,Milestones!$AA$32)&gt;=$S120),$V120,$U120)))=Milestones!$AB$32),UPPER(TEXT(EDATE($D120,Milestones!$AA$32),"dd mmm yy"))&amp;" "&amp;Milestones!$AB$32&amp;" "&amp;Milestones!$AC$32&amp;";  ","")&amp;IF(AND(EDATE($D120,Milestones!$AA$33)&lt;=AsOfDate,IF($R120=0,$X120,IF(AND($T120&lt;&gt;"",EDATE($D120,Milestones!$AA$33)&gt;=$T120),$W120,IF(AND($S120&lt;&gt;"",EDATE($D120,Milestones!$AA$33)&gt;=$S120),$V120,$U120)))=Milestones!$AB$33),UPPER(TEXT(EDATE($D120,Milestones!$AA$33),"dd mmm yy"))&amp;" "&amp;Milestones!$AB$33&amp;" "&amp;Milestones!$AC$33&amp;";  ","")&amp;IF(AND(EDATE($D120,Milestones!$AA$34)&lt;=AsOfDate,IF($R120=0,$X120,IF(AND($T120&lt;&gt;"",EDATE($D120,Milestones!$AA$34)&gt;=$T120),$W120,IF(AND($S120&lt;&gt;"",EDATE($D120,Milestones!$AA$34)&gt;=$S120),$V120,$U120)))=Milestones!$AB$34),UPPER(TEXT(EDATE($D120,Milestones!$AA$34),"dd mmm yy"))&amp;" "&amp;Milestones!$AB$34&amp;" "&amp;Milestones!$AC$34&amp;";  ","")&amp;IF(AND(EDATE($D120,Milestones!$AA$35)&lt;=AsOfDate,IF($R120=0,$X120,IF(AND($T120&lt;&gt;"",EDATE($D120,Milestones!$AA$35)&gt;=$T120),$W120,IF(AND($S120&lt;&gt;"",EDATE($D120,Milestones!$AA$35)&gt;=$S120),$V120,$U120)))=Milestones!$AB$35),UPPER(TEXT(EDATE($D120,Milestones!$AA$35),"dd mmm yy"))&amp;" "&amp;Milestones!$AB$35&amp;" "&amp;Milestones!$AC$35&amp;";  ","")&amp;IF(AND(EDATE($D120,Milestones!$AA$36)&lt;=AsOfDate,IF($R120=0,$X120,IF(AND($T120&lt;&gt;"",EDATE($D120,Milestones!$AA$36)&gt;=$T120),$W120,IF(AND($S120&lt;&gt;"",EDATE($D120,Milestones!$AA$36)&gt;=$S120),$V120,$U120)))=Milestones!$AB$36),UPPER(TEXT(EDATE($D120,Milestones!$AA$36),"dd mmm yy"))&amp;" "&amp;Milestones!$AB$36&amp;" "&amp;Milestones!$AC$36&amp;";  ","")&amp;IF(AND(EDATE($D120,Milestones!$AA$37)&lt;=AsOfDate,IF($R120=0,$X120,IF(AND($T120&lt;&gt;"",EDATE($D120,Milestones!$AA$37)&gt;=$T120),$W120,IF(AND($S120&lt;&gt;"",EDATE($D120,Milestones!$AA$37)&gt;=$S120),$V120,$U120)))=Milestones!$AB$37),UPPER(TEXT(EDATE($D120,Milestones!$AA$37),"dd mmm yy"))&amp;" "&amp;Milestones!$AB$37&amp;" "&amp;Milestones!$AC$37&amp;";  ","")&amp;IF(AND(EDATE($D120,Milestones!$AA$38)&lt;=AsOfDate,IF($R120=0,$X120,IF(AND($T120&lt;&gt;"",EDATE($D120,Milestones!$AA$38)&gt;=$T120),$W120,IF(AND($S120&lt;&gt;"",EDATE($D120,Milestones!$AA$38)&gt;=$S120),$V120,$U120)))=Milestones!$AB$38),UPPER(TEXT(EDATE($D120,Milestones!$AA$38),"dd mmm yy"))&amp;" "&amp;Milestones!$AB$38&amp;" "&amp;Milestones!$AC$38&amp;";  ","")&amp;IF(AND(EDATE($D120,Milestones!$AA$39)&lt;=AsOfDate,IF($R120=0,$X120,IF(AND($T120&lt;&gt;"",EDATE($D120,Milestones!$AA$39)&gt;=$T120),$W120,IF(AND($S120&lt;&gt;"",EDATE($D120,Milestones!$AA$39)&gt;=$S120),$V120,$U120)))=Milestones!$AB$39),UPPER(TEXT(EDATE($D120,Milestones!$AA$39),"dd mmm yy"))&amp;" "&amp;Milestones!$AB$39&amp;" "&amp;Milestones!$AC$39&amp;";  ",""))</f>
        <v/>
      </c>
      <c r="J120" s="0" t="str">
        <f aca="false">IF(OR($A120="",$D120=""),"",IF(AND(EDATE($D120,Milestones!$AA$40)&lt;=AsOfDate,IF($R120=0,$X120,IF(AND($T120&lt;&gt;"",EDATE($D120,Milestones!$AA$40)&gt;=$T120),$W120,IF(AND($S120&lt;&gt;"",EDATE($D120,Milestones!$AA$40)&gt;=$S120),$V120,$U120)))=Milestones!$AB$40),UPPER(TEXT(EDATE($D120,Milestones!$AA$40),"dd mmm yy"))&amp;" "&amp;Milestones!$AB$40&amp;" "&amp;Milestones!$AC$40&amp;";  ","")&amp;IF(AND(EDATE($D120,Milestones!$AA$41)&lt;=AsOfDate,IF($R120=0,$X120,IF(AND($T120&lt;&gt;"",EDATE($D120,Milestones!$AA$41)&gt;=$T120),$W120,IF(AND($S120&lt;&gt;"",EDATE($D120,Milestones!$AA$41)&gt;=$S120),$V120,$U120)))=Milestones!$AB$41),UPPER(TEXT(EDATE($D120,Milestones!$AA$41),"dd mmm yy"))&amp;" "&amp;Milestones!$AB$41&amp;" "&amp;Milestones!$AC$41&amp;";  ","")&amp;IF(AND(EDATE($D120,Milestones!$AA$42)&lt;=AsOfDate,IF($R120=0,$X120,IF(AND($T120&lt;&gt;"",EDATE($D120,Milestones!$AA$42)&gt;=$T120),$W120,IF(AND($S120&lt;&gt;"",EDATE($D120,Milestones!$AA$42)&gt;=$S120),$V120,$U120)))=Milestones!$AB$42),UPPER(TEXT(EDATE($D120,Milestones!$AA$42),"dd mmm yy"))&amp;" "&amp;Milestones!$AB$42&amp;" "&amp;Milestones!$AC$42&amp;";  ","")&amp;IF(AND(EDATE($D120,Milestones!$AA$43)&lt;=AsOfDate,IF($R120=0,$X120,IF(AND($T120&lt;&gt;"",EDATE($D120,Milestones!$AA$43)&gt;=$T120),$W120,IF(AND($S120&lt;&gt;"",EDATE($D120,Milestones!$AA$43)&gt;=$S120),$V120,$U120)))=Milestones!$AB$43),UPPER(TEXT(EDATE($D120,Milestones!$AA$43),"dd mmm yy"))&amp;" "&amp;Milestones!$AB$43&amp;" "&amp;Milestones!$AC$43&amp;";  ","")&amp;IF(AND(EDATE($D120,Milestones!$AA$44)&lt;=AsOfDate,IF($R120=0,$X120,IF(AND($T120&lt;&gt;"",EDATE($D120,Milestones!$AA$44)&gt;=$T120),$W120,IF(AND($S120&lt;&gt;"",EDATE($D120,Milestones!$AA$44)&gt;=$S120),$V120,$U120)))=Milestones!$AB$44),UPPER(TEXT(EDATE($D120,Milestones!$AA$44),"dd mmm yy"))&amp;" "&amp;Milestones!$AB$44&amp;" "&amp;Milestones!$AC$44&amp;";  ","")&amp;IF(AND(EDATE($D120,Milestones!$AA$45)&lt;=AsOfDate,IF($R120=0,$X120,IF(AND($T120&lt;&gt;"",EDATE($D120,Milestones!$AA$45)&gt;=$T120),$W120,IF(AND($S120&lt;&gt;"",EDATE($D120,Milestones!$AA$45)&gt;=$S120),$V120,$U120)))=Milestones!$AB$45),UPPER(TEXT(EDATE($D120,Milestones!$AA$45),"dd mmm yy"))&amp;" "&amp;Milestones!$AB$45&amp;" "&amp;Milestones!$AC$45&amp;";  ","")&amp;IF(AND(EDATE($D120,Milestones!$AA$46)&lt;=AsOfDate,IF($R120=0,$X120,IF(AND($T120&lt;&gt;"",EDATE($D120,Milestones!$AA$46)&gt;=$T120),$W120,IF(AND($S120&lt;&gt;"",EDATE($D120,Milestones!$AA$46)&gt;=$S120),$V120,$U120)))=Milestones!$AB$46),UPPER(TEXT(EDATE($D120,Milestones!$AA$46),"dd mmm yy"))&amp;" "&amp;Milestones!$AB$46&amp;" "&amp;Milestones!$AC$46&amp;";  ","")&amp;IF(AND(EDATE($D120,Milestones!$AA$47)&lt;=AsOfDate,IF($R120=0,$X120,IF(AND($T120&lt;&gt;"",EDATE($D120,Milestones!$AA$47)&gt;=$T120),$W120,IF(AND($S120&lt;&gt;"",EDATE($D120,Milestones!$AA$47)&gt;=$S120),$V120,$U120)))=Milestones!$AB$47),UPPER(TEXT(EDATE($D120,Milestones!$AA$47),"dd mmm yy"))&amp;" "&amp;Milestones!$AB$47&amp;" "&amp;Milestones!$AC$47&amp;";  ","")&amp;IF(AND(EDATE($D120,Milestones!$AA$48)&lt;=AsOfDate,IF($R120=0,$X120,IF(AND($T120&lt;&gt;"",EDATE($D120,Milestones!$AA$48)&gt;=$T120),$W120,IF(AND($S120&lt;&gt;"",EDATE($D120,Milestones!$AA$48)&gt;=$S120),$V120,$U120)))=Milestones!$AB$48),UPPER(TEXT(EDATE($D120,Milestones!$AA$48),"dd mmm yy"))&amp;" "&amp;Milestones!$AB$48&amp;" "&amp;Milestones!$AC$48&amp;";  ","")&amp;IF(AND(EDATE($D120,Milestones!$AA$49)&lt;=AsOfDate,IF($R120=0,$X120,IF(AND($T120&lt;&gt;"",EDATE($D120,Milestones!$AA$49)&gt;=$T120),$W120,IF(AND($S120&lt;&gt;"",EDATE($D120,Milestones!$AA$49)&gt;=$S120),$V120,$U120)))=Milestones!$AB$49),UPPER(TEXT(EDATE($D120,Milestones!$AA$49),"dd mmm yy"))&amp;" "&amp;Milestones!$AB$49&amp;" "&amp;Milestones!$AC$49&amp;";  ","")&amp;IF(AND(EDATE($D120,Milestones!$AA$50)&lt;=AsOfDate,IF($R120=0,$X120,IF(AND($T120&lt;&gt;"",EDATE($D120,Milestones!$AA$50)&gt;=$T120),$W120,IF(AND($S120&lt;&gt;"",EDATE($D120,Milestones!$AA$50)&gt;=$S120),$V120,$U120)))=Milestones!$AB$50),UPPER(TEXT(EDATE($D120,Milestones!$AA$50),"dd mmm yy"))&amp;" "&amp;Milestones!$AB$50&amp;" "&amp;Milestones!$AC$50&amp;";  ","")&amp;IF(AND(EDATE($D120,Milestones!$AA$51)&lt;=AsOfDate,IF($R120=0,$X120,IF(AND($T120&lt;&gt;"",EDATE($D120,Milestones!$AA$51)&gt;=$T120),$W120,IF(AND($S120&lt;&gt;"",EDATE($D120,Milestones!$AA$51)&gt;=$S120),$V120,$U120)))=Milestones!$AB$51),UPPER(TEXT(EDATE($D120,Milestones!$AA$51),"dd mmm yy"))&amp;" "&amp;Milestones!$AB$51&amp;" "&amp;Milestones!$AC$51&amp;";  ","")&amp;IF(AND(EDATE($D120,Milestones!$AA$52)&lt;=AsOfDate,IF($R120=0,$X120,IF(AND($T120&lt;&gt;"",EDATE($D120,Milestones!$AA$52)&gt;=$T120),$W120,IF(AND($S120&lt;&gt;"",EDATE($D120,Milestones!$AA$52)&gt;=$S120),$V120,$U120)))=Milestones!$AB$52),UPPER(TEXT(EDATE($D120,Milestones!$AA$52),"dd mmm yy"))&amp;" "&amp;Milestones!$AB$52&amp;" "&amp;Milestones!$AC$52&amp;";  ","")&amp;IF(AND(EDATE($D120,Milestones!$AA$53)&lt;=AsOfDate,IF($R120=0,$X120,IF(AND($T120&lt;&gt;"",EDATE($D120,Milestones!$AA$53)&gt;=$T120),$W120,IF(AND($S120&lt;&gt;"",EDATE($D120,Milestones!$AA$53)&gt;=$S120),$V120,$U120)))=Milestones!$AB$53),UPPER(TEXT(EDATE($D120,Milestones!$AA$53),"dd mmm yy"))&amp;" "&amp;Milestones!$AB$53&amp;" "&amp;Milestones!$AC$53&amp;";  ","")&amp;IF(AND(EDATE($D120,Milestones!$AA$54)&lt;=AsOfDate,IF($R120=0,$X120,IF(AND($T120&lt;&gt;"",EDATE($D120,Milestones!$AA$54)&gt;=$T120),$W120,IF(AND($S120&lt;&gt;"",EDATE($D120,Milestones!$AA$54)&gt;=$S120),$V120,$U120)))=Milestones!$AB$54),UPPER(TEXT(EDATE($D120,Milestones!$AA$54),"dd mmm yy"))&amp;" "&amp;Milestones!$AB$54&amp;" "&amp;Milestones!$AC$54&amp;";  ","")&amp;IF(AND(EDATE($D120,Milestones!$AA$55)&lt;=AsOfDate,IF($R120=0,$X120,IF(AND($T120&lt;&gt;"",EDATE($D120,Milestones!$AA$55)&gt;=$T120),$W120,IF(AND($S120&lt;&gt;"",EDATE($D120,Milestones!$AA$55)&gt;=$S120),$V120,$U120)))=Milestones!$AB$55),UPPER(TEXT(EDATE($D120,Milestones!$AA$55),"dd mmm yy"))&amp;" "&amp;Milestones!$AB$55&amp;" "&amp;Milestones!$AC$55&amp;";  ","")&amp;IF(AND(EDATE($D120,Milestones!$AA$56)&lt;=AsOfDate,IF($R120=0,$X120,IF(AND($T120&lt;&gt;"",EDATE($D120,Milestones!$AA$56)&gt;=$T120),$W120,IF(AND($S120&lt;&gt;"",EDATE($D120,Milestones!$AA$56)&gt;=$S120),$V120,$U120)))=Milestones!$AB$56),UPPER(TEXT(EDATE($D120,Milestones!$AA$56),"dd mmm yy"))&amp;" "&amp;Milestones!$AB$56&amp;" "&amp;Milestones!$AC$56&amp;";  ","")&amp;IF(AND(EDATE($D120,Milestones!$AA$57)&lt;=AsOfDate,IF($R120=0,$X120,IF(AND($T120&lt;&gt;"",EDATE($D120,Milestones!$AA$57)&gt;=$T120),$W120,IF(AND($S120&lt;&gt;"",EDATE($D120,Milestones!$AA$57)&gt;=$S120),$V120,$U120)))=Milestones!$AB$57),UPPER(TEXT(EDATE($D120,Milestones!$AA$57),"dd mmm yy"))&amp;" "&amp;Milestones!$AB$57&amp;" "&amp;Milestones!$AC$57&amp;";  ","")&amp;IF(AND(EDATE($D120,Milestones!$AA$58)&lt;=AsOfDate,IF($R120=0,$X120,IF(AND($T120&lt;&gt;"",EDATE($D120,Milestones!$AA$58)&gt;=$T120),$W120,IF(AND($S120&lt;&gt;"",EDATE($D120,Milestones!$AA$58)&gt;=$S120),$V120,$U120)))=Milestones!$AB$58),UPPER(TEXT(EDATE($D120,Milestones!$AA$58),"dd mmm yy"))&amp;" "&amp;Milestones!$AB$58&amp;" "&amp;Milestones!$AC$58&amp;";  ","")&amp;IF(AND(EDATE($D120,Milestones!$AA$59)&lt;=AsOfDate,IF($R120=0,$X120,IF(AND($T120&lt;&gt;"",EDATE($D120,Milestones!$AA$59)&gt;=$T120),$W120,IF(AND($S120&lt;&gt;"",EDATE($D120,Milestones!$AA$59)&gt;=$S120),$V120,$U120)))=Milestones!$AB$59),UPPER(TEXT(EDATE($D120,Milestones!$AA$59),"dd mmm yy"))&amp;" "&amp;Milestones!$AB$59&amp;" "&amp;Milestones!$AC$59&amp;";  ",""))</f>
        <v/>
      </c>
      <c r="K120" s="0" t="str">
        <f aca="false">IF(OR($A120="",$D120=""),"",IF(AND(EDATE($D120,Milestones!$AA$60)&lt;=AsOfDate,IF($R120=0,$X120,IF(AND($T120&lt;&gt;"",EDATE($D120,Milestones!$AA$60)&gt;=$T120),$W120,IF(AND($S120&lt;&gt;"",EDATE($D120,Milestones!$AA$60)&gt;=$S120),$V120,$U120)))=Milestones!$AB$60),UPPER(TEXT(EDATE($D120,Milestones!$AA$60),"dd mmm yy"))&amp;" "&amp;Milestones!$AB$60&amp;" "&amp;Milestones!$AC$60&amp;";  ","")&amp;IF(AND(EDATE($D120,Milestones!$AA$61)&lt;=AsOfDate,IF($R120=0,$X120,IF(AND($T120&lt;&gt;"",EDATE($D120,Milestones!$AA$61)&gt;=$T120),$W120,IF(AND($S120&lt;&gt;"",EDATE($D120,Milestones!$AA$61)&gt;=$S120),$V120,$U120)))=Milestones!$AB$61),UPPER(TEXT(EDATE($D120,Milestones!$AA$61),"dd mmm yy"))&amp;" "&amp;Milestones!$AB$61&amp;" "&amp;Milestones!$AC$61&amp;";  ","")&amp;IF(AND(EDATE($D120,Milestones!$AA$62)&lt;=AsOfDate,IF($R120=0,$X120,IF(AND($T120&lt;&gt;"",EDATE($D120,Milestones!$AA$62)&gt;=$T120),$W120,IF(AND($S120&lt;&gt;"",EDATE($D120,Milestones!$AA$62)&gt;=$S120),$V120,$U120)))=Milestones!$AB$62),UPPER(TEXT(EDATE($D120,Milestones!$AA$62),"dd mmm yy"))&amp;" "&amp;Milestones!$AB$62&amp;" "&amp;Milestones!$AC$62&amp;";  ","")&amp;IF(AND(EDATE($D120,Milestones!$AA$63)&lt;=AsOfDate,IF($R120=0,$X120,IF(AND($T120&lt;&gt;"",EDATE($D120,Milestones!$AA$63)&gt;=$T120),$W120,IF(AND($S120&lt;&gt;"",EDATE($D120,Milestones!$AA$63)&gt;=$S120),$V120,$U120)))=Milestones!$AB$63),UPPER(TEXT(EDATE($D120,Milestones!$AA$63),"dd mmm yy"))&amp;" "&amp;Milestones!$AB$63&amp;" "&amp;Milestones!$AC$63&amp;";  ","")&amp;IF(AND(EDATE($D120,Milestones!$AA$64)&lt;=AsOfDate,IF($R120=0,$X120,IF(AND($T120&lt;&gt;"",EDATE($D120,Milestones!$AA$64)&gt;=$T120),$W120,IF(AND($S120&lt;&gt;"",EDATE($D120,Milestones!$AA$64)&gt;=$S120),$V120,$U120)))=Milestones!$AB$64),UPPER(TEXT(EDATE($D120,Milestones!$AA$64),"dd mmm yy"))&amp;" "&amp;Milestones!$AB$64&amp;" "&amp;Milestones!$AC$64&amp;";  ","")&amp;IF(AND(EDATE($D120,Milestones!$AA$65)&lt;=AsOfDate,IF($R120=0,$X120,IF(AND($T120&lt;&gt;"",EDATE($D120,Milestones!$AA$65)&gt;=$T120),$W120,IF(AND($S120&lt;&gt;"",EDATE($D120,Milestones!$AA$65)&gt;=$S120),$V120,$U120)))=Milestones!$AB$65),UPPER(TEXT(EDATE($D120,Milestones!$AA$65),"dd mmm yy"))&amp;" "&amp;Milestones!$AB$65&amp;" "&amp;Milestones!$AC$65&amp;";  ","")&amp;IF(AND(EDATE($D120,Milestones!$AA$66)&lt;=AsOfDate,IF($R120=0,$X120,IF(AND($T120&lt;&gt;"",EDATE($D120,Milestones!$AA$66)&gt;=$T120),$W120,IF(AND($S120&lt;&gt;"",EDATE($D120,Milestones!$AA$66)&gt;=$S120),$V120,$U120)))=Milestones!$AB$66),UPPER(TEXT(EDATE($D120,Milestones!$AA$66),"dd mmm yy"))&amp;" "&amp;Milestones!$AB$66&amp;" "&amp;Milestones!$AC$66&amp;";  ","")&amp;IF(AND(EDATE($D120,Milestones!$AA$67)&lt;=AsOfDate,IF($R120=0,$X120,IF(AND($T120&lt;&gt;"",EDATE($D120,Milestones!$AA$67)&gt;=$T120),$W120,IF(AND($S120&lt;&gt;"",EDATE($D120,Milestones!$AA$67)&gt;=$S120),$V120,$U120)))=Milestones!$AB$67),UPPER(TEXT(EDATE($D120,Milestones!$AA$67),"dd mmm yy"))&amp;" "&amp;Milestones!$AB$67&amp;" "&amp;Milestones!$AC$67&amp;";  ","")&amp;IF(AND(EDATE($D120,Milestones!$AA$68)&lt;=AsOfDate,IF($R120=0,$X120,IF(AND($T120&lt;&gt;"",EDATE($D120,Milestones!$AA$68)&gt;=$T120),$W120,IF(AND($S120&lt;&gt;"",EDATE($D120,Milestones!$AA$68)&gt;=$S120),$V120,$U120)))=Milestones!$AB$68),UPPER(TEXT(EDATE($D120,Milestones!$AA$68),"dd mmm yy"))&amp;" "&amp;Milestones!$AB$68&amp;" "&amp;Milestones!$AC$68&amp;";  ","")&amp;IF(AND(EDATE($D120,Milestones!$AA$69)&lt;=AsOfDate,IF($R120=0,$X120,IF(AND($T120&lt;&gt;"",EDATE($D120,Milestones!$AA$69)&gt;=$T120),$W120,IF(AND($S120&lt;&gt;"",EDATE($D120,Milestones!$AA$69)&gt;=$S120),$V120,$U120)))=Milestones!$AB$69),UPPER(TEXT(EDATE($D120,Milestones!$AA$69),"dd mmm yy"))&amp;" "&amp;Milestones!$AB$69&amp;" "&amp;Milestones!$AC$69&amp;";  ","")&amp;IF(AND(EDATE($D120,Milestones!$AA$70)&lt;=AsOfDate,IF($R120=0,$X120,IF(AND($T120&lt;&gt;"",EDATE($D120,Milestones!$AA$70)&gt;=$T120),$W120,IF(AND($S120&lt;&gt;"",EDATE($D120,Milestones!$AA$70)&gt;=$S120),$V120,$U120)))=Milestones!$AB$70),UPPER(TEXT(EDATE($D120,Milestones!$AA$70),"dd mmm yy"))&amp;" "&amp;Milestones!$AB$70&amp;" "&amp;Milestones!$AC$70&amp;";  ","")&amp;IF(AND(EDATE($D120,Milestones!$AA$71)&lt;=AsOfDate,IF($R120=0,$X120,IF(AND($T120&lt;&gt;"",EDATE($D120,Milestones!$AA$71)&gt;=$T120),$W120,IF(AND($S120&lt;&gt;"",EDATE($D120,Milestones!$AA$71)&gt;=$S120),$V120,$U120)))=Milestones!$AB$71),UPPER(TEXT(EDATE($D120,Milestones!$AA$71),"dd mmm yy"))&amp;" "&amp;Milestones!$AB$71&amp;" "&amp;Milestones!$AC$71&amp;";  ","")&amp;IF(AND(EDATE($D120,Milestones!$AA$72)&lt;=AsOfDate,IF($R120=0,$X120,IF(AND($T120&lt;&gt;"",EDATE($D120,Milestones!$AA$72)&gt;=$T120),$W120,IF(AND($S120&lt;&gt;"",EDATE($D120,Milestones!$AA$72)&gt;=$S120),$V120,$U120)))=Milestones!$AB$72),UPPER(TEXT(EDATE($D120,Milestones!$AA$72),"dd mmm yy"))&amp;" "&amp;Milestones!$AB$72&amp;" "&amp;Milestones!$AC$72&amp;";  ","")&amp;IF(AND(EDATE($D120,Milestones!$AA$73)&lt;=AsOfDate,IF($R120=0,$X120,IF(AND($T120&lt;&gt;"",EDATE($D120,Milestones!$AA$73)&gt;=$T120),$W120,IF(AND($S120&lt;&gt;"",EDATE($D120,Milestones!$AA$73)&gt;=$S120),$V120,$U120)))=Milestones!$AB$73),UPPER(TEXT(EDATE($D120,Milestones!$AA$73),"dd mmm yy"))&amp;" "&amp;Milestones!$AB$73&amp;" "&amp;Milestones!$AC$73&amp;";  ","")&amp;IF(AND(EDATE($D120,Milestones!$AA$74)&lt;=AsOfDate,IF($R120=0,$X120,IF(AND($T120&lt;&gt;"",EDATE($D120,Milestones!$AA$74)&gt;=$T120),$W120,IF(AND($S120&lt;&gt;"",EDATE($D120,Milestones!$AA$74)&gt;=$S120),$V120,$U120)))=Milestones!$AB$74),UPPER(TEXT(EDATE($D120,Milestones!$AA$74),"dd mmm yy"))&amp;" "&amp;Milestones!$AB$74&amp;" "&amp;Milestones!$AC$74&amp;";  ","")&amp;IF(AND(EDATE($D120,Milestones!$AA$75)&lt;=AsOfDate,IF($R120=0,$X120,IF(AND($T120&lt;&gt;"",EDATE($D120,Milestones!$AA$75)&gt;=$T120),$W120,IF(AND($S120&lt;&gt;"",EDATE($D120,Milestones!$AA$75)&gt;=$S120),$V120,$U120)))=Milestones!$AB$75),UPPER(TEXT(EDATE($D120,Milestones!$AA$75),"dd mmm yy"))&amp;" "&amp;Milestones!$AB$75&amp;" "&amp;Milestones!$AC$75&amp;";  ","")&amp;IF(AND(EDATE($D120,Milestones!$AA$76)&lt;=AsOfDate,IF($R120=0,$X120,IF(AND($T120&lt;&gt;"",EDATE($D120,Milestones!$AA$76)&gt;=$T120),$W120,IF(AND($S120&lt;&gt;"",EDATE($D120,Milestones!$AA$76)&gt;=$S120),$V120,$U120)))=Milestones!$AB$76),UPPER(TEXT(EDATE($D120,Milestones!$AA$76),"dd mmm yy"))&amp;" "&amp;Milestones!$AB$76&amp;" "&amp;Milestones!$AC$76&amp;";  ","")&amp;IF(AND(EDATE($D120,Milestones!$AA$77)&lt;=AsOfDate,IF($R120=0,$X120,IF(AND($T120&lt;&gt;"",EDATE($D120,Milestones!$AA$77)&gt;=$T120),$W120,IF(AND($S120&lt;&gt;"",EDATE($D120,Milestones!$AA$77)&gt;=$S120),$V120,$U120)))=Milestones!$AB$77),UPPER(TEXT(EDATE($D120,Milestones!$AA$77),"dd mmm yy"))&amp;" "&amp;Milestones!$AB$77&amp;" "&amp;Milestones!$AC$77&amp;";  ","")&amp;IF(AND(EDATE($D120,Milestones!$AA$78)&lt;=AsOfDate,IF($R120=0,$X120,IF(AND($T120&lt;&gt;"",EDATE($D120,Milestones!$AA$78)&gt;=$T120),$W120,IF(AND($S120&lt;&gt;"",EDATE($D120,Milestones!$AA$78)&gt;=$S120),$V120,$U120)))=Milestones!$AB$78),UPPER(TEXT(EDATE($D120,Milestones!$AA$78),"dd mmm yy"))&amp;" "&amp;Milestones!$AB$78&amp;" "&amp;Milestones!$AC$78&amp;";  ","")&amp;IF(AND(EDATE($D120,Milestones!$AA$79)&lt;=AsOfDate,IF($R120=0,$X120,IF(AND($T120&lt;&gt;"",EDATE($D120,Milestones!$AA$79)&gt;=$T120),$W120,IF(AND($S120&lt;&gt;"",EDATE($D120,Milestones!$AA$79)&gt;=$S120),$V120,$U120)))=Milestones!$AB$79),UPPER(TEXT(EDATE($D120,Milestones!$AA$79),"dd mmm yy"))&amp;" "&amp;Milestones!$AB$79&amp;" "&amp;Milestones!$AC$79&amp;";  ",""))</f>
        <v/>
      </c>
      <c r="L120" s="0" t="str">
        <f aca="false">IF(OR($A120="",$D120=""),"",IF(AND(EDATE($D120,Milestones!$AA$80)&lt;=AsOfDate,IF($R120=0,$X120,IF(AND($T120&lt;&gt;"",EDATE($D120,Milestones!$AA$80)&gt;=$T120),$W120,IF(AND($S120&lt;&gt;"",EDATE($D120,Milestones!$AA$80)&gt;=$S120),$V120,$U120)))=Milestones!$AB$80),UPPER(TEXT(EDATE($D120,Milestones!$AA$80),"dd mmm yy"))&amp;" "&amp;Milestones!$AB$80&amp;" "&amp;Milestones!$AC$80&amp;";  ","")&amp;IF(AND(EDATE($D120,Milestones!$AA$81)&lt;=AsOfDate,IF($R120=0,$X120,IF(AND($T120&lt;&gt;"",EDATE($D120,Milestones!$AA$81)&gt;=$T120),$W120,IF(AND($S120&lt;&gt;"",EDATE($D120,Milestones!$AA$81)&gt;=$S120),$V120,$U120)))=Milestones!$AB$81),UPPER(TEXT(EDATE($D120,Milestones!$AA$81),"dd mmm yy"))&amp;" "&amp;Milestones!$AB$81&amp;" "&amp;Milestones!$AC$81&amp;";  ","")&amp;IF(AND(EDATE($D120,Milestones!$AA$82)&lt;=AsOfDate,IF($R120=0,$X120,IF(AND($T120&lt;&gt;"",EDATE($D120,Milestones!$AA$82)&gt;=$T120),$W120,IF(AND($S120&lt;&gt;"",EDATE($D120,Milestones!$AA$82)&gt;=$S120),$V120,$U120)))=Milestones!$AB$82),UPPER(TEXT(EDATE($D120,Milestones!$AA$82),"dd mmm yy"))&amp;" "&amp;Milestones!$AB$82&amp;" "&amp;Milestones!$AC$82&amp;";  ","")&amp;IF(AND(EDATE($D120,Milestones!$AA$83)&lt;=AsOfDate,IF($R120=0,$X120,IF(AND($T120&lt;&gt;"",EDATE($D120,Milestones!$AA$83)&gt;=$T120),$W120,IF(AND($S120&lt;&gt;"",EDATE($D120,Milestones!$AA$83)&gt;=$S120),$V120,$U120)))=Milestones!$AB$83),UPPER(TEXT(EDATE($D120,Milestones!$AA$83),"dd mmm yy"))&amp;" "&amp;Milestones!$AB$83&amp;" "&amp;Milestones!$AC$83&amp;";  ","")&amp;IF(AND(EDATE($D120,Milestones!$AA$84)&lt;=AsOfDate,IF($R120=0,$X120,IF(AND($T120&lt;&gt;"",EDATE($D120,Milestones!$AA$84)&gt;=$T120),$W120,IF(AND($S120&lt;&gt;"",EDATE($D120,Milestones!$AA$84)&gt;=$S120),$V120,$U120)))=Milestones!$AB$84),UPPER(TEXT(EDATE($D120,Milestones!$AA$84),"dd mmm yy"))&amp;" "&amp;Milestones!$AB$84&amp;" "&amp;Milestones!$AC$84&amp;";  ","")&amp;IF(AND(EDATE($D120,Milestones!$AA$85)&lt;=AsOfDate,IF($R120=0,$X120,IF(AND($T120&lt;&gt;"",EDATE($D120,Milestones!$AA$85)&gt;=$T120),$W120,IF(AND($S120&lt;&gt;"",EDATE($D120,Milestones!$AA$85)&gt;=$S120),$V120,$U120)))=Milestones!$AB$85),UPPER(TEXT(EDATE($D120,Milestones!$AA$85),"dd mmm yy"))&amp;" "&amp;Milestones!$AB$85&amp;" "&amp;Milestones!$AC$85&amp;";  ","")&amp;IF(AND(EDATE($D120,Milestones!$AA$86)&lt;=AsOfDate,IF($R120=0,$X120,IF(AND($T120&lt;&gt;"",EDATE($D120,Milestones!$AA$86)&gt;=$T120),$W120,IF(AND($S120&lt;&gt;"",EDATE($D120,Milestones!$AA$86)&gt;=$S120),$V120,$U120)))=Milestones!$AB$86),UPPER(TEXT(EDATE($D120,Milestones!$AA$86),"dd mmm yy"))&amp;" "&amp;Milestones!$AB$86&amp;" "&amp;Milestones!$AC$86&amp;";  ","")&amp;IF(AND(EDATE($D120,Milestones!$AA$87)&lt;=AsOfDate,IF($R120=0,$X120,IF(AND($T120&lt;&gt;"",EDATE($D120,Milestones!$AA$87)&gt;=$T120),$W120,IF(AND($S120&lt;&gt;"",EDATE($D120,Milestones!$AA$87)&gt;=$S120),$V120,$U120)))=Milestones!$AB$87),UPPER(TEXT(EDATE($D120,Milestones!$AA$87),"dd mmm yy"))&amp;" "&amp;Milestones!$AB$87&amp;" "&amp;Milestones!$AC$87&amp;";  ","")&amp;IF(AND(EDATE($D120,Milestones!$AA$88)&lt;=AsOfDate,IF($R120=0,$X120,IF(AND($T120&lt;&gt;"",EDATE($D120,Milestones!$AA$88)&gt;=$T120),$W120,IF(AND($S120&lt;&gt;"",EDATE($D120,Milestones!$AA$88)&gt;=$S120),$V120,$U120)))=Milestones!$AB$88),UPPER(TEXT(EDATE($D120,Milestones!$AA$88),"dd mmm yy"))&amp;" "&amp;Milestones!$AB$88&amp;" "&amp;Milestones!$AC$88&amp;";  ","")&amp;IF(AND(EDATE($D120,Milestones!$AA$89)&lt;=AsOfDate,IF($R120=0,$X120,IF(AND($T120&lt;&gt;"",EDATE($D120,Milestones!$AA$89)&gt;=$T120),$W120,IF(AND($S120&lt;&gt;"",EDATE($D120,Milestones!$AA$89)&gt;=$S120),$V120,$U120)))=Milestones!$AB$89),UPPER(TEXT(EDATE($D120,Milestones!$AA$89),"dd mmm yy"))&amp;" "&amp;Milestones!$AB$89&amp;" "&amp;Milestones!$AC$89&amp;";  ","")&amp;IF(AND(EDATE($D120,Milestones!$AA$90)&lt;=AsOfDate,IF($R120=0,$X120,IF(AND($T120&lt;&gt;"",EDATE($D120,Milestones!$AA$90)&gt;=$T120),$W120,IF(AND($S120&lt;&gt;"",EDATE($D120,Milestones!$AA$90)&gt;=$S120),$V120,$U120)))=Milestones!$AB$90),UPPER(TEXT(EDATE($D120,Milestones!$AA$90),"dd mmm yy"))&amp;" "&amp;Milestones!$AB$90&amp;" "&amp;Milestones!$AC$90&amp;";  ","")&amp;IF(AND(EDATE($D120,Milestones!$AA$91)&lt;=AsOfDate,IF($R120=0,$X120,IF(AND($T120&lt;&gt;"",EDATE($D120,Milestones!$AA$91)&gt;=$T120),$W120,IF(AND($S120&lt;&gt;"",EDATE($D120,Milestones!$AA$91)&gt;=$S120),$V120,$U120)))=Milestones!$AB$91),UPPER(TEXT(EDATE($D120,Milestones!$AA$91),"dd mmm yy"))&amp;" "&amp;Milestones!$AB$91&amp;" "&amp;Milestones!$AC$91&amp;";  ","")&amp;IF(AND(EDATE($D120,Milestones!$AA$92)&lt;=AsOfDate,IF($R120=0,$X120,IF(AND($T120&lt;&gt;"",EDATE($D120,Milestones!$AA$92)&gt;=$T120),$W120,IF(AND($S120&lt;&gt;"",EDATE($D120,Milestones!$AA$92)&gt;=$S120),$V120,$U120)))=Milestones!$AB$92),UPPER(TEXT(EDATE($D120,Milestones!$AA$92),"dd mmm yy"))&amp;" "&amp;Milestones!$AB$92&amp;" "&amp;Milestones!$AC$92&amp;";  ","")&amp;IF(AND(EDATE($D120,Milestones!$AA$93)&lt;=AsOfDate,IF($R120=0,$X120,IF(AND($T120&lt;&gt;"",EDATE($D120,Milestones!$AA$93)&gt;=$T120),$W120,IF(AND($S120&lt;&gt;"",EDATE($D120,Milestones!$AA$93)&gt;=$S120),$V120,$U120)))=Milestones!$AB$93),UPPER(TEXT(EDATE($D120,Milestones!$AA$93),"dd mmm yy"))&amp;" "&amp;Milestones!$AB$93&amp;" "&amp;Milestones!$AC$93&amp;";  ","")&amp;IF(AND(EDATE($D120,Milestones!$AA$94)&lt;=AsOfDate,IF($R120=0,$X120,IF(AND($T120&lt;&gt;"",EDATE($D120,Milestones!$AA$94)&gt;=$T120),$W120,IF(AND($S120&lt;&gt;"",EDATE($D120,Milestones!$AA$94)&gt;=$S120),$V120,$U120)))=Milestones!$AB$94),UPPER(TEXT(EDATE($D120,Milestones!$AA$94),"dd mmm yy"))&amp;" "&amp;Milestones!$AB$94&amp;" "&amp;Milestones!$AC$94&amp;";  ","")&amp;IF(AND(EDATE($D120,Milestones!$AA$95)&lt;=AsOfDate,IF($R120=0,$X120,IF(AND($T120&lt;&gt;"",EDATE($D120,Milestones!$AA$95)&gt;=$T120),$W120,IF(AND($S120&lt;&gt;"",EDATE($D120,Milestones!$AA$95)&gt;=$S120),$V120,$U120)))=Milestones!$AB$95),UPPER(TEXT(EDATE($D120,Milestones!$AA$95),"dd mmm yy"))&amp;" "&amp;Milestones!$AB$95&amp;" "&amp;Milestones!$AC$95&amp;";  ","")&amp;IF(AND(EDATE($D120,Milestones!$AA$96)&lt;=AsOfDate,IF($R120=0,$X120,IF(AND($T120&lt;&gt;"",EDATE($D120,Milestones!$AA$96)&gt;=$T120),$W120,IF(AND($S120&lt;&gt;"",EDATE($D120,Milestones!$AA$96)&gt;=$S120),$V120,$U120)))=Milestones!$AB$96),UPPER(TEXT(EDATE($D120,Milestones!$AA$96),"dd mmm yy"))&amp;" "&amp;Milestones!$AB$96&amp;" "&amp;Milestones!$AC$96&amp;";  ","")&amp;IF(AND(EDATE($D120,Milestones!$AA$97)&lt;=AsOfDate,IF($R120=0,$X120,IF(AND($T120&lt;&gt;"",EDATE($D120,Milestones!$AA$97)&gt;=$T120),$W120,IF(AND($S120&lt;&gt;"",EDATE($D120,Milestones!$AA$97)&gt;=$S120),$V120,$U120)))=Milestones!$AB$97),UPPER(TEXT(EDATE($D120,Milestones!$AA$97),"dd mmm yy"))&amp;" "&amp;Milestones!$AB$97&amp;" "&amp;Milestones!$AC$97&amp;";  ","")&amp;IF(AND(EDATE($D120,Milestones!$AA$98)&lt;=AsOfDate,IF($R120=0,$X120,IF(AND($T120&lt;&gt;"",EDATE($D120,Milestones!$AA$98)&gt;=$T120),$W120,IF(AND($S120&lt;&gt;"",EDATE($D120,Milestones!$AA$98)&gt;=$S120),$V120,$U120)))=Milestones!$AB$98),UPPER(TEXT(EDATE($D120,Milestones!$AA$98),"dd mmm yy"))&amp;" "&amp;Milestones!$AB$98&amp;" "&amp;Milestones!$AC$98&amp;";  ","")&amp;IF(AND(EDATE($D120,Milestones!$AA$99)&lt;=AsOfDate,IF($R120=0,$X120,IF(AND($T120&lt;&gt;"",EDATE($D120,Milestones!$AA$99)&gt;=$T120),$W120,IF(AND($S120&lt;&gt;"",EDATE($D120,Milestones!$AA$99)&gt;=$S120),$V120,$U120)))=Milestones!$AB$99),UPPER(TEXT(EDATE($D120,Milestones!$AA$99),"dd mmm yy"))&amp;" "&amp;Milestones!$AB$99&amp;" "&amp;Milestones!$AC$99&amp;";  ",""))</f>
        <v/>
      </c>
      <c r="M120" s="0" t="str">
        <f aca="false">IF(OR($A120="",$D120=""),"",IF(AND(EDATE($D120,Milestones!$AA$100)&lt;=AsOfDate,IF($R120=0,$X120,IF(AND($T120&lt;&gt;"",EDATE($D120,Milestones!$AA$100)&gt;=$T120),$W120,IF(AND($S120&lt;&gt;"",EDATE($D120,Milestones!$AA$100)&gt;=$S120),$V120,$U120)))=Milestones!$AB$100),UPPER(TEXT(EDATE($D120,Milestones!$AA$100),"dd mmm yy"))&amp;" "&amp;Milestones!$AB$100&amp;" "&amp;Milestones!$AC$100&amp;";  ","")&amp;IF(AND(EDATE($D120,Milestones!$AA$101)&lt;=AsOfDate,IF($R120=0,$X120,IF(AND($T120&lt;&gt;"",EDATE($D120,Milestones!$AA$101)&gt;=$T120),$W120,IF(AND($S120&lt;&gt;"",EDATE($D120,Milestones!$AA$101)&gt;=$S120),$V120,$U120)))=Milestones!$AB$101),UPPER(TEXT(EDATE($D120,Milestones!$AA$101),"dd mmm yy"))&amp;" "&amp;Milestones!$AB$101&amp;" "&amp;Milestones!$AC$101&amp;";  ","")&amp;IF(AND(EDATE($D120,Milestones!$AA$102)&lt;=AsOfDate,IF($R120=0,$X120,IF(AND($T120&lt;&gt;"",EDATE($D120,Milestones!$AA$102)&gt;=$T120),$W120,IF(AND($S120&lt;&gt;"",EDATE($D120,Milestones!$AA$102)&gt;=$S120),$V120,$U120)))=Milestones!$AB$102),UPPER(TEXT(EDATE($D120,Milestones!$AA$102),"dd mmm yy"))&amp;" "&amp;Milestones!$AB$102&amp;" "&amp;Milestones!$AC$102&amp;";  ","")&amp;IF(AND(EDATE($D120,Milestones!$AA$103)&lt;=AsOfDate,IF($R120=0,$X120,IF(AND($T120&lt;&gt;"",EDATE($D120,Milestones!$AA$103)&gt;=$T120),$W120,IF(AND($S120&lt;&gt;"",EDATE($D120,Milestones!$AA$103)&gt;=$S120),$V120,$U120)))=Milestones!$AB$103),UPPER(TEXT(EDATE($D120,Milestones!$AA$103),"dd mmm yy"))&amp;" "&amp;Milestones!$AB$103&amp;" "&amp;Milestones!$AC$103&amp;";  ","")&amp;IF(AND(EDATE($D120,Milestones!$AA$104)&lt;=AsOfDate,IF($R120=0,$X120,IF(AND($T120&lt;&gt;"",EDATE($D120,Milestones!$AA$104)&gt;=$T120),$W120,IF(AND($S120&lt;&gt;"",EDATE($D120,Milestones!$AA$104)&gt;=$S120),$V120,$U120)))=Milestones!$AB$104),UPPER(TEXT(EDATE($D120,Milestones!$AA$104),"dd mmm yy"))&amp;" "&amp;Milestones!$AB$104&amp;" "&amp;Milestones!$AC$104&amp;";  ","")&amp;IF(AND(EDATE($D120,Milestones!$AA$105)&lt;=AsOfDate,IF($R120=0,$X120,IF(AND($T120&lt;&gt;"",EDATE($D120,Milestones!$AA$105)&gt;=$T120),$W120,IF(AND($S120&lt;&gt;"",EDATE($D120,Milestones!$AA$105)&gt;=$S120),$V120,$U120)))=Milestones!$AB$105),UPPER(TEXT(EDATE($D120,Milestones!$AA$105),"dd mmm yy"))&amp;" "&amp;Milestones!$AB$105&amp;" "&amp;Milestones!$AC$105&amp;";  ","")&amp;IF(AND(EDATE($D120,Milestones!$AA$106)&lt;=AsOfDate,IF($R120=0,$X120,IF(AND($T120&lt;&gt;"",EDATE($D120,Milestones!$AA$106)&gt;=$T120),$W120,IF(AND($S120&lt;&gt;"",EDATE($D120,Milestones!$AA$106)&gt;=$S120),$V120,$U120)))=Milestones!$AB$106),UPPER(TEXT(EDATE($D120,Milestones!$AA$106),"dd mmm yy"))&amp;" "&amp;Milestones!$AB$106&amp;" "&amp;Milestones!$AC$106&amp;";  ","")&amp;IF(AND(EDATE($D120,Milestones!$AA$107)&lt;=AsOfDate,IF($R120=0,$X120,IF(AND($T120&lt;&gt;"",EDATE($D120,Milestones!$AA$107)&gt;=$T120),$W120,IF(AND($S120&lt;&gt;"",EDATE($D120,Milestones!$AA$107)&gt;=$S120),$V120,$U120)))=Milestones!$AB$107),UPPER(TEXT(EDATE($D120,Milestones!$AA$107),"dd mmm yy"))&amp;" "&amp;Milestones!$AB$107&amp;" "&amp;Milestones!$AC$107&amp;";  ","")&amp;IF(AND(EDATE($D120,Milestones!$AA$108)&lt;=AsOfDate,IF($R120=0,$X120,IF(AND($T120&lt;&gt;"",EDATE($D120,Milestones!$AA$108)&gt;=$T120),$W120,IF(AND($S120&lt;&gt;"",EDATE($D120,Milestones!$AA$108)&gt;=$S120),$V120,$U120)))=Milestones!$AB$108),UPPER(TEXT(EDATE($D120,Milestones!$AA$108),"dd mmm yy"))&amp;" "&amp;Milestones!$AB$108&amp;" "&amp;Milestones!$AC$108&amp;";  ","")&amp;IF(AND(EDATE($D120,Milestones!$AA$109)&lt;=AsOfDate,IF($R120=0,$X120,IF(AND($T120&lt;&gt;"",EDATE($D120,Milestones!$AA$109)&gt;=$T120),$W120,IF(AND($S120&lt;&gt;"",EDATE($D120,Milestones!$AA$109)&gt;=$S120),$V120,$U120)))=Milestones!$AB$109),UPPER(TEXT(EDATE($D120,Milestones!$AA$109),"dd mmm yy"))&amp;" "&amp;Milestones!$AB$109&amp;" "&amp;Milestones!$AC$109&amp;";  ","")&amp;IF(AND(EDATE($D120,Milestones!$AA$110)&lt;=AsOfDate,IF($R120=0,$X120,IF(AND($T120&lt;&gt;"",EDATE($D120,Milestones!$AA$110)&gt;=$T120),$W120,IF(AND($S120&lt;&gt;"",EDATE($D120,Milestones!$AA$110)&gt;=$S120),$V120,$U120)))=Milestones!$AB$110),UPPER(TEXT(EDATE($D120,Milestones!$AA$110),"dd mmm yy"))&amp;" "&amp;Milestones!$AB$110&amp;" "&amp;Milestones!$AC$110&amp;";  ","")&amp;IF(AND(EDATE($D120,Milestones!$AA$111)&lt;=AsOfDate,IF($R120=0,$X120,IF(AND($T120&lt;&gt;"",EDATE($D120,Milestones!$AA$111)&gt;=$T120),$W120,IF(AND($S120&lt;&gt;"",EDATE($D120,Milestones!$AA$111)&gt;=$S120),$V120,$U120)))=Milestones!$AB$111),UPPER(TEXT(EDATE($D120,Milestones!$AA$111),"dd mmm yy"))&amp;" "&amp;Milestones!$AB$111&amp;" "&amp;Milestones!$AC$111&amp;";  ","")&amp;IF(AND(EDATE($D120,Milestones!$AA$112)&lt;=AsOfDate,IF($R120=0,$X120,IF(AND($T120&lt;&gt;"",EDATE($D120,Milestones!$AA$112)&gt;=$T120),$W120,IF(AND($S120&lt;&gt;"",EDATE($D120,Milestones!$AA$112)&gt;=$S120),$V120,$U120)))=Milestones!$AB$112),UPPER(TEXT(EDATE($D120,Milestones!$AA$112),"dd mmm yy"))&amp;" "&amp;Milestones!$AB$112&amp;" "&amp;Milestones!$AC$112&amp;";  ","")&amp;IF(AND(EDATE($D120,Milestones!$AA$113)&lt;=AsOfDate,IF($R120=0,$X120,IF(AND($T120&lt;&gt;"",EDATE($D120,Milestones!$AA$113)&gt;=$T120),$W120,IF(AND($S120&lt;&gt;"",EDATE($D120,Milestones!$AA$113)&gt;=$S120),$V120,$U120)))=Milestones!$AB$113),UPPER(TEXT(EDATE($D120,Milestones!$AA$113),"dd mmm yy"))&amp;" "&amp;Milestones!$AB$113&amp;" "&amp;Milestones!$AC$113&amp;";  ","")&amp;IF(AND(EDATE($D120,Milestones!$AA$114)&lt;=AsOfDate,IF($R120=0,$X120,IF(AND($T120&lt;&gt;"",EDATE($D120,Milestones!$AA$114)&gt;=$T120),$W120,IF(AND($S120&lt;&gt;"",EDATE($D120,Milestones!$AA$114)&gt;=$S120),$V120,$U120)))=Milestones!$AB$114),UPPER(TEXT(EDATE($D120,Milestones!$AA$114),"dd mmm yy"))&amp;" "&amp;Milestones!$AB$114&amp;" "&amp;Milestones!$AC$114&amp;";  ","")&amp;IF(AND(EDATE($D120,Milestones!$AA$115)&lt;=AsOfDate,IF($R120=0,$X120,IF(AND($T120&lt;&gt;"",EDATE($D120,Milestones!$AA$115)&gt;=$T120),$W120,IF(AND($S120&lt;&gt;"",EDATE($D120,Milestones!$AA$115)&gt;=$S120),$V120,$U120)))=Milestones!$AB$115),UPPER(TEXT(EDATE($D120,Milestones!$AA$115),"dd mmm yy"))&amp;" "&amp;Milestones!$AB$115&amp;" "&amp;Milestones!$AC$115&amp;";  ","")&amp;IF(AND(EDATE($D120,Milestones!$AA$116)&lt;=AsOfDate,IF($R120=0,$X120,IF(AND($T120&lt;&gt;"",EDATE($D120,Milestones!$AA$116)&gt;=$T120),$W120,IF(AND($S120&lt;&gt;"",EDATE($D120,Milestones!$AA$116)&gt;=$S120),$V120,$U120)))=Milestones!$AB$116),UPPER(TEXT(EDATE($D120,Milestones!$AA$116),"dd mmm yy"))&amp;" "&amp;Milestones!$AB$116&amp;" "&amp;Milestones!$AC$116&amp;";  ","")&amp;IF(AND(EDATE($D120,Milestones!$AA$117)&lt;=AsOfDate,IF($R120=0,$X120,IF(AND($T120&lt;&gt;"",EDATE($D120,Milestones!$AA$117)&gt;=$T120),$W120,IF(AND($S120&lt;&gt;"",EDATE($D120,Milestones!$AA$117)&gt;=$S120),$V120,$U120)))=Milestones!$AB$117),UPPER(TEXT(EDATE($D120,Milestones!$AA$117),"dd mmm yy"))&amp;" "&amp;Milestones!$AB$117&amp;" "&amp;Milestones!$AC$117&amp;";  ","")&amp;IF(AND(EDATE($D120,Milestones!$AA$118)&lt;=AsOfDate,IF($R120=0,$X120,IF(AND($T120&lt;&gt;"",EDATE($D120,Milestones!$AA$118)&gt;=$T120),$W120,IF(AND($S120&lt;&gt;"",EDATE($D120,Milestones!$AA$118)&gt;=$S120),$V120,$U120)))=Milestones!$AB$118),UPPER(TEXT(EDATE($D120,Milestones!$AA$118),"dd mmm yy"))&amp;" "&amp;Milestones!$AB$118&amp;" "&amp;Milestones!$AC$118&amp;";  ","")&amp;IF(AND(EDATE($D120,Milestones!$AA$119)&lt;=AsOfDate,IF($R120=0,$X120,IF(AND($T120&lt;&gt;"",EDATE($D120,Milestones!$AA$119)&gt;=$T120),$W120,IF(AND($S120&lt;&gt;"",EDATE($D120,Milestones!$AA$119)&gt;=$S120),$V120,$U120)))=Milestones!$AB$119),UPPER(TEXT(EDATE($D120,Milestones!$AA$119),"dd mmm yy"))&amp;" "&amp;Milestones!$AB$119&amp;" "&amp;Milestones!$AC$119&amp;";  ",""))</f>
        <v/>
      </c>
      <c r="N120" s="0" t="str">
        <f aca="false">IF(OR($A120="",$D120=""),"",IF(AND(EDATE($D120,Milestones!$AA$120)&lt;=AsOfDate,IF($R120=0,$X120,IF(AND($T120&lt;&gt;"",EDATE($D120,Milestones!$AA$120)&gt;=$T120),$W120,IF(AND($S120&lt;&gt;"",EDATE($D120,Milestones!$AA$120)&gt;=$S120),$V120,$U120)))=Milestones!$AB$120),UPPER(TEXT(EDATE($D120,Milestones!$AA$120),"dd mmm yy"))&amp;" "&amp;Milestones!$AB$120&amp;" "&amp;Milestones!$AC$120&amp;";  ","")&amp;IF(AND(EDATE($D120,Milestones!$AA$121)&lt;=AsOfDate,IF($R120=0,$X120,IF(AND($T120&lt;&gt;"",EDATE($D120,Milestones!$AA$121)&gt;=$T120),$W120,IF(AND($S120&lt;&gt;"",EDATE($D120,Milestones!$AA$121)&gt;=$S120),$V120,$U120)))=Milestones!$AB$121),UPPER(TEXT(EDATE($D120,Milestones!$AA$121),"dd mmm yy"))&amp;" "&amp;Milestones!$AB$121&amp;" "&amp;Milestones!$AC$121&amp;";  ","")&amp;IF(AND(EDATE($D120,Milestones!$AA$122)&lt;=AsOfDate,IF($R120=0,$X120,IF(AND($T120&lt;&gt;"",EDATE($D120,Milestones!$AA$122)&gt;=$T120),$W120,IF(AND($S120&lt;&gt;"",EDATE($D120,Milestones!$AA$122)&gt;=$S120),$V120,$U120)))=Milestones!$AB$122),UPPER(TEXT(EDATE($D120,Milestones!$AA$122),"dd mmm yy"))&amp;" "&amp;Milestones!$AB$122&amp;" "&amp;Milestones!$AC$122&amp;";  ","")&amp;IF(AND(EDATE($D120,Milestones!$AA$123)&lt;=AsOfDate,IF($R120=0,$X120,IF(AND($T120&lt;&gt;"",EDATE($D120,Milestones!$AA$123)&gt;=$T120),$W120,IF(AND($S120&lt;&gt;"",EDATE($D120,Milestones!$AA$123)&gt;=$S120),$V120,$U120)))=Milestones!$AB$123),UPPER(TEXT(EDATE($D120,Milestones!$AA$123),"dd mmm yy"))&amp;" "&amp;Milestones!$AB$123&amp;" "&amp;Milestones!$AC$123&amp;";  ","")&amp;IF(AND(EDATE($D120,Milestones!$AA$124)&lt;=AsOfDate,IF($R120=0,$X120,IF(AND($T120&lt;&gt;"",EDATE($D120,Milestones!$AA$124)&gt;=$T120),$W120,IF(AND($S120&lt;&gt;"",EDATE($D120,Milestones!$AA$124)&gt;=$S120),$V120,$U120)))=Milestones!$AB$124),UPPER(TEXT(EDATE($D120,Milestones!$AA$124),"dd mmm yy"))&amp;" "&amp;Milestones!$AB$124&amp;" "&amp;Milestones!$AC$124&amp;";  ","")&amp;IF(AND(EDATE($D120,Milestones!$AA$125)&lt;=AsOfDate,IF($R120=0,$X120,IF(AND($T120&lt;&gt;"",EDATE($D120,Milestones!$AA$125)&gt;=$T120),$W120,IF(AND($S120&lt;&gt;"",EDATE($D120,Milestones!$AA$125)&gt;=$S120),$V120,$U120)))=Milestones!$AB$125),UPPER(TEXT(EDATE($D120,Milestones!$AA$125),"dd mmm yy"))&amp;" "&amp;Milestones!$AB$125&amp;" "&amp;Milestones!$AC$125&amp;";  ","")&amp;IF(AND(EDATE($D120,Milestones!$AA$126)&lt;=AsOfDate,IF($R120=0,$X120,IF(AND($T120&lt;&gt;"",EDATE($D120,Milestones!$AA$126)&gt;=$T120),$W120,IF(AND($S120&lt;&gt;"",EDATE($D120,Milestones!$AA$126)&gt;=$S120),$V120,$U120)))=Milestones!$AB$126),UPPER(TEXT(EDATE($D120,Milestones!$AA$126),"dd mmm yy"))&amp;" "&amp;Milestones!$AB$126&amp;" "&amp;Milestones!$AC$126&amp;";  ","")&amp;IF(AND(EDATE($D120,Milestones!$AA$127)&lt;=AsOfDate,IF($R120=0,$X120,IF(AND($T120&lt;&gt;"",EDATE($D120,Milestones!$AA$127)&gt;=$T120),$W120,IF(AND($S120&lt;&gt;"",EDATE($D120,Milestones!$AA$127)&gt;=$S120),$V120,$U120)))=Milestones!$AB$127),UPPER(TEXT(EDATE($D120,Milestones!$AA$127),"dd mmm yy"))&amp;" "&amp;Milestones!$AB$127&amp;" "&amp;Milestones!$AC$127&amp;";  ","")&amp;IF(AND(EDATE($D120,Milestones!$AA$128)&lt;=AsOfDate,IF($R120=0,$X120,IF(AND($T120&lt;&gt;"",EDATE($D120,Milestones!$AA$128)&gt;=$T120),$W120,IF(AND($S120&lt;&gt;"",EDATE($D120,Milestones!$AA$128)&gt;=$S120),$V120,$U120)))=Milestones!$AB$128),UPPER(TEXT(EDATE($D120,Milestones!$AA$128),"dd mmm yy"))&amp;" "&amp;Milestones!$AB$128&amp;" "&amp;Milestones!$AC$128&amp;";  ","")&amp;IF(AND(EDATE($D120,Milestones!$AA$129)&lt;=AsOfDate,IF($R120=0,$X120,IF(AND($T120&lt;&gt;"",EDATE($D120,Milestones!$AA$129)&gt;=$T120),$W120,IF(AND($S120&lt;&gt;"",EDATE($D120,Milestones!$AA$129)&gt;=$S120),$V120,$U120)))=Milestones!$AB$129),UPPER(TEXT(EDATE($D120,Milestones!$AA$129),"dd mmm yy"))&amp;" "&amp;Milestones!$AB$129&amp;" "&amp;Milestones!$AC$129&amp;";  ","")&amp;IF(AND(EDATE($D120,Milestones!$AA$130)&lt;=AsOfDate,IF($R120=0,$X120,IF(AND($T120&lt;&gt;"",EDATE($D120,Milestones!$AA$130)&gt;=$T120),$W120,IF(AND($S120&lt;&gt;"",EDATE($D120,Milestones!$AA$130)&gt;=$S120),$V120,$U120)))=Milestones!$AB$130),UPPER(TEXT(EDATE($D120,Milestones!$AA$130),"dd mmm yy"))&amp;" "&amp;Milestones!$AB$130&amp;" "&amp;Milestones!$AC$130&amp;";  ","")&amp;IF(AND(EDATE($D120,Milestones!$AA$131)&lt;=AsOfDate,IF($R120=0,$X120,IF(AND($T120&lt;&gt;"",EDATE($D120,Milestones!$AA$131)&gt;=$T120),$W120,IF(AND($S120&lt;&gt;"",EDATE($D120,Milestones!$AA$131)&gt;=$S120),$V120,$U120)))=Milestones!$AB$131),UPPER(TEXT(EDATE($D120,Milestones!$AA$131),"dd mmm yy"))&amp;" "&amp;Milestones!$AB$131&amp;" "&amp;Milestones!$AC$131&amp;";  ","")&amp;IF(AND(EDATE($D120,Milestones!$AA$132)&lt;=AsOfDate,IF($R120=0,$X120,IF(AND($T120&lt;&gt;"",EDATE($D120,Milestones!$AA$132)&gt;=$T120),$W120,IF(AND($S120&lt;&gt;"",EDATE($D120,Milestones!$AA$132)&gt;=$S120),$V120,$U120)))=Milestones!$AB$132),UPPER(TEXT(EDATE($D120,Milestones!$AA$132),"dd mmm yy"))&amp;" "&amp;Milestones!$AB$132&amp;" "&amp;Milestones!$AC$132&amp;";  ","")&amp;IF(AND(EDATE($D120,Milestones!$AA$133)&lt;=AsOfDate,IF($R120=0,$X120,IF(AND($T120&lt;&gt;"",EDATE($D120,Milestones!$AA$133)&gt;=$T120),$W120,IF(AND($S120&lt;&gt;"",EDATE($D120,Milestones!$AA$133)&gt;=$S120),$V120,$U120)))=Milestones!$AB$133),UPPER(TEXT(EDATE($D120,Milestones!$AA$133),"dd mmm yy"))&amp;" "&amp;Milestones!$AB$133&amp;" "&amp;Milestones!$AC$133&amp;";  ","")&amp;IF(AND(EDATE($D120,Milestones!$AA$134)&lt;=AsOfDate,IF($R120=0,$X120,IF(AND($T120&lt;&gt;"",EDATE($D120,Milestones!$AA$134)&gt;=$T120),$W120,IF(AND($S120&lt;&gt;"",EDATE($D120,Milestones!$AA$134)&gt;=$S120),$V120,$U120)))=Milestones!$AB$134),UPPER(TEXT(EDATE($D120,Milestones!$AA$134),"dd mmm yy"))&amp;" "&amp;Milestones!$AB$134&amp;" "&amp;Milestones!$AC$134&amp;";  ","")&amp;IF(AND(EDATE($D120,Milestones!$AA$135)&lt;=AsOfDate,IF($R120=0,$X120,IF(AND($T120&lt;&gt;"",EDATE($D120,Milestones!$AA$135)&gt;=$T120),$W120,IF(AND($S120&lt;&gt;"",EDATE($D120,Milestones!$AA$135)&gt;=$S120),$V120,$U120)))=Milestones!$AB$135),UPPER(TEXT(EDATE($D120,Milestones!$AA$135),"dd mmm yy"))&amp;" "&amp;Milestones!$AB$135&amp;" "&amp;Milestones!$AC$135&amp;";  ","")&amp;IF(AND(EDATE($D120,Milestones!$AA$136)&lt;=AsOfDate,IF($R120=0,$X120,IF(AND($T120&lt;&gt;"",EDATE($D120,Milestones!$AA$136)&gt;=$T120),$W120,IF(AND($S120&lt;&gt;"",EDATE($D120,Milestones!$AA$136)&gt;=$S120),$V120,$U120)))=Milestones!$AB$136),UPPER(TEXT(EDATE($D120,Milestones!$AA$136),"dd mmm yy"))&amp;" "&amp;Milestones!$AB$136&amp;" "&amp;Milestones!$AC$136&amp;";  ","")&amp;IF(AND(EDATE($D120,Milestones!$AA$137)&lt;=AsOfDate,IF($R120=0,$X120,IF(AND($T120&lt;&gt;"",EDATE($D120,Milestones!$AA$137)&gt;=$T120),$W120,IF(AND($S120&lt;&gt;"",EDATE($D120,Milestones!$AA$137)&gt;=$S120),$V120,$U120)))=Milestones!$AB$137),UPPER(TEXT(EDATE($D120,Milestones!$AA$137),"dd mmm yy"))&amp;" "&amp;Milestones!$AB$137&amp;" "&amp;Milestones!$AC$137&amp;";  ","")&amp;IF(AND(EDATE($D120,Milestones!$AA$138)&lt;=AsOfDate,IF($R120=0,$X120,IF(AND($T120&lt;&gt;"",EDATE($D120,Milestones!$AA$138)&gt;=$T120),$W120,IF(AND($S120&lt;&gt;"",EDATE($D120,Milestones!$AA$138)&gt;=$S120),$V120,$U120)))=Milestones!$AB$138),UPPER(TEXT(EDATE($D120,Milestones!$AA$138),"dd mmm yy"))&amp;" "&amp;Milestones!$AB$138&amp;" "&amp;Milestones!$AC$138&amp;";  ","")&amp;IF(AND(EDATE($D120,Milestones!$AA$139)&lt;=AsOfDate,IF($R120=0,$X120,IF(AND($T120&lt;&gt;"",EDATE($D120,Milestones!$AA$139)&gt;=$T120),$W120,IF(AND($S120&lt;&gt;"",EDATE($D120,Milestones!$AA$139)&gt;=$S120),$V120,$U120)))=Milestones!$AB$139),UPPER(TEXT(EDATE($D120,Milestones!$AA$139),"dd mmm yy"))&amp;" "&amp;Milestones!$AB$139&amp;" "&amp;Milestones!$AC$139&amp;";  ",""))</f>
        <v/>
      </c>
      <c r="O120" s="0" t="str">
        <f aca="false">IF(OR($A120="",$D120=""),"",IF(AND(EDATE($D120,Milestones!$AA$140)&lt;=AsOfDate,IF($R120=0,$X120,IF(AND($T120&lt;&gt;"",EDATE($D120,Milestones!$AA$140)&gt;=$T120),$W120,IF(AND($S120&lt;&gt;"",EDATE($D120,Milestones!$AA$140)&gt;=$S120),$V120,$U120)))=Milestones!$AB$140),UPPER(TEXT(EDATE($D120,Milestones!$AA$140),"dd mmm yy"))&amp;" "&amp;Milestones!$AB$140&amp;" "&amp;Milestones!$AC$140&amp;";  ","")&amp;IF(AND(EDATE($D120,Milestones!$AA$141)&lt;=AsOfDate,IF($R120=0,$X120,IF(AND($T120&lt;&gt;"",EDATE($D120,Milestones!$AA$141)&gt;=$T120),$W120,IF(AND($S120&lt;&gt;"",EDATE($D120,Milestones!$AA$141)&gt;=$S120),$V120,$U120)))=Milestones!$AB$141),UPPER(TEXT(EDATE($D120,Milestones!$AA$141),"dd mmm yy"))&amp;" "&amp;Milestones!$AB$141&amp;" "&amp;Milestones!$AC$141&amp;";  ","")&amp;IF(AND(EDATE($D120,Milestones!$AA$142)&lt;=AsOfDate,IF($R120=0,$X120,IF(AND($T120&lt;&gt;"",EDATE($D120,Milestones!$AA$142)&gt;=$T120),$W120,IF(AND($S120&lt;&gt;"",EDATE($D120,Milestones!$AA$142)&gt;=$S120),$V120,$U120)))=Milestones!$AB$142),UPPER(TEXT(EDATE($D120,Milestones!$AA$142),"dd mmm yy"))&amp;" "&amp;Milestones!$AB$142&amp;" "&amp;Milestones!$AC$142&amp;";  ","")&amp;IF(AND(EDATE($D120,Milestones!$AA$143)&lt;=AsOfDate,IF($R120=0,$X120,IF(AND($T120&lt;&gt;"",EDATE($D120,Milestones!$AA$143)&gt;=$T120),$W120,IF(AND($S120&lt;&gt;"",EDATE($D120,Milestones!$AA$143)&gt;=$S120),$V120,$U120)))=Milestones!$AB$143),UPPER(TEXT(EDATE($D120,Milestones!$AA$143),"dd mmm yy"))&amp;" "&amp;Milestones!$AB$143&amp;" "&amp;Milestones!$AC$143&amp;";  ","")&amp;IF(AND(EDATE($D120,Milestones!$AA$144)&lt;=AsOfDate,IF($R120=0,$X120,IF(AND($T120&lt;&gt;"",EDATE($D120,Milestones!$AA$144)&gt;=$T120),$W120,IF(AND($S120&lt;&gt;"",EDATE($D120,Milestones!$AA$144)&gt;=$S120),$V120,$U120)))=Milestones!$AB$144),UPPER(TEXT(EDATE($D120,Milestones!$AA$144),"dd mmm yy"))&amp;" "&amp;Milestones!$AB$144&amp;" "&amp;Milestones!$AC$144&amp;";  ","")&amp;IF(AND(EDATE($D120,Milestones!$AA$145)&lt;=AsOfDate,IF($R120=0,$X120,IF(AND($T120&lt;&gt;"",EDATE($D120,Milestones!$AA$145)&gt;=$T120),$W120,IF(AND($S120&lt;&gt;"",EDATE($D120,Milestones!$AA$145)&gt;=$S120),$V120,$U120)))=Milestones!$AB$145),UPPER(TEXT(EDATE($D120,Milestones!$AA$145),"dd mmm yy"))&amp;" "&amp;Milestones!$AB$145&amp;" "&amp;Milestones!$AC$145&amp;";  ","")&amp;IF(AND(EDATE($D120,Milestones!$AA$146)&lt;=AsOfDate,IF($R120=0,$X120,IF(AND($T120&lt;&gt;"",EDATE($D120,Milestones!$AA$146)&gt;=$T120),$W120,IF(AND($S120&lt;&gt;"",EDATE($D120,Milestones!$AA$146)&gt;=$S120),$V120,$U120)))=Milestones!$AB$146),UPPER(TEXT(EDATE($D120,Milestones!$AA$146),"dd mmm yy"))&amp;" "&amp;Milestones!$AB$146&amp;" "&amp;Milestones!$AC$146&amp;";  ","")&amp;IF(AND(EDATE($D120,Milestones!$AA$147)&lt;=AsOfDate,IF($R120=0,$X120,IF(AND($T120&lt;&gt;"",EDATE($D120,Milestones!$AA$147)&gt;=$T120),$W120,IF(AND($S120&lt;&gt;"",EDATE($D120,Milestones!$AA$147)&gt;=$S120),$V120,$U120)))=Milestones!$AB$147),UPPER(TEXT(EDATE($D120,Milestones!$AA$147),"dd mmm yy"))&amp;" "&amp;Milestones!$AB$147&amp;" "&amp;Milestones!$AC$147&amp;";  ","")&amp;IF(AND(EDATE($D120,Milestones!$AA$148)&lt;=AsOfDate,IF($R120=0,$X120,IF(AND($T120&lt;&gt;"",EDATE($D120,Milestones!$AA$148)&gt;=$T120),$W120,IF(AND($S120&lt;&gt;"",EDATE($D120,Milestones!$AA$148)&gt;=$S120),$V120,$U120)))=Milestones!$AB$148),UPPER(TEXT(EDATE($D120,Milestones!$AA$148),"dd mmm yy"))&amp;" "&amp;Milestones!$AB$148&amp;" "&amp;Milestones!$AC$148&amp;";  ","")&amp;IF(AND(EDATE($D120,Milestones!$AA$149)&lt;=AsOfDate,IF($R120=0,$X120,IF(AND($T120&lt;&gt;"",EDATE($D120,Milestones!$AA$149)&gt;=$T120),$W120,IF(AND($S120&lt;&gt;"",EDATE($D120,Milestones!$AA$149)&gt;=$S120),$V120,$U120)))=Milestones!$AB$149),UPPER(TEXT(EDATE($D120,Milestones!$AA$149),"dd mmm yy"))&amp;" "&amp;Milestones!$AB$149&amp;" "&amp;Milestones!$AC$149&amp;";  ","")&amp;IF(AND(EDATE($D120,Milestones!$AA$150)&lt;=AsOfDate,IF($R120=0,$X120,IF(AND($T120&lt;&gt;"",EDATE($D120,Milestones!$AA$150)&gt;=$T120),$W120,IF(AND($S120&lt;&gt;"",EDATE($D120,Milestones!$AA$150)&gt;=$S120),$V120,$U120)))=Milestones!$AB$150),UPPER(TEXT(EDATE($D120,Milestones!$AA$150),"dd mmm yy"))&amp;" "&amp;Milestones!$AB$150&amp;" "&amp;Milestones!$AC$150&amp;";  ","")&amp;IF(AND(EDATE($D120,Milestones!$AA$151)&lt;=AsOfDate,IF($R120=0,$X120,IF(AND($T120&lt;&gt;"",EDATE($D120,Milestones!$AA$151)&gt;=$T120),$W120,IF(AND($S120&lt;&gt;"",EDATE($D120,Milestones!$AA$151)&gt;=$S120),$V120,$U120)))=Milestones!$AB$151),UPPER(TEXT(EDATE($D120,Milestones!$AA$151),"dd mmm yy"))&amp;" "&amp;Milestones!$AB$151&amp;" "&amp;Milestones!$AC$151&amp;";  ","")&amp;IF(AND(EDATE($D120,Milestones!$AA$152)&lt;=AsOfDate,IF($R120=0,$X120,IF(AND($T120&lt;&gt;"",EDATE($D120,Milestones!$AA$152)&gt;=$T120),$W120,IF(AND($S120&lt;&gt;"",EDATE($D120,Milestones!$AA$152)&gt;=$S120),$V120,$U120)))=Milestones!$AB$152),UPPER(TEXT(EDATE($D120,Milestones!$AA$152),"dd mmm yy"))&amp;" "&amp;Milestones!$AB$152&amp;" "&amp;Milestones!$AC$152&amp;";  ","")&amp;IF(AND(EDATE($D120,Milestones!$AA$153)&lt;=AsOfDate,IF($R120=0,$X120,IF(AND($T120&lt;&gt;"",EDATE($D120,Milestones!$AA$153)&gt;=$T120),$W120,IF(AND($S120&lt;&gt;"",EDATE($D120,Milestones!$AA$153)&gt;=$S120),$V120,$U120)))=Milestones!$AB$153),UPPER(TEXT(EDATE($D120,Milestones!$AA$153),"dd mmm yy"))&amp;" "&amp;Milestones!$AB$153&amp;" "&amp;Milestones!$AC$153&amp;";  ","")&amp;IF(AND(EDATE($D120,Milestones!$AA$154)&lt;=AsOfDate,IF($R120=0,$X120,IF(AND($T120&lt;&gt;"",EDATE($D120,Milestones!$AA$154)&gt;=$T120),$W120,IF(AND($S120&lt;&gt;"",EDATE($D120,Milestones!$AA$154)&gt;=$S120),$V120,$U120)))=Milestones!$AB$154),UPPER(TEXT(EDATE($D120,Milestones!$AA$154),"dd mmm yy"))&amp;" "&amp;Milestones!$AB$154&amp;" "&amp;Milestones!$AC$154&amp;";  ","")&amp;IF(AND(EDATE($D120,Milestones!$AA$155)&lt;=AsOfDate,IF($R120=0,$X120,IF(AND($T120&lt;&gt;"",EDATE($D120,Milestones!$AA$155)&gt;=$T120),$W120,IF(AND($S120&lt;&gt;"",EDATE($D120,Milestones!$AA$155)&gt;=$S120),$V120,$U120)))=Milestones!$AB$155),UPPER(TEXT(EDATE($D120,Milestones!$AA$155),"dd mmm yy"))&amp;" "&amp;Milestones!$AB$155&amp;" "&amp;Milestones!$AC$155&amp;";  ","")&amp;IF(AND(EDATE($D120,Milestones!$AA$156)&lt;=AsOfDate,IF($R120=0,$X120,IF(AND($T120&lt;&gt;"",EDATE($D120,Milestones!$AA$156)&gt;=$T120),$W120,IF(AND($S120&lt;&gt;"",EDATE($D120,Milestones!$AA$156)&gt;=$S120),$V120,$U120)))=Milestones!$AB$156),UPPER(TEXT(EDATE($D120,Milestones!$AA$156),"dd mmm yy"))&amp;" "&amp;Milestones!$AB$156&amp;" "&amp;Milestones!$AC$156&amp;";  ","")&amp;IF(AND(EDATE($D120,Milestones!$AA$157)&lt;=AsOfDate,IF($R120=0,$X120,IF(AND($T120&lt;&gt;"",EDATE($D120,Milestones!$AA$157)&gt;=$T120),$W120,IF(AND($S120&lt;&gt;"",EDATE($D120,Milestones!$AA$157)&gt;=$S120),$V120,$U120)))=Milestones!$AB$157),UPPER(TEXT(EDATE($D120,Milestones!$AA$157),"dd mmm yy"))&amp;" "&amp;Milestones!$AB$157&amp;" "&amp;Milestones!$AC$157&amp;";  ","")&amp;IF(AND(EDATE($D120,Milestones!$AA$158)&lt;=AsOfDate,IF($R120=0,$X120,IF(AND($T120&lt;&gt;"",EDATE($D120,Milestones!$AA$158)&gt;=$T120),$W120,IF(AND($S120&lt;&gt;"",EDATE($D120,Milestones!$AA$158)&gt;=$S120),$V120,$U120)))=Milestones!$AB$158),UPPER(TEXT(EDATE($D120,Milestones!$AA$158),"dd mmm yy"))&amp;" "&amp;Milestones!$AB$158&amp;" "&amp;Milestones!$AC$158&amp;";  ","")&amp;IF(AND(EDATE($D120,Milestones!$AA$159)&lt;=AsOfDate,IF($R120=0,$X120,IF(AND($T120&lt;&gt;"",EDATE($D120,Milestones!$AA$159)&gt;=$T120),$W120,IF(AND($S120&lt;&gt;"",EDATE($D120,Milestones!$AA$159)&gt;=$S120),$V120,$U120)))=Milestones!$AB$159),UPPER(TEXT(EDATE($D120,Milestones!$AA$159),"dd mmm yy"))&amp;" "&amp;Milestones!$AB$159&amp;" "&amp;Milestones!$AC$159&amp;";  ",""))</f>
        <v/>
      </c>
      <c r="P120" s="0" t="str">
        <f aca="false">IF(OR($A120="",$D120=""),"",IF(AND(EDATE($D120,Milestones!$AA$160)&lt;=AsOfDate,IF($R120=0,$X120,IF(AND($T120&lt;&gt;"",EDATE($D120,Milestones!$AA$160)&gt;=$T120),$W120,IF(AND($S120&lt;&gt;"",EDATE($D120,Milestones!$AA$160)&gt;=$S120),$V120,$U120)))=Milestones!$AB$160),UPPER(TEXT(EDATE($D120,Milestones!$AA$160),"dd mmm yy"))&amp;" "&amp;Milestones!$AB$160&amp;" "&amp;Milestones!$AC$160&amp;";  ","")&amp;IF(AND(EDATE($D120,Milestones!$AA$161)&lt;=AsOfDate,IF($R120=0,$X120,IF(AND($T120&lt;&gt;"",EDATE($D120,Milestones!$AA$161)&gt;=$T120),$W120,IF(AND($S120&lt;&gt;"",EDATE($D120,Milestones!$AA$161)&gt;=$S120),$V120,$U120)))=Milestones!$AB$161),UPPER(TEXT(EDATE($D120,Milestones!$AA$161),"dd mmm yy"))&amp;" "&amp;Milestones!$AB$161&amp;" "&amp;Milestones!$AC$161&amp;";  ","")&amp;IF(AND(EDATE($D120,Milestones!$AA$162)&lt;=AsOfDate,IF($R120=0,$X120,IF(AND($T120&lt;&gt;"",EDATE($D120,Milestones!$AA$162)&gt;=$T120),$W120,IF(AND($S120&lt;&gt;"",EDATE($D120,Milestones!$AA$162)&gt;=$S120),$V120,$U120)))=Milestones!$AB$162),UPPER(TEXT(EDATE($D120,Milestones!$AA$162),"dd mmm yy"))&amp;" "&amp;Milestones!$AB$162&amp;" "&amp;Milestones!$AC$162&amp;";  ","")&amp;IF(AND(EDATE($D120,Milestones!$AA$163)&lt;=AsOfDate,IF($R120=0,$X120,IF(AND($T120&lt;&gt;"",EDATE($D120,Milestones!$AA$163)&gt;=$T120),$W120,IF(AND($S120&lt;&gt;"",EDATE($D120,Milestones!$AA$163)&gt;=$S120),$V120,$U120)))=Milestones!$AB$163),UPPER(TEXT(EDATE($D120,Milestones!$AA$163),"dd mmm yy"))&amp;" "&amp;Milestones!$AB$163&amp;" "&amp;Milestones!$AC$163&amp;";  ","")&amp;IF(AND(EDATE($D120,Milestones!$AA$164)&lt;=AsOfDate,IF($R120=0,$X120,IF(AND($T120&lt;&gt;"",EDATE($D120,Milestones!$AA$164)&gt;=$T120),$W120,IF(AND($S120&lt;&gt;"",EDATE($D120,Milestones!$AA$164)&gt;=$S120),$V120,$U120)))=Milestones!$AB$164),UPPER(TEXT(EDATE($D120,Milestones!$AA$164),"dd mmm yy"))&amp;" "&amp;Milestones!$AB$164&amp;" "&amp;Milestones!$AC$164&amp;";  ","")&amp;IF(AND(EDATE($D120,Milestones!$AA$165)&lt;=AsOfDate,IF($R120=0,$X120,IF(AND($T120&lt;&gt;"",EDATE($D120,Milestones!$AA$165)&gt;=$T120),$W120,IF(AND($S120&lt;&gt;"",EDATE($D120,Milestones!$AA$165)&gt;=$S120),$V120,$U120)))=Milestones!$AB$165),UPPER(TEXT(EDATE($D120,Milestones!$AA$165),"dd mmm yy"))&amp;" "&amp;Milestones!$AB$165&amp;" "&amp;Milestones!$AC$165&amp;";  ","")&amp;IF(AND(EDATE($D120,Milestones!$AA$166)&lt;=AsOfDate,IF($R120=0,$X120,IF(AND($T120&lt;&gt;"",EDATE($D120,Milestones!$AA$166)&gt;=$T120),$W120,IF(AND($S120&lt;&gt;"",EDATE($D120,Milestones!$AA$166)&gt;=$S120),$V120,$U120)))=Milestones!$AB$166),UPPER(TEXT(EDATE($D120,Milestones!$AA$166),"dd mmm yy"))&amp;" "&amp;Milestones!$AB$166&amp;" "&amp;Milestones!$AC$166&amp;";  ","")&amp;IF(AND(EDATE($D120,Milestones!$AA$167)&lt;=AsOfDate,IF($R120=0,$X120,IF(AND($T120&lt;&gt;"",EDATE($D120,Milestones!$AA$167)&gt;=$T120),$W120,IF(AND($S120&lt;&gt;"",EDATE($D120,Milestones!$AA$167)&gt;=$S120),$V120,$U120)))=Milestones!$AB$167),UPPER(TEXT(EDATE($D120,Milestones!$AA$167),"dd mmm yy"))&amp;" "&amp;Milestones!$AB$167&amp;" "&amp;Milestones!$AC$167&amp;";  ","")&amp;IF(AND(EDATE($D120,Milestones!$AA$168)&lt;=AsOfDate,IF($R120=0,$X120,IF(AND($T120&lt;&gt;"",EDATE($D120,Milestones!$AA$168)&gt;=$T120),$W120,IF(AND($S120&lt;&gt;"",EDATE($D120,Milestones!$AA$168)&gt;=$S120),$V120,$U120)))=Milestones!$AB$168),UPPER(TEXT(EDATE($D120,Milestones!$AA$168),"dd mmm yy"))&amp;" "&amp;Milestones!$AB$168&amp;" "&amp;Milestones!$AC$168&amp;";  ","")&amp;IF(AND(EDATE($D120,Milestones!$AA$169)&lt;=AsOfDate,IF($R120=0,$X120,IF(AND($T120&lt;&gt;"",EDATE($D120,Milestones!$AA$169)&gt;=$T120),$W120,IF(AND($S120&lt;&gt;"",EDATE($D120,Milestones!$AA$169)&gt;=$S120),$V120,$U120)))=Milestones!$AB$169),UPPER(TEXT(EDATE($D120,Milestones!$AA$169),"dd mmm yy"))&amp;" "&amp;Milestones!$AB$169&amp;" "&amp;Milestones!$AC$169&amp;";  ","")&amp;IF(AND(EDATE($D120,Milestones!$AA$170)&lt;=AsOfDate,IF($R120=0,$X120,IF(AND($T120&lt;&gt;"",EDATE($D120,Milestones!$AA$170)&gt;=$T120),$W120,IF(AND($S120&lt;&gt;"",EDATE($D120,Milestones!$AA$170)&gt;=$S120),$V120,$U120)))=Milestones!$AB$170),UPPER(TEXT(EDATE($D120,Milestones!$AA$170),"dd mmm yy"))&amp;" "&amp;Milestones!$AB$170&amp;" "&amp;Milestones!$AC$170&amp;";  ","")&amp;IF(AND(EDATE($D120,Milestones!$AA$171)&lt;=AsOfDate,IF($R120=0,$X120,IF(AND($T120&lt;&gt;"",EDATE($D120,Milestones!$AA$171)&gt;=$T120),$W120,IF(AND($S120&lt;&gt;"",EDATE($D120,Milestones!$AA$171)&gt;=$S120),$V120,$U120)))=Milestones!$AB$171),UPPER(TEXT(EDATE($D120,Milestones!$AA$171),"dd mmm yy"))&amp;" "&amp;Milestones!$AB$171&amp;" "&amp;Milestones!$AC$171&amp;";  ","")&amp;IF(AND(EDATE($D120,Milestones!$AA$172)&lt;=AsOfDate,IF($R120=0,$X120,IF(AND($T120&lt;&gt;"",EDATE($D120,Milestones!$AA$172)&gt;=$T120),$W120,IF(AND($S120&lt;&gt;"",EDATE($D120,Milestones!$AA$172)&gt;=$S120),$V120,$U120)))=Milestones!$AB$172),UPPER(TEXT(EDATE($D120,Milestones!$AA$172),"dd mmm yy"))&amp;" "&amp;Milestones!$AB$172&amp;" "&amp;Milestones!$AC$172&amp;";  ","")&amp;IF(AND(EDATE($D120,Milestones!$AA$173)&lt;=AsOfDate,IF($R120=0,$X120,IF(AND($T120&lt;&gt;"",EDATE($D120,Milestones!$AA$173)&gt;=$T120),$W120,IF(AND($S120&lt;&gt;"",EDATE($D120,Milestones!$AA$173)&gt;=$S120),$V120,$U120)))=Milestones!$AB$173),UPPER(TEXT(EDATE($D120,Milestones!$AA$173),"dd mmm yy"))&amp;" "&amp;Milestones!$AB$173&amp;" "&amp;Milestones!$AC$173&amp;";  ","")&amp;IF(AND(EDATE($D120,Milestones!$AA$174)&lt;=AsOfDate,IF($R120=0,$X120,IF(AND($T120&lt;&gt;"",EDATE($D120,Milestones!$AA$174)&gt;=$T120),$W120,IF(AND($S120&lt;&gt;"",EDATE($D120,Milestones!$AA$174)&gt;=$S120),$V120,$U120)))=Milestones!$AB$174),UPPER(TEXT(EDATE($D120,Milestones!$AA$174),"dd mmm yy"))&amp;" "&amp;Milestones!$AB$174&amp;" "&amp;Milestones!$AC$174&amp;";  ","")&amp;IF(AND(EDATE($D120,Milestones!$AA$175)&lt;=AsOfDate,IF($R120=0,$X120,IF(AND($T120&lt;&gt;"",EDATE($D120,Milestones!$AA$175)&gt;=$T120),$W120,IF(AND($S120&lt;&gt;"",EDATE($D120,Milestones!$AA$175)&gt;=$S120),$V120,$U120)))=Milestones!$AB$175),UPPER(TEXT(EDATE($D120,Milestones!$AA$175),"dd mmm yy"))&amp;" "&amp;Milestones!$AB$175&amp;" "&amp;Milestones!$AC$175&amp;";  ","")&amp;IF(AND(EDATE($D120,Milestones!$AA$176)&lt;=AsOfDate,IF($R120=0,$X120,IF(AND($T120&lt;&gt;"",EDATE($D120,Milestones!$AA$176)&gt;=$T120),$W120,IF(AND($S120&lt;&gt;"",EDATE($D120,Milestones!$AA$176)&gt;=$S120),$V120,$U120)))=Milestones!$AB$176),UPPER(TEXT(EDATE($D120,Milestones!$AA$176),"dd mmm yy"))&amp;" "&amp;Milestones!$AB$176&amp;" "&amp;Milestones!$AC$176&amp;";  ","")&amp;IF(AND(EDATE($D120,Milestones!$AA$177)&lt;=AsOfDate,IF($R120=0,$X120,IF(AND($T120&lt;&gt;"",EDATE($D120,Milestones!$AA$177)&gt;=$T120),$W120,IF(AND($S120&lt;&gt;"",EDATE($D120,Milestones!$AA$177)&gt;=$S120),$V120,$U120)))=Milestones!$AB$177),UPPER(TEXT(EDATE($D120,Milestones!$AA$177),"dd mmm yy"))&amp;" "&amp;Milestones!$AB$177&amp;" "&amp;Milestones!$AC$177&amp;";  ","")&amp;IF(AND(EDATE($D120,Milestones!$AA$178)&lt;=AsOfDate,IF($R120=0,$X120,IF(AND($T120&lt;&gt;"",EDATE($D120,Milestones!$AA$178)&gt;=$T120),$W120,IF(AND($S120&lt;&gt;"",EDATE($D120,Milestones!$AA$178)&gt;=$S120),$V120,$U120)))=Milestones!$AB$178),UPPER(TEXT(EDATE($D120,Milestones!$AA$178),"dd mmm yy"))&amp;" "&amp;Milestones!$AB$178&amp;" "&amp;Milestones!$AC$178&amp;";  ","")&amp;IF(AND(EDATE($D120,Milestones!$AA$179)&lt;=AsOfDate,IF($R120=0,$X120,IF(AND($T120&lt;&gt;"",EDATE($D120,Milestones!$AA$179)&gt;=$T120),$W120,IF(AND($S120&lt;&gt;"",EDATE($D120,Milestones!$AA$179)&gt;=$S120),$V120,$U120)))=Milestones!$AB$179),UPPER(TEXT(EDATE($D120,Milestones!$AA$179),"dd mmm yy"))&amp;" "&amp;Milestones!$AB$179&amp;" "&amp;Milestones!$AC$179&amp;";  ",""))</f>
        <v/>
      </c>
      <c r="Q120" s="0" t="str">
        <f aca="false">IF(OR($A120="",$D120=""),"",IF(AND(EDATE($D120,Milestones!$AA$180)&lt;=AsOfDate,IF($R120=0,$X120,IF(AND($T120&lt;&gt;"",EDATE($D120,Milestones!$AA$180)&gt;=$T120),$W120,IF(AND($S120&lt;&gt;"",EDATE($D120,Milestones!$AA$180)&gt;=$S120),$V120,$U120)))=Milestones!$AB$180),UPPER(TEXT(EDATE($D120,Milestones!$AA$180),"dd mmm yy"))&amp;" "&amp;Milestones!$AB$180&amp;" "&amp;Milestones!$AC$180&amp;";  ","")&amp;IF(AND(EDATE($D120,Milestones!$AA$181)&lt;=AsOfDate,IF($R120=0,$X120,IF(AND($T120&lt;&gt;"",EDATE($D120,Milestones!$AA$181)&gt;=$T120),$W120,IF(AND($S120&lt;&gt;"",EDATE($D120,Milestones!$AA$181)&gt;=$S120),$V120,$U120)))=Milestones!$AB$181),UPPER(TEXT(EDATE($D120,Milestones!$AA$181),"dd mmm yy"))&amp;" "&amp;Milestones!$AB$181&amp;" "&amp;Milestones!$AC$181&amp;";  ","")&amp;IF(AND(EDATE($D120,Milestones!$AA$182)&lt;=AsOfDate,IF($R120=0,$X120,IF(AND($T120&lt;&gt;"",EDATE($D120,Milestones!$AA$182)&gt;=$T120),$W120,IF(AND($S120&lt;&gt;"",EDATE($D120,Milestones!$AA$182)&gt;=$S120),$V120,$U120)))=Milestones!$AB$182),UPPER(TEXT(EDATE($D120,Milestones!$AA$182),"dd mmm yy"))&amp;" "&amp;Milestones!$AB$182&amp;" "&amp;Milestones!$AC$182&amp;";  ","")&amp;IF(AND(EDATE($D120,Milestones!$AA$183)&lt;=AsOfDate,IF($R120=0,$X120,IF(AND($T120&lt;&gt;"",EDATE($D120,Milestones!$AA$183)&gt;=$T120),$W120,IF(AND($S120&lt;&gt;"",EDATE($D120,Milestones!$AA$183)&gt;=$S120),$V120,$U120)))=Milestones!$AB$183),UPPER(TEXT(EDATE($D120,Milestones!$AA$183),"dd mmm yy"))&amp;" "&amp;Milestones!$AB$183&amp;" "&amp;Milestones!$AC$183&amp;";  ","")&amp;IF(AND(EDATE($D120,Milestones!$AA$184)&lt;=AsOfDate,IF($R120=0,$X120,IF(AND($T120&lt;&gt;"",EDATE($D120,Milestones!$AA$184)&gt;=$T120),$W120,IF(AND($S120&lt;&gt;"",EDATE($D120,Milestones!$AA$184)&gt;=$S120),$V120,$U120)))=Milestones!$AB$184),UPPER(TEXT(EDATE($D120,Milestones!$AA$184),"dd mmm yy"))&amp;" "&amp;Milestones!$AB$184&amp;" "&amp;Milestones!$AC$184&amp;";  ","")&amp;IF(AND(EDATE($D120,Milestones!$AA$185)&lt;=AsOfDate,IF($R120=0,$X120,IF(AND($T120&lt;&gt;"",EDATE($D120,Milestones!$AA$185)&gt;=$T120),$W120,IF(AND($S120&lt;&gt;"",EDATE($D120,Milestones!$AA$185)&gt;=$S120),$V120,$U120)))=Milestones!$AB$185),UPPER(TEXT(EDATE($D120,Milestones!$AA$185),"dd mmm yy"))&amp;" "&amp;Milestones!$AB$185&amp;" "&amp;Milestones!$AC$185&amp;";  ","")&amp;IF(AND(EDATE($D120,Milestones!$AA$186)&lt;=AsOfDate,IF($R120=0,$X120,IF(AND($T120&lt;&gt;"",EDATE($D120,Milestones!$AA$186)&gt;=$T120),$W120,IF(AND($S120&lt;&gt;"",EDATE($D120,Milestones!$AA$186)&gt;=$S120),$V120,$U120)))=Milestones!$AB$186),UPPER(TEXT(EDATE($D120,Milestones!$AA$186),"dd mmm yy"))&amp;" "&amp;Milestones!$AB$186&amp;" "&amp;Milestones!$AC$186&amp;";  ","")&amp;IF(AND(EDATE($D120,Milestones!$AA$187)&lt;=AsOfDate,IF($R120=0,$X120,IF(AND($T120&lt;&gt;"",EDATE($D120,Milestones!$AA$187)&gt;=$T120),$W120,IF(AND($S120&lt;&gt;"",EDATE($D120,Milestones!$AA$187)&gt;=$S120),$V120,$U120)))=Milestones!$AB$187),UPPER(TEXT(EDATE($D120,Milestones!$AA$187),"dd mmm yy"))&amp;" "&amp;Milestones!$AB$187&amp;" "&amp;Milestones!$AC$187&amp;";  ","")&amp;IF(AND(EDATE($D120,Milestones!$AA$188)&lt;=AsOfDate,IF($R120=0,$X120,IF(AND($T120&lt;&gt;"",EDATE($D120,Milestones!$AA$188)&gt;=$T120),$W120,IF(AND($S120&lt;&gt;"",EDATE($D120,Milestones!$AA$188)&gt;=$S120),$V120,$U120)))=Milestones!$AB$188),UPPER(TEXT(EDATE($D120,Milestones!$AA$188),"dd mmm yy"))&amp;" "&amp;Milestones!$AB$188&amp;" "&amp;Milestones!$AC$188&amp;";  ","")&amp;IF(AND(EDATE($D120,Milestones!$AA$189)&lt;=AsOfDate,IF($R120=0,$X120,IF(AND($T120&lt;&gt;"",EDATE($D120,Milestones!$AA$189)&gt;=$T120),$W120,IF(AND($S120&lt;&gt;"",EDATE($D120,Milestones!$AA$189)&gt;=$S120),$V120,$U120)))=Milestones!$AB$189),UPPER(TEXT(EDATE($D120,Milestones!$AA$189),"dd mmm yy"))&amp;" "&amp;Milestones!$AB$189&amp;" "&amp;Milestones!$AC$189&amp;";  ","")&amp;IF(AND(EDATE($D120,Milestones!$AA$190)&lt;=AsOfDate,IF($R120=0,$X120,IF(AND($T120&lt;&gt;"",EDATE($D120,Milestones!$AA$190)&gt;=$T120),$W120,IF(AND($S120&lt;&gt;"",EDATE($D120,Milestones!$AA$190)&gt;=$S120),$V120,$U120)))=Milestones!$AB$190),UPPER(TEXT(EDATE($D120,Milestones!$AA$190),"dd mmm yy"))&amp;" "&amp;Milestones!$AB$190&amp;" "&amp;Milestones!$AC$190&amp;";  ","")&amp;IF(AND(EDATE($D120,Milestones!$AA$191)&lt;=AsOfDate,IF($R120=0,$X120,IF(AND($T120&lt;&gt;"",EDATE($D120,Milestones!$AA$191)&gt;=$T120),$W120,IF(AND($S120&lt;&gt;"",EDATE($D120,Milestones!$AA$191)&gt;=$S120),$V120,$U120)))=Milestones!$AB$191),UPPER(TEXT(EDATE($D120,Milestones!$AA$191),"dd mmm yy"))&amp;" "&amp;Milestones!$AB$191&amp;" "&amp;Milestones!$AC$191&amp;";  ","")&amp;IF(AND(EDATE($D120,Milestones!$AA$192)&lt;=AsOfDate,IF($R120=0,$X120,IF(AND($T120&lt;&gt;"",EDATE($D120,Milestones!$AA$192)&gt;=$T120),$W120,IF(AND($S120&lt;&gt;"",EDATE($D120,Milestones!$AA$192)&gt;=$S120),$V120,$U120)))=Milestones!$AB$192),UPPER(TEXT(EDATE($D120,Milestones!$AA$192),"dd mmm yy"))&amp;" "&amp;Milestones!$AB$192&amp;" "&amp;Milestones!$AC$192&amp;";  ","")&amp;IF(AND(EDATE($D120,Milestones!$AA$193)&lt;=AsOfDate,IF($R120=0,$X120,IF(AND($T120&lt;&gt;"",EDATE($D120,Milestones!$AA$193)&gt;=$T120),$W120,IF(AND($S120&lt;&gt;"",EDATE($D120,Milestones!$AA$193)&gt;=$S120),$V120,$U120)))=Milestones!$AB$193),UPPER(TEXT(EDATE($D120,Milestones!$AA$193),"dd mmm yy"))&amp;" "&amp;Milestones!$AB$193&amp;" "&amp;Milestones!$AC$193&amp;";  ","")&amp;IF(AND(EDATE($D120,Milestones!$AA$194)&lt;=AsOfDate,IF($R120=0,$X120,IF(AND($T120&lt;&gt;"",EDATE($D120,Milestones!$AA$194)&gt;=$T120),$W120,IF(AND($S120&lt;&gt;"",EDATE($D120,Milestones!$AA$194)&gt;=$S120),$V120,$U120)))=Milestones!$AB$194),UPPER(TEXT(EDATE($D120,Milestones!$AA$194),"dd mmm yy"))&amp;" "&amp;Milestones!$AB$194&amp;" "&amp;Milestones!$AC$194&amp;";  ","")&amp;IF(AND(EDATE($D120,Milestones!$AA$195)&lt;=AsOfDate,IF($R120=0,$X120,IF(AND($T120&lt;&gt;"",EDATE($D120,Milestones!$AA$195)&gt;=$T120),$W120,IF(AND($S120&lt;&gt;"",EDATE($D120,Milestones!$AA$195)&gt;=$S120),$V120,$U120)))=Milestones!$AB$195),UPPER(TEXT(EDATE($D120,Milestones!$AA$195),"dd mmm yy"))&amp;" "&amp;Milestones!$AB$195&amp;" "&amp;Milestones!$AC$195&amp;";  ","")&amp;IF(AND(EDATE($D120,Milestones!$AA$196)&lt;=AsOfDate,IF($R120=0,$X120,IF(AND($T120&lt;&gt;"",EDATE($D120,Milestones!$AA$196)&gt;=$T120),$W120,IF(AND($S120&lt;&gt;"",EDATE($D120,Milestones!$AA$196)&gt;=$S120),$V120,$U120)))=Milestones!$AB$196),UPPER(TEXT(EDATE($D120,Milestones!$AA$196),"dd mmm yy"))&amp;" "&amp;Milestones!$AB$196&amp;" "&amp;Milestones!$AC$196&amp;";  ","")&amp;IF(AND(EDATE($D120,Milestones!$AA$197)&lt;=AsOfDate,IF($R120=0,$X120,IF(AND($T120&lt;&gt;"",EDATE($D120,Milestones!$AA$197)&gt;=$T120),$W120,IF(AND($S120&lt;&gt;"",EDATE($D120,Milestones!$AA$197)&gt;=$S120),$V120,$U120)))=Milestones!$AB$197),UPPER(TEXT(EDATE($D120,Milestones!$AA$197),"dd mmm yy"))&amp;" "&amp;Milestones!$AB$197&amp;" "&amp;Milestones!$AC$197&amp;";  ","")&amp;IF(AND(EDATE($D120,Milestones!$AA$198)&lt;=AsOfDate,IF($R120=0,$X120,IF(AND($T120&lt;&gt;"",EDATE($D120,Milestones!$AA$198)&gt;=$T120),$W120,IF(AND($S120&lt;&gt;"",EDATE($D120,Milestones!$AA$198)&gt;=$S120),$V120,$U120)))=Milestones!$AB$198),UPPER(TEXT(EDATE($D120,Milestones!$AA$198),"dd mmm yy"))&amp;" "&amp;Milestones!$AB$198&amp;" "&amp;Milestones!$AC$198&amp;";  ","")&amp;IF(AND(EDATE($D120,Milestones!$AA$199)&lt;=AsOfDate,IF($R120=0,$X120,IF(AND($T120&lt;&gt;"",EDATE($D120,Milestones!$AA$199)&gt;=$T120),$W120,IF(AND($S120&lt;&gt;"",EDATE($D120,Milestones!$AA$199)&gt;=$S120),$V120,$U120)))=Milestones!$AB$199),UPPER(TEXT(EDATE($D120,Milestones!$AA$199),"dd mmm yy"))&amp;" "&amp;Milestones!$AB$199&amp;" "&amp;Milestones!$AC$199&amp;";  ",""))</f>
        <v/>
      </c>
      <c r="R120" s="0" t="str">
        <f aca="false">IF(Staff!$A120="","",Staff!$AI120)</f>
        <v/>
      </c>
      <c r="S120" s="0" t="str">
        <f aca="false">IF(Staff!$A120="","",Staff!$AK120)</f>
        <v/>
      </c>
      <c r="T120" s="0" t="str">
        <f aca="false">IF(Staff!$A120="","",Staff!$AL120)</f>
        <v/>
      </c>
      <c r="U120" s="0" t="str">
        <f aca="false">IF(Staff!$A120="","",Staff!$AP120)</f>
        <v/>
      </c>
      <c r="V120" s="0" t="str">
        <f aca="false">IF(Staff!$A120="","",Staff!$AQ120)</f>
        <v/>
      </c>
      <c r="W120" s="0" t="str">
        <f aca="false">IF(Staff!$A120="","",Staff!$AR120)</f>
        <v/>
      </c>
      <c r="X120" s="0" t="str">
        <f aca="false">IF(Staff!$A120="","",Staff!$AS120)</f>
        <v/>
      </c>
    </row>
    <row r="121" customFormat="false" ht="15" hidden="false" customHeight="false" outlineLevel="0" collapsed="false">
      <c r="A121" s="14" t="str">
        <f aca="false">IF(Staff!$A121="","",Staff!$A121)</f>
        <v/>
      </c>
      <c r="B121" s="14" t="str">
        <f aca="false">IF(Staff!$A121="","",Staff!$B121)</f>
        <v/>
      </c>
      <c r="C121" s="14" t="str">
        <f aca="false">IF(Staff!$A121="","",Staff!$C121)</f>
        <v/>
      </c>
      <c r="D121" s="12" t="str">
        <f aca="false">IF(Staff!$A121="","",Staff!$AH121)</f>
        <v/>
      </c>
      <c r="E121" s="14" t="str">
        <f aca="false">IF(Staff!$A121="","",Staff!$O121)</f>
        <v/>
      </c>
      <c r="F121" s="14" t="str">
        <f aca="false">IF(E121="","",E121*HoursPerDay)</f>
        <v/>
      </c>
      <c r="G121" s="14" t="str">
        <f aca="false">IF(Staff!$A121="","",Staff!$AE121)</f>
        <v/>
      </c>
      <c r="H121" s="26" t="str">
        <f aca="false">IF($A121="","",I121&amp;J121&amp;K121&amp;L121&amp;M121&amp;N121&amp;O121&amp;P121&amp;Q121)</f>
        <v/>
      </c>
      <c r="I121" s="0" t="str">
        <f aca="false">IF(OR($A121="",$D121=""),"",IF(AND(EDATE($D121,Milestones!$AA$20)&lt;=AsOfDate,IF($R121=0,$X121,IF(AND($T121&lt;&gt;"",EDATE($D121,Milestones!$AA$20)&gt;=$T121),$W121,IF(AND($S121&lt;&gt;"",EDATE($D121,Milestones!$AA$20)&gt;=$S121),$V121,$U121)))=Milestones!$AB$20),UPPER(TEXT(EDATE($D121,Milestones!$AA$20),"dd mmm yy"))&amp;" "&amp;Milestones!$AB$20&amp;" "&amp;Milestones!$AC$20&amp;";  ","")&amp;IF(AND(EDATE($D121,Milestones!$AA$21)&lt;=AsOfDate,IF($R121=0,$X121,IF(AND($T121&lt;&gt;"",EDATE($D121,Milestones!$AA$21)&gt;=$T121),$W121,IF(AND($S121&lt;&gt;"",EDATE($D121,Milestones!$AA$21)&gt;=$S121),$V121,$U121)))=Milestones!$AB$21),UPPER(TEXT(EDATE($D121,Milestones!$AA$21),"dd mmm yy"))&amp;" "&amp;Milestones!$AB$21&amp;" "&amp;Milestones!$AC$21&amp;";  ","")&amp;IF(AND(EDATE($D121,Milestones!$AA$22)&lt;=AsOfDate,IF($R121=0,$X121,IF(AND($T121&lt;&gt;"",EDATE($D121,Milestones!$AA$22)&gt;=$T121),$W121,IF(AND($S121&lt;&gt;"",EDATE($D121,Milestones!$AA$22)&gt;=$S121),$V121,$U121)))=Milestones!$AB$22),UPPER(TEXT(EDATE($D121,Milestones!$AA$22),"dd mmm yy"))&amp;" "&amp;Milestones!$AB$22&amp;" "&amp;Milestones!$AC$22&amp;";  ","")&amp;IF(AND(EDATE($D121,Milestones!$AA$23)&lt;=AsOfDate,IF($R121=0,$X121,IF(AND($T121&lt;&gt;"",EDATE($D121,Milestones!$AA$23)&gt;=$T121),$W121,IF(AND($S121&lt;&gt;"",EDATE($D121,Milestones!$AA$23)&gt;=$S121),$V121,$U121)))=Milestones!$AB$23),UPPER(TEXT(EDATE($D121,Milestones!$AA$23),"dd mmm yy"))&amp;" "&amp;Milestones!$AB$23&amp;" "&amp;Milestones!$AC$23&amp;";  ","")&amp;IF(AND(EDATE($D121,Milestones!$AA$24)&lt;=AsOfDate,IF($R121=0,$X121,IF(AND($T121&lt;&gt;"",EDATE($D121,Milestones!$AA$24)&gt;=$T121),$W121,IF(AND($S121&lt;&gt;"",EDATE($D121,Milestones!$AA$24)&gt;=$S121),$V121,$U121)))=Milestones!$AB$24),UPPER(TEXT(EDATE($D121,Milestones!$AA$24),"dd mmm yy"))&amp;" "&amp;Milestones!$AB$24&amp;" "&amp;Milestones!$AC$24&amp;";  ","")&amp;IF(AND(EDATE($D121,Milestones!$AA$25)&lt;=AsOfDate,IF($R121=0,$X121,IF(AND($T121&lt;&gt;"",EDATE($D121,Milestones!$AA$25)&gt;=$T121),$W121,IF(AND($S121&lt;&gt;"",EDATE($D121,Milestones!$AA$25)&gt;=$S121),$V121,$U121)))=Milestones!$AB$25),UPPER(TEXT(EDATE($D121,Milestones!$AA$25),"dd mmm yy"))&amp;" "&amp;Milestones!$AB$25&amp;" "&amp;Milestones!$AC$25&amp;";  ","")&amp;IF(AND(EDATE($D121,Milestones!$AA$26)&lt;=AsOfDate,IF($R121=0,$X121,IF(AND($T121&lt;&gt;"",EDATE($D121,Milestones!$AA$26)&gt;=$T121),$W121,IF(AND($S121&lt;&gt;"",EDATE($D121,Milestones!$AA$26)&gt;=$S121),$V121,$U121)))=Milestones!$AB$26),UPPER(TEXT(EDATE($D121,Milestones!$AA$26),"dd mmm yy"))&amp;" "&amp;Milestones!$AB$26&amp;" "&amp;Milestones!$AC$26&amp;";  ","")&amp;IF(AND(EDATE($D121,Milestones!$AA$27)&lt;=AsOfDate,IF($R121=0,$X121,IF(AND($T121&lt;&gt;"",EDATE($D121,Milestones!$AA$27)&gt;=$T121),$W121,IF(AND($S121&lt;&gt;"",EDATE($D121,Milestones!$AA$27)&gt;=$S121),$V121,$U121)))=Milestones!$AB$27),UPPER(TEXT(EDATE($D121,Milestones!$AA$27),"dd mmm yy"))&amp;" "&amp;Milestones!$AB$27&amp;" "&amp;Milestones!$AC$27&amp;";  ","")&amp;IF(AND(EDATE($D121,Milestones!$AA$28)&lt;=AsOfDate,IF($R121=0,$X121,IF(AND($T121&lt;&gt;"",EDATE($D121,Milestones!$AA$28)&gt;=$T121),$W121,IF(AND($S121&lt;&gt;"",EDATE($D121,Milestones!$AA$28)&gt;=$S121),$V121,$U121)))=Milestones!$AB$28),UPPER(TEXT(EDATE($D121,Milestones!$AA$28),"dd mmm yy"))&amp;" "&amp;Milestones!$AB$28&amp;" "&amp;Milestones!$AC$28&amp;";  ","")&amp;IF(AND(EDATE($D121,Milestones!$AA$29)&lt;=AsOfDate,IF($R121=0,$X121,IF(AND($T121&lt;&gt;"",EDATE($D121,Milestones!$AA$29)&gt;=$T121),$W121,IF(AND($S121&lt;&gt;"",EDATE($D121,Milestones!$AA$29)&gt;=$S121),$V121,$U121)))=Milestones!$AB$29),UPPER(TEXT(EDATE($D121,Milestones!$AA$29),"dd mmm yy"))&amp;" "&amp;Milestones!$AB$29&amp;" "&amp;Milestones!$AC$29&amp;";  ","")&amp;IF(AND(EDATE($D121,Milestones!$AA$30)&lt;=AsOfDate,IF($R121=0,$X121,IF(AND($T121&lt;&gt;"",EDATE($D121,Milestones!$AA$30)&gt;=$T121),$W121,IF(AND($S121&lt;&gt;"",EDATE($D121,Milestones!$AA$30)&gt;=$S121),$V121,$U121)))=Milestones!$AB$30),UPPER(TEXT(EDATE($D121,Milestones!$AA$30),"dd mmm yy"))&amp;" "&amp;Milestones!$AB$30&amp;" "&amp;Milestones!$AC$30&amp;";  ","")&amp;IF(AND(EDATE($D121,Milestones!$AA$31)&lt;=AsOfDate,IF($R121=0,$X121,IF(AND($T121&lt;&gt;"",EDATE($D121,Milestones!$AA$31)&gt;=$T121),$W121,IF(AND($S121&lt;&gt;"",EDATE($D121,Milestones!$AA$31)&gt;=$S121),$V121,$U121)))=Milestones!$AB$31),UPPER(TEXT(EDATE($D121,Milestones!$AA$31),"dd mmm yy"))&amp;" "&amp;Milestones!$AB$31&amp;" "&amp;Milestones!$AC$31&amp;";  ","")&amp;IF(AND(EDATE($D121,Milestones!$AA$32)&lt;=AsOfDate,IF($R121=0,$X121,IF(AND($T121&lt;&gt;"",EDATE($D121,Milestones!$AA$32)&gt;=$T121),$W121,IF(AND($S121&lt;&gt;"",EDATE($D121,Milestones!$AA$32)&gt;=$S121),$V121,$U121)))=Milestones!$AB$32),UPPER(TEXT(EDATE($D121,Milestones!$AA$32),"dd mmm yy"))&amp;" "&amp;Milestones!$AB$32&amp;" "&amp;Milestones!$AC$32&amp;";  ","")&amp;IF(AND(EDATE($D121,Milestones!$AA$33)&lt;=AsOfDate,IF($R121=0,$X121,IF(AND($T121&lt;&gt;"",EDATE($D121,Milestones!$AA$33)&gt;=$T121),$W121,IF(AND($S121&lt;&gt;"",EDATE($D121,Milestones!$AA$33)&gt;=$S121),$V121,$U121)))=Milestones!$AB$33),UPPER(TEXT(EDATE($D121,Milestones!$AA$33),"dd mmm yy"))&amp;" "&amp;Milestones!$AB$33&amp;" "&amp;Milestones!$AC$33&amp;";  ","")&amp;IF(AND(EDATE($D121,Milestones!$AA$34)&lt;=AsOfDate,IF($R121=0,$X121,IF(AND($T121&lt;&gt;"",EDATE($D121,Milestones!$AA$34)&gt;=$T121),$W121,IF(AND($S121&lt;&gt;"",EDATE($D121,Milestones!$AA$34)&gt;=$S121),$V121,$U121)))=Milestones!$AB$34),UPPER(TEXT(EDATE($D121,Milestones!$AA$34),"dd mmm yy"))&amp;" "&amp;Milestones!$AB$34&amp;" "&amp;Milestones!$AC$34&amp;";  ","")&amp;IF(AND(EDATE($D121,Milestones!$AA$35)&lt;=AsOfDate,IF($R121=0,$X121,IF(AND($T121&lt;&gt;"",EDATE($D121,Milestones!$AA$35)&gt;=$T121),$W121,IF(AND($S121&lt;&gt;"",EDATE($D121,Milestones!$AA$35)&gt;=$S121),$V121,$U121)))=Milestones!$AB$35),UPPER(TEXT(EDATE($D121,Milestones!$AA$35),"dd mmm yy"))&amp;" "&amp;Milestones!$AB$35&amp;" "&amp;Milestones!$AC$35&amp;";  ","")&amp;IF(AND(EDATE($D121,Milestones!$AA$36)&lt;=AsOfDate,IF($R121=0,$X121,IF(AND($T121&lt;&gt;"",EDATE($D121,Milestones!$AA$36)&gt;=$T121),$W121,IF(AND($S121&lt;&gt;"",EDATE($D121,Milestones!$AA$36)&gt;=$S121),$V121,$U121)))=Milestones!$AB$36),UPPER(TEXT(EDATE($D121,Milestones!$AA$36),"dd mmm yy"))&amp;" "&amp;Milestones!$AB$36&amp;" "&amp;Milestones!$AC$36&amp;";  ","")&amp;IF(AND(EDATE($D121,Milestones!$AA$37)&lt;=AsOfDate,IF($R121=0,$X121,IF(AND($T121&lt;&gt;"",EDATE($D121,Milestones!$AA$37)&gt;=$T121),$W121,IF(AND($S121&lt;&gt;"",EDATE($D121,Milestones!$AA$37)&gt;=$S121),$V121,$U121)))=Milestones!$AB$37),UPPER(TEXT(EDATE($D121,Milestones!$AA$37),"dd mmm yy"))&amp;" "&amp;Milestones!$AB$37&amp;" "&amp;Milestones!$AC$37&amp;";  ","")&amp;IF(AND(EDATE($D121,Milestones!$AA$38)&lt;=AsOfDate,IF($R121=0,$X121,IF(AND($T121&lt;&gt;"",EDATE($D121,Milestones!$AA$38)&gt;=$T121),$W121,IF(AND($S121&lt;&gt;"",EDATE($D121,Milestones!$AA$38)&gt;=$S121),$V121,$U121)))=Milestones!$AB$38),UPPER(TEXT(EDATE($D121,Milestones!$AA$38),"dd mmm yy"))&amp;" "&amp;Milestones!$AB$38&amp;" "&amp;Milestones!$AC$38&amp;";  ","")&amp;IF(AND(EDATE($D121,Milestones!$AA$39)&lt;=AsOfDate,IF($R121=0,$X121,IF(AND($T121&lt;&gt;"",EDATE($D121,Milestones!$AA$39)&gt;=$T121),$W121,IF(AND($S121&lt;&gt;"",EDATE($D121,Milestones!$AA$39)&gt;=$S121),$V121,$U121)))=Milestones!$AB$39),UPPER(TEXT(EDATE($D121,Milestones!$AA$39),"dd mmm yy"))&amp;" "&amp;Milestones!$AB$39&amp;" "&amp;Milestones!$AC$39&amp;";  ",""))</f>
        <v/>
      </c>
      <c r="J121" s="0" t="str">
        <f aca="false">IF(OR($A121="",$D121=""),"",IF(AND(EDATE($D121,Milestones!$AA$40)&lt;=AsOfDate,IF($R121=0,$X121,IF(AND($T121&lt;&gt;"",EDATE($D121,Milestones!$AA$40)&gt;=$T121),$W121,IF(AND($S121&lt;&gt;"",EDATE($D121,Milestones!$AA$40)&gt;=$S121),$V121,$U121)))=Milestones!$AB$40),UPPER(TEXT(EDATE($D121,Milestones!$AA$40),"dd mmm yy"))&amp;" "&amp;Milestones!$AB$40&amp;" "&amp;Milestones!$AC$40&amp;";  ","")&amp;IF(AND(EDATE($D121,Milestones!$AA$41)&lt;=AsOfDate,IF($R121=0,$X121,IF(AND($T121&lt;&gt;"",EDATE($D121,Milestones!$AA$41)&gt;=$T121),$W121,IF(AND($S121&lt;&gt;"",EDATE($D121,Milestones!$AA$41)&gt;=$S121),$V121,$U121)))=Milestones!$AB$41),UPPER(TEXT(EDATE($D121,Milestones!$AA$41),"dd mmm yy"))&amp;" "&amp;Milestones!$AB$41&amp;" "&amp;Milestones!$AC$41&amp;";  ","")&amp;IF(AND(EDATE($D121,Milestones!$AA$42)&lt;=AsOfDate,IF($R121=0,$X121,IF(AND($T121&lt;&gt;"",EDATE($D121,Milestones!$AA$42)&gt;=$T121),$W121,IF(AND($S121&lt;&gt;"",EDATE($D121,Milestones!$AA$42)&gt;=$S121),$V121,$U121)))=Milestones!$AB$42),UPPER(TEXT(EDATE($D121,Milestones!$AA$42),"dd mmm yy"))&amp;" "&amp;Milestones!$AB$42&amp;" "&amp;Milestones!$AC$42&amp;";  ","")&amp;IF(AND(EDATE($D121,Milestones!$AA$43)&lt;=AsOfDate,IF($R121=0,$X121,IF(AND($T121&lt;&gt;"",EDATE($D121,Milestones!$AA$43)&gt;=$T121),$W121,IF(AND($S121&lt;&gt;"",EDATE($D121,Milestones!$AA$43)&gt;=$S121),$V121,$U121)))=Milestones!$AB$43),UPPER(TEXT(EDATE($D121,Milestones!$AA$43),"dd mmm yy"))&amp;" "&amp;Milestones!$AB$43&amp;" "&amp;Milestones!$AC$43&amp;";  ","")&amp;IF(AND(EDATE($D121,Milestones!$AA$44)&lt;=AsOfDate,IF($R121=0,$X121,IF(AND($T121&lt;&gt;"",EDATE($D121,Milestones!$AA$44)&gt;=$T121),$W121,IF(AND($S121&lt;&gt;"",EDATE($D121,Milestones!$AA$44)&gt;=$S121),$V121,$U121)))=Milestones!$AB$44),UPPER(TEXT(EDATE($D121,Milestones!$AA$44),"dd mmm yy"))&amp;" "&amp;Milestones!$AB$44&amp;" "&amp;Milestones!$AC$44&amp;";  ","")&amp;IF(AND(EDATE($D121,Milestones!$AA$45)&lt;=AsOfDate,IF($R121=0,$X121,IF(AND($T121&lt;&gt;"",EDATE($D121,Milestones!$AA$45)&gt;=$T121),$W121,IF(AND($S121&lt;&gt;"",EDATE($D121,Milestones!$AA$45)&gt;=$S121),$V121,$U121)))=Milestones!$AB$45),UPPER(TEXT(EDATE($D121,Milestones!$AA$45),"dd mmm yy"))&amp;" "&amp;Milestones!$AB$45&amp;" "&amp;Milestones!$AC$45&amp;";  ","")&amp;IF(AND(EDATE($D121,Milestones!$AA$46)&lt;=AsOfDate,IF($R121=0,$X121,IF(AND($T121&lt;&gt;"",EDATE($D121,Milestones!$AA$46)&gt;=$T121),$W121,IF(AND($S121&lt;&gt;"",EDATE($D121,Milestones!$AA$46)&gt;=$S121),$V121,$U121)))=Milestones!$AB$46),UPPER(TEXT(EDATE($D121,Milestones!$AA$46),"dd mmm yy"))&amp;" "&amp;Milestones!$AB$46&amp;" "&amp;Milestones!$AC$46&amp;";  ","")&amp;IF(AND(EDATE($D121,Milestones!$AA$47)&lt;=AsOfDate,IF($R121=0,$X121,IF(AND($T121&lt;&gt;"",EDATE($D121,Milestones!$AA$47)&gt;=$T121),$W121,IF(AND($S121&lt;&gt;"",EDATE($D121,Milestones!$AA$47)&gt;=$S121),$V121,$U121)))=Milestones!$AB$47),UPPER(TEXT(EDATE($D121,Milestones!$AA$47),"dd mmm yy"))&amp;" "&amp;Milestones!$AB$47&amp;" "&amp;Milestones!$AC$47&amp;";  ","")&amp;IF(AND(EDATE($D121,Milestones!$AA$48)&lt;=AsOfDate,IF($R121=0,$X121,IF(AND($T121&lt;&gt;"",EDATE($D121,Milestones!$AA$48)&gt;=$T121),$W121,IF(AND($S121&lt;&gt;"",EDATE($D121,Milestones!$AA$48)&gt;=$S121),$V121,$U121)))=Milestones!$AB$48),UPPER(TEXT(EDATE($D121,Milestones!$AA$48),"dd mmm yy"))&amp;" "&amp;Milestones!$AB$48&amp;" "&amp;Milestones!$AC$48&amp;";  ","")&amp;IF(AND(EDATE($D121,Milestones!$AA$49)&lt;=AsOfDate,IF($R121=0,$X121,IF(AND($T121&lt;&gt;"",EDATE($D121,Milestones!$AA$49)&gt;=$T121),$W121,IF(AND($S121&lt;&gt;"",EDATE($D121,Milestones!$AA$49)&gt;=$S121),$V121,$U121)))=Milestones!$AB$49),UPPER(TEXT(EDATE($D121,Milestones!$AA$49),"dd mmm yy"))&amp;" "&amp;Milestones!$AB$49&amp;" "&amp;Milestones!$AC$49&amp;";  ","")&amp;IF(AND(EDATE($D121,Milestones!$AA$50)&lt;=AsOfDate,IF($R121=0,$X121,IF(AND($T121&lt;&gt;"",EDATE($D121,Milestones!$AA$50)&gt;=$T121),$W121,IF(AND($S121&lt;&gt;"",EDATE($D121,Milestones!$AA$50)&gt;=$S121),$V121,$U121)))=Milestones!$AB$50),UPPER(TEXT(EDATE($D121,Milestones!$AA$50),"dd mmm yy"))&amp;" "&amp;Milestones!$AB$50&amp;" "&amp;Milestones!$AC$50&amp;";  ","")&amp;IF(AND(EDATE($D121,Milestones!$AA$51)&lt;=AsOfDate,IF($R121=0,$X121,IF(AND($T121&lt;&gt;"",EDATE($D121,Milestones!$AA$51)&gt;=$T121),$W121,IF(AND($S121&lt;&gt;"",EDATE($D121,Milestones!$AA$51)&gt;=$S121),$V121,$U121)))=Milestones!$AB$51),UPPER(TEXT(EDATE($D121,Milestones!$AA$51),"dd mmm yy"))&amp;" "&amp;Milestones!$AB$51&amp;" "&amp;Milestones!$AC$51&amp;";  ","")&amp;IF(AND(EDATE($D121,Milestones!$AA$52)&lt;=AsOfDate,IF($R121=0,$X121,IF(AND($T121&lt;&gt;"",EDATE($D121,Milestones!$AA$52)&gt;=$T121),$W121,IF(AND($S121&lt;&gt;"",EDATE($D121,Milestones!$AA$52)&gt;=$S121),$V121,$U121)))=Milestones!$AB$52),UPPER(TEXT(EDATE($D121,Milestones!$AA$52),"dd mmm yy"))&amp;" "&amp;Milestones!$AB$52&amp;" "&amp;Milestones!$AC$52&amp;";  ","")&amp;IF(AND(EDATE($D121,Milestones!$AA$53)&lt;=AsOfDate,IF($R121=0,$X121,IF(AND($T121&lt;&gt;"",EDATE($D121,Milestones!$AA$53)&gt;=$T121),$W121,IF(AND($S121&lt;&gt;"",EDATE($D121,Milestones!$AA$53)&gt;=$S121),$V121,$U121)))=Milestones!$AB$53),UPPER(TEXT(EDATE($D121,Milestones!$AA$53),"dd mmm yy"))&amp;" "&amp;Milestones!$AB$53&amp;" "&amp;Milestones!$AC$53&amp;";  ","")&amp;IF(AND(EDATE($D121,Milestones!$AA$54)&lt;=AsOfDate,IF($R121=0,$X121,IF(AND($T121&lt;&gt;"",EDATE($D121,Milestones!$AA$54)&gt;=$T121),$W121,IF(AND($S121&lt;&gt;"",EDATE($D121,Milestones!$AA$54)&gt;=$S121),$V121,$U121)))=Milestones!$AB$54),UPPER(TEXT(EDATE($D121,Milestones!$AA$54),"dd mmm yy"))&amp;" "&amp;Milestones!$AB$54&amp;" "&amp;Milestones!$AC$54&amp;";  ","")&amp;IF(AND(EDATE($D121,Milestones!$AA$55)&lt;=AsOfDate,IF($R121=0,$X121,IF(AND($T121&lt;&gt;"",EDATE($D121,Milestones!$AA$55)&gt;=$T121),$W121,IF(AND($S121&lt;&gt;"",EDATE($D121,Milestones!$AA$55)&gt;=$S121),$V121,$U121)))=Milestones!$AB$55),UPPER(TEXT(EDATE($D121,Milestones!$AA$55),"dd mmm yy"))&amp;" "&amp;Milestones!$AB$55&amp;" "&amp;Milestones!$AC$55&amp;";  ","")&amp;IF(AND(EDATE($D121,Milestones!$AA$56)&lt;=AsOfDate,IF($R121=0,$X121,IF(AND($T121&lt;&gt;"",EDATE($D121,Milestones!$AA$56)&gt;=$T121),$W121,IF(AND($S121&lt;&gt;"",EDATE($D121,Milestones!$AA$56)&gt;=$S121),$V121,$U121)))=Milestones!$AB$56),UPPER(TEXT(EDATE($D121,Milestones!$AA$56),"dd mmm yy"))&amp;" "&amp;Milestones!$AB$56&amp;" "&amp;Milestones!$AC$56&amp;";  ","")&amp;IF(AND(EDATE($D121,Milestones!$AA$57)&lt;=AsOfDate,IF($R121=0,$X121,IF(AND($T121&lt;&gt;"",EDATE($D121,Milestones!$AA$57)&gt;=$T121),$W121,IF(AND($S121&lt;&gt;"",EDATE($D121,Milestones!$AA$57)&gt;=$S121),$V121,$U121)))=Milestones!$AB$57),UPPER(TEXT(EDATE($D121,Milestones!$AA$57),"dd mmm yy"))&amp;" "&amp;Milestones!$AB$57&amp;" "&amp;Milestones!$AC$57&amp;";  ","")&amp;IF(AND(EDATE($D121,Milestones!$AA$58)&lt;=AsOfDate,IF($R121=0,$X121,IF(AND($T121&lt;&gt;"",EDATE($D121,Milestones!$AA$58)&gt;=$T121),$W121,IF(AND($S121&lt;&gt;"",EDATE($D121,Milestones!$AA$58)&gt;=$S121),$V121,$U121)))=Milestones!$AB$58),UPPER(TEXT(EDATE($D121,Milestones!$AA$58),"dd mmm yy"))&amp;" "&amp;Milestones!$AB$58&amp;" "&amp;Milestones!$AC$58&amp;";  ","")&amp;IF(AND(EDATE($D121,Milestones!$AA$59)&lt;=AsOfDate,IF($R121=0,$X121,IF(AND($T121&lt;&gt;"",EDATE($D121,Milestones!$AA$59)&gt;=$T121),$W121,IF(AND($S121&lt;&gt;"",EDATE($D121,Milestones!$AA$59)&gt;=$S121),$V121,$U121)))=Milestones!$AB$59),UPPER(TEXT(EDATE($D121,Milestones!$AA$59),"dd mmm yy"))&amp;" "&amp;Milestones!$AB$59&amp;" "&amp;Milestones!$AC$59&amp;";  ",""))</f>
        <v/>
      </c>
      <c r="K121" s="0" t="str">
        <f aca="false">IF(OR($A121="",$D121=""),"",IF(AND(EDATE($D121,Milestones!$AA$60)&lt;=AsOfDate,IF($R121=0,$X121,IF(AND($T121&lt;&gt;"",EDATE($D121,Milestones!$AA$60)&gt;=$T121),$W121,IF(AND($S121&lt;&gt;"",EDATE($D121,Milestones!$AA$60)&gt;=$S121),$V121,$U121)))=Milestones!$AB$60),UPPER(TEXT(EDATE($D121,Milestones!$AA$60),"dd mmm yy"))&amp;" "&amp;Milestones!$AB$60&amp;" "&amp;Milestones!$AC$60&amp;";  ","")&amp;IF(AND(EDATE($D121,Milestones!$AA$61)&lt;=AsOfDate,IF($R121=0,$X121,IF(AND($T121&lt;&gt;"",EDATE($D121,Milestones!$AA$61)&gt;=$T121),$W121,IF(AND($S121&lt;&gt;"",EDATE($D121,Milestones!$AA$61)&gt;=$S121),$V121,$U121)))=Milestones!$AB$61),UPPER(TEXT(EDATE($D121,Milestones!$AA$61),"dd mmm yy"))&amp;" "&amp;Milestones!$AB$61&amp;" "&amp;Milestones!$AC$61&amp;";  ","")&amp;IF(AND(EDATE($D121,Milestones!$AA$62)&lt;=AsOfDate,IF($R121=0,$X121,IF(AND($T121&lt;&gt;"",EDATE($D121,Milestones!$AA$62)&gt;=$T121),$W121,IF(AND($S121&lt;&gt;"",EDATE($D121,Milestones!$AA$62)&gt;=$S121),$V121,$U121)))=Milestones!$AB$62),UPPER(TEXT(EDATE($D121,Milestones!$AA$62),"dd mmm yy"))&amp;" "&amp;Milestones!$AB$62&amp;" "&amp;Milestones!$AC$62&amp;";  ","")&amp;IF(AND(EDATE($D121,Milestones!$AA$63)&lt;=AsOfDate,IF($R121=0,$X121,IF(AND($T121&lt;&gt;"",EDATE($D121,Milestones!$AA$63)&gt;=$T121),$W121,IF(AND($S121&lt;&gt;"",EDATE($D121,Milestones!$AA$63)&gt;=$S121),$V121,$U121)))=Milestones!$AB$63),UPPER(TEXT(EDATE($D121,Milestones!$AA$63),"dd mmm yy"))&amp;" "&amp;Milestones!$AB$63&amp;" "&amp;Milestones!$AC$63&amp;";  ","")&amp;IF(AND(EDATE($D121,Milestones!$AA$64)&lt;=AsOfDate,IF($R121=0,$X121,IF(AND($T121&lt;&gt;"",EDATE($D121,Milestones!$AA$64)&gt;=$T121),$W121,IF(AND($S121&lt;&gt;"",EDATE($D121,Milestones!$AA$64)&gt;=$S121),$V121,$U121)))=Milestones!$AB$64),UPPER(TEXT(EDATE($D121,Milestones!$AA$64),"dd mmm yy"))&amp;" "&amp;Milestones!$AB$64&amp;" "&amp;Milestones!$AC$64&amp;";  ","")&amp;IF(AND(EDATE($D121,Milestones!$AA$65)&lt;=AsOfDate,IF($R121=0,$X121,IF(AND($T121&lt;&gt;"",EDATE($D121,Milestones!$AA$65)&gt;=$T121),$W121,IF(AND($S121&lt;&gt;"",EDATE($D121,Milestones!$AA$65)&gt;=$S121),$V121,$U121)))=Milestones!$AB$65),UPPER(TEXT(EDATE($D121,Milestones!$AA$65),"dd mmm yy"))&amp;" "&amp;Milestones!$AB$65&amp;" "&amp;Milestones!$AC$65&amp;";  ","")&amp;IF(AND(EDATE($D121,Milestones!$AA$66)&lt;=AsOfDate,IF($R121=0,$X121,IF(AND($T121&lt;&gt;"",EDATE($D121,Milestones!$AA$66)&gt;=$T121),$W121,IF(AND($S121&lt;&gt;"",EDATE($D121,Milestones!$AA$66)&gt;=$S121),$V121,$U121)))=Milestones!$AB$66),UPPER(TEXT(EDATE($D121,Milestones!$AA$66),"dd mmm yy"))&amp;" "&amp;Milestones!$AB$66&amp;" "&amp;Milestones!$AC$66&amp;";  ","")&amp;IF(AND(EDATE($D121,Milestones!$AA$67)&lt;=AsOfDate,IF($R121=0,$X121,IF(AND($T121&lt;&gt;"",EDATE($D121,Milestones!$AA$67)&gt;=$T121),$W121,IF(AND($S121&lt;&gt;"",EDATE($D121,Milestones!$AA$67)&gt;=$S121),$V121,$U121)))=Milestones!$AB$67),UPPER(TEXT(EDATE($D121,Milestones!$AA$67),"dd mmm yy"))&amp;" "&amp;Milestones!$AB$67&amp;" "&amp;Milestones!$AC$67&amp;";  ","")&amp;IF(AND(EDATE($D121,Milestones!$AA$68)&lt;=AsOfDate,IF($R121=0,$X121,IF(AND($T121&lt;&gt;"",EDATE($D121,Milestones!$AA$68)&gt;=$T121),$W121,IF(AND($S121&lt;&gt;"",EDATE($D121,Milestones!$AA$68)&gt;=$S121),$V121,$U121)))=Milestones!$AB$68),UPPER(TEXT(EDATE($D121,Milestones!$AA$68),"dd mmm yy"))&amp;" "&amp;Milestones!$AB$68&amp;" "&amp;Milestones!$AC$68&amp;";  ","")&amp;IF(AND(EDATE($D121,Milestones!$AA$69)&lt;=AsOfDate,IF($R121=0,$X121,IF(AND($T121&lt;&gt;"",EDATE($D121,Milestones!$AA$69)&gt;=$T121),$W121,IF(AND($S121&lt;&gt;"",EDATE($D121,Milestones!$AA$69)&gt;=$S121),$V121,$U121)))=Milestones!$AB$69),UPPER(TEXT(EDATE($D121,Milestones!$AA$69),"dd mmm yy"))&amp;" "&amp;Milestones!$AB$69&amp;" "&amp;Milestones!$AC$69&amp;";  ","")&amp;IF(AND(EDATE($D121,Milestones!$AA$70)&lt;=AsOfDate,IF($R121=0,$X121,IF(AND($T121&lt;&gt;"",EDATE($D121,Milestones!$AA$70)&gt;=$T121),$W121,IF(AND($S121&lt;&gt;"",EDATE($D121,Milestones!$AA$70)&gt;=$S121),$V121,$U121)))=Milestones!$AB$70),UPPER(TEXT(EDATE($D121,Milestones!$AA$70),"dd mmm yy"))&amp;" "&amp;Milestones!$AB$70&amp;" "&amp;Milestones!$AC$70&amp;";  ","")&amp;IF(AND(EDATE($D121,Milestones!$AA$71)&lt;=AsOfDate,IF($R121=0,$X121,IF(AND($T121&lt;&gt;"",EDATE($D121,Milestones!$AA$71)&gt;=$T121),$W121,IF(AND($S121&lt;&gt;"",EDATE($D121,Milestones!$AA$71)&gt;=$S121),$V121,$U121)))=Milestones!$AB$71),UPPER(TEXT(EDATE($D121,Milestones!$AA$71),"dd mmm yy"))&amp;" "&amp;Milestones!$AB$71&amp;" "&amp;Milestones!$AC$71&amp;";  ","")&amp;IF(AND(EDATE($D121,Milestones!$AA$72)&lt;=AsOfDate,IF($R121=0,$X121,IF(AND($T121&lt;&gt;"",EDATE($D121,Milestones!$AA$72)&gt;=$T121),$W121,IF(AND($S121&lt;&gt;"",EDATE($D121,Milestones!$AA$72)&gt;=$S121),$V121,$U121)))=Milestones!$AB$72),UPPER(TEXT(EDATE($D121,Milestones!$AA$72),"dd mmm yy"))&amp;" "&amp;Milestones!$AB$72&amp;" "&amp;Milestones!$AC$72&amp;";  ","")&amp;IF(AND(EDATE($D121,Milestones!$AA$73)&lt;=AsOfDate,IF($R121=0,$X121,IF(AND($T121&lt;&gt;"",EDATE($D121,Milestones!$AA$73)&gt;=$T121),$W121,IF(AND($S121&lt;&gt;"",EDATE($D121,Milestones!$AA$73)&gt;=$S121),$V121,$U121)))=Milestones!$AB$73),UPPER(TEXT(EDATE($D121,Milestones!$AA$73),"dd mmm yy"))&amp;" "&amp;Milestones!$AB$73&amp;" "&amp;Milestones!$AC$73&amp;";  ","")&amp;IF(AND(EDATE($D121,Milestones!$AA$74)&lt;=AsOfDate,IF($R121=0,$X121,IF(AND($T121&lt;&gt;"",EDATE($D121,Milestones!$AA$74)&gt;=$T121),$W121,IF(AND($S121&lt;&gt;"",EDATE($D121,Milestones!$AA$74)&gt;=$S121),$V121,$U121)))=Milestones!$AB$74),UPPER(TEXT(EDATE($D121,Milestones!$AA$74),"dd mmm yy"))&amp;" "&amp;Milestones!$AB$74&amp;" "&amp;Milestones!$AC$74&amp;";  ","")&amp;IF(AND(EDATE($D121,Milestones!$AA$75)&lt;=AsOfDate,IF($R121=0,$X121,IF(AND($T121&lt;&gt;"",EDATE($D121,Milestones!$AA$75)&gt;=$T121),$W121,IF(AND($S121&lt;&gt;"",EDATE($D121,Milestones!$AA$75)&gt;=$S121),$V121,$U121)))=Milestones!$AB$75),UPPER(TEXT(EDATE($D121,Milestones!$AA$75),"dd mmm yy"))&amp;" "&amp;Milestones!$AB$75&amp;" "&amp;Milestones!$AC$75&amp;";  ","")&amp;IF(AND(EDATE($D121,Milestones!$AA$76)&lt;=AsOfDate,IF($R121=0,$X121,IF(AND($T121&lt;&gt;"",EDATE($D121,Milestones!$AA$76)&gt;=$T121),$W121,IF(AND($S121&lt;&gt;"",EDATE($D121,Milestones!$AA$76)&gt;=$S121),$V121,$U121)))=Milestones!$AB$76),UPPER(TEXT(EDATE($D121,Milestones!$AA$76),"dd mmm yy"))&amp;" "&amp;Milestones!$AB$76&amp;" "&amp;Milestones!$AC$76&amp;";  ","")&amp;IF(AND(EDATE($D121,Milestones!$AA$77)&lt;=AsOfDate,IF($R121=0,$X121,IF(AND($T121&lt;&gt;"",EDATE($D121,Milestones!$AA$77)&gt;=$T121),$W121,IF(AND($S121&lt;&gt;"",EDATE($D121,Milestones!$AA$77)&gt;=$S121),$V121,$U121)))=Milestones!$AB$77),UPPER(TEXT(EDATE($D121,Milestones!$AA$77),"dd mmm yy"))&amp;" "&amp;Milestones!$AB$77&amp;" "&amp;Milestones!$AC$77&amp;";  ","")&amp;IF(AND(EDATE($D121,Milestones!$AA$78)&lt;=AsOfDate,IF($R121=0,$X121,IF(AND($T121&lt;&gt;"",EDATE($D121,Milestones!$AA$78)&gt;=$T121),$W121,IF(AND($S121&lt;&gt;"",EDATE($D121,Milestones!$AA$78)&gt;=$S121),$V121,$U121)))=Milestones!$AB$78),UPPER(TEXT(EDATE($D121,Milestones!$AA$78),"dd mmm yy"))&amp;" "&amp;Milestones!$AB$78&amp;" "&amp;Milestones!$AC$78&amp;";  ","")&amp;IF(AND(EDATE($D121,Milestones!$AA$79)&lt;=AsOfDate,IF($R121=0,$X121,IF(AND($T121&lt;&gt;"",EDATE($D121,Milestones!$AA$79)&gt;=$T121),$W121,IF(AND($S121&lt;&gt;"",EDATE($D121,Milestones!$AA$79)&gt;=$S121),$V121,$U121)))=Milestones!$AB$79),UPPER(TEXT(EDATE($D121,Milestones!$AA$79),"dd mmm yy"))&amp;" "&amp;Milestones!$AB$79&amp;" "&amp;Milestones!$AC$79&amp;";  ",""))</f>
        <v/>
      </c>
      <c r="L121" s="0" t="str">
        <f aca="false">IF(OR($A121="",$D121=""),"",IF(AND(EDATE($D121,Milestones!$AA$80)&lt;=AsOfDate,IF($R121=0,$X121,IF(AND($T121&lt;&gt;"",EDATE($D121,Milestones!$AA$80)&gt;=$T121),$W121,IF(AND($S121&lt;&gt;"",EDATE($D121,Milestones!$AA$80)&gt;=$S121),$V121,$U121)))=Milestones!$AB$80),UPPER(TEXT(EDATE($D121,Milestones!$AA$80),"dd mmm yy"))&amp;" "&amp;Milestones!$AB$80&amp;" "&amp;Milestones!$AC$80&amp;";  ","")&amp;IF(AND(EDATE($D121,Milestones!$AA$81)&lt;=AsOfDate,IF($R121=0,$X121,IF(AND($T121&lt;&gt;"",EDATE($D121,Milestones!$AA$81)&gt;=$T121),$W121,IF(AND($S121&lt;&gt;"",EDATE($D121,Milestones!$AA$81)&gt;=$S121),$V121,$U121)))=Milestones!$AB$81),UPPER(TEXT(EDATE($D121,Milestones!$AA$81),"dd mmm yy"))&amp;" "&amp;Milestones!$AB$81&amp;" "&amp;Milestones!$AC$81&amp;";  ","")&amp;IF(AND(EDATE($D121,Milestones!$AA$82)&lt;=AsOfDate,IF($R121=0,$X121,IF(AND($T121&lt;&gt;"",EDATE($D121,Milestones!$AA$82)&gt;=$T121),$W121,IF(AND($S121&lt;&gt;"",EDATE($D121,Milestones!$AA$82)&gt;=$S121),$V121,$U121)))=Milestones!$AB$82),UPPER(TEXT(EDATE($D121,Milestones!$AA$82),"dd mmm yy"))&amp;" "&amp;Milestones!$AB$82&amp;" "&amp;Milestones!$AC$82&amp;";  ","")&amp;IF(AND(EDATE($D121,Milestones!$AA$83)&lt;=AsOfDate,IF($R121=0,$X121,IF(AND($T121&lt;&gt;"",EDATE($D121,Milestones!$AA$83)&gt;=$T121),$W121,IF(AND($S121&lt;&gt;"",EDATE($D121,Milestones!$AA$83)&gt;=$S121),$V121,$U121)))=Milestones!$AB$83),UPPER(TEXT(EDATE($D121,Milestones!$AA$83),"dd mmm yy"))&amp;" "&amp;Milestones!$AB$83&amp;" "&amp;Milestones!$AC$83&amp;";  ","")&amp;IF(AND(EDATE($D121,Milestones!$AA$84)&lt;=AsOfDate,IF($R121=0,$X121,IF(AND($T121&lt;&gt;"",EDATE($D121,Milestones!$AA$84)&gt;=$T121),$W121,IF(AND($S121&lt;&gt;"",EDATE($D121,Milestones!$AA$84)&gt;=$S121),$V121,$U121)))=Milestones!$AB$84),UPPER(TEXT(EDATE($D121,Milestones!$AA$84),"dd mmm yy"))&amp;" "&amp;Milestones!$AB$84&amp;" "&amp;Milestones!$AC$84&amp;";  ","")&amp;IF(AND(EDATE($D121,Milestones!$AA$85)&lt;=AsOfDate,IF($R121=0,$X121,IF(AND($T121&lt;&gt;"",EDATE($D121,Milestones!$AA$85)&gt;=$T121),$W121,IF(AND($S121&lt;&gt;"",EDATE($D121,Milestones!$AA$85)&gt;=$S121),$V121,$U121)))=Milestones!$AB$85),UPPER(TEXT(EDATE($D121,Milestones!$AA$85),"dd mmm yy"))&amp;" "&amp;Milestones!$AB$85&amp;" "&amp;Milestones!$AC$85&amp;";  ","")&amp;IF(AND(EDATE($D121,Milestones!$AA$86)&lt;=AsOfDate,IF($R121=0,$X121,IF(AND($T121&lt;&gt;"",EDATE($D121,Milestones!$AA$86)&gt;=$T121),$W121,IF(AND($S121&lt;&gt;"",EDATE($D121,Milestones!$AA$86)&gt;=$S121),$V121,$U121)))=Milestones!$AB$86),UPPER(TEXT(EDATE($D121,Milestones!$AA$86),"dd mmm yy"))&amp;" "&amp;Milestones!$AB$86&amp;" "&amp;Milestones!$AC$86&amp;";  ","")&amp;IF(AND(EDATE($D121,Milestones!$AA$87)&lt;=AsOfDate,IF($R121=0,$X121,IF(AND($T121&lt;&gt;"",EDATE($D121,Milestones!$AA$87)&gt;=$T121),$W121,IF(AND($S121&lt;&gt;"",EDATE($D121,Milestones!$AA$87)&gt;=$S121),$V121,$U121)))=Milestones!$AB$87),UPPER(TEXT(EDATE($D121,Milestones!$AA$87),"dd mmm yy"))&amp;" "&amp;Milestones!$AB$87&amp;" "&amp;Milestones!$AC$87&amp;";  ","")&amp;IF(AND(EDATE($D121,Milestones!$AA$88)&lt;=AsOfDate,IF($R121=0,$X121,IF(AND($T121&lt;&gt;"",EDATE($D121,Milestones!$AA$88)&gt;=$T121),$W121,IF(AND($S121&lt;&gt;"",EDATE($D121,Milestones!$AA$88)&gt;=$S121),$V121,$U121)))=Milestones!$AB$88),UPPER(TEXT(EDATE($D121,Milestones!$AA$88),"dd mmm yy"))&amp;" "&amp;Milestones!$AB$88&amp;" "&amp;Milestones!$AC$88&amp;";  ","")&amp;IF(AND(EDATE($D121,Milestones!$AA$89)&lt;=AsOfDate,IF($R121=0,$X121,IF(AND($T121&lt;&gt;"",EDATE($D121,Milestones!$AA$89)&gt;=$T121),$W121,IF(AND($S121&lt;&gt;"",EDATE($D121,Milestones!$AA$89)&gt;=$S121),$V121,$U121)))=Milestones!$AB$89),UPPER(TEXT(EDATE($D121,Milestones!$AA$89),"dd mmm yy"))&amp;" "&amp;Milestones!$AB$89&amp;" "&amp;Milestones!$AC$89&amp;";  ","")&amp;IF(AND(EDATE($D121,Milestones!$AA$90)&lt;=AsOfDate,IF($R121=0,$X121,IF(AND($T121&lt;&gt;"",EDATE($D121,Milestones!$AA$90)&gt;=$T121),$W121,IF(AND($S121&lt;&gt;"",EDATE($D121,Milestones!$AA$90)&gt;=$S121),$V121,$U121)))=Milestones!$AB$90),UPPER(TEXT(EDATE($D121,Milestones!$AA$90),"dd mmm yy"))&amp;" "&amp;Milestones!$AB$90&amp;" "&amp;Milestones!$AC$90&amp;";  ","")&amp;IF(AND(EDATE($D121,Milestones!$AA$91)&lt;=AsOfDate,IF($R121=0,$X121,IF(AND($T121&lt;&gt;"",EDATE($D121,Milestones!$AA$91)&gt;=$T121),$W121,IF(AND($S121&lt;&gt;"",EDATE($D121,Milestones!$AA$91)&gt;=$S121),$V121,$U121)))=Milestones!$AB$91),UPPER(TEXT(EDATE($D121,Milestones!$AA$91),"dd mmm yy"))&amp;" "&amp;Milestones!$AB$91&amp;" "&amp;Milestones!$AC$91&amp;";  ","")&amp;IF(AND(EDATE($D121,Milestones!$AA$92)&lt;=AsOfDate,IF($R121=0,$X121,IF(AND($T121&lt;&gt;"",EDATE($D121,Milestones!$AA$92)&gt;=$T121),$W121,IF(AND($S121&lt;&gt;"",EDATE($D121,Milestones!$AA$92)&gt;=$S121),$V121,$U121)))=Milestones!$AB$92),UPPER(TEXT(EDATE($D121,Milestones!$AA$92),"dd mmm yy"))&amp;" "&amp;Milestones!$AB$92&amp;" "&amp;Milestones!$AC$92&amp;";  ","")&amp;IF(AND(EDATE($D121,Milestones!$AA$93)&lt;=AsOfDate,IF($R121=0,$X121,IF(AND($T121&lt;&gt;"",EDATE($D121,Milestones!$AA$93)&gt;=$T121),$W121,IF(AND($S121&lt;&gt;"",EDATE($D121,Milestones!$AA$93)&gt;=$S121),$V121,$U121)))=Milestones!$AB$93),UPPER(TEXT(EDATE($D121,Milestones!$AA$93),"dd mmm yy"))&amp;" "&amp;Milestones!$AB$93&amp;" "&amp;Milestones!$AC$93&amp;";  ","")&amp;IF(AND(EDATE($D121,Milestones!$AA$94)&lt;=AsOfDate,IF($R121=0,$X121,IF(AND($T121&lt;&gt;"",EDATE($D121,Milestones!$AA$94)&gt;=$T121),$W121,IF(AND($S121&lt;&gt;"",EDATE($D121,Milestones!$AA$94)&gt;=$S121),$V121,$U121)))=Milestones!$AB$94),UPPER(TEXT(EDATE($D121,Milestones!$AA$94),"dd mmm yy"))&amp;" "&amp;Milestones!$AB$94&amp;" "&amp;Milestones!$AC$94&amp;";  ","")&amp;IF(AND(EDATE($D121,Milestones!$AA$95)&lt;=AsOfDate,IF($R121=0,$X121,IF(AND($T121&lt;&gt;"",EDATE($D121,Milestones!$AA$95)&gt;=$T121),$W121,IF(AND($S121&lt;&gt;"",EDATE($D121,Milestones!$AA$95)&gt;=$S121),$V121,$U121)))=Milestones!$AB$95),UPPER(TEXT(EDATE($D121,Milestones!$AA$95),"dd mmm yy"))&amp;" "&amp;Milestones!$AB$95&amp;" "&amp;Milestones!$AC$95&amp;";  ","")&amp;IF(AND(EDATE($D121,Milestones!$AA$96)&lt;=AsOfDate,IF($R121=0,$X121,IF(AND($T121&lt;&gt;"",EDATE($D121,Milestones!$AA$96)&gt;=$T121),$W121,IF(AND($S121&lt;&gt;"",EDATE($D121,Milestones!$AA$96)&gt;=$S121),$V121,$U121)))=Milestones!$AB$96),UPPER(TEXT(EDATE($D121,Milestones!$AA$96),"dd mmm yy"))&amp;" "&amp;Milestones!$AB$96&amp;" "&amp;Milestones!$AC$96&amp;";  ","")&amp;IF(AND(EDATE($D121,Milestones!$AA$97)&lt;=AsOfDate,IF($R121=0,$X121,IF(AND($T121&lt;&gt;"",EDATE($D121,Milestones!$AA$97)&gt;=$T121),$W121,IF(AND($S121&lt;&gt;"",EDATE($D121,Milestones!$AA$97)&gt;=$S121),$V121,$U121)))=Milestones!$AB$97),UPPER(TEXT(EDATE($D121,Milestones!$AA$97),"dd mmm yy"))&amp;" "&amp;Milestones!$AB$97&amp;" "&amp;Milestones!$AC$97&amp;";  ","")&amp;IF(AND(EDATE($D121,Milestones!$AA$98)&lt;=AsOfDate,IF($R121=0,$X121,IF(AND($T121&lt;&gt;"",EDATE($D121,Milestones!$AA$98)&gt;=$T121),$W121,IF(AND($S121&lt;&gt;"",EDATE($D121,Milestones!$AA$98)&gt;=$S121),$V121,$U121)))=Milestones!$AB$98),UPPER(TEXT(EDATE($D121,Milestones!$AA$98),"dd mmm yy"))&amp;" "&amp;Milestones!$AB$98&amp;" "&amp;Milestones!$AC$98&amp;";  ","")&amp;IF(AND(EDATE($D121,Milestones!$AA$99)&lt;=AsOfDate,IF($R121=0,$X121,IF(AND($T121&lt;&gt;"",EDATE($D121,Milestones!$AA$99)&gt;=$T121),$W121,IF(AND($S121&lt;&gt;"",EDATE($D121,Milestones!$AA$99)&gt;=$S121),$V121,$U121)))=Milestones!$AB$99),UPPER(TEXT(EDATE($D121,Milestones!$AA$99),"dd mmm yy"))&amp;" "&amp;Milestones!$AB$99&amp;" "&amp;Milestones!$AC$99&amp;";  ",""))</f>
        <v/>
      </c>
      <c r="M121" s="0" t="str">
        <f aca="false">IF(OR($A121="",$D121=""),"",IF(AND(EDATE($D121,Milestones!$AA$100)&lt;=AsOfDate,IF($R121=0,$X121,IF(AND($T121&lt;&gt;"",EDATE($D121,Milestones!$AA$100)&gt;=$T121),$W121,IF(AND($S121&lt;&gt;"",EDATE($D121,Milestones!$AA$100)&gt;=$S121),$V121,$U121)))=Milestones!$AB$100),UPPER(TEXT(EDATE($D121,Milestones!$AA$100),"dd mmm yy"))&amp;" "&amp;Milestones!$AB$100&amp;" "&amp;Milestones!$AC$100&amp;";  ","")&amp;IF(AND(EDATE($D121,Milestones!$AA$101)&lt;=AsOfDate,IF($R121=0,$X121,IF(AND($T121&lt;&gt;"",EDATE($D121,Milestones!$AA$101)&gt;=$T121),$W121,IF(AND($S121&lt;&gt;"",EDATE($D121,Milestones!$AA$101)&gt;=$S121),$V121,$U121)))=Milestones!$AB$101),UPPER(TEXT(EDATE($D121,Milestones!$AA$101),"dd mmm yy"))&amp;" "&amp;Milestones!$AB$101&amp;" "&amp;Milestones!$AC$101&amp;";  ","")&amp;IF(AND(EDATE($D121,Milestones!$AA$102)&lt;=AsOfDate,IF($R121=0,$X121,IF(AND($T121&lt;&gt;"",EDATE($D121,Milestones!$AA$102)&gt;=$T121),$W121,IF(AND($S121&lt;&gt;"",EDATE($D121,Milestones!$AA$102)&gt;=$S121),$V121,$U121)))=Milestones!$AB$102),UPPER(TEXT(EDATE($D121,Milestones!$AA$102),"dd mmm yy"))&amp;" "&amp;Milestones!$AB$102&amp;" "&amp;Milestones!$AC$102&amp;";  ","")&amp;IF(AND(EDATE($D121,Milestones!$AA$103)&lt;=AsOfDate,IF($R121=0,$X121,IF(AND($T121&lt;&gt;"",EDATE($D121,Milestones!$AA$103)&gt;=$T121),$W121,IF(AND($S121&lt;&gt;"",EDATE($D121,Milestones!$AA$103)&gt;=$S121),$V121,$U121)))=Milestones!$AB$103),UPPER(TEXT(EDATE($D121,Milestones!$AA$103),"dd mmm yy"))&amp;" "&amp;Milestones!$AB$103&amp;" "&amp;Milestones!$AC$103&amp;";  ","")&amp;IF(AND(EDATE($D121,Milestones!$AA$104)&lt;=AsOfDate,IF($R121=0,$X121,IF(AND($T121&lt;&gt;"",EDATE($D121,Milestones!$AA$104)&gt;=$T121),$W121,IF(AND($S121&lt;&gt;"",EDATE($D121,Milestones!$AA$104)&gt;=$S121),$V121,$U121)))=Milestones!$AB$104),UPPER(TEXT(EDATE($D121,Milestones!$AA$104),"dd mmm yy"))&amp;" "&amp;Milestones!$AB$104&amp;" "&amp;Milestones!$AC$104&amp;";  ","")&amp;IF(AND(EDATE($D121,Milestones!$AA$105)&lt;=AsOfDate,IF($R121=0,$X121,IF(AND($T121&lt;&gt;"",EDATE($D121,Milestones!$AA$105)&gt;=$T121),$W121,IF(AND($S121&lt;&gt;"",EDATE($D121,Milestones!$AA$105)&gt;=$S121),$V121,$U121)))=Milestones!$AB$105),UPPER(TEXT(EDATE($D121,Milestones!$AA$105),"dd mmm yy"))&amp;" "&amp;Milestones!$AB$105&amp;" "&amp;Milestones!$AC$105&amp;";  ","")&amp;IF(AND(EDATE($D121,Milestones!$AA$106)&lt;=AsOfDate,IF($R121=0,$X121,IF(AND($T121&lt;&gt;"",EDATE($D121,Milestones!$AA$106)&gt;=$T121),$W121,IF(AND($S121&lt;&gt;"",EDATE($D121,Milestones!$AA$106)&gt;=$S121),$V121,$U121)))=Milestones!$AB$106),UPPER(TEXT(EDATE($D121,Milestones!$AA$106),"dd mmm yy"))&amp;" "&amp;Milestones!$AB$106&amp;" "&amp;Milestones!$AC$106&amp;";  ","")&amp;IF(AND(EDATE($D121,Milestones!$AA$107)&lt;=AsOfDate,IF($R121=0,$X121,IF(AND($T121&lt;&gt;"",EDATE($D121,Milestones!$AA$107)&gt;=$T121),$W121,IF(AND($S121&lt;&gt;"",EDATE($D121,Milestones!$AA$107)&gt;=$S121),$V121,$U121)))=Milestones!$AB$107),UPPER(TEXT(EDATE($D121,Milestones!$AA$107),"dd mmm yy"))&amp;" "&amp;Milestones!$AB$107&amp;" "&amp;Milestones!$AC$107&amp;";  ","")&amp;IF(AND(EDATE($D121,Milestones!$AA$108)&lt;=AsOfDate,IF($R121=0,$X121,IF(AND($T121&lt;&gt;"",EDATE($D121,Milestones!$AA$108)&gt;=$T121),$W121,IF(AND($S121&lt;&gt;"",EDATE($D121,Milestones!$AA$108)&gt;=$S121),$V121,$U121)))=Milestones!$AB$108),UPPER(TEXT(EDATE($D121,Milestones!$AA$108),"dd mmm yy"))&amp;" "&amp;Milestones!$AB$108&amp;" "&amp;Milestones!$AC$108&amp;";  ","")&amp;IF(AND(EDATE($D121,Milestones!$AA$109)&lt;=AsOfDate,IF($R121=0,$X121,IF(AND($T121&lt;&gt;"",EDATE($D121,Milestones!$AA$109)&gt;=$T121),$W121,IF(AND($S121&lt;&gt;"",EDATE($D121,Milestones!$AA$109)&gt;=$S121),$V121,$U121)))=Milestones!$AB$109),UPPER(TEXT(EDATE($D121,Milestones!$AA$109),"dd mmm yy"))&amp;" "&amp;Milestones!$AB$109&amp;" "&amp;Milestones!$AC$109&amp;";  ","")&amp;IF(AND(EDATE($D121,Milestones!$AA$110)&lt;=AsOfDate,IF($R121=0,$X121,IF(AND($T121&lt;&gt;"",EDATE($D121,Milestones!$AA$110)&gt;=$T121),$W121,IF(AND($S121&lt;&gt;"",EDATE($D121,Milestones!$AA$110)&gt;=$S121),$V121,$U121)))=Milestones!$AB$110),UPPER(TEXT(EDATE($D121,Milestones!$AA$110),"dd mmm yy"))&amp;" "&amp;Milestones!$AB$110&amp;" "&amp;Milestones!$AC$110&amp;";  ","")&amp;IF(AND(EDATE($D121,Milestones!$AA$111)&lt;=AsOfDate,IF($R121=0,$X121,IF(AND($T121&lt;&gt;"",EDATE($D121,Milestones!$AA$111)&gt;=$T121),$W121,IF(AND($S121&lt;&gt;"",EDATE($D121,Milestones!$AA$111)&gt;=$S121),$V121,$U121)))=Milestones!$AB$111),UPPER(TEXT(EDATE($D121,Milestones!$AA$111),"dd mmm yy"))&amp;" "&amp;Milestones!$AB$111&amp;" "&amp;Milestones!$AC$111&amp;";  ","")&amp;IF(AND(EDATE($D121,Milestones!$AA$112)&lt;=AsOfDate,IF($R121=0,$X121,IF(AND($T121&lt;&gt;"",EDATE($D121,Milestones!$AA$112)&gt;=$T121),$W121,IF(AND($S121&lt;&gt;"",EDATE($D121,Milestones!$AA$112)&gt;=$S121),$V121,$U121)))=Milestones!$AB$112),UPPER(TEXT(EDATE($D121,Milestones!$AA$112),"dd mmm yy"))&amp;" "&amp;Milestones!$AB$112&amp;" "&amp;Milestones!$AC$112&amp;";  ","")&amp;IF(AND(EDATE($D121,Milestones!$AA$113)&lt;=AsOfDate,IF($R121=0,$X121,IF(AND($T121&lt;&gt;"",EDATE($D121,Milestones!$AA$113)&gt;=$T121),$W121,IF(AND($S121&lt;&gt;"",EDATE($D121,Milestones!$AA$113)&gt;=$S121),$V121,$U121)))=Milestones!$AB$113),UPPER(TEXT(EDATE($D121,Milestones!$AA$113),"dd mmm yy"))&amp;" "&amp;Milestones!$AB$113&amp;" "&amp;Milestones!$AC$113&amp;";  ","")&amp;IF(AND(EDATE($D121,Milestones!$AA$114)&lt;=AsOfDate,IF($R121=0,$X121,IF(AND($T121&lt;&gt;"",EDATE($D121,Milestones!$AA$114)&gt;=$T121),$W121,IF(AND($S121&lt;&gt;"",EDATE($D121,Milestones!$AA$114)&gt;=$S121),$V121,$U121)))=Milestones!$AB$114),UPPER(TEXT(EDATE($D121,Milestones!$AA$114),"dd mmm yy"))&amp;" "&amp;Milestones!$AB$114&amp;" "&amp;Milestones!$AC$114&amp;";  ","")&amp;IF(AND(EDATE($D121,Milestones!$AA$115)&lt;=AsOfDate,IF($R121=0,$X121,IF(AND($T121&lt;&gt;"",EDATE($D121,Milestones!$AA$115)&gt;=$T121),$W121,IF(AND($S121&lt;&gt;"",EDATE($D121,Milestones!$AA$115)&gt;=$S121),$V121,$U121)))=Milestones!$AB$115),UPPER(TEXT(EDATE($D121,Milestones!$AA$115),"dd mmm yy"))&amp;" "&amp;Milestones!$AB$115&amp;" "&amp;Milestones!$AC$115&amp;";  ","")&amp;IF(AND(EDATE($D121,Milestones!$AA$116)&lt;=AsOfDate,IF($R121=0,$X121,IF(AND($T121&lt;&gt;"",EDATE($D121,Milestones!$AA$116)&gt;=$T121),$W121,IF(AND($S121&lt;&gt;"",EDATE($D121,Milestones!$AA$116)&gt;=$S121),$V121,$U121)))=Milestones!$AB$116),UPPER(TEXT(EDATE($D121,Milestones!$AA$116),"dd mmm yy"))&amp;" "&amp;Milestones!$AB$116&amp;" "&amp;Milestones!$AC$116&amp;";  ","")&amp;IF(AND(EDATE($D121,Milestones!$AA$117)&lt;=AsOfDate,IF($R121=0,$X121,IF(AND($T121&lt;&gt;"",EDATE($D121,Milestones!$AA$117)&gt;=$T121),$W121,IF(AND($S121&lt;&gt;"",EDATE($D121,Milestones!$AA$117)&gt;=$S121),$V121,$U121)))=Milestones!$AB$117),UPPER(TEXT(EDATE($D121,Milestones!$AA$117),"dd mmm yy"))&amp;" "&amp;Milestones!$AB$117&amp;" "&amp;Milestones!$AC$117&amp;";  ","")&amp;IF(AND(EDATE($D121,Milestones!$AA$118)&lt;=AsOfDate,IF($R121=0,$X121,IF(AND($T121&lt;&gt;"",EDATE($D121,Milestones!$AA$118)&gt;=$T121),$W121,IF(AND($S121&lt;&gt;"",EDATE($D121,Milestones!$AA$118)&gt;=$S121),$V121,$U121)))=Milestones!$AB$118),UPPER(TEXT(EDATE($D121,Milestones!$AA$118),"dd mmm yy"))&amp;" "&amp;Milestones!$AB$118&amp;" "&amp;Milestones!$AC$118&amp;";  ","")&amp;IF(AND(EDATE($D121,Milestones!$AA$119)&lt;=AsOfDate,IF($R121=0,$X121,IF(AND($T121&lt;&gt;"",EDATE($D121,Milestones!$AA$119)&gt;=$T121),$W121,IF(AND($S121&lt;&gt;"",EDATE($D121,Milestones!$AA$119)&gt;=$S121),$V121,$U121)))=Milestones!$AB$119),UPPER(TEXT(EDATE($D121,Milestones!$AA$119),"dd mmm yy"))&amp;" "&amp;Milestones!$AB$119&amp;" "&amp;Milestones!$AC$119&amp;";  ",""))</f>
        <v/>
      </c>
      <c r="N121" s="0" t="str">
        <f aca="false">IF(OR($A121="",$D121=""),"",IF(AND(EDATE($D121,Milestones!$AA$120)&lt;=AsOfDate,IF($R121=0,$X121,IF(AND($T121&lt;&gt;"",EDATE($D121,Milestones!$AA$120)&gt;=$T121),$W121,IF(AND($S121&lt;&gt;"",EDATE($D121,Milestones!$AA$120)&gt;=$S121),$V121,$U121)))=Milestones!$AB$120),UPPER(TEXT(EDATE($D121,Milestones!$AA$120),"dd mmm yy"))&amp;" "&amp;Milestones!$AB$120&amp;" "&amp;Milestones!$AC$120&amp;";  ","")&amp;IF(AND(EDATE($D121,Milestones!$AA$121)&lt;=AsOfDate,IF($R121=0,$X121,IF(AND($T121&lt;&gt;"",EDATE($D121,Milestones!$AA$121)&gt;=$T121),$W121,IF(AND($S121&lt;&gt;"",EDATE($D121,Milestones!$AA$121)&gt;=$S121),$V121,$U121)))=Milestones!$AB$121),UPPER(TEXT(EDATE($D121,Milestones!$AA$121),"dd mmm yy"))&amp;" "&amp;Milestones!$AB$121&amp;" "&amp;Milestones!$AC$121&amp;";  ","")&amp;IF(AND(EDATE($D121,Milestones!$AA$122)&lt;=AsOfDate,IF($R121=0,$X121,IF(AND($T121&lt;&gt;"",EDATE($D121,Milestones!$AA$122)&gt;=$T121),$W121,IF(AND($S121&lt;&gt;"",EDATE($D121,Milestones!$AA$122)&gt;=$S121),$V121,$U121)))=Milestones!$AB$122),UPPER(TEXT(EDATE($D121,Milestones!$AA$122),"dd mmm yy"))&amp;" "&amp;Milestones!$AB$122&amp;" "&amp;Milestones!$AC$122&amp;";  ","")&amp;IF(AND(EDATE($D121,Milestones!$AA$123)&lt;=AsOfDate,IF($R121=0,$X121,IF(AND($T121&lt;&gt;"",EDATE($D121,Milestones!$AA$123)&gt;=$T121),$W121,IF(AND($S121&lt;&gt;"",EDATE($D121,Milestones!$AA$123)&gt;=$S121),$V121,$U121)))=Milestones!$AB$123),UPPER(TEXT(EDATE($D121,Milestones!$AA$123),"dd mmm yy"))&amp;" "&amp;Milestones!$AB$123&amp;" "&amp;Milestones!$AC$123&amp;";  ","")&amp;IF(AND(EDATE($D121,Milestones!$AA$124)&lt;=AsOfDate,IF($R121=0,$X121,IF(AND($T121&lt;&gt;"",EDATE($D121,Milestones!$AA$124)&gt;=$T121),$W121,IF(AND($S121&lt;&gt;"",EDATE($D121,Milestones!$AA$124)&gt;=$S121),$V121,$U121)))=Milestones!$AB$124),UPPER(TEXT(EDATE($D121,Milestones!$AA$124),"dd mmm yy"))&amp;" "&amp;Milestones!$AB$124&amp;" "&amp;Milestones!$AC$124&amp;";  ","")&amp;IF(AND(EDATE($D121,Milestones!$AA$125)&lt;=AsOfDate,IF($R121=0,$X121,IF(AND($T121&lt;&gt;"",EDATE($D121,Milestones!$AA$125)&gt;=$T121),$W121,IF(AND($S121&lt;&gt;"",EDATE($D121,Milestones!$AA$125)&gt;=$S121),$V121,$U121)))=Milestones!$AB$125),UPPER(TEXT(EDATE($D121,Milestones!$AA$125),"dd mmm yy"))&amp;" "&amp;Milestones!$AB$125&amp;" "&amp;Milestones!$AC$125&amp;";  ","")&amp;IF(AND(EDATE($D121,Milestones!$AA$126)&lt;=AsOfDate,IF($R121=0,$X121,IF(AND($T121&lt;&gt;"",EDATE($D121,Milestones!$AA$126)&gt;=$T121),$W121,IF(AND($S121&lt;&gt;"",EDATE($D121,Milestones!$AA$126)&gt;=$S121),$V121,$U121)))=Milestones!$AB$126),UPPER(TEXT(EDATE($D121,Milestones!$AA$126),"dd mmm yy"))&amp;" "&amp;Milestones!$AB$126&amp;" "&amp;Milestones!$AC$126&amp;";  ","")&amp;IF(AND(EDATE($D121,Milestones!$AA$127)&lt;=AsOfDate,IF($R121=0,$X121,IF(AND($T121&lt;&gt;"",EDATE($D121,Milestones!$AA$127)&gt;=$T121),$W121,IF(AND($S121&lt;&gt;"",EDATE($D121,Milestones!$AA$127)&gt;=$S121),$V121,$U121)))=Milestones!$AB$127),UPPER(TEXT(EDATE($D121,Milestones!$AA$127),"dd mmm yy"))&amp;" "&amp;Milestones!$AB$127&amp;" "&amp;Milestones!$AC$127&amp;";  ","")&amp;IF(AND(EDATE($D121,Milestones!$AA$128)&lt;=AsOfDate,IF($R121=0,$X121,IF(AND($T121&lt;&gt;"",EDATE($D121,Milestones!$AA$128)&gt;=$T121),$W121,IF(AND($S121&lt;&gt;"",EDATE($D121,Milestones!$AA$128)&gt;=$S121),$V121,$U121)))=Milestones!$AB$128),UPPER(TEXT(EDATE($D121,Milestones!$AA$128),"dd mmm yy"))&amp;" "&amp;Milestones!$AB$128&amp;" "&amp;Milestones!$AC$128&amp;";  ","")&amp;IF(AND(EDATE($D121,Milestones!$AA$129)&lt;=AsOfDate,IF($R121=0,$X121,IF(AND($T121&lt;&gt;"",EDATE($D121,Milestones!$AA$129)&gt;=$T121),$W121,IF(AND($S121&lt;&gt;"",EDATE($D121,Milestones!$AA$129)&gt;=$S121),$V121,$U121)))=Milestones!$AB$129),UPPER(TEXT(EDATE($D121,Milestones!$AA$129),"dd mmm yy"))&amp;" "&amp;Milestones!$AB$129&amp;" "&amp;Milestones!$AC$129&amp;";  ","")&amp;IF(AND(EDATE($D121,Milestones!$AA$130)&lt;=AsOfDate,IF($R121=0,$X121,IF(AND($T121&lt;&gt;"",EDATE($D121,Milestones!$AA$130)&gt;=$T121),$W121,IF(AND($S121&lt;&gt;"",EDATE($D121,Milestones!$AA$130)&gt;=$S121),$V121,$U121)))=Milestones!$AB$130),UPPER(TEXT(EDATE($D121,Milestones!$AA$130),"dd mmm yy"))&amp;" "&amp;Milestones!$AB$130&amp;" "&amp;Milestones!$AC$130&amp;";  ","")&amp;IF(AND(EDATE($D121,Milestones!$AA$131)&lt;=AsOfDate,IF($R121=0,$X121,IF(AND($T121&lt;&gt;"",EDATE($D121,Milestones!$AA$131)&gt;=$T121),$W121,IF(AND($S121&lt;&gt;"",EDATE($D121,Milestones!$AA$131)&gt;=$S121),$V121,$U121)))=Milestones!$AB$131),UPPER(TEXT(EDATE($D121,Milestones!$AA$131),"dd mmm yy"))&amp;" "&amp;Milestones!$AB$131&amp;" "&amp;Milestones!$AC$131&amp;";  ","")&amp;IF(AND(EDATE($D121,Milestones!$AA$132)&lt;=AsOfDate,IF($R121=0,$X121,IF(AND($T121&lt;&gt;"",EDATE($D121,Milestones!$AA$132)&gt;=$T121),$W121,IF(AND($S121&lt;&gt;"",EDATE($D121,Milestones!$AA$132)&gt;=$S121),$V121,$U121)))=Milestones!$AB$132),UPPER(TEXT(EDATE($D121,Milestones!$AA$132),"dd mmm yy"))&amp;" "&amp;Milestones!$AB$132&amp;" "&amp;Milestones!$AC$132&amp;";  ","")&amp;IF(AND(EDATE($D121,Milestones!$AA$133)&lt;=AsOfDate,IF($R121=0,$X121,IF(AND($T121&lt;&gt;"",EDATE($D121,Milestones!$AA$133)&gt;=$T121),$W121,IF(AND($S121&lt;&gt;"",EDATE($D121,Milestones!$AA$133)&gt;=$S121),$V121,$U121)))=Milestones!$AB$133),UPPER(TEXT(EDATE($D121,Milestones!$AA$133),"dd mmm yy"))&amp;" "&amp;Milestones!$AB$133&amp;" "&amp;Milestones!$AC$133&amp;";  ","")&amp;IF(AND(EDATE($D121,Milestones!$AA$134)&lt;=AsOfDate,IF($R121=0,$X121,IF(AND($T121&lt;&gt;"",EDATE($D121,Milestones!$AA$134)&gt;=$T121),$W121,IF(AND($S121&lt;&gt;"",EDATE($D121,Milestones!$AA$134)&gt;=$S121),$V121,$U121)))=Milestones!$AB$134),UPPER(TEXT(EDATE($D121,Milestones!$AA$134),"dd mmm yy"))&amp;" "&amp;Milestones!$AB$134&amp;" "&amp;Milestones!$AC$134&amp;";  ","")&amp;IF(AND(EDATE($D121,Milestones!$AA$135)&lt;=AsOfDate,IF($R121=0,$X121,IF(AND($T121&lt;&gt;"",EDATE($D121,Milestones!$AA$135)&gt;=$T121),$W121,IF(AND($S121&lt;&gt;"",EDATE($D121,Milestones!$AA$135)&gt;=$S121),$V121,$U121)))=Milestones!$AB$135),UPPER(TEXT(EDATE($D121,Milestones!$AA$135),"dd mmm yy"))&amp;" "&amp;Milestones!$AB$135&amp;" "&amp;Milestones!$AC$135&amp;";  ","")&amp;IF(AND(EDATE($D121,Milestones!$AA$136)&lt;=AsOfDate,IF($R121=0,$X121,IF(AND($T121&lt;&gt;"",EDATE($D121,Milestones!$AA$136)&gt;=$T121),$W121,IF(AND($S121&lt;&gt;"",EDATE($D121,Milestones!$AA$136)&gt;=$S121),$V121,$U121)))=Milestones!$AB$136),UPPER(TEXT(EDATE($D121,Milestones!$AA$136),"dd mmm yy"))&amp;" "&amp;Milestones!$AB$136&amp;" "&amp;Milestones!$AC$136&amp;";  ","")&amp;IF(AND(EDATE($D121,Milestones!$AA$137)&lt;=AsOfDate,IF($R121=0,$X121,IF(AND($T121&lt;&gt;"",EDATE($D121,Milestones!$AA$137)&gt;=$T121),$W121,IF(AND($S121&lt;&gt;"",EDATE($D121,Milestones!$AA$137)&gt;=$S121),$V121,$U121)))=Milestones!$AB$137),UPPER(TEXT(EDATE($D121,Milestones!$AA$137),"dd mmm yy"))&amp;" "&amp;Milestones!$AB$137&amp;" "&amp;Milestones!$AC$137&amp;";  ","")&amp;IF(AND(EDATE($D121,Milestones!$AA$138)&lt;=AsOfDate,IF($R121=0,$X121,IF(AND($T121&lt;&gt;"",EDATE($D121,Milestones!$AA$138)&gt;=$T121),$W121,IF(AND($S121&lt;&gt;"",EDATE($D121,Milestones!$AA$138)&gt;=$S121),$V121,$U121)))=Milestones!$AB$138),UPPER(TEXT(EDATE($D121,Milestones!$AA$138),"dd mmm yy"))&amp;" "&amp;Milestones!$AB$138&amp;" "&amp;Milestones!$AC$138&amp;";  ","")&amp;IF(AND(EDATE($D121,Milestones!$AA$139)&lt;=AsOfDate,IF($R121=0,$X121,IF(AND($T121&lt;&gt;"",EDATE($D121,Milestones!$AA$139)&gt;=$T121),$W121,IF(AND($S121&lt;&gt;"",EDATE($D121,Milestones!$AA$139)&gt;=$S121),$V121,$U121)))=Milestones!$AB$139),UPPER(TEXT(EDATE($D121,Milestones!$AA$139),"dd mmm yy"))&amp;" "&amp;Milestones!$AB$139&amp;" "&amp;Milestones!$AC$139&amp;";  ",""))</f>
        <v/>
      </c>
      <c r="O121" s="0" t="str">
        <f aca="false">IF(OR($A121="",$D121=""),"",IF(AND(EDATE($D121,Milestones!$AA$140)&lt;=AsOfDate,IF($R121=0,$X121,IF(AND($T121&lt;&gt;"",EDATE($D121,Milestones!$AA$140)&gt;=$T121),$W121,IF(AND($S121&lt;&gt;"",EDATE($D121,Milestones!$AA$140)&gt;=$S121),$V121,$U121)))=Milestones!$AB$140),UPPER(TEXT(EDATE($D121,Milestones!$AA$140),"dd mmm yy"))&amp;" "&amp;Milestones!$AB$140&amp;" "&amp;Milestones!$AC$140&amp;";  ","")&amp;IF(AND(EDATE($D121,Milestones!$AA$141)&lt;=AsOfDate,IF($R121=0,$X121,IF(AND($T121&lt;&gt;"",EDATE($D121,Milestones!$AA$141)&gt;=$T121),$W121,IF(AND($S121&lt;&gt;"",EDATE($D121,Milestones!$AA$141)&gt;=$S121),$V121,$U121)))=Milestones!$AB$141),UPPER(TEXT(EDATE($D121,Milestones!$AA$141),"dd mmm yy"))&amp;" "&amp;Milestones!$AB$141&amp;" "&amp;Milestones!$AC$141&amp;";  ","")&amp;IF(AND(EDATE($D121,Milestones!$AA$142)&lt;=AsOfDate,IF($R121=0,$X121,IF(AND($T121&lt;&gt;"",EDATE($D121,Milestones!$AA$142)&gt;=$T121),$W121,IF(AND($S121&lt;&gt;"",EDATE($D121,Milestones!$AA$142)&gt;=$S121),$V121,$U121)))=Milestones!$AB$142),UPPER(TEXT(EDATE($D121,Milestones!$AA$142),"dd mmm yy"))&amp;" "&amp;Milestones!$AB$142&amp;" "&amp;Milestones!$AC$142&amp;";  ","")&amp;IF(AND(EDATE($D121,Milestones!$AA$143)&lt;=AsOfDate,IF($R121=0,$X121,IF(AND($T121&lt;&gt;"",EDATE($D121,Milestones!$AA$143)&gt;=$T121),$W121,IF(AND($S121&lt;&gt;"",EDATE($D121,Milestones!$AA$143)&gt;=$S121),$V121,$U121)))=Milestones!$AB$143),UPPER(TEXT(EDATE($D121,Milestones!$AA$143),"dd mmm yy"))&amp;" "&amp;Milestones!$AB$143&amp;" "&amp;Milestones!$AC$143&amp;";  ","")&amp;IF(AND(EDATE($D121,Milestones!$AA$144)&lt;=AsOfDate,IF($R121=0,$X121,IF(AND($T121&lt;&gt;"",EDATE($D121,Milestones!$AA$144)&gt;=$T121),$W121,IF(AND($S121&lt;&gt;"",EDATE($D121,Milestones!$AA$144)&gt;=$S121),$V121,$U121)))=Milestones!$AB$144),UPPER(TEXT(EDATE($D121,Milestones!$AA$144),"dd mmm yy"))&amp;" "&amp;Milestones!$AB$144&amp;" "&amp;Milestones!$AC$144&amp;";  ","")&amp;IF(AND(EDATE($D121,Milestones!$AA$145)&lt;=AsOfDate,IF($R121=0,$X121,IF(AND($T121&lt;&gt;"",EDATE($D121,Milestones!$AA$145)&gt;=$T121),$W121,IF(AND($S121&lt;&gt;"",EDATE($D121,Milestones!$AA$145)&gt;=$S121),$V121,$U121)))=Milestones!$AB$145),UPPER(TEXT(EDATE($D121,Milestones!$AA$145),"dd mmm yy"))&amp;" "&amp;Milestones!$AB$145&amp;" "&amp;Milestones!$AC$145&amp;";  ","")&amp;IF(AND(EDATE($D121,Milestones!$AA$146)&lt;=AsOfDate,IF($R121=0,$X121,IF(AND($T121&lt;&gt;"",EDATE($D121,Milestones!$AA$146)&gt;=$T121),$W121,IF(AND($S121&lt;&gt;"",EDATE($D121,Milestones!$AA$146)&gt;=$S121),$V121,$U121)))=Milestones!$AB$146),UPPER(TEXT(EDATE($D121,Milestones!$AA$146),"dd mmm yy"))&amp;" "&amp;Milestones!$AB$146&amp;" "&amp;Milestones!$AC$146&amp;";  ","")&amp;IF(AND(EDATE($D121,Milestones!$AA$147)&lt;=AsOfDate,IF($R121=0,$X121,IF(AND($T121&lt;&gt;"",EDATE($D121,Milestones!$AA$147)&gt;=$T121),$W121,IF(AND($S121&lt;&gt;"",EDATE($D121,Milestones!$AA$147)&gt;=$S121),$V121,$U121)))=Milestones!$AB$147),UPPER(TEXT(EDATE($D121,Milestones!$AA$147),"dd mmm yy"))&amp;" "&amp;Milestones!$AB$147&amp;" "&amp;Milestones!$AC$147&amp;";  ","")&amp;IF(AND(EDATE($D121,Milestones!$AA$148)&lt;=AsOfDate,IF($R121=0,$X121,IF(AND($T121&lt;&gt;"",EDATE($D121,Milestones!$AA$148)&gt;=$T121),$W121,IF(AND($S121&lt;&gt;"",EDATE($D121,Milestones!$AA$148)&gt;=$S121),$V121,$U121)))=Milestones!$AB$148),UPPER(TEXT(EDATE($D121,Milestones!$AA$148),"dd mmm yy"))&amp;" "&amp;Milestones!$AB$148&amp;" "&amp;Milestones!$AC$148&amp;";  ","")&amp;IF(AND(EDATE($D121,Milestones!$AA$149)&lt;=AsOfDate,IF($R121=0,$X121,IF(AND($T121&lt;&gt;"",EDATE($D121,Milestones!$AA$149)&gt;=$T121),$W121,IF(AND($S121&lt;&gt;"",EDATE($D121,Milestones!$AA$149)&gt;=$S121),$V121,$U121)))=Milestones!$AB$149),UPPER(TEXT(EDATE($D121,Milestones!$AA$149),"dd mmm yy"))&amp;" "&amp;Milestones!$AB$149&amp;" "&amp;Milestones!$AC$149&amp;";  ","")&amp;IF(AND(EDATE($D121,Milestones!$AA$150)&lt;=AsOfDate,IF($R121=0,$X121,IF(AND($T121&lt;&gt;"",EDATE($D121,Milestones!$AA$150)&gt;=$T121),$W121,IF(AND($S121&lt;&gt;"",EDATE($D121,Milestones!$AA$150)&gt;=$S121),$V121,$U121)))=Milestones!$AB$150),UPPER(TEXT(EDATE($D121,Milestones!$AA$150),"dd mmm yy"))&amp;" "&amp;Milestones!$AB$150&amp;" "&amp;Milestones!$AC$150&amp;";  ","")&amp;IF(AND(EDATE($D121,Milestones!$AA$151)&lt;=AsOfDate,IF($R121=0,$X121,IF(AND($T121&lt;&gt;"",EDATE($D121,Milestones!$AA$151)&gt;=$T121),$W121,IF(AND($S121&lt;&gt;"",EDATE($D121,Milestones!$AA$151)&gt;=$S121),$V121,$U121)))=Milestones!$AB$151),UPPER(TEXT(EDATE($D121,Milestones!$AA$151),"dd mmm yy"))&amp;" "&amp;Milestones!$AB$151&amp;" "&amp;Milestones!$AC$151&amp;";  ","")&amp;IF(AND(EDATE($D121,Milestones!$AA$152)&lt;=AsOfDate,IF($R121=0,$X121,IF(AND($T121&lt;&gt;"",EDATE($D121,Milestones!$AA$152)&gt;=$T121),$W121,IF(AND($S121&lt;&gt;"",EDATE($D121,Milestones!$AA$152)&gt;=$S121),$V121,$U121)))=Milestones!$AB$152),UPPER(TEXT(EDATE($D121,Milestones!$AA$152),"dd mmm yy"))&amp;" "&amp;Milestones!$AB$152&amp;" "&amp;Milestones!$AC$152&amp;";  ","")&amp;IF(AND(EDATE($D121,Milestones!$AA$153)&lt;=AsOfDate,IF($R121=0,$X121,IF(AND($T121&lt;&gt;"",EDATE($D121,Milestones!$AA$153)&gt;=$T121),$W121,IF(AND($S121&lt;&gt;"",EDATE($D121,Milestones!$AA$153)&gt;=$S121),$V121,$U121)))=Milestones!$AB$153),UPPER(TEXT(EDATE($D121,Milestones!$AA$153),"dd mmm yy"))&amp;" "&amp;Milestones!$AB$153&amp;" "&amp;Milestones!$AC$153&amp;";  ","")&amp;IF(AND(EDATE($D121,Milestones!$AA$154)&lt;=AsOfDate,IF($R121=0,$X121,IF(AND($T121&lt;&gt;"",EDATE($D121,Milestones!$AA$154)&gt;=$T121),$W121,IF(AND($S121&lt;&gt;"",EDATE($D121,Milestones!$AA$154)&gt;=$S121),$V121,$U121)))=Milestones!$AB$154),UPPER(TEXT(EDATE($D121,Milestones!$AA$154),"dd mmm yy"))&amp;" "&amp;Milestones!$AB$154&amp;" "&amp;Milestones!$AC$154&amp;";  ","")&amp;IF(AND(EDATE($D121,Milestones!$AA$155)&lt;=AsOfDate,IF($R121=0,$X121,IF(AND($T121&lt;&gt;"",EDATE($D121,Milestones!$AA$155)&gt;=$T121),$W121,IF(AND($S121&lt;&gt;"",EDATE($D121,Milestones!$AA$155)&gt;=$S121),$V121,$U121)))=Milestones!$AB$155),UPPER(TEXT(EDATE($D121,Milestones!$AA$155),"dd mmm yy"))&amp;" "&amp;Milestones!$AB$155&amp;" "&amp;Milestones!$AC$155&amp;";  ","")&amp;IF(AND(EDATE($D121,Milestones!$AA$156)&lt;=AsOfDate,IF($R121=0,$X121,IF(AND($T121&lt;&gt;"",EDATE($D121,Milestones!$AA$156)&gt;=$T121),$W121,IF(AND($S121&lt;&gt;"",EDATE($D121,Milestones!$AA$156)&gt;=$S121),$V121,$U121)))=Milestones!$AB$156),UPPER(TEXT(EDATE($D121,Milestones!$AA$156),"dd mmm yy"))&amp;" "&amp;Milestones!$AB$156&amp;" "&amp;Milestones!$AC$156&amp;";  ","")&amp;IF(AND(EDATE($D121,Milestones!$AA$157)&lt;=AsOfDate,IF($R121=0,$X121,IF(AND($T121&lt;&gt;"",EDATE($D121,Milestones!$AA$157)&gt;=$T121),$W121,IF(AND($S121&lt;&gt;"",EDATE($D121,Milestones!$AA$157)&gt;=$S121),$V121,$U121)))=Milestones!$AB$157),UPPER(TEXT(EDATE($D121,Milestones!$AA$157),"dd mmm yy"))&amp;" "&amp;Milestones!$AB$157&amp;" "&amp;Milestones!$AC$157&amp;";  ","")&amp;IF(AND(EDATE($D121,Milestones!$AA$158)&lt;=AsOfDate,IF($R121=0,$X121,IF(AND($T121&lt;&gt;"",EDATE($D121,Milestones!$AA$158)&gt;=$T121),$W121,IF(AND($S121&lt;&gt;"",EDATE($D121,Milestones!$AA$158)&gt;=$S121),$V121,$U121)))=Milestones!$AB$158),UPPER(TEXT(EDATE($D121,Milestones!$AA$158),"dd mmm yy"))&amp;" "&amp;Milestones!$AB$158&amp;" "&amp;Milestones!$AC$158&amp;";  ","")&amp;IF(AND(EDATE($D121,Milestones!$AA$159)&lt;=AsOfDate,IF($R121=0,$X121,IF(AND($T121&lt;&gt;"",EDATE($D121,Milestones!$AA$159)&gt;=$T121),$W121,IF(AND($S121&lt;&gt;"",EDATE($D121,Milestones!$AA$159)&gt;=$S121),$V121,$U121)))=Milestones!$AB$159),UPPER(TEXT(EDATE($D121,Milestones!$AA$159),"dd mmm yy"))&amp;" "&amp;Milestones!$AB$159&amp;" "&amp;Milestones!$AC$159&amp;";  ",""))</f>
        <v/>
      </c>
      <c r="P121" s="0" t="str">
        <f aca="false">IF(OR($A121="",$D121=""),"",IF(AND(EDATE($D121,Milestones!$AA$160)&lt;=AsOfDate,IF($R121=0,$X121,IF(AND($T121&lt;&gt;"",EDATE($D121,Milestones!$AA$160)&gt;=$T121),$W121,IF(AND($S121&lt;&gt;"",EDATE($D121,Milestones!$AA$160)&gt;=$S121),$V121,$U121)))=Milestones!$AB$160),UPPER(TEXT(EDATE($D121,Milestones!$AA$160),"dd mmm yy"))&amp;" "&amp;Milestones!$AB$160&amp;" "&amp;Milestones!$AC$160&amp;";  ","")&amp;IF(AND(EDATE($D121,Milestones!$AA$161)&lt;=AsOfDate,IF($R121=0,$X121,IF(AND($T121&lt;&gt;"",EDATE($D121,Milestones!$AA$161)&gt;=$T121),$W121,IF(AND($S121&lt;&gt;"",EDATE($D121,Milestones!$AA$161)&gt;=$S121),$V121,$U121)))=Milestones!$AB$161),UPPER(TEXT(EDATE($D121,Milestones!$AA$161),"dd mmm yy"))&amp;" "&amp;Milestones!$AB$161&amp;" "&amp;Milestones!$AC$161&amp;";  ","")&amp;IF(AND(EDATE($D121,Milestones!$AA$162)&lt;=AsOfDate,IF($R121=0,$X121,IF(AND($T121&lt;&gt;"",EDATE($D121,Milestones!$AA$162)&gt;=$T121),$W121,IF(AND($S121&lt;&gt;"",EDATE($D121,Milestones!$AA$162)&gt;=$S121),$V121,$U121)))=Milestones!$AB$162),UPPER(TEXT(EDATE($D121,Milestones!$AA$162),"dd mmm yy"))&amp;" "&amp;Milestones!$AB$162&amp;" "&amp;Milestones!$AC$162&amp;";  ","")&amp;IF(AND(EDATE($D121,Milestones!$AA$163)&lt;=AsOfDate,IF($R121=0,$X121,IF(AND($T121&lt;&gt;"",EDATE($D121,Milestones!$AA$163)&gt;=$T121),$W121,IF(AND($S121&lt;&gt;"",EDATE($D121,Milestones!$AA$163)&gt;=$S121),$V121,$U121)))=Milestones!$AB$163),UPPER(TEXT(EDATE($D121,Milestones!$AA$163),"dd mmm yy"))&amp;" "&amp;Milestones!$AB$163&amp;" "&amp;Milestones!$AC$163&amp;";  ","")&amp;IF(AND(EDATE($D121,Milestones!$AA$164)&lt;=AsOfDate,IF($R121=0,$X121,IF(AND($T121&lt;&gt;"",EDATE($D121,Milestones!$AA$164)&gt;=$T121),$W121,IF(AND($S121&lt;&gt;"",EDATE($D121,Milestones!$AA$164)&gt;=$S121),$V121,$U121)))=Milestones!$AB$164),UPPER(TEXT(EDATE($D121,Milestones!$AA$164),"dd mmm yy"))&amp;" "&amp;Milestones!$AB$164&amp;" "&amp;Milestones!$AC$164&amp;";  ","")&amp;IF(AND(EDATE($D121,Milestones!$AA$165)&lt;=AsOfDate,IF($R121=0,$X121,IF(AND($T121&lt;&gt;"",EDATE($D121,Milestones!$AA$165)&gt;=$T121),$W121,IF(AND($S121&lt;&gt;"",EDATE($D121,Milestones!$AA$165)&gt;=$S121),$V121,$U121)))=Milestones!$AB$165),UPPER(TEXT(EDATE($D121,Milestones!$AA$165),"dd mmm yy"))&amp;" "&amp;Milestones!$AB$165&amp;" "&amp;Milestones!$AC$165&amp;";  ","")&amp;IF(AND(EDATE($D121,Milestones!$AA$166)&lt;=AsOfDate,IF($R121=0,$X121,IF(AND($T121&lt;&gt;"",EDATE($D121,Milestones!$AA$166)&gt;=$T121),$W121,IF(AND($S121&lt;&gt;"",EDATE($D121,Milestones!$AA$166)&gt;=$S121),$V121,$U121)))=Milestones!$AB$166),UPPER(TEXT(EDATE($D121,Milestones!$AA$166),"dd mmm yy"))&amp;" "&amp;Milestones!$AB$166&amp;" "&amp;Milestones!$AC$166&amp;";  ","")&amp;IF(AND(EDATE($D121,Milestones!$AA$167)&lt;=AsOfDate,IF($R121=0,$X121,IF(AND($T121&lt;&gt;"",EDATE($D121,Milestones!$AA$167)&gt;=$T121),$W121,IF(AND($S121&lt;&gt;"",EDATE($D121,Milestones!$AA$167)&gt;=$S121),$V121,$U121)))=Milestones!$AB$167),UPPER(TEXT(EDATE($D121,Milestones!$AA$167),"dd mmm yy"))&amp;" "&amp;Milestones!$AB$167&amp;" "&amp;Milestones!$AC$167&amp;";  ","")&amp;IF(AND(EDATE($D121,Milestones!$AA$168)&lt;=AsOfDate,IF($R121=0,$X121,IF(AND($T121&lt;&gt;"",EDATE($D121,Milestones!$AA$168)&gt;=$T121),$W121,IF(AND($S121&lt;&gt;"",EDATE($D121,Milestones!$AA$168)&gt;=$S121),$V121,$U121)))=Milestones!$AB$168),UPPER(TEXT(EDATE($D121,Milestones!$AA$168),"dd mmm yy"))&amp;" "&amp;Milestones!$AB$168&amp;" "&amp;Milestones!$AC$168&amp;";  ","")&amp;IF(AND(EDATE($D121,Milestones!$AA$169)&lt;=AsOfDate,IF($R121=0,$X121,IF(AND($T121&lt;&gt;"",EDATE($D121,Milestones!$AA$169)&gt;=$T121),$W121,IF(AND($S121&lt;&gt;"",EDATE($D121,Milestones!$AA$169)&gt;=$S121),$V121,$U121)))=Milestones!$AB$169),UPPER(TEXT(EDATE($D121,Milestones!$AA$169),"dd mmm yy"))&amp;" "&amp;Milestones!$AB$169&amp;" "&amp;Milestones!$AC$169&amp;";  ","")&amp;IF(AND(EDATE($D121,Milestones!$AA$170)&lt;=AsOfDate,IF($R121=0,$X121,IF(AND($T121&lt;&gt;"",EDATE($D121,Milestones!$AA$170)&gt;=$T121),$W121,IF(AND($S121&lt;&gt;"",EDATE($D121,Milestones!$AA$170)&gt;=$S121),$V121,$U121)))=Milestones!$AB$170),UPPER(TEXT(EDATE($D121,Milestones!$AA$170),"dd mmm yy"))&amp;" "&amp;Milestones!$AB$170&amp;" "&amp;Milestones!$AC$170&amp;";  ","")&amp;IF(AND(EDATE($D121,Milestones!$AA$171)&lt;=AsOfDate,IF($R121=0,$X121,IF(AND($T121&lt;&gt;"",EDATE($D121,Milestones!$AA$171)&gt;=$T121),$W121,IF(AND($S121&lt;&gt;"",EDATE($D121,Milestones!$AA$171)&gt;=$S121),$V121,$U121)))=Milestones!$AB$171),UPPER(TEXT(EDATE($D121,Milestones!$AA$171),"dd mmm yy"))&amp;" "&amp;Milestones!$AB$171&amp;" "&amp;Milestones!$AC$171&amp;";  ","")&amp;IF(AND(EDATE($D121,Milestones!$AA$172)&lt;=AsOfDate,IF($R121=0,$X121,IF(AND($T121&lt;&gt;"",EDATE($D121,Milestones!$AA$172)&gt;=$T121),$W121,IF(AND($S121&lt;&gt;"",EDATE($D121,Milestones!$AA$172)&gt;=$S121),$V121,$U121)))=Milestones!$AB$172),UPPER(TEXT(EDATE($D121,Milestones!$AA$172),"dd mmm yy"))&amp;" "&amp;Milestones!$AB$172&amp;" "&amp;Milestones!$AC$172&amp;";  ","")&amp;IF(AND(EDATE($D121,Milestones!$AA$173)&lt;=AsOfDate,IF($R121=0,$X121,IF(AND($T121&lt;&gt;"",EDATE($D121,Milestones!$AA$173)&gt;=$T121),$W121,IF(AND($S121&lt;&gt;"",EDATE($D121,Milestones!$AA$173)&gt;=$S121),$V121,$U121)))=Milestones!$AB$173),UPPER(TEXT(EDATE($D121,Milestones!$AA$173),"dd mmm yy"))&amp;" "&amp;Milestones!$AB$173&amp;" "&amp;Milestones!$AC$173&amp;";  ","")&amp;IF(AND(EDATE($D121,Milestones!$AA$174)&lt;=AsOfDate,IF($R121=0,$X121,IF(AND($T121&lt;&gt;"",EDATE($D121,Milestones!$AA$174)&gt;=$T121),$W121,IF(AND($S121&lt;&gt;"",EDATE($D121,Milestones!$AA$174)&gt;=$S121),$V121,$U121)))=Milestones!$AB$174),UPPER(TEXT(EDATE($D121,Milestones!$AA$174),"dd mmm yy"))&amp;" "&amp;Milestones!$AB$174&amp;" "&amp;Milestones!$AC$174&amp;";  ","")&amp;IF(AND(EDATE($D121,Milestones!$AA$175)&lt;=AsOfDate,IF($R121=0,$X121,IF(AND($T121&lt;&gt;"",EDATE($D121,Milestones!$AA$175)&gt;=$T121),$W121,IF(AND($S121&lt;&gt;"",EDATE($D121,Milestones!$AA$175)&gt;=$S121),$V121,$U121)))=Milestones!$AB$175),UPPER(TEXT(EDATE($D121,Milestones!$AA$175),"dd mmm yy"))&amp;" "&amp;Milestones!$AB$175&amp;" "&amp;Milestones!$AC$175&amp;";  ","")&amp;IF(AND(EDATE($D121,Milestones!$AA$176)&lt;=AsOfDate,IF($R121=0,$X121,IF(AND($T121&lt;&gt;"",EDATE($D121,Milestones!$AA$176)&gt;=$T121),$W121,IF(AND($S121&lt;&gt;"",EDATE($D121,Milestones!$AA$176)&gt;=$S121),$V121,$U121)))=Milestones!$AB$176),UPPER(TEXT(EDATE($D121,Milestones!$AA$176),"dd mmm yy"))&amp;" "&amp;Milestones!$AB$176&amp;" "&amp;Milestones!$AC$176&amp;";  ","")&amp;IF(AND(EDATE($D121,Milestones!$AA$177)&lt;=AsOfDate,IF($R121=0,$X121,IF(AND($T121&lt;&gt;"",EDATE($D121,Milestones!$AA$177)&gt;=$T121),$W121,IF(AND($S121&lt;&gt;"",EDATE($D121,Milestones!$AA$177)&gt;=$S121),$V121,$U121)))=Milestones!$AB$177),UPPER(TEXT(EDATE($D121,Milestones!$AA$177),"dd mmm yy"))&amp;" "&amp;Milestones!$AB$177&amp;" "&amp;Milestones!$AC$177&amp;";  ","")&amp;IF(AND(EDATE($D121,Milestones!$AA$178)&lt;=AsOfDate,IF($R121=0,$X121,IF(AND($T121&lt;&gt;"",EDATE($D121,Milestones!$AA$178)&gt;=$T121),$W121,IF(AND($S121&lt;&gt;"",EDATE($D121,Milestones!$AA$178)&gt;=$S121),$V121,$U121)))=Milestones!$AB$178),UPPER(TEXT(EDATE($D121,Milestones!$AA$178),"dd mmm yy"))&amp;" "&amp;Milestones!$AB$178&amp;" "&amp;Milestones!$AC$178&amp;";  ","")&amp;IF(AND(EDATE($D121,Milestones!$AA$179)&lt;=AsOfDate,IF($R121=0,$X121,IF(AND($T121&lt;&gt;"",EDATE($D121,Milestones!$AA$179)&gt;=$T121),$W121,IF(AND($S121&lt;&gt;"",EDATE($D121,Milestones!$AA$179)&gt;=$S121),$V121,$U121)))=Milestones!$AB$179),UPPER(TEXT(EDATE($D121,Milestones!$AA$179),"dd mmm yy"))&amp;" "&amp;Milestones!$AB$179&amp;" "&amp;Milestones!$AC$179&amp;";  ",""))</f>
        <v/>
      </c>
      <c r="Q121" s="0" t="str">
        <f aca="false">IF(OR($A121="",$D121=""),"",IF(AND(EDATE($D121,Milestones!$AA$180)&lt;=AsOfDate,IF($R121=0,$X121,IF(AND($T121&lt;&gt;"",EDATE($D121,Milestones!$AA$180)&gt;=$T121),$W121,IF(AND($S121&lt;&gt;"",EDATE($D121,Milestones!$AA$180)&gt;=$S121),$V121,$U121)))=Milestones!$AB$180),UPPER(TEXT(EDATE($D121,Milestones!$AA$180),"dd mmm yy"))&amp;" "&amp;Milestones!$AB$180&amp;" "&amp;Milestones!$AC$180&amp;";  ","")&amp;IF(AND(EDATE($D121,Milestones!$AA$181)&lt;=AsOfDate,IF($R121=0,$X121,IF(AND($T121&lt;&gt;"",EDATE($D121,Milestones!$AA$181)&gt;=$T121),$W121,IF(AND($S121&lt;&gt;"",EDATE($D121,Milestones!$AA$181)&gt;=$S121),$V121,$U121)))=Milestones!$AB$181),UPPER(TEXT(EDATE($D121,Milestones!$AA$181),"dd mmm yy"))&amp;" "&amp;Milestones!$AB$181&amp;" "&amp;Milestones!$AC$181&amp;";  ","")&amp;IF(AND(EDATE($D121,Milestones!$AA$182)&lt;=AsOfDate,IF($R121=0,$X121,IF(AND($T121&lt;&gt;"",EDATE($D121,Milestones!$AA$182)&gt;=$T121),$W121,IF(AND($S121&lt;&gt;"",EDATE($D121,Milestones!$AA$182)&gt;=$S121),$V121,$U121)))=Milestones!$AB$182),UPPER(TEXT(EDATE($D121,Milestones!$AA$182),"dd mmm yy"))&amp;" "&amp;Milestones!$AB$182&amp;" "&amp;Milestones!$AC$182&amp;";  ","")&amp;IF(AND(EDATE($D121,Milestones!$AA$183)&lt;=AsOfDate,IF($R121=0,$X121,IF(AND($T121&lt;&gt;"",EDATE($D121,Milestones!$AA$183)&gt;=$T121),$W121,IF(AND($S121&lt;&gt;"",EDATE($D121,Milestones!$AA$183)&gt;=$S121),$V121,$U121)))=Milestones!$AB$183),UPPER(TEXT(EDATE($D121,Milestones!$AA$183),"dd mmm yy"))&amp;" "&amp;Milestones!$AB$183&amp;" "&amp;Milestones!$AC$183&amp;";  ","")&amp;IF(AND(EDATE($D121,Milestones!$AA$184)&lt;=AsOfDate,IF($R121=0,$X121,IF(AND($T121&lt;&gt;"",EDATE($D121,Milestones!$AA$184)&gt;=$T121),$W121,IF(AND($S121&lt;&gt;"",EDATE($D121,Milestones!$AA$184)&gt;=$S121),$V121,$U121)))=Milestones!$AB$184),UPPER(TEXT(EDATE($D121,Milestones!$AA$184),"dd mmm yy"))&amp;" "&amp;Milestones!$AB$184&amp;" "&amp;Milestones!$AC$184&amp;";  ","")&amp;IF(AND(EDATE($D121,Milestones!$AA$185)&lt;=AsOfDate,IF($R121=0,$X121,IF(AND($T121&lt;&gt;"",EDATE($D121,Milestones!$AA$185)&gt;=$T121),$W121,IF(AND($S121&lt;&gt;"",EDATE($D121,Milestones!$AA$185)&gt;=$S121),$V121,$U121)))=Milestones!$AB$185),UPPER(TEXT(EDATE($D121,Milestones!$AA$185),"dd mmm yy"))&amp;" "&amp;Milestones!$AB$185&amp;" "&amp;Milestones!$AC$185&amp;";  ","")&amp;IF(AND(EDATE($D121,Milestones!$AA$186)&lt;=AsOfDate,IF($R121=0,$X121,IF(AND($T121&lt;&gt;"",EDATE($D121,Milestones!$AA$186)&gt;=$T121),$W121,IF(AND($S121&lt;&gt;"",EDATE($D121,Milestones!$AA$186)&gt;=$S121),$V121,$U121)))=Milestones!$AB$186),UPPER(TEXT(EDATE($D121,Milestones!$AA$186),"dd mmm yy"))&amp;" "&amp;Milestones!$AB$186&amp;" "&amp;Milestones!$AC$186&amp;";  ","")&amp;IF(AND(EDATE($D121,Milestones!$AA$187)&lt;=AsOfDate,IF($R121=0,$X121,IF(AND($T121&lt;&gt;"",EDATE($D121,Milestones!$AA$187)&gt;=$T121),$W121,IF(AND($S121&lt;&gt;"",EDATE($D121,Milestones!$AA$187)&gt;=$S121),$V121,$U121)))=Milestones!$AB$187),UPPER(TEXT(EDATE($D121,Milestones!$AA$187),"dd mmm yy"))&amp;" "&amp;Milestones!$AB$187&amp;" "&amp;Milestones!$AC$187&amp;";  ","")&amp;IF(AND(EDATE($D121,Milestones!$AA$188)&lt;=AsOfDate,IF($R121=0,$X121,IF(AND($T121&lt;&gt;"",EDATE($D121,Milestones!$AA$188)&gt;=$T121),$W121,IF(AND($S121&lt;&gt;"",EDATE($D121,Milestones!$AA$188)&gt;=$S121),$V121,$U121)))=Milestones!$AB$188),UPPER(TEXT(EDATE($D121,Milestones!$AA$188),"dd mmm yy"))&amp;" "&amp;Milestones!$AB$188&amp;" "&amp;Milestones!$AC$188&amp;";  ","")&amp;IF(AND(EDATE($D121,Milestones!$AA$189)&lt;=AsOfDate,IF($R121=0,$X121,IF(AND($T121&lt;&gt;"",EDATE($D121,Milestones!$AA$189)&gt;=$T121),$W121,IF(AND($S121&lt;&gt;"",EDATE($D121,Milestones!$AA$189)&gt;=$S121),$V121,$U121)))=Milestones!$AB$189),UPPER(TEXT(EDATE($D121,Milestones!$AA$189),"dd mmm yy"))&amp;" "&amp;Milestones!$AB$189&amp;" "&amp;Milestones!$AC$189&amp;";  ","")&amp;IF(AND(EDATE($D121,Milestones!$AA$190)&lt;=AsOfDate,IF($R121=0,$X121,IF(AND($T121&lt;&gt;"",EDATE($D121,Milestones!$AA$190)&gt;=$T121),$W121,IF(AND($S121&lt;&gt;"",EDATE($D121,Milestones!$AA$190)&gt;=$S121),$V121,$U121)))=Milestones!$AB$190),UPPER(TEXT(EDATE($D121,Milestones!$AA$190),"dd mmm yy"))&amp;" "&amp;Milestones!$AB$190&amp;" "&amp;Milestones!$AC$190&amp;";  ","")&amp;IF(AND(EDATE($D121,Milestones!$AA$191)&lt;=AsOfDate,IF($R121=0,$X121,IF(AND($T121&lt;&gt;"",EDATE($D121,Milestones!$AA$191)&gt;=$T121),$W121,IF(AND($S121&lt;&gt;"",EDATE($D121,Milestones!$AA$191)&gt;=$S121),$V121,$U121)))=Milestones!$AB$191),UPPER(TEXT(EDATE($D121,Milestones!$AA$191),"dd mmm yy"))&amp;" "&amp;Milestones!$AB$191&amp;" "&amp;Milestones!$AC$191&amp;";  ","")&amp;IF(AND(EDATE($D121,Milestones!$AA$192)&lt;=AsOfDate,IF($R121=0,$X121,IF(AND($T121&lt;&gt;"",EDATE($D121,Milestones!$AA$192)&gt;=$T121),$W121,IF(AND($S121&lt;&gt;"",EDATE($D121,Milestones!$AA$192)&gt;=$S121),$V121,$U121)))=Milestones!$AB$192),UPPER(TEXT(EDATE($D121,Milestones!$AA$192),"dd mmm yy"))&amp;" "&amp;Milestones!$AB$192&amp;" "&amp;Milestones!$AC$192&amp;";  ","")&amp;IF(AND(EDATE($D121,Milestones!$AA$193)&lt;=AsOfDate,IF($R121=0,$X121,IF(AND($T121&lt;&gt;"",EDATE($D121,Milestones!$AA$193)&gt;=$T121),$W121,IF(AND($S121&lt;&gt;"",EDATE($D121,Milestones!$AA$193)&gt;=$S121),$V121,$U121)))=Milestones!$AB$193),UPPER(TEXT(EDATE($D121,Milestones!$AA$193),"dd mmm yy"))&amp;" "&amp;Milestones!$AB$193&amp;" "&amp;Milestones!$AC$193&amp;";  ","")&amp;IF(AND(EDATE($D121,Milestones!$AA$194)&lt;=AsOfDate,IF($R121=0,$X121,IF(AND($T121&lt;&gt;"",EDATE($D121,Milestones!$AA$194)&gt;=$T121),$W121,IF(AND($S121&lt;&gt;"",EDATE($D121,Milestones!$AA$194)&gt;=$S121),$V121,$U121)))=Milestones!$AB$194),UPPER(TEXT(EDATE($D121,Milestones!$AA$194),"dd mmm yy"))&amp;" "&amp;Milestones!$AB$194&amp;" "&amp;Milestones!$AC$194&amp;";  ","")&amp;IF(AND(EDATE($D121,Milestones!$AA$195)&lt;=AsOfDate,IF($R121=0,$X121,IF(AND($T121&lt;&gt;"",EDATE($D121,Milestones!$AA$195)&gt;=$T121),$W121,IF(AND($S121&lt;&gt;"",EDATE($D121,Milestones!$AA$195)&gt;=$S121),$V121,$U121)))=Milestones!$AB$195),UPPER(TEXT(EDATE($D121,Milestones!$AA$195),"dd mmm yy"))&amp;" "&amp;Milestones!$AB$195&amp;" "&amp;Milestones!$AC$195&amp;";  ","")&amp;IF(AND(EDATE($D121,Milestones!$AA$196)&lt;=AsOfDate,IF($R121=0,$X121,IF(AND($T121&lt;&gt;"",EDATE($D121,Milestones!$AA$196)&gt;=$T121),$W121,IF(AND($S121&lt;&gt;"",EDATE($D121,Milestones!$AA$196)&gt;=$S121),$V121,$U121)))=Milestones!$AB$196),UPPER(TEXT(EDATE($D121,Milestones!$AA$196),"dd mmm yy"))&amp;" "&amp;Milestones!$AB$196&amp;" "&amp;Milestones!$AC$196&amp;";  ","")&amp;IF(AND(EDATE($D121,Milestones!$AA$197)&lt;=AsOfDate,IF($R121=0,$X121,IF(AND($T121&lt;&gt;"",EDATE($D121,Milestones!$AA$197)&gt;=$T121),$W121,IF(AND($S121&lt;&gt;"",EDATE($D121,Milestones!$AA$197)&gt;=$S121),$V121,$U121)))=Milestones!$AB$197),UPPER(TEXT(EDATE($D121,Milestones!$AA$197),"dd mmm yy"))&amp;" "&amp;Milestones!$AB$197&amp;" "&amp;Milestones!$AC$197&amp;";  ","")&amp;IF(AND(EDATE($D121,Milestones!$AA$198)&lt;=AsOfDate,IF($R121=0,$X121,IF(AND($T121&lt;&gt;"",EDATE($D121,Milestones!$AA$198)&gt;=$T121),$W121,IF(AND($S121&lt;&gt;"",EDATE($D121,Milestones!$AA$198)&gt;=$S121),$V121,$U121)))=Milestones!$AB$198),UPPER(TEXT(EDATE($D121,Milestones!$AA$198),"dd mmm yy"))&amp;" "&amp;Milestones!$AB$198&amp;" "&amp;Milestones!$AC$198&amp;";  ","")&amp;IF(AND(EDATE($D121,Milestones!$AA$199)&lt;=AsOfDate,IF($R121=0,$X121,IF(AND($T121&lt;&gt;"",EDATE($D121,Milestones!$AA$199)&gt;=$T121),$W121,IF(AND($S121&lt;&gt;"",EDATE($D121,Milestones!$AA$199)&gt;=$S121),$V121,$U121)))=Milestones!$AB$199),UPPER(TEXT(EDATE($D121,Milestones!$AA$199),"dd mmm yy"))&amp;" "&amp;Milestones!$AB$199&amp;" "&amp;Milestones!$AC$199&amp;";  ",""))</f>
        <v/>
      </c>
      <c r="R121" s="0" t="str">
        <f aca="false">IF(Staff!$A121="","",Staff!$AI121)</f>
        <v/>
      </c>
      <c r="S121" s="0" t="str">
        <f aca="false">IF(Staff!$A121="","",Staff!$AK121)</f>
        <v/>
      </c>
      <c r="T121" s="0" t="str">
        <f aca="false">IF(Staff!$A121="","",Staff!$AL121)</f>
        <v/>
      </c>
      <c r="U121" s="0" t="str">
        <f aca="false">IF(Staff!$A121="","",Staff!$AP121)</f>
        <v/>
      </c>
      <c r="V121" s="0" t="str">
        <f aca="false">IF(Staff!$A121="","",Staff!$AQ121)</f>
        <v/>
      </c>
      <c r="W121" s="0" t="str">
        <f aca="false">IF(Staff!$A121="","",Staff!$AR121)</f>
        <v/>
      </c>
      <c r="X121" s="0" t="str">
        <f aca="false">IF(Staff!$A121="","",Staff!$AS121)</f>
        <v/>
      </c>
    </row>
    <row r="122" customFormat="false" ht="15" hidden="false" customHeight="false" outlineLevel="0" collapsed="false">
      <c r="A122" s="14" t="str">
        <f aca="false">IF(Staff!$A122="","",Staff!$A122)</f>
        <v/>
      </c>
      <c r="B122" s="14" t="str">
        <f aca="false">IF(Staff!$A122="","",Staff!$B122)</f>
        <v/>
      </c>
      <c r="C122" s="14" t="str">
        <f aca="false">IF(Staff!$A122="","",Staff!$C122)</f>
        <v/>
      </c>
      <c r="D122" s="12" t="str">
        <f aca="false">IF(Staff!$A122="","",Staff!$AH122)</f>
        <v/>
      </c>
      <c r="E122" s="14" t="str">
        <f aca="false">IF(Staff!$A122="","",Staff!$O122)</f>
        <v/>
      </c>
      <c r="F122" s="14" t="str">
        <f aca="false">IF(E122="","",E122*HoursPerDay)</f>
        <v/>
      </c>
      <c r="G122" s="14" t="str">
        <f aca="false">IF(Staff!$A122="","",Staff!$AE122)</f>
        <v/>
      </c>
      <c r="H122" s="26" t="str">
        <f aca="false">IF($A122="","",I122&amp;J122&amp;K122&amp;L122&amp;M122&amp;N122&amp;O122&amp;P122&amp;Q122)</f>
        <v/>
      </c>
      <c r="I122" s="0" t="str">
        <f aca="false">IF(OR($A122="",$D122=""),"",IF(AND(EDATE($D122,Milestones!$AA$20)&lt;=AsOfDate,IF($R122=0,$X122,IF(AND($T122&lt;&gt;"",EDATE($D122,Milestones!$AA$20)&gt;=$T122),$W122,IF(AND($S122&lt;&gt;"",EDATE($D122,Milestones!$AA$20)&gt;=$S122),$V122,$U122)))=Milestones!$AB$20),UPPER(TEXT(EDATE($D122,Milestones!$AA$20),"dd mmm yy"))&amp;" "&amp;Milestones!$AB$20&amp;" "&amp;Milestones!$AC$20&amp;";  ","")&amp;IF(AND(EDATE($D122,Milestones!$AA$21)&lt;=AsOfDate,IF($R122=0,$X122,IF(AND($T122&lt;&gt;"",EDATE($D122,Milestones!$AA$21)&gt;=$T122),$W122,IF(AND($S122&lt;&gt;"",EDATE($D122,Milestones!$AA$21)&gt;=$S122),$V122,$U122)))=Milestones!$AB$21),UPPER(TEXT(EDATE($D122,Milestones!$AA$21),"dd mmm yy"))&amp;" "&amp;Milestones!$AB$21&amp;" "&amp;Milestones!$AC$21&amp;";  ","")&amp;IF(AND(EDATE($D122,Milestones!$AA$22)&lt;=AsOfDate,IF($R122=0,$X122,IF(AND($T122&lt;&gt;"",EDATE($D122,Milestones!$AA$22)&gt;=$T122),$W122,IF(AND($S122&lt;&gt;"",EDATE($D122,Milestones!$AA$22)&gt;=$S122),$V122,$U122)))=Milestones!$AB$22),UPPER(TEXT(EDATE($D122,Milestones!$AA$22),"dd mmm yy"))&amp;" "&amp;Milestones!$AB$22&amp;" "&amp;Milestones!$AC$22&amp;";  ","")&amp;IF(AND(EDATE($D122,Milestones!$AA$23)&lt;=AsOfDate,IF($R122=0,$X122,IF(AND($T122&lt;&gt;"",EDATE($D122,Milestones!$AA$23)&gt;=$T122),$W122,IF(AND($S122&lt;&gt;"",EDATE($D122,Milestones!$AA$23)&gt;=$S122),$V122,$U122)))=Milestones!$AB$23),UPPER(TEXT(EDATE($D122,Milestones!$AA$23),"dd mmm yy"))&amp;" "&amp;Milestones!$AB$23&amp;" "&amp;Milestones!$AC$23&amp;";  ","")&amp;IF(AND(EDATE($D122,Milestones!$AA$24)&lt;=AsOfDate,IF($R122=0,$X122,IF(AND($T122&lt;&gt;"",EDATE($D122,Milestones!$AA$24)&gt;=$T122),$W122,IF(AND($S122&lt;&gt;"",EDATE($D122,Milestones!$AA$24)&gt;=$S122),$V122,$U122)))=Milestones!$AB$24),UPPER(TEXT(EDATE($D122,Milestones!$AA$24),"dd mmm yy"))&amp;" "&amp;Milestones!$AB$24&amp;" "&amp;Milestones!$AC$24&amp;";  ","")&amp;IF(AND(EDATE($D122,Milestones!$AA$25)&lt;=AsOfDate,IF($R122=0,$X122,IF(AND($T122&lt;&gt;"",EDATE($D122,Milestones!$AA$25)&gt;=$T122),$W122,IF(AND($S122&lt;&gt;"",EDATE($D122,Milestones!$AA$25)&gt;=$S122),$V122,$U122)))=Milestones!$AB$25),UPPER(TEXT(EDATE($D122,Milestones!$AA$25),"dd mmm yy"))&amp;" "&amp;Milestones!$AB$25&amp;" "&amp;Milestones!$AC$25&amp;";  ","")&amp;IF(AND(EDATE($D122,Milestones!$AA$26)&lt;=AsOfDate,IF($R122=0,$X122,IF(AND($T122&lt;&gt;"",EDATE($D122,Milestones!$AA$26)&gt;=$T122),$W122,IF(AND($S122&lt;&gt;"",EDATE($D122,Milestones!$AA$26)&gt;=$S122),$V122,$U122)))=Milestones!$AB$26),UPPER(TEXT(EDATE($D122,Milestones!$AA$26),"dd mmm yy"))&amp;" "&amp;Milestones!$AB$26&amp;" "&amp;Milestones!$AC$26&amp;";  ","")&amp;IF(AND(EDATE($D122,Milestones!$AA$27)&lt;=AsOfDate,IF($R122=0,$X122,IF(AND($T122&lt;&gt;"",EDATE($D122,Milestones!$AA$27)&gt;=$T122),$W122,IF(AND($S122&lt;&gt;"",EDATE($D122,Milestones!$AA$27)&gt;=$S122),$V122,$U122)))=Milestones!$AB$27),UPPER(TEXT(EDATE($D122,Milestones!$AA$27),"dd mmm yy"))&amp;" "&amp;Milestones!$AB$27&amp;" "&amp;Milestones!$AC$27&amp;";  ","")&amp;IF(AND(EDATE($D122,Milestones!$AA$28)&lt;=AsOfDate,IF($R122=0,$X122,IF(AND($T122&lt;&gt;"",EDATE($D122,Milestones!$AA$28)&gt;=$T122),$W122,IF(AND($S122&lt;&gt;"",EDATE($D122,Milestones!$AA$28)&gt;=$S122),$V122,$U122)))=Milestones!$AB$28),UPPER(TEXT(EDATE($D122,Milestones!$AA$28),"dd mmm yy"))&amp;" "&amp;Milestones!$AB$28&amp;" "&amp;Milestones!$AC$28&amp;";  ","")&amp;IF(AND(EDATE($D122,Milestones!$AA$29)&lt;=AsOfDate,IF($R122=0,$X122,IF(AND($T122&lt;&gt;"",EDATE($D122,Milestones!$AA$29)&gt;=$T122),$W122,IF(AND($S122&lt;&gt;"",EDATE($D122,Milestones!$AA$29)&gt;=$S122),$V122,$U122)))=Milestones!$AB$29),UPPER(TEXT(EDATE($D122,Milestones!$AA$29),"dd mmm yy"))&amp;" "&amp;Milestones!$AB$29&amp;" "&amp;Milestones!$AC$29&amp;";  ","")&amp;IF(AND(EDATE($D122,Milestones!$AA$30)&lt;=AsOfDate,IF($R122=0,$X122,IF(AND($T122&lt;&gt;"",EDATE($D122,Milestones!$AA$30)&gt;=$T122),$W122,IF(AND($S122&lt;&gt;"",EDATE($D122,Milestones!$AA$30)&gt;=$S122),$V122,$U122)))=Milestones!$AB$30),UPPER(TEXT(EDATE($D122,Milestones!$AA$30),"dd mmm yy"))&amp;" "&amp;Milestones!$AB$30&amp;" "&amp;Milestones!$AC$30&amp;";  ","")&amp;IF(AND(EDATE($D122,Milestones!$AA$31)&lt;=AsOfDate,IF($R122=0,$X122,IF(AND($T122&lt;&gt;"",EDATE($D122,Milestones!$AA$31)&gt;=$T122),$W122,IF(AND($S122&lt;&gt;"",EDATE($D122,Milestones!$AA$31)&gt;=$S122),$V122,$U122)))=Milestones!$AB$31),UPPER(TEXT(EDATE($D122,Milestones!$AA$31),"dd mmm yy"))&amp;" "&amp;Milestones!$AB$31&amp;" "&amp;Milestones!$AC$31&amp;";  ","")&amp;IF(AND(EDATE($D122,Milestones!$AA$32)&lt;=AsOfDate,IF($R122=0,$X122,IF(AND($T122&lt;&gt;"",EDATE($D122,Milestones!$AA$32)&gt;=$T122),$W122,IF(AND($S122&lt;&gt;"",EDATE($D122,Milestones!$AA$32)&gt;=$S122),$V122,$U122)))=Milestones!$AB$32),UPPER(TEXT(EDATE($D122,Milestones!$AA$32),"dd mmm yy"))&amp;" "&amp;Milestones!$AB$32&amp;" "&amp;Milestones!$AC$32&amp;";  ","")&amp;IF(AND(EDATE($D122,Milestones!$AA$33)&lt;=AsOfDate,IF($R122=0,$X122,IF(AND($T122&lt;&gt;"",EDATE($D122,Milestones!$AA$33)&gt;=$T122),$W122,IF(AND($S122&lt;&gt;"",EDATE($D122,Milestones!$AA$33)&gt;=$S122),$V122,$U122)))=Milestones!$AB$33),UPPER(TEXT(EDATE($D122,Milestones!$AA$33),"dd mmm yy"))&amp;" "&amp;Milestones!$AB$33&amp;" "&amp;Milestones!$AC$33&amp;";  ","")&amp;IF(AND(EDATE($D122,Milestones!$AA$34)&lt;=AsOfDate,IF($R122=0,$X122,IF(AND($T122&lt;&gt;"",EDATE($D122,Milestones!$AA$34)&gt;=$T122),$W122,IF(AND($S122&lt;&gt;"",EDATE($D122,Milestones!$AA$34)&gt;=$S122),$V122,$U122)))=Milestones!$AB$34),UPPER(TEXT(EDATE($D122,Milestones!$AA$34),"dd mmm yy"))&amp;" "&amp;Milestones!$AB$34&amp;" "&amp;Milestones!$AC$34&amp;";  ","")&amp;IF(AND(EDATE($D122,Milestones!$AA$35)&lt;=AsOfDate,IF($R122=0,$X122,IF(AND($T122&lt;&gt;"",EDATE($D122,Milestones!$AA$35)&gt;=$T122),$W122,IF(AND($S122&lt;&gt;"",EDATE($D122,Milestones!$AA$35)&gt;=$S122),$V122,$U122)))=Milestones!$AB$35),UPPER(TEXT(EDATE($D122,Milestones!$AA$35),"dd mmm yy"))&amp;" "&amp;Milestones!$AB$35&amp;" "&amp;Milestones!$AC$35&amp;";  ","")&amp;IF(AND(EDATE($D122,Milestones!$AA$36)&lt;=AsOfDate,IF($R122=0,$X122,IF(AND($T122&lt;&gt;"",EDATE($D122,Milestones!$AA$36)&gt;=$T122),$W122,IF(AND($S122&lt;&gt;"",EDATE($D122,Milestones!$AA$36)&gt;=$S122),$V122,$U122)))=Milestones!$AB$36),UPPER(TEXT(EDATE($D122,Milestones!$AA$36),"dd mmm yy"))&amp;" "&amp;Milestones!$AB$36&amp;" "&amp;Milestones!$AC$36&amp;";  ","")&amp;IF(AND(EDATE($D122,Milestones!$AA$37)&lt;=AsOfDate,IF($R122=0,$X122,IF(AND($T122&lt;&gt;"",EDATE($D122,Milestones!$AA$37)&gt;=$T122),$W122,IF(AND($S122&lt;&gt;"",EDATE($D122,Milestones!$AA$37)&gt;=$S122),$V122,$U122)))=Milestones!$AB$37),UPPER(TEXT(EDATE($D122,Milestones!$AA$37),"dd mmm yy"))&amp;" "&amp;Milestones!$AB$37&amp;" "&amp;Milestones!$AC$37&amp;";  ","")&amp;IF(AND(EDATE($D122,Milestones!$AA$38)&lt;=AsOfDate,IF($R122=0,$X122,IF(AND($T122&lt;&gt;"",EDATE($D122,Milestones!$AA$38)&gt;=$T122),$W122,IF(AND($S122&lt;&gt;"",EDATE($D122,Milestones!$AA$38)&gt;=$S122),$V122,$U122)))=Milestones!$AB$38),UPPER(TEXT(EDATE($D122,Milestones!$AA$38),"dd mmm yy"))&amp;" "&amp;Milestones!$AB$38&amp;" "&amp;Milestones!$AC$38&amp;";  ","")&amp;IF(AND(EDATE($D122,Milestones!$AA$39)&lt;=AsOfDate,IF($R122=0,$X122,IF(AND($T122&lt;&gt;"",EDATE($D122,Milestones!$AA$39)&gt;=$T122),$W122,IF(AND($S122&lt;&gt;"",EDATE($D122,Milestones!$AA$39)&gt;=$S122),$V122,$U122)))=Milestones!$AB$39),UPPER(TEXT(EDATE($D122,Milestones!$AA$39),"dd mmm yy"))&amp;" "&amp;Milestones!$AB$39&amp;" "&amp;Milestones!$AC$39&amp;";  ",""))</f>
        <v/>
      </c>
      <c r="J122" s="0" t="str">
        <f aca="false">IF(OR($A122="",$D122=""),"",IF(AND(EDATE($D122,Milestones!$AA$40)&lt;=AsOfDate,IF($R122=0,$X122,IF(AND($T122&lt;&gt;"",EDATE($D122,Milestones!$AA$40)&gt;=$T122),$W122,IF(AND($S122&lt;&gt;"",EDATE($D122,Milestones!$AA$40)&gt;=$S122),$V122,$U122)))=Milestones!$AB$40),UPPER(TEXT(EDATE($D122,Milestones!$AA$40),"dd mmm yy"))&amp;" "&amp;Milestones!$AB$40&amp;" "&amp;Milestones!$AC$40&amp;";  ","")&amp;IF(AND(EDATE($D122,Milestones!$AA$41)&lt;=AsOfDate,IF($R122=0,$X122,IF(AND($T122&lt;&gt;"",EDATE($D122,Milestones!$AA$41)&gt;=$T122),$W122,IF(AND($S122&lt;&gt;"",EDATE($D122,Milestones!$AA$41)&gt;=$S122),$V122,$U122)))=Milestones!$AB$41),UPPER(TEXT(EDATE($D122,Milestones!$AA$41),"dd mmm yy"))&amp;" "&amp;Milestones!$AB$41&amp;" "&amp;Milestones!$AC$41&amp;";  ","")&amp;IF(AND(EDATE($D122,Milestones!$AA$42)&lt;=AsOfDate,IF($R122=0,$X122,IF(AND($T122&lt;&gt;"",EDATE($D122,Milestones!$AA$42)&gt;=$T122),$W122,IF(AND($S122&lt;&gt;"",EDATE($D122,Milestones!$AA$42)&gt;=$S122),$V122,$U122)))=Milestones!$AB$42),UPPER(TEXT(EDATE($D122,Milestones!$AA$42),"dd mmm yy"))&amp;" "&amp;Milestones!$AB$42&amp;" "&amp;Milestones!$AC$42&amp;";  ","")&amp;IF(AND(EDATE($D122,Milestones!$AA$43)&lt;=AsOfDate,IF($R122=0,$X122,IF(AND($T122&lt;&gt;"",EDATE($D122,Milestones!$AA$43)&gt;=$T122),$W122,IF(AND($S122&lt;&gt;"",EDATE($D122,Milestones!$AA$43)&gt;=$S122),$V122,$U122)))=Milestones!$AB$43),UPPER(TEXT(EDATE($D122,Milestones!$AA$43),"dd mmm yy"))&amp;" "&amp;Milestones!$AB$43&amp;" "&amp;Milestones!$AC$43&amp;";  ","")&amp;IF(AND(EDATE($D122,Milestones!$AA$44)&lt;=AsOfDate,IF($R122=0,$X122,IF(AND($T122&lt;&gt;"",EDATE($D122,Milestones!$AA$44)&gt;=$T122),$W122,IF(AND($S122&lt;&gt;"",EDATE($D122,Milestones!$AA$44)&gt;=$S122),$V122,$U122)))=Milestones!$AB$44),UPPER(TEXT(EDATE($D122,Milestones!$AA$44),"dd mmm yy"))&amp;" "&amp;Milestones!$AB$44&amp;" "&amp;Milestones!$AC$44&amp;";  ","")&amp;IF(AND(EDATE($D122,Milestones!$AA$45)&lt;=AsOfDate,IF($R122=0,$X122,IF(AND($T122&lt;&gt;"",EDATE($D122,Milestones!$AA$45)&gt;=$T122),$W122,IF(AND($S122&lt;&gt;"",EDATE($D122,Milestones!$AA$45)&gt;=$S122),$V122,$U122)))=Milestones!$AB$45),UPPER(TEXT(EDATE($D122,Milestones!$AA$45),"dd mmm yy"))&amp;" "&amp;Milestones!$AB$45&amp;" "&amp;Milestones!$AC$45&amp;";  ","")&amp;IF(AND(EDATE($D122,Milestones!$AA$46)&lt;=AsOfDate,IF($R122=0,$X122,IF(AND($T122&lt;&gt;"",EDATE($D122,Milestones!$AA$46)&gt;=$T122),$W122,IF(AND($S122&lt;&gt;"",EDATE($D122,Milestones!$AA$46)&gt;=$S122),$V122,$U122)))=Milestones!$AB$46),UPPER(TEXT(EDATE($D122,Milestones!$AA$46),"dd mmm yy"))&amp;" "&amp;Milestones!$AB$46&amp;" "&amp;Milestones!$AC$46&amp;";  ","")&amp;IF(AND(EDATE($D122,Milestones!$AA$47)&lt;=AsOfDate,IF($R122=0,$X122,IF(AND($T122&lt;&gt;"",EDATE($D122,Milestones!$AA$47)&gt;=$T122),$W122,IF(AND($S122&lt;&gt;"",EDATE($D122,Milestones!$AA$47)&gt;=$S122),$V122,$U122)))=Milestones!$AB$47),UPPER(TEXT(EDATE($D122,Milestones!$AA$47),"dd mmm yy"))&amp;" "&amp;Milestones!$AB$47&amp;" "&amp;Milestones!$AC$47&amp;";  ","")&amp;IF(AND(EDATE($D122,Milestones!$AA$48)&lt;=AsOfDate,IF($R122=0,$X122,IF(AND($T122&lt;&gt;"",EDATE($D122,Milestones!$AA$48)&gt;=$T122),$W122,IF(AND($S122&lt;&gt;"",EDATE($D122,Milestones!$AA$48)&gt;=$S122),$V122,$U122)))=Milestones!$AB$48),UPPER(TEXT(EDATE($D122,Milestones!$AA$48),"dd mmm yy"))&amp;" "&amp;Milestones!$AB$48&amp;" "&amp;Milestones!$AC$48&amp;";  ","")&amp;IF(AND(EDATE($D122,Milestones!$AA$49)&lt;=AsOfDate,IF($R122=0,$X122,IF(AND($T122&lt;&gt;"",EDATE($D122,Milestones!$AA$49)&gt;=$T122),$W122,IF(AND($S122&lt;&gt;"",EDATE($D122,Milestones!$AA$49)&gt;=$S122),$V122,$U122)))=Milestones!$AB$49),UPPER(TEXT(EDATE($D122,Milestones!$AA$49),"dd mmm yy"))&amp;" "&amp;Milestones!$AB$49&amp;" "&amp;Milestones!$AC$49&amp;";  ","")&amp;IF(AND(EDATE($D122,Milestones!$AA$50)&lt;=AsOfDate,IF($R122=0,$X122,IF(AND($T122&lt;&gt;"",EDATE($D122,Milestones!$AA$50)&gt;=$T122),$W122,IF(AND($S122&lt;&gt;"",EDATE($D122,Milestones!$AA$50)&gt;=$S122),$V122,$U122)))=Milestones!$AB$50),UPPER(TEXT(EDATE($D122,Milestones!$AA$50),"dd mmm yy"))&amp;" "&amp;Milestones!$AB$50&amp;" "&amp;Milestones!$AC$50&amp;";  ","")&amp;IF(AND(EDATE($D122,Milestones!$AA$51)&lt;=AsOfDate,IF($R122=0,$X122,IF(AND($T122&lt;&gt;"",EDATE($D122,Milestones!$AA$51)&gt;=$T122),$W122,IF(AND($S122&lt;&gt;"",EDATE($D122,Milestones!$AA$51)&gt;=$S122),$V122,$U122)))=Milestones!$AB$51),UPPER(TEXT(EDATE($D122,Milestones!$AA$51),"dd mmm yy"))&amp;" "&amp;Milestones!$AB$51&amp;" "&amp;Milestones!$AC$51&amp;";  ","")&amp;IF(AND(EDATE($D122,Milestones!$AA$52)&lt;=AsOfDate,IF($R122=0,$X122,IF(AND($T122&lt;&gt;"",EDATE($D122,Milestones!$AA$52)&gt;=$T122),$W122,IF(AND($S122&lt;&gt;"",EDATE($D122,Milestones!$AA$52)&gt;=$S122),$V122,$U122)))=Milestones!$AB$52),UPPER(TEXT(EDATE($D122,Milestones!$AA$52),"dd mmm yy"))&amp;" "&amp;Milestones!$AB$52&amp;" "&amp;Milestones!$AC$52&amp;";  ","")&amp;IF(AND(EDATE($D122,Milestones!$AA$53)&lt;=AsOfDate,IF($R122=0,$X122,IF(AND($T122&lt;&gt;"",EDATE($D122,Milestones!$AA$53)&gt;=$T122),$W122,IF(AND($S122&lt;&gt;"",EDATE($D122,Milestones!$AA$53)&gt;=$S122),$V122,$U122)))=Milestones!$AB$53),UPPER(TEXT(EDATE($D122,Milestones!$AA$53),"dd mmm yy"))&amp;" "&amp;Milestones!$AB$53&amp;" "&amp;Milestones!$AC$53&amp;";  ","")&amp;IF(AND(EDATE($D122,Milestones!$AA$54)&lt;=AsOfDate,IF($R122=0,$X122,IF(AND($T122&lt;&gt;"",EDATE($D122,Milestones!$AA$54)&gt;=$T122),$W122,IF(AND($S122&lt;&gt;"",EDATE($D122,Milestones!$AA$54)&gt;=$S122),$V122,$U122)))=Milestones!$AB$54),UPPER(TEXT(EDATE($D122,Milestones!$AA$54),"dd mmm yy"))&amp;" "&amp;Milestones!$AB$54&amp;" "&amp;Milestones!$AC$54&amp;";  ","")&amp;IF(AND(EDATE($D122,Milestones!$AA$55)&lt;=AsOfDate,IF($R122=0,$X122,IF(AND($T122&lt;&gt;"",EDATE($D122,Milestones!$AA$55)&gt;=$T122),$W122,IF(AND($S122&lt;&gt;"",EDATE($D122,Milestones!$AA$55)&gt;=$S122),$V122,$U122)))=Milestones!$AB$55),UPPER(TEXT(EDATE($D122,Milestones!$AA$55),"dd mmm yy"))&amp;" "&amp;Milestones!$AB$55&amp;" "&amp;Milestones!$AC$55&amp;";  ","")&amp;IF(AND(EDATE($D122,Milestones!$AA$56)&lt;=AsOfDate,IF($R122=0,$X122,IF(AND($T122&lt;&gt;"",EDATE($D122,Milestones!$AA$56)&gt;=$T122),$W122,IF(AND($S122&lt;&gt;"",EDATE($D122,Milestones!$AA$56)&gt;=$S122),$V122,$U122)))=Milestones!$AB$56),UPPER(TEXT(EDATE($D122,Milestones!$AA$56),"dd mmm yy"))&amp;" "&amp;Milestones!$AB$56&amp;" "&amp;Milestones!$AC$56&amp;";  ","")&amp;IF(AND(EDATE($D122,Milestones!$AA$57)&lt;=AsOfDate,IF($R122=0,$X122,IF(AND($T122&lt;&gt;"",EDATE($D122,Milestones!$AA$57)&gt;=$T122),$W122,IF(AND($S122&lt;&gt;"",EDATE($D122,Milestones!$AA$57)&gt;=$S122),$V122,$U122)))=Milestones!$AB$57),UPPER(TEXT(EDATE($D122,Milestones!$AA$57),"dd mmm yy"))&amp;" "&amp;Milestones!$AB$57&amp;" "&amp;Milestones!$AC$57&amp;";  ","")&amp;IF(AND(EDATE($D122,Milestones!$AA$58)&lt;=AsOfDate,IF($R122=0,$X122,IF(AND($T122&lt;&gt;"",EDATE($D122,Milestones!$AA$58)&gt;=$T122),$W122,IF(AND($S122&lt;&gt;"",EDATE($D122,Milestones!$AA$58)&gt;=$S122),$V122,$U122)))=Milestones!$AB$58),UPPER(TEXT(EDATE($D122,Milestones!$AA$58),"dd mmm yy"))&amp;" "&amp;Milestones!$AB$58&amp;" "&amp;Milestones!$AC$58&amp;";  ","")&amp;IF(AND(EDATE($D122,Milestones!$AA$59)&lt;=AsOfDate,IF($R122=0,$X122,IF(AND($T122&lt;&gt;"",EDATE($D122,Milestones!$AA$59)&gt;=$T122),$W122,IF(AND($S122&lt;&gt;"",EDATE($D122,Milestones!$AA$59)&gt;=$S122),$V122,$U122)))=Milestones!$AB$59),UPPER(TEXT(EDATE($D122,Milestones!$AA$59),"dd mmm yy"))&amp;" "&amp;Milestones!$AB$59&amp;" "&amp;Milestones!$AC$59&amp;";  ",""))</f>
        <v/>
      </c>
      <c r="K122" s="0" t="str">
        <f aca="false">IF(OR($A122="",$D122=""),"",IF(AND(EDATE($D122,Milestones!$AA$60)&lt;=AsOfDate,IF($R122=0,$X122,IF(AND($T122&lt;&gt;"",EDATE($D122,Milestones!$AA$60)&gt;=$T122),$W122,IF(AND($S122&lt;&gt;"",EDATE($D122,Milestones!$AA$60)&gt;=$S122),$V122,$U122)))=Milestones!$AB$60),UPPER(TEXT(EDATE($D122,Milestones!$AA$60),"dd mmm yy"))&amp;" "&amp;Milestones!$AB$60&amp;" "&amp;Milestones!$AC$60&amp;";  ","")&amp;IF(AND(EDATE($D122,Milestones!$AA$61)&lt;=AsOfDate,IF($R122=0,$X122,IF(AND($T122&lt;&gt;"",EDATE($D122,Milestones!$AA$61)&gt;=$T122),$W122,IF(AND($S122&lt;&gt;"",EDATE($D122,Milestones!$AA$61)&gt;=$S122),$V122,$U122)))=Milestones!$AB$61),UPPER(TEXT(EDATE($D122,Milestones!$AA$61),"dd mmm yy"))&amp;" "&amp;Milestones!$AB$61&amp;" "&amp;Milestones!$AC$61&amp;";  ","")&amp;IF(AND(EDATE($D122,Milestones!$AA$62)&lt;=AsOfDate,IF($R122=0,$X122,IF(AND($T122&lt;&gt;"",EDATE($D122,Milestones!$AA$62)&gt;=$T122),$W122,IF(AND($S122&lt;&gt;"",EDATE($D122,Milestones!$AA$62)&gt;=$S122),$V122,$U122)))=Milestones!$AB$62),UPPER(TEXT(EDATE($D122,Milestones!$AA$62),"dd mmm yy"))&amp;" "&amp;Milestones!$AB$62&amp;" "&amp;Milestones!$AC$62&amp;";  ","")&amp;IF(AND(EDATE($D122,Milestones!$AA$63)&lt;=AsOfDate,IF($R122=0,$X122,IF(AND($T122&lt;&gt;"",EDATE($D122,Milestones!$AA$63)&gt;=$T122),$W122,IF(AND($S122&lt;&gt;"",EDATE($D122,Milestones!$AA$63)&gt;=$S122),$V122,$U122)))=Milestones!$AB$63),UPPER(TEXT(EDATE($D122,Milestones!$AA$63),"dd mmm yy"))&amp;" "&amp;Milestones!$AB$63&amp;" "&amp;Milestones!$AC$63&amp;";  ","")&amp;IF(AND(EDATE($D122,Milestones!$AA$64)&lt;=AsOfDate,IF($R122=0,$X122,IF(AND($T122&lt;&gt;"",EDATE($D122,Milestones!$AA$64)&gt;=$T122),$W122,IF(AND($S122&lt;&gt;"",EDATE($D122,Milestones!$AA$64)&gt;=$S122),$V122,$U122)))=Milestones!$AB$64),UPPER(TEXT(EDATE($D122,Milestones!$AA$64),"dd mmm yy"))&amp;" "&amp;Milestones!$AB$64&amp;" "&amp;Milestones!$AC$64&amp;";  ","")&amp;IF(AND(EDATE($D122,Milestones!$AA$65)&lt;=AsOfDate,IF($R122=0,$X122,IF(AND($T122&lt;&gt;"",EDATE($D122,Milestones!$AA$65)&gt;=$T122),$W122,IF(AND($S122&lt;&gt;"",EDATE($D122,Milestones!$AA$65)&gt;=$S122),$V122,$U122)))=Milestones!$AB$65),UPPER(TEXT(EDATE($D122,Milestones!$AA$65),"dd mmm yy"))&amp;" "&amp;Milestones!$AB$65&amp;" "&amp;Milestones!$AC$65&amp;";  ","")&amp;IF(AND(EDATE($D122,Milestones!$AA$66)&lt;=AsOfDate,IF($R122=0,$X122,IF(AND($T122&lt;&gt;"",EDATE($D122,Milestones!$AA$66)&gt;=$T122),$W122,IF(AND($S122&lt;&gt;"",EDATE($D122,Milestones!$AA$66)&gt;=$S122),$V122,$U122)))=Milestones!$AB$66),UPPER(TEXT(EDATE($D122,Milestones!$AA$66),"dd mmm yy"))&amp;" "&amp;Milestones!$AB$66&amp;" "&amp;Milestones!$AC$66&amp;";  ","")&amp;IF(AND(EDATE($D122,Milestones!$AA$67)&lt;=AsOfDate,IF($R122=0,$X122,IF(AND($T122&lt;&gt;"",EDATE($D122,Milestones!$AA$67)&gt;=$T122),$W122,IF(AND($S122&lt;&gt;"",EDATE($D122,Milestones!$AA$67)&gt;=$S122),$V122,$U122)))=Milestones!$AB$67),UPPER(TEXT(EDATE($D122,Milestones!$AA$67),"dd mmm yy"))&amp;" "&amp;Milestones!$AB$67&amp;" "&amp;Milestones!$AC$67&amp;";  ","")&amp;IF(AND(EDATE($D122,Milestones!$AA$68)&lt;=AsOfDate,IF($R122=0,$X122,IF(AND($T122&lt;&gt;"",EDATE($D122,Milestones!$AA$68)&gt;=$T122),$W122,IF(AND($S122&lt;&gt;"",EDATE($D122,Milestones!$AA$68)&gt;=$S122),$V122,$U122)))=Milestones!$AB$68),UPPER(TEXT(EDATE($D122,Milestones!$AA$68),"dd mmm yy"))&amp;" "&amp;Milestones!$AB$68&amp;" "&amp;Milestones!$AC$68&amp;";  ","")&amp;IF(AND(EDATE($D122,Milestones!$AA$69)&lt;=AsOfDate,IF($R122=0,$X122,IF(AND($T122&lt;&gt;"",EDATE($D122,Milestones!$AA$69)&gt;=$T122),$W122,IF(AND($S122&lt;&gt;"",EDATE($D122,Milestones!$AA$69)&gt;=$S122),$V122,$U122)))=Milestones!$AB$69),UPPER(TEXT(EDATE($D122,Milestones!$AA$69),"dd mmm yy"))&amp;" "&amp;Milestones!$AB$69&amp;" "&amp;Milestones!$AC$69&amp;";  ","")&amp;IF(AND(EDATE($D122,Milestones!$AA$70)&lt;=AsOfDate,IF($R122=0,$X122,IF(AND($T122&lt;&gt;"",EDATE($D122,Milestones!$AA$70)&gt;=$T122),$W122,IF(AND($S122&lt;&gt;"",EDATE($D122,Milestones!$AA$70)&gt;=$S122),$V122,$U122)))=Milestones!$AB$70),UPPER(TEXT(EDATE($D122,Milestones!$AA$70),"dd mmm yy"))&amp;" "&amp;Milestones!$AB$70&amp;" "&amp;Milestones!$AC$70&amp;";  ","")&amp;IF(AND(EDATE($D122,Milestones!$AA$71)&lt;=AsOfDate,IF($R122=0,$X122,IF(AND($T122&lt;&gt;"",EDATE($D122,Milestones!$AA$71)&gt;=$T122),$W122,IF(AND($S122&lt;&gt;"",EDATE($D122,Milestones!$AA$71)&gt;=$S122),$V122,$U122)))=Milestones!$AB$71),UPPER(TEXT(EDATE($D122,Milestones!$AA$71),"dd mmm yy"))&amp;" "&amp;Milestones!$AB$71&amp;" "&amp;Milestones!$AC$71&amp;";  ","")&amp;IF(AND(EDATE($D122,Milestones!$AA$72)&lt;=AsOfDate,IF($R122=0,$X122,IF(AND($T122&lt;&gt;"",EDATE($D122,Milestones!$AA$72)&gt;=$T122),$W122,IF(AND($S122&lt;&gt;"",EDATE($D122,Milestones!$AA$72)&gt;=$S122),$V122,$U122)))=Milestones!$AB$72),UPPER(TEXT(EDATE($D122,Milestones!$AA$72),"dd mmm yy"))&amp;" "&amp;Milestones!$AB$72&amp;" "&amp;Milestones!$AC$72&amp;";  ","")&amp;IF(AND(EDATE($D122,Milestones!$AA$73)&lt;=AsOfDate,IF($R122=0,$X122,IF(AND($T122&lt;&gt;"",EDATE($D122,Milestones!$AA$73)&gt;=$T122),$W122,IF(AND($S122&lt;&gt;"",EDATE($D122,Milestones!$AA$73)&gt;=$S122),$V122,$U122)))=Milestones!$AB$73),UPPER(TEXT(EDATE($D122,Milestones!$AA$73),"dd mmm yy"))&amp;" "&amp;Milestones!$AB$73&amp;" "&amp;Milestones!$AC$73&amp;";  ","")&amp;IF(AND(EDATE($D122,Milestones!$AA$74)&lt;=AsOfDate,IF($R122=0,$X122,IF(AND($T122&lt;&gt;"",EDATE($D122,Milestones!$AA$74)&gt;=$T122),$W122,IF(AND($S122&lt;&gt;"",EDATE($D122,Milestones!$AA$74)&gt;=$S122),$V122,$U122)))=Milestones!$AB$74),UPPER(TEXT(EDATE($D122,Milestones!$AA$74),"dd mmm yy"))&amp;" "&amp;Milestones!$AB$74&amp;" "&amp;Milestones!$AC$74&amp;";  ","")&amp;IF(AND(EDATE($D122,Milestones!$AA$75)&lt;=AsOfDate,IF($R122=0,$X122,IF(AND($T122&lt;&gt;"",EDATE($D122,Milestones!$AA$75)&gt;=$T122),$W122,IF(AND($S122&lt;&gt;"",EDATE($D122,Milestones!$AA$75)&gt;=$S122),$V122,$U122)))=Milestones!$AB$75),UPPER(TEXT(EDATE($D122,Milestones!$AA$75),"dd mmm yy"))&amp;" "&amp;Milestones!$AB$75&amp;" "&amp;Milestones!$AC$75&amp;";  ","")&amp;IF(AND(EDATE($D122,Milestones!$AA$76)&lt;=AsOfDate,IF($R122=0,$X122,IF(AND($T122&lt;&gt;"",EDATE($D122,Milestones!$AA$76)&gt;=$T122),$W122,IF(AND($S122&lt;&gt;"",EDATE($D122,Milestones!$AA$76)&gt;=$S122),$V122,$U122)))=Milestones!$AB$76),UPPER(TEXT(EDATE($D122,Milestones!$AA$76),"dd mmm yy"))&amp;" "&amp;Milestones!$AB$76&amp;" "&amp;Milestones!$AC$76&amp;";  ","")&amp;IF(AND(EDATE($D122,Milestones!$AA$77)&lt;=AsOfDate,IF($R122=0,$X122,IF(AND($T122&lt;&gt;"",EDATE($D122,Milestones!$AA$77)&gt;=$T122),$W122,IF(AND($S122&lt;&gt;"",EDATE($D122,Milestones!$AA$77)&gt;=$S122),$V122,$U122)))=Milestones!$AB$77),UPPER(TEXT(EDATE($D122,Milestones!$AA$77),"dd mmm yy"))&amp;" "&amp;Milestones!$AB$77&amp;" "&amp;Milestones!$AC$77&amp;";  ","")&amp;IF(AND(EDATE($D122,Milestones!$AA$78)&lt;=AsOfDate,IF($R122=0,$X122,IF(AND($T122&lt;&gt;"",EDATE($D122,Milestones!$AA$78)&gt;=$T122),$W122,IF(AND($S122&lt;&gt;"",EDATE($D122,Milestones!$AA$78)&gt;=$S122),$V122,$U122)))=Milestones!$AB$78),UPPER(TEXT(EDATE($D122,Milestones!$AA$78),"dd mmm yy"))&amp;" "&amp;Milestones!$AB$78&amp;" "&amp;Milestones!$AC$78&amp;";  ","")&amp;IF(AND(EDATE($D122,Milestones!$AA$79)&lt;=AsOfDate,IF($R122=0,$X122,IF(AND($T122&lt;&gt;"",EDATE($D122,Milestones!$AA$79)&gt;=$T122),$W122,IF(AND($S122&lt;&gt;"",EDATE($D122,Milestones!$AA$79)&gt;=$S122),$V122,$U122)))=Milestones!$AB$79),UPPER(TEXT(EDATE($D122,Milestones!$AA$79),"dd mmm yy"))&amp;" "&amp;Milestones!$AB$79&amp;" "&amp;Milestones!$AC$79&amp;";  ",""))</f>
        <v/>
      </c>
      <c r="L122" s="0" t="str">
        <f aca="false">IF(OR($A122="",$D122=""),"",IF(AND(EDATE($D122,Milestones!$AA$80)&lt;=AsOfDate,IF($R122=0,$X122,IF(AND($T122&lt;&gt;"",EDATE($D122,Milestones!$AA$80)&gt;=$T122),$W122,IF(AND($S122&lt;&gt;"",EDATE($D122,Milestones!$AA$80)&gt;=$S122),$V122,$U122)))=Milestones!$AB$80),UPPER(TEXT(EDATE($D122,Milestones!$AA$80),"dd mmm yy"))&amp;" "&amp;Milestones!$AB$80&amp;" "&amp;Milestones!$AC$80&amp;";  ","")&amp;IF(AND(EDATE($D122,Milestones!$AA$81)&lt;=AsOfDate,IF($R122=0,$X122,IF(AND($T122&lt;&gt;"",EDATE($D122,Milestones!$AA$81)&gt;=$T122),$W122,IF(AND($S122&lt;&gt;"",EDATE($D122,Milestones!$AA$81)&gt;=$S122),$V122,$U122)))=Milestones!$AB$81),UPPER(TEXT(EDATE($D122,Milestones!$AA$81),"dd mmm yy"))&amp;" "&amp;Milestones!$AB$81&amp;" "&amp;Milestones!$AC$81&amp;";  ","")&amp;IF(AND(EDATE($D122,Milestones!$AA$82)&lt;=AsOfDate,IF($R122=0,$X122,IF(AND($T122&lt;&gt;"",EDATE($D122,Milestones!$AA$82)&gt;=$T122),$W122,IF(AND($S122&lt;&gt;"",EDATE($D122,Milestones!$AA$82)&gt;=$S122),$V122,$U122)))=Milestones!$AB$82),UPPER(TEXT(EDATE($D122,Milestones!$AA$82),"dd mmm yy"))&amp;" "&amp;Milestones!$AB$82&amp;" "&amp;Milestones!$AC$82&amp;";  ","")&amp;IF(AND(EDATE($D122,Milestones!$AA$83)&lt;=AsOfDate,IF($R122=0,$X122,IF(AND($T122&lt;&gt;"",EDATE($D122,Milestones!$AA$83)&gt;=$T122),$W122,IF(AND($S122&lt;&gt;"",EDATE($D122,Milestones!$AA$83)&gt;=$S122),$V122,$U122)))=Milestones!$AB$83),UPPER(TEXT(EDATE($D122,Milestones!$AA$83),"dd mmm yy"))&amp;" "&amp;Milestones!$AB$83&amp;" "&amp;Milestones!$AC$83&amp;";  ","")&amp;IF(AND(EDATE($D122,Milestones!$AA$84)&lt;=AsOfDate,IF($R122=0,$X122,IF(AND($T122&lt;&gt;"",EDATE($D122,Milestones!$AA$84)&gt;=$T122),$W122,IF(AND($S122&lt;&gt;"",EDATE($D122,Milestones!$AA$84)&gt;=$S122),$V122,$U122)))=Milestones!$AB$84),UPPER(TEXT(EDATE($D122,Milestones!$AA$84),"dd mmm yy"))&amp;" "&amp;Milestones!$AB$84&amp;" "&amp;Milestones!$AC$84&amp;";  ","")&amp;IF(AND(EDATE($D122,Milestones!$AA$85)&lt;=AsOfDate,IF($R122=0,$X122,IF(AND($T122&lt;&gt;"",EDATE($D122,Milestones!$AA$85)&gt;=$T122),$W122,IF(AND($S122&lt;&gt;"",EDATE($D122,Milestones!$AA$85)&gt;=$S122),$V122,$U122)))=Milestones!$AB$85),UPPER(TEXT(EDATE($D122,Milestones!$AA$85),"dd mmm yy"))&amp;" "&amp;Milestones!$AB$85&amp;" "&amp;Milestones!$AC$85&amp;";  ","")&amp;IF(AND(EDATE($D122,Milestones!$AA$86)&lt;=AsOfDate,IF($R122=0,$X122,IF(AND($T122&lt;&gt;"",EDATE($D122,Milestones!$AA$86)&gt;=$T122),$W122,IF(AND($S122&lt;&gt;"",EDATE($D122,Milestones!$AA$86)&gt;=$S122),$V122,$U122)))=Milestones!$AB$86),UPPER(TEXT(EDATE($D122,Milestones!$AA$86),"dd mmm yy"))&amp;" "&amp;Milestones!$AB$86&amp;" "&amp;Milestones!$AC$86&amp;";  ","")&amp;IF(AND(EDATE($D122,Milestones!$AA$87)&lt;=AsOfDate,IF($R122=0,$X122,IF(AND($T122&lt;&gt;"",EDATE($D122,Milestones!$AA$87)&gt;=$T122),$W122,IF(AND($S122&lt;&gt;"",EDATE($D122,Milestones!$AA$87)&gt;=$S122),$V122,$U122)))=Milestones!$AB$87),UPPER(TEXT(EDATE($D122,Milestones!$AA$87),"dd mmm yy"))&amp;" "&amp;Milestones!$AB$87&amp;" "&amp;Milestones!$AC$87&amp;";  ","")&amp;IF(AND(EDATE($D122,Milestones!$AA$88)&lt;=AsOfDate,IF($R122=0,$X122,IF(AND($T122&lt;&gt;"",EDATE($D122,Milestones!$AA$88)&gt;=$T122),$W122,IF(AND($S122&lt;&gt;"",EDATE($D122,Milestones!$AA$88)&gt;=$S122),$V122,$U122)))=Milestones!$AB$88),UPPER(TEXT(EDATE($D122,Milestones!$AA$88),"dd mmm yy"))&amp;" "&amp;Milestones!$AB$88&amp;" "&amp;Milestones!$AC$88&amp;";  ","")&amp;IF(AND(EDATE($D122,Milestones!$AA$89)&lt;=AsOfDate,IF($R122=0,$X122,IF(AND($T122&lt;&gt;"",EDATE($D122,Milestones!$AA$89)&gt;=$T122),$W122,IF(AND($S122&lt;&gt;"",EDATE($D122,Milestones!$AA$89)&gt;=$S122),$V122,$U122)))=Milestones!$AB$89),UPPER(TEXT(EDATE($D122,Milestones!$AA$89),"dd mmm yy"))&amp;" "&amp;Milestones!$AB$89&amp;" "&amp;Milestones!$AC$89&amp;";  ","")&amp;IF(AND(EDATE($D122,Milestones!$AA$90)&lt;=AsOfDate,IF($R122=0,$X122,IF(AND($T122&lt;&gt;"",EDATE($D122,Milestones!$AA$90)&gt;=$T122),$W122,IF(AND($S122&lt;&gt;"",EDATE($D122,Milestones!$AA$90)&gt;=$S122),$V122,$U122)))=Milestones!$AB$90),UPPER(TEXT(EDATE($D122,Milestones!$AA$90),"dd mmm yy"))&amp;" "&amp;Milestones!$AB$90&amp;" "&amp;Milestones!$AC$90&amp;";  ","")&amp;IF(AND(EDATE($D122,Milestones!$AA$91)&lt;=AsOfDate,IF($R122=0,$X122,IF(AND($T122&lt;&gt;"",EDATE($D122,Milestones!$AA$91)&gt;=$T122),$W122,IF(AND($S122&lt;&gt;"",EDATE($D122,Milestones!$AA$91)&gt;=$S122),$V122,$U122)))=Milestones!$AB$91),UPPER(TEXT(EDATE($D122,Milestones!$AA$91),"dd mmm yy"))&amp;" "&amp;Milestones!$AB$91&amp;" "&amp;Milestones!$AC$91&amp;";  ","")&amp;IF(AND(EDATE($D122,Milestones!$AA$92)&lt;=AsOfDate,IF($R122=0,$X122,IF(AND($T122&lt;&gt;"",EDATE($D122,Milestones!$AA$92)&gt;=$T122),$W122,IF(AND($S122&lt;&gt;"",EDATE($D122,Milestones!$AA$92)&gt;=$S122),$V122,$U122)))=Milestones!$AB$92),UPPER(TEXT(EDATE($D122,Milestones!$AA$92),"dd mmm yy"))&amp;" "&amp;Milestones!$AB$92&amp;" "&amp;Milestones!$AC$92&amp;";  ","")&amp;IF(AND(EDATE($D122,Milestones!$AA$93)&lt;=AsOfDate,IF($R122=0,$X122,IF(AND($T122&lt;&gt;"",EDATE($D122,Milestones!$AA$93)&gt;=$T122),$W122,IF(AND($S122&lt;&gt;"",EDATE($D122,Milestones!$AA$93)&gt;=$S122),$V122,$U122)))=Milestones!$AB$93),UPPER(TEXT(EDATE($D122,Milestones!$AA$93),"dd mmm yy"))&amp;" "&amp;Milestones!$AB$93&amp;" "&amp;Milestones!$AC$93&amp;";  ","")&amp;IF(AND(EDATE($D122,Milestones!$AA$94)&lt;=AsOfDate,IF($R122=0,$X122,IF(AND($T122&lt;&gt;"",EDATE($D122,Milestones!$AA$94)&gt;=$T122),$W122,IF(AND($S122&lt;&gt;"",EDATE($D122,Milestones!$AA$94)&gt;=$S122),$V122,$U122)))=Milestones!$AB$94),UPPER(TEXT(EDATE($D122,Milestones!$AA$94),"dd mmm yy"))&amp;" "&amp;Milestones!$AB$94&amp;" "&amp;Milestones!$AC$94&amp;";  ","")&amp;IF(AND(EDATE($D122,Milestones!$AA$95)&lt;=AsOfDate,IF($R122=0,$X122,IF(AND($T122&lt;&gt;"",EDATE($D122,Milestones!$AA$95)&gt;=$T122),$W122,IF(AND($S122&lt;&gt;"",EDATE($D122,Milestones!$AA$95)&gt;=$S122),$V122,$U122)))=Milestones!$AB$95),UPPER(TEXT(EDATE($D122,Milestones!$AA$95),"dd mmm yy"))&amp;" "&amp;Milestones!$AB$95&amp;" "&amp;Milestones!$AC$95&amp;";  ","")&amp;IF(AND(EDATE($D122,Milestones!$AA$96)&lt;=AsOfDate,IF($R122=0,$X122,IF(AND($T122&lt;&gt;"",EDATE($D122,Milestones!$AA$96)&gt;=$T122),$W122,IF(AND($S122&lt;&gt;"",EDATE($D122,Milestones!$AA$96)&gt;=$S122),$V122,$U122)))=Milestones!$AB$96),UPPER(TEXT(EDATE($D122,Milestones!$AA$96),"dd mmm yy"))&amp;" "&amp;Milestones!$AB$96&amp;" "&amp;Milestones!$AC$96&amp;";  ","")&amp;IF(AND(EDATE($D122,Milestones!$AA$97)&lt;=AsOfDate,IF($R122=0,$X122,IF(AND($T122&lt;&gt;"",EDATE($D122,Milestones!$AA$97)&gt;=$T122),$W122,IF(AND($S122&lt;&gt;"",EDATE($D122,Milestones!$AA$97)&gt;=$S122),$V122,$U122)))=Milestones!$AB$97),UPPER(TEXT(EDATE($D122,Milestones!$AA$97),"dd mmm yy"))&amp;" "&amp;Milestones!$AB$97&amp;" "&amp;Milestones!$AC$97&amp;";  ","")&amp;IF(AND(EDATE($D122,Milestones!$AA$98)&lt;=AsOfDate,IF($R122=0,$X122,IF(AND($T122&lt;&gt;"",EDATE($D122,Milestones!$AA$98)&gt;=$T122),$W122,IF(AND($S122&lt;&gt;"",EDATE($D122,Milestones!$AA$98)&gt;=$S122),$V122,$U122)))=Milestones!$AB$98),UPPER(TEXT(EDATE($D122,Milestones!$AA$98),"dd mmm yy"))&amp;" "&amp;Milestones!$AB$98&amp;" "&amp;Milestones!$AC$98&amp;";  ","")&amp;IF(AND(EDATE($D122,Milestones!$AA$99)&lt;=AsOfDate,IF($R122=0,$X122,IF(AND($T122&lt;&gt;"",EDATE($D122,Milestones!$AA$99)&gt;=$T122),$W122,IF(AND($S122&lt;&gt;"",EDATE($D122,Milestones!$AA$99)&gt;=$S122),$V122,$U122)))=Milestones!$AB$99),UPPER(TEXT(EDATE($D122,Milestones!$AA$99),"dd mmm yy"))&amp;" "&amp;Milestones!$AB$99&amp;" "&amp;Milestones!$AC$99&amp;";  ",""))</f>
        <v/>
      </c>
      <c r="M122" s="0" t="str">
        <f aca="false">IF(OR($A122="",$D122=""),"",IF(AND(EDATE($D122,Milestones!$AA$100)&lt;=AsOfDate,IF($R122=0,$X122,IF(AND($T122&lt;&gt;"",EDATE($D122,Milestones!$AA$100)&gt;=$T122),$W122,IF(AND($S122&lt;&gt;"",EDATE($D122,Milestones!$AA$100)&gt;=$S122),$V122,$U122)))=Milestones!$AB$100),UPPER(TEXT(EDATE($D122,Milestones!$AA$100),"dd mmm yy"))&amp;" "&amp;Milestones!$AB$100&amp;" "&amp;Milestones!$AC$100&amp;";  ","")&amp;IF(AND(EDATE($D122,Milestones!$AA$101)&lt;=AsOfDate,IF($R122=0,$X122,IF(AND($T122&lt;&gt;"",EDATE($D122,Milestones!$AA$101)&gt;=$T122),$W122,IF(AND($S122&lt;&gt;"",EDATE($D122,Milestones!$AA$101)&gt;=$S122),$V122,$U122)))=Milestones!$AB$101),UPPER(TEXT(EDATE($D122,Milestones!$AA$101),"dd mmm yy"))&amp;" "&amp;Milestones!$AB$101&amp;" "&amp;Milestones!$AC$101&amp;";  ","")&amp;IF(AND(EDATE($D122,Milestones!$AA$102)&lt;=AsOfDate,IF($R122=0,$X122,IF(AND($T122&lt;&gt;"",EDATE($D122,Milestones!$AA$102)&gt;=$T122),$W122,IF(AND($S122&lt;&gt;"",EDATE($D122,Milestones!$AA$102)&gt;=$S122),$V122,$U122)))=Milestones!$AB$102),UPPER(TEXT(EDATE($D122,Milestones!$AA$102),"dd mmm yy"))&amp;" "&amp;Milestones!$AB$102&amp;" "&amp;Milestones!$AC$102&amp;";  ","")&amp;IF(AND(EDATE($D122,Milestones!$AA$103)&lt;=AsOfDate,IF($R122=0,$X122,IF(AND($T122&lt;&gt;"",EDATE($D122,Milestones!$AA$103)&gt;=$T122),$W122,IF(AND($S122&lt;&gt;"",EDATE($D122,Milestones!$AA$103)&gt;=$S122),$V122,$U122)))=Milestones!$AB$103),UPPER(TEXT(EDATE($D122,Milestones!$AA$103),"dd mmm yy"))&amp;" "&amp;Milestones!$AB$103&amp;" "&amp;Milestones!$AC$103&amp;";  ","")&amp;IF(AND(EDATE($D122,Milestones!$AA$104)&lt;=AsOfDate,IF($R122=0,$X122,IF(AND($T122&lt;&gt;"",EDATE($D122,Milestones!$AA$104)&gt;=$T122),$W122,IF(AND($S122&lt;&gt;"",EDATE($D122,Milestones!$AA$104)&gt;=$S122),$V122,$U122)))=Milestones!$AB$104),UPPER(TEXT(EDATE($D122,Milestones!$AA$104),"dd mmm yy"))&amp;" "&amp;Milestones!$AB$104&amp;" "&amp;Milestones!$AC$104&amp;";  ","")&amp;IF(AND(EDATE($D122,Milestones!$AA$105)&lt;=AsOfDate,IF($R122=0,$X122,IF(AND($T122&lt;&gt;"",EDATE($D122,Milestones!$AA$105)&gt;=$T122),$W122,IF(AND($S122&lt;&gt;"",EDATE($D122,Milestones!$AA$105)&gt;=$S122),$V122,$U122)))=Milestones!$AB$105),UPPER(TEXT(EDATE($D122,Milestones!$AA$105),"dd mmm yy"))&amp;" "&amp;Milestones!$AB$105&amp;" "&amp;Milestones!$AC$105&amp;";  ","")&amp;IF(AND(EDATE($D122,Milestones!$AA$106)&lt;=AsOfDate,IF($R122=0,$X122,IF(AND($T122&lt;&gt;"",EDATE($D122,Milestones!$AA$106)&gt;=$T122),$W122,IF(AND($S122&lt;&gt;"",EDATE($D122,Milestones!$AA$106)&gt;=$S122),$V122,$U122)))=Milestones!$AB$106),UPPER(TEXT(EDATE($D122,Milestones!$AA$106),"dd mmm yy"))&amp;" "&amp;Milestones!$AB$106&amp;" "&amp;Milestones!$AC$106&amp;";  ","")&amp;IF(AND(EDATE($D122,Milestones!$AA$107)&lt;=AsOfDate,IF($R122=0,$X122,IF(AND($T122&lt;&gt;"",EDATE($D122,Milestones!$AA$107)&gt;=$T122),$W122,IF(AND($S122&lt;&gt;"",EDATE($D122,Milestones!$AA$107)&gt;=$S122),$V122,$U122)))=Milestones!$AB$107),UPPER(TEXT(EDATE($D122,Milestones!$AA$107),"dd mmm yy"))&amp;" "&amp;Milestones!$AB$107&amp;" "&amp;Milestones!$AC$107&amp;";  ","")&amp;IF(AND(EDATE($D122,Milestones!$AA$108)&lt;=AsOfDate,IF($R122=0,$X122,IF(AND($T122&lt;&gt;"",EDATE($D122,Milestones!$AA$108)&gt;=$T122),$W122,IF(AND($S122&lt;&gt;"",EDATE($D122,Milestones!$AA$108)&gt;=$S122),$V122,$U122)))=Milestones!$AB$108),UPPER(TEXT(EDATE($D122,Milestones!$AA$108),"dd mmm yy"))&amp;" "&amp;Milestones!$AB$108&amp;" "&amp;Milestones!$AC$108&amp;";  ","")&amp;IF(AND(EDATE($D122,Milestones!$AA$109)&lt;=AsOfDate,IF($R122=0,$X122,IF(AND($T122&lt;&gt;"",EDATE($D122,Milestones!$AA$109)&gt;=$T122),$W122,IF(AND($S122&lt;&gt;"",EDATE($D122,Milestones!$AA$109)&gt;=$S122),$V122,$U122)))=Milestones!$AB$109),UPPER(TEXT(EDATE($D122,Milestones!$AA$109),"dd mmm yy"))&amp;" "&amp;Milestones!$AB$109&amp;" "&amp;Milestones!$AC$109&amp;";  ","")&amp;IF(AND(EDATE($D122,Milestones!$AA$110)&lt;=AsOfDate,IF($R122=0,$X122,IF(AND($T122&lt;&gt;"",EDATE($D122,Milestones!$AA$110)&gt;=$T122),$W122,IF(AND($S122&lt;&gt;"",EDATE($D122,Milestones!$AA$110)&gt;=$S122),$V122,$U122)))=Milestones!$AB$110),UPPER(TEXT(EDATE($D122,Milestones!$AA$110),"dd mmm yy"))&amp;" "&amp;Milestones!$AB$110&amp;" "&amp;Milestones!$AC$110&amp;";  ","")&amp;IF(AND(EDATE($D122,Milestones!$AA$111)&lt;=AsOfDate,IF($R122=0,$X122,IF(AND($T122&lt;&gt;"",EDATE($D122,Milestones!$AA$111)&gt;=$T122),$W122,IF(AND($S122&lt;&gt;"",EDATE($D122,Milestones!$AA$111)&gt;=$S122),$V122,$U122)))=Milestones!$AB$111),UPPER(TEXT(EDATE($D122,Milestones!$AA$111),"dd mmm yy"))&amp;" "&amp;Milestones!$AB$111&amp;" "&amp;Milestones!$AC$111&amp;";  ","")&amp;IF(AND(EDATE($D122,Milestones!$AA$112)&lt;=AsOfDate,IF($R122=0,$X122,IF(AND($T122&lt;&gt;"",EDATE($D122,Milestones!$AA$112)&gt;=$T122),$W122,IF(AND($S122&lt;&gt;"",EDATE($D122,Milestones!$AA$112)&gt;=$S122),$V122,$U122)))=Milestones!$AB$112),UPPER(TEXT(EDATE($D122,Milestones!$AA$112),"dd mmm yy"))&amp;" "&amp;Milestones!$AB$112&amp;" "&amp;Milestones!$AC$112&amp;";  ","")&amp;IF(AND(EDATE($D122,Milestones!$AA$113)&lt;=AsOfDate,IF($R122=0,$X122,IF(AND($T122&lt;&gt;"",EDATE($D122,Milestones!$AA$113)&gt;=$T122),$W122,IF(AND($S122&lt;&gt;"",EDATE($D122,Milestones!$AA$113)&gt;=$S122),$V122,$U122)))=Milestones!$AB$113),UPPER(TEXT(EDATE($D122,Milestones!$AA$113),"dd mmm yy"))&amp;" "&amp;Milestones!$AB$113&amp;" "&amp;Milestones!$AC$113&amp;";  ","")&amp;IF(AND(EDATE($D122,Milestones!$AA$114)&lt;=AsOfDate,IF($R122=0,$X122,IF(AND($T122&lt;&gt;"",EDATE($D122,Milestones!$AA$114)&gt;=$T122),$W122,IF(AND($S122&lt;&gt;"",EDATE($D122,Milestones!$AA$114)&gt;=$S122),$V122,$U122)))=Milestones!$AB$114),UPPER(TEXT(EDATE($D122,Milestones!$AA$114),"dd mmm yy"))&amp;" "&amp;Milestones!$AB$114&amp;" "&amp;Milestones!$AC$114&amp;";  ","")&amp;IF(AND(EDATE($D122,Milestones!$AA$115)&lt;=AsOfDate,IF($R122=0,$X122,IF(AND($T122&lt;&gt;"",EDATE($D122,Milestones!$AA$115)&gt;=$T122),$W122,IF(AND($S122&lt;&gt;"",EDATE($D122,Milestones!$AA$115)&gt;=$S122),$V122,$U122)))=Milestones!$AB$115),UPPER(TEXT(EDATE($D122,Milestones!$AA$115),"dd mmm yy"))&amp;" "&amp;Milestones!$AB$115&amp;" "&amp;Milestones!$AC$115&amp;";  ","")&amp;IF(AND(EDATE($D122,Milestones!$AA$116)&lt;=AsOfDate,IF($R122=0,$X122,IF(AND($T122&lt;&gt;"",EDATE($D122,Milestones!$AA$116)&gt;=$T122),$W122,IF(AND($S122&lt;&gt;"",EDATE($D122,Milestones!$AA$116)&gt;=$S122),$V122,$U122)))=Milestones!$AB$116),UPPER(TEXT(EDATE($D122,Milestones!$AA$116),"dd mmm yy"))&amp;" "&amp;Milestones!$AB$116&amp;" "&amp;Milestones!$AC$116&amp;";  ","")&amp;IF(AND(EDATE($D122,Milestones!$AA$117)&lt;=AsOfDate,IF($R122=0,$X122,IF(AND($T122&lt;&gt;"",EDATE($D122,Milestones!$AA$117)&gt;=$T122),$W122,IF(AND($S122&lt;&gt;"",EDATE($D122,Milestones!$AA$117)&gt;=$S122),$V122,$U122)))=Milestones!$AB$117),UPPER(TEXT(EDATE($D122,Milestones!$AA$117),"dd mmm yy"))&amp;" "&amp;Milestones!$AB$117&amp;" "&amp;Milestones!$AC$117&amp;";  ","")&amp;IF(AND(EDATE($D122,Milestones!$AA$118)&lt;=AsOfDate,IF($R122=0,$X122,IF(AND($T122&lt;&gt;"",EDATE($D122,Milestones!$AA$118)&gt;=$T122),$W122,IF(AND($S122&lt;&gt;"",EDATE($D122,Milestones!$AA$118)&gt;=$S122),$V122,$U122)))=Milestones!$AB$118),UPPER(TEXT(EDATE($D122,Milestones!$AA$118),"dd mmm yy"))&amp;" "&amp;Milestones!$AB$118&amp;" "&amp;Milestones!$AC$118&amp;";  ","")&amp;IF(AND(EDATE($D122,Milestones!$AA$119)&lt;=AsOfDate,IF($R122=0,$X122,IF(AND($T122&lt;&gt;"",EDATE($D122,Milestones!$AA$119)&gt;=$T122),$W122,IF(AND($S122&lt;&gt;"",EDATE($D122,Milestones!$AA$119)&gt;=$S122),$V122,$U122)))=Milestones!$AB$119),UPPER(TEXT(EDATE($D122,Milestones!$AA$119),"dd mmm yy"))&amp;" "&amp;Milestones!$AB$119&amp;" "&amp;Milestones!$AC$119&amp;";  ",""))</f>
        <v/>
      </c>
      <c r="N122" s="0" t="str">
        <f aca="false">IF(OR($A122="",$D122=""),"",IF(AND(EDATE($D122,Milestones!$AA$120)&lt;=AsOfDate,IF($R122=0,$X122,IF(AND($T122&lt;&gt;"",EDATE($D122,Milestones!$AA$120)&gt;=$T122),$W122,IF(AND($S122&lt;&gt;"",EDATE($D122,Milestones!$AA$120)&gt;=$S122),$V122,$U122)))=Milestones!$AB$120),UPPER(TEXT(EDATE($D122,Milestones!$AA$120),"dd mmm yy"))&amp;" "&amp;Milestones!$AB$120&amp;" "&amp;Milestones!$AC$120&amp;";  ","")&amp;IF(AND(EDATE($D122,Milestones!$AA$121)&lt;=AsOfDate,IF($R122=0,$X122,IF(AND($T122&lt;&gt;"",EDATE($D122,Milestones!$AA$121)&gt;=$T122),$W122,IF(AND($S122&lt;&gt;"",EDATE($D122,Milestones!$AA$121)&gt;=$S122),$V122,$U122)))=Milestones!$AB$121),UPPER(TEXT(EDATE($D122,Milestones!$AA$121),"dd mmm yy"))&amp;" "&amp;Milestones!$AB$121&amp;" "&amp;Milestones!$AC$121&amp;";  ","")&amp;IF(AND(EDATE($D122,Milestones!$AA$122)&lt;=AsOfDate,IF($R122=0,$X122,IF(AND($T122&lt;&gt;"",EDATE($D122,Milestones!$AA$122)&gt;=$T122),$W122,IF(AND($S122&lt;&gt;"",EDATE($D122,Milestones!$AA$122)&gt;=$S122),$V122,$U122)))=Milestones!$AB$122),UPPER(TEXT(EDATE($D122,Milestones!$AA$122),"dd mmm yy"))&amp;" "&amp;Milestones!$AB$122&amp;" "&amp;Milestones!$AC$122&amp;";  ","")&amp;IF(AND(EDATE($D122,Milestones!$AA$123)&lt;=AsOfDate,IF($R122=0,$X122,IF(AND($T122&lt;&gt;"",EDATE($D122,Milestones!$AA$123)&gt;=$T122),$W122,IF(AND($S122&lt;&gt;"",EDATE($D122,Milestones!$AA$123)&gt;=$S122),$V122,$U122)))=Milestones!$AB$123),UPPER(TEXT(EDATE($D122,Milestones!$AA$123),"dd mmm yy"))&amp;" "&amp;Milestones!$AB$123&amp;" "&amp;Milestones!$AC$123&amp;";  ","")&amp;IF(AND(EDATE($D122,Milestones!$AA$124)&lt;=AsOfDate,IF($R122=0,$X122,IF(AND($T122&lt;&gt;"",EDATE($D122,Milestones!$AA$124)&gt;=$T122),$W122,IF(AND($S122&lt;&gt;"",EDATE($D122,Milestones!$AA$124)&gt;=$S122),$V122,$U122)))=Milestones!$AB$124),UPPER(TEXT(EDATE($D122,Milestones!$AA$124),"dd mmm yy"))&amp;" "&amp;Milestones!$AB$124&amp;" "&amp;Milestones!$AC$124&amp;";  ","")&amp;IF(AND(EDATE($D122,Milestones!$AA$125)&lt;=AsOfDate,IF($R122=0,$X122,IF(AND($T122&lt;&gt;"",EDATE($D122,Milestones!$AA$125)&gt;=$T122),$W122,IF(AND($S122&lt;&gt;"",EDATE($D122,Milestones!$AA$125)&gt;=$S122),$V122,$U122)))=Milestones!$AB$125),UPPER(TEXT(EDATE($D122,Milestones!$AA$125),"dd mmm yy"))&amp;" "&amp;Milestones!$AB$125&amp;" "&amp;Milestones!$AC$125&amp;";  ","")&amp;IF(AND(EDATE($D122,Milestones!$AA$126)&lt;=AsOfDate,IF($R122=0,$X122,IF(AND($T122&lt;&gt;"",EDATE($D122,Milestones!$AA$126)&gt;=$T122),$W122,IF(AND($S122&lt;&gt;"",EDATE($D122,Milestones!$AA$126)&gt;=$S122),$V122,$U122)))=Milestones!$AB$126),UPPER(TEXT(EDATE($D122,Milestones!$AA$126),"dd mmm yy"))&amp;" "&amp;Milestones!$AB$126&amp;" "&amp;Milestones!$AC$126&amp;";  ","")&amp;IF(AND(EDATE($D122,Milestones!$AA$127)&lt;=AsOfDate,IF($R122=0,$X122,IF(AND($T122&lt;&gt;"",EDATE($D122,Milestones!$AA$127)&gt;=$T122),$W122,IF(AND($S122&lt;&gt;"",EDATE($D122,Milestones!$AA$127)&gt;=$S122),$V122,$U122)))=Milestones!$AB$127),UPPER(TEXT(EDATE($D122,Milestones!$AA$127),"dd mmm yy"))&amp;" "&amp;Milestones!$AB$127&amp;" "&amp;Milestones!$AC$127&amp;";  ","")&amp;IF(AND(EDATE($D122,Milestones!$AA$128)&lt;=AsOfDate,IF($R122=0,$X122,IF(AND($T122&lt;&gt;"",EDATE($D122,Milestones!$AA$128)&gt;=$T122),$W122,IF(AND($S122&lt;&gt;"",EDATE($D122,Milestones!$AA$128)&gt;=$S122),$V122,$U122)))=Milestones!$AB$128),UPPER(TEXT(EDATE($D122,Milestones!$AA$128),"dd mmm yy"))&amp;" "&amp;Milestones!$AB$128&amp;" "&amp;Milestones!$AC$128&amp;";  ","")&amp;IF(AND(EDATE($D122,Milestones!$AA$129)&lt;=AsOfDate,IF($R122=0,$X122,IF(AND($T122&lt;&gt;"",EDATE($D122,Milestones!$AA$129)&gt;=$T122),$W122,IF(AND($S122&lt;&gt;"",EDATE($D122,Milestones!$AA$129)&gt;=$S122),$V122,$U122)))=Milestones!$AB$129),UPPER(TEXT(EDATE($D122,Milestones!$AA$129),"dd mmm yy"))&amp;" "&amp;Milestones!$AB$129&amp;" "&amp;Milestones!$AC$129&amp;";  ","")&amp;IF(AND(EDATE($D122,Milestones!$AA$130)&lt;=AsOfDate,IF($R122=0,$X122,IF(AND($T122&lt;&gt;"",EDATE($D122,Milestones!$AA$130)&gt;=$T122),$W122,IF(AND($S122&lt;&gt;"",EDATE($D122,Milestones!$AA$130)&gt;=$S122),$V122,$U122)))=Milestones!$AB$130),UPPER(TEXT(EDATE($D122,Milestones!$AA$130),"dd mmm yy"))&amp;" "&amp;Milestones!$AB$130&amp;" "&amp;Milestones!$AC$130&amp;";  ","")&amp;IF(AND(EDATE($D122,Milestones!$AA$131)&lt;=AsOfDate,IF($R122=0,$X122,IF(AND($T122&lt;&gt;"",EDATE($D122,Milestones!$AA$131)&gt;=$T122),$W122,IF(AND($S122&lt;&gt;"",EDATE($D122,Milestones!$AA$131)&gt;=$S122),$V122,$U122)))=Milestones!$AB$131),UPPER(TEXT(EDATE($D122,Milestones!$AA$131),"dd mmm yy"))&amp;" "&amp;Milestones!$AB$131&amp;" "&amp;Milestones!$AC$131&amp;";  ","")&amp;IF(AND(EDATE($D122,Milestones!$AA$132)&lt;=AsOfDate,IF($R122=0,$X122,IF(AND($T122&lt;&gt;"",EDATE($D122,Milestones!$AA$132)&gt;=$T122),$W122,IF(AND($S122&lt;&gt;"",EDATE($D122,Milestones!$AA$132)&gt;=$S122),$V122,$U122)))=Milestones!$AB$132),UPPER(TEXT(EDATE($D122,Milestones!$AA$132),"dd mmm yy"))&amp;" "&amp;Milestones!$AB$132&amp;" "&amp;Milestones!$AC$132&amp;";  ","")&amp;IF(AND(EDATE($D122,Milestones!$AA$133)&lt;=AsOfDate,IF($R122=0,$X122,IF(AND($T122&lt;&gt;"",EDATE($D122,Milestones!$AA$133)&gt;=$T122),$W122,IF(AND($S122&lt;&gt;"",EDATE($D122,Milestones!$AA$133)&gt;=$S122),$V122,$U122)))=Milestones!$AB$133),UPPER(TEXT(EDATE($D122,Milestones!$AA$133),"dd mmm yy"))&amp;" "&amp;Milestones!$AB$133&amp;" "&amp;Milestones!$AC$133&amp;";  ","")&amp;IF(AND(EDATE($D122,Milestones!$AA$134)&lt;=AsOfDate,IF($R122=0,$X122,IF(AND($T122&lt;&gt;"",EDATE($D122,Milestones!$AA$134)&gt;=$T122),$W122,IF(AND($S122&lt;&gt;"",EDATE($D122,Milestones!$AA$134)&gt;=$S122),$V122,$U122)))=Milestones!$AB$134),UPPER(TEXT(EDATE($D122,Milestones!$AA$134),"dd mmm yy"))&amp;" "&amp;Milestones!$AB$134&amp;" "&amp;Milestones!$AC$134&amp;";  ","")&amp;IF(AND(EDATE($D122,Milestones!$AA$135)&lt;=AsOfDate,IF($R122=0,$X122,IF(AND($T122&lt;&gt;"",EDATE($D122,Milestones!$AA$135)&gt;=$T122),$W122,IF(AND($S122&lt;&gt;"",EDATE($D122,Milestones!$AA$135)&gt;=$S122),$V122,$U122)))=Milestones!$AB$135),UPPER(TEXT(EDATE($D122,Milestones!$AA$135),"dd mmm yy"))&amp;" "&amp;Milestones!$AB$135&amp;" "&amp;Milestones!$AC$135&amp;";  ","")&amp;IF(AND(EDATE($D122,Milestones!$AA$136)&lt;=AsOfDate,IF($R122=0,$X122,IF(AND($T122&lt;&gt;"",EDATE($D122,Milestones!$AA$136)&gt;=$T122),$W122,IF(AND($S122&lt;&gt;"",EDATE($D122,Milestones!$AA$136)&gt;=$S122),$V122,$U122)))=Milestones!$AB$136),UPPER(TEXT(EDATE($D122,Milestones!$AA$136),"dd mmm yy"))&amp;" "&amp;Milestones!$AB$136&amp;" "&amp;Milestones!$AC$136&amp;";  ","")&amp;IF(AND(EDATE($D122,Milestones!$AA$137)&lt;=AsOfDate,IF($R122=0,$X122,IF(AND($T122&lt;&gt;"",EDATE($D122,Milestones!$AA$137)&gt;=$T122),$W122,IF(AND($S122&lt;&gt;"",EDATE($D122,Milestones!$AA$137)&gt;=$S122),$V122,$U122)))=Milestones!$AB$137),UPPER(TEXT(EDATE($D122,Milestones!$AA$137),"dd mmm yy"))&amp;" "&amp;Milestones!$AB$137&amp;" "&amp;Milestones!$AC$137&amp;";  ","")&amp;IF(AND(EDATE($D122,Milestones!$AA$138)&lt;=AsOfDate,IF($R122=0,$X122,IF(AND($T122&lt;&gt;"",EDATE($D122,Milestones!$AA$138)&gt;=$T122),$W122,IF(AND($S122&lt;&gt;"",EDATE($D122,Milestones!$AA$138)&gt;=$S122),$V122,$U122)))=Milestones!$AB$138),UPPER(TEXT(EDATE($D122,Milestones!$AA$138),"dd mmm yy"))&amp;" "&amp;Milestones!$AB$138&amp;" "&amp;Milestones!$AC$138&amp;";  ","")&amp;IF(AND(EDATE($D122,Milestones!$AA$139)&lt;=AsOfDate,IF($R122=0,$X122,IF(AND($T122&lt;&gt;"",EDATE($D122,Milestones!$AA$139)&gt;=$T122),$W122,IF(AND($S122&lt;&gt;"",EDATE($D122,Milestones!$AA$139)&gt;=$S122),$V122,$U122)))=Milestones!$AB$139),UPPER(TEXT(EDATE($D122,Milestones!$AA$139),"dd mmm yy"))&amp;" "&amp;Milestones!$AB$139&amp;" "&amp;Milestones!$AC$139&amp;";  ",""))</f>
        <v/>
      </c>
      <c r="O122" s="0" t="str">
        <f aca="false">IF(OR($A122="",$D122=""),"",IF(AND(EDATE($D122,Milestones!$AA$140)&lt;=AsOfDate,IF($R122=0,$X122,IF(AND($T122&lt;&gt;"",EDATE($D122,Milestones!$AA$140)&gt;=$T122),$W122,IF(AND($S122&lt;&gt;"",EDATE($D122,Milestones!$AA$140)&gt;=$S122),$V122,$U122)))=Milestones!$AB$140),UPPER(TEXT(EDATE($D122,Milestones!$AA$140),"dd mmm yy"))&amp;" "&amp;Milestones!$AB$140&amp;" "&amp;Milestones!$AC$140&amp;";  ","")&amp;IF(AND(EDATE($D122,Milestones!$AA$141)&lt;=AsOfDate,IF($R122=0,$X122,IF(AND($T122&lt;&gt;"",EDATE($D122,Milestones!$AA$141)&gt;=$T122),$W122,IF(AND($S122&lt;&gt;"",EDATE($D122,Milestones!$AA$141)&gt;=$S122),$V122,$U122)))=Milestones!$AB$141),UPPER(TEXT(EDATE($D122,Milestones!$AA$141),"dd mmm yy"))&amp;" "&amp;Milestones!$AB$141&amp;" "&amp;Milestones!$AC$141&amp;";  ","")&amp;IF(AND(EDATE($D122,Milestones!$AA$142)&lt;=AsOfDate,IF($R122=0,$X122,IF(AND($T122&lt;&gt;"",EDATE($D122,Milestones!$AA$142)&gt;=$T122),$W122,IF(AND($S122&lt;&gt;"",EDATE($D122,Milestones!$AA$142)&gt;=$S122),$V122,$U122)))=Milestones!$AB$142),UPPER(TEXT(EDATE($D122,Milestones!$AA$142),"dd mmm yy"))&amp;" "&amp;Milestones!$AB$142&amp;" "&amp;Milestones!$AC$142&amp;";  ","")&amp;IF(AND(EDATE($D122,Milestones!$AA$143)&lt;=AsOfDate,IF($R122=0,$X122,IF(AND($T122&lt;&gt;"",EDATE($D122,Milestones!$AA$143)&gt;=$T122),$W122,IF(AND($S122&lt;&gt;"",EDATE($D122,Milestones!$AA$143)&gt;=$S122),$V122,$U122)))=Milestones!$AB$143),UPPER(TEXT(EDATE($D122,Milestones!$AA$143),"dd mmm yy"))&amp;" "&amp;Milestones!$AB$143&amp;" "&amp;Milestones!$AC$143&amp;";  ","")&amp;IF(AND(EDATE($D122,Milestones!$AA$144)&lt;=AsOfDate,IF($R122=0,$X122,IF(AND($T122&lt;&gt;"",EDATE($D122,Milestones!$AA$144)&gt;=$T122),$W122,IF(AND($S122&lt;&gt;"",EDATE($D122,Milestones!$AA$144)&gt;=$S122),$V122,$U122)))=Milestones!$AB$144),UPPER(TEXT(EDATE($D122,Milestones!$AA$144),"dd mmm yy"))&amp;" "&amp;Milestones!$AB$144&amp;" "&amp;Milestones!$AC$144&amp;";  ","")&amp;IF(AND(EDATE($D122,Milestones!$AA$145)&lt;=AsOfDate,IF($R122=0,$X122,IF(AND($T122&lt;&gt;"",EDATE($D122,Milestones!$AA$145)&gt;=$T122),$W122,IF(AND($S122&lt;&gt;"",EDATE($D122,Milestones!$AA$145)&gt;=$S122),$V122,$U122)))=Milestones!$AB$145),UPPER(TEXT(EDATE($D122,Milestones!$AA$145),"dd mmm yy"))&amp;" "&amp;Milestones!$AB$145&amp;" "&amp;Milestones!$AC$145&amp;";  ","")&amp;IF(AND(EDATE($D122,Milestones!$AA$146)&lt;=AsOfDate,IF($R122=0,$X122,IF(AND($T122&lt;&gt;"",EDATE($D122,Milestones!$AA$146)&gt;=$T122),$W122,IF(AND($S122&lt;&gt;"",EDATE($D122,Milestones!$AA$146)&gt;=$S122),$V122,$U122)))=Milestones!$AB$146),UPPER(TEXT(EDATE($D122,Milestones!$AA$146),"dd mmm yy"))&amp;" "&amp;Milestones!$AB$146&amp;" "&amp;Milestones!$AC$146&amp;";  ","")&amp;IF(AND(EDATE($D122,Milestones!$AA$147)&lt;=AsOfDate,IF($R122=0,$X122,IF(AND($T122&lt;&gt;"",EDATE($D122,Milestones!$AA$147)&gt;=$T122),$W122,IF(AND($S122&lt;&gt;"",EDATE($D122,Milestones!$AA$147)&gt;=$S122),$V122,$U122)))=Milestones!$AB$147),UPPER(TEXT(EDATE($D122,Milestones!$AA$147),"dd mmm yy"))&amp;" "&amp;Milestones!$AB$147&amp;" "&amp;Milestones!$AC$147&amp;";  ","")&amp;IF(AND(EDATE($D122,Milestones!$AA$148)&lt;=AsOfDate,IF($R122=0,$X122,IF(AND($T122&lt;&gt;"",EDATE($D122,Milestones!$AA$148)&gt;=$T122),$W122,IF(AND($S122&lt;&gt;"",EDATE($D122,Milestones!$AA$148)&gt;=$S122),$V122,$U122)))=Milestones!$AB$148),UPPER(TEXT(EDATE($D122,Milestones!$AA$148),"dd mmm yy"))&amp;" "&amp;Milestones!$AB$148&amp;" "&amp;Milestones!$AC$148&amp;";  ","")&amp;IF(AND(EDATE($D122,Milestones!$AA$149)&lt;=AsOfDate,IF($R122=0,$X122,IF(AND($T122&lt;&gt;"",EDATE($D122,Milestones!$AA$149)&gt;=$T122),$W122,IF(AND($S122&lt;&gt;"",EDATE($D122,Milestones!$AA$149)&gt;=$S122),$V122,$U122)))=Milestones!$AB$149),UPPER(TEXT(EDATE($D122,Milestones!$AA$149),"dd mmm yy"))&amp;" "&amp;Milestones!$AB$149&amp;" "&amp;Milestones!$AC$149&amp;";  ","")&amp;IF(AND(EDATE($D122,Milestones!$AA$150)&lt;=AsOfDate,IF($R122=0,$X122,IF(AND($T122&lt;&gt;"",EDATE($D122,Milestones!$AA$150)&gt;=$T122),$W122,IF(AND($S122&lt;&gt;"",EDATE($D122,Milestones!$AA$150)&gt;=$S122),$V122,$U122)))=Milestones!$AB$150),UPPER(TEXT(EDATE($D122,Milestones!$AA$150),"dd mmm yy"))&amp;" "&amp;Milestones!$AB$150&amp;" "&amp;Milestones!$AC$150&amp;";  ","")&amp;IF(AND(EDATE($D122,Milestones!$AA$151)&lt;=AsOfDate,IF($R122=0,$X122,IF(AND($T122&lt;&gt;"",EDATE($D122,Milestones!$AA$151)&gt;=$T122),$W122,IF(AND($S122&lt;&gt;"",EDATE($D122,Milestones!$AA$151)&gt;=$S122),$V122,$U122)))=Milestones!$AB$151),UPPER(TEXT(EDATE($D122,Milestones!$AA$151),"dd mmm yy"))&amp;" "&amp;Milestones!$AB$151&amp;" "&amp;Milestones!$AC$151&amp;";  ","")&amp;IF(AND(EDATE($D122,Milestones!$AA$152)&lt;=AsOfDate,IF($R122=0,$X122,IF(AND($T122&lt;&gt;"",EDATE($D122,Milestones!$AA$152)&gt;=$T122),$W122,IF(AND($S122&lt;&gt;"",EDATE($D122,Milestones!$AA$152)&gt;=$S122),$V122,$U122)))=Milestones!$AB$152),UPPER(TEXT(EDATE($D122,Milestones!$AA$152),"dd mmm yy"))&amp;" "&amp;Milestones!$AB$152&amp;" "&amp;Milestones!$AC$152&amp;";  ","")&amp;IF(AND(EDATE($D122,Milestones!$AA$153)&lt;=AsOfDate,IF($R122=0,$X122,IF(AND($T122&lt;&gt;"",EDATE($D122,Milestones!$AA$153)&gt;=$T122),$W122,IF(AND($S122&lt;&gt;"",EDATE($D122,Milestones!$AA$153)&gt;=$S122),$V122,$U122)))=Milestones!$AB$153),UPPER(TEXT(EDATE($D122,Milestones!$AA$153),"dd mmm yy"))&amp;" "&amp;Milestones!$AB$153&amp;" "&amp;Milestones!$AC$153&amp;";  ","")&amp;IF(AND(EDATE($D122,Milestones!$AA$154)&lt;=AsOfDate,IF($R122=0,$X122,IF(AND($T122&lt;&gt;"",EDATE($D122,Milestones!$AA$154)&gt;=$T122),$W122,IF(AND($S122&lt;&gt;"",EDATE($D122,Milestones!$AA$154)&gt;=$S122),$V122,$U122)))=Milestones!$AB$154),UPPER(TEXT(EDATE($D122,Milestones!$AA$154),"dd mmm yy"))&amp;" "&amp;Milestones!$AB$154&amp;" "&amp;Milestones!$AC$154&amp;";  ","")&amp;IF(AND(EDATE($D122,Milestones!$AA$155)&lt;=AsOfDate,IF($R122=0,$X122,IF(AND($T122&lt;&gt;"",EDATE($D122,Milestones!$AA$155)&gt;=$T122),$W122,IF(AND($S122&lt;&gt;"",EDATE($D122,Milestones!$AA$155)&gt;=$S122),$V122,$U122)))=Milestones!$AB$155),UPPER(TEXT(EDATE($D122,Milestones!$AA$155),"dd mmm yy"))&amp;" "&amp;Milestones!$AB$155&amp;" "&amp;Milestones!$AC$155&amp;";  ","")&amp;IF(AND(EDATE($D122,Milestones!$AA$156)&lt;=AsOfDate,IF($R122=0,$X122,IF(AND($T122&lt;&gt;"",EDATE($D122,Milestones!$AA$156)&gt;=$T122),$W122,IF(AND($S122&lt;&gt;"",EDATE($D122,Milestones!$AA$156)&gt;=$S122),$V122,$U122)))=Milestones!$AB$156),UPPER(TEXT(EDATE($D122,Milestones!$AA$156),"dd mmm yy"))&amp;" "&amp;Milestones!$AB$156&amp;" "&amp;Milestones!$AC$156&amp;";  ","")&amp;IF(AND(EDATE($D122,Milestones!$AA$157)&lt;=AsOfDate,IF($R122=0,$X122,IF(AND($T122&lt;&gt;"",EDATE($D122,Milestones!$AA$157)&gt;=$T122),$W122,IF(AND($S122&lt;&gt;"",EDATE($D122,Milestones!$AA$157)&gt;=$S122),$V122,$U122)))=Milestones!$AB$157),UPPER(TEXT(EDATE($D122,Milestones!$AA$157),"dd mmm yy"))&amp;" "&amp;Milestones!$AB$157&amp;" "&amp;Milestones!$AC$157&amp;";  ","")&amp;IF(AND(EDATE($D122,Milestones!$AA$158)&lt;=AsOfDate,IF($R122=0,$X122,IF(AND($T122&lt;&gt;"",EDATE($D122,Milestones!$AA$158)&gt;=$T122),$W122,IF(AND($S122&lt;&gt;"",EDATE($D122,Milestones!$AA$158)&gt;=$S122),$V122,$U122)))=Milestones!$AB$158),UPPER(TEXT(EDATE($D122,Milestones!$AA$158),"dd mmm yy"))&amp;" "&amp;Milestones!$AB$158&amp;" "&amp;Milestones!$AC$158&amp;";  ","")&amp;IF(AND(EDATE($D122,Milestones!$AA$159)&lt;=AsOfDate,IF($R122=0,$X122,IF(AND($T122&lt;&gt;"",EDATE($D122,Milestones!$AA$159)&gt;=$T122),$W122,IF(AND($S122&lt;&gt;"",EDATE($D122,Milestones!$AA$159)&gt;=$S122),$V122,$U122)))=Milestones!$AB$159),UPPER(TEXT(EDATE($D122,Milestones!$AA$159),"dd mmm yy"))&amp;" "&amp;Milestones!$AB$159&amp;" "&amp;Milestones!$AC$159&amp;";  ",""))</f>
        <v/>
      </c>
      <c r="P122" s="0" t="str">
        <f aca="false">IF(OR($A122="",$D122=""),"",IF(AND(EDATE($D122,Milestones!$AA$160)&lt;=AsOfDate,IF($R122=0,$X122,IF(AND($T122&lt;&gt;"",EDATE($D122,Milestones!$AA$160)&gt;=$T122),$W122,IF(AND($S122&lt;&gt;"",EDATE($D122,Milestones!$AA$160)&gt;=$S122),$V122,$U122)))=Milestones!$AB$160),UPPER(TEXT(EDATE($D122,Milestones!$AA$160),"dd mmm yy"))&amp;" "&amp;Milestones!$AB$160&amp;" "&amp;Milestones!$AC$160&amp;";  ","")&amp;IF(AND(EDATE($D122,Milestones!$AA$161)&lt;=AsOfDate,IF($R122=0,$X122,IF(AND($T122&lt;&gt;"",EDATE($D122,Milestones!$AA$161)&gt;=$T122),$W122,IF(AND($S122&lt;&gt;"",EDATE($D122,Milestones!$AA$161)&gt;=$S122),$V122,$U122)))=Milestones!$AB$161),UPPER(TEXT(EDATE($D122,Milestones!$AA$161),"dd mmm yy"))&amp;" "&amp;Milestones!$AB$161&amp;" "&amp;Milestones!$AC$161&amp;";  ","")&amp;IF(AND(EDATE($D122,Milestones!$AA$162)&lt;=AsOfDate,IF($R122=0,$X122,IF(AND($T122&lt;&gt;"",EDATE($D122,Milestones!$AA$162)&gt;=$T122),$W122,IF(AND($S122&lt;&gt;"",EDATE($D122,Milestones!$AA$162)&gt;=$S122),$V122,$U122)))=Milestones!$AB$162),UPPER(TEXT(EDATE($D122,Milestones!$AA$162),"dd mmm yy"))&amp;" "&amp;Milestones!$AB$162&amp;" "&amp;Milestones!$AC$162&amp;";  ","")&amp;IF(AND(EDATE($D122,Milestones!$AA$163)&lt;=AsOfDate,IF($R122=0,$X122,IF(AND($T122&lt;&gt;"",EDATE($D122,Milestones!$AA$163)&gt;=$T122),$W122,IF(AND($S122&lt;&gt;"",EDATE($D122,Milestones!$AA$163)&gt;=$S122),$V122,$U122)))=Milestones!$AB$163),UPPER(TEXT(EDATE($D122,Milestones!$AA$163),"dd mmm yy"))&amp;" "&amp;Milestones!$AB$163&amp;" "&amp;Milestones!$AC$163&amp;";  ","")&amp;IF(AND(EDATE($D122,Milestones!$AA$164)&lt;=AsOfDate,IF($R122=0,$X122,IF(AND($T122&lt;&gt;"",EDATE($D122,Milestones!$AA$164)&gt;=$T122),$W122,IF(AND($S122&lt;&gt;"",EDATE($D122,Milestones!$AA$164)&gt;=$S122),$V122,$U122)))=Milestones!$AB$164),UPPER(TEXT(EDATE($D122,Milestones!$AA$164),"dd mmm yy"))&amp;" "&amp;Milestones!$AB$164&amp;" "&amp;Milestones!$AC$164&amp;";  ","")&amp;IF(AND(EDATE($D122,Milestones!$AA$165)&lt;=AsOfDate,IF($R122=0,$X122,IF(AND($T122&lt;&gt;"",EDATE($D122,Milestones!$AA$165)&gt;=$T122),$W122,IF(AND($S122&lt;&gt;"",EDATE($D122,Milestones!$AA$165)&gt;=$S122),$V122,$U122)))=Milestones!$AB$165),UPPER(TEXT(EDATE($D122,Milestones!$AA$165),"dd mmm yy"))&amp;" "&amp;Milestones!$AB$165&amp;" "&amp;Milestones!$AC$165&amp;";  ","")&amp;IF(AND(EDATE($D122,Milestones!$AA$166)&lt;=AsOfDate,IF($R122=0,$X122,IF(AND($T122&lt;&gt;"",EDATE($D122,Milestones!$AA$166)&gt;=$T122),$W122,IF(AND($S122&lt;&gt;"",EDATE($D122,Milestones!$AA$166)&gt;=$S122),$V122,$U122)))=Milestones!$AB$166),UPPER(TEXT(EDATE($D122,Milestones!$AA$166),"dd mmm yy"))&amp;" "&amp;Milestones!$AB$166&amp;" "&amp;Milestones!$AC$166&amp;";  ","")&amp;IF(AND(EDATE($D122,Milestones!$AA$167)&lt;=AsOfDate,IF($R122=0,$X122,IF(AND($T122&lt;&gt;"",EDATE($D122,Milestones!$AA$167)&gt;=$T122),$W122,IF(AND($S122&lt;&gt;"",EDATE($D122,Milestones!$AA$167)&gt;=$S122),$V122,$U122)))=Milestones!$AB$167),UPPER(TEXT(EDATE($D122,Milestones!$AA$167),"dd mmm yy"))&amp;" "&amp;Milestones!$AB$167&amp;" "&amp;Milestones!$AC$167&amp;";  ","")&amp;IF(AND(EDATE($D122,Milestones!$AA$168)&lt;=AsOfDate,IF($R122=0,$X122,IF(AND($T122&lt;&gt;"",EDATE($D122,Milestones!$AA$168)&gt;=$T122),$W122,IF(AND($S122&lt;&gt;"",EDATE($D122,Milestones!$AA$168)&gt;=$S122),$V122,$U122)))=Milestones!$AB$168),UPPER(TEXT(EDATE($D122,Milestones!$AA$168),"dd mmm yy"))&amp;" "&amp;Milestones!$AB$168&amp;" "&amp;Milestones!$AC$168&amp;";  ","")&amp;IF(AND(EDATE($D122,Milestones!$AA$169)&lt;=AsOfDate,IF($R122=0,$X122,IF(AND($T122&lt;&gt;"",EDATE($D122,Milestones!$AA$169)&gt;=$T122),$W122,IF(AND($S122&lt;&gt;"",EDATE($D122,Milestones!$AA$169)&gt;=$S122),$V122,$U122)))=Milestones!$AB$169),UPPER(TEXT(EDATE($D122,Milestones!$AA$169),"dd mmm yy"))&amp;" "&amp;Milestones!$AB$169&amp;" "&amp;Milestones!$AC$169&amp;";  ","")&amp;IF(AND(EDATE($D122,Milestones!$AA$170)&lt;=AsOfDate,IF($R122=0,$X122,IF(AND($T122&lt;&gt;"",EDATE($D122,Milestones!$AA$170)&gt;=$T122),$W122,IF(AND($S122&lt;&gt;"",EDATE($D122,Milestones!$AA$170)&gt;=$S122),$V122,$U122)))=Milestones!$AB$170),UPPER(TEXT(EDATE($D122,Milestones!$AA$170),"dd mmm yy"))&amp;" "&amp;Milestones!$AB$170&amp;" "&amp;Milestones!$AC$170&amp;";  ","")&amp;IF(AND(EDATE($D122,Milestones!$AA$171)&lt;=AsOfDate,IF($R122=0,$X122,IF(AND($T122&lt;&gt;"",EDATE($D122,Milestones!$AA$171)&gt;=$T122),$W122,IF(AND($S122&lt;&gt;"",EDATE($D122,Milestones!$AA$171)&gt;=$S122),$V122,$U122)))=Milestones!$AB$171),UPPER(TEXT(EDATE($D122,Milestones!$AA$171),"dd mmm yy"))&amp;" "&amp;Milestones!$AB$171&amp;" "&amp;Milestones!$AC$171&amp;";  ","")&amp;IF(AND(EDATE($D122,Milestones!$AA$172)&lt;=AsOfDate,IF($R122=0,$X122,IF(AND($T122&lt;&gt;"",EDATE($D122,Milestones!$AA$172)&gt;=$T122),$W122,IF(AND($S122&lt;&gt;"",EDATE($D122,Milestones!$AA$172)&gt;=$S122),$V122,$U122)))=Milestones!$AB$172),UPPER(TEXT(EDATE($D122,Milestones!$AA$172),"dd mmm yy"))&amp;" "&amp;Milestones!$AB$172&amp;" "&amp;Milestones!$AC$172&amp;";  ","")&amp;IF(AND(EDATE($D122,Milestones!$AA$173)&lt;=AsOfDate,IF($R122=0,$X122,IF(AND($T122&lt;&gt;"",EDATE($D122,Milestones!$AA$173)&gt;=$T122),$W122,IF(AND($S122&lt;&gt;"",EDATE($D122,Milestones!$AA$173)&gt;=$S122),$V122,$U122)))=Milestones!$AB$173),UPPER(TEXT(EDATE($D122,Milestones!$AA$173),"dd mmm yy"))&amp;" "&amp;Milestones!$AB$173&amp;" "&amp;Milestones!$AC$173&amp;";  ","")&amp;IF(AND(EDATE($D122,Milestones!$AA$174)&lt;=AsOfDate,IF($R122=0,$X122,IF(AND($T122&lt;&gt;"",EDATE($D122,Milestones!$AA$174)&gt;=$T122),$W122,IF(AND($S122&lt;&gt;"",EDATE($D122,Milestones!$AA$174)&gt;=$S122),$V122,$U122)))=Milestones!$AB$174),UPPER(TEXT(EDATE($D122,Milestones!$AA$174),"dd mmm yy"))&amp;" "&amp;Milestones!$AB$174&amp;" "&amp;Milestones!$AC$174&amp;";  ","")&amp;IF(AND(EDATE($D122,Milestones!$AA$175)&lt;=AsOfDate,IF($R122=0,$X122,IF(AND($T122&lt;&gt;"",EDATE($D122,Milestones!$AA$175)&gt;=$T122),$W122,IF(AND($S122&lt;&gt;"",EDATE($D122,Milestones!$AA$175)&gt;=$S122),$V122,$U122)))=Milestones!$AB$175),UPPER(TEXT(EDATE($D122,Milestones!$AA$175),"dd mmm yy"))&amp;" "&amp;Milestones!$AB$175&amp;" "&amp;Milestones!$AC$175&amp;";  ","")&amp;IF(AND(EDATE($D122,Milestones!$AA$176)&lt;=AsOfDate,IF($R122=0,$X122,IF(AND($T122&lt;&gt;"",EDATE($D122,Milestones!$AA$176)&gt;=$T122),$W122,IF(AND($S122&lt;&gt;"",EDATE($D122,Milestones!$AA$176)&gt;=$S122),$V122,$U122)))=Milestones!$AB$176),UPPER(TEXT(EDATE($D122,Milestones!$AA$176),"dd mmm yy"))&amp;" "&amp;Milestones!$AB$176&amp;" "&amp;Milestones!$AC$176&amp;";  ","")&amp;IF(AND(EDATE($D122,Milestones!$AA$177)&lt;=AsOfDate,IF($R122=0,$X122,IF(AND($T122&lt;&gt;"",EDATE($D122,Milestones!$AA$177)&gt;=$T122),$W122,IF(AND($S122&lt;&gt;"",EDATE($D122,Milestones!$AA$177)&gt;=$S122),$V122,$U122)))=Milestones!$AB$177),UPPER(TEXT(EDATE($D122,Milestones!$AA$177),"dd mmm yy"))&amp;" "&amp;Milestones!$AB$177&amp;" "&amp;Milestones!$AC$177&amp;";  ","")&amp;IF(AND(EDATE($D122,Milestones!$AA$178)&lt;=AsOfDate,IF($R122=0,$X122,IF(AND($T122&lt;&gt;"",EDATE($D122,Milestones!$AA$178)&gt;=$T122),$W122,IF(AND($S122&lt;&gt;"",EDATE($D122,Milestones!$AA$178)&gt;=$S122),$V122,$U122)))=Milestones!$AB$178),UPPER(TEXT(EDATE($D122,Milestones!$AA$178),"dd mmm yy"))&amp;" "&amp;Milestones!$AB$178&amp;" "&amp;Milestones!$AC$178&amp;";  ","")&amp;IF(AND(EDATE($D122,Milestones!$AA$179)&lt;=AsOfDate,IF($R122=0,$X122,IF(AND($T122&lt;&gt;"",EDATE($D122,Milestones!$AA$179)&gt;=$T122),$W122,IF(AND($S122&lt;&gt;"",EDATE($D122,Milestones!$AA$179)&gt;=$S122),$V122,$U122)))=Milestones!$AB$179),UPPER(TEXT(EDATE($D122,Milestones!$AA$179),"dd mmm yy"))&amp;" "&amp;Milestones!$AB$179&amp;" "&amp;Milestones!$AC$179&amp;";  ",""))</f>
        <v/>
      </c>
      <c r="Q122" s="0" t="str">
        <f aca="false">IF(OR($A122="",$D122=""),"",IF(AND(EDATE($D122,Milestones!$AA$180)&lt;=AsOfDate,IF($R122=0,$X122,IF(AND($T122&lt;&gt;"",EDATE($D122,Milestones!$AA$180)&gt;=$T122),$W122,IF(AND($S122&lt;&gt;"",EDATE($D122,Milestones!$AA$180)&gt;=$S122),$V122,$U122)))=Milestones!$AB$180),UPPER(TEXT(EDATE($D122,Milestones!$AA$180),"dd mmm yy"))&amp;" "&amp;Milestones!$AB$180&amp;" "&amp;Milestones!$AC$180&amp;";  ","")&amp;IF(AND(EDATE($D122,Milestones!$AA$181)&lt;=AsOfDate,IF($R122=0,$X122,IF(AND($T122&lt;&gt;"",EDATE($D122,Milestones!$AA$181)&gt;=$T122),$W122,IF(AND($S122&lt;&gt;"",EDATE($D122,Milestones!$AA$181)&gt;=$S122),$V122,$U122)))=Milestones!$AB$181),UPPER(TEXT(EDATE($D122,Milestones!$AA$181),"dd mmm yy"))&amp;" "&amp;Milestones!$AB$181&amp;" "&amp;Milestones!$AC$181&amp;";  ","")&amp;IF(AND(EDATE($D122,Milestones!$AA$182)&lt;=AsOfDate,IF($R122=0,$X122,IF(AND($T122&lt;&gt;"",EDATE($D122,Milestones!$AA$182)&gt;=$T122),$W122,IF(AND($S122&lt;&gt;"",EDATE($D122,Milestones!$AA$182)&gt;=$S122),$V122,$U122)))=Milestones!$AB$182),UPPER(TEXT(EDATE($D122,Milestones!$AA$182),"dd mmm yy"))&amp;" "&amp;Milestones!$AB$182&amp;" "&amp;Milestones!$AC$182&amp;";  ","")&amp;IF(AND(EDATE($D122,Milestones!$AA$183)&lt;=AsOfDate,IF($R122=0,$X122,IF(AND($T122&lt;&gt;"",EDATE($D122,Milestones!$AA$183)&gt;=$T122),$W122,IF(AND($S122&lt;&gt;"",EDATE($D122,Milestones!$AA$183)&gt;=$S122),$V122,$U122)))=Milestones!$AB$183),UPPER(TEXT(EDATE($D122,Milestones!$AA$183),"dd mmm yy"))&amp;" "&amp;Milestones!$AB$183&amp;" "&amp;Milestones!$AC$183&amp;";  ","")&amp;IF(AND(EDATE($D122,Milestones!$AA$184)&lt;=AsOfDate,IF($R122=0,$X122,IF(AND($T122&lt;&gt;"",EDATE($D122,Milestones!$AA$184)&gt;=$T122),$W122,IF(AND($S122&lt;&gt;"",EDATE($D122,Milestones!$AA$184)&gt;=$S122),$V122,$U122)))=Milestones!$AB$184),UPPER(TEXT(EDATE($D122,Milestones!$AA$184),"dd mmm yy"))&amp;" "&amp;Milestones!$AB$184&amp;" "&amp;Milestones!$AC$184&amp;";  ","")&amp;IF(AND(EDATE($D122,Milestones!$AA$185)&lt;=AsOfDate,IF($R122=0,$X122,IF(AND($T122&lt;&gt;"",EDATE($D122,Milestones!$AA$185)&gt;=$T122),$W122,IF(AND($S122&lt;&gt;"",EDATE($D122,Milestones!$AA$185)&gt;=$S122),$V122,$U122)))=Milestones!$AB$185),UPPER(TEXT(EDATE($D122,Milestones!$AA$185),"dd mmm yy"))&amp;" "&amp;Milestones!$AB$185&amp;" "&amp;Milestones!$AC$185&amp;";  ","")&amp;IF(AND(EDATE($D122,Milestones!$AA$186)&lt;=AsOfDate,IF($R122=0,$X122,IF(AND($T122&lt;&gt;"",EDATE($D122,Milestones!$AA$186)&gt;=$T122),$W122,IF(AND($S122&lt;&gt;"",EDATE($D122,Milestones!$AA$186)&gt;=$S122),$V122,$U122)))=Milestones!$AB$186),UPPER(TEXT(EDATE($D122,Milestones!$AA$186),"dd mmm yy"))&amp;" "&amp;Milestones!$AB$186&amp;" "&amp;Milestones!$AC$186&amp;";  ","")&amp;IF(AND(EDATE($D122,Milestones!$AA$187)&lt;=AsOfDate,IF($R122=0,$X122,IF(AND($T122&lt;&gt;"",EDATE($D122,Milestones!$AA$187)&gt;=$T122),$W122,IF(AND($S122&lt;&gt;"",EDATE($D122,Milestones!$AA$187)&gt;=$S122),$V122,$U122)))=Milestones!$AB$187),UPPER(TEXT(EDATE($D122,Milestones!$AA$187),"dd mmm yy"))&amp;" "&amp;Milestones!$AB$187&amp;" "&amp;Milestones!$AC$187&amp;";  ","")&amp;IF(AND(EDATE($D122,Milestones!$AA$188)&lt;=AsOfDate,IF($R122=0,$X122,IF(AND($T122&lt;&gt;"",EDATE($D122,Milestones!$AA$188)&gt;=$T122),$W122,IF(AND($S122&lt;&gt;"",EDATE($D122,Milestones!$AA$188)&gt;=$S122),$V122,$U122)))=Milestones!$AB$188),UPPER(TEXT(EDATE($D122,Milestones!$AA$188),"dd mmm yy"))&amp;" "&amp;Milestones!$AB$188&amp;" "&amp;Milestones!$AC$188&amp;";  ","")&amp;IF(AND(EDATE($D122,Milestones!$AA$189)&lt;=AsOfDate,IF($R122=0,$X122,IF(AND($T122&lt;&gt;"",EDATE($D122,Milestones!$AA$189)&gt;=$T122),$W122,IF(AND($S122&lt;&gt;"",EDATE($D122,Milestones!$AA$189)&gt;=$S122),$V122,$U122)))=Milestones!$AB$189),UPPER(TEXT(EDATE($D122,Milestones!$AA$189),"dd mmm yy"))&amp;" "&amp;Milestones!$AB$189&amp;" "&amp;Milestones!$AC$189&amp;";  ","")&amp;IF(AND(EDATE($D122,Milestones!$AA$190)&lt;=AsOfDate,IF($R122=0,$X122,IF(AND($T122&lt;&gt;"",EDATE($D122,Milestones!$AA$190)&gt;=$T122),$W122,IF(AND($S122&lt;&gt;"",EDATE($D122,Milestones!$AA$190)&gt;=$S122),$V122,$U122)))=Milestones!$AB$190),UPPER(TEXT(EDATE($D122,Milestones!$AA$190),"dd mmm yy"))&amp;" "&amp;Milestones!$AB$190&amp;" "&amp;Milestones!$AC$190&amp;";  ","")&amp;IF(AND(EDATE($D122,Milestones!$AA$191)&lt;=AsOfDate,IF($R122=0,$X122,IF(AND($T122&lt;&gt;"",EDATE($D122,Milestones!$AA$191)&gt;=$T122),$W122,IF(AND($S122&lt;&gt;"",EDATE($D122,Milestones!$AA$191)&gt;=$S122),$V122,$U122)))=Milestones!$AB$191),UPPER(TEXT(EDATE($D122,Milestones!$AA$191),"dd mmm yy"))&amp;" "&amp;Milestones!$AB$191&amp;" "&amp;Milestones!$AC$191&amp;";  ","")&amp;IF(AND(EDATE($D122,Milestones!$AA$192)&lt;=AsOfDate,IF($R122=0,$X122,IF(AND($T122&lt;&gt;"",EDATE($D122,Milestones!$AA$192)&gt;=$T122),$W122,IF(AND($S122&lt;&gt;"",EDATE($D122,Milestones!$AA$192)&gt;=$S122),$V122,$U122)))=Milestones!$AB$192),UPPER(TEXT(EDATE($D122,Milestones!$AA$192),"dd mmm yy"))&amp;" "&amp;Milestones!$AB$192&amp;" "&amp;Milestones!$AC$192&amp;";  ","")&amp;IF(AND(EDATE($D122,Milestones!$AA$193)&lt;=AsOfDate,IF($R122=0,$X122,IF(AND($T122&lt;&gt;"",EDATE($D122,Milestones!$AA$193)&gt;=$T122),$W122,IF(AND($S122&lt;&gt;"",EDATE($D122,Milestones!$AA$193)&gt;=$S122),$V122,$U122)))=Milestones!$AB$193),UPPER(TEXT(EDATE($D122,Milestones!$AA$193),"dd mmm yy"))&amp;" "&amp;Milestones!$AB$193&amp;" "&amp;Milestones!$AC$193&amp;";  ","")&amp;IF(AND(EDATE($D122,Milestones!$AA$194)&lt;=AsOfDate,IF($R122=0,$X122,IF(AND($T122&lt;&gt;"",EDATE($D122,Milestones!$AA$194)&gt;=$T122),$W122,IF(AND($S122&lt;&gt;"",EDATE($D122,Milestones!$AA$194)&gt;=$S122),$V122,$U122)))=Milestones!$AB$194),UPPER(TEXT(EDATE($D122,Milestones!$AA$194),"dd mmm yy"))&amp;" "&amp;Milestones!$AB$194&amp;" "&amp;Milestones!$AC$194&amp;";  ","")&amp;IF(AND(EDATE($D122,Milestones!$AA$195)&lt;=AsOfDate,IF($R122=0,$X122,IF(AND($T122&lt;&gt;"",EDATE($D122,Milestones!$AA$195)&gt;=$T122),$W122,IF(AND($S122&lt;&gt;"",EDATE($D122,Milestones!$AA$195)&gt;=$S122),$V122,$U122)))=Milestones!$AB$195),UPPER(TEXT(EDATE($D122,Milestones!$AA$195),"dd mmm yy"))&amp;" "&amp;Milestones!$AB$195&amp;" "&amp;Milestones!$AC$195&amp;";  ","")&amp;IF(AND(EDATE($D122,Milestones!$AA$196)&lt;=AsOfDate,IF($R122=0,$X122,IF(AND($T122&lt;&gt;"",EDATE($D122,Milestones!$AA$196)&gt;=$T122),$W122,IF(AND($S122&lt;&gt;"",EDATE($D122,Milestones!$AA$196)&gt;=$S122),$V122,$U122)))=Milestones!$AB$196),UPPER(TEXT(EDATE($D122,Milestones!$AA$196),"dd mmm yy"))&amp;" "&amp;Milestones!$AB$196&amp;" "&amp;Milestones!$AC$196&amp;";  ","")&amp;IF(AND(EDATE($D122,Milestones!$AA$197)&lt;=AsOfDate,IF($R122=0,$X122,IF(AND($T122&lt;&gt;"",EDATE($D122,Milestones!$AA$197)&gt;=$T122),$W122,IF(AND($S122&lt;&gt;"",EDATE($D122,Milestones!$AA$197)&gt;=$S122),$V122,$U122)))=Milestones!$AB$197),UPPER(TEXT(EDATE($D122,Milestones!$AA$197),"dd mmm yy"))&amp;" "&amp;Milestones!$AB$197&amp;" "&amp;Milestones!$AC$197&amp;";  ","")&amp;IF(AND(EDATE($D122,Milestones!$AA$198)&lt;=AsOfDate,IF($R122=0,$X122,IF(AND($T122&lt;&gt;"",EDATE($D122,Milestones!$AA$198)&gt;=$T122),$W122,IF(AND($S122&lt;&gt;"",EDATE($D122,Milestones!$AA$198)&gt;=$S122),$V122,$U122)))=Milestones!$AB$198),UPPER(TEXT(EDATE($D122,Milestones!$AA$198),"dd mmm yy"))&amp;" "&amp;Milestones!$AB$198&amp;" "&amp;Milestones!$AC$198&amp;";  ","")&amp;IF(AND(EDATE($D122,Milestones!$AA$199)&lt;=AsOfDate,IF($R122=0,$X122,IF(AND($T122&lt;&gt;"",EDATE($D122,Milestones!$AA$199)&gt;=$T122),$W122,IF(AND($S122&lt;&gt;"",EDATE($D122,Milestones!$AA$199)&gt;=$S122),$V122,$U122)))=Milestones!$AB$199),UPPER(TEXT(EDATE($D122,Milestones!$AA$199),"dd mmm yy"))&amp;" "&amp;Milestones!$AB$199&amp;" "&amp;Milestones!$AC$199&amp;";  ",""))</f>
        <v/>
      </c>
      <c r="R122" s="0" t="str">
        <f aca="false">IF(Staff!$A122="","",Staff!$AI122)</f>
        <v/>
      </c>
      <c r="S122" s="0" t="str">
        <f aca="false">IF(Staff!$A122="","",Staff!$AK122)</f>
        <v/>
      </c>
      <c r="T122" s="0" t="str">
        <f aca="false">IF(Staff!$A122="","",Staff!$AL122)</f>
        <v/>
      </c>
      <c r="U122" s="0" t="str">
        <f aca="false">IF(Staff!$A122="","",Staff!$AP122)</f>
        <v/>
      </c>
      <c r="V122" s="0" t="str">
        <f aca="false">IF(Staff!$A122="","",Staff!$AQ122)</f>
        <v/>
      </c>
      <c r="W122" s="0" t="str">
        <f aca="false">IF(Staff!$A122="","",Staff!$AR122)</f>
        <v/>
      </c>
      <c r="X122" s="0" t="str">
        <f aca="false">IF(Staff!$A122="","",Staff!$AS122)</f>
        <v/>
      </c>
    </row>
    <row r="123" customFormat="false" ht="15" hidden="false" customHeight="false" outlineLevel="0" collapsed="false">
      <c r="A123" s="14" t="str">
        <f aca="false">IF(Staff!$A123="","",Staff!$A123)</f>
        <v/>
      </c>
      <c r="B123" s="14" t="str">
        <f aca="false">IF(Staff!$A123="","",Staff!$B123)</f>
        <v/>
      </c>
      <c r="C123" s="14" t="str">
        <f aca="false">IF(Staff!$A123="","",Staff!$C123)</f>
        <v/>
      </c>
      <c r="D123" s="12" t="str">
        <f aca="false">IF(Staff!$A123="","",Staff!$AH123)</f>
        <v/>
      </c>
      <c r="E123" s="14" t="str">
        <f aca="false">IF(Staff!$A123="","",Staff!$O123)</f>
        <v/>
      </c>
      <c r="F123" s="14" t="str">
        <f aca="false">IF(E123="","",E123*HoursPerDay)</f>
        <v/>
      </c>
      <c r="G123" s="14" t="str">
        <f aca="false">IF(Staff!$A123="","",Staff!$AE123)</f>
        <v/>
      </c>
      <c r="H123" s="26" t="str">
        <f aca="false">IF($A123="","",I123&amp;J123&amp;K123&amp;L123&amp;M123&amp;N123&amp;O123&amp;P123&amp;Q123)</f>
        <v/>
      </c>
      <c r="I123" s="0" t="str">
        <f aca="false">IF(OR($A123="",$D123=""),"",IF(AND(EDATE($D123,Milestones!$AA$20)&lt;=AsOfDate,IF($R123=0,$X123,IF(AND($T123&lt;&gt;"",EDATE($D123,Milestones!$AA$20)&gt;=$T123),$W123,IF(AND($S123&lt;&gt;"",EDATE($D123,Milestones!$AA$20)&gt;=$S123),$V123,$U123)))=Milestones!$AB$20),UPPER(TEXT(EDATE($D123,Milestones!$AA$20),"dd mmm yy"))&amp;" "&amp;Milestones!$AB$20&amp;" "&amp;Milestones!$AC$20&amp;";  ","")&amp;IF(AND(EDATE($D123,Milestones!$AA$21)&lt;=AsOfDate,IF($R123=0,$X123,IF(AND($T123&lt;&gt;"",EDATE($D123,Milestones!$AA$21)&gt;=$T123),$W123,IF(AND($S123&lt;&gt;"",EDATE($D123,Milestones!$AA$21)&gt;=$S123),$V123,$U123)))=Milestones!$AB$21),UPPER(TEXT(EDATE($D123,Milestones!$AA$21),"dd mmm yy"))&amp;" "&amp;Milestones!$AB$21&amp;" "&amp;Milestones!$AC$21&amp;";  ","")&amp;IF(AND(EDATE($D123,Milestones!$AA$22)&lt;=AsOfDate,IF($R123=0,$X123,IF(AND($T123&lt;&gt;"",EDATE($D123,Milestones!$AA$22)&gt;=$T123),$W123,IF(AND($S123&lt;&gt;"",EDATE($D123,Milestones!$AA$22)&gt;=$S123),$V123,$U123)))=Milestones!$AB$22),UPPER(TEXT(EDATE($D123,Milestones!$AA$22),"dd mmm yy"))&amp;" "&amp;Milestones!$AB$22&amp;" "&amp;Milestones!$AC$22&amp;";  ","")&amp;IF(AND(EDATE($D123,Milestones!$AA$23)&lt;=AsOfDate,IF($R123=0,$X123,IF(AND($T123&lt;&gt;"",EDATE($D123,Milestones!$AA$23)&gt;=$T123),$W123,IF(AND($S123&lt;&gt;"",EDATE($D123,Milestones!$AA$23)&gt;=$S123),$V123,$U123)))=Milestones!$AB$23),UPPER(TEXT(EDATE($D123,Milestones!$AA$23),"dd mmm yy"))&amp;" "&amp;Milestones!$AB$23&amp;" "&amp;Milestones!$AC$23&amp;";  ","")&amp;IF(AND(EDATE($D123,Milestones!$AA$24)&lt;=AsOfDate,IF($R123=0,$X123,IF(AND($T123&lt;&gt;"",EDATE($D123,Milestones!$AA$24)&gt;=$T123),$W123,IF(AND($S123&lt;&gt;"",EDATE($D123,Milestones!$AA$24)&gt;=$S123),$V123,$U123)))=Milestones!$AB$24),UPPER(TEXT(EDATE($D123,Milestones!$AA$24),"dd mmm yy"))&amp;" "&amp;Milestones!$AB$24&amp;" "&amp;Milestones!$AC$24&amp;";  ","")&amp;IF(AND(EDATE($D123,Milestones!$AA$25)&lt;=AsOfDate,IF($R123=0,$X123,IF(AND($T123&lt;&gt;"",EDATE($D123,Milestones!$AA$25)&gt;=$T123),$W123,IF(AND($S123&lt;&gt;"",EDATE($D123,Milestones!$AA$25)&gt;=$S123),$V123,$U123)))=Milestones!$AB$25),UPPER(TEXT(EDATE($D123,Milestones!$AA$25),"dd mmm yy"))&amp;" "&amp;Milestones!$AB$25&amp;" "&amp;Milestones!$AC$25&amp;";  ","")&amp;IF(AND(EDATE($D123,Milestones!$AA$26)&lt;=AsOfDate,IF($R123=0,$X123,IF(AND($T123&lt;&gt;"",EDATE($D123,Milestones!$AA$26)&gt;=$T123),$W123,IF(AND($S123&lt;&gt;"",EDATE($D123,Milestones!$AA$26)&gt;=$S123),$V123,$U123)))=Milestones!$AB$26),UPPER(TEXT(EDATE($D123,Milestones!$AA$26),"dd mmm yy"))&amp;" "&amp;Milestones!$AB$26&amp;" "&amp;Milestones!$AC$26&amp;";  ","")&amp;IF(AND(EDATE($D123,Milestones!$AA$27)&lt;=AsOfDate,IF($R123=0,$X123,IF(AND($T123&lt;&gt;"",EDATE($D123,Milestones!$AA$27)&gt;=$T123),$W123,IF(AND($S123&lt;&gt;"",EDATE($D123,Milestones!$AA$27)&gt;=$S123),$V123,$U123)))=Milestones!$AB$27),UPPER(TEXT(EDATE($D123,Milestones!$AA$27),"dd mmm yy"))&amp;" "&amp;Milestones!$AB$27&amp;" "&amp;Milestones!$AC$27&amp;";  ","")&amp;IF(AND(EDATE($D123,Milestones!$AA$28)&lt;=AsOfDate,IF($R123=0,$X123,IF(AND($T123&lt;&gt;"",EDATE($D123,Milestones!$AA$28)&gt;=$T123),$W123,IF(AND($S123&lt;&gt;"",EDATE($D123,Milestones!$AA$28)&gt;=$S123),$V123,$U123)))=Milestones!$AB$28),UPPER(TEXT(EDATE($D123,Milestones!$AA$28),"dd mmm yy"))&amp;" "&amp;Milestones!$AB$28&amp;" "&amp;Milestones!$AC$28&amp;";  ","")&amp;IF(AND(EDATE($D123,Milestones!$AA$29)&lt;=AsOfDate,IF($R123=0,$X123,IF(AND($T123&lt;&gt;"",EDATE($D123,Milestones!$AA$29)&gt;=$T123),$W123,IF(AND($S123&lt;&gt;"",EDATE($D123,Milestones!$AA$29)&gt;=$S123),$V123,$U123)))=Milestones!$AB$29),UPPER(TEXT(EDATE($D123,Milestones!$AA$29),"dd mmm yy"))&amp;" "&amp;Milestones!$AB$29&amp;" "&amp;Milestones!$AC$29&amp;";  ","")&amp;IF(AND(EDATE($D123,Milestones!$AA$30)&lt;=AsOfDate,IF($R123=0,$X123,IF(AND($T123&lt;&gt;"",EDATE($D123,Milestones!$AA$30)&gt;=$T123),$W123,IF(AND($S123&lt;&gt;"",EDATE($D123,Milestones!$AA$30)&gt;=$S123),$V123,$U123)))=Milestones!$AB$30),UPPER(TEXT(EDATE($D123,Milestones!$AA$30),"dd mmm yy"))&amp;" "&amp;Milestones!$AB$30&amp;" "&amp;Milestones!$AC$30&amp;";  ","")&amp;IF(AND(EDATE($D123,Milestones!$AA$31)&lt;=AsOfDate,IF($R123=0,$X123,IF(AND($T123&lt;&gt;"",EDATE($D123,Milestones!$AA$31)&gt;=$T123),$W123,IF(AND($S123&lt;&gt;"",EDATE($D123,Milestones!$AA$31)&gt;=$S123),$V123,$U123)))=Milestones!$AB$31),UPPER(TEXT(EDATE($D123,Milestones!$AA$31),"dd mmm yy"))&amp;" "&amp;Milestones!$AB$31&amp;" "&amp;Milestones!$AC$31&amp;";  ","")&amp;IF(AND(EDATE($D123,Milestones!$AA$32)&lt;=AsOfDate,IF($R123=0,$X123,IF(AND($T123&lt;&gt;"",EDATE($D123,Milestones!$AA$32)&gt;=$T123),$W123,IF(AND($S123&lt;&gt;"",EDATE($D123,Milestones!$AA$32)&gt;=$S123),$V123,$U123)))=Milestones!$AB$32),UPPER(TEXT(EDATE($D123,Milestones!$AA$32),"dd mmm yy"))&amp;" "&amp;Milestones!$AB$32&amp;" "&amp;Milestones!$AC$32&amp;";  ","")&amp;IF(AND(EDATE($D123,Milestones!$AA$33)&lt;=AsOfDate,IF($R123=0,$X123,IF(AND($T123&lt;&gt;"",EDATE($D123,Milestones!$AA$33)&gt;=$T123),$W123,IF(AND($S123&lt;&gt;"",EDATE($D123,Milestones!$AA$33)&gt;=$S123),$V123,$U123)))=Milestones!$AB$33),UPPER(TEXT(EDATE($D123,Milestones!$AA$33),"dd mmm yy"))&amp;" "&amp;Milestones!$AB$33&amp;" "&amp;Milestones!$AC$33&amp;";  ","")&amp;IF(AND(EDATE($D123,Milestones!$AA$34)&lt;=AsOfDate,IF($R123=0,$X123,IF(AND($T123&lt;&gt;"",EDATE($D123,Milestones!$AA$34)&gt;=$T123),$W123,IF(AND($S123&lt;&gt;"",EDATE($D123,Milestones!$AA$34)&gt;=$S123),$V123,$U123)))=Milestones!$AB$34),UPPER(TEXT(EDATE($D123,Milestones!$AA$34),"dd mmm yy"))&amp;" "&amp;Milestones!$AB$34&amp;" "&amp;Milestones!$AC$34&amp;";  ","")&amp;IF(AND(EDATE($D123,Milestones!$AA$35)&lt;=AsOfDate,IF($R123=0,$X123,IF(AND($T123&lt;&gt;"",EDATE($D123,Milestones!$AA$35)&gt;=$T123),$W123,IF(AND($S123&lt;&gt;"",EDATE($D123,Milestones!$AA$35)&gt;=$S123),$V123,$U123)))=Milestones!$AB$35),UPPER(TEXT(EDATE($D123,Milestones!$AA$35),"dd mmm yy"))&amp;" "&amp;Milestones!$AB$35&amp;" "&amp;Milestones!$AC$35&amp;";  ","")&amp;IF(AND(EDATE($D123,Milestones!$AA$36)&lt;=AsOfDate,IF($R123=0,$X123,IF(AND($T123&lt;&gt;"",EDATE($D123,Milestones!$AA$36)&gt;=$T123),$W123,IF(AND($S123&lt;&gt;"",EDATE($D123,Milestones!$AA$36)&gt;=$S123),$V123,$U123)))=Milestones!$AB$36),UPPER(TEXT(EDATE($D123,Milestones!$AA$36),"dd mmm yy"))&amp;" "&amp;Milestones!$AB$36&amp;" "&amp;Milestones!$AC$36&amp;";  ","")&amp;IF(AND(EDATE($D123,Milestones!$AA$37)&lt;=AsOfDate,IF($R123=0,$X123,IF(AND($T123&lt;&gt;"",EDATE($D123,Milestones!$AA$37)&gt;=$T123),$W123,IF(AND($S123&lt;&gt;"",EDATE($D123,Milestones!$AA$37)&gt;=$S123),$V123,$U123)))=Milestones!$AB$37),UPPER(TEXT(EDATE($D123,Milestones!$AA$37),"dd mmm yy"))&amp;" "&amp;Milestones!$AB$37&amp;" "&amp;Milestones!$AC$37&amp;";  ","")&amp;IF(AND(EDATE($D123,Milestones!$AA$38)&lt;=AsOfDate,IF($R123=0,$X123,IF(AND($T123&lt;&gt;"",EDATE($D123,Milestones!$AA$38)&gt;=$T123),$W123,IF(AND($S123&lt;&gt;"",EDATE($D123,Milestones!$AA$38)&gt;=$S123),$V123,$U123)))=Milestones!$AB$38),UPPER(TEXT(EDATE($D123,Milestones!$AA$38),"dd mmm yy"))&amp;" "&amp;Milestones!$AB$38&amp;" "&amp;Milestones!$AC$38&amp;";  ","")&amp;IF(AND(EDATE($D123,Milestones!$AA$39)&lt;=AsOfDate,IF($R123=0,$X123,IF(AND($T123&lt;&gt;"",EDATE($D123,Milestones!$AA$39)&gt;=$T123),$W123,IF(AND($S123&lt;&gt;"",EDATE($D123,Milestones!$AA$39)&gt;=$S123),$V123,$U123)))=Milestones!$AB$39),UPPER(TEXT(EDATE($D123,Milestones!$AA$39),"dd mmm yy"))&amp;" "&amp;Milestones!$AB$39&amp;" "&amp;Milestones!$AC$39&amp;";  ",""))</f>
        <v/>
      </c>
      <c r="J123" s="0" t="str">
        <f aca="false">IF(OR($A123="",$D123=""),"",IF(AND(EDATE($D123,Milestones!$AA$40)&lt;=AsOfDate,IF($R123=0,$X123,IF(AND($T123&lt;&gt;"",EDATE($D123,Milestones!$AA$40)&gt;=$T123),$W123,IF(AND($S123&lt;&gt;"",EDATE($D123,Milestones!$AA$40)&gt;=$S123),$V123,$U123)))=Milestones!$AB$40),UPPER(TEXT(EDATE($D123,Milestones!$AA$40),"dd mmm yy"))&amp;" "&amp;Milestones!$AB$40&amp;" "&amp;Milestones!$AC$40&amp;";  ","")&amp;IF(AND(EDATE($D123,Milestones!$AA$41)&lt;=AsOfDate,IF($R123=0,$X123,IF(AND($T123&lt;&gt;"",EDATE($D123,Milestones!$AA$41)&gt;=$T123),$W123,IF(AND($S123&lt;&gt;"",EDATE($D123,Milestones!$AA$41)&gt;=$S123),$V123,$U123)))=Milestones!$AB$41),UPPER(TEXT(EDATE($D123,Milestones!$AA$41),"dd mmm yy"))&amp;" "&amp;Milestones!$AB$41&amp;" "&amp;Milestones!$AC$41&amp;";  ","")&amp;IF(AND(EDATE($D123,Milestones!$AA$42)&lt;=AsOfDate,IF($R123=0,$X123,IF(AND($T123&lt;&gt;"",EDATE($D123,Milestones!$AA$42)&gt;=$T123),$W123,IF(AND($S123&lt;&gt;"",EDATE($D123,Milestones!$AA$42)&gt;=$S123),$V123,$U123)))=Milestones!$AB$42),UPPER(TEXT(EDATE($D123,Milestones!$AA$42),"dd mmm yy"))&amp;" "&amp;Milestones!$AB$42&amp;" "&amp;Milestones!$AC$42&amp;";  ","")&amp;IF(AND(EDATE($D123,Milestones!$AA$43)&lt;=AsOfDate,IF($R123=0,$X123,IF(AND($T123&lt;&gt;"",EDATE($D123,Milestones!$AA$43)&gt;=$T123),$W123,IF(AND($S123&lt;&gt;"",EDATE($D123,Milestones!$AA$43)&gt;=$S123),$V123,$U123)))=Milestones!$AB$43),UPPER(TEXT(EDATE($D123,Milestones!$AA$43),"dd mmm yy"))&amp;" "&amp;Milestones!$AB$43&amp;" "&amp;Milestones!$AC$43&amp;";  ","")&amp;IF(AND(EDATE($D123,Milestones!$AA$44)&lt;=AsOfDate,IF($R123=0,$X123,IF(AND($T123&lt;&gt;"",EDATE($D123,Milestones!$AA$44)&gt;=$T123),$W123,IF(AND($S123&lt;&gt;"",EDATE($D123,Milestones!$AA$44)&gt;=$S123),$V123,$U123)))=Milestones!$AB$44),UPPER(TEXT(EDATE($D123,Milestones!$AA$44),"dd mmm yy"))&amp;" "&amp;Milestones!$AB$44&amp;" "&amp;Milestones!$AC$44&amp;";  ","")&amp;IF(AND(EDATE($D123,Milestones!$AA$45)&lt;=AsOfDate,IF($R123=0,$X123,IF(AND($T123&lt;&gt;"",EDATE($D123,Milestones!$AA$45)&gt;=$T123),$W123,IF(AND($S123&lt;&gt;"",EDATE($D123,Milestones!$AA$45)&gt;=$S123),$V123,$U123)))=Milestones!$AB$45),UPPER(TEXT(EDATE($D123,Milestones!$AA$45),"dd mmm yy"))&amp;" "&amp;Milestones!$AB$45&amp;" "&amp;Milestones!$AC$45&amp;";  ","")&amp;IF(AND(EDATE($D123,Milestones!$AA$46)&lt;=AsOfDate,IF($R123=0,$X123,IF(AND($T123&lt;&gt;"",EDATE($D123,Milestones!$AA$46)&gt;=$T123),$W123,IF(AND($S123&lt;&gt;"",EDATE($D123,Milestones!$AA$46)&gt;=$S123),$V123,$U123)))=Milestones!$AB$46),UPPER(TEXT(EDATE($D123,Milestones!$AA$46),"dd mmm yy"))&amp;" "&amp;Milestones!$AB$46&amp;" "&amp;Milestones!$AC$46&amp;";  ","")&amp;IF(AND(EDATE($D123,Milestones!$AA$47)&lt;=AsOfDate,IF($R123=0,$X123,IF(AND($T123&lt;&gt;"",EDATE($D123,Milestones!$AA$47)&gt;=$T123),$W123,IF(AND($S123&lt;&gt;"",EDATE($D123,Milestones!$AA$47)&gt;=$S123),$V123,$U123)))=Milestones!$AB$47),UPPER(TEXT(EDATE($D123,Milestones!$AA$47),"dd mmm yy"))&amp;" "&amp;Milestones!$AB$47&amp;" "&amp;Milestones!$AC$47&amp;";  ","")&amp;IF(AND(EDATE($D123,Milestones!$AA$48)&lt;=AsOfDate,IF($R123=0,$X123,IF(AND($T123&lt;&gt;"",EDATE($D123,Milestones!$AA$48)&gt;=$T123),$W123,IF(AND($S123&lt;&gt;"",EDATE($D123,Milestones!$AA$48)&gt;=$S123),$V123,$U123)))=Milestones!$AB$48),UPPER(TEXT(EDATE($D123,Milestones!$AA$48),"dd mmm yy"))&amp;" "&amp;Milestones!$AB$48&amp;" "&amp;Milestones!$AC$48&amp;";  ","")&amp;IF(AND(EDATE($D123,Milestones!$AA$49)&lt;=AsOfDate,IF($R123=0,$X123,IF(AND($T123&lt;&gt;"",EDATE($D123,Milestones!$AA$49)&gt;=$T123),$W123,IF(AND($S123&lt;&gt;"",EDATE($D123,Milestones!$AA$49)&gt;=$S123),$V123,$U123)))=Milestones!$AB$49),UPPER(TEXT(EDATE($D123,Milestones!$AA$49),"dd mmm yy"))&amp;" "&amp;Milestones!$AB$49&amp;" "&amp;Milestones!$AC$49&amp;";  ","")&amp;IF(AND(EDATE($D123,Milestones!$AA$50)&lt;=AsOfDate,IF($R123=0,$X123,IF(AND($T123&lt;&gt;"",EDATE($D123,Milestones!$AA$50)&gt;=$T123),$W123,IF(AND($S123&lt;&gt;"",EDATE($D123,Milestones!$AA$50)&gt;=$S123),$V123,$U123)))=Milestones!$AB$50),UPPER(TEXT(EDATE($D123,Milestones!$AA$50),"dd mmm yy"))&amp;" "&amp;Milestones!$AB$50&amp;" "&amp;Milestones!$AC$50&amp;";  ","")&amp;IF(AND(EDATE($D123,Milestones!$AA$51)&lt;=AsOfDate,IF($R123=0,$X123,IF(AND($T123&lt;&gt;"",EDATE($D123,Milestones!$AA$51)&gt;=$T123),$W123,IF(AND($S123&lt;&gt;"",EDATE($D123,Milestones!$AA$51)&gt;=$S123),$V123,$U123)))=Milestones!$AB$51),UPPER(TEXT(EDATE($D123,Milestones!$AA$51),"dd mmm yy"))&amp;" "&amp;Milestones!$AB$51&amp;" "&amp;Milestones!$AC$51&amp;";  ","")&amp;IF(AND(EDATE($D123,Milestones!$AA$52)&lt;=AsOfDate,IF($R123=0,$X123,IF(AND($T123&lt;&gt;"",EDATE($D123,Milestones!$AA$52)&gt;=$T123),$W123,IF(AND($S123&lt;&gt;"",EDATE($D123,Milestones!$AA$52)&gt;=$S123),$V123,$U123)))=Milestones!$AB$52),UPPER(TEXT(EDATE($D123,Milestones!$AA$52),"dd mmm yy"))&amp;" "&amp;Milestones!$AB$52&amp;" "&amp;Milestones!$AC$52&amp;";  ","")&amp;IF(AND(EDATE($D123,Milestones!$AA$53)&lt;=AsOfDate,IF($R123=0,$X123,IF(AND($T123&lt;&gt;"",EDATE($D123,Milestones!$AA$53)&gt;=$T123),$W123,IF(AND($S123&lt;&gt;"",EDATE($D123,Milestones!$AA$53)&gt;=$S123),$V123,$U123)))=Milestones!$AB$53),UPPER(TEXT(EDATE($D123,Milestones!$AA$53),"dd mmm yy"))&amp;" "&amp;Milestones!$AB$53&amp;" "&amp;Milestones!$AC$53&amp;";  ","")&amp;IF(AND(EDATE($D123,Milestones!$AA$54)&lt;=AsOfDate,IF($R123=0,$X123,IF(AND($T123&lt;&gt;"",EDATE($D123,Milestones!$AA$54)&gt;=$T123),$W123,IF(AND($S123&lt;&gt;"",EDATE($D123,Milestones!$AA$54)&gt;=$S123),$V123,$U123)))=Milestones!$AB$54),UPPER(TEXT(EDATE($D123,Milestones!$AA$54),"dd mmm yy"))&amp;" "&amp;Milestones!$AB$54&amp;" "&amp;Milestones!$AC$54&amp;";  ","")&amp;IF(AND(EDATE($D123,Milestones!$AA$55)&lt;=AsOfDate,IF($R123=0,$X123,IF(AND($T123&lt;&gt;"",EDATE($D123,Milestones!$AA$55)&gt;=$T123),$W123,IF(AND($S123&lt;&gt;"",EDATE($D123,Milestones!$AA$55)&gt;=$S123),$V123,$U123)))=Milestones!$AB$55),UPPER(TEXT(EDATE($D123,Milestones!$AA$55),"dd mmm yy"))&amp;" "&amp;Milestones!$AB$55&amp;" "&amp;Milestones!$AC$55&amp;";  ","")&amp;IF(AND(EDATE($D123,Milestones!$AA$56)&lt;=AsOfDate,IF($R123=0,$X123,IF(AND($T123&lt;&gt;"",EDATE($D123,Milestones!$AA$56)&gt;=$T123),$W123,IF(AND($S123&lt;&gt;"",EDATE($D123,Milestones!$AA$56)&gt;=$S123),$V123,$U123)))=Milestones!$AB$56),UPPER(TEXT(EDATE($D123,Milestones!$AA$56),"dd mmm yy"))&amp;" "&amp;Milestones!$AB$56&amp;" "&amp;Milestones!$AC$56&amp;";  ","")&amp;IF(AND(EDATE($D123,Milestones!$AA$57)&lt;=AsOfDate,IF($R123=0,$X123,IF(AND($T123&lt;&gt;"",EDATE($D123,Milestones!$AA$57)&gt;=$T123),$W123,IF(AND($S123&lt;&gt;"",EDATE($D123,Milestones!$AA$57)&gt;=$S123),$V123,$U123)))=Milestones!$AB$57),UPPER(TEXT(EDATE($D123,Milestones!$AA$57),"dd mmm yy"))&amp;" "&amp;Milestones!$AB$57&amp;" "&amp;Milestones!$AC$57&amp;";  ","")&amp;IF(AND(EDATE($D123,Milestones!$AA$58)&lt;=AsOfDate,IF($R123=0,$X123,IF(AND($T123&lt;&gt;"",EDATE($D123,Milestones!$AA$58)&gt;=$T123),$W123,IF(AND($S123&lt;&gt;"",EDATE($D123,Milestones!$AA$58)&gt;=$S123),$V123,$U123)))=Milestones!$AB$58),UPPER(TEXT(EDATE($D123,Milestones!$AA$58),"dd mmm yy"))&amp;" "&amp;Milestones!$AB$58&amp;" "&amp;Milestones!$AC$58&amp;";  ","")&amp;IF(AND(EDATE($D123,Milestones!$AA$59)&lt;=AsOfDate,IF($R123=0,$X123,IF(AND($T123&lt;&gt;"",EDATE($D123,Milestones!$AA$59)&gt;=$T123),$W123,IF(AND($S123&lt;&gt;"",EDATE($D123,Milestones!$AA$59)&gt;=$S123),$V123,$U123)))=Milestones!$AB$59),UPPER(TEXT(EDATE($D123,Milestones!$AA$59),"dd mmm yy"))&amp;" "&amp;Milestones!$AB$59&amp;" "&amp;Milestones!$AC$59&amp;";  ",""))</f>
        <v/>
      </c>
      <c r="K123" s="0" t="str">
        <f aca="false">IF(OR($A123="",$D123=""),"",IF(AND(EDATE($D123,Milestones!$AA$60)&lt;=AsOfDate,IF($R123=0,$X123,IF(AND($T123&lt;&gt;"",EDATE($D123,Milestones!$AA$60)&gt;=$T123),$W123,IF(AND($S123&lt;&gt;"",EDATE($D123,Milestones!$AA$60)&gt;=$S123),$V123,$U123)))=Milestones!$AB$60),UPPER(TEXT(EDATE($D123,Milestones!$AA$60),"dd mmm yy"))&amp;" "&amp;Milestones!$AB$60&amp;" "&amp;Milestones!$AC$60&amp;";  ","")&amp;IF(AND(EDATE($D123,Milestones!$AA$61)&lt;=AsOfDate,IF($R123=0,$X123,IF(AND($T123&lt;&gt;"",EDATE($D123,Milestones!$AA$61)&gt;=$T123),$W123,IF(AND($S123&lt;&gt;"",EDATE($D123,Milestones!$AA$61)&gt;=$S123),$V123,$U123)))=Milestones!$AB$61),UPPER(TEXT(EDATE($D123,Milestones!$AA$61),"dd mmm yy"))&amp;" "&amp;Milestones!$AB$61&amp;" "&amp;Milestones!$AC$61&amp;";  ","")&amp;IF(AND(EDATE($D123,Milestones!$AA$62)&lt;=AsOfDate,IF($R123=0,$X123,IF(AND($T123&lt;&gt;"",EDATE($D123,Milestones!$AA$62)&gt;=$T123),$W123,IF(AND($S123&lt;&gt;"",EDATE($D123,Milestones!$AA$62)&gt;=$S123),$V123,$U123)))=Milestones!$AB$62),UPPER(TEXT(EDATE($D123,Milestones!$AA$62),"dd mmm yy"))&amp;" "&amp;Milestones!$AB$62&amp;" "&amp;Milestones!$AC$62&amp;";  ","")&amp;IF(AND(EDATE($D123,Milestones!$AA$63)&lt;=AsOfDate,IF($R123=0,$X123,IF(AND($T123&lt;&gt;"",EDATE($D123,Milestones!$AA$63)&gt;=$T123),$W123,IF(AND($S123&lt;&gt;"",EDATE($D123,Milestones!$AA$63)&gt;=$S123),$V123,$U123)))=Milestones!$AB$63),UPPER(TEXT(EDATE($D123,Milestones!$AA$63),"dd mmm yy"))&amp;" "&amp;Milestones!$AB$63&amp;" "&amp;Milestones!$AC$63&amp;";  ","")&amp;IF(AND(EDATE($D123,Milestones!$AA$64)&lt;=AsOfDate,IF($R123=0,$X123,IF(AND($T123&lt;&gt;"",EDATE($D123,Milestones!$AA$64)&gt;=$T123),$W123,IF(AND($S123&lt;&gt;"",EDATE($D123,Milestones!$AA$64)&gt;=$S123),$V123,$U123)))=Milestones!$AB$64),UPPER(TEXT(EDATE($D123,Milestones!$AA$64),"dd mmm yy"))&amp;" "&amp;Milestones!$AB$64&amp;" "&amp;Milestones!$AC$64&amp;";  ","")&amp;IF(AND(EDATE($D123,Milestones!$AA$65)&lt;=AsOfDate,IF($R123=0,$X123,IF(AND($T123&lt;&gt;"",EDATE($D123,Milestones!$AA$65)&gt;=$T123),$W123,IF(AND($S123&lt;&gt;"",EDATE($D123,Milestones!$AA$65)&gt;=$S123),$V123,$U123)))=Milestones!$AB$65),UPPER(TEXT(EDATE($D123,Milestones!$AA$65),"dd mmm yy"))&amp;" "&amp;Milestones!$AB$65&amp;" "&amp;Milestones!$AC$65&amp;";  ","")&amp;IF(AND(EDATE($D123,Milestones!$AA$66)&lt;=AsOfDate,IF($R123=0,$X123,IF(AND($T123&lt;&gt;"",EDATE($D123,Milestones!$AA$66)&gt;=$T123),$W123,IF(AND($S123&lt;&gt;"",EDATE($D123,Milestones!$AA$66)&gt;=$S123),$V123,$U123)))=Milestones!$AB$66),UPPER(TEXT(EDATE($D123,Milestones!$AA$66),"dd mmm yy"))&amp;" "&amp;Milestones!$AB$66&amp;" "&amp;Milestones!$AC$66&amp;";  ","")&amp;IF(AND(EDATE($D123,Milestones!$AA$67)&lt;=AsOfDate,IF($R123=0,$X123,IF(AND($T123&lt;&gt;"",EDATE($D123,Milestones!$AA$67)&gt;=$T123),$W123,IF(AND($S123&lt;&gt;"",EDATE($D123,Milestones!$AA$67)&gt;=$S123),$V123,$U123)))=Milestones!$AB$67),UPPER(TEXT(EDATE($D123,Milestones!$AA$67),"dd mmm yy"))&amp;" "&amp;Milestones!$AB$67&amp;" "&amp;Milestones!$AC$67&amp;";  ","")&amp;IF(AND(EDATE($D123,Milestones!$AA$68)&lt;=AsOfDate,IF($R123=0,$X123,IF(AND($T123&lt;&gt;"",EDATE($D123,Milestones!$AA$68)&gt;=$T123),$W123,IF(AND($S123&lt;&gt;"",EDATE($D123,Milestones!$AA$68)&gt;=$S123),$V123,$U123)))=Milestones!$AB$68),UPPER(TEXT(EDATE($D123,Milestones!$AA$68),"dd mmm yy"))&amp;" "&amp;Milestones!$AB$68&amp;" "&amp;Milestones!$AC$68&amp;";  ","")&amp;IF(AND(EDATE($D123,Milestones!$AA$69)&lt;=AsOfDate,IF($R123=0,$X123,IF(AND($T123&lt;&gt;"",EDATE($D123,Milestones!$AA$69)&gt;=$T123),$W123,IF(AND($S123&lt;&gt;"",EDATE($D123,Milestones!$AA$69)&gt;=$S123),$V123,$U123)))=Milestones!$AB$69),UPPER(TEXT(EDATE($D123,Milestones!$AA$69),"dd mmm yy"))&amp;" "&amp;Milestones!$AB$69&amp;" "&amp;Milestones!$AC$69&amp;";  ","")&amp;IF(AND(EDATE($D123,Milestones!$AA$70)&lt;=AsOfDate,IF($R123=0,$X123,IF(AND($T123&lt;&gt;"",EDATE($D123,Milestones!$AA$70)&gt;=$T123),$W123,IF(AND($S123&lt;&gt;"",EDATE($D123,Milestones!$AA$70)&gt;=$S123),$V123,$U123)))=Milestones!$AB$70),UPPER(TEXT(EDATE($D123,Milestones!$AA$70),"dd mmm yy"))&amp;" "&amp;Milestones!$AB$70&amp;" "&amp;Milestones!$AC$70&amp;";  ","")&amp;IF(AND(EDATE($D123,Milestones!$AA$71)&lt;=AsOfDate,IF($R123=0,$X123,IF(AND($T123&lt;&gt;"",EDATE($D123,Milestones!$AA$71)&gt;=$T123),$W123,IF(AND($S123&lt;&gt;"",EDATE($D123,Milestones!$AA$71)&gt;=$S123),$V123,$U123)))=Milestones!$AB$71),UPPER(TEXT(EDATE($D123,Milestones!$AA$71),"dd mmm yy"))&amp;" "&amp;Milestones!$AB$71&amp;" "&amp;Milestones!$AC$71&amp;";  ","")&amp;IF(AND(EDATE($D123,Milestones!$AA$72)&lt;=AsOfDate,IF($R123=0,$X123,IF(AND($T123&lt;&gt;"",EDATE($D123,Milestones!$AA$72)&gt;=$T123),$W123,IF(AND($S123&lt;&gt;"",EDATE($D123,Milestones!$AA$72)&gt;=$S123),$V123,$U123)))=Milestones!$AB$72),UPPER(TEXT(EDATE($D123,Milestones!$AA$72),"dd mmm yy"))&amp;" "&amp;Milestones!$AB$72&amp;" "&amp;Milestones!$AC$72&amp;";  ","")&amp;IF(AND(EDATE($D123,Milestones!$AA$73)&lt;=AsOfDate,IF($R123=0,$X123,IF(AND($T123&lt;&gt;"",EDATE($D123,Milestones!$AA$73)&gt;=$T123),$W123,IF(AND($S123&lt;&gt;"",EDATE($D123,Milestones!$AA$73)&gt;=$S123),$V123,$U123)))=Milestones!$AB$73),UPPER(TEXT(EDATE($D123,Milestones!$AA$73),"dd mmm yy"))&amp;" "&amp;Milestones!$AB$73&amp;" "&amp;Milestones!$AC$73&amp;";  ","")&amp;IF(AND(EDATE($D123,Milestones!$AA$74)&lt;=AsOfDate,IF($R123=0,$X123,IF(AND($T123&lt;&gt;"",EDATE($D123,Milestones!$AA$74)&gt;=$T123),$W123,IF(AND($S123&lt;&gt;"",EDATE($D123,Milestones!$AA$74)&gt;=$S123),$V123,$U123)))=Milestones!$AB$74),UPPER(TEXT(EDATE($D123,Milestones!$AA$74),"dd mmm yy"))&amp;" "&amp;Milestones!$AB$74&amp;" "&amp;Milestones!$AC$74&amp;";  ","")&amp;IF(AND(EDATE($D123,Milestones!$AA$75)&lt;=AsOfDate,IF($R123=0,$X123,IF(AND($T123&lt;&gt;"",EDATE($D123,Milestones!$AA$75)&gt;=$T123),$W123,IF(AND($S123&lt;&gt;"",EDATE($D123,Milestones!$AA$75)&gt;=$S123),$V123,$U123)))=Milestones!$AB$75),UPPER(TEXT(EDATE($D123,Milestones!$AA$75),"dd mmm yy"))&amp;" "&amp;Milestones!$AB$75&amp;" "&amp;Milestones!$AC$75&amp;";  ","")&amp;IF(AND(EDATE($D123,Milestones!$AA$76)&lt;=AsOfDate,IF($R123=0,$X123,IF(AND($T123&lt;&gt;"",EDATE($D123,Milestones!$AA$76)&gt;=$T123),$W123,IF(AND($S123&lt;&gt;"",EDATE($D123,Milestones!$AA$76)&gt;=$S123),$V123,$U123)))=Milestones!$AB$76),UPPER(TEXT(EDATE($D123,Milestones!$AA$76),"dd mmm yy"))&amp;" "&amp;Milestones!$AB$76&amp;" "&amp;Milestones!$AC$76&amp;";  ","")&amp;IF(AND(EDATE($D123,Milestones!$AA$77)&lt;=AsOfDate,IF($R123=0,$X123,IF(AND($T123&lt;&gt;"",EDATE($D123,Milestones!$AA$77)&gt;=$T123),$W123,IF(AND($S123&lt;&gt;"",EDATE($D123,Milestones!$AA$77)&gt;=$S123),$V123,$U123)))=Milestones!$AB$77),UPPER(TEXT(EDATE($D123,Milestones!$AA$77),"dd mmm yy"))&amp;" "&amp;Milestones!$AB$77&amp;" "&amp;Milestones!$AC$77&amp;";  ","")&amp;IF(AND(EDATE($D123,Milestones!$AA$78)&lt;=AsOfDate,IF($R123=0,$X123,IF(AND($T123&lt;&gt;"",EDATE($D123,Milestones!$AA$78)&gt;=$T123),$W123,IF(AND($S123&lt;&gt;"",EDATE($D123,Milestones!$AA$78)&gt;=$S123),$V123,$U123)))=Milestones!$AB$78),UPPER(TEXT(EDATE($D123,Milestones!$AA$78),"dd mmm yy"))&amp;" "&amp;Milestones!$AB$78&amp;" "&amp;Milestones!$AC$78&amp;";  ","")&amp;IF(AND(EDATE($D123,Milestones!$AA$79)&lt;=AsOfDate,IF($R123=0,$X123,IF(AND($T123&lt;&gt;"",EDATE($D123,Milestones!$AA$79)&gt;=$T123),$W123,IF(AND($S123&lt;&gt;"",EDATE($D123,Milestones!$AA$79)&gt;=$S123),$V123,$U123)))=Milestones!$AB$79),UPPER(TEXT(EDATE($D123,Milestones!$AA$79),"dd mmm yy"))&amp;" "&amp;Milestones!$AB$79&amp;" "&amp;Milestones!$AC$79&amp;";  ",""))</f>
        <v/>
      </c>
      <c r="L123" s="0" t="str">
        <f aca="false">IF(OR($A123="",$D123=""),"",IF(AND(EDATE($D123,Milestones!$AA$80)&lt;=AsOfDate,IF($R123=0,$X123,IF(AND($T123&lt;&gt;"",EDATE($D123,Milestones!$AA$80)&gt;=$T123),$W123,IF(AND($S123&lt;&gt;"",EDATE($D123,Milestones!$AA$80)&gt;=$S123),$V123,$U123)))=Milestones!$AB$80),UPPER(TEXT(EDATE($D123,Milestones!$AA$80),"dd mmm yy"))&amp;" "&amp;Milestones!$AB$80&amp;" "&amp;Milestones!$AC$80&amp;";  ","")&amp;IF(AND(EDATE($D123,Milestones!$AA$81)&lt;=AsOfDate,IF($R123=0,$X123,IF(AND($T123&lt;&gt;"",EDATE($D123,Milestones!$AA$81)&gt;=$T123),$W123,IF(AND($S123&lt;&gt;"",EDATE($D123,Milestones!$AA$81)&gt;=$S123),$V123,$U123)))=Milestones!$AB$81),UPPER(TEXT(EDATE($D123,Milestones!$AA$81),"dd mmm yy"))&amp;" "&amp;Milestones!$AB$81&amp;" "&amp;Milestones!$AC$81&amp;";  ","")&amp;IF(AND(EDATE($D123,Milestones!$AA$82)&lt;=AsOfDate,IF($R123=0,$X123,IF(AND($T123&lt;&gt;"",EDATE($D123,Milestones!$AA$82)&gt;=$T123),$W123,IF(AND($S123&lt;&gt;"",EDATE($D123,Milestones!$AA$82)&gt;=$S123),$V123,$U123)))=Milestones!$AB$82),UPPER(TEXT(EDATE($D123,Milestones!$AA$82),"dd mmm yy"))&amp;" "&amp;Milestones!$AB$82&amp;" "&amp;Milestones!$AC$82&amp;";  ","")&amp;IF(AND(EDATE($D123,Milestones!$AA$83)&lt;=AsOfDate,IF($R123=0,$X123,IF(AND($T123&lt;&gt;"",EDATE($D123,Milestones!$AA$83)&gt;=$T123),$W123,IF(AND($S123&lt;&gt;"",EDATE($D123,Milestones!$AA$83)&gt;=$S123),$V123,$U123)))=Milestones!$AB$83),UPPER(TEXT(EDATE($D123,Milestones!$AA$83),"dd mmm yy"))&amp;" "&amp;Milestones!$AB$83&amp;" "&amp;Milestones!$AC$83&amp;";  ","")&amp;IF(AND(EDATE($D123,Milestones!$AA$84)&lt;=AsOfDate,IF($R123=0,$X123,IF(AND($T123&lt;&gt;"",EDATE($D123,Milestones!$AA$84)&gt;=$T123),$W123,IF(AND($S123&lt;&gt;"",EDATE($D123,Milestones!$AA$84)&gt;=$S123),$V123,$U123)))=Milestones!$AB$84),UPPER(TEXT(EDATE($D123,Milestones!$AA$84),"dd mmm yy"))&amp;" "&amp;Milestones!$AB$84&amp;" "&amp;Milestones!$AC$84&amp;";  ","")&amp;IF(AND(EDATE($D123,Milestones!$AA$85)&lt;=AsOfDate,IF($R123=0,$X123,IF(AND($T123&lt;&gt;"",EDATE($D123,Milestones!$AA$85)&gt;=$T123),$W123,IF(AND($S123&lt;&gt;"",EDATE($D123,Milestones!$AA$85)&gt;=$S123),$V123,$U123)))=Milestones!$AB$85),UPPER(TEXT(EDATE($D123,Milestones!$AA$85),"dd mmm yy"))&amp;" "&amp;Milestones!$AB$85&amp;" "&amp;Milestones!$AC$85&amp;";  ","")&amp;IF(AND(EDATE($D123,Milestones!$AA$86)&lt;=AsOfDate,IF($R123=0,$X123,IF(AND($T123&lt;&gt;"",EDATE($D123,Milestones!$AA$86)&gt;=$T123),$W123,IF(AND($S123&lt;&gt;"",EDATE($D123,Milestones!$AA$86)&gt;=$S123),$V123,$U123)))=Milestones!$AB$86),UPPER(TEXT(EDATE($D123,Milestones!$AA$86),"dd mmm yy"))&amp;" "&amp;Milestones!$AB$86&amp;" "&amp;Milestones!$AC$86&amp;";  ","")&amp;IF(AND(EDATE($D123,Milestones!$AA$87)&lt;=AsOfDate,IF($R123=0,$X123,IF(AND($T123&lt;&gt;"",EDATE($D123,Milestones!$AA$87)&gt;=$T123),$W123,IF(AND($S123&lt;&gt;"",EDATE($D123,Milestones!$AA$87)&gt;=$S123),$V123,$U123)))=Milestones!$AB$87),UPPER(TEXT(EDATE($D123,Milestones!$AA$87),"dd mmm yy"))&amp;" "&amp;Milestones!$AB$87&amp;" "&amp;Milestones!$AC$87&amp;";  ","")&amp;IF(AND(EDATE($D123,Milestones!$AA$88)&lt;=AsOfDate,IF($R123=0,$X123,IF(AND($T123&lt;&gt;"",EDATE($D123,Milestones!$AA$88)&gt;=$T123),$W123,IF(AND($S123&lt;&gt;"",EDATE($D123,Milestones!$AA$88)&gt;=$S123),$V123,$U123)))=Milestones!$AB$88),UPPER(TEXT(EDATE($D123,Milestones!$AA$88),"dd mmm yy"))&amp;" "&amp;Milestones!$AB$88&amp;" "&amp;Milestones!$AC$88&amp;";  ","")&amp;IF(AND(EDATE($D123,Milestones!$AA$89)&lt;=AsOfDate,IF($R123=0,$X123,IF(AND($T123&lt;&gt;"",EDATE($D123,Milestones!$AA$89)&gt;=$T123),$W123,IF(AND($S123&lt;&gt;"",EDATE($D123,Milestones!$AA$89)&gt;=$S123),$V123,$U123)))=Milestones!$AB$89),UPPER(TEXT(EDATE($D123,Milestones!$AA$89),"dd mmm yy"))&amp;" "&amp;Milestones!$AB$89&amp;" "&amp;Milestones!$AC$89&amp;";  ","")&amp;IF(AND(EDATE($D123,Milestones!$AA$90)&lt;=AsOfDate,IF($R123=0,$X123,IF(AND($T123&lt;&gt;"",EDATE($D123,Milestones!$AA$90)&gt;=$T123),$W123,IF(AND($S123&lt;&gt;"",EDATE($D123,Milestones!$AA$90)&gt;=$S123),$V123,$U123)))=Milestones!$AB$90),UPPER(TEXT(EDATE($D123,Milestones!$AA$90),"dd mmm yy"))&amp;" "&amp;Milestones!$AB$90&amp;" "&amp;Milestones!$AC$90&amp;";  ","")&amp;IF(AND(EDATE($D123,Milestones!$AA$91)&lt;=AsOfDate,IF($R123=0,$X123,IF(AND($T123&lt;&gt;"",EDATE($D123,Milestones!$AA$91)&gt;=$T123),$W123,IF(AND($S123&lt;&gt;"",EDATE($D123,Milestones!$AA$91)&gt;=$S123),$V123,$U123)))=Milestones!$AB$91),UPPER(TEXT(EDATE($D123,Milestones!$AA$91),"dd mmm yy"))&amp;" "&amp;Milestones!$AB$91&amp;" "&amp;Milestones!$AC$91&amp;";  ","")&amp;IF(AND(EDATE($D123,Milestones!$AA$92)&lt;=AsOfDate,IF($R123=0,$X123,IF(AND($T123&lt;&gt;"",EDATE($D123,Milestones!$AA$92)&gt;=$T123),$W123,IF(AND($S123&lt;&gt;"",EDATE($D123,Milestones!$AA$92)&gt;=$S123),$V123,$U123)))=Milestones!$AB$92),UPPER(TEXT(EDATE($D123,Milestones!$AA$92),"dd mmm yy"))&amp;" "&amp;Milestones!$AB$92&amp;" "&amp;Milestones!$AC$92&amp;";  ","")&amp;IF(AND(EDATE($D123,Milestones!$AA$93)&lt;=AsOfDate,IF($R123=0,$X123,IF(AND($T123&lt;&gt;"",EDATE($D123,Milestones!$AA$93)&gt;=$T123),$W123,IF(AND($S123&lt;&gt;"",EDATE($D123,Milestones!$AA$93)&gt;=$S123),$V123,$U123)))=Milestones!$AB$93),UPPER(TEXT(EDATE($D123,Milestones!$AA$93),"dd mmm yy"))&amp;" "&amp;Milestones!$AB$93&amp;" "&amp;Milestones!$AC$93&amp;";  ","")&amp;IF(AND(EDATE($D123,Milestones!$AA$94)&lt;=AsOfDate,IF($R123=0,$X123,IF(AND($T123&lt;&gt;"",EDATE($D123,Milestones!$AA$94)&gt;=$T123),$W123,IF(AND($S123&lt;&gt;"",EDATE($D123,Milestones!$AA$94)&gt;=$S123),$V123,$U123)))=Milestones!$AB$94),UPPER(TEXT(EDATE($D123,Milestones!$AA$94),"dd mmm yy"))&amp;" "&amp;Milestones!$AB$94&amp;" "&amp;Milestones!$AC$94&amp;";  ","")&amp;IF(AND(EDATE($D123,Milestones!$AA$95)&lt;=AsOfDate,IF($R123=0,$X123,IF(AND($T123&lt;&gt;"",EDATE($D123,Milestones!$AA$95)&gt;=$T123),$W123,IF(AND($S123&lt;&gt;"",EDATE($D123,Milestones!$AA$95)&gt;=$S123),$V123,$U123)))=Milestones!$AB$95),UPPER(TEXT(EDATE($D123,Milestones!$AA$95),"dd mmm yy"))&amp;" "&amp;Milestones!$AB$95&amp;" "&amp;Milestones!$AC$95&amp;";  ","")&amp;IF(AND(EDATE($D123,Milestones!$AA$96)&lt;=AsOfDate,IF($R123=0,$X123,IF(AND($T123&lt;&gt;"",EDATE($D123,Milestones!$AA$96)&gt;=$T123),$W123,IF(AND($S123&lt;&gt;"",EDATE($D123,Milestones!$AA$96)&gt;=$S123),$V123,$U123)))=Milestones!$AB$96),UPPER(TEXT(EDATE($D123,Milestones!$AA$96),"dd mmm yy"))&amp;" "&amp;Milestones!$AB$96&amp;" "&amp;Milestones!$AC$96&amp;";  ","")&amp;IF(AND(EDATE($D123,Milestones!$AA$97)&lt;=AsOfDate,IF($R123=0,$X123,IF(AND($T123&lt;&gt;"",EDATE($D123,Milestones!$AA$97)&gt;=$T123),$W123,IF(AND($S123&lt;&gt;"",EDATE($D123,Milestones!$AA$97)&gt;=$S123),$V123,$U123)))=Milestones!$AB$97),UPPER(TEXT(EDATE($D123,Milestones!$AA$97),"dd mmm yy"))&amp;" "&amp;Milestones!$AB$97&amp;" "&amp;Milestones!$AC$97&amp;";  ","")&amp;IF(AND(EDATE($D123,Milestones!$AA$98)&lt;=AsOfDate,IF($R123=0,$X123,IF(AND($T123&lt;&gt;"",EDATE($D123,Milestones!$AA$98)&gt;=$T123),$W123,IF(AND($S123&lt;&gt;"",EDATE($D123,Milestones!$AA$98)&gt;=$S123),$V123,$U123)))=Milestones!$AB$98),UPPER(TEXT(EDATE($D123,Milestones!$AA$98),"dd mmm yy"))&amp;" "&amp;Milestones!$AB$98&amp;" "&amp;Milestones!$AC$98&amp;";  ","")&amp;IF(AND(EDATE($D123,Milestones!$AA$99)&lt;=AsOfDate,IF($R123=0,$X123,IF(AND($T123&lt;&gt;"",EDATE($D123,Milestones!$AA$99)&gt;=$T123),$W123,IF(AND($S123&lt;&gt;"",EDATE($D123,Milestones!$AA$99)&gt;=$S123),$V123,$U123)))=Milestones!$AB$99),UPPER(TEXT(EDATE($D123,Milestones!$AA$99),"dd mmm yy"))&amp;" "&amp;Milestones!$AB$99&amp;" "&amp;Milestones!$AC$99&amp;";  ",""))</f>
        <v/>
      </c>
      <c r="M123" s="0" t="str">
        <f aca="false">IF(OR($A123="",$D123=""),"",IF(AND(EDATE($D123,Milestones!$AA$100)&lt;=AsOfDate,IF($R123=0,$X123,IF(AND($T123&lt;&gt;"",EDATE($D123,Milestones!$AA$100)&gt;=$T123),$W123,IF(AND($S123&lt;&gt;"",EDATE($D123,Milestones!$AA$100)&gt;=$S123),$V123,$U123)))=Milestones!$AB$100),UPPER(TEXT(EDATE($D123,Milestones!$AA$100),"dd mmm yy"))&amp;" "&amp;Milestones!$AB$100&amp;" "&amp;Milestones!$AC$100&amp;";  ","")&amp;IF(AND(EDATE($D123,Milestones!$AA$101)&lt;=AsOfDate,IF($R123=0,$X123,IF(AND($T123&lt;&gt;"",EDATE($D123,Milestones!$AA$101)&gt;=$T123),$W123,IF(AND($S123&lt;&gt;"",EDATE($D123,Milestones!$AA$101)&gt;=$S123),$V123,$U123)))=Milestones!$AB$101),UPPER(TEXT(EDATE($D123,Milestones!$AA$101),"dd mmm yy"))&amp;" "&amp;Milestones!$AB$101&amp;" "&amp;Milestones!$AC$101&amp;";  ","")&amp;IF(AND(EDATE($D123,Milestones!$AA$102)&lt;=AsOfDate,IF($R123=0,$X123,IF(AND($T123&lt;&gt;"",EDATE($D123,Milestones!$AA$102)&gt;=$T123),$W123,IF(AND($S123&lt;&gt;"",EDATE($D123,Milestones!$AA$102)&gt;=$S123),$V123,$U123)))=Milestones!$AB$102),UPPER(TEXT(EDATE($D123,Milestones!$AA$102),"dd mmm yy"))&amp;" "&amp;Milestones!$AB$102&amp;" "&amp;Milestones!$AC$102&amp;";  ","")&amp;IF(AND(EDATE($D123,Milestones!$AA$103)&lt;=AsOfDate,IF($R123=0,$X123,IF(AND($T123&lt;&gt;"",EDATE($D123,Milestones!$AA$103)&gt;=$T123),$W123,IF(AND($S123&lt;&gt;"",EDATE($D123,Milestones!$AA$103)&gt;=$S123),$V123,$U123)))=Milestones!$AB$103),UPPER(TEXT(EDATE($D123,Milestones!$AA$103),"dd mmm yy"))&amp;" "&amp;Milestones!$AB$103&amp;" "&amp;Milestones!$AC$103&amp;";  ","")&amp;IF(AND(EDATE($D123,Milestones!$AA$104)&lt;=AsOfDate,IF($R123=0,$X123,IF(AND($T123&lt;&gt;"",EDATE($D123,Milestones!$AA$104)&gt;=$T123),$W123,IF(AND($S123&lt;&gt;"",EDATE($D123,Milestones!$AA$104)&gt;=$S123),$V123,$U123)))=Milestones!$AB$104),UPPER(TEXT(EDATE($D123,Milestones!$AA$104),"dd mmm yy"))&amp;" "&amp;Milestones!$AB$104&amp;" "&amp;Milestones!$AC$104&amp;";  ","")&amp;IF(AND(EDATE($D123,Milestones!$AA$105)&lt;=AsOfDate,IF($R123=0,$X123,IF(AND($T123&lt;&gt;"",EDATE($D123,Milestones!$AA$105)&gt;=$T123),$W123,IF(AND($S123&lt;&gt;"",EDATE($D123,Milestones!$AA$105)&gt;=$S123),$V123,$U123)))=Milestones!$AB$105),UPPER(TEXT(EDATE($D123,Milestones!$AA$105),"dd mmm yy"))&amp;" "&amp;Milestones!$AB$105&amp;" "&amp;Milestones!$AC$105&amp;";  ","")&amp;IF(AND(EDATE($D123,Milestones!$AA$106)&lt;=AsOfDate,IF($R123=0,$X123,IF(AND($T123&lt;&gt;"",EDATE($D123,Milestones!$AA$106)&gt;=$T123),$W123,IF(AND($S123&lt;&gt;"",EDATE($D123,Milestones!$AA$106)&gt;=$S123),$V123,$U123)))=Milestones!$AB$106),UPPER(TEXT(EDATE($D123,Milestones!$AA$106),"dd mmm yy"))&amp;" "&amp;Milestones!$AB$106&amp;" "&amp;Milestones!$AC$106&amp;";  ","")&amp;IF(AND(EDATE($D123,Milestones!$AA$107)&lt;=AsOfDate,IF($R123=0,$X123,IF(AND($T123&lt;&gt;"",EDATE($D123,Milestones!$AA$107)&gt;=$T123),$W123,IF(AND($S123&lt;&gt;"",EDATE($D123,Milestones!$AA$107)&gt;=$S123),$V123,$U123)))=Milestones!$AB$107),UPPER(TEXT(EDATE($D123,Milestones!$AA$107),"dd mmm yy"))&amp;" "&amp;Milestones!$AB$107&amp;" "&amp;Milestones!$AC$107&amp;";  ","")&amp;IF(AND(EDATE($D123,Milestones!$AA$108)&lt;=AsOfDate,IF($R123=0,$X123,IF(AND($T123&lt;&gt;"",EDATE($D123,Milestones!$AA$108)&gt;=$T123),$W123,IF(AND($S123&lt;&gt;"",EDATE($D123,Milestones!$AA$108)&gt;=$S123),$V123,$U123)))=Milestones!$AB$108),UPPER(TEXT(EDATE($D123,Milestones!$AA$108),"dd mmm yy"))&amp;" "&amp;Milestones!$AB$108&amp;" "&amp;Milestones!$AC$108&amp;";  ","")&amp;IF(AND(EDATE($D123,Milestones!$AA$109)&lt;=AsOfDate,IF($R123=0,$X123,IF(AND($T123&lt;&gt;"",EDATE($D123,Milestones!$AA$109)&gt;=$T123),$W123,IF(AND($S123&lt;&gt;"",EDATE($D123,Milestones!$AA$109)&gt;=$S123),$V123,$U123)))=Milestones!$AB$109),UPPER(TEXT(EDATE($D123,Milestones!$AA$109),"dd mmm yy"))&amp;" "&amp;Milestones!$AB$109&amp;" "&amp;Milestones!$AC$109&amp;";  ","")&amp;IF(AND(EDATE($D123,Milestones!$AA$110)&lt;=AsOfDate,IF($R123=0,$X123,IF(AND($T123&lt;&gt;"",EDATE($D123,Milestones!$AA$110)&gt;=$T123),$W123,IF(AND($S123&lt;&gt;"",EDATE($D123,Milestones!$AA$110)&gt;=$S123),$V123,$U123)))=Milestones!$AB$110),UPPER(TEXT(EDATE($D123,Milestones!$AA$110),"dd mmm yy"))&amp;" "&amp;Milestones!$AB$110&amp;" "&amp;Milestones!$AC$110&amp;";  ","")&amp;IF(AND(EDATE($D123,Milestones!$AA$111)&lt;=AsOfDate,IF($R123=0,$X123,IF(AND($T123&lt;&gt;"",EDATE($D123,Milestones!$AA$111)&gt;=$T123),$W123,IF(AND($S123&lt;&gt;"",EDATE($D123,Milestones!$AA$111)&gt;=$S123),$V123,$U123)))=Milestones!$AB$111),UPPER(TEXT(EDATE($D123,Milestones!$AA$111),"dd mmm yy"))&amp;" "&amp;Milestones!$AB$111&amp;" "&amp;Milestones!$AC$111&amp;";  ","")&amp;IF(AND(EDATE($D123,Milestones!$AA$112)&lt;=AsOfDate,IF($R123=0,$X123,IF(AND($T123&lt;&gt;"",EDATE($D123,Milestones!$AA$112)&gt;=$T123),$W123,IF(AND($S123&lt;&gt;"",EDATE($D123,Milestones!$AA$112)&gt;=$S123),$V123,$U123)))=Milestones!$AB$112),UPPER(TEXT(EDATE($D123,Milestones!$AA$112),"dd mmm yy"))&amp;" "&amp;Milestones!$AB$112&amp;" "&amp;Milestones!$AC$112&amp;";  ","")&amp;IF(AND(EDATE($D123,Milestones!$AA$113)&lt;=AsOfDate,IF($R123=0,$X123,IF(AND($T123&lt;&gt;"",EDATE($D123,Milestones!$AA$113)&gt;=$T123),$W123,IF(AND($S123&lt;&gt;"",EDATE($D123,Milestones!$AA$113)&gt;=$S123),$V123,$U123)))=Milestones!$AB$113),UPPER(TEXT(EDATE($D123,Milestones!$AA$113),"dd mmm yy"))&amp;" "&amp;Milestones!$AB$113&amp;" "&amp;Milestones!$AC$113&amp;";  ","")&amp;IF(AND(EDATE($D123,Milestones!$AA$114)&lt;=AsOfDate,IF($R123=0,$X123,IF(AND($T123&lt;&gt;"",EDATE($D123,Milestones!$AA$114)&gt;=$T123),$W123,IF(AND($S123&lt;&gt;"",EDATE($D123,Milestones!$AA$114)&gt;=$S123),$V123,$U123)))=Milestones!$AB$114),UPPER(TEXT(EDATE($D123,Milestones!$AA$114),"dd mmm yy"))&amp;" "&amp;Milestones!$AB$114&amp;" "&amp;Milestones!$AC$114&amp;";  ","")&amp;IF(AND(EDATE($D123,Milestones!$AA$115)&lt;=AsOfDate,IF($R123=0,$X123,IF(AND($T123&lt;&gt;"",EDATE($D123,Milestones!$AA$115)&gt;=$T123),$W123,IF(AND($S123&lt;&gt;"",EDATE($D123,Milestones!$AA$115)&gt;=$S123),$V123,$U123)))=Milestones!$AB$115),UPPER(TEXT(EDATE($D123,Milestones!$AA$115),"dd mmm yy"))&amp;" "&amp;Milestones!$AB$115&amp;" "&amp;Milestones!$AC$115&amp;";  ","")&amp;IF(AND(EDATE($D123,Milestones!$AA$116)&lt;=AsOfDate,IF($R123=0,$X123,IF(AND($T123&lt;&gt;"",EDATE($D123,Milestones!$AA$116)&gt;=$T123),$W123,IF(AND($S123&lt;&gt;"",EDATE($D123,Milestones!$AA$116)&gt;=$S123),$V123,$U123)))=Milestones!$AB$116),UPPER(TEXT(EDATE($D123,Milestones!$AA$116),"dd mmm yy"))&amp;" "&amp;Milestones!$AB$116&amp;" "&amp;Milestones!$AC$116&amp;";  ","")&amp;IF(AND(EDATE($D123,Milestones!$AA$117)&lt;=AsOfDate,IF($R123=0,$X123,IF(AND($T123&lt;&gt;"",EDATE($D123,Milestones!$AA$117)&gt;=$T123),$W123,IF(AND($S123&lt;&gt;"",EDATE($D123,Milestones!$AA$117)&gt;=$S123),$V123,$U123)))=Milestones!$AB$117),UPPER(TEXT(EDATE($D123,Milestones!$AA$117),"dd mmm yy"))&amp;" "&amp;Milestones!$AB$117&amp;" "&amp;Milestones!$AC$117&amp;";  ","")&amp;IF(AND(EDATE($D123,Milestones!$AA$118)&lt;=AsOfDate,IF($R123=0,$X123,IF(AND($T123&lt;&gt;"",EDATE($D123,Milestones!$AA$118)&gt;=$T123),$W123,IF(AND($S123&lt;&gt;"",EDATE($D123,Milestones!$AA$118)&gt;=$S123),$V123,$U123)))=Milestones!$AB$118),UPPER(TEXT(EDATE($D123,Milestones!$AA$118),"dd mmm yy"))&amp;" "&amp;Milestones!$AB$118&amp;" "&amp;Milestones!$AC$118&amp;";  ","")&amp;IF(AND(EDATE($D123,Milestones!$AA$119)&lt;=AsOfDate,IF($R123=0,$X123,IF(AND($T123&lt;&gt;"",EDATE($D123,Milestones!$AA$119)&gt;=$T123),$W123,IF(AND($S123&lt;&gt;"",EDATE($D123,Milestones!$AA$119)&gt;=$S123),$V123,$U123)))=Milestones!$AB$119),UPPER(TEXT(EDATE($D123,Milestones!$AA$119),"dd mmm yy"))&amp;" "&amp;Milestones!$AB$119&amp;" "&amp;Milestones!$AC$119&amp;";  ",""))</f>
        <v/>
      </c>
      <c r="N123" s="0" t="str">
        <f aca="false">IF(OR($A123="",$D123=""),"",IF(AND(EDATE($D123,Milestones!$AA$120)&lt;=AsOfDate,IF($R123=0,$X123,IF(AND($T123&lt;&gt;"",EDATE($D123,Milestones!$AA$120)&gt;=$T123),$W123,IF(AND($S123&lt;&gt;"",EDATE($D123,Milestones!$AA$120)&gt;=$S123),$V123,$U123)))=Milestones!$AB$120),UPPER(TEXT(EDATE($D123,Milestones!$AA$120),"dd mmm yy"))&amp;" "&amp;Milestones!$AB$120&amp;" "&amp;Milestones!$AC$120&amp;";  ","")&amp;IF(AND(EDATE($D123,Milestones!$AA$121)&lt;=AsOfDate,IF($R123=0,$X123,IF(AND($T123&lt;&gt;"",EDATE($D123,Milestones!$AA$121)&gt;=$T123),$W123,IF(AND($S123&lt;&gt;"",EDATE($D123,Milestones!$AA$121)&gt;=$S123),$V123,$U123)))=Milestones!$AB$121),UPPER(TEXT(EDATE($D123,Milestones!$AA$121),"dd mmm yy"))&amp;" "&amp;Milestones!$AB$121&amp;" "&amp;Milestones!$AC$121&amp;";  ","")&amp;IF(AND(EDATE($D123,Milestones!$AA$122)&lt;=AsOfDate,IF($R123=0,$X123,IF(AND($T123&lt;&gt;"",EDATE($D123,Milestones!$AA$122)&gt;=$T123),$W123,IF(AND($S123&lt;&gt;"",EDATE($D123,Milestones!$AA$122)&gt;=$S123),$V123,$U123)))=Milestones!$AB$122),UPPER(TEXT(EDATE($D123,Milestones!$AA$122),"dd mmm yy"))&amp;" "&amp;Milestones!$AB$122&amp;" "&amp;Milestones!$AC$122&amp;";  ","")&amp;IF(AND(EDATE($D123,Milestones!$AA$123)&lt;=AsOfDate,IF($R123=0,$X123,IF(AND($T123&lt;&gt;"",EDATE($D123,Milestones!$AA$123)&gt;=$T123),$W123,IF(AND($S123&lt;&gt;"",EDATE($D123,Milestones!$AA$123)&gt;=$S123),$V123,$U123)))=Milestones!$AB$123),UPPER(TEXT(EDATE($D123,Milestones!$AA$123),"dd mmm yy"))&amp;" "&amp;Milestones!$AB$123&amp;" "&amp;Milestones!$AC$123&amp;";  ","")&amp;IF(AND(EDATE($D123,Milestones!$AA$124)&lt;=AsOfDate,IF($R123=0,$X123,IF(AND($T123&lt;&gt;"",EDATE($D123,Milestones!$AA$124)&gt;=$T123),$W123,IF(AND($S123&lt;&gt;"",EDATE($D123,Milestones!$AA$124)&gt;=$S123),$V123,$U123)))=Milestones!$AB$124),UPPER(TEXT(EDATE($D123,Milestones!$AA$124),"dd mmm yy"))&amp;" "&amp;Milestones!$AB$124&amp;" "&amp;Milestones!$AC$124&amp;";  ","")&amp;IF(AND(EDATE($D123,Milestones!$AA$125)&lt;=AsOfDate,IF($R123=0,$X123,IF(AND($T123&lt;&gt;"",EDATE($D123,Milestones!$AA$125)&gt;=$T123),$W123,IF(AND($S123&lt;&gt;"",EDATE($D123,Milestones!$AA$125)&gt;=$S123),$V123,$U123)))=Milestones!$AB$125),UPPER(TEXT(EDATE($D123,Milestones!$AA$125),"dd mmm yy"))&amp;" "&amp;Milestones!$AB$125&amp;" "&amp;Milestones!$AC$125&amp;";  ","")&amp;IF(AND(EDATE($D123,Milestones!$AA$126)&lt;=AsOfDate,IF($R123=0,$X123,IF(AND($T123&lt;&gt;"",EDATE($D123,Milestones!$AA$126)&gt;=$T123),$W123,IF(AND($S123&lt;&gt;"",EDATE($D123,Milestones!$AA$126)&gt;=$S123),$V123,$U123)))=Milestones!$AB$126),UPPER(TEXT(EDATE($D123,Milestones!$AA$126),"dd mmm yy"))&amp;" "&amp;Milestones!$AB$126&amp;" "&amp;Milestones!$AC$126&amp;";  ","")&amp;IF(AND(EDATE($D123,Milestones!$AA$127)&lt;=AsOfDate,IF($R123=0,$X123,IF(AND($T123&lt;&gt;"",EDATE($D123,Milestones!$AA$127)&gt;=$T123),$W123,IF(AND($S123&lt;&gt;"",EDATE($D123,Milestones!$AA$127)&gt;=$S123),$V123,$U123)))=Milestones!$AB$127),UPPER(TEXT(EDATE($D123,Milestones!$AA$127),"dd mmm yy"))&amp;" "&amp;Milestones!$AB$127&amp;" "&amp;Milestones!$AC$127&amp;";  ","")&amp;IF(AND(EDATE($D123,Milestones!$AA$128)&lt;=AsOfDate,IF($R123=0,$X123,IF(AND($T123&lt;&gt;"",EDATE($D123,Milestones!$AA$128)&gt;=$T123),$W123,IF(AND($S123&lt;&gt;"",EDATE($D123,Milestones!$AA$128)&gt;=$S123),$V123,$U123)))=Milestones!$AB$128),UPPER(TEXT(EDATE($D123,Milestones!$AA$128),"dd mmm yy"))&amp;" "&amp;Milestones!$AB$128&amp;" "&amp;Milestones!$AC$128&amp;";  ","")&amp;IF(AND(EDATE($D123,Milestones!$AA$129)&lt;=AsOfDate,IF($R123=0,$X123,IF(AND($T123&lt;&gt;"",EDATE($D123,Milestones!$AA$129)&gt;=$T123),$W123,IF(AND($S123&lt;&gt;"",EDATE($D123,Milestones!$AA$129)&gt;=$S123),$V123,$U123)))=Milestones!$AB$129),UPPER(TEXT(EDATE($D123,Milestones!$AA$129),"dd mmm yy"))&amp;" "&amp;Milestones!$AB$129&amp;" "&amp;Milestones!$AC$129&amp;";  ","")&amp;IF(AND(EDATE($D123,Milestones!$AA$130)&lt;=AsOfDate,IF($R123=0,$X123,IF(AND($T123&lt;&gt;"",EDATE($D123,Milestones!$AA$130)&gt;=$T123),$W123,IF(AND($S123&lt;&gt;"",EDATE($D123,Milestones!$AA$130)&gt;=$S123),$V123,$U123)))=Milestones!$AB$130),UPPER(TEXT(EDATE($D123,Milestones!$AA$130),"dd mmm yy"))&amp;" "&amp;Milestones!$AB$130&amp;" "&amp;Milestones!$AC$130&amp;";  ","")&amp;IF(AND(EDATE($D123,Milestones!$AA$131)&lt;=AsOfDate,IF($R123=0,$X123,IF(AND($T123&lt;&gt;"",EDATE($D123,Milestones!$AA$131)&gt;=$T123),$W123,IF(AND($S123&lt;&gt;"",EDATE($D123,Milestones!$AA$131)&gt;=$S123),$V123,$U123)))=Milestones!$AB$131),UPPER(TEXT(EDATE($D123,Milestones!$AA$131),"dd mmm yy"))&amp;" "&amp;Milestones!$AB$131&amp;" "&amp;Milestones!$AC$131&amp;";  ","")&amp;IF(AND(EDATE($D123,Milestones!$AA$132)&lt;=AsOfDate,IF($R123=0,$X123,IF(AND($T123&lt;&gt;"",EDATE($D123,Milestones!$AA$132)&gt;=$T123),$W123,IF(AND($S123&lt;&gt;"",EDATE($D123,Milestones!$AA$132)&gt;=$S123),$V123,$U123)))=Milestones!$AB$132),UPPER(TEXT(EDATE($D123,Milestones!$AA$132),"dd mmm yy"))&amp;" "&amp;Milestones!$AB$132&amp;" "&amp;Milestones!$AC$132&amp;";  ","")&amp;IF(AND(EDATE($D123,Milestones!$AA$133)&lt;=AsOfDate,IF($R123=0,$X123,IF(AND($T123&lt;&gt;"",EDATE($D123,Milestones!$AA$133)&gt;=$T123),$W123,IF(AND($S123&lt;&gt;"",EDATE($D123,Milestones!$AA$133)&gt;=$S123),$V123,$U123)))=Milestones!$AB$133),UPPER(TEXT(EDATE($D123,Milestones!$AA$133),"dd mmm yy"))&amp;" "&amp;Milestones!$AB$133&amp;" "&amp;Milestones!$AC$133&amp;";  ","")&amp;IF(AND(EDATE($D123,Milestones!$AA$134)&lt;=AsOfDate,IF($R123=0,$X123,IF(AND($T123&lt;&gt;"",EDATE($D123,Milestones!$AA$134)&gt;=$T123),$W123,IF(AND($S123&lt;&gt;"",EDATE($D123,Milestones!$AA$134)&gt;=$S123),$V123,$U123)))=Milestones!$AB$134),UPPER(TEXT(EDATE($D123,Milestones!$AA$134),"dd mmm yy"))&amp;" "&amp;Milestones!$AB$134&amp;" "&amp;Milestones!$AC$134&amp;";  ","")&amp;IF(AND(EDATE($D123,Milestones!$AA$135)&lt;=AsOfDate,IF($R123=0,$X123,IF(AND($T123&lt;&gt;"",EDATE($D123,Milestones!$AA$135)&gt;=$T123),$W123,IF(AND($S123&lt;&gt;"",EDATE($D123,Milestones!$AA$135)&gt;=$S123),$V123,$U123)))=Milestones!$AB$135),UPPER(TEXT(EDATE($D123,Milestones!$AA$135),"dd mmm yy"))&amp;" "&amp;Milestones!$AB$135&amp;" "&amp;Milestones!$AC$135&amp;";  ","")&amp;IF(AND(EDATE($D123,Milestones!$AA$136)&lt;=AsOfDate,IF($R123=0,$X123,IF(AND($T123&lt;&gt;"",EDATE($D123,Milestones!$AA$136)&gt;=$T123),$W123,IF(AND($S123&lt;&gt;"",EDATE($D123,Milestones!$AA$136)&gt;=$S123),$V123,$U123)))=Milestones!$AB$136),UPPER(TEXT(EDATE($D123,Milestones!$AA$136),"dd mmm yy"))&amp;" "&amp;Milestones!$AB$136&amp;" "&amp;Milestones!$AC$136&amp;";  ","")&amp;IF(AND(EDATE($D123,Milestones!$AA$137)&lt;=AsOfDate,IF($R123=0,$X123,IF(AND($T123&lt;&gt;"",EDATE($D123,Milestones!$AA$137)&gt;=$T123),$W123,IF(AND($S123&lt;&gt;"",EDATE($D123,Milestones!$AA$137)&gt;=$S123),$V123,$U123)))=Milestones!$AB$137),UPPER(TEXT(EDATE($D123,Milestones!$AA$137),"dd mmm yy"))&amp;" "&amp;Milestones!$AB$137&amp;" "&amp;Milestones!$AC$137&amp;";  ","")&amp;IF(AND(EDATE($D123,Milestones!$AA$138)&lt;=AsOfDate,IF($R123=0,$X123,IF(AND($T123&lt;&gt;"",EDATE($D123,Milestones!$AA$138)&gt;=$T123),$W123,IF(AND($S123&lt;&gt;"",EDATE($D123,Milestones!$AA$138)&gt;=$S123),$V123,$U123)))=Milestones!$AB$138),UPPER(TEXT(EDATE($D123,Milestones!$AA$138),"dd mmm yy"))&amp;" "&amp;Milestones!$AB$138&amp;" "&amp;Milestones!$AC$138&amp;";  ","")&amp;IF(AND(EDATE($D123,Milestones!$AA$139)&lt;=AsOfDate,IF($R123=0,$X123,IF(AND($T123&lt;&gt;"",EDATE($D123,Milestones!$AA$139)&gt;=$T123),$W123,IF(AND($S123&lt;&gt;"",EDATE($D123,Milestones!$AA$139)&gt;=$S123),$V123,$U123)))=Milestones!$AB$139),UPPER(TEXT(EDATE($D123,Milestones!$AA$139),"dd mmm yy"))&amp;" "&amp;Milestones!$AB$139&amp;" "&amp;Milestones!$AC$139&amp;";  ",""))</f>
        <v/>
      </c>
      <c r="O123" s="0" t="str">
        <f aca="false">IF(OR($A123="",$D123=""),"",IF(AND(EDATE($D123,Milestones!$AA$140)&lt;=AsOfDate,IF($R123=0,$X123,IF(AND($T123&lt;&gt;"",EDATE($D123,Milestones!$AA$140)&gt;=$T123),$W123,IF(AND($S123&lt;&gt;"",EDATE($D123,Milestones!$AA$140)&gt;=$S123),$V123,$U123)))=Milestones!$AB$140),UPPER(TEXT(EDATE($D123,Milestones!$AA$140),"dd mmm yy"))&amp;" "&amp;Milestones!$AB$140&amp;" "&amp;Milestones!$AC$140&amp;";  ","")&amp;IF(AND(EDATE($D123,Milestones!$AA$141)&lt;=AsOfDate,IF($R123=0,$X123,IF(AND($T123&lt;&gt;"",EDATE($D123,Milestones!$AA$141)&gt;=$T123),$W123,IF(AND($S123&lt;&gt;"",EDATE($D123,Milestones!$AA$141)&gt;=$S123),$V123,$U123)))=Milestones!$AB$141),UPPER(TEXT(EDATE($D123,Milestones!$AA$141),"dd mmm yy"))&amp;" "&amp;Milestones!$AB$141&amp;" "&amp;Milestones!$AC$141&amp;";  ","")&amp;IF(AND(EDATE($D123,Milestones!$AA$142)&lt;=AsOfDate,IF($R123=0,$X123,IF(AND($T123&lt;&gt;"",EDATE($D123,Milestones!$AA$142)&gt;=$T123),$W123,IF(AND($S123&lt;&gt;"",EDATE($D123,Milestones!$AA$142)&gt;=$S123),$V123,$U123)))=Milestones!$AB$142),UPPER(TEXT(EDATE($D123,Milestones!$AA$142),"dd mmm yy"))&amp;" "&amp;Milestones!$AB$142&amp;" "&amp;Milestones!$AC$142&amp;";  ","")&amp;IF(AND(EDATE($D123,Milestones!$AA$143)&lt;=AsOfDate,IF($R123=0,$X123,IF(AND($T123&lt;&gt;"",EDATE($D123,Milestones!$AA$143)&gt;=$T123),$W123,IF(AND($S123&lt;&gt;"",EDATE($D123,Milestones!$AA$143)&gt;=$S123),$V123,$U123)))=Milestones!$AB$143),UPPER(TEXT(EDATE($D123,Milestones!$AA$143),"dd mmm yy"))&amp;" "&amp;Milestones!$AB$143&amp;" "&amp;Milestones!$AC$143&amp;";  ","")&amp;IF(AND(EDATE($D123,Milestones!$AA$144)&lt;=AsOfDate,IF($R123=0,$X123,IF(AND($T123&lt;&gt;"",EDATE($D123,Milestones!$AA$144)&gt;=$T123),$W123,IF(AND($S123&lt;&gt;"",EDATE($D123,Milestones!$AA$144)&gt;=$S123),$V123,$U123)))=Milestones!$AB$144),UPPER(TEXT(EDATE($D123,Milestones!$AA$144),"dd mmm yy"))&amp;" "&amp;Milestones!$AB$144&amp;" "&amp;Milestones!$AC$144&amp;";  ","")&amp;IF(AND(EDATE($D123,Milestones!$AA$145)&lt;=AsOfDate,IF($R123=0,$X123,IF(AND($T123&lt;&gt;"",EDATE($D123,Milestones!$AA$145)&gt;=$T123),$W123,IF(AND($S123&lt;&gt;"",EDATE($D123,Milestones!$AA$145)&gt;=$S123),$V123,$U123)))=Milestones!$AB$145),UPPER(TEXT(EDATE($D123,Milestones!$AA$145),"dd mmm yy"))&amp;" "&amp;Milestones!$AB$145&amp;" "&amp;Milestones!$AC$145&amp;";  ","")&amp;IF(AND(EDATE($D123,Milestones!$AA$146)&lt;=AsOfDate,IF($R123=0,$X123,IF(AND($T123&lt;&gt;"",EDATE($D123,Milestones!$AA$146)&gt;=$T123),$W123,IF(AND($S123&lt;&gt;"",EDATE($D123,Milestones!$AA$146)&gt;=$S123),$V123,$U123)))=Milestones!$AB$146),UPPER(TEXT(EDATE($D123,Milestones!$AA$146),"dd mmm yy"))&amp;" "&amp;Milestones!$AB$146&amp;" "&amp;Milestones!$AC$146&amp;";  ","")&amp;IF(AND(EDATE($D123,Milestones!$AA$147)&lt;=AsOfDate,IF($R123=0,$X123,IF(AND($T123&lt;&gt;"",EDATE($D123,Milestones!$AA$147)&gt;=$T123),$W123,IF(AND($S123&lt;&gt;"",EDATE($D123,Milestones!$AA$147)&gt;=$S123),$V123,$U123)))=Milestones!$AB$147),UPPER(TEXT(EDATE($D123,Milestones!$AA$147),"dd mmm yy"))&amp;" "&amp;Milestones!$AB$147&amp;" "&amp;Milestones!$AC$147&amp;";  ","")&amp;IF(AND(EDATE($D123,Milestones!$AA$148)&lt;=AsOfDate,IF($R123=0,$X123,IF(AND($T123&lt;&gt;"",EDATE($D123,Milestones!$AA$148)&gt;=$T123),$W123,IF(AND($S123&lt;&gt;"",EDATE($D123,Milestones!$AA$148)&gt;=$S123),$V123,$U123)))=Milestones!$AB$148),UPPER(TEXT(EDATE($D123,Milestones!$AA$148),"dd mmm yy"))&amp;" "&amp;Milestones!$AB$148&amp;" "&amp;Milestones!$AC$148&amp;";  ","")&amp;IF(AND(EDATE($D123,Milestones!$AA$149)&lt;=AsOfDate,IF($R123=0,$X123,IF(AND($T123&lt;&gt;"",EDATE($D123,Milestones!$AA$149)&gt;=$T123),$W123,IF(AND($S123&lt;&gt;"",EDATE($D123,Milestones!$AA$149)&gt;=$S123),$V123,$U123)))=Milestones!$AB$149),UPPER(TEXT(EDATE($D123,Milestones!$AA$149),"dd mmm yy"))&amp;" "&amp;Milestones!$AB$149&amp;" "&amp;Milestones!$AC$149&amp;";  ","")&amp;IF(AND(EDATE($D123,Milestones!$AA$150)&lt;=AsOfDate,IF($R123=0,$X123,IF(AND($T123&lt;&gt;"",EDATE($D123,Milestones!$AA$150)&gt;=$T123),$W123,IF(AND($S123&lt;&gt;"",EDATE($D123,Milestones!$AA$150)&gt;=$S123),$V123,$U123)))=Milestones!$AB$150),UPPER(TEXT(EDATE($D123,Milestones!$AA$150),"dd mmm yy"))&amp;" "&amp;Milestones!$AB$150&amp;" "&amp;Milestones!$AC$150&amp;";  ","")&amp;IF(AND(EDATE($D123,Milestones!$AA$151)&lt;=AsOfDate,IF($R123=0,$X123,IF(AND($T123&lt;&gt;"",EDATE($D123,Milestones!$AA$151)&gt;=$T123),$W123,IF(AND($S123&lt;&gt;"",EDATE($D123,Milestones!$AA$151)&gt;=$S123),$V123,$U123)))=Milestones!$AB$151),UPPER(TEXT(EDATE($D123,Milestones!$AA$151),"dd mmm yy"))&amp;" "&amp;Milestones!$AB$151&amp;" "&amp;Milestones!$AC$151&amp;";  ","")&amp;IF(AND(EDATE($D123,Milestones!$AA$152)&lt;=AsOfDate,IF($R123=0,$X123,IF(AND($T123&lt;&gt;"",EDATE($D123,Milestones!$AA$152)&gt;=$T123),$W123,IF(AND($S123&lt;&gt;"",EDATE($D123,Milestones!$AA$152)&gt;=$S123),$V123,$U123)))=Milestones!$AB$152),UPPER(TEXT(EDATE($D123,Milestones!$AA$152),"dd mmm yy"))&amp;" "&amp;Milestones!$AB$152&amp;" "&amp;Milestones!$AC$152&amp;";  ","")&amp;IF(AND(EDATE($D123,Milestones!$AA$153)&lt;=AsOfDate,IF($R123=0,$X123,IF(AND($T123&lt;&gt;"",EDATE($D123,Milestones!$AA$153)&gt;=$T123),$W123,IF(AND($S123&lt;&gt;"",EDATE($D123,Milestones!$AA$153)&gt;=$S123),$V123,$U123)))=Milestones!$AB$153),UPPER(TEXT(EDATE($D123,Milestones!$AA$153),"dd mmm yy"))&amp;" "&amp;Milestones!$AB$153&amp;" "&amp;Milestones!$AC$153&amp;";  ","")&amp;IF(AND(EDATE($D123,Milestones!$AA$154)&lt;=AsOfDate,IF($R123=0,$X123,IF(AND($T123&lt;&gt;"",EDATE($D123,Milestones!$AA$154)&gt;=$T123),$W123,IF(AND($S123&lt;&gt;"",EDATE($D123,Milestones!$AA$154)&gt;=$S123),$V123,$U123)))=Milestones!$AB$154),UPPER(TEXT(EDATE($D123,Milestones!$AA$154),"dd mmm yy"))&amp;" "&amp;Milestones!$AB$154&amp;" "&amp;Milestones!$AC$154&amp;";  ","")&amp;IF(AND(EDATE($D123,Milestones!$AA$155)&lt;=AsOfDate,IF($R123=0,$X123,IF(AND($T123&lt;&gt;"",EDATE($D123,Milestones!$AA$155)&gt;=$T123),$W123,IF(AND($S123&lt;&gt;"",EDATE($D123,Milestones!$AA$155)&gt;=$S123),$V123,$U123)))=Milestones!$AB$155),UPPER(TEXT(EDATE($D123,Milestones!$AA$155),"dd mmm yy"))&amp;" "&amp;Milestones!$AB$155&amp;" "&amp;Milestones!$AC$155&amp;";  ","")&amp;IF(AND(EDATE($D123,Milestones!$AA$156)&lt;=AsOfDate,IF($R123=0,$X123,IF(AND($T123&lt;&gt;"",EDATE($D123,Milestones!$AA$156)&gt;=$T123),$W123,IF(AND($S123&lt;&gt;"",EDATE($D123,Milestones!$AA$156)&gt;=$S123),$V123,$U123)))=Milestones!$AB$156),UPPER(TEXT(EDATE($D123,Milestones!$AA$156),"dd mmm yy"))&amp;" "&amp;Milestones!$AB$156&amp;" "&amp;Milestones!$AC$156&amp;";  ","")&amp;IF(AND(EDATE($D123,Milestones!$AA$157)&lt;=AsOfDate,IF($R123=0,$X123,IF(AND($T123&lt;&gt;"",EDATE($D123,Milestones!$AA$157)&gt;=$T123),$W123,IF(AND($S123&lt;&gt;"",EDATE($D123,Milestones!$AA$157)&gt;=$S123),$V123,$U123)))=Milestones!$AB$157),UPPER(TEXT(EDATE($D123,Milestones!$AA$157),"dd mmm yy"))&amp;" "&amp;Milestones!$AB$157&amp;" "&amp;Milestones!$AC$157&amp;";  ","")&amp;IF(AND(EDATE($D123,Milestones!$AA$158)&lt;=AsOfDate,IF($R123=0,$X123,IF(AND($T123&lt;&gt;"",EDATE($D123,Milestones!$AA$158)&gt;=$T123),$W123,IF(AND($S123&lt;&gt;"",EDATE($D123,Milestones!$AA$158)&gt;=$S123),$V123,$U123)))=Milestones!$AB$158),UPPER(TEXT(EDATE($D123,Milestones!$AA$158),"dd mmm yy"))&amp;" "&amp;Milestones!$AB$158&amp;" "&amp;Milestones!$AC$158&amp;";  ","")&amp;IF(AND(EDATE($D123,Milestones!$AA$159)&lt;=AsOfDate,IF($R123=0,$X123,IF(AND($T123&lt;&gt;"",EDATE($D123,Milestones!$AA$159)&gt;=$T123),$W123,IF(AND($S123&lt;&gt;"",EDATE($D123,Milestones!$AA$159)&gt;=$S123),$V123,$U123)))=Milestones!$AB$159),UPPER(TEXT(EDATE($D123,Milestones!$AA$159),"dd mmm yy"))&amp;" "&amp;Milestones!$AB$159&amp;" "&amp;Milestones!$AC$159&amp;";  ",""))</f>
        <v/>
      </c>
      <c r="P123" s="0" t="str">
        <f aca="false">IF(OR($A123="",$D123=""),"",IF(AND(EDATE($D123,Milestones!$AA$160)&lt;=AsOfDate,IF($R123=0,$X123,IF(AND($T123&lt;&gt;"",EDATE($D123,Milestones!$AA$160)&gt;=$T123),$W123,IF(AND($S123&lt;&gt;"",EDATE($D123,Milestones!$AA$160)&gt;=$S123),$V123,$U123)))=Milestones!$AB$160),UPPER(TEXT(EDATE($D123,Milestones!$AA$160),"dd mmm yy"))&amp;" "&amp;Milestones!$AB$160&amp;" "&amp;Milestones!$AC$160&amp;";  ","")&amp;IF(AND(EDATE($D123,Milestones!$AA$161)&lt;=AsOfDate,IF($R123=0,$X123,IF(AND($T123&lt;&gt;"",EDATE($D123,Milestones!$AA$161)&gt;=$T123),$W123,IF(AND($S123&lt;&gt;"",EDATE($D123,Milestones!$AA$161)&gt;=$S123),$V123,$U123)))=Milestones!$AB$161),UPPER(TEXT(EDATE($D123,Milestones!$AA$161),"dd mmm yy"))&amp;" "&amp;Milestones!$AB$161&amp;" "&amp;Milestones!$AC$161&amp;";  ","")&amp;IF(AND(EDATE($D123,Milestones!$AA$162)&lt;=AsOfDate,IF($R123=0,$X123,IF(AND($T123&lt;&gt;"",EDATE($D123,Milestones!$AA$162)&gt;=$T123),$W123,IF(AND($S123&lt;&gt;"",EDATE($D123,Milestones!$AA$162)&gt;=$S123),$V123,$U123)))=Milestones!$AB$162),UPPER(TEXT(EDATE($D123,Milestones!$AA$162),"dd mmm yy"))&amp;" "&amp;Milestones!$AB$162&amp;" "&amp;Milestones!$AC$162&amp;";  ","")&amp;IF(AND(EDATE($D123,Milestones!$AA$163)&lt;=AsOfDate,IF($R123=0,$X123,IF(AND($T123&lt;&gt;"",EDATE($D123,Milestones!$AA$163)&gt;=$T123),$W123,IF(AND($S123&lt;&gt;"",EDATE($D123,Milestones!$AA$163)&gt;=$S123),$V123,$U123)))=Milestones!$AB$163),UPPER(TEXT(EDATE($D123,Milestones!$AA$163),"dd mmm yy"))&amp;" "&amp;Milestones!$AB$163&amp;" "&amp;Milestones!$AC$163&amp;";  ","")&amp;IF(AND(EDATE($D123,Milestones!$AA$164)&lt;=AsOfDate,IF($R123=0,$X123,IF(AND($T123&lt;&gt;"",EDATE($D123,Milestones!$AA$164)&gt;=$T123),$W123,IF(AND($S123&lt;&gt;"",EDATE($D123,Milestones!$AA$164)&gt;=$S123),$V123,$U123)))=Milestones!$AB$164),UPPER(TEXT(EDATE($D123,Milestones!$AA$164),"dd mmm yy"))&amp;" "&amp;Milestones!$AB$164&amp;" "&amp;Milestones!$AC$164&amp;";  ","")&amp;IF(AND(EDATE($D123,Milestones!$AA$165)&lt;=AsOfDate,IF($R123=0,$X123,IF(AND($T123&lt;&gt;"",EDATE($D123,Milestones!$AA$165)&gt;=$T123),$W123,IF(AND($S123&lt;&gt;"",EDATE($D123,Milestones!$AA$165)&gt;=$S123),$V123,$U123)))=Milestones!$AB$165),UPPER(TEXT(EDATE($D123,Milestones!$AA$165),"dd mmm yy"))&amp;" "&amp;Milestones!$AB$165&amp;" "&amp;Milestones!$AC$165&amp;";  ","")&amp;IF(AND(EDATE($D123,Milestones!$AA$166)&lt;=AsOfDate,IF($R123=0,$X123,IF(AND($T123&lt;&gt;"",EDATE($D123,Milestones!$AA$166)&gt;=$T123),$W123,IF(AND($S123&lt;&gt;"",EDATE($D123,Milestones!$AA$166)&gt;=$S123),$V123,$U123)))=Milestones!$AB$166),UPPER(TEXT(EDATE($D123,Milestones!$AA$166),"dd mmm yy"))&amp;" "&amp;Milestones!$AB$166&amp;" "&amp;Milestones!$AC$166&amp;";  ","")&amp;IF(AND(EDATE($D123,Milestones!$AA$167)&lt;=AsOfDate,IF($R123=0,$X123,IF(AND($T123&lt;&gt;"",EDATE($D123,Milestones!$AA$167)&gt;=$T123),$W123,IF(AND($S123&lt;&gt;"",EDATE($D123,Milestones!$AA$167)&gt;=$S123),$V123,$U123)))=Milestones!$AB$167),UPPER(TEXT(EDATE($D123,Milestones!$AA$167),"dd mmm yy"))&amp;" "&amp;Milestones!$AB$167&amp;" "&amp;Milestones!$AC$167&amp;";  ","")&amp;IF(AND(EDATE($D123,Milestones!$AA$168)&lt;=AsOfDate,IF($R123=0,$X123,IF(AND($T123&lt;&gt;"",EDATE($D123,Milestones!$AA$168)&gt;=$T123),$W123,IF(AND($S123&lt;&gt;"",EDATE($D123,Milestones!$AA$168)&gt;=$S123),$V123,$U123)))=Milestones!$AB$168),UPPER(TEXT(EDATE($D123,Milestones!$AA$168),"dd mmm yy"))&amp;" "&amp;Milestones!$AB$168&amp;" "&amp;Milestones!$AC$168&amp;";  ","")&amp;IF(AND(EDATE($D123,Milestones!$AA$169)&lt;=AsOfDate,IF($R123=0,$X123,IF(AND($T123&lt;&gt;"",EDATE($D123,Milestones!$AA$169)&gt;=$T123),$W123,IF(AND($S123&lt;&gt;"",EDATE($D123,Milestones!$AA$169)&gt;=$S123),$V123,$U123)))=Milestones!$AB$169),UPPER(TEXT(EDATE($D123,Milestones!$AA$169),"dd mmm yy"))&amp;" "&amp;Milestones!$AB$169&amp;" "&amp;Milestones!$AC$169&amp;";  ","")&amp;IF(AND(EDATE($D123,Milestones!$AA$170)&lt;=AsOfDate,IF($R123=0,$X123,IF(AND($T123&lt;&gt;"",EDATE($D123,Milestones!$AA$170)&gt;=$T123),$W123,IF(AND($S123&lt;&gt;"",EDATE($D123,Milestones!$AA$170)&gt;=$S123),$V123,$U123)))=Milestones!$AB$170),UPPER(TEXT(EDATE($D123,Milestones!$AA$170),"dd mmm yy"))&amp;" "&amp;Milestones!$AB$170&amp;" "&amp;Milestones!$AC$170&amp;";  ","")&amp;IF(AND(EDATE($D123,Milestones!$AA$171)&lt;=AsOfDate,IF($R123=0,$X123,IF(AND($T123&lt;&gt;"",EDATE($D123,Milestones!$AA$171)&gt;=$T123),$W123,IF(AND($S123&lt;&gt;"",EDATE($D123,Milestones!$AA$171)&gt;=$S123),$V123,$U123)))=Milestones!$AB$171),UPPER(TEXT(EDATE($D123,Milestones!$AA$171),"dd mmm yy"))&amp;" "&amp;Milestones!$AB$171&amp;" "&amp;Milestones!$AC$171&amp;";  ","")&amp;IF(AND(EDATE($D123,Milestones!$AA$172)&lt;=AsOfDate,IF($R123=0,$X123,IF(AND($T123&lt;&gt;"",EDATE($D123,Milestones!$AA$172)&gt;=$T123),$W123,IF(AND($S123&lt;&gt;"",EDATE($D123,Milestones!$AA$172)&gt;=$S123),$V123,$U123)))=Milestones!$AB$172),UPPER(TEXT(EDATE($D123,Milestones!$AA$172),"dd mmm yy"))&amp;" "&amp;Milestones!$AB$172&amp;" "&amp;Milestones!$AC$172&amp;";  ","")&amp;IF(AND(EDATE($D123,Milestones!$AA$173)&lt;=AsOfDate,IF($R123=0,$X123,IF(AND($T123&lt;&gt;"",EDATE($D123,Milestones!$AA$173)&gt;=$T123),$W123,IF(AND($S123&lt;&gt;"",EDATE($D123,Milestones!$AA$173)&gt;=$S123),$V123,$U123)))=Milestones!$AB$173),UPPER(TEXT(EDATE($D123,Milestones!$AA$173),"dd mmm yy"))&amp;" "&amp;Milestones!$AB$173&amp;" "&amp;Milestones!$AC$173&amp;";  ","")&amp;IF(AND(EDATE($D123,Milestones!$AA$174)&lt;=AsOfDate,IF($R123=0,$X123,IF(AND($T123&lt;&gt;"",EDATE($D123,Milestones!$AA$174)&gt;=$T123),$W123,IF(AND($S123&lt;&gt;"",EDATE($D123,Milestones!$AA$174)&gt;=$S123),$V123,$U123)))=Milestones!$AB$174),UPPER(TEXT(EDATE($D123,Milestones!$AA$174),"dd mmm yy"))&amp;" "&amp;Milestones!$AB$174&amp;" "&amp;Milestones!$AC$174&amp;";  ","")&amp;IF(AND(EDATE($D123,Milestones!$AA$175)&lt;=AsOfDate,IF($R123=0,$X123,IF(AND($T123&lt;&gt;"",EDATE($D123,Milestones!$AA$175)&gt;=$T123),$W123,IF(AND($S123&lt;&gt;"",EDATE($D123,Milestones!$AA$175)&gt;=$S123),$V123,$U123)))=Milestones!$AB$175),UPPER(TEXT(EDATE($D123,Milestones!$AA$175),"dd mmm yy"))&amp;" "&amp;Milestones!$AB$175&amp;" "&amp;Milestones!$AC$175&amp;";  ","")&amp;IF(AND(EDATE($D123,Milestones!$AA$176)&lt;=AsOfDate,IF($R123=0,$X123,IF(AND($T123&lt;&gt;"",EDATE($D123,Milestones!$AA$176)&gt;=$T123),$W123,IF(AND($S123&lt;&gt;"",EDATE($D123,Milestones!$AA$176)&gt;=$S123),$V123,$U123)))=Milestones!$AB$176),UPPER(TEXT(EDATE($D123,Milestones!$AA$176),"dd mmm yy"))&amp;" "&amp;Milestones!$AB$176&amp;" "&amp;Milestones!$AC$176&amp;";  ","")&amp;IF(AND(EDATE($D123,Milestones!$AA$177)&lt;=AsOfDate,IF($R123=0,$X123,IF(AND($T123&lt;&gt;"",EDATE($D123,Milestones!$AA$177)&gt;=$T123),$W123,IF(AND($S123&lt;&gt;"",EDATE($D123,Milestones!$AA$177)&gt;=$S123),$V123,$U123)))=Milestones!$AB$177),UPPER(TEXT(EDATE($D123,Milestones!$AA$177),"dd mmm yy"))&amp;" "&amp;Milestones!$AB$177&amp;" "&amp;Milestones!$AC$177&amp;";  ","")&amp;IF(AND(EDATE($D123,Milestones!$AA$178)&lt;=AsOfDate,IF($R123=0,$X123,IF(AND($T123&lt;&gt;"",EDATE($D123,Milestones!$AA$178)&gt;=$T123),$W123,IF(AND($S123&lt;&gt;"",EDATE($D123,Milestones!$AA$178)&gt;=$S123),$V123,$U123)))=Milestones!$AB$178),UPPER(TEXT(EDATE($D123,Milestones!$AA$178),"dd mmm yy"))&amp;" "&amp;Milestones!$AB$178&amp;" "&amp;Milestones!$AC$178&amp;";  ","")&amp;IF(AND(EDATE($D123,Milestones!$AA$179)&lt;=AsOfDate,IF($R123=0,$X123,IF(AND($T123&lt;&gt;"",EDATE($D123,Milestones!$AA$179)&gt;=$T123),$W123,IF(AND($S123&lt;&gt;"",EDATE($D123,Milestones!$AA$179)&gt;=$S123),$V123,$U123)))=Milestones!$AB$179),UPPER(TEXT(EDATE($D123,Milestones!$AA$179),"dd mmm yy"))&amp;" "&amp;Milestones!$AB$179&amp;" "&amp;Milestones!$AC$179&amp;";  ",""))</f>
        <v/>
      </c>
      <c r="Q123" s="0" t="str">
        <f aca="false">IF(OR($A123="",$D123=""),"",IF(AND(EDATE($D123,Milestones!$AA$180)&lt;=AsOfDate,IF($R123=0,$X123,IF(AND($T123&lt;&gt;"",EDATE($D123,Milestones!$AA$180)&gt;=$T123),$W123,IF(AND($S123&lt;&gt;"",EDATE($D123,Milestones!$AA$180)&gt;=$S123),$V123,$U123)))=Milestones!$AB$180),UPPER(TEXT(EDATE($D123,Milestones!$AA$180),"dd mmm yy"))&amp;" "&amp;Milestones!$AB$180&amp;" "&amp;Milestones!$AC$180&amp;";  ","")&amp;IF(AND(EDATE($D123,Milestones!$AA$181)&lt;=AsOfDate,IF($R123=0,$X123,IF(AND($T123&lt;&gt;"",EDATE($D123,Milestones!$AA$181)&gt;=$T123),$W123,IF(AND($S123&lt;&gt;"",EDATE($D123,Milestones!$AA$181)&gt;=$S123),$V123,$U123)))=Milestones!$AB$181),UPPER(TEXT(EDATE($D123,Milestones!$AA$181),"dd mmm yy"))&amp;" "&amp;Milestones!$AB$181&amp;" "&amp;Milestones!$AC$181&amp;";  ","")&amp;IF(AND(EDATE($D123,Milestones!$AA$182)&lt;=AsOfDate,IF($R123=0,$X123,IF(AND($T123&lt;&gt;"",EDATE($D123,Milestones!$AA$182)&gt;=$T123),$W123,IF(AND($S123&lt;&gt;"",EDATE($D123,Milestones!$AA$182)&gt;=$S123),$V123,$U123)))=Milestones!$AB$182),UPPER(TEXT(EDATE($D123,Milestones!$AA$182),"dd mmm yy"))&amp;" "&amp;Milestones!$AB$182&amp;" "&amp;Milestones!$AC$182&amp;";  ","")&amp;IF(AND(EDATE($D123,Milestones!$AA$183)&lt;=AsOfDate,IF($R123=0,$X123,IF(AND($T123&lt;&gt;"",EDATE($D123,Milestones!$AA$183)&gt;=$T123),$W123,IF(AND($S123&lt;&gt;"",EDATE($D123,Milestones!$AA$183)&gt;=$S123),$V123,$U123)))=Milestones!$AB$183),UPPER(TEXT(EDATE($D123,Milestones!$AA$183),"dd mmm yy"))&amp;" "&amp;Milestones!$AB$183&amp;" "&amp;Milestones!$AC$183&amp;";  ","")&amp;IF(AND(EDATE($D123,Milestones!$AA$184)&lt;=AsOfDate,IF($R123=0,$X123,IF(AND($T123&lt;&gt;"",EDATE($D123,Milestones!$AA$184)&gt;=$T123),$W123,IF(AND($S123&lt;&gt;"",EDATE($D123,Milestones!$AA$184)&gt;=$S123),$V123,$U123)))=Milestones!$AB$184),UPPER(TEXT(EDATE($D123,Milestones!$AA$184),"dd mmm yy"))&amp;" "&amp;Milestones!$AB$184&amp;" "&amp;Milestones!$AC$184&amp;";  ","")&amp;IF(AND(EDATE($D123,Milestones!$AA$185)&lt;=AsOfDate,IF($R123=0,$X123,IF(AND($T123&lt;&gt;"",EDATE($D123,Milestones!$AA$185)&gt;=$T123),$W123,IF(AND($S123&lt;&gt;"",EDATE($D123,Milestones!$AA$185)&gt;=$S123),$V123,$U123)))=Milestones!$AB$185),UPPER(TEXT(EDATE($D123,Milestones!$AA$185),"dd mmm yy"))&amp;" "&amp;Milestones!$AB$185&amp;" "&amp;Milestones!$AC$185&amp;";  ","")&amp;IF(AND(EDATE($D123,Milestones!$AA$186)&lt;=AsOfDate,IF($R123=0,$X123,IF(AND($T123&lt;&gt;"",EDATE($D123,Milestones!$AA$186)&gt;=$T123),$W123,IF(AND($S123&lt;&gt;"",EDATE($D123,Milestones!$AA$186)&gt;=$S123),$V123,$U123)))=Milestones!$AB$186),UPPER(TEXT(EDATE($D123,Milestones!$AA$186),"dd mmm yy"))&amp;" "&amp;Milestones!$AB$186&amp;" "&amp;Milestones!$AC$186&amp;";  ","")&amp;IF(AND(EDATE($D123,Milestones!$AA$187)&lt;=AsOfDate,IF($R123=0,$X123,IF(AND($T123&lt;&gt;"",EDATE($D123,Milestones!$AA$187)&gt;=$T123),$W123,IF(AND($S123&lt;&gt;"",EDATE($D123,Milestones!$AA$187)&gt;=$S123),$V123,$U123)))=Milestones!$AB$187),UPPER(TEXT(EDATE($D123,Milestones!$AA$187),"dd mmm yy"))&amp;" "&amp;Milestones!$AB$187&amp;" "&amp;Milestones!$AC$187&amp;";  ","")&amp;IF(AND(EDATE($D123,Milestones!$AA$188)&lt;=AsOfDate,IF($R123=0,$X123,IF(AND($T123&lt;&gt;"",EDATE($D123,Milestones!$AA$188)&gt;=$T123),$W123,IF(AND($S123&lt;&gt;"",EDATE($D123,Milestones!$AA$188)&gt;=$S123),$V123,$U123)))=Milestones!$AB$188),UPPER(TEXT(EDATE($D123,Milestones!$AA$188),"dd mmm yy"))&amp;" "&amp;Milestones!$AB$188&amp;" "&amp;Milestones!$AC$188&amp;";  ","")&amp;IF(AND(EDATE($D123,Milestones!$AA$189)&lt;=AsOfDate,IF($R123=0,$X123,IF(AND($T123&lt;&gt;"",EDATE($D123,Milestones!$AA$189)&gt;=$T123),$W123,IF(AND($S123&lt;&gt;"",EDATE($D123,Milestones!$AA$189)&gt;=$S123),$V123,$U123)))=Milestones!$AB$189),UPPER(TEXT(EDATE($D123,Milestones!$AA$189),"dd mmm yy"))&amp;" "&amp;Milestones!$AB$189&amp;" "&amp;Milestones!$AC$189&amp;";  ","")&amp;IF(AND(EDATE($D123,Milestones!$AA$190)&lt;=AsOfDate,IF($R123=0,$X123,IF(AND($T123&lt;&gt;"",EDATE($D123,Milestones!$AA$190)&gt;=$T123),$W123,IF(AND($S123&lt;&gt;"",EDATE($D123,Milestones!$AA$190)&gt;=$S123),$V123,$U123)))=Milestones!$AB$190),UPPER(TEXT(EDATE($D123,Milestones!$AA$190),"dd mmm yy"))&amp;" "&amp;Milestones!$AB$190&amp;" "&amp;Milestones!$AC$190&amp;";  ","")&amp;IF(AND(EDATE($D123,Milestones!$AA$191)&lt;=AsOfDate,IF($R123=0,$X123,IF(AND($T123&lt;&gt;"",EDATE($D123,Milestones!$AA$191)&gt;=$T123),$W123,IF(AND($S123&lt;&gt;"",EDATE($D123,Milestones!$AA$191)&gt;=$S123),$V123,$U123)))=Milestones!$AB$191),UPPER(TEXT(EDATE($D123,Milestones!$AA$191),"dd mmm yy"))&amp;" "&amp;Milestones!$AB$191&amp;" "&amp;Milestones!$AC$191&amp;";  ","")&amp;IF(AND(EDATE($D123,Milestones!$AA$192)&lt;=AsOfDate,IF($R123=0,$X123,IF(AND($T123&lt;&gt;"",EDATE($D123,Milestones!$AA$192)&gt;=$T123),$W123,IF(AND($S123&lt;&gt;"",EDATE($D123,Milestones!$AA$192)&gt;=$S123),$V123,$U123)))=Milestones!$AB$192),UPPER(TEXT(EDATE($D123,Milestones!$AA$192),"dd mmm yy"))&amp;" "&amp;Milestones!$AB$192&amp;" "&amp;Milestones!$AC$192&amp;";  ","")&amp;IF(AND(EDATE($D123,Milestones!$AA$193)&lt;=AsOfDate,IF($R123=0,$X123,IF(AND($T123&lt;&gt;"",EDATE($D123,Milestones!$AA$193)&gt;=$T123),$W123,IF(AND($S123&lt;&gt;"",EDATE($D123,Milestones!$AA$193)&gt;=$S123),$V123,$U123)))=Milestones!$AB$193),UPPER(TEXT(EDATE($D123,Milestones!$AA$193),"dd mmm yy"))&amp;" "&amp;Milestones!$AB$193&amp;" "&amp;Milestones!$AC$193&amp;";  ","")&amp;IF(AND(EDATE($D123,Milestones!$AA$194)&lt;=AsOfDate,IF($R123=0,$X123,IF(AND($T123&lt;&gt;"",EDATE($D123,Milestones!$AA$194)&gt;=$T123),$W123,IF(AND($S123&lt;&gt;"",EDATE($D123,Milestones!$AA$194)&gt;=$S123),$V123,$U123)))=Milestones!$AB$194),UPPER(TEXT(EDATE($D123,Milestones!$AA$194),"dd mmm yy"))&amp;" "&amp;Milestones!$AB$194&amp;" "&amp;Milestones!$AC$194&amp;";  ","")&amp;IF(AND(EDATE($D123,Milestones!$AA$195)&lt;=AsOfDate,IF($R123=0,$X123,IF(AND($T123&lt;&gt;"",EDATE($D123,Milestones!$AA$195)&gt;=$T123),$W123,IF(AND($S123&lt;&gt;"",EDATE($D123,Milestones!$AA$195)&gt;=$S123),$V123,$U123)))=Milestones!$AB$195),UPPER(TEXT(EDATE($D123,Milestones!$AA$195),"dd mmm yy"))&amp;" "&amp;Milestones!$AB$195&amp;" "&amp;Milestones!$AC$195&amp;";  ","")&amp;IF(AND(EDATE($D123,Milestones!$AA$196)&lt;=AsOfDate,IF($R123=0,$X123,IF(AND($T123&lt;&gt;"",EDATE($D123,Milestones!$AA$196)&gt;=$T123),$W123,IF(AND($S123&lt;&gt;"",EDATE($D123,Milestones!$AA$196)&gt;=$S123),$V123,$U123)))=Milestones!$AB$196),UPPER(TEXT(EDATE($D123,Milestones!$AA$196),"dd mmm yy"))&amp;" "&amp;Milestones!$AB$196&amp;" "&amp;Milestones!$AC$196&amp;";  ","")&amp;IF(AND(EDATE($D123,Milestones!$AA$197)&lt;=AsOfDate,IF($R123=0,$X123,IF(AND($T123&lt;&gt;"",EDATE($D123,Milestones!$AA$197)&gt;=$T123),$W123,IF(AND($S123&lt;&gt;"",EDATE($D123,Milestones!$AA$197)&gt;=$S123),$V123,$U123)))=Milestones!$AB$197),UPPER(TEXT(EDATE($D123,Milestones!$AA$197),"dd mmm yy"))&amp;" "&amp;Milestones!$AB$197&amp;" "&amp;Milestones!$AC$197&amp;";  ","")&amp;IF(AND(EDATE($D123,Milestones!$AA$198)&lt;=AsOfDate,IF($R123=0,$X123,IF(AND($T123&lt;&gt;"",EDATE($D123,Milestones!$AA$198)&gt;=$T123),$W123,IF(AND($S123&lt;&gt;"",EDATE($D123,Milestones!$AA$198)&gt;=$S123),$V123,$U123)))=Milestones!$AB$198),UPPER(TEXT(EDATE($D123,Milestones!$AA$198),"dd mmm yy"))&amp;" "&amp;Milestones!$AB$198&amp;" "&amp;Milestones!$AC$198&amp;";  ","")&amp;IF(AND(EDATE($D123,Milestones!$AA$199)&lt;=AsOfDate,IF($R123=0,$X123,IF(AND($T123&lt;&gt;"",EDATE($D123,Milestones!$AA$199)&gt;=$T123),$W123,IF(AND($S123&lt;&gt;"",EDATE($D123,Milestones!$AA$199)&gt;=$S123),$V123,$U123)))=Milestones!$AB$199),UPPER(TEXT(EDATE($D123,Milestones!$AA$199),"dd mmm yy"))&amp;" "&amp;Milestones!$AB$199&amp;" "&amp;Milestones!$AC$199&amp;";  ",""))</f>
        <v/>
      </c>
      <c r="R123" s="0" t="str">
        <f aca="false">IF(Staff!$A123="","",Staff!$AI123)</f>
        <v/>
      </c>
      <c r="S123" s="0" t="str">
        <f aca="false">IF(Staff!$A123="","",Staff!$AK123)</f>
        <v/>
      </c>
      <c r="T123" s="0" t="str">
        <f aca="false">IF(Staff!$A123="","",Staff!$AL123)</f>
        <v/>
      </c>
      <c r="U123" s="0" t="str">
        <f aca="false">IF(Staff!$A123="","",Staff!$AP123)</f>
        <v/>
      </c>
      <c r="V123" s="0" t="str">
        <f aca="false">IF(Staff!$A123="","",Staff!$AQ123)</f>
        <v/>
      </c>
      <c r="W123" s="0" t="str">
        <f aca="false">IF(Staff!$A123="","",Staff!$AR123)</f>
        <v/>
      </c>
      <c r="X123" s="0" t="str">
        <f aca="false">IF(Staff!$A123="","",Staff!$AS123)</f>
        <v/>
      </c>
    </row>
    <row r="124" customFormat="false" ht="15" hidden="false" customHeight="false" outlineLevel="0" collapsed="false">
      <c r="A124" s="14" t="str">
        <f aca="false">IF(Staff!$A124="","",Staff!$A124)</f>
        <v/>
      </c>
      <c r="B124" s="14" t="str">
        <f aca="false">IF(Staff!$A124="","",Staff!$B124)</f>
        <v/>
      </c>
      <c r="C124" s="14" t="str">
        <f aca="false">IF(Staff!$A124="","",Staff!$C124)</f>
        <v/>
      </c>
      <c r="D124" s="12" t="str">
        <f aca="false">IF(Staff!$A124="","",Staff!$AH124)</f>
        <v/>
      </c>
      <c r="E124" s="14" t="str">
        <f aca="false">IF(Staff!$A124="","",Staff!$O124)</f>
        <v/>
      </c>
      <c r="F124" s="14" t="str">
        <f aca="false">IF(E124="","",E124*HoursPerDay)</f>
        <v/>
      </c>
      <c r="G124" s="14" t="str">
        <f aca="false">IF(Staff!$A124="","",Staff!$AE124)</f>
        <v/>
      </c>
      <c r="H124" s="26" t="str">
        <f aca="false">IF($A124="","",I124&amp;J124&amp;K124&amp;L124&amp;M124&amp;N124&amp;O124&amp;P124&amp;Q124)</f>
        <v/>
      </c>
      <c r="I124" s="0" t="str">
        <f aca="false">IF(OR($A124="",$D124=""),"",IF(AND(EDATE($D124,Milestones!$AA$20)&lt;=AsOfDate,IF($R124=0,$X124,IF(AND($T124&lt;&gt;"",EDATE($D124,Milestones!$AA$20)&gt;=$T124),$W124,IF(AND($S124&lt;&gt;"",EDATE($D124,Milestones!$AA$20)&gt;=$S124),$V124,$U124)))=Milestones!$AB$20),UPPER(TEXT(EDATE($D124,Milestones!$AA$20),"dd mmm yy"))&amp;" "&amp;Milestones!$AB$20&amp;" "&amp;Milestones!$AC$20&amp;";  ","")&amp;IF(AND(EDATE($D124,Milestones!$AA$21)&lt;=AsOfDate,IF($R124=0,$X124,IF(AND($T124&lt;&gt;"",EDATE($D124,Milestones!$AA$21)&gt;=$T124),$W124,IF(AND($S124&lt;&gt;"",EDATE($D124,Milestones!$AA$21)&gt;=$S124),$V124,$U124)))=Milestones!$AB$21),UPPER(TEXT(EDATE($D124,Milestones!$AA$21),"dd mmm yy"))&amp;" "&amp;Milestones!$AB$21&amp;" "&amp;Milestones!$AC$21&amp;";  ","")&amp;IF(AND(EDATE($D124,Milestones!$AA$22)&lt;=AsOfDate,IF($R124=0,$X124,IF(AND($T124&lt;&gt;"",EDATE($D124,Milestones!$AA$22)&gt;=$T124),$W124,IF(AND($S124&lt;&gt;"",EDATE($D124,Milestones!$AA$22)&gt;=$S124),$V124,$U124)))=Milestones!$AB$22),UPPER(TEXT(EDATE($D124,Milestones!$AA$22),"dd mmm yy"))&amp;" "&amp;Milestones!$AB$22&amp;" "&amp;Milestones!$AC$22&amp;";  ","")&amp;IF(AND(EDATE($D124,Milestones!$AA$23)&lt;=AsOfDate,IF($R124=0,$X124,IF(AND($T124&lt;&gt;"",EDATE($D124,Milestones!$AA$23)&gt;=$T124),$W124,IF(AND($S124&lt;&gt;"",EDATE($D124,Milestones!$AA$23)&gt;=$S124),$V124,$U124)))=Milestones!$AB$23),UPPER(TEXT(EDATE($D124,Milestones!$AA$23),"dd mmm yy"))&amp;" "&amp;Milestones!$AB$23&amp;" "&amp;Milestones!$AC$23&amp;";  ","")&amp;IF(AND(EDATE($D124,Milestones!$AA$24)&lt;=AsOfDate,IF($R124=0,$X124,IF(AND($T124&lt;&gt;"",EDATE($D124,Milestones!$AA$24)&gt;=$T124),$W124,IF(AND($S124&lt;&gt;"",EDATE($D124,Milestones!$AA$24)&gt;=$S124),$V124,$U124)))=Milestones!$AB$24),UPPER(TEXT(EDATE($D124,Milestones!$AA$24),"dd mmm yy"))&amp;" "&amp;Milestones!$AB$24&amp;" "&amp;Milestones!$AC$24&amp;";  ","")&amp;IF(AND(EDATE($D124,Milestones!$AA$25)&lt;=AsOfDate,IF($R124=0,$X124,IF(AND($T124&lt;&gt;"",EDATE($D124,Milestones!$AA$25)&gt;=$T124),$W124,IF(AND($S124&lt;&gt;"",EDATE($D124,Milestones!$AA$25)&gt;=$S124),$V124,$U124)))=Milestones!$AB$25),UPPER(TEXT(EDATE($D124,Milestones!$AA$25),"dd mmm yy"))&amp;" "&amp;Milestones!$AB$25&amp;" "&amp;Milestones!$AC$25&amp;";  ","")&amp;IF(AND(EDATE($D124,Milestones!$AA$26)&lt;=AsOfDate,IF($R124=0,$X124,IF(AND($T124&lt;&gt;"",EDATE($D124,Milestones!$AA$26)&gt;=$T124),$W124,IF(AND($S124&lt;&gt;"",EDATE($D124,Milestones!$AA$26)&gt;=$S124),$V124,$U124)))=Milestones!$AB$26),UPPER(TEXT(EDATE($D124,Milestones!$AA$26),"dd mmm yy"))&amp;" "&amp;Milestones!$AB$26&amp;" "&amp;Milestones!$AC$26&amp;";  ","")&amp;IF(AND(EDATE($D124,Milestones!$AA$27)&lt;=AsOfDate,IF($R124=0,$X124,IF(AND($T124&lt;&gt;"",EDATE($D124,Milestones!$AA$27)&gt;=$T124),$W124,IF(AND($S124&lt;&gt;"",EDATE($D124,Milestones!$AA$27)&gt;=$S124),$V124,$U124)))=Milestones!$AB$27),UPPER(TEXT(EDATE($D124,Milestones!$AA$27),"dd mmm yy"))&amp;" "&amp;Milestones!$AB$27&amp;" "&amp;Milestones!$AC$27&amp;";  ","")&amp;IF(AND(EDATE($D124,Milestones!$AA$28)&lt;=AsOfDate,IF($R124=0,$X124,IF(AND($T124&lt;&gt;"",EDATE($D124,Milestones!$AA$28)&gt;=$T124),$W124,IF(AND($S124&lt;&gt;"",EDATE($D124,Milestones!$AA$28)&gt;=$S124),$V124,$U124)))=Milestones!$AB$28),UPPER(TEXT(EDATE($D124,Milestones!$AA$28),"dd mmm yy"))&amp;" "&amp;Milestones!$AB$28&amp;" "&amp;Milestones!$AC$28&amp;";  ","")&amp;IF(AND(EDATE($D124,Milestones!$AA$29)&lt;=AsOfDate,IF($R124=0,$X124,IF(AND($T124&lt;&gt;"",EDATE($D124,Milestones!$AA$29)&gt;=$T124),$W124,IF(AND($S124&lt;&gt;"",EDATE($D124,Milestones!$AA$29)&gt;=$S124),$V124,$U124)))=Milestones!$AB$29),UPPER(TEXT(EDATE($D124,Milestones!$AA$29),"dd mmm yy"))&amp;" "&amp;Milestones!$AB$29&amp;" "&amp;Milestones!$AC$29&amp;";  ","")&amp;IF(AND(EDATE($D124,Milestones!$AA$30)&lt;=AsOfDate,IF($R124=0,$X124,IF(AND($T124&lt;&gt;"",EDATE($D124,Milestones!$AA$30)&gt;=$T124),$W124,IF(AND($S124&lt;&gt;"",EDATE($D124,Milestones!$AA$30)&gt;=$S124),$V124,$U124)))=Milestones!$AB$30),UPPER(TEXT(EDATE($D124,Milestones!$AA$30),"dd mmm yy"))&amp;" "&amp;Milestones!$AB$30&amp;" "&amp;Milestones!$AC$30&amp;";  ","")&amp;IF(AND(EDATE($D124,Milestones!$AA$31)&lt;=AsOfDate,IF($R124=0,$X124,IF(AND($T124&lt;&gt;"",EDATE($D124,Milestones!$AA$31)&gt;=$T124),$W124,IF(AND($S124&lt;&gt;"",EDATE($D124,Milestones!$AA$31)&gt;=$S124),$V124,$U124)))=Milestones!$AB$31),UPPER(TEXT(EDATE($D124,Milestones!$AA$31),"dd mmm yy"))&amp;" "&amp;Milestones!$AB$31&amp;" "&amp;Milestones!$AC$31&amp;";  ","")&amp;IF(AND(EDATE($D124,Milestones!$AA$32)&lt;=AsOfDate,IF($R124=0,$X124,IF(AND($T124&lt;&gt;"",EDATE($D124,Milestones!$AA$32)&gt;=$T124),$W124,IF(AND($S124&lt;&gt;"",EDATE($D124,Milestones!$AA$32)&gt;=$S124),$V124,$U124)))=Milestones!$AB$32),UPPER(TEXT(EDATE($D124,Milestones!$AA$32),"dd mmm yy"))&amp;" "&amp;Milestones!$AB$32&amp;" "&amp;Milestones!$AC$32&amp;";  ","")&amp;IF(AND(EDATE($D124,Milestones!$AA$33)&lt;=AsOfDate,IF($R124=0,$X124,IF(AND($T124&lt;&gt;"",EDATE($D124,Milestones!$AA$33)&gt;=$T124),$W124,IF(AND($S124&lt;&gt;"",EDATE($D124,Milestones!$AA$33)&gt;=$S124),$V124,$U124)))=Milestones!$AB$33),UPPER(TEXT(EDATE($D124,Milestones!$AA$33),"dd mmm yy"))&amp;" "&amp;Milestones!$AB$33&amp;" "&amp;Milestones!$AC$33&amp;";  ","")&amp;IF(AND(EDATE($D124,Milestones!$AA$34)&lt;=AsOfDate,IF($R124=0,$X124,IF(AND($T124&lt;&gt;"",EDATE($D124,Milestones!$AA$34)&gt;=$T124),$W124,IF(AND($S124&lt;&gt;"",EDATE($D124,Milestones!$AA$34)&gt;=$S124),$V124,$U124)))=Milestones!$AB$34),UPPER(TEXT(EDATE($D124,Milestones!$AA$34),"dd mmm yy"))&amp;" "&amp;Milestones!$AB$34&amp;" "&amp;Milestones!$AC$34&amp;";  ","")&amp;IF(AND(EDATE($D124,Milestones!$AA$35)&lt;=AsOfDate,IF($R124=0,$X124,IF(AND($T124&lt;&gt;"",EDATE($D124,Milestones!$AA$35)&gt;=$T124),$W124,IF(AND($S124&lt;&gt;"",EDATE($D124,Milestones!$AA$35)&gt;=$S124),$V124,$U124)))=Milestones!$AB$35),UPPER(TEXT(EDATE($D124,Milestones!$AA$35),"dd mmm yy"))&amp;" "&amp;Milestones!$AB$35&amp;" "&amp;Milestones!$AC$35&amp;";  ","")&amp;IF(AND(EDATE($D124,Milestones!$AA$36)&lt;=AsOfDate,IF($R124=0,$X124,IF(AND($T124&lt;&gt;"",EDATE($D124,Milestones!$AA$36)&gt;=$T124),$W124,IF(AND($S124&lt;&gt;"",EDATE($D124,Milestones!$AA$36)&gt;=$S124),$V124,$U124)))=Milestones!$AB$36),UPPER(TEXT(EDATE($D124,Milestones!$AA$36),"dd mmm yy"))&amp;" "&amp;Milestones!$AB$36&amp;" "&amp;Milestones!$AC$36&amp;";  ","")&amp;IF(AND(EDATE($D124,Milestones!$AA$37)&lt;=AsOfDate,IF($R124=0,$X124,IF(AND($T124&lt;&gt;"",EDATE($D124,Milestones!$AA$37)&gt;=$T124),$W124,IF(AND($S124&lt;&gt;"",EDATE($D124,Milestones!$AA$37)&gt;=$S124),$V124,$U124)))=Milestones!$AB$37),UPPER(TEXT(EDATE($D124,Milestones!$AA$37),"dd mmm yy"))&amp;" "&amp;Milestones!$AB$37&amp;" "&amp;Milestones!$AC$37&amp;";  ","")&amp;IF(AND(EDATE($D124,Milestones!$AA$38)&lt;=AsOfDate,IF($R124=0,$X124,IF(AND($T124&lt;&gt;"",EDATE($D124,Milestones!$AA$38)&gt;=$T124),$W124,IF(AND($S124&lt;&gt;"",EDATE($D124,Milestones!$AA$38)&gt;=$S124),$V124,$U124)))=Milestones!$AB$38),UPPER(TEXT(EDATE($D124,Milestones!$AA$38),"dd mmm yy"))&amp;" "&amp;Milestones!$AB$38&amp;" "&amp;Milestones!$AC$38&amp;";  ","")&amp;IF(AND(EDATE($D124,Milestones!$AA$39)&lt;=AsOfDate,IF($R124=0,$X124,IF(AND($T124&lt;&gt;"",EDATE($D124,Milestones!$AA$39)&gt;=$T124),$W124,IF(AND($S124&lt;&gt;"",EDATE($D124,Milestones!$AA$39)&gt;=$S124),$V124,$U124)))=Milestones!$AB$39),UPPER(TEXT(EDATE($D124,Milestones!$AA$39),"dd mmm yy"))&amp;" "&amp;Milestones!$AB$39&amp;" "&amp;Milestones!$AC$39&amp;";  ",""))</f>
        <v/>
      </c>
      <c r="J124" s="0" t="str">
        <f aca="false">IF(OR($A124="",$D124=""),"",IF(AND(EDATE($D124,Milestones!$AA$40)&lt;=AsOfDate,IF($R124=0,$X124,IF(AND($T124&lt;&gt;"",EDATE($D124,Milestones!$AA$40)&gt;=$T124),$W124,IF(AND($S124&lt;&gt;"",EDATE($D124,Milestones!$AA$40)&gt;=$S124),$V124,$U124)))=Milestones!$AB$40),UPPER(TEXT(EDATE($D124,Milestones!$AA$40),"dd mmm yy"))&amp;" "&amp;Milestones!$AB$40&amp;" "&amp;Milestones!$AC$40&amp;";  ","")&amp;IF(AND(EDATE($D124,Milestones!$AA$41)&lt;=AsOfDate,IF($R124=0,$X124,IF(AND($T124&lt;&gt;"",EDATE($D124,Milestones!$AA$41)&gt;=$T124),$W124,IF(AND($S124&lt;&gt;"",EDATE($D124,Milestones!$AA$41)&gt;=$S124),$V124,$U124)))=Milestones!$AB$41),UPPER(TEXT(EDATE($D124,Milestones!$AA$41),"dd mmm yy"))&amp;" "&amp;Milestones!$AB$41&amp;" "&amp;Milestones!$AC$41&amp;";  ","")&amp;IF(AND(EDATE($D124,Milestones!$AA$42)&lt;=AsOfDate,IF($R124=0,$X124,IF(AND($T124&lt;&gt;"",EDATE($D124,Milestones!$AA$42)&gt;=$T124),$W124,IF(AND($S124&lt;&gt;"",EDATE($D124,Milestones!$AA$42)&gt;=$S124),$V124,$U124)))=Milestones!$AB$42),UPPER(TEXT(EDATE($D124,Milestones!$AA$42),"dd mmm yy"))&amp;" "&amp;Milestones!$AB$42&amp;" "&amp;Milestones!$AC$42&amp;";  ","")&amp;IF(AND(EDATE($D124,Milestones!$AA$43)&lt;=AsOfDate,IF($R124=0,$X124,IF(AND($T124&lt;&gt;"",EDATE($D124,Milestones!$AA$43)&gt;=$T124),$W124,IF(AND($S124&lt;&gt;"",EDATE($D124,Milestones!$AA$43)&gt;=$S124),$V124,$U124)))=Milestones!$AB$43),UPPER(TEXT(EDATE($D124,Milestones!$AA$43),"dd mmm yy"))&amp;" "&amp;Milestones!$AB$43&amp;" "&amp;Milestones!$AC$43&amp;";  ","")&amp;IF(AND(EDATE($D124,Milestones!$AA$44)&lt;=AsOfDate,IF($R124=0,$X124,IF(AND($T124&lt;&gt;"",EDATE($D124,Milestones!$AA$44)&gt;=$T124),$W124,IF(AND($S124&lt;&gt;"",EDATE($D124,Milestones!$AA$44)&gt;=$S124),$V124,$U124)))=Milestones!$AB$44),UPPER(TEXT(EDATE($D124,Milestones!$AA$44),"dd mmm yy"))&amp;" "&amp;Milestones!$AB$44&amp;" "&amp;Milestones!$AC$44&amp;";  ","")&amp;IF(AND(EDATE($D124,Milestones!$AA$45)&lt;=AsOfDate,IF($R124=0,$X124,IF(AND($T124&lt;&gt;"",EDATE($D124,Milestones!$AA$45)&gt;=$T124),$W124,IF(AND($S124&lt;&gt;"",EDATE($D124,Milestones!$AA$45)&gt;=$S124),$V124,$U124)))=Milestones!$AB$45),UPPER(TEXT(EDATE($D124,Milestones!$AA$45),"dd mmm yy"))&amp;" "&amp;Milestones!$AB$45&amp;" "&amp;Milestones!$AC$45&amp;";  ","")&amp;IF(AND(EDATE($D124,Milestones!$AA$46)&lt;=AsOfDate,IF($R124=0,$X124,IF(AND($T124&lt;&gt;"",EDATE($D124,Milestones!$AA$46)&gt;=$T124),$W124,IF(AND($S124&lt;&gt;"",EDATE($D124,Milestones!$AA$46)&gt;=$S124),$V124,$U124)))=Milestones!$AB$46),UPPER(TEXT(EDATE($D124,Milestones!$AA$46),"dd mmm yy"))&amp;" "&amp;Milestones!$AB$46&amp;" "&amp;Milestones!$AC$46&amp;";  ","")&amp;IF(AND(EDATE($D124,Milestones!$AA$47)&lt;=AsOfDate,IF($R124=0,$X124,IF(AND($T124&lt;&gt;"",EDATE($D124,Milestones!$AA$47)&gt;=$T124),$W124,IF(AND($S124&lt;&gt;"",EDATE($D124,Milestones!$AA$47)&gt;=$S124),$V124,$U124)))=Milestones!$AB$47),UPPER(TEXT(EDATE($D124,Milestones!$AA$47),"dd mmm yy"))&amp;" "&amp;Milestones!$AB$47&amp;" "&amp;Milestones!$AC$47&amp;";  ","")&amp;IF(AND(EDATE($D124,Milestones!$AA$48)&lt;=AsOfDate,IF($R124=0,$X124,IF(AND($T124&lt;&gt;"",EDATE($D124,Milestones!$AA$48)&gt;=$T124),$W124,IF(AND($S124&lt;&gt;"",EDATE($D124,Milestones!$AA$48)&gt;=$S124),$V124,$U124)))=Milestones!$AB$48),UPPER(TEXT(EDATE($D124,Milestones!$AA$48),"dd mmm yy"))&amp;" "&amp;Milestones!$AB$48&amp;" "&amp;Milestones!$AC$48&amp;";  ","")&amp;IF(AND(EDATE($D124,Milestones!$AA$49)&lt;=AsOfDate,IF($R124=0,$X124,IF(AND($T124&lt;&gt;"",EDATE($D124,Milestones!$AA$49)&gt;=$T124),$W124,IF(AND($S124&lt;&gt;"",EDATE($D124,Milestones!$AA$49)&gt;=$S124),$V124,$U124)))=Milestones!$AB$49),UPPER(TEXT(EDATE($D124,Milestones!$AA$49),"dd mmm yy"))&amp;" "&amp;Milestones!$AB$49&amp;" "&amp;Milestones!$AC$49&amp;";  ","")&amp;IF(AND(EDATE($D124,Milestones!$AA$50)&lt;=AsOfDate,IF($R124=0,$X124,IF(AND($T124&lt;&gt;"",EDATE($D124,Milestones!$AA$50)&gt;=$T124),$W124,IF(AND($S124&lt;&gt;"",EDATE($D124,Milestones!$AA$50)&gt;=$S124),$V124,$U124)))=Milestones!$AB$50),UPPER(TEXT(EDATE($D124,Milestones!$AA$50),"dd mmm yy"))&amp;" "&amp;Milestones!$AB$50&amp;" "&amp;Milestones!$AC$50&amp;";  ","")&amp;IF(AND(EDATE($D124,Milestones!$AA$51)&lt;=AsOfDate,IF($R124=0,$X124,IF(AND($T124&lt;&gt;"",EDATE($D124,Milestones!$AA$51)&gt;=$T124),$W124,IF(AND($S124&lt;&gt;"",EDATE($D124,Milestones!$AA$51)&gt;=$S124),$V124,$U124)))=Milestones!$AB$51),UPPER(TEXT(EDATE($D124,Milestones!$AA$51),"dd mmm yy"))&amp;" "&amp;Milestones!$AB$51&amp;" "&amp;Milestones!$AC$51&amp;";  ","")&amp;IF(AND(EDATE($D124,Milestones!$AA$52)&lt;=AsOfDate,IF($R124=0,$X124,IF(AND($T124&lt;&gt;"",EDATE($D124,Milestones!$AA$52)&gt;=$T124),$W124,IF(AND($S124&lt;&gt;"",EDATE($D124,Milestones!$AA$52)&gt;=$S124),$V124,$U124)))=Milestones!$AB$52),UPPER(TEXT(EDATE($D124,Milestones!$AA$52),"dd mmm yy"))&amp;" "&amp;Milestones!$AB$52&amp;" "&amp;Milestones!$AC$52&amp;";  ","")&amp;IF(AND(EDATE($D124,Milestones!$AA$53)&lt;=AsOfDate,IF($R124=0,$X124,IF(AND($T124&lt;&gt;"",EDATE($D124,Milestones!$AA$53)&gt;=$T124),$W124,IF(AND($S124&lt;&gt;"",EDATE($D124,Milestones!$AA$53)&gt;=$S124),$V124,$U124)))=Milestones!$AB$53),UPPER(TEXT(EDATE($D124,Milestones!$AA$53),"dd mmm yy"))&amp;" "&amp;Milestones!$AB$53&amp;" "&amp;Milestones!$AC$53&amp;";  ","")&amp;IF(AND(EDATE($D124,Milestones!$AA$54)&lt;=AsOfDate,IF($R124=0,$X124,IF(AND($T124&lt;&gt;"",EDATE($D124,Milestones!$AA$54)&gt;=$T124),$W124,IF(AND($S124&lt;&gt;"",EDATE($D124,Milestones!$AA$54)&gt;=$S124),$V124,$U124)))=Milestones!$AB$54),UPPER(TEXT(EDATE($D124,Milestones!$AA$54),"dd mmm yy"))&amp;" "&amp;Milestones!$AB$54&amp;" "&amp;Milestones!$AC$54&amp;";  ","")&amp;IF(AND(EDATE($D124,Milestones!$AA$55)&lt;=AsOfDate,IF($R124=0,$X124,IF(AND($T124&lt;&gt;"",EDATE($D124,Milestones!$AA$55)&gt;=$T124),$W124,IF(AND($S124&lt;&gt;"",EDATE($D124,Milestones!$AA$55)&gt;=$S124),$V124,$U124)))=Milestones!$AB$55),UPPER(TEXT(EDATE($D124,Milestones!$AA$55),"dd mmm yy"))&amp;" "&amp;Milestones!$AB$55&amp;" "&amp;Milestones!$AC$55&amp;";  ","")&amp;IF(AND(EDATE($D124,Milestones!$AA$56)&lt;=AsOfDate,IF($R124=0,$X124,IF(AND($T124&lt;&gt;"",EDATE($D124,Milestones!$AA$56)&gt;=$T124),$W124,IF(AND($S124&lt;&gt;"",EDATE($D124,Milestones!$AA$56)&gt;=$S124),$V124,$U124)))=Milestones!$AB$56),UPPER(TEXT(EDATE($D124,Milestones!$AA$56),"dd mmm yy"))&amp;" "&amp;Milestones!$AB$56&amp;" "&amp;Milestones!$AC$56&amp;";  ","")&amp;IF(AND(EDATE($D124,Milestones!$AA$57)&lt;=AsOfDate,IF($R124=0,$X124,IF(AND($T124&lt;&gt;"",EDATE($D124,Milestones!$AA$57)&gt;=$T124),$W124,IF(AND($S124&lt;&gt;"",EDATE($D124,Milestones!$AA$57)&gt;=$S124),$V124,$U124)))=Milestones!$AB$57),UPPER(TEXT(EDATE($D124,Milestones!$AA$57),"dd mmm yy"))&amp;" "&amp;Milestones!$AB$57&amp;" "&amp;Milestones!$AC$57&amp;";  ","")&amp;IF(AND(EDATE($D124,Milestones!$AA$58)&lt;=AsOfDate,IF($R124=0,$X124,IF(AND($T124&lt;&gt;"",EDATE($D124,Milestones!$AA$58)&gt;=$T124),$W124,IF(AND($S124&lt;&gt;"",EDATE($D124,Milestones!$AA$58)&gt;=$S124),$V124,$U124)))=Milestones!$AB$58),UPPER(TEXT(EDATE($D124,Milestones!$AA$58),"dd mmm yy"))&amp;" "&amp;Milestones!$AB$58&amp;" "&amp;Milestones!$AC$58&amp;";  ","")&amp;IF(AND(EDATE($D124,Milestones!$AA$59)&lt;=AsOfDate,IF($R124=0,$X124,IF(AND($T124&lt;&gt;"",EDATE($D124,Milestones!$AA$59)&gt;=$T124),$W124,IF(AND($S124&lt;&gt;"",EDATE($D124,Milestones!$AA$59)&gt;=$S124),$V124,$U124)))=Milestones!$AB$59),UPPER(TEXT(EDATE($D124,Milestones!$AA$59),"dd mmm yy"))&amp;" "&amp;Milestones!$AB$59&amp;" "&amp;Milestones!$AC$59&amp;";  ",""))</f>
        <v/>
      </c>
      <c r="K124" s="0" t="str">
        <f aca="false">IF(OR($A124="",$D124=""),"",IF(AND(EDATE($D124,Milestones!$AA$60)&lt;=AsOfDate,IF($R124=0,$X124,IF(AND($T124&lt;&gt;"",EDATE($D124,Milestones!$AA$60)&gt;=$T124),$W124,IF(AND($S124&lt;&gt;"",EDATE($D124,Milestones!$AA$60)&gt;=$S124),$V124,$U124)))=Milestones!$AB$60),UPPER(TEXT(EDATE($D124,Milestones!$AA$60),"dd mmm yy"))&amp;" "&amp;Milestones!$AB$60&amp;" "&amp;Milestones!$AC$60&amp;";  ","")&amp;IF(AND(EDATE($D124,Milestones!$AA$61)&lt;=AsOfDate,IF($R124=0,$X124,IF(AND($T124&lt;&gt;"",EDATE($D124,Milestones!$AA$61)&gt;=$T124),$W124,IF(AND($S124&lt;&gt;"",EDATE($D124,Milestones!$AA$61)&gt;=$S124),$V124,$U124)))=Milestones!$AB$61),UPPER(TEXT(EDATE($D124,Milestones!$AA$61),"dd mmm yy"))&amp;" "&amp;Milestones!$AB$61&amp;" "&amp;Milestones!$AC$61&amp;";  ","")&amp;IF(AND(EDATE($D124,Milestones!$AA$62)&lt;=AsOfDate,IF($R124=0,$X124,IF(AND($T124&lt;&gt;"",EDATE($D124,Milestones!$AA$62)&gt;=$T124),$W124,IF(AND($S124&lt;&gt;"",EDATE($D124,Milestones!$AA$62)&gt;=$S124),$V124,$U124)))=Milestones!$AB$62),UPPER(TEXT(EDATE($D124,Milestones!$AA$62),"dd mmm yy"))&amp;" "&amp;Milestones!$AB$62&amp;" "&amp;Milestones!$AC$62&amp;";  ","")&amp;IF(AND(EDATE($D124,Milestones!$AA$63)&lt;=AsOfDate,IF($R124=0,$X124,IF(AND($T124&lt;&gt;"",EDATE($D124,Milestones!$AA$63)&gt;=$T124),$W124,IF(AND($S124&lt;&gt;"",EDATE($D124,Milestones!$AA$63)&gt;=$S124),$V124,$U124)))=Milestones!$AB$63),UPPER(TEXT(EDATE($D124,Milestones!$AA$63),"dd mmm yy"))&amp;" "&amp;Milestones!$AB$63&amp;" "&amp;Milestones!$AC$63&amp;";  ","")&amp;IF(AND(EDATE($D124,Milestones!$AA$64)&lt;=AsOfDate,IF($R124=0,$X124,IF(AND($T124&lt;&gt;"",EDATE($D124,Milestones!$AA$64)&gt;=$T124),$W124,IF(AND($S124&lt;&gt;"",EDATE($D124,Milestones!$AA$64)&gt;=$S124),$V124,$U124)))=Milestones!$AB$64),UPPER(TEXT(EDATE($D124,Milestones!$AA$64),"dd mmm yy"))&amp;" "&amp;Milestones!$AB$64&amp;" "&amp;Milestones!$AC$64&amp;";  ","")&amp;IF(AND(EDATE($D124,Milestones!$AA$65)&lt;=AsOfDate,IF($R124=0,$X124,IF(AND($T124&lt;&gt;"",EDATE($D124,Milestones!$AA$65)&gt;=$T124),$W124,IF(AND($S124&lt;&gt;"",EDATE($D124,Milestones!$AA$65)&gt;=$S124),$V124,$U124)))=Milestones!$AB$65),UPPER(TEXT(EDATE($D124,Milestones!$AA$65),"dd mmm yy"))&amp;" "&amp;Milestones!$AB$65&amp;" "&amp;Milestones!$AC$65&amp;";  ","")&amp;IF(AND(EDATE($D124,Milestones!$AA$66)&lt;=AsOfDate,IF($R124=0,$X124,IF(AND($T124&lt;&gt;"",EDATE($D124,Milestones!$AA$66)&gt;=$T124),$W124,IF(AND($S124&lt;&gt;"",EDATE($D124,Milestones!$AA$66)&gt;=$S124),$V124,$U124)))=Milestones!$AB$66),UPPER(TEXT(EDATE($D124,Milestones!$AA$66),"dd mmm yy"))&amp;" "&amp;Milestones!$AB$66&amp;" "&amp;Milestones!$AC$66&amp;";  ","")&amp;IF(AND(EDATE($D124,Milestones!$AA$67)&lt;=AsOfDate,IF($R124=0,$X124,IF(AND($T124&lt;&gt;"",EDATE($D124,Milestones!$AA$67)&gt;=$T124),$W124,IF(AND($S124&lt;&gt;"",EDATE($D124,Milestones!$AA$67)&gt;=$S124),$V124,$U124)))=Milestones!$AB$67),UPPER(TEXT(EDATE($D124,Milestones!$AA$67),"dd mmm yy"))&amp;" "&amp;Milestones!$AB$67&amp;" "&amp;Milestones!$AC$67&amp;";  ","")&amp;IF(AND(EDATE($D124,Milestones!$AA$68)&lt;=AsOfDate,IF($R124=0,$X124,IF(AND($T124&lt;&gt;"",EDATE($D124,Milestones!$AA$68)&gt;=$T124),$W124,IF(AND($S124&lt;&gt;"",EDATE($D124,Milestones!$AA$68)&gt;=$S124),$V124,$U124)))=Milestones!$AB$68),UPPER(TEXT(EDATE($D124,Milestones!$AA$68),"dd mmm yy"))&amp;" "&amp;Milestones!$AB$68&amp;" "&amp;Milestones!$AC$68&amp;";  ","")&amp;IF(AND(EDATE($D124,Milestones!$AA$69)&lt;=AsOfDate,IF($R124=0,$X124,IF(AND($T124&lt;&gt;"",EDATE($D124,Milestones!$AA$69)&gt;=$T124),$W124,IF(AND($S124&lt;&gt;"",EDATE($D124,Milestones!$AA$69)&gt;=$S124),$V124,$U124)))=Milestones!$AB$69),UPPER(TEXT(EDATE($D124,Milestones!$AA$69),"dd mmm yy"))&amp;" "&amp;Milestones!$AB$69&amp;" "&amp;Milestones!$AC$69&amp;";  ","")&amp;IF(AND(EDATE($D124,Milestones!$AA$70)&lt;=AsOfDate,IF($R124=0,$X124,IF(AND($T124&lt;&gt;"",EDATE($D124,Milestones!$AA$70)&gt;=$T124),$W124,IF(AND($S124&lt;&gt;"",EDATE($D124,Milestones!$AA$70)&gt;=$S124),$V124,$U124)))=Milestones!$AB$70),UPPER(TEXT(EDATE($D124,Milestones!$AA$70),"dd mmm yy"))&amp;" "&amp;Milestones!$AB$70&amp;" "&amp;Milestones!$AC$70&amp;";  ","")&amp;IF(AND(EDATE($D124,Milestones!$AA$71)&lt;=AsOfDate,IF($R124=0,$X124,IF(AND($T124&lt;&gt;"",EDATE($D124,Milestones!$AA$71)&gt;=$T124),$W124,IF(AND($S124&lt;&gt;"",EDATE($D124,Milestones!$AA$71)&gt;=$S124),$V124,$U124)))=Milestones!$AB$71),UPPER(TEXT(EDATE($D124,Milestones!$AA$71),"dd mmm yy"))&amp;" "&amp;Milestones!$AB$71&amp;" "&amp;Milestones!$AC$71&amp;";  ","")&amp;IF(AND(EDATE($D124,Milestones!$AA$72)&lt;=AsOfDate,IF($R124=0,$X124,IF(AND($T124&lt;&gt;"",EDATE($D124,Milestones!$AA$72)&gt;=$T124),$W124,IF(AND($S124&lt;&gt;"",EDATE($D124,Milestones!$AA$72)&gt;=$S124),$V124,$U124)))=Milestones!$AB$72),UPPER(TEXT(EDATE($D124,Milestones!$AA$72),"dd mmm yy"))&amp;" "&amp;Milestones!$AB$72&amp;" "&amp;Milestones!$AC$72&amp;";  ","")&amp;IF(AND(EDATE($D124,Milestones!$AA$73)&lt;=AsOfDate,IF($R124=0,$X124,IF(AND($T124&lt;&gt;"",EDATE($D124,Milestones!$AA$73)&gt;=$T124),$W124,IF(AND($S124&lt;&gt;"",EDATE($D124,Milestones!$AA$73)&gt;=$S124),$V124,$U124)))=Milestones!$AB$73),UPPER(TEXT(EDATE($D124,Milestones!$AA$73),"dd mmm yy"))&amp;" "&amp;Milestones!$AB$73&amp;" "&amp;Milestones!$AC$73&amp;";  ","")&amp;IF(AND(EDATE($D124,Milestones!$AA$74)&lt;=AsOfDate,IF($R124=0,$X124,IF(AND($T124&lt;&gt;"",EDATE($D124,Milestones!$AA$74)&gt;=$T124),$W124,IF(AND($S124&lt;&gt;"",EDATE($D124,Milestones!$AA$74)&gt;=$S124),$V124,$U124)))=Milestones!$AB$74),UPPER(TEXT(EDATE($D124,Milestones!$AA$74),"dd mmm yy"))&amp;" "&amp;Milestones!$AB$74&amp;" "&amp;Milestones!$AC$74&amp;";  ","")&amp;IF(AND(EDATE($D124,Milestones!$AA$75)&lt;=AsOfDate,IF($R124=0,$X124,IF(AND($T124&lt;&gt;"",EDATE($D124,Milestones!$AA$75)&gt;=$T124),$W124,IF(AND($S124&lt;&gt;"",EDATE($D124,Milestones!$AA$75)&gt;=$S124),$V124,$U124)))=Milestones!$AB$75),UPPER(TEXT(EDATE($D124,Milestones!$AA$75),"dd mmm yy"))&amp;" "&amp;Milestones!$AB$75&amp;" "&amp;Milestones!$AC$75&amp;";  ","")&amp;IF(AND(EDATE($D124,Milestones!$AA$76)&lt;=AsOfDate,IF($R124=0,$X124,IF(AND($T124&lt;&gt;"",EDATE($D124,Milestones!$AA$76)&gt;=$T124),$W124,IF(AND($S124&lt;&gt;"",EDATE($D124,Milestones!$AA$76)&gt;=$S124),$V124,$U124)))=Milestones!$AB$76),UPPER(TEXT(EDATE($D124,Milestones!$AA$76),"dd mmm yy"))&amp;" "&amp;Milestones!$AB$76&amp;" "&amp;Milestones!$AC$76&amp;";  ","")&amp;IF(AND(EDATE($D124,Milestones!$AA$77)&lt;=AsOfDate,IF($R124=0,$X124,IF(AND($T124&lt;&gt;"",EDATE($D124,Milestones!$AA$77)&gt;=$T124),$W124,IF(AND($S124&lt;&gt;"",EDATE($D124,Milestones!$AA$77)&gt;=$S124),$V124,$U124)))=Milestones!$AB$77),UPPER(TEXT(EDATE($D124,Milestones!$AA$77),"dd mmm yy"))&amp;" "&amp;Milestones!$AB$77&amp;" "&amp;Milestones!$AC$77&amp;";  ","")&amp;IF(AND(EDATE($D124,Milestones!$AA$78)&lt;=AsOfDate,IF($R124=0,$X124,IF(AND($T124&lt;&gt;"",EDATE($D124,Milestones!$AA$78)&gt;=$T124),$W124,IF(AND($S124&lt;&gt;"",EDATE($D124,Milestones!$AA$78)&gt;=$S124),$V124,$U124)))=Milestones!$AB$78),UPPER(TEXT(EDATE($D124,Milestones!$AA$78),"dd mmm yy"))&amp;" "&amp;Milestones!$AB$78&amp;" "&amp;Milestones!$AC$78&amp;";  ","")&amp;IF(AND(EDATE($D124,Milestones!$AA$79)&lt;=AsOfDate,IF($R124=0,$X124,IF(AND($T124&lt;&gt;"",EDATE($D124,Milestones!$AA$79)&gt;=$T124),$W124,IF(AND($S124&lt;&gt;"",EDATE($D124,Milestones!$AA$79)&gt;=$S124),$V124,$U124)))=Milestones!$AB$79),UPPER(TEXT(EDATE($D124,Milestones!$AA$79),"dd mmm yy"))&amp;" "&amp;Milestones!$AB$79&amp;" "&amp;Milestones!$AC$79&amp;";  ",""))</f>
        <v/>
      </c>
      <c r="L124" s="0" t="str">
        <f aca="false">IF(OR($A124="",$D124=""),"",IF(AND(EDATE($D124,Milestones!$AA$80)&lt;=AsOfDate,IF($R124=0,$X124,IF(AND($T124&lt;&gt;"",EDATE($D124,Milestones!$AA$80)&gt;=$T124),$W124,IF(AND($S124&lt;&gt;"",EDATE($D124,Milestones!$AA$80)&gt;=$S124),$V124,$U124)))=Milestones!$AB$80),UPPER(TEXT(EDATE($D124,Milestones!$AA$80),"dd mmm yy"))&amp;" "&amp;Milestones!$AB$80&amp;" "&amp;Milestones!$AC$80&amp;";  ","")&amp;IF(AND(EDATE($D124,Milestones!$AA$81)&lt;=AsOfDate,IF($R124=0,$X124,IF(AND($T124&lt;&gt;"",EDATE($D124,Milestones!$AA$81)&gt;=$T124),$W124,IF(AND($S124&lt;&gt;"",EDATE($D124,Milestones!$AA$81)&gt;=$S124),$V124,$U124)))=Milestones!$AB$81),UPPER(TEXT(EDATE($D124,Milestones!$AA$81),"dd mmm yy"))&amp;" "&amp;Milestones!$AB$81&amp;" "&amp;Milestones!$AC$81&amp;";  ","")&amp;IF(AND(EDATE($D124,Milestones!$AA$82)&lt;=AsOfDate,IF($R124=0,$X124,IF(AND($T124&lt;&gt;"",EDATE($D124,Milestones!$AA$82)&gt;=$T124),$W124,IF(AND($S124&lt;&gt;"",EDATE($D124,Milestones!$AA$82)&gt;=$S124),$V124,$U124)))=Milestones!$AB$82),UPPER(TEXT(EDATE($D124,Milestones!$AA$82),"dd mmm yy"))&amp;" "&amp;Milestones!$AB$82&amp;" "&amp;Milestones!$AC$82&amp;";  ","")&amp;IF(AND(EDATE($D124,Milestones!$AA$83)&lt;=AsOfDate,IF($R124=0,$X124,IF(AND($T124&lt;&gt;"",EDATE($D124,Milestones!$AA$83)&gt;=$T124),$W124,IF(AND($S124&lt;&gt;"",EDATE($D124,Milestones!$AA$83)&gt;=$S124),$V124,$U124)))=Milestones!$AB$83),UPPER(TEXT(EDATE($D124,Milestones!$AA$83),"dd mmm yy"))&amp;" "&amp;Milestones!$AB$83&amp;" "&amp;Milestones!$AC$83&amp;";  ","")&amp;IF(AND(EDATE($D124,Milestones!$AA$84)&lt;=AsOfDate,IF($R124=0,$X124,IF(AND($T124&lt;&gt;"",EDATE($D124,Milestones!$AA$84)&gt;=$T124),$W124,IF(AND($S124&lt;&gt;"",EDATE($D124,Milestones!$AA$84)&gt;=$S124),$V124,$U124)))=Milestones!$AB$84),UPPER(TEXT(EDATE($D124,Milestones!$AA$84),"dd mmm yy"))&amp;" "&amp;Milestones!$AB$84&amp;" "&amp;Milestones!$AC$84&amp;";  ","")&amp;IF(AND(EDATE($D124,Milestones!$AA$85)&lt;=AsOfDate,IF($R124=0,$X124,IF(AND($T124&lt;&gt;"",EDATE($D124,Milestones!$AA$85)&gt;=$T124),$W124,IF(AND($S124&lt;&gt;"",EDATE($D124,Milestones!$AA$85)&gt;=$S124),$V124,$U124)))=Milestones!$AB$85),UPPER(TEXT(EDATE($D124,Milestones!$AA$85),"dd mmm yy"))&amp;" "&amp;Milestones!$AB$85&amp;" "&amp;Milestones!$AC$85&amp;";  ","")&amp;IF(AND(EDATE($D124,Milestones!$AA$86)&lt;=AsOfDate,IF($R124=0,$X124,IF(AND($T124&lt;&gt;"",EDATE($D124,Milestones!$AA$86)&gt;=$T124),$W124,IF(AND($S124&lt;&gt;"",EDATE($D124,Milestones!$AA$86)&gt;=$S124),$V124,$U124)))=Milestones!$AB$86),UPPER(TEXT(EDATE($D124,Milestones!$AA$86),"dd mmm yy"))&amp;" "&amp;Milestones!$AB$86&amp;" "&amp;Milestones!$AC$86&amp;";  ","")&amp;IF(AND(EDATE($D124,Milestones!$AA$87)&lt;=AsOfDate,IF($R124=0,$X124,IF(AND($T124&lt;&gt;"",EDATE($D124,Milestones!$AA$87)&gt;=$T124),$W124,IF(AND($S124&lt;&gt;"",EDATE($D124,Milestones!$AA$87)&gt;=$S124),$V124,$U124)))=Milestones!$AB$87),UPPER(TEXT(EDATE($D124,Milestones!$AA$87),"dd mmm yy"))&amp;" "&amp;Milestones!$AB$87&amp;" "&amp;Milestones!$AC$87&amp;";  ","")&amp;IF(AND(EDATE($D124,Milestones!$AA$88)&lt;=AsOfDate,IF($R124=0,$X124,IF(AND($T124&lt;&gt;"",EDATE($D124,Milestones!$AA$88)&gt;=$T124),$W124,IF(AND($S124&lt;&gt;"",EDATE($D124,Milestones!$AA$88)&gt;=$S124),$V124,$U124)))=Milestones!$AB$88),UPPER(TEXT(EDATE($D124,Milestones!$AA$88),"dd mmm yy"))&amp;" "&amp;Milestones!$AB$88&amp;" "&amp;Milestones!$AC$88&amp;";  ","")&amp;IF(AND(EDATE($D124,Milestones!$AA$89)&lt;=AsOfDate,IF($R124=0,$X124,IF(AND($T124&lt;&gt;"",EDATE($D124,Milestones!$AA$89)&gt;=$T124),$W124,IF(AND($S124&lt;&gt;"",EDATE($D124,Milestones!$AA$89)&gt;=$S124),$V124,$U124)))=Milestones!$AB$89),UPPER(TEXT(EDATE($D124,Milestones!$AA$89),"dd mmm yy"))&amp;" "&amp;Milestones!$AB$89&amp;" "&amp;Milestones!$AC$89&amp;";  ","")&amp;IF(AND(EDATE($D124,Milestones!$AA$90)&lt;=AsOfDate,IF($R124=0,$X124,IF(AND($T124&lt;&gt;"",EDATE($D124,Milestones!$AA$90)&gt;=$T124),$W124,IF(AND($S124&lt;&gt;"",EDATE($D124,Milestones!$AA$90)&gt;=$S124),$V124,$U124)))=Milestones!$AB$90),UPPER(TEXT(EDATE($D124,Milestones!$AA$90),"dd mmm yy"))&amp;" "&amp;Milestones!$AB$90&amp;" "&amp;Milestones!$AC$90&amp;";  ","")&amp;IF(AND(EDATE($D124,Milestones!$AA$91)&lt;=AsOfDate,IF($R124=0,$X124,IF(AND($T124&lt;&gt;"",EDATE($D124,Milestones!$AA$91)&gt;=$T124),$W124,IF(AND($S124&lt;&gt;"",EDATE($D124,Milestones!$AA$91)&gt;=$S124),$V124,$U124)))=Milestones!$AB$91),UPPER(TEXT(EDATE($D124,Milestones!$AA$91),"dd mmm yy"))&amp;" "&amp;Milestones!$AB$91&amp;" "&amp;Milestones!$AC$91&amp;";  ","")&amp;IF(AND(EDATE($D124,Milestones!$AA$92)&lt;=AsOfDate,IF($R124=0,$X124,IF(AND($T124&lt;&gt;"",EDATE($D124,Milestones!$AA$92)&gt;=$T124),$W124,IF(AND($S124&lt;&gt;"",EDATE($D124,Milestones!$AA$92)&gt;=$S124),$V124,$U124)))=Milestones!$AB$92),UPPER(TEXT(EDATE($D124,Milestones!$AA$92),"dd mmm yy"))&amp;" "&amp;Milestones!$AB$92&amp;" "&amp;Milestones!$AC$92&amp;";  ","")&amp;IF(AND(EDATE($D124,Milestones!$AA$93)&lt;=AsOfDate,IF($R124=0,$X124,IF(AND($T124&lt;&gt;"",EDATE($D124,Milestones!$AA$93)&gt;=$T124),$W124,IF(AND($S124&lt;&gt;"",EDATE($D124,Milestones!$AA$93)&gt;=$S124),$V124,$U124)))=Milestones!$AB$93),UPPER(TEXT(EDATE($D124,Milestones!$AA$93),"dd mmm yy"))&amp;" "&amp;Milestones!$AB$93&amp;" "&amp;Milestones!$AC$93&amp;";  ","")&amp;IF(AND(EDATE($D124,Milestones!$AA$94)&lt;=AsOfDate,IF($R124=0,$X124,IF(AND($T124&lt;&gt;"",EDATE($D124,Milestones!$AA$94)&gt;=$T124),$W124,IF(AND($S124&lt;&gt;"",EDATE($D124,Milestones!$AA$94)&gt;=$S124),$V124,$U124)))=Milestones!$AB$94),UPPER(TEXT(EDATE($D124,Milestones!$AA$94),"dd mmm yy"))&amp;" "&amp;Milestones!$AB$94&amp;" "&amp;Milestones!$AC$94&amp;";  ","")&amp;IF(AND(EDATE($D124,Milestones!$AA$95)&lt;=AsOfDate,IF($R124=0,$X124,IF(AND($T124&lt;&gt;"",EDATE($D124,Milestones!$AA$95)&gt;=$T124),$W124,IF(AND($S124&lt;&gt;"",EDATE($D124,Milestones!$AA$95)&gt;=$S124),$V124,$U124)))=Milestones!$AB$95),UPPER(TEXT(EDATE($D124,Milestones!$AA$95),"dd mmm yy"))&amp;" "&amp;Milestones!$AB$95&amp;" "&amp;Milestones!$AC$95&amp;";  ","")&amp;IF(AND(EDATE($D124,Milestones!$AA$96)&lt;=AsOfDate,IF($R124=0,$X124,IF(AND($T124&lt;&gt;"",EDATE($D124,Milestones!$AA$96)&gt;=$T124),$W124,IF(AND($S124&lt;&gt;"",EDATE($D124,Milestones!$AA$96)&gt;=$S124),$V124,$U124)))=Milestones!$AB$96),UPPER(TEXT(EDATE($D124,Milestones!$AA$96),"dd mmm yy"))&amp;" "&amp;Milestones!$AB$96&amp;" "&amp;Milestones!$AC$96&amp;";  ","")&amp;IF(AND(EDATE($D124,Milestones!$AA$97)&lt;=AsOfDate,IF($R124=0,$X124,IF(AND($T124&lt;&gt;"",EDATE($D124,Milestones!$AA$97)&gt;=$T124),$W124,IF(AND($S124&lt;&gt;"",EDATE($D124,Milestones!$AA$97)&gt;=$S124),$V124,$U124)))=Milestones!$AB$97),UPPER(TEXT(EDATE($D124,Milestones!$AA$97),"dd mmm yy"))&amp;" "&amp;Milestones!$AB$97&amp;" "&amp;Milestones!$AC$97&amp;";  ","")&amp;IF(AND(EDATE($D124,Milestones!$AA$98)&lt;=AsOfDate,IF($R124=0,$X124,IF(AND($T124&lt;&gt;"",EDATE($D124,Milestones!$AA$98)&gt;=$T124),$W124,IF(AND($S124&lt;&gt;"",EDATE($D124,Milestones!$AA$98)&gt;=$S124),$V124,$U124)))=Milestones!$AB$98),UPPER(TEXT(EDATE($D124,Milestones!$AA$98),"dd mmm yy"))&amp;" "&amp;Milestones!$AB$98&amp;" "&amp;Milestones!$AC$98&amp;";  ","")&amp;IF(AND(EDATE($D124,Milestones!$AA$99)&lt;=AsOfDate,IF($R124=0,$X124,IF(AND($T124&lt;&gt;"",EDATE($D124,Milestones!$AA$99)&gt;=$T124),$W124,IF(AND($S124&lt;&gt;"",EDATE($D124,Milestones!$AA$99)&gt;=$S124),$V124,$U124)))=Milestones!$AB$99),UPPER(TEXT(EDATE($D124,Milestones!$AA$99),"dd mmm yy"))&amp;" "&amp;Milestones!$AB$99&amp;" "&amp;Milestones!$AC$99&amp;";  ",""))</f>
        <v/>
      </c>
      <c r="M124" s="0" t="str">
        <f aca="false">IF(OR($A124="",$D124=""),"",IF(AND(EDATE($D124,Milestones!$AA$100)&lt;=AsOfDate,IF($R124=0,$X124,IF(AND($T124&lt;&gt;"",EDATE($D124,Milestones!$AA$100)&gt;=$T124),$W124,IF(AND($S124&lt;&gt;"",EDATE($D124,Milestones!$AA$100)&gt;=$S124),$V124,$U124)))=Milestones!$AB$100),UPPER(TEXT(EDATE($D124,Milestones!$AA$100),"dd mmm yy"))&amp;" "&amp;Milestones!$AB$100&amp;" "&amp;Milestones!$AC$100&amp;";  ","")&amp;IF(AND(EDATE($D124,Milestones!$AA$101)&lt;=AsOfDate,IF($R124=0,$X124,IF(AND($T124&lt;&gt;"",EDATE($D124,Milestones!$AA$101)&gt;=$T124),$W124,IF(AND($S124&lt;&gt;"",EDATE($D124,Milestones!$AA$101)&gt;=$S124),$V124,$U124)))=Milestones!$AB$101),UPPER(TEXT(EDATE($D124,Milestones!$AA$101),"dd mmm yy"))&amp;" "&amp;Milestones!$AB$101&amp;" "&amp;Milestones!$AC$101&amp;";  ","")&amp;IF(AND(EDATE($D124,Milestones!$AA$102)&lt;=AsOfDate,IF($R124=0,$X124,IF(AND($T124&lt;&gt;"",EDATE($D124,Milestones!$AA$102)&gt;=$T124),$W124,IF(AND($S124&lt;&gt;"",EDATE($D124,Milestones!$AA$102)&gt;=$S124),$V124,$U124)))=Milestones!$AB$102),UPPER(TEXT(EDATE($D124,Milestones!$AA$102),"dd mmm yy"))&amp;" "&amp;Milestones!$AB$102&amp;" "&amp;Milestones!$AC$102&amp;";  ","")&amp;IF(AND(EDATE($D124,Milestones!$AA$103)&lt;=AsOfDate,IF($R124=0,$X124,IF(AND($T124&lt;&gt;"",EDATE($D124,Milestones!$AA$103)&gt;=$T124),$W124,IF(AND($S124&lt;&gt;"",EDATE($D124,Milestones!$AA$103)&gt;=$S124),$V124,$U124)))=Milestones!$AB$103),UPPER(TEXT(EDATE($D124,Milestones!$AA$103),"dd mmm yy"))&amp;" "&amp;Milestones!$AB$103&amp;" "&amp;Milestones!$AC$103&amp;";  ","")&amp;IF(AND(EDATE($D124,Milestones!$AA$104)&lt;=AsOfDate,IF($R124=0,$X124,IF(AND($T124&lt;&gt;"",EDATE($D124,Milestones!$AA$104)&gt;=$T124),$W124,IF(AND($S124&lt;&gt;"",EDATE($D124,Milestones!$AA$104)&gt;=$S124),$V124,$U124)))=Milestones!$AB$104),UPPER(TEXT(EDATE($D124,Milestones!$AA$104),"dd mmm yy"))&amp;" "&amp;Milestones!$AB$104&amp;" "&amp;Milestones!$AC$104&amp;";  ","")&amp;IF(AND(EDATE($D124,Milestones!$AA$105)&lt;=AsOfDate,IF($R124=0,$X124,IF(AND($T124&lt;&gt;"",EDATE($D124,Milestones!$AA$105)&gt;=$T124),$W124,IF(AND($S124&lt;&gt;"",EDATE($D124,Milestones!$AA$105)&gt;=$S124),$V124,$U124)))=Milestones!$AB$105),UPPER(TEXT(EDATE($D124,Milestones!$AA$105),"dd mmm yy"))&amp;" "&amp;Milestones!$AB$105&amp;" "&amp;Milestones!$AC$105&amp;";  ","")&amp;IF(AND(EDATE($D124,Milestones!$AA$106)&lt;=AsOfDate,IF($R124=0,$X124,IF(AND($T124&lt;&gt;"",EDATE($D124,Milestones!$AA$106)&gt;=$T124),$W124,IF(AND($S124&lt;&gt;"",EDATE($D124,Milestones!$AA$106)&gt;=$S124),$V124,$U124)))=Milestones!$AB$106),UPPER(TEXT(EDATE($D124,Milestones!$AA$106),"dd mmm yy"))&amp;" "&amp;Milestones!$AB$106&amp;" "&amp;Milestones!$AC$106&amp;";  ","")&amp;IF(AND(EDATE($D124,Milestones!$AA$107)&lt;=AsOfDate,IF($R124=0,$X124,IF(AND($T124&lt;&gt;"",EDATE($D124,Milestones!$AA$107)&gt;=$T124),$W124,IF(AND($S124&lt;&gt;"",EDATE($D124,Milestones!$AA$107)&gt;=$S124),$V124,$U124)))=Milestones!$AB$107),UPPER(TEXT(EDATE($D124,Milestones!$AA$107),"dd mmm yy"))&amp;" "&amp;Milestones!$AB$107&amp;" "&amp;Milestones!$AC$107&amp;";  ","")&amp;IF(AND(EDATE($D124,Milestones!$AA$108)&lt;=AsOfDate,IF($R124=0,$X124,IF(AND($T124&lt;&gt;"",EDATE($D124,Milestones!$AA$108)&gt;=$T124),$W124,IF(AND($S124&lt;&gt;"",EDATE($D124,Milestones!$AA$108)&gt;=$S124),$V124,$U124)))=Milestones!$AB$108),UPPER(TEXT(EDATE($D124,Milestones!$AA$108),"dd mmm yy"))&amp;" "&amp;Milestones!$AB$108&amp;" "&amp;Milestones!$AC$108&amp;";  ","")&amp;IF(AND(EDATE($D124,Milestones!$AA$109)&lt;=AsOfDate,IF($R124=0,$X124,IF(AND($T124&lt;&gt;"",EDATE($D124,Milestones!$AA$109)&gt;=$T124),$W124,IF(AND($S124&lt;&gt;"",EDATE($D124,Milestones!$AA$109)&gt;=$S124),$V124,$U124)))=Milestones!$AB$109),UPPER(TEXT(EDATE($D124,Milestones!$AA$109),"dd mmm yy"))&amp;" "&amp;Milestones!$AB$109&amp;" "&amp;Milestones!$AC$109&amp;";  ","")&amp;IF(AND(EDATE($D124,Milestones!$AA$110)&lt;=AsOfDate,IF($R124=0,$X124,IF(AND($T124&lt;&gt;"",EDATE($D124,Milestones!$AA$110)&gt;=$T124),$W124,IF(AND($S124&lt;&gt;"",EDATE($D124,Milestones!$AA$110)&gt;=$S124),$V124,$U124)))=Milestones!$AB$110),UPPER(TEXT(EDATE($D124,Milestones!$AA$110),"dd mmm yy"))&amp;" "&amp;Milestones!$AB$110&amp;" "&amp;Milestones!$AC$110&amp;";  ","")&amp;IF(AND(EDATE($D124,Milestones!$AA$111)&lt;=AsOfDate,IF($R124=0,$X124,IF(AND($T124&lt;&gt;"",EDATE($D124,Milestones!$AA$111)&gt;=$T124),$W124,IF(AND($S124&lt;&gt;"",EDATE($D124,Milestones!$AA$111)&gt;=$S124),$V124,$U124)))=Milestones!$AB$111),UPPER(TEXT(EDATE($D124,Milestones!$AA$111),"dd mmm yy"))&amp;" "&amp;Milestones!$AB$111&amp;" "&amp;Milestones!$AC$111&amp;";  ","")&amp;IF(AND(EDATE($D124,Milestones!$AA$112)&lt;=AsOfDate,IF($R124=0,$X124,IF(AND($T124&lt;&gt;"",EDATE($D124,Milestones!$AA$112)&gt;=$T124),$W124,IF(AND($S124&lt;&gt;"",EDATE($D124,Milestones!$AA$112)&gt;=$S124),$V124,$U124)))=Milestones!$AB$112),UPPER(TEXT(EDATE($D124,Milestones!$AA$112),"dd mmm yy"))&amp;" "&amp;Milestones!$AB$112&amp;" "&amp;Milestones!$AC$112&amp;";  ","")&amp;IF(AND(EDATE($D124,Milestones!$AA$113)&lt;=AsOfDate,IF($R124=0,$X124,IF(AND($T124&lt;&gt;"",EDATE($D124,Milestones!$AA$113)&gt;=$T124),$W124,IF(AND($S124&lt;&gt;"",EDATE($D124,Milestones!$AA$113)&gt;=$S124),$V124,$U124)))=Milestones!$AB$113),UPPER(TEXT(EDATE($D124,Milestones!$AA$113),"dd mmm yy"))&amp;" "&amp;Milestones!$AB$113&amp;" "&amp;Milestones!$AC$113&amp;";  ","")&amp;IF(AND(EDATE($D124,Milestones!$AA$114)&lt;=AsOfDate,IF($R124=0,$X124,IF(AND($T124&lt;&gt;"",EDATE($D124,Milestones!$AA$114)&gt;=$T124),$W124,IF(AND($S124&lt;&gt;"",EDATE($D124,Milestones!$AA$114)&gt;=$S124),$V124,$U124)))=Milestones!$AB$114),UPPER(TEXT(EDATE($D124,Milestones!$AA$114),"dd mmm yy"))&amp;" "&amp;Milestones!$AB$114&amp;" "&amp;Milestones!$AC$114&amp;";  ","")&amp;IF(AND(EDATE($D124,Milestones!$AA$115)&lt;=AsOfDate,IF($R124=0,$X124,IF(AND($T124&lt;&gt;"",EDATE($D124,Milestones!$AA$115)&gt;=$T124),$W124,IF(AND($S124&lt;&gt;"",EDATE($D124,Milestones!$AA$115)&gt;=$S124),$V124,$U124)))=Milestones!$AB$115),UPPER(TEXT(EDATE($D124,Milestones!$AA$115),"dd mmm yy"))&amp;" "&amp;Milestones!$AB$115&amp;" "&amp;Milestones!$AC$115&amp;";  ","")&amp;IF(AND(EDATE($D124,Milestones!$AA$116)&lt;=AsOfDate,IF($R124=0,$X124,IF(AND($T124&lt;&gt;"",EDATE($D124,Milestones!$AA$116)&gt;=$T124),$W124,IF(AND($S124&lt;&gt;"",EDATE($D124,Milestones!$AA$116)&gt;=$S124),$V124,$U124)))=Milestones!$AB$116),UPPER(TEXT(EDATE($D124,Milestones!$AA$116),"dd mmm yy"))&amp;" "&amp;Milestones!$AB$116&amp;" "&amp;Milestones!$AC$116&amp;";  ","")&amp;IF(AND(EDATE($D124,Milestones!$AA$117)&lt;=AsOfDate,IF($R124=0,$X124,IF(AND($T124&lt;&gt;"",EDATE($D124,Milestones!$AA$117)&gt;=$T124),$W124,IF(AND($S124&lt;&gt;"",EDATE($D124,Milestones!$AA$117)&gt;=$S124),$V124,$U124)))=Milestones!$AB$117),UPPER(TEXT(EDATE($D124,Milestones!$AA$117),"dd mmm yy"))&amp;" "&amp;Milestones!$AB$117&amp;" "&amp;Milestones!$AC$117&amp;";  ","")&amp;IF(AND(EDATE($D124,Milestones!$AA$118)&lt;=AsOfDate,IF($R124=0,$X124,IF(AND($T124&lt;&gt;"",EDATE($D124,Milestones!$AA$118)&gt;=$T124),$W124,IF(AND($S124&lt;&gt;"",EDATE($D124,Milestones!$AA$118)&gt;=$S124),$V124,$U124)))=Milestones!$AB$118),UPPER(TEXT(EDATE($D124,Milestones!$AA$118),"dd mmm yy"))&amp;" "&amp;Milestones!$AB$118&amp;" "&amp;Milestones!$AC$118&amp;";  ","")&amp;IF(AND(EDATE($D124,Milestones!$AA$119)&lt;=AsOfDate,IF($R124=0,$X124,IF(AND($T124&lt;&gt;"",EDATE($D124,Milestones!$AA$119)&gt;=$T124),$W124,IF(AND($S124&lt;&gt;"",EDATE($D124,Milestones!$AA$119)&gt;=$S124),$V124,$U124)))=Milestones!$AB$119),UPPER(TEXT(EDATE($D124,Milestones!$AA$119),"dd mmm yy"))&amp;" "&amp;Milestones!$AB$119&amp;" "&amp;Milestones!$AC$119&amp;";  ",""))</f>
        <v/>
      </c>
      <c r="N124" s="0" t="str">
        <f aca="false">IF(OR($A124="",$D124=""),"",IF(AND(EDATE($D124,Milestones!$AA$120)&lt;=AsOfDate,IF($R124=0,$X124,IF(AND($T124&lt;&gt;"",EDATE($D124,Milestones!$AA$120)&gt;=$T124),$W124,IF(AND($S124&lt;&gt;"",EDATE($D124,Milestones!$AA$120)&gt;=$S124),$V124,$U124)))=Milestones!$AB$120),UPPER(TEXT(EDATE($D124,Milestones!$AA$120),"dd mmm yy"))&amp;" "&amp;Milestones!$AB$120&amp;" "&amp;Milestones!$AC$120&amp;";  ","")&amp;IF(AND(EDATE($D124,Milestones!$AA$121)&lt;=AsOfDate,IF($R124=0,$X124,IF(AND($T124&lt;&gt;"",EDATE($D124,Milestones!$AA$121)&gt;=$T124),$W124,IF(AND($S124&lt;&gt;"",EDATE($D124,Milestones!$AA$121)&gt;=$S124),$V124,$U124)))=Milestones!$AB$121),UPPER(TEXT(EDATE($D124,Milestones!$AA$121),"dd mmm yy"))&amp;" "&amp;Milestones!$AB$121&amp;" "&amp;Milestones!$AC$121&amp;";  ","")&amp;IF(AND(EDATE($D124,Milestones!$AA$122)&lt;=AsOfDate,IF($R124=0,$X124,IF(AND($T124&lt;&gt;"",EDATE($D124,Milestones!$AA$122)&gt;=$T124),$W124,IF(AND($S124&lt;&gt;"",EDATE($D124,Milestones!$AA$122)&gt;=$S124),$V124,$U124)))=Milestones!$AB$122),UPPER(TEXT(EDATE($D124,Milestones!$AA$122),"dd mmm yy"))&amp;" "&amp;Milestones!$AB$122&amp;" "&amp;Milestones!$AC$122&amp;";  ","")&amp;IF(AND(EDATE($D124,Milestones!$AA$123)&lt;=AsOfDate,IF($R124=0,$X124,IF(AND($T124&lt;&gt;"",EDATE($D124,Milestones!$AA$123)&gt;=$T124),$W124,IF(AND($S124&lt;&gt;"",EDATE($D124,Milestones!$AA$123)&gt;=$S124),$V124,$U124)))=Milestones!$AB$123),UPPER(TEXT(EDATE($D124,Milestones!$AA$123),"dd mmm yy"))&amp;" "&amp;Milestones!$AB$123&amp;" "&amp;Milestones!$AC$123&amp;";  ","")&amp;IF(AND(EDATE($D124,Milestones!$AA$124)&lt;=AsOfDate,IF($R124=0,$X124,IF(AND($T124&lt;&gt;"",EDATE($D124,Milestones!$AA$124)&gt;=$T124),$W124,IF(AND($S124&lt;&gt;"",EDATE($D124,Milestones!$AA$124)&gt;=$S124),$V124,$U124)))=Milestones!$AB$124),UPPER(TEXT(EDATE($D124,Milestones!$AA$124),"dd mmm yy"))&amp;" "&amp;Milestones!$AB$124&amp;" "&amp;Milestones!$AC$124&amp;";  ","")&amp;IF(AND(EDATE($D124,Milestones!$AA$125)&lt;=AsOfDate,IF($R124=0,$X124,IF(AND($T124&lt;&gt;"",EDATE($D124,Milestones!$AA$125)&gt;=$T124),$W124,IF(AND($S124&lt;&gt;"",EDATE($D124,Milestones!$AA$125)&gt;=$S124),$V124,$U124)))=Milestones!$AB$125),UPPER(TEXT(EDATE($D124,Milestones!$AA$125),"dd mmm yy"))&amp;" "&amp;Milestones!$AB$125&amp;" "&amp;Milestones!$AC$125&amp;";  ","")&amp;IF(AND(EDATE($D124,Milestones!$AA$126)&lt;=AsOfDate,IF($R124=0,$X124,IF(AND($T124&lt;&gt;"",EDATE($D124,Milestones!$AA$126)&gt;=$T124),$W124,IF(AND($S124&lt;&gt;"",EDATE($D124,Milestones!$AA$126)&gt;=$S124),$V124,$U124)))=Milestones!$AB$126),UPPER(TEXT(EDATE($D124,Milestones!$AA$126),"dd mmm yy"))&amp;" "&amp;Milestones!$AB$126&amp;" "&amp;Milestones!$AC$126&amp;";  ","")&amp;IF(AND(EDATE($D124,Milestones!$AA$127)&lt;=AsOfDate,IF($R124=0,$X124,IF(AND($T124&lt;&gt;"",EDATE($D124,Milestones!$AA$127)&gt;=$T124),$W124,IF(AND($S124&lt;&gt;"",EDATE($D124,Milestones!$AA$127)&gt;=$S124),$V124,$U124)))=Milestones!$AB$127),UPPER(TEXT(EDATE($D124,Milestones!$AA$127),"dd mmm yy"))&amp;" "&amp;Milestones!$AB$127&amp;" "&amp;Milestones!$AC$127&amp;";  ","")&amp;IF(AND(EDATE($D124,Milestones!$AA$128)&lt;=AsOfDate,IF($R124=0,$X124,IF(AND($T124&lt;&gt;"",EDATE($D124,Milestones!$AA$128)&gt;=$T124),$W124,IF(AND($S124&lt;&gt;"",EDATE($D124,Milestones!$AA$128)&gt;=$S124),$V124,$U124)))=Milestones!$AB$128),UPPER(TEXT(EDATE($D124,Milestones!$AA$128),"dd mmm yy"))&amp;" "&amp;Milestones!$AB$128&amp;" "&amp;Milestones!$AC$128&amp;";  ","")&amp;IF(AND(EDATE($D124,Milestones!$AA$129)&lt;=AsOfDate,IF($R124=0,$X124,IF(AND($T124&lt;&gt;"",EDATE($D124,Milestones!$AA$129)&gt;=$T124),$W124,IF(AND($S124&lt;&gt;"",EDATE($D124,Milestones!$AA$129)&gt;=$S124),$V124,$U124)))=Milestones!$AB$129),UPPER(TEXT(EDATE($D124,Milestones!$AA$129),"dd mmm yy"))&amp;" "&amp;Milestones!$AB$129&amp;" "&amp;Milestones!$AC$129&amp;";  ","")&amp;IF(AND(EDATE($D124,Milestones!$AA$130)&lt;=AsOfDate,IF($R124=0,$X124,IF(AND($T124&lt;&gt;"",EDATE($D124,Milestones!$AA$130)&gt;=$T124),$W124,IF(AND($S124&lt;&gt;"",EDATE($D124,Milestones!$AA$130)&gt;=$S124),$V124,$U124)))=Milestones!$AB$130),UPPER(TEXT(EDATE($D124,Milestones!$AA$130),"dd mmm yy"))&amp;" "&amp;Milestones!$AB$130&amp;" "&amp;Milestones!$AC$130&amp;";  ","")&amp;IF(AND(EDATE($D124,Milestones!$AA$131)&lt;=AsOfDate,IF($R124=0,$X124,IF(AND($T124&lt;&gt;"",EDATE($D124,Milestones!$AA$131)&gt;=$T124),$W124,IF(AND($S124&lt;&gt;"",EDATE($D124,Milestones!$AA$131)&gt;=$S124),$V124,$U124)))=Milestones!$AB$131),UPPER(TEXT(EDATE($D124,Milestones!$AA$131),"dd mmm yy"))&amp;" "&amp;Milestones!$AB$131&amp;" "&amp;Milestones!$AC$131&amp;";  ","")&amp;IF(AND(EDATE($D124,Milestones!$AA$132)&lt;=AsOfDate,IF($R124=0,$X124,IF(AND($T124&lt;&gt;"",EDATE($D124,Milestones!$AA$132)&gt;=$T124),$W124,IF(AND($S124&lt;&gt;"",EDATE($D124,Milestones!$AA$132)&gt;=$S124),$V124,$U124)))=Milestones!$AB$132),UPPER(TEXT(EDATE($D124,Milestones!$AA$132),"dd mmm yy"))&amp;" "&amp;Milestones!$AB$132&amp;" "&amp;Milestones!$AC$132&amp;";  ","")&amp;IF(AND(EDATE($D124,Milestones!$AA$133)&lt;=AsOfDate,IF($R124=0,$X124,IF(AND($T124&lt;&gt;"",EDATE($D124,Milestones!$AA$133)&gt;=$T124),$W124,IF(AND($S124&lt;&gt;"",EDATE($D124,Milestones!$AA$133)&gt;=$S124),$V124,$U124)))=Milestones!$AB$133),UPPER(TEXT(EDATE($D124,Milestones!$AA$133),"dd mmm yy"))&amp;" "&amp;Milestones!$AB$133&amp;" "&amp;Milestones!$AC$133&amp;";  ","")&amp;IF(AND(EDATE($D124,Milestones!$AA$134)&lt;=AsOfDate,IF($R124=0,$X124,IF(AND($T124&lt;&gt;"",EDATE($D124,Milestones!$AA$134)&gt;=$T124),$W124,IF(AND($S124&lt;&gt;"",EDATE($D124,Milestones!$AA$134)&gt;=$S124),$V124,$U124)))=Milestones!$AB$134),UPPER(TEXT(EDATE($D124,Milestones!$AA$134),"dd mmm yy"))&amp;" "&amp;Milestones!$AB$134&amp;" "&amp;Milestones!$AC$134&amp;";  ","")&amp;IF(AND(EDATE($D124,Milestones!$AA$135)&lt;=AsOfDate,IF($R124=0,$X124,IF(AND($T124&lt;&gt;"",EDATE($D124,Milestones!$AA$135)&gt;=$T124),$W124,IF(AND($S124&lt;&gt;"",EDATE($D124,Milestones!$AA$135)&gt;=$S124),$V124,$U124)))=Milestones!$AB$135),UPPER(TEXT(EDATE($D124,Milestones!$AA$135),"dd mmm yy"))&amp;" "&amp;Milestones!$AB$135&amp;" "&amp;Milestones!$AC$135&amp;";  ","")&amp;IF(AND(EDATE($D124,Milestones!$AA$136)&lt;=AsOfDate,IF($R124=0,$X124,IF(AND($T124&lt;&gt;"",EDATE($D124,Milestones!$AA$136)&gt;=$T124),$W124,IF(AND($S124&lt;&gt;"",EDATE($D124,Milestones!$AA$136)&gt;=$S124),$V124,$U124)))=Milestones!$AB$136),UPPER(TEXT(EDATE($D124,Milestones!$AA$136),"dd mmm yy"))&amp;" "&amp;Milestones!$AB$136&amp;" "&amp;Milestones!$AC$136&amp;";  ","")&amp;IF(AND(EDATE($D124,Milestones!$AA$137)&lt;=AsOfDate,IF($R124=0,$X124,IF(AND($T124&lt;&gt;"",EDATE($D124,Milestones!$AA$137)&gt;=$T124),$W124,IF(AND($S124&lt;&gt;"",EDATE($D124,Milestones!$AA$137)&gt;=$S124),$V124,$U124)))=Milestones!$AB$137),UPPER(TEXT(EDATE($D124,Milestones!$AA$137),"dd mmm yy"))&amp;" "&amp;Milestones!$AB$137&amp;" "&amp;Milestones!$AC$137&amp;";  ","")&amp;IF(AND(EDATE($D124,Milestones!$AA$138)&lt;=AsOfDate,IF($R124=0,$X124,IF(AND($T124&lt;&gt;"",EDATE($D124,Milestones!$AA$138)&gt;=$T124),$W124,IF(AND($S124&lt;&gt;"",EDATE($D124,Milestones!$AA$138)&gt;=$S124),$V124,$U124)))=Milestones!$AB$138),UPPER(TEXT(EDATE($D124,Milestones!$AA$138),"dd mmm yy"))&amp;" "&amp;Milestones!$AB$138&amp;" "&amp;Milestones!$AC$138&amp;";  ","")&amp;IF(AND(EDATE($D124,Milestones!$AA$139)&lt;=AsOfDate,IF($R124=0,$X124,IF(AND($T124&lt;&gt;"",EDATE($D124,Milestones!$AA$139)&gt;=$T124),$W124,IF(AND($S124&lt;&gt;"",EDATE($D124,Milestones!$AA$139)&gt;=$S124),$V124,$U124)))=Milestones!$AB$139),UPPER(TEXT(EDATE($D124,Milestones!$AA$139),"dd mmm yy"))&amp;" "&amp;Milestones!$AB$139&amp;" "&amp;Milestones!$AC$139&amp;";  ",""))</f>
        <v/>
      </c>
      <c r="O124" s="0" t="str">
        <f aca="false">IF(OR($A124="",$D124=""),"",IF(AND(EDATE($D124,Milestones!$AA$140)&lt;=AsOfDate,IF($R124=0,$X124,IF(AND($T124&lt;&gt;"",EDATE($D124,Milestones!$AA$140)&gt;=$T124),$W124,IF(AND($S124&lt;&gt;"",EDATE($D124,Milestones!$AA$140)&gt;=$S124),$V124,$U124)))=Milestones!$AB$140),UPPER(TEXT(EDATE($D124,Milestones!$AA$140),"dd mmm yy"))&amp;" "&amp;Milestones!$AB$140&amp;" "&amp;Milestones!$AC$140&amp;";  ","")&amp;IF(AND(EDATE($D124,Milestones!$AA$141)&lt;=AsOfDate,IF($R124=0,$X124,IF(AND($T124&lt;&gt;"",EDATE($D124,Milestones!$AA$141)&gt;=$T124),$W124,IF(AND($S124&lt;&gt;"",EDATE($D124,Milestones!$AA$141)&gt;=$S124),$V124,$U124)))=Milestones!$AB$141),UPPER(TEXT(EDATE($D124,Milestones!$AA$141),"dd mmm yy"))&amp;" "&amp;Milestones!$AB$141&amp;" "&amp;Milestones!$AC$141&amp;";  ","")&amp;IF(AND(EDATE($D124,Milestones!$AA$142)&lt;=AsOfDate,IF($R124=0,$X124,IF(AND($T124&lt;&gt;"",EDATE($D124,Milestones!$AA$142)&gt;=$T124),$W124,IF(AND($S124&lt;&gt;"",EDATE($D124,Milestones!$AA$142)&gt;=$S124),$V124,$U124)))=Milestones!$AB$142),UPPER(TEXT(EDATE($D124,Milestones!$AA$142),"dd mmm yy"))&amp;" "&amp;Milestones!$AB$142&amp;" "&amp;Milestones!$AC$142&amp;";  ","")&amp;IF(AND(EDATE($D124,Milestones!$AA$143)&lt;=AsOfDate,IF($R124=0,$X124,IF(AND($T124&lt;&gt;"",EDATE($D124,Milestones!$AA$143)&gt;=$T124),$W124,IF(AND($S124&lt;&gt;"",EDATE($D124,Milestones!$AA$143)&gt;=$S124),$V124,$U124)))=Milestones!$AB$143),UPPER(TEXT(EDATE($D124,Milestones!$AA$143),"dd mmm yy"))&amp;" "&amp;Milestones!$AB$143&amp;" "&amp;Milestones!$AC$143&amp;";  ","")&amp;IF(AND(EDATE($D124,Milestones!$AA$144)&lt;=AsOfDate,IF($R124=0,$X124,IF(AND($T124&lt;&gt;"",EDATE($D124,Milestones!$AA$144)&gt;=$T124),$W124,IF(AND($S124&lt;&gt;"",EDATE($D124,Milestones!$AA$144)&gt;=$S124),$V124,$U124)))=Milestones!$AB$144),UPPER(TEXT(EDATE($D124,Milestones!$AA$144),"dd mmm yy"))&amp;" "&amp;Milestones!$AB$144&amp;" "&amp;Milestones!$AC$144&amp;";  ","")&amp;IF(AND(EDATE($D124,Milestones!$AA$145)&lt;=AsOfDate,IF($R124=0,$X124,IF(AND($T124&lt;&gt;"",EDATE($D124,Milestones!$AA$145)&gt;=$T124),$W124,IF(AND($S124&lt;&gt;"",EDATE($D124,Milestones!$AA$145)&gt;=$S124),$V124,$U124)))=Milestones!$AB$145),UPPER(TEXT(EDATE($D124,Milestones!$AA$145),"dd mmm yy"))&amp;" "&amp;Milestones!$AB$145&amp;" "&amp;Milestones!$AC$145&amp;";  ","")&amp;IF(AND(EDATE($D124,Milestones!$AA$146)&lt;=AsOfDate,IF($R124=0,$X124,IF(AND($T124&lt;&gt;"",EDATE($D124,Milestones!$AA$146)&gt;=$T124),$W124,IF(AND($S124&lt;&gt;"",EDATE($D124,Milestones!$AA$146)&gt;=$S124),$V124,$U124)))=Milestones!$AB$146),UPPER(TEXT(EDATE($D124,Milestones!$AA$146),"dd mmm yy"))&amp;" "&amp;Milestones!$AB$146&amp;" "&amp;Milestones!$AC$146&amp;";  ","")&amp;IF(AND(EDATE($D124,Milestones!$AA$147)&lt;=AsOfDate,IF($R124=0,$X124,IF(AND($T124&lt;&gt;"",EDATE($D124,Milestones!$AA$147)&gt;=$T124),$W124,IF(AND($S124&lt;&gt;"",EDATE($D124,Milestones!$AA$147)&gt;=$S124),$V124,$U124)))=Milestones!$AB$147),UPPER(TEXT(EDATE($D124,Milestones!$AA$147),"dd mmm yy"))&amp;" "&amp;Milestones!$AB$147&amp;" "&amp;Milestones!$AC$147&amp;";  ","")&amp;IF(AND(EDATE($D124,Milestones!$AA$148)&lt;=AsOfDate,IF($R124=0,$X124,IF(AND($T124&lt;&gt;"",EDATE($D124,Milestones!$AA$148)&gt;=$T124),$W124,IF(AND($S124&lt;&gt;"",EDATE($D124,Milestones!$AA$148)&gt;=$S124),$V124,$U124)))=Milestones!$AB$148),UPPER(TEXT(EDATE($D124,Milestones!$AA$148),"dd mmm yy"))&amp;" "&amp;Milestones!$AB$148&amp;" "&amp;Milestones!$AC$148&amp;";  ","")&amp;IF(AND(EDATE($D124,Milestones!$AA$149)&lt;=AsOfDate,IF($R124=0,$X124,IF(AND($T124&lt;&gt;"",EDATE($D124,Milestones!$AA$149)&gt;=$T124),$W124,IF(AND($S124&lt;&gt;"",EDATE($D124,Milestones!$AA$149)&gt;=$S124),$V124,$U124)))=Milestones!$AB$149),UPPER(TEXT(EDATE($D124,Milestones!$AA$149),"dd mmm yy"))&amp;" "&amp;Milestones!$AB$149&amp;" "&amp;Milestones!$AC$149&amp;";  ","")&amp;IF(AND(EDATE($D124,Milestones!$AA$150)&lt;=AsOfDate,IF($R124=0,$X124,IF(AND($T124&lt;&gt;"",EDATE($D124,Milestones!$AA$150)&gt;=$T124),$W124,IF(AND($S124&lt;&gt;"",EDATE($D124,Milestones!$AA$150)&gt;=$S124),$V124,$U124)))=Milestones!$AB$150),UPPER(TEXT(EDATE($D124,Milestones!$AA$150),"dd mmm yy"))&amp;" "&amp;Milestones!$AB$150&amp;" "&amp;Milestones!$AC$150&amp;";  ","")&amp;IF(AND(EDATE($D124,Milestones!$AA$151)&lt;=AsOfDate,IF($R124=0,$X124,IF(AND($T124&lt;&gt;"",EDATE($D124,Milestones!$AA$151)&gt;=$T124),$W124,IF(AND($S124&lt;&gt;"",EDATE($D124,Milestones!$AA$151)&gt;=$S124),$V124,$U124)))=Milestones!$AB$151),UPPER(TEXT(EDATE($D124,Milestones!$AA$151),"dd mmm yy"))&amp;" "&amp;Milestones!$AB$151&amp;" "&amp;Milestones!$AC$151&amp;";  ","")&amp;IF(AND(EDATE($D124,Milestones!$AA$152)&lt;=AsOfDate,IF($R124=0,$X124,IF(AND($T124&lt;&gt;"",EDATE($D124,Milestones!$AA$152)&gt;=$T124),$W124,IF(AND($S124&lt;&gt;"",EDATE($D124,Milestones!$AA$152)&gt;=$S124),$V124,$U124)))=Milestones!$AB$152),UPPER(TEXT(EDATE($D124,Milestones!$AA$152),"dd mmm yy"))&amp;" "&amp;Milestones!$AB$152&amp;" "&amp;Milestones!$AC$152&amp;";  ","")&amp;IF(AND(EDATE($D124,Milestones!$AA$153)&lt;=AsOfDate,IF($R124=0,$X124,IF(AND($T124&lt;&gt;"",EDATE($D124,Milestones!$AA$153)&gt;=$T124),$W124,IF(AND($S124&lt;&gt;"",EDATE($D124,Milestones!$AA$153)&gt;=$S124),$V124,$U124)))=Milestones!$AB$153),UPPER(TEXT(EDATE($D124,Milestones!$AA$153),"dd mmm yy"))&amp;" "&amp;Milestones!$AB$153&amp;" "&amp;Milestones!$AC$153&amp;";  ","")&amp;IF(AND(EDATE($D124,Milestones!$AA$154)&lt;=AsOfDate,IF($R124=0,$X124,IF(AND($T124&lt;&gt;"",EDATE($D124,Milestones!$AA$154)&gt;=$T124),$W124,IF(AND($S124&lt;&gt;"",EDATE($D124,Milestones!$AA$154)&gt;=$S124),$V124,$U124)))=Milestones!$AB$154),UPPER(TEXT(EDATE($D124,Milestones!$AA$154),"dd mmm yy"))&amp;" "&amp;Milestones!$AB$154&amp;" "&amp;Milestones!$AC$154&amp;";  ","")&amp;IF(AND(EDATE($D124,Milestones!$AA$155)&lt;=AsOfDate,IF($R124=0,$X124,IF(AND($T124&lt;&gt;"",EDATE($D124,Milestones!$AA$155)&gt;=$T124),$W124,IF(AND($S124&lt;&gt;"",EDATE($D124,Milestones!$AA$155)&gt;=$S124),$V124,$U124)))=Milestones!$AB$155),UPPER(TEXT(EDATE($D124,Milestones!$AA$155),"dd mmm yy"))&amp;" "&amp;Milestones!$AB$155&amp;" "&amp;Milestones!$AC$155&amp;";  ","")&amp;IF(AND(EDATE($D124,Milestones!$AA$156)&lt;=AsOfDate,IF($R124=0,$X124,IF(AND($T124&lt;&gt;"",EDATE($D124,Milestones!$AA$156)&gt;=$T124),$W124,IF(AND($S124&lt;&gt;"",EDATE($D124,Milestones!$AA$156)&gt;=$S124),$V124,$U124)))=Milestones!$AB$156),UPPER(TEXT(EDATE($D124,Milestones!$AA$156),"dd mmm yy"))&amp;" "&amp;Milestones!$AB$156&amp;" "&amp;Milestones!$AC$156&amp;";  ","")&amp;IF(AND(EDATE($D124,Milestones!$AA$157)&lt;=AsOfDate,IF($R124=0,$X124,IF(AND($T124&lt;&gt;"",EDATE($D124,Milestones!$AA$157)&gt;=$T124),$W124,IF(AND($S124&lt;&gt;"",EDATE($D124,Milestones!$AA$157)&gt;=$S124),$V124,$U124)))=Milestones!$AB$157),UPPER(TEXT(EDATE($D124,Milestones!$AA$157),"dd mmm yy"))&amp;" "&amp;Milestones!$AB$157&amp;" "&amp;Milestones!$AC$157&amp;";  ","")&amp;IF(AND(EDATE($D124,Milestones!$AA$158)&lt;=AsOfDate,IF($R124=0,$X124,IF(AND($T124&lt;&gt;"",EDATE($D124,Milestones!$AA$158)&gt;=$T124),$W124,IF(AND($S124&lt;&gt;"",EDATE($D124,Milestones!$AA$158)&gt;=$S124),$V124,$U124)))=Milestones!$AB$158),UPPER(TEXT(EDATE($D124,Milestones!$AA$158),"dd mmm yy"))&amp;" "&amp;Milestones!$AB$158&amp;" "&amp;Milestones!$AC$158&amp;";  ","")&amp;IF(AND(EDATE($D124,Milestones!$AA$159)&lt;=AsOfDate,IF($R124=0,$X124,IF(AND($T124&lt;&gt;"",EDATE($D124,Milestones!$AA$159)&gt;=$T124),$W124,IF(AND($S124&lt;&gt;"",EDATE($D124,Milestones!$AA$159)&gt;=$S124),$V124,$U124)))=Milestones!$AB$159),UPPER(TEXT(EDATE($D124,Milestones!$AA$159),"dd mmm yy"))&amp;" "&amp;Milestones!$AB$159&amp;" "&amp;Milestones!$AC$159&amp;";  ",""))</f>
        <v/>
      </c>
      <c r="P124" s="0" t="str">
        <f aca="false">IF(OR($A124="",$D124=""),"",IF(AND(EDATE($D124,Milestones!$AA$160)&lt;=AsOfDate,IF($R124=0,$X124,IF(AND($T124&lt;&gt;"",EDATE($D124,Milestones!$AA$160)&gt;=$T124),$W124,IF(AND($S124&lt;&gt;"",EDATE($D124,Milestones!$AA$160)&gt;=$S124),$V124,$U124)))=Milestones!$AB$160),UPPER(TEXT(EDATE($D124,Milestones!$AA$160),"dd mmm yy"))&amp;" "&amp;Milestones!$AB$160&amp;" "&amp;Milestones!$AC$160&amp;";  ","")&amp;IF(AND(EDATE($D124,Milestones!$AA$161)&lt;=AsOfDate,IF($R124=0,$X124,IF(AND($T124&lt;&gt;"",EDATE($D124,Milestones!$AA$161)&gt;=$T124),$W124,IF(AND($S124&lt;&gt;"",EDATE($D124,Milestones!$AA$161)&gt;=$S124),$V124,$U124)))=Milestones!$AB$161),UPPER(TEXT(EDATE($D124,Milestones!$AA$161),"dd mmm yy"))&amp;" "&amp;Milestones!$AB$161&amp;" "&amp;Milestones!$AC$161&amp;";  ","")&amp;IF(AND(EDATE($D124,Milestones!$AA$162)&lt;=AsOfDate,IF($R124=0,$X124,IF(AND($T124&lt;&gt;"",EDATE($D124,Milestones!$AA$162)&gt;=$T124),$W124,IF(AND($S124&lt;&gt;"",EDATE($D124,Milestones!$AA$162)&gt;=$S124),$V124,$U124)))=Milestones!$AB$162),UPPER(TEXT(EDATE($D124,Milestones!$AA$162),"dd mmm yy"))&amp;" "&amp;Milestones!$AB$162&amp;" "&amp;Milestones!$AC$162&amp;";  ","")&amp;IF(AND(EDATE($D124,Milestones!$AA$163)&lt;=AsOfDate,IF($R124=0,$X124,IF(AND($T124&lt;&gt;"",EDATE($D124,Milestones!$AA$163)&gt;=$T124),$W124,IF(AND($S124&lt;&gt;"",EDATE($D124,Milestones!$AA$163)&gt;=$S124),$V124,$U124)))=Milestones!$AB$163),UPPER(TEXT(EDATE($D124,Milestones!$AA$163),"dd mmm yy"))&amp;" "&amp;Milestones!$AB$163&amp;" "&amp;Milestones!$AC$163&amp;";  ","")&amp;IF(AND(EDATE($D124,Milestones!$AA$164)&lt;=AsOfDate,IF($R124=0,$X124,IF(AND($T124&lt;&gt;"",EDATE($D124,Milestones!$AA$164)&gt;=$T124),$W124,IF(AND($S124&lt;&gt;"",EDATE($D124,Milestones!$AA$164)&gt;=$S124),$V124,$U124)))=Milestones!$AB$164),UPPER(TEXT(EDATE($D124,Milestones!$AA$164),"dd mmm yy"))&amp;" "&amp;Milestones!$AB$164&amp;" "&amp;Milestones!$AC$164&amp;";  ","")&amp;IF(AND(EDATE($D124,Milestones!$AA$165)&lt;=AsOfDate,IF($R124=0,$X124,IF(AND($T124&lt;&gt;"",EDATE($D124,Milestones!$AA$165)&gt;=$T124),$W124,IF(AND($S124&lt;&gt;"",EDATE($D124,Milestones!$AA$165)&gt;=$S124),$V124,$U124)))=Milestones!$AB$165),UPPER(TEXT(EDATE($D124,Milestones!$AA$165),"dd mmm yy"))&amp;" "&amp;Milestones!$AB$165&amp;" "&amp;Milestones!$AC$165&amp;";  ","")&amp;IF(AND(EDATE($D124,Milestones!$AA$166)&lt;=AsOfDate,IF($R124=0,$X124,IF(AND($T124&lt;&gt;"",EDATE($D124,Milestones!$AA$166)&gt;=$T124),$W124,IF(AND($S124&lt;&gt;"",EDATE($D124,Milestones!$AA$166)&gt;=$S124),$V124,$U124)))=Milestones!$AB$166),UPPER(TEXT(EDATE($D124,Milestones!$AA$166),"dd mmm yy"))&amp;" "&amp;Milestones!$AB$166&amp;" "&amp;Milestones!$AC$166&amp;";  ","")&amp;IF(AND(EDATE($D124,Milestones!$AA$167)&lt;=AsOfDate,IF($R124=0,$X124,IF(AND($T124&lt;&gt;"",EDATE($D124,Milestones!$AA$167)&gt;=$T124),$W124,IF(AND($S124&lt;&gt;"",EDATE($D124,Milestones!$AA$167)&gt;=$S124),$V124,$U124)))=Milestones!$AB$167),UPPER(TEXT(EDATE($D124,Milestones!$AA$167),"dd mmm yy"))&amp;" "&amp;Milestones!$AB$167&amp;" "&amp;Milestones!$AC$167&amp;";  ","")&amp;IF(AND(EDATE($D124,Milestones!$AA$168)&lt;=AsOfDate,IF($R124=0,$X124,IF(AND($T124&lt;&gt;"",EDATE($D124,Milestones!$AA$168)&gt;=$T124),$W124,IF(AND($S124&lt;&gt;"",EDATE($D124,Milestones!$AA$168)&gt;=$S124),$V124,$U124)))=Milestones!$AB$168),UPPER(TEXT(EDATE($D124,Milestones!$AA$168),"dd mmm yy"))&amp;" "&amp;Milestones!$AB$168&amp;" "&amp;Milestones!$AC$168&amp;";  ","")&amp;IF(AND(EDATE($D124,Milestones!$AA$169)&lt;=AsOfDate,IF($R124=0,$X124,IF(AND($T124&lt;&gt;"",EDATE($D124,Milestones!$AA$169)&gt;=$T124),$W124,IF(AND($S124&lt;&gt;"",EDATE($D124,Milestones!$AA$169)&gt;=$S124),$V124,$U124)))=Milestones!$AB$169),UPPER(TEXT(EDATE($D124,Milestones!$AA$169),"dd mmm yy"))&amp;" "&amp;Milestones!$AB$169&amp;" "&amp;Milestones!$AC$169&amp;";  ","")&amp;IF(AND(EDATE($D124,Milestones!$AA$170)&lt;=AsOfDate,IF($R124=0,$X124,IF(AND($T124&lt;&gt;"",EDATE($D124,Milestones!$AA$170)&gt;=$T124),$W124,IF(AND($S124&lt;&gt;"",EDATE($D124,Milestones!$AA$170)&gt;=$S124),$V124,$U124)))=Milestones!$AB$170),UPPER(TEXT(EDATE($D124,Milestones!$AA$170),"dd mmm yy"))&amp;" "&amp;Milestones!$AB$170&amp;" "&amp;Milestones!$AC$170&amp;";  ","")&amp;IF(AND(EDATE($D124,Milestones!$AA$171)&lt;=AsOfDate,IF($R124=0,$X124,IF(AND($T124&lt;&gt;"",EDATE($D124,Milestones!$AA$171)&gt;=$T124),$W124,IF(AND($S124&lt;&gt;"",EDATE($D124,Milestones!$AA$171)&gt;=$S124),$V124,$U124)))=Milestones!$AB$171),UPPER(TEXT(EDATE($D124,Milestones!$AA$171),"dd mmm yy"))&amp;" "&amp;Milestones!$AB$171&amp;" "&amp;Milestones!$AC$171&amp;";  ","")&amp;IF(AND(EDATE($D124,Milestones!$AA$172)&lt;=AsOfDate,IF($R124=0,$X124,IF(AND($T124&lt;&gt;"",EDATE($D124,Milestones!$AA$172)&gt;=$T124),$W124,IF(AND($S124&lt;&gt;"",EDATE($D124,Milestones!$AA$172)&gt;=$S124),$V124,$U124)))=Milestones!$AB$172),UPPER(TEXT(EDATE($D124,Milestones!$AA$172),"dd mmm yy"))&amp;" "&amp;Milestones!$AB$172&amp;" "&amp;Milestones!$AC$172&amp;";  ","")&amp;IF(AND(EDATE($D124,Milestones!$AA$173)&lt;=AsOfDate,IF($R124=0,$X124,IF(AND($T124&lt;&gt;"",EDATE($D124,Milestones!$AA$173)&gt;=$T124),$W124,IF(AND($S124&lt;&gt;"",EDATE($D124,Milestones!$AA$173)&gt;=$S124),$V124,$U124)))=Milestones!$AB$173),UPPER(TEXT(EDATE($D124,Milestones!$AA$173),"dd mmm yy"))&amp;" "&amp;Milestones!$AB$173&amp;" "&amp;Milestones!$AC$173&amp;";  ","")&amp;IF(AND(EDATE($D124,Milestones!$AA$174)&lt;=AsOfDate,IF($R124=0,$X124,IF(AND($T124&lt;&gt;"",EDATE($D124,Milestones!$AA$174)&gt;=$T124),$W124,IF(AND($S124&lt;&gt;"",EDATE($D124,Milestones!$AA$174)&gt;=$S124),$V124,$U124)))=Milestones!$AB$174),UPPER(TEXT(EDATE($D124,Milestones!$AA$174),"dd mmm yy"))&amp;" "&amp;Milestones!$AB$174&amp;" "&amp;Milestones!$AC$174&amp;";  ","")&amp;IF(AND(EDATE($D124,Milestones!$AA$175)&lt;=AsOfDate,IF($R124=0,$X124,IF(AND($T124&lt;&gt;"",EDATE($D124,Milestones!$AA$175)&gt;=$T124),$W124,IF(AND($S124&lt;&gt;"",EDATE($D124,Milestones!$AA$175)&gt;=$S124),$V124,$U124)))=Milestones!$AB$175),UPPER(TEXT(EDATE($D124,Milestones!$AA$175),"dd mmm yy"))&amp;" "&amp;Milestones!$AB$175&amp;" "&amp;Milestones!$AC$175&amp;";  ","")&amp;IF(AND(EDATE($D124,Milestones!$AA$176)&lt;=AsOfDate,IF($R124=0,$X124,IF(AND($T124&lt;&gt;"",EDATE($D124,Milestones!$AA$176)&gt;=$T124),$W124,IF(AND($S124&lt;&gt;"",EDATE($D124,Milestones!$AA$176)&gt;=$S124),$V124,$U124)))=Milestones!$AB$176),UPPER(TEXT(EDATE($D124,Milestones!$AA$176),"dd mmm yy"))&amp;" "&amp;Milestones!$AB$176&amp;" "&amp;Milestones!$AC$176&amp;";  ","")&amp;IF(AND(EDATE($D124,Milestones!$AA$177)&lt;=AsOfDate,IF($R124=0,$X124,IF(AND($T124&lt;&gt;"",EDATE($D124,Milestones!$AA$177)&gt;=$T124),$W124,IF(AND($S124&lt;&gt;"",EDATE($D124,Milestones!$AA$177)&gt;=$S124),$V124,$U124)))=Milestones!$AB$177),UPPER(TEXT(EDATE($D124,Milestones!$AA$177),"dd mmm yy"))&amp;" "&amp;Milestones!$AB$177&amp;" "&amp;Milestones!$AC$177&amp;";  ","")&amp;IF(AND(EDATE($D124,Milestones!$AA$178)&lt;=AsOfDate,IF($R124=0,$X124,IF(AND($T124&lt;&gt;"",EDATE($D124,Milestones!$AA$178)&gt;=$T124),$W124,IF(AND($S124&lt;&gt;"",EDATE($D124,Milestones!$AA$178)&gt;=$S124),$V124,$U124)))=Milestones!$AB$178),UPPER(TEXT(EDATE($D124,Milestones!$AA$178),"dd mmm yy"))&amp;" "&amp;Milestones!$AB$178&amp;" "&amp;Milestones!$AC$178&amp;";  ","")&amp;IF(AND(EDATE($D124,Milestones!$AA$179)&lt;=AsOfDate,IF($R124=0,$X124,IF(AND($T124&lt;&gt;"",EDATE($D124,Milestones!$AA$179)&gt;=$T124),$W124,IF(AND($S124&lt;&gt;"",EDATE($D124,Milestones!$AA$179)&gt;=$S124),$V124,$U124)))=Milestones!$AB$179),UPPER(TEXT(EDATE($D124,Milestones!$AA$179),"dd mmm yy"))&amp;" "&amp;Milestones!$AB$179&amp;" "&amp;Milestones!$AC$179&amp;";  ",""))</f>
        <v/>
      </c>
      <c r="Q124" s="0" t="str">
        <f aca="false">IF(OR($A124="",$D124=""),"",IF(AND(EDATE($D124,Milestones!$AA$180)&lt;=AsOfDate,IF($R124=0,$X124,IF(AND($T124&lt;&gt;"",EDATE($D124,Milestones!$AA$180)&gt;=$T124),$W124,IF(AND($S124&lt;&gt;"",EDATE($D124,Milestones!$AA$180)&gt;=$S124),$V124,$U124)))=Milestones!$AB$180),UPPER(TEXT(EDATE($D124,Milestones!$AA$180),"dd mmm yy"))&amp;" "&amp;Milestones!$AB$180&amp;" "&amp;Milestones!$AC$180&amp;";  ","")&amp;IF(AND(EDATE($D124,Milestones!$AA$181)&lt;=AsOfDate,IF($R124=0,$X124,IF(AND($T124&lt;&gt;"",EDATE($D124,Milestones!$AA$181)&gt;=$T124),$W124,IF(AND($S124&lt;&gt;"",EDATE($D124,Milestones!$AA$181)&gt;=$S124),$V124,$U124)))=Milestones!$AB$181),UPPER(TEXT(EDATE($D124,Milestones!$AA$181),"dd mmm yy"))&amp;" "&amp;Milestones!$AB$181&amp;" "&amp;Milestones!$AC$181&amp;";  ","")&amp;IF(AND(EDATE($D124,Milestones!$AA$182)&lt;=AsOfDate,IF($R124=0,$X124,IF(AND($T124&lt;&gt;"",EDATE($D124,Milestones!$AA$182)&gt;=$T124),$W124,IF(AND($S124&lt;&gt;"",EDATE($D124,Milestones!$AA$182)&gt;=$S124),$V124,$U124)))=Milestones!$AB$182),UPPER(TEXT(EDATE($D124,Milestones!$AA$182),"dd mmm yy"))&amp;" "&amp;Milestones!$AB$182&amp;" "&amp;Milestones!$AC$182&amp;";  ","")&amp;IF(AND(EDATE($D124,Milestones!$AA$183)&lt;=AsOfDate,IF($R124=0,$X124,IF(AND($T124&lt;&gt;"",EDATE($D124,Milestones!$AA$183)&gt;=$T124),$W124,IF(AND($S124&lt;&gt;"",EDATE($D124,Milestones!$AA$183)&gt;=$S124),$V124,$U124)))=Milestones!$AB$183),UPPER(TEXT(EDATE($D124,Milestones!$AA$183),"dd mmm yy"))&amp;" "&amp;Milestones!$AB$183&amp;" "&amp;Milestones!$AC$183&amp;";  ","")&amp;IF(AND(EDATE($D124,Milestones!$AA$184)&lt;=AsOfDate,IF($R124=0,$X124,IF(AND($T124&lt;&gt;"",EDATE($D124,Milestones!$AA$184)&gt;=$T124),$W124,IF(AND($S124&lt;&gt;"",EDATE($D124,Milestones!$AA$184)&gt;=$S124),$V124,$U124)))=Milestones!$AB$184),UPPER(TEXT(EDATE($D124,Milestones!$AA$184),"dd mmm yy"))&amp;" "&amp;Milestones!$AB$184&amp;" "&amp;Milestones!$AC$184&amp;";  ","")&amp;IF(AND(EDATE($D124,Milestones!$AA$185)&lt;=AsOfDate,IF($R124=0,$X124,IF(AND($T124&lt;&gt;"",EDATE($D124,Milestones!$AA$185)&gt;=$T124),$W124,IF(AND($S124&lt;&gt;"",EDATE($D124,Milestones!$AA$185)&gt;=$S124),$V124,$U124)))=Milestones!$AB$185),UPPER(TEXT(EDATE($D124,Milestones!$AA$185),"dd mmm yy"))&amp;" "&amp;Milestones!$AB$185&amp;" "&amp;Milestones!$AC$185&amp;";  ","")&amp;IF(AND(EDATE($D124,Milestones!$AA$186)&lt;=AsOfDate,IF($R124=0,$X124,IF(AND($T124&lt;&gt;"",EDATE($D124,Milestones!$AA$186)&gt;=$T124),$W124,IF(AND($S124&lt;&gt;"",EDATE($D124,Milestones!$AA$186)&gt;=$S124),$V124,$U124)))=Milestones!$AB$186),UPPER(TEXT(EDATE($D124,Milestones!$AA$186),"dd mmm yy"))&amp;" "&amp;Milestones!$AB$186&amp;" "&amp;Milestones!$AC$186&amp;";  ","")&amp;IF(AND(EDATE($D124,Milestones!$AA$187)&lt;=AsOfDate,IF($R124=0,$X124,IF(AND($T124&lt;&gt;"",EDATE($D124,Milestones!$AA$187)&gt;=$T124),$W124,IF(AND($S124&lt;&gt;"",EDATE($D124,Milestones!$AA$187)&gt;=$S124),$V124,$U124)))=Milestones!$AB$187),UPPER(TEXT(EDATE($D124,Milestones!$AA$187),"dd mmm yy"))&amp;" "&amp;Milestones!$AB$187&amp;" "&amp;Milestones!$AC$187&amp;";  ","")&amp;IF(AND(EDATE($D124,Milestones!$AA$188)&lt;=AsOfDate,IF($R124=0,$X124,IF(AND($T124&lt;&gt;"",EDATE($D124,Milestones!$AA$188)&gt;=$T124),$W124,IF(AND($S124&lt;&gt;"",EDATE($D124,Milestones!$AA$188)&gt;=$S124),$V124,$U124)))=Milestones!$AB$188),UPPER(TEXT(EDATE($D124,Milestones!$AA$188),"dd mmm yy"))&amp;" "&amp;Milestones!$AB$188&amp;" "&amp;Milestones!$AC$188&amp;";  ","")&amp;IF(AND(EDATE($D124,Milestones!$AA$189)&lt;=AsOfDate,IF($R124=0,$X124,IF(AND($T124&lt;&gt;"",EDATE($D124,Milestones!$AA$189)&gt;=$T124),$W124,IF(AND($S124&lt;&gt;"",EDATE($D124,Milestones!$AA$189)&gt;=$S124),$V124,$U124)))=Milestones!$AB$189),UPPER(TEXT(EDATE($D124,Milestones!$AA$189),"dd mmm yy"))&amp;" "&amp;Milestones!$AB$189&amp;" "&amp;Milestones!$AC$189&amp;";  ","")&amp;IF(AND(EDATE($D124,Milestones!$AA$190)&lt;=AsOfDate,IF($R124=0,$X124,IF(AND($T124&lt;&gt;"",EDATE($D124,Milestones!$AA$190)&gt;=$T124),$W124,IF(AND($S124&lt;&gt;"",EDATE($D124,Milestones!$AA$190)&gt;=$S124),$V124,$U124)))=Milestones!$AB$190),UPPER(TEXT(EDATE($D124,Milestones!$AA$190),"dd mmm yy"))&amp;" "&amp;Milestones!$AB$190&amp;" "&amp;Milestones!$AC$190&amp;";  ","")&amp;IF(AND(EDATE($D124,Milestones!$AA$191)&lt;=AsOfDate,IF($R124=0,$X124,IF(AND($T124&lt;&gt;"",EDATE($D124,Milestones!$AA$191)&gt;=$T124),$W124,IF(AND($S124&lt;&gt;"",EDATE($D124,Milestones!$AA$191)&gt;=$S124),$V124,$U124)))=Milestones!$AB$191),UPPER(TEXT(EDATE($D124,Milestones!$AA$191),"dd mmm yy"))&amp;" "&amp;Milestones!$AB$191&amp;" "&amp;Milestones!$AC$191&amp;";  ","")&amp;IF(AND(EDATE($D124,Milestones!$AA$192)&lt;=AsOfDate,IF($R124=0,$X124,IF(AND($T124&lt;&gt;"",EDATE($D124,Milestones!$AA$192)&gt;=$T124),$W124,IF(AND($S124&lt;&gt;"",EDATE($D124,Milestones!$AA$192)&gt;=$S124),$V124,$U124)))=Milestones!$AB$192),UPPER(TEXT(EDATE($D124,Milestones!$AA$192),"dd mmm yy"))&amp;" "&amp;Milestones!$AB$192&amp;" "&amp;Milestones!$AC$192&amp;";  ","")&amp;IF(AND(EDATE($D124,Milestones!$AA$193)&lt;=AsOfDate,IF($R124=0,$X124,IF(AND($T124&lt;&gt;"",EDATE($D124,Milestones!$AA$193)&gt;=$T124),$W124,IF(AND($S124&lt;&gt;"",EDATE($D124,Milestones!$AA$193)&gt;=$S124),$V124,$U124)))=Milestones!$AB$193),UPPER(TEXT(EDATE($D124,Milestones!$AA$193),"dd mmm yy"))&amp;" "&amp;Milestones!$AB$193&amp;" "&amp;Milestones!$AC$193&amp;";  ","")&amp;IF(AND(EDATE($D124,Milestones!$AA$194)&lt;=AsOfDate,IF($R124=0,$X124,IF(AND($T124&lt;&gt;"",EDATE($D124,Milestones!$AA$194)&gt;=$T124),$W124,IF(AND($S124&lt;&gt;"",EDATE($D124,Milestones!$AA$194)&gt;=$S124),$V124,$U124)))=Milestones!$AB$194),UPPER(TEXT(EDATE($D124,Milestones!$AA$194),"dd mmm yy"))&amp;" "&amp;Milestones!$AB$194&amp;" "&amp;Milestones!$AC$194&amp;";  ","")&amp;IF(AND(EDATE($D124,Milestones!$AA$195)&lt;=AsOfDate,IF($R124=0,$X124,IF(AND($T124&lt;&gt;"",EDATE($D124,Milestones!$AA$195)&gt;=$T124),$W124,IF(AND($S124&lt;&gt;"",EDATE($D124,Milestones!$AA$195)&gt;=$S124),$V124,$U124)))=Milestones!$AB$195),UPPER(TEXT(EDATE($D124,Milestones!$AA$195),"dd mmm yy"))&amp;" "&amp;Milestones!$AB$195&amp;" "&amp;Milestones!$AC$195&amp;";  ","")&amp;IF(AND(EDATE($D124,Milestones!$AA$196)&lt;=AsOfDate,IF($R124=0,$X124,IF(AND($T124&lt;&gt;"",EDATE($D124,Milestones!$AA$196)&gt;=$T124),$W124,IF(AND($S124&lt;&gt;"",EDATE($D124,Milestones!$AA$196)&gt;=$S124),$V124,$U124)))=Milestones!$AB$196),UPPER(TEXT(EDATE($D124,Milestones!$AA$196),"dd mmm yy"))&amp;" "&amp;Milestones!$AB$196&amp;" "&amp;Milestones!$AC$196&amp;";  ","")&amp;IF(AND(EDATE($D124,Milestones!$AA$197)&lt;=AsOfDate,IF($R124=0,$X124,IF(AND($T124&lt;&gt;"",EDATE($D124,Milestones!$AA$197)&gt;=$T124),$W124,IF(AND($S124&lt;&gt;"",EDATE($D124,Milestones!$AA$197)&gt;=$S124),$V124,$U124)))=Milestones!$AB$197),UPPER(TEXT(EDATE($D124,Milestones!$AA$197),"dd mmm yy"))&amp;" "&amp;Milestones!$AB$197&amp;" "&amp;Milestones!$AC$197&amp;";  ","")&amp;IF(AND(EDATE($D124,Milestones!$AA$198)&lt;=AsOfDate,IF($R124=0,$X124,IF(AND($T124&lt;&gt;"",EDATE($D124,Milestones!$AA$198)&gt;=$T124),$W124,IF(AND($S124&lt;&gt;"",EDATE($D124,Milestones!$AA$198)&gt;=$S124),$V124,$U124)))=Milestones!$AB$198),UPPER(TEXT(EDATE($D124,Milestones!$AA$198),"dd mmm yy"))&amp;" "&amp;Milestones!$AB$198&amp;" "&amp;Milestones!$AC$198&amp;";  ","")&amp;IF(AND(EDATE($D124,Milestones!$AA$199)&lt;=AsOfDate,IF($R124=0,$X124,IF(AND($T124&lt;&gt;"",EDATE($D124,Milestones!$AA$199)&gt;=$T124),$W124,IF(AND($S124&lt;&gt;"",EDATE($D124,Milestones!$AA$199)&gt;=$S124),$V124,$U124)))=Milestones!$AB$199),UPPER(TEXT(EDATE($D124,Milestones!$AA$199),"dd mmm yy"))&amp;" "&amp;Milestones!$AB$199&amp;" "&amp;Milestones!$AC$199&amp;";  ",""))</f>
        <v/>
      </c>
      <c r="R124" s="0" t="str">
        <f aca="false">IF(Staff!$A124="","",Staff!$AI124)</f>
        <v/>
      </c>
      <c r="S124" s="0" t="str">
        <f aca="false">IF(Staff!$A124="","",Staff!$AK124)</f>
        <v/>
      </c>
      <c r="T124" s="0" t="str">
        <f aca="false">IF(Staff!$A124="","",Staff!$AL124)</f>
        <v/>
      </c>
      <c r="U124" s="0" t="str">
        <f aca="false">IF(Staff!$A124="","",Staff!$AP124)</f>
        <v/>
      </c>
      <c r="V124" s="0" t="str">
        <f aca="false">IF(Staff!$A124="","",Staff!$AQ124)</f>
        <v/>
      </c>
      <c r="W124" s="0" t="str">
        <f aca="false">IF(Staff!$A124="","",Staff!$AR124)</f>
        <v/>
      </c>
      <c r="X124" s="0" t="str">
        <f aca="false">IF(Staff!$A124="","",Staff!$AS124)</f>
        <v/>
      </c>
    </row>
    <row r="125" customFormat="false" ht="15" hidden="false" customHeight="false" outlineLevel="0" collapsed="false">
      <c r="A125" s="14" t="str">
        <f aca="false">IF(Staff!$A125="","",Staff!$A125)</f>
        <v/>
      </c>
      <c r="B125" s="14" t="str">
        <f aca="false">IF(Staff!$A125="","",Staff!$B125)</f>
        <v/>
      </c>
      <c r="C125" s="14" t="str">
        <f aca="false">IF(Staff!$A125="","",Staff!$C125)</f>
        <v/>
      </c>
      <c r="D125" s="12" t="str">
        <f aca="false">IF(Staff!$A125="","",Staff!$AH125)</f>
        <v/>
      </c>
      <c r="E125" s="14" t="str">
        <f aca="false">IF(Staff!$A125="","",Staff!$O125)</f>
        <v/>
      </c>
      <c r="F125" s="14" t="str">
        <f aca="false">IF(E125="","",E125*HoursPerDay)</f>
        <v/>
      </c>
      <c r="G125" s="14" t="str">
        <f aca="false">IF(Staff!$A125="","",Staff!$AE125)</f>
        <v/>
      </c>
      <c r="H125" s="26" t="str">
        <f aca="false">IF($A125="","",I125&amp;J125&amp;K125&amp;L125&amp;M125&amp;N125&amp;O125&amp;P125&amp;Q125)</f>
        <v/>
      </c>
      <c r="I125" s="0" t="str">
        <f aca="false">IF(OR($A125="",$D125=""),"",IF(AND(EDATE($D125,Milestones!$AA$20)&lt;=AsOfDate,IF($R125=0,$X125,IF(AND($T125&lt;&gt;"",EDATE($D125,Milestones!$AA$20)&gt;=$T125),$W125,IF(AND($S125&lt;&gt;"",EDATE($D125,Milestones!$AA$20)&gt;=$S125),$V125,$U125)))=Milestones!$AB$20),UPPER(TEXT(EDATE($D125,Milestones!$AA$20),"dd mmm yy"))&amp;" "&amp;Milestones!$AB$20&amp;" "&amp;Milestones!$AC$20&amp;";  ","")&amp;IF(AND(EDATE($D125,Milestones!$AA$21)&lt;=AsOfDate,IF($R125=0,$X125,IF(AND($T125&lt;&gt;"",EDATE($D125,Milestones!$AA$21)&gt;=$T125),$W125,IF(AND($S125&lt;&gt;"",EDATE($D125,Milestones!$AA$21)&gt;=$S125),$V125,$U125)))=Milestones!$AB$21),UPPER(TEXT(EDATE($D125,Milestones!$AA$21),"dd mmm yy"))&amp;" "&amp;Milestones!$AB$21&amp;" "&amp;Milestones!$AC$21&amp;";  ","")&amp;IF(AND(EDATE($D125,Milestones!$AA$22)&lt;=AsOfDate,IF($R125=0,$X125,IF(AND($T125&lt;&gt;"",EDATE($D125,Milestones!$AA$22)&gt;=$T125),$W125,IF(AND($S125&lt;&gt;"",EDATE($D125,Milestones!$AA$22)&gt;=$S125),$V125,$U125)))=Milestones!$AB$22),UPPER(TEXT(EDATE($D125,Milestones!$AA$22),"dd mmm yy"))&amp;" "&amp;Milestones!$AB$22&amp;" "&amp;Milestones!$AC$22&amp;";  ","")&amp;IF(AND(EDATE($D125,Milestones!$AA$23)&lt;=AsOfDate,IF($R125=0,$X125,IF(AND($T125&lt;&gt;"",EDATE($D125,Milestones!$AA$23)&gt;=$T125),$W125,IF(AND($S125&lt;&gt;"",EDATE($D125,Milestones!$AA$23)&gt;=$S125),$V125,$U125)))=Milestones!$AB$23),UPPER(TEXT(EDATE($D125,Milestones!$AA$23),"dd mmm yy"))&amp;" "&amp;Milestones!$AB$23&amp;" "&amp;Milestones!$AC$23&amp;";  ","")&amp;IF(AND(EDATE($D125,Milestones!$AA$24)&lt;=AsOfDate,IF($R125=0,$X125,IF(AND($T125&lt;&gt;"",EDATE($D125,Milestones!$AA$24)&gt;=$T125),$W125,IF(AND($S125&lt;&gt;"",EDATE($D125,Milestones!$AA$24)&gt;=$S125),$V125,$U125)))=Milestones!$AB$24),UPPER(TEXT(EDATE($D125,Milestones!$AA$24),"dd mmm yy"))&amp;" "&amp;Milestones!$AB$24&amp;" "&amp;Milestones!$AC$24&amp;";  ","")&amp;IF(AND(EDATE($D125,Milestones!$AA$25)&lt;=AsOfDate,IF($R125=0,$X125,IF(AND($T125&lt;&gt;"",EDATE($D125,Milestones!$AA$25)&gt;=$T125),$W125,IF(AND($S125&lt;&gt;"",EDATE($D125,Milestones!$AA$25)&gt;=$S125),$V125,$U125)))=Milestones!$AB$25),UPPER(TEXT(EDATE($D125,Milestones!$AA$25),"dd mmm yy"))&amp;" "&amp;Milestones!$AB$25&amp;" "&amp;Milestones!$AC$25&amp;";  ","")&amp;IF(AND(EDATE($D125,Milestones!$AA$26)&lt;=AsOfDate,IF($R125=0,$X125,IF(AND($T125&lt;&gt;"",EDATE($D125,Milestones!$AA$26)&gt;=$T125),$W125,IF(AND($S125&lt;&gt;"",EDATE($D125,Milestones!$AA$26)&gt;=$S125),$V125,$U125)))=Milestones!$AB$26),UPPER(TEXT(EDATE($D125,Milestones!$AA$26),"dd mmm yy"))&amp;" "&amp;Milestones!$AB$26&amp;" "&amp;Milestones!$AC$26&amp;";  ","")&amp;IF(AND(EDATE($D125,Milestones!$AA$27)&lt;=AsOfDate,IF($R125=0,$X125,IF(AND($T125&lt;&gt;"",EDATE($D125,Milestones!$AA$27)&gt;=$T125),$W125,IF(AND($S125&lt;&gt;"",EDATE($D125,Milestones!$AA$27)&gt;=$S125),$V125,$U125)))=Milestones!$AB$27),UPPER(TEXT(EDATE($D125,Milestones!$AA$27),"dd mmm yy"))&amp;" "&amp;Milestones!$AB$27&amp;" "&amp;Milestones!$AC$27&amp;";  ","")&amp;IF(AND(EDATE($D125,Milestones!$AA$28)&lt;=AsOfDate,IF($R125=0,$X125,IF(AND($T125&lt;&gt;"",EDATE($D125,Milestones!$AA$28)&gt;=$T125),$W125,IF(AND($S125&lt;&gt;"",EDATE($D125,Milestones!$AA$28)&gt;=$S125),$V125,$U125)))=Milestones!$AB$28),UPPER(TEXT(EDATE($D125,Milestones!$AA$28),"dd mmm yy"))&amp;" "&amp;Milestones!$AB$28&amp;" "&amp;Milestones!$AC$28&amp;";  ","")&amp;IF(AND(EDATE($D125,Milestones!$AA$29)&lt;=AsOfDate,IF($R125=0,$X125,IF(AND($T125&lt;&gt;"",EDATE($D125,Milestones!$AA$29)&gt;=$T125),$W125,IF(AND($S125&lt;&gt;"",EDATE($D125,Milestones!$AA$29)&gt;=$S125),$V125,$U125)))=Milestones!$AB$29),UPPER(TEXT(EDATE($D125,Milestones!$AA$29),"dd mmm yy"))&amp;" "&amp;Milestones!$AB$29&amp;" "&amp;Milestones!$AC$29&amp;";  ","")&amp;IF(AND(EDATE($D125,Milestones!$AA$30)&lt;=AsOfDate,IF($R125=0,$X125,IF(AND($T125&lt;&gt;"",EDATE($D125,Milestones!$AA$30)&gt;=$T125),$W125,IF(AND($S125&lt;&gt;"",EDATE($D125,Milestones!$AA$30)&gt;=$S125),$V125,$U125)))=Milestones!$AB$30),UPPER(TEXT(EDATE($D125,Milestones!$AA$30),"dd mmm yy"))&amp;" "&amp;Milestones!$AB$30&amp;" "&amp;Milestones!$AC$30&amp;";  ","")&amp;IF(AND(EDATE($D125,Milestones!$AA$31)&lt;=AsOfDate,IF($R125=0,$X125,IF(AND($T125&lt;&gt;"",EDATE($D125,Milestones!$AA$31)&gt;=$T125),$W125,IF(AND($S125&lt;&gt;"",EDATE($D125,Milestones!$AA$31)&gt;=$S125),$V125,$U125)))=Milestones!$AB$31),UPPER(TEXT(EDATE($D125,Milestones!$AA$31),"dd mmm yy"))&amp;" "&amp;Milestones!$AB$31&amp;" "&amp;Milestones!$AC$31&amp;";  ","")&amp;IF(AND(EDATE($D125,Milestones!$AA$32)&lt;=AsOfDate,IF($R125=0,$X125,IF(AND($T125&lt;&gt;"",EDATE($D125,Milestones!$AA$32)&gt;=$T125),$W125,IF(AND($S125&lt;&gt;"",EDATE($D125,Milestones!$AA$32)&gt;=$S125),$V125,$U125)))=Milestones!$AB$32),UPPER(TEXT(EDATE($D125,Milestones!$AA$32),"dd mmm yy"))&amp;" "&amp;Milestones!$AB$32&amp;" "&amp;Milestones!$AC$32&amp;";  ","")&amp;IF(AND(EDATE($D125,Milestones!$AA$33)&lt;=AsOfDate,IF($R125=0,$X125,IF(AND($T125&lt;&gt;"",EDATE($D125,Milestones!$AA$33)&gt;=$T125),$W125,IF(AND($S125&lt;&gt;"",EDATE($D125,Milestones!$AA$33)&gt;=$S125),$V125,$U125)))=Milestones!$AB$33),UPPER(TEXT(EDATE($D125,Milestones!$AA$33),"dd mmm yy"))&amp;" "&amp;Milestones!$AB$33&amp;" "&amp;Milestones!$AC$33&amp;";  ","")&amp;IF(AND(EDATE($D125,Milestones!$AA$34)&lt;=AsOfDate,IF($R125=0,$X125,IF(AND($T125&lt;&gt;"",EDATE($D125,Milestones!$AA$34)&gt;=$T125),$W125,IF(AND($S125&lt;&gt;"",EDATE($D125,Milestones!$AA$34)&gt;=$S125),$V125,$U125)))=Milestones!$AB$34),UPPER(TEXT(EDATE($D125,Milestones!$AA$34),"dd mmm yy"))&amp;" "&amp;Milestones!$AB$34&amp;" "&amp;Milestones!$AC$34&amp;";  ","")&amp;IF(AND(EDATE($D125,Milestones!$AA$35)&lt;=AsOfDate,IF($R125=0,$X125,IF(AND($T125&lt;&gt;"",EDATE($D125,Milestones!$AA$35)&gt;=$T125),$W125,IF(AND($S125&lt;&gt;"",EDATE($D125,Milestones!$AA$35)&gt;=$S125),$V125,$U125)))=Milestones!$AB$35),UPPER(TEXT(EDATE($D125,Milestones!$AA$35),"dd mmm yy"))&amp;" "&amp;Milestones!$AB$35&amp;" "&amp;Milestones!$AC$35&amp;";  ","")&amp;IF(AND(EDATE($D125,Milestones!$AA$36)&lt;=AsOfDate,IF($R125=0,$X125,IF(AND($T125&lt;&gt;"",EDATE($D125,Milestones!$AA$36)&gt;=$T125),$W125,IF(AND($S125&lt;&gt;"",EDATE($D125,Milestones!$AA$36)&gt;=$S125),$V125,$U125)))=Milestones!$AB$36),UPPER(TEXT(EDATE($D125,Milestones!$AA$36),"dd mmm yy"))&amp;" "&amp;Milestones!$AB$36&amp;" "&amp;Milestones!$AC$36&amp;";  ","")&amp;IF(AND(EDATE($D125,Milestones!$AA$37)&lt;=AsOfDate,IF($R125=0,$X125,IF(AND($T125&lt;&gt;"",EDATE($D125,Milestones!$AA$37)&gt;=$T125),$W125,IF(AND($S125&lt;&gt;"",EDATE($D125,Milestones!$AA$37)&gt;=$S125),$V125,$U125)))=Milestones!$AB$37),UPPER(TEXT(EDATE($D125,Milestones!$AA$37),"dd mmm yy"))&amp;" "&amp;Milestones!$AB$37&amp;" "&amp;Milestones!$AC$37&amp;";  ","")&amp;IF(AND(EDATE($D125,Milestones!$AA$38)&lt;=AsOfDate,IF($R125=0,$X125,IF(AND($T125&lt;&gt;"",EDATE($D125,Milestones!$AA$38)&gt;=$T125),$W125,IF(AND($S125&lt;&gt;"",EDATE($D125,Milestones!$AA$38)&gt;=$S125),$V125,$U125)))=Milestones!$AB$38),UPPER(TEXT(EDATE($D125,Milestones!$AA$38),"dd mmm yy"))&amp;" "&amp;Milestones!$AB$38&amp;" "&amp;Milestones!$AC$38&amp;";  ","")&amp;IF(AND(EDATE($D125,Milestones!$AA$39)&lt;=AsOfDate,IF($R125=0,$X125,IF(AND($T125&lt;&gt;"",EDATE($D125,Milestones!$AA$39)&gt;=$T125),$W125,IF(AND($S125&lt;&gt;"",EDATE($D125,Milestones!$AA$39)&gt;=$S125),$V125,$U125)))=Milestones!$AB$39),UPPER(TEXT(EDATE($D125,Milestones!$AA$39),"dd mmm yy"))&amp;" "&amp;Milestones!$AB$39&amp;" "&amp;Milestones!$AC$39&amp;";  ",""))</f>
        <v/>
      </c>
      <c r="J125" s="0" t="str">
        <f aca="false">IF(OR($A125="",$D125=""),"",IF(AND(EDATE($D125,Milestones!$AA$40)&lt;=AsOfDate,IF($R125=0,$X125,IF(AND($T125&lt;&gt;"",EDATE($D125,Milestones!$AA$40)&gt;=$T125),$W125,IF(AND($S125&lt;&gt;"",EDATE($D125,Milestones!$AA$40)&gt;=$S125),$V125,$U125)))=Milestones!$AB$40),UPPER(TEXT(EDATE($D125,Milestones!$AA$40),"dd mmm yy"))&amp;" "&amp;Milestones!$AB$40&amp;" "&amp;Milestones!$AC$40&amp;";  ","")&amp;IF(AND(EDATE($D125,Milestones!$AA$41)&lt;=AsOfDate,IF($R125=0,$X125,IF(AND($T125&lt;&gt;"",EDATE($D125,Milestones!$AA$41)&gt;=$T125),$W125,IF(AND($S125&lt;&gt;"",EDATE($D125,Milestones!$AA$41)&gt;=$S125),$V125,$U125)))=Milestones!$AB$41),UPPER(TEXT(EDATE($D125,Milestones!$AA$41),"dd mmm yy"))&amp;" "&amp;Milestones!$AB$41&amp;" "&amp;Milestones!$AC$41&amp;";  ","")&amp;IF(AND(EDATE($D125,Milestones!$AA$42)&lt;=AsOfDate,IF($R125=0,$X125,IF(AND($T125&lt;&gt;"",EDATE($D125,Milestones!$AA$42)&gt;=$T125),$W125,IF(AND($S125&lt;&gt;"",EDATE($D125,Milestones!$AA$42)&gt;=$S125),$V125,$U125)))=Milestones!$AB$42),UPPER(TEXT(EDATE($D125,Milestones!$AA$42),"dd mmm yy"))&amp;" "&amp;Milestones!$AB$42&amp;" "&amp;Milestones!$AC$42&amp;";  ","")&amp;IF(AND(EDATE($D125,Milestones!$AA$43)&lt;=AsOfDate,IF($R125=0,$X125,IF(AND($T125&lt;&gt;"",EDATE($D125,Milestones!$AA$43)&gt;=$T125),$W125,IF(AND($S125&lt;&gt;"",EDATE($D125,Milestones!$AA$43)&gt;=$S125),$V125,$U125)))=Milestones!$AB$43),UPPER(TEXT(EDATE($D125,Milestones!$AA$43),"dd mmm yy"))&amp;" "&amp;Milestones!$AB$43&amp;" "&amp;Milestones!$AC$43&amp;";  ","")&amp;IF(AND(EDATE($D125,Milestones!$AA$44)&lt;=AsOfDate,IF($R125=0,$X125,IF(AND($T125&lt;&gt;"",EDATE($D125,Milestones!$AA$44)&gt;=$T125),$W125,IF(AND($S125&lt;&gt;"",EDATE($D125,Milestones!$AA$44)&gt;=$S125),$V125,$U125)))=Milestones!$AB$44),UPPER(TEXT(EDATE($D125,Milestones!$AA$44),"dd mmm yy"))&amp;" "&amp;Milestones!$AB$44&amp;" "&amp;Milestones!$AC$44&amp;";  ","")&amp;IF(AND(EDATE($D125,Milestones!$AA$45)&lt;=AsOfDate,IF($R125=0,$X125,IF(AND($T125&lt;&gt;"",EDATE($D125,Milestones!$AA$45)&gt;=$T125),$W125,IF(AND($S125&lt;&gt;"",EDATE($D125,Milestones!$AA$45)&gt;=$S125),$V125,$U125)))=Milestones!$AB$45),UPPER(TEXT(EDATE($D125,Milestones!$AA$45),"dd mmm yy"))&amp;" "&amp;Milestones!$AB$45&amp;" "&amp;Milestones!$AC$45&amp;";  ","")&amp;IF(AND(EDATE($D125,Milestones!$AA$46)&lt;=AsOfDate,IF($R125=0,$X125,IF(AND($T125&lt;&gt;"",EDATE($D125,Milestones!$AA$46)&gt;=$T125),$W125,IF(AND($S125&lt;&gt;"",EDATE($D125,Milestones!$AA$46)&gt;=$S125),$V125,$U125)))=Milestones!$AB$46),UPPER(TEXT(EDATE($D125,Milestones!$AA$46),"dd mmm yy"))&amp;" "&amp;Milestones!$AB$46&amp;" "&amp;Milestones!$AC$46&amp;";  ","")&amp;IF(AND(EDATE($D125,Milestones!$AA$47)&lt;=AsOfDate,IF($R125=0,$X125,IF(AND($T125&lt;&gt;"",EDATE($D125,Milestones!$AA$47)&gt;=$T125),$W125,IF(AND($S125&lt;&gt;"",EDATE($D125,Milestones!$AA$47)&gt;=$S125),$V125,$U125)))=Milestones!$AB$47),UPPER(TEXT(EDATE($D125,Milestones!$AA$47),"dd mmm yy"))&amp;" "&amp;Milestones!$AB$47&amp;" "&amp;Milestones!$AC$47&amp;";  ","")&amp;IF(AND(EDATE($D125,Milestones!$AA$48)&lt;=AsOfDate,IF($R125=0,$X125,IF(AND($T125&lt;&gt;"",EDATE($D125,Milestones!$AA$48)&gt;=$T125),$W125,IF(AND($S125&lt;&gt;"",EDATE($D125,Milestones!$AA$48)&gt;=$S125),$V125,$U125)))=Milestones!$AB$48),UPPER(TEXT(EDATE($D125,Milestones!$AA$48),"dd mmm yy"))&amp;" "&amp;Milestones!$AB$48&amp;" "&amp;Milestones!$AC$48&amp;";  ","")&amp;IF(AND(EDATE($D125,Milestones!$AA$49)&lt;=AsOfDate,IF($R125=0,$X125,IF(AND($T125&lt;&gt;"",EDATE($D125,Milestones!$AA$49)&gt;=$T125),$W125,IF(AND($S125&lt;&gt;"",EDATE($D125,Milestones!$AA$49)&gt;=$S125),$V125,$U125)))=Milestones!$AB$49),UPPER(TEXT(EDATE($D125,Milestones!$AA$49),"dd mmm yy"))&amp;" "&amp;Milestones!$AB$49&amp;" "&amp;Milestones!$AC$49&amp;";  ","")&amp;IF(AND(EDATE($D125,Milestones!$AA$50)&lt;=AsOfDate,IF($R125=0,$X125,IF(AND($T125&lt;&gt;"",EDATE($D125,Milestones!$AA$50)&gt;=$T125),$W125,IF(AND($S125&lt;&gt;"",EDATE($D125,Milestones!$AA$50)&gt;=$S125),$V125,$U125)))=Milestones!$AB$50),UPPER(TEXT(EDATE($D125,Milestones!$AA$50),"dd mmm yy"))&amp;" "&amp;Milestones!$AB$50&amp;" "&amp;Milestones!$AC$50&amp;";  ","")&amp;IF(AND(EDATE($D125,Milestones!$AA$51)&lt;=AsOfDate,IF($R125=0,$X125,IF(AND($T125&lt;&gt;"",EDATE($D125,Milestones!$AA$51)&gt;=$T125),$W125,IF(AND($S125&lt;&gt;"",EDATE($D125,Milestones!$AA$51)&gt;=$S125),$V125,$U125)))=Milestones!$AB$51),UPPER(TEXT(EDATE($D125,Milestones!$AA$51),"dd mmm yy"))&amp;" "&amp;Milestones!$AB$51&amp;" "&amp;Milestones!$AC$51&amp;";  ","")&amp;IF(AND(EDATE($D125,Milestones!$AA$52)&lt;=AsOfDate,IF($R125=0,$X125,IF(AND($T125&lt;&gt;"",EDATE($D125,Milestones!$AA$52)&gt;=$T125),$W125,IF(AND($S125&lt;&gt;"",EDATE($D125,Milestones!$AA$52)&gt;=$S125),$V125,$U125)))=Milestones!$AB$52),UPPER(TEXT(EDATE($D125,Milestones!$AA$52),"dd mmm yy"))&amp;" "&amp;Milestones!$AB$52&amp;" "&amp;Milestones!$AC$52&amp;";  ","")&amp;IF(AND(EDATE($D125,Milestones!$AA$53)&lt;=AsOfDate,IF($R125=0,$X125,IF(AND($T125&lt;&gt;"",EDATE($D125,Milestones!$AA$53)&gt;=$T125),$W125,IF(AND($S125&lt;&gt;"",EDATE($D125,Milestones!$AA$53)&gt;=$S125),$V125,$U125)))=Milestones!$AB$53),UPPER(TEXT(EDATE($D125,Milestones!$AA$53),"dd mmm yy"))&amp;" "&amp;Milestones!$AB$53&amp;" "&amp;Milestones!$AC$53&amp;";  ","")&amp;IF(AND(EDATE($D125,Milestones!$AA$54)&lt;=AsOfDate,IF($R125=0,$X125,IF(AND($T125&lt;&gt;"",EDATE($D125,Milestones!$AA$54)&gt;=$T125),$W125,IF(AND($S125&lt;&gt;"",EDATE($D125,Milestones!$AA$54)&gt;=$S125),$V125,$U125)))=Milestones!$AB$54),UPPER(TEXT(EDATE($D125,Milestones!$AA$54),"dd mmm yy"))&amp;" "&amp;Milestones!$AB$54&amp;" "&amp;Milestones!$AC$54&amp;";  ","")&amp;IF(AND(EDATE($D125,Milestones!$AA$55)&lt;=AsOfDate,IF($R125=0,$X125,IF(AND($T125&lt;&gt;"",EDATE($D125,Milestones!$AA$55)&gt;=$T125),$W125,IF(AND($S125&lt;&gt;"",EDATE($D125,Milestones!$AA$55)&gt;=$S125),$V125,$U125)))=Milestones!$AB$55),UPPER(TEXT(EDATE($D125,Milestones!$AA$55),"dd mmm yy"))&amp;" "&amp;Milestones!$AB$55&amp;" "&amp;Milestones!$AC$55&amp;";  ","")&amp;IF(AND(EDATE($D125,Milestones!$AA$56)&lt;=AsOfDate,IF($R125=0,$X125,IF(AND($T125&lt;&gt;"",EDATE($D125,Milestones!$AA$56)&gt;=$T125),$W125,IF(AND($S125&lt;&gt;"",EDATE($D125,Milestones!$AA$56)&gt;=$S125),$V125,$U125)))=Milestones!$AB$56),UPPER(TEXT(EDATE($D125,Milestones!$AA$56),"dd mmm yy"))&amp;" "&amp;Milestones!$AB$56&amp;" "&amp;Milestones!$AC$56&amp;";  ","")&amp;IF(AND(EDATE($D125,Milestones!$AA$57)&lt;=AsOfDate,IF($R125=0,$X125,IF(AND($T125&lt;&gt;"",EDATE($D125,Milestones!$AA$57)&gt;=$T125),$W125,IF(AND($S125&lt;&gt;"",EDATE($D125,Milestones!$AA$57)&gt;=$S125),$V125,$U125)))=Milestones!$AB$57),UPPER(TEXT(EDATE($D125,Milestones!$AA$57),"dd mmm yy"))&amp;" "&amp;Milestones!$AB$57&amp;" "&amp;Milestones!$AC$57&amp;";  ","")&amp;IF(AND(EDATE($D125,Milestones!$AA$58)&lt;=AsOfDate,IF($R125=0,$X125,IF(AND($T125&lt;&gt;"",EDATE($D125,Milestones!$AA$58)&gt;=$T125),$W125,IF(AND($S125&lt;&gt;"",EDATE($D125,Milestones!$AA$58)&gt;=$S125),$V125,$U125)))=Milestones!$AB$58),UPPER(TEXT(EDATE($D125,Milestones!$AA$58),"dd mmm yy"))&amp;" "&amp;Milestones!$AB$58&amp;" "&amp;Milestones!$AC$58&amp;";  ","")&amp;IF(AND(EDATE($D125,Milestones!$AA$59)&lt;=AsOfDate,IF($R125=0,$X125,IF(AND($T125&lt;&gt;"",EDATE($D125,Milestones!$AA$59)&gt;=$T125),$W125,IF(AND($S125&lt;&gt;"",EDATE($D125,Milestones!$AA$59)&gt;=$S125),$V125,$U125)))=Milestones!$AB$59),UPPER(TEXT(EDATE($D125,Milestones!$AA$59),"dd mmm yy"))&amp;" "&amp;Milestones!$AB$59&amp;" "&amp;Milestones!$AC$59&amp;";  ",""))</f>
        <v/>
      </c>
      <c r="K125" s="0" t="str">
        <f aca="false">IF(OR($A125="",$D125=""),"",IF(AND(EDATE($D125,Milestones!$AA$60)&lt;=AsOfDate,IF($R125=0,$X125,IF(AND($T125&lt;&gt;"",EDATE($D125,Milestones!$AA$60)&gt;=$T125),$W125,IF(AND($S125&lt;&gt;"",EDATE($D125,Milestones!$AA$60)&gt;=$S125),$V125,$U125)))=Milestones!$AB$60),UPPER(TEXT(EDATE($D125,Milestones!$AA$60),"dd mmm yy"))&amp;" "&amp;Milestones!$AB$60&amp;" "&amp;Milestones!$AC$60&amp;";  ","")&amp;IF(AND(EDATE($D125,Milestones!$AA$61)&lt;=AsOfDate,IF($R125=0,$X125,IF(AND($T125&lt;&gt;"",EDATE($D125,Milestones!$AA$61)&gt;=$T125),$W125,IF(AND($S125&lt;&gt;"",EDATE($D125,Milestones!$AA$61)&gt;=$S125),$V125,$U125)))=Milestones!$AB$61),UPPER(TEXT(EDATE($D125,Milestones!$AA$61),"dd mmm yy"))&amp;" "&amp;Milestones!$AB$61&amp;" "&amp;Milestones!$AC$61&amp;";  ","")&amp;IF(AND(EDATE($D125,Milestones!$AA$62)&lt;=AsOfDate,IF($R125=0,$X125,IF(AND($T125&lt;&gt;"",EDATE($D125,Milestones!$AA$62)&gt;=$T125),$W125,IF(AND($S125&lt;&gt;"",EDATE($D125,Milestones!$AA$62)&gt;=$S125),$V125,$U125)))=Milestones!$AB$62),UPPER(TEXT(EDATE($D125,Milestones!$AA$62),"dd mmm yy"))&amp;" "&amp;Milestones!$AB$62&amp;" "&amp;Milestones!$AC$62&amp;";  ","")&amp;IF(AND(EDATE($D125,Milestones!$AA$63)&lt;=AsOfDate,IF($R125=0,$X125,IF(AND($T125&lt;&gt;"",EDATE($D125,Milestones!$AA$63)&gt;=$T125),$W125,IF(AND($S125&lt;&gt;"",EDATE($D125,Milestones!$AA$63)&gt;=$S125),$V125,$U125)))=Milestones!$AB$63),UPPER(TEXT(EDATE($D125,Milestones!$AA$63),"dd mmm yy"))&amp;" "&amp;Milestones!$AB$63&amp;" "&amp;Milestones!$AC$63&amp;";  ","")&amp;IF(AND(EDATE($D125,Milestones!$AA$64)&lt;=AsOfDate,IF($R125=0,$X125,IF(AND($T125&lt;&gt;"",EDATE($D125,Milestones!$AA$64)&gt;=$T125),$W125,IF(AND($S125&lt;&gt;"",EDATE($D125,Milestones!$AA$64)&gt;=$S125),$V125,$U125)))=Milestones!$AB$64),UPPER(TEXT(EDATE($D125,Milestones!$AA$64),"dd mmm yy"))&amp;" "&amp;Milestones!$AB$64&amp;" "&amp;Milestones!$AC$64&amp;";  ","")&amp;IF(AND(EDATE($D125,Milestones!$AA$65)&lt;=AsOfDate,IF($R125=0,$X125,IF(AND($T125&lt;&gt;"",EDATE($D125,Milestones!$AA$65)&gt;=$T125),$W125,IF(AND($S125&lt;&gt;"",EDATE($D125,Milestones!$AA$65)&gt;=$S125),$V125,$U125)))=Milestones!$AB$65),UPPER(TEXT(EDATE($D125,Milestones!$AA$65),"dd mmm yy"))&amp;" "&amp;Milestones!$AB$65&amp;" "&amp;Milestones!$AC$65&amp;";  ","")&amp;IF(AND(EDATE($D125,Milestones!$AA$66)&lt;=AsOfDate,IF($R125=0,$X125,IF(AND($T125&lt;&gt;"",EDATE($D125,Milestones!$AA$66)&gt;=$T125),$W125,IF(AND($S125&lt;&gt;"",EDATE($D125,Milestones!$AA$66)&gt;=$S125),$V125,$U125)))=Milestones!$AB$66),UPPER(TEXT(EDATE($D125,Milestones!$AA$66),"dd mmm yy"))&amp;" "&amp;Milestones!$AB$66&amp;" "&amp;Milestones!$AC$66&amp;";  ","")&amp;IF(AND(EDATE($D125,Milestones!$AA$67)&lt;=AsOfDate,IF($R125=0,$X125,IF(AND($T125&lt;&gt;"",EDATE($D125,Milestones!$AA$67)&gt;=$T125),$W125,IF(AND($S125&lt;&gt;"",EDATE($D125,Milestones!$AA$67)&gt;=$S125),$V125,$U125)))=Milestones!$AB$67),UPPER(TEXT(EDATE($D125,Milestones!$AA$67),"dd mmm yy"))&amp;" "&amp;Milestones!$AB$67&amp;" "&amp;Milestones!$AC$67&amp;";  ","")&amp;IF(AND(EDATE($D125,Milestones!$AA$68)&lt;=AsOfDate,IF($R125=0,$X125,IF(AND($T125&lt;&gt;"",EDATE($D125,Milestones!$AA$68)&gt;=$T125),$W125,IF(AND($S125&lt;&gt;"",EDATE($D125,Milestones!$AA$68)&gt;=$S125),$V125,$U125)))=Milestones!$AB$68),UPPER(TEXT(EDATE($D125,Milestones!$AA$68),"dd mmm yy"))&amp;" "&amp;Milestones!$AB$68&amp;" "&amp;Milestones!$AC$68&amp;";  ","")&amp;IF(AND(EDATE($D125,Milestones!$AA$69)&lt;=AsOfDate,IF($R125=0,$X125,IF(AND($T125&lt;&gt;"",EDATE($D125,Milestones!$AA$69)&gt;=$T125),$W125,IF(AND($S125&lt;&gt;"",EDATE($D125,Milestones!$AA$69)&gt;=$S125),$V125,$U125)))=Milestones!$AB$69),UPPER(TEXT(EDATE($D125,Milestones!$AA$69),"dd mmm yy"))&amp;" "&amp;Milestones!$AB$69&amp;" "&amp;Milestones!$AC$69&amp;";  ","")&amp;IF(AND(EDATE($D125,Milestones!$AA$70)&lt;=AsOfDate,IF($R125=0,$X125,IF(AND($T125&lt;&gt;"",EDATE($D125,Milestones!$AA$70)&gt;=$T125),$W125,IF(AND($S125&lt;&gt;"",EDATE($D125,Milestones!$AA$70)&gt;=$S125),$V125,$U125)))=Milestones!$AB$70),UPPER(TEXT(EDATE($D125,Milestones!$AA$70),"dd mmm yy"))&amp;" "&amp;Milestones!$AB$70&amp;" "&amp;Milestones!$AC$70&amp;";  ","")&amp;IF(AND(EDATE($D125,Milestones!$AA$71)&lt;=AsOfDate,IF($R125=0,$X125,IF(AND($T125&lt;&gt;"",EDATE($D125,Milestones!$AA$71)&gt;=$T125),$W125,IF(AND($S125&lt;&gt;"",EDATE($D125,Milestones!$AA$71)&gt;=$S125),$V125,$U125)))=Milestones!$AB$71),UPPER(TEXT(EDATE($D125,Milestones!$AA$71),"dd mmm yy"))&amp;" "&amp;Milestones!$AB$71&amp;" "&amp;Milestones!$AC$71&amp;";  ","")&amp;IF(AND(EDATE($D125,Milestones!$AA$72)&lt;=AsOfDate,IF($R125=0,$X125,IF(AND($T125&lt;&gt;"",EDATE($D125,Milestones!$AA$72)&gt;=$T125),$W125,IF(AND($S125&lt;&gt;"",EDATE($D125,Milestones!$AA$72)&gt;=$S125),$V125,$U125)))=Milestones!$AB$72),UPPER(TEXT(EDATE($D125,Milestones!$AA$72),"dd mmm yy"))&amp;" "&amp;Milestones!$AB$72&amp;" "&amp;Milestones!$AC$72&amp;";  ","")&amp;IF(AND(EDATE($D125,Milestones!$AA$73)&lt;=AsOfDate,IF($R125=0,$X125,IF(AND($T125&lt;&gt;"",EDATE($D125,Milestones!$AA$73)&gt;=$T125),$W125,IF(AND($S125&lt;&gt;"",EDATE($D125,Milestones!$AA$73)&gt;=$S125),$V125,$U125)))=Milestones!$AB$73),UPPER(TEXT(EDATE($D125,Milestones!$AA$73),"dd mmm yy"))&amp;" "&amp;Milestones!$AB$73&amp;" "&amp;Milestones!$AC$73&amp;";  ","")&amp;IF(AND(EDATE($D125,Milestones!$AA$74)&lt;=AsOfDate,IF($R125=0,$X125,IF(AND($T125&lt;&gt;"",EDATE($D125,Milestones!$AA$74)&gt;=$T125),$W125,IF(AND($S125&lt;&gt;"",EDATE($D125,Milestones!$AA$74)&gt;=$S125),$V125,$U125)))=Milestones!$AB$74),UPPER(TEXT(EDATE($D125,Milestones!$AA$74),"dd mmm yy"))&amp;" "&amp;Milestones!$AB$74&amp;" "&amp;Milestones!$AC$74&amp;";  ","")&amp;IF(AND(EDATE($D125,Milestones!$AA$75)&lt;=AsOfDate,IF($R125=0,$X125,IF(AND($T125&lt;&gt;"",EDATE($D125,Milestones!$AA$75)&gt;=$T125),$W125,IF(AND($S125&lt;&gt;"",EDATE($D125,Milestones!$AA$75)&gt;=$S125),$V125,$U125)))=Milestones!$AB$75),UPPER(TEXT(EDATE($D125,Milestones!$AA$75),"dd mmm yy"))&amp;" "&amp;Milestones!$AB$75&amp;" "&amp;Milestones!$AC$75&amp;";  ","")&amp;IF(AND(EDATE($D125,Milestones!$AA$76)&lt;=AsOfDate,IF($R125=0,$X125,IF(AND($T125&lt;&gt;"",EDATE($D125,Milestones!$AA$76)&gt;=$T125),$W125,IF(AND($S125&lt;&gt;"",EDATE($D125,Milestones!$AA$76)&gt;=$S125),$V125,$U125)))=Milestones!$AB$76),UPPER(TEXT(EDATE($D125,Milestones!$AA$76),"dd mmm yy"))&amp;" "&amp;Milestones!$AB$76&amp;" "&amp;Milestones!$AC$76&amp;";  ","")&amp;IF(AND(EDATE($D125,Milestones!$AA$77)&lt;=AsOfDate,IF($R125=0,$X125,IF(AND($T125&lt;&gt;"",EDATE($D125,Milestones!$AA$77)&gt;=$T125),$W125,IF(AND($S125&lt;&gt;"",EDATE($D125,Milestones!$AA$77)&gt;=$S125),$V125,$U125)))=Milestones!$AB$77),UPPER(TEXT(EDATE($D125,Milestones!$AA$77),"dd mmm yy"))&amp;" "&amp;Milestones!$AB$77&amp;" "&amp;Milestones!$AC$77&amp;";  ","")&amp;IF(AND(EDATE($D125,Milestones!$AA$78)&lt;=AsOfDate,IF($R125=0,$X125,IF(AND($T125&lt;&gt;"",EDATE($D125,Milestones!$AA$78)&gt;=$T125),$W125,IF(AND($S125&lt;&gt;"",EDATE($D125,Milestones!$AA$78)&gt;=$S125),$V125,$U125)))=Milestones!$AB$78),UPPER(TEXT(EDATE($D125,Milestones!$AA$78),"dd mmm yy"))&amp;" "&amp;Milestones!$AB$78&amp;" "&amp;Milestones!$AC$78&amp;";  ","")&amp;IF(AND(EDATE($D125,Milestones!$AA$79)&lt;=AsOfDate,IF($R125=0,$X125,IF(AND($T125&lt;&gt;"",EDATE($D125,Milestones!$AA$79)&gt;=$T125),$W125,IF(AND($S125&lt;&gt;"",EDATE($D125,Milestones!$AA$79)&gt;=$S125),$V125,$U125)))=Milestones!$AB$79),UPPER(TEXT(EDATE($D125,Milestones!$AA$79),"dd mmm yy"))&amp;" "&amp;Milestones!$AB$79&amp;" "&amp;Milestones!$AC$79&amp;";  ",""))</f>
        <v/>
      </c>
      <c r="L125" s="0" t="str">
        <f aca="false">IF(OR($A125="",$D125=""),"",IF(AND(EDATE($D125,Milestones!$AA$80)&lt;=AsOfDate,IF($R125=0,$X125,IF(AND($T125&lt;&gt;"",EDATE($D125,Milestones!$AA$80)&gt;=$T125),$W125,IF(AND($S125&lt;&gt;"",EDATE($D125,Milestones!$AA$80)&gt;=$S125),$V125,$U125)))=Milestones!$AB$80),UPPER(TEXT(EDATE($D125,Milestones!$AA$80),"dd mmm yy"))&amp;" "&amp;Milestones!$AB$80&amp;" "&amp;Milestones!$AC$80&amp;";  ","")&amp;IF(AND(EDATE($D125,Milestones!$AA$81)&lt;=AsOfDate,IF($R125=0,$X125,IF(AND($T125&lt;&gt;"",EDATE($D125,Milestones!$AA$81)&gt;=$T125),$W125,IF(AND($S125&lt;&gt;"",EDATE($D125,Milestones!$AA$81)&gt;=$S125),$V125,$U125)))=Milestones!$AB$81),UPPER(TEXT(EDATE($D125,Milestones!$AA$81),"dd mmm yy"))&amp;" "&amp;Milestones!$AB$81&amp;" "&amp;Milestones!$AC$81&amp;";  ","")&amp;IF(AND(EDATE($D125,Milestones!$AA$82)&lt;=AsOfDate,IF($R125=0,$X125,IF(AND($T125&lt;&gt;"",EDATE($D125,Milestones!$AA$82)&gt;=$T125),$W125,IF(AND($S125&lt;&gt;"",EDATE($D125,Milestones!$AA$82)&gt;=$S125),$V125,$U125)))=Milestones!$AB$82),UPPER(TEXT(EDATE($D125,Milestones!$AA$82),"dd mmm yy"))&amp;" "&amp;Milestones!$AB$82&amp;" "&amp;Milestones!$AC$82&amp;";  ","")&amp;IF(AND(EDATE($D125,Milestones!$AA$83)&lt;=AsOfDate,IF($R125=0,$X125,IF(AND($T125&lt;&gt;"",EDATE($D125,Milestones!$AA$83)&gt;=$T125),$W125,IF(AND($S125&lt;&gt;"",EDATE($D125,Milestones!$AA$83)&gt;=$S125),$V125,$U125)))=Milestones!$AB$83),UPPER(TEXT(EDATE($D125,Milestones!$AA$83),"dd mmm yy"))&amp;" "&amp;Milestones!$AB$83&amp;" "&amp;Milestones!$AC$83&amp;";  ","")&amp;IF(AND(EDATE($D125,Milestones!$AA$84)&lt;=AsOfDate,IF($R125=0,$X125,IF(AND($T125&lt;&gt;"",EDATE($D125,Milestones!$AA$84)&gt;=$T125),$W125,IF(AND($S125&lt;&gt;"",EDATE($D125,Milestones!$AA$84)&gt;=$S125),$V125,$U125)))=Milestones!$AB$84),UPPER(TEXT(EDATE($D125,Milestones!$AA$84),"dd mmm yy"))&amp;" "&amp;Milestones!$AB$84&amp;" "&amp;Milestones!$AC$84&amp;";  ","")&amp;IF(AND(EDATE($D125,Milestones!$AA$85)&lt;=AsOfDate,IF($R125=0,$X125,IF(AND($T125&lt;&gt;"",EDATE($D125,Milestones!$AA$85)&gt;=$T125),$W125,IF(AND($S125&lt;&gt;"",EDATE($D125,Milestones!$AA$85)&gt;=$S125),$V125,$U125)))=Milestones!$AB$85),UPPER(TEXT(EDATE($D125,Milestones!$AA$85),"dd mmm yy"))&amp;" "&amp;Milestones!$AB$85&amp;" "&amp;Milestones!$AC$85&amp;";  ","")&amp;IF(AND(EDATE($D125,Milestones!$AA$86)&lt;=AsOfDate,IF($R125=0,$X125,IF(AND($T125&lt;&gt;"",EDATE($D125,Milestones!$AA$86)&gt;=$T125),$W125,IF(AND($S125&lt;&gt;"",EDATE($D125,Milestones!$AA$86)&gt;=$S125),$V125,$U125)))=Milestones!$AB$86),UPPER(TEXT(EDATE($D125,Milestones!$AA$86),"dd mmm yy"))&amp;" "&amp;Milestones!$AB$86&amp;" "&amp;Milestones!$AC$86&amp;";  ","")&amp;IF(AND(EDATE($D125,Milestones!$AA$87)&lt;=AsOfDate,IF($R125=0,$X125,IF(AND($T125&lt;&gt;"",EDATE($D125,Milestones!$AA$87)&gt;=$T125),$W125,IF(AND($S125&lt;&gt;"",EDATE($D125,Milestones!$AA$87)&gt;=$S125),$V125,$U125)))=Milestones!$AB$87),UPPER(TEXT(EDATE($D125,Milestones!$AA$87),"dd mmm yy"))&amp;" "&amp;Milestones!$AB$87&amp;" "&amp;Milestones!$AC$87&amp;";  ","")&amp;IF(AND(EDATE($D125,Milestones!$AA$88)&lt;=AsOfDate,IF($R125=0,$X125,IF(AND($T125&lt;&gt;"",EDATE($D125,Milestones!$AA$88)&gt;=$T125),$W125,IF(AND($S125&lt;&gt;"",EDATE($D125,Milestones!$AA$88)&gt;=$S125),$V125,$U125)))=Milestones!$AB$88),UPPER(TEXT(EDATE($D125,Milestones!$AA$88),"dd mmm yy"))&amp;" "&amp;Milestones!$AB$88&amp;" "&amp;Milestones!$AC$88&amp;";  ","")&amp;IF(AND(EDATE($D125,Milestones!$AA$89)&lt;=AsOfDate,IF($R125=0,$X125,IF(AND($T125&lt;&gt;"",EDATE($D125,Milestones!$AA$89)&gt;=$T125),$W125,IF(AND($S125&lt;&gt;"",EDATE($D125,Milestones!$AA$89)&gt;=$S125),$V125,$U125)))=Milestones!$AB$89),UPPER(TEXT(EDATE($D125,Milestones!$AA$89),"dd mmm yy"))&amp;" "&amp;Milestones!$AB$89&amp;" "&amp;Milestones!$AC$89&amp;";  ","")&amp;IF(AND(EDATE($D125,Milestones!$AA$90)&lt;=AsOfDate,IF($R125=0,$X125,IF(AND($T125&lt;&gt;"",EDATE($D125,Milestones!$AA$90)&gt;=$T125),$W125,IF(AND($S125&lt;&gt;"",EDATE($D125,Milestones!$AA$90)&gt;=$S125),$V125,$U125)))=Milestones!$AB$90),UPPER(TEXT(EDATE($D125,Milestones!$AA$90),"dd mmm yy"))&amp;" "&amp;Milestones!$AB$90&amp;" "&amp;Milestones!$AC$90&amp;";  ","")&amp;IF(AND(EDATE($D125,Milestones!$AA$91)&lt;=AsOfDate,IF($R125=0,$X125,IF(AND($T125&lt;&gt;"",EDATE($D125,Milestones!$AA$91)&gt;=$T125),$W125,IF(AND($S125&lt;&gt;"",EDATE($D125,Milestones!$AA$91)&gt;=$S125),$V125,$U125)))=Milestones!$AB$91),UPPER(TEXT(EDATE($D125,Milestones!$AA$91),"dd mmm yy"))&amp;" "&amp;Milestones!$AB$91&amp;" "&amp;Milestones!$AC$91&amp;";  ","")&amp;IF(AND(EDATE($D125,Milestones!$AA$92)&lt;=AsOfDate,IF($R125=0,$X125,IF(AND($T125&lt;&gt;"",EDATE($D125,Milestones!$AA$92)&gt;=$T125),$W125,IF(AND($S125&lt;&gt;"",EDATE($D125,Milestones!$AA$92)&gt;=$S125),$V125,$U125)))=Milestones!$AB$92),UPPER(TEXT(EDATE($D125,Milestones!$AA$92),"dd mmm yy"))&amp;" "&amp;Milestones!$AB$92&amp;" "&amp;Milestones!$AC$92&amp;";  ","")&amp;IF(AND(EDATE($D125,Milestones!$AA$93)&lt;=AsOfDate,IF($R125=0,$X125,IF(AND($T125&lt;&gt;"",EDATE($D125,Milestones!$AA$93)&gt;=$T125),$W125,IF(AND($S125&lt;&gt;"",EDATE($D125,Milestones!$AA$93)&gt;=$S125),$V125,$U125)))=Milestones!$AB$93),UPPER(TEXT(EDATE($D125,Milestones!$AA$93),"dd mmm yy"))&amp;" "&amp;Milestones!$AB$93&amp;" "&amp;Milestones!$AC$93&amp;";  ","")&amp;IF(AND(EDATE($D125,Milestones!$AA$94)&lt;=AsOfDate,IF($R125=0,$X125,IF(AND($T125&lt;&gt;"",EDATE($D125,Milestones!$AA$94)&gt;=$T125),$W125,IF(AND($S125&lt;&gt;"",EDATE($D125,Milestones!$AA$94)&gt;=$S125),$V125,$U125)))=Milestones!$AB$94),UPPER(TEXT(EDATE($D125,Milestones!$AA$94),"dd mmm yy"))&amp;" "&amp;Milestones!$AB$94&amp;" "&amp;Milestones!$AC$94&amp;";  ","")&amp;IF(AND(EDATE($D125,Milestones!$AA$95)&lt;=AsOfDate,IF($R125=0,$X125,IF(AND($T125&lt;&gt;"",EDATE($D125,Milestones!$AA$95)&gt;=$T125),$W125,IF(AND($S125&lt;&gt;"",EDATE($D125,Milestones!$AA$95)&gt;=$S125),$V125,$U125)))=Milestones!$AB$95),UPPER(TEXT(EDATE($D125,Milestones!$AA$95),"dd mmm yy"))&amp;" "&amp;Milestones!$AB$95&amp;" "&amp;Milestones!$AC$95&amp;";  ","")&amp;IF(AND(EDATE($D125,Milestones!$AA$96)&lt;=AsOfDate,IF($R125=0,$X125,IF(AND($T125&lt;&gt;"",EDATE($D125,Milestones!$AA$96)&gt;=$T125),$W125,IF(AND($S125&lt;&gt;"",EDATE($D125,Milestones!$AA$96)&gt;=$S125),$V125,$U125)))=Milestones!$AB$96),UPPER(TEXT(EDATE($D125,Milestones!$AA$96),"dd mmm yy"))&amp;" "&amp;Milestones!$AB$96&amp;" "&amp;Milestones!$AC$96&amp;";  ","")&amp;IF(AND(EDATE($D125,Milestones!$AA$97)&lt;=AsOfDate,IF($R125=0,$X125,IF(AND($T125&lt;&gt;"",EDATE($D125,Milestones!$AA$97)&gt;=$T125),$W125,IF(AND($S125&lt;&gt;"",EDATE($D125,Milestones!$AA$97)&gt;=$S125),$V125,$U125)))=Milestones!$AB$97),UPPER(TEXT(EDATE($D125,Milestones!$AA$97),"dd mmm yy"))&amp;" "&amp;Milestones!$AB$97&amp;" "&amp;Milestones!$AC$97&amp;";  ","")&amp;IF(AND(EDATE($D125,Milestones!$AA$98)&lt;=AsOfDate,IF($R125=0,$X125,IF(AND($T125&lt;&gt;"",EDATE($D125,Milestones!$AA$98)&gt;=$T125),$W125,IF(AND($S125&lt;&gt;"",EDATE($D125,Milestones!$AA$98)&gt;=$S125),$V125,$U125)))=Milestones!$AB$98),UPPER(TEXT(EDATE($D125,Milestones!$AA$98),"dd mmm yy"))&amp;" "&amp;Milestones!$AB$98&amp;" "&amp;Milestones!$AC$98&amp;";  ","")&amp;IF(AND(EDATE($D125,Milestones!$AA$99)&lt;=AsOfDate,IF($R125=0,$X125,IF(AND($T125&lt;&gt;"",EDATE($D125,Milestones!$AA$99)&gt;=$T125),$W125,IF(AND($S125&lt;&gt;"",EDATE($D125,Milestones!$AA$99)&gt;=$S125),$V125,$U125)))=Milestones!$AB$99),UPPER(TEXT(EDATE($D125,Milestones!$AA$99),"dd mmm yy"))&amp;" "&amp;Milestones!$AB$99&amp;" "&amp;Milestones!$AC$99&amp;";  ",""))</f>
        <v/>
      </c>
      <c r="M125" s="0" t="str">
        <f aca="false">IF(OR($A125="",$D125=""),"",IF(AND(EDATE($D125,Milestones!$AA$100)&lt;=AsOfDate,IF($R125=0,$X125,IF(AND($T125&lt;&gt;"",EDATE($D125,Milestones!$AA$100)&gt;=$T125),$W125,IF(AND($S125&lt;&gt;"",EDATE($D125,Milestones!$AA$100)&gt;=$S125),$V125,$U125)))=Milestones!$AB$100),UPPER(TEXT(EDATE($D125,Milestones!$AA$100),"dd mmm yy"))&amp;" "&amp;Milestones!$AB$100&amp;" "&amp;Milestones!$AC$100&amp;";  ","")&amp;IF(AND(EDATE($D125,Milestones!$AA$101)&lt;=AsOfDate,IF($R125=0,$X125,IF(AND($T125&lt;&gt;"",EDATE($D125,Milestones!$AA$101)&gt;=$T125),$W125,IF(AND($S125&lt;&gt;"",EDATE($D125,Milestones!$AA$101)&gt;=$S125),$V125,$U125)))=Milestones!$AB$101),UPPER(TEXT(EDATE($D125,Milestones!$AA$101),"dd mmm yy"))&amp;" "&amp;Milestones!$AB$101&amp;" "&amp;Milestones!$AC$101&amp;";  ","")&amp;IF(AND(EDATE($D125,Milestones!$AA$102)&lt;=AsOfDate,IF($R125=0,$X125,IF(AND($T125&lt;&gt;"",EDATE($D125,Milestones!$AA$102)&gt;=$T125),$W125,IF(AND($S125&lt;&gt;"",EDATE($D125,Milestones!$AA$102)&gt;=$S125),$V125,$U125)))=Milestones!$AB$102),UPPER(TEXT(EDATE($D125,Milestones!$AA$102),"dd mmm yy"))&amp;" "&amp;Milestones!$AB$102&amp;" "&amp;Milestones!$AC$102&amp;";  ","")&amp;IF(AND(EDATE($D125,Milestones!$AA$103)&lt;=AsOfDate,IF($R125=0,$X125,IF(AND($T125&lt;&gt;"",EDATE($D125,Milestones!$AA$103)&gt;=$T125),$W125,IF(AND($S125&lt;&gt;"",EDATE($D125,Milestones!$AA$103)&gt;=$S125),$V125,$U125)))=Milestones!$AB$103),UPPER(TEXT(EDATE($D125,Milestones!$AA$103),"dd mmm yy"))&amp;" "&amp;Milestones!$AB$103&amp;" "&amp;Milestones!$AC$103&amp;";  ","")&amp;IF(AND(EDATE($D125,Milestones!$AA$104)&lt;=AsOfDate,IF($R125=0,$X125,IF(AND($T125&lt;&gt;"",EDATE($D125,Milestones!$AA$104)&gt;=$T125),$W125,IF(AND($S125&lt;&gt;"",EDATE($D125,Milestones!$AA$104)&gt;=$S125),$V125,$U125)))=Milestones!$AB$104),UPPER(TEXT(EDATE($D125,Milestones!$AA$104),"dd mmm yy"))&amp;" "&amp;Milestones!$AB$104&amp;" "&amp;Milestones!$AC$104&amp;";  ","")&amp;IF(AND(EDATE($D125,Milestones!$AA$105)&lt;=AsOfDate,IF($R125=0,$X125,IF(AND($T125&lt;&gt;"",EDATE($D125,Milestones!$AA$105)&gt;=$T125),$W125,IF(AND($S125&lt;&gt;"",EDATE($D125,Milestones!$AA$105)&gt;=$S125),$V125,$U125)))=Milestones!$AB$105),UPPER(TEXT(EDATE($D125,Milestones!$AA$105),"dd mmm yy"))&amp;" "&amp;Milestones!$AB$105&amp;" "&amp;Milestones!$AC$105&amp;";  ","")&amp;IF(AND(EDATE($D125,Milestones!$AA$106)&lt;=AsOfDate,IF($R125=0,$X125,IF(AND($T125&lt;&gt;"",EDATE($D125,Milestones!$AA$106)&gt;=$T125),$W125,IF(AND($S125&lt;&gt;"",EDATE($D125,Milestones!$AA$106)&gt;=$S125),$V125,$U125)))=Milestones!$AB$106),UPPER(TEXT(EDATE($D125,Milestones!$AA$106),"dd mmm yy"))&amp;" "&amp;Milestones!$AB$106&amp;" "&amp;Milestones!$AC$106&amp;";  ","")&amp;IF(AND(EDATE($D125,Milestones!$AA$107)&lt;=AsOfDate,IF($R125=0,$X125,IF(AND($T125&lt;&gt;"",EDATE($D125,Milestones!$AA$107)&gt;=$T125),$W125,IF(AND($S125&lt;&gt;"",EDATE($D125,Milestones!$AA$107)&gt;=$S125),$V125,$U125)))=Milestones!$AB$107),UPPER(TEXT(EDATE($D125,Milestones!$AA$107),"dd mmm yy"))&amp;" "&amp;Milestones!$AB$107&amp;" "&amp;Milestones!$AC$107&amp;";  ","")&amp;IF(AND(EDATE($D125,Milestones!$AA$108)&lt;=AsOfDate,IF($R125=0,$X125,IF(AND($T125&lt;&gt;"",EDATE($D125,Milestones!$AA$108)&gt;=$T125),$W125,IF(AND($S125&lt;&gt;"",EDATE($D125,Milestones!$AA$108)&gt;=$S125),$V125,$U125)))=Milestones!$AB$108),UPPER(TEXT(EDATE($D125,Milestones!$AA$108),"dd mmm yy"))&amp;" "&amp;Milestones!$AB$108&amp;" "&amp;Milestones!$AC$108&amp;";  ","")&amp;IF(AND(EDATE($D125,Milestones!$AA$109)&lt;=AsOfDate,IF($R125=0,$X125,IF(AND($T125&lt;&gt;"",EDATE($D125,Milestones!$AA$109)&gt;=$T125),$W125,IF(AND($S125&lt;&gt;"",EDATE($D125,Milestones!$AA$109)&gt;=$S125),$V125,$U125)))=Milestones!$AB$109),UPPER(TEXT(EDATE($D125,Milestones!$AA$109),"dd mmm yy"))&amp;" "&amp;Milestones!$AB$109&amp;" "&amp;Milestones!$AC$109&amp;";  ","")&amp;IF(AND(EDATE($D125,Milestones!$AA$110)&lt;=AsOfDate,IF($R125=0,$X125,IF(AND($T125&lt;&gt;"",EDATE($D125,Milestones!$AA$110)&gt;=$T125),$W125,IF(AND($S125&lt;&gt;"",EDATE($D125,Milestones!$AA$110)&gt;=$S125),$V125,$U125)))=Milestones!$AB$110),UPPER(TEXT(EDATE($D125,Milestones!$AA$110),"dd mmm yy"))&amp;" "&amp;Milestones!$AB$110&amp;" "&amp;Milestones!$AC$110&amp;";  ","")&amp;IF(AND(EDATE($D125,Milestones!$AA$111)&lt;=AsOfDate,IF($R125=0,$X125,IF(AND($T125&lt;&gt;"",EDATE($D125,Milestones!$AA$111)&gt;=$T125),$W125,IF(AND($S125&lt;&gt;"",EDATE($D125,Milestones!$AA$111)&gt;=$S125),$V125,$U125)))=Milestones!$AB$111),UPPER(TEXT(EDATE($D125,Milestones!$AA$111),"dd mmm yy"))&amp;" "&amp;Milestones!$AB$111&amp;" "&amp;Milestones!$AC$111&amp;";  ","")&amp;IF(AND(EDATE($D125,Milestones!$AA$112)&lt;=AsOfDate,IF($R125=0,$X125,IF(AND($T125&lt;&gt;"",EDATE($D125,Milestones!$AA$112)&gt;=$T125),$W125,IF(AND($S125&lt;&gt;"",EDATE($D125,Milestones!$AA$112)&gt;=$S125),$V125,$U125)))=Milestones!$AB$112),UPPER(TEXT(EDATE($D125,Milestones!$AA$112),"dd mmm yy"))&amp;" "&amp;Milestones!$AB$112&amp;" "&amp;Milestones!$AC$112&amp;";  ","")&amp;IF(AND(EDATE($D125,Milestones!$AA$113)&lt;=AsOfDate,IF($R125=0,$X125,IF(AND($T125&lt;&gt;"",EDATE($D125,Milestones!$AA$113)&gt;=$T125),$W125,IF(AND($S125&lt;&gt;"",EDATE($D125,Milestones!$AA$113)&gt;=$S125),$V125,$U125)))=Milestones!$AB$113),UPPER(TEXT(EDATE($D125,Milestones!$AA$113),"dd mmm yy"))&amp;" "&amp;Milestones!$AB$113&amp;" "&amp;Milestones!$AC$113&amp;";  ","")&amp;IF(AND(EDATE($D125,Milestones!$AA$114)&lt;=AsOfDate,IF($R125=0,$X125,IF(AND($T125&lt;&gt;"",EDATE($D125,Milestones!$AA$114)&gt;=$T125),$W125,IF(AND($S125&lt;&gt;"",EDATE($D125,Milestones!$AA$114)&gt;=$S125),$V125,$U125)))=Milestones!$AB$114),UPPER(TEXT(EDATE($D125,Milestones!$AA$114),"dd mmm yy"))&amp;" "&amp;Milestones!$AB$114&amp;" "&amp;Milestones!$AC$114&amp;";  ","")&amp;IF(AND(EDATE($D125,Milestones!$AA$115)&lt;=AsOfDate,IF($R125=0,$X125,IF(AND($T125&lt;&gt;"",EDATE($D125,Milestones!$AA$115)&gt;=$T125),$W125,IF(AND($S125&lt;&gt;"",EDATE($D125,Milestones!$AA$115)&gt;=$S125),$V125,$U125)))=Milestones!$AB$115),UPPER(TEXT(EDATE($D125,Milestones!$AA$115),"dd mmm yy"))&amp;" "&amp;Milestones!$AB$115&amp;" "&amp;Milestones!$AC$115&amp;";  ","")&amp;IF(AND(EDATE($D125,Milestones!$AA$116)&lt;=AsOfDate,IF($R125=0,$X125,IF(AND($T125&lt;&gt;"",EDATE($D125,Milestones!$AA$116)&gt;=$T125),$W125,IF(AND($S125&lt;&gt;"",EDATE($D125,Milestones!$AA$116)&gt;=$S125),$V125,$U125)))=Milestones!$AB$116),UPPER(TEXT(EDATE($D125,Milestones!$AA$116),"dd mmm yy"))&amp;" "&amp;Milestones!$AB$116&amp;" "&amp;Milestones!$AC$116&amp;";  ","")&amp;IF(AND(EDATE($D125,Milestones!$AA$117)&lt;=AsOfDate,IF($R125=0,$X125,IF(AND($T125&lt;&gt;"",EDATE($D125,Milestones!$AA$117)&gt;=$T125),$W125,IF(AND($S125&lt;&gt;"",EDATE($D125,Milestones!$AA$117)&gt;=$S125),$V125,$U125)))=Milestones!$AB$117),UPPER(TEXT(EDATE($D125,Milestones!$AA$117),"dd mmm yy"))&amp;" "&amp;Milestones!$AB$117&amp;" "&amp;Milestones!$AC$117&amp;";  ","")&amp;IF(AND(EDATE($D125,Milestones!$AA$118)&lt;=AsOfDate,IF($R125=0,$X125,IF(AND($T125&lt;&gt;"",EDATE($D125,Milestones!$AA$118)&gt;=$T125),$W125,IF(AND($S125&lt;&gt;"",EDATE($D125,Milestones!$AA$118)&gt;=$S125),$V125,$U125)))=Milestones!$AB$118),UPPER(TEXT(EDATE($D125,Milestones!$AA$118),"dd mmm yy"))&amp;" "&amp;Milestones!$AB$118&amp;" "&amp;Milestones!$AC$118&amp;";  ","")&amp;IF(AND(EDATE($D125,Milestones!$AA$119)&lt;=AsOfDate,IF($R125=0,$X125,IF(AND($T125&lt;&gt;"",EDATE($D125,Milestones!$AA$119)&gt;=$T125),$W125,IF(AND($S125&lt;&gt;"",EDATE($D125,Milestones!$AA$119)&gt;=$S125),$V125,$U125)))=Milestones!$AB$119),UPPER(TEXT(EDATE($D125,Milestones!$AA$119),"dd mmm yy"))&amp;" "&amp;Milestones!$AB$119&amp;" "&amp;Milestones!$AC$119&amp;";  ",""))</f>
        <v/>
      </c>
      <c r="N125" s="0" t="str">
        <f aca="false">IF(OR($A125="",$D125=""),"",IF(AND(EDATE($D125,Milestones!$AA$120)&lt;=AsOfDate,IF($R125=0,$X125,IF(AND($T125&lt;&gt;"",EDATE($D125,Milestones!$AA$120)&gt;=$T125),$W125,IF(AND($S125&lt;&gt;"",EDATE($D125,Milestones!$AA$120)&gt;=$S125),$V125,$U125)))=Milestones!$AB$120),UPPER(TEXT(EDATE($D125,Milestones!$AA$120),"dd mmm yy"))&amp;" "&amp;Milestones!$AB$120&amp;" "&amp;Milestones!$AC$120&amp;";  ","")&amp;IF(AND(EDATE($D125,Milestones!$AA$121)&lt;=AsOfDate,IF($R125=0,$X125,IF(AND($T125&lt;&gt;"",EDATE($D125,Milestones!$AA$121)&gt;=$T125),$W125,IF(AND($S125&lt;&gt;"",EDATE($D125,Milestones!$AA$121)&gt;=$S125),$V125,$U125)))=Milestones!$AB$121),UPPER(TEXT(EDATE($D125,Milestones!$AA$121),"dd mmm yy"))&amp;" "&amp;Milestones!$AB$121&amp;" "&amp;Milestones!$AC$121&amp;";  ","")&amp;IF(AND(EDATE($D125,Milestones!$AA$122)&lt;=AsOfDate,IF($R125=0,$X125,IF(AND($T125&lt;&gt;"",EDATE($D125,Milestones!$AA$122)&gt;=$T125),$W125,IF(AND($S125&lt;&gt;"",EDATE($D125,Milestones!$AA$122)&gt;=$S125),$V125,$U125)))=Milestones!$AB$122),UPPER(TEXT(EDATE($D125,Milestones!$AA$122),"dd mmm yy"))&amp;" "&amp;Milestones!$AB$122&amp;" "&amp;Milestones!$AC$122&amp;";  ","")&amp;IF(AND(EDATE($D125,Milestones!$AA$123)&lt;=AsOfDate,IF($R125=0,$X125,IF(AND($T125&lt;&gt;"",EDATE($D125,Milestones!$AA$123)&gt;=$T125),$W125,IF(AND($S125&lt;&gt;"",EDATE($D125,Milestones!$AA$123)&gt;=$S125),$V125,$U125)))=Milestones!$AB$123),UPPER(TEXT(EDATE($D125,Milestones!$AA$123),"dd mmm yy"))&amp;" "&amp;Milestones!$AB$123&amp;" "&amp;Milestones!$AC$123&amp;";  ","")&amp;IF(AND(EDATE($D125,Milestones!$AA$124)&lt;=AsOfDate,IF($R125=0,$X125,IF(AND($T125&lt;&gt;"",EDATE($D125,Milestones!$AA$124)&gt;=$T125),$W125,IF(AND($S125&lt;&gt;"",EDATE($D125,Milestones!$AA$124)&gt;=$S125),$V125,$U125)))=Milestones!$AB$124),UPPER(TEXT(EDATE($D125,Milestones!$AA$124),"dd mmm yy"))&amp;" "&amp;Milestones!$AB$124&amp;" "&amp;Milestones!$AC$124&amp;";  ","")&amp;IF(AND(EDATE($D125,Milestones!$AA$125)&lt;=AsOfDate,IF($R125=0,$X125,IF(AND($T125&lt;&gt;"",EDATE($D125,Milestones!$AA$125)&gt;=$T125),$W125,IF(AND($S125&lt;&gt;"",EDATE($D125,Milestones!$AA$125)&gt;=$S125),$V125,$U125)))=Milestones!$AB$125),UPPER(TEXT(EDATE($D125,Milestones!$AA$125),"dd mmm yy"))&amp;" "&amp;Milestones!$AB$125&amp;" "&amp;Milestones!$AC$125&amp;";  ","")&amp;IF(AND(EDATE($D125,Milestones!$AA$126)&lt;=AsOfDate,IF($R125=0,$X125,IF(AND($T125&lt;&gt;"",EDATE($D125,Milestones!$AA$126)&gt;=$T125),$W125,IF(AND($S125&lt;&gt;"",EDATE($D125,Milestones!$AA$126)&gt;=$S125),$V125,$U125)))=Milestones!$AB$126),UPPER(TEXT(EDATE($D125,Milestones!$AA$126),"dd mmm yy"))&amp;" "&amp;Milestones!$AB$126&amp;" "&amp;Milestones!$AC$126&amp;";  ","")&amp;IF(AND(EDATE($D125,Milestones!$AA$127)&lt;=AsOfDate,IF($R125=0,$X125,IF(AND($T125&lt;&gt;"",EDATE($D125,Milestones!$AA$127)&gt;=$T125),$W125,IF(AND($S125&lt;&gt;"",EDATE($D125,Milestones!$AA$127)&gt;=$S125),$V125,$U125)))=Milestones!$AB$127),UPPER(TEXT(EDATE($D125,Milestones!$AA$127),"dd mmm yy"))&amp;" "&amp;Milestones!$AB$127&amp;" "&amp;Milestones!$AC$127&amp;";  ","")&amp;IF(AND(EDATE($D125,Milestones!$AA$128)&lt;=AsOfDate,IF($R125=0,$X125,IF(AND($T125&lt;&gt;"",EDATE($D125,Milestones!$AA$128)&gt;=$T125),$W125,IF(AND($S125&lt;&gt;"",EDATE($D125,Milestones!$AA$128)&gt;=$S125),$V125,$U125)))=Milestones!$AB$128),UPPER(TEXT(EDATE($D125,Milestones!$AA$128),"dd mmm yy"))&amp;" "&amp;Milestones!$AB$128&amp;" "&amp;Milestones!$AC$128&amp;";  ","")&amp;IF(AND(EDATE($D125,Milestones!$AA$129)&lt;=AsOfDate,IF($R125=0,$X125,IF(AND($T125&lt;&gt;"",EDATE($D125,Milestones!$AA$129)&gt;=$T125),$W125,IF(AND($S125&lt;&gt;"",EDATE($D125,Milestones!$AA$129)&gt;=$S125),$V125,$U125)))=Milestones!$AB$129),UPPER(TEXT(EDATE($D125,Milestones!$AA$129),"dd mmm yy"))&amp;" "&amp;Milestones!$AB$129&amp;" "&amp;Milestones!$AC$129&amp;";  ","")&amp;IF(AND(EDATE($D125,Milestones!$AA$130)&lt;=AsOfDate,IF($R125=0,$X125,IF(AND($T125&lt;&gt;"",EDATE($D125,Milestones!$AA$130)&gt;=$T125),$W125,IF(AND($S125&lt;&gt;"",EDATE($D125,Milestones!$AA$130)&gt;=$S125),$V125,$U125)))=Milestones!$AB$130),UPPER(TEXT(EDATE($D125,Milestones!$AA$130),"dd mmm yy"))&amp;" "&amp;Milestones!$AB$130&amp;" "&amp;Milestones!$AC$130&amp;";  ","")&amp;IF(AND(EDATE($D125,Milestones!$AA$131)&lt;=AsOfDate,IF($R125=0,$X125,IF(AND($T125&lt;&gt;"",EDATE($D125,Milestones!$AA$131)&gt;=$T125),$W125,IF(AND($S125&lt;&gt;"",EDATE($D125,Milestones!$AA$131)&gt;=$S125),$V125,$U125)))=Milestones!$AB$131),UPPER(TEXT(EDATE($D125,Milestones!$AA$131),"dd mmm yy"))&amp;" "&amp;Milestones!$AB$131&amp;" "&amp;Milestones!$AC$131&amp;";  ","")&amp;IF(AND(EDATE($D125,Milestones!$AA$132)&lt;=AsOfDate,IF($R125=0,$X125,IF(AND($T125&lt;&gt;"",EDATE($D125,Milestones!$AA$132)&gt;=$T125),$W125,IF(AND($S125&lt;&gt;"",EDATE($D125,Milestones!$AA$132)&gt;=$S125),$V125,$U125)))=Milestones!$AB$132),UPPER(TEXT(EDATE($D125,Milestones!$AA$132),"dd mmm yy"))&amp;" "&amp;Milestones!$AB$132&amp;" "&amp;Milestones!$AC$132&amp;";  ","")&amp;IF(AND(EDATE($D125,Milestones!$AA$133)&lt;=AsOfDate,IF($R125=0,$X125,IF(AND($T125&lt;&gt;"",EDATE($D125,Milestones!$AA$133)&gt;=$T125),$W125,IF(AND($S125&lt;&gt;"",EDATE($D125,Milestones!$AA$133)&gt;=$S125),$V125,$U125)))=Milestones!$AB$133),UPPER(TEXT(EDATE($D125,Milestones!$AA$133),"dd mmm yy"))&amp;" "&amp;Milestones!$AB$133&amp;" "&amp;Milestones!$AC$133&amp;";  ","")&amp;IF(AND(EDATE($D125,Milestones!$AA$134)&lt;=AsOfDate,IF($R125=0,$X125,IF(AND($T125&lt;&gt;"",EDATE($D125,Milestones!$AA$134)&gt;=$T125),$W125,IF(AND($S125&lt;&gt;"",EDATE($D125,Milestones!$AA$134)&gt;=$S125),$V125,$U125)))=Milestones!$AB$134),UPPER(TEXT(EDATE($D125,Milestones!$AA$134),"dd mmm yy"))&amp;" "&amp;Milestones!$AB$134&amp;" "&amp;Milestones!$AC$134&amp;";  ","")&amp;IF(AND(EDATE($D125,Milestones!$AA$135)&lt;=AsOfDate,IF($R125=0,$X125,IF(AND($T125&lt;&gt;"",EDATE($D125,Milestones!$AA$135)&gt;=$T125),$W125,IF(AND($S125&lt;&gt;"",EDATE($D125,Milestones!$AA$135)&gt;=$S125),$V125,$U125)))=Milestones!$AB$135),UPPER(TEXT(EDATE($D125,Milestones!$AA$135),"dd mmm yy"))&amp;" "&amp;Milestones!$AB$135&amp;" "&amp;Milestones!$AC$135&amp;";  ","")&amp;IF(AND(EDATE($D125,Milestones!$AA$136)&lt;=AsOfDate,IF($R125=0,$X125,IF(AND($T125&lt;&gt;"",EDATE($D125,Milestones!$AA$136)&gt;=$T125),$W125,IF(AND($S125&lt;&gt;"",EDATE($D125,Milestones!$AA$136)&gt;=$S125),$V125,$U125)))=Milestones!$AB$136),UPPER(TEXT(EDATE($D125,Milestones!$AA$136),"dd mmm yy"))&amp;" "&amp;Milestones!$AB$136&amp;" "&amp;Milestones!$AC$136&amp;";  ","")&amp;IF(AND(EDATE($D125,Milestones!$AA$137)&lt;=AsOfDate,IF($R125=0,$X125,IF(AND($T125&lt;&gt;"",EDATE($D125,Milestones!$AA$137)&gt;=$T125),$W125,IF(AND($S125&lt;&gt;"",EDATE($D125,Milestones!$AA$137)&gt;=$S125),$V125,$U125)))=Milestones!$AB$137),UPPER(TEXT(EDATE($D125,Milestones!$AA$137),"dd mmm yy"))&amp;" "&amp;Milestones!$AB$137&amp;" "&amp;Milestones!$AC$137&amp;";  ","")&amp;IF(AND(EDATE($D125,Milestones!$AA$138)&lt;=AsOfDate,IF($R125=0,$X125,IF(AND($T125&lt;&gt;"",EDATE($D125,Milestones!$AA$138)&gt;=$T125),$W125,IF(AND($S125&lt;&gt;"",EDATE($D125,Milestones!$AA$138)&gt;=$S125),$V125,$U125)))=Milestones!$AB$138),UPPER(TEXT(EDATE($D125,Milestones!$AA$138),"dd mmm yy"))&amp;" "&amp;Milestones!$AB$138&amp;" "&amp;Milestones!$AC$138&amp;";  ","")&amp;IF(AND(EDATE($D125,Milestones!$AA$139)&lt;=AsOfDate,IF($R125=0,$X125,IF(AND($T125&lt;&gt;"",EDATE($D125,Milestones!$AA$139)&gt;=$T125),$W125,IF(AND($S125&lt;&gt;"",EDATE($D125,Milestones!$AA$139)&gt;=$S125),$V125,$U125)))=Milestones!$AB$139),UPPER(TEXT(EDATE($D125,Milestones!$AA$139),"dd mmm yy"))&amp;" "&amp;Milestones!$AB$139&amp;" "&amp;Milestones!$AC$139&amp;";  ",""))</f>
        <v/>
      </c>
      <c r="O125" s="0" t="str">
        <f aca="false">IF(OR($A125="",$D125=""),"",IF(AND(EDATE($D125,Milestones!$AA$140)&lt;=AsOfDate,IF($R125=0,$X125,IF(AND($T125&lt;&gt;"",EDATE($D125,Milestones!$AA$140)&gt;=$T125),$W125,IF(AND($S125&lt;&gt;"",EDATE($D125,Milestones!$AA$140)&gt;=$S125),$V125,$U125)))=Milestones!$AB$140),UPPER(TEXT(EDATE($D125,Milestones!$AA$140),"dd mmm yy"))&amp;" "&amp;Milestones!$AB$140&amp;" "&amp;Milestones!$AC$140&amp;";  ","")&amp;IF(AND(EDATE($D125,Milestones!$AA$141)&lt;=AsOfDate,IF($R125=0,$X125,IF(AND($T125&lt;&gt;"",EDATE($D125,Milestones!$AA$141)&gt;=$T125),$W125,IF(AND($S125&lt;&gt;"",EDATE($D125,Milestones!$AA$141)&gt;=$S125),$V125,$U125)))=Milestones!$AB$141),UPPER(TEXT(EDATE($D125,Milestones!$AA$141),"dd mmm yy"))&amp;" "&amp;Milestones!$AB$141&amp;" "&amp;Milestones!$AC$141&amp;";  ","")&amp;IF(AND(EDATE($D125,Milestones!$AA$142)&lt;=AsOfDate,IF($R125=0,$X125,IF(AND($T125&lt;&gt;"",EDATE($D125,Milestones!$AA$142)&gt;=$T125),$W125,IF(AND($S125&lt;&gt;"",EDATE($D125,Milestones!$AA$142)&gt;=$S125),$V125,$U125)))=Milestones!$AB$142),UPPER(TEXT(EDATE($D125,Milestones!$AA$142),"dd mmm yy"))&amp;" "&amp;Milestones!$AB$142&amp;" "&amp;Milestones!$AC$142&amp;";  ","")&amp;IF(AND(EDATE($D125,Milestones!$AA$143)&lt;=AsOfDate,IF($R125=0,$X125,IF(AND($T125&lt;&gt;"",EDATE($D125,Milestones!$AA$143)&gt;=$T125),$W125,IF(AND($S125&lt;&gt;"",EDATE($D125,Milestones!$AA$143)&gt;=$S125),$V125,$U125)))=Milestones!$AB$143),UPPER(TEXT(EDATE($D125,Milestones!$AA$143),"dd mmm yy"))&amp;" "&amp;Milestones!$AB$143&amp;" "&amp;Milestones!$AC$143&amp;";  ","")&amp;IF(AND(EDATE($D125,Milestones!$AA$144)&lt;=AsOfDate,IF($R125=0,$X125,IF(AND($T125&lt;&gt;"",EDATE($D125,Milestones!$AA$144)&gt;=$T125),$W125,IF(AND($S125&lt;&gt;"",EDATE($D125,Milestones!$AA$144)&gt;=$S125),$V125,$U125)))=Milestones!$AB$144),UPPER(TEXT(EDATE($D125,Milestones!$AA$144),"dd mmm yy"))&amp;" "&amp;Milestones!$AB$144&amp;" "&amp;Milestones!$AC$144&amp;";  ","")&amp;IF(AND(EDATE($D125,Milestones!$AA$145)&lt;=AsOfDate,IF($R125=0,$X125,IF(AND($T125&lt;&gt;"",EDATE($D125,Milestones!$AA$145)&gt;=$T125),$W125,IF(AND($S125&lt;&gt;"",EDATE($D125,Milestones!$AA$145)&gt;=$S125),$V125,$U125)))=Milestones!$AB$145),UPPER(TEXT(EDATE($D125,Milestones!$AA$145),"dd mmm yy"))&amp;" "&amp;Milestones!$AB$145&amp;" "&amp;Milestones!$AC$145&amp;";  ","")&amp;IF(AND(EDATE($D125,Milestones!$AA$146)&lt;=AsOfDate,IF($R125=0,$X125,IF(AND($T125&lt;&gt;"",EDATE($D125,Milestones!$AA$146)&gt;=$T125),$W125,IF(AND($S125&lt;&gt;"",EDATE($D125,Milestones!$AA$146)&gt;=$S125),$V125,$U125)))=Milestones!$AB$146),UPPER(TEXT(EDATE($D125,Milestones!$AA$146),"dd mmm yy"))&amp;" "&amp;Milestones!$AB$146&amp;" "&amp;Milestones!$AC$146&amp;";  ","")&amp;IF(AND(EDATE($D125,Milestones!$AA$147)&lt;=AsOfDate,IF($R125=0,$X125,IF(AND($T125&lt;&gt;"",EDATE($D125,Milestones!$AA$147)&gt;=$T125),$W125,IF(AND($S125&lt;&gt;"",EDATE($D125,Milestones!$AA$147)&gt;=$S125),$V125,$U125)))=Milestones!$AB$147),UPPER(TEXT(EDATE($D125,Milestones!$AA$147),"dd mmm yy"))&amp;" "&amp;Milestones!$AB$147&amp;" "&amp;Milestones!$AC$147&amp;";  ","")&amp;IF(AND(EDATE($D125,Milestones!$AA$148)&lt;=AsOfDate,IF($R125=0,$X125,IF(AND($T125&lt;&gt;"",EDATE($D125,Milestones!$AA$148)&gt;=$T125),$W125,IF(AND($S125&lt;&gt;"",EDATE($D125,Milestones!$AA$148)&gt;=$S125),$V125,$U125)))=Milestones!$AB$148),UPPER(TEXT(EDATE($D125,Milestones!$AA$148),"dd mmm yy"))&amp;" "&amp;Milestones!$AB$148&amp;" "&amp;Milestones!$AC$148&amp;";  ","")&amp;IF(AND(EDATE($D125,Milestones!$AA$149)&lt;=AsOfDate,IF($R125=0,$X125,IF(AND($T125&lt;&gt;"",EDATE($D125,Milestones!$AA$149)&gt;=$T125),$W125,IF(AND($S125&lt;&gt;"",EDATE($D125,Milestones!$AA$149)&gt;=$S125),$V125,$U125)))=Milestones!$AB$149),UPPER(TEXT(EDATE($D125,Milestones!$AA$149),"dd mmm yy"))&amp;" "&amp;Milestones!$AB$149&amp;" "&amp;Milestones!$AC$149&amp;";  ","")&amp;IF(AND(EDATE($D125,Milestones!$AA$150)&lt;=AsOfDate,IF($R125=0,$X125,IF(AND($T125&lt;&gt;"",EDATE($D125,Milestones!$AA$150)&gt;=$T125),$W125,IF(AND($S125&lt;&gt;"",EDATE($D125,Milestones!$AA$150)&gt;=$S125),$V125,$U125)))=Milestones!$AB$150),UPPER(TEXT(EDATE($D125,Milestones!$AA$150),"dd mmm yy"))&amp;" "&amp;Milestones!$AB$150&amp;" "&amp;Milestones!$AC$150&amp;";  ","")&amp;IF(AND(EDATE($D125,Milestones!$AA$151)&lt;=AsOfDate,IF($R125=0,$X125,IF(AND($T125&lt;&gt;"",EDATE($D125,Milestones!$AA$151)&gt;=$T125),$W125,IF(AND($S125&lt;&gt;"",EDATE($D125,Milestones!$AA$151)&gt;=$S125),$V125,$U125)))=Milestones!$AB$151),UPPER(TEXT(EDATE($D125,Milestones!$AA$151),"dd mmm yy"))&amp;" "&amp;Milestones!$AB$151&amp;" "&amp;Milestones!$AC$151&amp;";  ","")&amp;IF(AND(EDATE($D125,Milestones!$AA$152)&lt;=AsOfDate,IF($R125=0,$X125,IF(AND($T125&lt;&gt;"",EDATE($D125,Milestones!$AA$152)&gt;=$T125),$W125,IF(AND($S125&lt;&gt;"",EDATE($D125,Milestones!$AA$152)&gt;=$S125),$V125,$U125)))=Milestones!$AB$152),UPPER(TEXT(EDATE($D125,Milestones!$AA$152),"dd mmm yy"))&amp;" "&amp;Milestones!$AB$152&amp;" "&amp;Milestones!$AC$152&amp;";  ","")&amp;IF(AND(EDATE($D125,Milestones!$AA$153)&lt;=AsOfDate,IF($R125=0,$X125,IF(AND($T125&lt;&gt;"",EDATE($D125,Milestones!$AA$153)&gt;=$T125),$W125,IF(AND($S125&lt;&gt;"",EDATE($D125,Milestones!$AA$153)&gt;=$S125),$V125,$U125)))=Milestones!$AB$153),UPPER(TEXT(EDATE($D125,Milestones!$AA$153),"dd mmm yy"))&amp;" "&amp;Milestones!$AB$153&amp;" "&amp;Milestones!$AC$153&amp;";  ","")&amp;IF(AND(EDATE($D125,Milestones!$AA$154)&lt;=AsOfDate,IF($R125=0,$X125,IF(AND($T125&lt;&gt;"",EDATE($D125,Milestones!$AA$154)&gt;=$T125),$W125,IF(AND($S125&lt;&gt;"",EDATE($D125,Milestones!$AA$154)&gt;=$S125),$V125,$U125)))=Milestones!$AB$154),UPPER(TEXT(EDATE($D125,Milestones!$AA$154),"dd mmm yy"))&amp;" "&amp;Milestones!$AB$154&amp;" "&amp;Milestones!$AC$154&amp;";  ","")&amp;IF(AND(EDATE($D125,Milestones!$AA$155)&lt;=AsOfDate,IF($R125=0,$X125,IF(AND($T125&lt;&gt;"",EDATE($D125,Milestones!$AA$155)&gt;=$T125),$W125,IF(AND($S125&lt;&gt;"",EDATE($D125,Milestones!$AA$155)&gt;=$S125),$V125,$U125)))=Milestones!$AB$155),UPPER(TEXT(EDATE($D125,Milestones!$AA$155),"dd mmm yy"))&amp;" "&amp;Milestones!$AB$155&amp;" "&amp;Milestones!$AC$155&amp;";  ","")&amp;IF(AND(EDATE($D125,Milestones!$AA$156)&lt;=AsOfDate,IF($R125=0,$X125,IF(AND($T125&lt;&gt;"",EDATE($D125,Milestones!$AA$156)&gt;=$T125),$W125,IF(AND($S125&lt;&gt;"",EDATE($D125,Milestones!$AA$156)&gt;=$S125),$V125,$U125)))=Milestones!$AB$156),UPPER(TEXT(EDATE($D125,Milestones!$AA$156),"dd mmm yy"))&amp;" "&amp;Milestones!$AB$156&amp;" "&amp;Milestones!$AC$156&amp;";  ","")&amp;IF(AND(EDATE($D125,Milestones!$AA$157)&lt;=AsOfDate,IF($R125=0,$X125,IF(AND($T125&lt;&gt;"",EDATE($D125,Milestones!$AA$157)&gt;=$T125),$W125,IF(AND($S125&lt;&gt;"",EDATE($D125,Milestones!$AA$157)&gt;=$S125),$V125,$U125)))=Milestones!$AB$157),UPPER(TEXT(EDATE($D125,Milestones!$AA$157),"dd mmm yy"))&amp;" "&amp;Milestones!$AB$157&amp;" "&amp;Milestones!$AC$157&amp;";  ","")&amp;IF(AND(EDATE($D125,Milestones!$AA$158)&lt;=AsOfDate,IF($R125=0,$X125,IF(AND($T125&lt;&gt;"",EDATE($D125,Milestones!$AA$158)&gt;=$T125),$W125,IF(AND($S125&lt;&gt;"",EDATE($D125,Milestones!$AA$158)&gt;=$S125),$V125,$U125)))=Milestones!$AB$158),UPPER(TEXT(EDATE($D125,Milestones!$AA$158),"dd mmm yy"))&amp;" "&amp;Milestones!$AB$158&amp;" "&amp;Milestones!$AC$158&amp;";  ","")&amp;IF(AND(EDATE($D125,Milestones!$AA$159)&lt;=AsOfDate,IF($R125=0,$X125,IF(AND($T125&lt;&gt;"",EDATE($D125,Milestones!$AA$159)&gt;=$T125),$W125,IF(AND($S125&lt;&gt;"",EDATE($D125,Milestones!$AA$159)&gt;=$S125),$V125,$U125)))=Milestones!$AB$159),UPPER(TEXT(EDATE($D125,Milestones!$AA$159),"dd mmm yy"))&amp;" "&amp;Milestones!$AB$159&amp;" "&amp;Milestones!$AC$159&amp;";  ",""))</f>
        <v/>
      </c>
      <c r="P125" s="0" t="str">
        <f aca="false">IF(OR($A125="",$D125=""),"",IF(AND(EDATE($D125,Milestones!$AA$160)&lt;=AsOfDate,IF($R125=0,$X125,IF(AND($T125&lt;&gt;"",EDATE($D125,Milestones!$AA$160)&gt;=$T125),$W125,IF(AND($S125&lt;&gt;"",EDATE($D125,Milestones!$AA$160)&gt;=$S125),$V125,$U125)))=Milestones!$AB$160),UPPER(TEXT(EDATE($D125,Milestones!$AA$160),"dd mmm yy"))&amp;" "&amp;Milestones!$AB$160&amp;" "&amp;Milestones!$AC$160&amp;";  ","")&amp;IF(AND(EDATE($D125,Milestones!$AA$161)&lt;=AsOfDate,IF($R125=0,$X125,IF(AND($T125&lt;&gt;"",EDATE($D125,Milestones!$AA$161)&gt;=$T125),$W125,IF(AND($S125&lt;&gt;"",EDATE($D125,Milestones!$AA$161)&gt;=$S125),$V125,$U125)))=Milestones!$AB$161),UPPER(TEXT(EDATE($D125,Milestones!$AA$161),"dd mmm yy"))&amp;" "&amp;Milestones!$AB$161&amp;" "&amp;Milestones!$AC$161&amp;";  ","")&amp;IF(AND(EDATE($D125,Milestones!$AA$162)&lt;=AsOfDate,IF($R125=0,$X125,IF(AND($T125&lt;&gt;"",EDATE($D125,Milestones!$AA$162)&gt;=$T125),$W125,IF(AND($S125&lt;&gt;"",EDATE($D125,Milestones!$AA$162)&gt;=$S125),$V125,$U125)))=Milestones!$AB$162),UPPER(TEXT(EDATE($D125,Milestones!$AA$162),"dd mmm yy"))&amp;" "&amp;Milestones!$AB$162&amp;" "&amp;Milestones!$AC$162&amp;";  ","")&amp;IF(AND(EDATE($D125,Milestones!$AA$163)&lt;=AsOfDate,IF($R125=0,$X125,IF(AND($T125&lt;&gt;"",EDATE($D125,Milestones!$AA$163)&gt;=$T125),$W125,IF(AND($S125&lt;&gt;"",EDATE($D125,Milestones!$AA$163)&gt;=$S125),$V125,$U125)))=Milestones!$AB$163),UPPER(TEXT(EDATE($D125,Milestones!$AA$163),"dd mmm yy"))&amp;" "&amp;Milestones!$AB$163&amp;" "&amp;Milestones!$AC$163&amp;";  ","")&amp;IF(AND(EDATE($D125,Milestones!$AA$164)&lt;=AsOfDate,IF($R125=0,$X125,IF(AND($T125&lt;&gt;"",EDATE($D125,Milestones!$AA$164)&gt;=$T125),$W125,IF(AND($S125&lt;&gt;"",EDATE($D125,Milestones!$AA$164)&gt;=$S125),$V125,$U125)))=Milestones!$AB$164),UPPER(TEXT(EDATE($D125,Milestones!$AA$164),"dd mmm yy"))&amp;" "&amp;Milestones!$AB$164&amp;" "&amp;Milestones!$AC$164&amp;";  ","")&amp;IF(AND(EDATE($D125,Milestones!$AA$165)&lt;=AsOfDate,IF($R125=0,$X125,IF(AND($T125&lt;&gt;"",EDATE($D125,Milestones!$AA$165)&gt;=$T125),$W125,IF(AND($S125&lt;&gt;"",EDATE($D125,Milestones!$AA$165)&gt;=$S125),$V125,$U125)))=Milestones!$AB$165),UPPER(TEXT(EDATE($D125,Milestones!$AA$165),"dd mmm yy"))&amp;" "&amp;Milestones!$AB$165&amp;" "&amp;Milestones!$AC$165&amp;";  ","")&amp;IF(AND(EDATE($D125,Milestones!$AA$166)&lt;=AsOfDate,IF($R125=0,$X125,IF(AND($T125&lt;&gt;"",EDATE($D125,Milestones!$AA$166)&gt;=$T125),$W125,IF(AND($S125&lt;&gt;"",EDATE($D125,Milestones!$AA$166)&gt;=$S125),$V125,$U125)))=Milestones!$AB$166),UPPER(TEXT(EDATE($D125,Milestones!$AA$166),"dd mmm yy"))&amp;" "&amp;Milestones!$AB$166&amp;" "&amp;Milestones!$AC$166&amp;";  ","")&amp;IF(AND(EDATE($D125,Milestones!$AA$167)&lt;=AsOfDate,IF($R125=0,$X125,IF(AND($T125&lt;&gt;"",EDATE($D125,Milestones!$AA$167)&gt;=$T125),$W125,IF(AND($S125&lt;&gt;"",EDATE($D125,Milestones!$AA$167)&gt;=$S125),$V125,$U125)))=Milestones!$AB$167),UPPER(TEXT(EDATE($D125,Milestones!$AA$167),"dd mmm yy"))&amp;" "&amp;Milestones!$AB$167&amp;" "&amp;Milestones!$AC$167&amp;";  ","")&amp;IF(AND(EDATE($D125,Milestones!$AA$168)&lt;=AsOfDate,IF($R125=0,$X125,IF(AND($T125&lt;&gt;"",EDATE($D125,Milestones!$AA$168)&gt;=$T125),$W125,IF(AND($S125&lt;&gt;"",EDATE($D125,Milestones!$AA$168)&gt;=$S125),$V125,$U125)))=Milestones!$AB$168),UPPER(TEXT(EDATE($D125,Milestones!$AA$168),"dd mmm yy"))&amp;" "&amp;Milestones!$AB$168&amp;" "&amp;Milestones!$AC$168&amp;";  ","")&amp;IF(AND(EDATE($D125,Milestones!$AA$169)&lt;=AsOfDate,IF($R125=0,$X125,IF(AND($T125&lt;&gt;"",EDATE($D125,Milestones!$AA$169)&gt;=$T125),$W125,IF(AND($S125&lt;&gt;"",EDATE($D125,Milestones!$AA$169)&gt;=$S125),$V125,$U125)))=Milestones!$AB$169),UPPER(TEXT(EDATE($D125,Milestones!$AA$169),"dd mmm yy"))&amp;" "&amp;Milestones!$AB$169&amp;" "&amp;Milestones!$AC$169&amp;";  ","")&amp;IF(AND(EDATE($D125,Milestones!$AA$170)&lt;=AsOfDate,IF($R125=0,$X125,IF(AND($T125&lt;&gt;"",EDATE($D125,Milestones!$AA$170)&gt;=$T125),$W125,IF(AND($S125&lt;&gt;"",EDATE($D125,Milestones!$AA$170)&gt;=$S125),$V125,$U125)))=Milestones!$AB$170),UPPER(TEXT(EDATE($D125,Milestones!$AA$170),"dd mmm yy"))&amp;" "&amp;Milestones!$AB$170&amp;" "&amp;Milestones!$AC$170&amp;";  ","")&amp;IF(AND(EDATE($D125,Milestones!$AA$171)&lt;=AsOfDate,IF($R125=0,$X125,IF(AND($T125&lt;&gt;"",EDATE($D125,Milestones!$AA$171)&gt;=$T125),$W125,IF(AND($S125&lt;&gt;"",EDATE($D125,Milestones!$AA$171)&gt;=$S125),$V125,$U125)))=Milestones!$AB$171),UPPER(TEXT(EDATE($D125,Milestones!$AA$171),"dd mmm yy"))&amp;" "&amp;Milestones!$AB$171&amp;" "&amp;Milestones!$AC$171&amp;";  ","")&amp;IF(AND(EDATE($D125,Milestones!$AA$172)&lt;=AsOfDate,IF($R125=0,$X125,IF(AND($T125&lt;&gt;"",EDATE($D125,Milestones!$AA$172)&gt;=$T125),$W125,IF(AND($S125&lt;&gt;"",EDATE($D125,Milestones!$AA$172)&gt;=$S125),$V125,$U125)))=Milestones!$AB$172),UPPER(TEXT(EDATE($D125,Milestones!$AA$172),"dd mmm yy"))&amp;" "&amp;Milestones!$AB$172&amp;" "&amp;Milestones!$AC$172&amp;";  ","")&amp;IF(AND(EDATE($D125,Milestones!$AA$173)&lt;=AsOfDate,IF($R125=0,$X125,IF(AND($T125&lt;&gt;"",EDATE($D125,Milestones!$AA$173)&gt;=$T125),$W125,IF(AND($S125&lt;&gt;"",EDATE($D125,Milestones!$AA$173)&gt;=$S125),$V125,$U125)))=Milestones!$AB$173),UPPER(TEXT(EDATE($D125,Milestones!$AA$173),"dd mmm yy"))&amp;" "&amp;Milestones!$AB$173&amp;" "&amp;Milestones!$AC$173&amp;";  ","")&amp;IF(AND(EDATE($D125,Milestones!$AA$174)&lt;=AsOfDate,IF($R125=0,$X125,IF(AND($T125&lt;&gt;"",EDATE($D125,Milestones!$AA$174)&gt;=$T125),$W125,IF(AND($S125&lt;&gt;"",EDATE($D125,Milestones!$AA$174)&gt;=$S125),$V125,$U125)))=Milestones!$AB$174),UPPER(TEXT(EDATE($D125,Milestones!$AA$174),"dd mmm yy"))&amp;" "&amp;Milestones!$AB$174&amp;" "&amp;Milestones!$AC$174&amp;";  ","")&amp;IF(AND(EDATE($D125,Milestones!$AA$175)&lt;=AsOfDate,IF($R125=0,$X125,IF(AND($T125&lt;&gt;"",EDATE($D125,Milestones!$AA$175)&gt;=$T125),$W125,IF(AND($S125&lt;&gt;"",EDATE($D125,Milestones!$AA$175)&gt;=$S125),$V125,$U125)))=Milestones!$AB$175),UPPER(TEXT(EDATE($D125,Milestones!$AA$175),"dd mmm yy"))&amp;" "&amp;Milestones!$AB$175&amp;" "&amp;Milestones!$AC$175&amp;";  ","")&amp;IF(AND(EDATE($D125,Milestones!$AA$176)&lt;=AsOfDate,IF($R125=0,$X125,IF(AND($T125&lt;&gt;"",EDATE($D125,Milestones!$AA$176)&gt;=$T125),$W125,IF(AND($S125&lt;&gt;"",EDATE($D125,Milestones!$AA$176)&gt;=$S125),$V125,$U125)))=Milestones!$AB$176),UPPER(TEXT(EDATE($D125,Milestones!$AA$176),"dd mmm yy"))&amp;" "&amp;Milestones!$AB$176&amp;" "&amp;Milestones!$AC$176&amp;";  ","")&amp;IF(AND(EDATE($D125,Milestones!$AA$177)&lt;=AsOfDate,IF($R125=0,$X125,IF(AND($T125&lt;&gt;"",EDATE($D125,Milestones!$AA$177)&gt;=$T125),$W125,IF(AND($S125&lt;&gt;"",EDATE($D125,Milestones!$AA$177)&gt;=$S125),$V125,$U125)))=Milestones!$AB$177),UPPER(TEXT(EDATE($D125,Milestones!$AA$177),"dd mmm yy"))&amp;" "&amp;Milestones!$AB$177&amp;" "&amp;Milestones!$AC$177&amp;";  ","")&amp;IF(AND(EDATE($D125,Milestones!$AA$178)&lt;=AsOfDate,IF($R125=0,$X125,IF(AND($T125&lt;&gt;"",EDATE($D125,Milestones!$AA$178)&gt;=$T125),$W125,IF(AND($S125&lt;&gt;"",EDATE($D125,Milestones!$AA$178)&gt;=$S125),$V125,$U125)))=Milestones!$AB$178),UPPER(TEXT(EDATE($D125,Milestones!$AA$178),"dd mmm yy"))&amp;" "&amp;Milestones!$AB$178&amp;" "&amp;Milestones!$AC$178&amp;";  ","")&amp;IF(AND(EDATE($D125,Milestones!$AA$179)&lt;=AsOfDate,IF($R125=0,$X125,IF(AND($T125&lt;&gt;"",EDATE($D125,Milestones!$AA$179)&gt;=$T125),$W125,IF(AND($S125&lt;&gt;"",EDATE($D125,Milestones!$AA$179)&gt;=$S125),$V125,$U125)))=Milestones!$AB$179),UPPER(TEXT(EDATE($D125,Milestones!$AA$179),"dd mmm yy"))&amp;" "&amp;Milestones!$AB$179&amp;" "&amp;Milestones!$AC$179&amp;";  ",""))</f>
        <v/>
      </c>
      <c r="Q125" s="0" t="str">
        <f aca="false">IF(OR($A125="",$D125=""),"",IF(AND(EDATE($D125,Milestones!$AA$180)&lt;=AsOfDate,IF($R125=0,$X125,IF(AND($T125&lt;&gt;"",EDATE($D125,Milestones!$AA$180)&gt;=$T125),$W125,IF(AND($S125&lt;&gt;"",EDATE($D125,Milestones!$AA$180)&gt;=$S125),$V125,$U125)))=Milestones!$AB$180),UPPER(TEXT(EDATE($D125,Milestones!$AA$180),"dd mmm yy"))&amp;" "&amp;Milestones!$AB$180&amp;" "&amp;Milestones!$AC$180&amp;";  ","")&amp;IF(AND(EDATE($D125,Milestones!$AA$181)&lt;=AsOfDate,IF($R125=0,$X125,IF(AND($T125&lt;&gt;"",EDATE($D125,Milestones!$AA$181)&gt;=$T125),$W125,IF(AND($S125&lt;&gt;"",EDATE($D125,Milestones!$AA$181)&gt;=$S125),$V125,$U125)))=Milestones!$AB$181),UPPER(TEXT(EDATE($D125,Milestones!$AA$181),"dd mmm yy"))&amp;" "&amp;Milestones!$AB$181&amp;" "&amp;Milestones!$AC$181&amp;";  ","")&amp;IF(AND(EDATE($D125,Milestones!$AA$182)&lt;=AsOfDate,IF($R125=0,$X125,IF(AND($T125&lt;&gt;"",EDATE($D125,Milestones!$AA$182)&gt;=$T125),$W125,IF(AND($S125&lt;&gt;"",EDATE($D125,Milestones!$AA$182)&gt;=$S125),$V125,$U125)))=Milestones!$AB$182),UPPER(TEXT(EDATE($D125,Milestones!$AA$182),"dd mmm yy"))&amp;" "&amp;Milestones!$AB$182&amp;" "&amp;Milestones!$AC$182&amp;";  ","")&amp;IF(AND(EDATE($D125,Milestones!$AA$183)&lt;=AsOfDate,IF($R125=0,$X125,IF(AND($T125&lt;&gt;"",EDATE($D125,Milestones!$AA$183)&gt;=$T125),$W125,IF(AND($S125&lt;&gt;"",EDATE($D125,Milestones!$AA$183)&gt;=$S125),$V125,$U125)))=Milestones!$AB$183),UPPER(TEXT(EDATE($D125,Milestones!$AA$183),"dd mmm yy"))&amp;" "&amp;Milestones!$AB$183&amp;" "&amp;Milestones!$AC$183&amp;";  ","")&amp;IF(AND(EDATE($D125,Milestones!$AA$184)&lt;=AsOfDate,IF($R125=0,$X125,IF(AND($T125&lt;&gt;"",EDATE($D125,Milestones!$AA$184)&gt;=$T125),$W125,IF(AND($S125&lt;&gt;"",EDATE($D125,Milestones!$AA$184)&gt;=$S125),$V125,$U125)))=Milestones!$AB$184),UPPER(TEXT(EDATE($D125,Milestones!$AA$184),"dd mmm yy"))&amp;" "&amp;Milestones!$AB$184&amp;" "&amp;Milestones!$AC$184&amp;";  ","")&amp;IF(AND(EDATE($D125,Milestones!$AA$185)&lt;=AsOfDate,IF($R125=0,$X125,IF(AND($T125&lt;&gt;"",EDATE($D125,Milestones!$AA$185)&gt;=$T125),$W125,IF(AND($S125&lt;&gt;"",EDATE($D125,Milestones!$AA$185)&gt;=$S125),$V125,$U125)))=Milestones!$AB$185),UPPER(TEXT(EDATE($D125,Milestones!$AA$185),"dd mmm yy"))&amp;" "&amp;Milestones!$AB$185&amp;" "&amp;Milestones!$AC$185&amp;";  ","")&amp;IF(AND(EDATE($D125,Milestones!$AA$186)&lt;=AsOfDate,IF($R125=0,$X125,IF(AND($T125&lt;&gt;"",EDATE($D125,Milestones!$AA$186)&gt;=$T125),$W125,IF(AND($S125&lt;&gt;"",EDATE($D125,Milestones!$AA$186)&gt;=$S125),$V125,$U125)))=Milestones!$AB$186),UPPER(TEXT(EDATE($D125,Milestones!$AA$186),"dd mmm yy"))&amp;" "&amp;Milestones!$AB$186&amp;" "&amp;Milestones!$AC$186&amp;";  ","")&amp;IF(AND(EDATE($D125,Milestones!$AA$187)&lt;=AsOfDate,IF($R125=0,$X125,IF(AND($T125&lt;&gt;"",EDATE($D125,Milestones!$AA$187)&gt;=$T125),$W125,IF(AND($S125&lt;&gt;"",EDATE($D125,Milestones!$AA$187)&gt;=$S125),$V125,$U125)))=Milestones!$AB$187),UPPER(TEXT(EDATE($D125,Milestones!$AA$187),"dd mmm yy"))&amp;" "&amp;Milestones!$AB$187&amp;" "&amp;Milestones!$AC$187&amp;";  ","")&amp;IF(AND(EDATE($D125,Milestones!$AA$188)&lt;=AsOfDate,IF($R125=0,$X125,IF(AND($T125&lt;&gt;"",EDATE($D125,Milestones!$AA$188)&gt;=$T125),$W125,IF(AND($S125&lt;&gt;"",EDATE($D125,Milestones!$AA$188)&gt;=$S125),$V125,$U125)))=Milestones!$AB$188),UPPER(TEXT(EDATE($D125,Milestones!$AA$188),"dd mmm yy"))&amp;" "&amp;Milestones!$AB$188&amp;" "&amp;Milestones!$AC$188&amp;";  ","")&amp;IF(AND(EDATE($D125,Milestones!$AA$189)&lt;=AsOfDate,IF($R125=0,$X125,IF(AND($T125&lt;&gt;"",EDATE($D125,Milestones!$AA$189)&gt;=$T125),$W125,IF(AND($S125&lt;&gt;"",EDATE($D125,Milestones!$AA$189)&gt;=$S125),$V125,$U125)))=Milestones!$AB$189),UPPER(TEXT(EDATE($D125,Milestones!$AA$189),"dd mmm yy"))&amp;" "&amp;Milestones!$AB$189&amp;" "&amp;Milestones!$AC$189&amp;";  ","")&amp;IF(AND(EDATE($D125,Milestones!$AA$190)&lt;=AsOfDate,IF($R125=0,$X125,IF(AND($T125&lt;&gt;"",EDATE($D125,Milestones!$AA$190)&gt;=$T125),$W125,IF(AND($S125&lt;&gt;"",EDATE($D125,Milestones!$AA$190)&gt;=$S125),$V125,$U125)))=Milestones!$AB$190),UPPER(TEXT(EDATE($D125,Milestones!$AA$190),"dd mmm yy"))&amp;" "&amp;Milestones!$AB$190&amp;" "&amp;Milestones!$AC$190&amp;";  ","")&amp;IF(AND(EDATE($D125,Milestones!$AA$191)&lt;=AsOfDate,IF($R125=0,$X125,IF(AND($T125&lt;&gt;"",EDATE($D125,Milestones!$AA$191)&gt;=$T125),$W125,IF(AND($S125&lt;&gt;"",EDATE($D125,Milestones!$AA$191)&gt;=$S125),$V125,$U125)))=Milestones!$AB$191),UPPER(TEXT(EDATE($D125,Milestones!$AA$191),"dd mmm yy"))&amp;" "&amp;Milestones!$AB$191&amp;" "&amp;Milestones!$AC$191&amp;";  ","")&amp;IF(AND(EDATE($D125,Milestones!$AA$192)&lt;=AsOfDate,IF($R125=0,$X125,IF(AND($T125&lt;&gt;"",EDATE($D125,Milestones!$AA$192)&gt;=$T125),$W125,IF(AND($S125&lt;&gt;"",EDATE($D125,Milestones!$AA$192)&gt;=$S125),$V125,$U125)))=Milestones!$AB$192),UPPER(TEXT(EDATE($D125,Milestones!$AA$192),"dd mmm yy"))&amp;" "&amp;Milestones!$AB$192&amp;" "&amp;Milestones!$AC$192&amp;";  ","")&amp;IF(AND(EDATE($D125,Milestones!$AA$193)&lt;=AsOfDate,IF($R125=0,$X125,IF(AND($T125&lt;&gt;"",EDATE($D125,Milestones!$AA$193)&gt;=$T125),$W125,IF(AND($S125&lt;&gt;"",EDATE($D125,Milestones!$AA$193)&gt;=$S125),$V125,$U125)))=Milestones!$AB$193),UPPER(TEXT(EDATE($D125,Milestones!$AA$193),"dd mmm yy"))&amp;" "&amp;Milestones!$AB$193&amp;" "&amp;Milestones!$AC$193&amp;";  ","")&amp;IF(AND(EDATE($D125,Milestones!$AA$194)&lt;=AsOfDate,IF($R125=0,$X125,IF(AND($T125&lt;&gt;"",EDATE($D125,Milestones!$AA$194)&gt;=$T125),$W125,IF(AND($S125&lt;&gt;"",EDATE($D125,Milestones!$AA$194)&gt;=$S125),$V125,$U125)))=Milestones!$AB$194),UPPER(TEXT(EDATE($D125,Milestones!$AA$194),"dd mmm yy"))&amp;" "&amp;Milestones!$AB$194&amp;" "&amp;Milestones!$AC$194&amp;";  ","")&amp;IF(AND(EDATE($D125,Milestones!$AA$195)&lt;=AsOfDate,IF($R125=0,$X125,IF(AND($T125&lt;&gt;"",EDATE($D125,Milestones!$AA$195)&gt;=$T125),$W125,IF(AND($S125&lt;&gt;"",EDATE($D125,Milestones!$AA$195)&gt;=$S125),$V125,$U125)))=Milestones!$AB$195),UPPER(TEXT(EDATE($D125,Milestones!$AA$195),"dd mmm yy"))&amp;" "&amp;Milestones!$AB$195&amp;" "&amp;Milestones!$AC$195&amp;";  ","")&amp;IF(AND(EDATE($D125,Milestones!$AA$196)&lt;=AsOfDate,IF($R125=0,$X125,IF(AND($T125&lt;&gt;"",EDATE($D125,Milestones!$AA$196)&gt;=$T125),$W125,IF(AND($S125&lt;&gt;"",EDATE($D125,Milestones!$AA$196)&gt;=$S125),$V125,$U125)))=Milestones!$AB$196),UPPER(TEXT(EDATE($D125,Milestones!$AA$196),"dd mmm yy"))&amp;" "&amp;Milestones!$AB$196&amp;" "&amp;Milestones!$AC$196&amp;";  ","")&amp;IF(AND(EDATE($D125,Milestones!$AA$197)&lt;=AsOfDate,IF($R125=0,$X125,IF(AND($T125&lt;&gt;"",EDATE($D125,Milestones!$AA$197)&gt;=$T125),$W125,IF(AND($S125&lt;&gt;"",EDATE($D125,Milestones!$AA$197)&gt;=$S125),$V125,$U125)))=Milestones!$AB$197),UPPER(TEXT(EDATE($D125,Milestones!$AA$197),"dd mmm yy"))&amp;" "&amp;Milestones!$AB$197&amp;" "&amp;Milestones!$AC$197&amp;";  ","")&amp;IF(AND(EDATE($D125,Milestones!$AA$198)&lt;=AsOfDate,IF($R125=0,$X125,IF(AND($T125&lt;&gt;"",EDATE($D125,Milestones!$AA$198)&gt;=$T125),$W125,IF(AND($S125&lt;&gt;"",EDATE($D125,Milestones!$AA$198)&gt;=$S125),$V125,$U125)))=Milestones!$AB$198),UPPER(TEXT(EDATE($D125,Milestones!$AA$198),"dd mmm yy"))&amp;" "&amp;Milestones!$AB$198&amp;" "&amp;Milestones!$AC$198&amp;";  ","")&amp;IF(AND(EDATE($D125,Milestones!$AA$199)&lt;=AsOfDate,IF($R125=0,$X125,IF(AND($T125&lt;&gt;"",EDATE($D125,Milestones!$AA$199)&gt;=$T125),$W125,IF(AND($S125&lt;&gt;"",EDATE($D125,Milestones!$AA$199)&gt;=$S125),$V125,$U125)))=Milestones!$AB$199),UPPER(TEXT(EDATE($D125,Milestones!$AA$199),"dd mmm yy"))&amp;" "&amp;Milestones!$AB$199&amp;" "&amp;Milestones!$AC$199&amp;";  ",""))</f>
        <v/>
      </c>
      <c r="R125" s="0" t="str">
        <f aca="false">IF(Staff!$A125="","",Staff!$AI125)</f>
        <v/>
      </c>
      <c r="S125" s="0" t="str">
        <f aca="false">IF(Staff!$A125="","",Staff!$AK125)</f>
        <v/>
      </c>
      <c r="T125" s="0" t="str">
        <f aca="false">IF(Staff!$A125="","",Staff!$AL125)</f>
        <v/>
      </c>
      <c r="U125" s="0" t="str">
        <f aca="false">IF(Staff!$A125="","",Staff!$AP125)</f>
        <v/>
      </c>
      <c r="V125" s="0" t="str">
        <f aca="false">IF(Staff!$A125="","",Staff!$AQ125)</f>
        <v/>
      </c>
      <c r="W125" s="0" t="str">
        <f aca="false">IF(Staff!$A125="","",Staff!$AR125)</f>
        <v/>
      </c>
      <c r="X125" s="0" t="str">
        <f aca="false">IF(Staff!$A125="","",Staff!$AS125)</f>
        <v/>
      </c>
    </row>
    <row r="126" customFormat="false" ht="15" hidden="false" customHeight="false" outlineLevel="0" collapsed="false">
      <c r="A126" s="14" t="str">
        <f aca="false">IF(Staff!$A126="","",Staff!$A126)</f>
        <v/>
      </c>
      <c r="B126" s="14" t="str">
        <f aca="false">IF(Staff!$A126="","",Staff!$B126)</f>
        <v/>
      </c>
      <c r="C126" s="14" t="str">
        <f aca="false">IF(Staff!$A126="","",Staff!$C126)</f>
        <v/>
      </c>
      <c r="D126" s="12" t="str">
        <f aca="false">IF(Staff!$A126="","",Staff!$AH126)</f>
        <v/>
      </c>
      <c r="E126" s="14" t="str">
        <f aca="false">IF(Staff!$A126="","",Staff!$O126)</f>
        <v/>
      </c>
      <c r="F126" s="14" t="str">
        <f aca="false">IF(E126="","",E126*HoursPerDay)</f>
        <v/>
      </c>
      <c r="G126" s="14" t="str">
        <f aca="false">IF(Staff!$A126="","",Staff!$AE126)</f>
        <v/>
      </c>
      <c r="H126" s="26" t="str">
        <f aca="false">IF($A126="","",I126&amp;J126&amp;K126&amp;L126&amp;M126&amp;N126&amp;O126&amp;P126&amp;Q126)</f>
        <v/>
      </c>
      <c r="I126" s="0" t="str">
        <f aca="false">IF(OR($A126="",$D126=""),"",IF(AND(EDATE($D126,Milestones!$AA$20)&lt;=AsOfDate,IF($R126=0,$X126,IF(AND($T126&lt;&gt;"",EDATE($D126,Milestones!$AA$20)&gt;=$T126),$W126,IF(AND($S126&lt;&gt;"",EDATE($D126,Milestones!$AA$20)&gt;=$S126),$V126,$U126)))=Milestones!$AB$20),UPPER(TEXT(EDATE($D126,Milestones!$AA$20),"dd mmm yy"))&amp;" "&amp;Milestones!$AB$20&amp;" "&amp;Milestones!$AC$20&amp;";  ","")&amp;IF(AND(EDATE($D126,Milestones!$AA$21)&lt;=AsOfDate,IF($R126=0,$X126,IF(AND($T126&lt;&gt;"",EDATE($D126,Milestones!$AA$21)&gt;=$T126),$W126,IF(AND($S126&lt;&gt;"",EDATE($D126,Milestones!$AA$21)&gt;=$S126),$V126,$U126)))=Milestones!$AB$21),UPPER(TEXT(EDATE($D126,Milestones!$AA$21),"dd mmm yy"))&amp;" "&amp;Milestones!$AB$21&amp;" "&amp;Milestones!$AC$21&amp;";  ","")&amp;IF(AND(EDATE($D126,Milestones!$AA$22)&lt;=AsOfDate,IF($R126=0,$X126,IF(AND($T126&lt;&gt;"",EDATE($D126,Milestones!$AA$22)&gt;=$T126),$W126,IF(AND($S126&lt;&gt;"",EDATE($D126,Milestones!$AA$22)&gt;=$S126),$V126,$U126)))=Milestones!$AB$22),UPPER(TEXT(EDATE($D126,Milestones!$AA$22),"dd mmm yy"))&amp;" "&amp;Milestones!$AB$22&amp;" "&amp;Milestones!$AC$22&amp;";  ","")&amp;IF(AND(EDATE($D126,Milestones!$AA$23)&lt;=AsOfDate,IF($R126=0,$X126,IF(AND($T126&lt;&gt;"",EDATE($D126,Milestones!$AA$23)&gt;=$T126),$W126,IF(AND($S126&lt;&gt;"",EDATE($D126,Milestones!$AA$23)&gt;=$S126),$V126,$U126)))=Milestones!$AB$23),UPPER(TEXT(EDATE($D126,Milestones!$AA$23),"dd mmm yy"))&amp;" "&amp;Milestones!$AB$23&amp;" "&amp;Milestones!$AC$23&amp;";  ","")&amp;IF(AND(EDATE($D126,Milestones!$AA$24)&lt;=AsOfDate,IF($R126=0,$X126,IF(AND($T126&lt;&gt;"",EDATE($D126,Milestones!$AA$24)&gt;=$T126),$W126,IF(AND($S126&lt;&gt;"",EDATE($D126,Milestones!$AA$24)&gt;=$S126),$V126,$U126)))=Milestones!$AB$24),UPPER(TEXT(EDATE($D126,Milestones!$AA$24),"dd mmm yy"))&amp;" "&amp;Milestones!$AB$24&amp;" "&amp;Milestones!$AC$24&amp;";  ","")&amp;IF(AND(EDATE($D126,Milestones!$AA$25)&lt;=AsOfDate,IF($R126=0,$X126,IF(AND($T126&lt;&gt;"",EDATE($D126,Milestones!$AA$25)&gt;=$T126),$W126,IF(AND($S126&lt;&gt;"",EDATE($D126,Milestones!$AA$25)&gt;=$S126),$V126,$U126)))=Milestones!$AB$25),UPPER(TEXT(EDATE($D126,Milestones!$AA$25),"dd mmm yy"))&amp;" "&amp;Milestones!$AB$25&amp;" "&amp;Milestones!$AC$25&amp;";  ","")&amp;IF(AND(EDATE($D126,Milestones!$AA$26)&lt;=AsOfDate,IF($R126=0,$X126,IF(AND($T126&lt;&gt;"",EDATE($D126,Milestones!$AA$26)&gt;=$T126),$W126,IF(AND($S126&lt;&gt;"",EDATE($D126,Milestones!$AA$26)&gt;=$S126),$V126,$U126)))=Milestones!$AB$26),UPPER(TEXT(EDATE($D126,Milestones!$AA$26),"dd mmm yy"))&amp;" "&amp;Milestones!$AB$26&amp;" "&amp;Milestones!$AC$26&amp;";  ","")&amp;IF(AND(EDATE($D126,Milestones!$AA$27)&lt;=AsOfDate,IF($R126=0,$X126,IF(AND($T126&lt;&gt;"",EDATE($D126,Milestones!$AA$27)&gt;=$T126),$W126,IF(AND($S126&lt;&gt;"",EDATE($D126,Milestones!$AA$27)&gt;=$S126),$V126,$U126)))=Milestones!$AB$27),UPPER(TEXT(EDATE($D126,Milestones!$AA$27),"dd mmm yy"))&amp;" "&amp;Milestones!$AB$27&amp;" "&amp;Milestones!$AC$27&amp;";  ","")&amp;IF(AND(EDATE($D126,Milestones!$AA$28)&lt;=AsOfDate,IF($R126=0,$X126,IF(AND($T126&lt;&gt;"",EDATE($D126,Milestones!$AA$28)&gt;=$T126),$W126,IF(AND($S126&lt;&gt;"",EDATE($D126,Milestones!$AA$28)&gt;=$S126),$V126,$U126)))=Milestones!$AB$28),UPPER(TEXT(EDATE($D126,Milestones!$AA$28),"dd mmm yy"))&amp;" "&amp;Milestones!$AB$28&amp;" "&amp;Milestones!$AC$28&amp;";  ","")&amp;IF(AND(EDATE($D126,Milestones!$AA$29)&lt;=AsOfDate,IF($R126=0,$X126,IF(AND($T126&lt;&gt;"",EDATE($D126,Milestones!$AA$29)&gt;=$T126),$W126,IF(AND($S126&lt;&gt;"",EDATE($D126,Milestones!$AA$29)&gt;=$S126),$V126,$U126)))=Milestones!$AB$29),UPPER(TEXT(EDATE($D126,Milestones!$AA$29),"dd mmm yy"))&amp;" "&amp;Milestones!$AB$29&amp;" "&amp;Milestones!$AC$29&amp;";  ","")&amp;IF(AND(EDATE($D126,Milestones!$AA$30)&lt;=AsOfDate,IF($R126=0,$X126,IF(AND($T126&lt;&gt;"",EDATE($D126,Milestones!$AA$30)&gt;=$T126),$W126,IF(AND($S126&lt;&gt;"",EDATE($D126,Milestones!$AA$30)&gt;=$S126),$V126,$U126)))=Milestones!$AB$30),UPPER(TEXT(EDATE($D126,Milestones!$AA$30),"dd mmm yy"))&amp;" "&amp;Milestones!$AB$30&amp;" "&amp;Milestones!$AC$30&amp;";  ","")&amp;IF(AND(EDATE($D126,Milestones!$AA$31)&lt;=AsOfDate,IF($R126=0,$X126,IF(AND($T126&lt;&gt;"",EDATE($D126,Milestones!$AA$31)&gt;=$T126),$W126,IF(AND($S126&lt;&gt;"",EDATE($D126,Milestones!$AA$31)&gt;=$S126),$V126,$U126)))=Milestones!$AB$31),UPPER(TEXT(EDATE($D126,Milestones!$AA$31),"dd mmm yy"))&amp;" "&amp;Milestones!$AB$31&amp;" "&amp;Milestones!$AC$31&amp;";  ","")&amp;IF(AND(EDATE($D126,Milestones!$AA$32)&lt;=AsOfDate,IF($R126=0,$X126,IF(AND($T126&lt;&gt;"",EDATE($D126,Milestones!$AA$32)&gt;=$T126),$W126,IF(AND($S126&lt;&gt;"",EDATE($D126,Milestones!$AA$32)&gt;=$S126),$V126,$U126)))=Milestones!$AB$32),UPPER(TEXT(EDATE($D126,Milestones!$AA$32),"dd mmm yy"))&amp;" "&amp;Milestones!$AB$32&amp;" "&amp;Milestones!$AC$32&amp;";  ","")&amp;IF(AND(EDATE($D126,Milestones!$AA$33)&lt;=AsOfDate,IF($R126=0,$X126,IF(AND($T126&lt;&gt;"",EDATE($D126,Milestones!$AA$33)&gt;=$T126),$W126,IF(AND($S126&lt;&gt;"",EDATE($D126,Milestones!$AA$33)&gt;=$S126),$V126,$U126)))=Milestones!$AB$33),UPPER(TEXT(EDATE($D126,Milestones!$AA$33),"dd mmm yy"))&amp;" "&amp;Milestones!$AB$33&amp;" "&amp;Milestones!$AC$33&amp;";  ","")&amp;IF(AND(EDATE($D126,Milestones!$AA$34)&lt;=AsOfDate,IF($R126=0,$X126,IF(AND($T126&lt;&gt;"",EDATE($D126,Milestones!$AA$34)&gt;=$T126),$W126,IF(AND($S126&lt;&gt;"",EDATE($D126,Milestones!$AA$34)&gt;=$S126),$V126,$U126)))=Milestones!$AB$34),UPPER(TEXT(EDATE($D126,Milestones!$AA$34),"dd mmm yy"))&amp;" "&amp;Milestones!$AB$34&amp;" "&amp;Milestones!$AC$34&amp;";  ","")&amp;IF(AND(EDATE($D126,Milestones!$AA$35)&lt;=AsOfDate,IF($R126=0,$X126,IF(AND($T126&lt;&gt;"",EDATE($D126,Milestones!$AA$35)&gt;=$T126),$W126,IF(AND($S126&lt;&gt;"",EDATE($D126,Milestones!$AA$35)&gt;=$S126),$V126,$U126)))=Milestones!$AB$35),UPPER(TEXT(EDATE($D126,Milestones!$AA$35),"dd mmm yy"))&amp;" "&amp;Milestones!$AB$35&amp;" "&amp;Milestones!$AC$35&amp;";  ","")&amp;IF(AND(EDATE($D126,Milestones!$AA$36)&lt;=AsOfDate,IF($R126=0,$X126,IF(AND($T126&lt;&gt;"",EDATE($D126,Milestones!$AA$36)&gt;=$T126),$W126,IF(AND($S126&lt;&gt;"",EDATE($D126,Milestones!$AA$36)&gt;=$S126),$V126,$U126)))=Milestones!$AB$36),UPPER(TEXT(EDATE($D126,Milestones!$AA$36),"dd mmm yy"))&amp;" "&amp;Milestones!$AB$36&amp;" "&amp;Milestones!$AC$36&amp;";  ","")&amp;IF(AND(EDATE($D126,Milestones!$AA$37)&lt;=AsOfDate,IF($R126=0,$X126,IF(AND($T126&lt;&gt;"",EDATE($D126,Milestones!$AA$37)&gt;=$T126),$W126,IF(AND($S126&lt;&gt;"",EDATE($D126,Milestones!$AA$37)&gt;=$S126),$V126,$U126)))=Milestones!$AB$37),UPPER(TEXT(EDATE($D126,Milestones!$AA$37),"dd mmm yy"))&amp;" "&amp;Milestones!$AB$37&amp;" "&amp;Milestones!$AC$37&amp;";  ","")&amp;IF(AND(EDATE($D126,Milestones!$AA$38)&lt;=AsOfDate,IF($R126=0,$X126,IF(AND($T126&lt;&gt;"",EDATE($D126,Milestones!$AA$38)&gt;=$T126),$W126,IF(AND($S126&lt;&gt;"",EDATE($D126,Milestones!$AA$38)&gt;=$S126),$V126,$U126)))=Milestones!$AB$38),UPPER(TEXT(EDATE($D126,Milestones!$AA$38),"dd mmm yy"))&amp;" "&amp;Milestones!$AB$38&amp;" "&amp;Milestones!$AC$38&amp;";  ","")&amp;IF(AND(EDATE($D126,Milestones!$AA$39)&lt;=AsOfDate,IF($R126=0,$X126,IF(AND($T126&lt;&gt;"",EDATE($D126,Milestones!$AA$39)&gt;=$T126),$W126,IF(AND($S126&lt;&gt;"",EDATE($D126,Milestones!$AA$39)&gt;=$S126),$V126,$U126)))=Milestones!$AB$39),UPPER(TEXT(EDATE($D126,Milestones!$AA$39),"dd mmm yy"))&amp;" "&amp;Milestones!$AB$39&amp;" "&amp;Milestones!$AC$39&amp;";  ",""))</f>
        <v/>
      </c>
      <c r="J126" s="0" t="str">
        <f aca="false">IF(OR($A126="",$D126=""),"",IF(AND(EDATE($D126,Milestones!$AA$40)&lt;=AsOfDate,IF($R126=0,$X126,IF(AND($T126&lt;&gt;"",EDATE($D126,Milestones!$AA$40)&gt;=$T126),$W126,IF(AND($S126&lt;&gt;"",EDATE($D126,Milestones!$AA$40)&gt;=$S126),$V126,$U126)))=Milestones!$AB$40),UPPER(TEXT(EDATE($D126,Milestones!$AA$40),"dd mmm yy"))&amp;" "&amp;Milestones!$AB$40&amp;" "&amp;Milestones!$AC$40&amp;";  ","")&amp;IF(AND(EDATE($D126,Milestones!$AA$41)&lt;=AsOfDate,IF($R126=0,$X126,IF(AND($T126&lt;&gt;"",EDATE($D126,Milestones!$AA$41)&gt;=$T126),$W126,IF(AND($S126&lt;&gt;"",EDATE($D126,Milestones!$AA$41)&gt;=$S126),$V126,$U126)))=Milestones!$AB$41),UPPER(TEXT(EDATE($D126,Milestones!$AA$41),"dd mmm yy"))&amp;" "&amp;Milestones!$AB$41&amp;" "&amp;Milestones!$AC$41&amp;";  ","")&amp;IF(AND(EDATE($D126,Milestones!$AA$42)&lt;=AsOfDate,IF($R126=0,$X126,IF(AND($T126&lt;&gt;"",EDATE($D126,Milestones!$AA$42)&gt;=$T126),$W126,IF(AND($S126&lt;&gt;"",EDATE($D126,Milestones!$AA$42)&gt;=$S126),$V126,$U126)))=Milestones!$AB$42),UPPER(TEXT(EDATE($D126,Milestones!$AA$42),"dd mmm yy"))&amp;" "&amp;Milestones!$AB$42&amp;" "&amp;Milestones!$AC$42&amp;";  ","")&amp;IF(AND(EDATE($D126,Milestones!$AA$43)&lt;=AsOfDate,IF($R126=0,$X126,IF(AND($T126&lt;&gt;"",EDATE($D126,Milestones!$AA$43)&gt;=$T126),$W126,IF(AND($S126&lt;&gt;"",EDATE($D126,Milestones!$AA$43)&gt;=$S126),$V126,$U126)))=Milestones!$AB$43),UPPER(TEXT(EDATE($D126,Milestones!$AA$43),"dd mmm yy"))&amp;" "&amp;Milestones!$AB$43&amp;" "&amp;Milestones!$AC$43&amp;";  ","")&amp;IF(AND(EDATE($D126,Milestones!$AA$44)&lt;=AsOfDate,IF($R126=0,$X126,IF(AND($T126&lt;&gt;"",EDATE($D126,Milestones!$AA$44)&gt;=$T126),$W126,IF(AND($S126&lt;&gt;"",EDATE($D126,Milestones!$AA$44)&gt;=$S126),$V126,$U126)))=Milestones!$AB$44),UPPER(TEXT(EDATE($D126,Milestones!$AA$44),"dd mmm yy"))&amp;" "&amp;Milestones!$AB$44&amp;" "&amp;Milestones!$AC$44&amp;";  ","")&amp;IF(AND(EDATE($D126,Milestones!$AA$45)&lt;=AsOfDate,IF($R126=0,$X126,IF(AND($T126&lt;&gt;"",EDATE($D126,Milestones!$AA$45)&gt;=$T126),$W126,IF(AND($S126&lt;&gt;"",EDATE($D126,Milestones!$AA$45)&gt;=$S126),$V126,$U126)))=Milestones!$AB$45),UPPER(TEXT(EDATE($D126,Milestones!$AA$45),"dd mmm yy"))&amp;" "&amp;Milestones!$AB$45&amp;" "&amp;Milestones!$AC$45&amp;";  ","")&amp;IF(AND(EDATE($D126,Milestones!$AA$46)&lt;=AsOfDate,IF($R126=0,$X126,IF(AND($T126&lt;&gt;"",EDATE($D126,Milestones!$AA$46)&gt;=$T126),$W126,IF(AND($S126&lt;&gt;"",EDATE($D126,Milestones!$AA$46)&gt;=$S126),$V126,$U126)))=Milestones!$AB$46),UPPER(TEXT(EDATE($D126,Milestones!$AA$46),"dd mmm yy"))&amp;" "&amp;Milestones!$AB$46&amp;" "&amp;Milestones!$AC$46&amp;";  ","")&amp;IF(AND(EDATE($D126,Milestones!$AA$47)&lt;=AsOfDate,IF($R126=0,$X126,IF(AND($T126&lt;&gt;"",EDATE($D126,Milestones!$AA$47)&gt;=$T126),$W126,IF(AND($S126&lt;&gt;"",EDATE($D126,Milestones!$AA$47)&gt;=$S126),$V126,$U126)))=Milestones!$AB$47),UPPER(TEXT(EDATE($D126,Milestones!$AA$47),"dd mmm yy"))&amp;" "&amp;Milestones!$AB$47&amp;" "&amp;Milestones!$AC$47&amp;";  ","")&amp;IF(AND(EDATE($D126,Milestones!$AA$48)&lt;=AsOfDate,IF($R126=0,$X126,IF(AND($T126&lt;&gt;"",EDATE($D126,Milestones!$AA$48)&gt;=$T126),$W126,IF(AND($S126&lt;&gt;"",EDATE($D126,Milestones!$AA$48)&gt;=$S126),$V126,$U126)))=Milestones!$AB$48),UPPER(TEXT(EDATE($D126,Milestones!$AA$48),"dd mmm yy"))&amp;" "&amp;Milestones!$AB$48&amp;" "&amp;Milestones!$AC$48&amp;";  ","")&amp;IF(AND(EDATE($D126,Milestones!$AA$49)&lt;=AsOfDate,IF($R126=0,$X126,IF(AND($T126&lt;&gt;"",EDATE($D126,Milestones!$AA$49)&gt;=$T126),$W126,IF(AND($S126&lt;&gt;"",EDATE($D126,Milestones!$AA$49)&gt;=$S126),$V126,$U126)))=Milestones!$AB$49),UPPER(TEXT(EDATE($D126,Milestones!$AA$49),"dd mmm yy"))&amp;" "&amp;Milestones!$AB$49&amp;" "&amp;Milestones!$AC$49&amp;";  ","")&amp;IF(AND(EDATE($D126,Milestones!$AA$50)&lt;=AsOfDate,IF($R126=0,$X126,IF(AND($T126&lt;&gt;"",EDATE($D126,Milestones!$AA$50)&gt;=$T126),$W126,IF(AND($S126&lt;&gt;"",EDATE($D126,Milestones!$AA$50)&gt;=$S126),$V126,$U126)))=Milestones!$AB$50),UPPER(TEXT(EDATE($D126,Milestones!$AA$50),"dd mmm yy"))&amp;" "&amp;Milestones!$AB$50&amp;" "&amp;Milestones!$AC$50&amp;";  ","")&amp;IF(AND(EDATE($D126,Milestones!$AA$51)&lt;=AsOfDate,IF($R126=0,$X126,IF(AND($T126&lt;&gt;"",EDATE($D126,Milestones!$AA$51)&gt;=$T126),$W126,IF(AND($S126&lt;&gt;"",EDATE($D126,Milestones!$AA$51)&gt;=$S126),$V126,$U126)))=Milestones!$AB$51),UPPER(TEXT(EDATE($D126,Milestones!$AA$51),"dd mmm yy"))&amp;" "&amp;Milestones!$AB$51&amp;" "&amp;Milestones!$AC$51&amp;";  ","")&amp;IF(AND(EDATE($D126,Milestones!$AA$52)&lt;=AsOfDate,IF($R126=0,$X126,IF(AND($T126&lt;&gt;"",EDATE($D126,Milestones!$AA$52)&gt;=$T126),$W126,IF(AND($S126&lt;&gt;"",EDATE($D126,Milestones!$AA$52)&gt;=$S126),$V126,$U126)))=Milestones!$AB$52),UPPER(TEXT(EDATE($D126,Milestones!$AA$52),"dd mmm yy"))&amp;" "&amp;Milestones!$AB$52&amp;" "&amp;Milestones!$AC$52&amp;";  ","")&amp;IF(AND(EDATE($D126,Milestones!$AA$53)&lt;=AsOfDate,IF($R126=0,$X126,IF(AND($T126&lt;&gt;"",EDATE($D126,Milestones!$AA$53)&gt;=$T126),$W126,IF(AND($S126&lt;&gt;"",EDATE($D126,Milestones!$AA$53)&gt;=$S126),$V126,$U126)))=Milestones!$AB$53),UPPER(TEXT(EDATE($D126,Milestones!$AA$53),"dd mmm yy"))&amp;" "&amp;Milestones!$AB$53&amp;" "&amp;Milestones!$AC$53&amp;";  ","")&amp;IF(AND(EDATE($D126,Milestones!$AA$54)&lt;=AsOfDate,IF($R126=0,$X126,IF(AND($T126&lt;&gt;"",EDATE($D126,Milestones!$AA$54)&gt;=$T126),$W126,IF(AND($S126&lt;&gt;"",EDATE($D126,Milestones!$AA$54)&gt;=$S126),$V126,$U126)))=Milestones!$AB$54),UPPER(TEXT(EDATE($D126,Milestones!$AA$54),"dd mmm yy"))&amp;" "&amp;Milestones!$AB$54&amp;" "&amp;Milestones!$AC$54&amp;";  ","")&amp;IF(AND(EDATE($D126,Milestones!$AA$55)&lt;=AsOfDate,IF($R126=0,$X126,IF(AND($T126&lt;&gt;"",EDATE($D126,Milestones!$AA$55)&gt;=$T126),$W126,IF(AND($S126&lt;&gt;"",EDATE($D126,Milestones!$AA$55)&gt;=$S126),$V126,$U126)))=Milestones!$AB$55),UPPER(TEXT(EDATE($D126,Milestones!$AA$55),"dd mmm yy"))&amp;" "&amp;Milestones!$AB$55&amp;" "&amp;Milestones!$AC$55&amp;";  ","")&amp;IF(AND(EDATE($D126,Milestones!$AA$56)&lt;=AsOfDate,IF($R126=0,$X126,IF(AND($T126&lt;&gt;"",EDATE($D126,Milestones!$AA$56)&gt;=$T126),$W126,IF(AND($S126&lt;&gt;"",EDATE($D126,Milestones!$AA$56)&gt;=$S126),$V126,$U126)))=Milestones!$AB$56),UPPER(TEXT(EDATE($D126,Milestones!$AA$56),"dd mmm yy"))&amp;" "&amp;Milestones!$AB$56&amp;" "&amp;Milestones!$AC$56&amp;";  ","")&amp;IF(AND(EDATE($D126,Milestones!$AA$57)&lt;=AsOfDate,IF($R126=0,$X126,IF(AND($T126&lt;&gt;"",EDATE($D126,Milestones!$AA$57)&gt;=$T126),$W126,IF(AND($S126&lt;&gt;"",EDATE($D126,Milestones!$AA$57)&gt;=$S126),$V126,$U126)))=Milestones!$AB$57),UPPER(TEXT(EDATE($D126,Milestones!$AA$57),"dd mmm yy"))&amp;" "&amp;Milestones!$AB$57&amp;" "&amp;Milestones!$AC$57&amp;";  ","")&amp;IF(AND(EDATE($D126,Milestones!$AA$58)&lt;=AsOfDate,IF($R126=0,$X126,IF(AND($T126&lt;&gt;"",EDATE($D126,Milestones!$AA$58)&gt;=$T126),$W126,IF(AND($S126&lt;&gt;"",EDATE($D126,Milestones!$AA$58)&gt;=$S126),$V126,$U126)))=Milestones!$AB$58),UPPER(TEXT(EDATE($D126,Milestones!$AA$58),"dd mmm yy"))&amp;" "&amp;Milestones!$AB$58&amp;" "&amp;Milestones!$AC$58&amp;";  ","")&amp;IF(AND(EDATE($D126,Milestones!$AA$59)&lt;=AsOfDate,IF($R126=0,$X126,IF(AND($T126&lt;&gt;"",EDATE($D126,Milestones!$AA$59)&gt;=$T126),$W126,IF(AND($S126&lt;&gt;"",EDATE($D126,Milestones!$AA$59)&gt;=$S126),$V126,$U126)))=Milestones!$AB$59),UPPER(TEXT(EDATE($D126,Milestones!$AA$59),"dd mmm yy"))&amp;" "&amp;Milestones!$AB$59&amp;" "&amp;Milestones!$AC$59&amp;";  ",""))</f>
        <v/>
      </c>
      <c r="K126" s="0" t="str">
        <f aca="false">IF(OR($A126="",$D126=""),"",IF(AND(EDATE($D126,Milestones!$AA$60)&lt;=AsOfDate,IF($R126=0,$X126,IF(AND($T126&lt;&gt;"",EDATE($D126,Milestones!$AA$60)&gt;=$T126),$W126,IF(AND($S126&lt;&gt;"",EDATE($D126,Milestones!$AA$60)&gt;=$S126),$V126,$U126)))=Milestones!$AB$60),UPPER(TEXT(EDATE($D126,Milestones!$AA$60),"dd mmm yy"))&amp;" "&amp;Milestones!$AB$60&amp;" "&amp;Milestones!$AC$60&amp;";  ","")&amp;IF(AND(EDATE($D126,Milestones!$AA$61)&lt;=AsOfDate,IF($R126=0,$X126,IF(AND($T126&lt;&gt;"",EDATE($D126,Milestones!$AA$61)&gt;=$T126),$W126,IF(AND($S126&lt;&gt;"",EDATE($D126,Milestones!$AA$61)&gt;=$S126),$V126,$U126)))=Milestones!$AB$61),UPPER(TEXT(EDATE($D126,Milestones!$AA$61),"dd mmm yy"))&amp;" "&amp;Milestones!$AB$61&amp;" "&amp;Milestones!$AC$61&amp;";  ","")&amp;IF(AND(EDATE($D126,Milestones!$AA$62)&lt;=AsOfDate,IF($R126=0,$X126,IF(AND($T126&lt;&gt;"",EDATE($D126,Milestones!$AA$62)&gt;=$T126),$W126,IF(AND($S126&lt;&gt;"",EDATE($D126,Milestones!$AA$62)&gt;=$S126),$V126,$U126)))=Milestones!$AB$62),UPPER(TEXT(EDATE($D126,Milestones!$AA$62),"dd mmm yy"))&amp;" "&amp;Milestones!$AB$62&amp;" "&amp;Milestones!$AC$62&amp;";  ","")&amp;IF(AND(EDATE($D126,Milestones!$AA$63)&lt;=AsOfDate,IF($R126=0,$X126,IF(AND($T126&lt;&gt;"",EDATE($D126,Milestones!$AA$63)&gt;=$T126),$W126,IF(AND($S126&lt;&gt;"",EDATE($D126,Milestones!$AA$63)&gt;=$S126),$V126,$U126)))=Milestones!$AB$63),UPPER(TEXT(EDATE($D126,Milestones!$AA$63),"dd mmm yy"))&amp;" "&amp;Milestones!$AB$63&amp;" "&amp;Milestones!$AC$63&amp;";  ","")&amp;IF(AND(EDATE($D126,Milestones!$AA$64)&lt;=AsOfDate,IF($R126=0,$X126,IF(AND($T126&lt;&gt;"",EDATE($D126,Milestones!$AA$64)&gt;=$T126),$W126,IF(AND($S126&lt;&gt;"",EDATE($D126,Milestones!$AA$64)&gt;=$S126),$V126,$U126)))=Milestones!$AB$64),UPPER(TEXT(EDATE($D126,Milestones!$AA$64),"dd mmm yy"))&amp;" "&amp;Milestones!$AB$64&amp;" "&amp;Milestones!$AC$64&amp;";  ","")&amp;IF(AND(EDATE($D126,Milestones!$AA$65)&lt;=AsOfDate,IF($R126=0,$X126,IF(AND($T126&lt;&gt;"",EDATE($D126,Milestones!$AA$65)&gt;=$T126),$W126,IF(AND($S126&lt;&gt;"",EDATE($D126,Milestones!$AA$65)&gt;=$S126),$V126,$U126)))=Milestones!$AB$65),UPPER(TEXT(EDATE($D126,Milestones!$AA$65),"dd mmm yy"))&amp;" "&amp;Milestones!$AB$65&amp;" "&amp;Milestones!$AC$65&amp;";  ","")&amp;IF(AND(EDATE($D126,Milestones!$AA$66)&lt;=AsOfDate,IF($R126=0,$X126,IF(AND($T126&lt;&gt;"",EDATE($D126,Milestones!$AA$66)&gt;=$T126),$W126,IF(AND($S126&lt;&gt;"",EDATE($D126,Milestones!$AA$66)&gt;=$S126),$V126,$U126)))=Milestones!$AB$66),UPPER(TEXT(EDATE($D126,Milestones!$AA$66),"dd mmm yy"))&amp;" "&amp;Milestones!$AB$66&amp;" "&amp;Milestones!$AC$66&amp;";  ","")&amp;IF(AND(EDATE($D126,Milestones!$AA$67)&lt;=AsOfDate,IF($R126=0,$X126,IF(AND($T126&lt;&gt;"",EDATE($D126,Milestones!$AA$67)&gt;=$T126),$W126,IF(AND($S126&lt;&gt;"",EDATE($D126,Milestones!$AA$67)&gt;=$S126),$V126,$U126)))=Milestones!$AB$67),UPPER(TEXT(EDATE($D126,Milestones!$AA$67),"dd mmm yy"))&amp;" "&amp;Milestones!$AB$67&amp;" "&amp;Milestones!$AC$67&amp;";  ","")&amp;IF(AND(EDATE($D126,Milestones!$AA$68)&lt;=AsOfDate,IF($R126=0,$X126,IF(AND($T126&lt;&gt;"",EDATE($D126,Milestones!$AA$68)&gt;=$T126),$W126,IF(AND($S126&lt;&gt;"",EDATE($D126,Milestones!$AA$68)&gt;=$S126),$V126,$U126)))=Milestones!$AB$68),UPPER(TEXT(EDATE($D126,Milestones!$AA$68),"dd mmm yy"))&amp;" "&amp;Milestones!$AB$68&amp;" "&amp;Milestones!$AC$68&amp;";  ","")&amp;IF(AND(EDATE($D126,Milestones!$AA$69)&lt;=AsOfDate,IF($R126=0,$X126,IF(AND($T126&lt;&gt;"",EDATE($D126,Milestones!$AA$69)&gt;=$T126),$W126,IF(AND($S126&lt;&gt;"",EDATE($D126,Milestones!$AA$69)&gt;=$S126),$V126,$U126)))=Milestones!$AB$69),UPPER(TEXT(EDATE($D126,Milestones!$AA$69),"dd mmm yy"))&amp;" "&amp;Milestones!$AB$69&amp;" "&amp;Milestones!$AC$69&amp;";  ","")&amp;IF(AND(EDATE($D126,Milestones!$AA$70)&lt;=AsOfDate,IF($R126=0,$X126,IF(AND($T126&lt;&gt;"",EDATE($D126,Milestones!$AA$70)&gt;=$T126),$W126,IF(AND($S126&lt;&gt;"",EDATE($D126,Milestones!$AA$70)&gt;=$S126),$V126,$U126)))=Milestones!$AB$70),UPPER(TEXT(EDATE($D126,Milestones!$AA$70),"dd mmm yy"))&amp;" "&amp;Milestones!$AB$70&amp;" "&amp;Milestones!$AC$70&amp;";  ","")&amp;IF(AND(EDATE($D126,Milestones!$AA$71)&lt;=AsOfDate,IF($R126=0,$X126,IF(AND($T126&lt;&gt;"",EDATE($D126,Milestones!$AA$71)&gt;=$T126),$W126,IF(AND($S126&lt;&gt;"",EDATE($D126,Milestones!$AA$71)&gt;=$S126),$V126,$U126)))=Milestones!$AB$71),UPPER(TEXT(EDATE($D126,Milestones!$AA$71),"dd mmm yy"))&amp;" "&amp;Milestones!$AB$71&amp;" "&amp;Milestones!$AC$71&amp;";  ","")&amp;IF(AND(EDATE($D126,Milestones!$AA$72)&lt;=AsOfDate,IF($R126=0,$X126,IF(AND($T126&lt;&gt;"",EDATE($D126,Milestones!$AA$72)&gt;=$T126),$W126,IF(AND($S126&lt;&gt;"",EDATE($D126,Milestones!$AA$72)&gt;=$S126),$V126,$U126)))=Milestones!$AB$72),UPPER(TEXT(EDATE($D126,Milestones!$AA$72),"dd mmm yy"))&amp;" "&amp;Milestones!$AB$72&amp;" "&amp;Milestones!$AC$72&amp;";  ","")&amp;IF(AND(EDATE($D126,Milestones!$AA$73)&lt;=AsOfDate,IF($R126=0,$X126,IF(AND($T126&lt;&gt;"",EDATE($D126,Milestones!$AA$73)&gt;=$T126),$W126,IF(AND($S126&lt;&gt;"",EDATE($D126,Milestones!$AA$73)&gt;=$S126),$V126,$U126)))=Milestones!$AB$73),UPPER(TEXT(EDATE($D126,Milestones!$AA$73),"dd mmm yy"))&amp;" "&amp;Milestones!$AB$73&amp;" "&amp;Milestones!$AC$73&amp;";  ","")&amp;IF(AND(EDATE($D126,Milestones!$AA$74)&lt;=AsOfDate,IF($R126=0,$X126,IF(AND($T126&lt;&gt;"",EDATE($D126,Milestones!$AA$74)&gt;=$T126),$W126,IF(AND($S126&lt;&gt;"",EDATE($D126,Milestones!$AA$74)&gt;=$S126),$V126,$U126)))=Milestones!$AB$74),UPPER(TEXT(EDATE($D126,Milestones!$AA$74),"dd mmm yy"))&amp;" "&amp;Milestones!$AB$74&amp;" "&amp;Milestones!$AC$74&amp;";  ","")&amp;IF(AND(EDATE($D126,Milestones!$AA$75)&lt;=AsOfDate,IF($R126=0,$X126,IF(AND($T126&lt;&gt;"",EDATE($D126,Milestones!$AA$75)&gt;=$T126),$W126,IF(AND($S126&lt;&gt;"",EDATE($D126,Milestones!$AA$75)&gt;=$S126),$V126,$U126)))=Milestones!$AB$75),UPPER(TEXT(EDATE($D126,Milestones!$AA$75),"dd mmm yy"))&amp;" "&amp;Milestones!$AB$75&amp;" "&amp;Milestones!$AC$75&amp;";  ","")&amp;IF(AND(EDATE($D126,Milestones!$AA$76)&lt;=AsOfDate,IF($R126=0,$X126,IF(AND($T126&lt;&gt;"",EDATE($D126,Milestones!$AA$76)&gt;=$T126),$W126,IF(AND($S126&lt;&gt;"",EDATE($D126,Milestones!$AA$76)&gt;=$S126),$V126,$U126)))=Milestones!$AB$76),UPPER(TEXT(EDATE($D126,Milestones!$AA$76),"dd mmm yy"))&amp;" "&amp;Milestones!$AB$76&amp;" "&amp;Milestones!$AC$76&amp;";  ","")&amp;IF(AND(EDATE($D126,Milestones!$AA$77)&lt;=AsOfDate,IF($R126=0,$X126,IF(AND($T126&lt;&gt;"",EDATE($D126,Milestones!$AA$77)&gt;=$T126),$W126,IF(AND($S126&lt;&gt;"",EDATE($D126,Milestones!$AA$77)&gt;=$S126),$V126,$U126)))=Milestones!$AB$77),UPPER(TEXT(EDATE($D126,Milestones!$AA$77),"dd mmm yy"))&amp;" "&amp;Milestones!$AB$77&amp;" "&amp;Milestones!$AC$77&amp;";  ","")&amp;IF(AND(EDATE($D126,Milestones!$AA$78)&lt;=AsOfDate,IF($R126=0,$X126,IF(AND($T126&lt;&gt;"",EDATE($D126,Milestones!$AA$78)&gt;=$T126),$W126,IF(AND($S126&lt;&gt;"",EDATE($D126,Milestones!$AA$78)&gt;=$S126),$V126,$U126)))=Milestones!$AB$78),UPPER(TEXT(EDATE($D126,Milestones!$AA$78),"dd mmm yy"))&amp;" "&amp;Milestones!$AB$78&amp;" "&amp;Milestones!$AC$78&amp;";  ","")&amp;IF(AND(EDATE($D126,Milestones!$AA$79)&lt;=AsOfDate,IF($R126=0,$X126,IF(AND($T126&lt;&gt;"",EDATE($D126,Milestones!$AA$79)&gt;=$T126),$W126,IF(AND($S126&lt;&gt;"",EDATE($D126,Milestones!$AA$79)&gt;=$S126),$V126,$U126)))=Milestones!$AB$79),UPPER(TEXT(EDATE($D126,Milestones!$AA$79),"dd mmm yy"))&amp;" "&amp;Milestones!$AB$79&amp;" "&amp;Milestones!$AC$79&amp;";  ",""))</f>
        <v/>
      </c>
      <c r="L126" s="0" t="str">
        <f aca="false">IF(OR($A126="",$D126=""),"",IF(AND(EDATE($D126,Milestones!$AA$80)&lt;=AsOfDate,IF($R126=0,$X126,IF(AND($T126&lt;&gt;"",EDATE($D126,Milestones!$AA$80)&gt;=$T126),$W126,IF(AND($S126&lt;&gt;"",EDATE($D126,Milestones!$AA$80)&gt;=$S126),$V126,$U126)))=Milestones!$AB$80),UPPER(TEXT(EDATE($D126,Milestones!$AA$80),"dd mmm yy"))&amp;" "&amp;Milestones!$AB$80&amp;" "&amp;Milestones!$AC$80&amp;";  ","")&amp;IF(AND(EDATE($D126,Milestones!$AA$81)&lt;=AsOfDate,IF($R126=0,$X126,IF(AND($T126&lt;&gt;"",EDATE($D126,Milestones!$AA$81)&gt;=$T126),$W126,IF(AND($S126&lt;&gt;"",EDATE($D126,Milestones!$AA$81)&gt;=$S126),$V126,$U126)))=Milestones!$AB$81),UPPER(TEXT(EDATE($D126,Milestones!$AA$81),"dd mmm yy"))&amp;" "&amp;Milestones!$AB$81&amp;" "&amp;Milestones!$AC$81&amp;";  ","")&amp;IF(AND(EDATE($D126,Milestones!$AA$82)&lt;=AsOfDate,IF($R126=0,$X126,IF(AND($T126&lt;&gt;"",EDATE($D126,Milestones!$AA$82)&gt;=$T126),$W126,IF(AND($S126&lt;&gt;"",EDATE($D126,Milestones!$AA$82)&gt;=$S126),$V126,$U126)))=Milestones!$AB$82),UPPER(TEXT(EDATE($D126,Milestones!$AA$82),"dd mmm yy"))&amp;" "&amp;Milestones!$AB$82&amp;" "&amp;Milestones!$AC$82&amp;";  ","")&amp;IF(AND(EDATE($D126,Milestones!$AA$83)&lt;=AsOfDate,IF($R126=0,$X126,IF(AND($T126&lt;&gt;"",EDATE($D126,Milestones!$AA$83)&gt;=$T126),$W126,IF(AND($S126&lt;&gt;"",EDATE($D126,Milestones!$AA$83)&gt;=$S126),$V126,$U126)))=Milestones!$AB$83),UPPER(TEXT(EDATE($D126,Milestones!$AA$83),"dd mmm yy"))&amp;" "&amp;Milestones!$AB$83&amp;" "&amp;Milestones!$AC$83&amp;";  ","")&amp;IF(AND(EDATE($D126,Milestones!$AA$84)&lt;=AsOfDate,IF($R126=0,$X126,IF(AND($T126&lt;&gt;"",EDATE($D126,Milestones!$AA$84)&gt;=$T126),$W126,IF(AND($S126&lt;&gt;"",EDATE($D126,Milestones!$AA$84)&gt;=$S126),$V126,$U126)))=Milestones!$AB$84),UPPER(TEXT(EDATE($D126,Milestones!$AA$84),"dd mmm yy"))&amp;" "&amp;Milestones!$AB$84&amp;" "&amp;Milestones!$AC$84&amp;";  ","")&amp;IF(AND(EDATE($D126,Milestones!$AA$85)&lt;=AsOfDate,IF($R126=0,$X126,IF(AND($T126&lt;&gt;"",EDATE($D126,Milestones!$AA$85)&gt;=$T126),$W126,IF(AND($S126&lt;&gt;"",EDATE($D126,Milestones!$AA$85)&gt;=$S126),$V126,$U126)))=Milestones!$AB$85),UPPER(TEXT(EDATE($D126,Milestones!$AA$85),"dd mmm yy"))&amp;" "&amp;Milestones!$AB$85&amp;" "&amp;Milestones!$AC$85&amp;";  ","")&amp;IF(AND(EDATE($D126,Milestones!$AA$86)&lt;=AsOfDate,IF($R126=0,$X126,IF(AND($T126&lt;&gt;"",EDATE($D126,Milestones!$AA$86)&gt;=$T126),$W126,IF(AND($S126&lt;&gt;"",EDATE($D126,Milestones!$AA$86)&gt;=$S126),$V126,$U126)))=Milestones!$AB$86),UPPER(TEXT(EDATE($D126,Milestones!$AA$86),"dd mmm yy"))&amp;" "&amp;Milestones!$AB$86&amp;" "&amp;Milestones!$AC$86&amp;";  ","")&amp;IF(AND(EDATE($D126,Milestones!$AA$87)&lt;=AsOfDate,IF($R126=0,$X126,IF(AND($T126&lt;&gt;"",EDATE($D126,Milestones!$AA$87)&gt;=$T126),$W126,IF(AND($S126&lt;&gt;"",EDATE($D126,Milestones!$AA$87)&gt;=$S126),$V126,$U126)))=Milestones!$AB$87),UPPER(TEXT(EDATE($D126,Milestones!$AA$87),"dd mmm yy"))&amp;" "&amp;Milestones!$AB$87&amp;" "&amp;Milestones!$AC$87&amp;";  ","")&amp;IF(AND(EDATE($D126,Milestones!$AA$88)&lt;=AsOfDate,IF($R126=0,$X126,IF(AND($T126&lt;&gt;"",EDATE($D126,Milestones!$AA$88)&gt;=$T126),$W126,IF(AND($S126&lt;&gt;"",EDATE($D126,Milestones!$AA$88)&gt;=$S126),$V126,$U126)))=Milestones!$AB$88),UPPER(TEXT(EDATE($D126,Milestones!$AA$88),"dd mmm yy"))&amp;" "&amp;Milestones!$AB$88&amp;" "&amp;Milestones!$AC$88&amp;";  ","")&amp;IF(AND(EDATE($D126,Milestones!$AA$89)&lt;=AsOfDate,IF($R126=0,$X126,IF(AND($T126&lt;&gt;"",EDATE($D126,Milestones!$AA$89)&gt;=$T126),$W126,IF(AND($S126&lt;&gt;"",EDATE($D126,Milestones!$AA$89)&gt;=$S126),$V126,$U126)))=Milestones!$AB$89),UPPER(TEXT(EDATE($D126,Milestones!$AA$89),"dd mmm yy"))&amp;" "&amp;Milestones!$AB$89&amp;" "&amp;Milestones!$AC$89&amp;";  ","")&amp;IF(AND(EDATE($D126,Milestones!$AA$90)&lt;=AsOfDate,IF($R126=0,$X126,IF(AND($T126&lt;&gt;"",EDATE($D126,Milestones!$AA$90)&gt;=$T126),$W126,IF(AND($S126&lt;&gt;"",EDATE($D126,Milestones!$AA$90)&gt;=$S126),$V126,$U126)))=Milestones!$AB$90),UPPER(TEXT(EDATE($D126,Milestones!$AA$90),"dd mmm yy"))&amp;" "&amp;Milestones!$AB$90&amp;" "&amp;Milestones!$AC$90&amp;";  ","")&amp;IF(AND(EDATE($D126,Milestones!$AA$91)&lt;=AsOfDate,IF($R126=0,$X126,IF(AND($T126&lt;&gt;"",EDATE($D126,Milestones!$AA$91)&gt;=$T126),$W126,IF(AND($S126&lt;&gt;"",EDATE($D126,Milestones!$AA$91)&gt;=$S126),$V126,$U126)))=Milestones!$AB$91),UPPER(TEXT(EDATE($D126,Milestones!$AA$91),"dd mmm yy"))&amp;" "&amp;Milestones!$AB$91&amp;" "&amp;Milestones!$AC$91&amp;";  ","")&amp;IF(AND(EDATE($D126,Milestones!$AA$92)&lt;=AsOfDate,IF($R126=0,$X126,IF(AND($T126&lt;&gt;"",EDATE($D126,Milestones!$AA$92)&gt;=$T126),$W126,IF(AND($S126&lt;&gt;"",EDATE($D126,Milestones!$AA$92)&gt;=$S126),$V126,$U126)))=Milestones!$AB$92),UPPER(TEXT(EDATE($D126,Milestones!$AA$92),"dd mmm yy"))&amp;" "&amp;Milestones!$AB$92&amp;" "&amp;Milestones!$AC$92&amp;";  ","")&amp;IF(AND(EDATE($D126,Milestones!$AA$93)&lt;=AsOfDate,IF($R126=0,$X126,IF(AND($T126&lt;&gt;"",EDATE($D126,Milestones!$AA$93)&gt;=$T126),$W126,IF(AND($S126&lt;&gt;"",EDATE($D126,Milestones!$AA$93)&gt;=$S126),$V126,$U126)))=Milestones!$AB$93),UPPER(TEXT(EDATE($D126,Milestones!$AA$93),"dd mmm yy"))&amp;" "&amp;Milestones!$AB$93&amp;" "&amp;Milestones!$AC$93&amp;";  ","")&amp;IF(AND(EDATE($D126,Milestones!$AA$94)&lt;=AsOfDate,IF($R126=0,$X126,IF(AND($T126&lt;&gt;"",EDATE($D126,Milestones!$AA$94)&gt;=$T126),$W126,IF(AND($S126&lt;&gt;"",EDATE($D126,Milestones!$AA$94)&gt;=$S126),$V126,$U126)))=Milestones!$AB$94),UPPER(TEXT(EDATE($D126,Milestones!$AA$94),"dd mmm yy"))&amp;" "&amp;Milestones!$AB$94&amp;" "&amp;Milestones!$AC$94&amp;";  ","")&amp;IF(AND(EDATE($D126,Milestones!$AA$95)&lt;=AsOfDate,IF($R126=0,$X126,IF(AND($T126&lt;&gt;"",EDATE($D126,Milestones!$AA$95)&gt;=$T126),$W126,IF(AND($S126&lt;&gt;"",EDATE($D126,Milestones!$AA$95)&gt;=$S126),$V126,$U126)))=Milestones!$AB$95),UPPER(TEXT(EDATE($D126,Milestones!$AA$95),"dd mmm yy"))&amp;" "&amp;Milestones!$AB$95&amp;" "&amp;Milestones!$AC$95&amp;";  ","")&amp;IF(AND(EDATE($D126,Milestones!$AA$96)&lt;=AsOfDate,IF($R126=0,$X126,IF(AND($T126&lt;&gt;"",EDATE($D126,Milestones!$AA$96)&gt;=$T126),$W126,IF(AND($S126&lt;&gt;"",EDATE($D126,Milestones!$AA$96)&gt;=$S126),$V126,$U126)))=Milestones!$AB$96),UPPER(TEXT(EDATE($D126,Milestones!$AA$96),"dd mmm yy"))&amp;" "&amp;Milestones!$AB$96&amp;" "&amp;Milestones!$AC$96&amp;";  ","")&amp;IF(AND(EDATE($D126,Milestones!$AA$97)&lt;=AsOfDate,IF($R126=0,$X126,IF(AND($T126&lt;&gt;"",EDATE($D126,Milestones!$AA$97)&gt;=$T126),$W126,IF(AND($S126&lt;&gt;"",EDATE($D126,Milestones!$AA$97)&gt;=$S126),$V126,$U126)))=Milestones!$AB$97),UPPER(TEXT(EDATE($D126,Milestones!$AA$97),"dd mmm yy"))&amp;" "&amp;Milestones!$AB$97&amp;" "&amp;Milestones!$AC$97&amp;";  ","")&amp;IF(AND(EDATE($D126,Milestones!$AA$98)&lt;=AsOfDate,IF($R126=0,$X126,IF(AND($T126&lt;&gt;"",EDATE($D126,Milestones!$AA$98)&gt;=$T126),$W126,IF(AND($S126&lt;&gt;"",EDATE($D126,Milestones!$AA$98)&gt;=$S126),$V126,$U126)))=Milestones!$AB$98),UPPER(TEXT(EDATE($D126,Milestones!$AA$98),"dd mmm yy"))&amp;" "&amp;Milestones!$AB$98&amp;" "&amp;Milestones!$AC$98&amp;";  ","")&amp;IF(AND(EDATE($D126,Milestones!$AA$99)&lt;=AsOfDate,IF($R126=0,$X126,IF(AND($T126&lt;&gt;"",EDATE($D126,Milestones!$AA$99)&gt;=$T126),$W126,IF(AND($S126&lt;&gt;"",EDATE($D126,Milestones!$AA$99)&gt;=$S126),$V126,$U126)))=Milestones!$AB$99),UPPER(TEXT(EDATE($D126,Milestones!$AA$99),"dd mmm yy"))&amp;" "&amp;Milestones!$AB$99&amp;" "&amp;Milestones!$AC$99&amp;";  ",""))</f>
        <v/>
      </c>
      <c r="M126" s="0" t="str">
        <f aca="false">IF(OR($A126="",$D126=""),"",IF(AND(EDATE($D126,Milestones!$AA$100)&lt;=AsOfDate,IF($R126=0,$X126,IF(AND($T126&lt;&gt;"",EDATE($D126,Milestones!$AA$100)&gt;=$T126),$W126,IF(AND($S126&lt;&gt;"",EDATE($D126,Milestones!$AA$100)&gt;=$S126),$V126,$U126)))=Milestones!$AB$100),UPPER(TEXT(EDATE($D126,Milestones!$AA$100),"dd mmm yy"))&amp;" "&amp;Milestones!$AB$100&amp;" "&amp;Milestones!$AC$100&amp;";  ","")&amp;IF(AND(EDATE($D126,Milestones!$AA$101)&lt;=AsOfDate,IF($R126=0,$X126,IF(AND($T126&lt;&gt;"",EDATE($D126,Milestones!$AA$101)&gt;=$T126),$W126,IF(AND($S126&lt;&gt;"",EDATE($D126,Milestones!$AA$101)&gt;=$S126),$V126,$U126)))=Milestones!$AB$101),UPPER(TEXT(EDATE($D126,Milestones!$AA$101),"dd mmm yy"))&amp;" "&amp;Milestones!$AB$101&amp;" "&amp;Milestones!$AC$101&amp;";  ","")&amp;IF(AND(EDATE($D126,Milestones!$AA$102)&lt;=AsOfDate,IF($R126=0,$X126,IF(AND($T126&lt;&gt;"",EDATE($D126,Milestones!$AA$102)&gt;=$T126),$W126,IF(AND($S126&lt;&gt;"",EDATE($D126,Milestones!$AA$102)&gt;=$S126),$V126,$U126)))=Milestones!$AB$102),UPPER(TEXT(EDATE($D126,Milestones!$AA$102),"dd mmm yy"))&amp;" "&amp;Milestones!$AB$102&amp;" "&amp;Milestones!$AC$102&amp;";  ","")&amp;IF(AND(EDATE($D126,Milestones!$AA$103)&lt;=AsOfDate,IF($R126=0,$X126,IF(AND($T126&lt;&gt;"",EDATE($D126,Milestones!$AA$103)&gt;=$T126),$W126,IF(AND($S126&lt;&gt;"",EDATE($D126,Milestones!$AA$103)&gt;=$S126),$V126,$U126)))=Milestones!$AB$103),UPPER(TEXT(EDATE($D126,Milestones!$AA$103),"dd mmm yy"))&amp;" "&amp;Milestones!$AB$103&amp;" "&amp;Milestones!$AC$103&amp;";  ","")&amp;IF(AND(EDATE($D126,Milestones!$AA$104)&lt;=AsOfDate,IF($R126=0,$X126,IF(AND($T126&lt;&gt;"",EDATE($D126,Milestones!$AA$104)&gt;=$T126),$W126,IF(AND($S126&lt;&gt;"",EDATE($D126,Milestones!$AA$104)&gt;=$S126),$V126,$U126)))=Milestones!$AB$104),UPPER(TEXT(EDATE($D126,Milestones!$AA$104),"dd mmm yy"))&amp;" "&amp;Milestones!$AB$104&amp;" "&amp;Milestones!$AC$104&amp;";  ","")&amp;IF(AND(EDATE($D126,Milestones!$AA$105)&lt;=AsOfDate,IF($R126=0,$X126,IF(AND($T126&lt;&gt;"",EDATE($D126,Milestones!$AA$105)&gt;=$T126),$W126,IF(AND($S126&lt;&gt;"",EDATE($D126,Milestones!$AA$105)&gt;=$S126),$V126,$U126)))=Milestones!$AB$105),UPPER(TEXT(EDATE($D126,Milestones!$AA$105),"dd mmm yy"))&amp;" "&amp;Milestones!$AB$105&amp;" "&amp;Milestones!$AC$105&amp;";  ","")&amp;IF(AND(EDATE($D126,Milestones!$AA$106)&lt;=AsOfDate,IF($R126=0,$X126,IF(AND($T126&lt;&gt;"",EDATE($D126,Milestones!$AA$106)&gt;=$T126),$W126,IF(AND($S126&lt;&gt;"",EDATE($D126,Milestones!$AA$106)&gt;=$S126),$V126,$U126)))=Milestones!$AB$106),UPPER(TEXT(EDATE($D126,Milestones!$AA$106),"dd mmm yy"))&amp;" "&amp;Milestones!$AB$106&amp;" "&amp;Milestones!$AC$106&amp;";  ","")&amp;IF(AND(EDATE($D126,Milestones!$AA$107)&lt;=AsOfDate,IF($R126=0,$X126,IF(AND($T126&lt;&gt;"",EDATE($D126,Milestones!$AA$107)&gt;=$T126),$W126,IF(AND($S126&lt;&gt;"",EDATE($D126,Milestones!$AA$107)&gt;=$S126),$V126,$U126)))=Milestones!$AB$107),UPPER(TEXT(EDATE($D126,Milestones!$AA$107),"dd mmm yy"))&amp;" "&amp;Milestones!$AB$107&amp;" "&amp;Milestones!$AC$107&amp;";  ","")&amp;IF(AND(EDATE($D126,Milestones!$AA$108)&lt;=AsOfDate,IF($R126=0,$X126,IF(AND($T126&lt;&gt;"",EDATE($D126,Milestones!$AA$108)&gt;=$T126),$W126,IF(AND($S126&lt;&gt;"",EDATE($D126,Milestones!$AA$108)&gt;=$S126),$V126,$U126)))=Milestones!$AB$108),UPPER(TEXT(EDATE($D126,Milestones!$AA$108),"dd mmm yy"))&amp;" "&amp;Milestones!$AB$108&amp;" "&amp;Milestones!$AC$108&amp;";  ","")&amp;IF(AND(EDATE($D126,Milestones!$AA$109)&lt;=AsOfDate,IF($R126=0,$X126,IF(AND($T126&lt;&gt;"",EDATE($D126,Milestones!$AA$109)&gt;=$T126),$W126,IF(AND($S126&lt;&gt;"",EDATE($D126,Milestones!$AA$109)&gt;=$S126),$V126,$U126)))=Milestones!$AB$109),UPPER(TEXT(EDATE($D126,Milestones!$AA$109),"dd mmm yy"))&amp;" "&amp;Milestones!$AB$109&amp;" "&amp;Milestones!$AC$109&amp;";  ","")&amp;IF(AND(EDATE($D126,Milestones!$AA$110)&lt;=AsOfDate,IF($R126=0,$X126,IF(AND($T126&lt;&gt;"",EDATE($D126,Milestones!$AA$110)&gt;=$T126),$W126,IF(AND($S126&lt;&gt;"",EDATE($D126,Milestones!$AA$110)&gt;=$S126),$V126,$U126)))=Milestones!$AB$110),UPPER(TEXT(EDATE($D126,Milestones!$AA$110),"dd mmm yy"))&amp;" "&amp;Milestones!$AB$110&amp;" "&amp;Milestones!$AC$110&amp;";  ","")&amp;IF(AND(EDATE($D126,Milestones!$AA$111)&lt;=AsOfDate,IF($R126=0,$X126,IF(AND($T126&lt;&gt;"",EDATE($D126,Milestones!$AA$111)&gt;=$T126),$W126,IF(AND($S126&lt;&gt;"",EDATE($D126,Milestones!$AA$111)&gt;=$S126),$V126,$U126)))=Milestones!$AB$111),UPPER(TEXT(EDATE($D126,Milestones!$AA$111),"dd mmm yy"))&amp;" "&amp;Milestones!$AB$111&amp;" "&amp;Milestones!$AC$111&amp;";  ","")&amp;IF(AND(EDATE($D126,Milestones!$AA$112)&lt;=AsOfDate,IF($R126=0,$X126,IF(AND($T126&lt;&gt;"",EDATE($D126,Milestones!$AA$112)&gt;=$T126),$W126,IF(AND($S126&lt;&gt;"",EDATE($D126,Milestones!$AA$112)&gt;=$S126),$V126,$U126)))=Milestones!$AB$112),UPPER(TEXT(EDATE($D126,Milestones!$AA$112),"dd mmm yy"))&amp;" "&amp;Milestones!$AB$112&amp;" "&amp;Milestones!$AC$112&amp;";  ","")&amp;IF(AND(EDATE($D126,Milestones!$AA$113)&lt;=AsOfDate,IF($R126=0,$X126,IF(AND($T126&lt;&gt;"",EDATE($D126,Milestones!$AA$113)&gt;=$T126),$W126,IF(AND($S126&lt;&gt;"",EDATE($D126,Milestones!$AA$113)&gt;=$S126),$V126,$U126)))=Milestones!$AB$113),UPPER(TEXT(EDATE($D126,Milestones!$AA$113),"dd mmm yy"))&amp;" "&amp;Milestones!$AB$113&amp;" "&amp;Milestones!$AC$113&amp;";  ","")&amp;IF(AND(EDATE($D126,Milestones!$AA$114)&lt;=AsOfDate,IF($R126=0,$X126,IF(AND($T126&lt;&gt;"",EDATE($D126,Milestones!$AA$114)&gt;=$T126),$W126,IF(AND($S126&lt;&gt;"",EDATE($D126,Milestones!$AA$114)&gt;=$S126),$V126,$U126)))=Milestones!$AB$114),UPPER(TEXT(EDATE($D126,Milestones!$AA$114),"dd mmm yy"))&amp;" "&amp;Milestones!$AB$114&amp;" "&amp;Milestones!$AC$114&amp;";  ","")&amp;IF(AND(EDATE($D126,Milestones!$AA$115)&lt;=AsOfDate,IF($R126=0,$X126,IF(AND($T126&lt;&gt;"",EDATE($D126,Milestones!$AA$115)&gt;=$T126),$W126,IF(AND($S126&lt;&gt;"",EDATE($D126,Milestones!$AA$115)&gt;=$S126),$V126,$U126)))=Milestones!$AB$115),UPPER(TEXT(EDATE($D126,Milestones!$AA$115),"dd mmm yy"))&amp;" "&amp;Milestones!$AB$115&amp;" "&amp;Milestones!$AC$115&amp;";  ","")&amp;IF(AND(EDATE($D126,Milestones!$AA$116)&lt;=AsOfDate,IF($R126=0,$X126,IF(AND($T126&lt;&gt;"",EDATE($D126,Milestones!$AA$116)&gt;=$T126),$W126,IF(AND($S126&lt;&gt;"",EDATE($D126,Milestones!$AA$116)&gt;=$S126),$V126,$U126)))=Milestones!$AB$116),UPPER(TEXT(EDATE($D126,Milestones!$AA$116),"dd mmm yy"))&amp;" "&amp;Milestones!$AB$116&amp;" "&amp;Milestones!$AC$116&amp;";  ","")&amp;IF(AND(EDATE($D126,Milestones!$AA$117)&lt;=AsOfDate,IF($R126=0,$X126,IF(AND($T126&lt;&gt;"",EDATE($D126,Milestones!$AA$117)&gt;=$T126),$W126,IF(AND($S126&lt;&gt;"",EDATE($D126,Milestones!$AA$117)&gt;=$S126),$V126,$U126)))=Milestones!$AB$117),UPPER(TEXT(EDATE($D126,Milestones!$AA$117),"dd mmm yy"))&amp;" "&amp;Milestones!$AB$117&amp;" "&amp;Milestones!$AC$117&amp;";  ","")&amp;IF(AND(EDATE($D126,Milestones!$AA$118)&lt;=AsOfDate,IF($R126=0,$X126,IF(AND($T126&lt;&gt;"",EDATE($D126,Milestones!$AA$118)&gt;=$T126),$W126,IF(AND($S126&lt;&gt;"",EDATE($D126,Milestones!$AA$118)&gt;=$S126),$V126,$U126)))=Milestones!$AB$118),UPPER(TEXT(EDATE($D126,Milestones!$AA$118),"dd mmm yy"))&amp;" "&amp;Milestones!$AB$118&amp;" "&amp;Milestones!$AC$118&amp;";  ","")&amp;IF(AND(EDATE($D126,Milestones!$AA$119)&lt;=AsOfDate,IF($R126=0,$X126,IF(AND($T126&lt;&gt;"",EDATE($D126,Milestones!$AA$119)&gt;=$T126),$W126,IF(AND($S126&lt;&gt;"",EDATE($D126,Milestones!$AA$119)&gt;=$S126),$V126,$U126)))=Milestones!$AB$119),UPPER(TEXT(EDATE($D126,Milestones!$AA$119),"dd mmm yy"))&amp;" "&amp;Milestones!$AB$119&amp;" "&amp;Milestones!$AC$119&amp;";  ",""))</f>
        <v/>
      </c>
      <c r="N126" s="0" t="str">
        <f aca="false">IF(OR($A126="",$D126=""),"",IF(AND(EDATE($D126,Milestones!$AA$120)&lt;=AsOfDate,IF($R126=0,$X126,IF(AND($T126&lt;&gt;"",EDATE($D126,Milestones!$AA$120)&gt;=$T126),$W126,IF(AND($S126&lt;&gt;"",EDATE($D126,Milestones!$AA$120)&gt;=$S126),$V126,$U126)))=Milestones!$AB$120),UPPER(TEXT(EDATE($D126,Milestones!$AA$120),"dd mmm yy"))&amp;" "&amp;Milestones!$AB$120&amp;" "&amp;Milestones!$AC$120&amp;";  ","")&amp;IF(AND(EDATE($D126,Milestones!$AA$121)&lt;=AsOfDate,IF($R126=0,$X126,IF(AND($T126&lt;&gt;"",EDATE($D126,Milestones!$AA$121)&gt;=$T126),$W126,IF(AND($S126&lt;&gt;"",EDATE($D126,Milestones!$AA$121)&gt;=$S126),$V126,$U126)))=Milestones!$AB$121),UPPER(TEXT(EDATE($D126,Milestones!$AA$121),"dd mmm yy"))&amp;" "&amp;Milestones!$AB$121&amp;" "&amp;Milestones!$AC$121&amp;";  ","")&amp;IF(AND(EDATE($D126,Milestones!$AA$122)&lt;=AsOfDate,IF($R126=0,$X126,IF(AND($T126&lt;&gt;"",EDATE($D126,Milestones!$AA$122)&gt;=$T126),$W126,IF(AND($S126&lt;&gt;"",EDATE($D126,Milestones!$AA$122)&gt;=$S126),$V126,$U126)))=Milestones!$AB$122),UPPER(TEXT(EDATE($D126,Milestones!$AA$122),"dd mmm yy"))&amp;" "&amp;Milestones!$AB$122&amp;" "&amp;Milestones!$AC$122&amp;";  ","")&amp;IF(AND(EDATE($D126,Milestones!$AA$123)&lt;=AsOfDate,IF($R126=0,$X126,IF(AND($T126&lt;&gt;"",EDATE($D126,Milestones!$AA$123)&gt;=$T126),$W126,IF(AND($S126&lt;&gt;"",EDATE($D126,Milestones!$AA$123)&gt;=$S126),$V126,$U126)))=Milestones!$AB$123),UPPER(TEXT(EDATE($D126,Milestones!$AA$123),"dd mmm yy"))&amp;" "&amp;Milestones!$AB$123&amp;" "&amp;Milestones!$AC$123&amp;";  ","")&amp;IF(AND(EDATE($D126,Milestones!$AA$124)&lt;=AsOfDate,IF($R126=0,$X126,IF(AND($T126&lt;&gt;"",EDATE($D126,Milestones!$AA$124)&gt;=$T126),$W126,IF(AND($S126&lt;&gt;"",EDATE($D126,Milestones!$AA$124)&gt;=$S126),$V126,$U126)))=Milestones!$AB$124),UPPER(TEXT(EDATE($D126,Milestones!$AA$124),"dd mmm yy"))&amp;" "&amp;Milestones!$AB$124&amp;" "&amp;Milestones!$AC$124&amp;";  ","")&amp;IF(AND(EDATE($D126,Milestones!$AA$125)&lt;=AsOfDate,IF($R126=0,$X126,IF(AND($T126&lt;&gt;"",EDATE($D126,Milestones!$AA$125)&gt;=$T126),$W126,IF(AND($S126&lt;&gt;"",EDATE($D126,Milestones!$AA$125)&gt;=$S126),$V126,$U126)))=Milestones!$AB$125),UPPER(TEXT(EDATE($D126,Milestones!$AA$125),"dd mmm yy"))&amp;" "&amp;Milestones!$AB$125&amp;" "&amp;Milestones!$AC$125&amp;";  ","")&amp;IF(AND(EDATE($D126,Milestones!$AA$126)&lt;=AsOfDate,IF($R126=0,$X126,IF(AND($T126&lt;&gt;"",EDATE($D126,Milestones!$AA$126)&gt;=$T126),$W126,IF(AND($S126&lt;&gt;"",EDATE($D126,Milestones!$AA$126)&gt;=$S126),$V126,$U126)))=Milestones!$AB$126),UPPER(TEXT(EDATE($D126,Milestones!$AA$126),"dd mmm yy"))&amp;" "&amp;Milestones!$AB$126&amp;" "&amp;Milestones!$AC$126&amp;";  ","")&amp;IF(AND(EDATE($D126,Milestones!$AA$127)&lt;=AsOfDate,IF($R126=0,$X126,IF(AND($T126&lt;&gt;"",EDATE($D126,Milestones!$AA$127)&gt;=$T126),$W126,IF(AND($S126&lt;&gt;"",EDATE($D126,Milestones!$AA$127)&gt;=$S126),$V126,$U126)))=Milestones!$AB$127),UPPER(TEXT(EDATE($D126,Milestones!$AA$127),"dd mmm yy"))&amp;" "&amp;Milestones!$AB$127&amp;" "&amp;Milestones!$AC$127&amp;";  ","")&amp;IF(AND(EDATE($D126,Milestones!$AA$128)&lt;=AsOfDate,IF($R126=0,$X126,IF(AND($T126&lt;&gt;"",EDATE($D126,Milestones!$AA$128)&gt;=$T126),$W126,IF(AND($S126&lt;&gt;"",EDATE($D126,Milestones!$AA$128)&gt;=$S126),$V126,$U126)))=Milestones!$AB$128),UPPER(TEXT(EDATE($D126,Milestones!$AA$128),"dd mmm yy"))&amp;" "&amp;Milestones!$AB$128&amp;" "&amp;Milestones!$AC$128&amp;";  ","")&amp;IF(AND(EDATE($D126,Milestones!$AA$129)&lt;=AsOfDate,IF($R126=0,$X126,IF(AND($T126&lt;&gt;"",EDATE($D126,Milestones!$AA$129)&gt;=$T126),$W126,IF(AND($S126&lt;&gt;"",EDATE($D126,Milestones!$AA$129)&gt;=$S126),$V126,$U126)))=Milestones!$AB$129),UPPER(TEXT(EDATE($D126,Milestones!$AA$129),"dd mmm yy"))&amp;" "&amp;Milestones!$AB$129&amp;" "&amp;Milestones!$AC$129&amp;";  ","")&amp;IF(AND(EDATE($D126,Milestones!$AA$130)&lt;=AsOfDate,IF($R126=0,$X126,IF(AND($T126&lt;&gt;"",EDATE($D126,Milestones!$AA$130)&gt;=$T126),$W126,IF(AND($S126&lt;&gt;"",EDATE($D126,Milestones!$AA$130)&gt;=$S126),$V126,$U126)))=Milestones!$AB$130),UPPER(TEXT(EDATE($D126,Milestones!$AA$130),"dd mmm yy"))&amp;" "&amp;Milestones!$AB$130&amp;" "&amp;Milestones!$AC$130&amp;";  ","")&amp;IF(AND(EDATE($D126,Milestones!$AA$131)&lt;=AsOfDate,IF($R126=0,$X126,IF(AND($T126&lt;&gt;"",EDATE($D126,Milestones!$AA$131)&gt;=$T126),$W126,IF(AND($S126&lt;&gt;"",EDATE($D126,Milestones!$AA$131)&gt;=$S126),$V126,$U126)))=Milestones!$AB$131),UPPER(TEXT(EDATE($D126,Milestones!$AA$131),"dd mmm yy"))&amp;" "&amp;Milestones!$AB$131&amp;" "&amp;Milestones!$AC$131&amp;";  ","")&amp;IF(AND(EDATE($D126,Milestones!$AA$132)&lt;=AsOfDate,IF($R126=0,$X126,IF(AND($T126&lt;&gt;"",EDATE($D126,Milestones!$AA$132)&gt;=$T126),$W126,IF(AND($S126&lt;&gt;"",EDATE($D126,Milestones!$AA$132)&gt;=$S126),$V126,$U126)))=Milestones!$AB$132),UPPER(TEXT(EDATE($D126,Milestones!$AA$132),"dd mmm yy"))&amp;" "&amp;Milestones!$AB$132&amp;" "&amp;Milestones!$AC$132&amp;";  ","")&amp;IF(AND(EDATE($D126,Milestones!$AA$133)&lt;=AsOfDate,IF($R126=0,$X126,IF(AND($T126&lt;&gt;"",EDATE($D126,Milestones!$AA$133)&gt;=$T126),$W126,IF(AND($S126&lt;&gt;"",EDATE($D126,Milestones!$AA$133)&gt;=$S126),$V126,$U126)))=Milestones!$AB$133),UPPER(TEXT(EDATE($D126,Milestones!$AA$133),"dd mmm yy"))&amp;" "&amp;Milestones!$AB$133&amp;" "&amp;Milestones!$AC$133&amp;";  ","")&amp;IF(AND(EDATE($D126,Milestones!$AA$134)&lt;=AsOfDate,IF($R126=0,$X126,IF(AND($T126&lt;&gt;"",EDATE($D126,Milestones!$AA$134)&gt;=$T126),$W126,IF(AND($S126&lt;&gt;"",EDATE($D126,Milestones!$AA$134)&gt;=$S126),$V126,$U126)))=Milestones!$AB$134),UPPER(TEXT(EDATE($D126,Milestones!$AA$134),"dd mmm yy"))&amp;" "&amp;Milestones!$AB$134&amp;" "&amp;Milestones!$AC$134&amp;";  ","")&amp;IF(AND(EDATE($D126,Milestones!$AA$135)&lt;=AsOfDate,IF($R126=0,$X126,IF(AND($T126&lt;&gt;"",EDATE($D126,Milestones!$AA$135)&gt;=$T126),$W126,IF(AND($S126&lt;&gt;"",EDATE($D126,Milestones!$AA$135)&gt;=$S126),$V126,$U126)))=Milestones!$AB$135),UPPER(TEXT(EDATE($D126,Milestones!$AA$135),"dd mmm yy"))&amp;" "&amp;Milestones!$AB$135&amp;" "&amp;Milestones!$AC$135&amp;";  ","")&amp;IF(AND(EDATE($D126,Milestones!$AA$136)&lt;=AsOfDate,IF($R126=0,$X126,IF(AND($T126&lt;&gt;"",EDATE($D126,Milestones!$AA$136)&gt;=$T126),$W126,IF(AND($S126&lt;&gt;"",EDATE($D126,Milestones!$AA$136)&gt;=$S126),$V126,$U126)))=Milestones!$AB$136),UPPER(TEXT(EDATE($D126,Milestones!$AA$136),"dd mmm yy"))&amp;" "&amp;Milestones!$AB$136&amp;" "&amp;Milestones!$AC$136&amp;";  ","")&amp;IF(AND(EDATE($D126,Milestones!$AA$137)&lt;=AsOfDate,IF($R126=0,$X126,IF(AND($T126&lt;&gt;"",EDATE($D126,Milestones!$AA$137)&gt;=$T126),$W126,IF(AND($S126&lt;&gt;"",EDATE($D126,Milestones!$AA$137)&gt;=$S126),$V126,$U126)))=Milestones!$AB$137),UPPER(TEXT(EDATE($D126,Milestones!$AA$137),"dd mmm yy"))&amp;" "&amp;Milestones!$AB$137&amp;" "&amp;Milestones!$AC$137&amp;";  ","")&amp;IF(AND(EDATE($D126,Milestones!$AA$138)&lt;=AsOfDate,IF($R126=0,$X126,IF(AND($T126&lt;&gt;"",EDATE($D126,Milestones!$AA$138)&gt;=$T126),$W126,IF(AND($S126&lt;&gt;"",EDATE($D126,Milestones!$AA$138)&gt;=$S126),$V126,$U126)))=Milestones!$AB$138),UPPER(TEXT(EDATE($D126,Milestones!$AA$138),"dd mmm yy"))&amp;" "&amp;Milestones!$AB$138&amp;" "&amp;Milestones!$AC$138&amp;";  ","")&amp;IF(AND(EDATE($D126,Milestones!$AA$139)&lt;=AsOfDate,IF($R126=0,$X126,IF(AND($T126&lt;&gt;"",EDATE($D126,Milestones!$AA$139)&gt;=$T126),$W126,IF(AND($S126&lt;&gt;"",EDATE($D126,Milestones!$AA$139)&gt;=$S126),$V126,$U126)))=Milestones!$AB$139),UPPER(TEXT(EDATE($D126,Milestones!$AA$139),"dd mmm yy"))&amp;" "&amp;Milestones!$AB$139&amp;" "&amp;Milestones!$AC$139&amp;";  ",""))</f>
        <v/>
      </c>
      <c r="O126" s="0" t="str">
        <f aca="false">IF(OR($A126="",$D126=""),"",IF(AND(EDATE($D126,Milestones!$AA$140)&lt;=AsOfDate,IF($R126=0,$X126,IF(AND($T126&lt;&gt;"",EDATE($D126,Milestones!$AA$140)&gt;=$T126),$W126,IF(AND($S126&lt;&gt;"",EDATE($D126,Milestones!$AA$140)&gt;=$S126),$V126,$U126)))=Milestones!$AB$140),UPPER(TEXT(EDATE($D126,Milestones!$AA$140),"dd mmm yy"))&amp;" "&amp;Milestones!$AB$140&amp;" "&amp;Milestones!$AC$140&amp;";  ","")&amp;IF(AND(EDATE($D126,Milestones!$AA$141)&lt;=AsOfDate,IF($R126=0,$X126,IF(AND($T126&lt;&gt;"",EDATE($D126,Milestones!$AA$141)&gt;=$T126),$W126,IF(AND($S126&lt;&gt;"",EDATE($D126,Milestones!$AA$141)&gt;=$S126),$V126,$U126)))=Milestones!$AB$141),UPPER(TEXT(EDATE($D126,Milestones!$AA$141),"dd mmm yy"))&amp;" "&amp;Milestones!$AB$141&amp;" "&amp;Milestones!$AC$141&amp;";  ","")&amp;IF(AND(EDATE($D126,Milestones!$AA$142)&lt;=AsOfDate,IF($R126=0,$X126,IF(AND($T126&lt;&gt;"",EDATE($D126,Milestones!$AA$142)&gt;=$T126),$W126,IF(AND($S126&lt;&gt;"",EDATE($D126,Milestones!$AA$142)&gt;=$S126),$V126,$U126)))=Milestones!$AB$142),UPPER(TEXT(EDATE($D126,Milestones!$AA$142),"dd mmm yy"))&amp;" "&amp;Milestones!$AB$142&amp;" "&amp;Milestones!$AC$142&amp;";  ","")&amp;IF(AND(EDATE($D126,Milestones!$AA$143)&lt;=AsOfDate,IF($R126=0,$X126,IF(AND($T126&lt;&gt;"",EDATE($D126,Milestones!$AA$143)&gt;=$T126),$W126,IF(AND($S126&lt;&gt;"",EDATE($D126,Milestones!$AA$143)&gt;=$S126),$V126,$U126)))=Milestones!$AB$143),UPPER(TEXT(EDATE($D126,Milestones!$AA$143),"dd mmm yy"))&amp;" "&amp;Milestones!$AB$143&amp;" "&amp;Milestones!$AC$143&amp;";  ","")&amp;IF(AND(EDATE($D126,Milestones!$AA$144)&lt;=AsOfDate,IF($R126=0,$X126,IF(AND($T126&lt;&gt;"",EDATE($D126,Milestones!$AA$144)&gt;=$T126),$W126,IF(AND($S126&lt;&gt;"",EDATE($D126,Milestones!$AA$144)&gt;=$S126),$V126,$U126)))=Milestones!$AB$144),UPPER(TEXT(EDATE($D126,Milestones!$AA$144),"dd mmm yy"))&amp;" "&amp;Milestones!$AB$144&amp;" "&amp;Milestones!$AC$144&amp;";  ","")&amp;IF(AND(EDATE($D126,Milestones!$AA$145)&lt;=AsOfDate,IF($R126=0,$X126,IF(AND($T126&lt;&gt;"",EDATE($D126,Milestones!$AA$145)&gt;=$T126),$W126,IF(AND($S126&lt;&gt;"",EDATE($D126,Milestones!$AA$145)&gt;=$S126),$V126,$U126)))=Milestones!$AB$145),UPPER(TEXT(EDATE($D126,Milestones!$AA$145),"dd mmm yy"))&amp;" "&amp;Milestones!$AB$145&amp;" "&amp;Milestones!$AC$145&amp;";  ","")&amp;IF(AND(EDATE($D126,Milestones!$AA$146)&lt;=AsOfDate,IF($R126=0,$X126,IF(AND($T126&lt;&gt;"",EDATE($D126,Milestones!$AA$146)&gt;=$T126),$W126,IF(AND($S126&lt;&gt;"",EDATE($D126,Milestones!$AA$146)&gt;=$S126),$V126,$U126)))=Milestones!$AB$146),UPPER(TEXT(EDATE($D126,Milestones!$AA$146),"dd mmm yy"))&amp;" "&amp;Milestones!$AB$146&amp;" "&amp;Milestones!$AC$146&amp;";  ","")&amp;IF(AND(EDATE($D126,Milestones!$AA$147)&lt;=AsOfDate,IF($R126=0,$X126,IF(AND($T126&lt;&gt;"",EDATE($D126,Milestones!$AA$147)&gt;=$T126),$W126,IF(AND($S126&lt;&gt;"",EDATE($D126,Milestones!$AA$147)&gt;=$S126),$V126,$U126)))=Milestones!$AB$147),UPPER(TEXT(EDATE($D126,Milestones!$AA$147),"dd mmm yy"))&amp;" "&amp;Milestones!$AB$147&amp;" "&amp;Milestones!$AC$147&amp;";  ","")&amp;IF(AND(EDATE($D126,Milestones!$AA$148)&lt;=AsOfDate,IF($R126=0,$X126,IF(AND($T126&lt;&gt;"",EDATE($D126,Milestones!$AA$148)&gt;=$T126),$W126,IF(AND($S126&lt;&gt;"",EDATE($D126,Milestones!$AA$148)&gt;=$S126),$V126,$U126)))=Milestones!$AB$148),UPPER(TEXT(EDATE($D126,Milestones!$AA$148),"dd mmm yy"))&amp;" "&amp;Milestones!$AB$148&amp;" "&amp;Milestones!$AC$148&amp;";  ","")&amp;IF(AND(EDATE($D126,Milestones!$AA$149)&lt;=AsOfDate,IF($R126=0,$X126,IF(AND($T126&lt;&gt;"",EDATE($D126,Milestones!$AA$149)&gt;=$T126),$W126,IF(AND($S126&lt;&gt;"",EDATE($D126,Milestones!$AA$149)&gt;=$S126),$V126,$U126)))=Milestones!$AB$149),UPPER(TEXT(EDATE($D126,Milestones!$AA$149),"dd mmm yy"))&amp;" "&amp;Milestones!$AB$149&amp;" "&amp;Milestones!$AC$149&amp;";  ","")&amp;IF(AND(EDATE($D126,Milestones!$AA$150)&lt;=AsOfDate,IF($R126=0,$X126,IF(AND($T126&lt;&gt;"",EDATE($D126,Milestones!$AA$150)&gt;=$T126),$W126,IF(AND($S126&lt;&gt;"",EDATE($D126,Milestones!$AA$150)&gt;=$S126),$V126,$U126)))=Milestones!$AB$150),UPPER(TEXT(EDATE($D126,Milestones!$AA$150),"dd mmm yy"))&amp;" "&amp;Milestones!$AB$150&amp;" "&amp;Milestones!$AC$150&amp;";  ","")&amp;IF(AND(EDATE($D126,Milestones!$AA$151)&lt;=AsOfDate,IF($R126=0,$X126,IF(AND($T126&lt;&gt;"",EDATE($D126,Milestones!$AA$151)&gt;=$T126),$W126,IF(AND($S126&lt;&gt;"",EDATE($D126,Milestones!$AA$151)&gt;=$S126),$V126,$U126)))=Milestones!$AB$151),UPPER(TEXT(EDATE($D126,Milestones!$AA$151),"dd mmm yy"))&amp;" "&amp;Milestones!$AB$151&amp;" "&amp;Milestones!$AC$151&amp;";  ","")&amp;IF(AND(EDATE($D126,Milestones!$AA$152)&lt;=AsOfDate,IF($R126=0,$X126,IF(AND($T126&lt;&gt;"",EDATE($D126,Milestones!$AA$152)&gt;=$T126),$W126,IF(AND($S126&lt;&gt;"",EDATE($D126,Milestones!$AA$152)&gt;=$S126),$V126,$U126)))=Milestones!$AB$152),UPPER(TEXT(EDATE($D126,Milestones!$AA$152),"dd mmm yy"))&amp;" "&amp;Milestones!$AB$152&amp;" "&amp;Milestones!$AC$152&amp;";  ","")&amp;IF(AND(EDATE($D126,Milestones!$AA$153)&lt;=AsOfDate,IF($R126=0,$X126,IF(AND($T126&lt;&gt;"",EDATE($D126,Milestones!$AA$153)&gt;=$T126),$W126,IF(AND($S126&lt;&gt;"",EDATE($D126,Milestones!$AA$153)&gt;=$S126),$V126,$U126)))=Milestones!$AB$153),UPPER(TEXT(EDATE($D126,Milestones!$AA$153),"dd mmm yy"))&amp;" "&amp;Milestones!$AB$153&amp;" "&amp;Milestones!$AC$153&amp;";  ","")&amp;IF(AND(EDATE($D126,Milestones!$AA$154)&lt;=AsOfDate,IF($R126=0,$X126,IF(AND($T126&lt;&gt;"",EDATE($D126,Milestones!$AA$154)&gt;=$T126),$W126,IF(AND($S126&lt;&gt;"",EDATE($D126,Milestones!$AA$154)&gt;=$S126),$V126,$U126)))=Milestones!$AB$154),UPPER(TEXT(EDATE($D126,Milestones!$AA$154),"dd mmm yy"))&amp;" "&amp;Milestones!$AB$154&amp;" "&amp;Milestones!$AC$154&amp;";  ","")&amp;IF(AND(EDATE($D126,Milestones!$AA$155)&lt;=AsOfDate,IF($R126=0,$X126,IF(AND($T126&lt;&gt;"",EDATE($D126,Milestones!$AA$155)&gt;=$T126),$W126,IF(AND($S126&lt;&gt;"",EDATE($D126,Milestones!$AA$155)&gt;=$S126),$V126,$U126)))=Milestones!$AB$155),UPPER(TEXT(EDATE($D126,Milestones!$AA$155),"dd mmm yy"))&amp;" "&amp;Milestones!$AB$155&amp;" "&amp;Milestones!$AC$155&amp;";  ","")&amp;IF(AND(EDATE($D126,Milestones!$AA$156)&lt;=AsOfDate,IF($R126=0,$X126,IF(AND($T126&lt;&gt;"",EDATE($D126,Milestones!$AA$156)&gt;=$T126),$W126,IF(AND($S126&lt;&gt;"",EDATE($D126,Milestones!$AA$156)&gt;=$S126),$V126,$U126)))=Milestones!$AB$156),UPPER(TEXT(EDATE($D126,Milestones!$AA$156),"dd mmm yy"))&amp;" "&amp;Milestones!$AB$156&amp;" "&amp;Milestones!$AC$156&amp;";  ","")&amp;IF(AND(EDATE($D126,Milestones!$AA$157)&lt;=AsOfDate,IF($R126=0,$X126,IF(AND($T126&lt;&gt;"",EDATE($D126,Milestones!$AA$157)&gt;=$T126),$W126,IF(AND($S126&lt;&gt;"",EDATE($D126,Milestones!$AA$157)&gt;=$S126),$V126,$U126)))=Milestones!$AB$157),UPPER(TEXT(EDATE($D126,Milestones!$AA$157),"dd mmm yy"))&amp;" "&amp;Milestones!$AB$157&amp;" "&amp;Milestones!$AC$157&amp;";  ","")&amp;IF(AND(EDATE($D126,Milestones!$AA$158)&lt;=AsOfDate,IF($R126=0,$X126,IF(AND($T126&lt;&gt;"",EDATE($D126,Milestones!$AA$158)&gt;=$T126),$W126,IF(AND($S126&lt;&gt;"",EDATE($D126,Milestones!$AA$158)&gt;=$S126),$V126,$U126)))=Milestones!$AB$158),UPPER(TEXT(EDATE($D126,Milestones!$AA$158),"dd mmm yy"))&amp;" "&amp;Milestones!$AB$158&amp;" "&amp;Milestones!$AC$158&amp;";  ","")&amp;IF(AND(EDATE($D126,Milestones!$AA$159)&lt;=AsOfDate,IF($R126=0,$X126,IF(AND($T126&lt;&gt;"",EDATE($D126,Milestones!$AA$159)&gt;=$T126),$W126,IF(AND($S126&lt;&gt;"",EDATE($D126,Milestones!$AA$159)&gt;=$S126),$V126,$U126)))=Milestones!$AB$159),UPPER(TEXT(EDATE($D126,Milestones!$AA$159),"dd mmm yy"))&amp;" "&amp;Milestones!$AB$159&amp;" "&amp;Milestones!$AC$159&amp;";  ",""))</f>
        <v/>
      </c>
      <c r="P126" s="0" t="str">
        <f aca="false">IF(OR($A126="",$D126=""),"",IF(AND(EDATE($D126,Milestones!$AA$160)&lt;=AsOfDate,IF($R126=0,$X126,IF(AND($T126&lt;&gt;"",EDATE($D126,Milestones!$AA$160)&gt;=$T126),$W126,IF(AND($S126&lt;&gt;"",EDATE($D126,Milestones!$AA$160)&gt;=$S126),$V126,$U126)))=Milestones!$AB$160),UPPER(TEXT(EDATE($D126,Milestones!$AA$160),"dd mmm yy"))&amp;" "&amp;Milestones!$AB$160&amp;" "&amp;Milestones!$AC$160&amp;";  ","")&amp;IF(AND(EDATE($D126,Milestones!$AA$161)&lt;=AsOfDate,IF($R126=0,$X126,IF(AND($T126&lt;&gt;"",EDATE($D126,Milestones!$AA$161)&gt;=$T126),$W126,IF(AND($S126&lt;&gt;"",EDATE($D126,Milestones!$AA$161)&gt;=$S126),$V126,$U126)))=Milestones!$AB$161),UPPER(TEXT(EDATE($D126,Milestones!$AA$161),"dd mmm yy"))&amp;" "&amp;Milestones!$AB$161&amp;" "&amp;Milestones!$AC$161&amp;";  ","")&amp;IF(AND(EDATE($D126,Milestones!$AA$162)&lt;=AsOfDate,IF($R126=0,$X126,IF(AND($T126&lt;&gt;"",EDATE($D126,Milestones!$AA$162)&gt;=$T126),$W126,IF(AND($S126&lt;&gt;"",EDATE($D126,Milestones!$AA$162)&gt;=$S126),$V126,$U126)))=Milestones!$AB$162),UPPER(TEXT(EDATE($D126,Milestones!$AA$162),"dd mmm yy"))&amp;" "&amp;Milestones!$AB$162&amp;" "&amp;Milestones!$AC$162&amp;";  ","")&amp;IF(AND(EDATE($D126,Milestones!$AA$163)&lt;=AsOfDate,IF($R126=0,$X126,IF(AND($T126&lt;&gt;"",EDATE($D126,Milestones!$AA$163)&gt;=$T126),$W126,IF(AND($S126&lt;&gt;"",EDATE($D126,Milestones!$AA$163)&gt;=$S126),$V126,$U126)))=Milestones!$AB$163),UPPER(TEXT(EDATE($D126,Milestones!$AA$163),"dd mmm yy"))&amp;" "&amp;Milestones!$AB$163&amp;" "&amp;Milestones!$AC$163&amp;";  ","")&amp;IF(AND(EDATE($D126,Milestones!$AA$164)&lt;=AsOfDate,IF($R126=0,$X126,IF(AND($T126&lt;&gt;"",EDATE($D126,Milestones!$AA$164)&gt;=$T126),$W126,IF(AND($S126&lt;&gt;"",EDATE($D126,Milestones!$AA$164)&gt;=$S126),$V126,$U126)))=Milestones!$AB$164),UPPER(TEXT(EDATE($D126,Milestones!$AA$164),"dd mmm yy"))&amp;" "&amp;Milestones!$AB$164&amp;" "&amp;Milestones!$AC$164&amp;";  ","")&amp;IF(AND(EDATE($D126,Milestones!$AA$165)&lt;=AsOfDate,IF($R126=0,$X126,IF(AND($T126&lt;&gt;"",EDATE($D126,Milestones!$AA$165)&gt;=$T126),$W126,IF(AND($S126&lt;&gt;"",EDATE($D126,Milestones!$AA$165)&gt;=$S126),$V126,$U126)))=Milestones!$AB$165),UPPER(TEXT(EDATE($D126,Milestones!$AA$165),"dd mmm yy"))&amp;" "&amp;Milestones!$AB$165&amp;" "&amp;Milestones!$AC$165&amp;";  ","")&amp;IF(AND(EDATE($D126,Milestones!$AA$166)&lt;=AsOfDate,IF($R126=0,$X126,IF(AND($T126&lt;&gt;"",EDATE($D126,Milestones!$AA$166)&gt;=$T126),$W126,IF(AND($S126&lt;&gt;"",EDATE($D126,Milestones!$AA$166)&gt;=$S126),$V126,$U126)))=Milestones!$AB$166),UPPER(TEXT(EDATE($D126,Milestones!$AA$166),"dd mmm yy"))&amp;" "&amp;Milestones!$AB$166&amp;" "&amp;Milestones!$AC$166&amp;";  ","")&amp;IF(AND(EDATE($D126,Milestones!$AA$167)&lt;=AsOfDate,IF($R126=0,$X126,IF(AND($T126&lt;&gt;"",EDATE($D126,Milestones!$AA$167)&gt;=$T126),$W126,IF(AND($S126&lt;&gt;"",EDATE($D126,Milestones!$AA$167)&gt;=$S126),$V126,$U126)))=Milestones!$AB$167),UPPER(TEXT(EDATE($D126,Milestones!$AA$167),"dd mmm yy"))&amp;" "&amp;Milestones!$AB$167&amp;" "&amp;Milestones!$AC$167&amp;";  ","")&amp;IF(AND(EDATE($D126,Milestones!$AA$168)&lt;=AsOfDate,IF($R126=0,$X126,IF(AND($T126&lt;&gt;"",EDATE($D126,Milestones!$AA$168)&gt;=$T126),$W126,IF(AND($S126&lt;&gt;"",EDATE($D126,Milestones!$AA$168)&gt;=$S126),$V126,$U126)))=Milestones!$AB$168),UPPER(TEXT(EDATE($D126,Milestones!$AA$168),"dd mmm yy"))&amp;" "&amp;Milestones!$AB$168&amp;" "&amp;Milestones!$AC$168&amp;";  ","")&amp;IF(AND(EDATE($D126,Milestones!$AA$169)&lt;=AsOfDate,IF($R126=0,$X126,IF(AND($T126&lt;&gt;"",EDATE($D126,Milestones!$AA$169)&gt;=$T126),$W126,IF(AND($S126&lt;&gt;"",EDATE($D126,Milestones!$AA$169)&gt;=$S126),$V126,$U126)))=Milestones!$AB$169),UPPER(TEXT(EDATE($D126,Milestones!$AA$169),"dd mmm yy"))&amp;" "&amp;Milestones!$AB$169&amp;" "&amp;Milestones!$AC$169&amp;";  ","")&amp;IF(AND(EDATE($D126,Milestones!$AA$170)&lt;=AsOfDate,IF($R126=0,$X126,IF(AND($T126&lt;&gt;"",EDATE($D126,Milestones!$AA$170)&gt;=$T126),$W126,IF(AND($S126&lt;&gt;"",EDATE($D126,Milestones!$AA$170)&gt;=$S126),$V126,$U126)))=Milestones!$AB$170),UPPER(TEXT(EDATE($D126,Milestones!$AA$170),"dd mmm yy"))&amp;" "&amp;Milestones!$AB$170&amp;" "&amp;Milestones!$AC$170&amp;";  ","")&amp;IF(AND(EDATE($D126,Milestones!$AA$171)&lt;=AsOfDate,IF($R126=0,$X126,IF(AND($T126&lt;&gt;"",EDATE($D126,Milestones!$AA$171)&gt;=$T126),$W126,IF(AND($S126&lt;&gt;"",EDATE($D126,Milestones!$AA$171)&gt;=$S126),$V126,$U126)))=Milestones!$AB$171),UPPER(TEXT(EDATE($D126,Milestones!$AA$171),"dd mmm yy"))&amp;" "&amp;Milestones!$AB$171&amp;" "&amp;Milestones!$AC$171&amp;";  ","")&amp;IF(AND(EDATE($D126,Milestones!$AA$172)&lt;=AsOfDate,IF($R126=0,$X126,IF(AND($T126&lt;&gt;"",EDATE($D126,Milestones!$AA$172)&gt;=$T126),$W126,IF(AND($S126&lt;&gt;"",EDATE($D126,Milestones!$AA$172)&gt;=$S126),$V126,$U126)))=Milestones!$AB$172),UPPER(TEXT(EDATE($D126,Milestones!$AA$172),"dd mmm yy"))&amp;" "&amp;Milestones!$AB$172&amp;" "&amp;Milestones!$AC$172&amp;";  ","")&amp;IF(AND(EDATE($D126,Milestones!$AA$173)&lt;=AsOfDate,IF($R126=0,$X126,IF(AND($T126&lt;&gt;"",EDATE($D126,Milestones!$AA$173)&gt;=$T126),$W126,IF(AND($S126&lt;&gt;"",EDATE($D126,Milestones!$AA$173)&gt;=$S126),$V126,$U126)))=Milestones!$AB$173),UPPER(TEXT(EDATE($D126,Milestones!$AA$173),"dd mmm yy"))&amp;" "&amp;Milestones!$AB$173&amp;" "&amp;Milestones!$AC$173&amp;";  ","")&amp;IF(AND(EDATE($D126,Milestones!$AA$174)&lt;=AsOfDate,IF($R126=0,$X126,IF(AND($T126&lt;&gt;"",EDATE($D126,Milestones!$AA$174)&gt;=$T126),$W126,IF(AND($S126&lt;&gt;"",EDATE($D126,Milestones!$AA$174)&gt;=$S126),$V126,$U126)))=Milestones!$AB$174),UPPER(TEXT(EDATE($D126,Milestones!$AA$174),"dd mmm yy"))&amp;" "&amp;Milestones!$AB$174&amp;" "&amp;Milestones!$AC$174&amp;";  ","")&amp;IF(AND(EDATE($D126,Milestones!$AA$175)&lt;=AsOfDate,IF($R126=0,$X126,IF(AND($T126&lt;&gt;"",EDATE($D126,Milestones!$AA$175)&gt;=$T126),$W126,IF(AND($S126&lt;&gt;"",EDATE($D126,Milestones!$AA$175)&gt;=$S126),$V126,$U126)))=Milestones!$AB$175),UPPER(TEXT(EDATE($D126,Milestones!$AA$175),"dd mmm yy"))&amp;" "&amp;Milestones!$AB$175&amp;" "&amp;Milestones!$AC$175&amp;";  ","")&amp;IF(AND(EDATE($D126,Milestones!$AA$176)&lt;=AsOfDate,IF($R126=0,$X126,IF(AND($T126&lt;&gt;"",EDATE($D126,Milestones!$AA$176)&gt;=$T126),$W126,IF(AND($S126&lt;&gt;"",EDATE($D126,Milestones!$AA$176)&gt;=$S126),$V126,$U126)))=Milestones!$AB$176),UPPER(TEXT(EDATE($D126,Milestones!$AA$176),"dd mmm yy"))&amp;" "&amp;Milestones!$AB$176&amp;" "&amp;Milestones!$AC$176&amp;";  ","")&amp;IF(AND(EDATE($D126,Milestones!$AA$177)&lt;=AsOfDate,IF($R126=0,$X126,IF(AND($T126&lt;&gt;"",EDATE($D126,Milestones!$AA$177)&gt;=$T126),$W126,IF(AND($S126&lt;&gt;"",EDATE($D126,Milestones!$AA$177)&gt;=$S126),$V126,$U126)))=Milestones!$AB$177),UPPER(TEXT(EDATE($D126,Milestones!$AA$177),"dd mmm yy"))&amp;" "&amp;Milestones!$AB$177&amp;" "&amp;Milestones!$AC$177&amp;";  ","")&amp;IF(AND(EDATE($D126,Milestones!$AA$178)&lt;=AsOfDate,IF($R126=0,$X126,IF(AND($T126&lt;&gt;"",EDATE($D126,Milestones!$AA$178)&gt;=$T126),$W126,IF(AND($S126&lt;&gt;"",EDATE($D126,Milestones!$AA$178)&gt;=$S126),$V126,$U126)))=Milestones!$AB$178),UPPER(TEXT(EDATE($D126,Milestones!$AA$178),"dd mmm yy"))&amp;" "&amp;Milestones!$AB$178&amp;" "&amp;Milestones!$AC$178&amp;";  ","")&amp;IF(AND(EDATE($D126,Milestones!$AA$179)&lt;=AsOfDate,IF($R126=0,$X126,IF(AND($T126&lt;&gt;"",EDATE($D126,Milestones!$AA$179)&gt;=$T126),$W126,IF(AND($S126&lt;&gt;"",EDATE($D126,Milestones!$AA$179)&gt;=$S126),$V126,$U126)))=Milestones!$AB$179),UPPER(TEXT(EDATE($D126,Milestones!$AA$179),"dd mmm yy"))&amp;" "&amp;Milestones!$AB$179&amp;" "&amp;Milestones!$AC$179&amp;";  ",""))</f>
        <v/>
      </c>
      <c r="Q126" s="0" t="str">
        <f aca="false">IF(OR($A126="",$D126=""),"",IF(AND(EDATE($D126,Milestones!$AA$180)&lt;=AsOfDate,IF($R126=0,$X126,IF(AND($T126&lt;&gt;"",EDATE($D126,Milestones!$AA$180)&gt;=$T126),$W126,IF(AND($S126&lt;&gt;"",EDATE($D126,Milestones!$AA$180)&gt;=$S126),$V126,$U126)))=Milestones!$AB$180),UPPER(TEXT(EDATE($D126,Milestones!$AA$180),"dd mmm yy"))&amp;" "&amp;Milestones!$AB$180&amp;" "&amp;Milestones!$AC$180&amp;";  ","")&amp;IF(AND(EDATE($D126,Milestones!$AA$181)&lt;=AsOfDate,IF($R126=0,$X126,IF(AND($T126&lt;&gt;"",EDATE($D126,Milestones!$AA$181)&gt;=$T126),$W126,IF(AND($S126&lt;&gt;"",EDATE($D126,Milestones!$AA$181)&gt;=$S126),$V126,$U126)))=Milestones!$AB$181),UPPER(TEXT(EDATE($D126,Milestones!$AA$181),"dd mmm yy"))&amp;" "&amp;Milestones!$AB$181&amp;" "&amp;Milestones!$AC$181&amp;";  ","")&amp;IF(AND(EDATE($D126,Milestones!$AA$182)&lt;=AsOfDate,IF($R126=0,$X126,IF(AND($T126&lt;&gt;"",EDATE($D126,Milestones!$AA$182)&gt;=$T126),$W126,IF(AND($S126&lt;&gt;"",EDATE($D126,Milestones!$AA$182)&gt;=$S126),$V126,$U126)))=Milestones!$AB$182),UPPER(TEXT(EDATE($D126,Milestones!$AA$182),"dd mmm yy"))&amp;" "&amp;Milestones!$AB$182&amp;" "&amp;Milestones!$AC$182&amp;";  ","")&amp;IF(AND(EDATE($D126,Milestones!$AA$183)&lt;=AsOfDate,IF($R126=0,$X126,IF(AND($T126&lt;&gt;"",EDATE($D126,Milestones!$AA$183)&gt;=$T126),$W126,IF(AND($S126&lt;&gt;"",EDATE($D126,Milestones!$AA$183)&gt;=$S126),$V126,$U126)))=Milestones!$AB$183),UPPER(TEXT(EDATE($D126,Milestones!$AA$183),"dd mmm yy"))&amp;" "&amp;Milestones!$AB$183&amp;" "&amp;Milestones!$AC$183&amp;";  ","")&amp;IF(AND(EDATE($D126,Milestones!$AA$184)&lt;=AsOfDate,IF($R126=0,$X126,IF(AND($T126&lt;&gt;"",EDATE($D126,Milestones!$AA$184)&gt;=$T126),$W126,IF(AND($S126&lt;&gt;"",EDATE($D126,Milestones!$AA$184)&gt;=$S126),$V126,$U126)))=Milestones!$AB$184),UPPER(TEXT(EDATE($D126,Milestones!$AA$184),"dd mmm yy"))&amp;" "&amp;Milestones!$AB$184&amp;" "&amp;Milestones!$AC$184&amp;";  ","")&amp;IF(AND(EDATE($D126,Milestones!$AA$185)&lt;=AsOfDate,IF($R126=0,$X126,IF(AND($T126&lt;&gt;"",EDATE($D126,Milestones!$AA$185)&gt;=$T126),$W126,IF(AND($S126&lt;&gt;"",EDATE($D126,Milestones!$AA$185)&gt;=$S126),$V126,$U126)))=Milestones!$AB$185),UPPER(TEXT(EDATE($D126,Milestones!$AA$185),"dd mmm yy"))&amp;" "&amp;Milestones!$AB$185&amp;" "&amp;Milestones!$AC$185&amp;";  ","")&amp;IF(AND(EDATE($D126,Milestones!$AA$186)&lt;=AsOfDate,IF($R126=0,$X126,IF(AND($T126&lt;&gt;"",EDATE($D126,Milestones!$AA$186)&gt;=$T126),$W126,IF(AND($S126&lt;&gt;"",EDATE($D126,Milestones!$AA$186)&gt;=$S126),$V126,$U126)))=Milestones!$AB$186),UPPER(TEXT(EDATE($D126,Milestones!$AA$186),"dd mmm yy"))&amp;" "&amp;Milestones!$AB$186&amp;" "&amp;Milestones!$AC$186&amp;";  ","")&amp;IF(AND(EDATE($D126,Milestones!$AA$187)&lt;=AsOfDate,IF($R126=0,$X126,IF(AND($T126&lt;&gt;"",EDATE($D126,Milestones!$AA$187)&gt;=$T126),$W126,IF(AND($S126&lt;&gt;"",EDATE($D126,Milestones!$AA$187)&gt;=$S126),$V126,$U126)))=Milestones!$AB$187),UPPER(TEXT(EDATE($D126,Milestones!$AA$187),"dd mmm yy"))&amp;" "&amp;Milestones!$AB$187&amp;" "&amp;Milestones!$AC$187&amp;";  ","")&amp;IF(AND(EDATE($D126,Milestones!$AA$188)&lt;=AsOfDate,IF($R126=0,$X126,IF(AND($T126&lt;&gt;"",EDATE($D126,Milestones!$AA$188)&gt;=$T126),$W126,IF(AND($S126&lt;&gt;"",EDATE($D126,Milestones!$AA$188)&gt;=$S126),$V126,$U126)))=Milestones!$AB$188),UPPER(TEXT(EDATE($D126,Milestones!$AA$188),"dd mmm yy"))&amp;" "&amp;Milestones!$AB$188&amp;" "&amp;Milestones!$AC$188&amp;";  ","")&amp;IF(AND(EDATE($D126,Milestones!$AA$189)&lt;=AsOfDate,IF($R126=0,$X126,IF(AND($T126&lt;&gt;"",EDATE($D126,Milestones!$AA$189)&gt;=$T126),$W126,IF(AND($S126&lt;&gt;"",EDATE($D126,Milestones!$AA$189)&gt;=$S126),$V126,$U126)))=Milestones!$AB$189),UPPER(TEXT(EDATE($D126,Milestones!$AA$189),"dd mmm yy"))&amp;" "&amp;Milestones!$AB$189&amp;" "&amp;Milestones!$AC$189&amp;";  ","")&amp;IF(AND(EDATE($D126,Milestones!$AA$190)&lt;=AsOfDate,IF($R126=0,$X126,IF(AND($T126&lt;&gt;"",EDATE($D126,Milestones!$AA$190)&gt;=$T126),$W126,IF(AND($S126&lt;&gt;"",EDATE($D126,Milestones!$AA$190)&gt;=$S126),$V126,$U126)))=Milestones!$AB$190),UPPER(TEXT(EDATE($D126,Milestones!$AA$190),"dd mmm yy"))&amp;" "&amp;Milestones!$AB$190&amp;" "&amp;Milestones!$AC$190&amp;";  ","")&amp;IF(AND(EDATE($D126,Milestones!$AA$191)&lt;=AsOfDate,IF($R126=0,$X126,IF(AND($T126&lt;&gt;"",EDATE($D126,Milestones!$AA$191)&gt;=$T126),$W126,IF(AND($S126&lt;&gt;"",EDATE($D126,Milestones!$AA$191)&gt;=$S126),$V126,$U126)))=Milestones!$AB$191),UPPER(TEXT(EDATE($D126,Milestones!$AA$191),"dd mmm yy"))&amp;" "&amp;Milestones!$AB$191&amp;" "&amp;Milestones!$AC$191&amp;";  ","")&amp;IF(AND(EDATE($D126,Milestones!$AA$192)&lt;=AsOfDate,IF($R126=0,$X126,IF(AND($T126&lt;&gt;"",EDATE($D126,Milestones!$AA$192)&gt;=$T126),$W126,IF(AND($S126&lt;&gt;"",EDATE($D126,Milestones!$AA$192)&gt;=$S126),$V126,$U126)))=Milestones!$AB$192),UPPER(TEXT(EDATE($D126,Milestones!$AA$192),"dd mmm yy"))&amp;" "&amp;Milestones!$AB$192&amp;" "&amp;Milestones!$AC$192&amp;";  ","")&amp;IF(AND(EDATE($D126,Milestones!$AA$193)&lt;=AsOfDate,IF($R126=0,$X126,IF(AND($T126&lt;&gt;"",EDATE($D126,Milestones!$AA$193)&gt;=$T126),$W126,IF(AND($S126&lt;&gt;"",EDATE($D126,Milestones!$AA$193)&gt;=$S126),$V126,$U126)))=Milestones!$AB$193),UPPER(TEXT(EDATE($D126,Milestones!$AA$193),"dd mmm yy"))&amp;" "&amp;Milestones!$AB$193&amp;" "&amp;Milestones!$AC$193&amp;";  ","")&amp;IF(AND(EDATE($D126,Milestones!$AA$194)&lt;=AsOfDate,IF($R126=0,$X126,IF(AND($T126&lt;&gt;"",EDATE($D126,Milestones!$AA$194)&gt;=$T126),$W126,IF(AND($S126&lt;&gt;"",EDATE($D126,Milestones!$AA$194)&gt;=$S126),$V126,$U126)))=Milestones!$AB$194),UPPER(TEXT(EDATE($D126,Milestones!$AA$194),"dd mmm yy"))&amp;" "&amp;Milestones!$AB$194&amp;" "&amp;Milestones!$AC$194&amp;";  ","")&amp;IF(AND(EDATE($D126,Milestones!$AA$195)&lt;=AsOfDate,IF($R126=0,$X126,IF(AND($T126&lt;&gt;"",EDATE($D126,Milestones!$AA$195)&gt;=$T126),$W126,IF(AND($S126&lt;&gt;"",EDATE($D126,Milestones!$AA$195)&gt;=$S126),$V126,$U126)))=Milestones!$AB$195),UPPER(TEXT(EDATE($D126,Milestones!$AA$195),"dd mmm yy"))&amp;" "&amp;Milestones!$AB$195&amp;" "&amp;Milestones!$AC$195&amp;";  ","")&amp;IF(AND(EDATE($D126,Milestones!$AA$196)&lt;=AsOfDate,IF($R126=0,$X126,IF(AND($T126&lt;&gt;"",EDATE($D126,Milestones!$AA$196)&gt;=$T126),$W126,IF(AND($S126&lt;&gt;"",EDATE($D126,Milestones!$AA$196)&gt;=$S126),$V126,$U126)))=Milestones!$AB$196),UPPER(TEXT(EDATE($D126,Milestones!$AA$196),"dd mmm yy"))&amp;" "&amp;Milestones!$AB$196&amp;" "&amp;Milestones!$AC$196&amp;";  ","")&amp;IF(AND(EDATE($D126,Milestones!$AA$197)&lt;=AsOfDate,IF($R126=0,$X126,IF(AND($T126&lt;&gt;"",EDATE($D126,Milestones!$AA$197)&gt;=$T126),$W126,IF(AND($S126&lt;&gt;"",EDATE($D126,Milestones!$AA$197)&gt;=$S126),$V126,$U126)))=Milestones!$AB$197),UPPER(TEXT(EDATE($D126,Milestones!$AA$197),"dd mmm yy"))&amp;" "&amp;Milestones!$AB$197&amp;" "&amp;Milestones!$AC$197&amp;";  ","")&amp;IF(AND(EDATE($D126,Milestones!$AA$198)&lt;=AsOfDate,IF($R126=0,$X126,IF(AND($T126&lt;&gt;"",EDATE($D126,Milestones!$AA$198)&gt;=$T126),$W126,IF(AND($S126&lt;&gt;"",EDATE($D126,Milestones!$AA$198)&gt;=$S126),$V126,$U126)))=Milestones!$AB$198),UPPER(TEXT(EDATE($D126,Milestones!$AA$198),"dd mmm yy"))&amp;" "&amp;Milestones!$AB$198&amp;" "&amp;Milestones!$AC$198&amp;";  ","")&amp;IF(AND(EDATE($D126,Milestones!$AA$199)&lt;=AsOfDate,IF($R126=0,$X126,IF(AND($T126&lt;&gt;"",EDATE($D126,Milestones!$AA$199)&gt;=$T126),$W126,IF(AND($S126&lt;&gt;"",EDATE($D126,Milestones!$AA$199)&gt;=$S126),$V126,$U126)))=Milestones!$AB$199),UPPER(TEXT(EDATE($D126,Milestones!$AA$199),"dd mmm yy"))&amp;" "&amp;Milestones!$AB$199&amp;" "&amp;Milestones!$AC$199&amp;";  ",""))</f>
        <v/>
      </c>
      <c r="R126" s="0" t="str">
        <f aca="false">IF(Staff!$A126="","",Staff!$AI126)</f>
        <v/>
      </c>
      <c r="S126" s="0" t="str">
        <f aca="false">IF(Staff!$A126="","",Staff!$AK126)</f>
        <v/>
      </c>
      <c r="T126" s="0" t="str">
        <f aca="false">IF(Staff!$A126="","",Staff!$AL126)</f>
        <v/>
      </c>
      <c r="U126" s="0" t="str">
        <f aca="false">IF(Staff!$A126="","",Staff!$AP126)</f>
        <v/>
      </c>
      <c r="V126" s="0" t="str">
        <f aca="false">IF(Staff!$A126="","",Staff!$AQ126)</f>
        <v/>
      </c>
      <c r="W126" s="0" t="str">
        <f aca="false">IF(Staff!$A126="","",Staff!$AR126)</f>
        <v/>
      </c>
      <c r="X126" s="0" t="str">
        <f aca="false">IF(Staff!$A126="","",Staff!$AS126)</f>
        <v/>
      </c>
    </row>
    <row r="127" customFormat="false" ht="15" hidden="false" customHeight="false" outlineLevel="0" collapsed="false">
      <c r="A127" s="14" t="str">
        <f aca="false">IF(Staff!$A127="","",Staff!$A127)</f>
        <v/>
      </c>
      <c r="B127" s="14" t="str">
        <f aca="false">IF(Staff!$A127="","",Staff!$B127)</f>
        <v/>
      </c>
      <c r="C127" s="14" t="str">
        <f aca="false">IF(Staff!$A127="","",Staff!$C127)</f>
        <v/>
      </c>
      <c r="D127" s="12" t="str">
        <f aca="false">IF(Staff!$A127="","",Staff!$AH127)</f>
        <v/>
      </c>
      <c r="E127" s="14" t="str">
        <f aca="false">IF(Staff!$A127="","",Staff!$O127)</f>
        <v/>
      </c>
      <c r="F127" s="14" t="str">
        <f aca="false">IF(E127="","",E127*HoursPerDay)</f>
        <v/>
      </c>
      <c r="G127" s="14" t="str">
        <f aca="false">IF(Staff!$A127="","",Staff!$AE127)</f>
        <v/>
      </c>
      <c r="H127" s="26" t="str">
        <f aca="false">IF($A127="","",I127&amp;J127&amp;K127&amp;L127&amp;M127&amp;N127&amp;O127&amp;P127&amp;Q127)</f>
        <v/>
      </c>
      <c r="I127" s="0" t="str">
        <f aca="false">IF(OR($A127="",$D127=""),"",IF(AND(EDATE($D127,Milestones!$AA$20)&lt;=AsOfDate,IF($R127=0,$X127,IF(AND($T127&lt;&gt;"",EDATE($D127,Milestones!$AA$20)&gt;=$T127),$W127,IF(AND($S127&lt;&gt;"",EDATE($D127,Milestones!$AA$20)&gt;=$S127),$V127,$U127)))=Milestones!$AB$20),UPPER(TEXT(EDATE($D127,Milestones!$AA$20),"dd mmm yy"))&amp;" "&amp;Milestones!$AB$20&amp;" "&amp;Milestones!$AC$20&amp;";  ","")&amp;IF(AND(EDATE($D127,Milestones!$AA$21)&lt;=AsOfDate,IF($R127=0,$X127,IF(AND($T127&lt;&gt;"",EDATE($D127,Milestones!$AA$21)&gt;=$T127),$W127,IF(AND($S127&lt;&gt;"",EDATE($D127,Milestones!$AA$21)&gt;=$S127),$V127,$U127)))=Milestones!$AB$21),UPPER(TEXT(EDATE($D127,Milestones!$AA$21),"dd mmm yy"))&amp;" "&amp;Milestones!$AB$21&amp;" "&amp;Milestones!$AC$21&amp;";  ","")&amp;IF(AND(EDATE($D127,Milestones!$AA$22)&lt;=AsOfDate,IF($R127=0,$X127,IF(AND($T127&lt;&gt;"",EDATE($D127,Milestones!$AA$22)&gt;=$T127),$W127,IF(AND($S127&lt;&gt;"",EDATE($D127,Milestones!$AA$22)&gt;=$S127),$V127,$U127)))=Milestones!$AB$22),UPPER(TEXT(EDATE($D127,Milestones!$AA$22),"dd mmm yy"))&amp;" "&amp;Milestones!$AB$22&amp;" "&amp;Milestones!$AC$22&amp;";  ","")&amp;IF(AND(EDATE($D127,Milestones!$AA$23)&lt;=AsOfDate,IF($R127=0,$X127,IF(AND($T127&lt;&gt;"",EDATE($D127,Milestones!$AA$23)&gt;=$T127),$W127,IF(AND($S127&lt;&gt;"",EDATE($D127,Milestones!$AA$23)&gt;=$S127),$V127,$U127)))=Milestones!$AB$23),UPPER(TEXT(EDATE($D127,Milestones!$AA$23),"dd mmm yy"))&amp;" "&amp;Milestones!$AB$23&amp;" "&amp;Milestones!$AC$23&amp;";  ","")&amp;IF(AND(EDATE($D127,Milestones!$AA$24)&lt;=AsOfDate,IF($R127=0,$X127,IF(AND($T127&lt;&gt;"",EDATE($D127,Milestones!$AA$24)&gt;=$T127),$W127,IF(AND($S127&lt;&gt;"",EDATE($D127,Milestones!$AA$24)&gt;=$S127),$V127,$U127)))=Milestones!$AB$24),UPPER(TEXT(EDATE($D127,Milestones!$AA$24),"dd mmm yy"))&amp;" "&amp;Milestones!$AB$24&amp;" "&amp;Milestones!$AC$24&amp;";  ","")&amp;IF(AND(EDATE($D127,Milestones!$AA$25)&lt;=AsOfDate,IF($R127=0,$X127,IF(AND($T127&lt;&gt;"",EDATE($D127,Milestones!$AA$25)&gt;=$T127),$W127,IF(AND($S127&lt;&gt;"",EDATE($D127,Milestones!$AA$25)&gt;=$S127),$V127,$U127)))=Milestones!$AB$25),UPPER(TEXT(EDATE($D127,Milestones!$AA$25),"dd mmm yy"))&amp;" "&amp;Milestones!$AB$25&amp;" "&amp;Milestones!$AC$25&amp;";  ","")&amp;IF(AND(EDATE($D127,Milestones!$AA$26)&lt;=AsOfDate,IF($R127=0,$X127,IF(AND($T127&lt;&gt;"",EDATE($D127,Milestones!$AA$26)&gt;=$T127),$W127,IF(AND($S127&lt;&gt;"",EDATE($D127,Milestones!$AA$26)&gt;=$S127),$V127,$U127)))=Milestones!$AB$26),UPPER(TEXT(EDATE($D127,Milestones!$AA$26),"dd mmm yy"))&amp;" "&amp;Milestones!$AB$26&amp;" "&amp;Milestones!$AC$26&amp;";  ","")&amp;IF(AND(EDATE($D127,Milestones!$AA$27)&lt;=AsOfDate,IF($R127=0,$X127,IF(AND($T127&lt;&gt;"",EDATE($D127,Milestones!$AA$27)&gt;=$T127),$W127,IF(AND($S127&lt;&gt;"",EDATE($D127,Milestones!$AA$27)&gt;=$S127),$V127,$U127)))=Milestones!$AB$27),UPPER(TEXT(EDATE($D127,Milestones!$AA$27),"dd mmm yy"))&amp;" "&amp;Milestones!$AB$27&amp;" "&amp;Milestones!$AC$27&amp;";  ","")&amp;IF(AND(EDATE($D127,Milestones!$AA$28)&lt;=AsOfDate,IF($R127=0,$X127,IF(AND($T127&lt;&gt;"",EDATE($D127,Milestones!$AA$28)&gt;=$T127),$W127,IF(AND($S127&lt;&gt;"",EDATE($D127,Milestones!$AA$28)&gt;=$S127),$V127,$U127)))=Milestones!$AB$28),UPPER(TEXT(EDATE($D127,Milestones!$AA$28),"dd mmm yy"))&amp;" "&amp;Milestones!$AB$28&amp;" "&amp;Milestones!$AC$28&amp;";  ","")&amp;IF(AND(EDATE($D127,Milestones!$AA$29)&lt;=AsOfDate,IF($R127=0,$X127,IF(AND($T127&lt;&gt;"",EDATE($D127,Milestones!$AA$29)&gt;=$T127),$W127,IF(AND($S127&lt;&gt;"",EDATE($D127,Milestones!$AA$29)&gt;=$S127),$V127,$U127)))=Milestones!$AB$29),UPPER(TEXT(EDATE($D127,Milestones!$AA$29),"dd mmm yy"))&amp;" "&amp;Milestones!$AB$29&amp;" "&amp;Milestones!$AC$29&amp;";  ","")&amp;IF(AND(EDATE($D127,Milestones!$AA$30)&lt;=AsOfDate,IF($R127=0,$X127,IF(AND($T127&lt;&gt;"",EDATE($D127,Milestones!$AA$30)&gt;=$T127),$W127,IF(AND($S127&lt;&gt;"",EDATE($D127,Milestones!$AA$30)&gt;=$S127),$V127,$U127)))=Milestones!$AB$30),UPPER(TEXT(EDATE($D127,Milestones!$AA$30),"dd mmm yy"))&amp;" "&amp;Milestones!$AB$30&amp;" "&amp;Milestones!$AC$30&amp;";  ","")&amp;IF(AND(EDATE($D127,Milestones!$AA$31)&lt;=AsOfDate,IF($R127=0,$X127,IF(AND($T127&lt;&gt;"",EDATE($D127,Milestones!$AA$31)&gt;=$T127),$W127,IF(AND($S127&lt;&gt;"",EDATE($D127,Milestones!$AA$31)&gt;=$S127),$V127,$U127)))=Milestones!$AB$31),UPPER(TEXT(EDATE($D127,Milestones!$AA$31),"dd mmm yy"))&amp;" "&amp;Milestones!$AB$31&amp;" "&amp;Milestones!$AC$31&amp;";  ","")&amp;IF(AND(EDATE($D127,Milestones!$AA$32)&lt;=AsOfDate,IF($R127=0,$X127,IF(AND($T127&lt;&gt;"",EDATE($D127,Milestones!$AA$32)&gt;=$T127),$W127,IF(AND($S127&lt;&gt;"",EDATE($D127,Milestones!$AA$32)&gt;=$S127),$V127,$U127)))=Milestones!$AB$32),UPPER(TEXT(EDATE($D127,Milestones!$AA$32),"dd mmm yy"))&amp;" "&amp;Milestones!$AB$32&amp;" "&amp;Milestones!$AC$32&amp;";  ","")&amp;IF(AND(EDATE($D127,Milestones!$AA$33)&lt;=AsOfDate,IF($R127=0,$X127,IF(AND($T127&lt;&gt;"",EDATE($D127,Milestones!$AA$33)&gt;=$T127),$W127,IF(AND($S127&lt;&gt;"",EDATE($D127,Milestones!$AA$33)&gt;=$S127),$V127,$U127)))=Milestones!$AB$33),UPPER(TEXT(EDATE($D127,Milestones!$AA$33),"dd mmm yy"))&amp;" "&amp;Milestones!$AB$33&amp;" "&amp;Milestones!$AC$33&amp;";  ","")&amp;IF(AND(EDATE($D127,Milestones!$AA$34)&lt;=AsOfDate,IF($R127=0,$X127,IF(AND($T127&lt;&gt;"",EDATE($D127,Milestones!$AA$34)&gt;=$T127),$W127,IF(AND($S127&lt;&gt;"",EDATE($D127,Milestones!$AA$34)&gt;=$S127),$V127,$U127)))=Milestones!$AB$34),UPPER(TEXT(EDATE($D127,Milestones!$AA$34),"dd mmm yy"))&amp;" "&amp;Milestones!$AB$34&amp;" "&amp;Milestones!$AC$34&amp;";  ","")&amp;IF(AND(EDATE($D127,Milestones!$AA$35)&lt;=AsOfDate,IF($R127=0,$X127,IF(AND($T127&lt;&gt;"",EDATE($D127,Milestones!$AA$35)&gt;=$T127),$W127,IF(AND($S127&lt;&gt;"",EDATE($D127,Milestones!$AA$35)&gt;=$S127),$V127,$U127)))=Milestones!$AB$35),UPPER(TEXT(EDATE($D127,Milestones!$AA$35),"dd mmm yy"))&amp;" "&amp;Milestones!$AB$35&amp;" "&amp;Milestones!$AC$35&amp;";  ","")&amp;IF(AND(EDATE($D127,Milestones!$AA$36)&lt;=AsOfDate,IF($R127=0,$X127,IF(AND($T127&lt;&gt;"",EDATE($D127,Milestones!$AA$36)&gt;=$T127),$W127,IF(AND($S127&lt;&gt;"",EDATE($D127,Milestones!$AA$36)&gt;=$S127),$V127,$U127)))=Milestones!$AB$36),UPPER(TEXT(EDATE($D127,Milestones!$AA$36),"dd mmm yy"))&amp;" "&amp;Milestones!$AB$36&amp;" "&amp;Milestones!$AC$36&amp;";  ","")&amp;IF(AND(EDATE($D127,Milestones!$AA$37)&lt;=AsOfDate,IF($R127=0,$X127,IF(AND($T127&lt;&gt;"",EDATE($D127,Milestones!$AA$37)&gt;=$T127),$W127,IF(AND($S127&lt;&gt;"",EDATE($D127,Milestones!$AA$37)&gt;=$S127),$V127,$U127)))=Milestones!$AB$37),UPPER(TEXT(EDATE($D127,Milestones!$AA$37),"dd mmm yy"))&amp;" "&amp;Milestones!$AB$37&amp;" "&amp;Milestones!$AC$37&amp;";  ","")&amp;IF(AND(EDATE($D127,Milestones!$AA$38)&lt;=AsOfDate,IF($R127=0,$X127,IF(AND($T127&lt;&gt;"",EDATE($D127,Milestones!$AA$38)&gt;=$T127),$W127,IF(AND($S127&lt;&gt;"",EDATE($D127,Milestones!$AA$38)&gt;=$S127),$V127,$U127)))=Milestones!$AB$38),UPPER(TEXT(EDATE($D127,Milestones!$AA$38),"dd mmm yy"))&amp;" "&amp;Milestones!$AB$38&amp;" "&amp;Milestones!$AC$38&amp;";  ","")&amp;IF(AND(EDATE($D127,Milestones!$AA$39)&lt;=AsOfDate,IF($R127=0,$X127,IF(AND($T127&lt;&gt;"",EDATE($D127,Milestones!$AA$39)&gt;=$T127),$W127,IF(AND($S127&lt;&gt;"",EDATE($D127,Milestones!$AA$39)&gt;=$S127),$V127,$U127)))=Milestones!$AB$39),UPPER(TEXT(EDATE($D127,Milestones!$AA$39),"dd mmm yy"))&amp;" "&amp;Milestones!$AB$39&amp;" "&amp;Milestones!$AC$39&amp;";  ",""))</f>
        <v/>
      </c>
      <c r="J127" s="0" t="str">
        <f aca="false">IF(OR($A127="",$D127=""),"",IF(AND(EDATE($D127,Milestones!$AA$40)&lt;=AsOfDate,IF($R127=0,$X127,IF(AND($T127&lt;&gt;"",EDATE($D127,Milestones!$AA$40)&gt;=$T127),$W127,IF(AND($S127&lt;&gt;"",EDATE($D127,Milestones!$AA$40)&gt;=$S127),$V127,$U127)))=Milestones!$AB$40),UPPER(TEXT(EDATE($D127,Milestones!$AA$40),"dd mmm yy"))&amp;" "&amp;Milestones!$AB$40&amp;" "&amp;Milestones!$AC$40&amp;";  ","")&amp;IF(AND(EDATE($D127,Milestones!$AA$41)&lt;=AsOfDate,IF($R127=0,$X127,IF(AND($T127&lt;&gt;"",EDATE($D127,Milestones!$AA$41)&gt;=$T127),$W127,IF(AND($S127&lt;&gt;"",EDATE($D127,Milestones!$AA$41)&gt;=$S127),$V127,$U127)))=Milestones!$AB$41),UPPER(TEXT(EDATE($D127,Milestones!$AA$41),"dd mmm yy"))&amp;" "&amp;Milestones!$AB$41&amp;" "&amp;Milestones!$AC$41&amp;";  ","")&amp;IF(AND(EDATE($D127,Milestones!$AA$42)&lt;=AsOfDate,IF($R127=0,$X127,IF(AND($T127&lt;&gt;"",EDATE($D127,Milestones!$AA$42)&gt;=$T127),$W127,IF(AND($S127&lt;&gt;"",EDATE($D127,Milestones!$AA$42)&gt;=$S127),$V127,$U127)))=Milestones!$AB$42),UPPER(TEXT(EDATE($D127,Milestones!$AA$42),"dd mmm yy"))&amp;" "&amp;Milestones!$AB$42&amp;" "&amp;Milestones!$AC$42&amp;";  ","")&amp;IF(AND(EDATE($D127,Milestones!$AA$43)&lt;=AsOfDate,IF($R127=0,$X127,IF(AND($T127&lt;&gt;"",EDATE($D127,Milestones!$AA$43)&gt;=$T127),$W127,IF(AND($S127&lt;&gt;"",EDATE($D127,Milestones!$AA$43)&gt;=$S127),$V127,$U127)))=Milestones!$AB$43),UPPER(TEXT(EDATE($D127,Milestones!$AA$43),"dd mmm yy"))&amp;" "&amp;Milestones!$AB$43&amp;" "&amp;Milestones!$AC$43&amp;";  ","")&amp;IF(AND(EDATE($D127,Milestones!$AA$44)&lt;=AsOfDate,IF($R127=0,$X127,IF(AND($T127&lt;&gt;"",EDATE($D127,Milestones!$AA$44)&gt;=$T127),$W127,IF(AND($S127&lt;&gt;"",EDATE($D127,Milestones!$AA$44)&gt;=$S127),$V127,$U127)))=Milestones!$AB$44),UPPER(TEXT(EDATE($D127,Milestones!$AA$44),"dd mmm yy"))&amp;" "&amp;Milestones!$AB$44&amp;" "&amp;Milestones!$AC$44&amp;";  ","")&amp;IF(AND(EDATE($D127,Milestones!$AA$45)&lt;=AsOfDate,IF($R127=0,$X127,IF(AND($T127&lt;&gt;"",EDATE($D127,Milestones!$AA$45)&gt;=$T127),$W127,IF(AND($S127&lt;&gt;"",EDATE($D127,Milestones!$AA$45)&gt;=$S127),$V127,$U127)))=Milestones!$AB$45),UPPER(TEXT(EDATE($D127,Milestones!$AA$45),"dd mmm yy"))&amp;" "&amp;Milestones!$AB$45&amp;" "&amp;Milestones!$AC$45&amp;";  ","")&amp;IF(AND(EDATE($D127,Milestones!$AA$46)&lt;=AsOfDate,IF($R127=0,$X127,IF(AND($T127&lt;&gt;"",EDATE($D127,Milestones!$AA$46)&gt;=$T127),$W127,IF(AND($S127&lt;&gt;"",EDATE($D127,Milestones!$AA$46)&gt;=$S127),$V127,$U127)))=Milestones!$AB$46),UPPER(TEXT(EDATE($D127,Milestones!$AA$46),"dd mmm yy"))&amp;" "&amp;Milestones!$AB$46&amp;" "&amp;Milestones!$AC$46&amp;";  ","")&amp;IF(AND(EDATE($D127,Milestones!$AA$47)&lt;=AsOfDate,IF($R127=0,$X127,IF(AND($T127&lt;&gt;"",EDATE($D127,Milestones!$AA$47)&gt;=$T127),$W127,IF(AND($S127&lt;&gt;"",EDATE($D127,Milestones!$AA$47)&gt;=$S127),$V127,$U127)))=Milestones!$AB$47),UPPER(TEXT(EDATE($D127,Milestones!$AA$47),"dd mmm yy"))&amp;" "&amp;Milestones!$AB$47&amp;" "&amp;Milestones!$AC$47&amp;";  ","")&amp;IF(AND(EDATE($D127,Milestones!$AA$48)&lt;=AsOfDate,IF($R127=0,$X127,IF(AND($T127&lt;&gt;"",EDATE($D127,Milestones!$AA$48)&gt;=$T127),$W127,IF(AND($S127&lt;&gt;"",EDATE($D127,Milestones!$AA$48)&gt;=$S127),$V127,$U127)))=Milestones!$AB$48),UPPER(TEXT(EDATE($D127,Milestones!$AA$48),"dd mmm yy"))&amp;" "&amp;Milestones!$AB$48&amp;" "&amp;Milestones!$AC$48&amp;";  ","")&amp;IF(AND(EDATE($D127,Milestones!$AA$49)&lt;=AsOfDate,IF($R127=0,$X127,IF(AND($T127&lt;&gt;"",EDATE($D127,Milestones!$AA$49)&gt;=$T127),$W127,IF(AND($S127&lt;&gt;"",EDATE($D127,Milestones!$AA$49)&gt;=$S127),$V127,$U127)))=Milestones!$AB$49),UPPER(TEXT(EDATE($D127,Milestones!$AA$49),"dd mmm yy"))&amp;" "&amp;Milestones!$AB$49&amp;" "&amp;Milestones!$AC$49&amp;";  ","")&amp;IF(AND(EDATE($D127,Milestones!$AA$50)&lt;=AsOfDate,IF($R127=0,$X127,IF(AND($T127&lt;&gt;"",EDATE($D127,Milestones!$AA$50)&gt;=$T127),$W127,IF(AND($S127&lt;&gt;"",EDATE($D127,Milestones!$AA$50)&gt;=$S127),$V127,$U127)))=Milestones!$AB$50),UPPER(TEXT(EDATE($D127,Milestones!$AA$50),"dd mmm yy"))&amp;" "&amp;Milestones!$AB$50&amp;" "&amp;Milestones!$AC$50&amp;";  ","")&amp;IF(AND(EDATE($D127,Milestones!$AA$51)&lt;=AsOfDate,IF($R127=0,$X127,IF(AND($T127&lt;&gt;"",EDATE($D127,Milestones!$AA$51)&gt;=$T127),$W127,IF(AND($S127&lt;&gt;"",EDATE($D127,Milestones!$AA$51)&gt;=$S127),$V127,$U127)))=Milestones!$AB$51),UPPER(TEXT(EDATE($D127,Milestones!$AA$51),"dd mmm yy"))&amp;" "&amp;Milestones!$AB$51&amp;" "&amp;Milestones!$AC$51&amp;";  ","")&amp;IF(AND(EDATE($D127,Milestones!$AA$52)&lt;=AsOfDate,IF($R127=0,$X127,IF(AND($T127&lt;&gt;"",EDATE($D127,Milestones!$AA$52)&gt;=$T127),$W127,IF(AND($S127&lt;&gt;"",EDATE($D127,Milestones!$AA$52)&gt;=$S127),$V127,$U127)))=Milestones!$AB$52),UPPER(TEXT(EDATE($D127,Milestones!$AA$52),"dd mmm yy"))&amp;" "&amp;Milestones!$AB$52&amp;" "&amp;Milestones!$AC$52&amp;";  ","")&amp;IF(AND(EDATE($D127,Milestones!$AA$53)&lt;=AsOfDate,IF($R127=0,$X127,IF(AND($T127&lt;&gt;"",EDATE($D127,Milestones!$AA$53)&gt;=$T127),$W127,IF(AND($S127&lt;&gt;"",EDATE($D127,Milestones!$AA$53)&gt;=$S127),$V127,$U127)))=Milestones!$AB$53),UPPER(TEXT(EDATE($D127,Milestones!$AA$53),"dd mmm yy"))&amp;" "&amp;Milestones!$AB$53&amp;" "&amp;Milestones!$AC$53&amp;";  ","")&amp;IF(AND(EDATE($D127,Milestones!$AA$54)&lt;=AsOfDate,IF($R127=0,$X127,IF(AND($T127&lt;&gt;"",EDATE($D127,Milestones!$AA$54)&gt;=$T127),$W127,IF(AND($S127&lt;&gt;"",EDATE($D127,Milestones!$AA$54)&gt;=$S127),$V127,$U127)))=Milestones!$AB$54),UPPER(TEXT(EDATE($D127,Milestones!$AA$54),"dd mmm yy"))&amp;" "&amp;Milestones!$AB$54&amp;" "&amp;Milestones!$AC$54&amp;";  ","")&amp;IF(AND(EDATE($D127,Milestones!$AA$55)&lt;=AsOfDate,IF($R127=0,$X127,IF(AND($T127&lt;&gt;"",EDATE($D127,Milestones!$AA$55)&gt;=$T127),$W127,IF(AND($S127&lt;&gt;"",EDATE($D127,Milestones!$AA$55)&gt;=$S127),$V127,$U127)))=Milestones!$AB$55),UPPER(TEXT(EDATE($D127,Milestones!$AA$55),"dd mmm yy"))&amp;" "&amp;Milestones!$AB$55&amp;" "&amp;Milestones!$AC$55&amp;";  ","")&amp;IF(AND(EDATE($D127,Milestones!$AA$56)&lt;=AsOfDate,IF($R127=0,$X127,IF(AND($T127&lt;&gt;"",EDATE($D127,Milestones!$AA$56)&gt;=$T127),$W127,IF(AND($S127&lt;&gt;"",EDATE($D127,Milestones!$AA$56)&gt;=$S127),$V127,$U127)))=Milestones!$AB$56),UPPER(TEXT(EDATE($D127,Milestones!$AA$56),"dd mmm yy"))&amp;" "&amp;Milestones!$AB$56&amp;" "&amp;Milestones!$AC$56&amp;";  ","")&amp;IF(AND(EDATE($D127,Milestones!$AA$57)&lt;=AsOfDate,IF($R127=0,$X127,IF(AND($T127&lt;&gt;"",EDATE($D127,Milestones!$AA$57)&gt;=$T127),$W127,IF(AND($S127&lt;&gt;"",EDATE($D127,Milestones!$AA$57)&gt;=$S127),$V127,$U127)))=Milestones!$AB$57),UPPER(TEXT(EDATE($D127,Milestones!$AA$57),"dd mmm yy"))&amp;" "&amp;Milestones!$AB$57&amp;" "&amp;Milestones!$AC$57&amp;";  ","")&amp;IF(AND(EDATE($D127,Milestones!$AA$58)&lt;=AsOfDate,IF($R127=0,$X127,IF(AND($T127&lt;&gt;"",EDATE($D127,Milestones!$AA$58)&gt;=$T127),$W127,IF(AND($S127&lt;&gt;"",EDATE($D127,Milestones!$AA$58)&gt;=$S127),$V127,$U127)))=Milestones!$AB$58),UPPER(TEXT(EDATE($D127,Milestones!$AA$58),"dd mmm yy"))&amp;" "&amp;Milestones!$AB$58&amp;" "&amp;Milestones!$AC$58&amp;";  ","")&amp;IF(AND(EDATE($D127,Milestones!$AA$59)&lt;=AsOfDate,IF($R127=0,$X127,IF(AND($T127&lt;&gt;"",EDATE($D127,Milestones!$AA$59)&gt;=$T127),$W127,IF(AND($S127&lt;&gt;"",EDATE($D127,Milestones!$AA$59)&gt;=$S127),$V127,$U127)))=Milestones!$AB$59),UPPER(TEXT(EDATE($D127,Milestones!$AA$59),"dd mmm yy"))&amp;" "&amp;Milestones!$AB$59&amp;" "&amp;Milestones!$AC$59&amp;";  ",""))</f>
        <v/>
      </c>
      <c r="K127" s="0" t="str">
        <f aca="false">IF(OR($A127="",$D127=""),"",IF(AND(EDATE($D127,Milestones!$AA$60)&lt;=AsOfDate,IF($R127=0,$X127,IF(AND($T127&lt;&gt;"",EDATE($D127,Milestones!$AA$60)&gt;=$T127),$W127,IF(AND($S127&lt;&gt;"",EDATE($D127,Milestones!$AA$60)&gt;=$S127),$V127,$U127)))=Milestones!$AB$60),UPPER(TEXT(EDATE($D127,Milestones!$AA$60),"dd mmm yy"))&amp;" "&amp;Milestones!$AB$60&amp;" "&amp;Milestones!$AC$60&amp;";  ","")&amp;IF(AND(EDATE($D127,Milestones!$AA$61)&lt;=AsOfDate,IF($R127=0,$X127,IF(AND($T127&lt;&gt;"",EDATE($D127,Milestones!$AA$61)&gt;=$T127),$W127,IF(AND($S127&lt;&gt;"",EDATE($D127,Milestones!$AA$61)&gt;=$S127),$V127,$U127)))=Milestones!$AB$61),UPPER(TEXT(EDATE($D127,Milestones!$AA$61),"dd mmm yy"))&amp;" "&amp;Milestones!$AB$61&amp;" "&amp;Milestones!$AC$61&amp;";  ","")&amp;IF(AND(EDATE($D127,Milestones!$AA$62)&lt;=AsOfDate,IF($R127=0,$X127,IF(AND($T127&lt;&gt;"",EDATE($D127,Milestones!$AA$62)&gt;=$T127),$W127,IF(AND($S127&lt;&gt;"",EDATE($D127,Milestones!$AA$62)&gt;=$S127),$V127,$U127)))=Milestones!$AB$62),UPPER(TEXT(EDATE($D127,Milestones!$AA$62),"dd mmm yy"))&amp;" "&amp;Milestones!$AB$62&amp;" "&amp;Milestones!$AC$62&amp;";  ","")&amp;IF(AND(EDATE($D127,Milestones!$AA$63)&lt;=AsOfDate,IF($R127=0,$X127,IF(AND($T127&lt;&gt;"",EDATE($D127,Milestones!$AA$63)&gt;=$T127),$W127,IF(AND($S127&lt;&gt;"",EDATE($D127,Milestones!$AA$63)&gt;=$S127),$V127,$U127)))=Milestones!$AB$63),UPPER(TEXT(EDATE($D127,Milestones!$AA$63),"dd mmm yy"))&amp;" "&amp;Milestones!$AB$63&amp;" "&amp;Milestones!$AC$63&amp;";  ","")&amp;IF(AND(EDATE($D127,Milestones!$AA$64)&lt;=AsOfDate,IF($R127=0,$X127,IF(AND($T127&lt;&gt;"",EDATE($D127,Milestones!$AA$64)&gt;=$T127),$W127,IF(AND($S127&lt;&gt;"",EDATE($D127,Milestones!$AA$64)&gt;=$S127),$V127,$U127)))=Milestones!$AB$64),UPPER(TEXT(EDATE($D127,Milestones!$AA$64),"dd mmm yy"))&amp;" "&amp;Milestones!$AB$64&amp;" "&amp;Milestones!$AC$64&amp;";  ","")&amp;IF(AND(EDATE($D127,Milestones!$AA$65)&lt;=AsOfDate,IF($R127=0,$X127,IF(AND($T127&lt;&gt;"",EDATE($D127,Milestones!$AA$65)&gt;=$T127),$W127,IF(AND($S127&lt;&gt;"",EDATE($D127,Milestones!$AA$65)&gt;=$S127),$V127,$U127)))=Milestones!$AB$65),UPPER(TEXT(EDATE($D127,Milestones!$AA$65),"dd mmm yy"))&amp;" "&amp;Milestones!$AB$65&amp;" "&amp;Milestones!$AC$65&amp;";  ","")&amp;IF(AND(EDATE($D127,Milestones!$AA$66)&lt;=AsOfDate,IF($R127=0,$X127,IF(AND($T127&lt;&gt;"",EDATE($D127,Milestones!$AA$66)&gt;=$T127),$W127,IF(AND($S127&lt;&gt;"",EDATE($D127,Milestones!$AA$66)&gt;=$S127),$V127,$U127)))=Milestones!$AB$66),UPPER(TEXT(EDATE($D127,Milestones!$AA$66),"dd mmm yy"))&amp;" "&amp;Milestones!$AB$66&amp;" "&amp;Milestones!$AC$66&amp;";  ","")&amp;IF(AND(EDATE($D127,Milestones!$AA$67)&lt;=AsOfDate,IF($R127=0,$X127,IF(AND($T127&lt;&gt;"",EDATE($D127,Milestones!$AA$67)&gt;=$T127),$W127,IF(AND($S127&lt;&gt;"",EDATE($D127,Milestones!$AA$67)&gt;=$S127),$V127,$U127)))=Milestones!$AB$67),UPPER(TEXT(EDATE($D127,Milestones!$AA$67),"dd mmm yy"))&amp;" "&amp;Milestones!$AB$67&amp;" "&amp;Milestones!$AC$67&amp;";  ","")&amp;IF(AND(EDATE($D127,Milestones!$AA$68)&lt;=AsOfDate,IF($R127=0,$X127,IF(AND($T127&lt;&gt;"",EDATE($D127,Milestones!$AA$68)&gt;=$T127),$W127,IF(AND($S127&lt;&gt;"",EDATE($D127,Milestones!$AA$68)&gt;=$S127),$V127,$U127)))=Milestones!$AB$68),UPPER(TEXT(EDATE($D127,Milestones!$AA$68),"dd mmm yy"))&amp;" "&amp;Milestones!$AB$68&amp;" "&amp;Milestones!$AC$68&amp;";  ","")&amp;IF(AND(EDATE($D127,Milestones!$AA$69)&lt;=AsOfDate,IF($R127=0,$X127,IF(AND($T127&lt;&gt;"",EDATE($D127,Milestones!$AA$69)&gt;=$T127),$W127,IF(AND($S127&lt;&gt;"",EDATE($D127,Milestones!$AA$69)&gt;=$S127),$V127,$U127)))=Milestones!$AB$69),UPPER(TEXT(EDATE($D127,Milestones!$AA$69),"dd mmm yy"))&amp;" "&amp;Milestones!$AB$69&amp;" "&amp;Milestones!$AC$69&amp;";  ","")&amp;IF(AND(EDATE($D127,Milestones!$AA$70)&lt;=AsOfDate,IF($R127=0,$X127,IF(AND($T127&lt;&gt;"",EDATE($D127,Milestones!$AA$70)&gt;=$T127),$W127,IF(AND($S127&lt;&gt;"",EDATE($D127,Milestones!$AA$70)&gt;=$S127),$V127,$U127)))=Milestones!$AB$70),UPPER(TEXT(EDATE($D127,Milestones!$AA$70),"dd mmm yy"))&amp;" "&amp;Milestones!$AB$70&amp;" "&amp;Milestones!$AC$70&amp;";  ","")&amp;IF(AND(EDATE($D127,Milestones!$AA$71)&lt;=AsOfDate,IF($R127=0,$X127,IF(AND($T127&lt;&gt;"",EDATE($D127,Milestones!$AA$71)&gt;=$T127),$W127,IF(AND($S127&lt;&gt;"",EDATE($D127,Milestones!$AA$71)&gt;=$S127),$V127,$U127)))=Milestones!$AB$71),UPPER(TEXT(EDATE($D127,Milestones!$AA$71),"dd mmm yy"))&amp;" "&amp;Milestones!$AB$71&amp;" "&amp;Milestones!$AC$71&amp;";  ","")&amp;IF(AND(EDATE($D127,Milestones!$AA$72)&lt;=AsOfDate,IF($R127=0,$X127,IF(AND($T127&lt;&gt;"",EDATE($D127,Milestones!$AA$72)&gt;=$T127),$W127,IF(AND($S127&lt;&gt;"",EDATE($D127,Milestones!$AA$72)&gt;=$S127),$V127,$U127)))=Milestones!$AB$72),UPPER(TEXT(EDATE($D127,Milestones!$AA$72),"dd mmm yy"))&amp;" "&amp;Milestones!$AB$72&amp;" "&amp;Milestones!$AC$72&amp;";  ","")&amp;IF(AND(EDATE($D127,Milestones!$AA$73)&lt;=AsOfDate,IF($R127=0,$X127,IF(AND($T127&lt;&gt;"",EDATE($D127,Milestones!$AA$73)&gt;=$T127),$W127,IF(AND($S127&lt;&gt;"",EDATE($D127,Milestones!$AA$73)&gt;=$S127),$V127,$U127)))=Milestones!$AB$73),UPPER(TEXT(EDATE($D127,Milestones!$AA$73),"dd mmm yy"))&amp;" "&amp;Milestones!$AB$73&amp;" "&amp;Milestones!$AC$73&amp;";  ","")&amp;IF(AND(EDATE($D127,Milestones!$AA$74)&lt;=AsOfDate,IF($R127=0,$X127,IF(AND($T127&lt;&gt;"",EDATE($D127,Milestones!$AA$74)&gt;=$T127),$W127,IF(AND($S127&lt;&gt;"",EDATE($D127,Milestones!$AA$74)&gt;=$S127),$V127,$U127)))=Milestones!$AB$74),UPPER(TEXT(EDATE($D127,Milestones!$AA$74),"dd mmm yy"))&amp;" "&amp;Milestones!$AB$74&amp;" "&amp;Milestones!$AC$74&amp;";  ","")&amp;IF(AND(EDATE($D127,Milestones!$AA$75)&lt;=AsOfDate,IF($R127=0,$X127,IF(AND($T127&lt;&gt;"",EDATE($D127,Milestones!$AA$75)&gt;=$T127),$W127,IF(AND($S127&lt;&gt;"",EDATE($D127,Milestones!$AA$75)&gt;=$S127),$V127,$U127)))=Milestones!$AB$75),UPPER(TEXT(EDATE($D127,Milestones!$AA$75),"dd mmm yy"))&amp;" "&amp;Milestones!$AB$75&amp;" "&amp;Milestones!$AC$75&amp;";  ","")&amp;IF(AND(EDATE($D127,Milestones!$AA$76)&lt;=AsOfDate,IF($R127=0,$X127,IF(AND($T127&lt;&gt;"",EDATE($D127,Milestones!$AA$76)&gt;=$T127),$W127,IF(AND($S127&lt;&gt;"",EDATE($D127,Milestones!$AA$76)&gt;=$S127),$V127,$U127)))=Milestones!$AB$76),UPPER(TEXT(EDATE($D127,Milestones!$AA$76),"dd mmm yy"))&amp;" "&amp;Milestones!$AB$76&amp;" "&amp;Milestones!$AC$76&amp;";  ","")&amp;IF(AND(EDATE($D127,Milestones!$AA$77)&lt;=AsOfDate,IF($R127=0,$X127,IF(AND($T127&lt;&gt;"",EDATE($D127,Milestones!$AA$77)&gt;=$T127),$W127,IF(AND($S127&lt;&gt;"",EDATE($D127,Milestones!$AA$77)&gt;=$S127),$V127,$U127)))=Milestones!$AB$77),UPPER(TEXT(EDATE($D127,Milestones!$AA$77),"dd mmm yy"))&amp;" "&amp;Milestones!$AB$77&amp;" "&amp;Milestones!$AC$77&amp;";  ","")&amp;IF(AND(EDATE($D127,Milestones!$AA$78)&lt;=AsOfDate,IF($R127=0,$X127,IF(AND($T127&lt;&gt;"",EDATE($D127,Milestones!$AA$78)&gt;=$T127),$W127,IF(AND($S127&lt;&gt;"",EDATE($D127,Milestones!$AA$78)&gt;=$S127),$V127,$U127)))=Milestones!$AB$78),UPPER(TEXT(EDATE($D127,Milestones!$AA$78),"dd mmm yy"))&amp;" "&amp;Milestones!$AB$78&amp;" "&amp;Milestones!$AC$78&amp;";  ","")&amp;IF(AND(EDATE($D127,Milestones!$AA$79)&lt;=AsOfDate,IF($R127=0,$X127,IF(AND($T127&lt;&gt;"",EDATE($D127,Milestones!$AA$79)&gt;=$T127),$W127,IF(AND($S127&lt;&gt;"",EDATE($D127,Milestones!$AA$79)&gt;=$S127),$V127,$U127)))=Milestones!$AB$79),UPPER(TEXT(EDATE($D127,Milestones!$AA$79),"dd mmm yy"))&amp;" "&amp;Milestones!$AB$79&amp;" "&amp;Milestones!$AC$79&amp;";  ",""))</f>
        <v/>
      </c>
      <c r="L127" s="0" t="str">
        <f aca="false">IF(OR($A127="",$D127=""),"",IF(AND(EDATE($D127,Milestones!$AA$80)&lt;=AsOfDate,IF($R127=0,$X127,IF(AND($T127&lt;&gt;"",EDATE($D127,Milestones!$AA$80)&gt;=$T127),$W127,IF(AND($S127&lt;&gt;"",EDATE($D127,Milestones!$AA$80)&gt;=$S127),$V127,$U127)))=Milestones!$AB$80),UPPER(TEXT(EDATE($D127,Milestones!$AA$80),"dd mmm yy"))&amp;" "&amp;Milestones!$AB$80&amp;" "&amp;Milestones!$AC$80&amp;";  ","")&amp;IF(AND(EDATE($D127,Milestones!$AA$81)&lt;=AsOfDate,IF($R127=0,$X127,IF(AND($T127&lt;&gt;"",EDATE($D127,Milestones!$AA$81)&gt;=$T127),$W127,IF(AND($S127&lt;&gt;"",EDATE($D127,Milestones!$AA$81)&gt;=$S127),$V127,$U127)))=Milestones!$AB$81),UPPER(TEXT(EDATE($D127,Milestones!$AA$81),"dd mmm yy"))&amp;" "&amp;Milestones!$AB$81&amp;" "&amp;Milestones!$AC$81&amp;";  ","")&amp;IF(AND(EDATE($D127,Milestones!$AA$82)&lt;=AsOfDate,IF($R127=0,$X127,IF(AND($T127&lt;&gt;"",EDATE($D127,Milestones!$AA$82)&gt;=$T127),$W127,IF(AND($S127&lt;&gt;"",EDATE($D127,Milestones!$AA$82)&gt;=$S127),$V127,$U127)))=Milestones!$AB$82),UPPER(TEXT(EDATE($D127,Milestones!$AA$82),"dd mmm yy"))&amp;" "&amp;Milestones!$AB$82&amp;" "&amp;Milestones!$AC$82&amp;";  ","")&amp;IF(AND(EDATE($D127,Milestones!$AA$83)&lt;=AsOfDate,IF($R127=0,$X127,IF(AND($T127&lt;&gt;"",EDATE($D127,Milestones!$AA$83)&gt;=$T127),$W127,IF(AND($S127&lt;&gt;"",EDATE($D127,Milestones!$AA$83)&gt;=$S127),$V127,$U127)))=Milestones!$AB$83),UPPER(TEXT(EDATE($D127,Milestones!$AA$83),"dd mmm yy"))&amp;" "&amp;Milestones!$AB$83&amp;" "&amp;Milestones!$AC$83&amp;";  ","")&amp;IF(AND(EDATE($D127,Milestones!$AA$84)&lt;=AsOfDate,IF($R127=0,$X127,IF(AND($T127&lt;&gt;"",EDATE($D127,Milestones!$AA$84)&gt;=$T127),$W127,IF(AND($S127&lt;&gt;"",EDATE($D127,Milestones!$AA$84)&gt;=$S127),$V127,$U127)))=Milestones!$AB$84),UPPER(TEXT(EDATE($D127,Milestones!$AA$84),"dd mmm yy"))&amp;" "&amp;Milestones!$AB$84&amp;" "&amp;Milestones!$AC$84&amp;";  ","")&amp;IF(AND(EDATE($D127,Milestones!$AA$85)&lt;=AsOfDate,IF($R127=0,$X127,IF(AND($T127&lt;&gt;"",EDATE($D127,Milestones!$AA$85)&gt;=$T127),$W127,IF(AND($S127&lt;&gt;"",EDATE($D127,Milestones!$AA$85)&gt;=$S127),$V127,$U127)))=Milestones!$AB$85),UPPER(TEXT(EDATE($D127,Milestones!$AA$85),"dd mmm yy"))&amp;" "&amp;Milestones!$AB$85&amp;" "&amp;Milestones!$AC$85&amp;";  ","")&amp;IF(AND(EDATE($D127,Milestones!$AA$86)&lt;=AsOfDate,IF($R127=0,$X127,IF(AND($T127&lt;&gt;"",EDATE($D127,Milestones!$AA$86)&gt;=$T127),$W127,IF(AND($S127&lt;&gt;"",EDATE($D127,Milestones!$AA$86)&gt;=$S127),$V127,$U127)))=Milestones!$AB$86),UPPER(TEXT(EDATE($D127,Milestones!$AA$86),"dd mmm yy"))&amp;" "&amp;Milestones!$AB$86&amp;" "&amp;Milestones!$AC$86&amp;";  ","")&amp;IF(AND(EDATE($D127,Milestones!$AA$87)&lt;=AsOfDate,IF($R127=0,$X127,IF(AND($T127&lt;&gt;"",EDATE($D127,Milestones!$AA$87)&gt;=$T127),$W127,IF(AND($S127&lt;&gt;"",EDATE($D127,Milestones!$AA$87)&gt;=$S127),$V127,$U127)))=Milestones!$AB$87),UPPER(TEXT(EDATE($D127,Milestones!$AA$87),"dd mmm yy"))&amp;" "&amp;Milestones!$AB$87&amp;" "&amp;Milestones!$AC$87&amp;";  ","")&amp;IF(AND(EDATE($D127,Milestones!$AA$88)&lt;=AsOfDate,IF($R127=0,$X127,IF(AND($T127&lt;&gt;"",EDATE($D127,Milestones!$AA$88)&gt;=$T127),$W127,IF(AND($S127&lt;&gt;"",EDATE($D127,Milestones!$AA$88)&gt;=$S127),$V127,$U127)))=Milestones!$AB$88),UPPER(TEXT(EDATE($D127,Milestones!$AA$88),"dd mmm yy"))&amp;" "&amp;Milestones!$AB$88&amp;" "&amp;Milestones!$AC$88&amp;";  ","")&amp;IF(AND(EDATE($D127,Milestones!$AA$89)&lt;=AsOfDate,IF($R127=0,$X127,IF(AND($T127&lt;&gt;"",EDATE($D127,Milestones!$AA$89)&gt;=$T127),$W127,IF(AND($S127&lt;&gt;"",EDATE($D127,Milestones!$AA$89)&gt;=$S127),$V127,$U127)))=Milestones!$AB$89),UPPER(TEXT(EDATE($D127,Milestones!$AA$89),"dd mmm yy"))&amp;" "&amp;Milestones!$AB$89&amp;" "&amp;Milestones!$AC$89&amp;";  ","")&amp;IF(AND(EDATE($D127,Milestones!$AA$90)&lt;=AsOfDate,IF($R127=0,$X127,IF(AND($T127&lt;&gt;"",EDATE($D127,Milestones!$AA$90)&gt;=$T127),$W127,IF(AND($S127&lt;&gt;"",EDATE($D127,Milestones!$AA$90)&gt;=$S127),$V127,$U127)))=Milestones!$AB$90),UPPER(TEXT(EDATE($D127,Milestones!$AA$90),"dd mmm yy"))&amp;" "&amp;Milestones!$AB$90&amp;" "&amp;Milestones!$AC$90&amp;";  ","")&amp;IF(AND(EDATE($D127,Milestones!$AA$91)&lt;=AsOfDate,IF($R127=0,$X127,IF(AND($T127&lt;&gt;"",EDATE($D127,Milestones!$AA$91)&gt;=$T127),$W127,IF(AND($S127&lt;&gt;"",EDATE($D127,Milestones!$AA$91)&gt;=$S127),$V127,$U127)))=Milestones!$AB$91),UPPER(TEXT(EDATE($D127,Milestones!$AA$91),"dd mmm yy"))&amp;" "&amp;Milestones!$AB$91&amp;" "&amp;Milestones!$AC$91&amp;";  ","")&amp;IF(AND(EDATE($D127,Milestones!$AA$92)&lt;=AsOfDate,IF($R127=0,$X127,IF(AND($T127&lt;&gt;"",EDATE($D127,Milestones!$AA$92)&gt;=$T127),$W127,IF(AND($S127&lt;&gt;"",EDATE($D127,Milestones!$AA$92)&gt;=$S127),$V127,$U127)))=Milestones!$AB$92),UPPER(TEXT(EDATE($D127,Milestones!$AA$92),"dd mmm yy"))&amp;" "&amp;Milestones!$AB$92&amp;" "&amp;Milestones!$AC$92&amp;";  ","")&amp;IF(AND(EDATE($D127,Milestones!$AA$93)&lt;=AsOfDate,IF($R127=0,$X127,IF(AND($T127&lt;&gt;"",EDATE($D127,Milestones!$AA$93)&gt;=$T127),$W127,IF(AND($S127&lt;&gt;"",EDATE($D127,Milestones!$AA$93)&gt;=$S127),$V127,$U127)))=Milestones!$AB$93),UPPER(TEXT(EDATE($D127,Milestones!$AA$93),"dd mmm yy"))&amp;" "&amp;Milestones!$AB$93&amp;" "&amp;Milestones!$AC$93&amp;";  ","")&amp;IF(AND(EDATE($D127,Milestones!$AA$94)&lt;=AsOfDate,IF($R127=0,$X127,IF(AND($T127&lt;&gt;"",EDATE($D127,Milestones!$AA$94)&gt;=$T127),$W127,IF(AND($S127&lt;&gt;"",EDATE($D127,Milestones!$AA$94)&gt;=$S127),$V127,$U127)))=Milestones!$AB$94),UPPER(TEXT(EDATE($D127,Milestones!$AA$94),"dd mmm yy"))&amp;" "&amp;Milestones!$AB$94&amp;" "&amp;Milestones!$AC$94&amp;";  ","")&amp;IF(AND(EDATE($D127,Milestones!$AA$95)&lt;=AsOfDate,IF($R127=0,$X127,IF(AND($T127&lt;&gt;"",EDATE($D127,Milestones!$AA$95)&gt;=$T127),$W127,IF(AND($S127&lt;&gt;"",EDATE($D127,Milestones!$AA$95)&gt;=$S127),$V127,$U127)))=Milestones!$AB$95),UPPER(TEXT(EDATE($D127,Milestones!$AA$95),"dd mmm yy"))&amp;" "&amp;Milestones!$AB$95&amp;" "&amp;Milestones!$AC$95&amp;";  ","")&amp;IF(AND(EDATE($D127,Milestones!$AA$96)&lt;=AsOfDate,IF($R127=0,$X127,IF(AND($T127&lt;&gt;"",EDATE($D127,Milestones!$AA$96)&gt;=$T127),$W127,IF(AND($S127&lt;&gt;"",EDATE($D127,Milestones!$AA$96)&gt;=$S127),$V127,$U127)))=Milestones!$AB$96),UPPER(TEXT(EDATE($D127,Milestones!$AA$96),"dd mmm yy"))&amp;" "&amp;Milestones!$AB$96&amp;" "&amp;Milestones!$AC$96&amp;";  ","")&amp;IF(AND(EDATE($D127,Milestones!$AA$97)&lt;=AsOfDate,IF($R127=0,$X127,IF(AND($T127&lt;&gt;"",EDATE($D127,Milestones!$AA$97)&gt;=$T127),$W127,IF(AND($S127&lt;&gt;"",EDATE($D127,Milestones!$AA$97)&gt;=$S127),$V127,$U127)))=Milestones!$AB$97),UPPER(TEXT(EDATE($D127,Milestones!$AA$97),"dd mmm yy"))&amp;" "&amp;Milestones!$AB$97&amp;" "&amp;Milestones!$AC$97&amp;";  ","")&amp;IF(AND(EDATE($D127,Milestones!$AA$98)&lt;=AsOfDate,IF($R127=0,$X127,IF(AND($T127&lt;&gt;"",EDATE($D127,Milestones!$AA$98)&gt;=$T127),$W127,IF(AND($S127&lt;&gt;"",EDATE($D127,Milestones!$AA$98)&gt;=$S127),$V127,$U127)))=Milestones!$AB$98),UPPER(TEXT(EDATE($D127,Milestones!$AA$98),"dd mmm yy"))&amp;" "&amp;Milestones!$AB$98&amp;" "&amp;Milestones!$AC$98&amp;";  ","")&amp;IF(AND(EDATE($D127,Milestones!$AA$99)&lt;=AsOfDate,IF($R127=0,$X127,IF(AND($T127&lt;&gt;"",EDATE($D127,Milestones!$AA$99)&gt;=$T127),$W127,IF(AND($S127&lt;&gt;"",EDATE($D127,Milestones!$AA$99)&gt;=$S127),$V127,$U127)))=Milestones!$AB$99),UPPER(TEXT(EDATE($D127,Milestones!$AA$99),"dd mmm yy"))&amp;" "&amp;Milestones!$AB$99&amp;" "&amp;Milestones!$AC$99&amp;";  ",""))</f>
        <v/>
      </c>
      <c r="M127" s="0" t="str">
        <f aca="false">IF(OR($A127="",$D127=""),"",IF(AND(EDATE($D127,Milestones!$AA$100)&lt;=AsOfDate,IF($R127=0,$X127,IF(AND($T127&lt;&gt;"",EDATE($D127,Milestones!$AA$100)&gt;=$T127),$W127,IF(AND($S127&lt;&gt;"",EDATE($D127,Milestones!$AA$100)&gt;=$S127),$V127,$U127)))=Milestones!$AB$100),UPPER(TEXT(EDATE($D127,Milestones!$AA$100),"dd mmm yy"))&amp;" "&amp;Milestones!$AB$100&amp;" "&amp;Milestones!$AC$100&amp;";  ","")&amp;IF(AND(EDATE($D127,Milestones!$AA$101)&lt;=AsOfDate,IF($R127=0,$X127,IF(AND($T127&lt;&gt;"",EDATE($D127,Milestones!$AA$101)&gt;=$T127),$W127,IF(AND($S127&lt;&gt;"",EDATE($D127,Milestones!$AA$101)&gt;=$S127),$V127,$U127)))=Milestones!$AB$101),UPPER(TEXT(EDATE($D127,Milestones!$AA$101),"dd mmm yy"))&amp;" "&amp;Milestones!$AB$101&amp;" "&amp;Milestones!$AC$101&amp;";  ","")&amp;IF(AND(EDATE($D127,Milestones!$AA$102)&lt;=AsOfDate,IF($R127=0,$X127,IF(AND($T127&lt;&gt;"",EDATE($D127,Milestones!$AA$102)&gt;=$T127),$W127,IF(AND($S127&lt;&gt;"",EDATE($D127,Milestones!$AA$102)&gt;=$S127),$V127,$U127)))=Milestones!$AB$102),UPPER(TEXT(EDATE($D127,Milestones!$AA$102),"dd mmm yy"))&amp;" "&amp;Milestones!$AB$102&amp;" "&amp;Milestones!$AC$102&amp;";  ","")&amp;IF(AND(EDATE($D127,Milestones!$AA$103)&lt;=AsOfDate,IF($R127=0,$X127,IF(AND($T127&lt;&gt;"",EDATE($D127,Milestones!$AA$103)&gt;=$T127),$W127,IF(AND($S127&lt;&gt;"",EDATE($D127,Milestones!$AA$103)&gt;=$S127),$V127,$U127)))=Milestones!$AB$103),UPPER(TEXT(EDATE($D127,Milestones!$AA$103),"dd mmm yy"))&amp;" "&amp;Milestones!$AB$103&amp;" "&amp;Milestones!$AC$103&amp;";  ","")&amp;IF(AND(EDATE($D127,Milestones!$AA$104)&lt;=AsOfDate,IF($R127=0,$X127,IF(AND($T127&lt;&gt;"",EDATE($D127,Milestones!$AA$104)&gt;=$T127),$W127,IF(AND($S127&lt;&gt;"",EDATE($D127,Milestones!$AA$104)&gt;=$S127),$V127,$U127)))=Milestones!$AB$104),UPPER(TEXT(EDATE($D127,Milestones!$AA$104),"dd mmm yy"))&amp;" "&amp;Milestones!$AB$104&amp;" "&amp;Milestones!$AC$104&amp;";  ","")&amp;IF(AND(EDATE($D127,Milestones!$AA$105)&lt;=AsOfDate,IF($R127=0,$X127,IF(AND($T127&lt;&gt;"",EDATE($D127,Milestones!$AA$105)&gt;=$T127),$W127,IF(AND($S127&lt;&gt;"",EDATE($D127,Milestones!$AA$105)&gt;=$S127),$V127,$U127)))=Milestones!$AB$105),UPPER(TEXT(EDATE($D127,Milestones!$AA$105),"dd mmm yy"))&amp;" "&amp;Milestones!$AB$105&amp;" "&amp;Milestones!$AC$105&amp;";  ","")&amp;IF(AND(EDATE($D127,Milestones!$AA$106)&lt;=AsOfDate,IF($R127=0,$X127,IF(AND($T127&lt;&gt;"",EDATE($D127,Milestones!$AA$106)&gt;=$T127),$W127,IF(AND($S127&lt;&gt;"",EDATE($D127,Milestones!$AA$106)&gt;=$S127),$V127,$U127)))=Milestones!$AB$106),UPPER(TEXT(EDATE($D127,Milestones!$AA$106),"dd mmm yy"))&amp;" "&amp;Milestones!$AB$106&amp;" "&amp;Milestones!$AC$106&amp;";  ","")&amp;IF(AND(EDATE($D127,Milestones!$AA$107)&lt;=AsOfDate,IF($R127=0,$X127,IF(AND($T127&lt;&gt;"",EDATE($D127,Milestones!$AA$107)&gt;=$T127),$W127,IF(AND($S127&lt;&gt;"",EDATE($D127,Milestones!$AA$107)&gt;=$S127),$V127,$U127)))=Milestones!$AB$107),UPPER(TEXT(EDATE($D127,Milestones!$AA$107),"dd mmm yy"))&amp;" "&amp;Milestones!$AB$107&amp;" "&amp;Milestones!$AC$107&amp;";  ","")&amp;IF(AND(EDATE($D127,Milestones!$AA$108)&lt;=AsOfDate,IF($R127=0,$X127,IF(AND($T127&lt;&gt;"",EDATE($D127,Milestones!$AA$108)&gt;=$T127),$W127,IF(AND($S127&lt;&gt;"",EDATE($D127,Milestones!$AA$108)&gt;=$S127),$V127,$U127)))=Milestones!$AB$108),UPPER(TEXT(EDATE($D127,Milestones!$AA$108),"dd mmm yy"))&amp;" "&amp;Milestones!$AB$108&amp;" "&amp;Milestones!$AC$108&amp;";  ","")&amp;IF(AND(EDATE($D127,Milestones!$AA$109)&lt;=AsOfDate,IF($R127=0,$X127,IF(AND($T127&lt;&gt;"",EDATE($D127,Milestones!$AA$109)&gt;=$T127),$W127,IF(AND($S127&lt;&gt;"",EDATE($D127,Milestones!$AA$109)&gt;=$S127),$V127,$U127)))=Milestones!$AB$109),UPPER(TEXT(EDATE($D127,Milestones!$AA$109),"dd mmm yy"))&amp;" "&amp;Milestones!$AB$109&amp;" "&amp;Milestones!$AC$109&amp;";  ","")&amp;IF(AND(EDATE($D127,Milestones!$AA$110)&lt;=AsOfDate,IF($R127=0,$X127,IF(AND($T127&lt;&gt;"",EDATE($D127,Milestones!$AA$110)&gt;=$T127),$W127,IF(AND($S127&lt;&gt;"",EDATE($D127,Milestones!$AA$110)&gt;=$S127),$V127,$U127)))=Milestones!$AB$110),UPPER(TEXT(EDATE($D127,Milestones!$AA$110),"dd mmm yy"))&amp;" "&amp;Milestones!$AB$110&amp;" "&amp;Milestones!$AC$110&amp;";  ","")&amp;IF(AND(EDATE($D127,Milestones!$AA$111)&lt;=AsOfDate,IF($R127=0,$X127,IF(AND($T127&lt;&gt;"",EDATE($D127,Milestones!$AA$111)&gt;=$T127),$W127,IF(AND($S127&lt;&gt;"",EDATE($D127,Milestones!$AA$111)&gt;=$S127),$V127,$U127)))=Milestones!$AB$111),UPPER(TEXT(EDATE($D127,Milestones!$AA$111),"dd mmm yy"))&amp;" "&amp;Milestones!$AB$111&amp;" "&amp;Milestones!$AC$111&amp;";  ","")&amp;IF(AND(EDATE($D127,Milestones!$AA$112)&lt;=AsOfDate,IF($R127=0,$X127,IF(AND($T127&lt;&gt;"",EDATE($D127,Milestones!$AA$112)&gt;=$T127),$W127,IF(AND($S127&lt;&gt;"",EDATE($D127,Milestones!$AA$112)&gt;=$S127),$V127,$U127)))=Milestones!$AB$112),UPPER(TEXT(EDATE($D127,Milestones!$AA$112),"dd mmm yy"))&amp;" "&amp;Milestones!$AB$112&amp;" "&amp;Milestones!$AC$112&amp;";  ","")&amp;IF(AND(EDATE($D127,Milestones!$AA$113)&lt;=AsOfDate,IF($R127=0,$X127,IF(AND($T127&lt;&gt;"",EDATE($D127,Milestones!$AA$113)&gt;=$T127),$W127,IF(AND($S127&lt;&gt;"",EDATE($D127,Milestones!$AA$113)&gt;=$S127),$V127,$U127)))=Milestones!$AB$113),UPPER(TEXT(EDATE($D127,Milestones!$AA$113),"dd mmm yy"))&amp;" "&amp;Milestones!$AB$113&amp;" "&amp;Milestones!$AC$113&amp;";  ","")&amp;IF(AND(EDATE($D127,Milestones!$AA$114)&lt;=AsOfDate,IF($R127=0,$X127,IF(AND($T127&lt;&gt;"",EDATE($D127,Milestones!$AA$114)&gt;=$T127),$W127,IF(AND($S127&lt;&gt;"",EDATE($D127,Milestones!$AA$114)&gt;=$S127),$V127,$U127)))=Milestones!$AB$114),UPPER(TEXT(EDATE($D127,Milestones!$AA$114),"dd mmm yy"))&amp;" "&amp;Milestones!$AB$114&amp;" "&amp;Milestones!$AC$114&amp;";  ","")&amp;IF(AND(EDATE($D127,Milestones!$AA$115)&lt;=AsOfDate,IF($R127=0,$X127,IF(AND($T127&lt;&gt;"",EDATE($D127,Milestones!$AA$115)&gt;=$T127),$W127,IF(AND($S127&lt;&gt;"",EDATE($D127,Milestones!$AA$115)&gt;=$S127),$V127,$U127)))=Milestones!$AB$115),UPPER(TEXT(EDATE($D127,Milestones!$AA$115),"dd mmm yy"))&amp;" "&amp;Milestones!$AB$115&amp;" "&amp;Milestones!$AC$115&amp;";  ","")&amp;IF(AND(EDATE($D127,Milestones!$AA$116)&lt;=AsOfDate,IF($R127=0,$X127,IF(AND($T127&lt;&gt;"",EDATE($D127,Milestones!$AA$116)&gt;=$T127),$W127,IF(AND($S127&lt;&gt;"",EDATE($D127,Milestones!$AA$116)&gt;=$S127),$V127,$U127)))=Milestones!$AB$116),UPPER(TEXT(EDATE($D127,Milestones!$AA$116),"dd mmm yy"))&amp;" "&amp;Milestones!$AB$116&amp;" "&amp;Milestones!$AC$116&amp;";  ","")&amp;IF(AND(EDATE($D127,Milestones!$AA$117)&lt;=AsOfDate,IF($R127=0,$X127,IF(AND($T127&lt;&gt;"",EDATE($D127,Milestones!$AA$117)&gt;=$T127),$W127,IF(AND($S127&lt;&gt;"",EDATE($D127,Milestones!$AA$117)&gt;=$S127),$V127,$U127)))=Milestones!$AB$117),UPPER(TEXT(EDATE($D127,Milestones!$AA$117),"dd mmm yy"))&amp;" "&amp;Milestones!$AB$117&amp;" "&amp;Milestones!$AC$117&amp;";  ","")&amp;IF(AND(EDATE($D127,Milestones!$AA$118)&lt;=AsOfDate,IF($R127=0,$X127,IF(AND($T127&lt;&gt;"",EDATE($D127,Milestones!$AA$118)&gt;=$T127),$W127,IF(AND($S127&lt;&gt;"",EDATE($D127,Milestones!$AA$118)&gt;=$S127),$V127,$U127)))=Milestones!$AB$118),UPPER(TEXT(EDATE($D127,Milestones!$AA$118),"dd mmm yy"))&amp;" "&amp;Milestones!$AB$118&amp;" "&amp;Milestones!$AC$118&amp;";  ","")&amp;IF(AND(EDATE($D127,Milestones!$AA$119)&lt;=AsOfDate,IF($R127=0,$X127,IF(AND($T127&lt;&gt;"",EDATE($D127,Milestones!$AA$119)&gt;=$T127),$W127,IF(AND($S127&lt;&gt;"",EDATE($D127,Milestones!$AA$119)&gt;=$S127),$V127,$U127)))=Milestones!$AB$119),UPPER(TEXT(EDATE($D127,Milestones!$AA$119),"dd mmm yy"))&amp;" "&amp;Milestones!$AB$119&amp;" "&amp;Milestones!$AC$119&amp;";  ",""))</f>
        <v/>
      </c>
      <c r="N127" s="0" t="str">
        <f aca="false">IF(OR($A127="",$D127=""),"",IF(AND(EDATE($D127,Milestones!$AA$120)&lt;=AsOfDate,IF($R127=0,$X127,IF(AND($T127&lt;&gt;"",EDATE($D127,Milestones!$AA$120)&gt;=$T127),$W127,IF(AND($S127&lt;&gt;"",EDATE($D127,Milestones!$AA$120)&gt;=$S127),$V127,$U127)))=Milestones!$AB$120),UPPER(TEXT(EDATE($D127,Milestones!$AA$120),"dd mmm yy"))&amp;" "&amp;Milestones!$AB$120&amp;" "&amp;Milestones!$AC$120&amp;";  ","")&amp;IF(AND(EDATE($D127,Milestones!$AA$121)&lt;=AsOfDate,IF($R127=0,$X127,IF(AND($T127&lt;&gt;"",EDATE($D127,Milestones!$AA$121)&gt;=$T127),$W127,IF(AND($S127&lt;&gt;"",EDATE($D127,Milestones!$AA$121)&gt;=$S127),$V127,$U127)))=Milestones!$AB$121),UPPER(TEXT(EDATE($D127,Milestones!$AA$121),"dd mmm yy"))&amp;" "&amp;Milestones!$AB$121&amp;" "&amp;Milestones!$AC$121&amp;";  ","")&amp;IF(AND(EDATE($D127,Milestones!$AA$122)&lt;=AsOfDate,IF($R127=0,$X127,IF(AND($T127&lt;&gt;"",EDATE($D127,Milestones!$AA$122)&gt;=$T127),$W127,IF(AND($S127&lt;&gt;"",EDATE($D127,Milestones!$AA$122)&gt;=$S127),$V127,$U127)))=Milestones!$AB$122),UPPER(TEXT(EDATE($D127,Milestones!$AA$122),"dd mmm yy"))&amp;" "&amp;Milestones!$AB$122&amp;" "&amp;Milestones!$AC$122&amp;";  ","")&amp;IF(AND(EDATE($D127,Milestones!$AA$123)&lt;=AsOfDate,IF($R127=0,$X127,IF(AND($T127&lt;&gt;"",EDATE($D127,Milestones!$AA$123)&gt;=$T127),$W127,IF(AND($S127&lt;&gt;"",EDATE($D127,Milestones!$AA$123)&gt;=$S127),$V127,$U127)))=Milestones!$AB$123),UPPER(TEXT(EDATE($D127,Milestones!$AA$123),"dd mmm yy"))&amp;" "&amp;Milestones!$AB$123&amp;" "&amp;Milestones!$AC$123&amp;";  ","")&amp;IF(AND(EDATE($D127,Milestones!$AA$124)&lt;=AsOfDate,IF($R127=0,$X127,IF(AND($T127&lt;&gt;"",EDATE($D127,Milestones!$AA$124)&gt;=$T127),$W127,IF(AND($S127&lt;&gt;"",EDATE($D127,Milestones!$AA$124)&gt;=$S127),$V127,$U127)))=Milestones!$AB$124),UPPER(TEXT(EDATE($D127,Milestones!$AA$124),"dd mmm yy"))&amp;" "&amp;Milestones!$AB$124&amp;" "&amp;Milestones!$AC$124&amp;";  ","")&amp;IF(AND(EDATE($D127,Milestones!$AA$125)&lt;=AsOfDate,IF($R127=0,$X127,IF(AND($T127&lt;&gt;"",EDATE($D127,Milestones!$AA$125)&gt;=$T127),$W127,IF(AND($S127&lt;&gt;"",EDATE($D127,Milestones!$AA$125)&gt;=$S127),$V127,$U127)))=Milestones!$AB$125),UPPER(TEXT(EDATE($D127,Milestones!$AA$125),"dd mmm yy"))&amp;" "&amp;Milestones!$AB$125&amp;" "&amp;Milestones!$AC$125&amp;";  ","")&amp;IF(AND(EDATE($D127,Milestones!$AA$126)&lt;=AsOfDate,IF($R127=0,$X127,IF(AND($T127&lt;&gt;"",EDATE($D127,Milestones!$AA$126)&gt;=$T127),$W127,IF(AND($S127&lt;&gt;"",EDATE($D127,Milestones!$AA$126)&gt;=$S127),$V127,$U127)))=Milestones!$AB$126),UPPER(TEXT(EDATE($D127,Milestones!$AA$126),"dd mmm yy"))&amp;" "&amp;Milestones!$AB$126&amp;" "&amp;Milestones!$AC$126&amp;";  ","")&amp;IF(AND(EDATE($D127,Milestones!$AA$127)&lt;=AsOfDate,IF($R127=0,$X127,IF(AND($T127&lt;&gt;"",EDATE($D127,Milestones!$AA$127)&gt;=$T127),$W127,IF(AND($S127&lt;&gt;"",EDATE($D127,Milestones!$AA$127)&gt;=$S127),$V127,$U127)))=Milestones!$AB$127),UPPER(TEXT(EDATE($D127,Milestones!$AA$127),"dd mmm yy"))&amp;" "&amp;Milestones!$AB$127&amp;" "&amp;Milestones!$AC$127&amp;";  ","")&amp;IF(AND(EDATE($D127,Milestones!$AA$128)&lt;=AsOfDate,IF($R127=0,$X127,IF(AND($T127&lt;&gt;"",EDATE($D127,Milestones!$AA$128)&gt;=$T127),$W127,IF(AND($S127&lt;&gt;"",EDATE($D127,Milestones!$AA$128)&gt;=$S127),$V127,$U127)))=Milestones!$AB$128),UPPER(TEXT(EDATE($D127,Milestones!$AA$128),"dd mmm yy"))&amp;" "&amp;Milestones!$AB$128&amp;" "&amp;Milestones!$AC$128&amp;";  ","")&amp;IF(AND(EDATE($D127,Milestones!$AA$129)&lt;=AsOfDate,IF($R127=0,$X127,IF(AND($T127&lt;&gt;"",EDATE($D127,Milestones!$AA$129)&gt;=$T127),$W127,IF(AND($S127&lt;&gt;"",EDATE($D127,Milestones!$AA$129)&gt;=$S127),$V127,$U127)))=Milestones!$AB$129),UPPER(TEXT(EDATE($D127,Milestones!$AA$129),"dd mmm yy"))&amp;" "&amp;Milestones!$AB$129&amp;" "&amp;Milestones!$AC$129&amp;";  ","")&amp;IF(AND(EDATE($D127,Milestones!$AA$130)&lt;=AsOfDate,IF($R127=0,$X127,IF(AND($T127&lt;&gt;"",EDATE($D127,Milestones!$AA$130)&gt;=$T127),$W127,IF(AND($S127&lt;&gt;"",EDATE($D127,Milestones!$AA$130)&gt;=$S127),$V127,$U127)))=Milestones!$AB$130),UPPER(TEXT(EDATE($D127,Milestones!$AA$130),"dd mmm yy"))&amp;" "&amp;Milestones!$AB$130&amp;" "&amp;Milestones!$AC$130&amp;";  ","")&amp;IF(AND(EDATE($D127,Milestones!$AA$131)&lt;=AsOfDate,IF($R127=0,$X127,IF(AND($T127&lt;&gt;"",EDATE($D127,Milestones!$AA$131)&gt;=$T127),$W127,IF(AND($S127&lt;&gt;"",EDATE($D127,Milestones!$AA$131)&gt;=$S127),$V127,$U127)))=Milestones!$AB$131),UPPER(TEXT(EDATE($D127,Milestones!$AA$131),"dd mmm yy"))&amp;" "&amp;Milestones!$AB$131&amp;" "&amp;Milestones!$AC$131&amp;";  ","")&amp;IF(AND(EDATE($D127,Milestones!$AA$132)&lt;=AsOfDate,IF($R127=0,$X127,IF(AND($T127&lt;&gt;"",EDATE($D127,Milestones!$AA$132)&gt;=$T127),$W127,IF(AND($S127&lt;&gt;"",EDATE($D127,Milestones!$AA$132)&gt;=$S127),$V127,$U127)))=Milestones!$AB$132),UPPER(TEXT(EDATE($D127,Milestones!$AA$132),"dd mmm yy"))&amp;" "&amp;Milestones!$AB$132&amp;" "&amp;Milestones!$AC$132&amp;";  ","")&amp;IF(AND(EDATE($D127,Milestones!$AA$133)&lt;=AsOfDate,IF($R127=0,$X127,IF(AND($T127&lt;&gt;"",EDATE($D127,Milestones!$AA$133)&gt;=$T127),$W127,IF(AND($S127&lt;&gt;"",EDATE($D127,Milestones!$AA$133)&gt;=$S127),$V127,$U127)))=Milestones!$AB$133),UPPER(TEXT(EDATE($D127,Milestones!$AA$133),"dd mmm yy"))&amp;" "&amp;Milestones!$AB$133&amp;" "&amp;Milestones!$AC$133&amp;";  ","")&amp;IF(AND(EDATE($D127,Milestones!$AA$134)&lt;=AsOfDate,IF($R127=0,$X127,IF(AND($T127&lt;&gt;"",EDATE($D127,Milestones!$AA$134)&gt;=$T127),$W127,IF(AND($S127&lt;&gt;"",EDATE($D127,Milestones!$AA$134)&gt;=$S127),$V127,$U127)))=Milestones!$AB$134),UPPER(TEXT(EDATE($D127,Milestones!$AA$134),"dd mmm yy"))&amp;" "&amp;Milestones!$AB$134&amp;" "&amp;Milestones!$AC$134&amp;";  ","")&amp;IF(AND(EDATE($D127,Milestones!$AA$135)&lt;=AsOfDate,IF($R127=0,$X127,IF(AND($T127&lt;&gt;"",EDATE($D127,Milestones!$AA$135)&gt;=$T127),$W127,IF(AND($S127&lt;&gt;"",EDATE($D127,Milestones!$AA$135)&gt;=$S127),$V127,$U127)))=Milestones!$AB$135),UPPER(TEXT(EDATE($D127,Milestones!$AA$135),"dd mmm yy"))&amp;" "&amp;Milestones!$AB$135&amp;" "&amp;Milestones!$AC$135&amp;";  ","")&amp;IF(AND(EDATE($D127,Milestones!$AA$136)&lt;=AsOfDate,IF($R127=0,$X127,IF(AND($T127&lt;&gt;"",EDATE($D127,Milestones!$AA$136)&gt;=$T127),$W127,IF(AND($S127&lt;&gt;"",EDATE($D127,Milestones!$AA$136)&gt;=$S127),$V127,$U127)))=Milestones!$AB$136),UPPER(TEXT(EDATE($D127,Milestones!$AA$136),"dd mmm yy"))&amp;" "&amp;Milestones!$AB$136&amp;" "&amp;Milestones!$AC$136&amp;";  ","")&amp;IF(AND(EDATE($D127,Milestones!$AA$137)&lt;=AsOfDate,IF($R127=0,$X127,IF(AND($T127&lt;&gt;"",EDATE($D127,Milestones!$AA$137)&gt;=$T127),$W127,IF(AND($S127&lt;&gt;"",EDATE($D127,Milestones!$AA$137)&gt;=$S127),$V127,$U127)))=Milestones!$AB$137),UPPER(TEXT(EDATE($D127,Milestones!$AA$137),"dd mmm yy"))&amp;" "&amp;Milestones!$AB$137&amp;" "&amp;Milestones!$AC$137&amp;";  ","")&amp;IF(AND(EDATE($D127,Milestones!$AA$138)&lt;=AsOfDate,IF($R127=0,$X127,IF(AND($T127&lt;&gt;"",EDATE($D127,Milestones!$AA$138)&gt;=$T127),$W127,IF(AND($S127&lt;&gt;"",EDATE($D127,Milestones!$AA$138)&gt;=$S127),$V127,$U127)))=Milestones!$AB$138),UPPER(TEXT(EDATE($D127,Milestones!$AA$138),"dd mmm yy"))&amp;" "&amp;Milestones!$AB$138&amp;" "&amp;Milestones!$AC$138&amp;";  ","")&amp;IF(AND(EDATE($D127,Milestones!$AA$139)&lt;=AsOfDate,IF($R127=0,$X127,IF(AND($T127&lt;&gt;"",EDATE($D127,Milestones!$AA$139)&gt;=$T127),$W127,IF(AND($S127&lt;&gt;"",EDATE($D127,Milestones!$AA$139)&gt;=$S127),$V127,$U127)))=Milestones!$AB$139),UPPER(TEXT(EDATE($D127,Milestones!$AA$139),"dd mmm yy"))&amp;" "&amp;Milestones!$AB$139&amp;" "&amp;Milestones!$AC$139&amp;";  ",""))</f>
        <v/>
      </c>
      <c r="O127" s="0" t="str">
        <f aca="false">IF(OR($A127="",$D127=""),"",IF(AND(EDATE($D127,Milestones!$AA$140)&lt;=AsOfDate,IF($R127=0,$X127,IF(AND($T127&lt;&gt;"",EDATE($D127,Milestones!$AA$140)&gt;=$T127),$W127,IF(AND($S127&lt;&gt;"",EDATE($D127,Milestones!$AA$140)&gt;=$S127),$V127,$U127)))=Milestones!$AB$140),UPPER(TEXT(EDATE($D127,Milestones!$AA$140),"dd mmm yy"))&amp;" "&amp;Milestones!$AB$140&amp;" "&amp;Milestones!$AC$140&amp;";  ","")&amp;IF(AND(EDATE($D127,Milestones!$AA$141)&lt;=AsOfDate,IF($R127=0,$X127,IF(AND($T127&lt;&gt;"",EDATE($D127,Milestones!$AA$141)&gt;=$T127),$W127,IF(AND($S127&lt;&gt;"",EDATE($D127,Milestones!$AA$141)&gt;=$S127),$V127,$U127)))=Milestones!$AB$141),UPPER(TEXT(EDATE($D127,Milestones!$AA$141),"dd mmm yy"))&amp;" "&amp;Milestones!$AB$141&amp;" "&amp;Milestones!$AC$141&amp;";  ","")&amp;IF(AND(EDATE($D127,Milestones!$AA$142)&lt;=AsOfDate,IF($R127=0,$X127,IF(AND($T127&lt;&gt;"",EDATE($D127,Milestones!$AA$142)&gt;=$T127),$W127,IF(AND($S127&lt;&gt;"",EDATE($D127,Milestones!$AA$142)&gt;=$S127),$V127,$U127)))=Milestones!$AB$142),UPPER(TEXT(EDATE($D127,Milestones!$AA$142),"dd mmm yy"))&amp;" "&amp;Milestones!$AB$142&amp;" "&amp;Milestones!$AC$142&amp;";  ","")&amp;IF(AND(EDATE($D127,Milestones!$AA$143)&lt;=AsOfDate,IF($R127=0,$X127,IF(AND($T127&lt;&gt;"",EDATE($D127,Milestones!$AA$143)&gt;=$T127),$W127,IF(AND($S127&lt;&gt;"",EDATE($D127,Milestones!$AA$143)&gt;=$S127),$V127,$U127)))=Milestones!$AB$143),UPPER(TEXT(EDATE($D127,Milestones!$AA$143),"dd mmm yy"))&amp;" "&amp;Milestones!$AB$143&amp;" "&amp;Milestones!$AC$143&amp;";  ","")&amp;IF(AND(EDATE($D127,Milestones!$AA$144)&lt;=AsOfDate,IF($R127=0,$X127,IF(AND($T127&lt;&gt;"",EDATE($D127,Milestones!$AA$144)&gt;=$T127),$W127,IF(AND($S127&lt;&gt;"",EDATE($D127,Milestones!$AA$144)&gt;=$S127),$V127,$U127)))=Milestones!$AB$144),UPPER(TEXT(EDATE($D127,Milestones!$AA$144),"dd mmm yy"))&amp;" "&amp;Milestones!$AB$144&amp;" "&amp;Milestones!$AC$144&amp;";  ","")&amp;IF(AND(EDATE($D127,Milestones!$AA$145)&lt;=AsOfDate,IF($R127=0,$X127,IF(AND($T127&lt;&gt;"",EDATE($D127,Milestones!$AA$145)&gt;=$T127),$W127,IF(AND($S127&lt;&gt;"",EDATE($D127,Milestones!$AA$145)&gt;=$S127),$V127,$U127)))=Milestones!$AB$145),UPPER(TEXT(EDATE($D127,Milestones!$AA$145),"dd mmm yy"))&amp;" "&amp;Milestones!$AB$145&amp;" "&amp;Milestones!$AC$145&amp;";  ","")&amp;IF(AND(EDATE($D127,Milestones!$AA$146)&lt;=AsOfDate,IF($R127=0,$X127,IF(AND($T127&lt;&gt;"",EDATE($D127,Milestones!$AA$146)&gt;=$T127),$W127,IF(AND($S127&lt;&gt;"",EDATE($D127,Milestones!$AA$146)&gt;=$S127),$V127,$U127)))=Milestones!$AB$146),UPPER(TEXT(EDATE($D127,Milestones!$AA$146),"dd mmm yy"))&amp;" "&amp;Milestones!$AB$146&amp;" "&amp;Milestones!$AC$146&amp;";  ","")&amp;IF(AND(EDATE($D127,Milestones!$AA$147)&lt;=AsOfDate,IF($R127=0,$X127,IF(AND($T127&lt;&gt;"",EDATE($D127,Milestones!$AA$147)&gt;=$T127),$W127,IF(AND($S127&lt;&gt;"",EDATE($D127,Milestones!$AA$147)&gt;=$S127),$V127,$U127)))=Milestones!$AB$147),UPPER(TEXT(EDATE($D127,Milestones!$AA$147),"dd mmm yy"))&amp;" "&amp;Milestones!$AB$147&amp;" "&amp;Milestones!$AC$147&amp;";  ","")&amp;IF(AND(EDATE($D127,Milestones!$AA$148)&lt;=AsOfDate,IF($R127=0,$X127,IF(AND($T127&lt;&gt;"",EDATE($D127,Milestones!$AA$148)&gt;=$T127),$W127,IF(AND($S127&lt;&gt;"",EDATE($D127,Milestones!$AA$148)&gt;=$S127),$V127,$U127)))=Milestones!$AB$148),UPPER(TEXT(EDATE($D127,Milestones!$AA$148),"dd mmm yy"))&amp;" "&amp;Milestones!$AB$148&amp;" "&amp;Milestones!$AC$148&amp;";  ","")&amp;IF(AND(EDATE($D127,Milestones!$AA$149)&lt;=AsOfDate,IF($R127=0,$X127,IF(AND($T127&lt;&gt;"",EDATE($D127,Milestones!$AA$149)&gt;=$T127),$W127,IF(AND($S127&lt;&gt;"",EDATE($D127,Milestones!$AA$149)&gt;=$S127),$V127,$U127)))=Milestones!$AB$149),UPPER(TEXT(EDATE($D127,Milestones!$AA$149),"dd mmm yy"))&amp;" "&amp;Milestones!$AB$149&amp;" "&amp;Milestones!$AC$149&amp;";  ","")&amp;IF(AND(EDATE($D127,Milestones!$AA$150)&lt;=AsOfDate,IF($R127=0,$X127,IF(AND($T127&lt;&gt;"",EDATE($D127,Milestones!$AA$150)&gt;=$T127),$W127,IF(AND($S127&lt;&gt;"",EDATE($D127,Milestones!$AA$150)&gt;=$S127),$V127,$U127)))=Milestones!$AB$150),UPPER(TEXT(EDATE($D127,Milestones!$AA$150),"dd mmm yy"))&amp;" "&amp;Milestones!$AB$150&amp;" "&amp;Milestones!$AC$150&amp;";  ","")&amp;IF(AND(EDATE($D127,Milestones!$AA$151)&lt;=AsOfDate,IF($R127=0,$X127,IF(AND($T127&lt;&gt;"",EDATE($D127,Milestones!$AA$151)&gt;=$T127),$W127,IF(AND($S127&lt;&gt;"",EDATE($D127,Milestones!$AA$151)&gt;=$S127),$V127,$U127)))=Milestones!$AB$151),UPPER(TEXT(EDATE($D127,Milestones!$AA$151),"dd mmm yy"))&amp;" "&amp;Milestones!$AB$151&amp;" "&amp;Milestones!$AC$151&amp;";  ","")&amp;IF(AND(EDATE($D127,Milestones!$AA$152)&lt;=AsOfDate,IF($R127=0,$X127,IF(AND($T127&lt;&gt;"",EDATE($D127,Milestones!$AA$152)&gt;=$T127),$W127,IF(AND($S127&lt;&gt;"",EDATE($D127,Milestones!$AA$152)&gt;=$S127),$V127,$U127)))=Milestones!$AB$152),UPPER(TEXT(EDATE($D127,Milestones!$AA$152),"dd mmm yy"))&amp;" "&amp;Milestones!$AB$152&amp;" "&amp;Milestones!$AC$152&amp;";  ","")&amp;IF(AND(EDATE($D127,Milestones!$AA$153)&lt;=AsOfDate,IF($R127=0,$X127,IF(AND($T127&lt;&gt;"",EDATE($D127,Milestones!$AA$153)&gt;=$T127),$W127,IF(AND($S127&lt;&gt;"",EDATE($D127,Milestones!$AA$153)&gt;=$S127),$V127,$U127)))=Milestones!$AB$153),UPPER(TEXT(EDATE($D127,Milestones!$AA$153),"dd mmm yy"))&amp;" "&amp;Milestones!$AB$153&amp;" "&amp;Milestones!$AC$153&amp;";  ","")&amp;IF(AND(EDATE($D127,Milestones!$AA$154)&lt;=AsOfDate,IF($R127=0,$X127,IF(AND($T127&lt;&gt;"",EDATE($D127,Milestones!$AA$154)&gt;=$T127),$W127,IF(AND($S127&lt;&gt;"",EDATE($D127,Milestones!$AA$154)&gt;=$S127),$V127,$U127)))=Milestones!$AB$154),UPPER(TEXT(EDATE($D127,Milestones!$AA$154),"dd mmm yy"))&amp;" "&amp;Milestones!$AB$154&amp;" "&amp;Milestones!$AC$154&amp;";  ","")&amp;IF(AND(EDATE($D127,Milestones!$AA$155)&lt;=AsOfDate,IF($R127=0,$X127,IF(AND($T127&lt;&gt;"",EDATE($D127,Milestones!$AA$155)&gt;=$T127),$W127,IF(AND($S127&lt;&gt;"",EDATE($D127,Milestones!$AA$155)&gt;=$S127),$V127,$U127)))=Milestones!$AB$155),UPPER(TEXT(EDATE($D127,Milestones!$AA$155),"dd mmm yy"))&amp;" "&amp;Milestones!$AB$155&amp;" "&amp;Milestones!$AC$155&amp;";  ","")&amp;IF(AND(EDATE($D127,Milestones!$AA$156)&lt;=AsOfDate,IF($R127=0,$X127,IF(AND($T127&lt;&gt;"",EDATE($D127,Milestones!$AA$156)&gt;=$T127),$W127,IF(AND($S127&lt;&gt;"",EDATE($D127,Milestones!$AA$156)&gt;=$S127),$V127,$U127)))=Milestones!$AB$156),UPPER(TEXT(EDATE($D127,Milestones!$AA$156),"dd mmm yy"))&amp;" "&amp;Milestones!$AB$156&amp;" "&amp;Milestones!$AC$156&amp;";  ","")&amp;IF(AND(EDATE($D127,Milestones!$AA$157)&lt;=AsOfDate,IF($R127=0,$X127,IF(AND($T127&lt;&gt;"",EDATE($D127,Milestones!$AA$157)&gt;=$T127),$W127,IF(AND($S127&lt;&gt;"",EDATE($D127,Milestones!$AA$157)&gt;=$S127),$V127,$U127)))=Milestones!$AB$157),UPPER(TEXT(EDATE($D127,Milestones!$AA$157),"dd mmm yy"))&amp;" "&amp;Milestones!$AB$157&amp;" "&amp;Milestones!$AC$157&amp;";  ","")&amp;IF(AND(EDATE($D127,Milestones!$AA$158)&lt;=AsOfDate,IF($R127=0,$X127,IF(AND($T127&lt;&gt;"",EDATE($D127,Milestones!$AA$158)&gt;=$T127),$W127,IF(AND($S127&lt;&gt;"",EDATE($D127,Milestones!$AA$158)&gt;=$S127),$V127,$U127)))=Milestones!$AB$158),UPPER(TEXT(EDATE($D127,Milestones!$AA$158),"dd mmm yy"))&amp;" "&amp;Milestones!$AB$158&amp;" "&amp;Milestones!$AC$158&amp;";  ","")&amp;IF(AND(EDATE($D127,Milestones!$AA$159)&lt;=AsOfDate,IF($R127=0,$X127,IF(AND($T127&lt;&gt;"",EDATE($D127,Milestones!$AA$159)&gt;=$T127),$W127,IF(AND($S127&lt;&gt;"",EDATE($D127,Milestones!$AA$159)&gt;=$S127),$V127,$U127)))=Milestones!$AB$159),UPPER(TEXT(EDATE($D127,Milestones!$AA$159),"dd mmm yy"))&amp;" "&amp;Milestones!$AB$159&amp;" "&amp;Milestones!$AC$159&amp;";  ",""))</f>
        <v/>
      </c>
      <c r="P127" s="0" t="str">
        <f aca="false">IF(OR($A127="",$D127=""),"",IF(AND(EDATE($D127,Milestones!$AA$160)&lt;=AsOfDate,IF($R127=0,$X127,IF(AND($T127&lt;&gt;"",EDATE($D127,Milestones!$AA$160)&gt;=$T127),$W127,IF(AND($S127&lt;&gt;"",EDATE($D127,Milestones!$AA$160)&gt;=$S127),$V127,$U127)))=Milestones!$AB$160),UPPER(TEXT(EDATE($D127,Milestones!$AA$160),"dd mmm yy"))&amp;" "&amp;Milestones!$AB$160&amp;" "&amp;Milestones!$AC$160&amp;";  ","")&amp;IF(AND(EDATE($D127,Milestones!$AA$161)&lt;=AsOfDate,IF($R127=0,$X127,IF(AND($T127&lt;&gt;"",EDATE($D127,Milestones!$AA$161)&gt;=$T127),$W127,IF(AND($S127&lt;&gt;"",EDATE($D127,Milestones!$AA$161)&gt;=$S127),$V127,$U127)))=Milestones!$AB$161),UPPER(TEXT(EDATE($D127,Milestones!$AA$161),"dd mmm yy"))&amp;" "&amp;Milestones!$AB$161&amp;" "&amp;Milestones!$AC$161&amp;";  ","")&amp;IF(AND(EDATE($D127,Milestones!$AA$162)&lt;=AsOfDate,IF($R127=0,$X127,IF(AND($T127&lt;&gt;"",EDATE($D127,Milestones!$AA$162)&gt;=$T127),$W127,IF(AND($S127&lt;&gt;"",EDATE($D127,Milestones!$AA$162)&gt;=$S127),$V127,$U127)))=Milestones!$AB$162),UPPER(TEXT(EDATE($D127,Milestones!$AA$162),"dd mmm yy"))&amp;" "&amp;Milestones!$AB$162&amp;" "&amp;Milestones!$AC$162&amp;";  ","")&amp;IF(AND(EDATE($D127,Milestones!$AA$163)&lt;=AsOfDate,IF($R127=0,$X127,IF(AND($T127&lt;&gt;"",EDATE($D127,Milestones!$AA$163)&gt;=$T127),$W127,IF(AND($S127&lt;&gt;"",EDATE($D127,Milestones!$AA$163)&gt;=$S127),$V127,$U127)))=Milestones!$AB$163),UPPER(TEXT(EDATE($D127,Milestones!$AA$163),"dd mmm yy"))&amp;" "&amp;Milestones!$AB$163&amp;" "&amp;Milestones!$AC$163&amp;";  ","")&amp;IF(AND(EDATE($D127,Milestones!$AA$164)&lt;=AsOfDate,IF($R127=0,$X127,IF(AND($T127&lt;&gt;"",EDATE($D127,Milestones!$AA$164)&gt;=$T127),$W127,IF(AND($S127&lt;&gt;"",EDATE($D127,Milestones!$AA$164)&gt;=$S127),$V127,$U127)))=Milestones!$AB$164),UPPER(TEXT(EDATE($D127,Milestones!$AA$164),"dd mmm yy"))&amp;" "&amp;Milestones!$AB$164&amp;" "&amp;Milestones!$AC$164&amp;";  ","")&amp;IF(AND(EDATE($D127,Milestones!$AA$165)&lt;=AsOfDate,IF($R127=0,$X127,IF(AND($T127&lt;&gt;"",EDATE($D127,Milestones!$AA$165)&gt;=$T127),$W127,IF(AND($S127&lt;&gt;"",EDATE($D127,Milestones!$AA$165)&gt;=$S127),$V127,$U127)))=Milestones!$AB$165),UPPER(TEXT(EDATE($D127,Milestones!$AA$165),"dd mmm yy"))&amp;" "&amp;Milestones!$AB$165&amp;" "&amp;Milestones!$AC$165&amp;";  ","")&amp;IF(AND(EDATE($D127,Milestones!$AA$166)&lt;=AsOfDate,IF($R127=0,$X127,IF(AND($T127&lt;&gt;"",EDATE($D127,Milestones!$AA$166)&gt;=$T127),$W127,IF(AND($S127&lt;&gt;"",EDATE($D127,Milestones!$AA$166)&gt;=$S127),$V127,$U127)))=Milestones!$AB$166),UPPER(TEXT(EDATE($D127,Milestones!$AA$166),"dd mmm yy"))&amp;" "&amp;Milestones!$AB$166&amp;" "&amp;Milestones!$AC$166&amp;";  ","")&amp;IF(AND(EDATE($D127,Milestones!$AA$167)&lt;=AsOfDate,IF($R127=0,$X127,IF(AND($T127&lt;&gt;"",EDATE($D127,Milestones!$AA$167)&gt;=$T127),$W127,IF(AND($S127&lt;&gt;"",EDATE($D127,Milestones!$AA$167)&gt;=$S127),$V127,$U127)))=Milestones!$AB$167),UPPER(TEXT(EDATE($D127,Milestones!$AA$167),"dd mmm yy"))&amp;" "&amp;Milestones!$AB$167&amp;" "&amp;Milestones!$AC$167&amp;";  ","")&amp;IF(AND(EDATE($D127,Milestones!$AA$168)&lt;=AsOfDate,IF($R127=0,$X127,IF(AND($T127&lt;&gt;"",EDATE($D127,Milestones!$AA$168)&gt;=$T127),$W127,IF(AND($S127&lt;&gt;"",EDATE($D127,Milestones!$AA$168)&gt;=$S127),$V127,$U127)))=Milestones!$AB$168),UPPER(TEXT(EDATE($D127,Milestones!$AA$168),"dd mmm yy"))&amp;" "&amp;Milestones!$AB$168&amp;" "&amp;Milestones!$AC$168&amp;";  ","")&amp;IF(AND(EDATE($D127,Milestones!$AA$169)&lt;=AsOfDate,IF($R127=0,$X127,IF(AND($T127&lt;&gt;"",EDATE($D127,Milestones!$AA$169)&gt;=$T127),$W127,IF(AND($S127&lt;&gt;"",EDATE($D127,Milestones!$AA$169)&gt;=$S127),$V127,$U127)))=Milestones!$AB$169),UPPER(TEXT(EDATE($D127,Milestones!$AA$169),"dd mmm yy"))&amp;" "&amp;Milestones!$AB$169&amp;" "&amp;Milestones!$AC$169&amp;";  ","")&amp;IF(AND(EDATE($D127,Milestones!$AA$170)&lt;=AsOfDate,IF($R127=0,$X127,IF(AND($T127&lt;&gt;"",EDATE($D127,Milestones!$AA$170)&gt;=$T127),$W127,IF(AND($S127&lt;&gt;"",EDATE($D127,Milestones!$AA$170)&gt;=$S127),$V127,$U127)))=Milestones!$AB$170),UPPER(TEXT(EDATE($D127,Milestones!$AA$170),"dd mmm yy"))&amp;" "&amp;Milestones!$AB$170&amp;" "&amp;Milestones!$AC$170&amp;";  ","")&amp;IF(AND(EDATE($D127,Milestones!$AA$171)&lt;=AsOfDate,IF($R127=0,$X127,IF(AND($T127&lt;&gt;"",EDATE($D127,Milestones!$AA$171)&gt;=$T127),$W127,IF(AND($S127&lt;&gt;"",EDATE($D127,Milestones!$AA$171)&gt;=$S127),$V127,$U127)))=Milestones!$AB$171),UPPER(TEXT(EDATE($D127,Milestones!$AA$171),"dd mmm yy"))&amp;" "&amp;Milestones!$AB$171&amp;" "&amp;Milestones!$AC$171&amp;";  ","")&amp;IF(AND(EDATE($D127,Milestones!$AA$172)&lt;=AsOfDate,IF($R127=0,$X127,IF(AND($T127&lt;&gt;"",EDATE($D127,Milestones!$AA$172)&gt;=$T127),$W127,IF(AND($S127&lt;&gt;"",EDATE($D127,Milestones!$AA$172)&gt;=$S127),$V127,$U127)))=Milestones!$AB$172),UPPER(TEXT(EDATE($D127,Milestones!$AA$172),"dd mmm yy"))&amp;" "&amp;Milestones!$AB$172&amp;" "&amp;Milestones!$AC$172&amp;";  ","")&amp;IF(AND(EDATE($D127,Milestones!$AA$173)&lt;=AsOfDate,IF($R127=0,$X127,IF(AND($T127&lt;&gt;"",EDATE($D127,Milestones!$AA$173)&gt;=$T127),$W127,IF(AND($S127&lt;&gt;"",EDATE($D127,Milestones!$AA$173)&gt;=$S127),$V127,$U127)))=Milestones!$AB$173),UPPER(TEXT(EDATE($D127,Milestones!$AA$173),"dd mmm yy"))&amp;" "&amp;Milestones!$AB$173&amp;" "&amp;Milestones!$AC$173&amp;";  ","")&amp;IF(AND(EDATE($D127,Milestones!$AA$174)&lt;=AsOfDate,IF($R127=0,$X127,IF(AND($T127&lt;&gt;"",EDATE($D127,Milestones!$AA$174)&gt;=$T127),$W127,IF(AND($S127&lt;&gt;"",EDATE($D127,Milestones!$AA$174)&gt;=$S127),$V127,$U127)))=Milestones!$AB$174),UPPER(TEXT(EDATE($D127,Milestones!$AA$174),"dd mmm yy"))&amp;" "&amp;Milestones!$AB$174&amp;" "&amp;Milestones!$AC$174&amp;";  ","")&amp;IF(AND(EDATE($D127,Milestones!$AA$175)&lt;=AsOfDate,IF($R127=0,$X127,IF(AND($T127&lt;&gt;"",EDATE($D127,Milestones!$AA$175)&gt;=$T127),$W127,IF(AND($S127&lt;&gt;"",EDATE($D127,Milestones!$AA$175)&gt;=$S127),$V127,$U127)))=Milestones!$AB$175),UPPER(TEXT(EDATE($D127,Milestones!$AA$175),"dd mmm yy"))&amp;" "&amp;Milestones!$AB$175&amp;" "&amp;Milestones!$AC$175&amp;";  ","")&amp;IF(AND(EDATE($D127,Milestones!$AA$176)&lt;=AsOfDate,IF($R127=0,$X127,IF(AND($T127&lt;&gt;"",EDATE($D127,Milestones!$AA$176)&gt;=$T127),$W127,IF(AND($S127&lt;&gt;"",EDATE($D127,Milestones!$AA$176)&gt;=$S127),$V127,$U127)))=Milestones!$AB$176),UPPER(TEXT(EDATE($D127,Milestones!$AA$176),"dd mmm yy"))&amp;" "&amp;Milestones!$AB$176&amp;" "&amp;Milestones!$AC$176&amp;";  ","")&amp;IF(AND(EDATE($D127,Milestones!$AA$177)&lt;=AsOfDate,IF($R127=0,$X127,IF(AND($T127&lt;&gt;"",EDATE($D127,Milestones!$AA$177)&gt;=$T127),$W127,IF(AND($S127&lt;&gt;"",EDATE($D127,Milestones!$AA$177)&gt;=$S127),$V127,$U127)))=Milestones!$AB$177),UPPER(TEXT(EDATE($D127,Milestones!$AA$177),"dd mmm yy"))&amp;" "&amp;Milestones!$AB$177&amp;" "&amp;Milestones!$AC$177&amp;";  ","")&amp;IF(AND(EDATE($D127,Milestones!$AA$178)&lt;=AsOfDate,IF($R127=0,$X127,IF(AND($T127&lt;&gt;"",EDATE($D127,Milestones!$AA$178)&gt;=$T127),$W127,IF(AND($S127&lt;&gt;"",EDATE($D127,Milestones!$AA$178)&gt;=$S127),$V127,$U127)))=Milestones!$AB$178),UPPER(TEXT(EDATE($D127,Milestones!$AA$178),"dd mmm yy"))&amp;" "&amp;Milestones!$AB$178&amp;" "&amp;Milestones!$AC$178&amp;";  ","")&amp;IF(AND(EDATE($D127,Milestones!$AA$179)&lt;=AsOfDate,IF($R127=0,$X127,IF(AND($T127&lt;&gt;"",EDATE($D127,Milestones!$AA$179)&gt;=$T127),$W127,IF(AND($S127&lt;&gt;"",EDATE($D127,Milestones!$AA$179)&gt;=$S127),$V127,$U127)))=Milestones!$AB$179),UPPER(TEXT(EDATE($D127,Milestones!$AA$179),"dd mmm yy"))&amp;" "&amp;Milestones!$AB$179&amp;" "&amp;Milestones!$AC$179&amp;";  ",""))</f>
        <v/>
      </c>
      <c r="Q127" s="0" t="str">
        <f aca="false">IF(OR($A127="",$D127=""),"",IF(AND(EDATE($D127,Milestones!$AA$180)&lt;=AsOfDate,IF($R127=0,$X127,IF(AND($T127&lt;&gt;"",EDATE($D127,Milestones!$AA$180)&gt;=$T127),$W127,IF(AND($S127&lt;&gt;"",EDATE($D127,Milestones!$AA$180)&gt;=$S127),$V127,$U127)))=Milestones!$AB$180),UPPER(TEXT(EDATE($D127,Milestones!$AA$180),"dd mmm yy"))&amp;" "&amp;Milestones!$AB$180&amp;" "&amp;Milestones!$AC$180&amp;";  ","")&amp;IF(AND(EDATE($D127,Milestones!$AA$181)&lt;=AsOfDate,IF($R127=0,$X127,IF(AND($T127&lt;&gt;"",EDATE($D127,Milestones!$AA$181)&gt;=$T127),$W127,IF(AND($S127&lt;&gt;"",EDATE($D127,Milestones!$AA$181)&gt;=$S127),$V127,$U127)))=Milestones!$AB$181),UPPER(TEXT(EDATE($D127,Milestones!$AA$181),"dd mmm yy"))&amp;" "&amp;Milestones!$AB$181&amp;" "&amp;Milestones!$AC$181&amp;";  ","")&amp;IF(AND(EDATE($D127,Milestones!$AA$182)&lt;=AsOfDate,IF($R127=0,$X127,IF(AND($T127&lt;&gt;"",EDATE($D127,Milestones!$AA$182)&gt;=$T127),$W127,IF(AND($S127&lt;&gt;"",EDATE($D127,Milestones!$AA$182)&gt;=$S127),$V127,$U127)))=Milestones!$AB$182),UPPER(TEXT(EDATE($D127,Milestones!$AA$182),"dd mmm yy"))&amp;" "&amp;Milestones!$AB$182&amp;" "&amp;Milestones!$AC$182&amp;";  ","")&amp;IF(AND(EDATE($D127,Milestones!$AA$183)&lt;=AsOfDate,IF($R127=0,$X127,IF(AND($T127&lt;&gt;"",EDATE($D127,Milestones!$AA$183)&gt;=$T127),$W127,IF(AND($S127&lt;&gt;"",EDATE($D127,Milestones!$AA$183)&gt;=$S127),$V127,$U127)))=Milestones!$AB$183),UPPER(TEXT(EDATE($D127,Milestones!$AA$183),"dd mmm yy"))&amp;" "&amp;Milestones!$AB$183&amp;" "&amp;Milestones!$AC$183&amp;";  ","")&amp;IF(AND(EDATE($D127,Milestones!$AA$184)&lt;=AsOfDate,IF($R127=0,$X127,IF(AND($T127&lt;&gt;"",EDATE($D127,Milestones!$AA$184)&gt;=$T127),$W127,IF(AND($S127&lt;&gt;"",EDATE($D127,Milestones!$AA$184)&gt;=$S127),$V127,$U127)))=Milestones!$AB$184),UPPER(TEXT(EDATE($D127,Milestones!$AA$184),"dd mmm yy"))&amp;" "&amp;Milestones!$AB$184&amp;" "&amp;Milestones!$AC$184&amp;";  ","")&amp;IF(AND(EDATE($D127,Milestones!$AA$185)&lt;=AsOfDate,IF($R127=0,$X127,IF(AND($T127&lt;&gt;"",EDATE($D127,Milestones!$AA$185)&gt;=$T127),$W127,IF(AND($S127&lt;&gt;"",EDATE($D127,Milestones!$AA$185)&gt;=$S127),$V127,$U127)))=Milestones!$AB$185),UPPER(TEXT(EDATE($D127,Milestones!$AA$185),"dd mmm yy"))&amp;" "&amp;Milestones!$AB$185&amp;" "&amp;Milestones!$AC$185&amp;";  ","")&amp;IF(AND(EDATE($D127,Milestones!$AA$186)&lt;=AsOfDate,IF($R127=0,$X127,IF(AND($T127&lt;&gt;"",EDATE($D127,Milestones!$AA$186)&gt;=$T127),$W127,IF(AND($S127&lt;&gt;"",EDATE($D127,Milestones!$AA$186)&gt;=$S127),$V127,$U127)))=Milestones!$AB$186),UPPER(TEXT(EDATE($D127,Milestones!$AA$186),"dd mmm yy"))&amp;" "&amp;Milestones!$AB$186&amp;" "&amp;Milestones!$AC$186&amp;";  ","")&amp;IF(AND(EDATE($D127,Milestones!$AA$187)&lt;=AsOfDate,IF($R127=0,$X127,IF(AND($T127&lt;&gt;"",EDATE($D127,Milestones!$AA$187)&gt;=$T127),$W127,IF(AND($S127&lt;&gt;"",EDATE($D127,Milestones!$AA$187)&gt;=$S127),$V127,$U127)))=Milestones!$AB$187),UPPER(TEXT(EDATE($D127,Milestones!$AA$187),"dd mmm yy"))&amp;" "&amp;Milestones!$AB$187&amp;" "&amp;Milestones!$AC$187&amp;";  ","")&amp;IF(AND(EDATE($D127,Milestones!$AA$188)&lt;=AsOfDate,IF($R127=0,$X127,IF(AND($T127&lt;&gt;"",EDATE($D127,Milestones!$AA$188)&gt;=$T127),$W127,IF(AND($S127&lt;&gt;"",EDATE($D127,Milestones!$AA$188)&gt;=$S127),$V127,$U127)))=Milestones!$AB$188),UPPER(TEXT(EDATE($D127,Milestones!$AA$188),"dd mmm yy"))&amp;" "&amp;Milestones!$AB$188&amp;" "&amp;Milestones!$AC$188&amp;";  ","")&amp;IF(AND(EDATE($D127,Milestones!$AA$189)&lt;=AsOfDate,IF($R127=0,$X127,IF(AND($T127&lt;&gt;"",EDATE($D127,Milestones!$AA$189)&gt;=$T127),$W127,IF(AND($S127&lt;&gt;"",EDATE($D127,Milestones!$AA$189)&gt;=$S127),$V127,$U127)))=Milestones!$AB$189),UPPER(TEXT(EDATE($D127,Milestones!$AA$189),"dd mmm yy"))&amp;" "&amp;Milestones!$AB$189&amp;" "&amp;Milestones!$AC$189&amp;";  ","")&amp;IF(AND(EDATE($D127,Milestones!$AA$190)&lt;=AsOfDate,IF($R127=0,$X127,IF(AND($T127&lt;&gt;"",EDATE($D127,Milestones!$AA$190)&gt;=$T127),$W127,IF(AND($S127&lt;&gt;"",EDATE($D127,Milestones!$AA$190)&gt;=$S127),$V127,$U127)))=Milestones!$AB$190),UPPER(TEXT(EDATE($D127,Milestones!$AA$190),"dd mmm yy"))&amp;" "&amp;Milestones!$AB$190&amp;" "&amp;Milestones!$AC$190&amp;";  ","")&amp;IF(AND(EDATE($D127,Milestones!$AA$191)&lt;=AsOfDate,IF($R127=0,$X127,IF(AND($T127&lt;&gt;"",EDATE($D127,Milestones!$AA$191)&gt;=$T127),$W127,IF(AND($S127&lt;&gt;"",EDATE($D127,Milestones!$AA$191)&gt;=$S127),$V127,$U127)))=Milestones!$AB$191),UPPER(TEXT(EDATE($D127,Milestones!$AA$191),"dd mmm yy"))&amp;" "&amp;Milestones!$AB$191&amp;" "&amp;Milestones!$AC$191&amp;";  ","")&amp;IF(AND(EDATE($D127,Milestones!$AA$192)&lt;=AsOfDate,IF($R127=0,$X127,IF(AND($T127&lt;&gt;"",EDATE($D127,Milestones!$AA$192)&gt;=$T127),$W127,IF(AND($S127&lt;&gt;"",EDATE($D127,Milestones!$AA$192)&gt;=$S127),$V127,$U127)))=Milestones!$AB$192),UPPER(TEXT(EDATE($D127,Milestones!$AA$192),"dd mmm yy"))&amp;" "&amp;Milestones!$AB$192&amp;" "&amp;Milestones!$AC$192&amp;";  ","")&amp;IF(AND(EDATE($D127,Milestones!$AA$193)&lt;=AsOfDate,IF($R127=0,$X127,IF(AND($T127&lt;&gt;"",EDATE($D127,Milestones!$AA$193)&gt;=$T127),$W127,IF(AND($S127&lt;&gt;"",EDATE($D127,Milestones!$AA$193)&gt;=$S127),$V127,$U127)))=Milestones!$AB$193),UPPER(TEXT(EDATE($D127,Milestones!$AA$193),"dd mmm yy"))&amp;" "&amp;Milestones!$AB$193&amp;" "&amp;Milestones!$AC$193&amp;";  ","")&amp;IF(AND(EDATE($D127,Milestones!$AA$194)&lt;=AsOfDate,IF($R127=0,$X127,IF(AND($T127&lt;&gt;"",EDATE($D127,Milestones!$AA$194)&gt;=$T127),$W127,IF(AND($S127&lt;&gt;"",EDATE($D127,Milestones!$AA$194)&gt;=$S127),$V127,$U127)))=Milestones!$AB$194),UPPER(TEXT(EDATE($D127,Milestones!$AA$194),"dd mmm yy"))&amp;" "&amp;Milestones!$AB$194&amp;" "&amp;Milestones!$AC$194&amp;";  ","")&amp;IF(AND(EDATE($D127,Milestones!$AA$195)&lt;=AsOfDate,IF($R127=0,$X127,IF(AND($T127&lt;&gt;"",EDATE($D127,Milestones!$AA$195)&gt;=$T127),$W127,IF(AND($S127&lt;&gt;"",EDATE($D127,Milestones!$AA$195)&gt;=$S127),$V127,$U127)))=Milestones!$AB$195),UPPER(TEXT(EDATE($D127,Milestones!$AA$195),"dd mmm yy"))&amp;" "&amp;Milestones!$AB$195&amp;" "&amp;Milestones!$AC$195&amp;";  ","")&amp;IF(AND(EDATE($D127,Milestones!$AA$196)&lt;=AsOfDate,IF($R127=0,$X127,IF(AND($T127&lt;&gt;"",EDATE($D127,Milestones!$AA$196)&gt;=$T127),$W127,IF(AND($S127&lt;&gt;"",EDATE($D127,Milestones!$AA$196)&gt;=$S127),$V127,$U127)))=Milestones!$AB$196),UPPER(TEXT(EDATE($D127,Milestones!$AA$196),"dd mmm yy"))&amp;" "&amp;Milestones!$AB$196&amp;" "&amp;Milestones!$AC$196&amp;";  ","")&amp;IF(AND(EDATE($D127,Milestones!$AA$197)&lt;=AsOfDate,IF($R127=0,$X127,IF(AND($T127&lt;&gt;"",EDATE($D127,Milestones!$AA$197)&gt;=$T127),$W127,IF(AND($S127&lt;&gt;"",EDATE($D127,Milestones!$AA$197)&gt;=$S127),$V127,$U127)))=Milestones!$AB$197),UPPER(TEXT(EDATE($D127,Milestones!$AA$197),"dd mmm yy"))&amp;" "&amp;Milestones!$AB$197&amp;" "&amp;Milestones!$AC$197&amp;";  ","")&amp;IF(AND(EDATE($D127,Milestones!$AA$198)&lt;=AsOfDate,IF($R127=0,$X127,IF(AND($T127&lt;&gt;"",EDATE($D127,Milestones!$AA$198)&gt;=$T127),$W127,IF(AND($S127&lt;&gt;"",EDATE($D127,Milestones!$AA$198)&gt;=$S127),$V127,$U127)))=Milestones!$AB$198),UPPER(TEXT(EDATE($D127,Milestones!$AA$198),"dd mmm yy"))&amp;" "&amp;Milestones!$AB$198&amp;" "&amp;Milestones!$AC$198&amp;";  ","")&amp;IF(AND(EDATE($D127,Milestones!$AA$199)&lt;=AsOfDate,IF($R127=0,$X127,IF(AND($T127&lt;&gt;"",EDATE($D127,Milestones!$AA$199)&gt;=$T127),$W127,IF(AND($S127&lt;&gt;"",EDATE($D127,Milestones!$AA$199)&gt;=$S127),$V127,$U127)))=Milestones!$AB$199),UPPER(TEXT(EDATE($D127,Milestones!$AA$199),"dd mmm yy"))&amp;" "&amp;Milestones!$AB$199&amp;" "&amp;Milestones!$AC$199&amp;";  ",""))</f>
        <v/>
      </c>
      <c r="R127" s="0" t="str">
        <f aca="false">IF(Staff!$A127="","",Staff!$AI127)</f>
        <v/>
      </c>
      <c r="S127" s="0" t="str">
        <f aca="false">IF(Staff!$A127="","",Staff!$AK127)</f>
        <v/>
      </c>
      <c r="T127" s="0" t="str">
        <f aca="false">IF(Staff!$A127="","",Staff!$AL127)</f>
        <v/>
      </c>
      <c r="U127" s="0" t="str">
        <f aca="false">IF(Staff!$A127="","",Staff!$AP127)</f>
        <v/>
      </c>
      <c r="V127" s="0" t="str">
        <f aca="false">IF(Staff!$A127="","",Staff!$AQ127)</f>
        <v/>
      </c>
      <c r="W127" s="0" t="str">
        <f aca="false">IF(Staff!$A127="","",Staff!$AR127)</f>
        <v/>
      </c>
      <c r="X127" s="0" t="str">
        <f aca="false">IF(Staff!$A127="","",Staff!$AS127)</f>
        <v/>
      </c>
    </row>
    <row r="128" customFormat="false" ht="15" hidden="false" customHeight="false" outlineLevel="0" collapsed="false">
      <c r="A128" s="14" t="str">
        <f aca="false">IF(Staff!$A128="","",Staff!$A128)</f>
        <v/>
      </c>
      <c r="B128" s="14" t="str">
        <f aca="false">IF(Staff!$A128="","",Staff!$B128)</f>
        <v/>
      </c>
      <c r="C128" s="14" t="str">
        <f aca="false">IF(Staff!$A128="","",Staff!$C128)</f>
        <v/>
      </c>
      <c r="D128" s="12" t="str">
        <f aca="false">IF(Staff!$A128="","",Staff!$AH128)</f>
        <v/>
      </c>
      <c r="E128" s="14" t="str">
        <f aca="false">IF(Staff!$A128="","",Staff!$O128)</f>
        <v/>
      </c>
      <c r="F128" s="14" t="str">
        <f aca="false">IF(E128="","",E128*HoursPerDay)</f>
        <v/>
      </c>
      <c r="G128" s="14" t="str">
        <f aca="false">IF(Staff!$A128="","",Staff!$AE128)</f>
        <v/>
      </c>
      <c r="H128" s="26" t="str">
        <f aca="false">IF($A128="","",I128&amp;J128&amp;K128&amp;L128&amp;M128&amp;N128&amp;O128&amp;P128&amp;Q128)</f>
        <v/>
      </c>
      <c r="I128" s="0" t="str">
        <f aca="false">IF(OR($A128="",$D128=""),"",IF(AND(EDATE($D128,Milestones!$AA$20)&lt;=AsOfDate,IF($R128=0,$X128,IF(AND($T128&lt;&gt;"",EDATE($D128,Milestones!$AA$20)&gt;=$T128),$W128,IF(AND($S128&lt;&gt;"",EDATE($D128,Milestones!$AA$20)&gt;=$S128),$V128,$U128)))=Milestones!$AB$20),UPPER(TEXT(EDATE($D128,Milestones!$AA$20),"dd mmm yy"))&amp;" "&amp;Milestones!$AB$20&amp;" "&amp;Milestones!$AC$20&amp;";  ","")&amp;IF(AND(EDATE($D128,Milestones!$AA$21)&lt;=AsOfDate,IF($R128=0,$X128,IF(AND($T128&lt;&gt;"",EDATE($D128,Milestones!$AA$21)&gt;=$T128),$W128,IF(AND($S128&lt;&gt;"",EDATE($D128,Milestones!$AA$21)&gt;=$S128),$V128,$U128)))=Milestones!$AB$21),UPPER(TEXT(EDATE($D128,Milestones!$AA$21),"dd mmm yy"))&amp;" "&amp;Milestones!$AB$21&amp;" "&amp;Milestones!$AC$21&amp;";  ","")&amp;IF(AND(EDATE($D128,Milestones!$AA$22)&lt;=AsOfDate,IF($R128=0,$X128,IF(AND($T128&lt;&gt;"",EDATE($D128,Milestones!$AA$22)&gt;=$T128),$W128,IF(AND($S128&lt;&gt;"",EDATE($D128,Milestones!$AA$22)&gt;=$S128),$V128,$U128)))=Milestones!$AB$22),UPPER(TEXT(EDATE($D128,Milestones!$AA$22),"dd mmm yy"))&amp;" "&amp;Milestones!$AB$22&amp;" "&amp;Milestones!$AC$22&amp;";  ","")&amp;IF(AND(EDATE($D128,Milestones!$AA$23)&lt;=AsOfDate,IF($R128=0,$X128,IF(AND($T128&lt;&gt;"",EDATE($D128,Milestones!$AA$23)&gt;=$T128),$W128,IF(AND($S128&lt;&gt;"",EDATE($D128,Milestones!$AA$23)&gt;=$S128),$V128,$U128)))=Milestones!$AB$23),UPPER(TEXT(EDATE($D128,Milestones!$AA$23),"dd mmm yy"))&amp;" "&amp;Milestones!$AB$23&amp;" "&amp;Milestones!$AC$23&amp;";  ","")&amp;IF(AND(EDATE($D128,Milestones!$AA$24)&lt;=AsOfDate,IF($R128=0,$X128,IF(AND($T128&lt;&gt;"",EDATE($D128,Milestones!$AA$24)&gt;=$T128),$W128,IF(AND($S128&lt;&gt;"",EDATE($D128,Milestones!$AA$24)&gt;=$S128),$V128,$U128)))=Milestones!$AB$24),UPPER(TEXT(EDATE($D128,Milestones!$AA$24),"dd mmm yy"))&amp;" "&amp;Milestones!$AB$24&amp;" "&amp;Milestones!$AC$24&amp;";  ","")&amp;IF(AND(EDATE($D128,Milestones!$AA$25)&lt;=AsOfDate,IF($R128=0,$X128,IF(AND($T128&lt;&gt;"",EDATE($D128,Milestones!$AA$25)&gt;=$T128),$W128,IF(AND($S128&lt;&gt;"",EDATE($D128,Milestones!$AA$25)&gt;=$S128),$V128,$U128)))=Milestones!$AB$25),UPPER(TEXT(EDATE($D128,Milestones!$AA$25),"dd mmm yy"))&amp;" "&amp;Milestones!$AB$25&amp;" "&amp;Milestones!$AC$25&amp;";  ","")&amp;IF(AND(EDATE($D128,Milestones!$AA$26)&lt;=AsOfDate,IF($R128=0,$X128,IF(AND($T128&lt;&gt;"",EDATE($D128,Milestones!$AA$26)&gt;=$T128),$W128,IF(AND($S128&lt;&gt;"",EDATE($D128,Milestones!$AA$26)&gt;=$S128),$V128,$U128)))=Milestones!$AB$26),UPPER(TEXT(EDATE($D128,Milestones!$AA$26),"dd mmm yy"))&amp;" "&amp;Milestones!$AB$26&amp;" "&amp;Milestones!$AC$26&amp;";  ","")&amp;IF(AND(EDATE($D128,Milestones!$AA$27)&lt;=AsOfDate,IF($R128=0,$X128,IF(AND($T128&lt;&gt;"",EDATE($D128,Milestones!$AA$27)&gt;=$T128),$W128,IF(AND($S128&lt;&gt;"",EDATE($D128,Milestones!$AA$27)&gt;=$S128),$V128,$U128)))=Milestones!$AB$27),UPPER(TEXT(EDATE($D128,Milestones!$AA$27),"dd mmm yy"))&amp;" "&amp;Milestones!$AB$27&amp;" "&amp;Milestones!$AC$27&amp;";  ","")&amp;IF(AND(EDATE($D128,Milestones!$AA$28)&lt;=AsOfDate,IF($R128=0,$X128,IF(AND($T128&lt;&gt;"",EDATE($D128,Milestones!$AA$28)&gt;=$T128),$W128,IF(AND($S128&lt;&gt;"",EDATE($D128,Milestones!$AA$28)&gt;=$S128),$V128,$U128)))=Milestones!$AB$28),UPPER(TEXT(EDATE($D128,Milestones!$AA$28),"dd mmm yy"))&amp;" "&amp;Milestones!$AB$28&amp;" "&amp;Milestones!$AC$28&amp;";  ","")&amp;IF(AND(EDATE($D128,Milestones!$AA$29)&lt;=AsOfDate,IF($R128=0,$X128,IF(AND($T128&lt;&gt;"",EDATE($D128,Milestones!$AA$29)&gt;=$T128),$W128,IF(AND($S128&lt;&gt;"",EDATE($D128,Milestones!$AA$29)&gt;=$S128),$V128,$U128)))=Milestones!$AB$29),UPPER(TEXT(EDATE($D128,Milestones!$AA$29),"dd mmm yy"))&amp;" "&amp;Milestones!$AB$29&amp;" "&amp;Milestones!$AC$29&amp;";  ","")&amp;IF(AND(EDATE($D128,Milestones!$AA$30)&lt;=AsOfDate,IF($R128=0,$X128,IF(AND($T128&lt;&gt;"",EDATE($D128,Milestones!$AA$30)&gt;=$T128),$W128,IF(AND($S128&lt;&gt;"",EDATE($D128,Milestones!$AA$30)&gt;=$S128),$V128,$U128)))=Milestones!$AB$30),UPPER(TEXT(EDATE($D128,Milestones!$AA$30),"dd mmm yy"))&amp;" "&amp;Milestones!$AB$30&amp;" "&amp;Milestones!$AC$30&amp;";  ","")&amp;IF(AND(EDATE($D128,Milestones!$AA$31)&lt;=AsOfDate,IF($R128=0,$X128,IF(AND($T128&lt;&gt;"",EDATE($D128,Milestones!$AA$31)&gt;=$T128),$W128,IF(AND($S128&lt;&gt;"",EDATE($D128,Milestones!$AA$31)&gt;=$S128),$V128,$U128)))=Milestones!$AB$31),UPPER(TEXT(EDATE($D128,Milestones!$AA$31),"dd mmm yy"))&amp;" "&amp;Milestones!$AB$31&amp;" "&amp;Milestones!$AC$31&amp;";  ","")&amp;IF(AND(EDATE($D128,Milestones!$AA$32)&lt;=AsOfDate,IF($R128=0,$X128,IF(AND($T128&lt;&gt;"",EDATE($D128,Milestones!$AA$32)&gt;=$T128),$W128,IF(AND($S128&lt;&gt;"",EDATE($D128,Milestones!$AA$32)&gt;=$S128),$V128,$U128)))=Milestones!$AB$32),UPPER(TEXT(EDATE($D128,Milestones!$AA$32),"dd mmm yy"))&amp;" "&amp;Milestones!$AB$32&amp;" "&amp;Milestones!$AC$32&amp;";  ","")&amp;IF(AND(EDATE($D128,Milestones!$AA$33)&lt;=AsOfDate,IF($R128=0,$X128,IF(AND($T128&lt;&gt;"",EDATE($D128,Milestones!$AA$33)&gt;=$T128),$W128,IF(AND($S128&lt;&gt;"",EDATE($D128,Milestones!$AA$33)&gt;=$S128),$V128,$U128)))=Milestones!$AB$33),UPPER(TEXT(EDATE($D128,Milestones!$AA$33),"dd mmm yy"))&amp;" "&amp;Milestones!$AB$33&amp;" "&amp;Milestones!$AC$33&amp;";  ","")&amp;IF(AND(EDATE($D128,Milestones!$AA$34)&lt;=AsOfDate,IF($R128=0,$X128,IF(AND($T128&lt;&gt;"",EDATE($D128,Milestones!$AA$34)&gt;=$T128),$W128,IF(AND($S128&lt;&gt;"",EDATE($D128,Milestones!$AA$34)&gt;=$S128),$V128,$U128)))=Milestones!$AB$34),UPPER(TEXT(EDATE($D128,Milestones!$AA$34),"dd mmm yy"))&amp;" "&amp;Milestones!$AB$34&amp;" "&amp;Milestones!$AC$34&amp;";  ","")&amp;IF(AND(EDATE($D128,Milestones!$AA$35)&lt;=AsOfDate,IF($R128=0,$X128,IF(AND($T128&lt;&gt;"",EDATE($D128,Milestones!$AA$35)&gt;=$T128),$W128,IF(AND($S128&lt;&gt;"",EDATE($D128,Milestones!$AA$35)&gt;=$S128),$V128,$U128)))=Milestones!$AB$35),UPPER(TEXT(EDATE($D128,Milestones!$AA$35),"dd mmm yy"))&amp;" "&amp;Milestones!$AB$35&amp;" "&amp;Milestones!$AC$35&amp;";  ","")&amp;IF(AND(EDATE($D128,Milestones!$AA$36)&lt;=AsOfDate,IF($R128=0,$X128,IF(AND($T128&lt;&gt;"",EDATE($D128,Milestones!$AA$36)&gt;=$T128),$W128,IF(AND($S128&lt;&gt;"",EDATE($D128,Milestones!$AA$36)&gt;=$S128),$V128,$U128)))=Milestones!$AB$36),UPPER(TEXT(EDATE($D128,Milestones!$AA$36),"dd mmm yy"))&amp;" "&amp;Milestones!$AB$36&amp;" "&amp;Milestones!$AC$36&amp;";  ","")&amp;IF(AND(EDATE($D128,Milestones!$AA$37)&lt;=AsOfDate,IF($R128=0,$X128,IF(AND($T128&lt;&gt;"",EDATE($D128,Milestones!$AA$37)&gt;=$T128),$W128,IF(AND($S128&lt;&gt;"",EDATE($D128,Milestones!$AA$37)&gt;=$S128),$V128,$U128)))=Milestones!$AB$37),UPPER(TEXT(EDATE($D128,Milestones!$AA$37),"dd mmm yy"))&amp;" "&amp;Milestones!$AB$37&amp;" "&amp;Milestones!$AC$37&amp;";  ","")&amp;IF(AND(EDATE($D128,Milestones!$AA$38)&lt;=AsOfDate,IF($R128=0,$X128,IF(AND($T128&lt;&gt;"",EDATE($D128,Milestones!$AA$38)&gt;=$T128),$W128,IF(AND($S128&lt;&gt;"",EDATE($D128,Milestones!$AA$38)&gt;=$S128),$V128,$U128)))=Milestones!$AB$38),UPPER(TEXT(EDATE($D128,Milestones!$AA$38),"dd mmm yy"))&amp;" "&amp;Milestones!$AB$38&amp;" "&amp;Milestones!$AC$38&amp;";  ","")&amp;IF(AND(EDATE($D128,Milestones!$AA$39)&lt;=AsOfDate,IF($R128=0,$X128,IF(AND($T128&lt;&gt;"",EDATE($D128,Milestones!$AA$39)&gt;=$T128),$W128,IF(AND($S128&lt;&gt;"",EDATE($D128,Milestones!$AA$39)&gt;=$S128),$V128,$U128)))=Milestones!$AB$39),UPPER(TEXT(EDATE($D128,Milestones!$AA$39),"dd mmm yy"))&amp;" "&amp;Milestones!$AB$39&amp;" "&amp;Milestones!$AC$39&amp;";  ",""))</f>
        <v/>
      </c>
      <c r="J128" s="0" t="str">
        <f aca="false">IF(OR($A128="",$D128=""),"",IF(AND(EDATE($D128,Milestones!$AA$40)&lt;=AsOfDate,IF($R128=0,$X128,IF(AND($T128&lt;&gt;"",EDATE($D128,Milestones!$AA$40)&gt;=$T128),$W128,IF(AND($S128&lt;&gt;"",EDATE($D128,Milestones!$AA$40)&gt;=$S128),$V128,$U128)))=Milestones!$AB$40),UPPER(TEXT(EDATE($D128,Milestones!$AA$40),"dd mmm yy"))&amp;" "&amp;Milestones!$AB$40&amp;" "&amp;Milestones!$AC$40&amp;";  ","")&amp;IF(AND(EDATE($D128,Milestones!$AA$41)&lt;=AsOfDate,IF($R128=0,$X128,IF(AND($T128&lt;&gt;"",EDATE($D128,Milestones!$AA$41)&gt;=$T128),$W128,IF(AND($S128&lt;&gt;"",EDATE($D128,Milestones!$AA$41)&gt;=$S128),$V128,$U128)))=Milestones!$AB$41),UPPER(TEXT(EDATE($D128,Milestones!$AA$41),"dd mmm yy"))&amp;" "&amp;Milestones!$AB$41&amp;" "&amp;Milestones!$AC$41&amp;";  ","")&amp;IF(AND(EDATE($D128,Milestones!$AA$42)&lt;=AsOfDate,IF($R128=0,$X128,IF(AND($T128&lt;&gt;"",EDATE($D128,Milestones!$AA$42)&gt;=$T128),$W128,IF(AND($S128&lt;&gt;"",EDATE($D128,Milestones!$AA$42)&gt;=$S128),$V128,$U128)))=Milestones!$AB$42),UPPER(TEXT(EDATE($D128,Milestones!$AA$42),"dd mmm yy"))&amp;" "&amp;Milestones!$AB$42&amp;" "&amp;Milestones!$AC$42&amp;";  ","")&amp;IF(AND(EDATE($D128,Milestones!$AA$43)&lt;=AsOfDate,IF($R128=0,$X128,IF(AND($T128&lt;&gt;"",EDATE($D128,Milestones!$AA$43)&gt;=$T128),$W128,IF(AND($S128&lt;&gt;"",EDATE($D128,Milestones!$AA$43)&gt;=$S128),$V128,$U128)))=Milestones!$AB$43),UPPER(TEXT(EDATE($D128,Milestones!$AA$43),"dd mmm yy"))&amp;" "&amp;Milestones!$AB$43&amp;" "&amp;Milestones!$AC$43&amp;";  ","")&amp;IF(AND(EDATE($D128,Milestones!$AA$44)&lt;=AsOfDate,IF($R128=0,$X128,IF(AND($T128&lt;&gt;"",EDATE($D128,Milestones!$AA$44)&gt;=$T128),$W128,IF(AND($S128&lt;&gt;"",EDATE($D128,Milestones!$AA$44)&gt;=$S128),$V128,$U128)))=Milestones!$AB$44),UPPER(TEXT(EDATE($D128,Milestones!$AA$44),"dd mmm yy"))&amp;" "&amp;Milestones!$AB$44&amp;" "&amp;Milestones!$AC$44&amp;";  ","")&amp;IF(AND(EDATE($D128,Milestones!$AA$45)&lt;=AsOfDate,IF($R128=0,$X128,IF(AND($T128&lt;&gt;"",EDATE($D128,Milestones!$AA$45)&gt;=$T128),$W128,IF(AND($S128&lt;&gt;"",EDATE($D128,Milestones!$AA$45)&gt;=$S128),$V128,$U128)))=Milestones!$AB$45),UPPER(TEXT(EDATE($D128,Milestones!$AA$45),"dd mmm yy"))&amp;" "&amp;Milestones!$AB$45&amp;" "&amp;Milestones!$AC$45&amp;";  ","")&amp;IF(AND(EDATE($D128,Milestones!$AA$46)&lt;=AsOfDate,IF($R128=0,$X128,IF(AND($T128&lt;&gt;"",EDATE($D128,Milestones!$AA$46)&gt;=$T128),$W128,IF(AND($S128&lt;&gt;"",EDATE($D128,Milestones!$AA$46)&gt;=$S128),$V128,$U128)))=Milestones!$AB$46),UPPER(TEXT(EDATE($D128,Milestones!$AA$46),"dd mmm yy"))&amp;" "&amp;Milestones!$AB$46&amp;" "&amp;Milestones!$AC$46&amp;";  ","")&amp;IF(AND(EDATE($D128,Milestones!$AA$47)&lt;=AsOfDate,IF($R128=0,$X128,IF(AND($T128&lt;&gt;"",EDATE($D128,Milestones!$AA$47)&gt;=$T128),$W128,IF(AND($S128&lt;&gt;"",EDATE($D128,Milestones!$AA$47)&gt;=$S128),$V128,$U128)))=Milestones!$AB$47),UPPER(TEXT(EDATE($D128,Milestones!$AA$47),"dd mmm yy"))&amp;" "&amp;Milestones!$AB$47&amp;" "&amp;Milestones!$AC$47&amp;";  ","")&amp;IF(AND(EDATE($D128,Milestones!$AA$48)&lt;=AsOfDate,IF($R128=0,$X128,IF(AND($T128&lt;&gt;"",EDATE($D128,Milestones!$AA$48)&gt;=$T128),$W128,IF(AND($S128&lt;&gt;"",EDATE($D128,Milestones!$AA$48)&gt;=$S128),$V128,$U128)))=Milestones!$AB$48),UPPER(TEXT(EDATE($D128,Milestones!$AA$48),"dd mmm yy"))&amp;" "&amp;Milestones!$AB$48&amp;" "&amp;Milestones!$AC$48&amp;";  ","")&amp;IF(AND(EDATE($D128,Milestones!$AA$49)&lt;=AsOfDate,IF($R128=0,$X128,IF(AND($T128&lt;&gt;"",EDATE($D128,Milestones!$AA$49)&gt;=$T128),$W128,IF(AND($S128&lt;&gt;"",EDATE($D128,Milestones!$AA$49)&gt;=$S128),$V128,$U128)))=Milestones!$AB$49),UPPER(TEXT(EDATE($D128,Milestones!$AA$49),"dd mmm yy"))&amp;" "&amp;Milestones!$AB$49&amp;" "&amp;Milestones!$AC$49&amp;";  ","")&amp;IF(AND(EDATE($D128,Milestones!$AA$50)&lt;=AsOfDate,IF($R128=0,$X128,IF(AND($T128&lt;&gt;"",EDATE($D128,Milestones!$AA$50)&gt;=$T128),$W128,IF(AND($S128&lt;&gt;"",EDATE($D128,Milestones!$AA$50)&gt;=$S128),$V128,$U128)))=Milestones!$AB$50),UPPER(TEXT(EDATE($D128,Milestones!$AA$50),"dd mmm yy"))&amp;" "&amp;Milestones!$AB$50&amp;" "&amp;Milestones!$AC$50&amp;";  ","")&amp;IF(AND(EDATE($D128,Milestones!$AA$51)&lt;=AsOfDate,IF($R128=0,$X128,IF(AND($T128&lt;&gt;"",EDATE($D128,Milestones!$AA$51)&gt;=$T128),$W128,IF(AND($S128&lt;&gt;"",EDATE($D128,Milestones!$AA$51)&gt;=$S128),$V128,$U128)))=Milestones!$AB$51),UPPER(TEXT(EDATE($D128,Milestones!$AA$51),"dd mmm yy"))&amp;" "&amp;Milestones!$AB$51&amp;" "&amp;Milestones!$AC$51&amp;";  ","")&amp;IF(AND(EDATE($D128,Milestones!$AA$52)&lt;=AsOfDate,IF($R128=0,$X128,IF(AND($T128&lt;&gt;"",EDATE($D128,Milestones!$AA$52)&gt;=$T128),$W128,IF(AND($S128&lt;&gt;"",EDATE($D128,Milestones!$AA$52)&gt;=$S128),$V128,$U128)))=Milestones!$AB$52),UPPER(TEXT(EDATE($D128,Milestones!$AA$52),"dd mmm yy"))&amp;" "&amp;Milestones!$AB$52&amp;" "&amp;Milestones!$AC$52&amp;";  ","")&amp;IF(AND(EDATE($D128,Milestones!$AA$53)&lt;=AsOfDate,IF($R128=0,$X128,IF(AND($T128&lt;&gt;"",EDATE($D128,Milestones!$AA$53)&gt;=$T128),$W128,IF(AND($S128&lt;&gt;"",EDATE($D128,Milestones!$AA$53)&gt;=$S128),$V128,$U128)))=Milestones!$AB$53),UPPER(TEXT(EDATE($D128,Milestones!$AA$53),"dd mmm yy"))&amp;" "&amp;Milestones!$AB$53&amp;" "&amp;Milestones!$AC$53&amp;";  ","")&amp;IF(AND(EDATE($D128,Milestones!$AA$54)&lt;=AsOfDate,IF($R128=0,$X128,IF(AND($T128&lt;&gt;"",EDATE($D128,Milestones!$AA$54)&gt;=$T128),$W128,IF(AND($S128&lt;&gt;"",EDATE($D128,Milestones!$AA$54)&gt;=$S128),$V128,$U128)))=Milestones!$AB$54),UPPER(TEXT(EDATE($D128,Milestones!$AA$54),"dd mmm yy"))&amp;" "&amp;Milestones!$AB$54&amp;" "&amp;Milestones!$AC$54&amp;";  ","")&amp;IF(AND(EDATE($D128,Milestones!$AA$55)&lt;=AsOfDate,IF($R128=0,$X128,IF(AND($T128&lt;&gt;"",EDATE($D128,Milestones!$AA$55)&gt;=$T128),$W128,IF(AND($S128&lt;&gt;"",EDATE($D128,Milestones!$AA$55)&gt;=$S128),$V128,$U128)))=Milestones!$AB$55),UPPER(TEXT(EDATE($D128,Milestones!$AA$55),"dd mmm yy"))&amp;" "&amp;Milestones!$AB$55&amp;" "&amp;Milestones!$AC$55&amp;";  ","")&amp;IF(AND(EDATE($D128,Milestones!$AA$56)&lt;=AsOfDate,IF($R128=0,$X128,IF(AND($T128&lt;&gt;"",EDATE($D128,Milestones!$AA$56)&gt;=$T128),$W128,IF(AND($S128&lt;&gt;"",EDATE($D128,Milestones!$AA$56)&gt;=$S128),$V128,$U128)))=Milestones!$AB$56),UPPER(TEXT(EDATE($D128,Milestones!$AA$56),"dd mmm yy"))&amp;" "&amp;Milestones!$AB$56&amp;" "&amp;Milestones!$AC$56&amp;";  ","")&amp;IF(AND(EDATE($D128,Milestones!$AA$57)&lt;=AsOfDate,IF($R128=0,$X128,IF(AND($T128&lt;&gt;"",EDATE($D128,Milestones!$AA$57)&gt;=$T128),$W128,IF(AND($S128&lt;&gt;"",EDATE($D128,Milestones!$AA$57)&gt;=$S128),$V128,$U128)))=Milestones!$AB$57),UPPER(TEXT(EDATE($D128,Milestones!$AA$57),"dd mmm yy"))&amp;" "&amp;Milestones!$AB$57&amp;" "&amp;Milestones!$AC$57&amp;";  ","")&amp;IF(AND(EDATE($D128,Milestones!$AA$58)&lt;=AsOfDate,IF($R128=0,$X128,IF(AND($T128&lt;&gt;"",EDATE($D128,Milestones!$AA$58)&gt;=$T128),$W128,IF(AND($S128&lt;&gt;"",EDATE($D128,Milestones!$AA$58)&gt;=$S128),$V128,$U128)))=Milestones!$AB$58),UPPER(TEXT(EDATE($D128,Milestones!$AA$58),"dd mmm yy"))&amp;" "&amp;Milestones!$AB$58&amp;" "&amp;Milestones!$AC$58&amp;";  ","")&amp;IF(AND(EDATE($D128,Milestones!$AA$59)&lt;=AsOfDate,IF($R128=0,$X128,IF(AND($T128&lt;&gt;"",EDATE($D128,Milestones!$AA$59)&gt;=$T128),$W128,IF(AND($S128&lt;&gt;"",EDATE($D128,Milestones!$AA$59)&gt;=$S128),$V128,$U128)))=Milestones!$AB$59),UPPER(TEXT(EDATE($D128,Milestones!$AA$59),"dd mmm yy"))&amp;" "&amp;Milestones!$AB$59&amp;" "&amp;Milestones!$AC$59&amp;";  ",""))</f>
        <v/>
      </c>
      <c r="K128" s="0" t="str">
        <f aca="false">IF(OR($A128="",$D128=""),"",IF(AND(EDATE($D128,Milestones!$AA$60)&lt;=AsOfDate,IF($R128=0,$X128,IF(AND($T128&lt;&gt;"",EDATE($D128,Milestones!$AA$60)&gt;=$T128),$W128,IF(AND($S128&lt;&gt;"",EDATE($D128,Milestones!$AA$60)&gt;=$S128),$V128,$U128)))=Milestones!$AB$60),UPPER(TEXT(EDATE($D128,Milestones!$AA$60),"dd mmm yy"))&amp;" "&amp;Milestones!$AB$60&amp;" "&amp;Milestones!$AC$60&amp;";  ","")&amp;IF(AND(EDATE($D128,Milestones!$AA$61)&lt;=AsOfDate,IF($R128=0,$X128,IF(AND($T128&lt;&gt;"",EDATE($D128,Milestones!$AA$61)&gt;=$T128),$W128,IF(AND($S128&lt;&gt;"",EDATE($D128,Milestones!$AA$61)&gt;=$S128),$V128,$U128)))=Milestones!$AB$61),UPPER(TEXT(EDATE($D128,Milestones!$AA$61),"dd mmm yy"))&amp;" "&amp;Milestones!$AB$61&amp;" "&amp;Milestones!$AC$61&amp;";  ","")&amp;IF(AND(EDATE($D128,Milestones!$AA$62)&lt;=AsOfDate,IF($R128=0,$X128,IF(AND($T128&lt;&gt;"",EDATE($D128,Milestones!$AA$62)&gt;=$T128),$W128,IF(AND($S128&lt;&gt;"",EDATE($D128,Milestones!$AA$62)&gt;=$S128),$V128,$U128)))=Milestones!$AB$62),UPPER(TEXT(EDATE($D128,Milestones!$AA$62),"dd mmm yy"))&amp;" "&amp;Milestones!$AB$62&amp;" "&amp;Milestones!$AC$62&amp;";  ","")&amp;IF(AND(EDATE($D128,Milestones!$AA$63)&lt;=AsOfDate,IF($R128=0,$X128,IF(AND($T128&lt;&gt;"",EDATE($D128,Milestones!$AA$63)&gt;=$T128),$W128,IF(AND($S128&lt;&gt;"",EDATE($D128,Milestones!$AA$63)&gt;=$S128),$V128,$U128)))=Milestones!$AB$63),UPPER(TEXT(EDATE($D128,Milestones!$AA$63),"dd mmm yy"))&amp;" "&amp;Milestones!$AB$63&amp;" "&amp;Milestones!$AC$63&amp;";  ","")&amp;IF(AND(EDATE($D128,Milestones!$AA$64)&lt;=AsOfDate,IF($R128=0,$X128,IF(AND($T128&lt;&gt;"",EDATE($D128,Milestones!$AA$64)&gt;=$T128),$W128,IF(AND($S128&lt;&gt;"",EDATE($D128,Milestones!$AA$64)&gt;=$S128),$V128,$U128)))=Milestones!$AB$64),UPPER(TEXT(EDATE($D128,Milestones!$AA$64),"dd mmm yy"))&amp;" "&amp;Milestones!$AB$64&amp;" "&amp;Milestones!$AC$64&amp;";  ","")&amp;IF(AND(EDATE($D128,Milestones!$AA$65)&lt;=AsOfDate,IF($R128=0,$X128,IF(AND($T128&lt;&gt;"",EDATE($D128,Milestones!$AA$65)&gt;=$T128),$W128,IF(AND($S128&lt;&gt;"",EDATE($D128,Milestones!$AA$65)&gt;=$S128),$V128,$U128)))=Milestones!$AB$65),UPPER(TEXT(EDATE($D128,Milestones!$AA$65),"dd mmm yy"))&amp;" "&amp;Milestones!$AB$65&amp;" "&amp;Milestones!$AC$65&amp;";  ","")&amp;IF(AND(EDATE($D128,Milestones!$AA$66)&lt;=AsOfDate,IF($R128=0,$X128,IF(AND($T128&lt;&gt;"",EDATE($D128,Milestones!$AA$66)&gt;=$T128),$W128,IF(AND($S128&lt;&gt;"",EDATE($D128,Milestones!$AA$66)&gt;=$S128),$V128,$U128)))=Milestones!$AB$66),UPPER(TEXT(EDATE($D128,Milestones!$AA$66),"dd mmm yy"))&amp;" "&amp;Milestones!$AB$66&amp;" "&amp;Milestones!$AC$66&amp;";  ","")&amp;IF(AND(EDATE($D128,Milestones!$AA$67)&lt;=AsOfDate,IF($R128=0,$X128,IF(AND($T128&lt;&gt;"",EDATE($D128,Milestones!$AA$67)&gt;=$T128),$W128,IF(AND($S128&lt;&gt;"",EDATE($D128,Milestones!$AA$67)&gt;=$S128),$V128,$U128)))=Milestones!$AB$67),UPPER(TEXT(EDATE($D128,Milestones!$AA$67),"dd mmm yy"))&amp;" "&amp;Milestones!$AB$67&amp;" "&amp;Milestones!$AC$67&amp;";  ","")&amp;IF(AND(EDATE($D128,Milestones!$AA$68)&lt;=AsOfDate,IF($R128=0,$X128,IF(AND($T128&lt;&gt;"",EDATE($D128,Milestones!$AA$68)&gt;=$T128),$W128,IF(AND($S128&lt;&gt;"",EDATE($D128,Milestones!$AA$68)&gt;=$S128),$V128,$U128)))=Milestones!$AB$68),UPPER(TEXT(EDATE($D128,Milestones!$AA$68),"dd mmm yy"))&amp;" "&amp;Milestones!$AB$68&amp;" "&amp;Milestones!$AC$68&amp;";  ","")&amp;IF(AND(EDATE($D128,Milestones!$AA$69)&lt;=AsOfDate,IF($R128=0,$X128,IF(AND($T128&lt;&gt;"",EDATE($D128,Milestones!$AA$69)&gt;=$T128),$W128,IF(AND($S128&lt;&gt;"",EDATE($D128,Milestones!$AA$69)&gt;=$S128),$V128,$U128)))=Milestones!$AB$69),UPPER(TEXT(EDATE($D128,Milestones!$AA$69),"dd mmm yy"))&amp;" "&amp;Milestones!$AB$69&amp;" "&amp;Milestones!$AC$69&amp;";  ","")&amp;IF(AND(EDATE($D128,Milestones!$AA$70)&lt;=AsOfDate,IF($R128=0,$X128,IF(AND($T128&lt;&gt;"",EDATE($D128,Milestones!$AA$70)&gt;=$T128),$W128,IF(AND($S128&lt;&gt;"",EDATE($D128,Milestones!$AA$70)&gt;=$S128),$V128,$U128)))=Milestones!$AB$70),UPPER(TEXT(EDATE($D128,Milestones!$AA$70),"dd mmm yy"))&amp;" "&amp;Milestones!$AB$70&amp;" "&amp;Milestones!$AC$70&amp;";  ","")&amp;IF(AND(EDATE($D128,Milestones!$AA$71)&lt;=AsOfDate,IF($R128=0,$X128,IF(AND($T128&lt;&gt;"",EDATE($D128,Milestones!$AA$71)&gt;=$T128),$W128,IF(AND($S128&lt;&gt;"",EDATE($D128,Milestones!$AA$71)&gt;=$S128),$V128,$U128)))=Milestones!$AB$71),UPPER(TEXT(EDATE($D128,Milestones!$AA$71),"dd mmm yy"))&amp;" "&amp;Milestones!$AB$71&amp;" "&amp;Milestones!$AC$71&amp;";  ","")&amp;IF(AND(EDATE($D128,Milestones!$AA$72)&lt;=AsOfDate,IF($R128=0,$X128,IF(AND($T128&lt;&gt;"",EDATE($D128,Milestones!$AA$72)&gt;=$T128),$W128,IF(AND($S128&lt;&gt;"",EDATE($D128,Milestones!$AA$72)&gt;=$S128),$V128,$U128)))=Milestones!$AB$72),UPPER(TEXT(EDATE($D128,Milestones!$AA$72),"dd mmm yy"))&amp;" "&amp;Milestones!$AB$72&amp;" "&amp;Milestones!$AC$72&amp;";  ","")&amp;IF(AND(EDATE($D128,Milestones!$AA$73)&lt;=AsOfDate,IF($R128=0,$X128,IF(AND($T128&lt;&gt;"",EDATE($D128,Milestones!$AA$73)&gt;=$T128),$W128,IF(AND($S128&lt;&gt;"",EDATE($D128,Milestones!$AA$73)&gt;=$S128),$V128,$U128)))=Milestones!$AB$73),UPPER(TEXT(EDATE($D128,Milestones!$AA$73),"dd mmm yy"))&amp;" "&amp;Milestones!$AB$73&amp;" "&amp;Milestones!$AC$73&amp;";  ","")&amp;IF(AND(EDATE($D128,Milestones!$AA$74)&lt;=AsOfDate,IF($R128=0,$X128,IF(AND($T128&lt;&gt;"",EDATE($D128,Milestones!$AA$74)&gt;=$T128),$W128,IF(AND($S128&lt;&gt;"",EDATE($D128,Milestones!$AA$74)&gt;=$S128),$V128,$U128)))=Milestones!$AB$74),UPPER(TEXT(EDATE($D128,Milestones!$AA$74),"dd mmm yy"))&amp;" "&amp;Milestones!$AB$74&amp;" "&amp;Milestones!$AC$74&amp;";  ","")&amp;IF(AND(EDATE($D128,Milestones!$AA$75)&lt;=AsOfDate,IF($R128=0,$X128,IF(AND($T128&lt;&gt;"",EDATE($D128,Milestones!$AA$75)&gt;=$T128),$W128,IF(AND($S128&lt;&gt;"",EDATE($D128,Milestones!$AA$75)&gt;=$S128),$V128,$U128)))=Milestones!$AB$75),UPPER(TEXT(EDATE($D128,Milestones!$AA$75),"dd mmm yy"))&amp;" "&amp;Milestones!$AB$75&amp;" "&amp;Milestones!$AC$75&amp;";  ","")&amp;IF(AND(EDATE($D128,Milestones!$AA$76)&lt;=AsOfDate,IF($R128=0,$X128,IF(AND($T128&lt;&gt;"",EDATE($D128,Milestones!$AA$76)&gt;=$T128),$W128,IF(AND($S128&lt;&gt;"",EDATE($D128,Milestones!$AA$76)&gt;=$S128),$V128,$U128)))=Milestones!$AB$76),UPPER(TEXT(EDATE($D128,Milestones!$AA$76),"dd mmm yy"))&amp;" "&amp;Milestones!$AB$76&amp;" "&amp;Milestones!$AC$76&amp;";  ","")&amp;IF(AND(EDATE($D128,Milestones!$AA$77)&lt;=AsOfDate,IF($R128=0,$X128,IF(AND($T128&lt;&gt;"",EDATE($D128,Milestones!$AA$77)&gt;=$T128),$W128,IF(AND($S128&lt;&gt;"",EDATE($D128,Milestones!$AA$77)&gt;=$S128),$V128,$U128)))=Milestones!$AB$77),UPPER(TEXT(EDATE($D128,Milestones!$AA$77),"dd mmm yy"))&amp;" "&amp;Milestones!$AB$77&amp;" "&amp;Milestones!$AC$77&amp;";  ","")&amp;IF(AND(EDATE($D128,Milestones!$AA$78)&lt;=AsOfDate,IF($R128=0,$X128,IF(AND($T128&lt;&gt;"",EDATE($D128,Milestones!$AA$78)&gt;=$T128),$W128,IF(AND($S128&lt;&gt;"",EDATE($D128,Milestones!$AA$78)&gt;=$S128),$V128,$U128)))=Milestones!$AB$78),UPPER(TEXT(EDATE($D128,Milestones!$AA$78),"dd mmm yy"))&amp;" "&amp;Milestones!$AB$78&amp;" "&amp;Milestones!$AC$78&amp;";  ","")&amp;IF(AND(EDATE($D128,Milestones!$AA$79)&lt;=AsOfDate,IF($R128=0,$X128,IF(AND($T128&lt;&gt;"",EDATE($D128,Milestones!$AA$79)&gt;=$T128),$W128,IF(AND($S128&lt;&gt;"",EDATE($D128,Milestones!$AA$79)&gt;=$S128),$V128,$U128)))=Milestones!$AB$79),UPPER(TEXT(EDATE($D128,Milestones!$AA$79),"dd mmm yy"))&amp;" "&amp;Milestones!$AB$79&amp;" "&amp;Milestones!$AC$79&amp;";  ",""))</f>
        <v/>
      </c>
      <c r="L128" s="0" t="str">
        <f aca="false">IF(OR($A128="",$D128=""),"",IF(AND(EDATE($D128,Milestones!$AA$80)&lt;=AsOfDate,IF($R128=0,$X128,IF(AND($T128&lt;&gt;"",EDATE($D128,Milestones!$AA$80)&gt;=$T128),$W128,IF(AND($S128&lt;&gt;"",EDATE($D128,Milestones!$AA$80)&gt;=$S128),$V128,$U128)))=Milestones!$AB$80),UPPER(TEXT(EDATE($D128,Milestones!$AA$80),"dd mmm yy"))&amp;" "&amp;Milestones!$AB$80&amp;" "&amp;Milestones!$AC$80&amp;";  ","")&amp;IF(AND(EDATE($D128,Milestones!$AA$81)&lt;=AsOfDate,IF($R128=0,$X128,IF(AND($T128&lt;&gt;"",EDATE($D128,Milestones!$AA$81)&gt;=$T128),$W128,IF(AND($S128&lt;&gt;"",EDATE($D128,Milestones!$AA$81)&gt;=$S128),$V128,$U128)))=Milestones!$AB$81),UPPER(TEXT(EDATE($D128,Milestones!$AA$81),"dd mmm yy"))&amp;" "&amp;Milestones!$AB$81&amp;" "&amp;Milestones!$AC$81&amp;";  ","")&amp;IF(AND(EDATE($D128,Milestones!$AA$82)&lt;=AsOfDate,IF($R128=0,$X128,IF(AND($T128&lt;&gt;"",EDATE($D128,Milestones!$AA$82)&gt;=$T128),$W128,IF(AND($S128&lt;&gt;"",EDATE($D128,Milestones!$AA$82)&gt;=$S128),$V128,$U128)))=Milestones!$AB$82),UPPER(TEXT(EDATE($D128,Milestones!$AA$82),"dd mmm yy"))&amp;" "&amp;Milestones!$AB$82&amp;" "&amp;Milestones!$AC$82&amp;";  ","")&amp;IF(AND(EDATE($D128,Milestones!$AA$83)&lt;=AsOfDate,IF($R128=0,$X128,IF(AND($T128&lt;&gt;"",EDATE($D128,Milestones!$AA$83)&gt;=$T128),$W128,IF(AND($S128&lt;&gt;"",EDATE($D128,Milestones!$AA$83)&gt;=$S128),$V128,$U128)))=Milestones!$AB$83),UPPER(TEXT(EDATE($D128,Milestones!$AA$83),"dd mmm yy"))&amp;" "&amp;Milestones!$AB$83&amp;" "&amp;Milestones!$AC$83&amp;";  ","")&amp;IF(AND(EDATE($D128,Milestones!$AA$84)&lt;=AsOfDate,IF($R128=0,$X128,IF(AND($T128&lt;&gt;"",EDATE($D128,Milestones!$AA$84)&gt;=$T128),$W128,IF(AND($S128&lt;&gt;"",EDATE($D128,Milestones!$AA$84)&gt;=$S128),$V128,$U128)))=Milestones!$AB$84),UPPER(TEXT(EDATE($D128,Milestones!$AA$84),"dd mmm yy"))&amp;" "&amp;Milestones!$AB$84&amp;" "&amp;Milestones!$AC$84&amp;";  ","")&amp;IF(AND(EDATE($D128,Milestones!$AA$85)&lt;=AsOfDate,IF($R128=0,$X128,IF(AND($T128&lt;&gt;"",EDATE($D128,Milestones!$AA$85)&gt;=$T128),$W128,IF(AND($S128&lt;&gt;"",EDATE($D128,Milestones!$AA$85)&gt;=$S128),$V128,$U128)))=Milestones!$AB$85),UPPER(TEXT(EDATE($D128,Milestones!$AA$85),"dd mmm yy"))&amp;" "&amp;Milestones!$AB$85&amp;" "&amp;Milestones!$AC$85&amp;";  ","")&amp;IF(AND(EDATE($D128,Milestones!$AA$86)&lt;=AsOfDate,IF($R128=0,$X128,IF(AND($T128&lt;&gt;"",EDATE($D128,Milestones!$AA$86)&gt;=$T128),$W128,IF(AND($S128&lt;&gt;"",EDATE($D128,Milestones!$AA$86)&gt;=$S128),$V128,$U128)))=Milestones!$AB$86),UPPER(TEXT(EDATE($D128,Milestones!$AA$86),"dd mmm yy"))&amp;" "&amp;Milestones!$AB$86&amp;" "&amp;Milestones!$AC$86&amp;";  ","")&amp;IF(AND(EDATE($D128,Milestones!$AA$87)&lt;=AsOfDate,IF($R128=0,$X128,IF(AND($T128&lt;&gt;"",EDATE($D128,Milestones!$AA$87)&gt;=$T128),$W128,IF(AND($S128&lt;&gt;"",EDATE($D128,Milestones!$AA$87)&gt;=$S128),$V128,$U128)))=Milestones!$AB$87),UPPER(TEXT(EDATE($D128,Milestones!$AA$87),"dd mmm yy"))&amp;" "&amp;Milestones!$AB$87&amp;" "&amp;Milestones!$AC$87&amp;";  ","")&amp;IF(AND(EDATE($D128,Milestones!$AA$88)&lt;=AsOfDate,IF($R128=0,$X128,IF(AND($T128&lt;&gt;"",EDATE($D128,Milestones!$AA$88)&gt;=$T128),$W128,IF(AND($S128&lt;&gt;"",EDATE($D128,Milestones!$AA$88)&gt;=$S128),$V128,$U128)))=Milestones!$AB$88),UPPER(TEXT(EDATE($D128,Milestones!$AA$88),"dd mmm yy"))&amp;" "&amp;Milestones!$AB$88&amp;" "&amp;Milestones!$AC$88&amp;";  ","")&amp;IF(AND(EDATE($D128,Milestones!$AA$89)&lt;=AsOfDate,IF($R128=0,$X128,IF(AND($T128&lt;&gt;"",EDATE($D128,Milestones!$AA$89)&gt;=$T128),$W128,IF(AND($S128&lt;&gt;"",EDATE($D128,Milestones!$AA$89)&gt;=$S128),$V128,$U128)))=Milestones!$AB$89),UPPER(TEXT(EDATE($D128,Milestones!$AA$89),"dd mmm yy"))&amp;" "&amp;Milestones!$AB$89&amp;" "&amp;Milestones!$AC$89&amp;";  ","")&amp;IF(AND(EDATE($D128,Milestones!$AA$90)&lt;=AsOfDate,IF($R128=0,$X128,IF(AND($T128&lt;&gt;"",EDATE($D128,Milestones!$AA$90)&gt;=$T128),$W128,IF(AND($S128&lt;&gt;"",EDATE($D128,Milestones!$AA$90)&gt;=$S128),$V128,$U128)))=Milestones!$AB$90),UPPER(TEXT(EDATE($D128,Milestones!$AA$90),"dd mmm yy"))&amp;" "&amp;Milestones!$AB$90&amp;" "&amp;Milestones!$AC$90&amp;";  ","")&amp;IF(AND(EDATE($D128,Milestones!$AA$91)&lt;=AsOfDate,IF($R128=0,$X128,IF(AND($T128&lt;&gt;"",EDATE($D128,Milestones!$AA$91)&gt;=$T128),$W128,IF(AND($S128&lt;&gt;"",EDATE($D128,Milestones!$AA$91)&gt;=$S128),$V128,$U128)))=Milestones!$AB$91),UPPER(TEXT(EDATE($D128,Milestones!$AA$91),"dd mmm yy"))&amp;" "&amp;Milestones!$AB$91&amp;" "&amp;Milestones!$AC$91&amp;";  ","")&amp;IF(AND(EDATE($D128,Milestones!$AA$92)&lt;=AsOfDate,IF($R128=0,$X128,IF(AND($T128&lt;&gt;"",EDATE($D128,Milestones!$AA$92)&gt;=$T128),$W128,IF(AND($S128&lt;&gt;"",EDATE($D128,Milestones!$AA$92)&gt;=$S128),$V128,$U128)))=Milestones!$AB$92),UPPER(TEXT(EDATE($D128,Milestones!$AA$92),"dd mmm yy"))&amp;" "&amp;Milestones!$AB$92&amp;" "&amp;Milestones!$AC$92&amp;";  ","")&amp;IF(AND(EDATE($D128,Milestones!$AA$93)&lt;=AsOfDate,IF($R128=0,$X128,IF(AND($T128&lt;&gt;"",EDATE($D128,Milestones!$AA$93)&gt;=$T128),$W128,IF(AND($S128&lt;&gt;"",EDATE($D128,Milestones!$AA$93)&gt;=$S128),$V128,$U128)))=Milestones!$AB$93),UPPER(TEXT(EDATE($D128,Milestones!$AA$93),"dd mmm yy"))&amp;" "&amp;Milestones!$AB$93&amp;" "&amp;Milestones!$AC$93&amp;";  ","")&amp;IF(AND(EDATE($D128,Milestones!$AA$94)&lt;=AsOfDate,IF($R128=0,$X128,IF(AND($T128&lt;&gt;"",EDATE($D128,Milestones!$AA$94)&gt;=$T128),$W128,IF(AND($S128&lt;&gt;"",EDATE($D128,Milestones!$AA$94)&gt;=$S128),$V128,$U128)))=Milestones!$AB$94),UPPER(TEXT(EDATE($D128,Milestones!$AA$94),"dd mmm yy"))&amp;" "&amp;Milestones!$AB$94&amp;" "&amp;Milestones!$AC$94&amp;";  ","")&amp;IF(AND(EDATE($D128,Milestones!$AA$95)&lt;=AsOfDate,IF($R128=0,$X128,IF(AND($T128&lt;&gt;"",EDATE($D128,Milestones!$AA$95)&gt;=$T128),$W128,IF(AND($S128&lt;&gt;"",EDATE($D128,Milestones!$AA$95)&gt;=$S128),$V128,$U128)))=Milestones!$AB$95),UPPER(TEXT(EDATE($D128,Milestones!$AA$95),"dd mmm yy"))&amp;" "&amp;Milestones!$AB$95&amp;" "&amp;Milestones!$AC$95&amp;";  ","")&amp;IF(AND(EDATE($D128,Milestones!$AA$96)&lt;=AsOfDate,IF($R128=0,$X128,IF(AND($T128&lt;&gt;"",EDATE($D128,Milestones!$AA$96)&gt;=$T128),$W128,IF(AND($S128&lt;&gt;"",EDATE($D128,Milestones!$AA$96)&gt;=$S128),$V128,$U128)))=Milestones!$AB$96),UPPER(TEXT(EDATE($D128,Milestones!$AA$96),"dd mmm yy"))&amp;" "&amp;Milestones!$AB$96&amp;" "&amp;Milestones!$AC$96&amp;";  ","")&amp;IF(AND(EDATE($D128,Milestones!$AA$97)&lt;=AsOfDate,IF($R128=0,$X128,IF(AND($T128&lt;&gt;"",EDATE($D128,Milestones!$AA$97)&gt;=$T128),$W128,IF(AND($S128&lt;&gt;"",EDATE($D128,Milestones!$AA$97)&gt;=$S128),$V128,$U128)))=Milestones!$AB$97),UPPER(TEXT(EDATE($D128,Milestones!$AA$97),"dd mmm yy"))&amp;" "&amp;Milestones!$AB$97&amp;" "&amp;Milestones!$AC$97&amp;";  ","")&amp;IF(AND(EDATE($D128,Milestones!$AA$98)&lt;=AsOfDate,IF($R128=0,$X128,IF(AND($T128&lt;&gt;"",EDATE($D128,Milestones!$AA$98)&gt;=$T128),$W128,IF(AND($S128&lt;&gt;"",EDATE($D128,Milestones!$AA$98)&gt;=$S128),$V128,$U128)))=Milestones!$AB$98),UPPER(TEXT(EDATE($D128,Milestones!$AA$98),"dd mmm yy"))&amp;" "&amp;Milestones!$AB$98&amp;" "&amp;Milestones!$AC$98&amp;";  ","")&amp;IF(AND(EDATE($D128,Milestones!$AA$99)&lt;=AsOfDate,IF($R128=0,$X128,IF(AND($T128&lt;&gt;"",EDATE($D128,Milestones!$AA$99)&gt;=$T128),$W128,IF(AND($S128&lt;&gt;"",EDATE($D128,Milestones!$AA$99)&gt;=$S128),$V128,$U128)))=Milestones!$AB$99),UPPER(TEXT(EDATE($D128,Milestones!$AA$99),"dd mmm yy"))&amp;" "&amp;Milestones!$AB$99&amp;" "&amp;Milestones!$AC$99&amp;";  ",""))</f>
        <v/>
      </c>
      <c r="M128" s="0" t="str">
        <f aca="false">IF(OR($A128="",$D128=""),"",IF(AND(EDATE($D128,Milestones!$AA$100)&lt;=AsOfDate,IF($R128=0,$X128,IF(AND($T128&lt;&gt;"",EDATE($D128,Milestones!$AA$100)&gt;=$T128),$W128,IF(AND($S128&lt;&gt;"",EDATE($D128,Milestones!$AA$100)&gt;=$S128),$V128,$U128)))=Milestones!$AB$100),UPPER(TEXT(EDATE($D128,Milestones!$AA$100),"dd mmm yy"))&amp;" "&amp;Milestones!$AB$100&amp;" "&amp;Milestones!$AC$100&amp;";  ","")&amp;IF(AND(EDATE($D128,Milestones!$AA$101)&lt;=AsOfDate,IF($R128=0,$X128,IF(AND($T128&lt;&gt;"",EDATE($D128,Milestones!$AA$101)&gt;=$T128),$W128,IF(AND($S128&lt;&gt;"",EDATE($D128,Milestones!$AA$101)&gt;=$S128),$V128,$U128)))=Milestones!$AB$101),UPPER(TEXT(EDATE($D128,Milestones!$AA$101),"dd mmm yy"))&amp;" "&amp;Milestones!$AB$101&amp;" "&amp;Milestones!$AC$101&amp;";  ","")&amp;IF(AND(EDATE($D128,Milestones!$AA$102)&lt;=AsOfDate,IF($R128=0,$X128,IF(AND($T128&lt;&gt;"",EDATE($D128,Milestones!$AA$102)&gt;=$T128),$W128,IF(AND($S128&lt;&gt;"",EDATE($D128,Milestones!$AA$102)&gt;=$S128),$V128,$U128)))=Milestones!$AB$102),UPPER(TEXT(EDATE($D128,Milestones!$AA$102),"dd mmm yy"))&amp;" "&amp;Milestones!$AB$102&amp;" "&amp;Milestones!$AC$102&amp;";  ","")&amp;IF(AND(EDATE($D128,Milestones!$AA$103)&lt;=AsOfDate,IF($R128=0,$X128,IF(AND($T128&lt;&gt;"",EDATE($D128,Milestones!$AA$103)&gt;=$T128),$W128,IF(AND($S128&lt;&gt;"",EDATE($D128,Milestones!$AA$103)&gt;=$S128),$V128,$U128)))=Milestones!$AB$103),UPPER(TEXT(EDATE($D128,Milestones!$AA$103),"dd mmm yy"))&amp;" "&amp;Milestones!$AB$103&amp;" "&amp;Milestones!$AC$103&amp;";  ","")&amp;IF(AND(EDATE($D128,Milestones!$AA$104)&lt;=AsOfDate,IF($R128=0,$X128,IF(AND($T128&lt;&gt;"",EDATE($D128,Milestones!$AA$104)&gt;=$T128),$W128,IF(AND($S128&lt;&gt;"",EDATE($D128,Milestones!$AA$104)&gt;=$S128),$V128,$U128)))=Milestones!$AB$104),UPPER(TEXT(EDATE($D128,Milestones!$AA$104),"dd mmm yy"))&amp;" "&amp;Milestones!$AB$104&amp;" "&amp;Milestones!$AC$104&amp;";  ","")&amp;IF(AND(EDATE($D128,Milestones!$AA$105)&lt;=AsOfDate,IF($R128=0,$X128,IF(AND($T128&lt;&gt;"",EDATE($D128,Milestones!$AA$105)&gt;=$T128),$W128,IF(AND($S128&lt;&gt;"",EDATE($D128,Milestones!$AA$105)&gt;=$S128),$V128,$U128)))=Milestones!$AB$105),UPPER(TEXT(EDATE($D128,Milestones!$AA$105),"dd mmm yy"))&amp;" "&amp;Milestones!$AB$105&amp;" "&amp;Milestones!$AC$105&amp;";  ","")&amp;IF(AND(EDATE($D128,Milestones!$AA$106)&lt;=AsOfDate,IF($R128=0,$X128,IF(AND($T128&lt;&gt;"",EDATE($D128,Milestones!$AA$106)&gt;=$T128),$W128,IF(AND($S128&lt;&gt;"",EDATE($D128,Milestones!$AA$106)&gt;=$S128),$V128,$U128)))=Milestones!$AB$106),UPPER(TEXT(EDATE($D128,Milestones!$AA$106),"dd mmm yy"))&amp;" "&amp;Milestones!$AB$106&amp;" "&amp;Milestones!$AC$106&amp;";  ","")&amp;IF(AND(EDATE($D128,Milestones!$AA$107)&lt;=AsOfDate,IF($R128=0,$X128,IF(AND($T128&lt;&gt;"",EDATE($D128,Milestones!$AA$107)&gt;=$T128),$W128,IF(AND($S128&lt;&gt;"",EDATE($D128,Milestones!$AA$107)&gt;=$S128),$V128,$U128)))=Milestones!$AB$107),UPPER(TEXT(EDATE($D128,Milestones!$AA$107),"dd mmm yy"))&amp;" "&amp;Milestones!$AB$107&amp;" "&amp;Milestones!$AC$107&amp;";  ","")&amp;IF(AND(EDATE($D128,Milestones!$AA$108)&lt;=AsOfDate,IF($R128=0,$X128,IF(AND($T128&lt;&gt;"",EDATE($D128,Milestones!$AA$108)&gt;=$T128),$W128,IF(AND($S128&lt;&gt;"",EDATE($D128,Milestones!$AA$108)&gt;=$S128),$V128,$U128)))=Milestones!$AB$108),UPPER(TEXT(EDATE($D128,Milestones!$AA$108),"dd mmm yy"))&amp;" "&amp;Milestones!$AB$108&amp;" "&amp;Milestones!$AC$108&amp;";  ","")&amp;IF(AND(EDATE($D128,Milestones!$AA$109)&lt;=AsOfDate,IF($R128=0,$X128,IF(AND($T128&lt;&gt;"",EDATE($D128,Milestones!$AA$109)&gt;=$T128),$W128,IF(AND($S128&lt;&gt;"",EDATE($D128,Milestones!$AA$109)&gt;=$S128),$V128,$U128)))=Milestones!$AB$109),UPPER(TEXT(EDATE($D128,Milestones!$AA$109),"dd mmm yy"))&amp;" "&amp;Milestones!$AB$109&amp;" "&amp;Milestones!$AC$109&amp;";  ","")&amp;IF(AND(EDATE($D128,Milestones!$AA$110)&lt;=AsOfDate,IF($R128=0,$X128,IF(AND($T128&lt;&gt;"",EDATE($D128,Milestones!$AA$110)&gt;=$T128),$W128,IF(AND($S128&lt;&gt;"",EDATE($D128,Milestones!$AA$110)&gt;=$S128),$V128,$U128)))=Milestones!$AB$110),UPPER(TEXT(EDATE($D128,Milestones!$AA$110),"dd mmm yy"))&amp;" "&amp;Milestones!$AB$110&amp;" "&amp;Milestones!$AC$110&amp;";  ","")&amp;IF(AND(EDATE($D128,Milestones!$AA$111)&lt;=AsOfDate,IF($R128=0,$X128,IF(AND($T128&lt;&gt;"",EDATE($D128,Milestones!$AA$111)&gt;=$T128),$W128,IF(AND($S128&lt;&gt;"",EDATE($D128,Milestones!$AA$111)&gt;=$S128),$V128,$U128)))=Milestones!$AB$111),UPPER(TEXT(EDATE($D128,Milestones!$AA$111),"dd mmm yy"))&amp;" "&amp;Milestones!$AB$111&amp;" "&amp;Milestones!$AC$111&amp;";  ","")&amp;IF(AND(EDATE($D128,Milestones!$AA$112)&lt;=AsOfDate,IF($R128=0,$X128,IF(AND($T128&lt;&gt;"",EDATE($D128,Milestones!$AA$112)&gt;=$T128),$W128,IF(AND($S128&lt;&gt;"",EDATE($D128,Milestones!$AA$112)&gt;=$S128),$V128,$U128)))=Milestones!$AB$112),UPPER(TEXT(EDATE($D128,Milestones!$AA$112),"dd mmm yy"))&amp;" "&amp;Milestones!$AB$112&amp;" "&amp;Milestones!$AC$112&amp;";  ","")&amp;IF(AND(EDATE($D128,Milestones!$AA$113)&lt;=AsOfDate,IF($R128=0,$X128,IF(AND($T128&lt;&gt;"",EDATE($D128,Milestones!$AA$113)&gt;=$T128),$W128,IF(AND($S128&lt;&gt;"",EDATE($D128,Milestones!$AA$113)&gt;=$S128),$V128,$U128)))=Milestones!$AB$113),UPPER(TEXT(EDATE($D128,Milestones!$AA$113),"dd mmm yy"))&amp;" "&amp;Milestones!$AB$113&amp;" "&amp;Milestones!$AC$113&amp;";  ","")&amp;IF(AND(EDATE($D128,Milestones!$AA$114)&lt;=AsOfDate,IF($R128=0,$X128,IF(AND($T128&lt;&gt;"",EDATE($D128,Milestones!$AA$114)&gt;=$T128),$W128,IF(AND($S128&lt;&gt;"",EDATE($D128,Milestones!$AA$114)&gt;=$S128),$V128,$U128)))=Milestones!$AB$114),UPPER(TEXT(EDATE($D128,Milestones!$AA$114),"dd mmm yy"))&amp;" "&amp;Milestones!$AB$114&amp;" "&amp;Milestones!$AC$114&amp;";  ","")&amp;IF(AND(EDATE($D128,Milestones!$AA$115)&lt;=AsOfDate,IF($R128=0,$X128,IF(AND($T128&lt;&gt;"",EDATE($D128,Milestones!$AA$115)&gt;=$T128),$W128,IF(AND($S128&lt;&gt;"",EDATE($D128,Milestones!$AA$115)&gt;=$S128),$V128,$U128)))=Milestones!$AB$115),UPPER(TEXT(EDATE($D128,Milestones!$AA$115),"dd mmm yy"))&amp;" "&amp;Milestones!$AB$115&amp;" "&amp;Milestones!$AC$115&amp;";  ","")&amp;IF(AND(EDATE($D128,Milestones!$AA$116)&lt;=AsOfDate,IF($R128=0,$X128,IF(AND($T128&lt;&gt;"",EDATE($D128,Milestones!$AA$116)&gt;=$T128),$W128,IF(AND($S128&lt;&gt;"",EDATE($D128,Milestones!$AA$116)&gt;=$S128),$V128,$U128)))=Milestones!$AB$116),UPPER(TEXT(EDATE($D128,Milestones!$AA$116),"dd mmm yy"))&amp;" "&amp;Milestones!$AB$116&amp;" "&amp;Milestones!$AC$116&amp;";  ","")&amp;IF(AND(EDATE($D128,Milestones!$AA$117)&lt;=AsOfDate,IF($R128=0,$X128,IF(AND($T128&lt;&gt;"",EDATE($D128,Milestones!$AA$117)&gt;=$T128),$W128,IF(AND($S128&lt;&gt;"",EDATE($D128,Milestones!$AA$117)&gt;=$S128),$V128,$U128)))=Milestones!$AB$117),UPPER(TEXT(EDATE($D128,Milestones!$AA$117),"dd mmm yy"))&amp;" "&amp;Milestones!$AB$117&amp;" "&amp;Milestones!$AC$117&amp;";  ","")&amp;IF(AND(EDATE($D128,Milestones!$AA$118)&lt;=AsOfDate,IF($R128=0,$X128,IF(AND($T128&lt;&gt;"",EDATE($D128,Milestones!$AA$118)&gt;=$T128),$W128,IF(AND($S128&lt;&gt;"",EDATE($D128,Milestones!$AA$118)&gt;=$S128),$V128,$U128)))=Milestones!$AB$118),UPPER(TEXT(EDATE($D128,Milestones!$AA$118),"dd mmm yy"))&amp;" "&amp;Milestones!$AB$118&amp;" "&amp;Milestones!$AC$118&amp;";  ","")&amp;IF(AND(EDATE($D128,Milestones!$AA$119)&lt;=AsOfDate,IF($R128=0,$X128,IF(AND($T128&lt;&gt;"",EDATE($D128,Milestones!$AA$119)&gt;=$T128),$W128,IF(AND($S128&lt;&gt;"",EDATE($D128,Milestones!$AA$119)&gt;=$S128),$V128,$U128)))=Milestones!$AB$119),UPPER(TEXT(EDATE($D128,Milestones!$AA$119),"dd mmm yy"))&amp;" "&amp;Milestones!$AB$119&amp;" "&amp;Milestones!$AC$119&amp;";  ",""))</f>
        <v/>
      </c>
      <c r="N128" s="0" t="str">
        <f aca="false">IF(OR($A128="",$D128=""),"",IF(AND(EDATE($D128,Milestones!$AA$120)&lt;=AsOfDate,IF($R128=0,$X128,IF(AND($T128&lt;&gt;"",EDATE($D128,Milestones!$AA$120)&gt;=$T128),$W128,IF(AND($S128&lt;&gt;"",EDATE($D128,Milestones!$AA$120)&gt;=$S128),$V128,$U128)))=Milestones!$AB$120),UPPER(TEXT(EDATE($D128,Milestones!$AA$120),"dd mmm yy"))&amp;" "&amp;Milestones!$AB$120&amp;" "&amp;Milestones!$AC$120&amp;";  ","")&amp;IF(AND(EDATE($D128,Milestones!$AA$121)&lt;=AsOfDate,IF($R128=0,$X128,IF(AND($T128&lt;&gt;"",EDATE($D128,Milestones!$AA$121)&gt;=$T128),$W128,IF(AND($S128&lt;&gt;"",EDATE($D128,Milestones!$AA$121)&gt;=$S128),$V128,$U128)))=Milestones!$AB$121),UPPER(TEXT(EDATE($D128,Milestones!$AA$121),"dd mmm yy"))&amp;" "&amp;Milestones!$AB$121&amp;" "&amp;Milestones!$AC$121&amp;";  ","")&amp;IF(AND(EDATE($D128,Milestones!$AA$122)&lt;=AsOfDate,IF($R128=0,$X128,IF(AND($T128&lt;&gt;"",EDATE($D128,Milestones!$AA$122)&gt;=$T128),$W128,IF(AND($S128&lt;&gt;"",EDATE($D128,Milestones!$AA$122)&gt;=$S128),$V128,$U128)))=Milestones!$AB$122),UPPER(TEXT(EDATE($D128,Milestones!$AA$122),"dd mmm yy"))&amp;" "&amp;Milestones!$AB$122&amp;" "&amp;Milestones!$AC$122&amp;";  ","")&amp;IF(AND(EDATE($D128,Milestones!$AA$123)&lt;=AsOfDate,IF($R128=0,$X128,IF(AND($T128&lt;&gt;"",EDATE($D128,Milestones!$AA$123)&gt;=$T128),$W128,IF(AND($S128&lt;&gt;"",EDATE($D128,Milestones!$AA$123)&gt;=$S128),$V128,$U128)))=Milestones!$AB$123),UPPER(TEXT(EDATE($D128,Milestones!$AA$123),"dd mmm yy"))&amp;" "&amp;Milestones!$AB$123&amp;" "&amp;Milestones!$AC$123&amp;";  ","")&amp;IF(AND(EDATE($D128,Milestones!$AA$124)&lt;=AsOfDate,IF($R128=0,$X128,IF(AND($T128&lt;&gt;"",EDATE($D128,Milestones!$AA$124)&gt;=$T128),$W128,IF(AND($S128&lt;&gt;"",EDATE($D128,Milestones!$AA$124)&gt;=$S128),$V128,$U128)))=Milestones!$AB$124),UPPER(TEXT(EDATE($D128,Milestones!$AA$124),"dd mmm yy"))&amp;" "&amp;Milestones!$AB$124&amp;" "&amp;Milestones!$AC$124&amp;";  ","")&amp;IF(AND(EDATE($D128,Milestones!$AA$125)&lt;=AsOfDate,IF($R128=0,$X128,IF(AND($T128&lt;&gt;"",EDATE($D128,Milestones!$AA$125)&gt;=$T128),$W128,IF(AND($S128&lt;&gt;"",EDATE($D128,Milestones!$AA$125)&gt;=$S128),$V128,$U128)))=Milestones!$AB$125),UPPER(TEXT(EDATE($D128,Milestones!$AA$125),"dd mmm yy"))&amp;" "&amp;Milestones!$AB$125&amp;" "&amp;Milestones!$AC$125&amp;";  ","")&amp;IF(AND(EDATE($D128,Milestones!$AA$126)&lt;=AsOfDate,IF($R128=0,$X128,IF(AND($T128&lt;&gt;"",EDATE($D128,Milestones!$AA$126)&gt;=$T128),$W128,IF(AND($S128&lt;&gt;"",EDATE($D128,Milestones!$AA$126)&gt;=$S128),$V128,$U128)))=Milestones!$AB$126),UPPER(TEXT(EDATE($D128,Milestones!$AA$126),"dd mmm yy"))&amp;" "&amp;Milestones!$AB$126&amp;" "&amp;Milestones!$AC$126&amp;";  ","")&amp;IF(AND(EDATE($D128,Milestones!$AA$127)&lt;=AsOfDate,IF($R128=0,$X128,IF(AND($T128&lt;&gt;"",EDATE($D128,Milestones!$AA$127)&gt;=$T128),$W128,IF(AND($S128&lt;&gt;"",EDATE($D128,Milestones!$AA$127)&gt;=$S128),$V128,$U128)))=Milestones!$AB$127),UPPER(TEXT(EDATE($D128,Milestones!$AA$127),"dd mmm yy"))&amp;" "&amp;Milestones!$AB$127&amp;" "&amp;Milestones!$AC$127&amp;";  ","")&amp;IF(AND(EDATE($D128,Milestones!$AA$128)&lt;=AsOfDate,IF($R128=0,$X128,IF(AND($T128&lt;&gt;"",EDATE($D128,Milestones!$AA$128)&gt;=$T128),$W128,IF(AND($S128&lt;&gt;"",EDATE($D128,Milestones!$AA$128)&gt;=$S128),$V128,$U128)))=Milestones!$AB$128),UPPER(TEXT(EDATE($D128,Milestones!$AA$128),"dd mmm yy"))&amp;" "&amp;Milestones!$AB$128&amp;" "&amp;Milestones!$AC$128&amp;";  ","")&amp;IF(AND(EDATE($D128,Milestones!$AA$129)&lt;=AsOfDate,IF($R128=0,$X128,IF(AND($T128&lt;&gt;"",EDATE($D128,Milestones!$AA$129)&gt;=$T128),$W128,IF(AND($S128&lt;&gt;"",EDATE($D128,Milestones!$AA$129)&gt;=$S128),$V128,$U128)))=Milestones!$AB$129),UPPER(TEXT(EDATE($D128,Milestones!$AA$129),"dd mmm yy"))&amp;" "&amp;Milestones!$AB$129&amp;" "&amp;Milestones!$AC$129&amp;";  ","")&amp;IF(AND(EDATE($D128,Milestones!$AA$130)&lt;=AsOfDate,IF($R128=0,$X128,IF(AND($T128&lt;&gt;"",EDATE($D128,Milestones!$AA$130)&gt;=$T128),$W128,IF(AND($S128&lt;&gt;"",EDATE($D128,Milestones!$AA$130)&gt;=$S128),$V128,$U128)))=Milestones!$AB$130),UPPER(TEXT(EDATE($D128,Milestones!$AA$130),"dd mmm yy"))&amp;" "&amp;Milestones!$AB$130&amp;" "&amp;Milestones!$AC$130&amp;";  ","")&amp;IF(AND(EDATE($D128,Milestones!$AA$131)&lt;=AsOfDate,IF($R128=0,$X128,IF(AND($T128&lt;&gt;"",EDATE($D128,Milestones!$AA$131)&gt;=$T128),$W128,IF(AND($S128&lt;&gt;"",EDATE($D128,Milestones!$AA$131)&gt;=$S128),$V128,$U128)))=Milestones!$AB$131),UPPER(TEXT(EDATE($D128,Milestones!$AA$131),"dd mmm yy"))&amp;" "&amp;Milestones!$AB$131&amp;" "&amp;Milestones!$AC$131&amp;";  ","")&amp;IF(AND(EDATE($D128,Milestones!$AA$132)&lt;=AsOfDate,IF($R128=0,$X128,IF(AND($T128&lt;&gt;"",EDATE($D128,Milestones!$AA$132)&gt;=$T128),$W128,IF(AND($S128&lt;&gt;"",EDATE($D128,Milestones!$AA$132)&gt;=$S128),$V128,$U128)))=Milestones!$AB$132),UPPER(TEXT(EDATE($D128,Milestones!$AA$132),"dd mmm yy"))&amp;" "&amp;Milestones!$AB$132&amp;" "&amp;Milestones!$AC$132&amp;";  ","")&amp;IF(AND(EDATE($D128,Milestones!$AA$133)&lt;=AsOfDate,IF($R128=0,$X128,IF(AND($T128&lt;&gt;"",EDATE($D128,Milestones!$AA$133)&gt;=$T128),$W128,IF(AND($S128&lt;&gt;"",EDATE($D128,Milestones!$AA$133)&gt;=$S128),$V128,$U128)))=Milestones!$AB$133),UPPER(TEXT(EDATE($D128,Milestones!$AA$133),"dd mmm yy"))&amp;" "&amp;Milestones!$AB$133&amp;" "&amp;Milestones!$AC$133&amp;";  ","")&amp;IF(AND(EDATE($D128,Milestones!$AA$134)&lt;=AsOfDate,IF($R128=0,$X128,IF(AND($T128&lt;&gt;"",EDATE($D128,Milestones!$AA$134)&gt;=$T128),$W128,IF(AND($S128&lt;&gt;"",EDATE($D128,Milestones!$AA$134)&gt;=$S128),$V128,$U128)))=Milestones!$AB$134),UPPER(TEXT(EDATE($D128,Milestones!$AA$134),"dd mmm yy"))&amp;" "&amp;Milestones!$AB$134&amp;" "&amp;Milestones!$AC$134&amp;";  ","")&amp;IF(AND(EDATE($D128,Milestones!$AA$135)&lt;=AsOfDate,IF($R128=0,$X128,IF(AND($T128&lt;&gt;"",EDATE($D128,Milestones!$AA$135)&gt;=$T128),$W128,IF(AND($S128&lt;&gt;"",EDATE($D128,Milestones!$AA$135)&gt;=$S128),$V128,$U128)))=Milestones!$AB$135),UPPER(TEXT(EDATE($D128,Milestones!$AA$135),"dd mmm yy"))&amp;" "&amp;Milestones!$AB$135&amp;" "&amp;Milestones!$AC$135&amp;";  ","")&amp;IF(AND(EDATE($D128,Milestones!$AA$136)&lt;=AsOfDate,IF($R128=0,$X128,IF(AND($T128&lt;&gt;"",EDATE($D128,Milestones!$AA$136)&gt;=$T128),$W128,IF(AND($S128&lt;&gt;"",EDATE($D128,Milestones!$AA$136)&gt;=$S128),$V128,$U128)))=Milestones!$AB$136),UPPER(TEXT(EDATE($D128,Milestones!$AA$136),"dd mmm yy"))&amp;" "&amp;Milestones!$AB$136&amp;" "&amp;Milestones!$AC$136&amp;";  ","")&amp;IF(AND(EDATE($D128,Milestones!$AA$137)&lt;=AsOfDate,IF($R128=0,$X128,IF(AND($T128&lt;&gt;"",EDATE($D128,Milestones!$AA$137)&gt;=$T128),$W128,IF(AND($S128&lt;&gt;"",EDATE($D128,Milestones!$AA$137)&gt;=$S128),$V128,$U128)))=Milestones!$AB$137),UPPER(TEXT(EDATE($D128,Milestones!$AA$137),"dd mmm yy"))&amp;" "&amp;Milestones!$AB$137&amp;" "&amp;Milestones!$AC$137&amp;";  ","")&amp;IF(AND(EDATE($D128,Milestones!$AA$138)&lt;=AsOfDate,IF($R128=0,$X128,IF(AND($T128&lt;&gt;"",EDATE($D128,Milestones!$AA$138)&gt;=$T128),$W128,IF(AND($S128&lt;&gt;"",EDATE($D128,Milestones!$AA$138)&gt;=$S128),$V128,$U128)))=Milestones!$AB$138),UPPER(TEXT(EDATE($D128,Milestones!$AA$138),"dd mmm yy"))&amp;" "&amp;Milestones!$AB$138&amp;" "&amp;Milestones!$AC$138&amp;";  ","")&amp;IF(AND(EDATE($D128,Milestones!$AA$139)&lt;=AsOfDate,IF($R128=0,$X128,IF(AND($T128&lt;&gt;"",EDATE($D128,Milestones!$AA$139)&gt;=$T128),$W128,IF(AND($S128&lt;&gt;"",EDATE($D128,Milestones!$AA$139)&gt;=$S128),$V128,$U128)))=Milestones!$AB$139),UPPER(TEXT(EDATE($D128,Milestones!$AA$139),"dd mmm yy"))&amp;" "&amp;Milestones!$AB$139&amp;" "&amp;Milestones!$AC$139&amp;";  ",""))</f>
        <v/>
      </c>
      <c r="O128" s="0" t="str">
        <f aca="false">IF(OR($A128="",$D128=""),"",IF(AND(EDATE($D128,Milestones!$AA$140)&lt;=AsOfDate,IF($R128=0,$X128,IF(AND($T128&lt;&gt;"",EDATE($D128,Milestones!$AA$140)&gt;=$T128),$W128,IF(AND($S128&lt;&gt;"",EDATE($D128,Milestones!$AA$140)&gt;=$S128),$V128,$U128)))=Milestones!$AB$140),UPPER(TEXT(EDATE($D128,Milestones!$AA$140),"dd mmm yy"))&amp;" "&amp;Milestones!$AB$140&amp;" "&amp;Milestones!$AC$140&amp;";  ","")&amp;IF(AND(EDATE($D128,Milestones!$AA$141)&lt;=AsOfDate,IF($R128=0,$X128,IF(AND($T128&lt;&gt;"",EDATE($D128,Milestones!$AA$141)&gt;=$T128),$W128,IF(AND($S128&lt;&gt;"",EDATE($D128,Milestones!$AA$141)&gt;=$S128),$V128,$U128)))=Milestones!$AB$141),UPPER(TEXT(EDATE($D128,Milestones!$AA$141),"dd mmm yy"))&amp;" "&amp;Milestones!$AB$141&amp;" "&amp;Milestones!$AC$141&amp;";  ","")&amp;IF(AND(EDATE($D128,Milestones!$AA$142)&lt;=AsOfDate,IF($R128=0,$X128,IF(AND($T128&lt;&gt;"",EDATE($D128,Milestones!$AA$142)&gt;=$T128),$W128,IF(AND($S128&lt;&gt;"",EDATE($D128,Milestones!$AA$142)&gt;=$S128),$V128,$U128)))=Milestones!$AB$142),UPPER(TEXT(EDATE($D128,Milestones!$AA$142),"dd mmm yy"))&amp;" "&amp;Milestones!$AB$142&amp;" "&amp;Milestones!$AC$142&amp;";  ","")&amp;IF(AND(EDATE($D128,Milestones!$AA$143)&lt;=AsOfDate,IF($R128=0,$X128,IF(AND($T128&lt;&gt;"",EDATE($D128,Milestones!$AA$143)&gt;=$T128),$W128,IF(AND($S128&lt;&gt;"",EDATE($D128,Milestones!$AA$143)&gt;=$S128),$V128,$U128)))=Milestones!$AB$143),UPPER(TEXT(EDATE($D128,Milestones!$AA$143),"dd mmm yy"))&amp;" "&amp;Milestones!$AB$143&amp;" "&amp;Milestones!$AC$143&amp;";  ","")&amp;IF(AND(EDATE($D128,Milestones!$AA$144)&lt;=AsOfDate,IF($R128=0,$X128,IF(AND($T128&lt;&gt;"",EDATE($D128,Milestones!$AA$144)&gt;=$T128),$W128,IF(AND($S128&lt;&gt;"",EDATE($D128,Milestones!$AA$144)&gt;=$S128),$V128,$U128)))=Milestones!$AB$144),UPPER(TEXT(EDATE($D128,Milestones!$AA$144),"dd mmm yy"))&amp;" "&amp;Milestones!$AB$144&amp;" "&amp;Milestones!$AC$144&amp;";  ","")&amp;IF(AND(EDATE($D128,Milestones!$AA$145)&lt;=AsOfDate,IF($R128=0,$X128,IF(AND($T128&lt;&gt;"",EDATE($D128,Milestones!$AA$145)&gt;=$T128),$W128,IF(AND($S128&lt;&gt;"",EDATE($D128,Milestones!$AA$145)&gt;=$S128),$V128,$U128)))=Milestones!$AB$145),UPPER(TEXT(EDATE($D128,Milestones!$AA$145),"dd mmm yy"))&amp;" "&amp;Milestones!$AB$145&amp;" "&amp;Milestones!$AC$145&amp;";  ","")&amp;IF(AND(EDATE($D128,Milestones!$AA$146)&lt;=AsOfDate,IF($R128=0,$X128,IF(AND($T128&lt;&gt;"",EDATE($D128,Milestones!$AA$146)&gt;=$T128),$W128,IF(AND($S128&lt;&gt;"",EDATE($D128,Milestones!$AA$146)&gt;=$S128),$V128,$U128)))=Milestones!$AB$146),UPPER(TEXT(EDATE($D128,Milestones!$AA$146),"dd mmm yy"))&amp;" "&amp;Milestones!$AB$146&amp;" "&amp;Milestones!$AC$146&amp;";  ","")&amp;IF(AND(EDATE($D128,Milestones!$AA$147)&lt;=AsOfDate,IF($R128=0,$X128,IF(AND($T128&lt;&gt;"",EDATE($D128,Milestones!$AA$147)&gt;=$T128),$W128,IF(AND($S128&lt;&gt;"",EDATE($D128,Milestones!$AA$147)&gt;=$S128),$V128,$U128)))=Milestones!$AB$147),UPPER(TEXT(EDATE($D128,Milestones!$AA$147),"dd mmm yy"))&amp;" "&amp;Milestones!$AB$147&amp;" "&amp;Milestones!$AC$147&amp;";  ","")&amp;IF(AND(EDATE($D128,Milestones!$AA$148)&lt;=AsOfDate,IF($R128=0,$X128,IF(AND($T128&lt;&gt;"",EDATE($D128,Milestones!$AA$148)&gt;=$T128),$W128,IF(AND($S128&lt;&gt;"",EDATE($D128,Milestones!$AA$148)&gt;=$S128),$V128,$U128)))=Milestones!$AB$148),UPPER(TEXT(EDATE($D128,Milestones!$AA$148),"dd mmm yy"))&amp;" "&amp;Milestones!$AB$148&amp;" "&amp;Milestones!$AC$148&amp;";  ","")&amp;IF(AND(EDATE($D128,Milestones!$AA$149)&lt;=AsOfDate,IF($R128=0,$X128,IF(AND($T128&lt;&gt;"",EDATE($D128,Milestones!$AA$149)&gt;=$T128),$W128,IF(AND($S128&lt;&gt;"",EDATE($D128,Milestones!$AA$149)&gt;=$S128),$V128,$U128)))=Milestones!$AB$149),UPPER(TEXT(EDATE($D128,Milestones!$AA$149),"dd mmm yy"))&amp;" "&amp;Milestones!$AB$149&amp;" "&amp;Milestones!$AC$149&amp;";  ","")&amp;IF(AND(EDATE($D128,Milestones!$AA$150)&lt;=AsOfDate,IF($R128=0,$X128,IF(AND($T128&lt;&gt;"",EDATE($D128,Milestones!$AA$150)&gt;=$T128),$W128,IF(AND($S128&lt;&gt;"",EDATE($D128,Milestones!$AA$150)&gt;=$S128),$V128,$U128)))=Milestones!$AB$150),UPPER(TEXT(EDATE($D128,Milestones!$AA$150),"dd mmm yy"))&amp;" "&amp;Milestones!$AB$150&amp;" "&amp;Milestones!$AC$150&amp;";  ","")&amp;IF(AND(EDATE($D128,Milestones!$AA$151)&lt;=AsOfDate,IF($R128=0,$X128,IF(AND($T128&lt;&gt;"",EDATE($D128,Milestones!$AA$151)&gt;=$T128),$W128,IF(AND($S128&lt;&gt;"",EDATE($D128,Milestones!$AA$151)&gt;=$S128),$V128,$U128)))=Milestones!$AB$151),UPPER(TEXT(EDATE($D128,Milestones!$AA$151),"dd mmm yy"))&amp;" "&amp;Milestones!$AB$151&amp;" "&amp;Milestones!$AC$151&amp;";  ","")&amp;IF(AND(EDATE($D128,Milestones!$AA$152)&lt;=AsOfDate,IF($R128=0,$X128,IF(AND($T128&lt;&gt;"",EDATE($D128,Milestones!$AA$152)&gt;=$T128),$W128,IF(AND($S128&lt;&gt;"",EDATE($D128,Milestones!$AA$152)&gt;=$S128),$V128,$U128)))=Milestones!$AB$152),UPPER(TEXT(EDATE($D128,Milestones!$AA$152),"dd mmm yy"))&amp;" "&amp;Milestones!$AB$152&amp;" "&amp;Milestones!$AC$152&amp;";  ","")&amp;IF(AND(EDATE($D128,Milestones!$AA$153)&lt;=AsOfDate,IF($R128=0,$X128,IF(AND($T128&lt;&gt;"",EDATE($D128,Milestones!$AA$153)&gt;=$T128),$W128,IF(AND($S128&lt;&gt;"",EDATE($D128,Milestones!$AA$153)&gt;=$S128),$V128,$U128)))=Milestones!$AB$153),UPPER(TEXT(EDATE($D128,Milestones!$AA$153),"dd mmm yy"))&amp;" "&amp;Milestones!$AB$153&amp;" "&amp;Milestones!$AC$153&amp;";  ","")&amp;IF(AND(EDATE($D128,Milestones!$AA$154)&lt;=AsOfDate,IF($R128=0,$X128,IF(AND($T128&lt;&gt;"",EDATE($D128,Milestones!$AA$154)&gt;=$T128),$W128,IF(AND($S128&lt;&gt;"",EDATE($D128,Milestones!$AA$154)&gt;=$S128),$V128,$U128)))=Milestones!$AB$154),UPPER(TEXT(EDATE($D128,Milestones!$AA$154),"dd mmm yy"))&amp;" "&amp;Milestones!$AB$154&amp;" "&amp;Milestones!$AC$154&amp;";  ","")&amp;IF(AND(EDATE($D128,Milestones!$AA$155)&lt;=AsOfDate,IF($R128=0,$X128,IF(AND($T128&lt;&gt;"",EDATE($D128,Milestones!$AA$155)&gt;=$T128),$W128,IF(AND($S128&lt;&gt;"",EDATE($D128,Milestones!$AA$155)&gt;=$S128),$V128,$U128)))=Milestones!$AB$155),UPPER(TEXT(EDATE($D128,Milestones!$AA$155),"dd mmm yy"))&amp;" "&amp;Milestones!$AB$155&amp;" "&amp;Milestones!$AC$155&amp;";  ","")&amp;IF(AND(EDATE($D128,Milestones!$AA$156)&lt;=AsOfDate,IF($R128=0,$X128,IF(AND($T128&lt;&gt;"",EDATE($D128,Milestones!$AA$156)&gt;=$T128),$W128,IF(AND($S128&lt;&gt;"",EDATE($D128,Milestones!$AA$156)&gt;=$S128),$V128,$U128)))=Milestones!$AB$156),UPPER(TEXT(EDATE($D128,Milestones!$AA$156),"dd mmm yy"))&amp;" "&amp;Milestones!$AB$156&amp;" "&amp;Milestones!$AC$156&amp;";  ","")&amp;IF(AND(EDATE($D128,Milestones!$AA$157)&lt;=AsOfDate,IF($R128=0,$X128,IF(AND($T128&lt;&gt;"",EDATE($D128,Milestones!$AA$157)&gt;=$T128),$W128,IF(AND($S128&lt;&gt;"",EDATE($D128,Milestones!$AA$157)&gt;=$S128),$V128,$U128)))=Milestones!$AB$157),UPPER(TEXT(EDATE($D128,Milestones!$AA$157),"dd mmm yy"))&amp;" "&amp;Milestones!$AB$157&amp;" "&amp;Milestones!$AC$157&amp;";  ","")&amp;IF(AND(EDATE($D128,Milestones!$AA$158)&lt;=AsOfDate,IF($R128=0,$X128,IF(AND($T128&lt;&gt;"",EDATE($D128,Milestones!$AA$158)&gt;=$T128),$W128,IF(AND($S128&lt;&gt;"",EDATE($D128,Milestones!$AA$158)&gt;=$S128),$V128,$U128)))=Milestones!$AB$158),UPPER(TEXT(EDATE($D128,Milestones!$AA$158),"dd mmm yy"))&amp;" "&amp;Milestones!$AB$158&amp;" "&amp;Milestones!$AC$158&amp;";  ","")&amp;IF(AND(EDATE($D128,Milestones!$AA$159)&lt;=AsOfDate,IF($R128=0,$X128,IF(AND($T128&lt;&gt;"",EDATE($D128,Milestones!$AA$159)&gt;=$T128),$W128,IF(AND($S128&lt;&gt;"",EDATE($D128,Milestones!$AA$159)&gt;=$S128),$V128,$U128)))=Milestones!$AB$159),UPPER(TEXT(EDATE($D128,Milestones!$AA$159),"dd mmm yy"))&amp;" "&amp;Milestones!$AB$159&amp;" "&amp;Milestones!$AC$159&amp;";  ",""))</f>
        <v/>
      </c>
      <c r="P128" s="0" t="str">
        <f aca="false">IF(OR($A128="",$D128=""),"",IF(AND(EDATE($D128,Milestones!$AA$160)&lt;=AsOfDate,IF($R128=0,$X128,IF(AND($T128&lt;&gt;"",EDATE($D128,Milestones!$AA$160)&gt;=$T128),$W128,IF(AND($S128&lt;&gt;"",EDATE($D128,Milestones!$AA$160)&gt;=$S128),$V128,$U128)))=Milestones!$AB$160),UPPER(TEXT(EDATE($D128,Milestones!$AA$160),"dd mmm yy"))&amp;" "&amp;Milestones!$AB$160&amp;" "&amp;Milestones!$AC$160&amp;";  ","")&amp;IF(AND(EDATE($D128,Milestones!$AA$161)&lt;=AsOfDate,IF($R128=0,$X128,IF(AND($T128&lt;&gt;"",EDATE($D128,Milestones!$AA$161)&gt;=$T128),$W128,IF(AND($S128&lt;&gt;"",EDATE($D128,Milestones!$AA$161)&gt;=$S128),$V128,$U128)))=Milestones!$AB$161),UPPER(TEXT(EDATE($D128,Milestones!$AA$161),"dd mmm yy"))&amp;" "&amp;Milestones!$AB$161&amp;" "&amp;Milestones!$AC$161&amp;";  ","")&amp;IF(AND(EDATE($D128,Milestones!$AA$162)&lt;=AsOfDate,IF($R128=0,$X128,IF(AND($T128&lt;&gt;"",EDATE($D128,Milestones!$AA$162)&gt;=$T128),$W128,IF(AND($S128&lt;&gt;"",EDATE($D128,Milestones!$AA$162)&gt;=$S128),$V128,$U128)))=Milestones!$AB$162),UPPER(TEXT(EDATE($D128,Milestones!$AA$162),"dd mmm yy"))&amp;" "&amp;Milestones!$AB$162&amp;" "&amp;Milestones!$AC$162&amp;";  ","")&amp;IF(AND(EDATE($D128,Milestones!$AA$163)&lt;=AsOfDate,IF($R128=0,$X128,IF(AND($T128&lt;&gt;"",EDATE($D128,Milestones!$AA$163)&gt;=$T128),$W128,IF(AND($S128&lt;&gt;"",EDATE($D128,Milestones!$AA$163)&gt;=$S128),$V128,$U128)))=Milestones!$AB$163),UPPER(TEXT(EDATE($D128,Milestones!$AA$163),"dd mmm yy"))&amp;" "&amp;Milestones!$AB$163&amp;" "&amp;Milestones!$AC$163&amp;";  ","")&amp;IF(AND(EDATE($D128,Milestones!$AA$164)&lt;=AsOfDate,IF($R128=0,$X128,IF(AND($T128&lt;&gt;"",EDATE($D128,Milestones!$AA$164)&gt;=$T128),$W128,IF(AND($S128&lt;&gt;"",EDATE($D128,Milestones!$AA$164)&gt;=$S128),$V128,$U128)))=Milestones!$AB$164),UPPER(TEXT(EDATE($D128,Milestones!$AA$164),"dd mmm yy"))&amp;" "&amp;Milestones!$AB$164&amp;" "&amp;Milestones!$AC$164&amp;";  ","")&amp;IF(AND(EDATE($D128,Milestones!$AA$165)&lt;=AsOfDate,IF($R128=0,$X128,IF(AND($T128&lt;&gt;"",EDATE($D128,Milestones!$AA$165)&gt;=$T128),$W128,IF(AND($S128&lt;&gt;"",EDATE($D128,Milestones!$AA$165)&gt;=$S128),$V128,$U128)))=Milestones!$AB$165),UPPER(TEXT(EDATE($D128,Milestones!$AA$165),"dd mmm yy"))&amp;" "&amp;Milestones!$AB$165&amp;" "&amp;Milestones!$AC$165&amp;";  ","")&amp;IF(AND(EDATE($D128,Milestones!$AA$166)&lt;=AsOfDate,IF($R128=0,$X128,IF(AND($T128&lt;&gt;"",EDATE($D128,Milestones!$AA$166)&gt;=$T128),$W128,IF(AND($S128&lt;&gt;"",EDATE($D128,Milestones!$AA$166)&gt;=$S128),$V128,$U128)))=Milestones!$AB$166),UPPER(TEXT(EDATE($D128,Milestones!$AA$166),"dd mmm yy"))&amp;" "&amp;Milestones!$AB$166&amp;" "&amp;Milestones!$AC$166&amp;";  ","")&amp;IF(AND(EDATE($D128,Milestones!$AA$167)&lt;=AsOfDate,IF($R128=0,$X128,IF(AND($T128&lt;&gt;"",EDATE($D128,Milestones!$AA$167)&gt;=$T128),$W128,IF(AND($S128&lt;&gt;"",EDATE($D128,Milestones!$AA$167)&gt;=$S128),$V128,$U128)))=Milestones!$AB$167),UPPER(TEXT(EDATE($D128,Milestones!$AA$167),"dd mmm yy"))&amp;" "&amp;Milestones!$AB$167&amp;" "&amp;Milestones!$AC$167&amp;";  ","")&amp;IF(AND(EDATE($D128,Milestones!$AA$168)&lt;=AsOfDate,IF($R128=0,$X128,IF(AND($T128&lt;&gt;"",EDATE($D128,Milestones!$AA$168)&gt;=$T128),$W128,IF(AND($S128&lt;&gt;"",EDATE($D128,Milestones!$AA$168)&gt;=$S128),$V128,$U128)))=Milestones!$AB$168),UPPER(TEXT(EDATE($D128,Milestones!$AA$168),"dd mmm yy"))&amp;" "&amp;Milestones!$AB$168&amp;" "&amp;Milestones!$AC$168&amp;";  ","")&amp;IF(AND(EDATE($D128,Milestones!$AA$169)&lt;=AsOfDate,IF($R128=0,$X128,IF(AND($T128&lt;&gt;"",EDATE($D128,Milestones!$AA$169)&gt;=$T128),$W128,IF(AND($S128&lt;&gt;"",EDATE($D128,Milestones!$AA$169)&gt;=$S128),$V128,$U128)))=Milestones!$AB$169),UPPER(TEXT(EDATE($D128,Milestones!$AA$169),"dd mmm yy"))&amp;" "&amp;Milestones!$AB$169&amp;" "&amp;Milestones!$AC$169&amp;";  ","")&amp;IF(AND(EDATE($D128,Milestones!$AA$170)&lt;=AsOfDate,IF($R128=0,$X128,IF(AND($T128&lt;&gt;"",EDATE($D128,Milestones!$AA$170)&gt;=$T128),$W128,IF(AND($S128&lt;&gt;"",EDATE($D128,Milestones!$AA$170)&gt;=$S128),$V128,$U128)))=Milestones!$AB$170),UPPER(TEXT(EDATE($D128,Milestones!$AA$170),"dd mmm yy"))&amp;" "&amp;Milestones!$AB$170&amp;" "&amp;Milestones!$AC$170&amp;";  ","")&amp;IF(AND(EDATE($D128,Milestones!$AA$171)&lt;=AsOfDate,IF($R128=0,$X128,IF(AND($T128&lt;&gt;"",EDATE($D128,Milestones!$AA$171)&gt;=$T128),$W128,IF(AND($S128&lt;&gt;"",EDATE($D128,Milestones!$AA$171)&gt;=$S128),$V128,$U128)))=Milestones!$AB$171),UPPER(TEXT(EDATE($D128,Milestones!$AA$171),"dd mmm yy"))&amp;" "&amp;Milestones!$AB$171&amp;" "&amp;Milestones!$AC$171&amp;";  ","")&amp;IF(AND(EDATE($D128,Milestones!$AA$172)&lt;=AsOfDate,IF($R128=0,$X128,IF(AND($T128&lt;&gt;"",EDATE($D128,Milestones!$AA$172)&gt;=$T128),$W128,IF(AND($S128&lt;&gt;"",EDATE($D128,Milestones!$AA$172)&gt;=$S128),$V128,$U128)))=Milestones!$AB$172),UPPER(TEXT(EDATE($D128,Milestones!$AA$172),"dd mmm yy"))&amp;" "&amp;Milestones!$AB$172&amp;" "&amp;Milestones!$AC$172&amp;";  ","")&amp;IF(AND(EDATE($D128,Milestones!$AA$173)&lt;=AsOfDate,IF($R128=0,$X128,IF(AND($T128&lt;&gt;"",EDATE($D128,Milestones!$AA$173)&gt;=$T128),$W128,IF(AND($S128&lt;&gt;"",EDATE($D128,Milestones!$AA$173)&gt;=$S128),$V128,$U128)))=Milestones!$AB$173),UPPER(TEXT(EDATE($D128,Milestones!$AA$173),"dd mmm yy"))&amp;" "&amp;Milestones!$AB$173&amp;" "&amp;Milestones!$AC$173&amp;";  ","")&amp;IF(AND(EDATE($D128,Milestones!$AA$174)&lt;=AsOfDate,IF($R128=0,$X128,IF(AND($T128&lt;&gt;"",EDATE($D128,Milestones!$AA$174)&gt;=$T128),$W128,IF(AND($S128&lt;&gt;"",EDATE($D128,Milestones!$AA$174)&gt;=$S128),$V128,$U128)))=Milestones!$AB$174),UPPER(TEXT(EDATE($D128,Milestones!$AA$174),"dd mmm yy"))&amp;" "&amp;Milestones!$AB$174&amp;" "&amp;Milestones!$AC$174&amp;";  ","")&amp;IF(AND(EDATE($D128,Milestones!$AA$175)&lt;=AsOfDate,IF($R128=0,$X128,IF(AND($T128&lt;&gt;"",EDATE($D128,Milestones!$AA$175)&gt;=$T128),$W128,IF(AND($S128&lt;&gt;"",EDATE($D128,Milestones!$AA$175)&gt;=$S128),$V128,$U128)))=Milestones!$AB$175),UPPER(TEXT(EDATE($D128,Milestones!$AA$175),"dd mmm yy"))&amp;" "&amp;Milestones!$AB$175&amp;" "&amp;Milestones!$AC$175&amp;";  ","")&amp;IF(AND(EDATE($D128,Milestones!$AA$176)&lt;=AsOfDate,IF($R128=0,$X128,IF(AND($T128&lt;&gt;"",EDATE($D128,Milestones!$AA$176)&gt;=$T128),$W128,IF(AND($S128&lt;&gt;"",EDATE($D128,Milestones!$AA$176)&gt;=$S128),$V128,$U128)))=Milestones!$AB$176),UPPER(TEXT(EDATE($D128,Milestones!$AA$176),"dd mmm yy"))&amp;" "&amp;Milestones!$AB$176&amp;" "&amp;Milestones!$AC$176&amp;";  ","")&amp;IF(AND(EDATE($D128,Milestones!$AA$177)&lt;=AsOfDate,IF($R128=0,$X128,IF(AND($T128&lt;&gt;"",EDATE($D128,Milestones!$AA$177)&gt;=$T128),$W128,IF(AND($S128&lt;&gt;"",EDATE($D128,Milestones!$AA$177)&gt;=$S128),$V128,$U128)))=Milestones!$AB$177),UPPER(TEXT(EDATE($D128,Milestones!$AA$177),"dd mmm yy"))&amp;" "&amp;Milestones!$AB$177&amp;" "&amp;Milestones!$AC$177&amp;";  ","")&amp;IF(AND(EDATE($D128,Milestones!$AA$178)&lt;=AsOfDate,IF($R128=0,$X128,IF(AND($T128&lt;&gt;"",EDATE($D128,Milestones!$AA$178)&gt;=$T128),$W128,IF(AND($S128&lt;&gt;"",EDATE($D128,Milestones!$AA$178)&gt;=$S128),$V128,$U128)))=Milestones!$AB$178),UPPER(TEXT(EDATE($D128,Milestones!$AA$178),"dd mmm yy"))&amp;" "&amp;Milestones!$AB$178&amp;" "&amp;Milestones!$AC$178&amp;";  ","")&amp;IF(AND(EDATE($D128,Milestones!$AA$179)&lt;=AsOfDate,IF($R128=0,$X128,IF(AND($T128&lt;&gt;"",EDATE($D128,Milestones!$AA$179)&gt;=$T128),$W128,IF(AND($S128&lt;&gt;"",EDATE($D128,Milestones!$AA$179)&gt;=$S128),$V128,$U128)))=Milestones!$AB$179),UPPER(TEXT(EDATE($D128,Milestones!$AA$179),"dd mmm yy"))&amp;" "&amp;Milestones!$AB$179&amp;" "&amp;Milestones!$AC$179&amp;";  ",""))</f>
        <v/>
      </c>
      <c r="Q128" s="0" t="str">
        <f aca="false">IF(OR($A128="",$D128=""),"",IF(AND(EDATE($D128,Milestones!$AA$180)&lt;=AsOfDate,IF($R128=0,$X128,IF(AND($T128&lt;&gt;"",EDATE($D128,Milestones!$AA$180)&gt;=$T128),$W128,IF(AND($S128&lt;&gt;"",EDATE($D128,Milestones!$AA$180)&gt;=$S128),$V128,$U128)))=Milestones!$AB$180),UPPER(TEXT(EDATE($D128,Milestones!$AA$180),"dd mmm yy"))&amp;" "&amp;Milestones!$AB$180&amp;" "&amp;Milestones!$AC$180&amp;";  ","")&amp;IF(AND(EDATE($D128,Milestones!$AA$181)&lt;=AsOfDate,IF($R128=0,$X128,IF(AND($T128&lt;&gt;"",EDATE($D128,Milestones!$AA$181)&gt;=$T128),$W128,IF(AND($S128&lt;&gt;"",EDATE($D128,Milestones!$AA$181)&gt;=$S128),$V128,$U128)))=Milestones!$AB$181),UPPER(TEXT(EDATE($D128,Milestones!$AA$181),"dd mmm yy"))&amp;" "&amp;Milestones!$AB$181&amp;" "&amp;Milestones!$AC$181&amp;";  ","")&amp;IF(AND(EDATE($D128,Milestones!$AA$182)&lt;=AsOfDate,IF($R128=0,$X128,IF(AND($T128&lt;&gt;"",EDATE($D128,Milestones!$AA$182)&gt;=$T128),$W128,IF(AND($S128&lt;&gt;"",EDATE($D128,Milestones!$AA$182)&gt;=$S128),$V128,$U128)))=Milestones!$AB$182),UPPER(TEXT(EDATE($D128,Milestones!$AA$182),"dd mmm yy"))&amp;" "&amp;Milestones!$AB$182&amp;" "&amp;Milestones!$AC$182&amp;";  ","")&amp;IF(AND(EDATE($D128,Milestones!$AA$183)&lt;=AsOfDate,IF($R128=0,$X128,IF(AND($T128&lt;&gt;"",EDATE($D128,Milestones!$AA$183)&gt;=$T128),$W128,IF(AND($S128&lt;&gt;"",EDATE($D128,Milestones!$AA$183)&gt;=$S128),$V128,$U128)))=Milestones!$AB$183),UPPER(TEXT(EDATE($D128,Milestones!$AA$183),"dd mmm yy"))&amp;" "&amp;Milestones!$AB$183&amp;" "&amp;Milestones!$AC$183&amp;";  ","")&amp;IF(AND(EDATE($D128,Milestones!$AA$184)&lt;=AsOfDate,IF($R128=0,$X128,IF(AND($T128&lt;&gt;"",EDATE($D128,Milestones!$AA$184)&gt;=$T128),$W128,IF(AND($S128&lt;&gt;"",EDATE($D128,Milestones!$AA$184)&gt;=$S128),$V128,$U128)))=Milestones!$AB$184),UPPER(TEXT(EDATE($D128,Milestones!$AA$184),"dd mmm yy"))&amp;" "&amp;Milestones!$AB$184&amp;" "&amp;Milestones!$AC$184&amp;";  ","")&amp;IF(AND(EDATE($D128,Milestones!$AA$185)&lt;=AsOfDate,IF($R128=0,$X128,IF(AND($T128&lt;&gt;"",EDATE($D128,Milestones!$AA$185)&gt;=$T128),$W128,IF(AND($S128&lt;&gt;"",EDATE($D128,Milestones!$AA$185)&gt;=$S128),$V128,$U128)))=Milestones!$AB$185),UPPER(TEXT(EDATE($D128,Milestones!$AA$185),"dd mmm yy"))&amp;" "&amp;Milestones!$AB$185&amp;" "&amp;Milestones!$AC$185&amp;";  ","")&amp;IF(AND(EDATE($D128,Milestones!$AA$186)&lt;=AsOfDate,IF($R128=0,$X128,IF(AND($T128&lt;&gt;"",EDATE($D128,Milestones!$AA$186)&gt;=$T128),$W128,IF(AND($S128&lt;&gt;"",EDATE($D128,Milestones!$AA$186)&gt;=$S128),$V128,$U128)))=Milestones!$AB$186),UPPER(TEXT(EDATE($D128,Milestones!$AA$186),"dd mmm yy"))&amp;" "&amp;Milestones!$AB$186&amp;" "&amp;Milestones!$AC$186&amp;";  ","")&amp;IF(AND(EDATE($D128,Milestones!$AA$187)&lt;=AsOfDate,IF($R128=0,$X128,IF(AND($T128&lt;&gt;"",EDATE($D128,Milestones!$AA$187)&gt;=$T128),$W128,IF(AND($S128&lt;&gt;"",EDATE($D128,Milestones!$AA$187)&gt;=$S128),$V128,$U128)))=Milestones!$AB$187),UPPER(TEXT(EDATE($D128,Milestones!$AA$187),"dd mmm yy"))&amp;" "&amp;Milestones!$AB$187&amp;" "&amp;Milestones!$AC$187&amp;";  ","")&amp;IF(AND(EDATE($D128,Milestones!$AA$188)&lt;=AsOfDate,IF($R128=0,$X128,IF(AND($T128&lt;&gt;"",EDATE($D128,Milestones!$AA$188)&gt;=$T128),$W128,IF(AND($S128&lt;&gt;"",EDATE($D128,Milestones!$AA$188)&gt;=$S128),$V128,$U128)))=Milestones!$AB$188),UPPER(TEXT(EDATE($D128,Milestones!$AA$188),"dd mmm yy"))&amp;" "&amp;Milestones!$AB$188&amp;" "&amp;Milestones!$AC$188&amp;";  ","")&amp;IF(AND(EDATE($D128,Milestones!$AA$189)&lt;=AsOfDate,IF($R128=0,$X128,IF(AND($T128&lt;&gt;"",EDATE($D128,Milestones!$AA$189)&gt;=$T128),$W128,IF(AND($S128&lt;&gt;"",EDATE($D128,Milestones!$AA$189)&gt;=$S128),$V128,$U128)))=Milestones!$AB$189),UPPER(TEXT(EDATE($D128,Milestones!$AA$189),"dd mmm yy"))&amp;" "&amp;Milestones!$AB$189&amp;" "&amp;Milestones!$AC$189&amp;";  ","")&amp;IF(AND(EDATE($D128,Milestones!$AA$190)&lt;=AsOfDate,IF($R128=0,$X128,IF(AND($T128&lt;&gt;"",EDATE($D128,Milestones!$AA$190)&gt;=$T128),$W128,IF(AND($S128&lt;&gt;"",EDATE($D128,Milestones!$AA$190)&gt;=$S128),$V128,$U128)))=Milestones!$AB$190),UPPER(TEXT(EDATE($D128,Milestones!$AA$190),"dd mmm yy"))&amp;" "&amp;Milestones!$AB$190&amp;" "&amp;Milestones!$AC$190&amp;";  ","")&amp;IF(AND(EDATE($D128,Milestones!$AA$191)&lt;=AsOfDate,IF($R128=0,$X128,IF(AND($T128&lt;&gt;"",EDATE($D128,Milestones!$AA$191)&gt;=$T128),$W128,IF(AND($S128&lt;&gt;"",EDATE($D128,Milestones!$AA$191)&gt;=$S128),$V128,$U128)))=Milestones!$AB$191),UPPER(TEXT(EDATE($D128,Milestones!$AA$191),"dd mmm yy"))&amp;" "&amp;Milestones!$AB$191&amp;" "&amp;Milestones!$AC$191&amp;";  ","")&amp;IF(AND(EDATE($D128,Milestones!$AA$192)&lt;=AsOfDate,IF($R128=0,$X128,IF(AND($T128&lt;&gt;"",EDATE($D128,Milestones!$AA$192)&gt;=$T128),$W128,IF(AND($S128&lt;&gt;"",EDATE($D128,Milestones!$AA$192)&gt;=$S128),$V128,$U128)))=Milestones!$AB$192),UPPER(TEXT(EDATE($D128,Milestones!$AA$192),"dd mmm yy"))&amp;" "&amp;Milestones!$AB$192&amp;" "&amp;Milestones!$AC$192&amp;";  ","")&amp;IF(AND(EDATE($D128,Milestones!$AA$193)&lt;=AsOfDate,IF($R128=0,$X128,IF(AND($T128&lt;&gt;"",EDATE($D128,Milestones!$AA$193)&gt;=$T128),$W128,IF(AND($S128&lt;&gt;"",EDATE($D128,Milestones!$AA$193)&gt;=$S128),$V128,$U128)))=Milestones!$AB$193),UPPER(TEXT(EDATE($D128,Milestones!$AA$193),"dd mmm yy"))&amp;" "&amp;Milestones!$AB$193&amp;" "&amp;Milestones!$AC$193&amp;";  ","")&amp;IF(AND(EDATE($D128,Milestones!$AA$194)&lt;=AsOfDate,IF($R128=0,$X128,IF(AND($T128&lt;&gt;"",EDATE($D128,Milestones!$AA$194)&gt;=$T128),$W128,IF(AND($S128&lt;&gt;"",EDATE($D128,Milestones!$AA$194)&gt;=$S128),$V128,$U128)))=Milestones!$AB$194),UPPER(TEXT(EDATE($D128,Milestones!$AA$194),"dd mmm yy"))&amp;" "&amp;Milestones!$AB$194&amp;" "&amp;Milestones!$AC$194&amp;";  ","")&amp;IF(AND(EDATE($D128,Milestones!$AA$195)&lt;=AsOfDate,IF($R128=0,$X128,IF(AND($T128&lt;&gt;"",EDATE($D128,Milestones!$AA$195)&gt;=$T128),$W128,IF(AND($S128&lt;&gt;"",EDATE($D128,Milestones!$AA$195)&gt;=$S128),$V128,$U128)))=Milestones!$AB$195),UPPER(TEXT(EDATE($D128,Milestones!$AA$195),"dd mmm yy"))&amp;" "&amp;Milestones!$AB$195&amp;" "&amp;Milestones!$AC$195&amp;";  ","")&amp;IF(AND(EDATE($D128,Milestones!$AA$196)&lt;=AsOfDate,IF($R128=0,$X128,IF(AND($T128&lt;&gt;"",EDATE($D128,Milestones!$AA$196)&gt;=$T128),$W128,IF(AND($S128&lt;&gt;"",EDATE($D128,Milestones!$AA$196)&gt;=$S128),$V128,$U128)))=Milestones!$AB$196),UPPER(TEXT(EDATE($D128,Milestones!$AA$196),"dd mmm yy"))&amp;" "&amp;Milestones!$AB$196&amp;" "&amp;Milestones!$AC$196&amp;";  ","")&amp;IF(AND(EDATE($D128,Milestones!$AA$197)&lt;=AsOfDate,IF($R128=0,$X128,IF(AND($T128&lt;&gt;"",EDATE($D128,Milestones!$AA$197)&gt;=$T128),$W128,IF(AND($S128&lt;&gt;"",EDATE($D128,Milestones!$AA$197)&gt;=$S128),$V128,$U128)))=Milestones!$AB$197),UPPER(TEXT(EDATE($D128,Milestones!$AA$197),"dd mmm yy"))&amp;" "&amp;Milestones!$AB$197&amp;" "&amp;Milestones!$AC$197&amp;";  ","")&amp;IF(AND(EDATE($D128,Milestones!$AA$198)&lt;=AsOfDate,IF($R128=0,$X128,IF(AND($T128&lt;&gt;"",EDATE($D128,Milestones!$AA$198)&gt;=$T128),$W128,IF(AND($S128&lt;&gt;"",EDATE($D128,Milestones!$AA$198)&gt;=$S128),$V128,$U128)))=Milestones!$AB$198),UPPER(TEXT(EDATE($D128,Milestones!$AA$198),"dd mmm yy"))&amp;" "&amp;Milestones!$AB$198&amp;" "&amp;Milestones!$AC$198&amp;";  ","")&amp;IF(AND(EDATE($D128,Milestones!$AA$199)&lt;=AsOfDate,IF($R128=0,$X128,IF(AND($T128&lt;&gt;"",EDATE($D128,Milestones!$AA$199)&gt;=$T128),$W128,IF(AND($S128&lt;&gt;"",EDATE($D128,Milestones!$AA$199)&gt;=$S128),$V128,$U128)))=Milestones!$AB$199),UPPER(TEXT(EDATE($D128,Milestones!$AA$199),"dd mmm yy"))&amp;" "&amp;Milestones!$AB$199&amp;" "&amp;Milestones!$AC$199&amp;";  ",""))</f>
        <v/>
      </c>
      <c r="R128" s="0" t="str">
        <f aca="false">IF(Staff!$A128="","",Staff!$AI128)</f>
        <v/>
      </c>
      <c r="S128" s="0" t="str">
        <f aca="false">IF(Staff!$A128="","",Staff!$AK128)</f>
        <v/>
      </c>
      <c r="T128" s="0" t="str">
        <f aca="false">IF(Staff!$A128="","",Staff!$AL128)</f>
        <v/>
      </c>
      <c r="U128" s="0" t="str">
        <f aca="false">IF(Staff!$A128="","",Staff!$AP128)</f>
        <v/>
      </c>
      <c r="V128" s="0" t="str">
        <f aca="false">IF(Staff!$A128="","",Staff!$AQ128)</f>
        <v/>
      </c>
      <c r="W128" s="0" t="str">
        <f aca="false">IF(Staff!$A128="","",Staff!$AR128)</f>
        <v/>
      </c>
      <c r="X128" s="0" t="str">
        <f aca="false">IF(Staff!$A128="","",Staff!$AS128)</f>
        <v/>
      </c>
    </row>
    <row r="129" customFormat="false" ht="15" hidden="false" customHeight="false" outlineLevel="0" collapsed="false">
      <c r="A129" s="14" t="str">
        <f aca="false">IF(Staff!$A129="","",Staff!$A129)</f>
        <v/>
      </c>
      <c r="B129" s="14" t="str">
        <f aca="false">IF(Staff!$A129="","",Staff!$B129)</f>
        <v/>
      </c>
      <c r="C129" s="14" t="str">
        <f aca="false">IF(Staff!$A129="","",Staff!$C129)</f>
        <v/>
      </c>
      <c r="D129" s="12" t="str">
        <f aca="false">IF(Staff!$A129="","",Staff!$AH129)</f>
        <v/>
      </c>
      <c r="E129" s="14" t="str">
        <f aca="false">IF(Staff!$A129="","",Staff!$O129)</f>
        <v/>
      </c>
      <c r="F129" s="14" t="str">
        <f aca="false">IF(E129="","",E129*HoursPerDay)</f>
        <v/>
      </c>
      <c r="G129" s="14" t="str">
        <f aca="false">IF(Staff!$A129="","",Staff!$AE129)</f>
        <v/>
      </c>
      <c r="H129" s="26" t="str">
        <f aca="false">IF($A129="","",I129&amp;J129&amp;K129&amp;L129&amp;M129&amp;N129&amp;O129&amp;P129&amp;Q129)</f>
        <v/>
      </c>
      <c r="I129" s="0" t="str">
        <f aca="false">IF(OR($A129="",$D129=""),"",IF(AND(EDATE($D129,Milestones!$AA$20)&lt;=AsOfDate,IF($R129=0,$X129,IF(AND($T129&lt;&gt;"",EDATE($D129,Milestones!$AA$20)&gt;=$T129),$W129,IF(AND($S129&lt;&gt;"",EDATE($D129,Milestones!$AA$20)&gt;=$S129),$V129,$U129)))=Milestones!$AB$20),UPPER(TEXT(EDATE($D129,Milestones!$AA$20),"dd mmm yy"))&amp;" "&amp;Milestones!$AB$20&amp;" "&amp;Milestones!$AC$20&amp;";  ","")&amp;IF(AND(EDATE($D129,Milestones!$AA$21)&lt;=AsOfDate,IF($R129=0,$X129,IF(AND($T129&lt;&gt;"",EDATE($D129,Milestones!$AA$21)&gt;=$T129),$W129,IF(AND($S129&lt;&gt;"",EDATE($D129,Milestones!$AA$21)&gt;=$S129),$V129,$U129)))=Milestones!$AB$21),UPPER(TEXT(EDATE($D129,Milestones!$AA$21),"dd mmm yy"))&amp;" "&amp;Milestones!$AB$21&amp;" "&amp;Milestones!$AC$21&amp;";  ","")&amp;IF(AND(EDATE($D129,Milestones!$AA$22)&lt;=AsOfDate,IF($R129=0,$X129,IF(AND($T129&lt;&gt;"",EDATE($D129,Milestones!$AA$22)&gt;=$T129),$W129,IF(AND($S129&lt;&gt;"",EDATE($D129,Milestones!$AA$22)&gt;=$S129),$V129,$U129)))=Milestones!$AB$22),UPPER(TEXT(EDATE($D129,Milestones!$AA$22),"dd mmm yy"))&amp;" "&amp;Milestones!$AB$22&amp;" "&amp;Milestones!$AC$22&amp;";  ","")&amp;IF(AND(EDATE($D129,Milestones!$AA$23)&lt;=AsOfDate,IF($R129=0,$X129,IF(AND($T129&lt;&gt;"",EDATE($D129,Milestones!$AA$23)&gt;=$T129),$W129,IF(AND($S129&lt;&gt;"",EDATE($D129,Milestones!$AA$23)&gt;=$S129),$V129,$U129)))=Milestones!$AB$23),UPPER(TEXT(EDATE($D129,Milestones!$AA$23),"dd mmm yy"))&amp;" "&amp;Milestones!$AB$23&amp;" "&amp;Milestones!$AC$23&amp;";  ","")&amp;IF(AND(EDATE($D129,Milestones!$AA$24)&lt;=AsOfDate,IF($R129=0,$X129,IF(AND($T129&lt;&gt;"",EDATE($D129,Milestones!$AA$24)&gt;=$T129),$W129,IF(AND($S129&lt;&gt;"",EDATE($D129,Milestones!$AA$24)&gt;=$S129),$V129,$U129)))=Milestones!$AB$24),UPPER(TEXT(EDATE($D129,Milestones!$AA$24),"dd mmm yy"))&amp;" "&amp;Milestones!$AB$24&amp;" "&amp;Milestones!$AC$24&amp;";  ","")&amp;IF(AND(EDATE($D129,Milestones!$AA$25)&lt;=AsOfDate,IF($R129=0,$X129,IF(AND($T129&lt;&gt;"",EDATE($D129,Milestones!$AA$25)&gt;=$T129),$W129,IF(AND($S129&lt;&gt;"",EDATE($D129,Milestones!$AA$25)&gt;=$S129),$V129,$U129)))=Milestones!$AB$25),UPPER(TEXT(EDATE($D129,Milestones!$AA$25),"dd mmm yy"))&amp;" "&amp;Milestones!$AB$25&amp;" "&amp;Milestones!$AC$25&amp;";  ","")&amp;IF(AND(EDATE($D129,Milestones!$AA$26)&lt;=AsOfDate,IF($R129=0,$X129,IF(AND($T129&lt;&gt;"",EDATE($D129,Milestones!$AA$26)&gt;=$T129),$W129,IF(AND($S129&lt;&gt;"",EDATE($D129,Milestones!$AA$26)&gt;=$S129),$V129,$U129)))=Milestones!$AB$26),UPPER(TEXT(EDATE($D129,Milestones!$AA$26),"dd mmm yy"))&amp;" "&amp;Milestones!$AB$26&amp;" "&amp;Milestones!$AC$26&amp;";  ","")&amp;IF(AND(EDATE($D129,Milestones!$AA$27)&lt;=AsOfDate,IF($R129=0,$X129,IF(AND($T129&lt;&gt;"",EDATE($D129,Milestones!$AA$27)&gt;=$T129),$W129,IF(AND($S129&lt;&gt;"",EDATE($D129,Milestones!$AA$27)&gt;=$S129),$V129,$U129)))=Milestones!$AB$27),UPPER(TEXT(EDATE($D129,Milestones!$AA$27),"dd mmm yy"))&amp;" "&amp;Milestones!$AB$27&amp;" "&amp;Milestones!$AC$27&amp;";  ","")&amp;IF(AND(EDATE($D129,Milestones!$AA$28)&lt;=AsOfDate,IF($R129=0,$X129,IF(AND($T129&lt;&gt;"",EDATE($D129,Milestones!$AA$28)&gt;=$T129),$W129,IF(AND($S129&lt;&gt;"",EDATE($D129,Milestones!$AA$28)&gt;=$S129),$V129,$U129)))=Milestones!$AB$28),UPPER(TEXT(EDATE($D129,Milestones!$AA$28),"dd mmm yy"))&amp;" "&amp;Milestones!$AB$28&amp;" "&amp;Milestones!$AC$28&amp;";  ","")&amp;IF(AND(EDATE($D129,Milestones!$AA$29)&lt;=AsOfDate,IF($R129=0,$X129,IF(AND($T129&lt;&gt;"",EDATE($D129,Milestones!$AA$29)&gt;=$T129),$W129,IF(AND($S129&lt;&gt;"",EDATE($D129,Milestones!$AA$29)&gt;=$S129),$V129,$U129)))=Milestones!$AB$29),UPPER(TEXT(EDATE($D129,Milestones!$AA$29),"dd mmm yy"))&amp;" "&amp;Milestones!$AB$29&amp;" "&amp;Milestones!$AC$29&amp;";  ","")&amp;IF(AND(EDATE($D129,Milestones!$AA$30)&lt;=AsOfDate,IF($R129=0,$X129,IF(AND($T129&lt;&gt;"",EDATE($D129,Milestones!$AA$30)&gt;=$T129),$W129,IF(AND($S129&lt;&gt;"",EDATE($D129,Milestones!$AA$30)&gt;=$S129),$V129,$U129)))=Milestones!$AB$30),UPPER(TEXT(EDATE($D129,Milestones!$AA$30),"dd mmm yy"))&amp;" "&amp;Milestones!$AB$30&amp;" "&amp;Milestones!$AC$30&amp;";  ","")&amp;IF(AND(EDATE($D129,Milestones!$AA$31)&lt;=AsOfDate,IF($R129=0,$X129,IF(AND($T129&lt;&gt;"",EDATE($D129,Milestones!$AA$31)&gt;=$T129),$W129,IF(AND($S129&lt;&gt;"",EDATE($D129,Milestones!$AA$31)&gt;=$S129),$V129,$U129)))=Milestones!$AB$31),UPPER(TEXT(EDATE($D129,Milestones!$AA$31),"dd mmm yy"))&amp;" "&amp;Milestones!$AB$31&amp;" "&amp;Milestones!$AC$31&amp;";  ","")&amp;IF(AND(EDATE($D129,Milestones!$AA$32)&lt;=AsOfDate,IF($R129=0,$X129,IF(AND($T129&lt;&gt;"",EDATE($D129,Milestones!$AA$32)&gt;=$T129),$W129,IF(AND($S129&lt;&gt;"",EDATE($D129,Milestones!$AA$32)&gt;=$S129),$V129,$U129)))=Milestones!$AB$32),UPPER(TEXT(EDATE($D129,Milestones!$AA$32),"dd mmm yy"))&amp;" "&amp;Milestones!$AB$32&amp;" "&amp;Milestones!$AC$32&amp;";  ","")&amp;IF(AND(EDATE($D129,Milestones!$AA$33)&lt;=AsOfDate,IF($R129=0,$X129,IF(AND($T129&lt;&gt;"",EDATE($D129,Milestones!$AA$33)&gt;=$T129),$W129,IF(AND($S129&lt;&gt;"",EDATE($D129,Milestones!$AA$33)&gt;=$S129),$V129,$U129)))=Milestones!$AB$33),UPPER(TEXT(EDATE($D129,Milestones!$AA$33),"dd mmm yy"))&amp;" "&amp;Milestones!$AB$33&amp;" "&amp;Milestones!$AC$33&amp;";  ","")&amp;IF(AND(EDATE($D129,Milestones!$AA$34)&lt;=AsOfDate,IF($R129=0,$X129,IF(AND($T129&lt;&gt;"",EDATE($D129,Milestones!$AA$34)&gt;=$T129),$W129,IF(AND($S129&lt;&gt;"",EDATE($D129,Milestones!$AA$34)&gt;=$S129),$V129,$U129)))=Milestones!$AB$34),UPPER(TEXT(EDATE($D129,Milestones!$AA$34),"dd mmm yy"))&amp;" "&amp;Milestones!$AB$34&amp;" "&amp;Milestones!$AC$34&amp;";  ","")&amp;IF(AND(EDATE($D129,Milestones!$AA$35)&lt;=AsOfDate,IF($R129=0,$X129,IF(AND($T129&lt;&gt;"",EDATE($D129,Milestones!$AA$35)&gt;=$T129),$W129,IF(AND($S129&lt;&gt;"",EDATE($D129,Milestones!$AA$35)&gt;=$S129),$V129,$U129)))=Milestones!$AB$35),UPPER(TEXT(EDATE($D129,Milestones!$AA$35),"dd mmm yy"))&amp;" "&amp;Milestones!$AB$35&amp;" "&amp;Milestones!$AC$35&amp;";  ","")&amp;IF(AND(EDATE($D129,Milestones!$AA$36)&lt;=AsOfDate,IF($R129=0,$X129,IF(AND($T129&lt;&gt;"",EDATE($D129,Milestones!$AA$36)&gt;=$T129),$W129,IF(AND($S129&lt;&gt;"",EDATE($D129,Milestones!$AA$36)&gt;=$S129),$V129,$U129)))=Milestones!$AB$36),UPPER(TEXT(EDATE($D129,Milestones!$AA$36),"dd mmm yy"))&amp;" "&amp;Milestones!$AB$36&amp;" "&amp;Milestones!$AC$36&amp;";  ","")&amp;IF(AND(EDATE($D129,Milestones!$AA$37)&lt;=AsOfDate,IF($R129=0,$X129,IF(AND($T129&lt;&gt;"",EDATE($D129,Milestones!$AA$37)&gt;=$T129),$W129,IF(AND($S129&lt;&gt;"",EDATE($D129,Milestones!$AA$37)&gt;=$S129),$V129,$U129)))=Milestones!$AB$37),UPPER(TEXT(EDATE($D129,Milestones!$AA$37),"dd mmm yy"))&amp;" "&amp;Milestones!$AB$37&amp;" "&amp;Milestones!$AC$37&amp;";  ","")&amp;IF(AND(EDATE($D129,Milestones!$AA$38)&lt;=AsOfDate,IF($R129=0,$X129,IF(AND($T129&lt;&gt;"",EDATE($D129,Milestones!$AA$38)&gt;=$T129),$W129,IF(AND($S129&lt;&gt;"",EDATE($D129,Milestones!$AA$38)&gt;=$S129),$V129,$U129)))=Milestones!$AB$38),UPPER(TEXT(EDATE($D129,Milestones!$AA$38),"dd mmm yy"))&amp;" "&amp;Milestones!$AB$38&amp;" "&amp;Milestones!$AC$38&amp;";  ","")&amp;IF(AND(EDATE($D129,Milestones!$AA$39)&lt;=AsOfDate,IF($R129=0,$X129,IF(AND($T129&lt;&gt;"",EDATE($D129,Milestones!$AA$39)&gt;=$T129),$W129,IF(AND($S129&lt;&gt;"",EDATE($D129,Milestones!$AA$39)&gt;=$S129),$V129,$U129)))=Milestones!$AB$39),UPPER(TEXT(EDATE($D129,Milestones!$AA$39),"dd mmm yy"))&amp;" "&amp;Milestones!$AB$39&amp;" "&amp;Milestones!$AC$39&amp;";  ",""))</f>
        <v/>
      </c>
      <c r="J129" s="0" t="str">
        <f aca="false">IF(OR($A129="",$D129=""),"",IF(AND(EDATE($D129,Milestones!$AA$40)&lt;=AsOfDate,IF($R129=0,$X129,IF(AND($T129&lt;&gt;"",EDATE($D129,Milestones!$AA$40)&gt;=$T129),$W129,IF(AND($S129&lt;&gt;"",EDATE($D129,Milestones!$AA$40)&gt;=$S129),$V129,$U129)))=Milestones!$AB$40),UPPER(TEXT(EDATE($D129,Milestones!$AA$40),"dd mmm yy"))&amp;" "&amp;Milestones!$AB$40&amp;" "&amp;Milestones!$AC$40&amp;";  ","")&amp;IF(AND(EDATE($D129,Milestones!$AA$41)&lt;=AsOfDate,IF($R129=0,$X129,IF(AND($T129&lt;&gt;"",EDATE($D129,Milestones!$AA$41)&gt;=$T129),$W129,IF(AND($S129&lt;&gt;"",EDATE($D129,Milestones!$AA$41)&gt;=$S129),$V129,$U129)))=Milestones!$AB$41),UPPER(TEXT(EDATE($D129,Milestones!$AA$41),"dd mmm yy"))&amp;" "&amp;Milestones!$AB$41&amp;" "&amp;Milestones!$AC$41&amp;";  ","")&amp;IF(AND(EDATE($D129,Milestones!$AA$42)&lt;=AsOfDate,IF($R129=0,$X129,IF(AND($T129&lt;&gt;"",EDATE($D129,Milestones!$AA$42)&gt;=$T129),$W129,IF(AND($S129&lt;&gt;"",EDATE($D129,Milestones!$AA$42)&gt;=$S129),$V129,$U129)))=Milestones!$AB$42),UPPER(TEXT(EDATE($D129,Milestones!$AA$42),"dd mmm yy"))&amp;" "&amp;Milestones!$AB$42&amp;" "&amp;Milestones!$AC$42&amp;";  ","")&amp;IF(AND(EDATE($D129,Milestones!$AA$43)&lt;=AsOfDate,IF($R129=0,$X129,IF(AND($T129&lt;&gt;"",EDATE($D129,Milestones!$AA$43)&gt;=$T129),$W129,IF(AND($S129&lt;&gt;"",EDATE($D129,Milestones!$AA$43)&gt;=$S129),$V129,$U129)))=Milestones!$AB$43),UPPER(TEXT(EDATE($D129,Milestones!$AA$43),"dd mmm yy"))&amp;" "&amp;Milestones!$AB$43&amp;" "&amp;Milestones!$AC$43&amp;";  ","")&amp;IF(AND(EDATE($D129,Milestones!$AA$44)&lt;=AsOfDate,IF($R129=0,$X129,IF(AND($T129&lt;&gt;"",EDATE($D129,Milestones!$AA$44)&gt;=$T129),$W129,IF(AND($S129&lt;&gt;"",EDATE($D129,Milestones!$AA$44)&gt;=$S129),$V129,$U129)))=Milestones!$AB$44),UPPER(TEXT(EDATE($D129,Milestones!$AA$44),"dd mmm yy"))&amp;" "&amp;Milestones!$AB$44&amp;" "&amp;Milestones!$AC$44&amp;";  ","")&amp;IF(AND(EDATE($D129,Milestones!$AA$45)&lt;=AsOfDate,IF($R129=0,$X129,IF(AND($T129&lt;&gt;"",EDATE($D129,Milestones!$AA$45)&gt;=$T129),$W129,IF(AND($S129&lt;&gt;"",EDATE($D129,Milestones!$AA$45)&gt;=$S129),$V129,$U129)))=Milestones!$AB$45),UPPER(TEXT(EDATE($D129,Milestones!$AA$45),"dd mmm yy"))&amp;" "&amp;Milestones!$AB$45&amp;" "&amp;Milestones!$AC$45&amp;";  ","")&amp;IF(AND(EDATE($D129,Milestones!$AA$46)&lt;=AsOfDate,IF($R129=0,$X129,IF(AND($T129&lt;&gt;"",EDATE($D129,Milestones!$AA$46)&gt;=$T129),$W129,IF(AND($S129&lt;&gt;"",EDATE($D129,Milestones!$AA$46)&gt;=$S129),$V129,$U129)))=Milestones!$AB$46),UPPER(TEXT(EDATE($D129,Milestones!$AA$46),"dd mmm yy"))&amp;" "&amp;Milestones!$AB$46&amp;" "&amp;Milestones!$AC$46&amp;";  ","")&amp;IF(AND(EDATE($D129,Milestones!$AA$47)&lt;=AsOfDate,IF($R129=0,$X129,IF(AND($T129&lt;&gt;"",EDATE($D129,Milestones!$AA$47)&gt;=$T129),$W129,IF(AND($S129&lt;&gt;"",EDATE($D129,Milestones!$AA$47)&gt;=$S129),$V129,$U129)))=Milestones!$AB$47),UPPER(TEXT(EDATE($D129,Milestones!$AA$47),"dd mmm yy"))&amp;" "&amp;Milestones!$AB$47&amp;" "&amp;Milestones!$AC$47&amp;";  ","")&amp;IF(AND(EDATE($D129,Milestones!$AA$48)&lt;=AsOfDate,IF($R129=0,$X129,IF(AND($T129&lt;&gt;"",EDATE($D129,Milestones!$AA$48)&gt;=$T129),$W129,IF(AND($S129&lt;&gt;"",EDATE($D129,Milestones!$AA$48)&gt;=$S129),$V129,$U129)))=Milestones!$AB$48),UPPER(TEXT(EDATE($D129,Milestones!$AA$48),"dd mmm yy"))&amp;" "&amp;Milestones!$AB$48&amp;" "&amp;Milestones!$AC$48&amp;";  ","")&amp;IF(AND(EDATE($D129,Milestones!$AA$49)&lt;=AsOfDate,IF($R129=0,$X129,IF(AND($T129&lt;&gt;"",EDATE($D129,Milestones!$AA$49)&gt;=$T129),$W129,IF(AND($S129&lt;&gt;"",EDATE($D129,Milestones!$AA$49)&gt;=$S129),$V129,$U129)))=Milestones!$AB$49),UPPER(TEXT(EDATE($D129,Milestones!$AA$49),"dd mmm yy"))&amp;" "&amp;Milestones!$AB$49&amp;" "&amp;Milestones!$AC$49&amp;";  ","")&amp;IF(AND(EDATE($D129,Milestones!$AA$50)&lt;=AsOfDate,IF($R129=0,$X129,IF(AND($T129&lt;&gt;"",EDATE($D129,Milestones!$AA$50)&gt;=$T129),$W129,IF(AND($S129&lt;&gt;"",EDATE($D129,Milestones!$AA$50)&gt;=$S129),$V129,$U129)))=Milestones!$AB$50),UPPER(TEXT(EDATE($D129,Milestones!$AA$50),"dd mmm yy"))&amp;" "&amp;Milestones!$AB$50&amp;" "&amp;Milestones!$AC$50&amp;";  ","")&amp;IF(AND(EDATE($D129,Milestones!$AA$51)&lt;=AsOfDate,IF($R129=0,$X129,IF(AND($T129&lt;&gt;"",EDATE($D129,Milestones!$AA$51)&gt;=$T129),$W129,IF(AND($S129&lt;&gt;"",EDATE($D129,Milestones!$AA$51)&gt;=$S129),$V129,$U129)))=Milestones!$AB$51),UPPER(TEXT(EDATE($D129,Milestones!$AA$51),"dd mmm yy"))&amp;" "&amp;Milestones!$AB$51&amp;" "&amp;Milestones!$AC$51&amp;";  ","")&amp;IF(AND(EDATE($D129,Milestones!$AA$52)&lt;=AsOfDate,IF($R129=0,$X129,IF(AND($T129&lt;&gt;"",EDATE($D129,Milestones!$AA$52)&gt;=$T129),$W129,IF(AND($S129&lt;&gt;"",EDATE($D129,Milestones!$AA$52)&gt;=$S129),$V129,$U129)))=Milestones!$AB$52),UPPER(TEXT(EDATE($D129,Milestones!$AA$52),"dd mmm yy"))&amp;" "&amp;Milestones!$AB$52&amp;" "&amp;Milestones!$AC$52&amp;";  ","")&amp;IF(AND(EDATE($D129,Milestones!$AA$53)&lt;=AsOfDate,IF($R129=0,$X129,IF(AND($T129&lt;&gt;"",EDATE($D129,Milestones!$AA$53)&gt;=$T129),$W129,IF(AND($S129&lt;&gt;"",EDATE($D129,Milestones!$AA$53)&gt;=$S129),$V129,$U129)))=Milestones!$AB$53),UPPER(TEXT(EDATE($D129,Milestones!$AA$53),"dd mmm yy"))&amp;" "&amp;Milestones!$AB$53&amp;" "&amp;Milestones!$AC$53&amp;";  ","")&amp;IF(AND(EDATE($D129,Milestones!$AA$54)&lt;=AsOfDate,IF($R129=0,$X129,IF(AND($T129&lt;&gt;"",EDATE($D129,Milestones!$AA$54)&gt;=$T129),$W129,IF(AND($S129&lt;&gt;"",EDATE($D129,Milestones!$AA$54)&gt;=$S129),$V129,$U129)))=Milestones!$AB$54),UPPER(TEXT(EDATE($D129,Milestones!$AA$54),"dd mmm yy"))&amp;" "&amp;Milestones!$AB$54&amp;" "&amp;Milestones!$AC$54&amp;";  ","")&amp;IF(AND(EDATE($D129,Milestones!$AA$55)&lt;=AsOfDate,IF($R129=0,$X129,IF(AND($T129&lt;&gt;"",EDATE($D129,Milestones!$AA$55)&gt;=$T129),$W129,IF(AND($S129&lt;&gt;"",EDATE($D129,Milestones!$AA$55)&gt;=$S129),$V129,$U129)))=Milestones!$AB$55),UPPER(TEXT(EDATE($D129,Milestones!$AA$55),"dd mmm yy"))&amp;" "&amp;Milestones!$AB$55&amp;" "&amp;Milestones!$AC$55&amp;";  ","")&amp;IF(AND(EDATE($D129,Milestones!$AA$56)&lt;=AsOfDate,IF($R129=0,$X129,IF(AND($T129&lt;&gt;"",EDATE($D129,Milestones!$AA$56)&gt;=$T129),$W129,IF(AND($S129&lt;&gt;"",EDATE($D129,Milestones!$AA$56)&gt;=$S129),$V129,$U129)))=Milestones!$AB$56),UPPER(TEXT(EDATE($D129,Milestones!$AA$56),"dd mmm yy"))&amp;" "&amp;Milestones!$AB$56&amp;" "&amp;Milestones!$AC$56&amp;";  ","")&amp;IF(AND(EDATE($D129,Milestones!$AA$57)&lt;=AsOfDate,IF($R129=0,$X129,IF(AND($T129&lt;&gt;"",EDATE($D129,Milestones!$AA$57)&gt;=$T129),$W129,IF(AND($S129&lt;&gt;"",EDATE($D129,Milestones!$AA$57)&gt;=$S129),$V129,$U129)))=Milestones!$AB$57),UPPER(TEXT(EDATE($D129,Milestones!$AA$57),"dd mmm yy"))&amp;" "&amp;Milestones!$AB$57&amp;" "&amp;Milestones!$AC$57&amp;";  ","")&amp;IF(AND(EDATE($D129,Milestones!$AA$58)&lt;=AsOfDate,IF($R129=0,$X129,IF(AND($T129&lt;&gt;"",EDATE($D129,Milestones!$AA$58)&gt;=$T129),$W129,IF(AND($S129&lt;&gt;"",EDATE($D129,Milestones!$AA$58)&gt;=$S129),$V129,$U129)))=Milestones!$AB$58),UPPER(TEXT(EDATE($D129,Milestones!$AA$58),"dd mmm yy"))&amp;" "&amp;Milestones!$AB$58&amp;" "&amp;Milestones!$AC$58&amp;";  ","")&amp;IF(AND(EDATE($D129,Milestones!$AA$59)&lt;=AsOfDate,IF($R129=0,$X129,IF(AND($T129&lt;&gt;"",EDATE($D129,Milestones!$AA$59)&gt;=$T129),$W129,IF(AND($S129&lt;&gt;"",EDATE($D129,Milestones!$AA$59)&gt;=$S129),$V129,$U129)))=Milestones!$AB$59),UPPER(TEXT(EDATE($D129,Milestones!$AA$59),"dd mmm yy"))&amp;" "&amp;Milestones!$AB$59&amp;" "&amp;Milestones!$AC$59&amp;";  ",""))</f>
        <v/>
      </c>
      <c r="K129" s="0" t="str">
        <f aca="false">IF(OR($A129="",$D129=""),"",IF(AND(EDATE($D129,Milestones!$AA$60)&lt;=AsOfDate,IF($R129=0,$X129,IF(AND($T129&lt;&gt;"",EDATE($D129,Milestones!$AA$60)&gt;=$T129),$W129,IF(AND($S129&lt;&gt;"",EDATE($D129,Milestones!$AA$60)&gt;=$S129),$V129,$U129)))=Milestones!$AB$60),UPPER(TEXT(EDATE($D129,Milestones!$AA$60),"dd mmm yy"))&amp;" "&amp;Milestones!$AB$60&amp;" "&amp;Milestones!$AC$60&amp;";  ","")&amp;IF(AND(EDATE($D129,Milestones!$AA$61)&lt;=AsOfDate,IF($R129=0,$X129,IF(AND($T129&lt;&gt;"",EDATE($D129,Milestones!$AA$61)&gt;=$T129),$W129,IF(AND($S129&lt;&gt;"",EDATE($D129,Milestones!$AA$61)&gt;=$S129),$V129,$U129)))=Milestones!$AB$61),UPPER(TEXT(EDATE($D129,Milestones!$AA$61),"dd mmm yy"))&amp;" "&amp;Milestones!$AB$61&amp;" "&amp;Milestones!$AC$61&amp;";  ","")&amp;IF(AND(EDATE($D129,Milestones!$AA$62)&lt;=AsOfDate,IF($R129=0,$X129,IF(AND($T129&lt;&gt;"",EDATE($D129,Milestones!$AA$62)&gt;=$T129),$W129,IF(AND($S129&lt;&gt;"",EDATE($D129,Milestones!$AA$62)&gt;=$S129),$V129,$U129)))=Milestones!$AB$62),UPPER(TEXT(EDATE($D129,Milestones!$AA$62),"dd mmm yy"))&amp;" "&amp;Milestones!$AB$62&amp;" "&amp;Milestones!$AC$62&amp;";  ","")&amp;IF(AND(EDATE($D129,Milestones!$AA$63)&lt;=AsOfDate,IF($R129=0,$X129,IF(AND($T129&lt;&gt;"",EDATE($D129,Milestones!$AA$63)&gt;=$T129),$W129,IF(AND($S129&lt;&gt;"",EDATE($D129,Milestones!$AA$63)&gt;=$S129),$V129,$U129)))=Milestones!$AB$63),UPPER(TEXT(EDATE($D129,Milestones!$AA$63),"dd mmm yy"))&amp;" "&amp;Milestones!$AB$63&amp;" "&amp;Milestones!$AC$63&amp;";  ","")&amp;IF(AND(EDATE($D129,Milestones!$AA$64)&lt;=AsOfDate,IF($R129=0,$X129,IF(AND($T129&lt;&gt;"",EDATE($D129,Milestones!$AA$64)&gt;=$T129),$W129,IF(AND($S129&lt;&gt;"",EDATE($D129,Milestones!$AA$64)&gt;=$S129),$V129,$U129)))=Milestones!$AB$64),UPPER(TEXT(EDATE($D129,Milestones!$AA$64),"dd mmm yy"))&amp;" "&amp;Milestones!$AB$64&amp;" "&amp;Milestones!$AC$64&amp;";  ","")&amp;IF(AND(EDATE($D129,Milestones!$AA$65)&lt;=AsOfDate,IF($R129=0,$X129,IF(AND($T129&lt;&gt;"",EDATE($D129,Milestones!$AA$65)&gt;=$T129),$W129,IF(AND($S129&lt;&gt;"",EDATE($D129,Milestones!$AA$65)&gt;=$S129),$V129,$U129)))=Milestones!$AB$65),UPPER(TEXT(EDATE($D129,Milestones!$AA$65),"dd mmm yy"))&amp;" "&amp;Milestones!$AB$65&amp;" "&amp;Milestones!$AC$65&amp;";  ","")&amp;IF(AND(EDATE($D129,Milestones!$AA$66)&lt;=AsOfDate,IF($R129=0,$X129,IF(AND($T129&lt;&gt;"",EDATE($D129,Milestones!$AA$66)&gt;=$T129),$W129,IF(AND($S129&lt;&gt;"",EDATE($D129,Milestones!$AA$66)&gt;=$S129),$V129,$U129)))=Milestones!$AB$66),UPPER(TEXT(EDATE($D129,Milestones!$AA$66),"dd mmm yy"))&amp;" "&amp;Milestones!$AB$66&amp;" "&amp;Milestones!$AC$66&amp;";  ","")&amp;IF(AND(EDATE($D129,Milestones!$AA$67)&lt;=AsOfDate,IF($R129=0,$X129,IF(AND($T129&lt;&gt;"",EDATE($D129,Milestones!$AA$67)&gt;=$T129),$W129,IF(AND($S129&lt;&gt;"",EDATE($D129,Milestones!$AA$67)&gt;=$S129),$V129,$U129)))=Milestones!$AB$67),UPPER(TEXT(EDATE($D129,Milestones!$AA$67),"dd mmm yy"))&amp;" "&amp;Milestones!$AB$67&amp;" "&amp;Milestones!$AC$67&amp;";  ","")&amp;IF(AND(EDATE($D129,Milestones!$AA$68)&lt;=AsOfDate,IF($R129=0,$X129,IF(AND($T129&lt;&gt;"",EDATE($D129,Milestones!$AA$68)&gt;=$T129),$W129,IF(AND($S129&lt;&gt;"",EDATE($D129,Milestones!$AA$68)&gt;=$S129),$V129,$U129)))=Milestones!$AB$68),UPPER(TEXT(EDATE($D129,Milestones!$AA$68),"dd mmm yy"))&amp;" "&amp;Milestones!$AB$68&amp;" "&amp;Milestones!$AC$68&amp;";  ","")&amp;IF(AND(EDATE($D129,Milestones!$AA$69)&lt;=AsOfDate,IF($R129=0,$X129,IF(AND($T129&lt;&gt;"",EDATE($D129,Milestones!$AA$69)&gt;=$T129),$W129,IF(AND($S129&lt;&gt;"",EDATE($D129,Milestones!$AA$69)&gt;=$S129),$V129,$U129)))=Milestones!$AB$69),UPPER(TEXT(EDATE($D129,Milestones!$AA$69),"dd mmm yy"))&amp;" "&amp;Milestones!$AB$69&amp;" "&amp;Milestones!$AC$69&amp;";  ","")&amp;IF(AND(EDATE($D129,Milestones!$AA$70)&lt;=AsOfDate,IF($R129=0,$X129,IF(AND($T129&lt;&gt;"",EDATE($D129,Milestones!$AA$70)&gt;=$T129),$W129,IF(AND($S129&lt;&gt;"",EDATE($D129,Milestones!$AA$70)&gt;=$S129),$V129,$U129)))=Milestones!$AB$70),UPPER(TEXT(EDATE($D129,Milestones!$AA$70),"dd mmm yy"))&amp;" "&amp;Milestones!$AB$70&amp;" "&amp;Milestones!$AC$70&amp;";  ","")&amp;IF(AND(EDATE($D129,Milestones!$AA$71)&lt;=AsOfDate,IF($R129=0,$X129,IF(AND($T129&lt;&gt;"",EDATE($D129,Milestones!$AA$71)&gt;=$T129),$W129,IF(AND($S129&lt;&gt;"",EDATE($D129,Milestones!$AA$71)&gt;=$S129),$V129,$U129)))=Milestones!$AB$71),UPPER(TEXT(EDATE($D129,Milestones!$AA$71),"dd mmm yy"))&amp;" "&amp;Milestones!$AB$71&amp;" "&amp;Milestones!$AC$71&amp;";  ","")&amp;IF(AND(EDATE($D129,Milestones!$AA$72)&lt;=AsOfDate,IF($R129=0,$X129,IF(AND($T129&lt;&gt;"",EDATE($D129,Milestones!$AA$72)&gt;=$T129),$W129,IF(AND($S129&lt;&gt;"",EDATE($D129,Milestones!$AA$72)&gt;=$S129),$V129,$U129)))=Milestones!$AB$72),UPPER(TEXT(EDATE($D129,Milestones!$AA$72),"dd mmm yy"))&amp;" "&amp;Milestones!$AB$72&amp;" "&amp;Milestones!$AC$72&amp;";  ","")&amp;IF(AND(EDATE($D129,Milestones!$AA$73)&lt;=AsOfDate,IF($R129=0,$X129,IF(AND($T129&lt;&gt;"",EDATE($D129,Milestones!$AA$73)&gt;=$T129),$W129,IF(AND($S129&lt;&gt;"",EDATE($D129,Milestones!$AA$73)&gt;=$S129),$V129,$U129)))=Milestones!$AB$73),UPPER(TEXT(EDATE($D129,Milestones!$AA$73),"dd mmm yy"))&amp;" "&amp;Milestones!$AB$73&amp;" "&amp;Milestones!$AC$73&amp;";  ","")&amp;IF(AND(EDATE($D129,Milestones!$AA$74)&lt;=AsOfDate,IF($R129=0,$X129,IF(AND($T129&lt;&gt;"",EDATE($D129,Milestones!$AA$74)&gt;=$T129),$W129,IF(AND($S129&lt;&gt;"",EDATE($D129,Milestones!$AA$74)&gt;=$S129),$V129,$U129)))=Milestones!$AB$74),UPPER(TEXT(EDATE($D129,Milestones!$AA$74),"dd mmm yy"))&amp;" "&amp;Milestones!$AB$74&amp;" "&amp;Milestones!$AC$74&amp;";  ","")&amp;IF(AND(EDATE($D129,Milestones!$AA$75)&lt;=AsOfDate,IF($R129=0,$X129,IF(AND($T129&lt;&gt;"",EDATE($D129,Milestones!$AA$75)&gt;=$T129),$W129,IF(AND($S129&lt;&gt;"",EDATE($D129,Milestones!$AA$75)&gt;=$S129),$V129,$U129)))=Milestones!$AB$75),UPPER(TEXT(EDATE($D129,Milestones!$AA$75),"dd mmm yy"))&amp;" "&amp;Milestones!$AB$75&amp;" "&amp;Milestones!$AC$75&amp;";  ","")&amp;IF(AND(EDATE($D129,Milestones!$AA$76)&lt;=AsOfDate,IF($R129=0,$X129,IF(AND($T129&lt;&gt;"",EDATE($D129,Milestones!$AA$76)&gt;=$T129),$W129,IF(AND($S129&lt;&gt;"",EDATE($D129,Milestones!$AA$76)&gt;=$S129),$V129,$U129)))=Milestones!$AB$76),UPPER(TEXT(EDATE($D129,Milestones!$AA$76),"dd mmm yy"))&amp;" "&amp;Milestones!$AB$76&amp;" "&amp;Milestones!$AC$76&amp;";  ","")&amp;IF(AND(EDATE($D129,Milestones!$AA$77)&lt;=AsOfDate,IF($R129=0,$X129,IF(AND($T129&lt;&gt;"",EDATE($D129,Milestones!$AA$77)&gt;=$T129),$W129,IF(AND($S129&lt;&gt;"",EDATE($D129,Milestones!$AA$77)&gt;=$S129),$V129,$U129)))=Milestones!$AB$77),UPPER(TEXT(EDATE($D129,Milestones!$AA$77),"dd mmm yy"))&amp;" "&amp;Milestones!$AB$77&amp;" "&amp;Milestones!$AC$77&amp;";  ","")&amp;IF(AND(EDATE($D129,Milestones!$AA$78)&lt;=AsOfDate,IF($R129=0,$X129,IF(AND($T129&lt;&gt;"",EDATE($D129,Milestones!$AA$78)&gt;=$T129),$W129,IF(AND($S129&lt;&gt;"",EDATE($D129,Milestones!$AA$78)&gt;=$S129),$V129,$U129)))=Milestones!$AB$78),UPPER(TEXT(EDATE($D129,Milestones!$AA$78),"dd mmm yy"))&amp;" "&amp;Milestones!$AB$78&amp;" "&amp;Milestones!$AC$78&amp;";  ","")&amp;IF(AND(EDATE($D129,Milestones!$AA$79)&lt;=AsOfDate,IF($R129=0,$X129,IF(AND($T129&lt;&gt;"",EDATE($D129,Milestones!$AA$79)&gt;=$T129),$W129,IF(AND($S129&lt;&gt;"",EDATE($D129,Milestones!$AA$79)&gt;=$S129),$V129,$U129)))=Milestones!$AB$79),UPPER(TEXT(EDATE($D129,Milestones!$AA$79),"dd mmm yy"))&amp;" "&amp;Milestones!$AB$79&amp;" "&amp;Milestones!$AC$79&amp;";  ",""))</f>
        <v/>
      </c>
      <c r="L129" s="0" t="str">
        <f aca="false">IF(OR($A129="",$D129=""),"",IF(AND(EDATE($D129,Milestones!$AA$80)&lt;=AsOfDate,IF($R129=0,$X129,IF(AND($T129&lt;&gt;"",EDATE($D129,Milestones!$AA$80)&gt;=$T129),$W129,IF(AND($S129&lt;&gt;"",EDATE($D129,Milestones!$AA$80)&gt;=$S129),$V129,$U129)))=Milestones!$AB$80),UPPER(TEXT(EDATE($D129,Milestones!$AA$80),"dd mmm yy"))&amp;" "&amp;Milestones!$AB$80&amp;" "&amp;Milestones!$AC$80&amp;";  ","")&amp;IF(AND(EDATE($D129,Milestones!$AA$81)&lt;=AsOfDate,IF($R129=0,$X129,IF(AND($T129&lt;&gt;"",EDATE($D129,Milestones!$AA$81)&gt;=$T129),$W129,IF(AND($S129&lt;&gt;"",EDATE($D129,Milestones!$AA$81)&gt;=$S129),$V129,$U129)))=Milestones!$AB$81),UPPER(TEXT(EDATE($D129,Milestones!$AA$81),"dd mmm yy"))&amp;" "&amp;Milestones!$AB$81&amp;" "&amp;Milestones!$AC$81&amp;";  ","")&amp;IF(AND(EDATE($D129,Milestones!$AA$82)&lt;=AsOfDate,IF($R129=0,$X129,IF(AND($T129&lt;&gt;"",EDATE($D129,Milestones!$AA$82)&gt;=$T129),$W129,IF(AND($S129&lt;&gt;"",EDATE($D129,Milestones!$AA$82)&gt;=$S129),$V129,$U129)))=Milestones!$AB$82),UPPER(TEXT(EDATE($D129,Milestones!$AA$82),"dd mmm yy"))&amp;" "&amp;Milestones!$AB$82&amp;" "&amp;Milestones!$AC$82&amp;";  ","")&amp;IF(AND(EDATE($D129,Milestones!$AA$83)&lt;=AsOfDate,IF($R129=0,$X129,IF(AND($T129&lt;&gt;"",EDATE($D129,Milestones!$AA$83)&gt;=$T129),$W129,IF(AND($S129&lt;&gt;"",EDATE($D129,Milestones!$AA$83)&gt;=$S129),$V129,$U129)))=Milestones!$AB$83),UPPER(TEXT(EDATE($D129,Milestones!$AA$83),"dd mmm yy"))&amp;" "&amp;Milestones!$AB$83&amp;" "&amp;Milestones!$AC$83&amp;";  ","")&amp;IF(AND(EDATE($D129,Milestones!$AA$84)&lt;=AsOfDate,IF($R129=0,$X129,IF(AND($T129&lt;&gt;"",EDATE($D129,Milestones!$AA$84)&gt;=$T129),$W129,IF(AND($S129&lt;&gt;"",EDATE($D129,Milestones!$AA$84)&gt;=$S129),$V129,$U129)))=Milestones!$AB$84),UPPER(TEXT(EDATE($D129,Milestones!$AA$84),"dd mmm yy"))&amp;" "&amp;Milestones!$AB$84&amp;" "&amp;Milestones!$AC$84&amp;";  ","")&amp;IF(AND(EDATE($D129,Milestones!$AA$85)&lt;=AsOfDate,IF($R129=0,$X129,IF(AND($T129&lt;&gt;"",EDATE($D129,Milestones!$AA$85)&gt;=$T129),$W129,IF(AND($S129&lt;&gt;"",EDATE($D129,Milestones!$AA$85)&gt;=$S129),$V129,$U129)))=Milestones!$AB$85),UPPER(TEXT(EDATE($D129,Milestones!$AA$85),"dd mmm yy"))&amp;" "&amp;Milestones!$AB$85&amp;" "&amp;Milestones!$AC$85&amp;";  ","")&amp;IF(AND(EDATE($D129,Milestones!$AA$86)&lt;=AsOfDate,IF($R129=0,$X129,IF(AND($T129&lt;&gt;"",EDATE($D129,Milestones!$AA$86)&gt;=$T129),$W129,IF(AND($S129&lt;&gt;"",EDATE($D129,Milestones!$AA$86)&gt;=$S129),$V129,$U129)))=Milestones!$AB$86),UPPER(TEXT(EDATE($D129,Milestones!$AA$86),"dd mmm yy"))&amp;" "&amp;Milestones!$AB$86&amp;" "&amp;Milestones!$AC$86&amp;";  ","")&amp;IF(AND(EDATE($D129,Milestones!$AA$87)&lt;=AsOfDate,IF($R129=0,$X129,IF(AND($T129&lt;&gt;"",EDATE($D129,Milestones!$AA$87)&gt;=$T129),$W129,IF(AND($S129&lt;&gt;"",EDATE($D129,Milestones!$AA$87)&gt;=$S129),$V129,$U129)))=Milestones!$AB$87),UPPER(TEXT(EDATE($D129,Milestones!$AA$87),"dd mmm yy"))&amp;" "&amp;Milestones!$AB$87&amp;" "&amp;Milestones!$AC$87&amp;";  ","")&amp;IF(AND(EDATE($D129,Milestones!$AA$88)&lt;=AsOfDate,IF($R129=0,$X129,IF(AND($T129&lt;&gt;"",EDATE($D129,Milestones!$AA$88)&gt;=$T129),$W129,IF(AND($S129&lt;&gt;"",EDATE($D129,Milestones!$AA$88)&gt;=$S129),$V129,$U129)))=Milestones!$AB$88),UPPER(TEXT(EDATE($D129,Milestones!$AA$88),"dd mmm yy"))&amp;" "&amp;Milestones!$AB$88&amp;" "&amp;Milestones!$AC$88&amp;";  ","")&amp;IF(AND(EDATE($D129,Milestones!$AA$89)&lt;=AsOfDate,IF($R129=0,$X129,IF(AND($T129&lt;&gt;"",EDATE($D129,Milestones!$AA$89)&gt;=$T129),$W129,IF(AND($S129&lt;&gt;"",EDATE($D129,Milestones!$AA$89)&gt;=$S129),$V129,$U129)))=Milestones!$AB$89),UPPER(TEXT(EDATE($D129,Milestones!$AA$89),"dd mmm yy"))&amp;" "&amp;Milestones!$AB$89&amp;" "&amp;Milestones!$AC$89&amp;";  ","")&amp;IF(AND(EDATE($D129,Milestones!$AA$90)&lt;=AsOfDate,IF($R129=0,$X129,IF(AND($T129&lt;&gt;"",EDATE($D129,Milestones!$AA$90)&gt;=$T129),$W129,IF(AND($S129&lt;&gt;"",EDATE($D129,Milestones!$AA$90)&gt;=$S129),$V129,$U129)))=Milestones!$AB$90),UPPER(TEXT(EDATE($D129,Milestones!$AA$90),"dd mmm yy"))&amp;" "&amp;Milestones!$AB$90&amp;" "&amp;Milestones!$AC$90&amp;";  ","")&amp;IF(AND(EDATE($D129,Milestones!$AA$91)&lt;=AsOfDate,IF($R129=0,$X129,IF(AND($T129&lt;&gt;"",EDATE($D129,Milestones!$AA$91)&gt;=$T129),$W129,IF(AND($S129&lt;&gt;"",EDATE($D129,Milestones!$AA$91)&gt;=$S129),$V129,$U129)))=Milestones!$AB$91),UPPER(TEXT(EDATE($D129,Milestones!$AA$91),"dd mmm yy"))&amp;" "&amp;Milestones!$AB$91&amp;" "&amp;Milestones!$AC$91&amp;";  ","")&amp;IF(AND(EDATE($D129,Milestones!$AA$92)&lt;=AsOfDate,IF($R129=0,$X129,IF(AND($T129&lt;&gt;"",EDATE($D129,Milestones!$AA$92)&gt;=$T129),$W129,IF(AND($S129&lt;&gt;"",EDATE($D129,Milestones!$AA$92)&gt;=$S129),$V129,$U129)))=Milestones!$AB$92),UPPER(TEXT(EDATE($D129,Milestones!$AA$92),"dd mmm yy"))&amp;" "&amp;Milestones!$AB$92&amp;" "&amp;Milestones!$AC$92&amp;";  ","")&amp;IF(AND(EDATE($D129,Milestones!$AA$93)&lt;=AsOfDate,IF($R129=0,$X129,IF(AND($T129&lt;&gt;"",EDATE($D129,Milestones!$AA$93)&gt;=$T129),$W129,IF(AND($S129&lt;&gt;"",EDATE($D129,Milestones!$AA$93)&gt;=$S129),$V129,$U129)))=Milestones!$AB$93),UPPER(TEXT(EDATE($D129,Milestones!$AA$93),"dd mmm yy"))&amp;" "&amp;Milestones!$AB$93&amp;" "&amp;Milestones!$AC$93&amp;";  ","")&amp;IF(AND(EDATE($D129,Milestones!$AA$94)&lt;=AsOfDate,IF($R129=0,$X129,IF(AND($T129&lt;&gt;"",EDATE($D129,Milestones!$AA$94)&gt;=$T129),$W129,IF(AND($S129&lt;&gt;"",EDATE($D129,Milestones!$AA$94)&gt;=$S129),$V129,$U129)))=Milestones!$AB$94),UPPER(TEXT(EDATE($D129,Milestones!$AA$94),"dd mmm yy"))&amp;" "&amp;Milestones!$AB$94&amp;" "&amp;Milestones!$AC$94&amp;";  ","")&amp;IF(AND(EDATE($D129,Milestones!$AA$95)&lt;=AsOfDate,IF($R129=0,$X129,IF(AND($T129&lt;&gt;"",EDATE($D129,Milestones!$AA$95)&gt;=$T129),$W129,IF(AND($S129&lt;&gt;"",EDATE($D129,Milestones!$AA$95)&gt;=$S129),$V129,$U129)))=Milestones!$AB$95),UPPER(TEXT(EDATE($D129,Milestones!$AA$95),"dd mmm yy"))&amp;" "&amp;Milestones!$AB$95&amp;" "&amp;Milestones!$AC$95&amp;";  ","")&amp;IF(AND(EDATE($D129,Milestones!$AA$96)&lt;=AsOfDate,IF($R129=0,$X129,IF(AND($T129&lt;&gt;"",EDATE($D129,Milestones!$AA$96)&gt;=$T129),$W129,IF(AND($S129&lt;&gt;"",EDATE($D129,Milestones!$AA$96)&gt;=$S129),$V129,$U129)))=Milestones!$AB$96),UPPER(TEXT(EDATE($D129,Milestones!$AA$96),"dd mmm yy"))&amp;" "&amp;Milestones!$AB$96&amp;" "&amp;Milestones!$AC$96&amp;";  ","")&amp;IF(AND(EDATE($D129,Milestones!$AA$97)&lt;=AsOfDate,IF($R129=0,$X129,IF(AND($T129&lt;&gt;"",EDATE($D129,Milestones!$AA$97)&gt;=$T129),$W129,IF(AND($S129&lt;&gt;"",EDATE($D129,Milestones!$AA$97)&gt;=$S129),$V129,$U129)))=Milestones!$AB$97),UPPER(TEXT(EDATE($D129,Milestones!$AA$97),"dd mmm yy"))&amp;" "&amp;Milestones!$AB$97&amp;" "&amp;Milestones!$AC$97&amp;";  ","")&amp;IF(AND(EDATE($D129,Milestones!$AA$98)&lt;=AsOfDate,IF($R129=0,$X129,IF(AND($T129&lt;&gt;"",EDATE($D129,Milestones!$AA$98)&gt;=$T129),$W129,IF(AND($S129&lt;&gt;"",EDATE($D129,Milestones!$AA$98)&gt;=$S129),$V129,$U129)))=Milestones!$AB$98),UPPER(TEXT(EDATE($D129,Milestones!$AA$98),"dd mmm yy"))&amp;" "&amp;Milestones!$AB$98&amp;" "&amp;Milestones!$AC$98&amp;";  ","")&amp;IF(AND(EDATE($D129,Milestones!$AA$99)&lt;=AsOfDate,IF($R129=0,$X129,IF(AND($T129&lt;&gt;"",EDATE($D129,Milestones!$AA$99)&gt;=$T129),$W129,IF(AND($S129&lt;&gt;"",EDATE($D129,Milestones!$AA$99)&gt;=$S129),$V129,$U129)))=Milestones!$AB$99),UPPER(TEXT(EDATE($D129,Milestones!$AA$99),"dd mmm yy"))&amp;" "&amp;Milestones!$AB$99&amp;" "&amp;Milestones!$AC$99&amp;";  ",""))</f>
        <v/>
      </c>
      <c r="M129" s="0" t="str">
        <f aca="false">IF(OR($A129="",$D129=""),"",IF(AND(EDATE($D129,Milestones!$AA$100)&lt;=AsOfDate,IF($R129=0,$X129,IF(AND($T129&lt;&gt;"",EDATE($D129,Milestones!$AA$100)&gt;=$T129),$W129,IF(AND($S129&lt;&gt;"",EDATE($D129,Milestones!$AA$100)&gt;=$S129),$V129,$U129)))=Milestones!$AB$100),UPPER(TEXT(EDATE($D129,Milestones!$AA$100),"dd mmm yy"))&amp;" "&amp;Milestones!$AB$100&amp;" "&amp;Milestones!$AC$100&amp;";  ","")&amp;IF(AND(EDATE($D129,Milestones!$AA$101)&lt;=AsOfDate,IF($R129=0,$X129,IF(AND($T129&lt;&gt;"",EDATE($D129,Milestones!$AA$101)&gt;=$T129),$W129,IF(AND($S129&lt;&gt;"",EDATE($D129,Milestones!$AA$101)&gt;=$S129),$V129,$U129)))=Milestones!$AB$101),UPPER(TEXT(EDATE($D129,Milestones!$AA$101),"dd mmm yy"))&amp;" "&amp;Milestones!$AB$101&amp;" "&amp;Milestones!$AC$101&amp;";  ","")&amp;IF(AND(EDATE($D129,Milestones!$AA$102)&lt;=AsOfDate,IF($R129=0,$X129,IF(AND($T129&lt;&gt;"",EDATE($D129,Milestones!$AA$102)&gt;=$T129),$W129,IF(AND($S129&lt;&gt;"",EDATE($D129,Milestones!$AA$102)&gt;=$S129),$V129,$U129)))=Milestones!$AB$102),UPPER(TEXT(EDATE($D129,Milestones!$AA$102),"dd mmm yy"))&amp;" "&amp;Milestones!$AB$102&amp;" "&amp;Milestones!$AC$102&amp;";  ","")&amp;IF(AND(EDATE($D129,Milestones!$AA$103)&lt;=AsOfDate,IF($R129=0,$X129,IF(AND($T129&lt;&gt;"",EDATE($D129,Milestones!$AA$103)&gt;=$T129),$W129,IF(AND($S129&lt;&gt;"",EDATE($D129,Milestones!$AA$103)&gt;=$S129),$V129,$U129)))=Milestones!$AB$103),UPPER(TEXT(EDATE($D129,Milestones!$AA$103),"dd mmm yy"))&amp;" "&amp;Milestones!$AB$103&amp;" "&amp;Milestones!$AC$103&amp;";  ","")&amp;IF(AND(EDATE($D129,Milestones!$AA$104)&lt;=AsOfDate,IF($R129=0,$X129,IF(AND($T129&lt;&gt;"",EDATE($D129,Milestones!$AA$104)&gt;=$T129),$W129,IF(AND($S129&lt;&gt;"",EDATE($D129,Milestones!$AA$104)&gt;=$S129),$V129,$U129)))=Milestones!$AB$104),UPPER(TEXT(EDATE($D129,Milestones!$AA$104),"dd mmm yy"))&amp;" "&amp;Milestones!$AB$104&amp;" "&amp;Milestones!$AC$104&amp;";  ","")&amp;IF(AND(EDATE($D129,Milestones!$AA$105)&lt;=AsOfDate,IF($R129=0,$X129,IF(AND($T129&lt;&gt;"",EDATE($D129,Milestones!$AA$105)&gt;=$T129),$W129,IF(AND($S129&lt;&gt;"",EDATE($D129,Milestones!$AA$105)&gt;=$S129),$V129,$U129)))=Milestones!$AB$105),UPPER(TEXT(EDATE($D129,Milestones!$AA$105),"dd mmm yy"))&amp;" "&amp;Milestones!$AB$105&amp;" "&amp;Milestones!$AC$105&amp;";  ","")&amp;IF(AND(EDATE($D129,Milestones!$AA$106)&lt;=AsOfDate,IF($R129=0,$X129,IF(AND($T129&lt;&gt;"",EDATE($D129,Milestones!$AA$106)&gt;=$T129),$W129,IF(AND($S129&lt;&gt;"",EDATE($D129,Milestones!$AA$106)&gt;=$S129),$V129,$U129)))=Milestones!$AB$106),UPPER(TEXT(EDATE($D129,Milestones!$AA$106),"dd mmm yy"))&amp;" "&amp;Milestones!$AB$106&amp;" "&amp;Milestones!$AC$106&amp;";  ","")&amp;IF(AND(EDATE($D129,Milestones!$AA$107)&lt;=AsOfDate,IF($R129=0,$X129,IF(AND($T129&lt;&gt;"",EDATE($D129,Milestones!$AA$107)&gt;=$T129),$W129,IF(AND($S129&lt;&gt;"",EDATE($D129,Milestones!$AA$107)&gt;=$S129),$V129,$U129)))=Milestones!$AB$107),UPPER(TEXT(EDATE($D129,Milestones!$AA$107),"dd mmm yy"))&amp;" "&amp;Milestones!$AB$107&amp;" "&amp;Milestones!$AC$107&amp;";  ","")&amp;IF(AND(EDATE($D129,Milestones!$AA$108)&lt;=AsOfDate,IF($R129=0,$X129,IF(AND($T129&lt;&gt;"",EDATE($D129,Milestones!$AA$108)&gt;=$T129),$W129,IF(AND($S129&lt;&gt;"",EDATE($D129,Milestones!$AA$108)&gt;=$S129),$V129,$U129)))=Milestones!$AB$108),UPPER(TEXT(EDATE($D129,Milestones!$AA$108),"dd mmm yy"))&amp;" "&amp;Milestones!$AB$108&amp;" "&amp;Milestones!$AC$108&amp;";  ","")&amp;IF(AND(EDATE($D129,Milestones!$AA$109)&lt;=AsOfDate,IF($R129=0,$X129,IF(AND($T129&lt;&gt;"",EDATE($D129,Milestones!$AA$109)&gt;=$T129),$W129,IF(AND($S129&lt;&gt;"",EDATE($D129,Milestones!$AA$109)&gt;=$S129),$V129,$U129)))=Milestones!$AB$109),UPPER(TEXT(EDATE($D129,Milestones!$AA$109),"dd mmm yy"))&amp;" "&amp;Milestones!$AB$109&amp;" "&amp;Milestones!$AC$109&amp;";  ","")&amp;IF(AND(EDATE($D129,Milestones!$AA$110)&lt;=AsOfDate,IF($R129=0,$X129,IF(AND($T129&lt;&gt;"",EDATE($D129,Milestones!$AA$110)&gt;=$T129),$W129,IF(AND($S129&lt;&gt;"",EDATE($D129,Milestones!$AA$110)&gt;=$S129),$V129,$U129)))=Milestones!$AB$110),UPPER(TEXT(EDATE($D129,Milestones!$AA$110),"dd mmm yy"))&amp;" "&amp;Milestones!$AB$110&amp;" "&amp;Milestones!$AC$110&amp;";  ","")&amp;IF(AND(EDATE($D129,Milestones!$AA$111)&lt;=AsOfDate,IF($R129=0,$X129,IF(AND($T129&lt;&gt;"",EDATE($D129,Milestones!$AA$111)&gt;=$T129),$W129,IF(AND($S129&lt;&gt;"",EDATE($D129,Milestones!$AA$111)&gt;=$S129),$V129,$U129)))=Milestones!$AB$111),UPPER(TEXT(EDATE($D129,Milestones!$AA$111),"dd mmm yy"))&amp;" "&amp;Milestones!$AB$111&amp;" "&amp;Milestones!$AC$111&amp;";  ","")&amp;IF(AND(EDATE($D129,Milestones!$AA$112)&lt;=AsOfDate,IF($R129=0,$X129,IF(AND($T129&lt;&gt;"",EDATE($D129,Milestones!$AA$112)&gt;=$T129),$W129,IF(AND($S129&lt;&gt;"",EDATE($D129,Milestones!$AA$112)&gt;=$S129),$V129,$U129)))=Milestones!$AB$112),UPPER(TEXT(EDATE($D129,Milestones!$AA$112),"dd mmm yy"))&amp;" "&amp;Milestones!$AB$112&amp;" "&amp;Milestones!$AC$112&amp;";  ","")&amp;IF(AND(EDATE($D129,Milestones!$AA$113)&lt;=AsOfDate,IF($R129=0,$X129,IF(AND($T129&lt;&gt;"",EDATE($D129,Milestones!$AA$113)&gt;=$T129),$W129,IF(AND($S129&lt;&gt;"",EDATE($D129,Milestones!$AA$113)&gt;=$S129),$V129,$U129)))=Milestones!$AB$113),UPPER(TEXT(EDATE($D129,Milestones!$AA$113),"dd mmm yy"))&amp;" "&amp;Milestones!$AB$113&amp;" "&amp;Milestones!$AC$113&amp;";  ","")&amp;IF(AND(EDATE($D129,Milestones!$AA$114)&lt;=AsOfDate,IF($R129=0,$X129,IF(AND($T129&lt;&gt;"",EDATE($D129,Milestones!$AA$114)&gt;=$T129),$W129,IF(AND($S129&lt;&gt;"",EDATE($D129,Milestones!$AA$114)&gt;=$S129),$V129,$U129)))=Milestones!$AB$114),UPPER(TEXT(EDATE($D129,Milestones!$AA$114),"dd mmm yy"))&amp;" "&amp;Milestones!$AB$114&amp;" "&amp;Milestones!$AC$114&amp;";  ","")&amp;IF(AND(EDATE($D129,Milestones!$AA$115)&lt;=AsOfDate,IF($R129=0,$X129,IF(AND($T129&lt;&gt;"",EDATE($D129,Milestones!$AA$115)&gt;=$T129),$W129,IF(AND($S129&lt;&gt;"",EDATE($D129,Milestones!$AA$115)&gt;=$S129),$V129,$U129)))=Milestones!$AB$115),UPPER(TEXT(EDATE($D129,Milestones!$AA$115),"dd mmm yy"))&amp;" "&amp;Milestones!$AB$115&amp;" "&amp;Milestones!$AC$115&amp;";  ","")&amp;IF(AND(EDATE($D129,Milestones!$AA$116)&lt;=AsOfDate,IF($R129=0,$X129,IF(AND($T129&lt;&gt;"",EDATE($D129,Milestones!$AA$116)&gt;=$T129),$W129,IF(AND($S129&lt;&gt;"",EDATE($D129,Milestones!$AA$116)&gt;=$S129),$V129,$U129)))=Milestones!$AB$116),UPPER(TEXT(EDATE($D129,Milestones!$AA$116),"dd mmm yy"))&amp;" "&amp;Milestones!$AB$116&amp;" "&amp;Milestones!$AC$116&amp;";  ","")&amp;IF(AND(EDATE($D129,Milestones!$AA$117)&lt;=AsOfDate,IF($R129=0,$X129,IF(AND($T129&lt;&gt;"",EDATE($D129,Milestones!$AA$117)&gt;=$T129),$W129,IF(AND($S129&lt;&gt;"",EDATE($D129,Milestones!$AA$117)&gt;=$S129),$V129,$U129)))=Milestones!$AB$117),UPPER(TEXT(EDATE($D129,Milestones!$AA$117),"dd mmm yy"))&amp;" "&amp;Milestones!$AB$117&amp;" "&amp;Milestones!$AC$117&amp;";  ","")&amp;IF(AND(EDATE($D129,Milestones!$AA$118)&lt;=AsOfDate,IF($R129=0,$X129,IF(AND($T129&lt;&gt;"",EDATE($D129,Milestones!$AA$118)&gt;=$T129),$W129,IF(AND($S129&lt;&gt;"",EDATE($D129,Milestones!$AA$118)&gt;=$S129),$V129,$U129)))=Milestones!$AB$118),UPPER(TEXT(EDATE($D129,Milestones!$AA$118),"dd mmm yy"))&amp;" "&amp;Milestones!$AB$118&amp;" "&amp;Milestones!$AC$118&amp;";  ","")&amp;IF(AND(EDATE($D129,Milestones!$AA$119)&lt;=AsOfDate,IF($R129=0,$X129,IF(AND($T129&lt;&gt;"",EDATE($D129,Milestones!$AA$119)&gt;=$T129),$W129,IF(AND($S129&lt;&gt;"",EDATE($D129,Milestones!$AA$119)&gt;=$S129),$V129,$U129)))=Milestones!$AB$119),UPPER(TEXT(EDATE($D129,Milestones!$AA$119),"dd mmm yy"))&amp;" "&amp;Milestones!$AB$119&amp;" "&amp;Milestones!$AC$119&amp;";  ",""))</f>
        <v/>
      </c>
      <c r="N129" s="0" t="str">
        <f aca="false">IF(OR($A129="",$D129=""),"",IF(AND(EDATE($D129,Milestones!$AA$120)&lt;=AsOfDate,IF($R129=0,$X129,IF(AND($T129&lt;&gt;"",EDATE($D129,Milestones!$AA$120)&gt;=$T129),$W129,IF(AND($S129&lt;&gt;"",EDATE($D129,Milestones!$AA$120)&gt;=$S129),$V129,$U129)))=Milestones!$AB$120),UPPER(TEXT(EDATE($D129,Milestones!$AA$120),"dd mmm yy"))&amp;" "&amp;Milestones!$AB$120&amp;" "&amp;Milestones!$AC$120&amp;";  ","")&amp;IF(AND(EDATE($D129,Milestones!$AA$121)&lt;=AsOfDate,IF($R129=0,$X129,IF(AND($T129&lt;&gt;"",EDATE($D129,Milestones!$AA$121)&gt;=$T129),$W129,IF(AND($S129&lt;&gt;"",EDATE($D129,Milestones!$AA$121)&gt;=$S129),$V129,$U129)))=Milestones!$AB$121),UPPER(TEXT(EDATE($D129,Milestones!$AA$121),"dd mmm yy"))&amp;" "&amp;Milestones!$AB$121&amp;" "&amp;Milestones!$AC$121&amp;";  ","")&amp;IF(AND(EDATE($D129,Milestones!$AA$122)&lt;=AsOfDate,IF($R129=0,$X129,IF(AND($T129&lt;&gt;"",EDATE($D129,Milestones!$AA$122)&gt;=$T129),$W129,IF(AND($S129&lt;&gt;"",EDATE($D129,Milestones!$AA$122)&gt;=$S129),$V129,$U129)))=Milestones!$AB$122),UPPER(TEXT(EDATE($D129,Milestones!$AA$122),"dd mmm yy"))&amp;" "&amp;Milestones!$AB$122&amp;" "&amp;Milestones!$AC$122&amp;";  ","")&amp;IF(AND(EDATE($D129,Milestones!$AA$123)&lt;=AsOfDate,IF($R129=0,$X129,IF(AND($T129&lt;&gt;"",EDATE($D129,Milestones!$AA$123)&gt;=$T129),$W129,IF(AND($S129&lt;&gt;"",EDATE($D129,Milestones!$AA$123)&gt;=$S129),$V129,$U129)))=Milestones!$AB$123),UPPER(TEXT(EDATE($D129,Milestones!$AA$123),"dd mmm yy"))&amp;" "&amp;Milestones!$AB$123&amp;" "&amp;Milestones!$AC$123&amp;";  ","")&amp;IF(AND(EDATE($D129,Milestones!$AA$124)&lt;=AsOfDate,IF($R129=0,$X129,IF(AND($T129&lt;&gt;"",EDATE($D129,Milestones!$AA$124)&gt;=$T129),$W129,IF(AND($S129&lt;&gt;"",EDATE($D129,Milestones!$AA$124)&gt;=$S129),$V129,$U129)))=Milestones!$AB$124),UPPER(TEXT(EDATE($D129,Milestones!$AA$124),"dd mmm yy"))&amp;" "&amp;Milestones!$AB$124&amp;" "&amp;Milestones!$AC$124&amp;";  ","")&amp;IF(AND(EDATE($D129,Milestones!$AA$125)&lt;=AsOfDate,IF($R129=0,$X129,IF(AND($T129&lt;&gt;"",EDATE($D129,Milestones!$AA$125)&gt;=$T129),$W129,IF(AND($S129&lt;&gt;"",EDATE($D129,Milestones!$AA$125)&gt;=$S129),$V129,$U129)))=Milestones!$AB$125),UPPER(TEXT(EDATE($D129,Milestones!$AA$125),"dd mmm yy"))&amp;" "&amp;Milestones!$AB$125&amp;" "&amp;Milestones!$AC$125&amp;";  ","")&amp;IF(AND(EDATE($D129,Milestones!$AA$126)&lt;=AsOfDate,IF($R129=0,$X129,IF(AND($T129&lt;&gt;"",EDATE($D129,Milestones!$AA$126)&gt;=$T129),$W129,IF(AND($S129&lt;&gt;"",EDATE($D129,Milestones!$AA$126)&gt;=$S129),$V129,$U129)))=Milestones!$AB$126),UPPER(TEXT(EDATE($D129,Milestones!$AA$126),"dd mmm yy"))&amp;" "&amp;Milestones!$AB$126&amp;" "&amp;Milestones!$AC$126&amp;";  ","")&amp;IF(AND(EDATE($D129,Milestones!$AA$127)&lt;=AsOfDate,IF($R129=0,$X129,IF(AND($T129&lt;&gt;"",EDATE($D129,Milestones!$AA$127)&gt;=$T129),$W129,IF(AND($S129&lt;&gt;"",EDATE($D129,Milestones!$AA$127)&gt;=$S129),$V129,$U129)))=Milestones!$AB$127),UPPER(TEXT(EDATE($D129,Milestones!$AA$127),"dd mmm yy"))&amp;" "&amp;Milestones!$AB$127&amp;" "&amp;Milestones!$AC$127&amp;";  ","")&amp;IF(AND(EDATE($D129,Milestones!$AA$128)&lt;=AsOfDate,IF($R129=0,$X129,IF(AND($T129&lt;&gt;"",EDATE($D129,Milestones!$AA$128)&gt;=$T129),$W129,IF(AND($S129&lt;&gt;"",EDATE($D129,Milestones!$AA$128)&gt;=$S129),$V129,$U129)))=Milestones!$AB$128),UPPER(TEXT(EDATE($D129,Milestones!$AA$128),"dd mmm yy"))&amp;" "&amp;Milestones!$AB$128&amp;" "&amp;Milestones!$AC$128&amp;";  ","")&amp;IF(AND(EDATE($D129,Milestones!$AA$129)&lt;=AsOfDate,IF($R129=0,$X129,IF(AND($T129&lt;&gt;"",EDATE($D129,Milestones!$AA$129)&gt;=$T129),$W129,IF(AND($S129&lt;&gt;"",EDATE($D129,Milestones!$AA$129)&gt;=$S129),$V129,$U129)))=Milestones!$AB$129),UPPER(TEXT(EDATE($D129,Milestones!$AA$129),"dd mmm yy"))&amp;" "&amp;Milestones!$AB$129&amp;" "&amp;Milestones!$AC$129&amp;";  ","")&amp;IF(AND(EDATE($D129,Milestones!$AA$130)&lt;=AsOfDate,IF($R129=0,$X129,IF(AND($T129&lt;&gt;"",EDATE($D129,Milestones!$AA$130)&gt;=$T129),$W129,IF(AND($S129&lt;&gt;"",EDATE($D129,Milestones!$AA$130)&gt;=$S129),$V129,$U129)))=Milestones!$AB$130),UPPER(TEXT(EDATE($D129,Milestones!$AA$130),"dd mmm yy"))&amp;" "&amp;Milestones!$AB$130&amp;" "&amp;Milestones!$AC$130&amp;";  ","")&amp;IF(AND(EDATE($D129,Milestones!$AA$131)&lt;=AsOfDate,IF($R129=0,$X129,IF(AND($T129&lt;&gt;"",EDATE($D129,Milestones!$AA$131)&gt;=$T129),$W129,IF(AND($S129&lt;&gt;"",EDATE($D129,Milestones!$AA$131)&gt;=$S129),$V129,$U129)))=Milestones!$AB$131),UPPER(TEXT(EDATE($D129,Milestones!$AA$131),"dd mmm yy"))&amp;" "&amp;Milestones!$AB$131&amp;" "&amp;Milestones!$AC$131&amp;";  ","")&amp;IF(AND(EDATE($D129,Milestones!$AA$132)&lt;=AsOfDate,IF($R129=0,$X129,IF(AND($T129&lt;&gt;"",EDATE($D129,Milestones!$AA$132)&gt;=$T129),$W129,IF(AND($S129&lt;&gt;"",EDATE($D129,Milestones!$AA$132)&gt;=$S129),$V129,$U129)))=Milestones!$AB$132),UPPER(TEXT(EDATE($D129,Milestones!$AA$132),"dd mmm yy"))&amp;" "&amp;Milestones!$AB$132&amp;" "&amp;Milestones!$AC$132&amp;";  ","")&amp;IF(AND(EDATE($D129,Milestones!$AA$133)&lt;=AsOfDate,IF($R129=0,$X129,IF(AND($T129&lt;&gt;"",EDATE($D129,Milestones!$AA$133)&gt;=$T129),$W129,IF(AND($S129&lt;&gt;"",EDATE($D129,Milestones!$AA$133)&gt;=$S129),$V129,$U129)))=Milestones!$AB$133),UPPER(TEXT(EDATE($D129,Milestones!$AA$133),"dd mmm yy"))&amp;" "&amp;Milestones!$AB$133&amp;" "&amp;Milestones!$AC$133&amp;";  ","")&amp;IF(AND(EDATE($D129,Milestones!$AA$134)&lt;=AsOfDate,IF($R129=0,$X129,IF(AND($T129&lt;&gt;"",EDATE($D129,Milestones!$AA$134)&gt;=$T129),$W129,IF(AND($S129&lt;&gt;"",EDATE($D129,Milestones!$AA$134)&gt;=$S129),$V129,$U129)))=Milestones!$AB$134),UPPER(TEXT(EDATE($D129,Milestones!$AA$134),"dd mmm yy"))&amp;" "&amp;Milestones!$AB$134&amp;" "&amp;Milestones!$AC$134&amp;";  ","")&amp;IF(AND(EDATE($D129,Milestones!$AA$135)&lt;=AsOfDate,IF($R129=0,$X129,IF(AND($T129&lt;&gt;"",EDATE($D129,Milestones!$AA$135)&gt;=$T129),$W129,IF(AND($S129&lt;&gt;"",EDATE($D129,Milestones!$AA$135)&gt;=$S129),$V129,$U129)))=Milestones!$AB$135),UPPER(TEXT(EDATE($D129,Milestones!$AA$135),"dd mmm yy"))&amp;" "&amp;Milestones!$AB$135&amp;" "&amp;Milestones!$AC$135&amp;";  ","")&amp;IF(AND(EDATE($D129,Milestones!$AA$136)&lt;=AsOfDate,IF($R129=0,$X129,IF(AND($T129&lt;&gt;"",EDATE($D129,Milestones!$AA$136)&gt;=$T129),$W129,IF(AND($S129&lt;&gt;"",EDATE($D129,Milestones!$AA$136)&gt;=$S129),$V129,$U129)))=Milestones!$AB$136),UPPER(TEXT(EDATE($D129,Milestones!$AA$136),"dd mmm yy"))&amp;" "&amp;Milestones!$AB$136&amp;" "&amp;Milestones!$AC$136&amp;";  ","")&amp;IF(AND(EDATE($D129,Milestones!$AA$137)&lt;=AsOfDate,IF($R129=0,$X129,IF(AND($T129&lt;&gt;"",EDATE($D129,Milestones!$AA$137)&gt;=$T129),$W129,IF(AND($S129&lt;&gt;"",EDATE($D129,Milestones!$AA$137)&gt;=$S129),$V129,$U129)))=Milestones!$AB$137),UPPER(TEXT(EDATE($D129,Milestones!$AA$137),"dd mmm yy"))&amp;" "&amp;Milestones!$AB$137&amp;" "&amp;Milestones!$AC$137&amp;";  ","")&amp;IF(AND(EDATE($D129,Milestones!$AA$138)&lt;=AsOfDate,IF($R129=0,$X129,IF(AND($T129&lt;&gt;"",EDATE($D129,Milestones!$AA$138)&gt;=$T129),$W129,IF(AND($S129&lt;&gt;"",EDATE($D129,Milestones!$AA$138)&gt;=$S129),$V129,$U129)))=Milestones!$AB$138),UPPER(TEXT(EDATE($D129,Milestones!$AA$138),"dd mmm yy"))&amp;" "&amp;Milestones!$AB$138&amp;" "&amp;Milestones!$AC$138&amp;";  ","")&amp;IF(AND(EDATE($D129,Milestones!$AA$139)&lt;=AsOfDate,IF($R129=0,$X129,IF(AND($T129&lt;&gt;"",EDATE($D129,Milestones!$AA$139)&gt;=$T129),$W129,IF(AND($S129&lt;&gt;"",EDATE($D129,Milestones!$AA$139)&gt;=$S129),$V129,$U129)))=Milestones!$AB$139),UPPER(TEXT(EDATE($D129,Milestones!$AA$139),"dd mmm yy"))&amp;" "&amp;Milestones!$AB$139&amp;" "&amp;Milestones!$AC$139&amp;";  ",""))</f>
        <v/>
      </c>
      <c r="O129" s="0" t="str">
        <f aca="false">IF(OR($A129="",$D129=""),"",IF(AND(EDATE($D129,Milestones!$AA$140)&lt;=AsOfDate,IF($R129=0,$X129,IF(AND($T129&lt;&gt;"",EDATE($D129,Milestones!$AA$140)&gt;=$T129),$W129,IF(AND($S129&lt;&gt;"",EDATE($D129,Milestones!$AA$140)&gt;=$S129),$V129,$U129)))=Milestones!$AB$140),UPPER(TEXT(EDATE($D129,Milestones!$AA$140),"dd mmm yy"))&amp;" "&amp;Milestones!$AB$140&amp;" "&amp;Milestones!$AC$140&amp;";  ","")&amp;IF(AND(EDATE($D129,Milestones!$AA$141)&lt;=AsOfDate,IF($R129=0,$X129,IF(AND($T129&lt;&gt;"",EDATE($D129,Milestones!$AA$141)&gt;=$T129),$W129,IF(AND($S129&lt;&gt;"",EDATE($D129,Milestones!$AA$141)&gt;=$S129),$V129,$U129)))=Milestones!$AB$141),UPPER(TEXT(EDATE($D129,Milestones!$AA$141),"dd mmm yy"))&amp;" "&amp;Milestones!$AB$141&amp;" "&amp;Milestones!$AC$141&amp;";  ","")&amp;IF(AND(EDATE($D129,Milestones!$AA$142)&lt;=AsOfDate,IF($R129=0,$X129,IF(AND($T129&lt;&gt;"",EDATE($D129,Milestones!$AA$142)&gt;=$T129),$W129,IF(AND($S129&lt;&gt;"",EDATE($D129,Milestones!$AA$142)&gt;=$S129),$V129,$U129)))=Milestones!$AB$142),UPPER(TEXT(EDATE($D129,Milestones!$AA$142),"dd mmm yy"))&amp;" "&amp;Milestones!$AB$142&amp;" "&amp;Milestones!$AC$142&amp;";  ","")&amp;IF(AND(EDATE($D129,Milestones!$AA$143)&lt;=AsOfDate,IF($R129=0,$X129,IF(AND($T129&lt;&gt;"",EDATE($D129,Milestones!$AA$143)&gt;=$T129),$W129,IF(AND($S129&lt;&gt;"",EDATE($D129,Milestones!$AA$143)&gt;=$S129),$V129,$U129)))=Milestones!$AB$143),UPPER(TEXT(EDATE($D129,Milestones!$AA$143),"dd mmm yy"))&amp;" "&amp;Milestones!$AB$143&amp;" "&amp;Milestones!$AC$143&amp;";  ","")&amp;IF(AND(EDATE($D129,Milestones!$AA$144)&lt;=AsOfDate,IF($R129=0,$X129,IF(AND($T129&lt;&gt;"",EDATE($D129,Milestones!$AA$144)&gt;=$T129),$W129,IF(AND($S129&lt;&gt;"",EDATE($D129,Milestones!$AA$144)&gt;=$S129),$V129,$U129)))=Milestones!$AB$144),UPPER(TEXT(EDATE($D129,Milestones!$AA$144),"dd mmm yy"))&amp;" "&amp;Milestones!$AB$144&amp;" "&amp;Milestones!$AC$144&amp;";  ","")&amp;IF(AND(EDATE($D129,Milestones!$AA$145)&lt;=AsOfDate,IF($R129=0,$X129,IF(AND($T129&lt;&gt;"",EDATE($D129,Milestones!$AA$145)&gt;=$T129),$W129,IF(AND($S129&lt;&gt;"",EDATE($D129,Milestones!$AA$145)&gt;=$S129),$V129,$U129)))=Milestones!$AB$145),UPPER(TEXT(EDATE($D129,Milestones!$AA$145),"dd mmm yy"))&amp;" "&amp;Milestones!$AB$145&amp;" "&amp;Milestones!$AC$145&amp;";  ","")&amp;IF(AND(EDATE($D129,Milestones!$AA$146)&lt;=AsOfDate,IF($R129=0,$X129,IF(AND($T129&lt;&gt;"",EDATE($D129,Milestones!$AA$146)&gt;=$T129),$W129,IF(AND($S129&lt;&gt;"",EDATE($D129,Milestones!$AA$146)&gt;=$S129),$V129,$U129)))=Milestones!$AB$146),UPPER(TEXT(EDATE($D129,Milestones!$AA$146),"dd mmm yy"))&amp;" "&amp;Milestones!$AB$146&amp;" "&amp;Milestones!$AC$146&amp;";  ","")&amp;IF(AND(EDATE($D129,Milestones!$AA$147)&lt;=AsOfDate,IF($R129=0,$X129,IF(AND($T129&lt;&gt;"",EDATE($D129,Milestones!$AA$147)&gt;=$T129),$W129,IF(AND($S129&lt;&gt;"",EDATE($D129,Milestones!$AA$147)&gt;=$S129),$V129,$U129)))=Milestones!$AB$147),UPPER(TEXT(EDATE($D129,Milestones!$AA$147),"dd mmm yy"))&amp;" "&amp;Milestones!$AB$147&amp;" "&amp;Milestones!$AC$147&amp;";  ","")&amp;IF(AND(EDATE($D129,Milestones!$AA$148)&lt;=AsOfDate,IF($R129=0,$X129,IF(AND($T129&lt;&gt;"",EDATE($D129,Milestones!$AA$148)&gt;=$T129),$W129,IF(AND($S129&lt;&gt;"",EDATE($D129,Milestones!$AA$148)&gt;=$S129),$V129,$U129)))=Milestones!$AB$148),UPPER(TEXT(EDATE($D129,Milestones!$AA$148),"dd mmm yy"))&amp;" "&amp;Milestones!$AB$148&amp;" "&amp;Milestones!$AC$148&amp;";  ","")&amp;IF(AND(EDATE($D129,Milestones!$AA$149)&lt;=AsOfDate,IF($R129=0,$X129,IF(AND($T129&lt;&gt;"",EDATE($D129,Milestones!$AA$149)&gt;=$T129),$W129,IF(AND($S129&lt;&gt;"",EDATE($D129,Milestones!$AA$149)&gt;=$S129),$V129,$U129)))=Milestones!$AB$149),UPPER(TEXT(EDATE($D129,Milestones!$AA$149),"dd mmm yy"))&amp;" "&amp;Milestones!$AB$149&amp;" "&amp;Milestones!$AC$149&amp;";  ","")&amp;IF(AND(EDATE($D129,Milestones!$AA$150)&lt;=AsOfDate,IF($R129=0,$X129,IF(AND($T129&lt;&gt;"",EDATE($D129,Milestones!$AA$150)&gt;=$T129),$W129,IF(AND($S129&lt;&gt;"",EDATE($D129,Milestones!$AA$150)&gt;=$S129),$V129,$U129)))=Milestones!$AB$150),UPPER(TEXT(EDATE($D129,Milestones!$AA$150),"dd mmm yy"))&amp;" "&amp;Milestones!$AB$150&amp;" "&amp;Milestones!$AC$150&amp;";  ","")&amp;IF(AND(EDATE($D129,Milestones!$AA$151)&lt;=AsOfDate,IF($R129=0,$X129,IF(AND($T129&lt;&gt;"",EDATE($D129,Milestones!$AA$151)&gt;=$T129),$W129,IF(AND($S129&lt;&gt;"",EDATE($D129,Milestones!$AA$151)&gt;=$S129),$V129,$U129)))=Milestones!$AB$151),UPPER(TEXT(EDATE($D129,Milestones!$AA$151),"dd mmm yy"))&amp;" "&amp;Milestones!$AB$151&amp;" "&amp;Milestones!$AC$151&amp;";  ","")&amp;IF(AND(EDATE($D129,Milestones!$AA$152)&lt;=AsOfDate,IF($R129=0,$X129,IF(AND($T129&lt;&gt;"",EDATE($D129,Milestones!$AA$152)&gt;=$T129),$W129,IF(AND($S129&lt;&gt;"",EDATE($D129,Milestones!$AA$152)&gt;=$S129),$V129,$U129)))=Milestones!$AB$152),UPPER(TEXT(EDATE($D129,Milestones!$AA$152),"dd mmm yy"))&amp;" "&amp;Milestones!$AB$152&amp;" "&amp;Milestones!$AC$152&amp;";  ","")&amp;IF(AND(EDATE($D129,Milestones!$AA$153)&lt;=AsOfDate,IF($R129=0,$X129,IF(AND($T129&lt;&gt;"",EDATE($D129,Milestones!$AA$153)&gt;=$T129),$W129,IF(AND($S129&lt;&gt;"",EDATE($D129,Milestones!$AA$153)&gt;=$S129),$V129,$U129)))=Milestones!$AB$153),UPPER(TEXT(EDATE($D129,Milestones!$AA$153),"dd mmm yy"))&amp;" "&amp;Milestones!$AB$153&amp;" "&amp;Milestones!$AC$153&amp;";  ","")&amp;IF(AND(EDATE($D129,Milestones!$AA$154)&lt;=AsOfDate,IF($R129=0,$X129,IF(AND($T129&lt;&gt;"",EDATE($D129,Milestones!$AA$154)&gt;=$T129),$W129,IF(AND($S129&lt;&gt;"",EDATE($D129,Milestones!$AA$154)&gt;=$S129),$V129,$U129)))=Milestones!$AB$154),UPPER(TEXT(EDATE($D129,Milestones!$AA$154),"dd mmm yy"))&amp;" "&amp;Milestones!$AB$154&amp;" "&amp;Milestones!$AC$154&amp;";  ","")&amp;IF(AND(EDATE($D129,Milestones!$AA$155)&lt;=AsOfDate,IF($R129=0,$X129,IF(AND($T129&lt;&gt;"",EDATE($D129,Milestones!$AA$155)&gt;=$T129),$W129,IF(AND($S129&lt;&gt;"",EDATE($D129,Milestones!$AA$155)&gt;=$S129),$V129,$U129)))=Milestones!$AB$155),UPPER(TEXT(EDATE($D129,Milestones!$AA$155),"dd mmm yy"))&amp;" "&amp;Milestones!$AB$155&amp;" "&amp;Milestones!$AC$155&amp;";  ","")&amp;IF(AND(EDATE($D129,Milestones!$AA$156)&lt;=AsOfDate,IF($R129=0,$X129,IF(AND($T129&lt;&gt;"",EDATE($D129,Milestones!$AA$156)&gt;=$T129),$W129,IF(AND($S129&lt;&gt;"",EDATE($D129,Milestones!$AA$156)&gt;=$S129),$V129,$U129)))=Milestones!$AB$156),UPPER(TEXT(EDATE($D129,Milestones!$AA$156),"dd mmm yy"))&amp;" "&amp;Milestones!$AB$156&amp;" "&amp;Milestones!$AC$156&amp;";  ","")&amp;IF(AND(EDATE($D129,Milestones!$AA$157)&lt;=AsOfDate,IF($R129=0,$X129,IF(AND($T129&lt;&gt;"",EDATE($D129,Milestones!$AA$157)&gt;=$T129),$W129,IF(AND($S129&lt;&gt;"",EDATE($D129,Milestones!$AA$157)&gt;=$S129),$V129,$U129)))=Milestones!$AB$157),UPPER(TEXT(EDATE($D129,Milestones!$AA$157),"dd mmm yy"))&amp;" "&amp;Milestones!$AB$157&amp;" "&amp;Milestones!$AC$157&amp;";  ","")&amp;IF(AND(EDATE($D129,Milestones!$AA$158)&lt;=AsOfDate,IF($R129=0,$X129,IF(AND($T129&lt;&gt;"",EDATE($D129,Milestones!$AA$158)&gt;=$T129),$W129,IF(AND($S129&lt;&gt;"",EDATE($D129,Milestones!$AA$158)&gt;=$S129),$V129,$U129)))=Milestones!$AB$158),UPPER(TEXT(EDATE($D129,Milestones!$AA$158),"dd mmm yy"))&amp;" "&amp;Milestones!$AB$158&amp;" "&amp;Milestones!$AC$158&amp;";  ","")&amp;IF(AND(EDATE($D129,Milestones!$AA$159)&lt;=AsOfDate,IF($R129=0,$X129,IF(AND($T129&lt;&gt;"",EDATE($D129,Milestones!$AA$159)&gt;=$T129),$W129,IF(AND($S129&lt;&gt;"",EDATE($D129,Milestones!$AA$159)&gt;=$S129),$V129,$U129)))=Milestones!$AB$159),UPPER(TEXT(EDATE($D129,Milestones!$AA$159),"dd mmm yy"))&amp;" "&amp;Milestones!$AB$159&amp;" "&amp;Milestones!$AC$159&amp;";  ",""))</f>
        <v/>
      </c>
      <c r="P129" s="0" t="str">
        <f aca="false">IF(OR($A129="",$D129=""),"",IF(AND(EDATE($D129,Milestones!$AA$160)&lt;=AsOfDate,IF($R129=0,$X129,IF(AND($T129&lt;&gt;"",EDATE($D129,Milestones!$AA$160)&gt;=$T129),$W129,IF(AND($S129&lt;&gt;"",EDATE($D129,Milestones!$AA$160)&gt;=$S129),$V129,$U129)))=Milestones!$AB$160),UPPER(TEXT(EDATE($D129,Milestones!$AA$160),"dd mmm yy"))&amp;" "&amp;Milestones!$AB$160&amp;" "&amp;Milestones!$AC$160&amp;";  ","")&amp;IF(AND(EDATE($D129,Milestones!$AA$161)&lt;=AsOfDate,IF($R129=0,$X129,IF(AND($T129&lt;&gt;"",EDATE($D129,Milestones!$AA$161)&gt;=$T129),$W129,IF(AND($S129&lt;&gt;"",EDATE($D129,Milestones!$AA$161)&gt;=$S129),$V129,$U129)))=Milestones!$AB$161),UPPER(TEXT(EDATE($D129,Milestones!$AA$161),"dd mmm yy"))&amp;" "&amp;Milestones!$AB$161&amp;" "&amp;Milestones!$AC$161&amp;";  ","")&amp;IF(AND(EDATE($D129,Milestones!$AA$162)&lt;=AsOfDate,IF($R129=0,$X129,IF(AND($T129&lt;&gt;"",EDATE($D129,Milestones!$AA$162)&gt;=$T129),$W129,IF(AND($S129&lt;&gt;"",EDATE($D129,Milestones!$AA$162)&gt;=$S129),$V129,$U129)))=Milestones!$AB$162),UPPER(TEXT(EDATE($D129,Milestones!$AA$162),"dd mmm yy"))&amp;" "&amp;Milestones!$AB$162&amp;" "&amp;Milestones!$AC$162&amp;";  ","")&amp;IF(AND(EDATE($D129,Milestones!$AA$163)&lt;=AsOfDate,IF($R129=0,$X129,IF(AND($T129&lt;&gt;"",EDATE($D129,Milestones!$AA$163)&gt;=$T129),$W129,IF(AND($S129&lt;&gt;"",EDATE($D129,Milestones!$AA$163)&gt;=$S129),$V129,$U129)))=Milestones!$AB$163),UPPER(TEXT(EDATE($D129,Milestones!$AA$163),"dd mmm yy"))&amp;" "&amp;Milestones!$AB$163&amp;" "&amp;Milestones!$AC$163&amp;";  ","")&amp;IF(AND(EDATE($D129,Milestones!$AA$164)&lt;=AsOfDate,IF($R129=0,$X129,IF(AND($T129&lt;&gt;"",EDATE($D129,Milestones!$AA$164)&gt;=$T129),$W129,IF(AND($S129&lt;&gt;"",EDATE($D129,Milestones!$AA$164)&gt;=$S129),$V129,$U129)))=Milestones!$AB$164),UPPER(TEXT(EDATE($D129,Milestones!$AA$164),"dd mmm yy"))&amp;" "&amp;Milestones!$AB$164&amp;" "&amp;Milestones!$AC$164&amp;";  ","")&amp;IF(AND(EDATE($D129,Milestones!$AA$165)&lt;=AsOfDate,IF($R129=0,$X129,IF(AND($T129&lt;&gt;"",EDATE($D129,Milestones!$AA$165)&gt;=$T129),$W129,IF(AND($S129&lt;&gt;"",EDATE($D129,Milestones!$AA$165)&gt;=$S129),$V129,$U129)))=Milestones!$AB$165),UPPER(TEXT(EDATE($D129,Milestones!$AA$165),"dd mmm yy"))&amp;" "&amp;Milestones!$AB$165&amp;" "&amp;Milestones!$AC$165&amp;";  ","")&amp;IF(AND(EDATE($D129,Milestones!$AA$166)&lt;=AsOfDate,IF($R129=0,$X129,IF(AND($T129&lt;&gt;"",EDATE($D129,Milestones!$AA$166)&gt;=$T129),$W129,IF(AND($S129&lt;&gt;"",EDATE($D129,Milestones!$AA$166)&gt;=$S129),$V129,$U129)))=Milestones!$AB$166),UPPER(TEXT(EDATE($D129,Milestones!$AA$166),"dd mmm yy"))&amp;" "&amp;Milestones!$AB$166&amp;" "&amp;Milestones!$AC$166&amp;";  ","")&amp;IF(AND(EDATE($D129,Milestones!$AA$167)&lt;=AsOfDate,IF($R129=0,$X129,IF(AND($T129&lt;&gt;"",EDATE($D129,Milestones!$AA$167)&gt;=$T129),$W129,IF(AND($S129&lt;&gt;"",EDATE($D129,Milestones!$AA$167)&gt;=$S129),$V129,$U129)))=Milestones!$AB$167),UPPER(TEXT(EDATE($D129,Milestones!$AA$167),"dd mmm yy"))&amp;" "&amp;Milestones!$AB$167&amp;" "&amp;Milestones!$AC$167&amp;";  ","")&amp;IF(AND(EDATE($D129,Milestones!$AA$168)&lt;=AsOfDate,IF($R129=0,$X129,IF(AND($T129&lt;&gt;"",EDATE($D129,Milestones!$AA$168)&gt;=$T129),$W129,IF(AND($S129&lt;&gt;"",EDATE($D129,Milestones!$AA$168)&gt;=$S129),$V129,$U129)))=Milestones!$AB$168),UPPER(TEXT(EDATE($D129,Milestones!$AA$168),"dd mmm yy"))&amp;" "&amp;Milestones!$AB$168&amp;" "&amp;Milestones!$AC$168&amp;";  ","")&amp;IF(AND(EDATE($D129,Milestones!$AA$169)&lt;=AsOfDate,IF($R129=0,$X129,IF(AND($T129&lt;&gt;"",EDATE($D129,Milestones!$AA$169)&gt;=$T129),$W129,IF(AND($S129&lt;&gt;"",EDATE($D129,Milestones!$AA$169)&gt;=$S129),$V129,$U129)))=Milestones!$AB$169),UPPER(TEXT(EDATE($D129,Milestones!$AA$169),"dd mmm yy"))&amp;" "&amp;Milestones!$AB$169&amp;" "&amp;Milestones!$AC$169&amp;";  ","")&amp;IF(AND(EDATE($D129,Milestones!$AA$170)&lt;=AsOfDate,IF($R129=0,$X129,IF(AND($T129&lt;&gt;"",EDATE($D129,Milestones!$AA$170)&gt;=$T129),$W129,IF(AND($S129&lt;&gt;"",EDATE($D129,Milestones!$AA$170)&gt;=$S129),$V129,$U129)))=Milestones!$AB$170),UPPER(TEXT(EDATE($D129,Milestones!$AA$170),"dd mmm yy"))&amp;" "&amp;Milestones!$AB$170&amp;" "&amp;Milestones!$AC$170&amp;";  ","")&amp;IF(AND(EDATE($D129,Milestones!$AA$171)&lt;=AsOfDate,IF($R129=0,$X129,IF(AND($T129&lt;&gt;"",EDATE($D129,Milestones!$AA$171)&gt;=$T129),$W129,IF(AND($S129&lt;&gt;"",EDATE($D129,Milestones!$AA$171)&gt;=$S129),$V129,$U129)))=Milestones!$AB$171),UPPER(TEXT(EDATE($D129,Milestones!$AA$171),"dd mmm yy"))&amp;" "&amp;Milestones!$AB$171&amp;" "&amp;Milestones!$AC$171&amp;";  ","")&amp;IF(AND(EDATE($D129,Milestones!$AA$172)&lt;=AsOfDate,IF($R129=0,$X129,IF(AND($T129&lt;&gt;"",EDATE($D129,Milestones!$AA$172)&gt;=$T129),$W129,IF(AND($S129&lt;&gt;"",EDATE($D129,Milestones!$AA$172)&gt;=$S129),$V129,$U129)))=Milestones!$AB$172),UPPER(TEXT(EDATE($D129,Milestones!$AA$172),"dd mmm yy"))&amp;" "&amp;Milestones!$AB$172&amp;" "&amp;Milestones!$AC$172&amp;";  ","")&amp;IF(AND(EDATE($D129,Milestones!$AA$173)&lt;=AsOfDate,IF($R129=0,$X129,IF(AND($T129&lt;&gt;"",EDATE($D129,Milestones!$AA$173)&gt;=$T129),$W129,IF(AND($S129&lt;&gt;"",EDATE($D129,Milestones!$AA$173)&gt;=$S129),$V129,$U129)))=Milestones!$AB$173),UPPER(TEXT(EDATE($D129,Milestones!$AA$173),"dd mmm yy"))&amp;" "&amp;Milestones!$AB$173&amp;" "&amp;Milestones!$AC$173&amp;";  ","")&amp;IF(AND(EDATE($D129,Milestones!$AA$174)&lt;=AsOfDate,IF($R129=0,$X129,IF(AND($T129&lt;&gt;"",EDATE($D129,Milestones!$AA$174)&gt;=$T129),$W129,IF(AND($S129&lt;&gt;"",EDATE($D129,Milestones!$AA$174)&gt;=$S129),$V129,$U129)))=Milestones!$AB$174),UPPER(TEXT(EDATE($D129,Milestones!$AA$174),"dd mmm yy"))&amp;" "&amp;Milestones!$AB$174&amp;" "&amp;Milestones!$AC$174&amp;";  ","")&amp;IF(AND(EDATE($D129,Milestones!$AA$175)&lt;=AsOfDate,IF($R129=0,$X129,IF(AND($T129&lt;&gt;"",EDATE($D129,Milestones!$AA$175)&gt;=$T129),$W129,IF(AND($S129&lt;&gt;"",EDATE($D129,Milestones!$AA$175)&gt;=$S129),$V129,$U129)))=Milestones!$AB$175),UPPER(TEXT(EDATE($D129,Milestones!$AA$175),"dd mmm yy"))&amp;" "&amp;Milestones!$AB$175&amp;" "&amp;Milestones!$AC$175&amp;";  ","")&amp;IF(AND(EDATE($D129,Milestones!$AA$176)&lt;=AsOfDate,IF($R129=0,$X129,IF(AND($T129&lt;&gt;"",EDATE($D129,Milestones!$AA$176)&gt;=$T129),$W129,IF(AND($S129&lt;&gt;"",EDATE($D129,Milestones!$AA$176)&gt;=$S129),$V129,$U129)))=Milestones!$AB$176),UPPER(TEXT(EDATE($D129,Milestones!$AA$176),"dd mmm yy"))&amp;" "&amp;Milestones!$AB$176&amp;" "&amp;Milestones!$AC$176&amp;";  ","")&amp;IF(AND(EDATE($D129,Milestones!$AA$177)&lt;=AsOfDate,IF($R129=0,$X129,IF(AND($T129&lt;&gt;"",EDATE($D129,Milestones!$AA$177)&gt;=$T129),$W129,IF(AND($S129&lt;&gt;"",EDATE($D129,Milestones!$AA$177)&gt;=$S129),$V129,$U129)))=Milestones!$AB$177),UPPER(TEXT(EDATE($D129,Milestones!$AA$177),"dd mmm yy"))&amp;" "&amp;Milestones!$AB$177&amp;" "&amp;Milestones!$AC$177&amp;";  ","")&amp;IF(AND(EDATE($D129,Milestones!$AA$178)&lt;=AsOfDate,IF($R129=0,$X129,IF(AND($T129&lt;&gt;"",EDATE($D129,Milestones!$AA$178)&gt;=$T129),$W129,IF(AND($S129&lt;&gt;"",EDATE($D129,Milestones!$AA$178)&gt;=$S129),$V129,$U129)))=Milestones!$AB$178),UPPER(TEXT(EDATE($D129,Milestones!$AA$178),"dd mmm yy"))&amp;" "&amp;Milestones!$AB$178&amp;" "&amp;Milestones!$AC$178&amp;";  ","")&amp;IF(AND(EDATE($D129,Milestones!$AA$179)&lt;=AsOfDate,IF($R129=0,$X129,IF(AND($T129&lt;&gt;"",EDATE($D129,Milestones!$AA$179)&gt;=$T129),$W129,IF(AND($S129&lt;&gt;"",EDATE($D129,Milestones!$AA$179)&gt;=$S129),$V129,$U129)))=Milestones!$AB$179),UPPER(TEXT(EDATE($D129,Milestones!$AA$179),"dd mmm yy"))&amp;" "&amp;Milestones!$AB$179&amp;" "&amp;Milestones!$AC$179&amp;";  ",""))</f>
        <v/>
      </c>
      <c r="Q129" s="0" t="str">
        <f aca="false">IF(OR($A129="",$D129=""),"",IF(AND(EDATE($D129,Milestones!$AA$180)&lt;=AsOfDate,IF($R129=0,$X129,IF(AND($T129&lt;&gt;"",EDATE($D129,Milestones!$AA$180)&gt;=$T129),$W129,IF(AND($S129&lt;&gt;"",EDATE($D129,Milestones!$AA$180)&gt;=$S129),$V129,$U129)))=Milestones!$AB$180),UPPER(TEXT(EDATE($D129,Milestones!$AA$180),"dd mmm yy"))&amp;" "&amp;Milestones!$AB$180&amp;" "&amp;Milestones!$AC$180&amp;";  ","")&amp;IF(AND(EDATE($D129,Milestones!$AA$181)&lt;=AsOfDate,IF($R129=0,$X129,IF(AND($T129&lt;&gt;"",EDATE($D129,Milestones!$AA$181)&gt;=$T129),$W129,IF(AND($S129&lt;&gt;"",EDATE($D129,Milestones!$AA$181)&gt;=$S129),$V129,$U129)))=Milestones!$AB$181),UPPER(TEXT(EDATE($D129,Milestones!$AA$181),"dd mmm yy"))&amp;" "&amp;Milestones!$AB$181&amp;" "&amp;Milestones!$AC$181&amp;";  ","")&amp;IF(AND(EDATE($D129,Milestones!$AA$182)&lt;=AsOfDate,IF($R129=0,$X129,IF(AND($T129&lt;&gt;"",EDATE($D129,Milestones!$AA$182)&gt;=$T129),$W129,IF(AND($S129&lt;&gt;"",EDATE($D129,Milestones!$AA$182)&gt;=$S129),$V129,$U129)))=Milestones!$AB$182),UPPER(TEXT(EDATE($D129,Milestones!$AA$182),"dd mmm yy"))&amp;" "&amp;Milestones!$AB$182&amp;" "&amp;Milestones!$AC$182&amp;";  ","")&amp;IF(AND(EDATE($D129,Milestones!$AA$183)&lt;=AsOfDate,IF($R129=0,$X129,IF(AND($T129&lt;&gt;"",EDATE($D129,Milestones!$AA$183)&gt;=$T129),$W129,IF(AND($S129&lt;&gt;"",EDATE($D129,Milestones!$AA$183)&gt;=$S129),$V129,$U129)))=Milestones!$AB$183),UPPER(TEXT(EDATE($D129,Milestones!$AA$183),"dd mmm yy"))&amp;" "&amp;Milestones!$AB$183&amp;" "&amp;Milestones!$AC$183&amp;";  ","")&amp;IF(AND(EDATE($D129,Milestones!$AA$184)&lt;=AsOfDate,IF($R129=0,$X129,IF(AND($T129&lt;&gt;"",EDATE($D129,Milestones!$AA$184)&gt;=$T129),$W129,IF(AND($S129&lt;&gt;"",EDATE($D129,Milestones!$AA$184)&gt;=$S129),$V129,$U129)))=Milestones!$AB$184),UPPER(TEXT(EDATE($D129,Milestones!$AA$184),"dd mmm yy"))&amp;" "&amp;Milestones!$AB$184&amp;" "&amp;Milestones!$AC$184&amp;";  ","")&amp;IF(AND(EDATE($D129,Milestones!$AA$185)&lt;=AsOfDate,IF($R129=0,$X129,IF(AND($T129&lt;&gt;"",EDATE($D129,Milestones!$AA$185)&gt;=$T129),$W129,IF(AND($S129&lt;&gt;"",EDATE($D129,Milestones!$AA$185)&gt;=$S129),$V129,$U129)))=Milestones!$AB$185),UPPER(TEXT(EDATE($D129,Milestones!$AA$185),"dd mmm yy"))&amp;" "&amp;Milestones!$AB$185&amp;" "&amp;Milestones!$AC$185&amp;";  ","")&amp;IF(AND(EDATE($D129,Milestones!$AA$186)&lt;=AsOfDate,IF($R129=0,$X129,IF(AND($T129&lt;&gt;"",EDATE($D129,Milestones!$AA$186)&gt;=$T129),$W129,IF(AND($S129&lt;&gt;"",EDATE($D129,Milestones!$AA$186)&gt;=$S129),$V129,$U129)))=Milestones!$AB$186),UPPER(TEXT(EDATE($D129,Milestones!$AA$186),"dd mmm yy"))&amp;" "&amp;Milestones!$AB$186&amp;" "&amp;Milestones!$AC$186&amp;";  ","")&amp;IF(AND(EDATE($D129,Milestones!$AA$187)&lt;=AsOfDate,IF($R129=0,$X129,IF(AND($T129&lt;&gt;"",EDATE($D129,Milestones!$AA$187)&gt;=$T129),$W129,IF(AND($S129&lt;&gt;"",EDATE($D129,Milestones!$AA$187)&gt;=$S129),$V129,$U129)))=Milestones!$AB$187),UPPER(TEXT(EDATE($D129,Milestones!$AA$187),"dd mmm yy"))&amp;" "&amp;Milestones!$AB$187&amp;" "&amp;Milestones!$AC$187&amp;";  ","")&amp;IF(AND(EDATE($D129,Milestones!$AA$188)&lt;=AsOfDate,IF($R129=0,$X129,IF(AND($T129&lt;&gt;"",EDATE($D129,Milestones!$AA$188)&gt;=$T129),$W129,IF(AND($S129&lt;&gt;"",EDATE($D129,Milestones!$AA$188)&gt;=$S129),$V129,$U129)))=Milestones!$AB$188),UPPER(TEXT(EDATE($D129,Milestones!$AA$188),"dd mmm yy"))&amp;" "&amp;Milestones!$AB$188&amp;" "&amp;Milestones!$AC$188&amp;";  ","")&amp;IF(AND(EDATE($D129,Milestones!$AA$189)&lt;=AsOfDate,IF($R129=0,$X129,IF(AND($T129&lt;&gt;"",EDATE($D129,Milestones!$AA$189)&gt;=$T129),$W129,IF(AND($S129&lt;&gt;"",EDATE($D129,Milestones!$AA$189)&gt;=$S129),$V129,$U129)))=Milestones!$AB$189),UPPER(TEXT(EDATE($D129,Milestones!$AA$189),"dd mmm yy"))&amp;" "&amp;Milestones!$AB$189&amp;" "&amp;Milestones!$AC$189&amp;";  ","")&amp;IF(AND(EDATE($D129,Milestones!$AA$190)&lt;=AsOfDate,IF($R129=0,$X129,IF(AND($T129&lt;&gt;"",EDATE($D129,Milestones!$AA$190)&gt;=$T129),$W129,IF(AND($S129&lt;&gt;"",EDATE($D129,Milestones!$AA$190)&gt;=$S129),$V129,$U129)))=Milestones!$AB$190),UPPER(TEXT(EDATE($D129,Milestones!$AA$190),"dd mmm yy"))&amp;" "&amp;Milestones!$AB$190&amp;" "&amp;Milestones!$AC$190&amp;";  ","")&amp;IF(AND(EDATE($D129,Milestones!$AA$191)&lt;=AsOfDate,IF($R129=0,$X129,IF(AND($T129&lt;&gt;"",EDATE($D129,Milestones!$AA$191)&gt;=$T129),$W129,IF(AND($S129&lt;&gt;"",EDATE($D129,Milestones!$AA$191)&gt;=$S129),$V129,$U129)))=Milestones!$AB$191),UPPER(TEXT(EDATE($D129,Milestones!$AA$191),"dd mmm yy"))&amp;" "&amp;Milestones!$AB$191&amp;" "&amp;Milestones!$AC$191&amp;";  ","")&amp;IF(AND(EDATE($D129,Milestones!$AA$192)&lt;=AsOfDate,IF($R129=0,$X129,IF(AND($T129&lt;&gt;"",EDATE($D129,Milestones!$AA$192)&gt;=$T129),$W129,IF(AND($S129&lt;&gt;"",EDATE($D129,Milestones!$AA$192)&gt;=$S129),$V129,$U129)))=Milestones!$AB$192),UPPER(TEXT(EDATE($D129,Milestones!$AA$192),"dd mmm yy"))&amp;" "&amp;Milestones!$AB$192&amp;" "&amp;Milestones!$AC$192&amp;";  ","")&amp;IF(AND(EDATE($D129,Milestones!$AA$193)&lt;=AsOfDate,IF($R129=0,$X129,IF(AND($T129&lt;&gt;"",EDATE($D129,Milestones!$AA$193)&gt;=$T129),$W129,IF(AND($S129&lt;&gt;"",EDATE($D129,Milestones!$AA$193)&gt;=$S129),$V129,$U129)))=Milestones!$AB$193),UPPER(TEXT(EDATE($D129,Milestones!$AA$193),"dd mmm yy"))&amp;" "&amp;Milestones!$AB$193&amp;" "&amp;Milestones!$AC$193&amp;";  ","")&amp;IF(AND(EDATE($D129,Milestones!$AA$194)&lt;=AsOfDate,IF($R129=0,$X129,IF(AND($T129&lt;&gt;"",EDATE($D129,Milestones!$AA$194)&gt;=$T129),$W129,IF(AND($S129&lt;&gt;"",EDATE($D129,Milestones!$AA$194)&gt;=$S129),$V129,$U129)))=Milestones!$AB$194),UPPER(TEXT(EDATE($D129,Milestones!$AA$194),"dd mmm yy"))&amp;" "&amp;Milestones!$AB$194&amp;" "&amp;Milestones!$AC$194&amp;";  ","")&amp;IF(AND(EDATE($D129,Milestones!$AA$195)&lt;=AsOfDate,IF($R129=0,$X129,IF(AND($T129&lt;&gt;"",EDATE($D129,Milestones!$AA$195)&gt;=$T129),$W129,IF(AND($S129&lt;&gt;"",EDATE($D129,Milestones!$AA$195)&gt;=$S129),$V129,$U129)))=Milestones!$AB$195),UPPER(TEXT(EDATE($D129,Milestones!$AA$195),"dd mmm yy"))&amp;" "&amp;Milestones!$AB$195&amp;" "&amp;Milestones!$AC$195&amp;";  ","")&amp;IF(AND(EDATE($D129,Milestones!$AA$196)&lt;=AsOfDate,IF($R129=0,$X129,IF(AND($T129&lt;&gt;"",EDATE($D129,Milestones!$AA$196)&gt;=$T129),$W129,IF(AND($S129&lt;&gt;"",EDATE($D129,Milestones!$AA$196)&gt;=$S129),$V129,$U129)))=Milestones!$AB$196),UPPER(TEXT(EDATE($D129,Milestones!$AA$196),"dd mmm yy"))&amp;" "&amp;Milestones!$AB$196&amp;" "&amp;Milestones!$AC$196&amp;";  ","")&amp;IF(AND(EDATE($D129,Milestones!$AA$197)&lt;=AsOfDate,IF($R129=0,$X129,IF(AND($T129&lt;&gt;"",EDATE($D129,Milestones!$AA$197)&gt;=$T129),$W129,IF(AND($S129&lt;&gt;"",EDATE($D129,Milestones!$AA$197)&gt;=$S129),$V129,$U129)))=Milestones!$AB$197),UPPER(TEXT(EDATE($D129,Milestones!$AA$197),"dd mmm yy"))&amp;" "&amp;Milestones!$AB$197&amp;" "&amp;Milestones!$AC$197&amp;";  ","")&amp;IF(AND(EDATE($D129,Milestones!$AA$198)&lt;=AsOfDate,IF($R129=0,$X129,IF(AND($T129&lt;&gt;"",EDATE($D129,Milestones!$AA$198)&gt;=$T129),$W129,IF(AND($S129&lt;&gt;"",EDATE($D129,Milestones!$AA$198)&gt;=$S129),$V129,$U129)))=Milestones!$AB$198),UPPER(TEXT(EDATE($D129,Milestones!$AA$198),"dd mmm yy"))&amp;" "&amp;Milestones!$AB$198&amp;" "&amp;Milestones!$AC$198&amp;";  ","")&amp;IF(AND(EDATE($D129,Milestones!$AA$199)&lt;=AsOfDate,IF($R129=0,$X129,IF(AND($T129&lt;&gt;"",EDATE($D129,Milestones!$AA$199)&gt;=$T129),$W129,IF(AND($S129&lt;&gt;"",EDATE($D129,Milestones!$AA$199)&gt;=$S129),$V129,$U129)))=Milestones!$AB$199),UPPER(TEXT(EDATE($D129,Milestones!$AA$199),"dd mmm yy"))&amp;" "&amp;Milestones!$AB$199&amp;" "&amp;Milestones!$AC$199&amp;";  ",""))</f>
        <v/>
      </c>
      <c r="R129" s="0" t="str">
        <f aca="false">IF(Staff!$A129="","",Staff!$AI129)</f>
        <v/>
      </c>
      <c r="S129" s="0" t="str">
        <f aca="false">IF(Staff!$A129="","",Staff!$AK129)</f>
        <v/>
      </c>
      <c r="T129" s="0" t="str">
        <f aca="false">IF(Staff!$A129="","",Staff!$AL129)</f>
        <v/>
      </c>
      <c r="U129" s="0" t="str">
        <f aca="false">IF(Staff!$A129="","",Staff!$AP129)</f>
        <v/>
      </c>
      <c r="V129" s="0" t="str">
        <f aca="false">IF(Staff!$A129="","",Staff!$AQ129)</f>
        <v/>
      </c>
      <c r="W129" s="0" t="str">
        <f aca="false">IF(Staff!$A129="","",Staff!$AR129)</f>
        <v/>
      </c>
      <c r="X129" s="0" t="str">
        <f aca="false">IF(Staff!$A129="","",Staff!$AS129)</f>
        <v/>
      </c>
    </row>
    <row r="130" customFormat="false" ht="15" hidden="false" customHeight="false" outlineLevel="0" collapsed="false">
      <c r="A130" s="14" t="str">
        <f aca="false">IF(Staff!$A130="","",Staff!$A130)</f>
        <v/>
      </c>
      <c r="B130" s="14" t="str">
        <f aca="false">IF(Staff!$A130="","",Staff!$B130)</f>
        <v/>
      </c>
      <c r="C130" s="14" t="str">
        <f aca="false">IF(Staff!$A130="","",Staff!$C130)</f>
        <v/>
      </c>
      <c r="D130" s="12" t="str">
        <f aca="false">IF(Staff!$A130="","",Staff!$AH130)</f>
        <v/>
      </c>
      <c r="E130" s="14" t="str">
        <f aca="false">IF(Staff!$A130="","",Staff!$O130)</f>
        <v/>
      </c>
      <c r="F130" s="14" t="str">
        <f aca="false">IF(E130="","",E130*HoursPerDay)</f>
        <v/>
      </c>
      <c r="G130" s="14" t="str">
        <f aca="false">IF(Staff!$A130="","",Staff!$AE130)</f>
        <v/>
      </c>
      <c r="H130" s="26" t="str">
        <f aca="false">IF($A130="","",I130&amp;J130&amp;K130&amp;L130&amp;M130&amp;N130&amp;O130&amp;P130&amp;Q130)</f>
        <v/>
      </c>
      <c r="I130" s="0" t="str">
        <f aca="false">IF(OR($A130="",$D130=""),"",IF(AND(EDATE($D130,Milestones!$AA$20)&lt;=AsOfDate,IF($R130=0,$X130,IF(AND($T130&lt;&gt;"",EDATE($D130,Milestones!$AA$20)&gt;=$T130),$W130,IF(AND($S130&lt;&gt;"",EDATE($D130,Milestones!$AA$20)&gt;=$S130),$V130,$U130)))=Milestones!$AB$20),UPPER(TEXT(EDATE($D130,Milestones!$AA$20),"dd mmm yy"))&amp;" "&amp;Milestones!$AB$20&amp;" "&amp;Milestones!$AC$20&amp;";  ","")&amp;IF(AND(EDATE($D130,Milestones!$AA$21)&lt;=AsOfDate,IF($R130=0,$X130,IF(AND($T130&lt;&gt;"",EDATE($D130,Milestones!$AA$21)&gt;=$T130),$W130,IF(AND($S130&lt;&gt;"",EDATE($D130,Milestones!$AA$21)&gt;=$S130),$V130,$U130)))=Milestones!$AB$21),UPPER(TEXT(EDATE($D130,Milestones!$AA$21),"dd mmm yy"))&amp;" "&amp;Milestones!$AB$21&amp;" "&amp;Milestones!$AC$21&amp;";  ","")&amp;IF(AND(EDATE($D130,Milestones!$AA$22)&lt;=AsOfDate,IF($R130=0,$X130,IF(AND($T130&lt;&gt;"",EDATE($D130,Milestones!$AA$22)&gt;=$T130),$W130,IF(AND($S130&lt;&gt;"",EDATE($D130,Milestones!$AA$22)&gt;=$S130),$V130,$U130)))=Milestones!$AB$22),UPPER(TEXT(EDATE($D130,Milestones!$AA$22),"dd mmm yy"))&amp;" "&amp;Milestones!$AB$22&amp;" "&amp;Milestones!$AC$22&amp;";  ","")&amp;IF(AND(EDATE($D130,Milestones!$AA$23)&lt;=AsOfDate,IF($R130=0,$X130,IF(AND($T130&lt;&gt;"",EDATE($D130,Milestones!$AA$23)&gt;=$T130),$W130,IF(AND($S130&lt;&gt;"",EDATE($D130,Milestones!$AA$23)&gt;=$S130),$V130,$U130)))=Milestones!$AB$23),UPPER(TEXT(EDATE($D130,Milestones!$AA$23),"dd mmm yy"))&amp;" "&amp;Milestones!$AB$23&amp;" "&amp;Milestones!$AC$23&amp;";  ","")&amp;IF(AND(EDATE($D130,Milestones!$AA$24)&lt;=AsOfDate,IF($R130=0,$X130,IF(AND($T130&lt;&gt;"",EDATE($D130,Milestones!$AA$24)&gt;=$T130),$W130,IF(AND($S130&lt;&gt;"",EDATE($D130,Milestones!$AA$24)&gt;=$S130),$V130,$U130)))=Milestones!$AB$24),UPPER(TEXT(EDATE($D130,Milestones!$AA$24),"dd mmm yy"))&amp;" "&amp;Milestones!$AB$24&amp;" "&amp;Milestones!$AC$24&amp;";  ","")&amp;IF(AND(EDATE($D130,Milestones!$AA$25)&lt;=AsOfDate,IF($R130=0,$X130,IF(AND($T130&lt;&gt;"",EDATE($D130,Milestones!$AA$25)&gt;=$T130),$W130,IF(AND($S130&lt;&gt;"",EDATE($D130,Milestones!$AA$25)&gt;=$S130),$V130,$U130)))=Milestones!$AB$25),UPPER(TEXT(EDATE($D130,Milestones!$AA$25),"dd mmm yy"))&amp;" "&amp;Milestones!$AB$25&amp;" "&amp;Milestones!$AC$25&amp;";  ","")&amp;IF(AND(EDATE($D130,Milestones!$AA$26)&lt;=AsOfDate,IF($R130=0,$X130,IF(AND($T130&lt;&gt;"",EDATE($D130,Milestones!$AA$26)&gt;=$T130),$W130,IF(AND($S130&lt;&gt;"",EDATE($D130,Milestones!$AA$26)&gt;=$S130),$V130,$U130)))=Milestones!$AB$26),UPPER(TEXT(EDATE($D130,Milestones!$AA$26),"dd mmm yy"))&amp;" "&amp;Milestones!$AB$26&amp;" "&amp;Milestones!$AC$26&amp;";  ","")&amp;IF(AND(EDATE($D130,Milestones!$AA$27)&lt;=AsOfDate,IF($R130=0,$X130,IF(AND($T130&lt;&gt;"",EDATE($D130,Milestones!$AA$27)&gt;=$T130),$W130,IF(AND($S130&lt;&gt;"",EDATE($D130,Milestones!$AA$27)&gt;=$S130),$V130,$U130)))=Milestones!$AB$27),UPPER(TEXT(EDATE($D130,Milestones!$AA$27),"dd mmm yy"))&amp;" "&amp;Milestones!$AB$27&amp;" "&amp;Milestones!$AC$27&amp;";  ","")&amp;IF(AND(EDATE($D130,Milestones!$AA$28)&lt;=AsOfDate,IF($R130=0,$X130,IF(AND($T130&lt;&gt;"",EDATE($D130,Milestones!$AA$28)&gt;=$T130),$W130,IF(AND($S130&lt;&gt;"",EDATE($D130,Milestones!$AA$28)&gt;=$S130),$V130,$U130)))=Milestones!$AB$28),UPPER(TEXT(EDATE($D130,Milestones!$AA$28),"dd mmm yy"))&amp;" "&amp;Milestones!$AB$28&amp;" "&amp;Milestones!$AC$28&amp;";  ","")&amp;IF(AND(EDATE($D130,Milestones!$AA$29)&lt;=AsOfDate,IF($R130=0,$X130,IF(AND($T130&lt;&gt;"",EDATE($D130,Milestones!$AA$29)&gt;=$T130),$W130,IF(AND($S130&lt;&gt;"",EDATE($D130,Milestones!$AA$29)&gt;=$S130),$V130,$U130)))=Milestones!$AB$29),UPPER(TEXT(EDATE($D130,Milestones!$AA$29),"dd mmm yy"))&amp;" "&amp;Milestones!$AB$29&amp;" "&amp;Milestones!$AC$29&amp;";  ","")&amp;IF(AND(EDATE($D130,Milestones!$AA$30)&lt;=AsOfDate,IF($R130=0,$X130,IF(AND($T130&lt;&gt;"",EDATE($D130,Milestones!$AA$30)&gt;=$T130),$W130,IF(AND($S130&lt;&gt;"",EDATE($D130,Milestones!$AA$30)&gt;=$S130),$V130,$U130)))=Milestones!$AB$30),UPPER(TEXT(EDATE($D130,Milestones!$AA$30),"dd mmm yy"))&amp;" "&amp;Milestones!$AB$30&amp;" "&amp;Milestones!$AC$30&amp;";  ","")&amp;IF(AND(EDATE($D130,Milestones!$AA$31)&lt;=AsOfDate,IF($R130=0,$X130,IF(AND($T130&lt;&gt;"",EDATE($D130,Milestones!$AA$31)&gt;=$T130),$W130,IF(AND($S130&lt;&gt;"",EDATE($D130,Milestones!$AA$31)&gt;=$S130),$V130,$U130)))=Milestones!$AB$31),UPPER(TEXT(EDATE($D130,Milestones!$AA$31),"dd mmm yy"))&amp;" "&amp;Milestones!$AB$31&amp;" "&amp;Milestones!$AC$31&amp;";  ","")&amp;IF(AND(EDATE($D130,Milestones!$AA$32)&lt;=AsOfDate,IF($R130=0,$X130,IF(AND($T130&lt;&gt;"",EDATE($D130,Milestones!$AA$32)&gt;=$T130),$W130,IF(AND($S130&lt;&gt;"",EDATE($D130,Milestones!$AA$32)&gt;=$S130),$V130,$U130)))=Milestones!$AB$32),UPPER(TEXT(EDATE($D130,Milestones!$AA$32),"dd mmm yy"))&amp;" "&amp;Milestones!$AB$32&amp;" "&amp;Milestones!$AC$32&amp;";  ","")&amp;IF(AND(EDATE($D130,Milestones!$AA$33)&lt;=AsOfDate,IF($R130=0,$X130,IF(AND($T130&lt;&gt;"",EDATE($D130,Milestones!$AA$33)&gt;=$T130),$W130,IF(AND($S130&lt;&gt;"",EDATE($D130,Milestones!$AA$33)&gt;=$S130),$V130,$U130)))=Milestones!$AB$33),UPPER(TEXT(EDATE($D130,Milestones!$AA$33),"dd mmm yy"))&amp;" "&amp;Milestones!$AB$33&amp;" "&amp;Milestones!$AC$33&amp;";  ","")&amp;IF(AND(EDATE($D130,Milestones!$AA$34)&lt;=AsOfDate,IF($R130=0,$X130,IF(AND($T130&lt;&gt;"",EDATE($D130,Milestones!$AA$34)&gt;=$T130),$W130,IF(AND($S130&lt;&gt;"",EDATE($D130,Milestones!$AA$34)&gt;=$S130),$V130,$U130)))=Milestones!$AB$34),UPPER(TEXT(EDATE($D130,Milestones!$AA$34),"dd mmm yy"))&amp;" "&amp;Milestones!$AB$34&amp;" "&amp;Milestones!$AC$34&amp;";  ","")&amp;IF(AND(EDATE($D130,Milestones!$AA$35)&lt;=AsOfDate,IF($R130=0,$X130,IF(AND($T130&lt;&gt;"",EDATE($D130,Milestones!$AA$35)&gt;=$T130),$W130,IF(AND($S130&lt;&gt;"",EDATE($D130,Milestones!$AA$35)&gt;=$S130),$V130,$U130)))=Milestones!$AB$35),UPPER(TEXT(EDATE($D130,Milestones!$AA$35),"dd mmm yy"))&amp;" "&amp;Milestones!$AB$35&amp;" "&amp;Milestones!$AC$35&amp;";  ","")&amp;IF(AND(EDATE($D130,Milestones!$AA$36)&lt;=AsOfDate,IF($R130=0,$X130,IF(AND($T130&lt;&gt;"",EDATE($D130,Milestones!$AA$36)&gt;=$T130),$W130,IF(AND($S130&lt;&gt;"",EDATE($D130,Milestones!$AA$36)&gt;=$S130),$V130,$U130)))=Milestones!$AB$36),UPPER(TEXT(EDATE($D130,Milestones!$AA$36),"dd mmm yy"))&amp;" "&amp;Milestones!$AB$36&amp;" "&amp;Milestones!$AC$36&amp;";  ","")&amp;IF(AND(EDATE($D130,Milestones!$AA$37)&lt;=AsOfDate,IF($R130=0,$X130,IF(AND($T130&lt;&gt;"",EDATE($D130,Milestones!$AA$37)&gt;=$T130),$W130,IF(AND($S130&lt;&gt;"",EDATE($D130,Milestones!$AA$37)&gt;=$S130),$V130,$U130)))=Milestones!$AB$37),UPPER(TEXT(EDATE($D130,Milestones!$AA$37),"dd mmm yy"))&amp;" "&amp;Milestones!$AB$37&amp;" "&amp;Milestones!$AC$37&amp;";  ","")&amp;IF(AND(EDATE($D130,Milestones!$AA$38)&lt;=AsOfDate,IF($R130=0,$X130,IF(AND($T130&lt;&gt;"",EDATE($D130,Milestones!$AA$38)&gt;=$T130),$W130,IF(AND($S130&lt;&gt;"",EDATE($D130,Milestones!$AA$38)&gt;=$S130),$V130,$U130)))=Milestones!$AB$38),UPPER(TEXT(EDATE($D130,Milestones!$AA$38),"dd mmm yy"))&amp;" "&amp;Milestones!$AB$38&amp;" "&amp;Milestones!$AC$38&amp;";  ","")&amp;IF(AND(EDATE($D130,Milestones!$AA$39)&lt;=AsOfDate,IF($R130=0,$X130,IF(AND($T130&lt;&gt;"",EDATE($D130,Milestones!$AA$39)&gt;=$T130),$W130,IF(AND($S130&lt;&gt;"",EDATE($D130,Milestones!$AA$39)&gt;=$S130),$V130,$U130)))=Milestones!$AB$39),UPPER(TEXT(EDATE($D130,Milestones!$AA$39),"dd mmm yy"))&amp;" "&amp;Milestones!$AB$39&amp;" "&amp;Milestones!$AC$39&amp;";  ",""))</f>
        <v/>
      </c>
      <c r="J130" s="0" t="str">
        <f aca="false">IF(OR($A130="",$D130=""),"",IF(AND(EDATE($D130,Milestones!$AA$40)&lt;=AsOfDate,IF($R130=0,$X130,IF(AND($T130&lt;&gt;"",EDATE($D130,Milestones!$AA$40)&gt;=$T130),$W130,IF(AND($S130&lt;&gt;"",EDATE($D130,Milestones!$AA$40)&gt;=$S130),$V130,$U130)))=Milestones!$AB$40),UPPER(TEXT(EDATE($D130,Milestones!$AA$40),"dd mmm yy"))&amp;" "&amp;Milestones!$AB$40&amp;" "&amp;Milestones!$AC$40&amp;";  ","")&amp;IF(AND(EDATE($D130,Milestones!$AA$41)&lt;=AsOfDate,IF($R130=0,$X130,IF(AND($T130&lt;&gt;"",EDATE($D130,Milestones!$AA$41)&gt;=$T130),$W130,IF(AND($S130&lt;&gt;"",EDATE($D130,Milestones!$AA$41)&gt;=$S130),$V130,$U130)))=Milestones!$AB$41),UPPER(TEXT(EDATE($D130,Milestones!$AA$41),"dd mmm yy"))&amp;" "&amp;Milestones!$AB$41&amp;" "&amp;Milestones!$AC$41&amp;";  ","")&amp;IF(AND(EDATE($D130,Milestones!$AA$42)&lt;=AsOfDate,IF($R130=0,$X130,IF(AND($T130&lt;&gt;"",EDATE($D130,Milestones!$AA$42)&gt;=$T130),$W130,IF(AND($S130&lt;&gt;"",EDATE($D130,Milestones!$AA$42)&gt;=$S130),$V130,$U130)))=Milestones!$AB$42),UPPER(TEXT(EDATE($D130,Milestones!$AA$42),"dd mmm yy"))&amp;" "&amp;Milestones!$AB$42&amp;" "&amp;Milestones!$AC$42&amp;";  ","")&amp;IF(AND(EDATE($D130,Milestones!$AA$43)&lt;=AsOfDate,IF($R130=0,$X130,IF(AND($T130&lt;&gt;"",EDATE($D130,Milestones!$AA$43)&gt;=$T130),$W130,IF(AND($S130&lt;&gt;"",EDATE($D130,Milestones!$AA$43)&gt;=$S130),$V130,$U130)))=Milestones!$AB$43),UPPER(TEXT(EDATE($D130,Milestones!$AA$43),"dd mmm yy"))&amp;" "&amp;Milestones!$AB$43&amp;" "&amp;Milestones!$AC$43&amp;";  ","")&amp;IF(AND(EDATE($D130,Milestones!$AA$44)&lt;=AsOfDate,IF($R130=0,$X130,IF(AND($T130&lt;&gt;"",EDATE($D130,Milestones!$AA$44)&gt;=$T130),$W130,IF(AND($S130&lt;&gt;"",EDATE($D130,Milestones!$AA$44)&gt;=$S130),$V130,$U130)))=Milestones!$AB$44),UPPER(TEXT(EDATE($D130,Milestones!$AA$44),"dd mmm yy"))&amp;" "&amp;Milestones!$AB$44&amp;" "&amp;Milestones!$AC$44&amp;";  ","")&amp;IF(AND(EDATE($D130,Milestones!$AA$45)&lt;=AsOfDate,IF($R130=0,$X130,IF(AND($T130&lt;&gt;"",EDATE($D130,Milestones!$AA$45)&gt;=$T130),$W130,IF(AND($S130&lt;&gt;"",EDATE($D130,Milestones!$AA$45)&gt;=$S130),$V130,$U130)))=Milestones!$AB$45),UPPER(TEXT(EDATE($D130,Milestones!$AA$45),"dd mmm yy"))&amp;" "&amp;Milestones!$AB$45&amp;" "&amp;Milestones!$AC$45&amp;";  ","")&amp;IF(AND(EDATE($D130,Milestones!$AA$46)&lt;=AsOfDate,IF($R130=0,$X130,IF(AND($T130&lt;&gt;"",EDATE($D130,Milestones!$AA$46)&gt;=$T130),$W130,IF(AND($S130&lt;&gt;"",EDATE($D130,Milestones!$AA$46)&gt;=$S130),$V130,$U130)))=Milestones!$AB$46),UPPER(TEXT(EDATE($D130,Milestones!$AA$46),"dd mmm yy"))&amp;" "&amp;Milestones!$AB$46&amp;" "&amp;Milestones!$AC$46&amp;";  ","")&amp;IF(AND(EDATE($D130,Milestones!$AA$47)&lt;=AsOfDate,IF($R130=0,$X130,IF(AND($T130&lt;&gt;"",EDATE($D130,Milestones!$AA$47)&gt;=$T130),$W130,IF(AND($S130&lt;&gt;"",EDATE($D130,Milestones!$AA$47)&gt;=$S130),$V130,$U130)))=Milestones!$AB$47),UPPER(TEXT(EDATE($D130,Milestones!$AA$47),"dd mmm yy"))&amp;" "&amp;Milestones!$AB$47&amp;" "&amp;Milestones!$AC$47&amp;";  ","")&amp;IF(AND(EDATE($D130,Milestones!$AA$48)&lt;=AsOfDate,IF($R130=0,$X130,IF(AND($T130&lt;&gt;"",EDATE($D130,Milestones!$AA$48)&gt;=$T130),$W130,IF(AND($S130&lt;&gt;"",EDATE($D130,Milestones!$AA$48)&gt;=$S130),$V130,$U130)))=Milestones!$AB$48),UPPER(TEXT(EDATE($D130,Milestones!$AA$48),"dd mmm yy"))&amp;" "&amp;Milestones!$AB$48&amp;" "&amp;Milestones!$AC$48&amp;";  ","")&amp;IF(AND(EDATE($D130,Milestones!$AA$49)&lt;=AsOfDate,IF($R130=0,$X130,IF(AND($T130&lt;&gt;"",EDATE($D130,Milestones!$AA$49)&gt;=$T130),$W130,IF(AND($S130&lt;&gt;"",EDATE($D130,Milestones!$AA$49)&gt;=$S130),$V130,$U130)))=Milestones!$AB$49),UPPER(TEXT(EDATE($D130,Milestones!$AA$49),"dd mmm yy"))&amp;" "&amp;Milestones!$AB$49&amp;" "&amp;Milestones!$AC$49&amp;";  ","")&amp;IF(AND(EDATE($D130,Milestones!$AA$50)&lt;=AsOfDate,IF($R130=0,$X130,IF(AND($T130&lt;&gt;"",EDATE($D130,Milestones!$AA$50)&gt;=$T130),$W130,IF(AND($S130&lt;&gt;"",EDATE($D130,Milestones!$AA$50)&gt;=$S130),$V130,$U130)))=Milestones!$AB$50),UPPER(TEXT(EDATE($D130,Milestones!$AA$50),"dd mmm yy"))&amp;" "&amp;Milestones!$AB$50&amp;" "&amp;Milestones!$AC$50&amp;";  ","")&amp;IF(AND(EDATE($D130,Milestones!$AA$51)&lt;=AsOfDate,IF($R130=0,$X130,IF(AND($T130&lt;&gt;"",EDATE($D130,Milestones!$AA$51)&gt;=$T130),$W130,IF(AND($S130&lt;&gt;"",EDATE($D130,Milestones!$AA$51)&gt;=$S130),$V130,$U130)))=Milestones!$AB$51),UPPER(TEXT(EDATE($D130,Milestones!$AA$51),"dd mmm yy"))&amp;" "&amp;Milestones!$AB$51&amp;" "&amp;Milestones!$AC$51&amp;";  ","")&amp;IF(AND(EDATE($D130,Milestones!$AA$52)&lt;=AsOfDate,IF($R130=0,$X130,IF(AND($T130&lt;&gt;"",EDATE($D130,Milestones!$AA$52)&gt;=$T130),$W130,IF(AND($S130&lt;&gt;"",EDATE($D130,Milestones!$AA$52)&gt;=$S130),$V130,$U130)))=Milestones!$AB$52),UPPER(TEXT(EDATE($D130,Milestones!$AA$52),"dd mmm yy"))&amp;" "&amp;Milestones!$AB$52&amp;" "&amp;Milestones!$AC$52&amp;";  ","")&amp;IF(AND(EDATE($D130,Milestones!$AA$53)&lt;=AsOfDate,IF($R130=0,$X130,IF(AND($T130&lt;&gt;"",EDATE($D130,Milestones!$AA$53)&gt;=$T130),$W130,IF(AND($S130&lt;&gt;"",EDATE($D130,Milestones!$AA$53)&gt;=$S130),$V130,$U130)))=Milestones!$AB$53),UPPER(TEXT(EDATE($D130,Milestones!$AA$53),"dd mmm yy"))&amp;" "&amp;Milestones!$AB$53&amp;" "&amp;Milestones!$AC$53&amp;";  ","")&amp;IF(AND(EDATE($D130,Milestones!$AA$54)&lt;=AsOfDate,IF($R130=0,$X130,IF(AND($T130&lt;&gt;"",EDATE($D130,Milestones!$AA$54)&gt;=$T130),$W130,IF(AND($S130&lt;&gt;"",EDATE($D130,Milestones!$AA$54)&gt;=$S130),$V130,$U130)))=Milestones!$AB$54),UPPER(TEXT(EDATE($D130,Milestones!$AA$54),"dd mmm yy"))&amp;" "&amp;Milestones!$AB$54&amp;" "&amp;Milestones!$AC$54&amp;";  ","")&amp;IF(AND(EDATE($D130,Milestones!$AA$55)&lt;=AsOfDate,IF($R130=0,$X130,IF(AND($T130&lt;&gt;"",EDATE($D130,Milestones!$AA$55)&gt;=$T130),$W130,IF(AND($S130&lt;&gt;"",EDATE($D130,Milestones!$AA$55)&gt;=$S130),$V130,$U130)))=Milestones!$AB$55),UPPER(TEXT(EDATE($D130,Milestones!$AA$55),"dd mmm yy"))&amp;" "&amp;Milestones!$AB$55&amp;" "&amp;Milestones!$AC$55&amp;";  ","")&amp;IF(AND(EDATE($D130,Milestones!$AA$56)&lt;=AsOfDate,IF($R130=0,$X130,IF(AND($T130&lt;&gt;"",EDATE($D130,Milestones!$AA$56)&gt;=$T130),$W130,IF(AND($S130&lt;&gt;"",EDATE($D130,Milestones!$AA$56)&gt;=$S130),$V130,$U130)))=Milestones!$AB$56),UPPER(TEXT(EDATE($D130,Milestones!$AA$56),"dd mmm yy"))&amp;" "&amp;Milestones!$AB$56&amp;" "&amp;Milestones!$AC$56&amp;";  ","")&amp;IF(AND(EDATE($D130,Milestones!$AA$57)&lt;=AsOfDate,IF($R130=0,$X130,IF(AND($T130&lt;&gt;"",EDATE($D130,Milestones!$AA$57)&gt;=$T130),$W130,IF(AND($S130&lt;&gt;"",EDATE($D130,Milestones!$AA$57)&gt;=$S130),$V130,$U130)))=Milestones!$AB$57),UPPER(TEXT(EDATE($D130,Milestones!$AA$57),"dd mmm yy"))&amp;" "&amp;Milestones!$AB$57&amp;" "&amp;Milestones!$AC$57&amp;";  ","")&amp;IF(AND(EDATE($D130,Milestones!$AA$58)&lt;=AsOfDate,IF($R130=0,$X130,IF(AND($T130&lt;&gt;"",EDATE($D130,Milestones!$AA$58)&gt;=$T130),$W130,IF(AND($S130&lt;&gt;"",EDATE($D130,Milestones!$AA$58)&gt;=$S130),$V130,$U130)))=Milestones!$AB$58),UPPER(TEXT(EDATE($D130,Milestones!$AA$58),"dd mmm yy"))&amp;" "&amp;Milestones!$AB$58&amp;" "&amp;Milestones!$AC$58&amp;";  ","")&amp;IF(AND(EDATE($D130,Milestones!$AA$59)&lt;=AsOfDate,IF($R130=0,$X130,IF(AND($T130&lt;&gt;"",EDATE($D130,Milestones!$AA$59)&gt;=$T130),$W130,IF(AND($S130&lt;&gt;"",EDATE($D130,Milestones!$AA$59)&gt;=$S130),$V130,$U130)))=Milestones!$AB$59),UPPER(TEXT(EDATE($D130,Milestones!$AA$59),"dd mmm yy"))&amp;" "&amp;Milestones!$AB$59&amp;" "&amp;Milestones!$AC$59&amp;";  ",""))</f>
        <v/>
      </c>
      <c r="K130" s="0" t="str">
        <f aca="false">IF(OR($A130="",$D130=""),"",IF(AND(EDATE($D130,Milestones!$AA$60)&lt;=AsOfDate,IF($R130=0,$X130,IF(AND($T130&lt;&gt;"",EDATE($D130,Milestones!$AA$60)&gt;=$T130),$W130,IF(AND($S130&lt;&gt;"",EDATE($D130,Milestones!$AA$60)&gt;=$S130),$V130,$U130)))=Milestones!$AB$60),UPPER(TEXT(EDATE($D130,Milestones!$AA$60),"dd mmm yy"))&amp;" "&amp;Milestones!$AB$60&amp;" "&amp;Milestones!$AC$60&amp;";  ","")&amp;IF(AND(EDATE($D130,Milestones!$AA$61)&lt;=AsOfDate,IF($R130=0,$X130,IF(AND($T130&lt;&gt;"",EDATE($D130,Milestones!$AA$61)&gt;=$T130),$W130,IF(AND($S130&lt;&gt;"",EDATE($D130,Milestones!$AA$61)&gt;=$S130),$V130,$U130)))=Milestones!$AB$61),UPPER(TEXT(EDATE($D130,Milestones!$AA$61),"dd mmm yy"))&amp;" "&amp;Milestones!$AB$61&amp;" "&amp;Milestones!$AC$61&amp;";  ","")&amp;IF(AND(EDATE($D130,Milestones!$AA$62)&lt;=AsOfDate,IF($R130=0,$X130,IF(AND($T130&lt;&gt;"",EDATE($D130,Milestones!$AA$62)&gt;=$T130),$W130,IF(AND($S130&lt;&gt;"",EDATE($D130,Milestones!$AA$62)&gt;=$S130),$V130,$U130)))=Milestones!$AB$62),UPPER(TEXT(EDATE($D130,Milestones!$AA$62),"dd mmm yy"))&amp;" "&amp;Milestones!$AB$62&amp;" "&amp;Milestones!$AC$62&amp;";  ","")&amp;IF(AND(EDATE($D130,Milestones!$AA$63)&lt;=AsOfDate,IF($R130=0,$X130,IF(AND($T130&lt;&gt;"",EDATE($D130,Milestones!$AA$63)&gt;=$T130),$W130,IF(AND($S130&lt;&gt;"",EDATE($D130,Milestones!$AA$63)&gt;=$S130),$V130,$U130)))=Milestones!$AB$63),UPPER(TEXT(EDATE($D130,Milestones!$AA$63),"dd mmm yy"))&amp;" "&amp;Milestones!$AB$63&amp;" "&amp;Milestones!$AC$63&amp;";  ","")&amp;IF(AND(EDATE($D130,Milestones!$AA$64)&lt;=AsOfDate,IF($R130=0,$X130,IF(AND($T130&lt;&gt;"",EDATE($D130,Milestones!$AA$64)&gt;=$T130),$W130,IF(AND($S130&lt;&gt;"",EDATE($D130,Milestones!$AA$64)&gt;=$S130),$V130,$U130)))=Milestones!$AB$64),UPPER(TEXT(EDATE($D130,Milestones!$AA$64),"dd mmm yy"))&amp;" "&amp;Milestones!$AB$64&amp;" "&amp;Milestones!$AC$64&amp;";  ","")&amp;IF(AND(EDATE($D130,Milestones!$AA$65)&lt;=AsOfDate,IF($R130=0,$X130,IF(AND($T130&lt;&gt;"",EDATE($D130,Milestones!$AA$65)&gt;=$T130),$W130,IF(AND($S130&lt;&gt;"",EDATE($D130,Milestones!$AA$65)&gt;=$S130),$V130,$U130)))=Milestones!$AB$65),UPPER(TEXT(EDATE($D130,Milestones!$AA$65),"dd mmm yy"))&amp;" "&amp;Milestones!$AB$65&amp;" "&amp;Milestones!$AC$65&amp;";  ","")&amp;IF(AND(EDATE($D130,Milestones!$AA$66)&lt;=AsOfDate,IF($R130=0,$X130,IF(AND($T130&lt;&gt;"",EDATE($D130,Milestones!$AA$66)&gt;=$T130),$W130,IF(AND($S130&lt;&gt;"",EDATE($D130,Milestones!$AA$66)&gt;=$S130),$V130,$U130)))=Milestones!$AB$66),UPPER(TEXT(EDATE($D130,Milestones!$AA$66),"dd mmm yy"))&amp;" "&amp;Milestones!$AB$66&amp;" "&amp;Milestones!$AC$66&amp;";  ","")&amp;IF(AND(EDATE($D130,Milestones!$AA$67)&lt;=AsOfDate,IF($R130=0,$X130,IF(AND($T130&lt;&gt;"",EDATE($D130,Milestones!$AA$67)&gt;=$T130),$W130,IF(AND($S130&lt;&gt;"",EDATE($D130,Milestones!$AA$67)&gt;=$S130),$V130,$U130)))=Milestones!$AB$67),UPPER(TEXT(EDATE($D130,Milestones!$AA$67),"dd mmm yy"))&amp;" "&amp;Milestones!$AB$67&amp;" "&amp;Milestones!$AC$67&amp;";  ","")&amp;IF(AND(EDATE($D130,Milestones!$AA$68)&lt;=AsOfDate,IF($R130=0,$X130,IF(AND($T130&lt;&gt;"",EDATE($D130,Milestones!$AA$68)&gt;=$T130),$W130,IF(AND($S130&lt;&gt;"",EDATE($D130,Milestones!$AA$68)&gt;=$S130),$V130,$U130)))=Milestones!$AB$68),UPPER(TEXT(EDATE($D130,Milestones!$AA$68),"dd mmm yy"))&amp;" "&amp;Milestones!$AB$68&amp;" "&amp;Milestones!$AC$68&amp;";  ","")&amp;IF(AND(EDATE($D130,Milestones!$AA$69)&lt;=AsOfDate,IF($R130=0,$X130,IF(AND($T130&lt;&gt;"",EDATE($D130,Milestones!$AA$69)&gt;=$T130),$W130,IF(AND($S130&lt;&gt;"",EDATE($D130,Milestones!$AA$69)&gt;=$S130),$V130,$U130)))=Milestones!$AB$69),UPPER(TEXT(EDATE($D130,Milestones!$AA$69),"dd mmm yy"))&amp;" "&amp;Milestones!$AB$69&amp;" "&amp;Milestones!$AC$69&amp;";  ","")&amp;IF(AND(EDATE($D130,Milestones!$AA$70)&lt;=AsOfDate,IF($R130=0,$X130,IF(AND($T130&lt;&gt;"",EDATE($D130,Milestones!$AA$70)&gt;=$T130),$W130,IF(AND($S130&lt;&gt;"",EDATE($D130,Milestones!$AA$70)&gt;=$S130),$V130,$U130)))=Milestones!$AB$70),UPPER(TEXT(EDATE($D130,Milestones!$AA$70),"dd mmm yy"))&amp;" "&amp;Milestones!$AB$70&amp;" "&amp;Milestones!$AC$70&amp;";  ","")&amp;IF(AND(EDATE($D130,Milestones!$AA$71)&lt;=AsOfDate,IF($R130=0,$X130,IF(AND($T130&lt;&gt;"",EDATE($D130,Milestones!$AA$71)&gt;=$T130),$W130,IF(AND($S130&lt;&gt;"",EDATE($D130,Milestones!$AA$71)&gt;=$S130),$V130,$U130)))=Milestones!$AB$71),UPPER(TEXT(EDATE($D130,Milestones!$AA$71),"dd mmm yy"))&amp;" "&amp;Milestones!$AB$71&amp;" "&amp;Milestones!$AC$71&amp;";  ","")&amp;IF(AND(EDATE($D130,Milestones!$AA$72)&lt;=AsOfDate,IF($R130=0,$X130,IF(AND($T130&lt;&gt;"",EDATE($D130,Milestones!$AA$72)&gt;=$T130),$W130,IF(AND($S130&lt;&gt;"",EDATE($D130,Milestones!$AA$72)&gt;=$S130),$V130,$U130)))=Milestones!$AB$72),UPPER(TEXT(EDATE($D130,Milestones!$AA$72),"dd mmm yy"))&amp;" "&amp;Milestones!$AB$72&amp;" "&amp;Milestones!$AC$72&amp;";  ","")&amp;IF(AND(EDATE($D130,Milestones!$AA$73)&lt;=AsOfDate,IF($R130=0,$X130,IF(AND($T130&lt;&gt;"",EDATE($D130,Milestones!$AA$73)&gt;=$T130),$W130,IF(AND($S130&lt;&gt;"",EDATE($D130,Milestones!$AA$73)&gt;=$S130),$V130,$U130)))=Milestones!$AB$73),UPPER(TEXT(EDATE($D130,Milestones!$AA$73),"dd mmm yy"))&amp;" "&amp;Milestones!$AB$73&amp;" "&amp;Milestones!$AC$73&amp;";  ","")&amp;IF(AND(EDATE($D130,Milestones!$AA$74)&lt;=AsOfDate,IF($R130=0,$X130,IF(AND($T130&lt;&gt;"",EDATE($D130,Milestones!$AA$74)&gt;=$T130),$W130,IF(AND($S130&lt;&gt;"",EDATE($D130,Milestones!$AA$74)&gt;=$S130),$V130,$U130)))=Milestones!$AB$74),UPPER(TEXT(EDATE($D130,Milestones!$AA$74),"dd mmm yy"))&amp;" "&amp;Milestones!$AB$74&amp;" "&amp;Milestones!$AC$74&amp;";  ","")&amp;IF(AND(EDATE($D130,Milestones!$AA$75)&lt;=AsOfDate,IF($R130=0,$X130,IF(AND($T130&lt;&gt;"",EDATE($D130,Milestones!$AA$75)&gt;=$T130),$W130,IF(AND($S130&lt;&gt;"",EDATE($D130,Milestones!$AA$75)&gt;=$S130),$V130,$U130)))=Milestones!$AB$75),UPPER(TEXT(EDATE($D130,Milestones!$AA$75),"dd mmm yy"))&amp;" "&amp;Milestones!$AB$75&amp;" "&amp;Milestones!$AC$75&amp;";  ","")&amp;IF(AND(EDATE($D130,Milestones!$AA$76)&lt;=AsOfDate,IF($R130=0,$X130,IF(AND($T130&lt;&gt;"",EDATE($D130,Milestones!$AA$76)&gt;=$T130),$W130,IF(AND($S130&lt;&gt;"",EDATE($D130,Milestones!$AA$76)&gt;=$S130),$V130,$U130)))=Milestones!$AB$76),UPPER(TEXT(EDATE($D130,Milestones!$AA$76),"dd mmm yy"))&amp;" "&amp;Milestones!$AB$76&amp;" "&amp;Milestones!$AC$76&amp;";  ","")&amp;IF(AND(EDATE($D130,Milestones!$AA$77)&lt;=AsOfDate,IF($R130=0,$X130,IF(AND($T130&lt;&gt;"",EDATE($D130,Milestones!$AA$77)&gt;=$T130),$W130,IF(AND($S130&lt;&gt;"",EDATE($D130,Milestones!$AA$77)&gt;=$S130),$V130,$U130)))=Milestones!$AB$77),UPPER(TEXT(EDATE($D130,Milestones!$AA$77),"dd mmm yy"))&amp;" "&amp;Milestones!$AB$77&amp;" "&amp;Milestones!$AC$77&amp;";  ","")&amp;IF(AND(EDATE($D130,Milestones!$AA$78)&lt;=AsOfDate,IF($R130=0,$X130,IF(AND($T130&lt;&gt;"",EDATE($D130,Milestones!$AA$78)&gt;=$T130),$W130,IF(AND($S130&lt;&gt;"",EDATE($D130,Milestones!$AA$78)&gt;=$S130),$V130,$U130)))=Milestones!$AB$78),UPPER(TEXT(EDATE($D130,Milestones!$AA$78),"dd mmm yy"))&amp;" "&amp;Milestones!$AB$78&amp;" "&amp;Milestones!$AC$78&amp;";  ","")&amp;IF(AND(EDATE($D130,Milestones!$AA$79)&lt;=AsOfDate,IF($R130=0,$X130,IF(AND($T130&lt;&gt;"",EDATE($D130,Milestones!$AA$79)&gt;=$T130),$W130,IF(AND($S130&lt;&gt;"",EDATE($D130,Milestones!$AA$79)&gt;=$S130),$V130,$U130)))=Milestones!$AB$79),UPPER(TEXT(EDATE($D130,Milestones!$AA$79),"dd mmm yy"))&amp;" "&amp;Milestones!$AB$79&amp;" "&amp;Milestones!$AC$79&amp;";  ",""))</f>
        <v/>
      </c>
      <c r="L130" s="0" t="str">
        <f aca="false">IF(OR($A130="",$D130=""),"",IF(AND(EDATE($D130,Milestones!$AA$80)&lt;=AsOfDate,IF($R130=0,$X130,IF(AND($T130&lt;&gt;"",EDATE($D130,Milestones!$AA$80)&gt;=$T130),$W130,IF(AND($S130&lt;&gt;"",EDATE($D130,Milestones!$AA$80)&gt;=$S130),$V130,$U130)))=Milestones!$AB$80),UPPER(TEXT(EDATE($D130,Milestones!$AA$80),"dd mmm yy"))&amp;" "&amp;Milestones!$AB$80&amp;" "&amp;Milestones!$AC$80&amp;";  ","")&amp;IF(AND(EDATE($D130,Milestones!$AA$81)&lt;=AsOfDate,IF($R130=0,$X130,IF(AND($T130&lt;&gt;"",EDATE($D130,Milestones!$AA$81)&gt;=$T130),$W130,IF(AND($S130&lt;&gt;"",EDATE($D130,Milestones!$AA$81)&gt;=$S130),$V130,$U130)))=Milestones!$AB$81),UPPER(TEXT(EDATE($D130,Milestones!$AA$81),"dd mmm yy"))&amp;" "&amp;Milestones!$AB$81&amp;" "&amp;Milestones!$AC$81&amp;";  ","")&amp;IF(AND(EDATE($D130,Milestones!$AA$82)&lt;=AsOfDate,IF($R130=0,$X130,IF(AND($T130&lt;&gt;"",EDATE($D130,Milestones!$AA$82)&gt;=$T130),$W130,IF(AND($S130&lt;&gt;"",EDATE($D130,Milestones!$AA$82)&gt;=$S130),$V130,$U130)))=Milestones!$AB$82),UPPER(TEXT(EDATE($D130,Milestones!$AA$82),"dd mmm yy"))&amp;" "&amp;Milestones!$AB$82&amp;" "&amp;Milestones!$AC$82&amp;";  ","")&amp;IF(AND(EDATE($D130,Milestones!$AA$83)&lt;=AsOfDate,IF($R130=0,$X130,IF(AND($T130&lt;&gt;"",EDATE($D130,Milestones!$AA$83)&gt;=$T130),$W130,IF(AND($S130&lt;&gt;"",EDATE($D130,Milestones!$AA$83)&gt;=$S130),$V130,$U130)))=Milestones!$AB$83),UPPER(TEXT(EDATE($D130,Milestones!$AA$83),"dd mmm yy"))&amp;" "&amp;Milestones!$AB$83&amp;" "&amp;Milestones!$AC$83&amp;";  ","")&amp;IF(AND(EDATE($D130,Milestones!$AA$84)&lt;=AsOfDate,IF($R130=0,$X130,IF(AND($T130&lt;&gt;"",EDATE($D130,Milestones!$AA$84)&gt;=$T130),$W130,IF(AND($S130&lt;&gt;"",EDATE($D130,Milestones!$AA$84)&gt;=$S130),$V130,$U130)))=Milestones!$AB$84),UPPER(TEXT(EDATE($D130,Milestones!$AA$84),"dd mmm yy"))&amp;" "&amp;Milestones!$AB$84&amp;" "&amp;Milestones!$AC$84&amp;";  ","")&amp;IF(AND(EDATE($D130,Milestones!$AA$85)&lt;=AsOfDate,IF($R130=0,$X130,IF(AND($T130&lt;&gt;"",EDATE($D130,Milestones!$AA$85)&gt;=$T130),$W130,IF(AND($S130&lt;&gt;"",EDATE($D130,Milestones!$AA$85)&gt;=$S130),$V130,$U130)))=Milestones!$AB$85),UPPER(TEXT(EDATE($D130,Milestones!$AA$85),"dd mmm yy"))&amp;" "&amp;Milestones!$AB$85&amp;" "&amp;Milestones!$AC$85&amp;";  ","")&amp;IF(AND(EDATE($D130,Milestones!$AA$86)&lt;=AsOfDate,IF($R130=0,$X130,IF(AND($T130&lt;&gt;"",EDATE($D130,Milestones!$AA$86)&gt;=$T130),$W130,IF(AND($S130&lt;&gt;"",EDATE($D130,Milestones!$AA$86)&gt;=$S130),$V130,$U130)))=Milestones!$AB$86),UPPER(TEXT(EDATE($D130,Milestones!$AA$86),"dd mmm yy"))&amp;" "&amp;Milestones!$AB$86&amp;" "&amp;Milestones!$AC$86&amp;";  ","")&amp;IF(AND(EDATE($D130,Milestones!$AA$87)&lt;=AsOfDate,IF($R130=0,$X130,IF(AND($T130&lt;&gt;"",EDATE($D130,Milestones!$AA$87)&gt;=$T130),$W130,IF(AND($S130&lt;&gt;"",EDATE($D130,Milestones!$AA$87)&gt;=$S130),$V130,$U130)))=Milestones!$AB$87),UPPER(TEXT(EDATE($D130,Milestones!$AA$87),"dd mmm yy"))&amp;" "&amp;Milestones!$AB$87&amp;" "&amp;Milestones!$AC$87&amp;";  ","")&amp;IF(AND(EDATE($D130,Milestones!$AA$88)&lt;=AsOfDate,IF($R130=0,$X130,IF(AND($T130&lt;&gt;"",EDATE($D130,Milestones!$AA$88)&gt;=$T130),$W130,IF(AND($S130&lt;&gt;"",EDATE($D130,Milestones!$AA$88)&gt;=$S130),$V130,$U130)))=Milestones!$AB$88),UPPER(TEXT(EDATE($D130,Milestones!$AA$88),"dd mmm yy"))&amp;" "&amp;Milestones!$AB$88&amp;" "&amp;Milestones!$AC$88&amp;";  ","")&amp;IF(AND(EDATE($D130,Milestones!$AA$89)&lt;=AsOfDate,IF($R130=0,$X130,IF(AND($T130&lt;&gt;"",EDATE($D130,Milestones!$AA$89)&gt;=$T130),$W130,IF(AND($S130&lt;&gt;"",EDATE($D130,Milestones!$AA$89)&gt;=$S130),$V130,$U130)))=Milestones!$AB$89),UPPER(TEXT(EDATE($D130,Milestones!$AA$89),"dd mmm yy"))&amp;" "&amp;Milestones!$AB$89&amp;" "&amp;Milestones!$AC$89&amp;";  ","")&amp;IF(AND(EDATE($D130,Milestones!$AA$90)&lt;=AsOfDate,IF($R130=0,$X130,IF(AND($T130&lt;&gt;"",EDATE($D130,Milestones!$AA$90)&gt;=$T130),$W130,IF(AND($S130&lt;&gt;"",EDATE($D130,Milestones!$AA$90)&gt;=$S130),$V130,$U130)))=Milestones!$AB$90),UPPER(TEXT(EDATE($D130,Milestones!$AA$90),"dd mmm yy"))&amp;" "&amp;Milestones!$AB$90&amp;" "&amp;Milestones!$AC$90&amp;";  ","")&amp;IF(AND(EDATE($D130,Milestones!$AA$91)&lt;=AsOfDate,IF($R130=0,$X130,IF(AND($T130&lt;&gt;"",EDATE($D130,Milestones!$AA$91)&gt;=$T130),$W130,IF(AND($S130&lt;&gt;"",EDATE($D130,Milestones!$AA$91)&gt;=$S130),$V130,$U130)))=Milestones!$AB$91),UPPER(TEXT(EDATE($D130,Milestones!$AA$91),"dd mmm yy"))&amp;" "&amp;Milestones!$AB$91&amp;" "&amp;Milestones!$AC$91&amp;";  ","")&amp;IF(AND(EDATE($D130,Milestones!$AA$92)&lt;=AsOfDate,IF($R130=0,$X130,IF(AND($T130&lt;&gt;"",EDATE($D130,Milestones!$AA$92)&gt;=$T130),$W130,IF(AND($S130&lt;&gt;"",EDATE($D130,Milestones!$AA$92)&gt;=$S130),$V130,$U130)))=Milestones!$AB$92),UPPER(TEXT(EDATE($D130,Milestones!$AA$92),"dd mmm yy"))&amp;" "&amp;Milestones!$AB$92&amp;" "&amp;Milestones!$AC$92&amp;";  ","")&amp;IF(AND(EDATE($D130,Milestones!$AA$93)&lt;=AsOfDate,IF($R130=0,$X130,IF(AND($T130&lt;&gt;"",EDATE($D130,Milestones!$AA$93)&gt;=$T130),$W130,IF(AND($S130&lt;&gt;"",EDATE($D130,Milestones!$AA$93)&gt;=$S130),$V130,$U130)))=Milestones!$AB$93),UPPER(TEXT(EDATE($D130,Milestones!$AA$93),"dd mmm yy"))&amp;" "&amp;Milestones!$AB$93&amp;" "&amp;Milestones!$AC$93&amp;";  ","")&amp;IF(AND(EDATE($D130,Milestones!$AA$94)&lt;=AsOfDate,IF($R130=0,$X130,IF(AND($T130&lt;&gt;"",EDATE($D130,Milestones!$AA$94)&gt;=$T130),$W130,IF(AND($S130&lt;&gt;"",EDATE($D130,Milestones!$AA$94)&gt;=$S130),$V130,$U130)))=Milestones!$AB$94),UPPER(TEXT(EDATE($D130,Milestones!$AA$94),"dd mmm yy"))&amp;" "&amp;Milestones!$AB$94&amp;" "&amp;Milestones!$AC$94&amp;";  ","")&amp;IF(AND(EDATE($D130,Milestones!$AA$95)&lt;=AsOfDate,IF($R130=0,$X130,IF(AND($T130&lt;&gt;"",EDATE($D130,Milestones!$AA$95)&gt;=$T130),$W130,IF(AND($S130&lt;&gt;"",EDATE($D130,Milestones!$AA$95)&gt;=$S130),$V130,$U130)))=Milestones!$AB$95),UPPER(TEXT(EDATE($D130,Milestones!$AA$95),"dd mmm yy"))&amp;" "&amp;Milestones!$AB$95&amp;" "&amp;Milestones!$AC$95&amp;";  ","")&amp;IF(AND(EDATE($D130,Milestones!$AA$96)&lt;=AsOfDate,IF($R130=0,$X130,IF(AND($T130&lt;&gt;"",EDATE($D130,Milestones!$AA$96)&gt;=$T130),$W130,IF(AND($S130&lt;&gt;"",EDATE($D130,Milestones!$AA$96)&gt;=$S130),$V130,$U130)))=Milestones!$AB$96),UPPER(TEXT(EDATE($D130,Milestones!$AA$96),"dd mmm yy"))&amp;" "&amp;Milestones!$AB$96&amp;" "&amp;Milestones!$AC$96&amp;";  ","")&amp;IF(AND(EDATE($D130,Milestones!$AA$97)&lt;=AsOfDate,IF($R130=0,$X130,IF(AND($T130&lt;&gt;"",EDATE($D130,Milestones!$AA$97)&gt;=$T130),$W130,IF(AND($S130&lt;&gt;"",EDATE($D130,Milestones!$AA$97)&gt;=$S130),$V130,$U130)))=Milestones!$AB$97),UPPER(TEXT(EDATE($D130,Milestones!$AA$97),"dd mmm yy"))&amp;" "&amp;Milestones!$AB$97&amp;" "&amp;Milestones!$AC$97&amp;";  ","")&amp;IF(AND(EDATE($D130,Milestones!$AA$98)&lt;=AsOfDate,IF($R130=0,$X130,IF(AND($T130&lt;&gt;"",EDATE($D130,Milestones!$AA$98)&gt;=$T130),$W130,IF(AND($S130&lt;&gt;"",EDATE($D130,Milestones!$AA$98)&gt;=$S130),$V130,$U130)))=Milestones!$AB$98),UPPER(TEXT(EDATE($D130,Milestones!$AA$98),"dd mmm yy"))&amp;" "&amp;Milestones!$AB$98&amp;" "&amp;Milestones!$AC$98&amp;";  ","")&amp;IF(AND(EDATE($D130,Milestones!$AA$99)&lt;=AsOfDate,IF($R130=0,$X130,IF(AND($T130&lt;&gt;"",EDATE($D130,Milestones!$AA$99)&gt;=$T130),$W130,IF(AND($S130&lt;&gt;"",EDATE($D130,Milestones!$AA$99)&gt;=$S130),$V130,$U130)))=Milestones!$AB$99),UPPER(TEXT(EDATE($D130,Milestones!$AA$99),"dd mmm yy"))&amp;" "&amp;Milestones!$AB$99&amp;" "&amp;Milestones!$AC$99&amp;";  ",""))</f>
        <v/>
      </c>
      <c r="M130" s="0" t="str">
        <f aca="false">IF(OR($A130="",$D130=""),"",IF(AND(EDATE($D130,Milestones!$AA$100)&lt;=AsOfDate,IF($R130=0,$X130,IF(AND($T130&lt;&gt;"",EDATE($D130,Milestones!$AA$100)&gt;=$T130),$W130,IF(AND($S130&lt;&gt;"",EDATE($D130,Milestones!$AA$100)&gt;=$S130),$V130,$U130)))=Milestones!$AB$100),UPPER(TEXT(EDATE($D130,Milestones!$AA$100),"dd mmm yy"))&amp;" "&amp;Milestones!$AB$100&amp;" "&amp;Milestones!$AC$100&amp;";  ","")&amp;IF(AND(EDATE($D130,Milestones!$AA$101)&lt;=AsOfDate,IF($R130=0,$X130,IF(AND($T130&lt;&gt;"",EDATE($D130,Milestones!$AA$101)&gt;=$T130),$W130,IF(AND($S130&lt;&gt;"",EDATE($D130,Milestones!$AA$101)&gt;=$S130),$V130,$U130)))=Milestones!$AB$101),UPPER(TEXT(EDATE($D130,Milestones!$AA$101),"dd mmm yy"))&amp;" "&amp;Milestones!$AB$101&amp;" "&amp;Milestones!$AC$101&amp;";  ","")&amp;IF(AND(EDATE($D130,Milestones!$AA$102)&lt;=AsOfDate,IF($R130=0,$X130,IF(AND($T130&lt;&gt;"",EDATE($D130,Milestones!$AA$102)&gt;=$T130),$W130,IF(AND($S130&lt;&gt;"",EDATE($D130,Milestones!$AA$102)&gt;=$S130),$V130,$U130)))=Milestones!$AB$102),UPPER(TEXT(EDATE($D130,Milestones!$AA$102),"dd mmm yy"))&amp;" "&amp;Milestones!$AB$102&amp;" "&amp;Milestones!$AC$102&amp;";  ","")&amp;IF(AND(EDATE($D130,Milestones!$AA$103)&lt;=AsOfDate,IF($R130=0,$X130,IF(AND($T130&lt;&gt;"",EDATE($D130,Milestones!$AA$103)&gt;=$T130),$W130,IF(AND($S130&lt;&gt;"",EDATE($D130,Milestones!$AA$103)&gt;=$S130),$V130,$U130)))=Milestones!$AB$103),UPPER(TEXT(EDATE($D130,Milestones!$AA$103),"dd mmm yy"))&amp;" "&amp;Milestones!$AB$103&amp;" "&amp;Milestones!$AC$103&amp;";  ","")&amp;IF(AND(EDATE($D130,Milestones!$AA$104)&lt;=AsOfDate,IF($R130=0,$X130,IF(AND($T130&lt;&gt;"",EDATE($D130,Milestones!$AA$104)&gt;=$T130),$W130,IF(AND($S130&lt;&gt;"",EDATE($D130,Milestones!$AA$104)&gt;=$S130),$V130,$U130)))=Milestones!$AB$104),UPPER(TEXT(EDATE($D130,Milestones!$AA$104),"dd mmm yy"))&amp;" "&amp;Milestones!$AB$104&amp;" "&amp;Milestones!$AC$104&amp;";  ","")&amp;IF(AND(EDATE($D130,Milestones!$AA$105)&lt;=AsOfDate,IF($R130=0,$X130,IF(AND($T130&lt;&gt;"",EDATE($D130,Milestones!$AA$105)&gt;=$T130),$W130,IF(AND($S130&lt;&gt;"",EDATE($D130,Milestones!$AA$105)&gt;=$S130),$V130,$U130)))=Milestones!$AB$105),UPPER(TEXT(EDATE($D130,Milestones!$AA$105),"dd mmm yy"))&amp;" "&amp;Milestones!$AB$105&amp;" "&amp;Milestones!$AC$105&amp;";  ","")&amp;IF(AND(EDATE($D130,Milestones!$AA$106)&lt;=AsOfDate,IF($R130=0,$X130,IF(AND($T130&lt;&gt;"",EDATE($D130,Milestones!$AA$106)&gt;=$T130),$W130,IF(AND($S130&lt;&gt;"",EDATE($D130,Milestones!$AA$106)&gt;=$S130),$V130,$U130)))=Milestones!$AB$106),UPPER(TEXT(EDATE($D130,Milestones!$AA$106),"dd mmm yy"))&amp;" "&amp;Milestones!$AB$106&amp;" "&amp;Milestones!$AC$106&amp;";  ","")&amp;IF(AND(EDATE($D130,Milestones!$AA$107)&lt;=AsOfDate,IF($R130=0,$X130,IF(AND($T130&lt;&gt;"",EDATE($D130,Milestones!$AA$107)&gt;=$T130),$W130,IF(AND($S130&lt;&gt;"",EDATE($D130,Milestones!$AA$107)&gt;=$S130),$V130,$U130)))=Milestones!$AB$107),UPPER(TEXT(EDATE($D130,Milestones!$AA$107),"dd mmm yy"))&amp;" "&amp;Milestones!$AB$107&amp;" "&amp;Milestones!$AC$107&amp;";  ","")&amp;IF(AND(EDATE($D130,Milestones!$AA$108)&lt;=AsOfDate,IF($R130=0,$X130,IF(AND($T130&lt;&gt;"",EDATE($D130,Milestones!$AA$108)&gt;=$T130),$W130,IF(AND($S130&lt;&gt;"",EDATE($D130,Milestones!$AA$108)&gt;=$S130),$V130,$U130)))=Milestones!$AB$108),UPPER(TEXT(EDATE($D130,Milestones!$AA$108),"dd mmm yy"))&amp;" "&amp;Milestones!$AB$108&amp;" "&amp;Milestones!$AC$108&amp;";  ","")&amp;IF(AND(EDATE($D130,Milestones!$AA$109)&lt;=AsOfDate,IF($R130=0,$X130,IF(AND($T130&lt;&gt;"",EDATE($D130,Milestones!$AA$109)&gt;=$T130),$W130,IF(AND($S130&lt;&gt;"",EDATE($D130,Milestones!$AA$109)&gt;=$S130),$V130,$U130)))=Milestones!$AB$109),UPPER(TEXT(EDATE($D130,Milestones!$AA$109),"dd mmm yy"))&amp;" "&amp;Milestones!$AB$109&amp;" "&amp;Milestones!$AC$109&amp;";  ","")&amp;IF(AND(EDATE($D130,Milestones!$AA$110)&lt;=AsOfDate,IF($R130=0,$X130,IF(AND($T130&lt;&gt;"",EDATE($D130,Milestones!$AA$110)&gt;=$T130),$W130,IF(AND($S130&lt;&gt;"",EDATE($D130,Milestones!$AA$110)&gt;=$S130),$V130,$U130)))=Milestones!$AB$110),UPPER(TEXT(EDATE($D130,Milestones!$AA$110),"dd mmm yy"))&amp;" "&amp;Milestones!$AB$110&amp;" "&amp;Milestones!$AC$110&amp;";  ","")&amp;IF(AND(EDATE($D130,Milestones!$AA$111)&lt;=AsOfDate,IF($R130=0,$X130,IF(AND($T130&lt;&gt;"",EDATE($D130,Milestones!$AA$111)&gt;=$T130),$W130,IF(AND($S130&lt;&gt;"",EDATE($D130,Milestones!$AA$111)&gt;=$S130),$V130,$U130)))=Milestones!$AB$111),UPPER(TEXT(EDATE($D130,Milestones!$AA$111),"dd mmm yy"))&amp;" "&amp;Milestones!$AB$111&amp;" "&amp;Milestones!$AC$111&amp;";  ","")&amp;IF(AND(EDATE($D130,Milestones!$AA$112)&lt;=AsOfDate,IF($R130=0,$X130,IF(AND($T130&lt;&gt;"",EDATE($D130,Milestones!$AA$112)&gt;=$T130),$W130,IF(AND($S130&lt;&gt;"",EDATE($D130,Milestones!$AA$112)&gt;=$S130),$V130,$U130)))=Milestones!$AB$112),UPPER(TEXT(EDATE($D130,Milestones!$AA$112),"dd mmm yy"))&amp;" "&amp;Milestones!$AB$112&amp;" "&amp;Milestones!$AC$112&amp;";  ","")&amp;IF(AND(EDATE($D130,Milestones!$AA$113)&lt;=AsOfDate,IF($R130=0,$X130,IF(AND($T130&lt;&gt;"",EDATE($D130,Milestones!$AA$113)&gt;=$T130),$W130,IF(AND($S130&lt;&gt;"",EDATE($D130,Milestones!$AA$113)&gt;=$S130),$V130,$U130)))=Milestones!$AB$113),UPPER(TEXT(EDATE($D130,Milestones!$AA$113),"dd mmm yy"))&amp;" "&amp;Milestones!$AB$113&amp;" "&amp;Milestones!$AC$113&amp;";  ","")&amp;IF(AND(EDATE($D130,Milestones!$AA$114)&lt;=AsOfDate,IF($R130=0,$X130,IF(AND($T130&lt;&gt;"",EDATE($D130,Milestones!$AA$114)&gt;=$T130),$W130,IF(AND($S130&lt;&gt;"",EDATE($D130,Milestones!$AA$114)&gt;=$S130),$V130,$U130)))=Milestones!$AB$114),UPPER(TEXT(EDATE($D130,Milestones!$AA$114),"dd mmm yy"))&amp;" "&amp;Milestones!$AB$114&amp;" "&amp;Milestones!$AC$114&amp;";  ","")&amp;IF(AND(EDATE($D130,Milestones!$AA$115)&lt;=AsOfDate,IF($R130=0,$X130,IF(AND($T130&lt;&gt;"",EDATE($D130,Milestones!$AA$115)&gt;=$T130),$W130,IF(AND($S130&lt;&gt;"",EDATE($D130,Milestones!$AA$115)&gt;=$S130),$V130,$U130)))=Milestones!$AB$115),UPPER(TEXT(EDATE($D130,Milestones!$AA$115),"dd mmm yy"))&amp;" "&amp;Milestones!$AB$115&amp;" "&amp;Milestones!$AC$115&amp;";  ","")&amp;IF(AND(EDATE($D130,Milestones!$AA$116)&lt;=AsOfDate,IF($R130=0,$X130,IF(AND($T130&lt;&gt;"",EDATE($D130,Milestones!$AA$116)&gt;=$T130),$W130,IF(AND($S130&lt;&gt;"",EDATE($D130,Milestones!$AA$116)&gt;=$S130),$V130,$U130)))=Milestones!$AB$116),UPPER(TEXT(EDATE($D130,Milestones!$AA$116),"dd mmm yy"))&amp;" "&amp;Milestones!$AB$116&amp;" "&amp;Milestones!$AC$116&amp;";  ","")&amp;IF(AND(EDATE($D130,Milestones!$AA$117)&lt;=AsOfDate,IF($R130=0,$X130,IF(AND($T130&lt;&gt;"",EDATE($D130,Milestones!$AA$117)&gt;=$T130),$W130,IF(AND($S130&lt;&gt;"",EDATE($D130,Milestones!$AA$117)&gt;=$S130),$V130,$U130)))=Milestones!$AB$117),UPPER(TEXT(EDATE($D130,Milestones!$AA$117),"dd mmm yy"))&amp;" "&amp;Milestones!$AB$117&amp;" "&amp;Milestones!$AC$117&amp;";  ","")&amp;IF(AND(EDATE($D130,Milestones!$AA$118)&lt;=AsOfDate,IF($R130=0,$X130,IF(AND($T130&lt;&gt;"",EDATE($D130,Milestones!$AA$118)&gt;=$T130),$W130,IF(AND($S130&lt;&gt;"",EDATE($D130,Milestones!$AA$118)&gt;=$S130),$V130,$U130)))=Milestones!$AB$118),UPPER(TEXT(EDATE($D130,Milestones!$AA$118),"dd mmm yy"))&amp;" "&amp;Milestones!$AB$118&amp;" "&amp;Milestones!$AC$118&amp;";  ","")&amp;IF(AND(EDATE($D130,Milestones!$AA$119)&lt;=AsOfDate,IF($R130=0,$X130,IF(AND($T130&lt;&gt;"",EDATE($D130,Milestones!$AA$119)&gt;=$T130),$W130,IF(AND($S130&lt;&gt;"",EDATE($D130,Milestones!$AA$119)&gt;=$S130),$V130,$U130)))=Milestones!$AB$119),UPPER(TEXT(EDATE($D130,Milestones!$AA$119),"dd mmm yy"))&amp;" "&amp;Milestones!$AB$119&amp;" "&amp;Milestones!$AC$119&amp;";  ",""))</f>
        <v/>
      </c>
      <c r="N130" s="0" t="str">
        <f aca="false">IF(OR($A130="",$D130=""),"",IF(AND(EDATE($D130,Milestones!$AA$120)&lt;=AsOfDate,IF($R130=0,$X130,IF(AND($T130&lt;&gt;"",EDATE($D130,Milestones!$AA$120)&gt;=$T130),$W130,IF(AND($S130&lt;&gt;"",EDATE($D130,Milestones!$AA$120)&gt;=$S130),$V130,$U130)))=Milestones!$AB$120),UPPER(TEXT(EDATE($D130,Milestones!$AA$120),"dd mmm yy"))&amp;" "&amp;Milestones!$AB$120&amp;" "&amp;Milestones!$AC$120&amp;";  ","")&amp;IF(AND(EDATE($D130,Milestones!$AA$121)&lt;=AsOfDate,IF($R130=0,$X130,IF(AND($T130&lt;&gt;"",EDATE($D130,Milestones!$AA$121)&gt;=$T130),$W130,IF(AND($S130&lt;&gt;"",EDATE($D130,Milestones!$AA$121)&gt;=$S130),$V130,$U130)))=Milestones!$AB$121),UPPER(TEXT(EDATE($D130,Milestones!$AA$121),"dd mmm yy"))&amp;" "&amp;Milestones!$AB$121&amp;" "&amp;Milestones!$AC$121&amp;";  ","")&amp;IF(AND(EDATE($D130,Milestones!$AA$122)&lt;=AsOfDate,IF($R130=0,$X130,IF(AND($T130&lt;&gt;"",EDATE($D130,Milestones!$AA$122)&gt;=$T130),$W130,IF(AND($S130&lt;&gt;"",EDATE($D130,Milestones!$AA$122)&gt;=$S130),$V130,$U130)))=Milestones!$AB$122),UPPER(TEXT(EDATE($D130,Milestones!$AA$122),"dd mmm yy"))&amp;" "&amp;Milestones!$AB$122&amp;" "&amp;Milestones!$AC$122&amp;";  ","")&amp;IF(AND(EDATE($D130,Milestones!$AA$123)&lt;=AsOfDate,IF($R130=0,$X130,IF(AND($T130&lt;&gt;"",EDATE($D130,Milestones!$AA$123)&gt;=$T130),$W130,IF(AND($S130&lt;&gt;"",EDATE($D130,Milestones!$AA$123)&gt;=$S130),$V130,$U130)))=Milestones!$AB$123),UPPER(TEXT(EDATE($D130,Milestones!$AA$123),"dd mmm yy"))&amp;" "&amp;Milestones!$AB$123&amp;" "&amp;Milestones!$AC$123&amp;";  ","")&amp;IF(AND(EDATE($D130,Milestones!$AA$124)&lt;=AsOfDate,IF($R130=0,$X130,IF(AND($T130&lt;&gt;"",EDATE($D130,Milestones!$AA$124)&gt;=$T130),$W130,IF(AND($S130&lt;&gt;"",EDATE($D130,Milestones!$AA$124)&gt;=$S130),$V130,$U130)))=Milestones!$AB$124),UPPER(TEXT(EDATE($D130,Milestones!$AA$124),"dd mmm yy"))&amp;" "&amp;Milestones!$AB$124&amp;" "&amp;Milestones!$AC$124&amp;";  ","")&amp;IF(AND(EDATE($D130,Milestones!$AA$125)&lt;=AsOfDate,IF($R130=0,$X130,IF(AND($T130&lt;&gt;"",EDATE($D130,Milestones!$AA$125)&gt;=$T130),$W130,IF(AND($S130&lt;&gt;"",EDATE($D130,Milestones!$AA$125)&gt;=$S130),$V130,$U130)))=Milestones!$AB$125),UPPER(TEXT(EDATE($D130,Milestones!$AA$125),"dd mmm yy"))&amp;" "&amp;Milestones!$AB$125&amp;" "&amp;Milestones!$AC$125&amp;";  ","")&amp;IF(AND(EDATE($D130,Milestones!$AA$126)&lt;=AsOfDate,IF($R130=0,$X130,IF(AND($T130&lt;&gt;"",EDATE($D130,Milestones!$AA$126)&gt;=$T130),$W130,IF(AND($S130&lt;&gt;"",EDATE($D130,Milestones!$AA$126)&gt;=$S130),$V130,$U130)))=Milestones!$AB$126),UPPER(TEXT(EDATE($D130,Milestones!$AA$126),"dd mmm yy"))&amp;" "&amp;Milestones!$AB$126&amp;" "&amp;Milestones!$AC$126&amp;";  ","")&amp;IF(AND(EDATE($D130,Milestones!$AA$127)&lt;=AsOfDate,IF($R130=0,$X130,IF(AND($T130&lt;&gt;"",EDATE($D130,Milestones!$AA$127)&gt;=$T130),$W130,IF(AND($S130&lt;&gt;"",EDATE($D130,Milestones!$AA$127)&gt;=$S130),$V130,$U130)))=Milestones!$AB$127),UPPER(TEXT(EDATE($D130,Milestones!$AA$127),"dd mmm yy"))&amp;" "&amp;Milestones!$AB$127&amp;" "&amp;Milestones!$AC$127&amp;";  ","")&amp;IF(AND(EDATE($D130,Milestones!$AA$128)&lt;=AsOfDate,IF($R130=0,$X130,IF(AND($T130&lt;&gt;"",EDATE($D130,Milestones!$AA$128)&gt;=$T130),$W130,IF(AND($S130&lt;&gt;"",EDATE($D130,Milestones!$AA$128)&gt;=$S130),$V130,$U130)))=Milestones!$AB$128),UPPER(TEXT(EDATE($D130,Milestones!$AA$128),"dd mmm yy"))&amp;" "&amp;Milestones!$AB$128&amp;" "&amp;Milestones!$AC$128&amp;";  ","")&amp;IF(AND(EDATE($D130,Milestones!$AA$129)&lt;=AsOfDate,IF($R130=0,$X130,IF(AND($T130&lt;&gt;"",EDATE($D130,Milestones!$AA$129)&gt;=$T130),$W130,IF(AND($S130&lt;&gt;"",EDATE($D130,Milestones!$AA$129)&gt;=$S130),$V130,$U130)))=Milestones!$AB$129),UPPER(TEXT(EDATE($D130,Milestones!$AA$129),"dd mmm yy"))&amp;" "&amp;Milestones!$AB$129&amp;" "&amp;Milestones!$AC$129&amp;";  ","")&amp;IF(AND(EDATE($D130,Milestones!$AA$130)&lt;=AsOfDate,IF($R130=0,$X130,IF(AND($T130&lt;&gt;"",EDATE($D130,Milestones!$AA$130)&gt;=$T130),$W130,IF(AND($S130&lt;&gt;"",EDATE($D130,Milestones!$AA$130)&gt;=$S130),$V130,$U130)))=Milestones!$AB$130),UPPER(TEXT(EDATE($D130,Milestones!$AA$130),"dd mmm yy"))&amp;" "&amp;Milestones!$AB$130&amp;" "&amp;Milestones!$AC$130&amp;";  ","")&amp;IF(AND(EDATE($D130,Milestones!$AA$131)&lt;=AsOfDate,IF($R130=0,$X130,IF(AND($T130&lt;&gt;"",EDATE($D130,Milestones!$AA$131)&gt;=$T130),$W130,IF(AND($S130&lt;&gt;"",EDATE($D130,Milestones!$AA$131)&gt;=$S130),$V130,$U130)))=Milestones!$AB$131),UPPER(TEXT(EDATE($D130,Milestones!$AA$131),"dd mmm yy"))&amp;" "&amp;Milestones!$AB$131&amp;" "&amp;Milestones!$AC$131&amp;";  ","")&amp;IF(AND(EDATE($D130,Milestones!$AA$132)&lt;=AsOfDate,IF($R130=0,$X130,IF(AND($T130&lt;&gt;"",EDATE($D130,Milestones!$AA$132)&gt;=$T130),$W130,IF(AND($S130&lt;&gt;"",EDATE($D130,Milestones!$AA$132)&gt;=$S130),$V130,$U130)))=Milestones!$AB$132),UPPER(TEXT(EDATE($D130,Milestones!$AA$132),"dd mmm yy"))&amp;" "&amp;Milestones!$AB$132&amp;" "&amp;Milestones!$AC$132&amp;";  ","")&amp;IF(AND(EDATE($D130,Milestones!$AA$133)&lt;=AsOfDate,IF($R130=0,$X130,IF(AND($T130&lt;&gt;"",EDATE($D130,Milestones!$AA$133)&gt;=$T130),$W130,IF(AND($S130&lt;&gt;"",EDATE($D130,Milestones!$AA$133)&gt;=$S130),$V130,$U130)))=Milestones!$AB$133),UPPER(TEXT(EDATE($D130,Milestones!$AA$133),"dd mmm yy"))&amp;" "&amp;Milestones!$AB$133&amp;" "&amp;Milestones!$AC$133&amp;";  ","")&amp;IF(AND(EDATE($D130,Milestones!$AA$134)&lt;=AsOfDate,IF($R130=0,$X130,IF(AND($T130&lt;&gt;"",EDATE($D130,Milestones!$AA$134)&gt;=$T130),$W130,IF(AND($S130&lt;&gt;"",EDATE($D130,Milestones!$AA$134)&gt;=$S130),$V130,$U130)))=Milestones!$AB$134),UPPER(TEXT(EDATE($D130,Milestones!$AA$134),"dd mmm yy"))&amp;" "&amp;Milestones!$AB$134&amp;" "&amp;Milestones!$AC$134&amp;";  ","")&amp;IF(AND(EDATE($D130,Milestones!$AA$135)&lt;=AsOfDate,IF($R130=0,$X130,IF(AND($T130&lt;&gt;"",EDATE($D130,Milestones!$AA$135)&gt;=$T130),$W130,IF(AND($S130&lt;&gt;"",EDATE($D130,Milestones!$AA$135)&gt;=$S130),$V130,$U130)))=Milestones!$AB$135),UPPER(TEXT(EDATE($D130,Milestones!$AA$135),"dd mmm yy"))&amp;" "&amp;Milestones!$AB$135&amp;" "&amp;Milestones!$AC$135&amp;";  ","")&amp;IF(AND(EDATE($D130,Milestones!$AA$136)&lt;=AsOfDate,IF($R130=0,$X130,IF(AND($T130&lt;&gt;"",EDATE($D130,Milestones!$AA$136)&gt;=$T130),$W130,IF(AND($S130&lt;&gt;"",EDATE($D130,Milestones!$AA$136)&gt;=$S130),$V130,$U130)))=Milestones!$AB$136),UPPER(TEXT(EDATE($D130,Milestones!$AA$136),"dd mmm yy"))&amp;" "&amp;Milestones!$AB$136&amp;" "&amp;Milestones!$AC$136&amp;";  ","")&amp;IF(AND(EDATE($D130,Milestones!$AA$137)&lt;=AsOfDate,IF($R130=0,$X130,IF(AND($T130&lt;&gt;"",EDATE($D130,Milestones!$AA$137)&gt;=$T130),$W130,IF(AND($S130&lt;&gt;"",EDATE($D130,Milestones!$AA$137)&gt;=$S130),$V130,$U130)))=Milestones!$AB$137),UPPER(TEXT(EDATE($D130,Milestones!$AA$137),"dd mmm yy"))&amp;" "&amp;Milestones!$AB$137&amp;" "&amp;Milestones!$AC$137&amp;";  ","")&amp;IF(AND(EDATE($D130,Milestones!$AA$138)&lt;=AsOfDate,IF($R130=0,$X130,IF(AND($T130&lt;&gt;"",EDATE($D130,Milestones!$AA$138)&gt;=$T130),$W130,IF(AND($S130&lt;&gt;"",EDATE($D130,Milestones!$AA$138)&gt;=$S130),$V130,$U130)))=Milestones!$AB$138),UPPER(TEXT(EDATE($D130,Milestones!$AA$138),"dd mmm yy"))&amp;" "&amp;Milestones!$AB$138&amp;" "&amp;Milestones!$AC$138&amp;";  ","")&amp;IF(AND(EDATE($D130,Milestones!$AA$139)&lt;=AsOfDate,IF($R130=0,$X130,IF(AND($T130&lt;&gt;"",EDATE($D130,Milestones!$AA$139)&gt;=$T130),$W130,IF(AND($S130&lt;&gt;"",EDATE($D130,Milestones!$AA$139)&gt;=$S130),$V130,$U130)))=Milestones!$AB$139),UPPER(TEXT(EDATE($D130,Milestones!$AA$139),"dd mmm yy"))&amp;" "&amp;Milestones!$AB$139&amp;" "&amp;Milestones!$AC$139&amp;";  ",""))</f>
        <v/>
      </c>
      <c r="O130" s="0" t="str">
        <f aca="false">IF(OR($A130="",$D130=""),"",IF(AND(EDATE($D130,Milestones!$AA$140)&lt;=AsOfDate,IF($R130=0,$X130,IF(AND($T130&lt;&gt;"",EDATE($D130,Milestones!$AA$140)&gt;=$T130),$W130,IF(AND($S130&lt;&gt;"",EDATE($D130,Milestones!$AA$140)&gt;=$S130),$V130,$U130)))=Milestones!$AB$140),UPPER(TEXT(EDATE($D130,Milestones!$AA$140),"dd mmm yy"))&amp;" "&amp;Milestones!$AB$140&amp;" "&amp;Milestones!$AC$140&amp;";  ","")&amp;IF(AND(EDATE($D130,Milestones!$AA$141)&lt;=AsOfDate,IF($R130=0,$X130,IF(AND($T130&lt;&gt;"",EDATE($D130,Milestones!$AA$141)&gt;=$T130),$W130,IF(AND($S130&lt;&gt;"",EDATE($D130,Milestones!$AA$141)&gt;=$S130),$V130,$U130)))=Milestones!$AB$141),UPPER(TEXT(EDATE($D130,Milestones!$AA$141),"dd mmm yy"))&amp;" "&amp;Milestones!$AB$141&amp;" "&amp;Milestones!$AC$141&amp;";  ","")&amp;IF(AND(EDATE($D130,Milestones!$AA$142)&lt;=AsOfDate,IF($R130=0,$X130,IF(AND($T130&lt;&gt;"",EDATE($D130,Milestones!$AA$142)&gt;=$T130),$W130,IF(AND($S130&lt;&gt;"",EDATE($D130,Milestones!$AA$142)&gt;=$S130),$V130,$U130)))=Milestones!$AB$142),UPPER(TEXT(EDATE($D130,Milestones!$AA$142),"dd mmm yy"))&amp;" "&amp;Milestones!$AB$142&amp;" "&amp;Milestones!$AC$142&amp;";  ","")&amp;IF(AND(EDATE($D130,Milestones!$AA$143)&lt;=AsOfDate,IF($R130=0,$X130,IF(AND($T130&lt;&gt;"",EDATE($D130,Milestones!$AA$143)&gt;=$T130),$W130,IF(AND($S130&lt;&gt;"",EDATE($D130,Milestones!$AA$143)&gt;=$S130),$V130,$U130)))=Milestones!$AB$143),UPPER(TEXT(EDATE($D130,Milestones!$AA$143),"dd mmm yy"))&amp;" "&amp;Milestones!$AB$143&amp;" "&amp;Milestones!$AC$143&amp;";  ","")&amp;IF(AND(EDATE($D130,Milestones!$AA$144)&lt;=AsOfDate,IF($R130=0,$X130,IF(AND($T130&lt;&gt;"",EDATE($D130,Milestones!$AA$144)&gt;=$T130),$W130,IF(AND($S130&lt;&gt;"",EDATE($D130,Milestones!$AA$144)&gt;=$S130),$V130,$U130)))=Milestones!$AB$144),UPPER(TEXT(EDATE($D130,Milestones!$AA$144),"dd mmm yy"))&amp;" "&amp;Milestones!$AB$144&amp;" "&amp;Milestones!$AC$144&amp;";  ","")&amp;IF(AND(EDATE($D130,Milestones!$AA$145)&lt;=AsOfDate,IF($R130=0,$X130,IF(AND($T130&lt;&gt;"",EDATE($D130,Milestones!$AA$145)&gt;=$T130),$W130,IF(AND($S130&lt;&gt;"",EDATE($D130,Milestones!$AA$145)&gt;=$S130),$V130,$U130)))=Milestones!$AB$145),UPPER(TEXT(EDATE($D130,Milestones!$AA$145),"dd mmm yy"))&amp;" "&amp;Milestones!$AB$145&amp;" "&amp;Milestones!$AC$145&amp;";  ","")&amp;IF(AND(EDATE($D130,Milestones!$AA$146)&lt;=AsOfDate,IF($R130=0,$X130,IF(AND($T130&lt;&gt;"",EDATE($D130,Milestones!$AA$146)&gt;=$T130),$W130,IF(AND($S130&lt;&gt;"",EDATE($D130,Milestones!$AA$146)&gt;=$S130),$V130,$U130)))=Milestones!$AB$146),UPPER(TEXT(EDATE($D130,Milestones!$AA$146),"dd mmm yy"))&amp;" "&amp;Milestones!$AB$146&amp;" "&amp;Milestones!$AC$146&amp;";  ","")&amp;IF(AND(EDATE($D130,Milestones!$AA$147)&lt;=AsOfDate,IF($R130=0,$X130,IF(AND($T130&lt;&gt;"",EDATE($D130,Milestones!$AA$147)&gt;=$T130),$W130,IF(AND($S130&lt;&gt;"",EDATE($D130,Milestones!$AA$147)&gt;=$S130),$V130,$U130)))=Milestones!$AB$147),UPPER(TEXT(EDATE($D130,Milestones!$AA$147),"dd mmm yy"))&amp;" "&amp;Milestones!$AB$147&amp;" "&amp;Milestones!$AC$147&amp;";  ","")&amp;IF(AND(EDATE($D130,Milestones!$AA$148)&lt;=AsOfDate,IF($R130=0,$X130,IF(AND($T130&lt;&gt;"",EDATE($D130,Milestones!$AA$148)&gt;=$T130),$W130,IF(AND($S130&lt;&gt;"",EDATE($D130,Milestones!$AA$148)&gt;=$S130),$V130,$U130)))=Milestones!$AB$148),UPPER(TEXT(EDATE($D130,Milestones!$AA$148),"dd mmm yy"))&amp;" "&amp;Milestones!$AB$148&amp;" "&amp;Milestones!$AC$148&amp;";  ","")&amp;IF(AND(EDATE($D130,Milestones!$AA$149)&lt;=AsOfDate,IF($R130=0,$X130,IF(AND($T130&lt;&gt;"",EDATE($D130,Milestones!$AA$149)&gt;=$T130),$W130,IF(AND($S130&lt;&gt;"",EDATE($D130,Milestones!$AA$149)&gt;=$S130),$V130,$U130)))=Milestones!$AB$149),UPPER(TEXT(EDATE($D130,Milestones!$AA$149),"dd mmm yy"))&amp;" "&amp;Milestones!$AB$149&amp;" "&amp;Milestones!$AC$149&amp;";  ","")&amp;IF(AND(EDATE($D130,Milestones!$AA$150)&lt;=AsOfDate,IF($R130=0,$X130,IF(AND($T130&lt;&gt;"",EDATE($D130,Milestones!$AA$150)&gt;=$T130),$W130,IF(AND($S130&lt;&gt;"",EDATE($D130,Milestones!$AA$150)&gt;=$S130),$V130,$U130)))=Milestones!$AB$150),UPPER(TEXT(EDATE($D130,Milestones!$AA$150),"dd mmm yy"))&amp;" "&amp;Milestones!$AB$150&amp;" "&amp;Milestones!$AC$150&amp;";  ","")&amp;IF(AND(EDATE($D130,Milestones!$AA$151)&lt;=AsOfDate,IF($R130=0,$X130,IF(AND($T130&lt;&gt;"",EDATE($D130,Milestones!$AA$151)&gt;=$T130),$W130,IF(AND($S130&lt;&gt;"",EDATE($D130,Milestones!$AA$151)&gt;=$S130),$V130,$U130)))=Milestones!$AB$151),UPPER(TEXT(EDATE($D130,Milestones!$AA$151),"dd mmm yy"))&amp;" "&amp;Milestones!$AB$151&amp;" "&amp;Milestones!$AC$151&amp;";  ","")&amp;IF(AND(EDATE($D130,Milestones!$AA$152)&lt;=AsOfDate,IF($R130=0,$X130,IF(AND($T130&lt;&gt;"",EDATE($D130,Milestones!$AA$152)&gt;=$T130),$W130,IF(AND($S130&lt;&gt;"",EDATE($D130,Milestones!$AA$152)&gt;=$S130),$V130,$U130)))=Milestones!$AB$152),UPPER(TEXT(EDATE($D130,Milestones!$AA$152),"dd mmm yy"))&amp;" "&amp;Milestones!$AB$152&amp;" "&amp;Milestones!$AC$152&amp;";  ","")&amp;IF(AND(EDATE($D130,Milestones!$AA$153)&lt;=AsOfDate,IF($R130=0,$X130,IF(AND($T130&lt;&gt;"",EDATE($D130,Milestones!$AA$153)&gt;=$T130),$W130,IF(AND($S130&lt;&gt;"",EDATE($D130,Milestones!$AA$153)&gt;=$S130),$V130,$U130)))=Milestones!$AB$153),UPPER(TEXT(EDATE($D130,Milestones!$AA$153),"dd mmm yy"))&amp;" "&amp;Milestones!$AB$153&amp;" "&amp;Milestones!$AC$153&amp;";  ","")&amp;IF(AND(EDATE($D130,Milestones!$AA$154)&lt;=AsOfDate,IF($R130=0,$X130,IF(AND($T130&lt;&gt;"",EDATE($D130,Milestones!$AA$154)&gt;=$T130),$W130,IF(AND($S130&lt;&gt;"",EDATE($D130,Milestones!$AA$154)&gt;=$S130),$V130,$U130)))=Milestones!$AB$154),UPPER(TEXT(EDATE($D130,Milestones!$AA$154),"dd mmm yy"))&amp;" "&amp;Milestones!$AB$154&amp;" "&amp;Milestones!$AC$154&amp;";  ","")&amp;IF(AND(EDATE($D130,Milestones!$AA$155)&lt;=AsOfDate,IF($R130=0,$X130,IF(AND($T130&lt;&gt;"",EDATE($D130,Milestones!$AA$155)&gt;=$T130),$W130,IF(AND($S130&lt;&gt;"",EDATE($D130,Milestones!$AA$155)&gt;=$S130),$V130,$U130)))=Milestones!$AB$155),UPPER(TEXT(EDATE($D130,Milestones!$AA$155),"dd mmm yy"))&amp;" "&amp;Milestones!$AB$155&amp;" "&amp;Milestones!$AC$155&amp;";  ","")&amp;IF(AND(EDATE($D130,Milestones!$AA$156)&lt;=AsOfDate,IF($R130=0,$X130,IF(AND($T130&lt;&gt;"",EDATE($D130,Milestones!$AA$156)&gt;=$T130),$W130,IF(AND($S130&lt;&gt;"",EDATE($D130,Milestones!$AA$156)&gt;=$S130),$V130,$U130)))=Milestones!$AB$156),UPPER(TEXT(EDATE($D130,Milestones!$AA$156),"dd mmm yy"))&amp;" "&amp;Milestones!$AB$156&amp;" "&amp;Milestones!$AC$156&amp;";  ","")&amp;IF(AND(EDATE($D130,Milestones!$AA$157)&lt;=AsOfDate,IF($R130=0,$X130,IF(AND($T130&lt;&gt;"",EDATE($D130,Milestones!$AA$157)&gt;=$T130),$W130,IF(AND($S130&lt;&gt;"",EDATE($D130,Milestones!$AA$157)&gt;=$S130),$V130,$U130)))=Milestones!$AB$157),UPPER(TEXT(EDATE($D130,Milestones!$AA$157),"dd mmm yy"))&amp;" "&amp;Milestones!$AB$157&amp;" "&amp;Milestones!$AC$157&amp;";  ","")&amp;IF(AND(EDATE($D130,Milestones!$AA$158)&lt;=AsOfDate,IF($R130=0,$X130,IF(AND($T130&lt;&gt;"",EDATE($D130,Milestones!$AA$158)&gt;=$T130),$W130,IF(AND($S130&lt;&gt;"",EDATE($D130,Milestones!$AA$158)&gt;=$S130),$V130,$U130)))=Milestones!$AB$158),UPPER(TEXT(EDATE($D130,Milestones!$AA$158),"dd mmm yy"))&amp;" "&amp;Milestones!$AB$158&amp;" "&amp;Milestones!$AC$158&amp;";  ","")&amp;IF(AND(EDATE($D130,Milestones!$AA$159)&lt;=AsOfDate,IF($R130=0,$X130,IF(AND($T130&lt;&gt;"",EDATE($D130,Milestones!$AA$159)&gt;=$T130),$W130,IF(AND($S130&lt;&gt;"",EDATE($D130,Milestones!$AA$159)&gt;=$S130),$V130,$U130)))=Milestones!$AB$159),UPPER(TEXT(EDATE($D130,Milestones!$AA$159),"dd mmm yy"))&amp;" "&amp;Milestones!$AB$159&amp;" "&amp;Milestones!$AC$159&amp;";  ",""))</f>
        <v/>
      </c>
      <c r="P130" s="0" t="str">
        <f aca="false">IF(OR($A130="",$D130=""),"",IF(AND(EDATE($D130,Milestones!$AA$160)&lt;=AsOfDate,IF($R130=0,$X130,IF(AND($T130&lt;&gt;"",EDATE($D130,Milestones!$AA$160)&gt;=$T130),$W130,IF(AND($S130&lt;&gt;"",EDATE($D130,Milestones!$AA$160)&gt;=$S130),$V130,$U130)))=Milestones!$AB$160),UPPER(TEXT(EDATE($D130,Milestones!$AA$160),"dd mmm yy"))&amp;" "&amp;Milestones!$AB$160&amp;" "&amp;Milestones!$AC$160&amp;";  ","")&amp;IF(AND(EDATE($D130,Milestones!$AA$161)&lt;=AsOfDate,IF($R130=0,$X130,IF(AND($T130&lt;&gt;"",EDATE($D130,Milestones!$AA$161)&gt;=$T130),$W130,IF(AND($S130&lt;&gt;"",EDATE($D130,Milestones!$AA$161)&gt;=$S130),$V130,$U130)))=Milestones!$AB$161),UPPER(TEXT(EDATE($D130,Milestones!$AA$161),"dd mmm yy"))&amp;" "&amp;Milestones!$AB$161&amp;" "&amp;Milestones!$AC$161&amp;";  ","")&amp;IF(AND(EDATE($D130,Milestones!$AA$162)&lt;=AsOfDate,IF($R130=0,$X130,IF(AND($T130&lt;&gt;"",EDATE($D130,Milestones!$AA$162)&gt;=$T130),$W130,IF(AND($S130&lt;&gt;"",EDATE($D130,Milestones!$AA$162)&gt;=$S130),$V130,$U130)))=Milestones!$AB$162),UPPER(TEXT(EDATE($D130,Milestones!$AA$162),"dd mmm yy"))&amp;" "&amp;Milestones!$AB$162&amp;" "&amp;Milestones!$AC$162&amp;";  ","")&amp;IF(AND(EDATE($D130,Milestones!$AA$163)&lt;=AsOfDate,IF($R130=0,$X130,IF(AND($T130&lt;&gt;"",EDATE($D130,Milestones!$AA$163)&gt;=$T130),$W130,IF(AND($S130&lt;&gt;"",EDATE($D130,Milestones!$AA$163)&gt;=$S130),$V130,$U130)))=Milestones!$AB$163),UPPER(TEXT(EDATE($D130,Milestones!$AA$163),"dd mmm yy"))&amp;" "&amp;Milestones!$AB$163&amp;" "&amp;Milestones!$AC$163&amp;";  ","")&amp;IF(AND(EDATE($D130,Milestones!$AA$164)&lt;=AsOfDate,IF($R130=0,$X130,IF(AND($T130&lt;&gt;"",EDATE($D130,Milestones!$AA$164)&gt;=$T130),$W130,IF(AND($S130&lt;&gt;"",EDATE($D130,Milestones!$AA$164)&gt;=$S130),$V130,$U130)))=Milestones!$AB$164),UPPER(TEXT(EDATE($D130,Milestones!$AA$164),"dd mmm yy"))&amp;" "&amp;Milestones!$AB$164&amp;" "&amp;Milestones!$AC$164&amp;";  ","")&amp;IF(AND(EDATE($D130,Milestones!$AA$165)&lt;=AsOfDate,IF($R130=0,$X130,IF(AND($T130&lt;&gt;"",EDATE($D130,Milestones!$AA$165)&gt;=$T130),$W130,IF(AND($S130&lt;&gt;"",EDATE($D130,Milestones!$AA$165)&gt;=$S130),$V130,$U130)))=Milestones!$AB$165),UPPER(TEXT(EDATE($D130,Milestones!$AA$165),"dd mmm yy"))&amp;" "&amp;Milestones!$AB$165&amp;" "&amp;Milestones!$AC$165&amp;";  ","")&amp;IF(AND(EDATE($D130,Milestones!$AA$166)&lt;=AsOfDate,IF($R130=0,$X130,IF(AND($T130&lt;&gt;"",EDATE($D130,Milestones!$AA$166)&gt;=$T130),$W130,IF(AND($S130&lt;&gt;"",EDATE($D130,Milestones!$AA$166)&gt;=$S130),$V130,$U130)))=Milestones!$AB$166),UPPER(TEXT(EDATE($D130,Milestones!$AA$166),"dd mmm yy"))&amp;" "&amp;Milestones!$AB$166&amp;" "&amp;Milestones!$AC$166&amp;";  ","")&amp;IF(AND(EDATE($D130,Milestones!$AA$167)&lt;=AsOfDate,IF($R130=0,$X130,IF(AND($T130&lt;&gt;"",EDATE($D130,Milestones!$AA$167)&gt;=$T130),$W130,IF(AND($S130&lt;&gt;"",EDATE($D130,Milestones!$AA$167)&gt;=$S130),$V130,$U130)))=Milestones!$AB$167),UPPER(TEXT(EDATE($D130,Milestones!$AA$167),"dd mmm yy"))&amp;" "&amp;Milestones!$AB$167&amp;" "&amp;Milestones!$AC$167&amp;";  ","")&amp;IF(AND(EDATE($D130,Milestones!$AA$168)&lt;=AsOfDate,IF($R130=0,$X130,IF(AND($T130&lt;&gt;"",EDATE($D130,Milestones!$AA$168)&gt;=$T130),$W130,IF(AND($S130&lt;&gt;"",EDATE($D130,Milestones!$AA$168)&gt;=$S130),$V130,$U130)))=Milestones!$AB$168),UPPER(TEXT(EDATE($D130,Milestones!$AA$168),"dd mmm yy"))&amp;" "&amp;Milestones!$AB$168&amp;" "&amp;Milestones!$AC$168&amp;";  ","")&amp;IF(AND(EDATE($D130,Milestones!$AA$169)&lt;=AsOfDate,IF($R130=0,$X130,IF(AND($T130&lt;&gt;"",EDATE($D130,Milestones!$AA$169)&gt;=$T130),$W130,IF(AND($S130&lt;&gt;"",EDATE($D130,Milestones!$AA$169)&gt;=$S130),$V130,$U130)))=Milestones!$AB$169),UPPER(TEXT(EDATE($D130,Milestones!$AA$169),"dd mmm yy"))&amp;" "&amp;Milestones!$AB$169&amp;" "&amp;Milestones!$AC$169&amp;";  ","")&amp;IF(AND(EDATE($D130,Milestones!$AA$170)&lt;=AsOfDate,IF($R130=0,$X130,IF(AND($T130&lt;&gt;"",EDATE($D130,Milestones!$AA$170)&gt;=$T130),$W130,IF(AND($S130&lt;&gt;"",EDATE($D130,Milestones!$AA$170)&gt;=$S130),$V130,$U130)))=Milestones!$AB$170),UPPER(TEXT(EDATE($D130,Milestones!$AA$170),"dd mmm yy"))&amp;" "&amp;Milestones!$AB$170&amp;" "&amp;Milestones!$AC$170&amp;";  ","")&amp;IF(AND(EDATE($D130,Milestones!$AA$171)&lt;=AsOfDate,IF($R130=0,$X130,IF(AND($T130&lt;&gt;"",EDATE($D130,Milestones!$AA$171)&gt;=$T130),$W130,IF(AND($S130&lt;&gt;"",EDATE($D130,Milestones!$AA$171)&gt;=$S130),$V130,$U130)))=Milestones!$AB$171),UPPER(TEXT(EDATE($D130,Milestones!$AA$171),"dd mmm yy"))&amp;" "&amp;Milestones!$AB$171&amp;" "&amp;Milestones!$AC$171&amp;";  ","")&amp;IF(AND(EDATE($D130,Milestones!$AA$172)&lt;=AsOfDate,IF($R130=0,$X130,IF(AND($T130&lt;&gt;"",EDATE($D130,Milestones!$AA$172)&gt;=$T130),$W130,IF(AND($S130&lt;&gt;"",EDATE($D130,Milestones!$AA$172)&gt;=$S130),$V130,$U130)))=Milestones!$AB$172),UPPER(TEXT(EDATE($D130,Milestones!$AA$172),"dd mmm yy"))&amp;" "&amp;Milestones!$AB$172&amp;" "&amp;Milestones!$AC$172&amp;";  ","")&amp;IF(AND(EDATE($D130,Milestones!$AA$173)&lt;=AsOfDate,IF($R130=0,$X130,IF(AND($T130&lt;&gt;"",EDATE($D130,Milestones!$AA$173)&gt;=$T130),$W130,IF(AND($S130&lt;&gt;"",EDATE($D130,Milestones!$AA$173)&gt;=$S130),$V130,$U130)))=Milestones!$AB$173),UPPER(TEXT(EDATE($D130,Milestones!$AA$173),"dd mmm yy"))&amp;" "&amp;Milestones!$AB$173&amp;" "&amp;Milestones!$AC$173&amp;";  ","")&amp;IF(AND(EDATE($D130,Milestones!$AA$174)&lt;=AsOfDate,IF($R130=0,$X130,IF(AND($T130&lt;&gt;"",EDATE($D130,Milestones!$AA$174)&gt;=$T130),$W130,IF(AND($S130&lt;&gt;"",EDATE($D130,Milestones!$AA$174)&gt;=$S130),$V130,$U130)))=Milestones!$AB$174),UPPER(TEXT(EDATE($D130,Milestones!$AA$174),"dd mmm yy"))&amp;" "&amp;Milestones!$AB$174&amp;" "&amp;Milestones!$AC$174&amp;";  ","")&amp;IF(AND(EDATE($D130,Milestones!$AA$175)&lt;=AsOfDate,IF($R130=0,$X130,IF(AND($T130&lt;&gt;"",EDATE($D130,Milestones!$AA$175)&gt;=$T130),$W130,IF(AND($S130&lt;&gt;"",EDATE($D130,Milestones!$AA$175)&gt;=$S130),$V130,$U130)))=Milestones!$AB$175),UPPER(TEXT(EDATE($D130,Milestones!$AA$175),"dd mmm yy"))&amp;" "&amp;Milestones!$AB$175&amp;" "&amp;Milestones!$AC$175&amp;";  ","")&amp;IF(AND(EDATE($D130,Milestones!$AA$176)&lt;=AsOfDate,IF($R130=0,$X130,IF(AND($T130&lt;&gt;"",EDATE($D130,Milestones!$AA$176)&gt;=$T130),$W130,IF(AND($S130&lt;&gt;"",EDATE($D130,Milestones!$AA$176)&gt;=$S130),$V130,$U130)))=Milestones!$AB$176),UPPER(TEXT(EDATE($D130,Milestones!$AA$176),"dd mmm yy"))&amp;" "&amp;Milestones!$AB$176&amp;" "&amp;Milestones!$AC$176&amp;";  ","")&amp;IF(AND(EDATE($D130,Milestones!$AA$177)&lt;=AsOfDate,IF($R130=0,$X130,IF(AND($T130&lt;&gt;"",EDATE($D130,Milestones!$AA$177)&gt;=$T130),$W130,IF(AND($S130&lt;&gt;"",EDATE($D130,Milestones!$AA$177)&gt;=$S130),$V130,$U130)))=Milestones!$AB$177),UPPER(TEXT(EDATE($D130,Milestones!$AA$177),"dd mmm yy"))&amp;" "&amp;Milestones!$AB$177&amp;" "&amp;Milestones!$AC$177&amp;";  ","")&amp;IF(AND(EDATE($D130,Milestones!$AA$178)&lt;=AsOfDate,IF($R130=0,$X130,IF(AND($T130&lt;&gt;"",EDATE($D130,Milestones!$AA$178)&gt;=$T130),$W130,IF(AND($S130&lt;&gt;"",EDATE($D130,Milestones!$AA$178)&gt;=$S130),$V130,$U130)))=Milestones!$AB$178),UPPER(TEXT(EDATE($D130,Milestones!$AA$178),"dd mmm yy"))&amp;" "&amp;Milestones!$AB$178&amp;" "&amp;Milestones!$AC$178&amp;";  ","")&amp;IF(AND(EDATE($D130,Milestones!$AA$179)&lt;=AsOfDate,IF($R130=0,$X130,IF(AND($T130&lt;&gt;"",EDATE($D130,Milestones!$AA$179)&gt;=$T130),$W130,IF(AND($S130&lt;&gt;"",EDATE($D130,Milestones!$AA$179)&gt;=$S130),$V130,$U130)))=Milestones!$AB$179),UPPER(TEXT(EDATE($D130,Milestones!$AA$179),"dd mmm yy"))&amp;" "&amp;Milestones!$AB$179&amp;" "&amp;Milestones!$AC$179&amp;";  ",""))</f>
        <v/>
      </c>
      <c r="Q130" s="0" t="str">
        <f aca="false">IF(OR($A130="",$D130=""),"",IF(AND(EDATE($D130,Milestones!$AA$180)&lt;=AsOfDate,IF($R130=0,$X130,IF(AND($T130&lt;&gt;"",EDATE($D130,Milestones!$AA$180)&gt;=$T130),$W130,IF(AND($S130&lt;&gt;"",EDATE($D130,Milestones!$AA$180)&gt;=$S130),$V130,$U130)))=Milestones!$AB$180),UPPER(TEXT(EDATE($D130,Milestones!$AA$180),"dd mmm yy"))&amp;" "&amp;Milestones!$AB$180&amp;" "&amp;Milestones!$AC$180&amp;";  ","")&amp;IF(AND(EDATE($D130,Milestones!$AA$181)&lt;=AsOfDate,IF($R130=0,$X130,IF(AND($T130&lt;&gt;"",EDATE($D130,Milestones!$AA$181)&gt;=$T130),$W130,IF(AND($S130&lt;&gt;"",EDATE($D130,Milestones!$AA$181)&gt;=$S130),$V130,$U130)))=Milestones!$AB$181),UPPER(TEXT(EDATE($D130,Milestones!$AA$181),"dd mmm yy"))&amp;" "&amp;Milestones!$AB$181&amp;" "&amp;Milestones!$AC$181&amp;";  ","")&amp;IF(AND(EDATE($D130,Milestones!$AA$182)&lt;=AsOfDate,IF($R130=0,$X130,IF(AND($T130&lt;&gt;"",EDATE($D130,Milestones!$AA$182)&gt;=$T130),$W130,IF(AND($S130&lt;&gt;"",EDATE($D130,Milestones!$AA$182)&gt;=$S130),$V130,$U130)))=Milestones!$AB$182),UPPER(TEXT(EDATE($D130,Milestones!$AA$182),"dd mmm yy"))&amp;" "&amp;Milestones!$AB$182&amp;" "&amp;Milestones!$AC$182&amp;";  ","")&amp;IF(AND(EDATE($D130,Milestones!$AA$183)&lt;=AsOfDate,IF($R130=0,$X130,IF(AND($T130&lt;&gt;"",EDATE($D130,Milestones!$AA$183)&gt;=$T130),$W130,IF(AND($S130&lt;&gt;"",EDATE($D130,Milestones!$AA$183)&gt;=$S130),$V130,$U130)))=Milestones!$AB$183),UPPER(TEXT(EDATE($D130,Milestones!$AA$183),"dd mmm yy"))&amp;" "&amp;Milestones!$AB$183&amp;" "&amp;Milestones!$AC$183&amp;";  ","")&amp;IF(AND(EDATE($D130,Milestones!$AA$184)&lt;=AsOfDate,IF($R130=0,$X130,IF(AND($T130&lt;&gt;"",EDATE($D130,Milestones!$AA$184)&gt;=$T130),$W130,IF(AND($S130&lt;&gt;"",EDATE($D130,Milestones!$AA$184)&gt;=$S130),$V130,$U130)))=Milestones!$AB$184),UPPER(TEXT(EDATE($D130,Milestones!$AA$184),"dd mmm yy"))&amp;" "&amp;Milestones!$AB$184&amp;" "&amp;Milestones!$AC$184&amp;";  ","")&amp;IF(AND(EDATE($D130,Milestones!$AA$185)&lt;=AsOfDate,IF($R130=0,$X130,IF(AND($T130&lt;&gt;"",EDATE($D130,Milestones!$AA$185)&gt;=$T130),$W130,IF(AND($S130&lt;&gt;"",EDATE($D130,Milestones!$AA$185)&gt;=$S130),$V130,$U130)))=Milestones!$AB$185),UPPER(TEXT(EDATE($D130,Milestones!$AA$185),"dd mmm yy"))&amp;" "&amp;Milestones!$AB$185&amp;" "&amp;Milestones!$AC$185&amp;";  ","")&amp;IF(AND(EDATE($D130,Milestones!$AA$186)&lt;=AsOfDate,IF($R130=0,$X130,IF(AND($T130&lt;&gt;"",EDATE($D130,Milestones!$AA$186)&gt;=$T130),$W130,IF(AND($S130&lt;&gt;"",EDATE($D130,Milestones!$AA$186)&gt;=$S130),$V130,$U130)))=Milestones!$AB$186),UPPER(TEXT(EDATE($D130,Milestones!$AA$186),"dd mmm yy"))&amp;" "&amp;Milestones!$AB$186&amp;" "&amp;Milestones!$AC$186&amp;";  ","")&amp;IF(AND(EDATE($D130,Milestones!$AA$187)&lt;=AsOfDate,IF($R130=0,$X130,IF(AND($T130&lt;&gt;"",EDATE($D130,Milestones!$AA$187)&gt;=$T130),$W130,IF(AND($S130&lt;&gt;"",EDATE($D130,Milestones!$AA$187)&gt;=$S130),$V130,$U130)))=Milestones!$AB$187),UPPER(TEXT(EDATE($D130,Milestones!$AA$187),"dd mmm yy"))&amp;" "&amp;Milestones!$AB$187&amp;" "&amp;Milestones!$AC$187&amp;";  ","")&amp;IF(AND(EDATE($D130,Milestones!$AA$188)&lt;=AsOfDate,IF($R130=0,$X130,IF(AND($T130&lt;&gt;"",EDATE($D130,Milestones!$AA$188)&gt;=$T130),$W130,IF(AND($S130&lt;&gt;"",EDATE($D130,Milestones!$AA$188)&gt;=$S130),$V130,$U130)))=Milestones!$AB$188),UPPER(TEXT(EDATE($D130,Milestones!$AA$188),"dd mmm yy"))&amp;" "&amp;Milestones!$AB$188&amp;" "&amp;Milestones!$AC$188&amp;";  ","")&amp;IF(AND(EDATE($D130,Milestones!$AA$189)&lt;=AsOfDate,IF($R130=0,$X130,IF(AND($T130&lt;&gt;"",EDATE($D130,Milestones!$AA$189)&gt;=$T130),$W130,IF(AND($S130&lt;&gt;"",EDATE($D130,Milestones!$AA$189)&gt;=$S130),$V130,$U130)))=Milestones!$AB$189),UPPER(TEXT(EDATE($D130,Milestones!$AA$189),"dd mmm yy"))&amp;" "&amp;Milestones!$AB$189&amp;" "&amp;Milestones!$AC$189&amp;";  ","")&amp;IF(AND(EDATE($D130,Milestones!$AA$190)&lt;=AsOfDate,IF($R130=0,$X130,IF(AND($T130&lt;&gt;"",EDATE($D130,Milestones!$AA$190)&gt;=$T130),$W130,IF(AND($S130&lt;&gt;"",EDATE($D130,Milestones!$AA$190)&gt;=$S130),$V130,$U130)))=Milestones!$AB$190),UPPER(TEXT(EDATE($D130,Milestones!$AA$190),"dd mmm yy"))&amp;" "&amp;Milestones!$AB$190&amp;" "&amp;Milestones!$AC$190&amp;";  ","")&amp;IF(AND(EDATE($D130,Milestones!$AA$191)&lt;=AsOfDate,IF($R130=0,$X130,IF(AND($T130&lt;&gt;"",EDATE($D130,Milestones!$AA$191)&gt;=$T130),$W130,IF(AND($S130&lt;&gt;"",EDATE($D130,Milestones!$AA$191)&gt;=$S130),$V130,$U130)))=Milestones!$AB$191),UPPER(TEXT(EDATE($D130,Milestones!$AA$191),"dd mmm yy"))&amp;" "&amp;Milestones!$AB$191&amp;" "&amp;Milestones!$AC$191&amp;";  ","")&amp;IF(AND(EDATE($D130,Milestones!$AA$192)&lt;=AsOfDate,IF($R130=0,$X130,IF(AND($T130&lt;&gt;"",EDATE($D130,Milestones!$AA$192)&gt;=$T130),$W130,IF(AND($S130&lt;&gt;"",EDATE($D130,Milestones!$AA$192)&gt;=$S130),$V130,$U130)))=Milestones!$AB$192),UPPER(TEXT(EDATE($D130,Milestones!$AA$192),"dd mmm yy"))&amp;" "&amp;Milestones!$AB$192&amp;" "&amp;Milestones!$AC$192&amp;";  ","")&amp;IF(AND(EDATE($D130,Milestones!$AA$193)&lt;=AsOfDate,IF($R130=0,$X130,IF(AND($T130&lt;&gt;"",EDATE($D130,Milestones!$AA$193)&gt;=$T130),$W130,IF(AND($S130&lt;&gt;"",EDATE($D130,Milestones!$AA$193)&gt;=$S130),$V130,$U130)))=Milestones!$AB$193),UPPER(TEXT(EDATE($D130,Milestones!$AA$193),"dd mmm yy"))&amp;" "&amp;Milestones!$AB$193&amp;" "&amp;Milestones!$AC$193&amp;";  ","")&amp;IF(AND(EDATE($D130,Milestones!$AA$194)&lt;=AsOfDate,IF($R130=0,$X130,IF(AND($T130&lt;&gt;"",EDATE($D130,Milestones!$AA$194)&gt;=$T130),$W130,IF(AND($S130&lt;&gt;"",EDATE($D130,Milestones!$AA$194)&gt;=$S130),$V130,$U130)))=Milestones!$AB$194),UPPER(TEXT(EDATE($D130,Milestones!$AA$194),"dd mmm yy"))&amp;" "&amp;Milestones!$AB$194&amp;" "&amp;Milestones!$AC$194&amp;";  ","")&amp;IF(AND(EDATE($D130,Milestones!$AA$195)&lt;=AsOfDate,IF($R130=0,$X130,IF(AND($T130&lt;&gt;"",EDATE($D130,Milestones!$AA$195)&gt;=$T130),$W130,IF(AND($S130&lt;&gt;"",EDATE($D130,Milestones!$AA$195)&gt;=$S130),$V130,$U130)))=Milestones!$AB$195),UPPER(TEXT(EDATE($D130,Milestones!$AA$195),"dd mmm yy"))&amp;" "&amp;Milestones!$AB$195&amp;" "&amp;Milestones!$AC$195&amp;";  ","")&amp;IF(AND(EDATE($D130,Milestones!$AA$196)&lt;=AsOfDate,IF($R130=0,$X130,IF(AND($T130&lt;&gt;"",EDATE($D130,Milestones!$AA$196)&gt;=$T130),$W130,IF(AND($S130&lt;&gt;"",EDATE($D130,Milestones!$AA$196)&gt;=$S130),$V130,$U130)))=Milestones!$AB$196),UPPER(TEXT(EDATE($D130,Milestones!$AA$196),"dd mmm yy"))&amp;" "&amp;Milestones!$AB$196&amp;" "&amp;Milestones!$AC$196&amp;";  ","")&amp;IF(AND(EDATE($D130,Milestones!$AA$197)&lt;=AsOfDate,IF($R130=0,$X130,IF(AND($T130&lt;&gt;"",EDATE($D130,Milestones!$AA$197)&gt;=$T130),$W130,IF(AND($S130&lt;&gt;"",EDATE($D130,Milestones!$AA$197)&gt;=$S130),$V130,$U130)))=Milestones!$AB$197),UPPER(TEXT(EDATE($D130,Milestones!$AA$197),"dd mmm yy"))&amp;" "&amp;Milestones!$AB$197&amp;" "&amp;Milestones!$AC$197&amp;";  ","")&amp;IF(AND(EDATE($D130,Milestones!$AA$198)&lt;=AsOfDate,IF($R130=0,$X130,IF(AND($T130&lt;&gt;"",EDATE($D130,Milestones!$AA$198)&gt;=$T130),$W130,IF(AND($S130&lt;&gt;"",EDATE($D130,Milestones!$AA$198)&gt;=$S130),$V130,$U130)))=Milestones!$AB$198),UPPER(TEXT(EDATE($D130,Milestones!$AA$198),"dd mmm yy"))&amp;" "&amp;Milestones!$AB$198&amp;" "&amp;Milestones!$AC$198&amp;";  ","")&amp;IF(AND(EDATE($D130,Milestones!$AA$199)&lt;=AsOfDate,IF($R130=0,$X130,IF(AND($T130&lt;&gt;"",EDATE($D130,Milestones!$AA$199)&gt;=$T130),$W130,IF(AND($S130&lt;&gt;"",EDATE($D130,Milestones!$AA$199)&gt;=$S130),$V130,$U130)))=Milestones!$AB$199),UPPER(TEXT(EDATE($D130,Milestones!$AA$199),"dd mmm yy"))&amp;" "&amp;Milestones!$AB$199&amp;" "&amp;Milestones!$AC$199&amp;";  ",""))</f>
        <v/>
      </c>
      <c r="R130" s="0" t="str">
        <f aca="false">IF(Staff!$A130="","",Staff!$AI130)</f>
        <v/>
      </c>
      <c r="S130" s="0" t="str">
        <f aca="false">IF(Staff!$A130="","",Staff!$AK130)</f>
        <v/>
      </c>
      <c r="T130" s="0" t="str">
        <f aca="false">IF(Staff!$A130="","",Staff!$AL130)</f>
        <v/>
      </c>
      <c r="U130" s="0" t="str">
        <f aca="false">IF(Staff!$A130="","",Staff!$AP130)</f>
        <v/>
      </c>
      <c r="V130" s="0" t="str">
        <f aca="false">IF(Staff!$A130="","",Staff!$AQ130)</f>
        <v/>
      </c>
      <c r="W130" s="0" t="str">
        <f aca="false">IF(Staff!$A130="","",Staff!$AR130)</f>
        <v/>
      </c>
      <c r="X130" s="0" t="str">
        <f aca="false">IF(Staff!$A130="","",Staff!$AS130)</f>
        <v/>
      </c>
    </row>
    <row r="131" customFormat="false" ht="15" hidden="false" customHeight="false" outlineLevel="0" collapsed="false">
      <c r="A131" s="14" t="str">
        <f aca="false">IF(Staff!$A131="","",Staff!$A131)</f>
        <v/>
      </c>
      <c r="B131" s="14" t="str">
        <f aca="false">IF(Staff!$A131="","",Staff!$B131)</f>
        <v/>
      </c>
      <c r="C131" s="14" t="str">
        <f aca="false">IF(Staff!$A131="","",Staff!$C131)</f>
        <v/>
      </c>
      <c r="D131" s="12" t="str">
        <f aca="false">IF(Staff!$A131="","",Staff!$AH131)</f>
        <v/>
      </c>
      <c r="E131" s="14" t="str">
        <f aca="false">IF(Staff!$A131="","",Staff!$O131)</f>
        <v/>
      </c>
      <c r="F131" s="14" t="str">
        <f aca="false">IF(E131="","",E131*HoursPerDay)</f>
        <v/>
      </c>
      <c r="G131" s="14" t="str">
        <f aca="false">IF(Staff!$A131="","",Staff!$AE131)</f>
        <v/>
      </c>
      <c r="H131" s="26" t="str">
        <f aca="false">IF($A131="","",I131&amp;J131&amp;K131&amp;L131&amp;M131&amp;N131&amp;O131&amp;P131&amp;Q131)</f>
        <v/>
      </c>
      <c r="I131" s="0" t="str">
        <f aca="false">IF(OR($A131="",$D131=""),"",IF(AND(EDATE($D131,Milestones!$AA$20)&lt;=AsOfDate,IF($R131=0,$X131,IF(AND($T131&lt;&gt;"",EDATE($D131,Milestones!$AA$20)&gt;=$T131),$W131,IF(AND($S131&lt;&gt;"",EDATE($D131,Milestones!$AA$20)&gt;=$S131),$V131,$U131)))=Milestones!$AB$20),UPPER(TEXT(EDATE($D131,Milestones!$AA$20),"dd mmm yy"))&amp;" "&amp;Milestones!$AB$20&amp;" "&amp;Milestones!$AC$20&amp;";  ","")&amp;IF(AND(EDATE($D131,Milestones!$AA$21)&lt;=AsOfDate,IF($R131=0,$X131,IF(AND($T131&lt;&gt;"",EDATE($D131,Milestones!$AA$21)&gt;=$T131),$W131,IF(AND($S131&lt;&gt;"",EDATE($D131,Milestones!$AA$21)&gt;=$S131),$V131,$U131)))=Milestones!$AB$21),UPPER(TEXT(EDATE($D131,Milestones!$AA$21),"dd mmm yy"))&amp;" "&amp;Milestones!$AB$21&amp;" "&amp;Milestones!$AC$21&amp;";  ","")&amp;IF(AND(EDATE($D131,Milestones!$AA$22)&lt;=AsOfDate,IF($R131=0,$X131,IF(AND($T131&lt;&gt;"",EDATE($D131,Milestones!$AA$22)&gt;=$T131),$W131,IF(AND($S131&lt;&gt;"",EDATE($D131,Milestones!$AA$22)&gt;=$S131),$V131,$U131)))=Milestones!$AB$22),UPPER(TEXT(EDATE($D131,Milestones!$AA$22),"dd mmm yy"))&amp;" "&amp;Milestones!$AB$22&amp;" "&amp;Milestones!$AC$22&amp;";  ","")&amp;IF(AND(EDATE($D131,Milestones!$AA$23)&lt;=AsOfDate,IF($R131=0,$X131,IF(AND($T131&lt;&gt;"",EDATE($D131,Milestones!$AA$23)&gt;=$T131),$W131,IF(AND($S131&lt;&gt;"",EDATE($D131,Milestones!$AA$23)&gt;=$S131),$V131,$U131)))=Milestones!$AB$23),UPPER(TEXT(EDATE($D131,Milestones!$AA$23),"dd mmm yy"))&amp;" "&amp;Milestones!$AB$23&amp;" "&amp;Milestones!$AC$23&amp;";  ","")&amp;IF(AND(EDATE($D131,Milestones!$AA$24)&lt;=AsOfDate,IF($R131=0,$X131,IF(AND($T131&lt;&gt;"",EDATE($D131,Milestones!$AA$24)&gt;=$T131),$W131,IF(AND($S131&lt;&gt;"",EDATE($D131,Milestones!$AA$24)&gt;=$S131),$V131,$U131)))=Milestones!$AB$24),UPPER(TEXT(EDATE($D131,Milestones!$AA$24),"dd mmm yy"))&amp;" "&amp;Milestones!$AB$24&amp;" "&amp;Milestones!$AC$24&amp;";  ","")&amp;IF(AND(EDATE($D131,Milestones!$AA$25)&lt;=AsOfDate,IF($R131=0,$X131,IF(AND($T131&lt;&gt;"",EDATE($D131,Milestones!$AA$25)&gt;=$T131),$W131,IF(AND($S131&lt;&gt;"",EDATE($D131,Milestones!$AA$25)&gt;=$S131),$V131,$U131)))=Milestones!$AB$25),UPPER(TEXT(EDATE($D131,Milestones!$AA$25),"dd mmm yy"))&amp;" "&amp;Milestones!$AB$25&amp;" "&amp;Milestones!$AC$25&amp;";  ","")&amp;IF(AND(EDATE($D131,Milestones!$AA$26)&lt;=AsOfDate,IF($R131=0,$X131,IF(AND($T131&lt;&gt;"",EDATE($D131,Milestones!$AA$26)&gt;=$T131),$W131,IF(AND($S131&lt;&gt;"",EDATE($D131,Milestones!$AA$26)&gt;=$S131),$V131,$U131)))=Milestones!$AB$26),UPPER(TEXT(EDATE($D131,Milestones!$AA$26),"dd mmm yy"))&amp;" "&amp;Milestones!$AB$26&amp;" "&amp;Milestones!$AC$26&amp;";  ","")&amp;IF(AND(EDATE($D131,Milestones!$AA$27)&lt;=AsOfDate,IF($R131=0,$X131,IF(AND($T131&lt;&gt;"",EDATE($D131,Milestones!$AA$27)&gt;=$T131),$W131,IF(AND($S131&lt;&gt;"",EDATE($D131,Milestones!$AA$27)&gt;=$S131),$V131,$U131)))=Milestones!$AB$27),UPPER(TEXT(EDATE($D131,Milestones!$AA$27),"dd mmm yy"))&amp;" "&amp;Milestones!$AB$27&amp;" "&amp;Milestones!$AC$27&amp;";  ","")&amp;IF(AND(EDATE($D131,Milestones!$AA$28)&lt;=AsOfDate,IF($R131=0,$X131,IF(AND($T131&lt;&gt;"",EDATE($D131,Milestones!$AA$28)&gt;=$T131),$W131,IF(AND($S131&lt;&gt;"",EDATE($D131,Milestones!$AA$28)&gt;=$S131),$V131,$U131)))=Milestones!$AB$28),UPPER(TEXT(EDATE($D131,Milestones!$AA$28),"dd mmm yy"))&amp;" "&amp;Milestones!$AB$28&amp;" "&amp;Milestones!$AC$28&amp;";  ","")&amp;IF(AND(EDATE($D131,Milestones!$AA$29)&lt;=AsOfDate,IF($R131=0,$X131,IF(AND($T131&lt;&gt;"",EDATE($D131,Milestones!$AA$29)&gt;=$T131),$W131,IF(AND($S131&lt;&gt;"",EDATE($D131,Milestones!$AA$29)&gt;=$S131),$V131,$U131)))=Milestones!$AB$29),UPPER(TEXT(EDATE($D131,Milestones!$AA$29),"dd mmm yy"))&amp;" "&amp;Milestones!$AB$29&amp;" "&amp;Milestones!$AC$29&amp;";  ","")&amp;IF(AND(EDATE($D131,Milestones!$AA$30)&lt;=AsOfDate,IF($R131=0,$X131,IF(AND($T131&lt;&gt;"",EDATE($D131,Milestones!$AA$30)&gt;=$T131),$W131,IF(AND($S131&lt;&gt;"",EDATE($D131,Milestones!$AA$30)&gt;=$S131),$V131,$U131)))=Milestones!$AB$30),UPPER(TEXT(EDATE($D131,Milestones!$AA$30),"dd mmm yy"))&amp;" "&amp;Milestones!$AB$30&amp;" "&amp;Milestones!$AC$30&amp;";  ","")&amp;IF(AND(EDATE($D131,Milestones!$AA$31)&lt;=AsOfDate,IF($R131=0,$X131,IF(AND($T131&lt;&gt;"",EDATE($D131,Milestones!$AA$31)&gt;=$T131),$W131,IF(AND($S131&lt;&gt;"",EDATE($D131,Milestones!$AA$31)&gt;=$S131),$V131,$U131)))=Milestones!$AB$31),UPPER(TEXT(EDATE($D131,Milestones!$AA$31),"dd mmm yy"))&amp;" "&amp;Milestones!$AB$31&amp;" "&amp;Milestones!$AC$31&amp;";  ","")&amp;IF(AND(EDATE($D131,Milestones!$AA$32)&lt;=AsOfDate,IF($R131=0,$X131,IF(AND($T131&lt;&gt;"",EDATE($D131,Milestones!$AA$32)&gt;=$T131),$W131,IF(AND($S131&lt;&gt;"",EDATE($D131,Milestones!$AA$32)&gt;=$S131),$V131,$U131)))=Milestones!$AB$32),UPPER(TEXT(EDATE($D131,Milestones!$AA$32),"dd mmm yy"))&amp;" "&amp;Milestones!$AB$32&amp;" "&amp;Milestones!$AC$32&amp;";  ","")&amp;IF(AND(EDATE($D131,Milestones!$AA$33)&lt;=AsOfDate,IF($R131=0,$X131,IF(AND($T131&lt;&gt;"",EDATE($D131,Milestones!$AA$33)&gt;=$T131),$W131,IF(AND($S131&lt;&gt;"",EDATE($D131,Milestones!$AA$33)&gt;=$S131),$V131,$U131)))=Milestones!$AB$33),UPPER(TEXT(EDATE($D131,Milestones!$AA$33),"dd mmm yy"))&amp;" "&amp;Milestones!$AB$33&amp;" "&amp;Milestones!$AC$33&amp;";  ","")&amp;IF(AND(EDATE($D131,Milestones!$AA$34)&lt;=AsOfDate,IF($R131=0,$X131,IF(AND($T131&lt;&gt;"",EDATE($D131,Milestones!$AA$34)&gt;=$T131),$W131,IF(AND($S131&lt;&gt;"",EDATE($D131,Milestones!$AA$34)&gt;=$S131),$V131,$U131)))=Milestones!$AB$34),UPPER(TEXT(EDATE($D131,Milestones!$AA$34),"dd mmm yy"))&amp;" "&amp;Milestones!$AB$34&amp;" "&amp;Milestones!$AC$34&amp;";  ","")&amp;IF(AND(EDATE($D131,Milestones!$AA$35)&lt;=AsOfDate,IF($R131=0,$X131,IF(AND($T131&lt;&gt;"",EDATE($D131,Milestones!$AA$35)&gt;=$T131),$W131,IF(AND($S131&lt;&gt;"",EDATE($D131,Milestones!$AA$35)&gt;=$S131),$V131,$U131)))=Milestones!$AB$35),UPPER(TEXT(EDATE($D131,Milestones!$AA$35),"dd mmm yy"))&amp;" "&amp;Milestones!$AB$35&amp;" "&amp;Milestones!$AC$35&amp;";  ","")&amp;IF(AND(EDATE($D131,Milestones!$AA$36)&lt;=AsOfDate,IF($R131=0,$X131,IF(AND($T131&lt;&gt;"",EDATE($D131,Milestones!$AA$36)&gt;=$T131),$W131,IF(AND($S131&lt;&gt;"",EDATE($D131,Milestones!$AA$36)&gt;=$S131),$V131,$U131)))=Milestones!$AB$36),UPPER(TEXT(EDATE($D131,Milestones!$AA$36),"dd mmm yy"))&amp;" "&amp;Milestones!$AB$36&amp;" "&amp;Milestones!$AC$36&amp;";  ","")&amp;IF(AND(EDATE($D131,Milestones!$AA$37)&lt;=AsOfDate,IF($R131=0,$X131,IF(AND($T131&lt;&gt;"",EDATE($D131,Milestones!$AA$37)&gt;=$T131),$W131,IF(AND($S131&lt;&gt;"",EDATE($D131,Milestones!$AA$37)&gt;=$S131),$V131,$U131)))=Milestones!$AB$37),UPPER(TEXT(EDATE($D131,Milestones!$AA$37),"dd mmm yy"))&amp;" "&amp;Milestones!$AB$37&amp;" "&amp;Milestones!$AC$37&amp;";  ","")&amp;IF(AND(EDATE($D131,Milestones!$AA$38)&lt;=AsOfDate,IF($R131=0,$X131,IF(AND($T131&lt;&gt;"",EDATE($D131,Milestones!$AA$38)&gt;=$T131),$W131,IF(AND($S131&lt;&gt;"",EDATE($D131,Milestones!$AA$38)&gt;=$S131),$V131,$U131)))=Milestones!$AB$38),UPPER(TEXT(EDATE($D131,Milestones!$AA$38),"dd mmm yy"))&amp;" "&amp;Milestones!$AB$38&amp;" "&amp;Milestones!$AC$38&amp;";  ","")&amp;IF(AND(EDATE($D131,Milestones!$AA$39)&lt;=AsOfDate,IF($R131=0,$X131,IF(AND($T131&lt;&gt;"",EDATE($D131,Milestones!$AA$39)&gt;=$T131),$W131,IF(AND($S131&lt;&gt;"",EDATE($D131,Milestones!$AA$39)&gt;=$S131),$V131,$U131)))=Milestones!$AB$39),UPPER(TEXT(EDATE($D131,Milestones!$AA$39),"dd mmm yy"))&amp;" "&amp;Milestones!$AB$39&amp;" "&amp;Milestones!$AC$39&amp;";  ",""))</f>
        <v/>
      </c>
      <c r="J131" s="0" t="str">
        <f aca="false">IF(OR($A131="",$D131=""),"",IF(AND(EDATE($D131,Milestones!$AA$40)&lt;=AsOfDate,IF($R131=0,$X131,IF(AND($T131&lt;&gt;"",EDATE($D131,Milestones!$AA$40)&gt;=$T131),$W131,IF(AND($S131&lt;&gt;"",EDATE($D131,Milestones!$AA$40)&gt;=$S131),$V131,$U131)))=Milestones!$AB$40),UPPER(TEXT(EDATE($D131,Milestones!$AA$40),"dd mmm yy"))&amp;" "&amp;Milestones!$AB$40&amp;" "&amp;Milestones!$AC$40&amp;";  ","")&amp;IF(AND(EDATE($D131,Milestones!$AA$41)&lt;=AsOfDate,IF($R131=0,$X131,IF(AND($T131&lt;&gt;"",EDATE($D131,Milestones!$AA$41)&gt;=$T131),$W131,IF(AND($S131&lt;&gt;"",EDATE($D131,Milestones!$AA$41)&gt;=$S131),$V131,$U131)))=Milestones!$AB$41),UPPER(TEXT(EDATE($D131,Milestones!$AA$41),"dd mmm yy"))&amp;" "&amp;Milestones!$AB$41&amp;" "&amp;Milestones!$AC$41&amp;";  ","")&amp;IF(AND(EDATE($D131,Milestones!$AA$42)&lt;=AsOfDate,IF($R131=0,$X131,IF(AND($T131&lt;&gt;"",EDATE($D131,Milestones!$AA$42)&gt;=$T131),$W131,IF(AND($S131&lt;&gt;"",EDATE($D131,Milestones!$AA$42)&gt;=$S131),$V131,$U131)))=Milestones!$AB$42),UPPER(TEXT(EDATE($D131,Milestones!$AA$42),"dd mmm yy"))&amp;" "&amp;Milestones!$AB$42&amp;" "&amp;Milestones!$AC$42&amp;";  ","")&amp;IF(AND(EDATE($D131,Milestones!$AA$43)&lt;=AsOfDate,IF($R131=0,$X131,IF(AND($T131&lt;&gt;"",EDATE($D131,Milestones!$AA$43)&gt;=$T131),$W131,IF(AND($S131&lt;&gt;"",EDATE($D131,Milestones!$AA$43)&gt;=$S131),$V131,$U131)))=Milestones!$AB$43),UPPER(TEXT(EDATE($D131,Milestones!$AA$43),"dd mmm yy"))&amp;" "&amp;Milestones!$AB$43&amp;" "&amp;Milestones!$AC$43&amp;";  ","")&amp;IF(AND(EDATE($D131,Milestones!$AA$44)&lt;=AsOfDate,IF($R131=0,$X131,IF(AND($T131&lt;&gt;"",EDATE($D131,Milestones!$AA$44)&gt;=$T131),$W131,IF(AND($S131&lt;&gt;"",EDATE($D131,Milestones!$AA$44)&gt;=$S131),$V131,$U131)))=Milestones!$AB$44),UPPER(TEXT(EDATE($D131,Milestones!$AA$44),"dd mmm yy"))&amp;" "&amp;Milestones!$AB$44&amp;" "&amp;Milestones!$AC$44&amp;";  ","")&amp;IF(AND(EDATE($D131,Milestones!$AA$45)&lt;=AsOfDate,IF($R131=0,$X131,IF(AND($T131&lt;&gt;"",EDATE($D131,Milestones!$AA$45)&gt;=$T131),$W131,IF(AND($S131&lt;&gt;"",EDATE($D131,Milestones!$AA$45)&gt;=$S131),$V131,$U131)))=Milestones!$AB$45),UPPER(TEXT(EDATE($D131,Milestones!$AA$45),"dd mmm yy"))&amp;" "&amp;Milestones!$AB$45&amp;" "&amp;Milestones!$AC$45&amp;";  ","")&amp;IF(AND(EDATE($D131,Milestones!$AA$46)&lt;=AsOfDate,IF($R131=0,$X131,IF(AND($T131&lt;&gt;"",EDATE($D131,Milestones!$AA$46)&gt;=$T131),$W131,IF(AND($S131&lt;&gt;"",EDATE($D131,Milestones!$AA$46)&gt;=$S131),$V131,$U131)))=Milestones!$AB$46),UPPER(TEXT(EDATE($D131,Milestones!$AA$46),"dd mmm yy"))&amp;" "&amp;Milestones!$AB$46&amp;" "&amp;Milestones!$AC$46&amp;";  ","")&amp;IF(AND(EDATE($D131,Milestones!$AA$47)&lt;=AsOfDate,IF($R131=0,$X131,IF(AND($T131&lt;&gt;"",EDATE($D131,Milestones!$AA$47)&gt;=$T131),$W131,IF(AND($S131&lt;&gt;"",EDATE($D131,Milestones!$AA$47)&gt;=$S131),$V131,$U131)))=Milestones!$AB$47),UPPER(TEXT(EDATE($D131,Milestones!$AA$47),"dd mmm yy"))&amp;" "&amp;Milestones!$AB$47&amp;" "&amp;Milestones!$AC$47&amp;";  ","")&amp;IF(AND(EDATE($D131,Milestones!$AA$48)&lt;=AsOfDate,IF($R131=0,$X131,IF(AND($T131&lt;&gt;"",EDATE($D131,Milestones!$AA$48)&gt;=$T131),$W131,IF(AND($S131&lt;&gt;"",EDATE($D131,Milestones!$AA$48)&gt;=$S131),$V131,$U131)))=Milestones!$AB$48),UPPER(TEXT(EDATE($D131,Milestones!$AA$48),"dd mmm yy"))&amp;" "&amp;Milestones!$AB$48&amp;" "&amp;Milestones!$AC$48&amp;";  ","")&amp;IF(AND(EDATE($D131,Milestones!$AA$49)&lt;=AsOfDate,IF($R131=0,$X131,IF(AND($T131&lt;&gt;"",EDATE($D131,Milestones!$AA$49)&gt;=$T131),$W131,IF(AND($S131&lt;&gt;"",EDATE($D131,Milestones!$AA$49)&gt;=$S131),$V131,$U131)))=Milestones!$AB$49),UPPER(TEXT(EDATE($D131,Milestones!$AA$49),"dd mmm yy"))&amp;" "&amp;Milestones!$AB$49&amp;" "&amp;Milestones!$AC$49&amp;";  ","")&amp;IF(AND(EDATE($D131,Milestones!$AA$50)&lt;=AsOfDate,IF($R131=0,$X131,IF(AND($T131&lt;&gt;"",EDATE($D131,Milestones!$AA$50)&gt;=$T131),$W131,IF(AND($S131&lt;&gt;"",EDATE($D131,Milestones!$AA$50)&gt;=$S131),$V131,$U131)))=Milestones!$AB$50),UPPER(TEXT(EDATE($D131,Milestones!$AA$50),"dd mmm yy"))&amp;" "&amp;Milestones!$AB$50&amp;" "&amp;Milestones!$AC$50&amp;";  ","")&amp;IF(AND(EDATE($D131,Milestones!$AA$51)&lt;=AsOfDate,IF($R131=0,$X131,IF(AND($T131&lt;&gt;"",EDATE($D131,Milestones!$AA$51)&gt;=$T131),$W131,IF(AND($S131&lt;&gt;"",EDATE($D131,Milestones!$AA$51)&gt;=$S131),$V131,$U131)))=Milestones!$AB$51),UPPER(TEXT(EDATE($D131,Milestones!$AA$51),"dd mmm yy"))&amp;" "&amp;Milestones!$AB$51&amp;" "&amp;Milestones!$AC$51&amp;";  ","")&amp;IF(AND(EDATE($D131,Milestones!$AA$52)&lt;=AsOfDate,IF($R131=0,$X131,IF(AND($T131&lt;&gt;"",EDATE($D131,Milestones!$AA$52)&gt;=$T131),$W131,IF(AND($S131&lt;&gt;"",EDATE($D131,Milestones!$AA$52)&gt;=$S131),$V131,$U131)))=Milestones!$AB$52),UPPER(TEXT(EDATE($D131,Milestones!$AA$52),"dd mmm yy"))&amp;" "&amp;Milestones!$AB$52&amp;" "&amp;Milestones!$AC$52&amp;";  ","")&amp;IF(AND(EDATE($D131,Milestones!$AA$53)&lt;=AsOfDate,IF($R131=0,$X131,IF(AND($T131&lt;&gt;"",EDATE($D131,Milestones!$AA$53)&gt;=$T131),$W131,IF(AND($S131&lt;&gt;"",EDATE($D131,Milestones!$AA$53)&gt;=$S131),$V131,$U131)))=Milestones!$AB$53),UPPER(TEXT(EDATE($D131,Milestones!$AA$53),"dd mmm yy"))&amp;" "&amp;Milestones!$AB$53&amp;" "&amp;Milestones!$AC$53&amp;";  ","")&amp;IF(AND(EDATE($D131,Milestones!$AA$54)&lt;=AsOfDate,IF($R131=0,$X131,IF(AND($T131&lt;&gt;"",EDATE($D131,Milestones!$AA$54)&gt;=$T131),$W131,IF(AND($S131&lt;&gt;"",EDATE($D131,Milestones!$AA$54)&gt;=$S131),$V131,$U131)))=Milestones!$AB$54),UPPER(TEXT(EDATE($D131,Milestones!$AA$54),"dd mmm yy"))&amp;" "&amp;Milestones!$AB$54&amp;" "&amp;Milestones!$AC$54&amp;";  ","")&amp;IF(AND(EDATE($D131,Milestones!$AA$55)&lt;=AsOfDate,IF($R131=0,$X131,IF(AND($T131&lt;&gt;"",EDATE($D131,Milestones!$AA$55)&gt;=$T131),$W131,IF(AND($S131&lt;&gt;"",EDATE($D131,Milestones!$AA$55)&gt;=$S131),$V131,$U131)))=Milestones!$AB$55),UPPER(TEXT(EDATE($D131,Milestones!$AA$55),"dd mmm yy"))&amp;" "&amp;Milestones!$AB$55&amp;" "&amp;Milestones!$AC$55&amp;";  ","")&amp;IF(AND(EDATE($D131,Milestones!$AA$56)&lt;=AsOfDate,IF($R131=0,$X131,IF(AND($T131&lt;&gt;"",EDATE($D131,Milestones!$AA$56)&gt;=$T131),$W131,IF(AND($S131&lt;&gt;"",EDATE($D131,Milestones!$AA$56)&gt;=$S131),$V131,$U131)))=Milestones!$AB$56),UPPER(TEXT(EDATE($D131,Milestones!$AA$56),"dd mmm yy"))&amp;" "&amp;Milestones!$AB$56&amp;" "&amp;Milestones!$AC$56&amp;";  ","")&amp;IF(AND(EDATE($D131,Milestones!$AA$57)&lt;=AsOfDate,IF($R131=0,$X131,IF(AND($T131&lt;&gt;"",EDATE($D131,Milestones!$AA$57)&gt;=$T131),$W131,IF(AND($S131&lt;&gt;"",EDATE($D131,Milestones!$AA$57)&gt;=$S131),$V131,$U131)))=Milestones!$AB$57),UPPER(TEXT(EDATE($D131,Milestones!$AA$57),"dd mmm yy"))&amp;" "&amp;Milestones!$AB$57&amp;" "&amp;Milestones!$AC$57&amp;";  ","")&amp;IF(AND(EDATE($D131,Milestones!$AA$58)&lt;=AsOfDate,IF($R131=0,$X131,IF(AND($T131&lt;&gt;"",EDATE($D131,Milestones!$AA$58)&gt;=$T131),$W131,IF(AND($S131&lt;&gt;"",EDATE($D131,Milestones!$AA$58)&gt;=$S131),$V131,$U131)))=Milestones!$AB$58),UPPER(TEXT(EDATE($D131,Milestones!$AA$58),"dd mmm yy"))&amp;" "&amp;Milestones!$AB$58&amp;" "&amp;Milestones!$AC$58&amp;";  ","")&amp;IF(AND(EDATE($D131,Milestones!$AA$59)&lt;=AsOfDate,IF($R131=0,$X131,IF(AND($T131&lt;&gt;"",EDATE($D131,Milestones!$AA$59)&gt;=$T131),$W131,IF(AND($S131&lt;&gt;"",EDATE($D131,Milestones!$AA$59)&gt;=$S131),$V131,$U131)))=Milestones!$AB$59),UPPER(TEXT(EDATE($D131,Milestones!$AA$59),"dd mmm yy"))&amp;" "&amp;Milestones!$AB$59&amp;" "&amp;Milestones!$AC$59&amp;";  ",""))</f>
        <v/>
      </c>
      <c r="K131" s="0" t="str">
        <f aca="false">IF(OR($A131="",$D131=""),"",IF(AND(EDATE($D131,Milestones!$AA$60)&lt;=AsOfDate,IF($R131=0,$X131,IF(AND($T131&lt;&gt;"",EDATE($D131,Milestones!$AA$60)&gt;=$T131),$W131,IF(AND($S131&lt;&gt;"",EDATE($D131,Milestones!$AA$60)&gt;=$S131),$V131,$U131)))=Milestones!$AB$60),UPPER(TEXT(EDATE($D131,Milestones!$AA$60),"dd mmm yy"))&amp;" "&amp;Milestones!$AB$60&amp;" "&amp;Milestones!$AC$60&amp;";  ","")&amp;IF(AND(EDATE($D131,Milestones!$AA$61)&lt;=AsOfDate,IF($R131=0,$X131,IF(AND($T131&lt;&gt;"",EDATE($D131,Milestones!$AA$61)&gt;=$T131),$W131,IF(AND($S131&lt;&gt;"",EDATE($D131,Milestones!$AA$61)&gt;=$S131),$V131,$U131)))=Milestones!$AB$61),UPPER(TEXT(EDATE($D131,Milestones!$AA$61),"dd mmm yy"))&amp;" "&amp;Milestones!$AB$61&amp;" "&amp;Milestones!$AC$61&amp;";  ","")&amp;IF(AND(EDATE($D131,Milestones!$AA$62)&lt;=AsOfDate,IF($R131=0,$X131,IF(AND($T131&lt;&gt;"",EDATE($D131,Milestones!$AA$62)&gt;=$T131),$W131,IF(AND($S131&lt;&gt;"",EDATE($D131,Milestones!$AA$62)&gt;=$S131),$V131,$U131)))=Milestones!$AB$62),UPPER(TEXT(EDATE($D131,Milestones!$AA$62),"dd mmm yy"))&amp;" "&amp;Milestones!$AB$62&amp;" "&amp;Milestones!$AC$62&amp;";  ","")&amp;IF(AND(EDATE($D131,Milestones!$AA$63)&lt;=AsOfDate,IF($R131=0,$X131,IF(AND($T131&lt;&gt;"",EDATE($D131,Milestones!$AA$63)&gt;=$T131),$W131,IF(AND($S131&lt;&gt;"",EDATE($D131,Milestones!$AA$63)&gt;=$S131),$V131,$U131)))=Milestones!$AB$63),UPPER(TEXT(EDATE($D131,Milestones!$AA$63),"dd mmm yy"))&amp;" "&amp;Milestones!$AB$63&amp;" "&amp;Milestones!$AC$63&amp;";  ","")&amp;IF(AND(EDATE($D131,Milestones!$AA$64)&lt;=AsOfDate,IF($R131=0,$X131,IF(AND($T131&lt;&gt;"",EDATE($D131,Milestones!$AA$64)&gt;=$T131),$W131,IF(AND($S131&lt;&gt;"",EDATE($D131,Milestones!$AA$64)&gt;=$S131),$V131,$U131)))=Milestones!$AB$64),UPPER(TEXT(EDATE($D131,Milestones!$AA$64),"dd mmm yy"))&amp;" "&amp;Milestones!$AB$64&amp;" "&amp;Milestones!$AC$64&amp;";  ","")&amp;IF(AND(EDATE($D131,Milestones!$AA$65)&lt;=AsOfDate,IF($R131=0,$X131,IF(AND($T131&lt;&gt;"",EDATE($D131,Milestones!$AA$65)&gt;=$T131),$W131,IF(AND($S131&lt;&gt;"",EDATE($D131,Milestones!$AA$65)&gt;=$S131),$V131,$U131)))=Milestones!$AB$65),UPPER(TEXT(EDATE($D131,Milestones!$AA$65),"dd mmm yy"))&amp;" "&amp;Milestones!$AB$65&amp;" "&amp;Milestones!$AC$65&amp;";  ","")&amp;IF(AND(EDATE($D131,Milestones!$AA$66)&lt;=AsOfDate,IF($R131=0,$X131,IF(AND($T131&lt;&gt;"",EDATE($D131,Milestones!$AA$66)&gt;=$T131),$W131,IF(AND($S131&lt;&gt;"",EDATE($D131,Milestones!$AA$66)&gt;=$S131),$V131,$U131)))=Milestones!$AB$66),UPPER(TEXT(EDATE($D131,Milestones!$AA$66),"dd mmm yy"))&amp;" "&amp;Milestones!$AB$66&amp;" "&amp;Milestones!$AC$66&amp;";  ","")&amp;IF(AND(EDATE($D131,Milestones!$AA$67)&lt;=AsOfDate,IF($R131=0,$X131,IF(AND($T131&lt;&gt;"",EDATE($D131,Milestones!$AA$67)&gt;=$T131),$W131,IF(AND($S131&lt;&gt;"",EDATE($D131,Milestones!$AA$67)&gt;=$S131),$V131,$U131)))=Milestones!$AB$67),UPPER(TEXT(EDATE($D131,Milestones!$AA$67),"dd mmm yy"))&amp;" "&amp;Milestones!$AB$67&amp;" "&amp;Milestones!$AC$67&amp;";  ","")&amp;IF(AND(EDATE($D131,Milestones!$AA$68)&lt;=AsOfDate,IF($R131=0,$X131,IF(AND($T131&lt;&gt;"",EDATE($D131,Milestones!$AA$68)&gt;=$T131),$W131,IF(AND($S131&lt;&gt;"",EDATE($D131,Milestones!$AA$68)&gt;=$S131),$V131,$U131)))=Milestones!$AB$68),UPPER(TEXT(EDATE($D131,Milestones!$AA$68),"dd mmm yy"))&amp;" "&amp;Milestones!$AB$68&amp;" "&amp;Milestones!$AC$68&amp;";  ","")&amp;IF(AND(EDATE($D131,Milestones!$AA$69)&lt;=AsOfDate,IF($R131=0,$X131,IF(AND($T131&lt;&gt;"",EDATE($D131,Milestones!$AA$69)&gt;=$T131),$W131,IF(AND($S131&lt;&gt;"",EDATE($D131,Milestones!$AA$69)&gt;=$S131),$V131,$U131)))=Milestones!$AB$69),UPPER(TEXT(EDATE($D131,Milestones!$AA$69),"dd mmm yy"))&amp;" "&amp;Milestones!$AB$69&amp;" "&amp;Milestones!$AC$69&amp;";  ","")&amp;IF(AND(EDATE($D131,Milestones!$AA$70)&lt;=AsOfDate,IF($R131=0,$X131,IF(AND($T131&lt;&gt;"",EDATE($D131,Milestones!$AA$70)&gt;=$T131),$W131,IF(AND($S131&lt;&gt;"",EDATE($D131,Milestones!$AA$70)&gt;=$S131),$V131,$U131)))=Milestones!$AB$70),UPPER(TEXT(EDATE($D131,Milestones!$AA$70),"dd mmm yy"))&amp;" "&amp;Milestones!$AB$70&amp;" "&amp;Milestones!$AC$70&amp;";  ","")&amp;IF(AND(EDATE($D131,Milestones!$AA$71)&lt;=AsOfDate,IF($R131=0,$X131,IF(AND($T131&lt;&gt;"",EDATE($D131,Milestones!$AA$71)&gt;=$T131),$W131,IF(AND($S131&lt;&gt;"",EDATE($D131,Milestones!$AA$71)&gt;=$S131),$V131,$U131)))=Milestones!$AB$71),UPPER(TEXT(EDATE($D131,Milestones!$AA$71),"dd mmm yy"))&amp;" "&amp;Milestones!$AB$71&amp;" "&amp;Milestones!$AC$71&amp;";  ","")&amp;IF(AND(EDATE($D131,Milestones!$AA$72)&lt;=AsOfDate,IF($R131=0,$X131,IF(AND($T131&lt;&gt;"",EDATE($D131,Milestones!$AA$72)&gt;=$T131),$W131,IF(AND($S131&lt;&gt;"",EDATE($D131,Milestones!$AA$72)&gt;=$S131),$V131,$U131)))=Milestones!$AB$72),UPPER(TEXT(EDATE($D131,Milestones!$AA$72),"dd mmm yy"))&amp;" "&amp;Milestones!$AB$72&amp;" "&amp;Milestones!$AC$72&amp;";  ","")&amp;IF(AND(EDATE($D131,Milestones!$AA$73)&lt;=AsOfDate,IF($R131=0,$X131,IF(AND($T131&lt;&gt;"",EDATE($D131,Milestones!$AA$73)&gt;=$T131),$W131,IF(AND($S131&lt;&gt;"",EDATE($D131,Milestones!$AA$73)&gt;=$S131),$V131,$U131)))=Milestones!$AB$73),UPPER(TEXT(EDATE($D131,Milestones!$AA$73),"dd mmm yy"))&amp;" "&amp;Milestones!$AB$73&amp;" "&amp;Milestones!$AC$73&amp;";  ","")&amp;IF(AND(EDATE($D131,Milestones!$AA$74)&lt;=AsOfDate,IF($R131=0,$X131,IF(AND($T131&lt;&gt;"",EDATE($D131,Milestones!$AA$74)&gt;=$T131),$W131,IF(AND($S131&lt;&gt;"",EDATE($D131,Milestones!$AA$74)&gt;=$S131),$V131,$U131)))=Milestones!$AB$74),UPPER(TEXT(EDATE($D131,Milestones!$AA$74),"dd mmm yy"))&amp;" "&amp;Milestones!$AB$74&amp;" "&amp;Milestones!$AC$74&amp;";  ","")&amp;IF(AND(EDATE($D131,Milestones!$AA$75)&lt;=AsOfDate,IF($R131=0,$X131,IF(AND($T131&lt;&gt;"",EDATE($D131,Milestones!$AA$75)&gt;=$T131),$W131,IF(AND($S131&lt;&gt;"",EDATE($D131,Milestones!$AA$75)&gt;=$S131),$V131,$U131)))=Milestones!$AB$75),UPPER(TEXT(EDATE($D131,Milestones!$AA$75),"dd mmm yy"))&amp;" "&amp;Milestones!$AB$75&amp;" "&amp;Milestones!$AC$75&amp;";  ","")&amp;IF(AND(EDATE($D131,Milestones!$AA$76)&lt;=AsOfDate,IF($R131=0,$X131,IF(AND($T131&lt;&gt;"",EDATE($D131,Milestones!$AA$76)&gt;=$T131),$W131,IF(AND($S131&lt;&gt;"",EDATE($D131,Milestones!$AA$76)&gt;=$S131),$V131,$U131)))=Milestones!$AB$76),UPPER(TEXT(EDATE($D131,Milestones!$AA$76),"dd mmm yy"))&amp;" "&amp;Milestones!$AB$76&amp;" "&amp;Milestones!$AC$76&amp;";  ","")&amp;IF(AND(EDATE($D131,Milestones!$AA$77)&lt;=AsOfDate,IF($R131=0,$X131,IF(AND($T131&lt;&gt;"",EDATE($D131,Milestones!$AA$77)&gt;=$T131),$W131,IF(AND($S131&lt;&gt;"",EDATE($D131,Milestones!$AA$77)&gt;=$S131),$V131,$U131)))=Milestones!$AB$77),UPPER(TEXT(EDATE($D131,Milestones!$AA$77),"dd mmm yy"))&amp;" "&amp;Milestones!$AB$77&amp;" "&amp;Milestones!$AC$77&amp;";  ","")&amp;IF(AND(EDATE($D131,Milestones!$AA$78)&lt;=AsOfDate,IF($R131=0,$X131,IF(AND($T131&lt;&gt;"",EDATE($D131,Milestones!$AA$78)&gt;=$T131),$W131,IF(AND($S131&lt;&gt;"",EDATE($D131,Milestones!$AA$78)&gt;=$S131),$V131,$U131)))=Milestones!$AB$78),UPPER(TEXT(EDATE($D131,Milestones!$AA$78),"dd mmm yy"))&amp;" "&amp;Milestones!$AB$78&amp;" "&amp;Milestones!$AC$78&amp;";  ","")&amp;IF(AND(EDATE($D131,Milestones!$AA$79)&lt;=AsOfDate,IF($R131=0,$X131,IF(AND($T131&lt;&gt;"",EDATE($D131,Milestones!$AA$79)&gt;=$T131),$W131,IF(AND($S131&lt;&gt;"",EDATE($D131,Milestones!$AA$79)&gt;=$S131),$V131,$U131)))=Milestones!$AB$79),UPPER(TEXT(EDATE($D131,Milestones!$AA$79),"dd mmm yy"))&amp;" "&amp;Milestones!$AB$79&amp;" "&amp;Milestones!$AC$79&amp;";  ",""))</f>
        <v/>
      </c>
      <c r="L131" s="0" t="str">
        <f aca="false">IF(OR($A131="",$D131=""),"",IF(AND(EDATE($D131,Milestones!$AA$80)&lt;=AsOfDate,IF($R131=0,$X131,IF(AND($T131&lt;&gt;"",EDATE($D131,Milestones!$AA$80)&gt;=$T131),$W131,IF(AND($S131&lt;&gt;"",EDATE($D131,Milestones!$AA$80)&gt;=$S131),$V131,$U131)))=Milestones!$AB$80),UPPER(TEXT(EDATE($D131,Milestones!$AA$80),"dd mmm yy"))&amp;" "&amp;Milestones!$AB$80&amp;" "&amp;Milestones!$AC$80&amp;";  ","")&amp;IF(AND(EDATE($D131,Milestones!$AA$81)&lt;=AsOfDate,IF($R131=0,$X131,IF(AND($T131&lt;&gt;"",EDATE($D131,Milestones!$AA$81)&gt;=$T131),$W131,IF(AND($S131&lt;&gt;"",EDATE($D131,Milestones!$AA$81)&gt;=$S131),$V131,$U131)))=Milestones!$AB$81),UPPER(TEXT(EDATE($D131,Milestones!$AA$81),"dd mmm yy"))&amp;" "&amp;Milestones!$AB$81&amp;" "&amp;Milestones!$AC$81&amp;";  ","")&amp;IF(AND(EDATE($D131,Milestones!$AA$82)&lt;=AsOfDate,IF($R131=0,$X131,IF(AND($T131&lt;&gt;"",EDATE($D131,Milestones!$AA$82)&gt;=$T131),$W131,IF(AND($S131&lt;&gt;"",EDATE($D131,Milestones!$AA$82)&gt;=$S131),$V131,$U131)))=Milestones!$AB$82),UPPER(TEXT(EDATE($D131,Milestones!$AA$82),"dd mmm yy"))&amp;" "&amp;Milestones!$AB$82&amp;" "&amp;Milestones!$AC$82&amp;";  ","")&amp;IF(AND(EDATE($D131,Milestones!$AA$83)&lt;=AsOfDate,IF($R131=0,$X131,IF(AND($T131&lt;&gt;"",EDATE($D131,Milestones!$AA$83)&gt;=$T131),$W131,IF(AND($S131&lt;&gt;"",EDATE($D131,Milestones!$AA$83)&gt;=$S131),$V131,$U131)))=Milestones!$AB$83),UPPER(TEXT(EDATE($D131,Milestones!$AA$83),"dd mmm yy"))&amp;" "&amp;Milestones!$AB$83&amp;" "&amp;Milestones!$AC$83&amp;";  ","")&amp;IF(AND(EDATE($D131,Milestones!$AA$84)&lt;=AsOfDate,IF($R131=0,$X131,IF(AND($T131&lt;&gt;"",EDATE($D131,Milestones!$AA$84)&gt;=$T131),$W131,IF(AND($S131&lt;&gt;"",EDATE($D131,Milestones!$AA$84)&gt;=$S131),$V131,$U131)))=Milestones!$AB$84),UPPER(TEXT(EDATE($D131,Milestones!$AA$84),"dd mmm yy"))&amp;" "&amp;Milestones!$AB$84&amp;" "&amp;Milestones!$AC$84&amp;";  ","")&amp;IF(AND(EDATE($D131,Milestones!$AA$85)&lt;=AsOfDate,IF($R131=0,$X131,IF(AND($T131&lt;&gt;"",EDATE($D131,Milestones!$AA$85)&gt;=$T131),$W131,IF(AND($S131&lt;&gt;"",EDATE($D131,Milestones!$AA$85)&gt;=$S131),$V131,$U131)))=Milestones!$AB$85),UPPER(TEXT(EDATE($D131,Milestones!$AA$85),"dd mmm yy"))&amp;" "&amp;Milestones!$AB$85&amp;" "&amp;Milestones!$AC$85&amp;";  ","")&amp;IF(AND(EDATE($D131,Milestones!$AA$86)&lt;=AsOfDate,IF($R131=0,$X131,IF(AND($T131&lt;&gt;"",EDATE($D131,Milestones!$AA$86)&gt;=$T131),$W131,IF(AND($S131&lt;&gt;"",EDATE($D131,Milestones!$AA$86)&gt;=$S131),$V131,$U131)))=Milestones!$AB$86),UPPER(TEXT(EDATE($D131,Milestones!$AA$86),"dd mmm yy"))&amp;" "&amp;Milestones!$AB$86&amp;" "&amp;Milestones!$AC$86&amp;";  ","")&amp;IF(AND(EDATE($D131,Milestones!$AA$87)&lt;=AsOfDate,IF($R131=0,$X131,IF(AND($T131&lt;&gt;"",EDATE($D131,Milestones!$AA$87)&gt;=$T131),$W131,IF(AND($S131&lt;&gt;"",EDATE($D131,Milestones!$AA$87)&gt;=$S131),$V131,$U131)))=Milestones!$AB$87),UPPER(TEXT(EDATE($D131,Milestones!$AA$87),"dd mmm yy"))&amp;" "&amp;Milestones!$AB$87&amp;" "&amp;Milestones!$AC$87&amp;";  ","")&amp;IF(AND(EDATE($D131,Milestones!$AA$88)&lt;=AsOfDate,IF($R131=0,$X131,IF(AND($T131&lt;&gt;"",EDATE($D131,Milestones!$AA$88)&gt;=$T131),$W131,IF(AND($S131&lt;&gt;"",EDATE($D131,Milestones!$AA$88)&gt;=$S131),$V131,$U131)))=Milestones!$AB$88),UPPER(TEXT(EDATE($D131,Milestones!$AA$88),"dd mmm yy"))&amp;" "&amp;Milestones!$AB$88&amp;" "&amp;Milestones!$AC$88&amp;";  ","")&amp;IF(AND(EDATE($D131,Milestones!$AA$89)&lt;=AsOfDate,IF($R131=0,$X131,IF(AND($T131&lt;&gt;"",EDATE($D131,Milestones!$AA$89)&gt;=$T131),$W131,IF(AND($S131&lt;&gt;"",EDATE($D131,Milestones!$AA$89)&gt;=$S131),$V131,$U131)))=Milestones!$AB$89),UPPER(TEXT(EDATE($D131,Milestones!$AA$89),"dd mmm yy"))&amp;" "&amp;Milestones!$AB$89&amp;" "&amp;Milestones!$AC$89&amp;";  ","")&amp;IF(AND(EDATE($D131,Milestones!$AA$90)&lt;=AsOfDate,IF($R131=0,$X131,IF(AND($T131&lt;&gt;"",EDATE($D131,Milestones!$AA$90)&gt;=$T131),$W131,IF(AND($S131&lt;&gt;"",EDATE($D131,Milestones!$AA$90)&gt;=$S131),$V131,$U131)))=Milestones!$AB$90),UPPER(TEXT(EDATE($D131,Milestones!$AA$90),"dd mmm yy"))&amp;" "&amp;Milestones!$AB$90&amp;" "&amp;Milestones!$AC$90&amp;";  ","")&amp;IF(AND(EDATE($D131,Milestones!$AA$91)&lt;=AsOfDate,IF($R131=0,$X131,IF(AND($T131&lt;&gt;"",EDATE($D131,Milestones!$AA$91)&gt;=$T131),$W131,IF(AND($S131&lt;&gt;"",EDATE($D131,Milestones!$AA$91)&gt;=$S131),$V131,$U131)))=Milestones!$AB$91),UPPER(TEXT(EDATE($D131,Milestones!$AA$91),"dd mmm yy"))&amp;" "&amp;Milestones!$AB$91&amp;" "&amp;Milestones!$AC$91&amp;";  ","")&amp;IF(AND(EDATE($D131,Milestones!$AA$92)&lt;=AsOfDate,IF($R131=0,$X131,IF(AND($T131&lt;&gt;"",EDATE($D131,Milestones!$AA$92)&gt;=$T131),$W131,IF(AND($S131&lt;&gt;"",EDATE($D131,Milestones!$AA$92)&gt;=$S131),$V131,$U131)))=Milestones!$AB$92),UPPER(TEXT(EDATE($D131,Milestones!$AA$92),"dd mmm yy"))&amp;" "&amp;Milestones!$AB$92&amp;" "&amp;Milestones!$AC$92&amp;";  ","")&amp;IF(AND(EDATE($D131,Milestones!$AA$93)&lt;=AsOfDate,IF($R131=0,$X131,IF(AND($T131&lt;&gt;"",EDATE($D131,Milestones!$AA$93)&gt;=$T131),$W131,IF(AND($S131&lt;&gt;"",EDATE($D131,Milestones!$AA$93)&gt;=$S131),$V131,$U131)))=Milestones!$AB$93),UPPER(TEXT(EDATE($D131,Milestones!$AA$93),"dd mmm yy"))&amp;" "&amp;Milestones!$AB$93&amp;" "&amp;Milestones!$AC$93&amp;";  ","")&amp;IF(AND(EDATE($D131,Milestones!$AA$94)&lt;=AsOfDate,IF($R131=0,$X131,IF(AND($T131&lt;&gt;"",EDATE($D131,Milestones!$AA$94)&gt;=$T131),$W131,IF(AND($S131&lt;&gt;"",EDATE($D131,Milestones!$AA$94)&gt;=$S131),$V131,$U131)))=Milestones!$AB$94),UPPER(TEXT(EDATE($D131,Milestones!$AA$94),"dd mmm yy"))&amp;" "&amp;Milestones!$AB$94&amp;" "&amp;Milestones!$AC$94&amp;";  ","")&amp;IF(AND(EDATE($D131,Milestones!$AA$95)&lt;=AsOfDate,IF($R131=0,$X131,IF(AND($T131&lt;&gt;"",EDATE($D131,Milestones!$AA$95)&gt;=$T131),$W131,IF(AND($S131&lt;&gt;"",EDATE($D131,Milestones!$AA$95)&gt;=$S131),$V131,$U131)))=Milestones!$AB$95),UPPER(TEXT(EDATE($D131,Milestones!$AA$95),"dd mmm yy"))&amp;" "&amp;Milestones!$AB$95&amp;" "&amp;Milestones!$AC$95&amp;";  ","")&amp;IF(AND(EDATE($D131,Milestones!$AA$96)&lt;=AsOfDate,IF($R131=0,$X131,IF(AND($T131&lt;&gt;"",EDATE($D131,Milestones!$AA$96)&gt;=$T131),$W131,IF(AND($S131&lt;&gt;"",EDATE($D131,Milestones!$AA$96)&gt;=$S131),$V131,$U131)))=Milestones!$AB$96),UPPER(TEXT(EDATE($D131,Milestones!$AA$96),"dd mmm yy"))&amp;" "&amp;Milestones!$AB$96&amp;" "&amp;Milestones!$AC$96&amp;";  ","")&amp;IF(AND(EDATE($D131,Milestones!$AA$97)&lt;=AsOfDate,IF($R131=0,$X131,IF(AND($T131&lt;&gt;"",EDATE($D131,Milestones!$AA$97)&gt;=$T131),$W131,IF(AND($S131&lt;&gt;"",EDATE($D131,Milestones!$AA$97)&gt;=$S131),$V131,$U131)))=Milestones!$AB$97),UPPER(TEXT(EDATE($D131,Milestones!$AA$97),"dd mmm yy"))&amp;" "&amp;Milestones!$AB$97&amp;" "&amp;Milestones!$AC$97&amp;";  ","")&amp;IF(AND(EDATE($D131,Milestones!$AA$98)&lt;=AsOfDate,IF($R131=0,$X131,IF(AND($T131&lt;&gt;"",EDATE($D131,Milestones!$AA$98)&gt;=$T131),$W131,IF(AND($S131&lt;&gt;"",EDATE($D131,Milestones!$AA$98)&gt;=$S131),$V131,$U131)))=Milestones!$AB$98),UPPER(TEXT(EDATE($D131,Milestones!$AA$98),"dd mmm yy"))&amp;" "&amp;Milestones!$AB$98&amp;" "&amp;Milestones!$AC$98&amp;";  ","")&amp;IF(AND(EDATE($D131,Milestones!$AA$99)&lt;=AsOfDate,IF($R131=0,$X131,IF(AND($T131&lt;&gt;"",EDATE($D131,Milestones!$AA$99)&gt;=$T131),$W131,IF(AND($S131&lt;&gt;"",EDATE($D131,Milestones!$AA$99)&gt;=$S131),$V131,$U131)))=Milestones!$AB$99),UPPER(TEXT(EDATE($D131,Milestones!$AA$99),"dd mmm yy"))&amp;" "&amp;Milestones!$AB$99&amp;" "&amp;Milestones!$AC$99&amp;";  ",""))</f>
        <v/>
      </c>
      <c r="M131" s="0" t="str">
        <f aca="false">IF(OR($A131="",$D131=""),"",IF(AND(EDATE($D131,Milestones!$AA$100)&lt;=AsOfDate,IF($R131=0,$X131,IF(AND($T131&lt;&gt;"",EDATE($D131,Milestones!$AA$100)&gt;=$T131),$W131,IF(AND($S131&lt;&gt;"",EDATE($D131,Milestones!$AA$100)&gt;=$S131),$V131,$U131)))=Milestones!$AB$100),UPPER(TEXT(EDATE($D131,Milestones!$AA$100),"dd mmm yy"))&amp;" "&amp;Milestones!$AB$100&amp;" "&amp;Milestones!$AC$100&amp;";  ","")&amp;IF(AND(EDATE($D131,Milestones!$AA$101)&lt;=AsOfDate,IF($R131=0,$X131,IF(AND($T131&lt;&gt;"",EDATE($D131,Milestones!$AA$101)&gt;=$T131),$W131,IF(AND($S131&lt;&gt;"",EDATE($D131,Milestones!$AA$101)&gt;=$S131),$V131,$U131)))=Milestones!$AB$101),UPPER(TEXT(EDATE($D131,Milestones!$AA$101),"dd mmm yy"))&amp;" "&amp;Milestones!$AB$101&amp;" "&amp;Milestones!$AC$101&amp;";  ","")&amp;IF(AND(EDATE($D131,Milestones!$AA$102)&lt;=AsOfDate,IF($R131=0,$X131,IF(AND($T131&lt;&gt;"",EDATE($D131,Milestones!$AA$102)&gt;=$T131),$W131,IF(AND($S131&lt;&gt;"",EDATE($D131,Milestones!$AA$102)&gt;=$S131),$V131,$U131)))=Milestones!$AB$102),UPPER(TEXT(EDATE($D131,Milestones!$AA$102),"dd mmm yy"))&amp;" "&amp;Milestones!$AB$102&amp;" "&amp;Milestones!$AC$102&amp;";  ","")&amp;IF(AND(EDATE($D131,Milestones!$AA$103)&lt;=AsOfDate,IF($R131=0,$X131,IF(AND($T131&lt;&gt;"",EDATE($D131,Milestones!$AA$103)&gt;=$T131),$W131,IF(AND($S131&lt;&gt;"",EDATE($D131,Milestones!$AA$103)&gt;=$S131),$V131,$U131)))=Milestones!$AB$103),UPPER(TEXT(EDATE($D131,Milestones!$AA$103),"dd mmm yy"))&amp;" "&amp;Milestones!$AB$103&amp;" "&amp;Milestones!$AC$103&amp;";  ","")&amp;IF(AND(EDATE($D131,Milestones!$AA$104)&lt;=AsOfDate,IF($R131=0,$X131,IF(AND($T131&lt;&gt;"",EDATE($D131,Milestones!$AA$104)&gt;=$T131),$W131,IF(AND($S131&lt;&gt;"",EDATE($D131,Milestones!$AA$104)&gt;=$S131),$V131,$U131)))=Milestones!$AB$104),UPPER(TEXT(EDATE($D131,Milestones!$AA$104),"dd mmm yy"))&amp;" "&amp;Milestones!$AB$104&amp;" "&amp;Milestones!$AC$104&amp;";  ","")&amp;IF(AND(EDATE($D131,Milestones!$AA$105)&lt;=AsOfDate,IF($R131=0,$X131,IF(AND($T131&lt;&gt;"",EDATE($D131,Milestones!$AA$105)&gt;=$T131),$W131,IF(AND($S131&lt;&gt;"",EDATE($D131,Milestones!$AA$105)&gt;=$S131),$V131,$U131)))=Milestones!$AB$105),UPPER(TEXT(EDATE($D131,Milestones!$AA$105),"dd mmm yy"))&amp;" "&amp;Milestones!$AB$105&amp;" "&amp;Milestones!$AC$105&amp;";  ","")&amp;IF(AND(EDATE($D131,Milestones!$AA$106)&lt;=AsOfDate,IF($R131=0,$X131,IF(AND($T131&lt;&gt;"",EDATE($D131,Milestones!$AA$106)&gt;=$T131),$W131,IF(AND($S131&lt;&gt;"",EDATE($D131,Milestones!$AA$106)&gt;=$S131),$V131,$U131)))=Milestones!$AB$106),UPPER(TEXT(EDATE($D131,Milestones!$AA$106),"dd mmm yy"))&amp;" "&amp;Milestones!$AB$106&amp;" "&amp;Milestones!$AC$106&amp;";  ","")&amp;IF(AND(EDATE($D131,Milestones!$AA$107)&lt;=AsOfDate,IF($R131=0,$X131,IF(AND($T131&lt;&gt;"",EDATE($D131,Milestones!$AA$107)&gt;=$T131),$W131,IF(AND($S131&lt;&gt;"",EDATE($D131,Milestones!$AA$107)&gt;=$S131),$V131,$U131)))=Milestones!$AB$107),UPPER(TEXT(EDATE($D131,Milestones!$AA$107),"dd mmm yy"))&amp;" "&amp;Milestones!$AB$107&amp;" "&amp;Milestones!$AC$107&amp;";  ","")&amp;IF(AND(EDATE($D131,Milestones!$AA$108)&lt;=AsOfDate,IF($R131=0,$X131,IF(AND($T131&lt;&gt;"",EDATE($D131,Milestones!$AA$108)&gt;=$T131),$W131,IF(AND($S131&lt;&gt;"",EDATE($D131,Milestones!$AA$108)&gt;=$S131),$V131,$U131)))=Milestones!$AB$108),UPPER(TEXT(EDATE($D131,Milestones!$AA$108),"dd mmm yy"))&amp;" "&amp;Milestones!$AB$108&amp;" "&amp;Milestones!$AC$108&amp;";  ","")&amp;IF(AND(EDATE($D131,Milestones!$AA$109)&lt;=AsOfDate,IF($R131=0,$X131,IF(AND($T131&lt;&gt;"",EDATE($D131,Milestones!$AA$109)&gt;=$T131),$W131,IF(AND($S131&lt;&gt;"",EDATE($D131,Milestones!$AA$109)&gt;=$S131),$V131,$U131)))=Milestones!$AB$109),UPPER(TEXT(EDATE($D131,Milestones!$AA$109),"dd mmm yy"))&amp;" "&amp;Milestones!$AB$109&amp;" "&amp;Milestones!$AC$109&amp;";  ","")&amp;IF(AND(EDATE($D131,Milestones!$AA$110)&lt;=AsOfDate,IF($R131=0,$X131,IF(AND($T131&lt;&gt;"",EDATE($D131,Milestones!$AA$110)&gt;=$T131),$W131,IF(AND($S131&lt;&gt;"",EDATE($D131,Milestones!$AA$110)&gt;=$S131),$V131,$U131)))=Milestones!$AB$110),UPPER(TEXT(EDATE($D131,Milestones!$AA$110),"dd mmm yy"))&amp;" "&amp;Milestones!$AB$110&amp;" "&amp;Milestones!$AC$110&amp;";  ","")&amp;IF(AND(EDATE($D131,Milestones!$AA$111)&lt;=AsOfDate,IF($R131=0,$X131,IF(AND($T131&lt;&gt;"",EDATE($D131,Milestones!$AA$111)&gt;=$T131),$W131,IF(AND($S131&lt;&gt;"",EDATE($D131,Milestones!$AA$111)&gt;=$S131),$V131,$U131)))=Milestones!$AB$111),UPPER(TEXT(EDATE($D131,Milestones!$AA$111),"dd mmm yy"))&amp;" "&amp;Milestones!$AB$111&amp;" "&amp;Milestones!$AC$111&amp;";  ","")&amp;IF(AND(EDATE($D131,Milestones!$AA$112)&lt;=AsOfDate,IF($R131=0,$X131,IF(AND($T131&lt;&gt;"",EDATE($D131,Milestones!$AA$112)&gt;=$T131),$W131,IF(AND($S131&lt;&gt;"",EDATE($D131,Milestones!$AA$112)&gt;=$S131),$V131,$U131)))=Milestones!$AB$112),UPPER(TEXT(EDATE($D131,Milestones!$AA$112),"dd mmm yy"))&amp;" "&amp;Milestones!$AB$112&amp;" "&amp;Milestones!$AC$112&amp;";  ","")&amp;IF(AND(EDATE($D131,Milestones!$AA$113)&lt;=AsOfDate,IF($R131=0,$X131,IF(AND($T131&lt;&gt;"",EDATE($D131,Milestones!$AA$113)&gt;=$T131),$W131,IF(AND($S131&lt;&gt;"",EDATE($D131,Milestones!$AA$113)&gt;=$S131),$V131,$U131)))=Milestones!$AB$113),UPPER(TEXT(EDATE($D131,Milestones!$AA$113),"dd mmm yy"))&amp;" "&amp;Milestones!$AB$113&amp;" "&amp;Milestones!$AC$113&amp;";  ","")&amp;IF(AND(EDATE($D131,Milestones!$AA$114)&lt;=AsOfDate,IF($R131=0,$X131,IF(AND($T131&lt;&gt;"",EDATE($D131,Milestones!$AA$114)&gt;=$T131),$W131,IF(AND($S131&lt;&gt;"",EDATE($D131,Milestones!$AA$114)&gt;=$S131),$V131,$U131)))=Milestones!$AB$114),UPPER(TEXT(EDATE($D131,Milestones!$AA$114),"dd mmm yy"))&amp;" "&amp;Milestones!$AB$114&amp;" "&amp;Milestones!$AC$114&amp;";  ","")&amp;IF(AND(EDATE($D131,Milestones!$AA$115)&lt;=AsOfDate,IF($R131=0,$X131,IF(AND($T131&lt;&gt;"",EDATE($D131,Milestones!$AA$115)&gt;=$T131),$W131,IF(AND($S131&lt;&gt;"",EDATE($D131,Milestones!$AA$115)&gt;=$S131),$V131,$U131)))=Milestones!$AB$115),UPPER(TEXT(EDATE($D131,Milestones!$AA$115),"dd mmm yy"))&amp;" "&amp;Milestones!$AB$115&amp;" "&amp;Milestones!$AC$115&amp;";  ","")&amp;IF(AND(EDATE($D131,Milestones!$AA$116)&lt;=AsOfDate,IF($R131=0,$X131,IF(AND($T131&lt;&gt;"",EDATE($D131,Milestones!$AA$116)&gt;=$T131),$W131,IF(AND($S131&lt;&gt;"",EDATE($D131,Milestones!$AA$116)&gt;=$S131),$V131,$U131)))=Milestones!$AB$116),UPPER(TEXT(EDATE($D131,Milestones!$AA$116),"dd mmm yy"))&amp;" "&amp;Milestones!$AB$116&amp;" "&amp;Milestones!$AC$116&amp;";  ","")&amp;IF(AND(EDATE($D131,Milestones!$AA$117)&lt;=AsOfDate,IF($R131=0,$X131,IF(AND($T131&lt;&gt;"",EDATE($D131,Milestones!$AA$117)&gt;=$T131),$W131,IF(AND($S131&lt;&gt;"",EDATE($D131,Milestones!$AA$117)&gt;=$S131),$V131,$U131)))=Milestones!$AB$117),UPPER(TEXT(EDATE($D131,Milestones!$AA$117),"dd mmm yy"))&amp;" "&amp;Milestones!$AB$117&amp;" "&amp;Milestones!$AC$117&amp;";  ","")&amp;IF(AND(EDATE($D131,Milestones!$AA$118)&lt;=AsOfDate,IF($R131=0,$X131,IF(AND($T131&lt;&gt;"",EDATE($D131,Milestones!$AA$118)&gt;=$T131),$W131,IF(AND($S131&lt;&gt;"",EDATE($D131,Milestones!$AA$118)&gt;=$S131),$V131,$U131)))=Milestones!$AB$118),UPPER(TEXT(EDATE($D131,Milestones!$AA$118),"dd mmm yy"))&amp;" "&amp;Milestones!$AB$118&amp;" "&amp;Milestones!$AC$118&amp;";  ","")&amp;IF(AND(EDATE($D131,Milestones!$AA$119)&lt;=AsOfDate,IF($R131=0,$X131,IF(AND($T131&lt;&gt;"",EDATE($D131,Milestones!$AA$119)&gt;=$T131),$W131,IF(AND($S131&lt;&gt;"",EDATE($D131,Milestones!$AA$119)&gt;=$S131),$V131,$U131)))=Milestones!$AB$119),UPPER(TEXT(EDATE($D131,Milestones!$AA$119),"dd mmm yy"))&amp;" "&amp;Milestones!$AB$119&amp;" "&amp;Milestones!$AC$119&amp;";  ",""))</f>
        <v/>
      </c>
      <c r="N131" s="0" t="str">
        <f aca="false">IF(OR($A131="",$D131=""),"",IF(AND(EDATE($D131,Milestones!$AA$120)&lt;=AsOfDate,IF($R131=0,$X131,IF(AND($T131&lt;&gt;"",EDATE($D131,Milestones!$AA$120)&gt;=$T131),$W131,IF(AND($S131&lt;&gt;"",EDATE($D131,Milestones!$AA$120)&gt;=$S131),$V131,$U131)))=Milestones!$AB$120),UPPER(TEXT(EDATE($D131,Milestones!$AA$120),"dd mmm yy"))&amp;" "&amp;Milestones!$AB$120&amp;" "&amp;Milestones!$AC$120&amp;";  ","")&amp;IF(AND(EDATE($D131,Milestones!$AA$121)&lt;=AsOfDate,IF($R131=0,$X131,IF(AND($T131&lt;&gt;"",EDATE($D131,Milestones!$AA$121)&gt;=$T131),$W131,IF(AND($S131&lt;&gt;"",EDATE($D131,Milestones!$AA$121)&gt;=$S131),$V131,$U131)))=Milestones!$AB$121),UPPER(TEXT(EDATE($D131,Milestones!$AA$121),"dd mmm yy"))&amp;" "&amp;Milestones!$AB$121&amp;" "&amp;Milestones!$AC$121&amp;";  ","")&amp;IF(AND(EDATE($D131,Milestones!$AA$122)&lt;=AsOfDate,IF($R131=0,$X131,IF(AND($T131&lt;&gt;"",EDATE($D131,Milestones!$AA$122)&gt;=$T131),$W131,IF(AND($S131&lt;&gt;"",EDATE($D131,Milestones!$AA$122)&gt;=$S131),$V131,$U131)))=Milestones!$AB$122),UPPER(TEXT(EDATE($D131,Milestones!$AA$122),"dd mmm yy"))&amp;" "&amp;Milestones!$AB$122&amp;" "&amp;Milestones!$AC$122&amp;";  ","")&amp;IF(AND(EDATE($D131,Milestones!$AA$123)&lt;=AsOfDate,IF($R131=0,$X131,IF(AND($T131&lt;&gt;"",EDATE($D131,Milestones!$AA$123)&gt;=$T131),$W131,IF(AND($S131&lt;&gt;"",EDATE($D131,Milestones!$AA$123)&gt;=$S131),$V131,$U131)))=Milestones!$AB$123),UPPER(TEXT(EDATE($D131,Milestones!$AA$123),"dd mmm yy"))&amp;" "&amp;Milestones!$AB$123&amp;" "&amp;Milestones!$AC$123&amp;";  ","")&amp;IF(AND(EDATE($D131,Milestones!$AA$124)&lt;=AsOfDate,IF($R131=0,$X131,IF(AND($T131&lt;&gt;"",EDATE($D131,Milestones!$AA$124)&gt;=$T131),$W131,IF(AND($S131&lt;&gt;"",EDATE($D131,Milestones!$AA$124)&gt;=$S131),$V131,$U131)))=Milestones!$AB$124),UPPER(TEXT(EDATE($D131,Milestones!$AA$124),"dd mmm yy"))&amp;" "&amp;Milestones!$AB$124&amp;" "&amp;Milestones!$AC$124&amp;";  ","")&amp;IF(AND(EDATE($D131,Milestones!$AA$125)&lt;=AsOfDate,IF($R131=0,$X131,IF(AND($T131&lt;&gt;"",EDATE($D131,Milestones!$AA$125)&gt;=$T131),$W131,IF(AND($S131&lt;&gt;"",EDATE($D131,Milestones!$AA$125)&gt;=$S131),$V131,$U131)))=Milestones!$AB$125),UPPER(TEXT(EDATE($D131,Milestones!$AA$125),"dd mmm yy"))&amp;" "&amp;Milestones!$AB$125&amp;" "&amp;Milestones!$AC$125&amp;";  ","")&amp;IF(AND(EDATE($D131,Milestones!$AA$126)&lt;=AsOfDate,IF($R131=0,$X131,IF(AND($T131&lt;&gt;"",EDATE($D131,Milestones!$AA$126)&gt;=$T131),$W131,IF(AND($S131&lt;&gt;"",EDATE($D131,Milestones!$AA$126)&gt;=$S131),$V131,$U131)))=Milestones!$AB$126),UPPER(TEXT(EDATE($D131,Milestones!$AA$126),"dd mmm yy"))&amp;" "&amp;Milestones!$AB$126&amp;" "&amp;Milestones!$AC$126&amp;";  ","")&amp;IF(AND(EDATE($D131,Milestones!$AA$127)&lt;=AsOfDate,IF($R131=0,$X131,IF(AND($T131&lt;&gt;"",EDATE($D131,Milestones!$AA$127)&gt;=$T131),$W131,IF(AND($S131&lt;&gt;"",EDATE($D131,Milestones!$AA$127)&gt;=$S131),$V131,$U131)))=Milestones!$AB$127),UPPER(TEXT(EDATE($D131,Milestones!$AA$127),"dd mmm yy"))&amp;" "&amp;Milestones!$AB$127&amp;" "&amp;Milestones!$AC$127&amp;";  ","")&amp;IF(AND(EDATE($D131,Milestones!$AA$128)&lt;=AsOfDate,IF($R131=0,$X131,IF(AND($T131&lt;&gt;"",EDATE($D131,Milestones!$AA$128)&gt;=$T131),$W131,IF(AND($S131&lt;&gt;"",EDATE($D131,Milestones!$AA$128)&gt;=$S131),$V131,$U131)))=Milestones!$AB$128),UPPER(TEXT(EDATE($D131,Milestones!$AA$128),"dd mmm yy"))&amp;" "&amp;Milestones!$AB$128&amp;" "&amp;Milestones!$AC$128&amp;";  ","")&amp;IF(AND(EDATE($D131,Milestones!$AA$129)&lt;=AsOfDate,IF($R131=0,$X131,IF(AND($T131&lt;&gt;"",EDATE($D131,Milestones!$AA$129)&gt;=$T131),$W131,IF(AND($S131&lt;&gt;"",EDATE($D131,Milestones!$AA$129)&gt;=$S131),$V131,$U131)))=Milestones!$AB$129),UPPER(TEXT(EDATE($D131,Milestones!$AA$129),"dd mmm yy"))&amp;" "&amp;Milestones!$AB$129&amp;" "&amp;Milestones!$AC$129&amp;";  ","")&amp;IF(AND(EDATE($D131,Milestones!$AA$130)&lt;=AsOfDate,IF($R131=0,$X131,IF(AND($T131&lt;&gt;"",EDATE($D131,Milestones!$AA$130)&gt;=$T131),$W131,IF(AND($S131&lt;&gt;"",EDATE($D131,Milestones!$AA$130)&gt;=$S131),$V131,$U131)))=Milestones!$AB$130),UPPER(TEXT(EDATE($D131,Milestones!$AA$130),"dd mmm yy"))&amp;" "&amp;Milestones!$AB$130&amp;" "&amp;Milestones!$AC$130&amp;";  ","")&amp;IF(AND(EDATE($D131,Milestones!$AA$131)&lt;=AsOfDate,IF($R131=0,$X131,IF(AND($T131&lt;&gt;"",EDATE($D131,Milestones!$AA$131)&gt;=$T131),$W131,IF(AND($S131&lt;&gt;"",EDATE($D131,Milestones!$AA$131)&gt;=$S131),$V131,$U131)))=Milestones!$AB$131),UPPER(TEXT(EDATE($D131,Milestones!$AA$131),"dd mmm yy"))&amp;" "&amp;Milestones!$AB$131&amp;" "&amp;Milestones!$AC$131&amp;";  ","")&amp;IF(AND(EDATE($D131,Milestones!$AA$132)&lt;=AsOfDate,IF($R131=0,$X131,IF(AND($T131&lt;&gt;"",EDATE($D131,Milestones!$AA$132)&gt;=$T131),$W131,IF(AND($S131&lt;&gt;"",EDATE($D131,Milestones!$AA$132)&gt;=$S131),$V131,$U131)))=Milestones!$AB$132),UPPER(TEXT(EDATE($D131,Milestones!$AA$132),"dd mmm yy"))&amp;" "&amp;Milestones!$AB$132&amp;" "&amp;Milestones!$AC$132&amp;";  ","")&amp;IF(AND(EDATE($D131,Milestones!$AA$133)&lt;=AsOfDate,IF($R131=0,$X131,IF(AND($T131&lt;&gt;"",EDATE($D131,Milestones!$AA$133)&gt;=$T131),$W131,IF(AND($S131&lt;&gt;"",EDATE($D131,Milestones!$AA$133)&gt;=$S131),$V131,$U131)))=Milestones!$AB$133),UPPER(TEXT(EDATE($D131,Milestones!$AA$133),"dd mmm yy"))&amp;" "&amp;Milestones!$AB$133&amp;" "&amp;Milestones!$AC$133&amp;";  ","")&amp;IF(AND(EDATE($D131,Milestones!$AA$134)&lt;=AsOfDate,IF($R131=0,$X131,IF(AND($T131&lt;&gt;"",EDATE($D131,Milestones!$AA$134)&gt;=$T131),$W131,IF(AND($S131&lt;&gt;"",EDATE($D131,Milestones!$AA$134)&gt;=$S131),$V131,$U131)))=Milestones!$AB$134),UPPER(TEXT(EDATE($D131,Milestones!$AA$134),"dd mmm yy"))&amp;" "&amp;Milestones!$AB$134&amp;" "&amp;Milestones!$AC$134&amp;";  ","")&amp;IF(AND(EDATE($D131,Milestones!$AA$135)&lt;=AsOfDate,IF($R131=0,$X131,IF(AND($T131&lt;&gt;"",EDATE($D131,Milestones!$AA$135)&gt;=$T131),$W131,IF(AND($S131&lt;&gt;"",EDATE($D131,Milestones!$AA$135)&gt;=$S131),$V131,$U131)))=Milestones!$AB$135),UPPER(TEXT(EDATE($D131,Milestones!$AA$135),"dd mmm yy"))&amp;" "&amp;Milestones!$AB$135&amp;" "&amp;Milestones!$AC$135&amp;";  ","")&amp;IF(AND(EDATE($D131,Milestones!$AA$136)&lt;=AsOfDate,IF($R131=0,$X131,IF(AND($T131&lt;&gt;"",EDATE($D131,Milestones!$AA$136)&gt;=$T131),$W131,IF(AND($S131&lt;&gt;"",EDATE($D131,Milestones!$AA$136)&gt;=$S131),$V131,$U131)))=Milestones!$AB$136),UPPER(TEXT(EDATE($D131,Milestones!$AA$136),"dd mmm yy"))&amp;" "&amp;Milestones!$AB$136&amp;" "&amp;Milestones!$AC$136&amp;";  ","")&amp;IF(AND(EDATE($D131,Milestones!$AA$137)&lt;=AsOfDate,IF($R131=0,$X131,IF(AND($T131&lt;&gt;"",EDATE($D131,Milestones!$AA$137)&gt;=$T131),$W131,IF(AND($S131&lt;&gt;"",EDATE($D131,Milestones!$AA$137)&gt;=$S131),$V131,$U131)))=Milestones!$AB$137),UPPER(TEXT(EDATE($D131,Milestones!$AA$137),"dd mmm yy"))&amp;" "&amp;Milestones!$AB$137&amp;" "&amp;Milestones!$AC$137&amp;";  ","")&amp;IF(AND(EDATE($D131,Milestones!$AA$138)&lt;=AsOfDate,IF($R131=0,$X131,IF(AND($T131&lt;&gt;"",EDATE($D131,Milestones!$AA$138)&gt;=$T131),$W131,IF(AND($S131&lt;&gt;"",EDATE($D131,Milestones!$AA$138)&gt;=$S131),$V131,$U131)))=Milestones!$AB$138),UPPER(TEXT(EDATE($D131,Milestones!$AA$138),"dd mmm yy"))&amp;" "&amp;Milestones!$AB$138&amp;" "&amp;Milestones!$AC$138&amp;";  ","")&amp;IF(AND(EDATE($D131,Milestones!$AA$139)&lt;=AsOfDate,IF($R131=0,$X131,IF(AND($T131&lt;&gt;"",EDATE($D131,Milestones!$AA$139)&gt;=$T131),$W131,IF(AND($S131&lt;&gt;"",EDATE($D131,Milestones!$AA$139)&gt;=$S131),$V131,$U131)))=Milestones!$AB$139),UPPER(TEXT(EDATE($D131,Milestones!$AA$139),"dd mmm yy"))&amp;" "&amp;Milestones!$AB$139&amp;" "&amp;Milestones!$AC$139&amp;";  ",""))</f>
        <v/>
      </c>
      <c r="O131" s="0" t="str">
        <f aca="false">IF(OR($A131="",$D131=""),"",IF(AND(EDATE($D131,Milestones!$AA$140)&lt;=AsOfDate,IF($R131=0,$X131,IF(AND($T131&lt;&gt;"",EDATE($D131,Milestones!$AA$140)&gt;=$T131),$W131,IF(AND($S131&lt;&gt;"",EDATE($D131,Milestones!$AA$140)&gt;=$S131),$V131,$U131)))=Milestones!$AB$140),UPPER(TEXT(EDATE($D131,Milestones!$AA$140),"dd mmm yy"))&amp;" "&amp;Milestones!$AB$140&amp;" "&amp;Milestones!$AC$140&amp;";  ","")&amp;IF(AND(EDATE($D131,Milestones!$AA$141)&lt;=AsOfDate,IF($R131=0,$X131,IF(AND($T131&lt;&gt;"",EDATE($D131,Milestones!$AA$141)&gt;=$T131),$W131,IF(AND($S131&lt;&gt;"",EDATE($D131,Milestones!$AA$141)&gt;=$S131),$V131,$U131)))=Milestones!$AB$141),UPPER(TEXT(EDATE($D131,Milestones!$AA$141),"dd mmm yy"))&amp;" "&amp;Milestones!$AB$141&amp;" "&amp;Milestones!$AC$141&amp;";  ","")&amp;IF(AND(EDATE($D131,Milestones!$AA$142)&lt;=AsOfDate,IF($R131=0,$X131,IF(AND($T131&lt;&gt;"",EDATE($D131,Milestones!$AA$142)&gt;=$T131),$W131,IF(AND($S131&lt;&gt;"",EDATE($D131,Milestones!$AA$142)&gt;=$S131),$V131,$U131)))=Milestones!$AB$142),UPPER(TEXT(EDATE($D131,Milestones!$AA$142),"dd mmm yy"))&amp;" "&amp;Milestones!$AB$142&amp;" "&amp;Milestones!$AC$142&amp;";  ","")&amp;IF(AND(EDATE($D131,Milestones!$AA$143)&lt;=AsOfDate,IF($R131=0,$X131,IF(AND($T131&lt;&gt;"",EDATE($D131,Milestones!$AA$143)&gt;=$T131),$W131,IF(AND($S131&lt;&gt;"",EDATE($D131,Milestones!$AA$143)&gt;=$S131),$V131,$U131)))=Milestones!$AB$143),UPPER(TEXT(EDATE($D131,Milestones!$AA$143),"dd mmm yy"))&amp;" "&amp;Milestones!$AB$143&amp;" "&amp;Milestones!$AC$143&amp;";  ","")&amp;IF(AND(EDATE($D131,Milestones!$AA$144)&lt;=AsOfDate,IF($R131=0,$X131,IF(AND($T131&lt;&gt;"",EDATE($D131,Milestones!$AA$144)&gt;=$T131),$W131,IF(AND($S131&lt;&gt;"",EDATE($D131,Milestones!$AA$144)&gt;=$S131),$V131,$U131)))=Milestones!$AB$144),UPPER(TEXT(EDATE($D131,Milestones!$AA$144),"dd mmm yy"))&amp;" "&amp;Milestones!$AB$144&amp;" "&amp;Milestones!$AC$144&amp;";  ","")&amp;IF(AND(EDATE($D131,Milestones!$AA$145)&lt;=AsOfDate,IF($R131=0,$X131,IF(AND($T131&lt;&gt;"",EDATE($D131,Milestones!$AA$145)&gt;=$T131),$W131,IF(AND($S131&lt;&gt;"",EDATE($D131,Milestones!$AA$145)&gt;=$S131),$V131,$U131)))=Milestones!$AB$145),UPPER(TEXT(EDATE($D131,Milestones!$AA$145),"dd mmm yy"))&amp;" "&amp;Milestones!$AB$145&amp;" "&amp;Milestones!$AC$145&amp;";  ","")&amp;IF(AND(EDATE($D131,Milestones!$AA$146)&lt;=AsOfDate,IF($R131=0,$X131,IF(AND($T131&lt;&gt;"",EDATE($D131,Milestones!$AA$146)&gt;=$T131),$W131,IF(AND($S131&lt;&gt;"",EDATE($D131,Milestones!$AA$146)&gt;=$S131),$V131,$U131)))=Milestones!$AB$146),UPPER(TEXT(EDATE($D131,Milestones!$AA$146),"dd mmm yy"))&amp;" "&amp;Milestones!$AB$146&amp;" "&amp;Milestones!$AC$146&amp;";  ","")&amp;IF(AND(EDATE($D131,Milestones!$AA$147)&lt;=AsOfDate,IF($R131=0,$X131,IF(AND($T131&lt;&gt;"",EDATE($D131,Milestones!$AA$147)&gt;=$T131),$W131,IF(AND($S131&lt;&gt;"",EDATE($D131,Milestones!$AA$147)&gt;=$S131),$V131,$U131)))=Milestones!$AB$147),UPPER(TEXT(EDATE($D131,Milestones!$AA$147),"dd mmm yy"))&amp;" "&amp;Milestones!$AB$147&amp;" "&amp;Milestones!$AC$147&amp;";  ","")&amp;IF(AND(EDATE($D131,Milestones!$AA$148)&lt;=AsOfDate,IF($R131=0,$X131,IF(AND($T131&lt;&gt;"",EDATE($D131,Milestones!$AA$148)&gt;=$T131),$W131,IF(AND($S131&lt;&gt;"",EDATE($D131,Milestones!$AA$148)&gt;=$S131),$V131,$U131)))=Milestones!$AB$148),UPPER(TEXT(EDATE($D131,Milestones!$AA$148),"dd mmm yy"))&amp;" "&amp;Milestones!$AB$148&amp;" "&amp;Milestones!$AC$148&amp;";  ","")&amp;IF(AND(EDATE($D131,Milestones!$AA$149)&lt;=AsOfDate,IF($R131=0,$X131,IF(AND($T131&lt;&gt;"",EDATE($D131,Milestones!$AA$149)&gt;=$T131),$W131,IF(AND($S131&lt;&gt;"",EDATE($D131,Milestones!$AA$149)&gt;=$S131),$V131,$U131)))=Milestones!$AB$149),UPPER(TEXT(EDATE($D131,Milestones!$AA$149),"dd mmm yy"))&amp;" "&amp;Milestones!$AB$149&amp;" "&amp;Milestones!$AC$149&amp;";  ","")&amp;IF(AND(EDATE($D131,Milestones!$AA$150)&lt;=AsOfDate,IF($R131=0,$X131,IF(AND($T131&lt;&gt;"",EDATE($D131,Milestones!$AA$150)&gt;=$T131),$W131,IF(AND($S131&lt;&gt;"",EDATE($D131,Milestones!$AA$150)&gt;=$S131),$V131,$U131)))=Milestones!$AB$150),UPPER(TEXT(EDATE($D131,Milestones!$AA$150),"dd mmm yy"))&amp;" "&amp;Milestones!$AB$150&amp;" "&amp;Milestones!$AC$150&amp;";  ","")&amp;IF(AND(EDATE($D131,Milestones!$AA$151)&lt;=AsOfDate,IF($R131=0,$X131,IF(AND($T131&lt;&gt;"",EDATE($D131,Milestones!$AA$151)&gt;=$T131),$W131,IF(AND($S131&lt;&gt;"",EDATE($D131,Milestones!$AA$151)&gt;=$S131),$V131,$U131)))=Milestones!$AB$151),UPPER(TEXT(EDATE($D131,Milestones!$AA$151),"dd mmm yy"))&amp;" "&amp;Milestones!$AB$151&amp;" "&amp;Milestones!$AC$151&amp;";  ","")&amp;IF(AND(EDATE($D131,Milestones!$AA$152)&lt;=AsOfDate,IF($R131=0,$X131,IF(AND($T131&lt;&gt;"",EDATE($D131,Milestones!$AA$152)&gt;=$T131),$W131,IF(AND($S131&lt;&gt;"",EDATE($D131,Milestones!$AA$152)&gt;=$S131),$V131,$U131)))=Milestones!$AB$152),UPPER(TEXT(EDATE($D131,Milestones!$AA$152),"dd mmm yy"))&amp;" "&amp;Milestones!$AB$152&amp;" "&amp;Milestones!$AC$152&amp;";  ","")&amp;IF(AND(EDATE($D131,Milestones!$AA$153)&lt;=AsOfDate,IF($R131=0,$X131,IF(AND($T131&lt;&gt;"",EDATE($D131,Milestones!$AA$153)&gt;=$T131),$W131,IF(AND($S131&lt;&gt;"",EDATE($D131,Milestones!$AA$153)&gt;=$S131),$V131,$U131)))=Milestones!$AB$153),UPPER(TEXT(EDATE($D131,Milestones!$AA$153),"dd mmm yy"))&amp;" "&amp;Milestones!$AB$153&amp;" "&amp;Milestones!$AC$153&amp;";  ","")&amp;IF(AND(EDATE($D131,Milestones!$AA$154)&lt;=AsOfDate,IF($R131=0,$X131,IF(AND($T131&lt;&gt;"",EDATE($D131,Milestones!$AA$154)&gt;=$T131),$W131,IF(AND($S131&lt;&gt;"",EDATE($D131,Milestones!$AA$154)&gt;=$S131),$V131,$U131)))=Milestones!$AB$154),UPPER(TEXT(EDATE($D131,Milestones!$AA$154),"dd mmm yy"))&amp;" "&amp;Milestones!$AB$154&amp;" "&amp;Milestones!$AC$154&amp;";  ","")&amp;IF(AND(EDATE($D131,Milestones!$AA$155)&lt;=AsOfDate,IF($R131=0,$X131,IF(AND($T131&lt;&gt;"",EDATE($D131,Milestones!$AA$155)&gt;=$T131),$W131,IF(AND($S131&lt;&gt;"",EDATE($D131,Milestones!$AA$155)&gt;=$S131),$V131,$U131)))=Milestones!$AB$155),UPPER(TEXT(EDATE($D131,Milestones!$AA$155),"dd mmm yy"))&amp;" "&amp;Milestones!$AB$155&amp;" "&amp;Milestones!$AC$155&amp;";  ","")&amp;IF(AND(EDATE($D131,Milestones!$AA$156)&lt;=AsOfDate,IF($R131=0,$X131,IF(AND($T131&lt;&gt;"",EDATE($D131,Milestones!$AA$156)&gt;=$T131),$W131,IF(AND($S131&lt;&gt;"",EDATE($D131,Milestones!$AA$156)&gt;=$S131),$V131,$U131)))=Milestones!$AB$156),UPPER(TEXT(EDATE($D131,Milestones!$AA$156),"dd mmm yy"))&amp;" "&amp;Milestones!$AB$156&amp;" "&amp;Milestones!$AC$156&amp;";  ","")&amp;IF(AND(EDATE($D131,Milestones!$AA$157)&lt;=AsOfDate,IF($R131=0,$X131,IF(AND($T131&lt;&gt;"",EDATE($D131,Milestones!$AA$157)&gt;=$T131),$W131,IF(AND($S131&lt;&gt;"",EDATE($D131,Milestones!$AA$157)&gt;=$S131),$V131,$U131)))=Milestones!$AB$157),UPPER(TEXT(EDATE($D131,Milestones!$AA$157),"dd mmm yy"))&amp;" "&amp;Milestones!$AB$157&amp;" "&amp;Milestones!$AC$157&amp;";  ","")&amp;IF(AND(EDATE($D131,Milestones!$AA$158)&lt;=AsOfDate,IF($R131=0,$X131,IF(AND($T131&lt;&gt;"",EDATE($D131,Milestones!$AA$158)&gt;=$T131),$W131,IF(AND($S131&lt;&gt;"",EDATE($D131,Milestones!$AA$158)&gt;=$S131),$V131,$U131)))=Milestones!$AB$158),UPPER(TEXT(EDATE($D131,Milestones!$AA$158),"dd mmm yy"))&amp;" "&amp;Milestones!$AB$158&amp;" "&amp;Milestones!$AC$158&amp;";  ","")&amp;IF(AND(EDATE($D131,Milestones!$AA$159)&lt;=AsOfDate,IF($R131=0,$X131,IF(AND($T131&lt;&gt;"",EDATE($D131,Milestones!$AA$159)&gt;=$T131),$W131,IF(AND($S131&lt;&gt;"",EDATE($D131,Milestones!$AA$159)&gt;=$S131),$V131,$U131)))=Milestones!$AB$159),UPPER(TEXT(EDATE($D131,Milestones!$AA$159),"dd mmm yy"))&amp;" "&amp;Milestones!$AB$159&amp;" "&amp;Milestones!$AC$159&amp;";  ",""))</f>
        <v/>
      </c>
      <c r="P131" s="0" t="str">
        <f aca="false">IF(OR($A131="",$D131=""),"",IF(AND(EDATE($D131,Milestones!$AA$160)&lt;=AsOfDate,IF($R131=0,$X131,IF(AND($T131&lt;&gt;"",EDATE($D131,Milestones!$AA$160)&gt;=$T131),$W131,IF(AND($S131&lt;&gt;"",EDATE($D131,Milestones!$AA$160)&gt;=$S131),$V131,$U131)))=Milestones!$AB$160),UPPER(TEXT(EDATE($D131,Milestones!$AA$160),"dd mmm yy"))&amp;" "&amp;Milestones!$AB$160&amp;" "&amp;Milestones!$AC$160&amp;";  ","")&amp;IF(AND(EDATE($D131,Milestones!$AA$161)&lt;=AsOfDate,IF($R131=0,$X131,IF(AND($T131&lt;&gt;"",EDATE($D131,Milestones!$AA$161)&gt;=$T131),$W131,IF(AND($S131&lt;&gt;"",EDATE($D131,Milestones!$AA$161)&gt;=$S131),$V131,$U131)))=Milestones!$AB$161),UPPER(TEXT(EDATE($D131,Milestones!$AA$161),"dd mmm yy"))&amp;" "&amp;Milestones!$AB$161&amp;" "&amp;Milestones!$AC$161&amp;";  ","")&amp;IF(AND(EDATE($D131,Milestones!$AA$162)&lt;=AsOfDate,IF($R131=0,$X131,IF(AND($T131&lt;&gt;"",EDATE($D131,Milestones!$AA$162)&gt;=$T131),$W131,IF(AND($S131&lt;&gt;"",EDATE($D131,Milestones!$AA$162)&gt;=$S131),$V131,$U131)))=Milestones!$AB$162),UPPER(TEXT(EDATE($D131,Milestones!$AA$162),"dd mmm yy"))&amp;" "&amp;Milestones!$AB$162&amp;" "&amp;Milestones!$AC$162&amp;";  ","")&amp;IF(AND(EDATE($D131,Milestones!$AA$163)&lt;=AsOfDate,IF($R131=0,$X131,IF(AND($T131&lt;&gt;"",EDATE($D131,Milestones!$AA$163)&gt;=$T131),$W131,IF(AND($S131&lt;&gt;"",EDATE($D131,Milestones!$AA$163)&gt;=$S131),$V131,$U131)))=Milestones!$AB$163),UPPER(TEXT(EDATE($D131,Milestones!$AA$163),"dd mmm yy"))&amp;" "&amp;Milestones!$AB$163&amp;" "&amp;Milestones!$AC$163&amp;";  ","")&amp;IF(AND(EDATE($D131,Milestones!$AA$164)&lt;=AsOfDate,IF($R131=0,$X131,IF(AND($T131&lt;&gt;"",EDATE($D131,Milestones!$AA$164)&gt;=$T131),$W131,IF(AND($S131&lt;&gt;"",EDATE($D131,Milestones!$AA$164)&gt;=$S131),$V131,$U131)))=Milestones!$AB$164),UPPER(TEXT(EDATE($D131,Milestones!$AA$164),"dd mmm yy"))&amp;" "&amp;Milestones!$AB$164&amp;" "&amp;Milestones!$AC$164&amp;";  ","")&amp;IF(AND(EDATE($D131,Milestones!$AA$165)&lt;=AsOfDate,IF($R131=0,$X131,IF(AND($T131&lt;&gt;"",EDATE($D131,Milestones!$AA$165)&gt;=$T131),$W131,IF(AND($S131&lt;&gt;"",EDATE($D131,Milestones!$AA$165)&gt;=$S131),$V131,$U131)))=Milestones!$AB$165),UPPER(TEXT(EDATE($D131,Milestones!$AA$165),"dd mmm yy"))&amp;" "&amp;Milestones!$AB$165&amp;" "&amp;Milestones!$AC$165&amp;";  ","")&amp;IF(AND(EDATE($D131,Milestones!$AA$166)&lt;=AsOfDate,IF($R131=0,$X131,IF(AND($T131&lt;&gt;"",EDATE($D131,Milestones!$AA$166)&gt;=$T131),$W131,IF(AND($S131&lt;&gt;"",EDATE($D131,Milestones!$AA$166)&gt;=$S131),$V131,$U131)))=Milestones!$AB$166),UPPER(TEXT(EDATE($D131,Milestones!$AA$166),"dd mmm yy"))&amp;" "&amp;Milestones!$AB$166&amp;" "&amp;Milestones!$AC$166&amp;";  ","")&amp;IF(AND(EDATE($D131,Milestones!$AA$167)&lt;=AsOfDate,IF($R131=0,$X131,IF(AND($T131&lt;&gt;"",EDATE($D131,Milestones!$AA$167)&gt;=$T131),$W131,IF(AND($S131&lt;&gt;"",EDATE($D131,Milestones!$AA$167)&gt;=$S131),$V131,$U131)))=Milestones!$AB$167),UPPER(TEXT(EDATE($D131,Milestones!$AA$167),"dd mmm yy"))&amp;" "&amp;Milestones!$AB$167&amp;" "&amp;Milestones!$AC$167&amp;";  ","")&amp;IF(AND(EDATE($D131,Milestones!$AA$168)&lt;=AsOfDate,IF($R131=0,$X131,IF(AND($T131&lt;&gt;"",EDATE($D131,Milestones!$AA$168)&gt;=$T131),$W131,IF(AND($S131&lt;&gt;"",EDATE($D131,Milestones!$AA$168)&gt;=$S131),$V131,$U131)))=Milestones!$AB$168),UPPER(TEXT(EDATE($D131,Milestones!$AA$168),"dd mmm yy"))&amp;" "&amp;Milestones!$AB$168&amp;" "&amp;Milestones!$AC$168&amp;";  ","")&amp;IF(AND(EDATE($D131,Milestones!$AA$169)&lt;=AsOfDate,IF($R131=0,$X131,IF(AND($T131&lt;&gt;"",EDATE($D131,Milestones!$AA$169)&gt;=$T131),$W131,IF(AND($S131&lt;&gt;"",EDATE($D131,Milestones!$AA$169)&gt;=$S131),$V131,$U131)))=Milestones!$AB$169),UPPER(TEXT(EDATE($D131,Milestones!$AA$169),"dd mmm yy"))&amp;" "&amp;Milestones!$AB$169&amp;" "&amp;Milestones!$AC$169&amp;";  ","")&amp;IF(AND(EDATE($D131,Milestones!$AA$170)&lt;=AsOfDate,IF($R131=0,$X131,IF(AND($T131&lt;&gt;"",EDATE($D131,Milestones!$AA$170)&gt;=$T131),$W131,IF(AND($S131&lt;&gt;"",EDATE($D131,Milestones!$AA$170)&gt;=$S131),$V131,$U131)))=Milestones!$AB$170),UPPER(TEXT(EDATE($D131,Milestones!$AA$170),"dd mmm yy"))&amp;" "&amp;Milestones!$AB$170&amp;" "&amp;Milestones!$AC$170&amp;";  ","")&amp;IF(AND(EDATE($D131,Milestones!$AA$171)&lt;=AsOfDate,IF($R131=0,$X131,IF(AND($T131&lt;&gt;"",EDATE($D131,Milestones!$AA$171)&gt;=$T131),$W131,IF(AND($S131&lt;&gt;"",EDATE($D131,Milestones!$AA$171)&gt;=$S131),$V131,$U131)))=Milestones!$AB$171),UPPER(TEXT(EDATE($D131,Milestones!$AA$171),"dd mmm yy"))&amp;" "&amp;Milestones!$AB$171&amp;" "&amp;Milestones!$AC$171&amp;";  ","")&amp;IF(AND(EDATE($D131,Milestones!$AA$172)&lt;=AsOfDate,IF($R131=0,$X131,IF(AND($T131&lt;&gt;"",EDATE($D131,Milestones!$AA$172)&gt;=$T131),$W131,IF(AND($S131&lt;&gt;"",EDATE($D131,Milestones!$AA$172)&gt;=$S131),$V131,$U131)))=Milestones!$AB$172),UPPER(TEXT(EDATE($D131,Milestones!$AA$172),"dd mmm yy"))&amp;" "&amp;Milestones!$AB$172&amp;" "&amp;Milestones!$AC$172&amp;";  ","")&amp;IF(AND(EDATE($D131,Milestones!$AA$173)&lt;=AsOfDate,IF($R131=0,$X131,IF(AND($T131&lt;&gt;"",EDATE($D131,Milestones!$AA$173)&gt;=$T131),$W131,IF(AND($S131&lt;&gt;"",EDATE($D131,Milestones!$AA$173)&gt;=$S131),$V131,$U131)))=Milestones!$AB$173),UPPER(TEXT(EDATE($D131,Milestones!$AA$173),"dd mmm yy"))&amp;" "&amp;Milestones!$AB$173&amp;" "&amp;Milestones!$AC$173&amp;";  ","")&amp;IF(AND(EDATE($D131,Milestones!$AA$174)&lt;=AsOfDate,IF($R131=0,$X131,IF(AND($T131&lt;&gt;"",EDATE($D131,Milestones!$AA$174)&gt;=$T131),$W131,IF(AND($S131&lt;&gt;"",EDATE($D131,Milestones!$AA$174)&gt;=$S131),$V131,$U131)))=Milestones!$AB$174),UPPER(TEXT(EDATE($D131,Milestones!$AA$174),"dd mmm yy"))&amp;" "&amp;Milestones!$AB$174&amp;" "&amp;Milestones!$AC$174&amp;";  ","")&amp;IF(AND(EDATE($D131,Milestones!$AA$175)&lt;=AsOfDate,IF($R131=0,$X131,IF(AND($T131&lt;&gt;"",EDATE($D131,Milestones!$AA$175)&gt;=$T131),$W131,IF(AND($S131&lt;&gt;"",EDATE($D131,Milestones!$AA$175)&gt;=$S131),$V131,$U131)))=Milestones!$AB$175),UPPER(TEXT(EDATE($D131,Milestones!$AA$175),"dd mmm yy"))&amp;" "&amp;Milestones!$AB$175&amp;" "&amp;Milestones!$AC$175&amp;";  ","")&amp;IF(AND(EDATE($D131,Milestones!$AA$176)&lt;=AsOfDate,IF($R131=0,$X131,IF(AND($T131&lt;&gt;"",EDATE($D131,Milestones!$AA$176)&gt;=$T131),$W131,IF(AND($S131&lt;&gt;"",EDATE($D131,Milestones!$AA$176)&gt;=$S131),$V131,$U131)))=Milestones!$AB$176),UPPER(TEXT(EDATE($D131,Milestones!$AA$176),"dd mmm yy"))&amp;" "&amp;Milestones!$AB$176&amp;" "&amp;Milestones!$AC$176&amp;";  ","")&amp;IF(AND(EDATE($D131,Milestones!$AA$177)&lt;=AsOfDate,IF($R131=0,$X131,IF(AND($T131&lt;&gt;"",EDATE($D131,Milestones!$AA$177)&gt;=$T131),$W131,IF(AND($S131&lt;&gt;"",EDATE($D131,Milestones!$AA$177)&gt;=$S131),$V131,$U131)))=Milestones!$AB$177),UPPER(TEXT(EDATE($D131,Milestones!$AA$177),"dd mmm yy"))&amp;" "&amp;Milestones!$AB$177&amp;" "&amp;Milestones!$AC$177&amp;";  ","")&amp;IF(AND(EDATE($D131,Milestones!$AA$178)&lt;=AsOfDate,IF($R131=0,$X131,IF(AND($T131&lt;&gt;"",EDATE($D131,Milestones!$AA$178)&gt;=$T131),$W131,IF(AND($S131&lt;&gt;"",EDATE($D131,Milestones!$AA$178)&gt;=$S131),$V131,$U131)))=Milestones!$AB$178),UPPER(TEXT(EDATE($D131,Milestones!$AA$178),"dd mmm yy"))&amp;" "&amp;Milestones!$AB$178&amp;" "&amp;Milestones!$AC$178&amp;";  ","")&amp;IF(AND(EDATE($D131,Milestones!$AA$179)&lt;=AsOfDate,IF($R131=0,$X131,IF(AND($T131&lt;&gt;"",EDATE($D131,Milestones!$AA$179)&gt;=$T131),$W131,IF(AND($S131&lt;&gt;"",EDATE($D131,Milestones!$AA$179)&gt;=$S131),$V131,$U131)))=Milestones!$AB$179),UPPER(TEXT(EDATE($D131,Milestones!$AA$179),"dd mmm yy"))&amp;" "&amp;Milestones!$AB$179&amp;" "&amp;Milestones!$AC$179&amp;";  ",""))</f>
        <v/>
      </c>
      <c r="Q131" s="0" t="str">
        <f aca="false">IF(OR($A131="",$D131=""),"",IF(AND(EDATE($D131,Milestones!$AA$180)&lt;=AsOfDate,IF($R131=0,$X131,IF(AND($T131&lt;&gt;"",EDATE($D131,Milestones!$AA$180)&gt;=$T131),$W131,IF(AND($S131&lt;&gt;"",EDATE($D131,Milestones!$AA$180)&gt;=$S131),$V131,$U131)))=Milestones!$AB$180),UPPER(TEXT(EDATE($D131,Milestones!$AA$180),"dd mmm yy"))&amp;" "&amp;Milestones!$AB$180&amp;" "&amp;Milestones!$AC$180&amp;";  ","")&amp;IF(AND(EDATE($D131,Milestones!$AA$181)&lt;=AsOfDate,IF($R131=0,$X131,IF(AND($T131&lt;&gt;"",EDATE($D131,Milestones!$AA$181)&gt;=$T131),$W131,IF(AND($S131&lt;&gt;"",EDATE($D131,Milestones!$AA$181)&gt;=$S131),$V131,$U131)))=Milestones!$AB$181),UPPER(TEXT(EDATE($D131,Milestones!$AA$181),"dd mmm yy"))&amp;" "&amp;Milestones!$AB$181&amp;" "&amp;Milestones!$AC$181&amp;";  ","")&amp;IF(AND(EDATE($D131,Milestones!$AA$182)&lt;=AsOfDate,IF($R131=0,$X131,IF(AND($T131&lt;&gt;"",EDATE($D131,Milestones!$AA$182)&gt;=$T131),$W131,IF(AND($S131&lt;&gt;"",EDATE($D131,Milestones!$AA$182)&gt;=$S131),$V131,$U131)))=Milestones!$AB$182),UPPER(TEXT(EDATE($D131,Milestones!$AA$182),"dd mmm yy"))&amp;" "&amp;Milestones!$AB$182&amp;" "&amp;Milestones!$AC$182&amp;";  ","")&amp;IF(AND(EDATE($D131,Milestones!$AA$183)&lt;=AsOfDate,IF($R131=0,$X131,IF(AND($T131&lt;&gt;"",EDATE($D131,Milestones!$AA$183)&gt;=$T131),$W131,IF(AND($S131&lt;&gt;"",EDATE($D131,Milestones!$AA$183)&gt;=$S131),$V131,$U131)))=Milestones!$AB$183),UPPER(TEXT(EDATE($D131,Milestones!$AA$183),"dd mmm yy"))&amp;" "&amp;Milestones!$AB$183&amp;" "&amp;Milestones!$AC$183&amp;";  ","")&amp;IF(AND(EDATE($D131,Milestones!$AA$184)&lt;=AsOfDate,IF($R131=0,$X131,IF(AND($T131&lt;&gt;"",EDATE($D131,Milestones!$AA$184)&gt;=$T131),$W131,IF(AND($S131&lt;&gt;"",EDATE($D131,Milestones!$AA$184)&gt;=$S131),$V131,$U131)))=Milestones!$AB$184),UPPER(TEXT(EDATE($D131,Milestones!$AA$184),"dd mmm yy"))&amp;" "&amp;Milestones!$AB$184&amp;" "&amp;Milestones!$AC$184&amp;";  ","")&amp;IF(AND(EDATE($D131,Milestones!$AA$185)&lt;=AsOfDate,IF($R131=0,$X131,IF(AND($T131&lt;&gt;"",EDATE($D131,Milestones!$AA$185)&gt;=$T131),$W131,IF(AND($S131&lt;&gt;"",EDATE($D131,Milestones!$AA$185)&gt;=$S131),$V131,$U131)))=Milestones!$AB$185),UPPER(TEXT(EDATE($D131,Milestones!$AA$185),"dd mmm yy"))&amp;" "&amp;Milestones!$AB$185&amp;" "&amp;Milestones!$AC$185&amp;";  ","")&amp;IF(AND(EDATE($D131,Milestones!$AA$186)&lt;=AsOfDate,IF($R131=0,$X131,IF(AND($T131&lt;&gt;"",EDATE($D131,Milestones!$AA$186)&gt;=$T131),$W131,IF(AND($S131&lt;&gt;"",EDATE($D131,Milestones!$AA$186)&gt;=$S131),$V131,$U131)))=Milestones!$AB$186),UPPER(TEXT(EDATE($D131,Milestones!$AA$186),"dd mmm yy"))&amp;" "&amp;Milestones!$AB$186&amp;" "&amp;Milestones!$AC$186&amp;";  ","")&amp;IF(AND(EDATE($D131,Milestones!$AA$187)&lt;=AsOfDate,IF($R131=0,$X131,IF(AND($T131&lt;&gt;"",EDATE($D131,Milestones!$AA$187)&gt;=$T131),$W131,IF(AND($S131&lt;&gt;"",EDATE($D131,Milestones!$AA$187)&gt;=$S131),$V131,$U131)))=Milestones!$AB$187),UPPER(TEXT(EDATE($D131,Milestones!$AA$187),"dd mmm yy"))&amp;" "&amp;Milestones!$AB$187&amp;" "&amp;Milestones!$AC$187&amp;";  ","")&amp;IF(AND(EDATE($D131,Milestones!$AA$188)&lt;=AsOfDate,IF($R131=0,$X131,IF(AND($T131&lt;&gt;"",EDATE($D131,Milestones!$AA$188)&gt;=$T131),$W131,IF(AND($S131&lt;&gt;"",EDATE($D131,Milestones!$AA$188)&gt;=$S131),$V131,$U131)))=Milestones!$AB$188),UPPER(TEXT(EDATE($D131,Milestones!$AA$188),"dd mmm yy"))&amp;" "&amp;Milestones!$AB$188&amp;" "&amp;Milestones!$AC$188&amp;";  ","")&amp;IF(AND(EDATE($D131,Milestones!$AA$189)&lt;=AsOfDate,IF($R131=0,$X131,IF(AND($T131&lt;&gt;"",EDATE($D131,Milestones!$AA$189)&gt;=$T131),$W131,IF(AND($S131&lt;&gt;"",EDATE($D131,Milestones!$AA$189)&gt;=$S131),$V131,$U131)))=Milestones!$AB$189),UPPER(TEXT(EDATE($D131,Milestones!$AA$189),"dd mmm yy"))&amp;" "&amp;Milestones!$AB$189&amp;" "&amp;Milestones!$AC$189&amp;";  ","")&amp;IF(AND(EDATE($D131,Milestones!$AA$190)&lt;=AsOfDate,IF($R131=0,$X131,IF(AND($T131&lt;&gt;"",EDATE($D131,Milestones!$AA$190)&gt;=$T131),$W131,IF(AND($S131&lt;&gt;"",EDATE($D131,Milestones!$AA$190)&gt;=$S131),$V131,$U131)))=Milestones!$AB$190),UPPER(TEXT(EDATE($D131,Milestones!$AA$190),"dd mmm yy"))&amp;" "&amp;Milestones!$AB$190&amp;" "&amp;Milestones!$AC$190&amp;";  ","")&amp;IF(AND(EDATE($D131,Milestones!$AA$191)&lt;=AsOfDate,IF($R131=0,$X131,IF(AND($T131&lt;&gt;"",EDATE($D131,Milestones!$AA$191)&gt;=$T131),$W131,IF(AND($S131&lt;&gt;"",EDATE($D131,Milestones!$AA$191)&gt;=$S131),$V131,$U131)))=Milestones!$AB$191),UPPER(TEXT(EDATE($D131,Milestones!$AA$191),"dd mmm yy"))&amp;" "&amp;Milestones!$AB$191&amp;" "&amp;Milestones!$AC$191&amp;";  ","")&amp;IF(AND(EDATE($D131,Milestones!$AA$192)&lt;=AsOfDate,IF($R131=0,$X131,IF(AND($T131&lt;&gt;"",EDATE($D131,Milestones!$AA$192)&gt;=$T131),$W131,IF(AND($S131&lt;&gt;"",EDATE($D131,Milestones!$AA$192)&gt;=$S131),$V131,$U131)))=Milestones!$AB$192),UPPER(TEXT(EDATE($D131,Milestones!$AA$192),"dd mmm yy"))&amp;" "&amp;Milestones!$AB$192&amp;" "&amp;Milestones!$AC$192&amp;";  ","")&amp;IF(AND(EDATE($D131,Milestones!$AA$193)&lt;=AsOfDate,IF($R131=0,$X131,IF(AND($T131&lt;&gt;"",EDATE($D131,Milestones!$AA$193)&gt;=$T131),$W131,IF(AND($S131&lt;&gt;"",EDATE($D131,Milestones!$AA$193)&gt;=$S131),$V131,$U131)))=Milestones!$AB$193),UPPER(TEXT(EDATE($D131,Milestones!$AA$193),"dd mmm yy"))&amp;" "&amp;Milestones!$AB$193&amp;" "&amp;Milestones!$AC$193&amp;";  ","")&amp;IF(AND(EDATE($D131,Milestones!$AA$194)&lt;=AsOfDate,IF($R131=0,$X131,IF(AND($T131&lt;&gt;"",EDATE($D131,Milestones!$AA$194)&gt;=$T131),$W131,IF(AND($S131&lt;&gt;"",EDATE($D131,Milestones!$AA$194)&gt;=$S131),$V131,$U131)))=Milestones!$AB$194),UPPER(TEXT(EDATE($D131,Milestones!$AA$194),"dd mmm yy"))&amp;" "&amp;Milestones!$AB$194&amp;" "&amp;Milestones!$AC$194&amp;";  ","")&amp;IF(AND(EDATE($D131,Milestones!$AA$195)&lt;=AsOfDate,IF($R131=0,$X131,IF(AND($T131&lt;&gt;"",EDATE($D131,Milestones!$AA$195)&gt;=$T131),$W131,IF(AND($S131&lt;&gt;"",EDATE($D131,Milestones!$AA$195)&gt;=$S131),$V131,$U131)))=Milestones!$AB$195),UPPER(TEXT(EDATE($D131,Milestones!$AA$195),"dd mmm yy"))&amp;" "&amp;Milestones!$AB$195&amp;" "&amp;Milestones!$AC$195&amp;";  ","")&amp;IF(AND(EDATE($D131,Milestones!$AA$196)&lt;=AsOfDate,IF($R131=0,$X131,IF(AND($T131&lt;&gt;"",EDATE($D131,Milestones!$AA$196)&gt;=$T131),$W131,IF(AND($S131&lt;&gt;"",EDATE($D131,Milestones!$AA$196)&gt;=$S131),$V131,$U131)))=Milestones!$AB$196),UPPER(TEXT(EDATE($D131,Milestones!$AA$196),"dd mmm yy"))&amp;" "&amp;Milestones!$AB$196&amp;" "&amp;Milestones!$AC$196&amp;";  ","")&amp;IF(AND(EDATE($D131,Milestones!$AA$197)&lt;=AsOfDate,IF($R131=0,$X131,IF(AND($T131&lt;&gt;"",EDATE($D131,Milestones!$AA$197)&gt;=$T131),$W131,IF(AND($S131&lt;&gt;"",EDATE($D131,Milestones!$AA$197)&gt;=$S131),$V131,$U131)))=Milestones!$AB$197),UPPER(TEXT(EDATE($D131,Milestones!$AA$197),"dd mmm yy"))&amp;" "&amp;Milestones!$AB$197&amp;" "&amp;Milestones!$AC$197&amp;";  ","")&amp;IF(AND(EDATE($D131,Milestones!$AA$198)&lt;=AsOfDate,IF($R131=0,$X131,IF(AND($T131&lt;&gt;"",EDATE($D131,Milestones!$AA$198)&gt;=$T131),$W131,IF(AND($S131&lt;&gt;"",EDATE($D131,Milestones!$AA$198)&gt;=$S131),$V131,$U131)))=Milestones!$AB$198),UPPER(TEXT(EDATE($D131,Milestones!$AA$198),"dd mmm yy"))&amp;" "&amp;Milestones!$AB$198&amp;" "&amp;Milestones!$AC$198&amp;";  ","")&amp;IF(AND(EDATE($D131,Milestones!$AA$199)&lt;=AsOfDate,IF($R131=0,$X131,IF(AND($T131&lt;&gt;"",EDATE($D131,Milestones!$AA$199)&gt;=$T131),$W131,IF(AND($S131&lt;&gt;"",EDATE($D131,Milestones!$AA$199)&gt;=$S131),$V131,$U131)))=Milestones!$AB$199),UPPER(TEXT(EDATE($D131,Milestones!$AA$199),"dd mmm yy"))&amp;" "&amp;Milestones!$AB$199&amp;" "&amp;Milestones!$AC$199&amp;";  ",""))</f>
        <v/>
      </c>
      <c r="R131" s="0" t="str">
        <f aca="false">IF(Staff!$A131="","",Staff!$AI131)</f>
        <v/>
      </c>
      <c r="S131" s="0" t="str">
        <f aca="false">IF(Staff!$A131="","",Staff!$AK131)</f>
        <v/>
      </c>
      <c r="T131" s="0" t="str">
        <f aca="false">IF(Staff!$A131="","",Staff!$AL131)</f>
        <v/>
      </c>
      <c r="U131" s="0" t="str">
        <f aca="false">IF(Staff!$A131="","",Staff!$AP131)</f>
        <v/>
      </c>
      <c r="V131" s="0" t="str">
        <f aca="false">IF(Staff!$A131="","",Staff!$AQ131)</f>
        <v/>
      </c>
      <c r="W131" s="0" t="str">
        <f aca="false">IF(Staff!$A131="","",Staff!$AR131)</f>
        <v/>
      </c>
      <c r="X131" s="0" t="str">
        <f aca="false">IF(Staff!$A131="","",Staff!$AS131)</f>
        <v/>
      </c>
    </row>
    <row r="132" customFormat="false" ht="15" hidden="false" customHeight="false" outlineLevel="0" collapsed="false">
      <c r="A132" s="14" t="str">
        <f aca="false">IF(Staff!$A132="","",Staff!$A132)</f>
        <v/>
      </c>
      <c r="B132" s="14" t="str">
        <f aca="false">IF(Staff!$A132="","",Staff!$B132)</f>
        <v/>
      </c>
      <c r="C132" s="14" t="str">
        <f aca="false">IF(Staff!$A132="","",Staff!$C132)</f>
        <v/>
      </c>
      <c r="D132" s="12" t="str">
        <f aca="false">IF(Staff!$A132="","",Staff!$AH132)</f>
        <v/>
      </c>
      <c r="E132" s="14" t="str">
        <f aca="false">IF(Staff!$A132="","",Staff!$O132)</f>
        <v/>
      </c>
      <c r="F132" s="14" t="str">
        <f aca="false">IF(E132="","",E132*HoursPerDay)</f>
        <v/>
      </c>
      <c r="G132" s="14" t="str">
        <f aca="false">IF(Staff!$A132="","",Staff!$AE132)</f>
        <v/>
      </c>
      <c r="H132" s="26" t="str">
        <f aca="false">IF($A132="","",I132&amp;J132&amp;K132&amp;L132&amp;M132&amp;N132&amp;O132&amp;P132&amp;Q132)</f>
        <v/>
      </c>
      <c r="I132" s="0" t="str">
        <f aca="false">IF(OR($A132="",$D132=""),"",IF(AND(EDATE($D132,Milestones!$AA$20)&lt;=AsOfDate,IF($R132=0,$X132,IF(AND($T132&lt;&gt;"",EDATE($D132,Milestones!$AA$20)&gt;=$T132),$W132,IF(AND($S132&lt;&gt;"",EDATE($D132,Milestones!$AA$20)&gt;=$S132),$V132,$U132)))=Milestones!$AB$20),UPPER(TEXT(EDATE($D132,Milestones!$AA$20),"dd mmm yy"))&amp;" "&amp;Milestones!$AB$20&amp;" "&amp;Milestones!$AC$20&amp;";  ","")&amp;IF(AND(EDATE($D132,Milestones!$AA$21)&lt;=AsOfDate,IF($R132=0,$X132,IF(AND($T132&lt;&gt;"",EDATE($D132,Milestones!$AA$21)&gt;=$T132),$W132,IF(AND($S132&lt;&gt;"",EDATE($D132,Milestones!$AA$21)&gt;=$S132),$V132,$U132)))=Milestones!$AB$21),UPPER(TEXT(EDATE($D132,Milestones!$AA$21),"dd mmm yy"))&amp;" "&amp;Milestones!$AB$21&amp;" "&amp;Milestones!$AC$21&amp;";  ","")&amp;IF(AND(EDATE($D132,Milestones!$AA$22)&lt;=AsOfDate,IF($R132=0,$X132,IF(AND($T132&lt;&gt;"",EDATE($D132,Milestones!$AA$22)&gt;=$T132),$W132,IF(AND($S132&lt;&gt;"",EDATE($D132,Milestones!$AA$22)&gt;=$S132),$V132,$U132)))=Milestones!$AB$22),UPPER(TEXT(EDATE($D132,Milestones!$AA$22),"dd mmm yy"))&amp;" "&amp;Milestones!$AB$22&amp;" "&amp;Milestones!$AC$22&amp;";  ","")&amp;IF(AND(EDATE($D132,Milestones!$AA$23)&lt;=AsOfDate,IF($R132=0,$X132,IF(AND($T132&lt;&gt;"",EDATE($D132,Milestones!$AA$23)&gt;=$T132),$W132,IF(AND($S132&lt;&gt;"",EDATE($D132,Milestones!$AA$23)&gt;=$S132),$V132,$U132)))=Milestones!$AB$23),UPPER(TEXT(EDATE($D132,Milestones!$AA$23),"dd mmm yy"))&amp;" "&amp;Milestones!$AB$23&amp;" "&amp;Milestones!$AC$23&amp;";  ","")&amp;IF(AND(EDATE($D132,Milestones!$AA$24)&lt;=AsOfDate,IF($R132=0,$X132,IF(AND($T132&lt;&gt;"",EDATE($D132,Milestones!$AA$24)&gt;=$T132),$W132,IF(AND($S132&lt;&gt;"",EDATE($D132,Milestones!$AA$24)&gt;=$S132),$V132,$U132)))=Milestones!$AB$24),UPPER(TEXT(EDATE($D132,Milestones!$AA$24),"dd mmm yy"))&amp;" "&amp;Milestones!$AB$24&amp;" "&amp;Milestones!$AC$24&amp;";  ","")&amp;IF(AND(EDATE($D132,Milestones!$AA$25)&lt;=AsOfDate,IF($R132=0,$X132,IF(AND($T132&lt;&gt;"",EDATE($D132,Milestones!$AA$25)&gt;=$T132),$W132,IF(AND($S132&lt;&gt;"",EDATE($D132,Milestones!$AA$25)&gt;=$S132),$V132,$U132)))=Milestones!$AB$25),UPPER(TEXT(EDATE($D132,Milestones!$AA$25),"dd mmm yy"))&amp;" "&amp;Milestones!$AB$25&amp;" "&amp;Milestones!$AC$25&amp;";  ","")&amp;IF(AND(EDATE($D132,Milestones!$AA$26)&lt;=AsOfDate,IF($R132=0,$X132,IF(AND($T132&lt;&gt;"",EDATE($D132,Milestones!$AA$26)&gt;=$T132),$W132,IF(AND($S132&lt;&gt;"",EDATE($D132,Milestones!$AA$26)&gt;=$S132),$V132,$U132)))=Milestones!$AB$26),UPPER(TEXT(EDATE($D132,Milestones!$AA$26),"dd mmm yy"))&amp;" "&amp;Milestones!$AB$26&amp;" "&amp;Milestones!$AC$26&amp;";  ","")&amp;IF(AND(EDATE($D132,Milestones!$AA$27)&lt;=AsOfDate,IF($R132=0,$X132,IF(AND($T132&lt;&gt;"",EDATE($D132,Milestones!$AA$27)&gt;=$T132),$W132,IF(AND($S132&lt;&gt;"",EDATE($D132,Milestones!$AA$27)&gt;=$S132),$V132,$U132)))=Milestones!$AB$27),UPPER(TEXT(EDATE($D132,Milestones!$AA$27),"dd mmm yy"))&amp;" "&amp;Milestones!$AB$27&amp;" "&amp;Milestones!$AC$27&amp;";  ","")&amp;IF(AND(EDATE($D132,Milestones!$AA$28)&lt;=AsOfDate,IF($R132=0,$X132,IF(AND($T132&lt;&gt;"",EDATE($D132,Milestones!$AA$28)&gt;=$T132),$W132,IF(AND($S132&lt;&gt;"",EDATE($D132,Milestones!$AA$28)&gt;=$S132),$V132,$U132)))=Milestones!$AB$28),UPPER(TEXT(EDATE($D132,Milestones!$AA$28),"dd mmm yy"))&amp;" "&amp;Milestones!$AB$28&amp;" "&amp;Milestones!$AC$28&amp;";  ","")&amp;IF(AND(EDATE($D132,Milestones!$AA$29)&lt;=AsOfDate,IF($R132=0,$X132,IF(AND($T132&lt;&gt;"",EDATE($D132,Milestones!$AA$29)&gt;=$T132),$W132,IF(AND($S132&lt;&gt;"",EDATE($D132,Milestones!$AA$29)&gt;=$S132),$V132,$U132)))=Milestones!$AB$29),UPPER(TEXT(EDATE($D132,Milestones!$AA$29),"dd mmm yy"))&amp;" "&amp;Milestones!$AB$29&amp;" "&amp;Milestones!$AC$29&amp;";  ","")&amp;IF(AND(EDATE($D132,Milestones!$AA$30)&lt;=AsOfDate,IF($R132=0,$X132,IF(AND($T132&lt;&gt;"",EDATE($D132,Milestones!$AA$30)&gt;=$T132),$W132,IF(AND($S132&lt;&gt;"",EDATE($D132,Milestones!$AA$30)&gt;=$S132),$V132,$U132)))=Milestones!$AB$30),UPPER(TEXT(EDATE($D132,Milestones!$AA$30),"dd mmm yy"))&amp;" "&amp;Milestones!$AB$30&amp;" "&amp;Milestones!$AC$30&amp;";  ","")&amp;IF(AND(EDATE($D132,Milestones!$AA$31)&lt;=AsOfDate,IF($R132=0,$X132,IF(AND($T132&lt;&gt;"",EDATE($D132,Milestones!$AA$31)&gt;=$T132),$W132,IF(AND($S132&lt;&gt;"",EDATE($D132,Milestones!$AA$31)&gt;=$S132),$V132,$U132)))=Milestones!$AB$31),UPPER(TEXT(EDATE($D132,Milestones!$AA$31),"dd mmm yy"))&amp;" "&amp;Milestones!$AB$31&amp;" "&amp;Milestones!$AC$31&amp;";  ","")&amp;IF(AND(EDATE($D132,Milestones!$AA$32)&lt;=AsOfDate,IF($R132=0,$X132,IF(AND($T132&lt;&gt;"",EDATE($D132,Milestones!$AA$32)&gt;=$T132),$W132,IF(AND($S132&lt;&gt;"",EDATE($D132,Milestones!$AA$32)&gt;=$S132),$V132,$U132)))=Milestones!$AB$32),UPPER(TEXT(EDATE($D132,Milestones!$AA$32),"dd mmm yy"))&amp;" "&amp;Milestones!$AB$32&amp;" "&amp;Milestones!$AC$32&amp;";  ","")&amp;IF(AND(EDATE($D132,Milestones!$AA$33)&lt;=AsOfDate,IF($R132=0,$X132,IF(AND($T132&lt;&gt;"",EDATE($D132,Milestones!$AA$33)&gt;=$T132),$W132,IF(AND($S132&lt;&gt;"",EDATE($D132,Milestones!$AA$33)&gt;=$S132),$V132,$U132)))=Milestones!$AB$33),UPPER(TEXT(EDATE($D132,Milestones!$AA$33),"dd mmm yy"))&amp;" "&amp;Milestones!$AB$33&amp;" "&amp;Milestones!$AC$33&amp;";  ","")&amp;IF(AND(EDATE($D132,Milestones!$AA$34)&lt;=AsOfDate,IF($R132=0,$X132,IF(AND($T132&lt;&gt;"",EDATE($D132,Milestones!$AA$34)&gt;=$T132),$W132,IF(AND($S132&lt;&gt;"",EDATE($D132,Milestones!$AA$34)&gt;=$S132),$V132,$U132)))=Milestones!$AB$34),UPPER(TEXT(EDATE($D132,Milestones!$AA$34),"dd mmm yy"))&amp;" "&amp;Milestones!$AB$34&amp;" "&amp;Milestones!$AC$34&amp;";  ","")&amp;IF(AND(EDATE($D132,Milestones!$AA$35)&lt;=AsOfDate,IF($R132=0,$X132,IF(AND($T132&lt;&gt;"",EDATE($D132,Milestones!$AA$35)&gt;=$T132),$W132,IF(AND($S132&lt;&gt;"",EDATE($D132,Milestones!$AA$35)&gt;=$S132),$V132,$U132)))=Milestones!$AB$35),UPPER(TEXT(EDATE($D132,Milestones!$AA$35),"dd mmm yy"))&amp;" "&amp;Milestones!$AB$35&amp;" "&amp;Milestones!$AC$35&amp;";  ","")&amp;IF(AND(EDATE($D132,Milestones!$AA$36)&lt;=AsOfDate,IF($R132=0,$X132,IF(AND($T132&lt;&gt;"",EDATE($D132,Milestones!$AA$36)&gt;=$T132),$W132,IF(AND($S132&lt;&gt;"",EDATE($D132,Milestones!$AA$36)&gt;=$S132),$V132,$U132)))=Milestones!$AB$36),UPPER(TEXT(EDATE($D132,Milestones!$AA$36),"dd mmm yy"))&amp;" "&amp;Milestones!$AB$36&amp;" "&amp;Milestones!$AC$36&amp;";  ","")&amp;IF(AND(EDATE($D132,Milestones!$AA$37)&lt;=AsOfDate,IF($R132=0,$X132,IF(AND($T132&lt;&gt;"",EDATE($D132,Milestones!$AA$37)&gt;=$T132),$W132,IF(AND($S132&lt;&gt;"",EDATE($D132,Milestones!$AA$37)&gt;=$S132),$V132,$U132)))=Milestones!$AB$37),UPPER(TEXT(EDATE($D132,Milestones!$AA$37),"dd mmm yy"))&amp;" "&amp;Milestones!$AB$37&amp;" "&amp;Milestones!$AC$37&amp;";  ","")&amp;IF(AND(EDATE($D132,Milestones!$AA$38)&lt;=AsOfDate,IF($R132=0,$X132,IF(AND($T132&lt;&gt;"",EDATE($D132,Milestones!$AA$38)&gt;=$T132),$W132,IF(AND($S132&lt;&gt;"",EDATE($D132,Milestones!$AA$38)&gt;=$S132),$V132,$U132)))=Milestones!$AB$38),UPPER(TEXT(EDATE($D132,Milestones!$AA$38),"dd mmm yy"))&amp;" "&amp;Milestones!$AB$38&amp;" "&amp;Milestones!$AC$38&amp;";  ","")&amp;IF(AND(EDATE($D132,Milestones!$AA$39)&lt;=AsOfDate,IF($R132=0,$X132,IF(AND($T132&lt;&gt;"",EDATE($D132,Milestones!$AA$39)&gt;=$T132),$W132,IF(AND($S132&lt;&gt;"",EDATE($D132,Milestones!$AA$39)&gt;=$S132),$V132,$U132)))=Milestones!$AB$39),UPPER(TEXT(EDATE($D132,Milestones!$AA$39),"dd mmm yy"))&amp;" "&amp;Milestones!$AB$39&amp;" "&amp;Milestones!$AC$39&amp;";  ",""))</f>
        <v/>
      </c>
      <c r="J132" s="0" t="str">
        <f aca="false">IF(OR($A132="",$D132=""),"",IF(AND(EDATE($D132,Milestones!$AA$40)&lt;=AsOfDate,IF($R132=0,$X132,IF(AND($T132&lt;&gt;"",EDATE($D132,Milestones!$AA$40)&gt;=$T132),$W132,IF(AND($S132&lt;&gt;"",EDATE($D132,Milestones!$AA$40)&gt;=$S132),$V132,$U132)))=Milestones!$AB$40),UPPER(TEXT(EDATE($D132,Milestones!$AA$40),"dd mmm yy"))&amp;" "&amp;Milestones!$AB$40&amp;" "&amp;Milestones!$AC$40&amp;";  ","")&amp;IF(AND(EDATE($D132,Milestones!$AA$41)&lt;=AsOfDate,IF($R132=0,$X132,IF(AND($T132&lt;&gt;"",EDATE($D132,Milestones!$AA$41)&gt;=$T132),$W132,IF(AND($S132&lt;&gt;"",EDATE($D132,Milestones!$AA$41)&gt;=$S132),$V132,$U132)))=Milestones!$AB$41),UPPER(TEXT(EDATE($D132,Milestones!$AA$41),"dd mmm yy"))&amp;" "&amp;Milestones!$AB$41&amp;" "&amp;Milestones!$AC$41&amp;";  ","")&amp;IF(AND(EDATE($D132,Milestones!$AA$42)&lt;=AsOfDate,IF($R132=0,$X132,IF(AND($T132&lt;&gt;"",EDATE($D132,Milestones!$AA$42)&gt;=$T132),$W132,IF(AND($S132&lt;&gt;"",EDATE($D132,Milestones!$AA$42)&gt;=$S132),$V132,$U132)))=Milestones!$AB$42),UPPER(TEXT(EDATE($D132,Milestones!$AA$42),"dd mmm yy"))&amp;" "&amp;Milestones!$AB$42&amp;" "&amp;Milestones!$AC$42&amp;";  ","")&amp;IF(AND(EDATE($D132,Milestones!$AA$43)&lt;=AsOfDate,IF($R132=0,$X132,IF(AND($T132&lt;&gt;"",EDATE($D132,Milestones!$AA$43)&gt;=$T132),$W132,IF(AND($S132&lt;&gt;"",EDATE($D132,Milestones!$AA$43)&gt;=$S132),$V132,$U132)))=Milestones!$AB$43),UPPER(TEXT(EDATE($D132,Milestones!$AA$43),"dd mmm yy"))&amp;" "&amp;Milestones!$AB$43&amp;" "&amp;Milestones!$AC$43&amp;";  ","")&amp;IF(AND(EDATE($D132,Milestones!$AA$44)&lt;=AsOfDate,IF($R132=0,$X132,IF(AND($T132&lt;&gt;"",EDATE($D132,Milestones!$AA$44)&gt;=$T132),$W132,IF(AND($S132&lt;&gt;"",EDATE($D132,Milestones!$AA$44)&gt;=$S132),$V132,$U132)))=Milestones!$AB$44),UPPER(TEXT(EDATE($D132,Milestones!$AA$44),"dd mmm yy"))&amp;" "&amp;Milestones!$AB$44&amp;" "&amp;Milestones!$AC$44&amp;";  ","")&amp;IF(AND(EDATE($D132,Milestones!$AA$45)&lt;=AsOfDate,IF($R132=0,$X132,IF(AND($T132&lt;&gt;"",EDATE($D132,Milestones!$AA$45)&gt;=$T132),$W132,IF(AND($S132&lt;&gt;"",EDATE($D132,Milestones!$AA$45)&gt;=$S132),$V132,$U132)))=Milestones!$AB$45),UPPER(TEXT(EDATE($D132,Milestones!$AA$45),"dd mmm yy"))&amp;" "&amp;Milestones!$AB$45&amp;" "&amp;Milestones!$AC$45&amp;";  ","")&amp;IF(AND(EDATE($D132,Milestones!$AA$46)&lt;=AsOfDate,IF($R132=0,$X132,IF(AND($T132&lt;&gt;"",EDATE($D132,Milestones!$AA$46)&gt;=$T132),$W132,IF(AND($S132&lt;&gt;"",EDATE($D132,Milestones!$AA$46)&gt;=$S132),$V132,$U132)))=Milestones!$AB$46),UPPER(TEXT(EDATE($D132,Milestones!$AA$46),"dd mmm yy"))&amp;" "&amp;Milestones!$AB$46&amp;" "&amp;Milestones!$AC$46&amp;";  ","")&amp;IF(AND(EDATE($D132,Milestones!$AA$47)&lt;=AsOfDate,IF($R132=0,$X132,IF(AND($T132&lt;&gt;"",EDATE($D132,Milestones!$AA$47)&gt;=$T132),$W132,IF(AND($S132&lt;&gt;"",EDATE($D132,Milestones!$AA$47)&gt;=$S132),$V132,$U132)))=Milestones!$AB$47),UPPER(TEXT(EDATE($D132,Milestones!$AA$47),"dd mmm yy"))&amp;" "&amp;Milestones!$AB$47&amp;" "&amp;Milestones!$AC$47&amp;";  ","")&amp;IF(AND(EDATE($D132,Milestones!$AA$48)&lt;=AsOfDate,IF($R132=0,$X132,IF(AND($T132&lt;&gt;"",EDATE($D132,Milestones!$AA$48)&gt;=$T132),$W132,IF(AND($S132&lt;&gt;"",EDATE($D132,Milestones!$AA$48)&gt;=$S132),$V132,$U132)))=Milestones!$AB$48),UPPER(TEXT(EDATE($D132,Milestones!$AA$48),"dd mmm yy"))&amp;" "&amp;Milestones!$AB$48&amp;" "&amp;Milestones!$AC$48&amp;";  ","")&amp;IF(AND(EDATE($D132,Milestones!$AA$49)&lt;=AsOfDate,IF($R132=0,$X132,IF(AND($T132&lt;&gt;"",EDATE($D132,Milestones!$AA$49)&gt;=$T132),$W132,IF(AND($S132&lt;&gt;"",EDATE($D132,Milestones!$AA$49)&gt;=$S132),$V132,$U132)))=Milestones!$AB$49),UPPER(TEXT(EDATE($D132,Milestones!$AA$49),"dd mmm yy"))&amp;" "&amp;Milestones!$AB$49&amp;" "&amp;Milestones!$AC$49&amp;";  ","")&amp;IF(AND(EDATE($D132,Milestones!$AA$50)&lt;=AsOfDate,IF($R132=0,$X132,IF(AND($T132&lt;&gt;"",EDATE($D132,Milestones!$AA$50)&gt;=$T132),$W132,IF(AND($S132&lt;&gt;"",EDATE($D132,Milestones!$AA$50)&gt;=$S132),$V132,$U132)))=Milestones!$AB$50),UPPER(TEXT(EDATE($D132,Milestones!$AA$50),"dd mmm yy"))&amp;" "&amp;Milestones!$AB$50&amp;" "&amp;Milestones!$AC$50&amp;";  ","")&amp;IF(AND(EDATE($D132,Milestones!$AA$51)&lt;=AsOfDate,IF($R132=0,$X132,IF(AND($T132&lt;&gt;"",EDATE($D132,Milestones!$AA$51)&gt;=$T132),$W132,IF(AND($S132&lt;&gt;"",EDATE($D132,Milestones!$AA$51)&gt;=$S132),$V132,$U132)))=Milestones!$AB$51),UPPER(TEXT(EDATE($D132,Milestones!$AA$51),"dd mmm yy"))&amp;" "&amp;Milestones!$AB$51&amp;" "&amp;Milestones!$AC$51&amp;";  ","")&amp;IF(AND(EDATE($D132,Milestones!$AA$52)&lt;=AsOfDate,IF($R132=0,$X132,IF(AND($T132&lt;&gt;"",EDATE($D132,Milestones!$AA$52)&gt;=$T132),$W132,IF(AND($S132&lt;&gt;"",EDATE($D132,Milestones!$AA$52)&gt;=$S132),$V132,$U132)))=Milestones!$AB$52),UPPER(TEXT(EDATE($D132,Milestones!$AA$52),"dd mmm yy"))&amp;" "&amp;Milestones!$AB$52&amp;" "&amp;Milestones!$AC$52&amp;";  ","")&amp;IF(AND(EDATE($D132,Milestones!$AA$53)&lt;=AsOfDate,IF($R132=0,$X132,IF(AND($T132&lt;&gt;"",EDATE($D132,Milestones!$AA$53)&gt;=$T132),$W132,IF(AND($S132&lt;&gt;"",EDATE($D132,Milestones!$AA$53)&gt;=$S132),$V132,$U132)))=Milestones!$AB$53),UPPER(TEXT(EDATE($D132,Milestones!$AA$53),"dd mmm yy"))&amp;" "&amp;Milestones!$AB$53&amp;" "&amp;Milestones!$AC$53&amp;";  ","")&amp;IF(AND(EDATE($D132,Milestones!$AA$54)&lt;=AsOfDate,IF($R132=0,$X132,IF(AND($T132&lt;&gt;"",EDATE($D132,Milestones!$AA$54)&gt;=$T132),$W132,IF(AND($S132&lt;&gt;"",EDATE($D132,Milestones!$AA$54)&gt;=$S132),$V132,$U132)))=Milestones!$AB$54),UPPER(TEXT(EDATE($D132,Milestones!$AA$54),"dd mmm yy"))&amp;" "&amp;Milestones!$AB$54&amp;" "&amp;Milestones!$AC$54&amp;";  ","")&amp;IF(AND(EDATE($D132,Milestones!$AA$55)&lt;=AsOfDate,IF($R132=0,$X132,IF(AND($T132&lt;&gt;"",EDATE($D132,Milestones!$AA$55)&gt;=$T132),$W132,IF(AND($S132&lt;&gt;"",EDATE($D132,Milestones!$AA$55)&gt;=$S132),$V132,$U132)))=Milestones!$AB$55),UPPER(TEXT(EDATE($D132,Milestones!$AA$55),"dd mmm yy"))&amp;" "&amp;Milestones!$AB$55&amp;" "&amp;Milestones!$AC$55&amp;";  ","")&amp;IF(AND(EDATE($D132,Milestones!$AA$56)&lt;=AsOfDate,IF($R132=0,$X132,IF(AND($T132&lt;&gt;"",EDATE($D132,Milestones!$AA$56)&gt;=$T132),$W132,IF(AND($S132&lt;&gt;"",EDATE($D132,Milestones!$AA$56)&gt;=$S132),$V132,$U132)))=Milestones!$AB$56),UPPER(TEXT(EDATE($D132,Milestones!$AA$56),"dd mmm yy"))&amp;" "&amp;Milestones!$AB$56&amp;" "&amp;Milestones!$AC$56&amp;";  ","")&amp;IF(AND(EDATE($D132,Milestones!$AA$57)&lt;=AsOfDate,IF($R132=0,$X132,IF(AND($T132&lt;&gt;"",EDATE($D132,Milestones!$AA$57)&gt;=$T132),$W132,IF(AND($S132&lt;&gt;"",EDATE($D132,Milestones!$AA$57)&gt;=$S132),$V132,$U132)))=Milestones!$AB$57),UPPER(TEXT(EDATE($D132,Milestones!$AA$57),"dd mmm yy"))&amp;" "&amp;Milestones!$AB$57&amp;" "&amp;Milestones!$AC$57&amp;";  ","")&amp;IF(AND(EDATE($D132,Milestones!$AA$58)&lt;=AsOfDate,IF($R132=0,$X132,IF(AND($T132&lt;&gt;"",EDATE($D132,Milestones!$AA$58)&gt;=$T132),$W132,IF(AND($S132&lt;&gt;"",EDATE($D132,Milestones!$AA$58)&gt;=$S132),$V132,$U132)))=Milestones!$AB$58),UPPER(TEXT(EDATE($D132,Milestones!$AA$58),"dd mmm yy"))&amp;" "&amp;Milestones!$AB$58&amp;" "&amp;Milestones!$AC$58&amp;";  ","")&amp;IF(AND(EDATE($D132,Milestones!$AA$59)&lt;=AsOfDate,IF($R132=0,$X132,IF(AND($T132&lt;&gt;"",EDATE($D132,Milestones!$AA$59)&gt;=$T132),$W132,IF(AND($S132&lt;&gt;"",EDATE($D132,Milestones!$AA$59)&gt;=$S132),$V132,$U132)))=Milestones!$AB$59),UPPER(TEXT(EDATE($D132,Milestones!$AA$59),"dd mmm yy"))&amp;" "&amp;Milestones!$AB$59&amp;" "&amp;Milestones!$AC$59&amp;";  ",""))</f>
        <v/>
      </c>
      <c r="K132" s="0" t="str">
        <f aca="false">IF(OR($A132="",$D132=""),"",IF(AND(EDATE($D132,Milestones!$AA$60)&lt;=AsOfDate,IF($R132=0,$X132,IF(AND($T132&lt;&gt;"",EDATE($D132,Milestones!$AA$60)&gt;=$T132),$W132,IF(AND($S132&lt;&gt;"",EDATE($D132,Milestones!$AA$60)&gt;=$S132),$V132,$U132)))=Milestones!$AB$60),UPPER(TEXT(EDATE($D132,Milestones!$AA$60),"dd mmm yy"))&amp;" "&amp;Milestones!$AB$60&amp;" "&amp;Milestones!$AC$60&amp;";  ","")&amp;IF(AND(EDATE($D132,Milestones!$AA$61)&lt;=AsOfDate,IF($R132=0,$X132,IF(AND($T132&lt;&gt;"",EDATE($D132,Milestones!$AA$61)&gt;=$T132),$W132,IF(AND($S132&lt;&gt;"",EDATE($D132,Milestones!$AA$61)&gt;=$S132),$V132,$U132)))=Milestones!$AB$61),UPPER(TEXT(EDATE($D132,Milestones!$AA$61),"dd mmm yy"))&amp;" "&amp;Milestones!$AB$61&amp;" "&amp;Milestones!$AC$61&amp;";  ","")&amp;IF(AND(EDATE($D132,Milestones!$AA$62)&lt;=AsOfDate,IF($R132=0,$X132,IF(AND($T132&lt;&gt;"",EDATE($D132,Milestones!$AA$62)&gt;=$T132),$W132,IF(AND($S132&lt;&gt;"",EDATE($D132,Milestones!$AA$62)&gt;=$S132),$V132,$U132)))=Milestones!$AB$62),UPPER(TEXT(EDATE($D132,Milestones!$AA$62),"dd mmm yy"))&amp;" "&amp;Milestones!$AB$62&amp;" "&amp;Milestones!$AC$62&amp;";  ","")&amp;IF(AND(EDATE($D132,Milestones!$AA$63)&lt;=AsOfDate,IF($R132=0,$X132,IF(AND($T132&lt;&gt;"",EDATE($D132,Milestones!$AA$63)&gt;=$T132),$W132,IF(AND($S132&lt;&gt;"",EDATE($D132,Milestones!$AA$63)&gt;=$S132),$V132,$U132)))=Milestones!$AB$63),UPPER(TEXT(EDATE($D132,Milestones!$AA$63),"dd mmm yy"))&amp;" "&amp;Milestones!$AB$63&amp;" "&amp;Milestones!$AC$63&amp;";  ","")&amp;IF(AND(EDATE($D132,Milestones!$AA$64)&lt;=AsOfDate,IF($R132=0,$X132,IF(AND($T132&lt;&gt;"",EDATE($D132,Milestones!$AA$64)&gt;=$T132),$W132,IF(AND($S132&lt;&gt;"",EDATE($D132,Milestones!$AA$64)&gt;=$S132),$V132,$U132)))=Milestones!$AB$64),UPPER(TEXT(EDATE($D132,Milestones!$AA$64),"dd mmm yy"))&amp;" "&amp;Milestones!$AB$64&amp;" "&amp;Milestones!$AC$64&amp;";  ","")&amp;IF(AND(EDATE($D132,Milestones!$AA$65)&lt;=AsOfDate,IF($R132=0,$X132,IF(AND($T132&lt;&gt;"",EDATE($D132,Milestones!$AA$65)&gt;=$T132),$W132,IF(AND($S132&lt;&gt;"",EDATE($D132,Milestones!$AA$65)&gt;=$S132),$V132,$U132)))=Milestones!$AB$65),UPPER(TEXT(EDATE($D132,Milestones!$AA$65),"dd mmm yy"))&amp;" "&amp;Milestones!$AB$65&amp;" "&amp;Milestones!$AC$65&amp;";  ","")&amp;IF(AND(EDATE($D132,Milestones!$AA$66)&lt;=AsOfDate,IF($R132=0,$X132,IF(AND($T132&lt;&gt;"",EDATE($D132,Milestones!$AA$66)&gt;=$T132),$W132,IF(AND($S132&lt;&gt;"",EDATE($D132,Milestones!$AA$66)&gt;=$S132),$V132,$U132)))=Milestones!$AB$66),UPPER(TEXT(EDATE($D132,Milestones!$AA$66),"dd mmm yy"))&amp;" "&amp;Milestones!$AB$66&amp;" "&amp;Milestones!$AC$66&amp;";  ","")&amp;IF(AND(EDATE($D132,Milestones!$AA$67)&lt;=AsOfDate,IF($R132=0,$X132,IF(AND($T132&lt;&gt;"",EDATE($D132,Milestones!$AA$67)&gt;=$T132),$W132,IF(AND($S132&lt;&gt;"",EDATE($D132,Milestones!$AA$67)&gt;=$S132),$V132,$U132)))=Milestones!$AB$67),UPPER(TEXT(EDATE($D132,Milestones!$AA$67),"dd mmm yy"))&amp;" "&amp;Milestones!$AB$67&amp;" "&amp;Milestones!$AC$67&amp;";  ","")&amp;IF(AND(EDATE($D132,Milestones!$AA$68)&lt;=AsOfDate,IF($R132=0,$X132,IF(AND($T132&lt;&gt;"",EDATE($D132,Milestones!$AA$68)&gt;=$T132),$W132,IF(AND($S132&lt;&gt;"",EDATE($D132,Milestones!$AA$68)&gt;=$S132),$V132,$U132)))=Milestones!$AB$68),UPPER(TEXT(EDATE($D132,Milestones!$AA$68),"dd mmm yy"))&amp;" "&amp;Milestones!$AB$68&amp;" "&amp;Milestones!$AC$68&amp;";  ","")&amp;IF(AND(EDATE($D132,Milestones!$AA$69)&lt;=AsOfDate,IF($R132=0,$X132,IF(AND($T132&lt;&gt;"",EDATE($D132,Milestones!$AA$69)&gt;=$T132),$W132,IF(AND($S132&lt;&gt;"",EDATE($D132,Milestones!$AA$69)&gt;=$S132),$V132,$U132)))=Milestones!$AB$69),UPPER(TEXT(EDATE($D132,Milestones!$AA$69),"dd mmm yy"))&amp;" "&amp;Milestones!$AB$69&amp;" "&amp;Milestones!$AC$69&amp;";  ","")&amp;IF(AND(EDATE($D132,Milestones!$AA$70)&lt;=AsOfDate,IF($R132=0,$X132,IF(AND($T132&lt;&gt;"",EDATE($D132,Milestones!$AA$70)&gt;=$T132),$W132,IF(AND($S132&lt;&gt;"",EDATE($D132,Milestones!$AA$70)&gt;=$S132),$V132,$U132)))=Milestones!$AB$70),UPPER(TEXT(EDATE($D132,Milestones!$AA$70),"dd mmm yy"))&amp;" "&amp;Milestones!$AB$70&amp;" "&amp;Milestones!$AC$70&amp;";  ","")&amp;IF(AND(EDATE($D132,Milestones!$AA$71)&lt;=AsOfDate,IF($R132=0,$X132,IF(AND($T132&lt;&gt;"",EDATE($D132,Milestones!$AA$71)&gt;=$T132),$W132,IF(AND($S132&lt;&gt;"",EDATE($D132,Milestones!$AA$71)&gt;=$S132),$V132,$U132)))=Milestones!$AB$71),UPPER(TEXT(EDATE($D132,Milestones!$AA$71),"dd mmm yy"))&amp;" "&amp;Milestones!$AB$71&amp;" "&amp;Milestones!$AC$71&amp;";  ","")&amp;IF(AND(EDATE($D132,Milestones!$AA$72)&lt;=AsOfDate,IF($R132=0,$X132,IF(AND($T132&lt;&gt;"",EDATE($D132,Milestones!$AA$72)&gt;=$T132),$W132,IF(AND($S132&lt;&gt;"",EDATE($D132,Milestones!$AA$72)&gt;=$S132),$V132,$U132)))=Milestones!$AB$72),UPPER(TEXT(EDATE($D132,Milestones!$AA$72),"dd mmm yy"))&amp;" "&amp;Milestones!$AB$72&amp;" "&amp;Milestones!$AC$72&amp;";  ","")&amp;IF(AND(EDATE($D132,Milestones!$AA$73)&lt;=AsOfDate,IF($R132=0,$X132,IF(AND($T132&lt;&gt;"",EDATE($D132,Milestones!$AA$73)&gt;=$T132),$W132,IF(AND($S132&lt;&gt;"",EDATE($D132,Milestones!$AA$73)&gt;=$S132),$V132,$U132)))=Milestones!$AB$73),UPPER(TEXT(EDATE($D132,Milestones!$AA$73),"dd mmm yy"))&amp;" "&amp;Milestones!$AB$73&amp;" "&amp;Milestones!$AC$73&amp;";  ","")&amp;IF(AND(EDATE($D132,Milestones!$AA$74)&lt;=AsOfDate,IF($R132=0,$X132,IF(AND($T132&lt;&gt;"",EDATE($D132,Milestones!$AA$74)&gt;=$T132),$W132,IF(AND($S132&lt;&gt;"",EDATE($D132,Milestones!$AA$74)&gt;=$S132),$V132,$U132)))=Milestones!$AB$74),UPPER(TEXT(EDATE($D132,Milestones!$AA$74),"dd mmm yy"))&amp;" "&amp;Milestones!$AB$74&amp;" "&amp;Milestones!$AC$74&amp;";  ","")&amp;IF(AND(EDATE($D132,Milestones!$AA$75)&lt;=AsOfDate,IF($R132=0,$X132,IF(AND($T132&lt;&gt;"",EDATE($D132,Milestones!$AA$75)&gt;=$T132),$W132,IF(AND($S132&lt;&gt;"",EDATE($D132,Milestones!$AA$75)&gt;=$S132),$V132,$U132)))=Milestones!$AB$75),UPPER(TEXT(EDATE($D132,Milestones!$AA$75),"dd mmm yy"))&amp;" "&amp;Milestones!$AB$75&amp;" "&amp;Milestones!$AC$75&amp;";  ","")&amp;IF(AND(EDATE($D132,Milestones!$AA$76)&lt;=AsOfDate,IF($R132=0,$X132,IF(AND($T132&lt;&gt;"",EDATE($D132,Milestones!$AA$76)&gt;=$T132),$W132,IF(AND($S132&lt;&gt;"",EDATE($D132,Milestones!$AA$76)&gt;=$S132),$V132,$U132)))=Milestones!$AB$76),UPPER(TEXT(EDATE($D132,Milestones!$AA$76),"dd mmm yy"))&amp;" "&amp;Milestones!$AB$76&amp;" "&amp;Milestones!$AC$76&amp;";  ","")&amp;IF(AND(EDATE($D132,Milestones!$AA$77)&lt;=AsOfDate,IF($R132=0,$X132,IF(AND($T132&lt;&gt;"",EDATE($D132,Milestones!$AA$77)&gt;=$T132),$W132,IF(AND($S132&lt;&gt;"",EDATE($D132,Milestones!$AA$77)&gt;=$S132),$V132,$U132)))=Milestones!$AB$77),UPPER(TEXT(EDATE($D132,Milestones!$AA$77),"dd mmm yy"))&amp;" "&amp;Milestones!$AB$77&amp;" "&amp;Milestones!$AC$77&amp;";  ","")&amp;IF(AND(EDATE($D132,Milestones!$AA$78)&lt;=AsOfDate,IF($R132=0,$X132,IF(AND($T132&lt;&gt;"",EDATE($D132,Milestones!$AA$78)&gt;=$T132),$W132,IF(AND($S132&lt;&gt;"",EDATE($D132,Milestones!$AA$78)&gt;=$S132),$V132,$U132)))=Milestones!$AB$78),UPPER(TEXT(EDATE($D132,Milestones!$AA$78),"dd mmm yy"))&amp;" "&amp;Milestones!$AB$78&amp;" "&amp;Milestones!$AC$78&amp;";  ","")&amp;IF(AND(EDATE($D132,Milestones!$AA$79)&lt;=AsOfDate,IF($R132=0,$X132,IF(AND($T132&lt;&gt;"",EDATE($D132,Milestones!$AA$79)&gt;=$T132),$W132,IF(AND($S132&lt;&gt;"",EDATE($D132,Milestones!$AA$79)&gt;=$S132),$V132,$U132)))=Milestones!$AB$79),UPPER(TEXT(EDATE($D132,Milestones!$AA$79),"dd mmm yy"))&amp;" "&amp;Milestones!$AB$79&amp;" "&amp;Milestones!$AC$79&amp;";  ",""))</f>
        <v/>
      </c>
      <c r="L132" s="0" t="str">
        <f aca="false">IF(OR($A132="",$D132=""),"",IF(AND(EDATE($D132,Milestones!$AA$80)&lt;=AsOfDate,IF($R132=0,$X132,IF(AND($T132&lt;&gt;"",EDATE($D132,Milestones!$AA$80)&gt;=$T132),$W132,IF(AND($S132&lt;&gt;"",EDATE($D132,Milestones!$AA$80)&gt;=$S132),$V132,$U132)))=Milestones!$AB$80),UPPER(TEXT(EDATE($D132,Milestones!$AA$80),"dd mmm yy"))&amp;" "&amp;Milestones!$AB$80&amp;" "&amp;Milestones!$AC$80&amp;";  ","")&amp;IF(AND(EDATE($D132,Milestones!$AA$81)&lt;=AsOfDate,IF($R132=0,$X132,IF(AND($T132&lt;&gt;"",EDATE($D132,Milestones!$AA$81)&gt;=$T132),$W132,IF(AND($S132&lt;&gt;"",EDATE($D132,Milestones!$AA$81)&gt;=$S132),$V132,$U132)))=Milestones!$AB$81),UPPER(TEXT(EDATE($D132,Milestones!$AA$81),"dd mmm yy"))&amp;" "&amp;Milestones!$AB$81&amp;" "&amp;Milestones!$AC$81&amp;";  ","")&amp;IF(AND(EDATE($D132,Milestones!$AA$82)&lt;=AsOfDate,IF($R132=0,$X132,IF(AND($T132&lt;&gt;"",EDATE($D132,Milestones!$AA$82)&gt;=$T132),$W132,IF(AND($S132&lt;&gt;"",EDATE($D132,Milestones!$AA$82)&gt;=$S132),$V132,$U132)))=Milestones!$AB$82),UPPER(TEXT(EDATE($D132,Milestones!$AA$82),"dd mmm yy"))&amp;" "&amp;Milestones!$AB$82&amp;" "&amp;Milestones!$AC$82&amp;";  ","")&amp;IF(AND(EDATE($D132,Milestones!$AA$83)&lt;=AsOfDate,IF($R132=0,$X132,IF(AND($T132&lt;&gt;"",EDATE($D132,Milestones!$AA$83)&gt;=$T132),$W132,IF(AND($S132&lt;&gt;"",EDATE($D132,Milestones!$AA$83)&gt;=$S132),$V132,$U132)))=Milestones!$AB$83),UPPER(TEXT(EDATE($D132,Milestones!$AA$83),"dd mmm yy"))&amp;" "&amp;Milestones!$AB$83&amp;" "&amp;Milestones!$AC$83&amp;";  ","")&amp;IF(AND(EDATE($D132,Milestones!$AA$84)&lt;=AsOfDate,IF($R132=0,$X132,IF(AND($T132&lt;&gt;"",EDATE($D132,Milestones!$AA$84)&gt;=$T132),$W132,IF(AND($S132&lt;&gt;"",EDATE($D132,Milestones!$AA$84)&gt;=$S132),$V132,$U132)))=Milestones!$AB$84),UPPER(TEXT(EDATE($D132,Milestones!$AA$84),"dd mmm yy"))&amp;" "&amp;Milestones!$AB$84&amp;" "&amp;Milestones!$AC$84&amp;";  ","")&amp;IF(AND(EDATE($D132,Milestones!$AA$85)&lt;=AsOfDate,IF($R132=0,$X132,IF(AND($T132&lt;&gt;"",EDATE($D132,Milestones!$AA$85)&gt;=$T132),$W132,IF(AND($S132&lt;&gt;"",EDATE($D132,Milestones!$AA$85)&gt;=$S132),$V132,$U132)))=Milestones!$AB$85),UPPER(TEXT(EDATE($D132,Milestones!$AA$85),"dd mmm yy"))&amp;" "&amp;Milestones!$AB$85&amp;" "&amp;Milestones!$AC$85&amp;";  ","")&amp;IF(AND(EDATE($D132,Milestones!$AA$86)&lt;=AsOfDate,IF($R132=0,$X132,IF(AND($T132&lt;&gt;"",EDATE($D132,Milestones!$AA$86)&gt;=$T132),$W132,IF(AND($S132&lt;&gt;"",EDATE($D132,Milestones!$AA$86)&gt;=$S132),$V132,$U132)))=Milestones!$AB$86),UPPER(TEXT(EDATE($D132,Milestones!$AA$86),"dd mmm yy"))&amp;" "&amp;Milestones!$AB$86&amp;" "&amp;Milestones!$AC$86&amp;";  ","")&amp;IF(AND(EDATE($D132,Milestones!$AA$87)&lt;=AsOfDate,IF($R132=0,$X132,IF(AND($T132&lt;&gt;"",EDATE($D132,Milestones!$AA$87)&gt;=$T132),$W132,IF(AND($S132&lt;&gt;"",EDATE($D132,Milestones!$AA$87)&gt;=$S132),$V132,$U132)))=Milestones!$AB$87),UPPER(TEXT(EDATE($D132,Milestones!$AA$87),"dd mmm yy"))&amp;" "&amp;Milestones!$AB$87&amp;" "&amp;Milestones!$AC$87&amp;";  ","")&amp;IF(AND(EDATE($D132,Milestones!$AA$88)&lt;=AsOfDate,IF($R132=0,$X132,IF(AND($T132&lt;&gt;"",EDATE($D132,Milestones!$AA$88)&gt;=$T132),$W132,IF(AND($S132&lt;&gt;"",EDATE($D132,Milestones!$AA$88)&gt;=$S132),$V132,$U132)))=Milestones!$AB$88),UPPER(TEXT(EDATE($D132,Milestones!$AA$88),"dd mmm yy"))&amp;" "&amp;Milestones!$AB$88&amp;" "&amp;Milestones!$AC$88&amp;";  ","")&amp;IF(AND(EDATE($D132,Milestones!$AA$89)&lt;=AsOfDate,IF($R132=0,$X132,IF(AND($T132&lt;&gt;"",EDATE($D132,Milestones!$AA$89)&gt;=$T132),$W132,IF(AND($S132&lt;&gt;"",EDATE($D132,Milestones!$AA$89)&gt;=$S132),$V132,$U132)))=Milestones!$AB$89),UPPER(TEXT(EDATE($D132,Milestones!$AA$89),"dd mmm yy"))&amp;" "&amp;Milestones!$AB$89&amp;" "&amp;Milestones!$AC$89&amp;";  ","")&amp;IF(AND(EDATE($D132,Milestones!$AA$90)&lt;=AsOfDate,IF($R132=0,$X132,IF(AND($T132&lt;&gt;"",EDATE($D132,Milestones!$AA$90)&gt;=$T132),$W132,IF(AND($S132&lt;&gt;"",EDATE($D132,Milestones!$AA$90)&gt;=$S132),$V132,$U132)))=Milestones!$AB$90),UPPER(TEXT(EDATE($D132,Milestones!$AA$90),"dd mmm yy"))&amp;" "&amp;Milestones!$AB$90&amp;" "&amp;Milestones!$AC$90&amp;";  ","")&amp;IF(AND(EDATE($D132,Milestones!$AA$91)&lt;=AsOfDate,IF($R132=0,$X132,IF(AND($T132&lt;&gt;"",EDATE($D132,Milestones!$AA$91)&gt;=$T132),$W132,IF(AND($S132&lt;&gt;"",EDATE($D132,Milestones!$AA$91)&gt;=$S132),$V132,$U132)))=Milestones!$AB$91),UPPER(TEXT(EDATE($D132,Milestones!$AA$91),"dd mmm yy"))&amp;" "&amp;Milestones!$AB$91&amp;" "&amp;Milestones!$AC$91&amp;";  ","")&amp;IF(AND(EDATE($D132,Milestones!$AA$92)&lt;=AsOfDate,IF($R132=0,$X132,IF(AND($T132&lt;&gt;"",EDATE($D132,Milestones!$AA$92)&gt;=$T132),$W132,IF(AND($S132&lt;&gt;"",EDATE($D132,Milestones!$AA$92)&gt;=$S132),$V132,$U132)))=Milestones!$AB$92),UPPER(TEXT(EDATE($D132,Milestones!$AA$92),"dd mmm yy"))&amp;" "&amp;Milestones!$AB$92&amp;" "&amp;Milestones!$AC$92&amp;";  ","")&amp;IF(AND(EDATE($D132,Milestones!$AA$93)&lt;=AsOfDate,IF($R132=0,$X132,IF(AND($T132&lt;&gt;"",EDATE($D132,Milestones!$AA$93)&gt;=$T132),$W132,IF(AND($S132&lt;&gt;"",EDATE($D132,Milestones!$AA$93)&gt;=$S132),$V132,$U132)))=Milestones!$AB$93),UPPER(TEXT(EDATE($D132,Milestones!$AA$93),"dd mmm yy"))&amp;" "&amp;Milestones!$AB$93&amp;" "&amp;Milestones!$AC$93&amp;";  ","")&amp;IF(AND(EDATE($D132,Milestones!$AA$94)&lt;=AsOfDate,IF($R132=0,$X132,IF(AND($T132&lt;&gt;"",EDATE($D132,Milestones!$AA$94)&gt;=$T132),$W132,IF(AND($S132&lt;&gt;"",EDATE($D132,Milestones!$AA$94)&gt;=$S132),$V132,$U132)))=Milestones!$AB$94),UPPER(TEXT(EDATE($D132,Milestones!$AA$94),"dd mmm yy"))&amp;" "&amp;Milestones!$AB$94&amp;" "&amp;Milestones!$AC$94&amp;";  ","")&amp;IF(AND(EDATE($D132,Milestones!$AA$95)&lt;=AsOfDate,IF($R132=0,$X132,IF(AND($T132&lt;&gt;"",EDATE($D132,Milestones!$AA$95)&gt;=$T132),$W132,IF(AND($S132&lt;&gt;"",EDATE($D132,Milestones!$AA$95)&gt;=$S132),$V132,$U132)))=Milestones!$AB$95),UPPER(TEXT(EDATE($D132,Milestones!$AA$95),"dd mmm yy"))&amp;" "&amp;Milestones!$AB$95&amp;" "&amp;Milestones!$AC$95&amp;";  ","")&amp;IF(AND(EDATE($D132,Milestones!$AA$96)&lt;=AsOfDate,IF($R132=0,$X132,IF(AND($T132&lt;&gt;"",EDATE($D132,Milestones!$AA$96)&gt;=$T132),$W132,IF(AND($S132&lt;&gt;"",EDATE($D132,Milestones!$AA$96)&gt;=$S132),$V132,$U132)))=Milestones!$AB$96),UPPER(TEXT(EDATE($D132,Milestones!$AA$96),"dd mmm yy"))&amp;" "&amp;Milestones!$AB$96&amp;" "&amp;Milestones!$AC$96&amp;";  ","")&amp;IF(AND(EDATE($D132,Milestones!$AA$97)&lt;=AsOfDate,IF($R132=0,$X132,IF(AND($T132&lt;&gt;"",EDATE($D132,Milestones!$AA$97)&gt;=$T132),$W132,IF(AND($S132&lt;&gt;"",EDATE($D132,Milestones!$AA$97)&gt;=$S132),$V132,$U132)))=Milestones!$AB$97),UPPER(TEXT(EDATE($D132,Milestones!$AA$97),"dd mmm yy"))&amp;" "&amp;Milestones!$AB$97&amp;" "&amp;Milestones!$AC$97&amp;";  ","")&amp;IF(AND(EDATE($D132,Milestones!$AA$98)&lt;=AsOfDate,IF($R132=0,$X132,IF(AND($T132&lt;&gt;"",EDATE($D132,Milestones!$AA$98)&gt;=$T132),$W132,IF(AND($S132&lt;&gt;"",EDATE($D132,Milestones!$AA$98)&gt;=$S132),$V132,$U132)))=Milestones!$AB$98),UPPER(TEXT(EDATE($D132,Milestones!$AA$98),"dd mmm yy"))&amp;" "&amp;Milestones!$AB$98&amp;" "&amp;Milestones!$AC$98&amp;";  ","")&amp;IF(AND(EDATE($D132,Milestones!$AA$99)&lt;=AsOfDate,IF($R132=0,$X132,IF(AND($T132&lt;&gt;"",EDATE($D132,Milestones!$AA$99)&gt;=$T132),$W132,IF(AND($S132&lt;&gt;"",EDATE($D132,Milestones!$AA$99)&gt;=$S132),$V132,$U132)))=Milestones!$AB$99),UPPER(TEXT(EDATE($D132,Milestones!$AA$99),"dd mmm yy"))&amp;" "&amp;Milestones!$AB$99&amp;" "&amp;Milestones!$AC$99&amp;";  ",""))</f>
        <v/>
      </c>
      <c r="M132" s="0" t="str">
        <f aca="false">IF(OR($A132="",$D132=""),"",IF(AND(EDATE($D132,Milestones!$AA$100)&lt;=AsOfDate,IF($R132=0,$X132,IF(AND($T132&lt;&gt;"",EDATE($D132,Milestones!$AA$100)&gt;=$T132),$W132,IF(AND($S132&lt;&gt;"",EDATE($D132,Milestones!$AA$100)&gt;=$S132),$V132,$U132)))=Milestones!$AB$100),UPPER(TEXT(EDATE($D132,Milestones!$AA$100),"dd mmm yy"))&amp;" "&amp;Milestones!$AB$100&amp;" "&amp;Milestones!$AC$100&amp;";  ","")&amp;IF(AND(EDATE($D132,Milestones!$AA$101)&lt;=AsOfDate,IF($R132=0,$X132,IF(AND($T132&lt;&gt;"",EDATE($D132,Milestones!$AA$101)&gt;=$T132),$W132,IF(AND($S132&lt;&gt;"",EDATE($D132,Milestones!$AA$101)&gt;=$S132),$V132,$U132)))=Milestones!$AB$101),UPPER(TEXT(EDATE($D132,Milestones!$AA$101),"dd mmm yy"))&amp;" "&amp;Milestones!$AB$101&amp;" "&amp;Milestones!$AC$101&amp;";  ","")&amp;IF(AND(EDATE($D132,Milestones!$AA$102)&lt;=AsOfDate,IF($R132=0,$X132,IF(AND($T132&lt;&gt;"",EDATE($D132,Milestones!$AA$102)&gt;=$T132),$W132,IF(AND($S132&lt;&gt;"",EDATE($D132,Milestones!$AA$102)&gt;=$S132),$V132,$U132)))=Milestones!$AB$102),UPPER(TEXT(EDATE($D132,Milestones!$AA$102),"dd mmm yy"))&amp;" "&amp;Milestones!$AB$102&amp;" "&amp;Milestones!$AC$102&amp;";  ","")&amp;IF(AND(EDATE($D132,Milestones!$AA$103)&lt;=AsOfDate,IF($R132=0,$X132,IF(AND($T132&lt;&gt;"",EDATE($D132,Milestones!$AA$103)&gt;=$T132),$W132,IF(AND($S132&lt;&gt;"",EDATE($D132,Milestones!$AA$103)&gt;=$S132),$V132,$U132)))=Milestones!$AB$103),UPPER(TEXT(EDATE($D132,Milestones!$AA$103),"dd mmm yy"))&amp;" "&amp;Milestones!$AB$103&amp;" "&amp;Milestones!$AC$103&amp;";  ","")&amp;IF(AND(EDATE($D132,Milestones!$AA$104)&lt;=AsOfDate,IF($R132=0,$X132,IF(AND($T132&lt;&gt;"",EDATE($D132,Milestones!$AA$104)&gt;=$T132),$W132,IF(AND($S132&lt;&gt;"",EDATE($D132,Milestones!$AA$104)&gt;=$S132),$V132,$U132)))=Milestones!$AB$104),UPPER(TEXT(EDATE($D132,Milestones!$AA$104),"dd mmm yy"))&amp;" "&amp;Milestones!$AB$104&amp;" "&amp;Milestones!$AC$104&amp;";  ","")&amp;IF(AND(EDATE($D132,Milestones!$AA$105)&lt;=AsOfDate,IF($R132=0,$X132,IF(AND($T132&lt;&gt;"",EDATE($D132,Milestones!$AA$105)&gt;=$T132),$W132,IF(AND($S132&lt;&gt;"",EDATE($D132,Milestones!$AA$105)&gt;=$S132),$V132,$U132)))=Milestones!$AB$105),UPPER(TEXT(EDATE($D132,Milestones!$AA$105),"dd mmm yy"))&amp;" "&amp;Milestones!$AB$105&amp;" "&amp;Milestones!$AC$105&amp;";  ","")&amp;IF(AND(EDATE($D132,Milestones!$AA$106)&lt;=AsOfDate,IF($R132=0,$X132,IF(AND($T132&lt;&gt;"",EDATE($D132,Milestones!$AA$106)&gt;=$T132),$W132,IF(AND($S132&lt;&gt;"",EDATE($D132,Milestones!$AA$106)&gt;=$S132),$V132,$U132)))=Milestones!$AB$106),UPPER(TEXT(EDATE($D132,Milestones!$AA$106),"dd mmm yy"))&amp;" "&amp;Milestones!$AB$106&amp;" "&amp;Milestones!$AC$106&amp;";  ","")&amp;IF(AND(EDATE($D132,Milestones!$AA$107)&lt;=AsOfDate,IF($R132=0,$X132,IF(AND($T132&lt;&gt;"",EDATE($D132,Milestones!$AA$107)&gt;=$T132),$W132,IF(AND($S132&lt;&gt;"",EDATE($D132,Milestones!$AA$107)&gt;=$S132),$V132,$U132)))=Milestones!$AB$107),UPPER(TEXT(EDATE($D132,Milestones!$AA$107),"dd mmm yy"))&amp;" "&amp;Milestones!$AB$107&amp;" "&amp;Milestones!$AC$107&amp;";  ","")&amp;IF(AND(EDATE($D132,Milestones!$AA$108)&lt;=AsOfDate,IF($R132=0,$X132,IF(AND($T132&lt;&gt;"",EDATE($D132,Milestones!$AA$108)&gt;=$T132),$W132,IF(AND($S132&lt;&gt;"",EDATE($D132,Milestones!$AA$108)&gt;=$S132),$V132,$U132)))=Milestones!$AB$108),UPPER(TEXT(EDATE($D132,Milestones!$AA$108),"dd mmm yy"))&amp;" "&amp;Milestones!$AB$108&amp;" "&amp;Milestones!$AC$108&amp;";  ","")&amp;IF(AND(EDATE($D132,Milestones!$AA$109)&lt;=AsOfDate,IF($R132=0,$X132,IF(AND($T132&lt;&gt;"",EDATE($D132,Milestones!$AA$109)&gt;=$T132),$W132,IF(AND($S132&lt;&gt;"",EDATE($D132,Milestones!$AA$109)&gt;=$S132),$V132,$U132)))=Milestones!$AB$109),UPPER(TEXT(EDATE($D132,Milestones!$AA$109),"dd mmm yy"))&amp;" "&amp;Milestones!$AB$109&amp;" "&amp;Milestones!$AC$109&amp;";  ","")&amp;IF(AND(EDATE($D132,Milestones!$AA$110)&lt;=AsOfDate,IF($R132=0,$X132,IF(AND($T132&lt;&gt;"",EDATE($D132,Milestones!$AA$110)&gt;=$T132),$W132,IF(AND($S132&lt;&gt;"",EDATE($D132,Milestones!$AA$110)&gt;=$S132),$V132,$U132)))=Milestones!$AB$110),UPPER(TEXT(EDATE($D132,Milestones!$AA$110),"dd mmm yy"))&amp;" "&amp;Milestones!$AB$110&amp;" "&amp;Milestones!$AC$110&amp;";  ","")&amp;IF(AND(EDATE($D132,Milestones!$AA$111)&lt;=AsOfDate,IF($R132=0,$X132,IF(AND($T132&lt;&gt;"",EDATE($D132,Milestones!$AA$111)&gt;=$T132),$W132,IF(AND($S132&lt;&gt;"",EDATE($D132,Milestones!$AA$111)&gt;=$S132),$V132,$U132)))=Milestones!$AB$111),UPPER(TEXT(EDATE($D132,Milestones!$AA$111),"dd mmm yy"))&amp;" "&amp;Milestones!$AB$111&amp;" "&amp;Milestones!$AC$111&amp;";  ","")&amp;IF(AND(EDATE($D132,Milestones!$AA$112)&lt;=AsOfDate,IF($R132=0,$X132,IF(AND($T132&lt;&gt;"",EDATE($D132,Milestones!$AA$112)&gt;=$T132),$W132,IF(AND($S132&lt;&gt;"",EDATE($D132,Milestones!$AA$112)&gt;=$S132),$V132,$U132)))=Milestones!$AB$112),UPPER(TEXT(EDATE($D132,Milestones!$AA$112),"dd mmm yy"))&amp;" "&amp;Milestones!$AB$112&amp;" "&amp;Milestones!$AC$112&amp;";  ","")&amp;IF(AND(EDATE($D132,Milestones!$AA$113)&lt;=AsOfDate,IF($R132=0,$X132,IF(AND($T132&lt;&gt;"",EDATE($D132,Milestones!$AA$113)&gt;=$T132),$W132,IF(AND($S132&lt;&gt;"",EDATE($D132,Milestones!$AA$113)&gt;=$S132),$V132,$U132)))=Milestones!$AB$113),UPPER(TEXT(EDATE($D132,Milestones!$AA$113),"dd mmm yy"))&amp;" "&amp;Milestones!$AB$113&amp;" "&amp;Milestones!$AC$113&amp;";  ","")&amp;IF(AND(EDATE($D132,Milestones!$AA$114)&lt;=AsOfDate,IF($R132=0,$X132,IF(AND($T132&lt;&gt;"",EDATE($D132,Milestones!$AA$114)&gt;=$T132),$W132,IF(AND($S132&lt;&gt;"",EDATE($D132,Milestones!$AA$114)&gt;=$S132),$V132,$U132)))=Milestones!$AB$114),UPPER(TEXT(EDATE($D132,Milestones!$AA$114),"dd mmm yy"))&amp;" "&amp;Milestones!$AB$114&amp;" "&amp;Milestones!$AC$114&amp;";  ","")&amp;IF(AND(EDATE($D132,Milestones!$AA$115)&lt;=AsOfDate,IF($R132=0,$X132,IF(AND($T132&lt;&gt;"",EDATE($D132,Milestones!$AA$115)&gt;=$T132),$W132,IF(AND($S132&lt;&gt;"",EDATE($D132,Milestones!$AA$115)&gt;=$S132),$V132,$U132)))=Milestones!$AB$115),UPPER(TEXT(EDATE($D132,Milestones!$AA$115),"dd mmm yy"))&amp;" "&amp;Milestones!$AB$115&amp;" "&amp;Milestones!$AC$115&amp;";  ","")&amp;IF(AND(EDATE($D132,Milestones!$AA$116)&lt;=AsOfDate,IF($R132=0,$X132,IF(AND($T132&lt;&gt;"",EDATE($D132,Milestones!$AA$116)&gt;=$T132),$W132,IF(AND($S132&lt;&gt;"",EDATE($D132,Milestones!$AA$116)&gt;=$S132),$V132,$U132)))=Milestones!$AB$116),UPPER(TEXT(EDATE($D132,Milestones!$AA$116),"dd mmm yy"))&amp;" "&amp;Milestones!$AB$116&amp;" "&amp;Milestones!$AC$116&amp;";  ","")&amp;IF(AND(EDATE($D132,Milestones!$AA$117)&lt;=AsOfDate,IF($R132=0,$X132,IF(AND($T132&lt;&gt;"",EDATE($D132,Milestones!$AA$117)&gt;=$T132),$W132,IF(AND($S132&lt;&gt;"",EDATE($D132,Milestones!$AA$117)&gt;=$S132),$V132,$U132)))=Milestones!$AB$117),UPPER(TEXT(EDATE($D132,Milestones!$AA$117),"dd mmm yy"))&amp;" "&amp;Milestones!$AB$117&amp;" "&amp;Milestones!$AC$117&amp;";  ","")&amp;IF(AND(EDATE($D132,Milestones!$AA$118)&lt;=AsOfDate,IF($R132=0,$X132,IF(AND($T132&lt;&gt;"",EDATE($D132,Milestones!$AA$118)&gt;=$T132),$W132,IF(AND($S132&lt;&gt;"",EDATE($D132,Milestones!$AA$118)&gt;=$S132),$V132,$U132)))=Milestones!$AB$118),UPPER(TEXT(EDATE($D132,Milestones!$AA$118),"dd mmm yy"))&amp;" "&amp;Milestones!$AB$118&amp;" "&amp;Milestones!$AC$118&amp;";  ","")&amp;IF(AND(EDATE($D132,Milestones!$AA$119)&lt;=AsOfDate,IF($R132=0,$X132,IF(AND($T132&lt;&gt;"",EDATE($D132,Milestones!$AA$119)&gt;=$T132),$W132,IF(AND($S132&lt;&gt;"",EDATE($D132,Milestones!$AA$119)&gt;=$S132),$V132,$U132)))=Milestones!$AB$119),UPPER(TEXT(EDATE($D132,Milestones!$AA$119),"dd mmm yy"))&amp;" "&amp;Milestones!$AB$119&amp;" "&amp;Milestones!$AC$119&amp;";  ",""))</f>
        <v/>
      </c>
      <c r="N132" s="0" t="str">
        <f aca="false">IF(OR($A132="",$D132=""),"",IF(AND(EDATE($D132,Milestones!$AA$120)&lt;=AsOfDate,IF($R132=0,$X132,IF(AND($T132&lt;&gt;"",EDATE($D132,Milestones!$AA$120)&gt;=$T132),$W132,IF(AND($S132&lt;&gt;"",EDATE($D132,Milestones!$AA$120)&gt;=$S132),$V132,$U132)))=Milestones!$AB$120),UPPER(TEXT(EDATE($D132,Milestones!$AA$120),"dd mmm yy"))&amp;" "&amp;Milestones!$AB$120&amp;" "&amp;Milestones!$AC$120&amp;";  ","")&amp;IF(AND(EDATE($D132,Milestones!$AA$121)&lt;=AsOfDate,IF($R132=0,$X132,IF(AND($T132&lt;&gt;"",EDATE($D132,Milestones!$AA$121)&gt;=$T132),$W132,IF(AND($S132&lt;&gt;"",EDATE($D132,Milestones!$AA$121)&gt;=$S132),$V132,$U132)))=Milestones!$AB$121),UPPER(TEXT(EDATE($D132,Milestones!$AA$121),"dd mmm yy"))&amp;" "&amp;Milestones!$AB$121&amp;" "&amp;Milestones!$AC$121&amp;";  ","")&amp;IF(AND(EDATE($D132,Milestones!$AA$122)&lt;=AsOfDate,IF($R132=0,$X132,IF(AND($T132&lt;&gt;"",EDATE($D132,Milestones!$AA$122)&gt;=$T132),$W132,IF(AND($S132&lt;&gt;"",EDATE($D132,Milestones!$AA$122)&gt;=$S132),$V132,$U132)))=Milestones!$AB$122),UPPER(TEXT(EDATE($D132,Milestones!$AA$122),"dd mmm yy"))&amp;" "&amp;Milestones!$AB$122&amp;" "&amp;Milestones!$AC$122&amp;";  ","")&amp;IF(AND(EDATE($D132,Milestones!$AA$123)&lt;=AsOfDate,IF($R132=0,$X132,IF(AND($T132&lt;&gt;"",EDATE($D132,Milestones!$AA$123)&gt;=$T132),$W132,IF(AND($S132&lt;&gt;"",EDATE($D132,Milestones!$AA$123)&gt;=$S132),$V132,$U132)))=Milestones!$AB$123),UPPER(TEXT(EDATE($D132,Milestones!$AA$123),"dd mmm yy"))&amp;" "&amp;Milestones!$AB$123&amp;" "&amp;Milestones!$AC$123&amp;";  ","")&amp;IF(AND(EDATE($D132,Milestones!$AA$124)&lt;=AsOfDate,IF($R132=0,$X132,IF(AND($T132&lt;&gt;"",EDATE($D132,Milestones!$AA$124)&gt;=$T132),$W132,IF(AND($S132&lt;&gt;"",EDATE($D132,Milestones!$AA$124)&gt;=$S132),$V132,$U132)))=Milestones!$AB$124),UPPER(TEXT(EDATE($D132,Milestones!$AA$124),"dd mmm yy"))&amp;" "&amp;Milestones!$AB$124&amp;" "&amp;Milestones!$AC$124&amp;";  ","")&amp;IF(AND(EDATE($D132,Milestones!$AA$125)&lt;=AsOfDate,IF($R132=0,$X132,IF(AND($T132&lt;&gt;"",EDATE($D132,Milestones!$AA$125)&gt;=$T132),$W132,IF(AND($S132&lt;&gt;"",EDATE($D132,Milestones!$AA$125)&gt;=$S132),$V132,$U132)))=Milestones!$AB$125),UPPER(TEXT(EDATE($D132,Milestones!$AA$125),"dd mmm yy"))&amp;" "&amp;Milestones!$AB$125&amp;" "&amp;Milestones!$AC$125&amp;";  ","")&amp;IF(AND(EDATE($D132,Milestones!$AA$126)&lt;=AsOfDate,IF($R132=0,$X132,IF(AND($T132&lt;&gt;"",EDATE($D132,Milestones!$AA$126)&gt;=$T132),$W132,IF(AND($S132&lt;&gt;"",EDATE($D132,Milestones!$AA$126)&gt;=$S132),$V132,$U132)))=Milestones!$AB$126),UPPER(TEXT(EDATE($D132,Milestones!$AA$126),"dd mmm yy"))&amp;" "&amp;Milestones!$AB$126&amp;" "&amp;Milestones!$AC$126&amp;";  ","")&amp;IF(AND(EDATE($D132,Milestones!$AA$127)&lt;=AsOfDate,IF($R132=0,$X132,IF(AND($T132&lt;&gt;"",EDATE($D132,Milestones!$AA$127)&gt;=$T132),$W132,IF(AND($S132&lt;&gt;"",EDATE($D132,Milestones!$AA$127)&gt;=$S132),$V132,$U132)))=Milestones!$AB$127),UPPER(TEXT(EDATE($D132,Milestones!$AA$127),"dd mmm yy"))&amp;" "&amp;Milestones!$AB$127&amp;" "&amp;Milestones!$AC$127&amp;";  ","")&amp;IF(AND(EDATE($D132,Milestones!$AA$128)&lt;=AsOfDate,IF($R132=0,$X132,IF(AND($T132&lt;&gt;"",EDATE($D132,Milestones!$AA$128)&gt;=$T132),$W132,IF(AND($S132&lt;&gt;"",EDATE($D132,Milestones!$AA$128)&gt;=$S132),$V132,$U132)))=Milestones!$AB$128),UPPER(TEXT(EDATE($D132,Milestones!$AA$128),"dd mmm yy"))&amp;" "&amp;Milestones!$AB$128&amp;" "&amp;Milestones!$AC$128&amp;";  ","")&amp;IF(AND(EDATE($D132,Milestones!$AA$129)&lt;=AsOfDate,IF($R132=0,$X132,IF(AND($T132&lt;&gt;"",EDATE($D132,Milestones!$AA$129)&gt;=$T132),$W132,IF(AND($S132&lt;&gt;"",EDATE($D132,Milestones!$AA$129)&gt;=$S132),$V132,$U132)))=Milestones!$AB$129),UPPER(TEXT(EDATE($D132,Milestones!$AA$129),"dd mmm yy"))&amp;" "&amp;Milestones!$AB$129&amp;" "&amp;Milestones!$AC$129&amp;";  ","")&amp;IF(AND(EDATE($D132,Milestones!$AA$130)&lt;=AsOfDate,IF($R132=0,$X132,IF(AND($T132&lt;&gt;"",EDATE($D132,Milestones!$AA$130)&gt;=$T132),$W132,IF(AND($S132&lt;&gt;"",EDATE($D132,Milestones!$AA$130)&gt;=$S132),$V132,$U132)))=Milestones!$AB$130),UPPER(TEXT(EDATE($D132,Milestones!$AA$130),"dd mmm yy"))&amp;" "&amp;Milestones!$AB$130&amp;" "&amp;Milestones!$AC$130&amp;";  ","")&amp;IF(AND(EDATE($D132,Milestones!$AA$131)&lt;=AsOfDate,IF($R132=0,$X132,IF(AND($T132&lt;&gt;"",EDATE($D132,Milestones!$AA$131)&gt;=$T132),$W132,IF(AND($S132&lt;&gt;"",EDATE($D132,Milestones!$AA$131)&gt;=$S132),$V132,$U132)))=Milestones!$AB$131),UPPER(TEXT(EDATE($D132,Milestones!$AA$131),"dd mmm yy"))&amp;" "&amp;Milestones!$AB$131&amp;" "&amp;Milestones!$AC$131&amp;";  ","")&amp;IF(AND(EDATE($D132,Milestones!$AA$132)&lt;=AsOfDate,IF($R132=0,$X132,IF(AND($T132&lt;&gt;"",EDATE($D132,Milestones!$AA$132)&gt;=$T132),$W132,IF(AND($S132&lt;&gt;"",EDATE($D132,Milestones!$AA$132)&gt;=$S132),$V132,$U132)))=Milestones!$AB$132),UPPER(TEXT(EDATE($D132,Milestones!$AA$132),"dd mmm yy"))&amp;" "&amp;Milestones!$AB$132&amp;" "&amp;Milestones!$AC$132&amp;";  ","")&amp;IF(AND(EDATE($D132,Milestones!$AA$133)&lt;=AsOfDate,IF($R132=0,$X132,IF(AND($T132&lt;&gt;"",EDATE($D132,Milestones!$AA$133)&gt;=$T132),$W132,IF(AND($S132&lt;&gt;"",EDATE($D132,Milestones!$AA$133)&gt;=$S132),$V132,$U132)))=Milestones!$AB$133),UPPER(TEXT(EDATE($D132,Milestones!$AA$133),"dd mmm yy"))&amp;" "&amp;Milestones!$AB$133&amp;" "&amp;Milestones!$AC$133&amp;";  ","")&amp;IF(AND(EDATE($D132,Milestones!$AA$134)&lt;=AsOfDate,IF($R132=0,$X132,IF(AND($T132&lt;&gt;"",EDATE($D132,Milestones!$AA$134)&gt;=$T132),$W132,IF(AND($S132&lt;&gt;"",EDATE($D132,Milestones!$AA$134)&gt;=$S132),$V132,$U132)))=Milestones!$AB$134),UPPER(TEXT(EDATE($D132,Milestones!$AA$134),"dd mmm yy"))&amp;" "&amp;Milestones!$AB$134&amp;" "&amp;Milestones!$AC$134&amp;";  ","")&amp;IF(AND(EDATE($D132,Milestones!$AA$135)&lt;=AsOfDate,IF($R132=0,$X132,IF(AND($T132&lt;&gt;"",EDATE($D132,Milestones!$AA$135)&gt;=$T132),$W132,IF(AND($S132&lt;&gt;"",EDATE($D132,Milestones!$AA$135)&gt;=$S132),$V132,$U132)))=Milestones!$AB$135),UPPER(TEXT(EDATE($D132,Milestones!$AA$135),"dd mmm yy"))&amp;" "&amp;Milestones!$AB$135&amp;" "&amp;Milestones!$AC$135&amp;";  ","")&amp;IF(AND(EDATE($D132,Milestones!$AA$136)&lt;=AsOfDate,IF($R132=0,$X132,IF(AND($T132&lt;&gt;"",EDATE($D132,Milestones!$AA$136)&gt;=$T132),$W132,IF(AND($S132&lt;&gt;"",EDATE($D132,Milestones!$AA$136)&gt;=$S132),$V132,$U132)))=Milestones!$AB$136),UPPER(TEXT(EDATE($D132,Milestones!$AA$136),"dd mmm yy"))&amp;" "&amp;Milestones!$AB$136&amp;" "&amp;Milestones!$AC$136&amp;";  ","")&amp;IF(AND(EDATE($D132,Milestones!$AA$137)&lt;=AsOfDate,IF($R132=0,$X132,IF(AND($T132&lt;&gt;"",EDATE($D132,Milestones!$AA$137)&gt;=$T132),$W132,IF(AND($S132&lt;&gt;"",EDATE($D132,Milestones!$AA$137)&gt;=$S132),$V132,$U132)))=Milestones!$AB$137),UPPER(TEXT(EDATE($D132,Milestones!$AA$137),"dd mmm yy"))&amp;" "&amp;Milestones!$AB$137&amp;" "&amp;Milestones!$AC$137&amp;";  ","")&amp;IF(AND(EDATE($D132,Milestones!$AA$138)&lt;=AsOfDate,IF($R132=0,$X132,IF(AND($T132&lt;&gt;"",EDATE($D132,Milestones!$AA$138)&gt;=$T132),$W132,IF(AND($S132&lt;&gt;"",EDATE($D132,Milestones!$AA$138)&gt;=$S132),$V132,$U132)))=Milestones!$AB$138),UPPER(TEXT(EDATE($D132,Milestones!$AA$138),"dd mmm yy"))&amp;" "&amp;Milestones!$AB$138&amp;" "&amp;Milestones!$AC$138&amp;";  ","")&amp;IF(AND(EDATE($D132,Milestones!$AA$139)&lt;=AsOfDate,IF($R132=0,$X132,IF(AND($T132&lt;&gt;"",EDATE($D132,Milestones!$AA$139)&gt;=$T132),$W132,IF(AND($S132&lt;&gt;"",EDATE($D132,Milestones!$AA$139)&gt;=$S132),$V132,$U132)))=Milestones!$AB$139),UPPER(TEXT(EDATE($D132,Milestones!$AA$139),"dd mmm yy"))&amp;" "&amp;Milestones!$AB$139&amp;" "&amp;Milestones!$AC$139&amp;";  ",""))</f>
        <v/>
      </c>
      <c r="O132" s="0" t="str">
        <f aca="false">IF(OR($A132="",$D132=""),"",IF(AND(EDATE($D132,Milestones!$AA$140)&lt;=AsOfDate,IF($R132=0,$X132,IF(AND($T132&lt;&gt;"",EDATE($D132,Milestones!$AA$140)&gt;=$T132),$W132,IF(AND($S132&lt;&gt;"",EDATE($D132,Milestones!$AA$140)&gt;=$S132),$V132,$U132)))=Milestones!$AB$140),UPPER(TEXT(EDATE($D132,Milestones!$AA$140),"dd mmm yy"))&amp;" "&amp;Milestones!$AB$140&amp;" "&amp;Milestones!$AC$140&amp;";  ","")&amp;IF(AND(EDATE($D132,Milestones!$AA$141)&lt;=AsOfDate,IF($R132=0,$X132,IF(AND($T132&lt;&gt;"",EDATE($D132,Milestones!$AA$141)&gt;=$T132),$W132,IF(AND($S132&lt;&gt;"",EDATE($D132,Milestones!$AA$141)&gt;=$S132),$V132,$U132)))=Milestones!$AB$141),UPPER(TEXT(EDATE($D132,Milestones!$AA$141),"dd mmm yy"))&amp;" "&amp;Milestones!$AB$141&amp;" "&amp;Milestones!$AC$141&amp;";  ","")&amp;IF(AND(EDATE($D132,Milestones!$AA$142)&lt;=AsOfDate,IF($R132=0,$X132,IF(AND($T132&lt;&gt;"",EDATE($D132,Milestones!$AA$142)&gt;=$T132),$W132,IF(AND($S132&lt;&gt;"",EDATE($D132,Milestones!$AA$142)&gt;=$S132),$V132,$U132)))=Milestones!$AB$142),UPPER(TEXT(EDATE($D132,Milestones!$AA$142),"dd mmm yy"))&amp;" "&amp;Milestones!$AB$142&amp;" "&amp;Milestones!$AC$142&amp;";  ","")&amp;IF(AND(EDATE($D132,Milestones!$AA$143)&lt;=AsOfDate,IF($R132=0,$X132,IF(AND($T132&lt;&gt;"",EDATE($D132,Milestones!$AA$143)&gt;=$T132),$W132,IF(AND($S132&lt;&gt;"",EDATE($D132,Milestones!$AA$143)&gt;=$S132),$V132,$U132)))=Milestones!$AB$143),UPPER(TEXT(EDATE($D132,Milestones!$AA$143),"dd mmm yy"))&amp;" "&amp;Milestones!$AB$143&amp;" "&amp;Milestones!$AC$143&amp;";  ","")&amp;IF(AND(EDATE($D132,Milestones!$AA$144)&lt;=AsOfDate,IF($R132=0,$X132,IF(AND($T132&lt;&gt;"",EDATE($D132,Milestones!$AA$144)&gt;=$T132),$W132,IF(AND($S132&lt;&gt;"",EDATE($D132,Milestones!$AA$144)&gt;=$S132),$V132,$U132)))=Milestones!$AB$144),UPPER(TEXT(EDATE($D132,Milestones!$AA$144),"dd mmm yy"))&amp;" "&amp;Milestones!$AB$144&amp;" "&amp;Milestones!$AC$144&amp;";  ","")&amp;IF(AND(EDATE($D132,Milestones!$AA$145)&lt;=AsOfDate,IF($R132=0,$X132,IF(AND($T132&lt;&gt;"",EDATE($D132,Milestones!$AA$145)&gt;=$T132),$W132,IF(AND($S132&lt;&gt;"",EDATE($D132,Milestones!$AA$145)&gt;=$S132),$V132,$U132)))=Milestones!$AB$145),UPPER(TEXT(EDATE($D132,Milestones!$AA$145),"dd mmm yy"))&amp;" "&amp;Milestones!$AB$145&amp;" "&amp;Milestones!$AC$145&amp;";  ","")&amp;IF(AND(EDATE($D132,Milestones!$AA$146)&lt;=AsOfDate,IF($R132=0,$X132,IF(AND($T132&lt;&gt;"",EDATE($D132,Milestones!$AA$146)&gt;=$T132),$W132,IF(AND($S132&lt;&gt;"",EDATE($D132,Milestones!$AA$146)&gt;=$S132),$V132,$U132)))=Milestones!$AB$146),UPPER(TEXT(EDATE($D132,Milestones!$AA$146),"dd mmm yy"))&amp;" "&amp;Milestones!$AB$146&amp;" "&amp;Milestones!$AC$146&amp;";  ","")&amp;IF(AND(EDATE($D132,Milestones!$AA$147)&lt;=AsOfDate,IF($R132=0,$X132,IF(AND($T132&lt;&gt;"",EDATE($D132,Milestones!$AA$147)&gt;=$T132),$W132,IF(AND($S132&lt;&gt;"",EDATE($D132,Milestones!$AA$147)&gt;=$S132),$V132,$U132)))=Milestones!$AB$147),UPPER(TEXT(EDATE($D132,Milestones!$AA$147),"dd mmm yy"))&amp;" "&amp;Milestones!$AB$147&amp;" "&amp;Milestones!$AC$147&amp;";  ","")&amp;IF(AND(EDATE($D132,Milestones!$AA$148)&lt;=AsOfDate,IF($R132=0,$X132,IF(AND($T132&lt;&gt;"",EDATE($D132,Milestones!$AA$148)&gt;=$T132),$W132,IF(AND($S132&lt;&gt;"",EDATE($D132,Milestones!$AA$148)&gt;=$S132),$V132,$U132)))=Milestones!$AB$148),UPPER(TEXT(EDATE($D132,Milestones!$AA$148),"dd mmm yy"))&amp;" "&amp;Milestones!$AB$148&amp;" "&amp;Milestones!$AC$148&amp;";  ","")&amp;IF(AND(EDATE($D132,Milestones!$AA$149)&lt;=AsOfDate,IF($R132=0,$X132,IF(AND($T132&lt;&gt;"",EDATE($D132,Milestones!$AA$149)&gt;=$T132),$W132,IF(AND($S132&lt;&gt;"",EDATE($D132,Milestones!$AA$149)&gt;=$S132),$V132,$U132)))=Milestones!$AB$149),UPPER(TEXT(EDATE($D132,Milestones!$AA$149),"dd mmm yy"))&amp;" "&amp;Milestones!$AB$149&amp;" "&amp;Milestones!$AC$149&amp;";  ","")&amp;IF(AND(EDATE($D132,Milestones!$AA$150)&lt;=AsOfDate,IF($R132=0,$X132,IF(AND($T132&lt;&gt;"",EDATE($D132,Milestones!$AA$150)&gt;=$T132),$W132,IF(AND($S132&lt;&gt;"",EDATE($D132,Milestones!$AA$150)&gt;=$S132),$V132,$U132)))=Milestones!$AB$150),UPPER(TEXT(EDATE($D132,Milestones!$AA$150),"dd mmm yy"))&amp;" "&amp;Milestones!$AB$150&amp;" "&amp;Milestones!$AC$150&amp;";  ","")&amp;IF(AND(EDATE($D132,Milestones!$AA$151)&lt;=AsOfDate,IF($R132=0,$X132,IF(AND($T132&lt;&gt;"",EDATE($D132,Milestones!$AA$151)&gt;=$T132),$W132,IF(AND($S132&lt;&gt;"",EDATE($D132,Milestones!$AA$151)&gt;=$S132),$V132,$U132)))=Milestones!$AB$151),UPPER(TEXT(EDATE($D132,Milestones!$AA$151),"dd mmm yy"))&amp;" "&amp;Milestones!$AB$151&amp;" "&amp;Milestones!$AC$151&amp;";  ","")&amp;IF(AND(EDATE($D132,Milestones!$AA$152)&lt;=AsOfDate,IF($R132=0,$X132,IF(AND($T132&lt;&gt;"",EDATE($D132,Milestones!$AA$152)&gt;=$T132),$W132,IF(AND($S132&lt;&gt;"",EDATE($D132,Milestones!$AA$152)&gt;=$S132),$V132,$U132)))=Milestones!$AB$152),UPPER(TEXT(EDATE($D132,Milestones!$AA$152),"dd mmm yy"))&amp;" "&amp;Milestones!$AB$152&amp;" "&amp;Milestones!$AC$152&amp;";  ","")&amp;IF(AND(EDATE($D132,Milestones!$AA$153)&lt;=AsOfDate,IF($R132=0,$X132,IF(AND($T132&lt;&gt;"",EDATE($D132,Milestones!$AA$153)&gt;=$T132),$W132,IF(AND($S132&lt;&gt;"",EDATE($D132,Milestones!$AA$153)&gt;=$S132),$V132,$U132)))=Milestones!$AB$153),UPPER(TEXT(EDATE($D132,Milestones!$AA$153),"dd mmm yy"))&amp;" "&amp;Milestones!$AB$153&amp;" "&amp;Milestones!$AC$153&amp;";  ","")&amp;IF(AND(EDATE($D132,Milestones!$AA$154)&lt;=AsOfDate,IF($R132=0,$X132,IF(AND($T132&lt;&gt;"",EDATE($D132,Milestones!$AA$154)&gt;=$T132),$W132,IF(AND($S132&lt;&gt;"",EDATE($D132,Milestones!$AA$154)&gt;=$S132),$V132,$U132)))=Milestones!$AB$154),UPPER(TEXT(EDATE($D132,Milestones!$AA$154),"dd mmm yy"))&amp;" "&amp;Milestones!$AB$154&amp;" "&amp;Milestones!$AC$154&amp;";  ","")&amp;IF(AND(EDATE($D132,Milestones!$AA$155)&lt;=AsOfDate,IF($R132=0,$X132,IF(AND($T132&lt;&gt;"",EDATE($D132,Milestones!$AA$155)&gt;=$T132),$W132,IF(AND($S132&lt;&gt;"",EDATE($D132,Milestones!$AA$155)&gt;=$S132),$V132,$U132)))=Milestones!$AB$155),UPPER(TEXT(EDATE($D132,Milestones!$AA$155),"dd mmm yy"))&amp;" "&amp;Milestones!$AB$155&amp;" "&amp;Milestones!$AC$155&amp;";  ","")&amp;IF(AND(EDATE($D132,Milestones!$AA$156)&lt;=AsOfDate,IF($R132=0,$X132,IF(AND($T132&lt;&gt;"",EDATE($D132,Milestones!$AA$156)&gt;=$T132),$W132,IF(AND($S132&lt;&gt;"",EDATE($D132,Milestones!$AA$156)&gt;=$S132),$V132,$U132)))=Milestones!$AB$156),UPPER(TEXT(EDATE($D132,Milestones!$AA$156),"dd mmm yy"))&amp;" "&amp;Milestones!$AB$156&amp;" "&amp;Milestones!$AC$156&amp;";  ","")&amp;IF(AND(EDATE($D132,Milestones!$AA$157)&lt;=AsOfDate,IF($R132=0,$X132,IF(AND($T132&lt;&gt;"",EDATE($D132,Milestones!$AA$157)&gt;=$T132),$W132,IF(AND($S132&lt;&gt;"",EDATE($D132,Milestones!$AA$157)&gt;=$S132),$V132,$U132)))=Milestones!$AB$157),UPPER(TEXT(EDATE($D132,Milestones!$AA$157),"dd mmm yy"))&amp;" "&amp;Milestones!$AB$157&amp;" "&amp;Milestones!$AC$157&amp;";  ","")&amp;IF(AND(EDATE($D132,Milestones!$AA$158)&lt;=AsOfDate,IF($R132=0,$X132,IF(AND($T132&lt;&gt;"",EDATE($D132,Milestones!$AA$158)&gt;=$T132),$W132,IF(AND($S132&lt;&gt;"",EDATE($D132,Milestones!$AA$158)&gt;=$S132),$V132,$U132)))=Milestones!$AB$158),UPPER(TEXT(EDATE($D132,Milestones!$AA$158),"dd mmm yy"))&amp;" "&amp;Milestones!$AB$158&amp;" "&amp;Milestones!$AC$158&amp;";  ","")&amp;IF(AND(EDATE($D132,Milestones!$AA$159)&lt;=AsOfDate,IF($R132=0,$X132,IF(AND($T132&lt;&gt;"",EDATE($D132,Milestones!$AA$159)&gt;=$T132),$W132,IF(AND($S132&lt;&gt;"",EDATE($D132,Milestones!$AA$159)&gt;=$S132),$V132,$U132)))=Milestones!$AB$159),UPPER(TEXT(EDATE($D132,Milestones!$AA$159),"dd mmm yy"))&amp;" "&amp;Milestones!$AB$159&amp;" "&amp;Milestones!$AC$159&amp;";  ",""))</f>
        <v/>
      </c>
      <c r="P132" s="0" t="str">
        <f aca="false">IF(OR($A132="",$D132=""),"",IF(AND(EDATE($D132,Milestones!$AA$160)&lt;=AsOfDate,IF($R132=0,$X132,IF(AND($T132&lt;&gt;"",EDATE($D132,Milestones!$AA$160)&gt;=$T132),$W132,IF(AND($S132&lt;&gt;"",EDATE($D132,Milestones!$AA$160)&gt;=$S132),$V132,$U132)))=Milestones!$AB$160),UPPER(TEXT(EDATE($D132,Milestones!$AA$160),"dd mmm yy"))&amp;" "&amp;Milestones!$AB$160&amp;" "&amp;Milestones!$AC$160&amp;";  ","")&amp;IF(AND(EDATE($D132,Milestones!$AA$161)&lt;=AsOfDate,IF($R132=0,$X132,IF(AND($T132&lt;&gt;"",EDATE($D132,Milestones!$AA$161)&gt;=$T132),$W132,IF(AND($S132&lt;&gt;"",EDATE($D132,Milestones!$AA$161)&gt;=$S132),$V132,$U132)))=Milestones!$AB$161),UPPER(TEXT(EDATE($D132,Milestones!$AA$161),"dd mmm yy"))&amp;" "&amp;Milestones!$AB$161&amp;" "&amp;Milestones!$AC$161&amp;";  ","")&amp;IF(AND(EDATE($D132,Milestones!$AA$162)&lt;=AsOfDate,IF($R132=0,$X132,IF(AND($T132&lt;&gt;"",EDATE($D132,Milestones!$AA$162)&gt;=$T132),$W132,IF(AND($S132&lt;&gt;"",EDATE($D132,Milestones!$AA$162)&gt;=$S132),$V132,$U132)))=Milestones!$AB$162),UPPER(TEXT(EDATE($D132,Milestones!$AA$162),"dd mmm yy"))&amp;" "&amp;Milestones!$AB$162&amp;" "&amp;Milestones!$AC$162&amp;";  ","")&amp;IF(AND(EDATE($D132,Milestones!$AA$163)&lt;=AsOfDate,IF($R132=0,$X132,IF(AND($T132&lt;&gt;"",EDATE($D132,Milestones!$AA$163)&gt;=$T132),$W132,IF(AND($S132&lt;&gt;"",EDATE($D132,Milestones!$AA$163)&gt;=$S132),$V132,$U132)))=Milestones!$AB$163),UPPER(TEXT(EDATE($D132,Milestones!$AA$163),"dd mmm yy"))&amp;" "&amp;Milestones!$AB$163&amp;" "&amp;Milestones!$AC$163&amp;";  ","")&amp;IF(AND(EDATE($D132,Milestones!$AA$164)&lt;=AsOfDate,IF($R132=0,$X132,IF(AND($T132&lt;&gt;"",EDATE($D132,Milestones!$AA$164)&gt;=$T132),$W132,IF(AND($S132&lt;&gt;"",EDATE($D132,Milestones!$AA$164)&gt;=$S132),$V132,$U132)))=Milestones!$AB$164),UPPER(TEXT(EDATE($D132,Milestones!$AA$164),"dd mmm yy"))&amp;" "&amp;Milestones!$AB$164&amp;" "&amp;Milestones!$AC$164&amp;";  ","")&amp;IF(AND(EDATE($D132,Milestones!$AA$165)&lt;=AsOfDate,IF($R132=0,$X132,IF(AND($T132&lt;&gt;"",EDATE($D132,Milestones!$AA$165)&gt;=$T132),$W132,IF(AND($S132&lt;&gt;"",EDATE($D132,Milestones!$AA$165)&gt;=$S132),$V132,$U132)))=Milestones!$AB$165),UPPER(TEXT(EDATE($D132,Milestones!$AA$165),"dd mmm yy"))&amp;" "&amp;Milestones!$AB$165&amp;" "&amp;Milestones!$AC$165&amp;";  ","")&amp;IF(AND(EDATE($D132,Milestones!$AA$166)&lt;=AsOfDate,IF($R132=0,$X132,IF(AND($T132&lt;&gt;"",EDATE($D132,Milestones!$AA$166)&gt;=$T132),$W132,IF(AND($S132&lt;&gt;"",EDATE($D132,Milestones!$AA$166)&gt;=$S132),$V132,$U132)))=Milestones!$AB$166),UPPER(TEXT(EDATE($D132,Milestones!$AA$166),"dd mmm yy"))&amp;" "&amp;Milestones!$AB$166&amp;" "&amp;Milestones!$AC$166&amp;";  ","")&amp;IF(AND(EDATE($D132,Milestones!$AA$167)&lt;=AsOfDate,IF($R132=0,$X132,IF(AND($T132&lt;&gt;"",EDATE($D132,Milestones!$AA$167)&gt;=$T132),$W132,IF(AND($S132&lt;&gt;"",EDATE($D132,Milestones!$AA$167)&gt;=$S132),$V132,$U132)))=Milestones!$AB$167),UPPER(TEXT(EDATE($D132,Milestones!$AA$167),"dd mmm yy"))&amp;" "&amp;Milestones!$AB$167&amp;" "&amp;Milestones!$AC$167&amp;";  ","")&amp;IF(AND(EDATE($D132,Milestones!$AA$168)&lt;=AsOfDate,IF($R132=0,$X132,IF(AND($T132&lt;&gt;"",EDATE($D132,Milestones!$AA$168)&gt;=$T132),$W132,IF(AND($S132&lt;&gt;"",EDATE($D132,Milestones!$AA$168)&gt;=$S132),$V132,$U132)))=Milestones!$AB$168),UPPER(TEXT(EDATE($D132,Milestones!$AA$168),"dd mmm yy"))&amp;" "&amp;Milestones!$AB$168&amp;" "&amp;Milestones!$AC$168&amp;";  ","")&amp;IF(AND(EDATE($D132,Milestones!$AA$169)&lt;=AsOfDate,IF($R132=0,$X132,IF(AND($T132&lt;&gt;"",EDATE($D132,Milestones!$AA$169)&gt;=$T132),$W132,IF(AND($S132&lt;&gt;"",EDATE($D132,Milestones!$AA$169)&gt;=$S132),$V132,$U132)))=Milestones!$AB$169),UPPER(TEXT(EDATE($D132,Milestones!$AA$169),"dd mmm yy"))&amp;" "&amp;Milestones!$AB$169&amp;" "&amp;Milestones!$AC$169&amp;";  ","")&amp;IF(AND(EDATE($D132,Milestones!$AA$170)&lt;=AsOfDate,IF($R132=0,$X132,IF(AND($T132&lt;&gt;"",EDATE($D132,Milestones!$AA$170)&gt;=$T132),$W132,IF(AND($S132&lt;&gt;"",EDATE($D132,Milestones!$AA$170)&gt;=$S132),$V132,$U132)))=Milestones!$AB$170),UPPER(TEXT(EDATE($D132,Milestones!$AA$170),"dd mmm yy"))&amp;" "&amp;Milestones!$AB$170&amp;" "&amp;Milestones!$AC$170&amp;";  ","")&amp;IF(AND(EDATE($D132,Milestones!$AA$171)&lt;=AsOfDate,IF($R132=0,$X132,IF(AND($T132&lt;&gt;"",EDATE($D132,Milestones!$AA$171)&gt;=$T132),$W132,IF(AND($S132&lt;&gt;"",EDATE($D132,Milestones!$AA$171)&gt;=$S132),$V132,$U132)))=Milestones!$AB$171),UPPER(TEXT(EDATE($D132,Milestones!$AA$171),"dd mmm yy"))&amp;" "&amp;Milestones!$AB$171&amp;" "&amp;Milestones!$AC$171&amp;";  ","")&amp;IF(AND(EDATE($D132,Milestones!$AA$172)&lt;=AsOfDate,IF($R132=0,$X132,IF(AND($T132&lt;&gt;"",EDATE($D132,Milestones!$AA$172)&gt;=$T132),$W132,IF(AND($S132&lt;&gt;"",EDATE($D132,Milestones!$AA$172)&gt;=$S132),$V132,$U132)))=Milestones!$AB$172),UPPER(TEXT(EDATE($D132,Milestones!$AA$172),"dd mmm yy"))&amp;" "&amp;Milestones!$AB$172&amp;" "&amp;Milestones!$AC$172&amp;";  ","")&amp;IF(AND(EDATE($D132,Milestones!$AA$173)&lt;=AsOfDate,IF($R132=0,$X132,IF(AND($T132&lt;&gt;"",EDATE($D132,Milestones!$AA$173)&gt;=$T132),$W132,IF(AND($S132&lt;&gt;"",EDATE($D132,Milestones!$AA$173)&gt;=$S132),$V132,$U132)))=Milestones!$AB$173),UPPER(TEXT(EDATE($D132,Milestones!$AA$173),"dd mmm yy"))&amp;" "&amp;Milestones!$AB$173&amp;" "&amp;Milestones!$AC$173&amp;";  ","")&amp;IF(AND(EDATE($D132,Milestones!$AA$174)&lt;=AsOfDate,IF($R132=0,$X132,IF(AND($T132&lt;&gt;"",EDATE($D132,Milestones!$AA$174)&gt;=$T132),$W132,IF(AND($S132&lt;&gt;"",EDATE($D132,Milestones!$AA$174)&gt;=$S132),$V132,$U132)))=Milestones!$AB$174),UPPER(TEXT(EDATE($D132,Milestones!$AA$174),"dd mmm yy"))&amp;" "&amp;Milestones!$AB$174&amp;" "&amp;Milestones!$AC$174&amp;";  ","")&amp;IF(AND(EDATE($D132,Milestones!$AA$175)&lt;=AsOfDate,IF($R132=0,$X132,IF(AND($T132&lt;&gt;"",EDATE($D132,Milestones!$AA$175)&gt;=$T132),$W132,IF(AND($S132&lt;&gt;"",EDATE($D132,Milestones!$AA$175)&gt;=$S132),$V132,$U132)))=Milestones!$AB$175),UPPER(TEXT(EDATE($D132,Milestones!$AA$175),"dd mmm yy"))&amp;" "&amp;Milestones!$AB$175&amp;" "&amp;Milestones!$AC$175&amp;";  ","")&amp;IF(AND(EDATE($D132,Milestones!$AA$176)&lt;=AsOfDate,IF($R132=0,$X132,IF(AND($T132&lt;&gt;"",EDATE($D132,Milestones!$AA$176)&gt;=$T132),$W132,IF(AND($S132&lt;&gt;"",EDATE($D132,Milestones!$AA$176)&gt;=$S132),$V132,$U132)))=Milestones!$AB$176),UPPER(TEXT(EDATE($D132,Milestones!$AA$176),"dd mmm yy"))&amp;" "&amp;Milestones!$AB$176&amp;" "&amp;Milestones!$AC$176&amp;";  ","")&amp;IF(AND(EDATE($D132,Milestones!$AA$177)&lt;=AsOfDate,IF($R132=0,$X132,IF(AND($T132&lt;&gt;"",EDATE($D132,Milestones!$AA$177)&gt;=$T132),$W132,IF(AND($S132&lt;&gt;"",EDATE($D132,Milestones!$AA$177)&gt;=$S132),$V132,$U132)))=Milestones!$AB$177),UPPER(TEXT(EDATE($D132,Milestones!$AA$177),"dd mmm yy"))&amp;" "&amp;Milestones!$AB$177&amp;" "&amp;Milestones!$AC$177&amp;";  ","")&amp;IF(AND(EDATE($D132,Milestones!$AA$178)&lt;=AsOfDate,IF($R132=0,$X132,IF(AND($T132&lt;&gt;"",EDATE($D132,Milestones!$AA$178)&gt;=$T132),$W132,IF(AND($S132&lt;&gt;"",EDATE($D132,Milestones!$AA$178)&gt;=$S132),$V132,$U132)))=Milestones!$AB$178),UPPER(TEXT(EDATE($D132,Milestones!$AA$178),"dd mmm yy"))&amp;" "&amp;Milestones!$AB$178&amp;" "&amp;Milestones!$AC$178&amp;";  ","")&amp;IF(AND(EDATE($D132,Milestones!$AA$179)&lt;=AsOfDate,IF($R132=0,$X132,IF(AND($T132&lt;&gt;"",EDATE($D132,Milestones!$AA$179)&gt;=$T132),$W132,IF(AND($S132&lt;&gt;"",EDATE($D132,Milestones!$AA$179)&gt;=$S132),$V132,$U132)))=Milestones!$AB$179),UPPER(TEXT(EDATE($D132,Milestones!$AA$179),"dd mmm yy"))&amp;" "&amp;Milestones!$AB$179&amp;" "&amp;Milestones!$AC$179&amp;";  ",""))</f>
        <v/>
      </c>
      <c r="Q132" s="0" t="str">
        <f aca="false">IF(OR($A132="",$D132=""),"",IF(AND(EDATE($D132,Milestones!$AA$180)&lt;=AsOfDate,IF($R132=0,$X132,IF(AND($T132&lt;&gt;"",EDATE($D132,Milestones!$AA$180)&gt;=$T132),$W132,IF(AND($S132&lt;&gt;"",EDATE($D132,Milestones!$AA$180)&gt;=$S132),$V132,$U132)))=Milestones!$AB$180),UPPER(TEXT(EDATE($D132,Milestones!$AA$180),"dd mmm yy"))&amp;" "&amp;Milestones!$AB$180&amp;" "&amp;Milestones!$AC$180&amp;";  ","")&amp;IF(AND(EDATE($D132,Milestones!$AA$181)&lt;=AsOfDate,IF($R132=0,$X132,IF(AND($T132&lt;&gt;"",EDATE($D132,Milestones!$AA$181)&gt;=$T132),$W132,IF(AND($S132&lt;&gt;"",EDATE($D132,Milestones!$AA$181)&gt;=$S132),$V132,$U132)))=Milestones!$AB$181),UPPER(TEXT(EDATE($D132,Milestones!$AA$181),"dd mmm yy"))&amp;" "&amp;Milestones!$AB$181&amp;" "&amp;Milestones!$AC$181&amp;";  ","")&amp;IF(AND(EDATE($D132,Milestones!$AA$182)&lt;=AsOfDate,IF($R132=0,$X132,IF(AND($T132&lt;&gt;"",EDATE($D132,Milestones!$AA$182)&gt;=$T132),$W132,IF(AND($S132&lt;&gt;"",EDATE($D132,Milestones!$AA$182)&gt;=$S132),$V132,$U132)))=Milestones!$AB$182),UPPER(TEXT(EDATE($D132,Milestones!$AA$182),"dd mmm yy"))&amp;" "&amp;Milestones!$AB$182&amp;" "&amp;Milestones!$AC$182&amp;";  ","")&amp;IF(AND(EDATE($D132,Milestones!$AA$183)&lt;=AsOfDate,IF($R132=0,$X132,IF(AND($T132&lt;&gt;"",EDATE($D132,Milestones!$AA$183)&gt;=$T132),$W132,IF(AND($S132&lt;&gt;"",EDATE($D132,Milestones!$AA$183)&gt;=$S132),$V132,$U132)))=Milestones!$AB$183),UPPER(TEXT(EDATE($D132,Milestones!$AA$183),"dd mmm yy"))&amp;" "&amp;Milestones!$AB$183&amp;" "&amp;Milestones!$AC$183&amp;";  ","")&amp;IF(AND(EDATE($D132,Milestones!$AA$184)&lt;=AsOfDate,IF($R132=0,$X132,IF(AND($T132&lt;&gt;"",EDATE($D132,Milestones!$AA$184)&gt;=$T132),$W132,IF(AND($S132&lt;&gt;"",EDATE($D132,Milestones!$AA$184)&gt;=$S132),$V132,$U132)))=Milestones!$AB$184),UPPER(TEXT(EDATE($D132,Milestones!$AA$184),"dd mmm yy"))&amp;" "&amp;Milestones!$AB$184&amp;" "&amp;Milestones!$AC$184&amp;";  ","")&amp;IF(AND(EDATE($D132,Milestones!$AA$185)&lt;=AsOfDate,IF($R132=0,$X132,IF(AND($T132&lt;&gt;"",EDATE($D132,Milestones!$AA$185)&gt;=$T132),$W132,IF(AND($S132&lt;&gt;"",EDATE($D132,Milestones!$AA$185)&gt;=$S132),$V132,$U132)))=Milestones!$AB$185),UPPER(TEXT(EDATE($D132,Milestones!$AA$185),"dd mmm yy"))&amp;" "&amp;Milestones!$AB$185&amp;" "&amp;Milestones!$AC$185&amp;";  ","")&amp;IF(AND(EDATE($D132,Milestones!$AA$186)&lt;=AsOfDate,IF($R132=0,$X132,IF(AND($T132&lt;&gt;"",EDATE($D132,Milestones!$AA$186)&gt;=$T132),$W132,IF(AND($S132&lt;&gt;"",EDATE($D132,Milestones!$AA$186)&gt;=$S132),$V132,$U132)))=Milestones!$AB$186),UPPER(TEXT(EDATE($D132,Milestones!$AA$186),"dd mmm yy"))&amp;" "&amp;Milestones!$AB$186&amp;" "&amp;Milestones!$AC$186&amp;";  ","")&amp;IF(AND(EDATE($D132,Milestones!$AA$187)&lt;=AsOfDate,IF($R132=0,$X132,IF(AND($T132&lt;&gt;"",EDATE($D132,Milestones!$AA$187)&gt;=$T132),$W132,IF(AND($S132&lt;&gt;"",EDATE($D132,Milestones!$AA$187)&gt;=$S132),$V132,$U132)))=Milestones!$AB$187),UPPER(TEXT(EDATE($D132,Milestones!$AA$187),"dd mmm yy"))&amp;" "&amp;Milestones!$AB$187&amp;" "&amp;Milestones!$AC$187&amp;";  ","")&amp;IF(AND(EDATE($D132,Milestones!$AA$188)&lt;=AsOfDate,IF($R132=0,$X132,IF(AND($T132&lt;&gt;"",EDATE($D132,Milestones!$AA$188)&gt;=$T132),$W132,IF(AND($S132&lt;&gt;"",EDATE($D132,Milestones!$AA$188)&gt;=$S132),$V132,$U132)))=Milestones!$AB$188),UPPER(TEXT(EDATE($D132,Milestones!$AA$188),"dd mmm yy"))&amp;" "&amp;Milestones!$AB$188&amp;" "&amp;Milestones!$AC$188&amp;";  ","")&amp;IF(AND(EDATE($D132,Milestones!$AA$189)&lt;=AsOfDate,IF($R132=0,$X132,IF(AND($T132&lt;&gt;"",EDATE($D132,Milestones!$AA$189)&gt;=$T132),$W132,IF(AND($S132&lt;&gt;"",EDATE($D132,Milestones!$AA$189)&gt;=$S132),$V132,$U132)))=Milestones!$AB$189),UPPER(TEXT(EDATE($D132,Milestones!$AA$189),"dd mmm yy"))&amp;" "&amp;Milestones!$AB$189&amp;" "&amp;Milestones!$AC$189&amp;";  ","")&amp;IF(AND(EDATE($D132,Milestones!$AA$190)&lt;=AsOfDate,IF($R132=0,$X132,IF(AND($T132&lt;&gt;"",EDATE($D132,Milestones!$AA$190)&gt;=$T132),$W132,IF(AND($S132&lt;&gt;"",EDATE($D132,Milestones!$AA$190)&gt;=$S132),$V132,$U132)))=Milestones!$AB$190),UPPER(TEXT(EDATE($D132,Milestones!$AA$190),"dd mmm yy"))&amp;" "&amp;Milestones!$AB$190&amp;" "&amp;Milestones!$AC$190&amp;";  ","")&amp;IF(AND(EDATE($D132,Milestones!$AA$191)&lt;=AsOfDate,IF($R132=0,$X132,IF(AND($T132&lt;&gt;"",EDATE($D132,Milestones!$AA$191)&gt;=$T132),$W132,IF(AND($S132&lt;&gt;"",EDATE($D132,Milestones!$AA$191)&gt;=$S132),$V132,$U132)))=Milestones!$AB$191),UPPER(TEXT(EDATE($D132,Milestones!$AA$191),"dd mmm yy"))&amp;" "&amp;Milestones!$AB$191&amp;" "&amp;Milestones!$AC$191&amp;";  ","")&amp;IF(AND(EDATE($D132,Milestones!$AA$192)&lt;=AsOfDate,IF($R132=0,$X132,IF(AND($T132&lt;&gt;"",EDATE($D132,Milestones!$AA$192)&gt;=$T132),$W132,IF(AND($S132&lt;&gt;"",EDATE($D132,Milestones!$AA$192)&gt;=$S132),$V132,$U132)))=Milestones!$AB$192),UPPER(TEXT(EDATE($D132,Milestones!$AA$192),"dd mmm yy"))&amp;" "&amp;Milestones!$AB$192&amp;" "&amp;Milestones!$AC$192&amp;";  ","")&amp;IF(AND(EDATE($D132,Milestones!$AA$193)&lt;=AsOfDate,IF($R132=0,$X132,IF(AND($T132&lt;&gt;"",EDATE($D132,Milestones!$AA$193)&gt;=$T132),$W132,IF(AND($S132&lt;&gt;"",EDATE($D132,Milestones!$AA$193)&gt;=$S132),$V132,$U132)))=Milestones!$AB$193),UPPER(TEXT(EDATE($D132,Milestones!$AA$193),"dd mmm yy"))&amp;" "&amp;Milestones!$AB$193&amp;" "&amp;Milestones!$AC$193&amp;";  ","")&amp;IF(AND(EDATE($D132,Milestones!$AA$194)&lt;=AsOfDate,IF($R132=0,$X132,IF(AND($T132&lt;&gt;"",EDATE($D132,Milestones!$AA$194)&gt;=$T132),$W132,IF(AND($S132&lt;&gt;"",EDATE($D132,Milestones!$AA$194)&gt;=$S132),$V132,$U132)))=Milestones!$AB$194),UPPER(TEXT(EDATE($D132,Milestones!$AA$194),"dd mmm yy"))&amp;" "&amp;Milestones!$AB$194&amp;" "&amp;Milestones!$AC$194&amp;";  ","")&amp;IF(AND(EDATE($D132,Milestones!$AA$195)&lt;=AsOfDate,IF($R132=0,$X132,IF(AND($T132&lt;&gt;"",EDATE($D132,Milestones!$AA$195)&gt;=$T132),$W132,IF(AND($S132&lt;&gt;"",EDATE($D132,Milestones!$AA$195)&gt;=$S132),$V132,$U132)))=Milestones!$AB$195),UPPER(TEXT(EDATE($D132,Milestones!$AA$195),"dd mmm yy"))&amp;" "&amp;Milestones!$AB$195&amp;" "&amp;Milestones!$AC$195&amp;";  ","")&amp;IF(AND(EDATE($D132,Milestones!$AA$196)&lt;=AsOfDate,IF($R132=0,$X132,IF(AND($T132&lt;&gt;"",EDATE($D132,Milestones!$AA$196)&gt;=$T132),$W132,IF(AND($S132&lt;&gt;"",EDATE($D132,Milestones!$AA$196)&gt;=$S132),$V132,$U132)))=Milestones!$AB$196),UPPER(TEXT(EDATE($D132,Milestones!$AA$196),"dd mmm yy"))&amp;" "&amp;Milestones!$AB$196&amp;" "&amp;Milestones!$AC$196&amp;";  ","")&amp;IF(AND(EDATE($D132,Milestones!$AA$197)&lt;=AsOfDate,IF($R132=0,$X132,IF(AND($T132&lt;&gt;"",EDATE($D132,Milestones!$AA$197)&gt;=$T132),$W132,IF(AND($S132&lt;&gt;"",EDATE($D132,Milestones!$AA$197)&gt;=$S132),$V132,$U132)))=Milestones!$AB$197),UPPER(TEXT(EDATE($D132,Milestones!$AA$197),"dd mmm yy"))&amp;" "&amp;Milestones!$AB$197&amp;" "&amp;Milestones!$AC$197&amp;";  ","")&amp;IF(AND(EDATE($D132,Milestones!$AA$198)&lt;=AsOfDate,IF($R132=0,$X132,IF(AND($T132&lt;&gt;"",EDATE($D132,Milestones!$AA$198)&gt;=$T132),$W132,IF(AND($S132&lt;&gt;"",EDATE($D132,Milestones!$AA$198)&gt;=$S132),$V132,$U132)))=Milestones!$AB$198),UPPER(TEXT(EDATE($D132,Milestones!$AA$198),"dd mmm yy"))&amp;" "&amp;Milestones!$AB$198&amp;" "&amp;Milestones!$AC$198&amp;";  ","")&amp;IF(AND(EDATE($D132,Milestones!$AA$199)&lt;=AsOfDate,IF($R132=0,$X132,IF(AND($T132&lt;&gt;"",EDATE($D132,Milestones!$AA$199)&gt;=$T132),$W132,IF(AND($S132&lt;&gt;"",EDATE($D132,Milestones!$AA$199)&gt;=$S132),$V132,$U132)))=Milestones!$AB$199),UPPER(TEXT(EDATE($D132,Milestones!$AA$199),"dd mmm yy"))&amp;" "&amp;Milestones!$AB$199&amp;" "&amp;Milestones!$AC$199&amp;";  ",""))</f>
        <v/>
      </c>
      <c r="R132" s="0" t="str">
        <f aca="false">IF(Staff!$A132="","",Staff!$AI132)</f>
        <v/>
      </c>
      <c r="S132" s="0" t="str">
        <f aca="false">IF(Staff!$A132="","",Staff!$AK132)</f>
        <v/>
      </c>
      <c r="T132" s="0" t="str">
        <f aca="false">IF(Staff!$A132="","",Staff!$AL132)</f>
        <v/>
      </c>
      <c r="U132" s="0" t="str">
        <f aca="false">IF(Staff!$A132="","",Staff!$AP132)</f>
        <v/>
      </c>
      <c r="V132" s="0" t="str">
        <f aca="false">IF(Staff!$A132="","",Staff!$AQ132)</f>
        <v/>
      </c>
      <c r="W132" s="0" t="str">
        <f aca="false">IF(Staff!$A132="","",Staff!$AR132)</f>
        <v/>
      </c>
      <c r="X132" s="0" t="str">
        <f aca="false">IF(Staff!$A132="","",Staff!$AS132)</f>
        <v/>
      </c>
    </row>
    <row r="133" customFormat="false" ht="15" hidden="false" customHeight="false" outlineLevel="0" collapsed="false">
      <c r="A133" s="14" t="str">
        <f aca="false">IF(Staff!$A133="","",Staff!$A133)</f>
        <v/>
      </c>
      <c r="B133" s="14" t="str">
        <f aca="false">IF(Staff!$A133="","",Staff!$B133)</f>
        <v/>
      </c>
      <c r="C133" s="14" t="str">
        <f aca="false">IF(Staff!$A133="","",Staff!$C133)</f>
        <v/>
      </c>
      <c r="D133" s="12" t="str">
        <f aca="false">IF(Staff!$A133="","",Staff!$AH133)</f>
        <v/>
      </c>
      <c r="E133" s="14" t="str">
        <f aca="false">IF(Staff!$A133="","",Staff!$O133)</f>
        <v/>
      </c>
      <c r="F133" s="14" t="str">
        <f aca="false">IF(E133="","",E133*HoursPerDay)</f>
        <v/>
      </c>
      <c r="G133" s="14" t="str">
        <f aca="false">IF(Staff!$A133="","",Staff!$AE133)</f>
        <v/>
      </c>
      <c r="H133" s="26" t="str">
        <f aca="false">IF($A133="","",I133&amp;J133&amp;K133&amp;L133&amp;M133&amp;N133&amp;O133&amp;P133&amp;Q133)</f>
        <v/>
      </c>
      <c r="I133" s="0" t="str">
        <f aca="false">IF(OR($A133="",$D133=""),"",IF(AND(EDATE($D133,Milestones!$AA$20)&lt;=AsOfDate,IF($R133=0,$X133,IF(AND($T133&lt;&gt;"",EDATE($D133,Milestones!$AA$20)&gt;=$T133),$W133,IF(AND($S133&lt;&gt;"",EDATE($D133,Milestones!$AA$20)&gt;=$S133),$V133,$U133)))=Milestones!$AB$20),UPPER(TEXT(EDATE($D133,Milestones!$AA$20),"dd mmm yy"))&amp;" "&amp;Milestones!$AB$20&amp;" "&amp;Milestones!$AC$20&amp;";  ","")&amp;IF(AND(EDATE($D133,Milestones!$AA$21)&lt;=AsOfDate,IF($R133=0,$X133,IF(AND($T133&lt;&gt;"",EDATE($D133,Milestones!$AA$21)&gt;=$T133),$W133,IF(AND($S133&lt;&gt;"",EDATE($D133,Milestones!$AA$21)&gt;=$S133),$V133,$U133)))=Milestones!$AB$21),UPPER(TEXT(EDATE($D133,Milestones!$AA$21),"dd mmm yy"))&amp;" "&amp;Milestones!$AB$21&amp;" "&amp;Milestones!$AC$21&amp;";  ","")&amp;IF(AND(EDATE($D133,Milestones!$AA$22)&lt;=AsOfDate,IF($R133=0,$X133,IF(AND($T133&lt;&gt;"",EDATE($D133,Milestones!$AA$22)&gt;=$T133),$W133,IF(AND($S133&lt;&gt;"",EDATE($D133,Milestones!$AA$22)&gt;=$S133),$V133,$U133)))=Milestones!$AB$22),UPPER(TEXT(EDATE($D133,Milestones!$AA$22),"dd mmm yy"))&amp;" "&amp;Milestones!$AB$22&amp;" "&amp;Milestones!$AC$22&amp;";  ","")&amp;IF(AND(EDATE($D133,Milestones!$AA$23)&lt;=AsOfDate,IF($R133=0,$X133,IF(AND($T133&lt;&gt;"",EDATE($D133,Milestones!$AA$23)&gt;=$T133),$W133,IF(AND($S133&lt;&gt;"",EDATE($D133,Milestones!$AA$23)&gt;=$S133),$V133,$U133)))=Milestones!$AB$23),UPPER(TEXT(EDATE($D133,Milestones!$AA$23),"dd mmm yy"))&amp;" "&amp;Milestones!$AB$23&amp;" "&amp;Milestones!$AC$23&amp;";  ","")&amp;IF(AND(EDATE($D133,Milestones!$AA$24)&lt;=AsOfDate,IF($R133=0,$X133,IF(AND($T133&lt;&gt;"",EDATE($D133,Milestones!$AA$24)&gt;=$T133),$W133,IF(AND($S133&lt;&gt;"",EDATE($D133,Milestones!$AA$24)&gt;=$S133),$V133,$U133)))=Milestones!$AB$24),UPPER(TEXT(EDATE($D133,Milestones!$AA$24),"dd mmm yy"))&amp;" "&amp;Milestones!$AB$24&amp;" "&amp;Milestones!$AC$24&amp;";  ","")&amp;IF(AND(EDATE($D133,Milestones!$AA$25)&lt;=AsOfDate,IF($R133=0,$X133,IF(AND($T133&lt;&gt;"",EDATE($D133,Milestones!$AA$25)&gt;=$T133),$W133,IF(AND($S133&lt;&gt;"",EDATE($D133,Milestones!$AA$25)&gt;=$S133),$V133,$U133)))=Milestones!$AB$25),UPPER(TEXT(EDATE($D133,Milestones!$AA$25),"dd mmm yy"))&amp;" "&amp;Milestones!$AB$25&amp;" "&amp;Milestones!$AC$25&amp;";  ","")&amp;IF(AND(EDATE($D133,Milestones!$AA$26)&lt;=AsOfDate,IF($R133=0,$X133,IF(AND($T133&lt;&gt;"",EDATE($D133,Milestones!$AA$26)&gt;=$T133),$W133,IF(AND($S133&lt;&gt;"",EDATE($D133,Milestones!$AA$26)&gt;=$S133),$V133,$U133)))=Milestones!$AB$26),UPPER(TEXT(EDATE($D133,Milestones!$AA$26),"dd mmm yy"))&amp;" "&amp;Milestones!$AB$26&amp;" "&amp;Milestones!$AC$26&amp;";  ","")&amp;IF(AND(EDATE($D133,Milestones!$AA$27)&lt;=AsOfDate,IF($R133=0,$X133,IF(AND($T133&lt;&gt;"",EDATE($D133,Milestones!$AA$27)&gt;=$T133),$W133,IF(AND($S133&lt;&gt;"",EDATE($D133,Milestones!$AA$27)&gt;=$S133),$V133,$U133)))=Milestones!$AB$27),UPPER(TEXT(EDATE($D133,Milestones!$AA$27),"dd mmm yy"))&amp;" "&amp;Milestones!$AB$27&amp;" "&amp;Milestones!$AC$27&amp;";  ","")&amp;IF(AND(EDATE($D133,Milestones!$AA$28)&lt;=AsOfDate,IF($R133=0,$X133,IF(AND($T133&lt;&gt;"",EDATE($D133,Milestones!$AA$28)&gt;=$T133),$W133,IF(AND($S133&lt;&gt;"",EDATE($D133,Milestones!$AA$28)&gt;=$S133),$V133,$U133)))=Milestones!$AB$28),UPPER(TEXT(EDATE($D133,Milestones!$AA$28),"dd mmm yy"))&amp;" "&amp;Milestones!$AB$28&amp;" "&amp;Milestones!$AC$28&amp;";  ","")&amp;IF(AND(EDATE($D133,Milestones!$AA$29)&lt;=AsOfDate,IF($R133=0,$X133,IF(AND($T133&lt;&gt;"",EDATE($D133,Milestones!$AA$29)&gt;=$T133),$W133,IF(AND($S133&lt;&gt;"",EDATE($D133,Milestones!$AA$29)&gt;=$S133),$V133,$U133)))=Milestones!$AB$29),UPPER(TEXT(EDATE($D133,Milestones!$AA$29),"dd mmm yy"))&amp;" "&amp;Milestones!$AB$29&amp;" "&amp;Milestones!$AC$29&amp;";  ","")&amp;IF(AND(EDATE($D133,Milestones!$AA$30)&lt;=AsOfDate,IF($R133=0,$X133,IF(AND($T133&lt;&gt;"",EDATE($D133,Milestones!$AA$30)&gt;=$T133),$W133,IF(AND($S133&lt;&gt;"",EDATE($D133,Milestones!$AA$30)&gt;=$S133),$V133,$U133)))=Milestones!$AB$30),UPPER(TEXT(EDATE($D133,Milestones!$AA$30),"dd mmm yy"))&amp;" "&amp;Milestones!$AB$30&amp;" "&amp;Milestones!$AC$30&amp;";  ","")&amp;IF(AND(EDATE($D133,Milestones!$AA$31)&lt;=AsOfDate,IF($R133=0,$X133,IF(AND($T133&lt;&gt;"",EDATE($D133,Milestones!$AA$31)&gt;=$T133),$W133,IF(AND($S133&lt;&gt;"",EDATE($D133,Milestones!$AA$31)&gt;=$S133),$V133,$U133)))=Milestones!$AB$31),UPPER(TEXT(EDATE($D133,Milestones!$AA$31),"dd mmm yy"))&amp;" "&amp;Milestones!$AB$31&amp;" "&amp;Milestones!$AC$31&amp;";  ","")&amp;IF(AND(EDATE($D133,Milestones!$AA$32)&lt;=AsOfDate,IF($R133=0,$X133,IF(AND($T133&lt;&gt;"",EDATE($D133,Milestones!$AA$32)&gt;=$T133),$W133,IF(AND($S133&lt;&gt;"",EDATE($D133,Milestones!$AA$32)&gt;=$S133),$V133,$U133)))=Milestones!$AB$32),UPPER(TEXT(EDATE($D133,Milestones!$AA$32),"dd mmm yy"))&amp;" "&amp;Milestones!$AB$32&amp;" "&amp;Milestones!$AC$32&amp;";  ","")&amp;IF(AND(EDATE($D133,Milestones!$AA$33)&lt;=AsOfDate,IF($R133=0,$X133,IF(AND($T133&lt;&gt;"",EDATE($D133,Milestones!$AA$33)&gt;=$T133),$W133,IF(AND($S133&lt;&gt;"",EDATE($D133,Milestones!$AA$33)&gt;=$S133),$V133,$U133)))=Milestones!$AB$33),UPPER(TEXT(EDATE($D133,Milestones!$AA$33),"dd mmm yy"))&amp;" "&amp;Milestones!$AB$33&amp;" "&amp;Milestones!$AC$33&amp;";  ","")&amp;IF(AND(EDATE($D133,Milestones!$AA$34)&lt;=AsOfDate,IF($R133=0,$X133,IF(AND($T133&lt;&gt;"",EDATE($D133,Milestones!$AA$34)&gt;=$T133),$W133,IF(AND($S133&lt;&gt;"",EDATE($D133,Milestones!$AA$34)&gt;=$S133),$V133,$U133)))=Milestones!$AB$34),UPPER(TEXT(EDATE($D133,Milestones!$AA$34),"dd mmm yy"))&amp;" "&amp;Milestones!$AB$34&amp;" "&amp;Milestones!$AC$34&amp;";  ","")&amp;IF(AND(EDATE($D133,Milestones!$AA$35)&lt;=AsOfDate,IF($R133=0,$X133,IF(AND($T133&lt;&gt;"",EDATE($D133,Milestones!$AA$35)&gt;=$T133),$W133,IF(AND($S133&lt;&gt;"",EDATE($D133,Milestones!$AA$35)&gt;=$S133),$V133,$U133)))=Milestones!$AB$35),UPPER(TEXT(EDATE($D133,Milestones!$AA$35),"dd mmm yy"))&amp;" "&amp;Milestones!$AB$35&amp;" "&amp;Milestones!$AC$35&amp;";  ","")&amp;IF(AND(EDATE($D133,Milestones!$AA$36)&lt;=AsOfDate,IF($R133=0,$X133,IF(AND($T133&lt;&gt;"",EDATE($D133,Milestones!$AA$36)&gt;=$T133),$W133,IF(AND($S133&lt;&gt;"",EDATE($D133,Milestones!$AA$36)&gt;=$S133),$V133,$U133)))=Milestones!$AB$36),UPPER(TEXT(EDATE($D133,Milestones!$AA$36),"dd mmm yy"))&amp;" "&amp;Milestones!$AB$36&amp;" "&amp;Milestones!$AC$36&amp;";  ","")&amp;IF(AND(EDATE($D133,Milestones!$AA$37)&lt;=AsOfDate,IF($R133=0,$X133,IF(AND($T133&lt;&gt;"",EDATE($D133,Milestones!$AA$37)&gt;=$T133),$W133,IF(AND($S133&lt;&gt;"",EDATE($D133,Milestones!$AA$37)&gt;=$S133),$V133,$U133)))=Milestones!$AB$37),UPPER(TEXT(EDATE($D133,Milestones!$AA$37),"dd mmm yy"))&amp;" "&amp;Milestones!$AB$37&amp;" "&amp;Milestones!$AC$37&amp;";  ","")&amp;IF(AND(EDATE($D133,Milestones!$AA$38)&lt;=AsOfDate,IF($R133=0,$X133,IF(AND($T133&lt;&gt;"",EDATE($D133,Milestones!$AA$38)&gt;=$T133),$W133,IF(AND($S133&lt;&gt;"",EDATE($D133,Milestones!$AA$38)&gt;=$S133),$V133,$U133)))=Milestones!$AB$38),UPPER(TEXT(EDATE($D133,Milestones!$AA$38),"dd mmm yy"))&amp;" "&amp;Milestones!$AB$38&amp;" "&amp;Milestones!$AC$38&amp;";  ","")&amp;IF(AND(EDATE($D133,Milestones!$AA$39)&lt;=AsOfDate,IF($R133=0,$X133,IF(AND($T133&lt;&gt;"",EDATE($D133,Milestones!$AA$39)&gt;=$T133),$W133,IF(AND($S133&lt;&gt;"",EDATE($D133,Milestones!$AA$39)&gt;=$S133),$V133,$U133)))=Milestones!$AB$39),UPPER(TEXT(EDATE($D133,Milestones!$AA$39),"dd mmm yy"))&amp;" "&amp;Milestones!$AB$39&amp;" "&amp;Milestones!$AC$39&amp;";  ",""))</f>
        <v/>
      </c>
      <c r="J133" s="0" t="str">
        <f aca="false">IF(OR($A133="",$D133=""),"",IF(AND(EDATE($D133,Milestones!$AA$40)&lt;=AsOfDate,IF($R133=0,$X133,IF(AND($T133&lt;&gt;"",EDATE($D133,Milestones!$AA$40)&gt;=$T133),$W133,IF(AND($S133&lt;&gt;"",EDATE($D133,Milestones!$AA$40)&gt;=$S133),$V133,$U133)))=Milestones!$AB$40),UPPER(TEXT(EDATE($D133,Milestones!$AA$40),"dd mmm yy"))&amp;" "&amp;Milestones!$AB$40&amp;" "&amp;Milestones!$AC$40&amp;";  ","")&amp;IF(AND(EDATE($D133,Milestones!$AA$41)&lt;=AsOfDate,IF($R133=0,$X133,IF(AND($T133&lt;&gt;"",EDATE($D133,Milestones!$AA$41)&gt;=$T133),$W133,IF(AND($S133&lt;&gt;"",EDATE($D133,Milestones!$AA$41)&gt;=$S133),$V133,$U133)))=Milestones!$AB$41),UPPER(TEXT(EDATE($D133,Milestones!$AA$41),"dd mmm yy"))&amp;" "&amp;Milestones!$AB$41&amp;" "&amp;Milestones!$AC$41&amp;";  ","")&amp;IF(AND(EDATE($D133,Milestones!$AA$42)&lt;=AsOfDate,IF($R133=0,$X133,IF(AND($T133&lt;&gt;"",EDATE($D133,Milestones!$AA$42)&gt;=$T133),$W133,IF(AND($S133&lt;&gt;"",EDATE($D133,Milestones!$AA$42)&gt;=$S133),$V133,$U133)))=Milestones!$AB$42),UPPER(TEXT(EDATE($D133,Milestones!$AA$42),"dd mmm yy"))&amp;" "&amp;Milestones!$AB$42&amp;" "&amp;Milestones!$AC$42&amp;";  ","")&amp;IF(AND(EDATE($D133,Milestones!$AA$43)&lt;=AsOfDate,IF($R133=0,$X133,IF(AND($T133&lt;&gt;"",EDATE($D133,Milestones!$AA$43)&gt;=$T133),$W133,IF(AND($S133&lt;&gt;"",EDATE($D133,Milestones!$AA$43)&gt;=$S133),$V133,$U133)))=Milestones!$AB$43),UPPER(TEXT(EDATE($D133,Milestones!$AA$43),"dd mmm yy"))&amp;" "&amp;Milestones!$AB$43&amp;" "&amp;Milestones!$AC$43&amp;";  ","")&amp;IF(AND(EDATE($D133,Milestones!$AA$44)&lt;=AsOfDate,IF($R133=0,$X133,IF(AND($T133&lt;&gt;"",EDATE($D133,Milestones!$AA$44)&gt;=$T133),$W133,IF(AND($S133&lt;&gt;"",EDATE($D133,Milestones!$AA$44)&gt;=$S133),$V133,$U133)))=Milestones!$AB$44),UPPER(TEXT(EDATE($D133,Milestones!$AA$44),"dd mmm yy"))&amp;" "&amp;Milestones!$AB$44&amp;" "&amp;Milestones!$AC$44&amp;";  ","")&amp;IF(AND(EDATE($D133,Milestones!$AA$45)&lt;=AsOfDate,IF($R133=0,$X133,IF(AND($T133&lt;&gt;"",EDATE($D133,Milestones!$AA$45)&gt;=$T133),$W133,IF(AND($S133&lt;&gt;"",EDATE($D133,Milestones!$AA$45)&gt;=$S133),$V133,$U133)))=Milestones!$AB$45),UPPER(TEXT(EDATE($D133,Milestones!$AA$45),"dd mmm yy"))&amp;" "&amp;Milestones!$AB$45&amp;" "&amp;Milestones!$AC$45&amp;";  ","")&amp;IF(AND(EDATE($D133,Milestones!$AA$46)&lt;=AsOfDate,IF($R133=0,$X133,IF(AND($T133&lt;&gt;"",EDATE($D133,Milestones!$AA$46)&gt;=$T133),$W133,IF(AND($S133&lt;&gt;"",EDATE($D133,Milestones!$AA$46)&gt;=$S133),$V133,$U133)))=Milestones!$AB$46),UPPER(TEXT(EDATE($D133,Milestones!$AA$46),"dd mmm yy"))&amp;" "&amp;Milestones!$AB$46&amp;" "&amp;Milestones!$AC$46&amp;";  ","")&amp;IF(AND(EDATE($D133,Milestones!$AA$47)&lt;=AsOfDate,IF($R133=0,$X133,IF(AND($T133&lt;&gt;"",EDATE($D133,Milestones!$AA$47)&gt;=$T133),$W133,IF(AND($S133&lt;&gt;"",EDATE($D133,Milestones!$AA$47)&gt;=$S133),$V133,$U133)))=Milestones!$AB$47),UPPER(TEXT(EDATE($D133,Milestones!$AA$47),"dd mmm yy"))&amp;" "&amp;Milestones!$AB$47&amp;" "&amp;Milestones!$AC$47&amp;";  ","")&amp;IF(AND(EDATE($D133,Milestones!$AA$48)&lt;=AsOfDate,IF($R133=0,$X133,IF(AND($T133&lt;&gt;"",EDATE($D133,Milestones!$AA$48)&gt;=$T133),$W133,IF(AND($S133&lt;&gt;"",EDATE($D133,Milestones!$AA$48)&gt;=$S133),$V133,$U133)))=Milestones!$AB$48),UPPER(TEXT(EDATE($D133,Milestones!$AA$48),"dd mmm yy"))&amp;" "&amp;Milestones!$AB$48&amp;" "&amp;Milestones!$AC$48&amp;";  ","")&amp;IF(AND(EDATE($D133,Milestones!$AA$49)&lt;=AsOfDate,IF($R133=0,$X133,IF(AND($T133&lt;&gt;"",EDATE($D133,Milestones!$AA$49)&gt;=$T133),$W133,IF(AND($S133&lt;&gt;"",EDATE($D133,Milestones!$AA$49)&gt;=$S133),$V133,$U133)))=Milestones!$AB$49),UPPER(TEXT(EDATE($D133,Milestones!$AA$49),"dd mmm yy"))&amp;" "&amp;Milestones!$AB$49&amp;" "&amp;Milestones!$AC$49&amp;";  ","")&amp;IF(AND(EDATE($D133,Milestones!$AA$50)&lt;=AsOfDate,IF($R133=0,$X133,IF(AND($T133&lt;&gt;"",EDATE($D133,Milestones!$AA$50)&gt;=$T133),$W133,IF(AND($S133&lt;&gt;"",EDATE($D133,Milestones!$AA$50)&gt;=$S133),$V133,$U133)))=Milestones!$AB$50),UPPER(TEXT(EDATE($D133,Milestones!$AA$50),"dd mmm yy"))&amp;" "&amp;Milestones!$AB$50&amp;" "&amp;Milestones!$AC$50&amp;";  ","")&amp;IF(AND(EDATE($D133,Milestones!$AA$51)&lt;=AsOfDate,IF($R133=0,$X133,IF(AND($T133&lt;&gt;"",EDATE($D133,Milestones!$AA$51)&gt;=$T133),$W133,IF(AND($S133&lt;&gt;"",EDATE($D133,Milestones!$AA$51)&gt;=$S133),$V133,$U133)))=Milestones!$AB$51),UPPER(TEXT(EDATE($D133,Milestones!$AA$51),"dd mmm yy"))&amp;" "&amp;Milestones!$AB$51&amp;" "&amp;Milestones!$AC$51&amp;";  ","")&amp;IF(AND(EDATE($D133,Milestones!$AA$52)&lt;=AsOfDate,IF($R133=0,$X133,IF(AND($T133&lt;&gt;"",EDATE($D133,Milestones!$AA$52)&gt;=$T133),$W133,IF(AND($S133&lt;&gt;"",EDATE($D133,Milestones!$AA$52)&gt;=$S133),$V133,$U133)))=Milestones!$AB$52),UPPER(TEXT(EDATE($D133,Milestones!$AA$52),"dd mmm yy"))&amp;" "&amp;Milestones!$AB$52&amp;" "&amp;Milestones!$AC$52&amp;";  ","")&amp;IF(AND(EDATE($D133,Milestones!$AA$53)&lt;=AsOfDate,IF($R133=0,$X133,IF(AND($T133&lt;&gt;"",EDATE($D133,Milestones!$AA$53)&gt;=$T133),$W133,IF(AND($S133&lt;&gt;"",EDATE($D133,Milestones!$AA$53)&gt;=$S133),$V133,$U133)))=Milestones!$AB$53),UPPER(TEXT(EDATE($D133,Milestones!$AA$53),"dd mmm yy"))&amp;" "&amp;Milestones!$AB$53&amp;" "&amp;Milestones!$AC$53&amp;";  ","")&amp;IF(AND(EDATE($D133,Milestones!$AA$54)&lt;=AsOfDate,IF($R133=0,$X133,IF(AND($T133&lt;&gt;"",EDATE($D133,Milestones!$AA$54)&gt;=$T133),$W133,IF(AND($S133&lt;&gt;"",EDATE($D133,Milestones!$AA$54)&gt;=$S133),$V133,$U133)))=Milestones!$AB$54),UPPER(TEXT(EDATE($D133,Milestones!$AA$54),"dd mmm yy"))&amp;" "&amp;Milestones!$AB$54&amp;" "&amp;Milestones!$AC$54&amp;";  ","")&amp;IF(AND(EDATE($D133,Milestones!$AA$55)&lt;=AsOfDate,IF($R133=0,$X133,IF(AND($T133&lt;&gt;"",EDATE($D133,Milestones!$AA$55)&gt;=$T133),$W133,IF(AND($S133&lt;&gt;"",EDATE($D133,Milestones!$AA$55)&gt;=$S133),$V133,$U133)))=Milestones!$AB$55),UPPER(TEXT(EDATE($D133,Milestones!$AA$55),"dd mmm yy"))&amp;" "&amp;Milestones!$AB$55&amp;" "&amp;Milestones!$AC$55&amp;";  ","")&amp;IF(AND(EDATE($D133,Milestones!$AA$56)&lt;=AsOfDate,IF($R133=0,$X133,IF(AND($T133&lt;&gt;"",EDATE($D133,Milestones!$AA$56)&gt;=$T133),$W133,IF(AND($S133&lt;&gt;"",EDATE($D133,Milestones!$AA$56)&gt;=$S133),$V133,$U133)))=Milestones!$AB$56),UPPER(TEXT(EDATE($D133,Milestones!$AA$56),"dd mmm yy"))&amp;" "&amp;Milestones!$AB$56&amp;" "&amp;Milestones!$AC$56&amp;";  ","")&amp;IF(AND(EDATE($D133,Milestones!$AA$57)&lt;=AsOfDate,IF($R133=0,$X133,IF(AND($T133&lt;&gt;"",EDATE($D133,Milestones!$AA$57)&gt;=$T133),$W133,IF(AND($S133&lt;&gt;"",EDATE($D133,Milestones!$AA$57)&gt;=$S133),$V133,$U133)))=Milestones!$AB$57),UPPER(TEXT(EDATE($D133,Milestones!$AA$57),"dd mmm yy"))&amp;" "&amp;Milestones!$AB$57&amp;" "&amp;Milestones!$AC$57&amp;";  ","")&amp;IF(AND(EDATE($D133,Milestones!$AA$58)&lt;=AsOfDate,IF($R133=0,$X133,IF(AND($T133&lt;&gt;"",EDATE($D133,Milestones!$AA$58)&gt;=$T133),$W133,IF(AND($S133&lt;&gt;"",EDATE($D133,Milestones!$AA$58)&gt;=$S133),$V133,$U133)))=Milestones!$AB$58),UPPER(TEXT(EDATE($D133,Milestones!$AA$58),"dd mmm yy"))&amp;" "&amp;Milestones!$AB$58&amp;" "&amp;Milestones!$AC$58&amp;";  ","")&amp;IF(AND(EDATE($D133,Milestones!$AA$59)&lt;=AsOfDate,IF($R133=0,$X133,IF(AND($T133&lt;&gt;"",EDATE($D133,Milestones!$AA$59)&gt;=$T133),$W133,IF(AND($S133&lt;&gt;"",EDATE($D133,Milestones!$AA$59)&gt;=$S133),$V133,$U133)))=Milestones!$AB$59),UPPER(TEXT(EDATE($D133,Milestones!$AA$59),"dd mmm yy"))&amp;" "&amp;Milestones!$AB$59&amp;" "&amp;Milestones!$AC$59&amp;";  ",""))</f>
        <v/>
      </c>
      <c r="K133" s="0" t="str">
        <f aca="false">IF(OR($A133="",$D133=""),"",IF(AND(EDATE($D133,Milestones!$AA$60)&lt;=AsOfDate,IF($R133=0,$X133,IF(AND($T133&lt;&gt;"",EDATE($D133,Milestones!$AA$60)&gt;=$T133),$W133,IF(AND($S133&lt;&gt;"",EDATE($D133,Milestones!$AA$60)&gt;=$S133),$V133,$U133)))=Milestones!$AB$60),UPPER(TEXT(EDATE($D133,Milestones!$AA$60),"dd mmm yy"))&amp;" "&amp;Milestones!$AB$60&amp;" "&amp;Milestones!$AC$60&amp;";  ","")&amp;IF(AND(EDATE($D133,Milestones!$AA$61)&lt;=AsOfDate,IF($R133=0,$X133,IF(AND($T133&lt;&gt;"",EDATE($D133,Milestones!$AA$61)&gt;=$T133),$W133,IF(AND($S133&lt;&gt;"",EDATE($D133,Milestones!$AA$61)&gt;=$S133),$V133,$U133)))=Milestones!$AB$61),UPPER(TEXT(EDATE($D133,Milestones!$AA$61),"dd mmm yy"))&amp;" "&amp;Milestones!$AB$61&amp;" "&amp;Milestones!$AC$61&amp;";  ","")&amp;IF(AND(EDATE($D133,Milestones!$AA$62)&lt;=AsOfDate,IF($R133=0,$X133,IF(AND($T133&lt;&gt;"",EDATE($D133,Milestones!$AA$62)&gt;=$T133),$W133,IF(AND($S133&lt;&gt;"",EDATE($D133,Milestones!$AA$62)&gt;=$S133),$V133,$U133)))=Milestones!$AB$62),UPPER(TEXT(EDATE($D133,Milestones!$AA$62),"dd mmm yy"))&amp;" "&amp;Milestones!$AB$62&amp;" "&amp;Milestones!$AC$62&amp;";  ","")&amp;IF(AND(EDATE($D133,Milestones!$AA$63)&lt;=AsOfDate,IF($R133=0,$X133,IF(AND($T133&lt;&gt;"",EDATE($D133,Milestones!$AA$63)&gt;=$T133),$W133,IF(AND($S133&lt;&gt;"",EDATE($D133,Milestones!$AA$63)&gt;=$S133),$V133,$U133)))=Milestones!$AB$63),UPPER(TEXT(EDATE($D133,Milestones!$AA$63),"dd mmm yy"))&amp;" "&amp;Milestones!$AB$63&amp;" "&amp;Milestones!$AC$63&amp;";  ","")&amp;IF(AND(EDATE($D133,Milestones!$AA$64)&lt;=AsOfDate,IF($R133=0,$X133,IF(AND($T133&lt;&gt;"",EDATE($D133,Milestones!$AA$64)&gt;=$T133),$W133,IF(AND($S133&lt;&gt;"",EDATE($D133,Milestones!$AA$64)&gt;=$S133),$V133,$U133)))=Milestones!$AB$64),UPPER(TEXT(EDATE($D133,Milestones!$AA$64),"dd mmm yy"))&amp;" "&amp;Milestones!$AB$64&amp;" "&amp;Milestones!$AC$64&amp;";  ","")&amp;IF(AND(EDATE($D133,Milestones!$AA$65)&lt;=AsOfDate,IF($R133=0,$X133,IF(AND($T133&lt;&gt;"",EDATE($D133,Milestones!$AA$65)&gt;=$T133),$W133,IF(AND($S133&lt;&gt;"",EDATE($D133,Milestones!$AA$65)&gt;=$S133),$V133,$U133)))=Milestones!$AB$65),UPPER(TEXT(EDATE($D133,Milestones!$AA$65),"dd mmm yy"))&amp;" "&amp;Milestones!$AB$65&amp;" "&amp;Milestones!$AC$65&amp;";  ","")&amp;IF(AND(EDATE($D133,Milestones!$AA$66)&lt;=AsOfDate,IF($R133=0,$X133,IF(AND($T133&lt;&gt;"",EDATE($D133,Milestones!$AA$66)&gt;=$T133),$W133,IF(AND($S133&lt;&gt;"",EDATE($D133,Milestones!$AA$66)&gt;=$S133),$V133,$U133)))=Milestones!$AB$66),UPPER(TEXT(EDATE($D133,Milestones!$AA$66),"dd mmm yy"))&amp;" "&amp;Milestones!$AB$66&amp;" "&amp;Milestones!$AC$66&amp;";  ","")&amp;IF(AND(EDATE($D133,Milestones!$AA$67)&lt;=AsOfDate,IF($R133=0,$X133,IF(AND($T133&lt;&gt;"",EDATE($D133,Milestones!$AA$67)&gt;=$T133),$W133,IF(AND($S133&lt;&gt;"",EDATE($D133,Milestones!$AA$67)&gt;=$S133),$V133,$U133)))=Milestones!$AB$67),UPPER(TEXT(EDATE($D133,Milestones!$AA$67),"dd mmm yy"))&amp;" "&amp;Milestones!$AB$67&amp;" "&amp;Milestones!$AC$67&amp;";  ","")&amp;IF(AND(EDATE($D133,Milestones!$AA$68)&lt;=AsOfDate,IF($R133=0,$X133,IF(AND($T133&lt;&gt;"",EDATE($D133,Milestones!$AA$68)&gt;=$T133),$W133,IF(AND($S133&lt;&gt;"",EDATE($D133,Milestones!$AA$68)&gt;=$S133),$V133,$U133)))=Milestones!$AB$68),UPPER(TEXT(EDATE($D133,Milestones!$AA$68),"dd mmm yy"))&amp;" "&amp;Milestones!$AB$68&amp;" "&amp;Milestones!$AC$68&amp;";  ","")&amp;IF(AND(EDATE($D133,Milestones!$AA$69)&lt;=AsOfDate,IF($R133=0,$X133,IF(AND($T133&lt;&gt;"",EDATE($D133,Milestones!$AA$69)&gt;=$T133),$W133,IF(AND($S133&lt;&gt;"",EDATE($D133,Milestones!$AA$69)&gt;=$S133),$V133,$U133)))=Milestones!$AB$69),UPPER(TEXT(EDATE($D133,Milestones!$AA$69),"dd mmm yy"))&amp;" "&amp;Milestones!$AB$69&amp;" "&amp;Milestones!$AC$69&amp;";  ","")&amp;IF(AND(EDATE($D133,Milestones!$AA$70)&lt;=AsOfDate,IF($R133=0,$X133,IF(AND($T133&lt;&gt;"",EDATE($D133,Milestones!$AA$70)&gt;=$T133),$W133,IF(AND($S133&lt;&gt;"",EDATE($D133,Milestones!$AA$70)&gt;=$S133),$V133,$U133)))=Milestones!$AB$70),UPPER(TEXT(EDATE($D133,Milestones!$AA$70),"dd mmm yy"))&amp;" "&amp;Milestones!$AB$70&amp;" "&amp;Milestones!$AC$70&amp;";  ","")&amp;IF(AND(EDATE($D133,Milestones!$AA$71)&lt;=AsOfDate,IF($R133=0,$X133,IF(AND($T133&lt;&gt;"",EDATE($D133,Milestones!$AA$71)&gt;=$T133),$W133,IF(AND($S133&lt;&gt;"",EDATE($D133,Milestones!$AA$71)&gt;=$S133),$V133,$U133)))=Milestones!$AB$71),UPPER(TEXT(EDATE($D133,Milestones!$AA$71),"dd mmm yy"))&amp;" "&amp;Milestones!$AB$71&amp;" "&amp;Milestones!$AC$71&amp;";  ","")&amp;IF(AND(EDATE($D133,Milestones!$AA$72)&lt;=AsOfDate,IF($R133=0,$X133,IF(AND($T133&lt;&gt;"",EDATE($D133,Milestones!$AA$72)&gt;=$T133),$W133,IF(AND($S133&lt;&gt;"",EDATE($D133,Milestones!$AA$72)&gt;=$S133),$V133,$U133)))=Milestones!$AB$72),UPPER(TEXT(EDATE($D133,Milestones!$AA$72),"dd mmm yy"))&amp;" "&amp;Milestones!$AB$72&amp;" "&amp;Milestones!$AC$72&amp;";  ","")&amp;IF(AND(EDATE($D133,Milestones!$AA$73)&lt;=AsOfDate,IF($R133=0,$X133,IF(AND($T133&lt;&gt;"",EDATE($D133,Milestones!$AA$73)&gt;=$T133),$W133,IF(AND($S133&lt;&gt;"",EDATE($D133,Milestones!$AA$73)&gt;=$S133),$V133,$U133)))=Milestones!$AB$73),UPPER(TEXT(EDATE($D133,Milestones!$AA$73),"dd mmm yy"))&amp;" "&amp;Milestones!$AB$73&amp;" "&amp;Milestones!$AC$73&amp;";  ","")&amp;IF(AND(EDATE($D133,Milestones!$AA$74)&lt;=AsOfDate,IF($R133=0,$X133,IF(AND($T133&lt;&gt;"",EDATE($D133,Milestones!$AA$74)&gt;=$T133),$W133,IF(AND($S133&lt;&gt;"",EDATE($D133,Milestones!$AA$74)&gt;=$S133),$V133,$U133)))=Milestones!$AB$74),UPPER(TEXT(EDATE($D133,Milestones!$AA$74),"dd mmm yy"))&amp;" "&amp;Milestones!$AB$74&amp;" "&amp;Milestones!$AC$74&amp;";  ","")&amp;IF(AND(EDATE($D133,Milestones!$AA$75)&lt;=AsOfDate,IF($R133=0,$X133,IF(AND($T133&lt;&gt;"",EDATE($D133,Milestones!$AA$75)&gt;=$T133),$W133,IF(AND($S133&lt;&gt;"",EDATE($D133,Milestones!$AA$75)&gt;=$S133),$V133,$U133)))=Milestones!$AB$75),UPPER(TEXT(EDATE($D133,Milestones!$AA$75),"dd mmm yy"))&amp;" "&amp;Milestones!$AB$75&amp;" "&amp;Milestones!$AC$75&amp;";  ","")&amp;IF(AND(EDATE($D133,Milestones!$AA$76)&lt;=AsOfDate,IF($R133=0,$X133,IF(AND($T133&lt;&gt;"",EDATE($D133,Milestones!$AA$76)&gt;=$T133),$W133,IF(AND($S133&lt;&gt;"",EDATE($D133,Milestones!$AA$76)&gt;=$S133),$V133,$U133)))=Milestones!$AB$76),UPPER(TEXT(EDATE($D133,Milestones!$AA$76),"dd mmm yy"))&amp;" "&amp;Milestones!$AB$76&amp;" "&amp;Milestones!$AC$76&amp;";  ","")&amp;IF(AND(EDATE($D133,Milestones!$AA$77)&lt;=AsOfDate,IF($R133=0,$X133,IF(AND($T133&lt;&gt;"",EDATE($D133,Milestones!$AA$77)&gt;=$T133),$W133,IF(AND($S133&lt;&gt;"",EDATE($D133,Milestones!$AA$77)&gt;=$S133),$V133,$U133)))=Milestones!$AB$77),UPPER(TEXT(EDATE($D133,Milestones!$AA$77),"dd mmm yy"))&amp;" "&amp;Milestones!$AB$77&amp;" "&amp;Milestones!$AC$77&amp;";  ","")&amp;IF(AND(EDATE($D133,Milestones!$AA$78)&lt;=AsOfDate,IF($R133=0,$X133,IF(AND($T133&lt;&gt;"",EDATE($D133,Milestones!$AA$78)&gt;=$T133),$W133,IF(AND($S133&lt;&gt;"",EDATE($D133,Milestones!$AA$78)&gt;=$S133),$V133,$U133)))=Milestones!$AB$78),UPPER(TEXT(EDATE($D133,Milestones!$AA$78),"dd mmm yy"))&amp;" "&amp;Milestones!$AB$78&amp;" "&amp;Milestones!$AC$78&amp;";  ","")&amp;IF(AND(EDATE($D133,Milestones!$AA$79)&lt;=AsOfDate,IF($R133=0,$X133,IF(AND($T133&lt;&gt;"",EDATE($D133,Milestones!$AA$79)&gt;=$T133),$W133,IF(AND($S133&lt;&gt;"",EDATE($D133,Milestones!$AA$79)&gt;=$S133),$V133,$U133)))=Milestones!$AB$79),UPPER(TEXT(EDATE($D133,Milestones!$AA$79),"dd mmm yy"))&amp;" "&amp;Milestones!$AB$79&amp;" "&amp;Milestones!$AC$79&amp;";  ",""))</f>
        <v/>
      </c>
      <c r="L133" s="0" t="str">
        <f aca="false">IF(OR($A133="",$D133=""),"",IF(AND(EDATE($D133,Milestones!$AA$80)&lt;=AsOfDate,IF($R133=0,$X133,IF(AND($T133&lt;&gt;"",EDATE($D133,Milestones!$AA$80)&gt;=$T133),$W133,IF(AND($S133&lt;&gt;"",EDATE($D133,Milestones!$AA$80)&gt;=$S133),$V133,$U133)))=Milestones!$AB$80),UPPER(TEXT(EDATE($D133,Milestones!$AA$80),"dd mmm yy"))&amp;" "&amp;Milestones!$AB$80&amp;" "&amp;Milestones!$AC$80&amp;";  ","")&amp;IF(AND(EDATE($D133,Milestones!$AA$81)&lt;=AsOfDate,IF($R133=0,$X133,IF(AND($T133&lt;&gt;"",EDATE($D133,Milestones!$AA$81)&gt;=$T133),$W133,IF(AND($S133&lt;&gt;"",EDATE($D133,Milestones!$AA$81)&gt;=$S133),$V133,$U133)))=Milestones!$AB$81),UPPER(TEXT(EDATE($D133,Milestones!$AA$81),"dd mmm yy"))&amp;" "&amp;Milestones!$AB$81&amp;" "&amp;Milestones!$AC$81&amp;";  ","")&amp;IF(AND(EDATE($D133,Milestones!$AA$82)&lt;=AsOfDate,IF($R133=0,$X133,IF(AND($T133&lt;&gt;"",EDATE($D133,Milestones!$AA$82)&gt;=$T133),$W133,IF(AND($S133&lt;&gt;"",EDATE($D133,Milestones!$AA$82)&gt;=$S133),$V133,$U133)))=Milestones!$AB$82),UPPER(TEXT(EDATE($D133,Milestones!$AA$82),"dd mmm yy"))&amp;" "&amp;Milestones!$AB$82&amp;" "&amp;Milestones!$AC$82&amp;";  ","")&amp;IF(AND(EDATE($D133,Milestones!$AA$83)&lt;=AsOfDate,IF($R133=0,$X133,IF(AND($T133&lt;&gt;"",EDATE($D133,Milestones!$AA$83)&gt;=$T133),$W133,IF(AND($S133&lt;&gt;"",EDATE($D133,Milestones!$AA$83)&gt;=$S133),$V133,$U133)))=Milestones!$AB$83),UPPER(TEXT(EDATE($D133,Milestones!$AA$83),"dd mmm yy"))&amp;" "&amp;Milestones!$AB$83&amp;" "&amp;Milestones!$AC$83&amp;";  ","")&amp;IF(AND(EDATE($D133,Milestones!$AA$84)&lt;=AsOfDate,IF($R133=0,$X133,IF(AND($T133&lt;&gt;"",EDATE($D133,Milestones!$AA$84)&gt;=$T133),$W133,IF(AND($S133&lt;&gt;"",EDATE($D133,Milestones!$AA$84)&gt;=$S133),$V133,$U133)))=Milestones!$AB$84),UPPER(TEXT(EDATE($D133,Milestones!$AA$84),"dd mmm yy"))&amp;" "&amp;Milestones!$AB$84&amp;" "&amp;Milestones!$AC$84&amp;";  ","")&amp;IF(AND(EDATE($D133,Milestones!$AA$85)&lt;=AsOfDate,IF($R133=0,$X133,IF(AND($T133&lt;&gt;"",EDATE($D133,Milestones!$AA$85)&gt;=$T133),$W133,IF(AND($S133&lt;&gt;"",EDATE($D133,Milestones!$AA$85)&gt;=$S133),$V133,$U133)))=Milestones!$AB$85),UPPER(TEXT(EDATE($D133,Milestones!$AA$85),"dd mmm yy"))&amp;" "&amp;Milestones!$AB$85&amp;" "&amp;Milestones!$AC$85&amp;";  ","")&amp;IF(AND(EDATE($D133,Milestones!$AA$86)&lt;=AsOfDate,IF($R133=0,$X133,IF(AND($T133&lt;&gt;"",EDATE($D133,Milestones!$AA$86)&gt;=$T133),$W133,IF(AND($S133&lt;&gt;"",EDATE($D133,Milestones!$AA$86)&gt;=$S133),$V133,$U133)))=Milestones!$AB$86),UPPER(TEXT(EDATE($D133,Milestones!$AA$86),"dd mmm yy"))&amp;" "&amp;Milestones!$AB$86&amp;" "&amp;Milestones!$AC$86&amp;";  ","")&amp;IF(AND(EDATE($D133,Milestones!$AA$87)&lt;=AsOfDate,IF($R133=0,$X133,IF(AND($T133&lt;&gt;"",EDATE($D133,Milestones!$AA$87)&gt;=$T133),$W133,IF(AND($S133&lt;&gt;"",EDATE($D133,Milestones!$AA$87)&gt;=$S133),$V133,$U133)))=Milestones!$AB$87),UPPER(TEXT(EDATE($D133,Milestones!$AA$87),"dd mmm yy"))&amp;" "&amp;Milestones!$AB$87&amp;" "&amp;Milestones!$AC$87&amp;";  ","")&amp;IF(AND(EDATE($D133,Milestones!$AA$88)&lt;=AsOfDate,IF($R133=0,$X133,IF(AND($T133&lt;&gt;"",EDATE($D133,Milestones!$AA$88)&gt;=$T133),$W133,IF(AND($S133&lt;&gt;"",EDATE($D133,Milestones!$AA$88)&gt;=$S133),$V133,$U133)))=Milestones!$AB$88),UPPER(TEXT(EDATE($D133,Milestones!$AA$88),"dd mmm yy"))&amp;" "&amp;Milestones!$AB$88&amp;" "&amp;Milestones!$AC$88&amp;";  ","")&amp;IF(AND(EDATE($D133,Milestones!$AA$89)&lt;=AsOfDate,IF($R133=0,$X133,IF(AND($T133&lt;&gt;"",EDATE($D133,Milestones!$AA$89)&gt;=$T133),$W133,IF(AND($S133&lt;&gt;"",EDATE($D133,Milestones!$AA$89)&gt;=$S133),$V133,$U133)))=Milestones!$AB$89),UPPER(TEXT(EDATE($D133,Milestones!$AA$89),"dd mmm yy"))&amp;" "&amp;Milestones!$AB$89&amp;" "&amp;Milestones!$AC$89&amp;";  ","")&amp;IF(AND(EDATE($D133,Milestones!$AA$90)&lt;=AsOfDate,IF($R133=0,$X133,IF(AND($T133&lt;&gt;"",EDATE($D133,Milestones!$AA$90)&gt;=$T133),$W133,IF(AND($S133&lt;&gt;"",EDATE($D133,Milestones!$AA$90)&gt;=$S133),$V133,$U133)))=Milestones!$AB$90),UPPER(TEXT(EDATE($D133,Milestones!$AA$90),"dd mmm yy"))&amp;" "&amp;Milestones!$AB$90&amp;" "&amp;Milestones!$AC$90&amp;";  ","")&amp;IF(AND(EDATE($D133,Milestones!$AA$91)&lt;=AsOfDate,IF($R133=0,$X133,IF(AND($T133&lt;&gt;"",EDATE($D133,Milestones!$AA$91)&gt;=$T133),$W133,IF(AND($S133&lt;&gt;"",EDATE($D133,Milestones!$AA$91)&gt;=$S133),$V133,$U133)))=Milestones!$AB$91),UPPER(TEXT(EDATE($D133,Milestones!$AA$91),"dd mmm yy"))&amp;" "&amp;Milestones!$AB$91&amp;" "&amp;Milestones!$AC$91&amp;";  ","")&amp;IF(AND(EDATE($D133,Milestones!$AA$92)&lt;=AsOfDate,IF($R133=0,$X133,IF(AND($T133&lt;&gt;"",EDATE($D133,Milestones!$AA$92)&gt;=$T133),$W133,IF(AND($S133&lt;&gt;"",EDATE($D133,Milestones!$AA$92)&gt;=$S133),$V133,$U133)))=Milestones!$AB$92),UPPER(TEXT(EDATE($D133,Milestones!$AA$92),"dd mmm yy"))&amp;" "&amp;Milestones!$AB$92&amp;" "&amp;Milestones!$AC$92&amp;";  ","")&amp;IF(AND(EDATE($D133,Milestones!$AA$93)&lt;=AsOfDate,IF($R133=0,$X133,IF(AND($T133&lt;&gt;"",EDATE($D133,Milestones!$AA$93)&gt;=$T133),$W133,IF(AND($S133&lt;&gt;"",EDATE($D133,Milestones!$AA$93)&gt;=$S133),$V133,$U133)))=Milestones!$AB$93),UPPER(TEXT(EDATE($D133,Milestones!$AA$93),"dd mmm yy"))&amp;" "&amp;Milestones!$AB$93&amp;" "&amp;Milestones!$AC$93&amp;";  ","")&amp;IF(AND(EDATE($D133,Milestones!$AA$94)&lt;=AsOfDate,IF($R133=0,$X133,IF(AND($T133&lt;&gt;"",EDATE($D133,Milestones!$AA$94)&gt;=$T133),$W133,IF(AND($S133&lt;&gt;"",EDATE($D133,Milestones!$AA$94)&gt;=$S133),$V133,$U133)))=Milestones!$AB$94),UPPER(TEXT(EDATE($D133,Milestones!$AA$94),"dd mmm yy"))&amp;" "&amp;Milestones!$AB$94&amp;" "&amp;Milestones!$AC$94&amp;";  ","")&amp;IF(AND(EDATE($D133,Milestones!$AA$95)&lt;=AsOfDate,IF($R133=0,$X133,IF(AND($T133&lt;&gt;"",EDATE($D133,Milestones!$AA$95)&gt;=$T133),$W133,IF(AND($S133&lt;&gt;"",EDATE($D133,Milestones!$AA$95)&gt;=$S133),$V133,$U133)))=Milestones!$AB$95),UPPER(TEXT(EDATE($D133,Milestones!$AA$95),"dd mmm yy"))&amp;" "&amp;Milestones!$AB$95&amp;" "&amp;Milestones!$AC$95&amp;";  ","")&amp;IF(AND(EDATE($D133,Milestones!$AA$96)&lt;=AsOfDate,IF($R133=0,$X133,IF(AND($T133&lt;&gt;"",EDATE($D133,Milestones!$AA$96)&gt;=$T133),$W133,IF(AND($S133&lt;&gt;"",EDATE($D133,Milestones!$AA$96)&gt;=$S133),$V133,$U133)))=Milestones!$AB$96),UPPER(TEXT(EDATE($D133,Milestones!$AA$96),"dd mmm yy"))&amp;" "&amp;Milestones!$AB$96&amp;" "&amp;Milestones!$AC$96&amp;";  ","")&amp;IF(AND(EDATE($D133,Milestones!$AA$97)&lt;=AsOfDate,IF($R133=0,$X133,IF(AND($T133&lt;&gt;"",EDATE($D133,Milestones!$AA$97)&gt;=$T133),$W133,IF(AND($S133&lt;&gt;"",EDATE($D133,Milestones!$AA$97)&gt;=$S133),$V133,$U133)))=Milestones!$AB$97),UPPER(TEXT(EDATE($D133,Milestones!$AA$97),"dd mmm yy"))&amp;" "&amp;Milestones!$AB$97&amp;" "&amp;Milestones!$AC$97&amp;";  ","")&amp;IF(AND(EDATE($D133,Milestones!$AA$98)&lt;=AsOfDate,IF($R133=0,$X133,IF(AND($T133&lt;&gt;"",EDATE($D133,Milestones!$AA$98)&gt;=$T133),$W133,IF(AND($S133&lt;&gt;"",EDATE($D133,Milestones!$AA$98)&gt;=$S133),$V133,$U133)))=Milestones!$AB$98),UPPER(TEXT(EDATE($D133,Milestones!$AA$98),"dd mmm yy"))&amp;" "&amp;Milestones!$AB$98&amp;" "&amp;Milestones!$AC$98&amp;";  ","")&amp;IF(AND(EDATE($D133,Milestones!$AA$99)&lt;=AsOfDate,IF($R133=0,$X133,IF(AND($T133&lt;&gt;"",EDATE($D133,Milestones!$AA$99)&gt;=$T133),$W133,IF(AND($S133&lt;&gt;"",EDATE($D133,Milestones!$AA$99)&gt;=$S133),$V133,$U133)))=Milestones!$AB$99),UPPER(TEXT(EDATE($D133,Milestones!$AA$99),"dd mmm yy"))&amp;" "&amp;Milestones!$AB$99&amp;" "&amp;Milestones!$AC$99&amp;";  ",""))</f>
        <v/>
      </c>
      <c r="M133" s="0" t="str">
        <f aca="false">IF(OR($A133="",$D133=""),"",IF(AND(EDATE($D133,Milestones!$AA$100)&lt;=AsOfDate,IF($R133=0,$X133,IF(AND($T133&lt;&gt;"",EDATE($D133,Milestones!$AA$100)&gt;=$T133),$W133,IF(AND($S133&lt;&gt;"",EDATE($D133,Milestones!$AA$100)&gt;=$S133),$V133,$U133)))=Milestones!$AB$100),UPPER(TEXT(EDATE($D133,Milestones!$AA$100),"dd mmm yy"))&amp;" "&amp;Milestones!$AB$100&amp;" "&amp;Milestones!$AC$100&amp;";  ","")&amp;IF(AND(EDATE($D133,Milestones!$AA$101)&lt;=AsOfDate,IF($R133=0,$X133,IF(AND($T133&lt;&gt;"",EDATE($D133,Milestones!$AA$101)&gt;=$T133),$W133,IF(AND($S133&lt;&gt;"",EDATE($D133,Milestones!$AA$101)&gt;=$S133),$V133,$U133)))=Milestones!$AB$101),UPPER(TEXT(EDATE($D133,Milestones!$AA$101),"dd mmm yy"))&amp;" "&amp;Milestones!$AB$101&amp;" "&amp;Milestones!$AC$101&amp;";  ","")&amp;IF(AND(EDATE($D133,Milestones!$AA$102)&lt;=AsOfDate,IF($R133=0,$X133,IF(AND($T133&lt;&gt;"",EDATE($D133,Milestones!$AA$102)&gt;=$T133),$W133,IF(AND($S133&lt;&gt;"",EDATE($D133,Milestones!$AA$102)&gt;=$S133),$V133,$U133)))=Milestones!$AB$102),UPPER(TEXT(EDATE($D133,Milestones!$AA$102),"dd mmm yy"))&amp;" "&amp;Milestones!$AB$102&amp;" "&amp;Milestones!$AC$102&amp;";  ","")&amp;IF(AND(EDATE($D133,Milestones!$AA$103)&lt;=AsOfDate,IF($R133=0,$X133,IF(AND($T133&lt;&gt;"",EDATE($D133,Milestones!$AA$103)&gt;=$T133),$W133,IF(AND($S133&lt;&gt;"",EDATE($D133,Milestones!$AA$103)&gt;=$S133),$V133,$U133)))=Milestones!$AB$103),UPPER(TEXT(EDATE($D133,Milestones!$AA$103),"dd mmm yy"))&amp;" "&amp;Milestones!$AB$103&amp;" "&amp;Milestones!$AC$103&amp;";  ","")&amp;IF(AND(EDATE($D133,Milestones!$AA$104)&lt;=AsOfDate,IF($R133=0,$X133,IF(AND($T133&lt;&gt;"",EDATE($D133,Milestones!$AA$104)&gt;=$T133),$W133,IF(AND($S133&lt;&gt;"",EDATE($D133,Milestones!$AA$104)&gt;=$S133),$V133,$U133)))=Milestones!$AB$104),UPPER(TEXT(EDATE($D133,Milestones!$AA$104),"dd mmm yy"))&amp;" "&amp;Milestones!$AB$104&amp;" "&amp;Milestones!$AC$104&amp;";  ","")&amp;IF(AND(EDATE($D133,Milestones!$AA$105)&lt;=AsOfDate,IF($R133=0,$X133,IF(AND($T133&lt;&gt;"",EDATE($D133,Milestones!$AA$105)&gt;=$T133),$W133,IF(AND($S133&lt;&gt;"",EDATE($D133,Milestones!$AA$105)&gt;=$S133),$V133,$U133)))=Milestones!$AB$105),UPPER(TEXT(EDATE($D133,Milestones!$AA$105),"dd mmm yy"))&amp;" "&amp;Milestones!$AB$105&amp;" "&amp;Milestones!$AC$105&amp;";  ","")&amp;IF(AND(EDATE($D133,Milestones!$AA$106)&lt;=AsOfDate,IF($R133=0,$X133,IF(AND($T133&lt;&gt;"",EDATE($D133,Milestones!$AA$106)&gt;=$T133),$W133,IF(AND($S133&lt;&gt;"",EDATE($D133,Milestones!$AA$106)&gt;=$S133),$V133,$U133)))=Milestones!$AB$106),UPPER(TEXT(EDATE($D133,Milestones!$AA$106),"dd mmm yy"))&amp;" "&amp;Milestones!$AB$106&amp;" "&amp;Milestones!$AC$106&amp;";  ","")&amp;IF(AND(EDATE($D133,Milestones!$AA$107)&lt;=AsOfDate,IF($R133=0,$X133,IF(AND($T133&lt;&gt;"",EDATE($D133,Milestones!$AA$107)&gt;=$T133),$W133,IF(AND($S133&lt;&gt;"",EDATE($D133,Milestones!$AA$107)&gt;=$S133),$V133,$U133)))=Milestones!$AB$107),UPPER(TEXT(EDATE($D133,Milestones!$AA$107),"dd mmm yy"))&amp;" "&amp;Milestones!$AB$107&amp;" "&amp;Milestones!$AC$107&amp;";  ","")&amp;IF(AND(EDATE($D133,Milestones!$AA$108)&lt;=AsOfDate,IF($R133=0,$X133,IF(AND($T133&lt;&gt;"",EDATE($D133,Milestones!$AA$108)&gt;=$T133),$W133,IF(AND($S133&lt;&gt;"",EDATE($D133,Milestones!$AA$108)&gt;=$S133),$V133,$U133)))=Milestones!$AB$108),UPPER(TEXT(EDATE($D133,Milestones!$AA$108),"dd mmm yy"))&amp;" "&amp;Milestones!$AB$108&amp;" "&amp;Milestones!$AC$108&amp;";  ","")&amp;IF(AND(EDATE($D133,Milestones!$AA$109)&lt;=AsOfDate,IF($R133=0,$X133,IF(AND($T133&lt;&gt;"",EDATE($D133,Milestones!$AA$109)&gt;=$T133),$W133,IF(AND($S133&lt;&gt;"",EDATE($D133,Milestones!$AA$109)&gt;=$S133),$V133,$U133)))=Milestones!$AB$109),UPPER(TEXT(EDATE($D133,Milestones!$AA$109),"dd mmm yy"))&amp;" "&amp;Milestones!$AB$109&amp;" "&amp;Milestones!$AC$109&amp;";  ","")&amp;IF(AND(EDATE($D133,Milestones!$AA$110)&lt;=AsOfDate,IF($R133=0,$X133,IF(AND($T133&lt;&gt;"",EDATE($D133,Milestones!$AA$110)&gt;=$T133),$W133,IF(AND($S133&lt;&gt;"",EDATE($D133,Milestones!$AA$110)&gt;=$S133),$V133,$U133)))=Milestones!$AB$110),UPPER(TEXT(EDATE($D133,Milestones!$AA$110),"dd mmm yy"))&amp;" "&amp;Milestones!$AB$110&amp;" "&amp;Milestones!$AC$110&amp;";  ","")&amp;IF(AND(EDATE($D133,Milestones!$AA$111)&lt;=AsOfDate,IF($R133=0,$X133,IF(AND($T133&lt;&gt;"",EDATE($D133,Milestones!$AA$111)&gt;=$T133),$W133,IF(AND($S133&lt;&gt;"",EDATE($D133,Milestones!$AA$111)&gt;=$S133),$V133,$U133)))=Milestones!$AB$111),UPPER(TEXT(EDATE($D133,Milestones!$AA$111),"dd mmm yy"))&amp;" "&amp;Milestones!$AB$111&amp;" "&amp;Milestones!$AC$111&amp;";  ","")&amp;IF(AND(EDATE($D133,Milestones!$AA$112)&lt;=AsOfDate,IF($R133=0,$X133,IF(AND($T133&lt;&gt;"",EDATE($D133,Milestones!$AA$112)&gt;=$T133),$W133,IF(AND($S133&lt;&gt;"",EDATE($D133,Milestones!$AA$112)&gt;=$S133),$V133,$U133)))=Milestones!$AB$112),UPPER(TEXT(EDATE($D133,Milestones!$AA$112),"dd mmm yy"))&amp;" "&amp;Milestones!$AB$112&amp;" "&amp;Milestones!$AC$112&amp;";  ","")&amp;IF(AND(EDATE($D133,Milestones!$AA$113)&lt;=AsOfDate,IF($R133=0,$X133,IF(AND($T133&lt;&gt;"",EDATE($D133,Milestones!$AA$113)&gt;=$T133),$W133,IF(AND($S133&lt;&gt;"",EDATE($D133,Milestones!$AA$113)&gt;=$S133),$V133,$U133)))=Milestones!$AB$113),UPPER(TEXT(EDATE($D133,Milestones!$AA$113),"dd mmm yy"))&amp;" "&amp;Milestones!$AB$113&amp;" "&amp;Milestones!$AC$113&amp;";  ","")&amp;IF(AND(EDATE($D133,Milestones!$AA$114)&lt;=AsOfDate,IF($R133=0,$X133,IF(AND($T133&lt;&gt;"",EDATE($D133,Milestones!$AA$114)&gt;=$T133),$W133,IF(AND($S133&lt;&gt;"",EDATE($D133,Milestones!$AA$114)&gt;=$S133),$V133,$U133)))=Milestones!$AB$114),UPPER(TEXT(EDATE($D133,Milestones!$AA$114),"dd mmm yy"))&amp;" "&amp;Milestones!$AB$114&amp;" "&amp;Milestones!$AC$114&amp;";  ","")&amp;IF(AND(EDATE($D133,Milestones!$AA$115)&lt;=AsOfDate,IF($R133=0,$X133,IF(AND($T133&lt;&gt;"",EDATE($D133,Milestones!$AA$115)&gt;=$T133),$W133,IF(AND($S133&lt;&gt;"",EDATE($D133,Milestones!$AA$115)&gt;=$S133),$V133,$U133)))=Milestones!$AB$115),UPPER(TEXT(EDATE($D133,Milestones!$AA$115),"dd mmm yy"))&amp;" "&amp;Milestones!$AB$115&amp;" "&amp;Milestones!$AC$115&amp;";  ","")&amp;IF(AND(EDATE($D133,Milestones!$AA$116)&lt;=AsOfDate,IF($R133=0,$X133,IF(AND($T133&lt;&gt;"",EDATE($D133,Milestones!$AA$116)&gt;=$T133),$W133,IF(AND($S133&lt;&gt;"",EDATE($D133,Milestones!$AA$116)&gt;=$S133),$V133,$U133)))=Milestones!$AB$116),UPPER(TEXT(EDATE($D133,Milestones!$AA$116),"dd mmm yy"))&amp;" "&amp;Milestones!$AB$116&amp;" "&amp;Milestones!$AC$116&amp;";  ","")&amp;IF(AND(EDATE($D133,Milestones!$AA$117)&lt;=AsOfDate,IF($R133=0,$X133,IF(AND($T133&lt;&gt;"",EDATE($D133,Milestones!$AA$117)&gt;=$T133),$W133,IF(AND($S133&lt;&gt;"",EDATE($D133,Milestones!$AA$117)&gt;=$S133),$V133,$U133)))=Milestones!$AB$117),UPPER(TEXT(EDATE($D133,Milestones!$AA$117),"dd mmm yy"))&amp;" "&amp;Milestones!$AB$117&amp;" "&amp;Milestones!$AC$117&amp;";  ","")&amp;IF(AND(EDATE($D133,Milestones!$AA$118)&lt;=AsOfDate,IF($R133=0,$X133,IF(AND($T133&lt;&gt;"",EDATE($D133,Milestones!$AA$118)&gt;=$T133),$W133,IF(AND($S133&lt;&gt;"",EDATE($D133,Milestones!$AA$118)&gt;=$S133),$V133,$U133)))=Milestones!$AB$118),UPPER(TEXT(EDATE($D133,Milestones!$AA$118),"dd mmm yy"))&amp;" "&amp;Milestones!$AB$118&amp;" "&amp;Milestones!$AC$118&amp;";  ","")&amp;IF(AND(EDATE($D133,Milestones!$AA$119)&lt;=AsOfDate,IF($R133=0,$X133,IF(AND($T133&lt;&gt;"",EDATE($D133,Milestones!$AA$119)&gt;=$T133),$W133,IF(AND($S133&lt;&gt;"",EDATE($D133,Milestones!$AA$119)&gt;=$S133),$V133,$U133)))=Milestones!$AB$119),UPPER(TEXT(EDATE($D133,Milestones!$AA$119),"dd mmm yy"))&amp;" "&amp;Milestones!$AB$119&amp;" "&amp;Milestones!$AC$119&amp;";  ",""))</f>
        <v/>
      </c>
      <c r="N133" s="0" t="str">
        <f aca="false">IF(OR($A133="",$D133=""),"",IF(AND(EDATE($D133,Milestones!$AA$120)&lt;=AsOfDate,IF($R133=0,$X133,IF(AND($T133&lt;&gt;"",EDATE($D133,Milestones!$AA$120)&gt;=$T133),$W133,IF(AND($S133&lt;&gt;"",EDATE($D133,Milestones!$AA$120)&gt;=$S133),$V133,$U133)))=Milestones!$AB$120),UPPER(TEXT(EDATE($D133,Milestones!$AA$120),"dd mmm yy"))&amp;" "&amp;Milestones!$AB$120&amp;" "&amp;Milestones!$AC$120&amp;";  ","")&amp;IF(AND(EDATE($D133,Milestones!$AA$121)&lt;=AsOfDate,IF($R133=0,$X133,IF(AND($T133&lt;&gt;"",EDATE($D133,Milestones!$AA$121)&gt;=$T133),$W133,IF(AND($S133&lt;&gt;"",EDATE($D133,Milestones!$AA$121)&gt;=$S133),$V133,$U133)))=Milestones!$AB$121),UPPER(TEXT(EDATE($D133,Milestones!$AA$121),"dd mmm yy"))&amp;" "&amp;Milestones!$AB$121&amp;" "&amp;Milestones!$AC$121&amp;";  ","")&amp;IF(AND(EDATE($D133,Milestones!$AA$122)&lt;=AsOfDate,IF($R133=0,$X133,IF(AND($T133&lt;&gt;"",EDATE($D133,Milestones!$AA$122)&gt;=$T133),$W133,IF(AND($S133&lt;&gt;"",EDATE($D133,Milestones!$AA$122)&gt;=$S133),$V133,$U133)))=Milestones!$AB$122),UPPER(TEXT(EDATE($D133,Milestones!$AA$122),"dd mmm yy"))&amp;" "&amp;Milestones!$AB$122&amp;" "&amp;Milestones!$AC$122&amp;";  ","")&amp;IF(AND(EDATE($D133,Milestones!$AA$123)&lt;=AsOfDate,IF($R133=0,$X133,IF(AND($T133&lt;&gt;"",EDATE($D133,Milestones!$AA$123)&gt;=$T133),$W133,IF(AND($S133&lt;&gt;"",EDATE($D133,Milestones!$AA$123)&gt;=$S133),$V133,$U133)))=Milestones!$AB$123),UPPER(TEXT(EDATE($D133,Milestones!$AA$123),"dd mmm yy"))&amp;" "&amp;Milestones!$AB$123&amp;" "&amp;Milestones!$AC$123&amp;";  ","")&amp;IF(AND(EDATE($D133,Milestones!$AA$124)&lt;=AsOfDate,IF($R133=0,$X133,IF(AND($T133&lt;&gt;"",EDATE($D133,Milestones!$AA$124)&gt;=$T133),$W133,IF(AND($S133&lt;&gt;"",EDATE($D133,Milestones!$AA$124)&gt;=$S133),$V133,$U133)))=Milestones!$AB$124),UPPER(TEXT(EDATE($D133,Milestones!$AA$124),"dd mmm yy"))&amp;" "&amp;Milestones!$AB$124&amp;" "&amp;Milestones!$AC$124&amp;";  ","")&amp;IF(AND(EDATE($D133,Milestones!$AA$125)&lt;=AsOfDate,IF($R133=0,$X133,IF(AND($T133&lt;&gt;"",EDATE($D133,Milestones!$AA$125)&gt;=$T133),$W133,IF(AND($S133&lt;&gt;"",EDATE($D133,Milestones!$AA$125)&gt;=$S133),$V133,$U133)))=Milestones!$AB$125),UPPER(TEXT(EDATE($D133,Milestones!$AA$125),"dd mmm yy"))&amp;" "&amp;Milestones!$AB$125&amp;" "&amp;Milestones!$AC$125&amp;";  ","")&amp;IF(AND(EDATE($D133,Milestones!$AA$126)&lt;=AsOfDate,IF($R133=0,$X133,IF(AND($T133&lt;&gt;"",EDATE($D133,Milestones!$AA$126)&gt;=$T133),$W133,IF(AND($S133&lt;&gt;"",EDATE($D133,Milestones!$AA$126)&gt;=$S133),$V133,$U133)))=Milestones!$AB$126),UPPER(TEXT(EDATE($D133,Milestones!$AA$126),"dd mmm yy"))&amp;" "&amp;Milestones!$AB$126&amp;" "&amp;Milestones!$AC$126&amp;";  ","")&amp;IF(AND(EDATE($D133,Milestones!$AA$127)&lt;=AsOfDate,IF($R133=0,$X133,IF(AND($T133&lt;&gt;"",EDATE($D133,Milestones!$AA$127)&gt;=$T133),$W133,IF(AND($S133&lt;&gt;"",EDATE($D133,Milestones!$AA$127)&gt;=$S133),$V133,$U133)))=Milestones!$AB$127),UPPER(TEXT(EDATE($D133,Milestones!$AA$127),"dd mmm yy"))&amp;" "&amp;Milestones!$AB$127&amp;" "&amp;Milestones!$AC$127&amp;";  ","")&amp;IF(AND(EDATE($D133,Milestones!$AA$128)&lt;=AsOfDate,IF($R133=0,$X133,IF(AND($T133&lt;&gt;"",EDATE($D133,Milestones!$AA$128)&gt;=$T133),$W133,IF(AND($S133&lt;&gt;"",EDATE($D133,Milestones!$AA$128)&gt;=$S133),$V133,$U133)))=Milestones!$AB$128),UPPER(TEXT(EDATE($D133,Milestones!$AA$128),"dd mmm yy"))&amp;" "&amp;Milestones!$AB$128&amp;" "&amp;Milestones!$AC$128&amp;";  ","")&amp;IF(AND(EDATE($D133,Milestones!$AA$129)&lt;=AsOfDate,IF($R133=0,$X133,IF(AND($T133&lt;&gt;"",EDATE($D133,Milestones!$AA$129)&gt;=$T133),$W133,IF(AND($S133&lt;&gt;"",EDATE($D133,Milestones!$AA$129)&gt;=$S133),$V133,$U133)))=Milestones!$AB$129),UPPER(TEXT(EDATE($D133,Milestones!$AA$129),"dd mmm yy"))&amp;" "&amp;Milestones!$AB$129&amp;" "&amp;Milestones!$AC$129&amp;";  ","")&amp;IF(AND(EDATE($D133,Milestones!$AA$130)&lt;=AsOfDate,IF($R133=0,$X133,IF(AND($T133&lt;&gt;"",EDATE($D133,Milestones!$AA$130)&gt;=$T133),$W133,IF(AND($S133&lt;&gt;"",EDATE($D133,Milestones!$AA$130)&gt;=$S133),$V133,$U133)))=Milestones!$AB$130),UPPER(TEXT(EDATE($D133,Milestones!$AA$130),"dd mmm yy"))&amp;" "&amp;Milestones!$AB$130&amp;" "&amp;Milestones!$AC$130&amp;";  ","")&amp;IF(AND(EDATE($D133,Milestones!$AA$131)&lt;=AsOfDate,IF($R133=0,$X133,IF(AND($T133&lt;&gt;"",EDATE($D133,Milestones!$AA$131)&gt;=$T133),$W133,IF(AND($S133&lt;&gt;"",EDATE($D133,Milestones!$AA$131)&gt;=$S133),$V133,$U133)))=Milestones!$AB$131),UPPER(TEXT(EDATE($D133,Milestones!$AA$131),"dd mmm yy"))&amp;" "&amp;Milestones!$AB$131&amp;" "&amp;Milestones!$AC$131&amp;";  ","")&amp;IF(AND(EDATE($D133,Milestones!$AA$132)&lt;=AsOfDate,IF($R133=0,$X133,IF(AND($T133&lt;&gt;"",EDATE($D133,Milestones!$AA$132)&gt;=$T133),$W133,IF(AND($S133&lt;&gt;"",EDATE($D133,Milestones!$AA$132)&gt;=$S133),$V133,$U133)))=Milestones!$AB$132),UPPER(TEXT(EDATE($D133,Milestones!$AA$132),"dd mmm yy"))&amp;" "&amp;Milestones!$AB$132&amp;" "&amp;Milestones!$AC$132&amp;";  ","")&amp;IF(AND(EDATE($D133,Milestones!$AA$133)&lt;=AsOfDate,IF($R133=0,$X133,IF(AND($T133&lt;&gt;"",EDATE($D133,Milestones!$AA$133)&gt;=$T133),$W133,IF(AND($S133&lt;&gt;"",EDATE($D133,Milestones!$AA$133)&gt;=$S133),$V133,$U133)))=Milestones!$AB$133),UPPER(TEXT(EDATE($D133,Milestones!$AA$133),"dd mmm yy"))&amp;" "&amp;Milestones!$AB$133&amp;" "&amp;Milestones!$AC$133&amp;";  ","")&amp;IF(AND(EDATE($D133,Milestones!$AA$134)&lt;=AsOfDate,IF($R133=0,$X133,IF(AND($T133&lt;&gt;"",EDATE($D133,Milestones!$AA$134)&gt;=$T133),$W133,IF(AND($S133&lt;&gt;"",EDATE($D133,Milestones!$AA$134)&gt;=$S133),$V133,$U133)))=Milestones!$AB$134),UPPER(TEXT(EDATE($D133,Milestones!$AA$134),"dd mmm yy"))&amp;" "&amp;Milestones!$AB$134&amp;" "&amp;Milestones!$AC$134&amp;";  ","")&amp;IF(AND(EDATE($D133,Milestones!$AA$135)&lt;=AsOfDate,IF($R133=0,$X133,IF(AND($T133&lt;&gt;"",EDATE($D133,Milestones!$AA$135)&gt;=$T133),$W133,IF(AND($S133&lt;&gt;"",EDATE($D133,Milestones!$AA$135)&gt;=$S133),$V133,$U133)))=Milestones!$AB$135),UPPER(TEXT(EDATE($D133,Milestones!$AA$135),"dd mmm yy"))&amp;" "&amp;Milestones!$AB$135&amp;" "&amp;Milestones!$AC$135&amp;";  ","")&amp;IF(AND(EDATE($D133,Milestones!$AA$136)&lt;=AsOfDate,IF($R133=0,$X133,IF(AND($T133&lt;&gt;"",EDATE($D133,Milestones!$AA$136)&gt;=$T133),$W133,IF(AND($S133&lt;&gt;"",EDATE($D133,Milestones!$AA$136)&gt;=$S133),$V133,$U133)))=Milestones!$AB$136),UPPER(TEXT(EDATE($D133,Milestones!$AA$136),"dd mmm yy"))&amp;" "&amp;Milestones!$AB$136&amp;" "&amp;Milestones!$AC$136&amp;";  ","")&amp;IF(AND(EDATE($D133,Milestones!$AA$137)&lt;=AsOfDate,IF($R133=0,$X133,IF(AND($T133&lt;&gt;"",EDATE($D133,Milestones!$AA$137)&gt;=$T133),$W133,IF(AND($S133&lt;&gt;"",EDATE($D133,Milestones!$AA$137)&gt;=$S133),$V133,$U133)))=Milestones!$AB$137),UPPER(TEXT(EDATE($D133,Milestones!$AA$137),"dd mmm yy"))&amp;" "&amp;Milestones!$AB$137&amp;" "&amp;Milestones!$AC$137&amp;";  ","")&amp;IF(AND(EDATE($D133,Milestones!$AA$138)&lt;=AsOfDate,IF($R133=0,$X133,IF(AND($T133&lt;&gt;"",EDATE($D133,Milestones!$AA$138)&gt;=$T133),$W133,IF(AND($S133&lt;&gt;"",EDATE($D133,Milestones!$AA$138)&gt;=$S133),$V133,$U133)))=Milestones!$AB$138),UPPER(TEXT(EDATE($D133,Milestones!$AA$138),"dd mmm yy"))&amp;" "&amp;Milestones!$AB$138&amp;" "&amp;Milestones!$AC$138&amp;";  ","")&amp;IF(AND(EDATE($D133,Milestones!$AA$139)&lt;=AsOfDate,IF($R133=0,$X133,IF(AND($T133&lt;&gt;"",EDATE($D133,Milestones!$AA$139)&gt;=$T133),$W133,IF(AND($S133&lt;&gt;"",EDATE($D133,Milestones!$AA$139)&gt;=$S133),$V133,$U133)))=Milestones!$AB$139),UPPER(TEXT(EDATE($D133,Milestones!$AA$139),"dd mmm yy"))&amp;" "&amp;Milestones!$AB$139&amp;" "&amp;Milestones!$AC$139&amp;";  ",""))</f>
        <v/>
      </c>
      <c r="O133" s="0" t="str">
        <f aca="false">IF(OR($A133="",$D133=""),"",IF(AND(EDATE($D133,Milestones!$AA$140)&lt;=AsOfDate,IF($R133=0,$X133,IF(AND($T133&lt;&gt;"",EDATE($D133,Milestones!$AA$140)&gt;=$T133),$W133,IF(AND($S133&lt;&gt;"",EDATE($D133,Milestones!$AA$140)&gt;=$S133),$V133,$U133)))=Milestones!$AB$140),UPPER(TEXT(EDATE($D133,Milestones!$AA$140),"dd mmm yy"))&amp;" "&amp;Milestones!$AB$140&amp;" "&amp;Milestones!$AC$140&amp;";  ","")&amp;IF(AND(EDATE($D133,Milestones!$AA$141)&lt;=AsOfDate,IF($R133=0,$X133,IF(AND($T133&lt;&gt;"",EDATE($D133,Milestones!$AA$141)&gt;=$T133),$W133,IF(AND($S133&lt;&gt;"",EDATE($D133,Milestones!$AA$141)&gt;=$S133),$V133,$U133)))=Milestones!$AB$141),UPPER(TEXT(EDATE($D133,Milestones!$AA$141),"dd mmm yy"))&amp;" "&amp;Milestones!$AB$141&amp;" "&amp;Milestones!$AC$141&amp;";  ","")&amp;IF(AND(EDATE($D133,Milestones!$AA$142)&lt;=AsOfDate,IF($R133=0,$X133,IF(AND($T133&lt;&gt;"",EDATE($D133,Milestones!$AA$142)&gt;=$T133),$W133,IF(AND($S133&lt;&gt;"",EDATE($D133,Milestones!$AA$142)&gt;=$S133),$V133,$U133)))=Milestones!$AB$142),UPPER(TEXT(EDATE($D133,Milestones!$AA$142),"dd mmm yy"))&amp;" "&amp;Milestones!$AB$142&amp;" "&amp;Milestones!$AC$142&amp;";  ","")&amp;IF(AND(EDATE($D133,Milestones!$AA$143)&lt;=AsOfDate,IF($R133=0,$X133,IF(AND($T133&lt;&gt;"",EDATE($D133,Milestones!$AA$143)&gt;=$T133),$W133,IF(AND($S133&lt;&gt;"",EDATE($D133,Milestones!$AA$143)&gt;=$S133),$V133,$U133)))=Milestones!$AB$143),UPPER(TEXT(EDATE($D133,Milestones!$AA$143),"dd mmm yy"))&amp;" "&amp;Milestones!$AB$143&amp;" "&amp;Milestones!$AC$143&amp;";  ","")&amp;IF(AND(EDATE($D133,Milestones!$AA$144)&lt;=AsOfDate,IF($R133=0,$X133,IF(AND($T133&lt;&gt;"",EDATE($D133,Milestones!$AA$144)&gt;=$T133),$W133,IF(AND($S133&lt;&gt;"",EDATE($D133,Milestones!$AA$144)&gt;=$S133),$V133,$U133)))=Milestones!$AB$144),UPPER(TEXT(EDATE($D133,Milestones!$AA$144),"dd mmm yy"))&amp;" "&amp;Milestones!$AB$144&amp;" "&amp;Milestones!$AC$144&amp;";  ","")&amp;IF(AND(EDATE($D133,Milestones!$AA$145)&lt;=AsOfDate,IF($R133=0,$X133,IF(AND($T133&lt;&gt;"",EDATE($D133,Milestones!$AA$145)&gt;=$T133),$W133,IF(AND($S133&lt;&gt;"",EDATE($D133,Milestones!$AA$145)&gt;=$S133),$V133,$U133)))=Milestones!$AB$145),UPPER(TEXT(EDATE($D133,Milestones!$AA$145),"dd mmm yy"))&amp;" "&amp;Milestones!$AB$145&amp;" "&amp;Milestones!$AC$145&amp;";  ","")&amp;IF(AND(EDATE($D133,Milestones!$AA$146)&lt;=AsOfDate,IF($R133=0,$X133,IF(AND($T133&lt;&gt;"",EDATE($D133,Milestones!$AA$146)&gt;=$T133),$W133,IF(AND($S133&lt;&gt;"",EDATE($D133,Milestones!$AA$146)&gt;=$S133),$V133,$U133)))=Milestones!$AB$146),UPPER(TEXT(EDATE($D133,Milestones!$AA$146),"dd mmm yy"))&amp;" "&amp;Milestones!$AB$146&amp;" "&amp;Milestones!$AC$146&amp;";  ","")&amp;IF(AND(EDATE($D133,Milestones!$AA$147)&lt;=AsOfDate,IF($R133=0,$X133,IF(AND($T133&lt;&gt;"",EDATE($D133,Milestones!$AA$147)&gt;=$T133),$W133,IF(AND($S133&lt;&gt;"",EDATE($D133,Milestones!$AA$147)&gt;=$S133),$V133,$U133)))=Milestones!$AB$147),UPPER(TEXT(EDATE($D133,Milestones!$AA$147),"dd mmm yy"))&amp;" "&amp;Milestones!$AB$147&amp;" "&amp;Milestones!$AC$147&amp;";  ","")&amp;IF(AND(EDATE($D133,Milestones!$AA$148)&lt;=AsOfDate,IF($R133=0,$X133,IF(AND($T133&lt;&gt;"",EDATE($D133,Milestones!$AA$148)&gt;=$T133),$W133,IF(AND($S133&lt;&gt;"",EDATE($D133,Milestones!$AA$148)&gt;=$S133),$V133,$U133)))=Milestones!$AB$148),UPPER(TEXT(EDATE($D133,Milestones!$AA$148),"dd mmm yy"))&amp;" "&amp;Milestones!$AB$148&amp;" "&amp;Milestones!$AC$148&amp;";  ","")&amp;IF(AND(EDATE($D133,Milestones!$AA$149)&lt;=AsOfDate,IF($R133=0,$X133,IF(AND($T133&lt;&gt;"",EDATE($D133,Milestones!$AA$149)&gt;=$T133),$W133,IF(AND($S133&lt;&gt;"",EDATE($D133,Milestones!$AA$149)&gt;=$S133),$V133,$U133)))=Milestones!$AB$149),UPPER(TEXT(EDATE($D133,Milestones!$AA$149),"dd mmm yy"))&amp;" "&amp;Milestones!$AB$149&amp;" "&amp;Milestones!$AC$149&amp;";  ","")&amp;IF(AND(EDATE($D133,Milestones!$AA$150)&lt;=AsOfDate,IF($R133=0,$X133,IF(AND($T133&lt;&gt;"",EDATE($D133,Milestones!$AA$150)&gt;=$T133),$W133,IF(AND($S133&lt;&gt;"",EDATE($D133,Milestones!$AA$150)&gt;=$S133),$V133,$U133)))=Milestones!$AB$150),UPPER(TEXT(EDATE($D133,Milestones!$AA$150),"dd mmm yy"))&amp;" "&amp;Milestones!$AB$150&amp;" "&amp;Milestones!$AC$150&amp;";  ","")&amp;IF(AND(EDATE($D133,Milestones!$AA$151)&lt;=AsOfDate,IF($R133=0,$X133,IF(AND($T133&lt;&gt;"",EDATE($D133,Milestones!$AA$151)&gt;=$T133),$W133,IF(AND($S133&lt;&gt;"",EDATE($D133,Milestones!$AA$151)&gt;=$S133),$V133,$U133)))=Milestones!$AB$151),UPPER(TEXT(EDATE($D133,Milestones!$AA$151),"dd mmm yy"))&amp;" "&amp;Milestones!$AB$151&amp;" "&amp;Milestones!$AC$151&amp;";  ","")&amp;IF(AND(EDATE($D133,Milestones!$AA$152)&lt;=AsOfDate,IF($R133=0,$X133,IF(AND($T133&lt;&gt;"",EDATE($D133,Milestones!$AA$152)&gt;=$T133),$W133,IF(AND($S133&lt;&gt;"",EDATE($D133,Milestones!$AA$152)&gt;=$S133),$V133,$U133)))=Milestones!$AB$152),UPPER(TEXT(EDATE($D133,Milestones!$AA$152),"dd mmm yy"))&amp;" "&amp;Milestones!$AB$152&amp;" "&amp;Milestones!$AC$152&amp;";  ","")&amp;IF(AND(EDATE($D133,Milestones!$AA$153)&lt;=AsOfDate,IF($R133=0,$X133,IF(AND($T133&lt;&gt;"",EDATE($D133,Milestones!$AA$153)&gt;=$T133),$W133,IF(AND($S133&lt;&gt;"",EDATE($D133,Milestones!$AA$153)&gt;=$S133),$V133,$U133)))=Milestones!$AB$153),UPPER(TEXT(EDATE($D133,Milestones!$AA$153),"dd mmm yy"))&amp;" "&amp;Milestones!$AB$153&amp;" "&amp;Milestones!$AC$153&amp;";  ","")&amp;IF(AND(EDATE($D133,Milestones!$AA$154)&lt;=AsOfDate,IF($R133=0,$X133,IF(AND($T133&lt;&gt;"",EDATE($D133,Milestones!$AA$154)&gt;=$T133),$W133,IF(AND($S133&lt;&gt;"",EDATE($D133,Milestones!$AA$154)&gt;=$S133),$V133,$U133)))=Milestones!$AB$154),UPPER(TEXT(EDATE($D133,Milestones!$AA$154),"dd mmm yy"))&amp;" "&amp;Milestones!$AB$154&amp;" "&amp;Milestones!$AC$154&amp;";  ","")&amp;IF(AND(EDATE($D133,Milestones!$AA$155)&lt;=AsOfDate,IF($R133=0,$X133,IF(AND($T133&lt;&gt;"",EDATE($D133,Milestones!$AA$155)&gt;=$T133),$W133,IF(AND($S133&lt;&gt;"",EDATE($D133,Milestones!$AA$155)&gt;=$S133),$V133,$U133)))=Milestones!$AB$155),UPPER(TEXT(EDATE($D133,Milestones!$AA$155),"dd mmm yy"))&amp;" "&amp;Milestones!$AB$155&amp;" "&amp;Milestones!$AC$155&amp;";  ","")&amp;IF(AND(EDATE($D133,Milestones!$AA$156)&lt;=AsOfDate,IF($R133=0,$X133,IF(AND($T133&lt;&gt;"",EDATE($D133,Milestones!$AA$156)&gt;=$T133),$W133,IF(AND($S133&lt;&gt;"",EDATE($D133,Milestones!$AA$156)&gt;=$S133),$V133,$U133)))=Milestones!$AB$156),UPPER(TEXT(EDATE($D133,Milestones!$AA$156),"dd mmm yy"))&amp;" "&amp;Milestones!$AB$156&amp;" "&amp;Milestones!$AC$156&amp;";  ","")&amp;IF(AND(EDATE($D133,Milestones!$AA$157)&lt;=AsOfDate,IF($R133=0,$X133,IF(AND($T133&lt;&gt;"",EDATE($D133,Milestones!$AA$157)&gt;=$T133),$W133,IF(AND($S133&lt;&gt;"",EDATE($D133,Milestones!$AA$157)&gt;=$S133),$V133,$U133)))=Milestones!$AB$157),UPPER(TEXT(EDATE($D133,Milestones!$AA$157),"dd mmm yy"))&amp;" "&amp;Milestones!$AB$157&amp;" "&amp;Milestones!$AC$157&amp;";  ","")&amp;IF(AND(EDATE($D133,Milestones!$AA$158)&lt;=AsOfDate,IF($R133=0,$X133,IF(AND($T133&lt;&gt;"",EDATE($D133,Milestones!$AA$158)&gt;=$T133),$W133,IF(AND($S133&lt;&gt;"",EDATE($D133,Milestones!$AA$158)&gt;=$S133),$V133,$U133)))=Milestones!$AB$158),UPPER(TEXT(EDATE($D133,Milestones!$AA$158),"dd mmm yy"))&amp;" "&amp;Milestones!$AB$158&amp;" "&amp;Milestones!$AC$158&amp;";  ","")&amp;IF(AND(EDATE($D133,Milestones!$AA$159)&lt;=AsOfDate,IF($R133=0,$X133,IF(AND($T133&lt;&gt;"",EDATE($D133,Milestones!$AA$159)&gt;=$T133),$W133,IF(AND($S133&lt;&gt;"",EDATE($D133,Milestones!$AA$159)&gt;=$S133),$V133,$U133)))=Milestones!$AB$159),UPPER(TEXT(EDATE($D133,Milestones!$AA$159),"dd mmm yy"))&amp;" "&amp;Milestones!$AB$159&amp;" "&amp;Milestones!$AC$159&amp;";  ",""))</f>
        <v/>
      </c>
      <c r="P133" s="0" t="str">
        <f aca="false">IF(OR($A133="",$D133=""),"",IF(AND(EDATE($D133,Milestones!$AA$160)&lt;=AsOfDate,IF($R133=0,$X133,IF(AND($T133&lt;&gt;"",EDATE($D133,Milestones!$AA$160)&gt;=$T133),$W133,IF(AND($S133&lt;&gt;"",EDATE($D133,Milestones!$AA$160)&gt;=$S133),$V133,$U133)))=Milestones!$AB$160),UPPER(TEXT(EDATE($D133,Milestones!$AA$160),"dd mmm yy"))&amp;" "&amp;Milestones!$AB$160&amp;" "&amp;Milestones!$AC$160&amp;";  ","")&amp;IF(AND(EDATE($D133,Milestones!$AA$161)&lt;=AsOfDate,IF($R133=0,$X133,IF(AND($T133&lt;&gt;"",EDATE($D133,Milestones!$AA$161)&gt;=$T133),$W133,IF(AND($S133&lt;&gt;"",EDATE($D133,Milestones!$AA$161)&gt;=$S133),$V133,$U133)))=Milestones!$AB$161),UPPER(TEXT(EDATE($D133,Milestones!$AA$161),"dd mmm yy"))&amp;" "&amp;Milestones!$AB$161&amp;" "&amp;Milestones!$AC$161&amp;";  ","")&amp;IF(AND(EDATE($D133,Milestones!$AA$162)&lt;=AsOfDate,IF($R133=0,$X133,IF(AND($T133&lt;&gt;"",EDATE($D133,Milestones!$AA$162)&gt;=$T133),$W133,IF(AND($S133&lt;&gt;"",EDATE($D133,Milestones!$AA$162)&gt;=$S133),$V133,$U133)))=Milestones!$AB$162),UPPER(TEXT(EDATE($D133,Milestones!$AA$162),"dd mmm yy"))&amp;" "&amp;Milestones!$AB$162&amp;" "&amp;Milestones!$AC$162&amp;";  ","")&amp;IF(AND(EDATE($D133,Milestones!$AA$163)&lt;=AsOfDate,IF($R133=0,$X133,IF(AND($T133&lt;&gt;"",EDATE($D133,Milestones!$AA$163)&gt;=$T133),$W133,IF(AND($S133&lt;&gt;"",EDATE($D133,Milestones!$AA$163)&gt;=$S133),$V133,$U133)))=Milestones!$AB$163),UPPER(TEXT(EDATE($D133,Milestones!$AA$163),"dd mmm yy"))&amp;" "&amp;Milestones!$AB$163&amp;" "&amp;Milestones!$AC$163&amp;";  ","")&amp;IF(AND(EDATE($D133,Milestones!$AA$164)&lt;=AsOfDate,IF($R133=0,$X133,IF(AND($T133&lt;&gt;"",EDATE($D133,Milestones!$AA$164)&gt;=$T133),$W133,IF(AND($S133&lt;&gt;"",EDATE($D133,Milestones!$AA$164)&gt;=$S133),$V133,$U133)))=Milestones!$AB$164),UPPER(TEXT(EDATE($D133,Milestones!$AA$164),"dd mmm yy"))&amp;" "&amp;Milestones!$AB$164&amp;" "&amp;Milestones!$AC$164&amp;";  ","")&amp;IF(AND(EDATE($D133,Milestones!$AA$165)&lt;=AsOfDate,IF($R133=0,$X133,IF(AND($T133&lt;&gt;"",EDATE($D133,Milestones!$AA$165)&gt;=$T133),$W133,IF(AND($S133&lt;&gt;"",EDATE($D133,Milestones!$AA$165)&gt;=$S133),$V133,$U133)))=Milestones!$AB$165),UPPER(TEXT(EDATE($D133,Milestones!$AA$165),"dd mmm yy"))&amp;" "&amp;Milestones!$AB$165&amp;" "&amp;Milestones!$AC$165&amp;";  ","")&amp;IF(AND(EDATE($D133,Milestones!$AA$166)&lt;=AsOfDate,IF($R133=0,$X133,IF(AND($T133&lt;&gt;"",EDATE($D133,Milestones!$AA$166)&gt;=$T133),$W133,IF(AND($S133&lt;&gt;"",EDATE($D133,Milestones!$AA$166)&gt;=$S133),$V133,$U133)))=Milestones!$AB$166),UPPER(TEXT(EDATE($D133,Milestones!$AA$166),"dd mmm yy"))&amp;" "&amp;Milestones!$AB$166&amp;" "&amp;Milestones!$AC$166&amp;";  ","")&amp;IF(AND(EDATE($D133,Milestones!$AA$167)&lt;=AsOfDate,IF($R133=0,$X133,IF(AND($T133&lt;&gt;"",EDATE($D133,Milestones!$AA$167)&gt;=$T133),$W133,IF(AND($S133&lt;&gt;"",EDATE($D133,Milestones!$AA$167)&gt;=$S133),$V133,$U133)))=Milestones!$AB$167),UPPER(TEXT(EDATE($D133,Milestones!$AA$167),"dd mmm yy"))&amp;" "&amp;Milestones!$AB$167&amp;" "&amp;Milestones!$AC$167&amp;";  ","")&amp;IF(AND(EDATE($D133,Milestones!$AA$168)&lt;=AsOfDate,IF($R133=0,$X133,IF(AND($T133&lt;&gt;"",EDATE($D133,Milestones!$AA$168)&gt;=$T133),$W133,IF(AND($S133&lt;&gt;"",EDATE($D133,Milestones!$AA$168)&gt;=$S133),$V133,$U133)))=Milestones!$AB$168),UPPER(TEXT(EDATE($D133,Milestones!$AA$168),"dd mmm yy"))&amp;" "&amp;Milestones!$AB$168&amp;" "&amp;Milestones!$AC$168&amp;";  ","")&amp;IF(AND(EDATE($D133,Milestones!$AA$169)&lt;=AsOfDate,IF($R133=0,$X133,IF(AND($T133&lt;&gt;"",EDATE($D133,Milestones!$AA$169)&gt;=$T133),$W133,IF(AND($S133&lt;&gt;"",EDATE($D133,Milestones!$AA$169)&gt;=$S133),$V133,$U133)))=Milestones!$AB$169),UPPER(TEXT(EDATE($D133,Milestones!$AA$169),"dd mmm yy"))&amp;" "&amp;Milestones!$AB$169&amp;" "&amp;Milestones!$AC$169&amp;";  ","")&amp;IF(AND(EDATE($D133,Milestones!$AA$170)&lt;=AsOfDate,IF($R133=0,$X133,IF(AND($T133&lt;&gt;"",EDATE($D133,Milestones!$AA$170)&gt;=$T133),$W133,IF(AND($S133&lt;&gt;"",EDATE($D133,Milestones!$AA$170)&gt;=$S133),$V133,$U133)))=Milestones!$AB$170),UPPER(TEXT(EDATE($D133,Milestones!$AA$170),"dd mmm yy"))&amp;" "&amp;Milestones!$AB$170&amp;" "&amp;Milestones!$AC$170&amp;";  ","")&amp;IF(AND(EDATE($D133,Milestones!$AA$171)&lt;=AsOfDate,IF($R133=0,$X133,IF(AND($T133&lt;&gt;"",EDATE($D133,Milestones!$AA$171)&gt;=$T133),$W133,IF(AND($S133&lt;&gt;"",EDATE($D133,Milestones!$AA$171)&gt;=$S133),$V133,$U133)))=Milestones!$AB$171),UPPER(TEXT(EDATE($D133,Milestones!$AA$171),"dd mmm yy"))&amp;" "&amp;Milestones!$AB$171&amp;" "&amp;Milestones!$AC$171&amp;";  ","")&amp;IF(AND(EDATE($D133,Milestones!$AA$172)&lt;=AsOfDate,IF($R133=0,$X133,IF(AND($T133&lt;&gt;"",EDATE($D133,Milestones!$AA$172)&gt;=$T133),$W133,IF(AND($S133&lt;&gt;"",EDATE($D133,Milestones!$AA$172)&gt;=$S133),$V133,$U133)))=Milestones!$AB$172),UPPER(TEXT(EDATE($D133,Milestones!$AA$172),"dd mmm yy"))&amp;" "&amp;Milestones!$AB$172&amp;" "&amp;Milestones!$AC$172&amp;";  ","")&amp;IF(AND(EDATE($D133,Milestones!$AA$173)&lt;=AsOfDate,IF($R133=0,$X133,IF(AND($T133&lt;&gt;"",EDATE($D133,Milestones!$AA$173)&gt;=$T133),$W133,IF(AND($S133&lt;&gt;"",EDATE($D133,Milestones!$AA$173)&gt;=$S133),$V133,$U133)))=Milestones!$AB$173),UPPER(TEXT(EDATE($D133,Milestones!$AA$173),"dd mmm yy"))&amp;" "&amp;Milestones!$AB$173&amp;" "&amp;Milestones!$AC$173&amp;";  ","")&amp;IF(AND(EDATE($D133,Milestones!$AA$174)&lt;=AsOfDate,IF($R133=0,$X133,IF(AND($T133&lt;&gt;"",EDATE($D133,Milestones!$AA$174)&gt;=$T133),$W133,IF(AND($S133&lt;&gt;"",EDATE($D133,Milestones!$AA$174)&gt;=$S133),$V133,$U133)))=Milestones!$AB$174),UPPER(TEXT(EDATE($D133,Milestones!$AA$174),"dd mmm yy"))&amp;" "&amp;Milestones!$AB$174&amp;" "&amp;Milestones!$AC$174&amp;";  ","")&amp;IF(AND(EDATE($D133,Milestones!$AA$175)&lt;=AsOfDate,IF($R133=0,$X133,IF(AND($T133&lt;&gt;"",EDATE($D133,Milestones!$AA$175)&gt;=$T133),$W133,IF(AND($S133&lt;&gt;"",EDATE($D133,Milestones!$AA$175)&gt;=$S133),$V133,$U133)))=Milestones!$AB$175),UPPER(TEXT(EDATE($D133,Milestones!$AA$175),"dd mmm yy"))&amp;" "&amp;Milestones!$AB$175&amp;" "&amp;Milestones!$AC$175&amp;";  ","")&amp;IF(AND(EDATE($D133,Milestones!$AA$176)&lt;=AsOfDate,IF($R133=0,$X133,IF(AND($T133&lt;&gt;"",EDATE($D133,Milestones!$AA$176)&gt;=$T133),$W133,IF(AND($S133&lt;&gt;"",EDATE($D133,Milestones!$AA$176)&gt;=$S133),$V133,$U133)))=Milestones!$AB$176),UPPER(TEXT(EDATE($D133,Milestones!$AA$176),"dd mmm yy"))&amp;" "&amp;Milestones!$AB$176&amp;" "&amp;Milestones!$AC$176&amp;";  ","")&amp;IF(AND(EDATE($D133,Milestones!$AA$177)&lt;=AsOfDate,IF($R133=0,$X133,IF(AND($T133&lt;&gt;"",EDATE($D133,Milestones!$AA$177)&gt;=$T133),$W133,IF(AND($S133&lt;&gt;"",EDATE($D133,Milestones!$AA$177)&gt;=$S133),$V133,$U133)))=Milestones!$AB$177),UPPER(TEXT(EDATE($D133,Milestones!$AA$177),"dd mmm yy"))&amp;" "&amp;Milestones!$AB$177&amp;" "&amp;Milestones!$AC$177&amp;";  ","")&amp;IF(AND(EDATE($D133,Milestones!$AA$178)&lt;=AsOfDate,IF($R133=0,$X133,IF(AND($T133&lt;&gt;"",EDATE($D133,Milestones!$AA$178)&gt;=$T133),$W133,IF(AND($S133&lt;&gt;"",EDATE($D133,Milestones!$AA$178)&gt;=$S133),$V133,$U133)))=Milestones!$AB$178),UPPER(TEXT(EDATE($D133,Milestones!$AA$178),"dd mmm yy"))&amp;" "&amp;Milestones!$AB$178&amp;" "&amp;Milestones!$AC$178&amp;";  ","")&amp;IF(AND(EDATE($D133,Milestones!$AA$179)&lt;=AsOfDate,IF($R133=0,$X133,IF(AND($T133&lt;&gt;"",EDATE($D133,Milestones!$AA$179)&gt;=$T133),$W133,IF(AND($S133&lt;&gt;"",EDATE($D133,Milestones!$AA$179)&gt;=$S133),$V133,$U133)))=Milestones!$AB$179),UPPER(TEXT(EDATE($D133,Milestones!$AA$179),"dd mmm yy"))&amp;" "&amp;Milestones!$AB$179&amp;" "&amp;Milestones!$AC$179&amp;";  ",""))</f>
        <v/>
      </c>
      <c r="Q133" s="0" t="str">
        <f aca="false">IF(OR($A133="",$D133=""),"",IF(AND(EDATE($D133,Milestones!$AA$180)&lt;=AsOfDate,IF($R133=0,$X133,IF(AND($T133&lt;&gt;"",EDATE($D133,Milestones!$AA$180)&gt;=$T133),$W133,IF(AND($S133&lt;&gt;"",EDATE($D133,Milestones!$AA$180)&gt;=$S133),$V133,$U133)))=Milestones!$AB$180),UPPER(TEXT(EDATE($D133,Milestones!$AA$180),"dd mmm yy"))&amp;" "&amp;Milestones!$AB$180&amp;" "&amp;Milestones!$AC$180&amp;";  ","")&amp;IF(AND(EDATE($D133,Milestones!$AA$181)&lt;=AsOfDate,IF($R133=0,$X133,IF(AND($T133&lt;&gt;"",EDATE($D133,Milestones!$AA$181)&gt;=$T133),$W133,IF(AND($S133&lt;&gt;"",EDATE($D133,Milestones!$AA$181)&gt;=$S133),$V133,$U133)))=Milestones!$AB$181),UPPER(TEXT(EDATE($D133,Milestones!$AA$181),"dd mmm yy"))&amp;" "&amp;Milestones!$AB$181&amp;" "&amp;Milestones!$AC$181&amp;";  ","")&amp;IF(AND(EDATE($D133,Milestones!$AA$182)&lt;=AsOfDate,IF($R133=0,$X133,IF(AND($T133&lt;&gt;"",EDATE($D133,Milestones!$AA$182)&gt;=$T133),$W133,IF(AND($S133&lt;&gt;"",EDATE($D133,Milestones!$AA$182)&gt;=$S133),$V133,$U133)))=Milestones!$AB$182),UPPER(TEXT(EDATE($D133,Milestones!$AA$182),"dd mmm yy"))&amp;" "&amp;Milestones!$AB$182&amp;" "&amp;Milestones!$AC$182&amp;";  ","")&amp;IF(AND(EDATE($D133,Milestones!$AA$183)&lt;=AsOfDate,IF($R133=0,$X133,IF(AND($T133&lt;&gt;"",EDATE($D133,Milestones!$AA$183)&gt;=$T133),$W133,IF(AND($S133&lt;&gt;"",EDATE($D133,Milestones!$AA$183)&gt;=$S133),$V133,$U133)))=Milestones!$AB$183),UPPER(TEXT(EDATE($D133,Milestones!$AA$183),"dd mmm yy"))&amp;" "&amp;Milestones!$AB$183&amp;" "&amp;Milestones!$AC$183&amp;";  ","")&amp;IF(AND(EDATE($D133,Milestones!$AA$184)&lt;=AsOfDate,IF($R133=0,$X133,IF(AND($T133&lt;&gt;"",EDATE($D133,Milestones!$AA$184)&gt;=$T133),$W133,IF(AND($S133&lt;&gt;"",EDATE($D133,Milestones!$AA$184)&gt;=$S133),$V133,$U133)))=Milestones!$AB$184),UPPER(TEXT(EDATE($D133,Milestones!$AA$184),"dd mmm yy"))&amp;" "&amp;Milestones!$AB$184&amp;" "&amp;Milestones!$AC$184&amp;";  ","")&amp;IF(AND(EDATE($D133,Milestones!$AA$185)&lt;=AsOfDate,IF($R133=0,$X133,IF(AND($T133&lt;&gt;"",EDATE($D133,Milestones!$AA$185)&gt;=$T133),$W133,IF(AND($S133&lt;&gt;"",EDATE($D133,Milestones!$AA$185)&gt;=$S133),$V133,$U133)))=Milestones!$AB$185),UPPER(TEXT(EDATE($D133,Milestones!$AA$185),"dd mmm yy"))&amp;" "&amp;Milestones!$AB$185&amp;" "&amp;Milestones!$AC$185&amp;";  ","")&amp;IF(AND(EDATE($D133,Milestones!$AA$186)&lt;=AsOfDate,IF($R133=0,$X133,IF(AND($T133&lt;&gt;"",EDATE($D133,Milestones!$AA$186)&gt;=$T133),$W133,IF(AND($S133&lt;&gt;"",EDATE($D133,Milestones!$AA$186)&gt;=$S133),$V133,$U133)))=Milestones!$AB$186),UPPER(TEXT(EDATE($D133,Milestones!$AA$186),"dd mmm yy"))&amp;" "&amp;Milestones!$AB$186&amp;" "&amp;Milestones!$AC$186&amp;";  ","")&amp;IF(AND(EDATE($D133,Milestones!$AA$187)&lt;=AsOfDate,IF($R133=0,$X133,IF(AND($T133&lt;&gt;"",EDATE($D133,Milestones!$AA$187)&gt;=$T133),$W133,IF(AND($S133&lt;&gt;"",EDATE($D133,Milestones!$AA$187)&gt;=$S133),$V133,$U133)))=Milestones!$AB$187),UPPER(TEXT(EDATE($D133,Milestones!$AA$187),"dd mmm yy"))&amp;" "&amp;Milestones!$AB$187&amp;" "&amp;Milestones!$AC$187&amp;";  ","")&amp;IF(AND(EDATE($D133,Milestones!$AA$188)&lt;=AsOfDate,IF($R133=0,$X133,IF(AND($T133&lt;&gt;"",EDATE($D133,Milestones!$AA$188)&gt;=$T133),$W133,IF(AND($S133&lt;&gt;"",EDATE($D133,Milestones!$AA$188)&gt;=$S133),$V133,$U133)))=Milestones!$AB$188),UPPER(TEXT(EDATE($D133,Milestones!$AA$188),"dd mmm yy"))&amp;" "&amp;Milestones!$AB$188&amp;" "&amp;Milestones!$AC$188&amp;";  ","")&amp;IF(AND(EDATE($D133,Milestones!$AA$189)&lt;=AsOfDate,IF($R133=0,$X133,IF(AND($T133&lt;&gt;"",EDATE($D133,Milestones!$AA$189)&gt;=$T133),$W133,IF(AND($S133&lt;&gt;"",EDATE($D133,Milestones!$AA$189)&gt;=$S133),$V133,$U133)))=Milestones!$AB$189),UPPER(TEXT(EDATE($D133,Milestones!$AA$189),"dd mmm yy"))&amp;" "&amp;Milestones!$AB$189&amp;" "&amp;Milestones!$AC$189&amp;";  ","")&amp;IF(AND(EDATE($D133,Milestones!$AA$190)&lt;=AsOfDate,IF($R133=0,$X133,IF(AND($T133&lt;&gt;"",EDATE($D133,Milestones!$AA$190)&gt;=$T133),$W133,IF(AND($S133&lt;&gt;"",EDATE($D133,Milestones!$AA$190)&gt;=$S133),$V133,$U133)))=Milestones!$AB$190),UPPER(TEXT(EDATE($D133,Milestones!$AA$190),"dd mmm yy"))&amp;" "&amp;Milestones!$AB$190&amp;" "&amp;Milestones!$AC$190&amp;";  ","")&amp;IF(AND(EDATE($D133,Milestones!$AA$191)&lt;=AsOfDate,IF($R133=0,$X133,IF(AND($T133&lt;&gt;"",EDATE($D133,Milestones!$AA$191)&gt;=$T133),$W133,IF(AND($S133&lt;&gt;"",EDATE($D133,Milestones!$AA$191)&gt;=$S133),$V133,$U133)))=Milestones!$AB$191),UPPER(TEXT(EDATE($D133,Milestones!$AA$191),"dd mmm yy"))&amp;" "&amp;Milestones!$AB$191&amp;" "&amp;Milestones!$AC$191&amp;";  ","")&amp;IF(AND(EDATE($D133,Milestones!$AA$192)&lt;=AsOfDate,IF($R133=0,$X133,IF(AND($T133&lt;&gt;"",EDATE($D133,Milestones!$AA$192)&gt;=$T133),$W133,IF(AND($S133&lt;&gt;"",EDATE($D133,Milestones!$AA$192)&gt;=$S133),$V133,$U133)))=Milestones!$AB$192),UPPER(TEXT(EDATE($D133,Milestones!$AA$192),"dd mmm yy"))&amp;" "&amp;Milestones!$AB$192&amp;" "&amp;Milestones!$AC$192&amp;";  ","")&amp;IF(AND(EDATE($D133,Milestones!$AA$193)&lt;=AsOfDate,IF($R133=0,$X133,IF(AND($T133&lt;&gt;"",EDATE($D133,Milestones!$AA$193)&gt;=$T133),$W133,IF(AND($S133&lt;&gt;"",EDATE($D133,Milestones!$AA$193)&gt;=$S133),$V133,$U133)))=Milestones!$AB$193),UPPER(TEXT(EDATE($D133,Milestones!$AA$193),"dd mmm yy"))&amp;" "&amp;Milestones!$AB$193&amp;" "&amp;Milestones!$AC$193&amp;";  ","")&amp;IF(AND(EDATE($D133,Milestones!$AA$194)&lt;=AsOfDate,IF($R133=0,$X133,IF(AND($T133&lt;&gt;"",EDATE($D133,Milestones!$AA$194)&gt;=$T133),$W133,IF(AND($S133&lt;&gt;"",EDATE($D133,Milestones!$AA$194)&gt;=$S133),$V133,$U133)))=Milestones!$AB$194),UPPER(TEXT(EDATE($D133,Milestones!$AA$194),"dd mmm yy"))&amp;" "&amp;Milestones!$AB$194&amp;" "&amp;Milestones!$AC$194&amp;";  ","")&amp;IF(AND(EDATE($D133,Milestones!$AA$195)&lt;=AsOfDate,IF($R133=0,$X133,IF(AND($T133&lt;&gt;"",EDATE($D133,Milestones!$AA$195)&gt;=$T133),$W133,IF(AND($S133&lt;&gt;"",EDATE($D133,Milestones!$AA$195)&gt;=$S133),$V133,$U133)))=Milestones!$AB$195),UPPER(TEXT(EDATE($D133,Milestones!$AA$195),"dd mmm yy"))&amp;" "&amp;Milestones!$AB$195&amp;" "&amp;Milestones!$AC$195&amp;";  ","")&amp;IF(AND(EDATE($D133,Milestones!$AA$196)&lt;=AsOfDate,IF($R133=0,$X133,IF(AND($T133&lt;&gt;"",EDATE($D133,Milestones!$AA$196)&gt;=$T133),$W133,IF(AND($S133&lt;&gt;"",EDATE($D133,Milestones!$AA$196)&gt;=$S133),$V133,$U133)))=Milestones!$AB$196),UPPER(TEXT(EDATE($D133,Milestones!$AA$196),"dd mmm yy"))&amp;" "&amp;Milestones!$AB$196&amp;" "&amp;Milestones!$AC$196&amp;";  ","")&amp;IF(AND(EDATE($D133,Milestones!$AA$197)&lt;=AsOfDate,IF($R133=0,$X133,IF(AND($T133&lt;&gt;"",EDATE($D133,Milestones!$AA$197)&gt;=$T133),$W133,IF(AND($S133&lt;&gt;"",EDATE($D133,Milestones!$AA$197)&gt;=$S133),$V133,$U133)))=Milestones!$AB$197),UPPER(TEXT(EDATE($D133,Milestones!$AA$197),"dd mmm yy"))&amp;" "&amp;Milestones!$AB$197&amp;" "&amp;Milestones!$AC$197&amp;";  ","")&amp;IF(AND(EDATE($D133,Milestones!$AA$198)&lt;=AsOfDate,IF($R133=0,$X133,IF(AND($T133&lt;&gt;"",EDATE($D133,Milestones!$AA$198)&gt;=$T133),$W133,IF(AND($S133&lt;&gt;"",EDATE($D133,Milestones!$AA$198)&gt;=$S133),$V133,$U133)))=Milestones!$AB$198),UPPER(TEXT(EDATE($D133,Milestones!$AA$198),"dd mmm yy"))&amp;" "&amp;Milestones!$AB$198&amp;" "&amp;Milestones!$AC$198&amp;";  ","")&amp;IF(AND(EDATE($D133,Milestones!$AA$199)&lt;=AsOfDate,IF($R133=0,$X133,IF(AND($T133&lt;&gt;"",EDATE($D133,Milestones!$AA$199)&gt;=$T133),$W133,IF(AND($S133&lt;&gt;"",EDATE($D133,Milestones!$AA$199)&gt;=$S133),$V133,$U133)))=Milestones!$AB$199),UPPER(TEXT(EDATE($D133,Milestones!$AA$199),"dd mmm yy"))&amp;" "&amp;Milestones!$AB$199&amp;" "&amp;Milestones!$AC$199&amp;";  ",""))</f>
        <v/>
      </c>
      <c r="R133" s="0" t="str">
        <f aca="false">IF(Staff!$A133="","",Staff!$AI133)</f>
        <v/>
      </c>
      <c r="S133" s="0" t="str">
        <f aca="false">IF(Staff!$A133="","",Staff!$AK133)</f>
        <v/>
      </c>
      <c r="T133" s="0" t="str">
        <f aca="false">IF(Staff!$A133="","",Staff!$AL133)</f>
        <v/>
      </c>
      <c r="U133" s="0" t="str">
        <f aca="false">IF(Staff!$A133="","",Staff!$AP133)</f>
        <v/>
      </c>
      <c r="V133" s="0" t="str">
        <f aca="false">IF(Staff!$A133="","",Staff!$AQ133)</f>
        <v/>
      </c>
      <c r="W133" s="0" t="str">
        <f aca="false">IF(Staff!$A133="","",Staff!$AR133)</f>
        <v/>
      </c>
      <c r="X133" s="0" t="str">
        <f aca="false">IF(Staff!$A133="","",Staff!$AS133)</f>
        <v/>
      </c>
    </row>
    <row r="134" customFormat="false" ht="15" hidden="false" customHeight="false" outlineLevel="0" collapsed="false">
      <c r="A134" s="14" t="str">
        <f aca="false">IF(Staff!$A134="","",Staff!$A134)</f>
        <v/>
      </c>
      <c r="B134" s="14" t="str">
        <f aca="false">IF(Staff!$A134="","",Staff!$B134)</f>
        <v/>
      </c>
      <c r="C134" s="14" t="str">
        <f aca="false">IF(Staff!$A134="","",Staff!$C134)</f>
        <v/>
      </c>
      <c r="D134" s="12" t="str">
        <f aca="false">IF(Staff!$A134="","",Staff!$AH134)</f>
        <v/>
      </c>
      <c r="E134" s="14" t="str">
        <f aca="false">IF(Staff!$A134="","",Staff!$O134)</f>
        <v/>
      </c>
      <c r="F134" s="14" t="str">
        <f aca="false">IF(E134="","",E134*HoursPerDay)</f>
        <v/>
      </c>
      <c r="G134" s="14" t="str">
        <f aca="false">IF(Staff!$A134="","",Staff!$AE134)</f>
        <v/>
      </c>
      <c r="H134" s="26" t="str">
        <f aca="false">IF($A134="","",I134&amp;J134&amp;K134&amp;L134&amp;M134&amp;N134&amp;O134&amp;P134&amp;Q134)</f>
        <v/>
      </c>
      <c r="I134" s="0" t="str">
        <f aca="false">IF(OR($A134="",$D134=""),"",IF(AND(EDATE($D134,Milestones!$AA$20)&lt;=AsOfDate,IF($R134=0,$X134,IF(AND($T134&lt;&gt;"",EDATE($D134,Milestones!$AA$20)&gt;=$T134),$W134,IF(AND($S134&lt;&gt;"",EDATE($D134,Milestones!$AA$20)&gt;=$S134),$V134,$U134)))=Milestones!$AB$20),UPPER(TEXT(EDATE($D134,Milestones!$AA$20),"dd mmm yy"))&amp;" "&amp;Milestones!$AB$20&amp;" "&amp;Milestones!$AC$20&amp;";  ","")&amp;IF(AND(EDATE($D134,Milestones!$AA$21)&lt;=AsOfDate,IF($R134=0,$X134,IF(AND($T134&lt;&gt;"",EDATE($D134,Milestones!$AA$21)&gt;=$T134),$W134,IF(AND($S134&lt;&gt;"",EDATE($D134,Milestones!$AA$21)&gt;=$S134),$V134,$U134)))=Milestones!$AB$21),UPPER(TEXT(EDATE($D134,Milestones!$AA$21),"dd mmm yy"))&amp;" "&amp;Milestones!$AB$21&amp;" "&amp;Milestones!$AC$21&amp;";  ","")&amp;IF(AND(EDATE($D134,Milestones!$AA$22)&lt;=AsOfDate,IF($R134=0,$X134,IF(AND($T134&lt;&gt;"",EDATE($D134,Milestones!$AA$22)&gt;=$T134),$W134,IF(AND($S134&lt;&gt;"",EDATE($D134,Milestones!$AA$22)&gt;=$S134),$V134,$U134)))=Milestones!$AB$22),UPPER(TEXT(EDATE($D134,Milestones!$AA$22),"dd mmm yy"))&amp;" "&amp;Milestones!$AB$22&amp;" "&amp;Milestones!$AC$22&amp;";  ","")&amp;IF(AND(EDATE($D134,Milestones!$AA$23)&lt;=AsOfDate,IF($R134=0,$X134,IF(AND($T134&lt;&gt;"",EDATE($D134,Milestones!$AA$23)&gt;=$T134),$W134,IF(AND($S134&lt;&gt;"",EDATE($D134,Milestones!$AA$23)&gt;=$S134),$V134,$U134)))=Milestones!$AB$23),UPPER(TEXT(EDATE($D134,Milestones!$AA$23),"dd mmm yy"))&amp;" "&amp;Milestones!$AB$23&amp;" "&amp;Milestones!$AC$23&amp;";  ","")&amp;IF(AND(EDATE($D134,Milestones!$AA$24)&lt;=AsOfDate,IF($R134=0,$X134,IF(AND($T134&lt;&gt;"",EDATE($D134,Milestones!$AA$24)&gt;=$T134),$W134,IF(AND($S134&lt;&gt;"",EDATE($D134,Milestones!$AA$24)&gt;=$S134),$V134,$U134)))=Milestones!$AB$24),UPPER(TEXT(EDATE($D134,Milestones!$AA$24),"dd mmm yy"))&amp;" "&amp;Milestones!$AB$24&amp;" "&amp;Milestones!$AC$24&amp;";  ","")&amp;IF(AND(EDATE($D134,Milestones!$AA$25)&lt;=AsOfDate,IF($R134=0,$X134,IF(AND($T134&lt;&gt;"",EDATE($D134,Milestones!$AA$25)&gt;=$T134),$W134,IF(AND($S134&lt;&gt;"",EDATE($D134,Milestones!$AA$25)&gt;=$S134),$V134,$U134)))=Milestones!$AB$25),UPPER(TEXT(EDATE($D134,Milestones!$AA$25),"dd mmm yy"))&amp;" "&amp;Milestones!$AB$25&amp;" "&amp;Milestones!$AC$25&amp;";  ","")&amp;IF(AND(EDATE($D134,Milestones!$AA$26)&lt;=AsOfDate,IF($R134=0,$X134,IF(AND($T134&lt;&gt;"",EDATE($D134,Milestones!$AA$26)&gt;=$T134),$W134,IF(AND($S134&lt;&gt;"",EDATE($D134,Milestones!$AA$26)&gt;=$S134),$V134,$U134)))=Milestones!$AB$26),UPPER(TEXT(EDATE($D134,Milestones!$AA$26),"dd mmm yy"))&amp;" "&amp;Milestones!$AB$26&amp;" "&amp;Milestones!$AC$26&amp;";  ","")&amp;IF(AND(EDATE($D134,Milestones!$AA$27)&lt;=AsOfDate,IF($R134=0,$X134,IF(AND($T134&lt;&gt;"",EDATE($D134,Milestones!$AA$27)&gt;=$T134),$W134,IF(AND($S134&lt;&gt;"",EDATE($D134,Milestones!$AA$27)&gt;=$S134),$V134,$U134)))=Milestones!$AB$27),UPPER(TEXT(EDATE($D134,Milestones!$AA$27),"dd mmm yy"))&amp;" "&amp;Milestones!$AB$27&amp;" "&amp;Milestones!$AC$27&amp;";  ","")&amp;IF(AND(EDATE($D134,Milestones!$AA$28)&lt;=AsOfDate,IF($R134=0,$X134,IF(AND($T134&lt;&gt;"",EDATE($D134,Milestones!$AA$28)&gt;=$T134),$W134,IF(AND($S134&lt;&gt;"",EDATE($D134,Milestones!$AA$28)&gt;=$S134),$V134,$U134)))=Milestones!$AB$28),UPPER(TEXT(EDATE($D134,Milestones!$AA$28),"dd mmm yy"))&amp;" "&amp;Milestones!$AB$28&amp;" "&amp;Milestones!$AC$28&amp;";  ","")&amp;IF(AND(EDATE($D134,Milestones!$AA$29)&lt;=AsOfDate,IF($R134=0,$X134,IF(AND($T134&lt;&gt;"",EDATE($D134,Milestones!$AA$29)&gt;=$T134),$W134,IF(AND($S134&lt;&gt;"",EDATE($D134,Milestones!$AA$29)&gt;=$S134),$V134,$U134)))=Milestones!$AB$29),UPPER(TEXT(EDATE($D134,Milestones!$AA$29),"dd mmm yy"))&amp;" "&amp;Milestones!$AB$29&amp;" "&amp;Milestones!$AC$29&amp;";  ","")&amp;IF(AND(EDATE($D134,Milestones!$AA$30)&lt;=AsOfDate,IF($R134=0,$X134,IF(AND($T134&lt;&gt;"",EDATE($D134,Milestones!$AA$30)&gt;=$T134),$W134,IF(AND($S134&lt;&gt;"",EDATE($D134,Milestones!$AA$30)&gt;=$S134),$V134,$U134)))=Milestones!$AB$30),UPPER(TEXT(EDATE($D134,Milestones!$AA$30),"dd mmm yy"))&amp;" "&amp;Milestones!$AB$30&amp;" "&amp;Milestones!$AC$30&amp;";  ","")&amp;IF(AND(EDATE($D134,Milestones!$AA$31)&lt;=AsOfDate,IF($R134=0,$X134,IF(AND($T134&lt;&gt;"",EDATE($D134,Milestones!$AA$31)&gt;=$T134),$W134,IF(AND($S134&lt;&gt;"",EDATE($D134,Milestones!$AA$31)&gt;=$S134),$V134,$U134)))=Milestones!$AB$31),UPPER(TEXT(EDATE($D134,Milestones!$AA$31),"dd mmm yy"))&amp;" "&amp;Milestones!$AB$31&amp;" "&amp;Milestones!$AC$31&amp;";  ","")&amp;IF(AND(EDATE($D134,Milestones!$AA$32)&lt;=AsOfDate,IF($R134=0,$X134,IF(AND($T134&lt;&gt;"",EDATE($D134,Milestones!$AA$32)&gt;=$T134),$W134,IF(AND($S134&lt;&gt;"",EDATE($D134,Milestones!$AA$32)&gt;=$S134),$V134,$U134)))=Milestones!$AB$32),UPPER(TEXT(EDATE($D134,Milestones!$AA$32),"dd mmm yy"))&amp;" "&amp;Milestones!$AB$32&amp;" "&amp;Milestones!$AC$32&amp;";  ","")&amp;IF(AND(EDATE($D134,Milestones!$AA$33)&lt;=AsOfDate,IF($R134=0,$X134,IF(AND($T134&lt;&gt;"",EDATE($D134,Milestones!$AA$33)&gt;=$T134),$W134,IF(AND($S134&lt;&gt;"",EDATE($D134,Milestones!$AA$33)&gt;=$S134),$V134,$U134)))=Milestones!$AB$33),UPPER(TEXT(EDATE($D134,Milestones!$AA$33),"dd mmm yy"))&amp;" "&amp;Milestones!$AB$33&amp;" "&amp;Milestones!$AC$33&amp;";  ","")&amp;IF(AND(EDATE($D134,Milestones!$AA$34)&lt;=AsOfDate,IF($R134=0,$X134,IF(AND($T134&lt;&gt;"",EDATE($D134,Milestones!$AA$34)&gt;=$T134),$W134,IF(AND($S134&lt;&gt;"",EDATE($D134,Milestones!$AA$34)&gt;=$S134),$V134,$U134)))=Milestones!$AB$34),UPPER(TEXT(EDATE($D134,Milestones!$AA$34),"dd mmm yy"))&amp;" "&amp;Milestones!$AB$34&amp;" "&amp;Milestones!$AC$34&amp;";  ","")&amp;IF(AND(EDATE($D134,Milestones!$AA$35)&lt;=AsOfDate,IF($R134=0,$X134,IF(AND($T134&lt;&gt;"",EDATE($D134,Milestones!$AA$35)&gt;=$T134),$W134,IF(AND($S134&lt;&gt;"",EDATE($D134,Milestones!$AA$35)&gt;=$S134),$V134,$U134)))=Milestones!$AB$35),UPPER(TEXT(EDATE($D134,Milestones!$AA$35),"dd mmm yy"))&amp;" "&amp;Milestones!$AB$35&amp;" "&amp;Milestones!$AC$35&amp;";  ","")&amp;IF(AND(EDATE($D134,Milestones!$AA$36)&lt;=AsOfDate,IF($R134=0,$X134,IF(AND($T134&lt;&gt;"",EDATE($D134,Milestones!$AA$36)&gt;=$T134),$W134,IF(AND($S134&lt;&gt;"",EDATE($D134,Milestones!$AA$36)&gt;=$S134),$V134,$U134)))=Milestones!$AB$36),UPPER(TEXT(EDATE($D134,Milestones!$AA$36),"dd mmm yy"))&amp;" "&amp;Milestones!$AB$36&amp;" "&amp;Milestones!$AC$36&amp;";  ","")&amp;IF(AND(EDATE($D134,Milestones!$AA$37)&lt;=AsOfDate,IF($R134=0,$X134,IF(AND($T134&lt;&gt;"",EDATE($D134,Milestones!$AA$37)&gt;=$T134),$W134,IF(AND($S134&lt;&gt;"",EDATE($D134,Milestones!$AA$37)&gt;=$S134),$V134,$U134)))=Milestones!$AB$37),UPPER(TEXT(EDATE($D134,Milestones!$AA$37),"dd mmm yy"))&amp;" "&amp;Milestones!$AB$37&amp;" "&amp;Milestones!$AC$37&amp;";  ","")&amp;IF(AND(EDATE($D134,Milestones!$AA$38)&lt;=AsOfDate,IF($R134=0,$X134,IF(AND($T134&lt;&gt;"",EDATE($D134,Milestones!$AA$38)&gt;=$T134),$W134,IF(AND($S134&lt;&gt;"",EDATE($D134,Milestones!$AA$38)&gt;=$S134),$V134,$U134)))=Milestones!$AB$38),UPPER(TEXT(EDATE($D134,Milestones!$AA$38),"dd mmm yy"))&amp;" "&amp;Milestones!$AB$38&amp;" "&amp;Milestones!$AC$38&amp;";  ","")&amp;IF(AND(EDATE($D134,Milestones!$AA$39)&lt;=AsOfDate,IF($R134=0,$X134,IF(AND($T134&lt;&gt;"",EDATE($D134,Milestones!$AA$39)&gt;=$T134),$W134,IF(AND($S134&lt;&gt;"",EDATE($D134,Milestones!$AA$39)&gt;=$S134),$V134,$U134)))=Milestones!$AB$39),UPPER(TEXT(EDATE($D134,Milestones!$AA$39),"dd mmm yy"))&amp;" "&amp;Milestones!$AB$39&amp;" "&amp;Milestones!$AC$39&amp;";  ",""))</f>
        <v/>
      </c>
      <c r="J134" s="0" t="str">
        <f aca="false">IF(OR($A134="",$D134=""),"",IF(AND(EDATE($D134,Milestones!$AA$40)&lt;=AsOfDate,IF($R134=0,$X134,IF(AND($T134&lt;&gt;"",EDATE($D134,Milestones!$AA$40)&gt;=$T134),$W134,IF(AND($S134&lt;&gt;"",EDATE($D134,Milestones!$AA$40)&gt;=$S134),$V134,$U134)))=Milestones!$AB$40),UPPER(TEXT(EDATE($D134,Milestones!$AA$40),"dd mmm yy"))&amp;" "&amp;Milestones!$AB$40&amp;" "&amp;Milestones!$AC$40&amp;";  ","")&amp;IF(AND(EDATE($D134,Milestones!$AA$41)&lt;=AsOfDate,IF($R134=0,$X134,IF(AND($T134&lt;&gt;"",EDATE($D134,Milestones!$AA$41)&gt;=$T134),$W134,IF(AND($S134&lt;&gt;"",EDATE($D134,Milestones!$AA$41)&gt;=$S134),$V134,$U134)))=Milestones!$AB$41),UPPER(TEXT(EDATE($D134,Milestones!$AA$41),"dd mmm yy"))&amp;" "&amp;Milestones!$AB$41&amp;" "&amp;Milestones!$AC$41&amp;";  ","")&amp;IF(AND(EDATE($D134,Milestones!$AA$42)&lt;=AsOfDate,IF($R134=0,$X134,IF(AND($T134&lt;&gt;"",EDATE($D134,Milestones!$AA$42)&gt;=$T134),$W134,IF(AND($S134&lt;&gt;"",EDATE($D134,Milestones!$AA$42)&gt;=$S134),$V134,$U134)))=Milestones!$AB$42),UPPER(TEXT(EDATE($D134,Milestones!$AA$42),"dd mmm yy"))&amp;" "&amp;Milestones!$AB$42&amp;" "&amp;Milestones!$AC$42&amp;";  ","")&amp;IF(AND(EDATE($D134,Milestones!$AA$43)&lt;=AsOfDate,IF($R134=0,$X134,IF(AND($T134&lt;&gt;"",EDATE($D134,Milestones!$AA$43)&gt;=$T134),$W134,IF(AND($S134&lt;&gt;"",EDATE($D134,Milestones!$AA$43)&gt;=$S134),$V134,$U134)))=Milestones!$AB$43),UPPER(TEXT(EDATE($D134,Milestones!$AA$43),"dd mmm yy"))&amp;" "&amp;Milestones!$AB$43&amp;" "&amp;Milestones!$AC$43&amp;";  ","")&amp;IF(AND(EDATE($D134,Milestones!$AA$44)&lt;=AsOfDate,IF($R134=0,$X134,IF(AND($T134&lt;&gt;"",EDATE($D134,Milestones!$AA$44)&gt;=$T134),$W134,IF(AND($S134&lt;&gt;"",EDATE($D134,Milestones!$AA$44)&gt;=$S134),$V134,$U134)))=Milestones!$AB$44),UPPER(TEXT(EDATE($D134,Milestones!$AA$44),"dd mmm yy"))&amp;" "&amp;Milestones!$AB$44&amp;" "&amp;Milestones!$AC$44&amp;";  ","")&amp;IF(AND(EDATE($D134,Milestones!$AA$45)&lt;=AsOfDate,IF($R134=0,$X134,IF(AND($T134&lt;&gt;"",EDATE($D134,Milestones!$AA$45)&gt;=$T134),$W134,IF(AND($S134&lt;&gt;"",EDATE($D134,Milestones!$AA$45)&gt;=$S134),$V134,$U134)))=Milestones!$AB$45),UPPER(TEXT(EDATE($D134,Milestones!$AA$45),"dd mmm yy"))&amp;" "&amp;Milestones!$AB$45&amp;" "&amp;Milestones!$AC$45&amp;";  ","")&amp;IF(AND(EDATE($D134,Milestones!$AA$46)&lt;=AsOfDate,IF($R134=0,$X134,IF(AND($T134&lt;&gt;"",EDATE($D134,Milestones!$AA$46)&gt;=$T134),$W134,IF(AND($S134&lt;&gt;"",EDATE($D134,Milestones!$AA$46)&gt;=$S134),$V134,$U134)))=Milestones!$AB$46),UPPER(TEXT(EDATE($D134,Milestones!$AA$46),"dd mmm yy"))&amp;" "&amp;Milestones!$AB$46&amp;" "&amp;Milestones!$AC$46&amp;";  ","")&amp;IF(AND(EDATE($D134,Milestones!$AA$47)&lt;=AsOfDate,IF($R134=0,$X134,IF(AND($T134&lt;&gt;"",EDATE($D134,Milestones!$AA$47)&gt;=$T134),$W134,IF(AND($S134&lt;&gt;"",EDATE($D134,Milestones!$AA$47)&gt;=$S134),$V134,$U134)))=Milestones!$AB$47),UPPER(TEXT(EDATE($D134,Milestones!$AA$47),"dd mmm yy"))&amp;" "&amp;Milestones!$AB$47&amp;" "&amp;Milestones!$AC$47&amp;";  ","")&amp;IF(AND(EDATE($D134,Milestones!$AA$48)&lt;=AsOfDate,IF($R134=0,$X134,IF(AND($T134&lt;&gt;"",EDATE($D134,Milestones!$AA$48)&gt;=$T134),$W134,IF(AND($S134&lt;&gt;"",EDATE($D134,Milestones!$AA$48)&gt;=$S134),$V134,$U134)))=Milestones!$AB$48),UPPER(TEXT(EDATE($D134,Milestones!$AA$48),"dd mmm yy"))&amp;" "&amp;Milestones!$AB$48&amp;" "&amp;Milestones!$AC$48&amp;";  ","")&amp;IF(AND(EDATE($D134,Milestones!$AA$49)&lt;=AsOfDate,IF($R134=0,$X134,IF(AND($T134&lt;&gt;"",EDATE($D134,Milestones!$AA$49)&gt;=$T134),$W134,IF(AND($S134&lt;&gt;"",EDATE($D134,Milestones!$AA$49)&gt;=$S134),$V134,$U134)))=Milestones!$AB$49),UPPER(TEXT(EDATE($D134,Milestones!$AA$49),"dd mmm yy"))&amp;" "&amp;Milestones!$AB$49&amp;" "&amp;Milestones!$AC$49&amp;";  ","")&amp;IF(AND(EDATE($D134,Milestones!$AA$50)&lt;=AsOfDate,IF($R134=0,$X134,IF(AND($T134&lt;&gt;"",EDATE($D134,Milestones!$AA$50)&gt;=$T134),$W134,IF(AND($S134&lt;&gt;"",EDATE($D134,Milestones!$AA$50)&gt;=$S134),$V134,$U134)))=Milestones!$AB$50),UPPER(TEXT(EDATE($D134,Milestones!$AA$50),"dd mmm yy"))&amp;" "&amp;Milestones!$AB$50&amp;" "&amp;Milestones!$AC$50&amp;";  ","")&amp;IF(AND(EDATE($D134,Milestones!$AA$51)&lt;=AsOfDate,IF($R134=0,$X134,IF(AND($T134&lt;&gt;"",EDATE($D134,Milestones!$AA$51)&gt;=$T134),$W134,IF(AND($S134&lt;&gt;"",EDATE($D134,Milestones!$AA$51)&gt;=$S134),$V134,$U134)))=Milestones!$AB$51),UPPER(TEXT(EDATE($D134,Milestones!$AA$51),"dd mmm yy"))&amp;" "&amp;Milestones!$AB$51&amp;" "&amp;Milestones!$AC$51&amp;";  ","")&amp;IF(AND(EDATE($D134,Milestones!$AA$52)&lt;=AsOfDate,IF($R134=0,$X134,IF(AND($T134&lt;&gt;"",EDATE($D134,Milestones!$AA$52)&gt;=$T134),$W134,IF(AND($S134&lt;&gt;"",EDATE($D134,Milestones!$AA$52)&gt;=$S134),$V134,$U134)))=Milestones!$AB$52),UPPER(TEXT(EDATE($D134,Milestones!$AA$52),"dd mmm yy"))&amp;" "&amp;Milestones!$AB$52&amp;" "&amp;Milestones!$AC$52&amp;";  ","")&amp;IF(AND(EDATE($D134,Milestones!$AA$53)&lt;=AsOfDate,IF($R134=0,$X134,IF(AND($T134&lt;&gt;"",EDATE($D134,Milestones!$AA$53)&gt;=$T134),$W134,IF(AND($S134&lt;&gt;"",EDATE($D134,Milestones!$AA$53)&gt;=$S134),$V134,$U134)))=Milestones!$AB$53),UPPER(TEXT(EDATE($D134,Milestones!$AA$53),"dd mmm yy"))&amp;" "&amp;Milestones!$AB$53&amp;" "&amp;Milestones!$AC$53&amp;";  ","")&amp;IF(AND(EDATE($D134,Milestones!$AA$54)&lt;=AsOfDate,IF($R134=0,$X134,IF(AND($T134&lt;&gt;"",EDATE($D134,Milestones!$AA$54)&gt;=$T134),$W134,IF(AND($S134&lt;&gt;"",EDATE($D134,Milestones!$AA$54)&gt;=$S134),$V134,$U134)))=Milestones!$AB$54),UPPER(TEXT(EDATE($D134,Milestones!$AA$54),"dd mmm yy"))&amp;" "&amp;Milestones!$AB$54&amp;" "&amp;Milestones!$AC$54&amp;";  ","")&amp;IF(AND(EDATE($D134,Milestones!$AA$55)&lt;=AsOfDate,IF($R134=0,$X134,IF(AND($T134&lt;&gt;"",EDATE($D134,Milestones!$AA$55)&gt;=$T134),$W134,IF(AND($S134&lt;&gt;"",EDATE($D134,Milestones!$AA$55)&gt;=$S134),$V134,$U134)))=Milestones!$AB$55),UPPER(TEXT(EDATE($D134,Milestones!$AA$55),"dd mmm yy"))&amp;" "&amp;Milestones!$AB$55&amp;" "&amp;Milestones!$AC$55&amp;";  ","")&amp;IF(AND(EDATE($D134,Milestones!$AA$56)&lt;=AsOfDate,IF($R134=0,$X134,IF(AND($T134&lt;&gt;"",EDATE($D134,Milestones!$AA$56)&gt;=$T134),$W134,IF(AND($S134&lt;&gt;"",EDATE($D134,Milestones!$AA$56)&gt;=$S134),$V134,$U134)))=Milestones!$AB$56),UPPER(TEXT(EDATE($D134,Milestones!$AA$56),"dd mmm yy"))&amp;" "&amp;Milestones!$AB$56&amp;" "&amp;Milestones!$AC$56&amp;";  ","")&amp;IF(AND(EDATE($D134,Milestones!$AA$57)&lt;=AsOfDate,IF($R134=0,$X134,IF(AND($T134&lt;&gt;"",EDATE($D134,Milestones!$AA$57)&gt;=$T134),$W134,IF(AND($S134&lt;&gt;"",EDATE($D134,Milestones!$AA$57)&gt;=$S134),$V134,$U134)))=Milestones!$AB$57),UPPER(TEXT(EDATE($D134,Milestones!$AA$57),"dd mmm yy"))&amp;" "&amp;Milestones!$AB$57&amp;" "&amp;Milestones!$AC$57&amp;";  ","")&amp;IF(AND(EDATE($D134,Milestones!$AA$58)&lt;=AsOfDate,IF($R134=0,$X134,IF(AND($T134&lt;&gt;"",EDATE($D134,Milestones!$AA$58)&gt;=$T134),$W134,IF(AND($S134&lt;&gt;"",EDATE($D134,Milestones!$AA$58)&gt;=$S134),$V134,$U134)))=Milestones!$AB$58),UPPER(TEXT(EDATE($D134,Milestones!$AA$58),"dd mmm yy"))&amp;" "&amp;Milestones!$AB$58&amp;" "&amp;Milestones!$AC$58&amp;";  ","")&amp;IF(AND(EDATE($D134,Milestones!$AA$59)&lt;=AsOfDate,IF($R134=0,$X134,IF(AND($T134&lt;&gt;"",EDATE($D134,Milestones!$AA$59)&gt;=$T134),$W134,IF(AND($S134&lt;&gt;"",EDATE($D134,Milestones!$AA$59)&gt;=$S134),$V134,$U134)))=Milestones!$AB$59),UPPER(TEXT(EDATE($D134,Milestones!$AA$59),"dd mmm yy"))&amp;" "&amp;Milestones!$AB$59&amp;" "&amp;Milestones!$AC$59&amp;";  ",""))</f>
        <v/>
      </c>
      <c r="K134" s="0" t="str">
        <f aca="false">IF(OR($A134="",$D134=""),"",IF(AND(EDATE($D134,Milestones!$AA$60)&lt;=AsOfDate,IF($R134=0,$X134,IF(AND($T134&lt;&gt;"",EDATE($D134,Milestones!$AA$60)&gt;=$T134),$W134,IF(AND($S134&lt;&gt;"",EDATE($D134,Milestones!$AA$60)&gt;=$S134),$V134,$U134)))=Milestones!$AB$60),UPPER(TEXT(EDATE($D134,Milestones!$AA$60),"dd mmm yy"))&amp;" "&amp;Milestones!$AB$60&amp;" "&amp;Milestones!$AC$60&amp;";  ","")&amp;IF(AND(EDATE($D134,Milestones!$AA$61)&lt;=AsOfDate,IF($R134=0,$X134,IF(AND($T134&lt;&gt;"",EDATE($D134,Milestones!$AA$61)&gt;=$T134),$W134,IF(AND($S134&lt;&gt;"",EDATE($D134,Milestones!$AA$61)&gt;=$S134),$V134,$U134)))=Milestones!$AB$61),UPPER(TEXT(EDATE($D134,Milestones!$AA$61),"dd mmm yy"))&amp;" "&amp;Milestones!$AB$61&amp;" "&amp;Milestones!$AC$61&amp;";  ","")&amp;IF(AND(EDATE($D134,Milestones!$AA$62)&lt;=AsOfDate,IF($R134=0,$X134,IF(AND($T134&lt;&gt;"",EDATE($D134,Milestones!$AA$62)&gt;=$T134),$W134,IF(AND($S134&lt;&gt;"",EDATE($D134,Milestones!$AA$62)&gt;=$S134),$V134,$U134)))=Milestones!$AB$62),UPPER(TEXT(EDATE($D134,Milestones!$AA$62),"dd mmm yy"))&amp;" "&amp;Milestones!$AB$62&amp;" "&amp;Milestones!$AC$62&amp;";  ","")&amp;IF(AND(EDATE($D134,Milestones!$AA$63)&lt;=AsOfDate,IF($R134=0,$X134,IF(AND($T134&lt;&gt;"",EDATE($D134,Milestones!$AA$63)&gt;=$T134),$W134,IF(AND($S134&lt;&gt;"",EDATE($D134,Milestones!$AA$63)&gt;=$S134),$V134,$U134)))=Milestones!$AB$63),UPPER(TEXT(EDATE($D134,Milestones!$AA$63),"dd mmm yy"))&amp;" "&amp;Milestones!$AB$63&amp;" "&amp;Milestones!$AC$63&amp;";  ","")&amp;IF(AND(EDATE($D134,Milestones!$AA$64)&lt;=AsOfDate,IF($R134=0,$X134,IF(AND($T134&lt;&gt;"",EDATE($D134,Milestones!$AA$64)&gt;=$T134),$W134,IF(AND($S134&lt;&gt;"",EDATE($D134,Milestones!$AA$64)&gt;=$S134),$V134,$U134)))=Milestones!$AB$64),UPPER(TEXT(EDATE($D134,Milestones!$AA$64),"dd mmm yy"))&amp;" "&amp;Milestones!$AB$64&amp;" "&amp;Milestones!$AC$64&amp;";  ","")&amp;IF(AND(EDATE($D134,Milestones!$AA$65)&lt;=AsOfDate,IF($R134=0,$X134,IF(AND($T134&lt;&gt;"",EDATE($D134,Milestones!$AA$65)&gt;=$T134),$W134,IF(AND($S134&lt;&gt;"",EDATE($D134,Milestones!$AA$65)&gt;=$S134),$V134,$U134)))=Milestones!$AB$65),UPPER(TEXT(EDATE($D134,Milestones!$AA$65),"dd mmm yy"))&amp;" "&amp;Milestones!$AB$65&amp;" "&amp;Milestones!$AC$65&amp;";  ","")&amp;IF(AND(EDATE($D134,Milestones!$AA$66)&lt;=AsOfDate,IF($R134=0,$X134,IF(AND($T134&lt;&gt;"",EDATE($D134,Milestones!$AA$66)&gt;=$T134),$W134,IF(AND($S134&lt;&gt;"",EDATE($D134,Milestones!$AA$66)&gt;=$S134),$V134,$U134)))=Milestones!$AB$66),UPPER(TEXT(EDATE($D134,Milestones!$AA$66),"dd mmm yy"))&amp;" "&amp;Milestones!$AB$66&amp;" "&amp;Milestones!$AC$66&amp;";  ","")&amp;IF(AND(EDATE($D134,Milestones!$AA$67)&lt;=AsOfDate,IF($R134=0,$X134,IF(AND($T134&lt;&gt;"",EDATE($D134,Milestones!$AA$67)&gt;=$T134),$W134,IF(AND($S134&lt;&gt;"",EDATE($D134,Milestones!$AA$67)&gt;=$S134),$V134,$U134)))=Milestones!$AB$67),UPPER(TEXT(EDATE($D134,Milestones!$AA$67),"dd mmm yy"))&amp;" "&amp;Milestones!$AB$67&amp;" "&amp;Milestones!$AC$67&amp;";  ","")&amp;IF(AND(EDATE($D134,Milestones!$AA$68)&lt;=AsOfDate,IF($R134=0,$X134,IF(AND($T134&lt;&gt;"",EDATE($D134,Milestones!$AA$68)&gt;=$T134),$W134,IF(AND($S134&lt;&gt;"",EDATE($D134,Milestones!$AA$68)&gt;=$S134),$V134,$U134)))=Milestones!$AB$68),UPPER(TEXT(EDATE($D134,Milestones!$AA$68),"dd mmm yy"))&amp;" "&amp;Milestones!$AB$68&amp;" "&amp;Milestones!$AC$68&amp;";  ","")&amp;IF(AND(EDATE($D134,Milestones!$AA$69)&lt;=AsOfDate,IF($R134=0,$X134,IF(AND($T134&lt;&gt;"",EDATE($D134,Milestones!$AA$69)&gt;=$T134),$W134,IF(AND($S134&lt;&gt;"",EDATE($D134,Milestones!$AA$69)&gt;=$S134),$V134,$U134)))=Milestones!$AB$69),UPPER(TEXT(EDATE($D134,Milestones!$AA$69),"dd mmm yy"))&amp;" "&amp;Milestones!$AB$69&amp;" "&amp;Milestones!$AC$69&amp;";  ","")&amp;IF(AND(EDATE($D134,Milestones!$AA$70)&lt;=AsOfDate,IF($R134=0,$X134,IF(AND($T134&lt;&gt;"",EDATE($D134,Milestones!$AA$70)&gt;=$T134),$W134,IF(AND($S134&lt;&gt;"",EDATE($D134,Milestones!$AA$70)&gt;=$S134),$V134,$U134)))=Milestones!$AB$70),UPPER(TEXT(EDATE($D134,Milestones!$AA$70),"dd mmm yy"))&amp;" "&amp;Milestones!$AB$70&amp;" "&amp;Milestones!$AC$70&amp;";  ","")&amp;IF(AND(EDATE($D134,Milestones!$AA$71)&lt;=AsOfDate,IF($R134=0,$X134,IF(AND($T134&lt;&gt;"",EDATE($D134,Milestones!$AA$71)&gt;=$T134),$W134,IF(AND($S134&lt;&gt;"",EDATE($D134,Milestones!$AA$71)&gt;=$S134),$V134,$U134)))=Milestones!$AB$71),UPPER(TEXT(EDATE($D134,Milestones!$AA$71),"dd mmm yy"))&amp;" "&amp;Milestones!$AB$71&amp;" "&amp;Milestones!$AC$71&amp;";  ","")&amp;IF(AND(EDATE($D134,Milestones!$AA$72)&lt;=AsOfDate,IF($R134=0,$X134,IF(AND($T134&lt;&gt;"",EDATE($D134,Milestones!$AA$72)&gt;=$T134),$W134,IF(AND($S134&lt;&gt;"",EDATE($D134,Milestones!$AA$72)&gt;=$S134),$V134,$U134)))=Milestones!$AB$72),UPPER(TEXT(EDATE($D134,Milestones!$AA$72),"dd mmm yy"))&amp;" "&amp;Milestones!$AB$72&amp;" "&amp;Milestones!$AC$72&amp;";  ","")&amp;IF(AND(EDATE($D134,Milestones!$AA$73)&lt;=AsOfDate,IF($R134=0,$X134,IF(AND($T134&lt;&gt;"",EDATE($D134,Milestones!$AA$73)&gt;=$T134),$W134,IF(AND($S134&lt;&gt;"",EDATE($D134,Milestones!$AA$73)&gt;=$S134),$V134,$U134)))=Milestones!$AB$73),UPPER(TEXT(EDATE($D134,Milestones!$AA$73),"dd mmm yy"))&amp;" "&amp;Milestones!$AB$73&amp;" "&amp;Milestones!$AC$73&amp;";  ","")&amp;IF(AND(EDATE($D134,Milestones!$AA$74)&lt;=AsOfDate,IF($R134=0,$X134,IF(AND($T134&lt;&gt;"",EDATE($D134,Milestones!$AA$74)&gt;=$T134),$W134,IF(AND($S134&lt;&gt;"",EDATE($D134,Milestones!$AA$74)&gt;=$S134),$V134,$U134)))=Milestones!$AB$74),UPPER(TEXT(EDATE($D134,Milestones!$AA$74),"dd mmm yy"))&amp;" "&amp;Milestones!$AB$74&amp;" "&amp;Milestones!$AC$74&amp;";  ","")&amp;IF(AND(EDATE($D134,Milestones!$AA$75)&lt;=AsOfDate,IF($R134=0,$X134,IF(AND($T134&lt;&gt;"",EDATE($D134,Milestones!$AA$75)&gt;=$T134),$W134,IF(AND($S134&lt;&gt;"",EDATE($D134,Milestones!$AA$75)&gt;=$S134),$V134,$U134)))=Milestones!$AB$75),UPPER(TEXT(EDATE($D134,Milestones!$AA$75),"dd mmm yy"))&amp;" "&amp;Milestones!$AB$75&amp;" "&amp;Milestones!$AC$75&amp;";  ","")&amp;IF(AND(EDATE($D134,Milestones!$AA$76)&lt;=AsOfDate,IF($R134=0,$X134,IF(AND($T134&lt;&gt;"",EDATE($D134,Milestones!$AA$76)&gt;=$T134),$W134,IF(AND($S134&lt;&gt;"",EDATE($D134,Milestones!$AA$76)&gt;=$S134),$V134,$U134)))=Milestones!$AB$76),UPPER(TEXT(EDATE($D134,Milestones!$AA$76),"dd mmm yy"))&amp;" "&amp;Milestones!$AB$76&amp;" "&amp;Milestones!$AC$76&amp;";  ","")&amp;IF(AND(EDATE($D134,Milestones!$AA$77)&lt;=AsOfDate,IF($R134=0,$X134,IF(AND($T134&lt;&gt;"",EDATE($D134,Milestones!$AA$77)&gt;=$T134),$W134,IF(AND($S134&lt;&gt;"",EDATE($D134,Milestones!$AA$77)&gt;=$S134),$V134,$U134)))=Milestones!$AB$77),UPPER(TEXT(EDATE($D134,Milestones!$AA$77),"dd mmm yy"))&amp;" "&amp;Milestones!$AB$77&amp;" "&amp;Milestones!$AC$77&amp;";  ","")&amp;IF(AND(EDATE($D134,Milestones!$AA$78)&lt;=AsOfDate,IF($R134=0,$X134,IF(AND($T134&lt;&gt;"",EDATE($D134,Milestones!$AA$78)&gt;=$T134),$W134,IF(AND($S134&lt;&gt;"",EDATE($D134,Milestones!$AA$78)&gt;=$S134),$V134,$U134)))=Milestones!$AB$78),UPPER(TEXT(EDATE($D134,Milestones!$AA$78),"dd mmm yy"))&amp;" "&amp;Milestones!$AB$78&amp;" "&amp;Milestones!$AC$78&amp;";  ","")&amp;IF(AND(EDATE($D134,Milestones!$AA$79)&lt;=AsOfDate,IF($R134=0,$X134,IF(AND($T134&lt;&gt;"",EDATE($D134,Milestones!$AA$79)&gt;=$T134),$W134,IF(AND($S134&lt;&gt;"",EDATE($D134,Milestones!$AA$79)&gt;=$S134),$V134,$U134)))=Milestones!$AB$79),UPPER(TEXT(EDATE($D134,Milestones!$AA$79),"dd mmm yy"))&amp;" "&amp;Milestones!$AB$79&amp;" "&amp;Milestones!$AC$79&amp;";  ",""))</f>
        <v/>
      </c>
      <c r="L134" s="0" t="str">
        <f aca="false">IF(OR($A134="",$D134=""),"",IF(AND(EDATE($D134,Milestones!$AA$80)&lt;=AsOfDate,IF($R134=0,$X134,IF(AND($T134&lt;&gt;"",EDATE($D134,Milestones!$AA$80)&gt;=$T134),$W134,IF(AND($S134&lt;&gt;"",EDATE($D134,Milestones!$AA$80)&gt;=$S134),$V134,$U134)))=Milestones!$AB$80),UPPER(TEXT(EDATE($D134,Milestones!$AA$80),"dd mmm yy"))&amp;" "&amp;Milestones!$AB$80&amp;" "&amp;Milestones!$AC$80&amp;";  ","")&amp;IF(AND(EDATE($D134,Milestones!$AA$81)&lt;=AsOfDate,IF($R134=0,$X134,IF(AND($T134&lt;&gt;"",EDATE($D134,Milestones!$AA$81)&gt;=$T134),$W134,IF(AND($S134&lt;&gt;"",EDATE($D134,Milestones!$AA$81)&gt;=$S134),$V134,$U134)))=Milestones!$AB$81),UPPER(TEXT(EDATE($D134,Milestones!$AA$81),"dd mmm yy"))&amp;" "&amp;Milestones!$AB$81&amp;" "&amp;Milestones!$AC$81&amp;";  ","")&amp;IF(AND(EDATE($D134,Milestones!$AA$82)&lt;=AsOfDate,IF($R134=0,$X134,IF(AND($T134&lt;&gt;"",EDATE($D134,Milestones!$AA$82)&gt;=$T134),$W134,IF(AND($S134&lt;&gt;"",EDATE($D134,Milestones!$AA$82)&gt;=$S134),$V134,$U134)))=Milestones!$AB$82),UPPER(TEXT(EDATE($D134,Milestones!$AA$82),"dd mmm yy"))&amp;" "&amp;Milestones!$AB$82&amp;" "&amp;Milestones!$AC$82&amp;";  ","")&amp;IF(AND(EDATE($D134,Milestones!$AA$83)&lt;=AsOfDate,IF($R134=0,$X134,IF(AND($T134&lt;&gt;"",EDATE($D134,Milestones!$AA$83)&gt;=$T134),$W134,IF(AND($S134&lt;&gt;"",EDATE($D134,Milestones!$AA$83)&gt;=$S134),$V134,$U134)))=Milestones!$AB$83),UPPER(TEXT(EDATE($D134,Milestones!$AA$83),"dd mmm yy"))&amp;" "&amp;Milestones!$AB$83&amp;" "&amp;Milestones!$AC$83&amp;";  ","")&amp;IF(AND(EDATE($D134,Milestones!$AA$84)&lt;=AsOfDate,IF($R134=0,$X134,IF(AND($T134&lt;&gt;"",EDATE($D134,Milestones!$AA$84)&gt;=$T134),$W134,IF(AND($S134&lt;&gt;"",EDATE($D134,Milestones!$AA$84)&gt;=$S134),$V134,$U134)))=Milestones!$AB$84),UPPER(TEXT(EDATE($D134,Milestones!$AA$84),"dd mmm yy"))&amp;" "&amp;Milestones!$AB$84&amp;" "&amp;Milestones!$AC$84&amp;";  ","")&amp;IF(AND(EDATE($D134,Milestones!$AA$85)&lt;=AsOfDate,IF($R134=0,$X134,IF(AND($T134&lt;&gt;"",EDATE($D134,Milestones!$AA$85)&gt;=$T134),$W134,IF(AND($S134&lt;&gt;"",EDATE($D134,Milestones!$AA$85)&gt;=$S134),$V134,$U134)))=Milestones!$AB$85),UPPER(TEXT(EDATE($D134,Milestones!$AA$85),"dd mmm yy"))&amp;" "&amp;Milestones!$AB$85&amp;" "&amp;Milestones!$AC$85&amp;";  ","")&amp;IF(AND(EDATE($D134,Milestones!$AA$86)&lt;=AsOfDate,IF($R134=0,$X134,IF(AND($T134&lt;&gt;"",EDATE($D134,Milestones!$AA$86)&gt;=$T134),$W134,IF(AND($S134&lt;&gt;"",EDATE($D134,Milestones!$AA$86)&gt;=$S134),$V134,$U134)))=Milestones!$AB$86),UPPER(TEXT(EDATE($D134,Milestones!$AA$86),"dd mmm yy"))&amp;" "&amp;Milestones!$AB$86&amp;" "&amp;Milestones!$AC$86&amp;";  ","")&amp;IF(AND(EDATE($D134,Milestones!$AA$87)&lt;=AsOfDate,IF($R134=0,$X134,IF(AND($T134&lt;&gt;"",EDATE($D134,Milestones!$AA$87)&gt;=$T134),$W134,IF(AND($S134&lt;&gt;"",EDATE($D134,Milestones!$AA$87)&gt;=$S134),$V134,$U134)))=Milestones!$AB$87),UPPER(TEXT(EDATE($D134,Milestones!$AA$87),"dd mmm yy"))&amp;" "&amp;Milestones!$AB$87&amp;" "&amp;Milestones!$AC$87&amp;";  ","")&amp;IF(AND(EDATE($D134,Milestones!$AA$88)&lt;=AsOfDate,IF($R134=0,$X134,IF(AND($T134&lt;&gt;"",EDATE($D134,Milestones!$AA$88)&gt;=$T134),$W134,IF(AND($S134&lt;&gt;"",EDATE($D134,Milestones!$AA$88)&gt;=$S134),$V134,$U134)))=Milestones!$AB$88),UPPER(TEXT(EDATE($D134,Milestones!$AA$88),"dd mmm yy"))&amp;" "&amp;Milestones!$AB$88&amp;" "&amp;Milestones!$AC$88&amp;";  ","")&amp;IF(AND(EDATE($D134,Milestones!$AA$89)&lt;=AsOfDate,IF($R134=0,$X134,IF(AND($T134&lt;&gt;"",EDATE($D134,Milestones!$AA$89)&gt;=$T134),$W134,IF(AND($S134&lt;&gt;"",EDATE($D134,Milestones!$AA$89)&gt;=$S134),$V134,$U134)))=Milestones!$AB$89),UPPER(TEXT(EDATE($D134,Milestones!$AA$89),"dd mmm yy"))&amp;" "&amp;Milestones!$AB$89&amp;" "&amp;Milestones!$AC$89&amp;";  ","")&amp;IF(AND(EDATE($D134,Milestones!$AA$90)&lt;=AsOfDate,IF($R134=0,$X134,IF(AND($T134&lt;&gt;"",EDATE($D134,Milestones!$AA$90)&gt;=$T134),$W134,IF(AND($S134&lt;&gt;"",EDATE($D134,Milestones!$AA$90)&gt;=$S134),$V134,$U134)))=Milestones!$AB$90),UPPER(TEXT(EDATE($D134,Milestones!$AA$90),"dd mmm yy"))&amp;" "&amp;Milestones!$AB$90&amp;" "&amp;Milestones!$AC$90&amp;";  ","")&amp;IF(AND(EDATE($D134,Milestones!$AA$91)&lt;=AsOfDate,IF($R134=0,$X134,IF(AND($T134&lt;&gt;"",EDATE($D134,Milestones!$AA$91)&gt;=$T134),$W134,IF(AND($S134&lt;&gt;"",EDATE($D134,Milestones!$AA$91)&gt;=$S134),$V134,$U134)))=Milestones!$AB$91),UPPER(TEXT(EDATE($D134,Milestones!$AA$91),"dd mmm yy"))&amp;" "&amp;Milestones!$AB$91&amp;" "&amp;Milestones!$AC$91&amp;";  ","")&amp;IF(AND(EDATE($D134,Milestones!$AA$92)&lt;=AsOfDate,IF($R134=0,$X134,IF(AND($T134&lt;&gt;"",EDATE($D134,Milestones!$AA$92)&gt;=$T134),$W134,IF(AND($S134&lt;&gt;"",EDATE($D134,Milestones!$AA$92)&gt;=$S134),$V134,$U134)))=Milestones!$AB$92),UPPER(TEXT(EDATE($D134,Milestones!$AA$92),"dd mmm yy"))&amp;" "&amp;Milestones!$AB$92&amp;" "&amp;Milestones!$AC$92&amp;";  ","")&amp;IF(AND(EDATE($D134,Milestones!$AA$93)&lt;=AsOfDate,IF($R134=0,$X134,IF(AND($T134&lt;&gt;"",EDATE($D134,Milestones!$AA$93)&gt;=$T134),$W134,IF(AND($S134&lt;&gt;"",EDATE($D134,Milestones!$AA$93)&gt;=$S134),$V134,$U134)))=Milestones!$AB$93),UPPER(TEXT(EDATE($D134,Milestones!$AA$93),"dd mmm yy"))&amp;" "&amp;Milestones!$AB$93&amp;" "&amp;Milestones!$AC$93&amp;";  ","")&amp;IF(AND(EDATE($D134,Milestones!$AA$94)&lt;=AsOfDate,IF($R134=0,$X134,IF(AND($T134&lt;&gt;"",EDATE($D134,Milestones!$AA$94)&gt;=$T134),$W134,IF(AND($S134&lt;&gt;"",EDATE($D134,Milestones!$AA$94)&gt;=$S134),$V134,$U134)))=Milestones!$AB$94),UPPER(TEXT(EDATE($D134,Milestones!$AA$94),"dd mmm yy"))&amp;" "&amp;Milestones!$AB$94&amp;" "&amp;Milestones!$AC$94&amp;";  ","")&amp;IF(AND(EDATE($D134,Milestones!$AA$95)&lt;=AsOfDate,IF($R134=0,$X134,IF(AND($T134&lt;&gt;"",EDATE($D134,Milestones!$AA$95)&gt;=$T134),$W134,IF(AND($S134&lt;&gt;"",EDATE($D134,Milestones!$AA$95)&gt;=$S134),$V134,$U134)))=Milestones!$AB$95),UPPER(TEXT(EDATE($D134,Milestones!$AA$95),"dd mmm yy"))&amp;" "&amp;Milestones!$AB$95&amp;" "&amp;Milestones!$AC$95&amp;";  ","")&amp;IF(AND(EDATE($D134,Milestones!$AA$96)&lt;=AsOfDate,IF($R134=0,$X134,IF(AND($T134&lt;&gt;"",EDATE($D134,Milestones!$AA$96)&gt;=$T134),$W134,IF(AND($S134&lt;&gt;"",EDATE($D134,Milestones!$AA$96)&gt;=$S134),$V134,$U134)))=Milestones!$AB$96),UPPER(TEXT(EDATE($D134,Milestones!$AA$96),"dd mmm yy"))&amp;" "&amp;Milestones!$AB$96&amp;" "&amp;Milestones!$AC$96&amp;";  ","")&amp;IF(AND(EDATE($D134,Milestones!$AA$97)&lt;=AsOfDate,IF($R134=0,$X134,IF(AND($T134&lt;&gt;"",EDATE($D134,Milestones!$AA$97)&gt;=$T134),$W134,IF(AND($S134&lt;&gt;"",EDATE($D134,Milestones!$AA$97)&gt;=$S134),$V134,$U134)))=Milestones!$AB$97),UPPER(TEXT(EDATE($D134,Milestones!$AA$97),"dd mmm yy"))&amp;" "&amp;Milestones!$AB$97&amp;" "&amp;Milestones!$AC$97&amp;";  ","")&amp;IF(AND(EDATE($D134,Milestones!$AA$98)&lt;=AsOfDate,IF($R134=0,$X134,IF(AND($T134&lt;&gt;"",EDATE($D134,Milestones!$AA$98)&gt;=$T134),$W134,IF(AND($S134&lt;&gt;"",EDATE($D134,Milestones!$AA$98)&gt;=$S134),$V134,$U134)))=Milestones!$AB$98),UPPER(TEXT(EDATE($D134,Milestones!$AA$98),"dd mmm yy"))&amp;" "&amp;Milestones!$AB$98&amp;" "&amp;Milestones!$AC$98&amp;";  ","")&amp;IF(AND(EDATE($D134,Milestones!$AA$99)&lt;=AsOfDate,IF($R134=0,$X134,IF(AND($T134&lt;&gt;"",EDATE($D134,Milestones!$AA$99)&gt;=$T134),$W134,IF(AND($S134&lt;&gt;"",EDATE($D134,Milestones!$AA$99)&gt;=$S134),$V134,$U134)))=Milestones!$AB$99),UPPER(TEXT(EDATE($D134,Milestones!$AA$99),"dd mmm yy"))&amp;" "&amp;Milestones!$AB$99&amp;" "&amp;Milestones!$AC$99&amp;";  ",""))</f>
        <v/>
      </c>
      <c r="M134" s="0" t="str">
        <f aca="false">IF(OR($A134="",$D134=""),"",IF(AND(EDATE($D134,Milestones!$AA$100)&lt;=AsOfDate,IF($R134=0,$X134,IF(AND($T134&lt;&gt;"",EDATE($D134,Milestones!$AA$100)&gt;=$T134),$W134,IF(AND($S134&lt;&gt;"",EDATE($D134,Milestones!$AA$100)&gt;=$S134),$V134,$U134)))=Milestones!$AB$100),UPPER(TEXT(EDATE($D134,Milestones!$AA$100),"dd mmm yy"))&amp;" "&amp;Milestones!$AB$100&amp;" "&amp;Milestones!$AC$100&amp;";  ","")&amp;IF(AND(EDATE($D134,Milestones!$AA$101)&lt;=AsOfDate,IF($R134=0,$X134,IF(AND($T134&lt;&gt;"",EDATE($D134,Milestones!$AA$101)&gt;=$T134),$W134,IF(AND($S134&lt;&gt;"",EDATE($D134,Milestones!$AA$101)&gt;=$S134),$V134,$U134)))=Milestones!$AB$101),UPPER(TEXT(EDATE($D134,Milestones!$AA$101),"dd mmm yy"))&amp;" "&amp;Milestones!$AB$101&amp;" "&amp;Milestones!$AC$101&amp;";  ","")&amp;IF(AND(EDATE($D134,Milestones!$AA$102)&lt;=AsOfDate,IF($R134=0,$X134,IF(AND($T134&lt;&gt;"",EDATE($D134,Milestones!$AA$102)&gt;=$T134),$W134,IF(AND($S134&lt;&gt;"",EDATE($D134,Milestones!$AA$102)&gt;=$S134),$V134,$U134)))=Milestones!$AB$102),UPPER(TEXT(EDATE($D134,Milestones!$AA$102),"dd mmm yy"))&amp;" "&amp;Milestones!$AB$102&amp;" "&amp;Milestones!$AC$102&amp;";  ","")&amp;IF(AND(EDATE($D134,Milestones!$AA$103)&lt;=AsOfDate,IF($R134=0,$X134,IF(AND($T134&lt;&gt;"",EDATE($D134,Milestones!$AA$103)&gt;=$T134),$W134,IF(AND($S134&lt;&gt;"",EDATE($D134,Milestones!$AA$103)&gt;=$S134),$V134,$U134)))=Milestones!$AB$103),UPPER(TEXT(EDATE($D134,Milestones!$AA$103),"dd mmm yy"))&amp;" "&amp;Milestones!$AB$103&amp;" "&amp;Milestones!$AC$103&amp;";  ","")&amp;IF(AND(EDATE($D134,Milestones!$AA$104)&lt;=AsOfDate,IF($R134=0,$X134,IF(AND($T134&lt;&gt;"",EDATE($D134,Milestones!$AA$104)&gt;=$T134),$W134,IF(AND($S134&lt;&gt;"",EDATE($D134,Milestones!$AA$104)&gt;=$S134),$V134,$U134)))=Milestones!$AB$104),UPPER(TEXT(EDATE($D134,Milestones!$AA$104),"dd mmm yy"))&amp;" "&amp;Milestones!$AB$104&amp;" "&amp;Milestones!$AC$104&amp;";  ","")&amp;IF(AND(EDATE($D134,Milestones!$AA$105)&lt;=AsOfDate,IF($R134=0,$X134,IF(AND($T134&lt;&gt;"",EDATE($D134,Milestones!$AA$105)&gt;=$T134),$W134,IF(AND($S134&lt;&gt;"",EDATE($D134,Milestones!$AA$105)&gt;=$S134),$V134,$U134)))=Milestones!$AB$105),UPPER(TEXT(EDATE($D134,Milestones!$AA$105),"dd mmm yy"))&amp;" "&amp;Milestones!$AB$105&amp;" "&amp;Milestones!$AC$105&amp;";  ","")&amp;IF(AND(EDATE($D134,Milestones!$AA$106)&lt;=AsOfDate,IF($R134=0,$X134,IF(AND($T134&lt;&gt;"",EDATE($D134,Milestones!$AA$106)&gt;=$T134),$W134,IF(AND($S134&lt;&gt;"",EDATE($D134,Milestones!$AA$106)&gt;=$S134),$V134,$U134)))=Milestones!$AB$106),UPPER(TEXT(EDATE($D134,Milestones!$AA$106),"dd mmm yy"))&amp;" "&amp;Milestones!$AB$106&amp;" "&amp;Milestones!$AC$106&amp;";  ","")&amp;IF(AND(EDATE($D134,Milestones!$AA$107)&lt;=AsOfDate,IF($R134=0,$X134,IF(AND($T134&lt;&gt;"",EDATE($D134,Milestones!$AA$107)&gt;=$T134),$W134,IF(AND($S134&lt;&gt;"",EDATE($D134,Milestones!$AA$107)&gt;=$S134),$V134,$U134)))=Milestones!$AB$107),UPPER(TEXT(EDATE($D134,Milestones!$AA$107),"dd mmm yy"))&amp;" "&amp;Milestones!$AB$107&amp;" "&amp;Milestones!$AC$107&amp;";  ","")&amp;IF(AND(EDATE($D134,Milestones!$AA$108)&lt;=AsOfDate,IF($R134=0,$X134,IF(AND($T134&lt;&gt;"",EDATE($D134,Milestones!$AA$108)&gt;=$T134),$W134,IF(AND($S134&lt;&gt;"",EDATE($D134,Milestones!$AA$108)&gt;=$S134),$V134,$U134)))=Milestones!$AB$108),UPPER(TEXT(EDATE($D134,Milestones!$AA$108),"dd mmm yy"))&amp;" "&amp;Milestones!$AB$108&amp;" "&amp;Milestones!$AC$108&amp;";  ","")&amp;IF(AND(EDATE($D134,Milestones!$AA$109)&lt;=AsOfDate,IF($R134=0,$X134,IF(AND($T134&lt;&gt;"",EDATE($D134,Milestones!$AA$109)&gt;=$T134),$W134,IF(AND($S134&lt;&gt;"",EDATE($D134,Milestones!$AA$109)&gt;=$S134),$V134,$U134)))=Milestones!$AB$109),UPPER(TEXT(EDATE($D134,Milestones!$AA$109),"dd mmm yy"))&amp;" "&amp;Milestones!$AB$109&amp;" "&amp;Milestones!$AC$109&amp;";  ","")&amp;IF(AND(EDATE($D134,Milestones!$AA$110)&lt;=AsOfDate,IF($R134=0,$X134,IF(AND($T134&lt;&gt;"",EDATE($D134,Milestones!$AA$110)&gt;=$T134),$W134,IF(AND($S134&lt;&gt;"",EDATE($D134,Milestones!$AA$110)&gt;=$S134),$V134,$U134)))=Milestones!$AB$110),UPPER(TEXT(EDATE($D134,Milestones!$AA$110),"dd mmm yy"))&amp;" "&amp;Milestones!$AB$110&amp;" "&amp;Milestones!$AC$110&amp;";  ","")&amp;IF(AND(EDATE($D134,Milestones!$AA$111)&lt;=AsOfDate,IF($R134=0,$X134,IF(AND($T134&lt;&gt;"",EDATE($D134,Milestones!$AA$111)&gt;=$T134),$W134,IF(AND($S134&lt;&gt;"",EDATE($D134,Milestones!$AA$111)&gt;=$S134),$V134,$U134)))=Milestones!$AB$111),UPPER(TEXT(EDATE($D134,Milestones!$AA$111),"dd mmm yy"))&amp;" "&amp;Milestones!$AB$111&amp;" "&amp;Milestones!$AC$111&amp;";  ","")&amp;IF(AND(EDATE($D134,Milestones!$AA$112)&lt;=AsOfDate,IF($R134=0,$X134,IF(AND($T134&lt;&gt;"",EDATE($D134,Milestones!$AA$112)&gt;=$T134),$W134,IF(AND($S134&lt;&gt;"",EDATE($D134,Milestones!$AA$112)&gt;=$S134),$V134,$U134)))=Milestones!$AB$112),UPPER(TEXT(EDATE($D134,Milestones!$AA$112),"dd mmm yy"))&amp;" "&amp;Milestones!$AB$112&amp;" "&amp;Milestones!$AC$112&amp;";  ","")&amp;IF(AND(EDATE($D134,Milestones!$AA$113)&lt;=AsOfDate,IF($R134=0,$X134,IF(AND($T134&lt;&gt;"",EDATE($D134,Milestones!$AA$113)&gt;=$T134),$W134,IF(AND($S134&lt;&gt;"",EDATE($D134,Milestones!$AA$113)&gt;=$S134),$V134,$U134)))=Milestones!$AB$113),UPPER(TEXT(EDATE($D134,Milestones!$AA$113),"dd mmm yy"))&amp;" "&amp;Milestones!$AB$113&amp;" "&amp;Milestones!$AC$113&amp;";  ","")&amp;IF(AND(EDATE($D134,Milestones!$AA$114)&lt;=AsOfDate,IF($R134=0,$X134,IF(AND($T134&lt;&gt;"",EDATE($D134,Milestones!$AA$114)&gt;=$T134),$W134,IF(AND($S134&lt;&gt;"",EDATE($D134,Milestones!$AA$114)&gt;=$S134),$V134,$U134)))=Milestones!$AB$114),UPPER(TEXT(EDATE($D134,Milestones!$AA$114),"dd mmm yy"))&amp;" "&amp;Milestones!$AB$114&amp;" "&amp;Milestones!$AC$114&amp;";  ","")&amp;IF(AND(EDATE($D134,Milestones!$AA$115)&lt;=AsOfDate,IF($R134=0,$X134,IF(AND($T134&lt;&gt;"",EDATE($D134,Milestones!$AA$115)&gt;=$T134),$W134,IF(AND($S134&lt;&gt;"",EDATE($D134,Milestones!$AA$115)&gt;=$S134),$V134,$U134)))=Milestones!$AB$115),UPPER(TEXT(EDATE($D134,Milestones!$AA$115),"dd mmm yy"))&amp;" "&amp;Milestones!$AB$115&amp;" "&amp;Milestones!$AC$115&amp;";  ","")&amp;IF(AND(EDATE($D134,Milestones!$AA$116)&lt;=AsOfDate,IF($R134=0,$X134,IF(AND($T134&lt;&gt;"",EDATE($D134,Milestones!$AA$116)&gt;=$T134),$W134,IF(AND($S134&lt;&gt;"",EDATE($D134,Milestones!$AA$116)&gt;=$S134),$V134,$U134)))=Milestones!$AB$116),UPPER(TEXT(EDATE($D134,Milestones!$AA$116),"dd mmm yy"))&amp;" "&amp;Milestones!$AB$116&amp;" "&amp;Milestones!$AC$116&amp;";  ","")&amp;IF(AND(EDATE($D134,Milestones!$AA$117)&lt;=AsOfDate,IF($R134=0,$X134,IF(AND($T134&lt;&gt;"",EDATE($D134,Milestones!$AA$117)&gt;=$T134),$W134,IF(AND($S134&lt;&gt;"",EDATE($D134,Milestones!$AA$117)&gt;=$S134),$V134,$U134)))=Milestones!$AB$117),UPPER(TEXT(EDATE($D134,Milestones!$AA$117),"dd mmm yy"))&amp;" "&amp;Milestones!$AB$117&amp;" "&amp;Milestones!$AC$117&amp;";  ","")&amp;IF(AND(EDATE($D134,Milestones!$AA$118)&lt;=AsOfDate,IF($R134=0,$X134,IF(AND($T134&lt;&gt;"",EDATE($D134,Milestones!$AA$118)&gt;=$T134),$W134,IF(AND($S134&lt;&gt;"",EDATE($D134,Milestones!$AA$118)&gt;=$S134),$V134,$U134)))=Milestones!$AB$118),UPPER(TEXT(EDATE($D134,Milestones!$AA$118),"dd mmm yy"))&amp;" "&amp;Milestones!$AB$118&amp;" "&amp;Milestones!$AC$118&amp;";  ","")&amp;IF(AND(EDATE($D134,Milestones!$AA$119)&lt;=AsOfDate,IF($R134=0,$X134,IF(AND($T134&lt;&gt;"",EDATE($D134,Milestones!$AA$119)&gt;=$T134),$W134,IF(AND($S134&lt;&gt;"",EDATE($D134,Milestones!$AA$119)&gt;=$S134),$V134,$U134)))=Milestones!$AB$119),UPPER(TEXT(EDATE($D134,Milestones!$AA$119),"dd mmm yy"))&amp;" "&amp;Milestones!$AB$119&amp;" "&amp;Milestones!$AC$119&amp;";  ",""))</f>
        <v/>
      </c>
      <c r="N134" s="0" t="str">
        <f aca="false">IF(OR($A134="",$D134=""),"",IF(AND(EDATE($D134,Milestones!$AA$120)&lt;=AsOfDate,IF($R134=0,$X134,IF(AND($T134&lt;&gt;"",EDATE($D134,Milestones!$AA$120)&gt;=$T134),$W134,IF(AND($S134&lt;&gt;"",EDATE($D134,Milestones!$AA$120)&gt;=$S134),$V134,$U134)))=Milestones!$AB$120),UPPER(TEXT(EDATE($D134,Milestones!$AA$120),"dd mmm yy"))&amp;" "&amp;Milestones!$AB$120&amp;" "&amp;Milestones!$AC$120&amp;";  ","")&amp;IF(AND(EDATE($D134,Milestones!$AA$121)&lt;=AsOfDate,IF($R134=0,$X134,IF(AND($T134&lt;&gt;"",EDATE($D134,Milestones!$AA$121)&gt;=$T134),$W134,IF(AND($S134&lt;&gt;"",EDATE($D134,Milestones!$AA$121)&gt;=$S134),$V134,$U134)))=Milestones!$AB$121),UPPER(TEXT(EDATE($D134,Milestones!$AA$121),"dd mmm yy"))&amp;" "&amp;Milestones!$AB$121&amp;" "&amp;Milestones!$AC$121&amp;";  ","")&amp;IF(AND(EDATE($D134,Milestones!$AA$122)&lt;=AsOfDate,IF($R134=0,$X134,IF(AND($T134&lt;&gt;"",EDATE($D134,Milestones!$AA$122)&gt;=$T134),$W134,IF(AND($S134&lt;&gt;"",EDATE($D134,Milestones!$AA$122)&gt;=$S134),$V134,$U134)))=Milestones!$AB$122),UPPER(TEXT(EDATE($D134,Milestones!$AA$122),"dd mmm yy"))&amp;" "&amp;Milestones!$AB$122&amp;" "&amp;Milestones!$AC$122&amp;";  ","")&amp;IF(AND(EDATE($D134,Milestones!$AA$123)&lt;=AsOfDate,IF($R134=0,$X134,IF(AND($T134&lt;&gt;"",EDATE($D134,Milestones!$AA$123)&gt;=$T134),$W134,IF(AND($S134&lt;&gt;"",EDATE($D134,Milestones!$AA$123)&gt;=$S134),$V134,$U134)))=Milestones!$AB$123),UPPER(TEXT(EDATE($D134,Milestones!$AA$123),"dd mmm yy"))&amp;" "&amp;Milestones!$AB$123&amp;" "&amp;Milestones!$AC$123&amp;";  ","")&amp;IF(AND(EDATE($D134,Milestones!$AA$124)&lt;=AsOfDate,IF($R134=0,$X134,IF(AND($T134&lt;&gt;"",EDATE($D134,Milestones!$AA$124)&gt;=$T134),$W134,IF(AND($S134&lt;&gt;"",EDATE($D134,Milestones!$AA$124)&gt;=$S134),$V134,$U134)))=Milestones!$AB$124),UPPER(TEXT(EDATE($D134,Milestones!$AA$124),"dd mmm yy"))&amp;" "&amp;Milestones!$AB$124&amp;" "&amp;Milestones!$AC$124&amp;";  ","")&amp;IF(AND(EDATE($D134,Milestones!$AA$125)&lt;=AsOfDate,IF($R134=0,$X134,IF(AND($T134&lt;&gt;"",EDATE($D134,Milestones!$AA$125)&gt;=$T134),$W134,IF(AND($S134&lt;&gt;"",EDATE($D134,Milestones!$AA$125)&gt;=$S134),$V134,$U134)))=Milestones!$AB$125),UPPER(TEXT(EDATE($D134,Milestones!$AA$125),"dd mmm yy"))&amp;" "&amp;Milestones!$AB$125&amp;" "&amp;Milestones!$AC$125&amp;";  ","")&amp;IF(AND(EDATE($D134,Milestones!$AA$126)&lt;=AsOfDate,IF($R134=0,$X134,IF(AND($T134&lt;&gt;"",EDATE($D134,Milestones!$AA$126)&gt;=$T134),$W134,IF(AND($S134&lt;&gt;"",EDATE($D134,Milestones!$AA$126)&gt;=$S134),$V134,$U134)))=Milestones!$AB$126),UPPER(TEXT(EDATE($D134,Milestones!$AA$126),"dd mmm yy"))&amp;" "&amp;Milestones!$AB$126&amp;" "&amp;Milestones!$AC$126&amp;";  ","")&amp;IF(AND(EDATE($D134,Milestones!$AA$127)&lt;=AsOfDate,IF($R134=0,$X134,IF(AND($T134&lt;&gt;"",EDATE($D134,Milestones!$AA$127)&gt;=$T134),$W134,IF(AND($S134&lt;&gt;"",EDATE($D134,Milestones!$AA$127)&gt;=$S134),$V134,$U134)))=Milestones!$AB$127),UPPER(TEXT(EDATE($D134,Milestones!$AA$127),"dd mmm yy"))&amp;" "&amp;Milestones!$AB$127&amp;" "&amp;Milestones!$AC$127&amp;";  ","")&amp;IF(AND(EDATE($D134,Milestones!$AA$128)&lt;=AsOfDate,IF($R134=0,$X134,IF(AND($T134&lt;&gt;"",EDATE($D134,Milestones!$AA$128)&gt;=$T134),$W134,IF(AND($S134&lt;&gt;"",EDATE($D134,Milestones!$AA$128)&gt;=$S134),$V134,$U134)))=Milestones!$AB$128),UPPER(TEXT(EDATE($D134,Milestones!$AA$128),"dd mmm yy"))&amp;" "&amp;Milestones!$AB$128&amp;" "&amp;Milestones!$AC$128&amp;";  ","")&amp;IF(AND(EDATE($D134,Milestones!$AA$129)&lt;=AsOfDate,IF($R134=0,$X134,IF(AND($T134&lt;&gt;"",EDATE($D134,Milestones!$AA$129)&gt;=$T134),$W134,IF(AND($S134&lt;&gt;"",EDATE($D134,Milestones!$AA$129)&gt;=$S134),$V134,$U134)))=Milestones!$AB$129),UPPER(TEXT(EDATE($D134,Milestones!$AA$129),"dd mmm yy"))&amp;" "&amp;Milestones!$AB$129&amp;" "&amp;Milestones!$AC$129&amp;";  ","")&amp;IF(AND(EDATE($D134,Milestones!$AA$130)&lt;=AsOfDate,IF($R134=0,$X134,IF(AND($T134&lt;&gt;"",EDATE($D134,Milestones!$AA$130)&gt;=$T134),$W134,IF(AND($S134&lt;&gt;"",EDATE($D134,Milestones!$AA$130)&gt;=$S134),$V134,$U134)))=Milestones!$AB$130),UPPER(TEXT(EDATE($D134,Milestones!$AA$130),"dd mmm yy"))&amp;" "&amp;Milestones!$AB$130&amp;" "&amp;Milestones!$AC$130&amp;";  ","")&amp;IF(AND(EDATE($D134,Milestones!$AA$131)&lt;=AsOfDate,IF($R134=0,$X134,IF(AND($T134&lt;&gt;"",EDATE($D134,Milestones!$AA$131)&gt;=$T134),$W134,IF(AND($S134&lt;&gt;"",EDATE($D134,Milestones!$AA$131)&gt;=$S134),$V134,$U134)))=Milestones!$AB$131),UPPER(TEXT(EDATE($D134,Milestones!$AA$131),"dd mmm yy"))&amp;" "&amp;Milestones!$AB$131&amp;" "&amp;Milestones!$AC$131&amp;";  ","")&amp;IF(AND(EDATE($D134,Milestones!$AA$132)&lt;=AsOfDate,IF($R134=0,$X134,IF(AND($T134&lt;&gt;"",EDATE($D134,Milestones!$AA$132)&gt;=$T134),$W134,IF(AND($S134&lt;&gt;"",EDATE($D134,Milestones!$AA$132)&gt;=$S134),$V134,$U134)))=Milestones!$AB$132),UPPER(TEXT(EDATE($D134,Milestones!$AA$132),"dd mmm yy"))&amp;" "&amp;Milestones!$AB$132&amp;" "&amp;Milestones!$AC$132&amp;";  ","")&amp;IF(AND(EDATE($D134,Milestones!$AA$133)&lt;=AsOfDate,IF($R134=0,$X134,IF(AND($T134&lt;&gt;"",EDATE($D134,Milestones!$AA$133)&gt;=$T134),$W134,IF(AND($S134&lt;&gt;"",EDATE($D134,Milestones!$AA$133)&gt;=$S134),$V134,$U134)))=Milestones!$AB$133),UPPER(TEXT(EDATE($D134,Milestones!$AA$133),"dd mmm yy"))&amp;" "&amp;Milestones!$AB$133&amp;" "&amp;Milestones!$AC$133&amp;";  ","")&amp;IF(AND(EDATE($D134,Milestones!$AA$134)&lt;=AsOfDate,IF($R134=0,$X134,IF(AND($T134&lt;&gt;"",EDATE($D134,Milestones!$AA$134)&gt;=$T134),$W134,IF(AND($S134&lt;&gt;"",EDATE($D134,Milestones!$AA$134)&gt;=$S134),$V134,$U134)))=Milestones!$AB$134),UPPER(TEXT(EDATE($D134,Milestones!$AA$134),"dd mmm yy"))&amp;" "&amp;Milestones!$AB$134&amp;" "&amp;Milestones!$AC$134&amp;";  ","")&amp;IF(AND(EDATE($D134,Milestones!$AA$135)&lt;=AsOfDate,IF($R134=0,$X134,IF(AND($T134&lt;&gt;"",EDATE($D134,Milestones!$AA$135)&gt;=$T134),$W134,IF(AND($S134&lt;&gt;"",EDATE($D134,Milestones!$AA$135)&gt;=$S134),$V134,$U134)))=Milestones!$AB$135),UPPER(TEXT(EDATE($D134,Milestones!$AA$135),"dd mmm yy"))&amp;" "&amp;Milestones!$AB$135&amp;" "&amp;Milestones!$AC$135&amp;";  ","")&amp;IF(AND(EDATE($D134,Milestones!$AA$136)&lt;=AsOfDate,IF($R134=0,$X134,IF(AND($T134&lt;&gt;"",EDATE($D134,Milestones!$AA$136)&gt;=$T134),$W134,IF(AND($S134&lt;&gt;"",EDATE($D134,Milestones!$AA$136)&gt;=$S134),$V134,$U134)))=Milestones!$AB$136),UPPER(TEXT(EDATE($D134,Milestones!$AA$136),"dd mmm yy"))&amp;" "&amp;Milestones!$AB$136&amp;" "&amp;Milestones!$AC$136&amp;";  ","")&amp;IF(AND(EDATE($D134,Milestones!$AA$137)&lt;=AsOfDate,IF($R134=0,$X134,IF(AND($T134&lt;&gt;"",EDATE($D134,Milestones!$AA$137)&gt;=$T134),$W134,IF(AND($S134&lt;&gt;"",EDATE($D134,Milestones!$AA$137)&gt;=$S134),$V134,$U134)))=Milestones!$AB$137),UPPER(TEXT(EDATE($D134,Milestones!$AA$137),"dd mmm yy"))&amp;" "&amp;Milestones!$AB$137&amp;" "&amp;Milestones!$AC$137&amp;";  ","")&amp;IF(AND(EDATE($D134,Milestones!$AA$138)&lt;=AsOfDate,IF($R134=0,$X134,IF(AND($T134&lt;&gt;"",EDATE($D134,Milestones!$AA$138)&gt;=$T134),$W134,IF(AND($S134&lt;&gt;"",EDATE($D134,Milestones!$AA$138)&gt;=$S134),$V134,$U134)))=Milestones!$AB$138),UPPER(TEXT(EDATE($D134,Milestones!$AA$138),"dd mmm yy"))&amp;" "&amp;Milestones!$AB$138&amp;" "&amp;Milestones!$AC$138&amp;";  ","")&amp;IF(AND(EDATE($D134,Milestones!$AA$139)&lt;=AsOfDate,IF($R134=0,$X134,IF(AND($T134&lt;&gt;"",EDATE($D134,Milestones!$AA$139)&gt;=$T134),$W134,IF(AND($S134&lt;&gt;"",EDATE($D134,Milestones!$AA$139)&gt;=$S134),$V134,$U134)))=Milestones!$AB$139),UPPER(TEXT(EDATE($D134,Milestones!$AA$139),"dd mmm yy"))&amp;" "&amp;Milestones!$AB$139&amp;" "&amp;Milestones!$AC$139&amp;";  ",""))</f>
        <v/>
      </c>
      <c r="O134" s="0" t="str">
        <f aca="false">IF(OR($A134="",$D134=""),"",IF(AND(EDATE($D134,Milestones!$AA$140)&lt;=AsOfDate,IF($R134=0,$X134,IF(AND($T134&lt;&gt;"",EDATE($D134,Milestones!$AA$140)&gt;=$T134),$W134,IF(AND($S134&lt;&gt;"",EDATE($D134,Milestones!$AA$140)&gt;=$S134),$V134,$U134)))=Milestones!$AB$140),UPPER(TEXT(EDATE($D134,Milestones!$AA$140),"dd mmm yy"))&amp;" "&amp;Milestones!$AB$140&amp;" "&amp;Milestones!$AC$140&amp;";  ","")&amp;IF(AND(EDATE($D134,Milestones!$AA$141)&lt;=AsOfDate,IF($R134=0,$X134,IF(AND($T134&lt;&gt;"",EDATE($D134,Milestones!$AA$141)&gt;=$T134),$W134,IF(AND($S134&lt;&gt;"",EDATE($D134,Milestones!$AA$141)&gt;=$S134),$V134,$U134)))=Milestones!$AB$141),UPPER(TEXT(EDATE($D134,Milestones!$AA$141),"dd mmm yy"))&amp;" "&amp;Milestones!$AB$141&amp;" "&amp;Milestones!$AC$141&amp;";  ","")&amp;IF(AND(EDATE($D134,Milestones!$AA$142)&lt;=AsOfDate,IF($R134=0,$X134,IF(AND($T134&lt;&gt;"",EDATE($D134,Milestones!$AA$142)&gt;=$T134),$W134,IF(AND($S134&lt;&gt;"",EDATE($D134,Milestones!$AA$142)&gt;=$S134),$V134,$U134)))=Milestones!$AB$142),UPPER(TEXT(EDATE($D134,Milestones!$AA$142),"dd mmm yy"))&amp;" "&amp;Milestones!$AB$142&amp;" "&amp;Milestones!$AC$142&amp;";  ","")&amp;IF(AND(EDATE($D134,Milestones!$AA$143)&lt;=AsOfDate,IF($R134=0,$X134,IF(AND($T134&lt;&gt;"",EDATE($D134,Milestones!$AA$143)&gt;=$T134),$W134,IF(AND($S134&lt;&gt;"",EDATE($D134,Milestones!$AA$143)&gt;=$S134),$V134,$U134)))=Milestones!$AB$143),UPPER(TEXT(EDATE($D134,Milestones!$AA$143),"dd mmm yy"))&amp;" "&amp;Milestones!$AB$143&amp;" "&amp;Milestones!$AC$143&amp;";  ","")&amp;IF(AND(EDATE($D134,Milestones!$AA$144)&lt;=AsOfDate,IF($R134=0,$X134,IF(AND($T134&lt;&gt;"",EDATE($D134,Milestones!$AA$144)&gt;=$T134),$W134,IF(AND($S134&lt;&gt;"",EDATE($D134,Milestones!$AA$144)&gt;=$S134),$V134,$U134)))=Milestones!$AB$144),UPPER(TEXT(EDATE($D134,Milestones!$AA$144),"dd mmm yy"))&amp;" "&amp;Milestones!$AB$144&amp;" "&amp;Milestones!$AC$144&amp;";  ","")&amp;IF(AND(EDATE($D134,Milestones!$AA$145)&lt;=AsOfDate,IF($R134=0,$X134,IF(AND($T134&lt;&gt;"",EDATE($D134,Milestones!$AA$145)&gt;=$T134),$W134,IF(AND($S134&lt;&gt;"",EDATE($D134,Milestones!$AA$145)&gt;=$S134),$V134,$U134)))=Milestones!$AB$145),UPPER(TEXT(EDATE($D134,Milestones!$AA$145),"dd mmm yy"))&amp;" "&amp;Milestones!$AB$145&amp;" "&amp;Milestones!$AC$145&amp;";  ","")&amp;IF(AND(EDATE($D134,Milestones!$AA$146)&lt;=AsOfDate,IF($R134=0,$X134,IF(AND($T134&lt;&gt;"",EDATE($D134,Milestones!$AA$146)&gt;=$T134),$W134,IF(AND($S134&lt;&gt;"",EDATE($D134,Milestones!$AA$146)&gt;=$S134),$V134,$U134)))=Milestones!$AB$146),UPPER(TEXT(EDATE($D134,Milestones!$AA$146),"dd mmm yy"))&amp;" "&amp;Milestones!$AB$146&amp;" "&amp;Milestones!$AC$146&amp;";  ","")&amp;IF(AND(EDATE($D134,Milestones!$AA$147)&lt;=AsOfDate,IF($R134=0,$X134,IF(AND($T134&lt;&gt;"",EDATE($D134,Milestones!$AA$147)&gt;=$T134),$W134,IF(AND($S134&lt;&gt;"",EDATE($D134,Milestones!$AA$147)&gt;=$S134),$V134,$U134)))=Milestones!$AB$147),UPPER(TEXT(EDATE($D134,Milestones!$AA$147),"dd mmm yy"))&amp;" "&amp;Milestones!$AB$147&amp;" "&amp;Milestones!$AC$147&amp;";  ","")&amp;IF(AND(EDATE($D134,Milestones!$AA$148)&lt;=AsOfDate,IF($R134=0,$X134,IF(AND($T134&lt;&gt;"",EDATE($D134,Milestones!$AA$148)&gt;=$T134),$W134,IF(AND($S134&lt;&gt;"",EDATE($D134,Milestones!$AA$148)&gt;=$S134),$V134,$U134)))=Milestones!$AB$148),UPPER(TEXT(EDATE($D134,Milestones!$AA$148),"dd mmm yy"))&amp;" "&amp;Milestones!$AB$148&amp;" "&amp;Milestones!$AC$148&amp;";  ","")&amp;IF(AND(EDATE($D134,Milestones!$AA$149)&lt;=AsOfDate,IF($R134=0,$X134,IF(AND($T134&lt;&gt;"",EDATE($D134,Milestones!$AA$149)&gt;=$T134),$W134,IF(AND($S134&lt;&gt;"",EDATE($D134,Milestones!$AA$149)&gt;=$S134),$V134,$U134)))=Milestones!$AB$149),UPPER(TEXT(EDATE($D134,Milestones!$AA$149),"dd mmm yy"))&amp;" "&amp;Milestones!$AB$149&amp;" "&amp;Milestones!$AC$149&amp;";  ","")&amp;IF(AND(EDATE($D134,Milestones!$AA$150)&lt;=AsOfDate,IF($R134=0,$X134,IF(AND($T134&lt;&gt;"",EDATE($D134,Milestones!$AA$150)&gt;=$T134),$W134,IF(AND($S134&lt;&gt;"",EDATE($D134,Milestones!$AA$150)&gt;=$S134),$V134,$U134)))=Milestones!$AB$150),UPPER(TEXT(EDATE($D134,Milestones!$AA$150),"dd mmm yy"))&amp;" "&amp;Milestones!$AB$150&amp;" "&amp;Milestones!$AC$150&amp;";  ","")&amp;IF(AND(EDATE($D134,Milestones!$AA$151)&lt;=AsOfDate,IF($R134=0,$X134,IF(AND($T134&lt;&gt;"",EDATE($D134,Milestones!$AA$151)&gt;=$T134),$W134,IF(AND($S134&lt;&gt;"",EDATE($D134,Milestones!$AA$151)&gt;=$S134),$V134,$U134)))=Milestones!$AB$151),UPPER(TEXT(EDATE($D134,Milestones!$AA$151),"dd mmm yy"))&amp;" "&amp;Milestones!$AB$151&amp;" "&amp;Milestones!$AC$151&amp;";  ","")&amp;IF(AND(EDATE($D134,Milestones!$AA$152)&lt;=AsOfDate,IF($R134=0,$X134,IF(AND($T134&lt;&gt;"",EDATE($D134,Milestones!$AA$152)&gt;=$T134),$W134,IF(AND($S134&lt;&gt;"",EDATE($D134,Milestones!$AA$152)&gt;=$S134),$V134,$U134)))=Milestones!$AB$152),UPPER(TEXT(EDATE($D134,Milestones!$AA$152),"dd mmm yy"))&amp;" "&amp;Milestones!$AB$152&amp;" "&amp;Milestones!$AC$152&amp;";  ","")&amp;IF(AND(EDATE($D134,Milestones!$AA$153)&lt;=AsOfDate,IF($R134=0,$X134,IF(AND($T134&lt;&gt;"",EDATE($D134,Milestones!$AA$153)&gt;=$T134),$W134,IF(AND($S134&lt;&gt;"",EDATE($D134,Milestones!$AA$153)&gt;=$S134),$V134,$U134)))=Milestones!$AB$153),UPPER(TEXT(EDATE($D134,Milestones!$AA$153),"dd mmm yy"))&amp;" "&amp;Milestones!$AB$153&amp;" "&amp;Milestones!$AC$153&amp;";  ","")&amp;IF(AND(EDATE($D134,Milestones!$AA$154)&lt;=AsOfDate,IF($R134=0,$X134,IF(AND($T134&lt;&gt;"",EDATE($D134,Milestones!$AA$154)&gt;=$T134),$W134,IF(AND($S134&lt;&gt;"",EDATE($D134,Milestones!$AA$154)&gt;=$S134),$V134,$U134)))=Milestones!$AB$154),UPPER(TEXT(EDATE($D134,Milestones!$AA$154),"dd mmm yy"))&amp;" "&amp;Milestones!$AB$154&amp;" "&amp;Milestones!$AC$154&amp;";  ","")&amp;IF(AND(EDATE($D134,Milestones!$AA$155)&lt;=AsOfDate,IF($R134=0,$X134,IF(AND($T134&lt;&gt;"",EDATE($D134,Milestones!$AA$155)&gt;=$T134),$W134,IF(AND($S134&lt;&gt;"",EDATE($D134,Milestones!$AA$155)&gt;=$S134),$V134,$U134)))=Milestones!$AB$155),UPPER(TEXT(EDATE($D134,Milestones!$AA$155),"dd mmm yy"))&amp;" "&amp;Milestones!$AB$155&amp;" "&amp;Milestones!$AC$155&amp;";  ","")&amp;IF(AND(EDATE($D134,Milestones!$AA$156)&lt;=AsOfDate,IF($R134=0,$X134,IF(AND($T134&lt;&gt;"",EDATE($D134,Milestones!$AA$156)&gt;=$T134),$W134,IF(AND($S134&lt;&gt;"",EDATE($D134,Milestones!$AA$156)&gt;=$S134),$V134,$U134)))=Milestones!$AB$156),UPPER(TEXT(EDATE($D134,Milestones!$AA$156),"dd mmm yy"))&amp;" "&amp;Milestones!$AB$156&amp;" "&amp;Milestones!$AC$156&amp;";  ","")&amp;IF(AND(EDATE($D134,Milestones!$AA$157)&lt;=AsOfDate,IF($R134=0,$X134,IF(AND($T134&lt;&gt;"",EDATE($D134,Milestones!$AA$157)&gt;=$T134),$W134,IF(AND($S134&lt;&gt;"",EDATE($D134,Milestones!$AA$157)&gt;=$S134),$V134,$U134)))=Milestones!$AB$157),UPPER(TEXT(EDATE($D134,Milestones!$AA$157),"dd mmm yy"))&amp;" "&amp;Milestones!$AB$157&amp;" "&amp;Milestones!$AC$157&amp;";  ","")&amp;IF(AND(EDATE($D134,Milestones!$AA$158)&lt;=AsOfDate,IF($R134=0,$X134,IF(AND($T134&lt;&gt;"",EDATE($D134,Milestones!$AA$158)&gt;=$T134),$W134,IF(AND($S134&lt;&gt;"",EDATE($D134,Milestones!$AA$158)&gt;=$S134),$V134,$U134)))=Milestones!$AB$158),UPPER(TEXT(EDATE($D134,Milestones!$AA$158),"dd mmm yy"))&amp;" "&amp;Milestones!$AB$158&amp;" "&amp;Milestones!$AC$158&amp;";  ","")&amp;IF(AND(EDATE($D134,Milestones!$AA$159)&lt;=AsOfDate,IF($R134=0,$X134,IF(AND($T134&lt;&gt;"",EDATE($D134,Milestones!$AA$159)&gt;=$T134),$W134,IF(AND($S134&lt;&gt;"",EDATE($D134,Milestones!$AA$159)&gt;=$S134),$V134,$U134)))=Milestones!$AB$159),UPPER(TEXT(EDATE($D134,Milestones!$AA$159),"dd mmm yy"))&amp;" "&amp;Milestones!$AB$159&amp;" "&amp;Milestones!$AC$159&amp;";  ",""))</f>
        <v/>
      </c>
      <c r="P134" s="0" t="str">
        <f aca="false">IF(OR($A134="",$D134=""),"",IF(AND(EDATE($D134,Milestones!$AA$160)&lt;=AsOfDate,IF($R134=0,$X134,IF(AND($T134&lt;&gt;"",EDATE($D134,Milestones!$AA$160)&gt;=$T134),$W134,IF(AND($S134&lt;&gt;"",EDATE($D134,Milestones!$AA$160)&gt;=$S134),$V134,$U134)))=Milestones!$AB$160),UPPER(TEXT(EDATE($D134,Milestones!$AA$160),"dd mmm yy"))&amp;" "&amp;Milestones!$AB$160&amp;" "&amp;Milestones!$AC$160&amp;";  ","")&amp;IF(AND(EDATE($D134,Milestones!$AA$161)&lt;=AsOfDate,IF($R134=0,$X134,IF(AND($T134&lt;&gt;"",EDATE($D134,Milestones!$AA$161)&gt;=$T134),$W134,IF(AND($S134&lt;&gt;"",EDATE($D134,Milestones!$AA$161)&gt;=$S134),$V134,$U134)))=Milestones!$AB$161),UPPER(TEXT(EDATE($D134,Milestones!$AA$161),"dd mmm yy"))&amp;" "&amp;Milestones!$AB$161&amp;" "&amp;Milestones!$AC$161&amp;";  ","")&amp;IF(AND(EDATE($D134,Milestones!$AA$162)&lt;=AsOfDate,IF($R134=0,$X134,IF(AND($T134&lt;&gt;"",EDATE($D134,Milestones!$AA$162)&gt;=$T134),$W134,IF(AND($S134&lt;&gt;"",EDATE($D134,Milestones!$AA$162)&gt;=$S134),$V134,$U134)))=Milestones!$AB$162),UPPER(TEXT(EDATE($D134,Milestones!$AA$162),"dd mmm yy"))&amp;" "&amp;Milestones!$AB$162&amp;" "&amp;Milestones!$AC$162&amp;";  ","")&amp;IF(AND(EDATE($D134,Milestones!$AA$163)&lt;=AsOfDate,IF($R134=0,$X134,IF(AND($T134&lt;&gt;"",EDATE($D134,Milestones!$AA$163)&gt;=$T134),$W134,IF(AND($S134&lt;&gt;"",EDATE($D134,Milestones!$AA$163)&gt;=$S134),$V134,$U134)))=Milestones!$AB$163),UPPER(TEXT(EDATE($D134,Milestones!$AA$163),"dd mmm yy"))&amp;" "&amp;Milestones!$AB$163&amp;" "&amp;Milestones!$AC$163&amp;";  ","")&amp;IF(AND(EDATE($D134,Milestones!$AA$164)&lt;=AsOfDate,IF($R134=0,$X134,IF(AND($T134&lt;&gt;"",EDATE($D134,Milestones!$AA$164)&gt;=$T134),$W134,IF(AND($S134&lt;&gt;"",EDATE($D134,Milestones!$AA$164)&gt;=$S134),$V134,$U134)))=Milestones!$AB$164),UPPER(TEXT(EDATE($D134,Milestones!$AA$164),"dd mmm yy"))&amp;" "&amp;Milestones!$AB$164&amp;" "&amp;Milestones!$AC$164&amp;";  ","")&amp;IF(AND(EDATE($D134,Milestones!$AA$165)&lt;=AsOfDate,IF($R134=0,$X134,IF(AND($T134&lt;&gt;"",EDATE($D134,Milestones!$AA$165)&gt;=$T134),$W134,IF(AND($S134&lt;&gt;"",EDATE($D134,Milestones!$AA$165)&gt;=$S134),$V134,$U134)))=Milestones!$AB$165),UPPER(TEXT(EDATE($D134,Milestones!$AA$165),"dd mmm yy"))&amp;" "&amp;Milestones!$AB$165&amp;" "&amp;Milestones!$AC$165&amp;";  ","")&amp;IF(AND(EDATE($D134,Milestones!$AA$166)&lt;=AsOfDate,IF($R134=0,$X134,IF(AND($T134&lt;&gt;"",EDATE($D134,Milestones!$AA$166)&gt;=$T134),$W134,IF(AND($S134&lt;&gt;"",EDATE($D134,Milestones!$AA$166)&gt;=$S134),$V134,$U134)))=Milestones!$AB$166),UPPER(TEXT(EDATE($D134,Milestones!$AA$166),"dd mmm yy"))&amp;" "&amp;Milestones!$AB$166&amp;" "&amp;Milestones!$AC$166&amp;";  ","")&amp;IF(AND(EDATE($D134,Milestones!$AA$167)&lt;=AsOfDate,IF($R134=0,$X134,IF(AND($T134&lt;&gt;"",EDATE($D134,Milestones!$AA$167)&gt;=$T134),$W134,IF(AND($S134&lt;&gt;"",EDATE($D134,Milestones!$AA$167)&gt;=$S134),$V134,$U134)))=Milestones!$AB$167),UPPER(TEXT(EDATE($D134,Milestones!$AA$167),"dd mmm yy"))&amp;" "&amp;Milestones!$AB$167&amp;" "&amp;Milestones!$AC$167&amp;";  ","")&amp;IF(AND(EDATE($D134,Milestones!$AA$168)&lt;=AsOfDate,IF($R134=0,$X134,IF(AND($T134&lt;&gt;"",EDATE($D134,Milestones!$AA$168)&gt;=$T134),$W134,IF(AND($S134&lt;&gt;"",EDATE($D134,Milestones!$AA$168)&gt;=$S134),$V134,$U134)))=Milestones!$AB$168),UPPER(TEXT(EDATE($D134,Milestones!$AA$168),"dd mmm yy"))&amp;" "&amp;Milestones!$AB$168&amp;" "&amp;Milestones!$AC$168&amp;";  ","")&amp;IF(AND(EDATE($D134,Milestones!$AA$169)&lt;=AsOfDate,IF($R134=0,$X134,IF(AND($T134&lt;&gt;"",EDATE($D134,Milestones!$AA$169)&gt;=$T134),$W134,IF(AND($S134&lt;&gt;"",EDATE($D134,Milestones!$AA$169)&gt;=$S134),$V134,$U134)))=Milestones!$AB$169),UPPER(TEXT(EDATE($D134,Milestones!$AA$169),"dd mmm yy"))&amp;" "&amp;Milestones!$AB$169&amp;" "&amp;Milestones!$AC$169&amp;";  ","")&amp;IF(AND(EDATE($D134,Milestones!$AA$170)&lt;=AsOfDate,IF($R134=0,$X134,IF(AND($T134&lt;&gt;"",EDATE($D134,Milestones!$AA$170)&gt;=$T134),$W134,IF(AND($S134&lt;&gt;"",EDATE($D134,Milestones!$AA$170)&gt;=$S134),$V134,$U134)))=Milestones!$AB$170),UPPER(TEXT(EDATE($D134,Milestones!$AA$170),"dd mmm yy"))&amp;" "&amp;Milestones!$AB$170&amp;" "&amp;Milestones!$AC$170&amp;";  ","")&amp;IF(AND(EDATE($D134,Milestones!$AA$171)&lt;=AsOfDate,IF($R134=0,$X134,IF(AND($T134&lt;&gt;"",EDATE($D134,Milestones!$AA$171)&gt;=$T134),$W134,IF(AND($S134&lt;&gt;"",EDATE($D134,Milestones!$AA$171)&gt;=$S134),$V134,$U134)))=Milestones!$AB$171),UPPER(TEXT(EDATE($D134,Milestones!$AA$171),"dd mmm yy"))&amp;" "&amp;Milestones!$AB$171&amp;" "&amp;Milestones!$AC$171&amp;";  ","")&amp;IF(AND(EDATE($D134,Milestones!$AA$172)&lt;=AsOfDate,IF($R134=0,$X134,IF(AND($T134&lt;&gt;"",EDATE($D134,Milestones!$AA$172)&gt;=$T134),$W134,IF(AND($S134&lt;&gt;"",EDATE($D134,Milestones!$AA$172)&gt;=$S134),$V134,$U134)))=Milestones!$AB$172),UPPER(TEXT(EDATE($D134,Milestones!$AA$172),"dd mmm yy"))&amp;" "&amp;Milestones!$AB$172&amp;" "&amp;Milestones!$AC$172&amp;";  ","")&amp;IF(AND(EDATE($D134,Milestones!$AA$173)&lt;=AsOfDate,IF($R134=0,$X134,IF(AND($T134&lt;&gt;"",EDATE($D134,Milestones!$AA$173)&gt;=$T134),$W134,IF(AND($S134&lt;&gt;"",EDATE($D134,Milestones!$AA$173)&gt;=$S134),$V134,$U134)))=Milestones!$AB$173),UPPER(TEXT(EDATE($D134,Milestones!$AA$173),"dd mmm yy"))&amp;" "&amp;Milestones!$AB$173&amp;" "&amp;Milestones!$AC$173&amp;";  ","")&amp;IF(AND(EDATE($D134,Milestones!$AA$174)&lt;=AsOfDate,IF($R134=0,$X134,IF(AND($T134&lt;&gt;"",EDATE($D134,Milestones!$AA$174)&gt;=$T134),$W134,IF(AND($S134&lt;&gt;"",EDATE($D134,Milestones!$AA$174)&gt;=$S134),$V134,$U134)))=Milestones!$AB$174),UPPER(TEXT(EDATE($D134,Milestones!$AA$174),"dd mmm yy"))&amp;" "&amp;Milestones!$AB$174&amp;" "&amp;Milestones!$AC$174&amp;";  ","")&amp;IF(AND(EDATE($D134,Milestones!$AA$175)&lt;=AsOfDate,IF($R134=0,$X134,IF(AND($T134&lt;&gt;"",EDATE($D134,Milestones!$AA$175)&gt;=$T134),$W134,IF(AND($S134&lt;&gt;"",EDATE($D134,Milestones!$AA$175)&gt;=$S134),$V134,$U134)))=Milestones!$AB$175),UPPER(TEXT(EDATE($D134,Milestones!$AA$175),"dd mmm yy"))&amp;" "&amp;Milestones!$AB$175&amp;" "&amp;Milestones!$AC$175&amp;";  ","")&amp;IF(AND(EDATE($D134,Milestones!$AA$176)&lt;=AsOfDate,IF($R134=0,$X134,IF(AND($T134&lt;&gt;"",EDATE($D134,Milestones!$AA$176)&gt;=$T134),$W134,IF(AND($S134&lt;&gt;"",EDATE($D134,Milestones!$AA$176)&gt;=$S134),$V134,$U134)))=Milestones!$AB$176),UPPER(TEXT(EDATE($D134,Milestones!$AA$176),"dd mmm yy"))&amp;" "&amp;Milestones!$AB$176&amp;" "&amp;Milestones!$AC$176&amp;";  ","")&amp;IF(AND(EDATE($D134,Milestones!$AA$177)&lt;=AsOfDate,IF($R134=0,$X134,IF(AND($T134&lt;&gt;"",EDATE($D134,Milestones!$AA$177)&gt;=$T134),$W134,IF(AND($S134&lt;&gt;"",EDATE($D134,Milestones!$AA$177)&gt;=$S134),$V134,$U134)))=Milestones!$AB$177),UPPER(TEXT(EDATE($D134,Milestones!$AA$177),"dd mmm yy"))&amp;" "&amp;Milestones!$AB$177&amp;" "&amp;Milestones!$AC$177&amp;";  ","")&amp;IF(AND(EDATE($D134,Milestones!$AA$178)&lt;=AsOfDate,IF($R134=0,$X134,IF(AND($T134&lt;&gt;"",EDATE($D134,Milestones!$AA$178)&gt;=$T134),$W134,IF(AND($S134&lt;&gt;"",EDATE($D134,Milestones!$AA$178)&gt;=$S134),$V134,$U134)))=Milestones!$AB$178),UPPER(TEXT(EDATE($D134,Milestones!$AA$178),"dd mmm yy"))&amp;" "&amp;Milestones!$AB$178&amp;" "&amp;Milestones!$AC$178&amp;";  ","")&amp;IF(AND(EDATE($D134,Milestones!$AA$179)&lt;=AsOfDate,IF($R134=0,$X134,IF(AND($T134&lt;&gt;"",EDATE($D134,Milestones!$AA$179)&gt;=$T134),$W134,IF(AND($S134&lt;&gt;"",EDATE($D134,Milestones!$AA$179)&gt;=$S134),$V134,$U134)))=Milestones!$AB$179),UPPER(TEXT(EDATE($D134,Milestones!$AA$179),"dd mmm yy"))&amp;" "&amp;Milestones!$AB$179&amp;" "&amp;Milestones!$AC$179&amp;";  ",""))</f>
        <v/>
      </c>
      <c r="Q134" s="0" t="str">
        <f aca="false">IF(OR($A134="",$D134=""),"",IF(AND(EDATE($D134,Milestones!$AA$180)&lt;=AsOfDate,IF($R134=0,$X134,IF(AND($T134&lt;&gt;"",EDATE($D134,Milestones!$AA$180)&gt;=$T134),$W134,IF(AND($S134&lt;&gt;"",EDATE($D134,Milestones!$AA$180)&gt;=$S134),$V134,$U134)))=Milestones!$AB$180),UPPER(TEXT(EDATE($D134,Milestones!$AA$180),"dd mmm yy"))&amp;" "&amp;Milestones!$AB$180&amp;" "&amp;Milestones!$AC$180&amp;";  ","")&amp;IF(AND(EDATE($D134,Milestones!$AA$181)&lt;=AsOfDate,IF($R134=0,$X134,IF(AND($T134&lt;&gt;"",EDATE($D134,Milestones!$AA$181)&gt;=$T134),$W134,IF(AND($S134&lt;&gt;"",EDATE($D134,Milestones!$AA$181)&gt;=$S134),$V134,$U134)))=Milestones!$AB$181),UPPER(TEXT(EDATE($D134,Milestones!$AA$181),"dd mmm yy"))&amp;" "&amp;Milestones!$AB$181&amp;" "&amp;Milestones!$AC$181&amp;";  ","")&amp;IF(AND(EDATE($D134,Milestones!$AA$182)&lt;=AsOfDate,IF($R134=0,$X134,IF(AND($T134&lt;&gt;"",EDATE($D134,Milestones!$AA$182)&gt;=$T134),$W134,IF(AND($S134&lt;&gt;"",EDATE($D134,Milestones!$AA$182)&gt;=$S134),$V134,$U134)))=Milestones!$AB$182),UPPER(TEXT(EDATE($D134,Milestones!$AA$182),"dd mmm yy"))&amp;" "&amp;Milestones!$AB$182&amp;" "&amp;Milestones!$AC$182&amp;";  ","")&amp;IF(AND(EDATE($D134,Milestones!$AA$183)&lt;=AsOfDate,IF($R134=0,$X134,IF(AND($T134&lt;&gt;"",EDATE($D134,Milestones!$AA$183)&gt;=$T134),$W134,IF(AND($S134&lt;&gt;"",EDATE($D134,Milestones!$AA$183)&gt;=$S134),$V134,$U134)))=Milestones!$AB$183),UPPER(TEXT(EDATE($D134,Milestones!$AA$183),"dd mmm yy"))&amp;" "&amp;Milestones!$AB$183&amp;" "&amp;Milestones!$AC$183&amp;";  ","")&amp;IF(AND(EDATE($D134,Milestones!$AA$184)&lt;=AsOfDate,IF($R134=0,$X134,IF(AND($T134&lt;&gt;"",EDATE($D134,Milestones!$AA$184)&gt;=$T134),$W134,IF(AND($S134&lt;&gt;"",EDATE($D134,Milestones!$AA$184)&gt;=$S134),$V134,$U134)))=Milestones!$AB$184),UPPER(TEXT(EDATE($D134,Milestones!$AA$184),"dd mmm yy"))&amp;" "&amp;Milestones!$AB$184&amp;" "&amp;Milestones!$AC$184&amp;";  ","")&amp;IF(AND(EDATE($D134,Milestones!$AA$185)&lt;=AsOfDate,IF($R134=0,$X134,IF(AND($T134&lt;&gt;"",EDATE($D134,Milestones!$AA$185)&gt;=$T134),$W134,IF(AND($S134&lt;&gt;"",EDATE($D134,Milestones!$AA$185)&gt;=$S134),$V134,$U134)))=Milestones!$AB$185),UPPER(TEXT(EDATE($D134,Milestones!$AA$185),"dd mmm yy"))&amp;" "&amp;Milestones!$AB$185&amp;" "&amp;Milestones!$AC$185&amp;";  ","")&amp;IF(AND(EDATE($D134,Milestones!$AA$186)&lt;=AsOfDate,IF($R134=0,$X134,IF(AND($T134&lt;&gt;"",EDATE($D134,Milestones!$AA$186)&gt;=$T134),$W134,IF(AND($S134&lt;&gt;"",EDATE($D134,Milestones!$AA$186)&gt;=$S134),$V134,$U134)))=Milestones!$AB$186),UPPER(TEXT(EDATE($D134,Milestones!$AA$186),"dd mmm yy"))&amp;" "&amp;Milestones!$AB$186&amp;" "&amp;Milestones!$AC$186&amp;";  ","")&amp;IF(AND(EDATE($D134,Milestones!$AA$187)&lt;=AsOfDate,IF($R134=0,$X134,IF(AND($T134&lt;&gt;"",EDATE($D134,Milestones!$AA$187)&gt;=$T134),$W134,IF(AND($S134&lt;&gt;"",EDATE($D134,Milestones!$AA$187)&gt;=$S134),$V134,$U134)))=Milestones!$AB$187),UPPER(TEXT(EDATE($D134,Milestones!$AA$187),"dd mmm yy"))&amp;" "&amp;Milestones!$AB$187&amp;" "&amp;Milestones!$AC$187&amp;";  ","")&amp;IF(AND(EDATE($D134,Milestones!$AA$188)&lt;=AsOfDate,IF($R134=0,$X134,IF(AND($T134&lt;&gt;"",EDATE($D134,Milestones!$AA$188)&gt;=$T134),$W134,IF(AND($S134&lt;&gt;"",EDATE($D134,Milestones!$AA$188)&gt;=$S134),$V134,$U134)))=Milestones!$AB$188),UPPER(TEXT(EDATE($D134,Milestones!$AA$188),"dd mmm yy"))&amp;" "&amp;Milestones!$AB$188&amp;" "&amp;Milestones!$AC$188&amp;";  ","")&amp;IF(AND(EDATE($D134,Milestones!$AA$189)&lt;=AsOfDate,IF($R134=0,$X134,IF(AND($T134&lt;&gt;"",EDATE($D134,Milestones!$AA$189)&gt;=$T134),$W134,IF(AND($S134&lt;&gt;"",EDATE($D134,Milestones!$AA$189)&gt;=$S134),$V134,$U134)))=Milestones!$AB$189),UPPER(TEXT(EDATE($D134,Milestones!$AA$189),"dd mmm yy"))&amp;" "&amp;Milestones!$AB$189&amp;" "&amp;Milestones!$AC$189&amp;";  ","")&amp;IF(AND(EDATE($D134,Milestones!$AA$190)&lt;=AsOfDate,IF($R134=0,$X134,IF(AND($T134&lt;&gt;"",EDATE($D134,Milestones!$AA$190)&gt;=$T134),$W134,IF(AND($S134&lt;&gt;"",EDATE($D134,Milestones!$AA$190)&gt;=$S134),$V134,$U134)))=Milestones!$AB$190),UPPER(TEXT(EDATE($D134,Milestones!$AA$190),"dd mmm yy"))&amp;" "&amp;Milestones!$AB$190&amp;" "&amp;Milestones!$AC$190&amp;";  ","")&amp;IF(AND(EDATE($D134,Milestones!$AA$191)&lt;=AsOfDate,IF($R134=0,$X134,IF(AND($T134&lt;&gt;"",EDATE($D134,Milestones!$AA$191)&gt;=$T134),$W134,IF(AND($S134&lt;&gt;"",EDATE($D134,Milestones!$AA$191)&gt;=$S134),$V134,$U134)))=Milestones!$AB$191),UPPER(TEXT(EDATE($D134,Milestones!$AA$191),"dd mmm yy"))&amp;" "&amp;Milestones!$AB$191&amp;" "&amp;Milestones!$AC$191&amp;";  ","")&amp;IF(AND(EDATE($D134,Milestones!$AA$192)&lt;=AsOfDate,IF($R134=0,$X134,IF(AND($T134&lt;&gt;"",EDATE($D134,Milestones!$AA$192)&gt;=$T134),$W134,IF(AND($S134&lt;&gt;"",EDATE($D134,Milestones!$AA$192)&gt;=$S134),$V134,$U134)))=Milestones!$AB$192),UPPER(TEXT(EDATE($D134,Milestones!$AA$192),"dd mmm yy"))&amp;" "&amp;Milestones!$AB$192&amp;" "&amp;Milestones!$AC$192&amp;";  ","")&amp;IF(AND(EDATE($D134,Milestones!$AA$193)&lt;=AsOfDate,IF($R134=0,$X134,IF(AND($T134&lt;&gt;"",EDATE($D134,Milestones!$AA$193)&gt;=$T134),$W134,IF(AND($S134&lt;&gt;"",EDATE($D134,Milestones!$AA$193)&gt;=$S134),$V134,$U134)))=Milestones!$AB$193),UPPER(TEXT(EDATE($D134,Milestones!$AA$193),"dd mmm yy"))&amp;" "&amp;Milestones!$AB$193&amp;" "&amp;Milestones!$AC$193&amp;";  ","")&amp;IF(AND(EDATE($D134,Milestones!$AA$194)&lt;=AsOfDate,IF($R134=0,$X134,IF(AND($T134&lt;&gt;"",EDATE($D134,Milestones!$AA$194)&gt;=$T134),$W134,IF(AND($S134&lt;&gt;"",EDATE($D134,Milestones!$AA$194)&gt;=$S134),$V134,$U134)))=Milestones!$AB$194),UPPER(TEXT(EDATE($D134,Milestones!$AA$194),"dd mmm yy"))&amp;" "&amp;Milestones!$AB$194&amp;" "&amp;Milestones!$AC$194&amp;";  ","")&amp;IF(AND(EDATE($D134,Milestones!$AA$195)&lt;=AsOfDate,IF($R134=0,$X134,IF(AND($T134&lt;&gt;"",EDATE($D134,Milestones!$AA$195)&gt;=$T134),$W134,IF(AND($S134&lt;&gt;"",EDATE($D134,Milestones!$AA$195)&gt;=$S134),$V134,$U134)))=Milestones!$AB$195),UPPER(TEXT(EDATE($D134,Milestones!$AA$195),"dd mmm yy"))&amp;" "&amp;Milestones!$AB$195&amp;" "&amp;Milestones!$AC$195&amp;";  ","")&amp;IF(AND(EDATE($D134,Milestones!$AA$196)&lt;=AsOfDate,IF($R134=0,$X134,IF(AND($T134&lt;&gt;"",EDATE($D134,Milestones!$AA$196)&gt;=$T134),$W134,IF(AND($S134&lt;&gt;"",EDATE($D134,Milestones!$AA$196)&gt;=$S134),$V134,$U134)))=Milestones!$AB$196),UPPER(TEXT(EDATE($D134,Milestones!$AA$196),"dd mmm yy"))&amp;" "&amp;Milestones!$AB$196&amp;" "&amp;Milestones!$AC$196&amp;";  ","")&amp;IF(AND(EDATE($D134,Milestones!$AA$197)&lt;=AsOfDate,IF($R134=0,$X134,IF(AND($T134&lt;&gt;"",EDATE($D134,Milestones!$AA$197)&gt;=$T134),$W134,IF(AND($S134&lt;&gt;"",EDATE($D134,Milestones!$AA$197)&gt;=$S134),$V134,$U134)))=Milestones!$AB$197),UPPER(TEXT(EDATE($D134,Milestones!$AA$197),"dd mmm yy"))&amp;" "&amp;Milestones!$AB$197&amp;" "&amp;Milestones!$AC$197&amp;";  ","")&amp;IF(AND(EDATE($D134,Milestones!$AA$198)&lt;=AsOfDate,IF($R134=0,$X134,IF(AND($T134&lt;&gt;"",EDATE($D134,Milestones!$AA$198)&gt;=$T134),$W134,IF(AND($S134&lt;&gt;"",EDATE($D134,Milestones!$AA$198)&gt;=$S134),$V134,$U134)))=Milestones!$AB$198),UPPER(TEXT(EDATE($D134,Milestones!$AA$198),"dd mmm yy"))&amp;" "&amp;Milestones!$AB$198&amp;" "&amp;Milestones!$AC$198&amp;";  ","")&amp;IF(AND(EDATE($D134,Milestones!$AA$199)&lt;=AsOfDate,IF($R134=0,$X134,IF(AND($T134&lt;&gt;"",EDATE($D134,Milestones!$AA$199)&gt;=$T134),$W134,IF(AND($S134&lt;&gt;"",EDATE($D134,Milestones!$AA$199)&gt;=$S134),$V134,$U134)))=Milestones!$AB$199),UPPER(TEXT(EDATE($D134,Milestones!$AA$199),"dd mmm yy"))&amp;" "&amp;Milestones!$AB$199&amp;" "&amp;Milestones!$AC$199&amp;";  ",""))</f>
        <v/>
      </c>
      <c r="R134" s="0" t="str">
        <f aca="false">IF(Staff!$A134="","",Staff!$AI134)</f>
        <v/>
      </c>
      <c r="S134" s="0" t="str">
        <f aca="false">IF(Staff!$A134="","",Staff!$AK134)</f>
        <v/>
      </c>
      <c r="T134" s="0" t="str">
        <f aca="false">IF(Staff!$A134="","",Staff!$AL134)</f>
        <v/>
      </c>
      <c r="U134" s="0" t="str">
        <f aca="false">IF(Staff!$A134="","",Staff!$AP134)</f>
        <v/>
      </c>
      <c r="V134" s="0" t="str">
        <f aca="false">IF(Staff!$A134="","",Staff!$AQ134)</f>
        <v/>
      </c>
      <c r="W134" s="0" t="str">
        <f aca="false">IF(Staff!$A134="","",Staff!$AR134)</f>
        <v/>
      </c>
      <c r="X134" s="0" t="str">
        <f aca="false">IF(Staff!$A134="","",Staff!$AS134)</f>
        <v/>
      </c>
    </row>
    <row r="135" customFormat="false" ht="15" hidden="false" customHeight="false" outlineLevel="0" collapsed="false">
      <c r="A135" s="14" t="str">
        <f aca="false">IF(Staff!$A135="","",Staff!$A135)</f>
        <v/>
      </c>
      <c r="B135" s="14" t="str">
        <f aca="false">IF(Staff!$A135="","",Staff!$B135)</f>
        <v/>
      </c>
      <c r="C135" s="14" t="str">
        <f aca="false">IF(Staff!$A135="","",Staff!$C135)</f>
        <v/>
      </c>
      <c r="D135" s="12" t="str">
        <f aca="false">IF(Staff!$A135="","",Staff!$AH135)</f>
        <v/>
      </c>
      <c r="E135" s="14" t="str">
        <f aca="false">IF(Staff!$A135="","",Staff!$O135)</f>
        <v/>
      </c>
      <c r="F135" s="14" t="str">
        <f aca="false">IF(E135="","",E135*HoursPerDay)</f>
        <v/>
      </c>
      <c r="G135" s="14" t="str">
        <f aca="false">IF(Staff!$A135="","",Staff!$AE135)</f>
        <v/>
      </c>
      <c r="H135" s="26" t="str">
        <f aca="false">IF($A135="","",I135&amp;J135&amp;K135&amp;L135&amp;M135&amp;N135&amp;O135&amp;P135&amp;Q135)</f>
        <v/>
      </c>
      <c r="I135" s="0" t="str">
        <f aca="false">IF(OR($A135="",$D135=""),"",IF(AND(EDATE($D135,Milestones!$AA$20)&lt;=AsOfDate,IF($R135=0,$X135,IF(AND($T135&lt;&gt;"",EDATE($D135,Milestones!$AA$20)&gt;=$T135),$W135,IF(AND($S135&lt;&gt;"",EDATE($D135,Milestones!$AA$20)&gt;=$S135),$V135,$U135)))=Milestones!$AB$20),UPPER(TEXT(EDATE($D135,Milestones!$AA$20),"dd mmm yy"))&amp;" "&amp;Milestones!$AB$20&amp;" "&amp;Milestones!$AC$20&amp;";  ","")&amp;IF(AND(EDATE($D135,Milestones!$AA$21)&lt;=AsOfDate,IF($R135=0,$X135,IF(AND($T135&lt;&gt;"",EDATE($D135,Milestones!$AA$21)&gt;=$T135),$W135,IF(AND($S135&lt;&gt;"",EDATE($D135,Milestones!$AA$21)&gt;=$S135),$V135,$U135)))=Milestones!$AB$21),UPPER(TEXT(EDATE($D135,Milestones!$AA$21),"dd mmm yy"))&amp;" "&amp;Milestones!$AB$21&amp;" "&amp;Milestones!$AC$21&amp;";  ","")&amp;IF(AND(EDATE($D135,Milestones!$AA$22)&lt;=AsOfDate,IF($R135=0,$X135,IF(AND($T135&lt;&gt;"",EDATE($D135,Milestones!$AA$22)&gt;=$T135),$W135,IF(AND($S135&lt;&gt;"",EDATE($D135,Milestones!$AA$22)&gt;=$S135),$V135,$U135)))=Milestones!$AB$22),UPPER(TEXT(EDATE($D135,Milestones!$AA$22),"dd mmm yy"))&amp;" "&amp;Milestones!$AB$22&amp;" "&amp;Milestones!$AC$22&amp;";  ","")&amp;IF(AND(EDATE($D135,Milestones!$AA$23)&lt;=AsOfDate,IF($R135=0,$X135,IF(AND($T135&lt;&gt;"",EDATE($D135,Milestones!$AA$23)&gt;=$T135),$W135,IF(AND($S135&lt;&gt;"",EDATE($D135,Milestones!$AA$23)&gt;=$S135),$V135,$U135)))=Milestones!$AB$23),UPPER(TEXT(EDATE($D135,Milestones!$AA$23),"dd mmm yy"))&amp;" "&amp;Milestones!$AB$23&amp;" "&amp;Milestones!$AC$23&amp;";  ","")&amp;IF(AND(EDATE($D135,Milestones!$AA$24)&lt;=AsOfDate,IF($R135=0,$X135,IF(AND($T135&lt;&gt;"",EDATE($D135,Milestones!$AA$24)&gt;=$T135),$W135,IF(AND($S135&lt;&gt;"",EDATE($D135,Milestones!$AA$24)&gt;=$S135),$V135,$U135)))=Milestones!$AB$24),UPPER(TEXT(EDATE($D135,Milestones!$AA$24),"dd mmm yy"))&amp;" "&amp;Milestones!$AB$24&amp;" "&amp;Milestones!$AC$24&amp;";  ","")&amp;IF(AND(EDATE($D135,Milestones!$AA$25)&lt;=AsOfDate,IF($R135=0,$X135,IF(AND($T135&lt;&gt;"",EDATE($D135,Milestones!$AA$25)&gt;=$T135),$W135,IF(AND($S135&lt;&gt;"",EDATE($D135,Milestones!$AA$25)&gt;=$S135),$V135,$U135)))=Milestones!$AB$25),UPPER(TEXT(EDATE($D135,Milestones!$AA$25),"dd mmm yy"))&amp;" "&amp;Milestones!$AB$25&amp;" "&amp;Milestones!$AC$25&amp;";  ","")&amp;IF(AND(EDATE($D135,Milestones!$AA$26)&lt;=AsOfDate,IF($R135=0,$X135,IF(AND($T135&lt;&gt;"",EDATE($D135,Milestones!$AA$26)&gt;=$T135),$W135,IF(AND($S135&lt;&gt;"",EDATE($D135,Milestones!$AA$26)&gt;=$S135),$V135,$U135)))=Milestones!$AB$26),UPPER(TEXT(EDATE($D135,Milestones!$AA$26),"dd mmm yy"))&amp;" "&amp;Milestones!$AB$26&amp;" "&amp;Milestones!$AC$26&amp;";  ","")&amp;IF(AND(EDATE($D135,Milestones!$AA$27)&lt;=AsOfDate,IF($R135=0,$X135,IF(AND($T135&lt;&gt;"",EDATE($D135,Milestones!$AA$27)&gt;=$T135),$W135,IF(AND($S135&lt;&gt;"",EDATE($D135,Milestones!$AA$27)&gt;=$S135),$V135,$U135)))=Milestones!$AB$27),UPPER(TEXT(EDATE($D135,Milestones!$AA$27),"dd mmm yy"))&amp;" "&amp;Milestones!$AB$27&amp;" "&amp;Milestones!$AC$27&amp;";  ","")&amp;IF(AND(EDATE($D135,Milestones!$AA$28)&lt;=AsOfDate,IF($R135=0,$X135,IF(AND($T135&lt;&gt;"",EDATE($D135,Milestones!$AA$28)&gt;=$T135),$W135,IF(AND($S135&lt;&gt;"",EDATE($D135,Milestones!$AA$28)&gt;=$S135),$V135,$U135)))=Milestones!$AB$28),UPPER(TEXT(EDATE($D135,Milestones!$AA$28),"dd mmm yy"))&amp;" "&amp;Milestones!$AB$28&amp;" "&amp;Milestones!$AC$28&amp;";  ","")&amp;IF(AND(EDATE($D135,Milestones!$AA$29)&lt;=AsOfDate,IF($R135=0,$X135,IF(AND($T135&lt;&gt;"",EDATE($D135,Milestones!$AA$29)&gt;=$T135),$W135,IF(AND($S135&lt;&gt;"",EDATE($D135,Milestones!$AA$29)&gt;=$S135),$V135,$U135)))=Milestones!$AB$29),UPPER(TEXT(EDATE($D135,Milestones!$AA$29),"dd mmm yy"))&amp;" "&amp;Milestones!$AB$29&amp;" "&amp;Milestones!$AC$29&amp;";  ","")&amp;IF(AND(EDATE($D135,Milestones!$AA$30)&lt;=AsOfDate,IF($R135=0,$X135,IF(AND($T135&lt;&gt;"",EDATE($D135,Milestones!$AA$30)&gt;=$T135),$W135,IF(AND($S135&lt;&gt;"",EDATE($D135,Milestones!$AA$30)&gt;=$S135),$V135,$U135)))=Milestones!$AB$30),UPPER(TEXT(EDATE($D135,Milestones!$AA$30),"dd mmm yy"))&amp;" "&amp;Milestones!$AB$30&amp;" "&amp;Milestones!$AC$30&amp;";  ","")&amp;IF(AND(EDATE($D135,Milestones!$AA$31)&lt;=AsOfDate,IF($R135=0,$X135,IF(AND($T135&lt;&gt;"",EDATE($D135,Milestones!$AA$31)&gt;=$T135),$W135,IF(AND($S135&lt;&gt;"",EDATE($D135,Milestones!$AA$31)&gt;=$S135),$V135,$U135)))=Milestones!$AB$31),UPPER(TEXT(EDATE($D135,Milestones!$AA$31),"dd mmm yy"))&amp;" "&amp;Milestones!$AB$31&amp;" "&amp;Milestones!$AC$31&amp;";  ","")&amp;IF(AND(EDATE($D135,Milestones!$AA$32)&lt;=AsOfDate,IF($R135=0,$X135,IF(AND($T135&lt;&gt;"",EDATE($D135,Milestones!$AA$32)&gt;=$T135),$W135,IF(AND($S135&lt;&gt;"",EDATE($D135,Milestones!$AA$32)&gt;=$S135),$V135,$U135)))=Milestones!$AB$32),UPPER(TEXT(EDATE($D135,Milestones!$AA$32),"dd mmm yy"))&amp;" "&amp;Milestones!$AB$32&amp;" "&amp;Milestones!$AC$32&amp;";  ","")&amp;IF(AND(EDATE($D135,Milestones!$AA$33)&lt;=AsOfDate,IF($R135=0,$X135,IF(AND($T135&lt;&gt;"",EDATE($D135,Milestones!$AA$33)&gt;=$T135),$W135,IF(AND($S135&lt;&gt;"",EDATE($D135,Milestones!$AA$33)&gt;=$S135),$V135,$U135)))=Milestones!$AB$33),UPPER(TEXT(EDATE($D135,Milestones!$AA$33),"dd mmm yy"))&amp;" "&amp;Milestones!$AB$33&amp;" "&amp;Milestones!$AC$33&amp;";  ","")&amp;IF(AND(EDATE($D135,Milestones!$AA$34)&lt;=AsOfDate,IF($R135=0,$X135,IF(AND($T135&lt;&gt;"",EDATE($D135,Milestones!$AA$34)&gt;=$T135),$W135,IF(AND($S135&lt;&gt;"",EDATE($D135,Milestones!$AA$34)&gt;=$S135),$V135,$U135)))=Milestones!$AB$34),UPPER(TEXT(EDATE($D135,Milestones!$AA$34),"dd mmm yy"))&amp;" "&amp;Milestones!$AB$34&amp;" "&amp;Milestones!$AC$34&amp;";  ","")&amp;IF(AND(EDATE($D135,Milestones!$AA$35)&lt;=AsOfDate,IF($R135=0,$X135,IF(AND($T135&lt;&gt;"",EDATE($D135,Milestones!$AA$35)&gt;=$T135),$W135,IF(AND($S135&lt;&gt;"",EDATE($D135,Milestones!$AA$35)&gt;=$S135),$V135,$U135)))=Milestones!$AB$35),UPPER(TEXT(EDATE($D135,Milestones!$AA$35),"dd mmm yy"))&amp;" "&amp;Milestones!$AB$35&amp;" "&amp;Milestones!$AC$35&amp;";  ","")&amp;IF(AND(EDATE($D135,Milestones!$AA$36)&lt;=AsOfDate,IF($R135=0,$X135,IF(AND($T135&lt;&gt;"",EDATE($D135,Milestones!$AA$36)&gt;=$T135),$W135,IF(AND($S135&lt;&gt;"",EDATE($D135,Milestones!$AA$36)&gt;=$S135),$V135,$U135)))=Milestones!$AB$36),UPPER(TEXT(EDATE($D135,Milestones!$AA$36),"dd mmm yy"))&amp;" "&amp;Milestones!$AB$36&amp;" "&amp;Milestones!$AC$36&amp;";  ","")&amp;IF(AND(EDATE($D135,Milestones!$AA$37)&lt;=AsOfDate,IF($R135=0,$X135,IF(AND($T135&lt;&gt;"",EDATE($D135,Milestones!$AA$37)&gt;=$T135),$W135,IF(AND($S135&lt;&gt;"",EDATE($D135,Milestones!$AA$37)&gt;=$S135),$V135,$U135)))=Milestones!$AB$37),UPPER(TEXT(EDATE($D135,Milestones!$AA$37),"dd mmm yy"))&amp;" "&amp;Milestones!$AB$37&amp;" "&amp;Milestones!$AC$37&amp;";  ","")&amp;IF(AND(EDATE($D135,Milestones!$AA$38)&lt;=AsOfDate,IF($R135=0,$X135,IF(AND($T135&lt;&gt;"",EDATE($D135,Milestones!$AA$38)&gt;=$T135),$W135,IF(AND($S135&lt;&gt;"",EDATE($D135,Milestones!$AA$38)&gt;=$S135),$V135,$U135)))=Milestones!$AB$38),UPPER(TEXT(EDATE($D135,Milestones!$AA$38),"dd mmm yy"))&amp;" "&amp;Milestones!$AB$38&amp;" "&amp;Milestones!$AC$38&amp;";  ","")&amp;IF(AND(EDATE($D135,Milestones!$AA$39)&lt;=AsOfDate,IF($R135=0,$X135,IF(AND($T135&lt;&gt;"",EDATE($D135,Milestones!$AA$39)&gt;=$T135),$W135,IF(AND($S135&lt;&gt;"",EDATE($D135,Milestones!$AA$39)&gt;=$S135),$V135,$U135)))=Milestones!$AB$39),UPPER(TEXT(EDATE($D135,Milestones!$AA$39),"dd mmm yy"))&amp;" "&amp;Milestones!$AB$39&amp;" "&amp;Milestones!$AC$39&amp;";  ",""))</f>
        <v/>
      </c>
      <c r="J135" s="0" t="str">
        <f aca="false">IF(OR($A135="",$D135=""),"",IF(AND(EDATE($D135,Milestones!$AA$40)&lt;=AsOfDate,IF($R135=0,$X135,IF(AND($T135&lt;&gt;"",EDATE($D135,Milestones!$AA$40)&gt;=$T135),$W135,IF(AND($S135&lt;&gt;"",EDATE($D135,Milestones!$AA$40)&gt;=$S135),$V135,$U135)))=Milestones!$AB$40),UPPER(TEXT(EDATE($D135,Milestones!$AA$40),"dd mmm yy"))&amp;" "&amp;Milestones!$AB$40&amp;" "&amp;Milestones!$AC$40&amp;";  ","")&amp;IF(AND(EDATE($D135,Milestones!$AA$41)&lt;=AsOfDate,IF($R135=0,$X135,IF(AND($T135&lt;&gt;"",EDATE($D135,Milestones!$AA$41)&gt;=$T135),$W135,IF(AND($S135&lt;&gt;"",EDATE($D135,Milestones!$AA$41)&gt;=$S135),$V135,$U135)))=Milestones!$AB$41),UPPER(TEXT(EDATE($D135,Milestones!$AA$41),"dd mmm yy"))&amp;" "&amp;Milestones!$AB$41&amp;" "&amp;Milestones!$AC$41&amp;";  ","")&amp;IF(AND(EDATE($D135,Milestones!$AA$42)&lt;=AsOfDate,IF($R135=0,$X135,IF(AND($T135&lt;&gt;"",EDATE($D135,Milestones!$AA$42)&gt;=$T135),$W135,IF(AND($S135&lt;&gt;"",EDATE($D135,Milestones!$AA$42)&gt;=$S135),$V135,$U135)))=Milestones!$AB$42),UPPER(TEXT(EDATE($D135,Milestones!$AA$42),"dd mmm yy"))&amp;" "&amp;Milestones!$AB$42&amp;" "&amp;Milestones!$AC$42&amp;";  ","")&amp;IF(AND(EDATE($D135,Milestones!$AA$43)&lt;=AsOfDate,IF($R135=0,$X135,IF(AND($T135&lt;&gt;"",EDATE($D135,Milestones!$AA$43)&gt;=$T135),$W135,IF(AND($S135&lt;&gt;"",EDATE($D135,Milestones!$AA$43)&gt;=$S135),$V135,$U135)))=Milestones!$AB$43),UPPER(TEXT(EDATE($D135,Milestones!$AA$43),"dd mmm yy"))&amp;" "&amp;Milestones!$AB$43&amp;" "&amp;Milestones!$AC$43&amp;";  ","")&amp;IF(AND(EDATE($D135,Milestones!$AA$44)&lt;=AsOfDate,IF($R135=0,$X135,IF(AND($T135&lt;&gt;"",EDATE($D135,Milestones!$AA$44)&gt;=$T135),$W135,IF(AND($S135&lt;&gt;"",EDATE($D135,Milestones!$AA$44)&gt;=$S135),$V135,$U135)))=Milestones!$AB$44),UPPER(TEXT(EDATE($D135,Milestones!$AA$44),"dd mmm yy"))&amp;" "&amp;Milestones!$AB$44&amp;" "&amp;Milestones!$AC$44&amp;";  ","")&amp;IF(AND(EDATE($D135,Milestones!$AA$45)&lt;=AsOfDate,IF($R135=0,$X135,IF(AND($T135&lt;&gt;"",EDATE($D135,Milestones!$AA$45)&gt;=$T135),$W135,IF(AND($S135&lt;&gt;"",EDATE($D135,Milestones!$AA$45)&gt;=$S135),$V135,$U135)))=Milestones!$AB$45),UPPER(TEXT(EDATE($D135,Milestones!$AA$45),"dd mmm yy"))&amp;" "&amp;Milestones!$AB$45&amp;" "&amp;Milestones!$AC$45&amp;";  ","")&amp;IF(AND(EDATE($D135,Milestones!$AA$46)&lt;=AsOfDate,IF($R135=0,$X135,IF(AND($T135&lt;&gt;"",EDATE($D135,Milestones!$AA$46)&gt;=$T135),$W135,IF(AND($S135&lt;&gt;"",EDATE($D135,Milestones!$AA$46)&gt;=$S135),$V135,$U135)))=Milestones!$AB$46),UPPER(TEXT(EDATE($D135,Milestones!$AA$46),"dd mmm yy"))&amp;" "&amp;Milestones!$AB$46&amp;" "&amp;Milestones!$AC$46&amp;";  ","")&amp;IF(AND(EDATE($D135,Milestones!$AA$47)&lt;=AsOfDate,IF($R135=0,$X135,IF(AND($T135&lt;&gt;"",EDATE($D135,Milestones!$AA$47)&gt;=$T135),$W135,IF(AND($S135&lt;&gt;"",EDATE($D135,Milestones!$AA$47)&gt;=$S135),$V135,$U135)))=Milestones!$AB$47),UPPER(TEXT(EDATE($D135,Milestones!$AA$47),"dd mmm yy"))&amp;" "&amp;Milestones!$AB$47&amp;" "&amp;Milestones!$AC$47&amp;";  ","")&amp;IF(AND(EDATE($D135,Milestones!$AA$48)&lt;=AsOfDate,IF($R135=0,$X135,IF(AND($T135&lt;&gt;"",EDATE($D135,Milestones!$AA$48)&gt;=$T135),$W135,IF(AND($S135&lt;&gt;"",EDATE($D135,Milestones!$AA$48)&gt;=$S135),$V135,$U135)))=Milestones!$AB$48),UPPER(TEXT(EDATE($D135,Milestones!$AA$48),"dd mmm yy"))&amp;" "&amp;Milestones!$AB$48&amp;" "&amp;Milestones!$AC$48&amp;";  ","")&amp;IF(AND(EDATE($D135,Milestones!$AA$49)&lt;=AsOfDate,IF($R135=0,$X135,IF(AND($T135&lt;&gt;"",EDATE($D135,Milestones!$AA$49)&gt;=$T135),$W135,IF(AND($S135&lt;&gt;"",EDATE($D135,Milestones!$AA$49)&gt;=$S135),$V135,$U135)))=Milestones!$AB$49),UPPER(TEXT(EDATE($D135,Milestones!$AA$49),"dd mmm yy"))&amp;" "&amp;Milestones!$AB$49&amp;" "&amp;Milestones!$AC$49&amp;";  ","")&amp;IF(AND(EDATE($D135,Milestones!$AA$50)&lt;=AsOfDate,IF($R135=0,$X135,IF(AND($T135&lt;&gt;"",EDATE($D135,Milestones!$AA$50)&gt;=$T135),$W135,IF(AND($S135&lt;&gt;"",EDATE($D135,Milestones!$AA$50)&gt;=$S135),$V135,$U135)))=Milestones!$AB$50),UPPER(TEXT(EDATE($D135,Milestones!$AA$50),"dd mmm yy"))&amp;" "&amp;Milestones!$AB$50&amp;" "&amp;Milestones!$AC$50&amp;";  ","")&amp;IF(AND(EDATE($D135,Milestones!$AA$51)&lt;=AsOfDate,IF($R135=0,$X135,IF(AND($T135&lt;&gt;"",EDATE($D135,Milestones!$AA$51)&gt;=$T135),$W135,IF(AND($S135&lt;&gt;"",EDATE($D135,Milestones!$AA$51)&gt;=$S135),$V135,$U135)))=Milestones!$AB$51),UPPER(TEXT(EDATE($D135,Milestones!$AA$51),"dd mmm yy"))&amp;" "&amp;Milestones!$AB$51&amp;" "&amp;Milestones!$AC$51&amp;";  ","")&amp;IF(AND(EDATE($D135,Milestones!$AA$52)&lt;=AsOfDate,IF($R135=0,$X135,IF(AND($T135&lt;&gt;"",EDATE($D135,Milestones!$AA$52)&gt;=$T135),$W135,IF(AND($S135&lt;&gt;"",EDATE($D135,Milestones!$AA$52)&gt;=$S135),$V135,$U135)))=Milestones!$AB$52),UPPER(TEXT(EDATE($D135,Milestones!$AA$52),"dd mmm yy"))&amp;" "&amp;Milestones!$AB$52&amp;" "&amp;Milestones!$AC$52&amp;";  ","")&amp;IF(AND(EDATE($D135,Milestones!$AA$53)&lt;=AsOfDate,IF($R135=0,$X135,IF(AND($T135&lt;&gt;"",EDATE($D135,Milestones!$AA$53)&gt;=$T135),$W135,IF(AND($S135&lt;&gt;"",EDATE($D135,Milestones!$AA$53)&gt;=$S135),$V135,$U135)))=Milestones!$AB$53),UPPER(TEXT(EDATE($D135,Milestones!$AA$53),"dd mmm yy"))&amp;" "&amp;Milestones!$AB$53&amp;" "&amp;Milestones!$AC$53&amp;";  ","")&amp;IF(AND(EDATE($D135,Milestones!$AA$54)&lt;=AsOfDate,IF($R135=0,$X135,IF(AND($T135&lt;&gt;"",EDATE($D135,Milestones!$AA$54)&gt;=$T135),$W135,IF(AND($S135&lt;&gt;"",EDATE($D135,Milestones!$AA$54)&gt;=$S135),$V135,$U135)))=Milestones!$AB$54),UPPER(TEXT(EDATE($D135,Milestones!$AA$54),"dd mmm yy"))&amp;" "&amp;Milestones!$AB$54&amp;" "&amp;Milestones!$AC$54&amp;";  ","")&amp;IF(AND(EDATE($D135,Milestones!$AA$55)&lt;=AsOfDate,IF($R135=0,$X135,IF(AND($T135&lt;&gt;"",EDATE($D135,Milestones!$AA$55)&gt;=$T135),$W135,IF(AND($S135&lt;&gt;"",EDATE($D135,Milestones!$AA$55)&gt;=$S135),$V135,$U135)))=Milestones!$AB$55),UPPER(TEXT(EDATE($D135,Milestones!$AA$55),"dd mmm yy"))&amp;" "&amp;Milestones!$AB$55&amp;" "&amp;Milestones!$AC$55&amp;";  ","")&amp;IF(AND(EDATE($D135,Milestones!$AA$56)&lt;=AsOfDate,IF($R135=0,$X135,IF(AND($T135&lt;&gt;"",EDATE($D135,Milestones!$AA$56)&gt;=$T135),$W135,IF(AND($S135&lt;&gt;"",EDATE($D135,Milestones!$AA$56)&gt;=$S135),$V135,$U135)))=Milestones!$AB$56),UPPER(TEXT(EDATE($D135,Milestones!$AA$56),"dd mmm yy"))&amp;" "&amp;Milestones!$AB$56&amp;" "&amp;Milestones!$AC$56&amp;";  ","")&amp;IF(AND(EDATE($D135,Milestones!$AA$57)&lt;=AsOfDate,IF($R135=0,$X135,IF(AND($T135&lt;&gt;"",EDATE($D135,Milestones!$AA$57)&gt;=$T135),$W135,IF(AND($S135&lt;&gt;"",EDATE($D135,Milestones!$AA$57)&gt;=$S135),$V135,$U135)))=Milestones!$AB$57),UPPER(TEXT(EDATE($D135,Milestones!$AA$57),"dd mmm yy"))&amp;" "&amp;Milestones!$AB$57&amp;" "&amp;Milestones!$AC$57&amp;";  ","")&amp;IF(AND(EDATE($D135,Milestones!$AA$58)&lt;=AsOfDate,IF($R135=0,$X135,IF(AND($T135&lt;&gt;"",EDATE($D135,Milestones!$AA$58)&gt;=$T135),$W135,IF(AND($S135&lt;&gt;"",EDATE($D135,Milestones!$AA$58)&gt;=$S135),$V135,$U135)))=Milestones!$AB$58),UPPER(TEXT(EDATE($D135,Milestones!$AA$58),"dd mmm yy"))&amp;" "&amp;Milestones!$AB$58&amp;" "&amp;Milestones!$AC$58&amp;";  ","")&amp;IF(AND(EDATE($D135,Milestones!$AA$59)&lt;=AsOfDate,IF($R135=0,$X135,IF(AND($T135&lt;&gt;"",EDATE($D135,Milestones!$AA$59)&gt;=$T135),$W135,IF(AND($S135&lt;&gt;"",EDATE($D135,Milestones!$AA$59)&gt;=$S135),$V135,$U135)))=Milestones!$AB$59),UPPER(TEXT(EDATE($D135,Milestones!$AA$59),"dd mmm yy"))&amp;" "&amp;Milestones!$AB$59&amp;" "&amp;Milestones!$AC$59&amp;";  ",""))</f>
        <v/>
      </c>
      <c r="K135" s="0" t="str">
        <f aca="false">IF(OR($A135="",$D135=""),"",IF(AND(EDATE($D135,Milestones!$AA$60)&lt;=AsOfDate,IF($R135=0,$X135,IF(AND($T135&lt;&gt;"",EDATE($D135,Milestones!$AA$60)&gt;=$T135),$W135,IF(AND($S135&lt;&gt;"",EDATE($D135,Milestones!$AA$60)&gt;=$S135),$V135,$U135)))=Milestones!$AB$60),UPPER(TEXT(EDATE($D135,Milestones!$AA$60),"dd mmm yy"))&amp;" "&amp;Milestones!$AB$60&amp;" "&amp;Milestones!$AC$60&amp;";  ","")&amp;IF(AND(EDATE($D135,Milestones!$AA$61)&lt;=AsOfDate,IF($R135=0,$X135,IF(AND($T135&lt;&gt;"",EDATE($D135,Milestones!$AA$61)&gt;=$T135),$W135,IF(AND($S135&lt;&gt;"",EDATE($D135,Milestones!$AA$61)&gt;=$S135),$V135,$U135)))=Milestones!$AB$61),UPPER(TEXT(EDATE($D135,Milestones!$AA$61),"dd mmm yy"))&amp;" "&amp;Milestones!$AB$61&amp;" "&amp;Milestones!$AC$61&amp;";  ","")&amp;IF(AND(EDATE($D135,Milestones!$AA$62)&lt;=AsOfDate,IF($R135=0,$X135,IF(AND($T135&lt;&gt;"",EDATE($D135,Milestones!$AA$62)&gt;=$T135),$W135,IF(AND($S135&lt;&gt;"",EDATE($D135,Milestones!$AA$62)&gt;=$S135),$V135,$U135)))=Milestones!$AB$62),UPPER(TEXT(EDATE($D135,Milestones!$AA$62),"dd mmm yy"))&amp;" "&amp;Milestones!$AB$62&amp;" "&amp;Milestones!$AC$62&amp;";  ","")&amp;IF(AND(EDATE($D135,Milestones!$AA$63)&lt;=AsOfDate,IF($R135=0,$X135,IF(AND($T135&lt;&gt;"",EDATE($D135,Milestones!$AA$63)&gt;=$T135),$W135,IF(AND($S135&lt;&gt;"",EDATE($D135,Milestones!$AA$63)&gt;=$S135),$V135,$U135)))=Milestones!$AB$63),UPPER(TEXT(EDATE($D135,Milestones!$AA$63),"dd mmm yy"))&amp;" "&amp;Milestones!$AB$63&amp;" "&amp;Milestones!$AC$63&amp;";  ","")&amp;IF(AND(EDATE($D135,Milestones!$AA$64)&lt;=AsOfDate,IF($R135=0,$X135,IF(AND($T135&lt;&gt;"",EDATE($D135,Milestones!$AA$64)&gt;=$T135),$W135,IF(AND($S135&lt;&gt;"",EDATE($D135,Milestones!$AA$64)&gt;=$S135),$V135,$U135)))=Milestones!$AB$64),UPPER(TEXT(EDATE($D135,Milestones!$AA$64),"dd mmm yy"))&amp;" "&amp;Milestones!$AB$64&amp;" "&amp;Milestones!$AC$64&amp;";  ","")&amp;IF(AND(EDATE($D135,Milestones!$AA$65)&lt;=AsOfDate,IF($R135=0,$X135,IF(AND($T135&lt;&gt;"",EDATE($D135,Milestones!$AA$65)&gt;=$T135),$W135,IF(AND($S135&lt;&gt;"",EDATE($D135,Milestones!$AA$65)&gt;=$S135),$V135,$U135)))=Milestones!$AB$65),UPPER(TEXT(EDATE($D135,Milestones!$AA$65),"dd mmm yy"))&amp;" "&amp;Milestones!$AB$65&amp;" "&amp;Milestones!$AC$65&amp;";  ","")&amp;IF(AND(EDATE($D135,Milestones!$AA$66)&lt;=AsOfDate,IF($R135=0,$X135,IF(AND($T135&lt;&gt;"",EDATE($D135,Milestones!$AA$66)&gt;=$T135),$W135,IF(AND($S135&lt;&gt;"",EDATE($D135,Milestones!$AA$66)&gt;=$S135),$V135,$U135)))=Milestones!$AB$66),UPPER(TEXT(EDATE($D135,Milestones!$AA$66),"dd mmm yy"))&amp;" "&amp;Milestones!$AB$66&amp;" "&amp;Milestones!$AC$66&amp;";  ","")&amp;IF(AND(EDATE($D135,Milestones!$AA$67)&lt;=AsOfDate,IF($R135=0,$X135,IF(AND($T135&lt;&gt;"",EDATE($D135,Milestones!$AA$67)&gt;=$T135),$W135,IF(AND($S135&lt;&gt;"",EDATE($D135,Milestones!$AA$67)&gt;=$S135),$V135,$U135)))=Milestones!$AB$67),UPPER(TEXT(EDATE($D135,Milestones!$AA$67),"dd mmm yy"))&amp;" "&amp;Milestones!$AB$67&amp;" "&amp;Milestones!$AC$67&amp;";  ","")&amp;IF(AND(EDATE($D135,Milestones!$AA$68)&lt;=AsOfDate,IF($R135=0,$X135,IF(AND($T135&lt;&gt;"",EDATE($D135,Milestones!$AA$68)&gt;=$T135),$W135,IF(AND($S135&lt;&gt;"",EDATE($D135,Milestones!$AA$68)&gt;=$S135),$V135,$U135)))=Milestones!$AB$68),UPPER(TEXT(EDATE($D135,Milestones!$AA$68),"dd mmm yy"))&amp;" "&amp;Milestones!$AB$68&amp;" "&amp;Milestones!$AC$68&amp;";  ","")&amp;IF(AND(EDATE($D135,Milestones!$AA$69)&lt;=AsOfDate,IF($R135=0,$X135,IF(AND($T135&lt;&gt;"",EDATE($D135,Milestones!$AA$69)&gt;=$T135),$W135,IF(AND($S135&lt;&gt;"",EDATE($D135,Milestones!$AA$69)&gt;=$S135),$V135,$U135)))=Milestones!$AB$69),UPPER(TEXT(EDATE($D135,Milestones!$AA$69),"dd mmm yy"))&amp;" "&amp;Milestones!$AB$69&amp;" "&amp;Milestones!$AC$69&amp;";  ","")&amp;IF(AND(EDATE($D135,Milestones!$AA$70)&lt;=AsOfDate,IF($R135=0,$X135,IF(AND($T135&lt;&gt;"",EDATE($D135,Milestones!$AA$70)&gt;=$T135),$W135,IF(AND($S135&lt;&gt;"",EDATE($D135,Milestones!$AA$70)&gt;=$S135),$V135,$U135)))=Milestones!$AB$70),UPPER(TEXT(EDATE($D135,Milestones!$AA$70),"dd mmm yy"))&amp;" "&amp;Milestones!$AB$70&amp;" "&amp;Milestones!$AC$70&amp;";  ","")&amp;IF(AND(EDATE($D135,Milestones!$AA$71)&lt;=AsOfDate,IF($R135=0,$X135,IF(AND($T135&lt;&gt;"",EDATE($D135,Milestones!$AA$71)&gt;=$T135),$W135,IF(AND($S135&lt;&gt;"",EDATE($D135,Milestones!$AA$71)&gt;=$S135),$V135,$U135)))=Milestones!$AB$71),UPPER(TEXT(EDATE($D135,Milestones!$AA$71),"dd mmm yy"))&amp;" "&amp;Milestones!$AB$71&amp;" "&amp;Milestones!$AC$71&amp;";  ","")&amp;IF(AND(EDATE($D135,Milestones!$AA$72)&lt;=AsOfDate,IF($R135=0,$X135,IF(AND($T135&lt;&gt;"",EDATE($D135,Milestones!$AA$72)&gt;=$T135),$W135,IF(AND($S135&lt;&gt;"",EDATE($D135,Milestones!$AA$72)&gt;=$S135),$V135,$U135)))=Milestones!$AB$72),UPPER(TEXT(EDATE($D135,Milestones!$AA$72),"dd mmm yy"))&amp;" "&amp;Milestones!$AB$72&amp;" "&amp;Milestones!$AC$72&amp;";  ","")&amp;IF(AND(EDATE($D135,Milestones!$AA$73)&lt;=AsOfDate,IF($R135=0,$X135,IF(AND($T135&lt;&gt;"",EDATE($D135,Milestones!$AA$73)&gt;=$T135),$W135,IF(AND($S135&lt;&gt;"",EDATE($D135,Milestones!$AA$73)&gt;=$S135),$V135,$U135)))=Milestones!$AB$73),UPPER(TEXT(EDATE($D135,Milestones!$AA$73),"dd mmm yy"))&amp;" "&amp;Milestones!$AB$73&amp;" "&amp;Milestones!$AC$73&amp;";  ","")&amp;IF(AND(EDATE($D135,Milestones!$AA$74)&lt;=AsOfDate,IF($R135=0,$X135,IF(AND($T135&lt;&gt;"",EDATE($D135,Milestones!$AA$74)&gt;=$T135),$W135,IF(AND($S135&lt;&gt;"",EDATE($D135,Milestones!$AA$74)&gt;=$S135),$V135,$U135)))=Milestones!$AB$74),UPPER(TEXT(EDATE($D135,Milestones!$AA$74),"dd mmm yy"))&amp;" "&amp;Milestones!$AB$74&amp;" "&amp;Milestones!$AC$74&amp;";  ","")&amp;IF(AND(EDATE($D135,Milestones!$AA$75)&lt;=AsOfDate,IF($R135=0,$X135,IF(AND($T135&lt;&gt;"",EDATE($D135,Milestones!$AA$75)&gt;=$T135),$W135,IF(AND($S135&lt;&gt;"",EDATE($D135,Milestones!$AA$75)&gt;=$S135),$V135,$U135)))=Milestones!$AB$75),UPPER(TEXT(EDATE($D135,Milestones!$AA$75),"dd mmm yy"))&amp;" "&amp;Milestones!$AB$75&amp;" "&amp;Milestones!$AC$75&amp;";  ","")&amp;IF(AND(EDATE($D135,Milestones!$AA$76)&lt;=AsOfDate,IF($R135=0,$X135,IF(AND($T135&lt;&gt;"",EDATE($D135,Milestones!$AA$76)&gt;=$T135),$W135,IF(AND($S135&lt;&gt;"",EDATE($D135,Milestones!$AA$76)&gt;=$S135),$V135,$U135)))=Milestones!$AB$76),UPPER(TEXT(EDATE($D135,Milestones!$AA$76),"dd mmm yy"))&amp;" "&amp;Milestones!$AB$76&amp;" "&amp;Milestones!$AC$76&amp;";  ","")&amp;IF(AND(EDATE($D135,Milestones!$AA$77)&lt;=AsOfDate,IF($R135=0,$X135,IF(AND($T135&lt;&gt;"",EDATE($D135,Milestones!$AA$77)&gt;=$T135),$W135,IF(AND($S135&lt;&gt;"",EDATE($D135,Milestones!$AA$77)&gt;=$S135),$V135,$U135)))=Milestones!$AB$77),UPPER(TEXT(EDATE($D135,Milestones!$AA$77),"dd mmm yy"))&amp;" "&amp;Milestones!$AB$77&amp;" "&amp;Milestones!$AC$77&amp;";  ","")&amp;IF(AND(EDATE($D135,Milestones!$AA$78)&lt;=AsOfDate,IF($R135=0,$X135,IF(AND($T135&lt;&gt;"",EDATE($D135,Milestones!$AA$78)&gt;=$T135),$W135,IF(AND($S135&lt;&gt;"",EDATE($D135,Milestones!$AA$78)&gt;=$S135),$V135,$U135)))=Milestones!$AB$78),UPPER(TEXT(EDATE($D135,Milestones!$AA$78),"dd mmm yy"))&amp;" "&amp;Milestones!$AB$78&amp;" "&amp;Milestones!$AC$78&amp;";  ","")&amp;IF(AND(EDATE($D135,Milestones!$AA$79)&lt;=AsOfDate,IF($R135=0,$X135,IF(AND($T135&lt;&gt;"",EDATE($D135,Milestones!$AA$79)&gt;=$T135),$W135,IF(AND($S135&lt;&gt;"",EDATE($D135,Milestones!$AA$79)&gt;=$S135),$V135,$U135)))=Milestones!$AB$79),UPPER(TEXT(EDATE($D135,Milestones!$AA$79),"dd mmm yy"))&amp;" "&amp;Milestones!$AB$79&amp;" "&amp;Milestones!$AC$79&amp;";  ",""))</f>
        <v/>
      </c>
      <c r="L135" s="0" t="str">
        <f aca="false">IF(OR($A135="",$D135=""),"",IF(AND(EDATE($D135,Milestones!$AA$80)&lt;=AsOfDate,IF($R135=0,$X135,IF(AND($T135&lt;&gt;"",EDATE($D135,Milestones!$AA$80)&gt;=$T135),$W135,IF(AND($S135&lt;&gt;"",EDATE($D135,Milestones!$AA$80)&gt;=$S135),$V135,$U135)))=Milestones!$AB$80),UPPER(TEXT(EDATE($D135,Milestones!$AA$80),"dd mmm yy"))&amp;" "&amp;Milestones!$AB$80&amp;" "&amp;Milestones!$AC$80&amp;";  ","")&amp;IF(AND(EDATE($D135,Milestones!$AA$81)&lt;=AsOfDate,IF($R135=0,$X135,IF(AND($T135&lt;&gt;"",EDATE($D135,Milestones!$AA$81)&gt;=$T135),$W135,IF(AND($S135&lt;&gt;"",EDATE($D135,Milestones!$AA$81)&gt;=$S135),$V135,$U135)))=Milestones!$AB$81),UPPER(TEXT(EDATE($D135,Milestones!$AA$81),"dd mmm yy"))&amp;" "&amp;Milestones!$AB$81&amp;" "&amp;Milestones!$AC$81&amp;";  ","")&amp;IF(AND(EDATE($D135,Milestones!$AA$82)&lt;=AsOfDate,IF($R135=0,$X135,IF(AND($T135&lt;&gt;"",EDATE($D135,Milestones!$AA$82)&gt;=$T135),$W135,IF(AND($S135&lt;&gt;"",EDATE($D135,Milestones!$AA$82)&gt;=$S135),$V135,$U135)))=Milestones!$AB$82),UPPER(TEXT(EDATE($D135,Milestones!$AA$82),"dd mmm yy"))&amp;" "&amp;Milestones!$AB$82&amp;" "&amp;Milestones!$AC$82&amp;";  ","")&amp;IF(AND(EDATE($D135,Milestones!$AA$83)&lt;=AsOfDate,IF($R135=0,$X135,IF(AND($T135&lt;&gt;"",EDATE($D135,Milestones!$AA$83)&gt;=$T135),$W135,IF(AND($S135&lt;&gt;"",EDATE($D135,Milestones!$AA$83)&gt;=$S135),$V135,$U135)))=Milestones!$AB$83),UPPER(TEXT(EDATE($D135,Milestones!$AA$83),"dd mmm yy"))&amp;" "&amp;Milestones!$AB$83&amp;" "&amp;Milestones!$AC$83&amp;";  ","")&amp;IF(AND(EDATE($D135,Milestones!$AA$84)&lt;=AsOfDate,IF($R135=0,$X135,IF(AND($T135&lt;&gt;"",EDATE($D135,Milestones!$AA$84)&gt;=$T135),$W135,IF(AND($S135&lt;&gt;"",EDATE($D135,Milestones!$AA$84)&gt;=$S135),$V135,$U135)))=Milestones!$AB$84),UPPER(TEXT(EDATE($D135,Milestones!$AA$84),"dd mmm yy"))&amp;" "&amp;Milestones!$AB$84&amp;" "&amp;Milestones!$AC$84&amp;";  ","")&amp;IF(AND(EDATE($D135,Milestones!$AA$85)&lt;=AsOfDate,IF($R135=0,$X135,IF(AND($T135&lt;&gt;"",EDATE($D135,Milestones!$AA$85)&gt;=$T135),$W135,IF(AND($S135&lt;&gt;"",EDATE($D135,Milestones!$AA$85)&gt;=$S135),$V135,$U135)))=Milestones!$AB$85),UPPER(TEXT(EDATE($D135,Milestones!$AA$85),"dd mmm yy"))&amp;" "&amp;Milestones!$AB$85&amp;" "&amp;Milestones!$AC$85&amp;";  ","")&amp;IF(AND(EDATE($D135,Milestones!$AA$86)&lt;=AsOfDate,IF($R135=0,$X135,IF(AND($T135&lt;&gt;"",EDATE($D135,Milestones!$AA$86)&gt;=$T135),$W135,IF(AND($S135&lt;&gt;"",EDATE($D135,Milestones!$AA$86)&gt;=$S135),$V135,$U135)))=Milestones!$AB$86),UPPER(TEXT(EDATE($D135,Milestones!$AA$86),"dd mmm yy"))&amp;" "&amp;Milestones!$AB$86&amp;" "&amp;Milestones!$AC$86&amp;";  ","")&amp;IF(AND(EDATE($D135,Milestones!$AA$87)&lt;=AsOfDate,IF($R135=0,$X135,IF(AND($T135&lt;&gt;"",EDATE($D135,Milestones!$AA$87)&gt;=$T135),$W135,IF(AND($S135&lt;&gt;"",EDATE($D135,Milestones!$AA$87)&gt;=$S135),$V135,$U135)))=Milestones!$AB$87),UPPER(TEXT(EDATE($D135,Milestones!$AA$87),"dd mmm yy"))&amp;" "&amp;Milestones!$AB$87&amp;" "&amp;Milestones!$AC$87&amp;";  ","")&amp;IF(AND(EDATE($D135,Milestones!$AA$88)&lt;=AsOfDate,IF($R135=0,$X135,IF(AND($T135&lt;&gt;"",EDATE($D135,Milestones!$AA$88)&gt;=$T135),$W135,IF(AND($S135&lt;&gt;"",EDATE($D135,Milestones!$AA$88)&gt;=$S135),$V135,$U135)))=Milestones!$AB$88),UPPER(TEXT(EDATE($D135,Milestones!$AA$88),"dd mmm yy"))&amp;" "&amp;Milestones!$AB$88&amp;" "&amp;Milestones!$AC$88&amp;";  ","")&amp;IF(AND(EDATE($D135,Milestones!$AA$89)&lt;=AsOfDate,IF($R135=0,$X135,IF(AND($T135&lt;&gt;"",EDATE($D135,Milestones!$AA$89)&gt;=$T135),$W135,IF(AND($S135&lt;&gt;"",EDATE($D135,Milestones!$AA$89)&gt;=$S135),$V135,$U135)))=Milestones!$AB$89),UPPER(TEXT(EDATE($D135,Milestones!$AA$89),"dd mmm yy"))&amp;" "&amp;Milestones!$AB$89&amp;" "&amp;Milestones!$AC$89&amp;";  ","")&amp;IF(AND(EDATE($D135,Milestones!$AA$90)&lt;=AsOfDate,IF($R135=0,$X135,IF(AND($T135&lt;&gt;"",EDATE($D135,Milestones!$AA$90)&gt;=$T135),$W135,IF(AND($S135&lt;&gt;"",EDATE($D135,Milestones!$AA$90)&gt;=$S135),$V135,$U135)))=Milestones!$AB$90),UPPER(TEXT(EDATE($D135,Milestones!$AA$90),"dd mmm yy"))&amp;" "&amp;Milestones!$AB$90&amp;" "&amp;Milestones!$AC$90&amp;";  ","")&amp;IF(AND(EDATE($D135,Milestones!$AA$91)&lt;=AsOfDate,IF($R135=0,$X135,IF(AND($T135&lt;&gt;"",EDATE($D135,Milestones!$AA$91)&gt;=$T135),$W135,IF(AND($S135&lt;&gt;"",EDATE($D135,Milestones!$AA$91)&gt;=$S135),$V135,$U135)))=Milestones!$AB$91),UPPER(TEXT(EDATE($D135,Milestones!$AA$91),"dd mmm yy"))&amp;" "&amp;Milestones!$AB$91&amp;" "&amp;Milestones!$AC$91&amp;";  ","")&amp;IF(AND(EDATE($D135,Milestones!$AA$92)&lt;=AsOfDate,IF($R135=0,$X135,IF(AND($T135&lt;&gt;"",EDATE($D135,Milestones!$AA$92)&gt;=$T135),$W135,IF(AND($S135&lt;&gt;"",EDATE($D135,Milestones!$AA$92)&gt;=$S135),$V135,$U135)))=Milestones!$AB$92),UPPER(TEXT(EDATE($D135,Milestones!$AA$92),"dd mmm yy"))&amp;" "&amp;Milestones!$AB$92&amp;" "&amp;Milestones!$AC$92&amp;";  ","")&amp;IF(AND(EDATE($D135,Milestones!$AA$93)&lt;=AsOfDate,IF($R135=0,$X135,IF(AND($T135&lt;&gt;"",EDATE($D135,Milestones!$AA$93)&gt;=$T135),$W135,IF(AND($S135&lt;&gt;"",EDATE($D135,Milestones!$AA$93)&gt;=$S135),$V135,$U135)))=Milestones!$AB$93),UPPER(TEXT(EDATE($D135,Milestones!$AA$93),"dd mmm yy"))&amp;" "&amp;Milestones!$AB$93&amp;" "&amp;Milestones!$AC$93&amp;";  ","")&amp;IF(AND(EDATE($D135,Milestones!$AA$94)&lt;=AsOfDate,IF($R135=0,$X135,IF(AND($T135&lt;&gt;"",EDATE($D135,Milestones!$AA$94)&gt;=$T135),$W135,IF(AND($S135&lt;&gt;"",EDATE($D135,Milestones!$AA$94)&gt;=$S135),$V135,$U135)))=Milestones!$AB$94),UPPER(TEXT(EDATE($D135,Milestones!$AA$94),"dd mmm yy"))&amp;" "&amp;Milestones!$AB$94&amp;" "&amp;Milestones!$AC$94&amp;";  ","")&amp;IF(AND(EDATE($D135,Milestones!$AA$95)&lt;=AsOfDate,IF($R135=0,$X135,IF(AND($T135&lt;&gt;"",EDATE($D135,Milestones!$AA$95)&gt;=$T135),$W135,IF(AND($S135&lt;&gt;"",EDATE($D135,Milestones!$AA$95)&gt;=$S135),$V135,$U135)))=Milestones!$AB$95),UPPER(TEXT(EDATE($D135,Milestones!$AA$95),"dd mmm yy"))&amp;" "&amp;Milestones!$AB$95&amp;" "&amp;Milestones!$AC$95&amp;";  ","")&amp;IF(AND(EDATE($D135,Milestones!$AA$96)&lt;=AsOfDate,IF($R135=0,$X135,IF(AND($T135&lt;&gt;"",EDATE($D135,Milestones!$AA$96)&gt;=$T135),$W135,IF(AND($S135&lt;&gt;"",EDATE($D135,Milestones!$AA$96)&gt;=$S135),$V135,$U135)))=Milestones!$AB$96),UPPER(TEXT(EDATE($D135,Milestones!$AA$96),"dd mmm yy"))&amp;" "&amp;Milestones!$AB$96&amp;" "&amp;Milestones!$AC$96&amp;";  ","")&amp;IF(AND(EDATE($D135,Milestones!$AA$97)&lt;=AsOfDate,IF($R135=0,$X135,IF(AND($T135&lt;&gt;"",EDATE($D135,Milestones!$AA$97)&gt;=$T135),$W135,IF(AND($S135&lt;&gt;"",EDATE($D135,Milestones!$AA$97)&gt;=$S135),$V135,$U135)))=Milestones!$AB$97),UPPER(TEXT(EDATE($D135,Milestones!$AA$97),"dd mmm yy"))&amp;" "&amp;Milestones!$AB$97&amp;" "&amp;Milestones!$AC$97&amp;";  ","")&amp;IF(AND(EDATE($D135,Milestones!$AA$98)&lt;=AsOfDate,IF($R135=0,$X135,IF(AND($T135&lt;&gt;"",EDATE($D135,Milestones!$AA$98)&gt;=$T135),$W135,IF(AND($S135&lt;&gt;"",EDATE($D135,Milestones!$AA$98)&gt;=$S135),$V135,$U135)))=Milestones!$AB$98),UPPER(TEXT(EDATE($D135,Milestones!$AA$98),"dd mmm yy"))&amp;" "&amp;Milestones!$AB$98&amp;" "&amp;Milestones!$AC$98&amp;";  ","")&amp;IF(AND(EDATE($D135,Milestones!$AA$99)&lt;=AsOfDate,IF($R135=0,$X135,IF(AND($T135&lt;&gt;"",EDATE($D135,Milestones!$AA$99)&gt;=$T135),$W135,IF(AND($S135&lt;&gt;"",EDATE($D135,Milestones!$AA$99)&gt;=$S135),$V135,$U135)))=Milestones!$AB$99),UPPER(TEXT(EDATE($D135,Milestones!$AA$99),"dd mmm yy"))&amp;" "&amp;Milestones!$AB$99&amp;" "&amp;Milestones!$AC$99&amp;";  ",""))</f>
        <v/>
      </c>
      <c r="M135" s="0" t="str">
        <f aca="false">IF(OR($A135="",$D135=""),"",IF(AND(EDATE($D135,Milestones!$AA$100)&lt;=AsOfDate,IF($R135=0,$X135,IF(AND($T135&lt;&gt;"",EDATE($D135,Milestones!$AA$100)&gt;=$T135),$W135,IF(AND($S135&lt;&gt;"",EDATE($D135,Milestones!$AA$100)&gt;=$S135),$V135,$U135)))=Milestones!$AB$100),UPPER(TEXT(EDATE($D135,Milestones!$AA$100),"dd mmm yy"))&amp;" "&amp;Milestones!$AB$100&amp;" "&amp;Milestones!$AC$100&amp;";  ","")&amp;IF(AND(EDATE($D135,Milestones!$AA$101)&lt;=AsOfDate,IF($R135=0,$X135,IF(AND($T135&lt;&gt;"",EDATE($D135,Milestones!$AA$101)&gt;=$T135),$W135,IF(AND($S135&lt;&gt;"",EDATE($D135,Milestones!$AA$101)&gt;=$S135),$V135,$U135)))=Milestones!$AB$101),UPPER(TEXT(EDATE($D135,Milestones!$AA$101),"dd mmm yy"))&amp;" "&amp;Milestones!$AB$101&amp;" "&amp;Milestones!$AC$101&amp;";  ","")&amp;IF(AND(EDATE($D135,Milestones!$AA$102)&lt;=AsOfDate,IF($R135=0,$X135,IF(AND($T135&lt;&gt;"",EDATE($D135,Milestones!$AA$102)&gt;=$T135),$W135,IF(AND($S135&lt;&gt;"",EDATE($D135,Milestones!$AA$102)&gt;=$S135),$V135,$U135)))=Milestones!$AB$102),UPPER(TEXT(EDATE($D135,Milestones!$AA$102),"dd mmm yy"))&amp;" "&amp;Milestones!$AB$102&amp;" "&amp;Milestones!$AC$102&amp;";  ","")&amp;IF(AND(EDATE($D135,Milestones!$AA$103)&lt;=AsOfDate,IF($R135=0,$X135,IF(AND($T135&lt;&gt;"",EDATE($D135,Milestones!$AA$103)&gt;=$T135),$W135,IF(AND($S135&lt;&gt;"",EDATE($D135,Milestones!$AA$103)&gt;=$S135),$V135,$U135)))=Milestones!$AB$103),UPPER(TEXT(EDATE($D135,Milestones!$AA$103),"dd mmm yy"))&amp;" "&amp;Milestones!$AB$103&amp;" "&amp;Milestones!$AC$103&amp;";  ","")&amp;IF(AND(EDATE($D135,Milestones!$AA$104)&lt;=AsOfDate,IF($R135=0,$X135,IF(AND($T135&lt;&gt;"",EDATE($D135,Milestones!$AA$104)&gt;=$T135),$W135,IF(AND($S135&lt;&gt;"",EDATE($D135,Milestones!$AA$104)&gt;=$S135),$V135,$U135)))=Milestones!$AB$104),UPPER(TEXT(EDATE($D135,Milestones!$AA$104),"dd mmm yy"))&amp;" "&amp;Milestones!$AB$104&amp;" "&amp;Milestones!$AC$104&amp;";  ","")&amp;IF(AND(EDATE($D135,Milestones!$AA$105)&lt;=AsOfDate,IF($R135=0,$X135,IF(AND($T135&lt;&gt;"",EDATE($D135,Milestones!$AA$105)&gt;=$T135),$W135,IF(AND($S135&lt;&gt;"",EDATE($D135,Milestones!$AA$105)&gt;=$S135),$V135,$U135)))=Milestones!$AB$105),UPPER(TEXT(EDATE($D135,Milestones!$AA$105),"dd mmm yy"))&amp;" "&amp;Milestones!$AB$105&amp;" "&amp;Milestones!$AC$105&amp;";  ","")&amp;IF(AND(EDATE($D135,Milestones!$AA$106)&lt;=AsOfDate,IF($R135=0,$X135,IF(AND($T135&lt;&gt;"",EDATE($D135,Milestones!$AA$106)&gt;=$T135),$W135,IF(AND($S135&lt;&gt;"",EDATE($D135,Milestones!$AA$106)&gt;=$S135),$V135,$U135)))=Milestones!$AB$106),UPPER(TEXT(EDATE($D135,Milestones!$AA$106),"dd mmm yy"))&amp;" "&amp;Milestones!$AB$106&amp;" "&amp;Milestones!$AC$106&amp;";  ","")&amp;IF(AND(EDATE($D135,Milestones!$AA$107)&lt;=AsOfDate,IF($R135=0,$X135,IF(AND($T135&lt;&gt;"",EDATE($D135,Milestones!$AA$107)&gt;=$T135),$W135,IF(AND($S135&lt;&gt;"",EDATE($D135,Milestones!$AA$107)&gt;=$S135),$V135,$U135)))=Milestones!$AB$107),UPPER(TEXT(EDATE($D135,Milestones!$AA$107),"dd mmm yy"))&amp;" "&amp;Milestones!$AB$107&amp;" "&amp;Milestones!$AC$107&amp;";  ","")&amp;IF(AND(EDATE($D135,Milestones!$AA$108)&lt;=AsOfDate,IF($R135=0,$X135,IF(AND($T135&lt;&gt;"",EDATE($D135,Milestones!$AA$108)&gt;=$T135),$W135,IF(AND($S135&lt;&gt;"",EDATE($D135,Milestones!$AA$108)&gt;=$S135),$V135,$U135)))=Milestones!$AB$108),UPPER(TEXT(EDATE($D135,Milestones!$AA$108),"dd mmm yy"))&amp;" "&amp;Milestones!$AB$108&amp;" "&amp;Milestones!$AC$108&amp;";  ","")&amp;IF(AND(EDATE($D135,Milestones!$AA$109)&lt;=AsOfDate,IF($R135=0,$X135,IF(AND($T135&lt;&gt;"",EDATE($D135,Milestones!$AA$109)&gt;=$T135),$W135,IF(AND($S135&lt;&gt;"",EDATE($D135,Milestones!$AA$109)&gt;=$S135),$V135,$U135)))=Milestones!$AB$109),UPPER(TEXT(EDATE($D135,Milestones!$AA$109),"dd mmm yy"))&amp;" "&amp;Milestones!$AB$109&amp;" "&amp;Milestones!$AC$109&amp;";  ","")&amp;IF(AND(EDATE($D135,Milestones!$AA$110)&lt;=AsOfDate,IF($R135=0,$X135,IF(AND($T135&lt;&gt;"",EDATE($D135,Milestones!$AA$110)&gt;=$T135),$W135,IF(AND($S135&lt;&gt;"",EDATE($D135,Milestones!$AA$110)&gt;=$S135),$V135,$U135)))=Milestones!$AB$110),UPPER(TEXT(EDATE($D135,Milestones!$AA$110),"dd mmm yy"))&amp;" "&amp;Milestones!$AB$110&amp;" "&amp;Milestones!$AC$110&amp;";  ","")&amp;IF(AND(EDATE($D135,Milestones!$AA$111)&lt;=AsOfDate,IF($R135=0,$X135,IF(AND($T135&lt;&gt;"",EDATE($D135,Milestones!$AA$111)&gt;=$T135),$W135,IF(AND($S135&lt;&gt;"",EDATE($D135,Milestones!$AA$111)&gt;=$S135),$V135,$U135)))=Milestones!$AB$111),UPPER(TEXT(EDATE($D135,Milestones!$AA$111),"dd mmm yy"))&amp;" "&amp;Milestones!$AB$111&amp;" "&amp;Milestones!$AC$111&amp;";  ","")&amp;IF(AND(EDATE($D135,Milestones!$AA$112)&lt;=AsOfDate,IF($R135=0,$X135,IF(AND($T135&lt;&gt;"",EDATE($D135,Milestones!$AA$112)&gt;=$T135),$W135,IF(AND($S135&lt;&gt;"",EDATE($D135,Milestones!$AA$112)&gt;=$S135),$V135,$U135)))=Milestones!$AB$112),UPPER(TEXT(EDATE($D135,Milestones!$AA$112),"dd mmm yy"))&amp;" "&amp;Milestones!$AB$112&amp;" "&amp;Milestones!$AC$112&amp;";  ","")&amp;IF(AND(EDATE($D135,Milestones!$AA$113)&lt;=AsOfDate,IF($R135=0,$X135,IF(AND($T135&lt;&gt;"",EDATE($D135,Milestones!$AA$113)&gt;=$T135),$W135,IF(AND($S135&lt;&gt;"",EDATE($D135,Milestones!$AA$113)&gt;=$S135),$V135,$U135)))=Milestones!$AB$113),UPPER(TEXT(EDATE($D135,Milestones!$AA$113),"dd mmm yy"))&amp;" "&amp;Milestones!$AB$113&amp;" "&amp;Milestones!$AC$113&amp;";  ","")&amp;IF(AND(EDATE($D135,Milestones!$AA$114)&lt;=AsOfDate,IF($R135=0,$X135,IF(AND($T135&lt;&gt;"",EDATE($D135,Milestones!$AA$114)&gt;=$T135),$W135,IF(AND($S135&lt;&gt;"",EDATE($D135,Milestones!$AA$114)&gt;=$S135),$V135,$U135)))=Milestones!$AB$114),UPPER(TEXT(EDATE($D135,Milestones!$AA$114),"dd mmm yy"))&amp;" "&amp;Milestones!$AB$114&amp;" "&amp;Milestones!$AC$114&amp;";  ","")&amp;IF(AND(EDATE($D135,Milestones!$AA$115)&lt;=AsOfDate,IF($R135=0,$X135,IF(AND($T135&lt;&gt;"",EDATE($D135,Milestones!$AA$115)&gt;=$T135),$W135,IF(AND($S135&lt;&gt;"",EDATE($D135,Milestones!$AA$115)&gt;=$S135),$V135,$U135)))=Milestones!$AB$115),UPPER(TEXT(EDATE($D135,Milestones!$AA$115),"dd mmm yy"))&amp;" "&amp;Milestones!$AB$115&amp;" "&amp;Milestones!$AC$115&amp;";  ","")&amp;IF(AND(EDATE($D135,Milestones!$AA$116)&lt;=AsOfDate,IF($R135=0,$X135,IF(AND($T135&lt;&gt;"",EDATE($D135,Milestones!$AA$116)&gt;=$T135),$W135,IF(AND($S135&lt;&gt;"",EDATE($D135,Milestones!$AA$116)&gt;=$S135),$V135,$U135)))=Milestones!$AB$116),UPPER(TEXT(EDATE($D135,Milestones!$AA$116),"dd mmm yy"))&amp;" "&amp;Milestones!$AB$116&amp;" "&amp;Milestones!$AC$116&amp;";  ","")&amp;IF(AND(EDATE($D135,Milestones!$AA$117)&lt;=AsOfDate,IF($R135=0,$X135,IF(AND($T135&lt;&gt;"",EDATE($D135,Milestones!$AA$117)&gt;=$T135),$W135,IF(AND($S135&lt;&gt;"",EDATE($D135,Milestones!$AA$117)&gt;=$S135),$V135,$U135)))=Milestones!$AB$117),UPPER(TEXT(EDATE($D135,Milestones!$AA$117),"dd mmm yy"))&amp;" "&amp;Milestones!$AB$117&amp;" "&amp;Milestones!$AC$117&amp;";  ","")&amp;IF(AND(EDATE($D135,Milestones!$AA$118)&lt;=AsOfDate,IF($R135=0,$X135,IF(AND($T135&lt;&gt;"",EDATE($D135,Milestones!$AA$118)&gt;=$T135),$W135,IF(AND($S135&lt;&gt;"",EDATE($D135,Milestones!$AA$118)&gt;=$S135),$V135,$U135)))=Milestones!$AB$118),UPPER(TEXT(EDATE($D135,Milestones!$AA$118),"dd mmm yy"))&amp;" "&amp;Milestones!$AB$118&amp;" "&amp;Milestones!$AC$118&amp;";  ","")&amp;IF(AND(EDATE($D135,Milestones!$AA$119)&lt;=AsOfDate,IF($R135=0,$X135,IF(AND($T135&lt;&gt;"",EDATE($D135,Milestones!$AA$119)&gt;=$T135),$W135,IF(AND($S135&lt;&gt;"",EDATE($D135,Milestones!$AA$119)&gt;=$S135),$V135,$U135)))=Milestones!$AB$119),UPPER(TEXT(EDATE($D135,Milestones!$AA$119),"dd mmm yy"))&amp;" "&amp;Milestones!$AB$119&amp;" "&amp;Milestones!$AC$119&amp;";  ",""))</f>
        <v/>
      </c>
      <c r="N135" s="0" t="str">
        <f aca="false">IF(OR($A135="",$D135=""),"",IF(AND(EDATE($D135,Milestones!$AA$120)&lt;=AsOfDate,IF($R135=0,$X135,IF(AND($T135&lt;&gt;"",EDATE($D135,Milestones!$AA$120)&gt;=$T135),$W135,IF(AND($S135&lt;&gt;"",EDATE($D135,Milestones!$AA$120)&gt;=$S135),$V135,$U135)))=Milestones!$AB$120),UPPER(TEXT(EDATE($D135,Milestones!$AA$120),"dd mmm yy"))&amp;" "&amp;Milestones!$AB$120&amp;" "&amp;Milestones!$AC$120&amp;";  ","")&amp;IF(AND(EDATE($D135,Milestones!$AA$121)&lt;=AsOfDate,IF($R135=0,$X135,IF(AND($T135&lt;&gt;"",EDATE($D135,Milestones!$AA$121)&gt;=$T135),$W135,IF(AND($S135&lt;&gt;"",EDATE($D135,Milestones!$AA$121)&gt;=$S135),$V135,$U135)))=Milestones!$AB$121),UPPER(TEXT(EDATE($D135,Milestones!$AA$121),"dd mmm yy"))&amp;" "&amp;Milestones!$AB$121&amp;" "&amp;Milestones!$AC$121&amp;";  ","")&amp;IF(AND(EDATE($D135,Milestones!$AA$122)&lt;=AsOfDate,IF($R135=0,$X135,IF(AND($T135&lt;&gt;"",EDATE($D135,Milestones!$AA$122)&gt;=$T135),$W135,IF(AND($S135&lt;&gt;"",EDATE($D135,Milestones!$AA$122)&gt;=$S135),$V135,$U135)))=Milestones!$AB$122),UPPER(TEXT(EDATE($D135,Milestones!$AA$122),"dd mmm yy"))&amp;" "&amp;Milestones!$AB$122&amp;" "&amp;Milestones!$AC$122&amp;";  ","")&amp;IF(AND(EDATE($D135,Milestones!$AA$123)&lt;=AsOfDate,IF($R135=0,$X135,IF(AND($T135&lt;&gt;"",EDATE($D135,Milestones!$AA$123)&gt;=$T135),$W135,IF(AND($S135&lt;&gt;"",EDATE($D135,Milestones!$AA$123)&gt;=$S135),$V135,$U135)))=Milestones!$AB$123),UPPER(TEXT(EDATE($D135,Milestones!$AA$123),"dd mmm yy"))&amp;" "&amp;Milestones!$AB$123&amp;" "&amp;Milestones!$AC$123&amp;";  ","")&amp;IF(AND(EDATE($D135,Milestones!$AA$124)&lt;=AsOfDate,IF($R135=0,$X135,IF(AND($T135&lt;&gt;"",EDATE($D135,Milestones!$AA$124)&gt;=$T135),$W135,IF(AND($S135&lt;&gt;"",EDATE($D135,Milestones!$AA$124)&gt;=$S135),$V135,$U135)))=Milestones!$AB$124),UPPER(TEXT(EDATE($D135,Milestones!$AA$124),"dd mmm yy"))&amp;" "&amp;Milestones!$AB$124&amp;" "&amp;Milestones!$AC$124&amp;";  ","")&amp;IF(AND(EDATE($D135,Milestones!$AA$125)&lt;=AsOfDate,IF($R135=0,$X135,IF(AND($T135&lt;&gt;"",EDATE($D135,Milestones!$AA$125)&gt;=$T135),$W135,IF(AND($S135&lt;&gt;"",EDATE($D135,Milestones!$AA$125)&gt;=$S135),$V135,$U135)))=Milestones!$AB$125),UPPER(TEXT(EDATE($D135,Milestones!$AA$125),"dd mmm yy"))&amp;" "&amp;Milestones!$AB$125&amp;" "&amp;Milestones!$AC$125&amp;";  ","")&amp;IF(AND(EDATE($D135,Milestones!$AA$126)&lt;=AsOfDate,IF($R135=0,$X135,IF(AND($T135&lt;&gt;"",EDATE($D135,Milestones!$AA$126)&gt;=$T135),$W135,IF(AND($S135&lt;&gt;"",EDATE($D135,Milestones!$AA$126)&gt;=$S135),$V135,$U135)))=Milestones!$AB$126),UPPER(TEXT(EDATE($D135,Milestones!$AA$126),"dd mmm yy"))&amp;" "&amp;Milestones!$AB$126&amp;" "&amp;Milestones!$AC$126&amp;";  ","")&amp;IF(AND(EDATE($D135,Milestones!$AA$127)&lt;=AsOfDate,IF($R135=0,$X135,IF(AND($T135&lt;&gt;"",EDATE($D135,Milestones!$AA$127)&gt;=$T135),$W135,IF(AND($S135&lt;&gt;"",EDATE($D135,Milestones!$AA$127)&gt;=$S135),$V135,$U135)))=Milestones!$AB$127),UPPER(TEXT(EDATE($D135,Milestones!$AA$127),"dd mmm yy"))&amp;" "&amp;Milestones!$AB$127&amp;" "&amp;Milestones!$AC$127&amp;";  ","")&amp;IF(AND(EDATE($D135,Milestones!$AA$128)&lt;=AsOfDate,IF($R135=0,$X135,IF(AND($T135&lt;&gt;"",EDATE($D135,Milestones!$AA$128)&gt;=$T135),$W135,IF(AND($S135&lt;&gt;"",EDATE($D135,Milestones!$AA$128)&gt;=$S135),$V135,$U135)))=Milestones!$AB$128),UPPER(TEXT(EDATE($D135,Milestones!$AA$128),"dd mmm yy"))&amp;" "&amp;Milestones!$AB$128&amp;" "&amp;Milestones!$AC$128&amp;";  ","")&amp;IF(AND(EDATE($D135,Milestones!$AA$129)&lt;=AsOfDate,IF($R135=0,$X135,IF(AND($T135&lt;&gt;"",EDATE($D135,Milestones!$AA$129)&gt;=$T135),$W135,IF(AND($S135&lt;&gt;"",EDATE($D135,Milestones!$AA$129)&gt;=$S135),$V135,$U135)))=Milestones!$AB$129),UPPER(TEXT(EDATE($D135,Milestones!$AA$129),"dd mmm yy"))&amp;" "&amp;Milestones!$AB$129&amp;" "&amp;Milestones!$AC$129&amp;";  ","")&amp;IF(AND(EDATE($D135,Milestones!$AA$130)&lt;=AsOfDate,IF($R135=0,$X135,IF(AND($T135&lt;&gt;"",EDATE($D135,Milestones!$AA$130)&gt;=$T135),$W135,IF(AND($S135&lt;&gt;"",EDATE($D135,Milestones!$AA$130)&gt;=$S135),$V135,$U135)))=Milestones!$AB$130),UPPER(TEXT(EDATE($D135,Milestones!$AA$130),"dd mmm yy"))&amp;" "&amp;Milestones!$AB$130&amp;" "&amp;Milestones!$AC$130&amp;";  ","")&amp;IF(AND(EDATE($D135,Milestones!$AA$131)&lt;=AsOfDate,IF($R135=0,$X135,IF(AND($T135&lt;&gt;"",EDATE($D135,Milestones!$AA$131)&gt;=$T135),$W135,IF(AND($S135&lt;&gt;"",EDATE($D135,Milestones!$AA$131)&gt;=$S135),$V135,$U135)))=Milestones!$AB$131),UPPER(TEXT(EDATE($D135,Milestones!$AA$131),"dd mmm yy"))&amp;" "&amp;Milestones!$AB$131&amp;" "&amp;Milestones!$AC$131&amp;";  ","")&amp;IF(AND(EDATE($D135,Milestones!$AA$132)&lt;=AsOfDate,IF($R135=0,$X135,IF(AND($T135&lt;&gt;"",EDATE($D135,Milestones!$AA$132)&gt;=$T135),$W135,IF(AND($S135&lt;&gt;"",EDATE($D135,Milestones!$AA$132)&gt;=$S135),$V135,$U135)))=Milestones!$AB$132),UPPER(TEXT(EDATE($D135,Milestones!$AA$132),"dd mmm yy"))&amp;" "&amp;Milestones!$AB$132&amp;" "&amp;Milestones!$AC$132&amp;";  ","")&amp;IF(AND(EDATE($D135,Milestones!$AA$133)&lt;=AsOfDate,IF($R135=0,$X135,IF(AND($T135&lt;&gt;"",EDATE($D135,Milestones!$AA$133)&gt;=$T135),$W135,IF(AND($S135&lt;&gt;"",EDATE($D135,Milestones!$AA$133)&gt;=$S135),$V135,$U135)))=Milestones!$AB$133),UPPER(TEXT(EDATE($D135,Milestones!$AA$133),"dd mmm yy"))&amp;" "&amp;Milestones!$AB$133&amp;" "&amp;Milestones!$AC$133&amp;";  ","")&amp;IF(AND(EDATE($D135,Milestones!$AA$134)&lt;=AsOfDate,IF($R135=0,$X135,IF(AND($T135&lt;&gt;"",EDATE($D135,Milestones!$AA$134)&gt;=$T135),$W135,IF(AND($S135&lt;&gt;"",EDATE($D135,Milestones!$AA$134)&gt;=$S135),$V135,$U135)))=Milestones!$AB$134),UPPER(TEXT(EDATE($D135,Milestones!$AA$134),"dd mmm yy"))&amp;" "&amp;Milestones!$AB$134&amp;" "&amp;Milestones!$AC$134&amp;";  ","")&amp;IF(AND(EDATE($D135,Milestones!$AA$135)&lt;=AsOfDate,IF($R135=0,$X135,IF(AND($T135&lt;&gt;"",EDATE($D135,Milestones!$AA$135)&gt;=$T135),$W135,IF(AND($S135&lt;&gt;"",EDATE($D135,Milestones!$AA$135)&gt;=$S135),$V135,$U135)))=Milestones!$AB$135),UPPER(TEXT(EDATE($D135,Milestones!$AA$135),"dd mmm yy"))&amp;" "&amp;Milestones!$AB$135&amp;" "&amp;Milestones!$AC$135&amp;";  ","")&amp;IF(AND(EDATE($D135,Milestones!$AA$136)&lt;=AsOfDate,IF($R135=0,$X135,IF(AND($T135&lt;&gt;"",EDATE($D135,Milestones!$AA$136)&gt;=$T135),$W135,IF(AND($S135&lt;&gt;"",EDATE($D135,Milestones!$AA$136)&gt;=$S135),$V135,$U135)))=Milestones!$AB$136),UPPER(TEXT(EDATE($D135,Milestones!$AA$136),"dd mmm yy"))&amp;" "&amp;Milestones!$AB$136&amp;" "&amp;Milestones!$AC$136&amp;";  ","")&amp;IF(AND(EDATE($D135,Milestones!$AA$137)&lt;=AsOfDate,IF($R135=0,$X135,IF(AND($T135&lt;&gt;"",EDATE($D135,Milestones!$AA$137)&gt;=$T135),$W135,IF(AND($S135&lt;&gt;"",EDATE($D135,Milestones!$AA$137)&gt;=$S135),$V135,$U135)))=Milestones!$AB$137),UPPER(TEXT(EDATE($D135,Milestones!$AA$137),"dd mmm yy"))&amp;" "&amp;Milestones!$AB$137&amp;" "&amp;Milestones!$AC$137&amp;";  ","")&amp;IF(AND(EDATE($D135,Milestones!$AA$138)&lt;=AsOfDate,IF($R135=0,$X135,IF(AND($T135&lt;&gt;"",EDATE($D135,Milestones!$AA$138)&gt;=$T135),$W135,IF(AND($S135&lt;&gt;"",EDATE($D135,Milestones!$AA$138)&gt;=$S135),$V135,$U135)))=Milestones!$AB$138),UPPER(TEXT(EDATE($D135,Milestones!$AA$138),"dd mmm yy"))&amp;" "&amp;Milestones!$AB$138&amp;" "&amp;Milestones!$AC$138&amp;";  ","")&amp;IF(AND(EDATE($D135,Milestones!$AA$139)&lt;=AsOfDate,IF($R135=0,$X135,IF(AND($T135&lt;&gt;"",EDATE($D135,Milestones!$AA$139)&gt;=$T135),$W135,IF(AND($S135&lt;&gt;"",EDATE($D135,Milestones!$AA$139)&gt;=$S135),$V135,$U135)))=Milestones!$AB$139),UPPER(TEXT(EDATE($D135,Milestones!$AA$139),"dd mmm yy"))&amp;" "&amp;Milestones!$AB$139&amp;" "&amp;Milestones!$AC$139&amp;";  ",""))</f>
        <v/>
      </c>
      <c r="O135" s="0" t="str">
        <f aca="false">IF(OR($A135="",$D135=""),"",IF(AND(EDATE($D135,Milestones!$AA$140)&lt;=AsOfDate,IF($R135=0,$X135,IF(AND($T135&lt;&gt;"",EDATE($D135,Milestones!$AA$140)&gt;=$T135),$W135,IF(AND($S135&lt;&gt;"",EDATE($D135,Milestones!$AA$140)&gt;=$S135),$V135,$U135)))=Milestones!$AB$140),UPPER(TEXT(EDATE($D135,Milestones!$AA$140),"dd mmm yy"))&amp;" "&amp;Milestones!$AB$140&amp;" "&amp;Milestones!$AC$140&amp;";  ","")&amp;IF(AND(EDATE($D135,Milestones!$AA$141)&lt;=AsOfDate,IF($R135=0,$X135,IF(AND($T135&lt;&gt;"",EDATE($D135,Milestones!$AA$141)&gt;=$T135),$W135,IF(AND($S135&lt;&gt;"",EDATE($D135,Milestones!$AA$141)&gt;=$S135),$V135,$U135)))=Milestones!$AB$141),UPPER(TEXT(EDATE($D135,Milestones!$AA$141),"dd mmm yy"))&amp;" "&amp;Milestones!$AB$141&amp;" "&amp;Milestones!$AC$141&amp;";  ","")&amp;IF(AND(EDATE($D135,Milestones!$AA$142)&lt;=AsOfDate,IF($R135=0,$X135,IF(AND($T135&lt;&gt;"",EDATE($D135,Milestones!$AA$142)&gt;=$T135),$W135,IF(AND($S135&lt;&gt;"",EDATE($D135,Milestones!$AA$142)&gt;=$S135),$V135,$U135)))=Milestones!$AB$142),UPPER(TEXT(EDATE($D135,Milestones!$AA$142),"dd mmm yy"))&amp;" "&amp;Milestones!$AB$142&amp;" "&amp;Milestones!$AC$142&amp;";  ","")&amp;IF(AND(EDATE($D135,Milestones!$AA$143)&lt;=AsOfDate,IF($R135=0,$X135,IF(AND($T135&lt;&gt;"",EDATE($D135,Milestones!$AA$143)&gt;=$T135),$W135,IF(AND($S135&lt;&gt;"",EDATE($D135,Milestones!$AA$143)&gt;=$S135),$V135,$U135)))=Milestones!$AB$143),UPPER(TEXT(EDATE($D135,Milestones!$AA$143),"dd mmm yy"))&amp;" "&amp;Milestones!$AB$143&amp;" "&amp;Milestones!$AC$143&amp;";  ","")&amp;IF(AND(EDATE($D135,Milestones!$AA$144)&lt;=AsOfDate,IF($R135=0,$X135,IF(AND($T135&lt;&gt;"",EDATE($D135,Milestones!$AA$144)&gt;=$T135),$W135,IF(AND($S135&lt;&gt;"",EDATE($D135,Milestones!$AA$144)&gt;=$S135),$V135,$U135)))=Milestones!$AB$144),UPPER(TEXT(EDATE($D135,Milestones!$AA$144),"dd mmm yy"))&amp;" "&amp;Milestones!$AB$144&amp;" "&amp;Milestones!$AC$144&amp;";  ","")&amp;IF(AND(EDATE($D135,Milestones!$AA$145)&lt;=AsOfDate,IF($R135=0,$X135,IF(AND($T135&lt;&gt;"",EDATE($D135,Milestones!$AA$145)&gt;=$T135),$W135,IF(AND($S135&lt;&gt;"",EDATE($D135,Milestones!$AA$145)&gt;=$S135),$V135,$U135)))=Milestones!$AB$145),UPPER(TEXT(EDATE($D135,Milestones!$AA$145),"dd mmm yy"))&amp;" "&amp;Milestones!$AB$145&amp;" "&amp;Milestones!$AC$145&amp;";  ","")&amp;IF(AND(EDATE($D135,Milestones!$AA$146)&lt;=AsOfDate,IF($R135=0,$X135,IF(AND($T135&lt;&gt;"",EDATE($D135,Milestones!$AA$146)&gt;=$T135),$W135,IF(AND($S135&lt;&gt;"",EDATE($D135,Milestones!$AA$146)&gt;=$S135),$V135,$U135)))=Milestones!$AB$146),UPPER(TEXT(EDATE($D135,Milestones!$AA$146),"dd mmm yy"))&amp;" "&amp;Milestones!$AB$146&amp;" "&amp;Milestones!$AC$146&amp;";  ","")&amp;IF(AND(EDATE($D135,Milestones!$AA$147)&lt;=AsOfDate,IF($R135=0,$X135,IF(AND($T135&lt;&gt;"",EDATE($D135,Milestones!$AA$147)&gt;=$T135),$W135,IF(AND($S135&lt;&gt;"",EDATE($D135,Milestones!$AA$147)&gt;=$S135),$V135,$U135)))=Milestones!$AB$147),UPPER(TEXT(EDATE($D135,Milestones!$AA$147),"dd mmm yy"))&amp;" "&amp;Milestones!$AB$147&amp;" "&amp;Milestones!$AC$147&amp;";  ","")&amp;IF(AND(EDATE($D135,Milestones!$AA$148)&lt;=AsOfDate,IF($R135=0,$X135,IF(AND($T135&lt;&gt;"",EDATE($D135,Milestones!$AA$148)&gt;=$T135),$W135,IF(AND($S135&lt;&gt;"",EDATE($D135,Milestones!$AA$148)&gt;=$S135),$V135,$U135)))=Milestones!$AB$148),UPPER(TEXT(EDATE($D135,Milestones!$AA$148),"dd mmm yy"))&amp;" "&amp;Milestones!$AB$148&amp;" "&amp;Milestones!$AC$148&amp;";  ","")&amp;IF(AND(EDATE($D135,Milestones!$AA$149)&lt;=AsOfDate,IF($R135=0,$X135,IF(AND($T135&lt;&gt;"",EDATE($D135,Milestones!$AA$149)&gt;=$T135),$W135,IF(AND($S135&lt;&gt;"",EDATE($D135,Milestones!$AA$149)&gt;=$S135),$V135,$U135)))=Milestones!$AB$149),UPPER(TEXT(EDATE($D135,Milestones!$AA$149),"dd mmm yy"))&amp;" "&amp;Milestones!$AB$149&amp;" "&amp;Milestones!$AC$149&amp;";  ","")&amp;IF(AND(EDATE($D135,Milestones!$AA$150)&lt;=AsOfDate,IF($R135=0,$X135,IF(AND($T135&lt;&gt;"",EDATE($D135,Milestones!$AA$150)&gt;=$T135),$W135,IF(AND($S135&lt;&gt;"",EDATE($D135,Milestones!$AA$150)&gt;=$S135),$V135,$U135)))=Milestones!$AB$150),UPPER(TEXT(EDATE($D135,Milestones!$AA$150),"dd mmm yy"))&amp;" "&amp;Milestones!$AB$150&amp;" "&amp;Milestones!$AC$150&amp;";  ","")&amp;IF(AND(EDATE($D135,Milestones!$AA$151)&lt;=AsOfDate,IF($R135=0,$X135,IF(AND($T135&lt;&gt;"",EDATE($D135,Milestones!$AA$151)&gt;=$T135),$W135,IF(AND($S135&lt;&gt;"",EDATE($D135,Milestones!$AA$151)&gt;=$S135),$V135,$U135)))=Milestones!$AB$151),UPPER(TEXT(EDATE($D135,Milestones!$AA$151),"dd mmm yy"))&amp;" "&amp;Milestones!$AB$151&amp;" "&amp;Milestones!$AC$151&amp;";  ","")&amp;IF(AND(EDATE($D135,Milestones!$AA$152)&lt;=AsOfDate,IF($R135=0,$X135,IF(AND($T135&lt;&gt;"",EDATE($D135,Milestones!$AA$152)&gt;=$T135),$W135,IF(AND($S135&lt;&gt;"",EDATE($D135,Milestones!$AA$152)&gt;=$S135),$V135,$U135)))=Milestones!$AB$152),UPPER(TEXT(EDATE($D135,Milestones!$AA$152),"dd mmm yy"))&amp;" "&amp;Milestones!$AB$152&amp;" "&amp;Milestones!$AC$152&amp;";  ","")&amp;IF(AND(EDATE($D135,Milestones!$AA$153)&lt;=AsOfDate,IF($R135=0,$X135,IF(AND($T135&lt;&gt;"",EDATE($D135,Milestones!$AA$153)&gt;=$T135),$W135,IF(AND($S135&lt;&gt;"",EDATE($D135,Milestones!$AA$153)&gt;=$S135),$V135,$U135)))=Milestones!$AB$153),UPPER(TEXT(EDATE($D135,Milestones!$AA$153),"dd mmm yy"))&amp;" "&amp;Milestones!$AB$153&amp;" "&amp;Milestones!$AC$153&amp;";  ","")&amp;IF(AND(EDATE($D135,Milestones!$AA$154)&lt;=AsOfDate,IF($R135=0,$X135,IF(AND($T135&lt;&gt;"",EDATE($D135,Milestones!$AA$154)&gt;=$T135),$W135,IF(AND($S135&lt;&gt;"",EDATE($D135,Milestones!$AA$154)&gt;=$S135),$V135,$U135)))=Milestones!$AB$154),UPPER(TEXT(EDATE($D135,Milestones!$AA$154),"dd mmm yy"))&amp;" "&amp;Milestones!$AB$154&amp;" "&amp;Milestones!$AC$154&amp;";  ","")&amp;IF(AND(EDATE($D135,Milestones!$AA$155)&lt;=AsOfDate,IF($R135=0,$X135,IF(AND($T135&lt;&gt;"",EDATE($D135,Milestones!$AA$155)&gt;=$T135),$W135,IF(AND($S135&lt;&gt;"",EDATE($D135,Milestones!$AA$155)&gt;=$S135),$V135,$U135)))=Milestones!$AB$155),UPPER(TEXT(EDATE($D135,Milestones!$AA$155),"dd mmm yy"))&amp;" "&amp;Milestones!$AB$155&amp;" "&amp;Milestones!$AC$155&amp;";  ","")&amp;IF(AND(EDATE($D135,Milestones!$AA$156)&lt;=AsOfDate,IF($R135=0,$X135,IF(AND($T135&lt;&gt;"",EDATE($D135,Milestones!$AA$156)&gt;=$T135),$W135,IF(AND($S135&lt;&gt;"",EDATE($D135,Milestones!$AA$156)&gt;=$S135),$V135,$U135)))=Milestones!$AB$156),UPPER(TEXT(EDATE($D135,Milestones!$AA$156),"dd mmm yy"))&amp;" "&amp;Milestones!$AB$156&amp;" "&amp;Milestones!$AC$156&amp;";  ","")&amp;IF(AND(EDATE($D135,Milestones!$AA$157)&lt;=AsOfDate,IF($R135=0,$X135,IF(AND($T135&lt;&gt;"",EDATE($D135,Milestones!$AA$157)&gt;=$T135),$W135,IF(AND($S135&lt;&gt;"",EDATE($D135,Milestones!$AA$157)&gt;=$S135),$V135,$U135)))=Milestones!$AB$157),UPPER(TEXT(EDATE($D135,Milestones!$AA$157),"dd mmm yy"))&amp;" "&amp;Milestones!$AB$157&amp;" "&amp;Milestones!$AC$157&amp;";  ","")&amp;IF(AND(EDATE($D135,Milestones!$AA$158)&lt;=AsOfDate,IF($R135=0,$X135,IF(AND($T135&lt;&gt;"",EDATE($D135,Milestones!$AA$158)&gt;=$T135),$W135,IF(AND($S135&lt;&gt;"",EDATE($D135,Milestones!$AA$158)&gt;=$S135),$V135,$U135)))=Milestones!$AB$158),UPPER(TEXT(EDATE($D135,Milestones!$AA$158),"dd mmm yy"))&amp;" "&amp;Milestones!$AB$158&amp;" "&amp;Milestones!$AC$158&amp;";  ","")&amp;IF(AND(EDATE($D135,Milestones!$AA$159)&lt;=AsOfDate,IF($R135=0,$X135,IF(AND($T135&lt;&gt;"",EDATE($D135,Milestones!$AA$159)&gt;=$T135),$W135,IF(AND($S135&lt;&gt;"",EDATE($D135,Milestones!$AA$159)&gt;=$S135),$V135,$U135)))=Milestones!$AB$159),UPPER(TEXT(EDATE($D135,Milestones!$AA$159),"dd mmm yy"))&amp;" "&amp;Milestones!$AB$159&amp;" "&amp;Milestones!$AC$159&amp;";  ",""))</f>
        <v/>
      </c>
      <c r="P135" s="0" t="str">
        <f aca="false">IF(OR($A135="",$D135=""),"",IF(AND(EDATE($D135,Milestones!$AA$160)&lt;=AsOfDate,IF($R135=0,$X135,IF(AND($T135&lt;&gt;"",EDATE($D135,Milestones!$AA$160)&gt;=$T135),$W135,IF(AND($S135&lt;&gt;"",EDATE($D135,Milestones!$AA$160)&gt;=$S135),$V135,$U135)))=Milestones!$AB$160),UPPER(TEXT(EDATE($D135,Milestones!$AA$160),"dd mmm yy"))&amp;" "&amp;Milestones!$AB$160&amp;" "&amp;Milestones!$AC$160&amp;";  ","")&amp;IF(AND(EDATE($D135,Milestones!$AA$161)&lt;=AsOfDate,IF($R135=0,$X135,IF(AND($T135&lt;&gt;"",EDATE($D135,Milestones!$AA$161)&gt;=$T135),$W135,IF(AND($S135&lt;&gt;"",EDATE($D135,Milestones!$AA$161)&gt;=$S135),$V135,$U135)))=Milestones!$AB$161),UPPER(TEXT(EDATE($D135,Milestones!$AA$161),"dd mmm yy"))&amp;" "&amp;Milestones!$AB$161&amp;" "&amp;Milestones!$AC$161&amp;";  ","")&amp;IF(AND(EDATE($D135,Milestones!$AA$162)&lt;=AsOfDate,IF($R135=0,$X135,IF(AND($T135&lt;&gt;"",EDATE($D135,Milestones!$AA$162)&gt;=$T135),$W135,IF(AND($S135&lt;&gt;"",EDATE($D135,Milestones!$AA$162)&gt;=$S135),$V135,$U135)))=Milestones!$AB$162),UPPER(TEXT(EDATE($D135,Milestones!$AA$162),"dd mmm yy"))&amp;" "&amp;Milestones!$AB$162&amp;" "&amp;Milestones!$AC$162&amp;";  ","")&amp;IF(AND(EDATE($D135,Milestones!$AA$163)&lt;=AsOfDate,IF($R135=0,$X135,IF(AND($T135&lt;&gt;"",EDATE($D135,Milestones!$AA$163)&gt;=$T135),$W135,IF(AND($S135&lt;&gt;"",EDATE($D135,Milestones!$AA$163)&gt;=$S135),$V135,$U135)))=Milestones!$AB$163),UPPER(TEXT(EDATE($D135,Milestones!$AA$163),"dd mmm yy"))&amp;" "&amp;Milestones!$AB$163&amp;" "&amp;Milestones!$AC$163&amp;";  ","")&amp;IF(AND(EDATE($D135,Milestones!$AA$164)&lt;=AsOfDate,IF($R135=0,$X135,IF(AND($T135&lt;&gt;"",EDATE($D135,Milestones!$AA$164)&gt;=$T135),$W135,IF(AND($S135&lt;&gt;"",EDATE($D135,Milestones!$AA$164)&gt;=$S135),$V135,$U135)))=Milestones!$AB$164),UPPER(TEXT(EDATE($D135,Milestones!$AA$164),"dd mmm yy"))&amp;" "&amp;Milestones!$AB$164&amp;" "&amp;Milestones!$AC$164&amp;";  ","")&amp;IF(AND(EDATE($D135,Milestones!$AA$165)&lt;=AsOfDate,IF($R135=0,$X135,IF(AND($T135&lt;&gt;"",EDATE($D135,Milestones!$AA$165)&gt;=$T135),$W135,IF(AND($S135&lt;&gt;"",EDATE($D135,Milestones!$AA$165)&gt;=$S135),$V135,$U135)))=Milestones!$AB$165),UPPER(TEXT(EDATE($D135,Milestones!$AA$165),"dd mmm yy"))&amp;" "&amp;Milestones!$AB$165&amp;" "&amp;Milestones!$AC$165&amp;";  ","")&amp;IF(AND(EDATE($D135,Milestones!$AA$166)&lt;=AsOfDate,IF($R135=0,$X135,IF(AND($T135&lt;&gt;"",EDATE($D135,Milestones!$AA$166)&gt;=$T135),$W135,IF(AND($S135&lt;&gt;"",EDATE($D135,Milestones!$AA$166)&gt;=$S135),$V135,$U135)))=Milestones!$AB$166),UPPER(TEXT(EDATE($D135,Milestones!$AA$166),"dd mmm yy"))&amp;" "&amp;Milestones!$AB$166&amp;" "&amp;Milestones!$AC$166&amp;";  ","")&amp;IF(AND(EDATE($D135,Milestones!$AA$167)&lt;=AsOfDate,IF($R135=0,$X135,IF(AND($T135&lt;&gt;"",EDATE($D135,Milestones!$AA$167)&gt;=$T135),$W135,IF(AND($S135&lt;&gt;"",EDATE($D135,Milestones!$AA$167)&gt;=$S135),$V135,$U135)))=Milestones!$AB$167),UPPER(TEXT(EDATE($D135,Milestones!$AA$167),"dd mmm yy"))&amp;" "&amp;Milestones!$AB$167&amp;" "&amp;Milestones!$AC$167&amp;";  ","")&amp;IF(AND(EDATE($D135,Milestones!$AA$168)&lt;=AsOfDate,IF($R135=0,$X135,IF(AND($T135&lt;&gt;"",EDATE($D135,Milestones!$AA$168)&gt;=$T135),$W135,IF(AND($S135&lt;&gt;"",EDATE($D135,Milestones!$AA$168)&gt;=$S135),$V135,$U135)))=Milestones!$AB$168),UPPER(TEXT(EDATE($D135,Milestones!$AA$168),"dd mmm yy"))&amp;" "&amp;Milestones!$AB$168&amp;" "&amp;Milestones!$AC$168&amp;";  ","")&amp;IF(AND(EDATE($D135,Milestones!$AA$169)&lt;=AsOfDate,IF($R135=0,$X135,IF(AND($T135&lt;&gt;"",EDATE($D135,Milestones!$AA$169)&gt;=$T135),$W135,IF(AND($S135&lt;&gt;"",EDATE($D135,Milestones!$AA$169)&gt;=$S135),$V135,$U135)))=Milestones!$AB$169),UPPER(TEXT(EDATE($D135,Milestones!$AA$169),"dd mmm yy"))&amp;" "&amp;Milestones!$AB$169&amp;" "&amp;Milestones!$AC$169&amp;";  ","")&amp;IF(AND(EDATE($D135,Milestones!$AA$170)&lt;=AsOfDate,IF($R135=0,$X135,IF(AND($T135&lt;&gt;"",EDATE($D135,Milestones!$AA$170)&gt;=$T135),$W135,IF(AND($S135&lt;&gt;"",EDATE($D135,Milestones!$AA$170)&gt;=$S135),$V135,$U135)))=Milestones!$AB$170),UPPER(TEXT(EDATE($D135,Milestones!$AA$170),"dd mmm yy"))&amp;" "&amp;Milestones!$AB$170&amp;" "&amp;Milestones!$AC$170&amp;";  ","")&amp;IF(AND(EDATE($D135,Milestones!$AA$171)&lt;=AsOfDate,IF($R135=0,$X135,IF(AND($T135&lt;&gt;"",EDATE($D135,Milestones!$AA$171)&gt;=$T135),$W135,IF(AND($S135&lt;&gt;"",EDATE($D135,Milestones!$AA$171)&gt;=$S135),$V135,$U135)))=Milestones!$AB$171),UPPER(TEXT(EDATE($D135,Milestones!$AA$171),"dd mmm yy"))&amp;" "&amp;Milestones!$AB$171&amp;" "&amp;Milestones!$AC$171&amp;";  ","")&amp;IF(AND(EDATE($D135,Milestones!$AA$172)&lt;=AsOfDate,IF($R135=0,$X135,IF(AND($T135&lt;&gt;"",EDATE($D135,Milestones!$AA$172)&gt;=$T135),$W135,IF(AND($S135&lt;&gt;"",EDATE($D135,Milestones!$AA$172)&gt;=$S135),$V135,$U135)))=Milestones!$AB$172),UPPER(TEXT(EDATE($D135,Milestones!$AA$172),"dd mmm yy"))&amp;" "&amp;Milestones!$AB$172&amp;" "&amp;Milestones!$AC$172&amp;";  ","")&amp;IF(AND(EDATE($D135,Milestones!$AA$173)&lt;=AsOfDate,IF($R135=0,$X135,IF(AND($T135&lt;&gt;"",EDATE($D135,Milestones!$AA$173)&gt;=$T135),$W135,IF(AND($S135&lt;&gt;"",EDATE($D135,Milestones!$AA$173)&gt;=$S135),$V135,$U135)))=Milestones!$AB$173),UPPER(TEXT(EDATE($D135,Milestones!$AA$173),"dd mmm yy"))&amp;" "&amp;Milestones!$AB$173&amp;" "&amp;Milestones!$AC$173&amp;";  ","")&amp;IF(AND(EDATE($D135,Milestones!$AA$174)&lt;=AsOfDate,IF($R135=0,$X135,IF(AND($T135&lt;&gt;"",EDATE($D135,Milestones!$AA$174)&gt;=$T135),$W135,IF(AND($S135&lt;&gt;"",EDATE($D135,Milestones!$AA$174)&gt;=$S135),$V135,$U135)))=Milestones!$AB$174),UPPER(TEXT(EDATE($D135,Milestones!$AA$174),"dd mmm yy"))&amp;" "&amp;Milestones!$AB$174&amp;" "&amp;Milestones!$AC$174&amp;";  ","")&amp;IF(AND(EDATE($D135,Milestones!$AA$175)&lt;=AsOfDate,IF($R135=0,$X135,IF(AND($T135&lt;&gt;"",EDATE($D135,Milestones!$AA$175)&gt;=$T135),$W135,IF(AND($S135&lt;&gt;"",EDATE($D135,Milestones!$AA$175)&gt;=$S135),$V135,$U135)))=Milestones!$AB$175),UPPER(TEXT(EDATE($D135,Milestones!$AA$175),"dd mmm yy"))&amp;" "&amp;Milestones!$AB$175&amp;" "&amp;Milestones!$AC$175&amp;";  ","")&amp;IF(AND(EDATE($D135,Milestones!$AA$176)&lt;=AsOfDate,IF($R135=0,$X135,IF(AND($T135&lt;&gt;"",EDATE($D135,Milestones!$AA$176)&gt;=$T135),$W135,IF(AND($S135&lt;&gt;"",EDATE($D135,Milestones!$AA$176)&gt;=$S135),$V135,$U135)))=Milestones!$AB$176),UPPER(TEXT(EDATE($D135,Milestones!$AA$176),"dd mmm yy"))&amp;" "&amp;Milestones!$AB$176&amp;" "&amp;Milestones!$AC$176&amp;";  ","")&amp;IF(AND(EDATE($D135,Milestones!$AA$177)&lt;=AsOfDate,IF($R135=0,$X135,IF(AND($T135&lt;&gt;"",EDATE($D135,Milestones!$AA$177)&gt;=$T135),$W135,IF(AND($S135&lt;&gt;"",EDATE($D135,Milestones!$AA$177)&gt;=$S135),$V135,$U135)))=Milestones!$AB$177),UPPER(TEXT(EDATE($D135,Milestones!$AA$177),"dd mmm yy"))&amp;" "&amp;Milestones!$AB$177&amp;" "&amp;Milestones!$AC$177&amp;";  ","")&amp;IF(AND(EDATE($D135,Milestones!$AA$178)&lt;=AsOfDate,IF($R135=0,$X135,IF(AND($T135&lt;&gt;"",EDATE($D135,Milestones!$AA$178)&gt;=$T135),$W135,IF(AND($S135&lt;&gt;"",EDATE($D135,Milestones!$AA$178)&gt;=$S135),$V135,$U135)))=Milestones!$AB$178),UPPER(TEXT(EDATE($D135,Milestones!$AA$178),"dd mmm yy"))&amp;" "&amp;Milestones!$AB$178&amp;" "&amp;Milestones!$AC$178&amp;";  ","")&amp;IF(AND(EDATE($D135,Milestones!$AA$179)&lt;=AsOfDate,IF($R135=0,$X135,IF(AND($T135&lt;&gt;"",EDATE($D135,Milestones!$AA$179)&gt;=$T135),$W135,IF(AND($S135&lt;&gt;"",EDATE($D135,Milestones!$AA$179)&gt;=$S135),$V135,$U135)))=Milestones!$AB$179),UPPER(TEXT(EDATE($D135,Milestones!$AA$179),"dd mmm yy"))&amp;" "&amp;Milestones!$AB$179&amp;" "&amp;Milestones!$AC$179&amp;";  ",""))</f>
        <v/>
      </c>
      <c r="Q135" s="0" t="str">
        <f aca="false">IF(OR($A135="",$D135=""),"",IF(AND(EDATE($D135,Milestones!$AA$180)&lt;=AsOfDate,IF($R135=0,$X135,IF(AND($T135&lt;&gt;"",EDATE($D135,Milestones!$AA$180)&gt;=$T135),$W135,IF(AND($S135&lt;&gt;"",EDATE($D135,Milestones!$AA$180)&gt;=$S135),$V135,$U135)))=Milestones!$AB$180),UPPER(TEXT(EDATE($D135,Milestones!$AA$180),"dd mmm yy"))&amp;" "&amp;Milestones!$AB$180&amp;" "&amp;Milestones!$AC$180&amp;";  ","")&amp;IF(AND(EDATE($D135,Milestones!$AA$181)&lt;=AsOfDate,IF($R135=0,$X135,IF(AND($T135&lt;&gt;"",EDATE($D135,Milestones!$AA$181)&gt;=$T135),$W135,IF(AND($S135&lt;&gt;"",EDATE($D135,Milestones!$AA$181)&gt;=$S135),$V135,$U135)))=Milestones!$AB$181),UPPER(TEXT(EDATE($D135,Milestones!$AA$181),"dd mmm yy"))&amp;" "&amp;Milestones!$AB$181&amp;" "&amp;Milestones!$AC$181&amp;";  ","")&amp;IF(AND(EDATE($D135,Milestones!$AA$182)&lt;=AsOfDate,IF($R135=0,$X135,IF(AND($T135&lt;&gt;"",EDATE($D135,Milestones!$AA$182)&gt;=$T135),$W135,IF(AND($S135&lt;&gt;"",EDATE($D135,Milestones!$AA$182)&gt;=$S135),$V135,$U135)))=Milestones!$AB$182),UPPER(TEXT(EDATE($D135,Milestones!$AA$182),"dd mmm yy"))&amp;" "&amp;Milestones!$AB$182&amp;" "&amp;Milestones!$AC$182&amp;";  ","")&amp;IF(AND(EDATE($D135,Milestones!$AA$183)&lt;=AsOfDate,IF($R135=0,$X135,IF(AND($T135&lt;&gt;"",EDATE($D135,Milestones!$AA$183)&gt;=$T135),$W135,IF(AND($S135&lt;&gt;"",EDATE($D135,Milestones!$AA$183)&gt;=$S135),$V135,$U135)))=Milestones!$AB$183),UPPER(TEXT(EDATE($D135,Milestones!$AA$183),"dd mmm yy"))&amp;" "&amp;Milestones!$AB$183&amp;" "&amp;Milestones!$AC$183&amp;";  ","")&amp;IF(AND(EDATE($D135,Milestones!$AA$184)&lt;=AsOfDate,IF($R135=0,$X135,IF(AND($T135&lt;&gt;"",EDATE($D135,Milestones!$AA$184)&gt;=$T135),$W135,IF(AND($S135&lt;&gt;"",EDATE($D135,Milestones!$AA$184)&gt;=$S135),$V135,$U135)))=Milestones!$AB$184),UPPER(TEXT(EDATE($D135,Milestones!$AA$184),"dd mmm yy"))&amp;" "&amp;Milestones!$AB$184&amp;" "&amp;Milestones!$AC$184&amp;";  ","")&amp;IF(AND(EDATE($D135,Milestones!$AA$185)&lt;=AsOfDate,IF($R135=0,$X135,IF(AND($T135&lt;&gt;"",EDATE($D135,Milestones!$AA$185)&gt;=$T135),$W135,IF(AND($S135&lt;&gt;"",EDATE($D135,Milestones!$AA$185)&gt;=$S135),$V135,$U135)))=Milestones!$AB$185),UPPER(TEXT(EDATE($D135,Milestones!$AA$185),"dd mmm yy"))&amp;" "&amp;Milestones!$AB$185&amp;" "&amp;Milestones!$AC$185&amp;";  ","")&amp;IF(AND(EDATE($D135,Milestones!$AA$186)&lt;=AsOfDate,IF($R135=0,$X135,IF(AND($T135&lt;&gt;"",EDATE($D135,Milestones!$AA$186)&gt;=$T135),$W135,IF(AND($S135&lt;&gt;"",EDATE($D135,Milestones!$AA$186)&gt;=$S135),$V135,$U135)))=Milestones!$AB$186),UPPER(TEXT(EDATE($D135,Milestones!$AA$186),"dd mmm yy"))&amp;" "&amp;Milestones!$AB$186&amp;" "&amp;Milestones!$AC$186&amp;";  ","")&amp;IF(AND(EDATE($D135,Milestones!$AA$187)&lt;=AsOfDate,IF($R135=0,$X135,IF(AND($T135&lt;&gt;"",EDATE($D135,Milestones!$AA$187)&gt;=$T135),$W135,IF(AND($S135&lt;&gt;"",EDATE($D135,Milestones!$AA$187)&gt;=$S135),$V135,$U135)))=Milestones!$AB$187),UPPER(TEXT(EDATE($D135,Milestones!$AA$187),"dd mmm yy"))&amp;" "&amp;Milestones!$AB$187&amp;" "&amp;Milestones!$AC$187&amp;";  ","")&amp;IF(AND(EDATE($D135,Milestones!$AA$188)&lt;=AsOfDate,IF($R135=0,$X135,IF(AND($T135&lt;&gt;"",EDATE($D135,Milestones!$AA$188)&gt;=$T135),$W135,IF(AND($S135&lt;&gt;"",EDATE($D135,Milestones!$AA$188)&gt;=$S135),$V135,$U135)))=Milestones!$AB$188),UPPER(TEXT(EDATE($D135,Milestones!$AA$188),"dd mmm yy"))&amp;" "&amp;Milestones!$AB$188&amp;" "&amp;Milestones!$AC$188&amp;";  ","")&amp;IF(AND(EDATE($D135,Milestones!$AA$189)&lt;=AsOfDate,IF($R135=0,$X135,IF(AND($T135&lt;&gt;"",EDATE($D135,Milestones!$AA$189)&gt;=$T135),$W135,IF(AND($S135&lt;&gt;"",EDATE($D135,Milestones!$AA$189)&gt;=$S135),$V135,$U135)))=Milestones!$AB$189),UPPER(TEXT(EDATE($D135,Milestones!$AA$189),"dd mmm yy"))&amp;" "&amp;Milestones!$AB$189&amp;" "&amp;Milestones!$AC$189&amp;";  ","")&amp;IF(AND(EDATE($D135,Milestones!$AA$190)&lt;=AsOfDate,IF($R135=0,$X135,IF(AND($T135&lt;&gt;"",EDATE($D135,Milestones!$AA$190)&gt;=$T135),$W135,IF(AND($S135&lt;&gt;"",EDATE($D135,Milestones!$AA$190)&gt;=$S135),$V135,$U135)))=Milestones!$AB$190),UPPER(TEXT(EDATE($D135,Milestones!$AA$190),"dd mmm yy"))&amp;" "&amp;Milestones!$AB$190&amp;" "&amp;Milestones!$AC$190&amp;";  ","")&amp;IF(AND(EDATE($D135,Milestones!$AA$191)&lt;=AsOfDate,IF($R135=0,$X135,IF(AND($T135&lt;&gt;"",EDATE($D135,Milestones!$AA$191)&gt;=$T135),$W135,IF(AND($S135&lt;&gt;"",EDATE($D135,Milestones!$AA$191)&gt;=$S135),$V135,$U135)))=Milestones!$AB$191),UPPER(TEXT(EDATE($D135,Milestones!$AA$191),"dd mmm yy"))&amp;" "&amp;Milestones!$AB$191&amp;" "&amp;Milestones!$AC$191&amp;";  ","")&amp;IF(AND(EDATE($D135,Milestones!$AA$192)&lt;=AsOfDate,IF($R135=0,$X135,IF(AND($T135&lt;&gt;"",EDATE($D135,Milestones!$AA$192)&gt;=$T135),$W135,IF(AND($S135&lt;&gt;"",EDATE($D135,Milestones!$AA$192)&gt;=$S135),$V135,$U135)))=Milestones!$AB$192),UPPER(TEXT(EDATE($D135,Milestones!$AA$192),"dd mmm yy"))&amp;" "&amp;Milestones!$AB$192&amp;" "&amp;Milestones!$AC$192&amp;";  ","")&amp;IF(AND(EDATE($D135,Milestones!$AA$193)&lt;=AsOfDate,IF($R135=0,$X135,IF(AND($T135&lt;&gt;"",EDATE($D135,Milestones!$AA$193)&gt;=$T135),$W135,IF(AND($S135&lt;&gt;"",EDATE($D135,Milestones!$AA$193)&gt;=$S135),$V135,$U135)))=Milestones!$AB$193),UPPER(TEXT(EDATE($D135,Milestones!$AA$193),"dd mmm yy"))&amp;" "&amp;Milestones!$AB$193&amp;" "&amp;Milestones!$AC$193&amp;";  ","")&amp;IF(AND(EDATE($D135,Milestones!$AA$194)&lt;=AsOfDate,IF($R135=0,$X135,IF(AND($T135&lt;&gt;"",EDATE($D135,Milestones!$AA$194)&gt;=$T135),$W135,IF(AND($S135&lt;&gt;"",EDATE($D135,Milestones!$AA$194)&gt;=$S135),$V135,$U135)))=Milestones!$AB$194),UPPER(TEXT(EDATE($D135,Milestones!$AA$194),"dd mmm yy"))&amp;" "&amp;Milestones!$AB$194&amp;" "&amp;Milestones!$AC$194&amp;";  ","")&amp;IF(AND(EDATE($D135,Milestones!$AA$195)&lt;=AsOfDate,IF($R135=0,$X135,IF(AND($T135&lt;&gt;"",EDATE($D135,Milestones!$AA$195)&gt;=$T135),$W135,IF(AND($S135&lt;&gt;"",EDATE($D135,Milestones!$AA$195)&gt;=$S135),$V135,$U135)))=Milestones!$AB$195),UPPER(TEXT(EDATE($D135,Milestones!$AA$195),"dd mmm yy"))&amp;" "&amp;Milestones!$AB$195&amp;" "&amp;Milestones!$AC$195&amp;";  ","")&amp;IF(AND(EDATE($D135,Milestones!$AA$196)&lt;=AsOfDate,IF($R135=0,$X135,IF(AND($T135&lt;&gt;"",EDATE($D135,Milestones!$AA$196)&gt;=$T135),$W135,IF(AND($S135&lt;&gt;"",EDATE($D135,Milestones!$AA$196)&gt;=$S135),$V135,$U135)))=Milestones!$AB$196),UPPER(TEXT(EDATE($D135,Milestones!$AA$196),"dd mmm yy"))&amp;" "&amp;Milestones!$AB$196&amp;" "&amp;Milestones!$AC$196&amp;";  ","")&amp;IF(AND(EDATE($D135,Milestones!$AA$197)&lt;=AsOfDate,IF($R135=0,$X135,IF(AND($T135&lt;&gt;"",EDATE($D135,Milestones!$AA$197)&gt;=$T135),$W135,IF(AND($S135&lt;&gt;"",EDATE($D135,Milestones!$AA$197)&gt;=$S135),$V135,$U135)))=Milestones!$AB$197),UPPER(TEXT(EDATE($D135,Milestones!$AA$197),"dd mmm yy"))&amp;" "&amp;Milestones!$AB$197&amp;" "&amp;Milestones!$AC$197&amp;";  ","")&amp;IF(AND(EDATE($D135,Milestones!$AA$198)&lt;=AsOfDate,IF($R135=0,$X135,IF(AND($T135&lt;&gt;"",EDATE($D135,Milestones!$AA$198)&gt;=$T135),$W135,IF(AND($S135&lt;&gt;"",EDATE($D135,Milestones!$AA$198)&gt;=$S135),$V135,$U135)))=Milestones!$AB$198),UPPER(TEXT(EDATE($D135,Milestones!$AA$198),"dd mmm yy"))&amp;" "&amp;Milestones!$AB$198&amp;" "&amp;Milestones!$AC$198&amp;";  ","")&amp;IF(AND(EDATE($D135,Milestones!$AA$199)&lt;=AsOfDate,IF($R135=0,$X135,IF(AND($T135&lt;&gt;"",EDATE($D135,Milestones!$AA$199)&gt;=$T135),$W135,IF(AND($S135&lt;&gt;"",EDATE($D135,Milestones!$AA$199)&gt;=$S135),$V135,$U135)))=Milestones!$AB$199),UPPER(TEXT(EDATE($D135,Milestones!$AA$199),"dd mmm yy"))&amp;" "&amp;Milestones!$AB$199&amp;" "&amp;Milestones!$AC$199&amp;";  ",""))</f>
        <v/>
      </c>
      <c r="R135" s="0" t="str">
        <f aca="false">IF(Staff!$A135="","",Staff!$AI135)</f>
        <v/>
      </c>
      <c r="S135" s="0" t="str">
        <f aca="false">IF(Staff!$A135="","",Staff!$AK135)</f>
        <v/>
      </c>
      <c r="T135" s="0" t="str">
        <f aca="false">IF(Staff!$A135="","",Staff!$AL135)</f>
        <v/>
      </c>
      <c r="U135" s="0" t="str">
        <f aca="false">IF(Staff!$A135="","",Staff!$AP135)</f>
        <v/>
      </c>
      <c r="V135" s="0" t="str">
        <f aca="false">IF(Staff!$A135="","",Staff!$AQ135)</f>
        <v/>
      </c>
      <c r="W135" s="0" t="str">
        <f aca="false">IF(Staff!$A135="","",Staff!$AR135)</f>
        <v/>
      </c>
      <c r="X135" s="0" t="str">
        <f aca="false">IF(Staff!$A135="","",Staff!$AS135)</f>
        <v/>
      </c>
    </row>
    <row r="136" customFormat="false" ht="15" hidden="false" customHeight="false" outlineLevel="0" collapsed="false">
      <c r="A136" s="14" t="str">
        <f aca="false">IF(Staff!$A136="","",Staff!$A136)</f>
        <v/>
      </c>
      <c r="B136" s="14" t="str">
        <f aca="false">IF(Staff!$A136="","",Staff!$B136)</f>
        <v/>
      </c>
      <c r="C136" s="14" t="str">
        <f aca="false">IF(Staff!$A136="","",Staff!$C136)</f>
        <v/>
      </c>
      <c r="D136" s="12" t="str">
        <f aca="false">IF(Staff!$A136="","",Staff!$AH136)</f>
        <v/>
      </c>
      <c r="E136" s="14" t="str">
        <f aca="false">IF(Staff!$A136="","",Staff!$O136)</f>
        <v/>
      </c>
      <c r="F136" s="14" t="str">
        <f aca="false">IF(E136="","",E136*HoursPerDay)</f>
        <v/>
      </c>
      <c r="G136" s="14" t="str">
        <f aca="false">IF(Staff!$A136="","",Staff!$AE136)</f>
        <v/>
      </c>
      <c r="H136" s="26" t="str">
        <f aca="false">IF($A136="","",I136&amp;J136&amp;K136&amp;L136&amp;M136&amp;N136&amp;O136&amp;P136&amp;Q136)</f>
        <v/>
      </c>
      <c r="I136" s="0" t="str">
        <f aca="false">IF(OR($A136="",$D136=""),"",IF(AND(EDATE($D136,Milestones!$AA$20)&lt;=AsOfDate,IF($R136=0,$X136,IF(AND($T136&lt;&gt;"",EDATE($D136,Milestones!$AA$20)&gt;=$T136),$W136,IF(AND($S136&lt;&gt;"",EDATE($D136,Milestones!$AA$20)&gt;=$S136),$V136,$U136)))=Milestones!$AB$20),UPPER(TEXT(EDATE($D136,Milestones!$AA$20),"dd mmm yy"))&amp;" "&amp;Milestones!$AB$20&amp;" "&amp;Milestones!$AC$20&amp;";  ","")&amp;IF(AND(EDATE($D136,Milestones!$AA$21)&lt;=AsOfDate,IF($R136=0,$X136,IF(AND($T136&lt;&gt;"",EDATE($D136,Milestones!$AA$21)&gt;=$T136),$W136,IF(AND($S136&lt;&gt;"",EDATE($D136,Milestones!$AA$21)&gt;=$S136),$V136,$U136)))=Milestones!$AB$21),UPPER(TEXT(EDATE($D136,Milestones!$AA$21),"dd mmm yy"))&amp;" "&amp;Milestones!$AB$21&amp;" "&amp;Milestones!$AC$21&amp;";  ","")&amp;IF(AND(EDATE($D136,Milestones!$AA$22)&lt;=AsOfDate,IF($R136=0,$X136,IF(AND($T136&lt;&gt;"",EDATE($D136,Milestones!$AA$22)&gt;=$T136),$W136,IF(AND($S136&lt;&gt;"",EDATE($D136,Milestones!$AA$22)&gt;=$S136),$V136,$U136)))=Milestones!$AB$22),UPPER(TEXT(EDATE($D136,Milestones!$AA$22),"dd mmm yy"))&amp;" "&amp;Milestones!$AB$22&amp;" "&amp;Milestones!$AC$22&amp;";  ","")&amp;IF(AND(EDATE($D136,Milestones!$AA$23)&lt;=AsOfDate,IF($R136=0,$X136,IF(AND($T136&lt;&gt;"",EDATE($D136,Milestones!$AA$23)&gt;=$T136),$W136,IF(AND($S136&lt;&gt;"",EDATE($D136,Milestones!$AA$23)&gt;=$S136),$V136,$U136)))=Milestones!$AB$23),UPPER(TEXT(EDATE($D136,Milestones!$AA$23),"dd mmm yy"))&amp;" "&amp;Milestones!$AB$23&amp;" "&amp;Milestones!$AC$23&amp;";  ","")&amp;IF(AND(EDATE($D136,Milestones!$AA$24)&lt;=AsOfDate,IF($R136=0,$X136,IF(AND($T136&lt;&gt;"",EDATE($D136,Milestones!$AA$24)&gt;=$T136),$W136,IF(AND($S136&lt;&gt;"",EDATE($D136,Milestones!$AA$24)&gt;=$S136),$V136,$U136)))=Milestones!$AB$24),UPPER(TEXT(EDATE($D136,Milestones!$AA$24),"dd mmm yy"))&amp;" "&amp;Milestones!$AB$24&amp;" "&amp;Milestones!$AC$24&amp;";  ","")&amp;IF(AND(EDATE($D136,Milestones!$AA$25)&lt;=AsOfDate,IF($R136=0,$X136,IF(AND($T136&lt;&gt;"",EDATE($D136,Milestones!$AA$25)&gt;=$T136),$W136,IF(AND($S136&lt;&gt;"",EDATE($D136,Milestones!$AA$25)&gt;=$S136),$V136,$U136)))=Milestones!$AB$25),UPPER(TEXT(EDATE($D136,Milestones!$AA$25),"dd mmm yy"))&amp;" "&amp;Milestones!$AB$25&amp;" "&amp;Milestones!$AC$25&amp;";  ","")&amp;IF(AND(EDATE($D136,Milestones!$AA$26)&lt;=AsOfDate,IF($R136=0,$X136,IF(AND($T136&lt;&gt;"",EDATE($D136,Milestones!$AA$26)&gt;=$T136),$W136,IF(AND($S136&lt;&gt;"",EDATE($D136,Milestones!$AA$26)&gt;=$S136),$V136,$U136)))=Milestones!$AB$26),UPPER(TEXT(EDATE($D136,Milestones!$AA$26),"dd mmm yy"))&amp;" "&amp;Milestones!$AB$26&amp;" "&amp;Milestones!$AC$26&amp;";  ","")&amp;IF(AND(EDATE($D136,Milestones!$AA$27)&lt;=AsOfDate,IF($R136=0,$X136,IF(AND($T136&lt;&gt;"",EDATE($D136,Milestones!$AA$27)&gt;=$T136),$W136,IF(AND($S136&lt;&gt;"",EDATE($D136,Milestones!$AA$27)&gt;=$S136),$V136,$U136)))=Milestones!$AB$27),UPPER(TEXT(EDATE($D136,Milestones!$AA$27),"dd mmm yy"))&amp;" "&amp;Milestones!$AB$27&amp;" "&amp;Milestones!$AC$27&amp;";  ","")&amp;IF(AND(EDATE($D136,Milestones!$AA$28)&lt;=AsOfDate,IF($R136=0,$X136,IF(AND($T136&lt;&gt;"",EDATE($D136,Milestones!$AA$28)&gt;=$T136),$W136,IF(AND($S136&lt;&gt;"",EDATE($D136,Milestones!$AA$28)&gt;=$S136),$V136,$U136)))=Milestones!$AB$28),UPPER(TEXT(EDATE($D136,Milestones!$AA$28),"dd mmm yy"))&amp;" "&amp;Milestones!$AB$28&amp;" "&amp;Milestones!$AC$28&amp;";  ","")&amp;IF(AND(EDATE($D136,Milestones!$AA$29)&lt;=AsOfDate,IF($R136=0,$X136,IF(AND($T136&lt;&gt;"",EDATE($D136,Milestones!$AA$29)&gt;=$T136),$W136,IF(AND($S136&lt;&gt;"",EDATE($D136,Milestones!$AA$29)&gt;=$S136),$V136,$U136)))=Milestones!$AB$29),UPPER(TEXT(EDATE($D136,Milestones!$AA$29),"dd mmm yy"))&amp;" "&amp;Milestones!$AB$29&amp;" "&amp;Milestones!$AC$29&amp;";  ","")&amp;IF(AND(EDATE($D136,Milestones!$AA$30)&lt;=AsOfDate,IF($R136=0,$X136,IF(AND($T136&lt;&gt;"",EDATE($D136,Milestones!$AA$30)&gt;=$T136),$W136,IF(AND($S136&lt;&gt;"",EDATE($D136,Milestones!$AA$30)&gt;=$S136),$V136,$U136)))=Milestones!$AB$30),UPPER(TEXT(EDATE($D136,Milestones!$AA$30),"dd mmm yy"))&amp;" "&amp;Milestones!$AB$30&amp;" "&amp;Milestones!$AC$30&amp;";  ","")&amp;IF(AND(EDATE($D136,Milestones!$AA$31)&lt;=AsOfDate,IF($R136=0,$X136,IF(AND($T136&lt;&gt;"",EDATE($D136,Milestones!$AA$31)&gt;=$T136),$W136,IF(AND($S136&lt;&gt;"",EDATE($D136,Milestones!$AA$31)&gt;=$S136),$V136,$U136)))=Milestones!$AB$31),UPPER(TEXT(EDATE($D136,Milestones!$AA$31),"dd mmm yy"))&amp;" "&amp;Milestones!$AB$31&amp;" "&amp;Milestones!$AC$31&amp;";  ","")&amp;IF(AND(EDATE($D136,Milestones!$AA$32)&lt;=AsOfDate,IF($R136=0,$X136,IF(AND($T136&lt;&gt;"",EDATE($D136,Milestones!$AA$32)&gt;=$T136),$W136,IF(AND($S136&lt;&gt;"",EDATE($D136,Milestones!$AA$32)&gt;=$S136),$V136,$U136)))=Milestones!$AB$32),UPPER(TEXT(EDATE($D136,Milestones!$AA$32),"dd mmm yy"))&amp;" "&amp;Milestones!$AB$32&amp;" "&amp;Milestones!$AC$32&amp;";  ","")&amp;IF(AND(EDATE($D136,Milestones!$AA$33)&lt;=AsOfDate,IF($R136=0,$X136,IF(AND($T136&lt;&gt;"",EDATE($D136,Milestones!$AA$33)&gt;=$T136),$W136,IF(AND($S136&lt;&gt;"",EDATE($D136,Milestones!$AA$33)&gt;=$S136),$V136,$U136)))=Milestones!$AB$33),UPPER(TEXT(EDATE($D136,Milestones!$AA$33),"dd mmm yy"))&amp;" "&amp;Milestones!$AB$33&amp;" "&amp;Milestones!$AC$33&amp;";  ","")&amp;IF(AND(EDATE($D136,Milestones!$AA$34)&lt;=AsOfDate,IF($R136=0,$X136,IF(AND($T136&lt;&gt;"",EDATE($D136,Milestones!$AA$34)&gt;=$T136),$W136,IF(AND($S136&lt;&gt;"",EDATE($D136,Milestones!$AA$34)&gt;=$S136),$V136,$U136)))=Milestones!$AB$34),UPPER(TEXT(EDATE($D136,Milestones!$AA$34),"dd mmm yy"))&amp;" "&amp;Milestones!$AB$34&amp;" "&amp;Milestones!$AC$34&amp;";  ","")&amp;IF(AND(EDATE($D136,Milestones!$AA$35)&lt;=AsOfDate,IF($R136=0,$X136,IF(AND($T136&lt;&gt;"",EDATE($D136,Milestones!$AA$35)&gt;=$T136),$W136,IF(AND($S136&lt;&gt;"",EDATE($D136,Milestones!$AA$35)&gt;=$S136),$V136,$U136)))=Milestones!$AB$35),UPPER(TEXT(EDATE($D136,Milestones!$AA$35),"dd mmm yy"))&amp;" "&amp;Milestones!$AB$35&amp;" "&amp;Milestones!$AC$35&amp;";  ","")&amp;IF(AND(EDATE($D136,Milestones!$AA$36)&lt;=AsOfDate,IF($R136=0,$X136,IF(AND($T136&lt;&gt;"",EDATE($D136,Milestones!$AA$36)&gt;=$T136),$W136,IF(AND($S136&lt;&gt;"",EDATE($D136,Milestones!$AA$36)&gt;=$S136),$V136,$U136)))=Milestones!$AB$36),UPPER(TEXT(EDATE($D136,Milestones!$AA$36),"dd mmm yy"))&amp;" "&amp;Milestones!$AB$36&amp;" "&amp;Milestones!$AC$36&amp;";  ","")&amp;IF(AND(EDATE($D136,Milestones!$AA$37)&lt;=AsOfDate,IF($R136=0,$X136,IF(AND($T136&lt;&gt;"",EDATE($D136,Milestones!$AA$37)&gt;=$T136),$W136,IF(AND($S136&lt;&gt;"",EDATE($D136,Milestones!$AA$37)&gt;=$S136),$V136,$U136)))=Milestones!$AB$37),UPPER(TEXT(EDATE($D136,Milestones!$AA$37),"dd mmm yy"))&amp;" "&amp;Milestones!$AB$37&amp;" "&amp;Milestones!$AC$37&amp;";  ","")&amp;IF(AND(EDATE($D136,Milestones!$AA$38)&lt;=AsOfDate,IF($R136=0,$X136,IF(AND($T136&lt;&gt;"",EDATE($D136,Milestones!$AA$38)&gt;=$T136),$W136,IF(AND($S136&lt;&gt;"",EDATE($D136,Milestones!$AA$38)&gt;=$S136),$V136,$U136)))=Milestones!$AB$38),UPPER(TEXT(EDATE($D136,Milestones!$AA$38),"dd mmm yy"))&amp;" "&amp;Milestones!$AB$38&amp;" "&amp;Milestones!$AC$38&amp;";  ","")&amp;IF(AND(EDATE($D136,Milestones!$AA$39)&lt;=AsOfDate,IF($R136=0,$X136,IF(AND($T136&lt;&gt;"",EDATE($D136,Milestones!$AA$39)&gt;=$T136),$W136,IF(AND($S136&lt;&gt;"",EDATE($D136,Milestones!$AA$39)&gt;=$S136),$V136,$U136)))=Milestones!$AB$39),UPPER(TEXT(EDATE($D136,Milestones!$AA$39),"dd mmm yy"))&amp;" "&amp;Milestones!$AB$39&amp;" "&amp;Milestones!$AC$39&amp;";  ",""))</f>
        <v/>
      </c>
      <c r="J136" s="0" t="str">
        <f aca="false">IF(OR($A136="",$D136=""),"",IF(AND(EDATE($D136,Milestones!$AA$40)&lt;=AsOfDate,IF($R136=0,$X136,IF(AND($T136&lt;&gt;"",EDATE($D136,Milestones!$AA$40)&gt;=$T136),$W136,IF(AND($S136&lt;&gt;"",EDATE($D136,Milestones!$AA$40)&gt;=$S136),$V136,$U136)))=Milestones!$AB$40),UPPER(TEXT(EDATE($D136,Milestones!$AA$40),"dd mmm yy"))&amp;" "&amp;Milestones!$AB$40&amp;" "&amp;Milestones!$AC$40&amp;";  ","")&amp;IF(AND(EDATE($D136,Milestones!$AA$41)&lt;=AsOfDate,IF($R136=0,$X136,IF(AND($T136&lt;&gt;"",EDATE($D136,Milestones!$AA$41)&gt;=$T136),$W136,IF(AND($S136&lt;&gt;"",EDATE($D136,Milestones!$AA$41)&gt;=$S136),$V136,$U136)))=Milestones!$AB$41),UPPER(TEXT(EDATE($D136,Milestones!$AA$41),"dd mmm yy"))&amp;" "&amp;Milestones!$AB$41&amp;" "&amp;Milestones!$AC$41&amp;";  ","")&amp;IF(AND(EDATE($D136,Milestones!$AA$42)&lt;=AsOfDate,IF($R136=0,$X136,IF(AND($T136&lt;&gt;"",EDATE($D136,Milestones!$AA$42)&gt;=$T136),$W136,IF(AND($S136&lt;&gt;"",EDATE($D136,Milestones!$AA$42)&gt;=$S136),$V136,$U136)))=Milestones!$AB$42),UPPER(TEXT(EDATE($D136,Milestones!$AA$42),"dd mmm yy"))&amp;" "&amp;Milestones!$AB$42&amp;" "&amp;Milestones!$AC$42&amp;";  ","")&amp;IF(AND(EDATE($D136,Milestones!$AA$43)&lt;=AsOfDate,IF($R136=0,$X136,IF(AND($T136&lt;&gt;"",EDATE($D136,Milestones!$AA$43)&gt;=$T136),$W136,IF(AND($S136&lt;&gt;"",EDATE($D136,Milestones!$AA$43)&gt;=$S136),$V136,$U136)))=Milestones!$AB$43),UPPER(TEXT(EDATE($D136,Milestones!$AA$43),"dd mmm yy"))&amp;" "&amp;Milestones!$AB$43&amp;" "&amp;Milestones!$AC$43&amp;";  ","")&amp;IF(AND(EDATE($D136,Milestones!$AA$44)&lt;=AsOfDate,IF($R136=0,$X136,IF(AND($T136&lt;&gt;"",EDATE($D136,Milestones!$AA$44)&gt;=$T136),$W136,IF(AND($S136&lt;&gt;"",EDATE($D136,Milestones!$AA$44)&gt;=$S136),$V136,$U136)))=Milestones!$AB$44),UPPER(TEXT(EDATE($D136,Milestones!$AA$44),"dd mmm yy"))&amp;" "&amp;Milestones!$AB$44&amp;" "&amp;Milestones!$AC$44&amp;";  ","")&amp;IF(AND(EDATE($D136,Milestones!$AA$45)&lt;=AsOfDate,IF($R136=0,$X136,IF(AND($T136&lt;&gt;"",EDATE($D136,Milestones!$AA$45)&gt;=$T136),$W136,IF(AND($S136&lt;&gt;"",EDATE($D136,Milestones!$AA$45)&gt;=$S136),$V136,$U136)))=Milestones!$AB$45),UPPER(TEXT(EDATE($D136,Milestones!$AA$45),"dd mmm yy"))&amp;" "&amp;Milestones!$AB$45&amp;" "&amp;Milestones!$AC$45&amp;";  ","")&amp;IF(AND(EDATE($D136,Milestones!$AA$46)&lt;=AsOfDate,IF($R136=0,$X136,IF(AND($T136&lt;&gt;"",EDATE($D136,Milestones!$AA$46)&gt;=$T136),$W136,IF(AND($S136&lt;&gt;"",EDATE($D136,Milestones!$AA$46)&gt;=$S136),$V136,$U136)))=Milestones!$AB$46),UPPER(TEXT(EDATE($D136,Milestones!$AA$46),"dd mmm yy"))&amp;" "&amp;Milestones!$AB$46&amp;" "&amp;Milestones!$AC$46&amp;";  ","")&amp;IF(AND(EDATE($D136,Milestones!$AA$47)&lt;=AsOfDate,IF($R136=0,$X136,IF(AND($T136&lt;&gt;"",EDATE($D136,Milestones!$AA$47)&gt;=$T136),$W136,IF(AND($S136&lt;&gt;"",EDATE($D136,Milestones!$AA$47)&gt;=$S136),$V136,$U136)))=Milestones!$AB$47),UPPER(TEXT(EDATE($D136,Milestones!$AA$47),"dd mmm yy"))&amp;" "&amp;Milestones!$AB$47&amp;" "&amp;Milestones!$AC$47&amp;";  ","")&amp;IF(AND(EDATE($D136,Milestones!$AA$48)&lt;=AsOfDate,IF($R136=0,$X136,IF(AND($T136&lt;&gt;"",EDATE($D136,Milestones!$AA$48)&gt;=$T136),$W136,IF(AND($S136&lt;&gt;"",EDATE($D136,Milestones!$AA$48)&gt;=$S136),$V136,$U136)))=Milestones!$AB$48),UPPER(TEXT(EDATE($D136,Milestones!$AA$48),"dd mmm yy"))&amp;" "&amp;Milestones!$AB$48&amp;" "&amp;Milestones!$AC$48&amp;";  ","")&amp;IF(AND(EDATE($D136,Milestones!$AA$49)&lt;=AsOfDate,IF($R136=0,$X136,IF(AND($T136&lt;&gt;"",EDATE($D136,Milestones!$AA$49)&gt;=$T136),$W136,IF(AND($S136&lt;&gt;"",EDATE($D136,Milestones!$AA$49)&gt;=$S136),$V136,$U136)))=Milestones!$AB$49),UPPER(TEXT(EDATE($D136,Milestones!$AA$49),"dd mmm yy"))&amp;" "&amp;Milestones!$AB$49&amp;" "&amp;Milestones!$AC$49&amp;";  ","")&amp;IF(AND(EDATE($D136,Milestones!$AA$50)&lt;=AsOfDate,IF($R136=0,$X136,IF(AND($T136&lt;&gt;"",EDATE($D136,Milestones!$AA$50)&gt;=$T136),$W136,IF(AND($S136&lt;&gt;"",EDATE($D136,Milestones!$AA$50)&gt;=$S136),$V136,$U136)))=Milestones!$AB$50),UPPER(TEXT(EDATE($D136,Milestones!$AA$50),"dd mmm yy"))&amp;" "&amp;Milestones!$AB$50&amp;" "&amp;Milestones!$AC$50&amp;";  ","")&amp;IF(AND(EDATE($D136,Milestones!$AA$51)&lt;=AsOfDate,IF($R136=0,$X136,IF(AND($T136&lt;&gt;"",EDATE($D136,Milestones!$AA$51)&gt;=$T136),$W136,IF(AND($S136&lt;&gt;"",EDATE($D136,Milestones!$AA$51)&gt;=$S136),$V136,$U136)))=Milestones!$AB$51),UPPER(TEXT(EDATE($D136,Milestones!$AA$51),"dd mmm yy"))&amp;" "&amp;Milestones!$AB$51&amp;" "&amp;Milestones!$AC$51&amp;";  ","")&amp;IF(AND(EDATE($D136,Milestones!$AA$52)&lt;=AsOfDate,IF($R136=0,$X136,IF(AND($T136&lt;&gt;"",EDATE($D136,Milestones!$AA$52)&gt;=$T136),$W136,IF(AND($S136&lt;&gt;"",EDATE($D136,Milestones!$AA$52)&gt;=$S136),$V136,$U136)))=Milestones!$AB$52),UPPER(TEXT(EDATE($D136,Milestones!$AA$52),"dd mmm yy"))&amp;" "&amp;Milestones!$AB$52&amp;" "&amp;Milestones!$AC$52&amp;";  ","")&amp;IF(AND(EDATE($D136,Milestones!$AA$53)&lt;=AsOfDate,IF($R136=0,$X136,IF(AND($T136&lt;&gt;"",EDATE($D136,Milestones!$AA$53)&gt;=$T136),$W136,IF(AND($S136&lt;&gt;"",EDATE($D136,Milestones!$AA$53)&gt;=$S136),$V136,$U136)))=Milestones!$AB$53),UPPER(TEXT(EDATE($D136,Milestones!$AA$53),"dd mmm yy"))&amp;" "&amp;Milestones!$AB$53&amp;" "&amp;Milestones!$AC$53&amp;";  ","")&amp;IF(AND(EDATE($D136,Milestones!$AA$54)&lt;=AsOfDate,IF($R136=0,$X136,IF(AND($T136&lt;&gt;"",EDATE($D136,Milestones!$AA$54)&gt;=$T136),$W136,IF(AND($S136&lt;&gt;"",EDATE($D136,Milestones!$AA$54)&gt;=$S136),$V136,$U136)))=Milestones!$AB$54),UPPER(TEXT(EDATE($D136,Milestones!$AA$54),"dd mmm yy"))&amp;" "&amp;Milestones!$AB$54&amp;" "&amp;Milestones!$AC$54&amp;";  ","")&amp;IF(AND(EDATE($D136,Milestones!$AA$55)&lt;=AsOfDate,IF($R136=0,$X136,IF(AND($T136&lt;&gt;"",EDATE($D136,Milestones!$AA$55)&gt;=$T136),$W136,IF(AND($S136&lt;&gt;"",EDATE($D136,Milestones!$AA$55)&gt;=$S136),$V136,$U136)))=Milestones!$AB$55),UPPER(TEXT(EDATE($D136,Milestones!$AA$55),"dd mmm yy"))&amp;" "&amp;Milestones!$AB$55&amp;" "&amp;Milestones!$AC$55&amp;";  ","")&amp;IF(AND(EDATE($D136,Milestones!$AA$56)&lt;=AsOfDate,IF($R136=0,$X136,IF(AND($T136&lt;&gt;"",EDATE($D136,Milestones!$AA$56)&gt;=$T136),$W136,IF(AND($S136&lt;&gt;"",EDATE($D136,Milestones!$AA$56)&gt;=$S136),$V136,$U136)))=Milestones!$AB$56),UPPER(TEXT(EDATE($D136,Milestones!$AA$56),"dd mmm yy"))&amp;" "&amp;Milestones!$AB$56&amp;" "&amp;Milestones!$AC$56&amp;";  ","")&amp;IF(AND(EDATE($D136,Milestones!$AA$57)&lt;=AsOfDate,IF($R136=0,$X136,IF(AND($T136&lt;&gt;"",EDATE($D136,Milestones!$AA$57)&gt;=$T136),$W136,IF(AND($S136&lt;&gt;"",EDATE($D136,Milestones!$AA$57)&gt;=$S136),$V136,$U136)))=Milestones!$AB$57),UPPER(TEXT(EDATE($D136,Milestones!$AA$57),"dd mmm yy"))&amp;" "&amp;Milestones!$AB$57&amp;" "&amp;Milestones!$AC$57&amp;";  ","")&amp;IF(AND(EDATE($D136,Milestones!$AA$58)&lt;=AsOfDate,IF($R136=0,$X136,IF(AND($T136&lt;&gt;"",EDATE($D136,Milestones!$AA$58)&gt;=$T136),$W136,IF(AND($S136&lt;&gt;"",EDATE($D136,Milestones!$AA$58)&gt;=$S136),$V136,$U136)))=Milestones!$AB$58),UPPER(TEXT(EDATE($D136,Milestones!$AA$58),"dd mmm yy"))&amp;" "&amp;Milestones!$AB$58&amp;" "&amp;Milestones!$AC$58&amp;";  ","")&amp;IF(AND(EDATE($D136,Milestones!$AA$59)&lt;=AsOfDate,IF($R136=0,$X136,IF(AND($T136&lt;&gt;"",EDATE($D136,Milestones!$AA$59)&gt;=$T136),$W136,IF(AND($S136&lt;&gt;"",EDATE($D136,Milestones!$AA$59)&gt;=$S136),$V136,$U136)))=Milestones!$AB$59),UPPER(TEXT(EDATE($D136,Milestones!$AA$59),"dd mmm yy"))&amp;" "&amp;Milestones!$AB$59&amp;" "&amp;Milestones!$AC$59&amp;";  ",""))</f>
        <v/>
      </c>
      <c r="K136" s="0" t="str">
        <f aca="false">IF(OR($A136="",$D136=""),"",IF(AND(EDATE($D136,Milestones!$AA$60)&lt;=AsOfDate,IF($R136=0,$X136,IF(AND($T136&lt;&gt;"",EDATE($D136,Milestones!$AA$60)&gt;=$T136),$W136,IF(AND($S136&lt;&gt;"",EDATE($D136,Milestones!$AA$60)&gt;=$S136),$V136,$U136)))=Milestones!$AB$60),UPPER(TEXT(EDATE($D136,Milestones!$AA$60),"dd mmm yy"))&amp;" "&amp;Milestones!$AB$60&amp;" "&amp;Milestones!$AC$60&amp;";  ","")&amp;IF(AND(EDATE($D136,Milestones!$AA$61)&lt;=AsOfDate,IF($R136=0,$X136,IF(AND($T136&lt;&gt;"",EDATE($D136,Milestones!$AA$61)&gt;=$T136),$W136,IF(AND($S136&lt;&gt;"",EDATE($D136,Milestones!$AA$61)&gt;=$S136),$V136,$U136)))=Milestones!$AB$61),UPPER(TEXT(EDATE($D136,Milestones!$AA$61),"dd mmm yy"))&amp;" "&amp;Milestones!$AB$61&amp;" "&amp;Milestones!$AC$61&amp;";  ","")&amp;IF(AND(EDATE($D136,Milestones!$AA$62)&lt;=AsOfDate,IF($R136=0,$X136,IF(AND($T136&lt;&gt;"",EDATE($D136,Milestones!$AA$62)&gt;=$T136),$W136,IF(AND($S136&lt;&gt;"",EDATE($D136,Milestones!$AA$62)&gt;=$S136),$V136,$U136)))=Milestones!$AB$62),UPPER(TEXT(EDATE($D136,Milestones!$AA$62),"dd mmm yy"))&amp;" "&amp;Milestones!$AB$62&amp;" "&amp;Milestones!$AC$62&amp;";  ","")&amp;IF(AND(EDATE($D136,Milestones!$AA$63)&lt;=AsOfDate,IF($R136=0,$X136,IF(AND($T136&lt;&gt;"",EDATE($D136,Milestones!$AA$63)&gt;=$T136),$W136,IF(AND($S136&lt;&gt;"",EDATE($D136,Milestones!$AA$63)&gt;=$S136),$V136,$U136)))=Milestones!$AB$63),UPPER(TEXT(EDATE($D136,Milestones!$AA$63),"dd mmm yy"))&amp;" "&amp;Milestones!$AB$63&amp;" "&amp;Milestones!$AC$63&amp;";  ","")&amp;IF(AND(EDATE($D136,Milestones!$AA$64)&lt;=AsOfDate,IF($R136=0,$X136,IF(AND($T136&lt;&gt;"",EDATE($D136,Milestones!$AA$64)&gt;=$T136),$W136,IF(AND($S136&lt;&gt;"",EDATE($D136,Milestones!$AA$64)&gt;=$S136),$V136,$U136)))=Milestones!$AB$64),UPPER(TEXT(EDATE($D136,Milestones!$AA$64),"dd mmm yy"))&amp;" "&amp;Milestones!$AB$64&amp;" "&amp;Milestones!$AC$64&amp;";  ","")&amp;IF(AND(EDATE($D136,Milestones!$AA$65)&lt;=AsOfDate,IF($R136=0,$X136,IF(AND($T136&lt;&gt;"",EDATE($D136,Milestones!$AA$65)&gt;=$T136),$W136,IF(AND($S136&lt;&gt;"",EDATE($D136,Milestones!$AA$65)&gt;=$S136),$V136,$U136)))=Milestones!$AB$65),UPPER(TEXT(EDATE($D136,Milestones!$AA$65),"dd mmm yy"))&amp;" "&amp;Milestones!$AB$65&amp;" "&amp;Milestones!$AC$65&amp;";  ","")&amp;IF(AND(EDATE($D136,Milestones!$AA$66)&lt;=AsOfDate,IF($R136=0,$X136,IF(AND($T136&lt;&gt;"",EDATE($D136,Milestones!$AA$66)&gt;=$T136),$W136,IF(AND($S136&lt;&gt;"",EDATE($D136,Milestones!$AA$66)&gt;=$S136),$V136,$U136)))=Milestones!$AB$66),UPPER(TEXT(EDATE($D136,Milestones!$AA$66),"dd mmm yy"))&amp;" "&amp;Milestones!$AB$66&amp;" "&amp;Milestones!$AC$66&amp;";  ","")&amp;IF(AND(EDATE($D136,Milestones!$AA$67)&lt;=AsOfDate,IF($R136=0,$X136,IF(AND($T136&lt;&gt;"",EDATE($D136,Milestones!$AA$67)&gt;=$T136),$W136,IF(AND($S136&lt;&gt;"",EDATE($D136,Milestones!$AA$67)&gt;=$S136),$V136,$U136)))=Milestones!$AB$67),UPPER(TEXT(EDATE($D136,Milestones!$AA$67),"dd mmm yy"))&amp;" "&amp;Milestones!$AB$67&amp;" "&amp;Milestones!$AC$67&amp;";  ","")&amp;IF(AND(EDATE($D136,Milestones!$AA$68)&lt;=AsOfDate,IF($R136=0,$X136,IF(AND($T136&lt;&gt;"",EDATE($D136,Milestones!$AA$68)&gt;=$T136),$W136,IF(AND($S136&lt;&gt;"",EDATE($D136,Milestones!$AA$68)&gt;=$S136),$V136,$U136)))=Milestones!$AB$68),UPPER(TEXT(EDATE($D136,Milestones!$AA$68),"dd mmm yy"))&amp;" "&amp;Milestones!$AB$68&amp;" "&amp;Milestones!$AC$68&amp;";  ","")&amp;IF(AND(EDATE($D136,Milestones!$AA$69)&lt;=AsOfDate,IF($R136=0,$X136,IF(AND($T136&lt;&gt;"",EDATE($D136,Milestones!$AA$69)&gt;=$T136),$W136,IF(AND($S136&lt;&gt;"",EDATE($D136,Milestones!$AA$69)&gt;=$S136),$V136,$U136)))=Milestones!$AB$69),UPPER(TEXT(EDATE($D136,Milestones!$AA$69),"dd mmm yy"))&amp;" "&amp;Milestones!$AB$69&amp;" "&amp;Milestones!$AC$69&amp;";  ","")&amp;IF(AND(EDATE($D136,Milestones!$AA$70)&lt;=AsOfDate,IF($R136=0,$X136,IF(AND($T136&lt;&gt;"",EDATE($D136,Milestones!$AA$70)&gt;=$T136),$W136,IF(AND($S136&lt;&gt;"",EDATE($D136,Milestones!$AA$70)&gt;=$S136),$V136,$U136)))=Milestones!$AB$70),UPPER(TEXT(EDATE($D136,Milestones!$AA$70),"dd mmm yy"))&amp;" "&amp;Milestones!$AB$70&amp;" "&amp;Milestones!$AC$70&amp;";  ","")&amp;IF(AND(EDATE($D136,Milestones!$AA$71)&lt;=AsOfDate,IF($R136=0,$X136,IF(AND($T136&lt;&gt;"",EDATE($D136,Milestones!$AA$71)&gt;=$T136),$W136,IF(AND($S136&lt;&gt;"",EDATE($D136,Milestones!$AA$71)&gt;=$S136),$V136,$U136)))=Milestones!$AB$71),UPPER(TEXT(EDATE($D136,Milestones!$AA$71),"dd mmm yy"))&amp;" "&amp;Milestones!$AB$71&amp;" "&amp;Milestones!$AC$71&amp;";  ","")&amp;IF(AND(EDATE($D136,Milestones!$AA$72)&lt;=AsOfDate,IF($R136=0,$X136,IF(AND($T136&lt;&gt;"",EDATE($D136,Milestones!$AA$72)&gt;=$T136),$W136,IF(AND($S136&lt;&gt;"",EDATE($D136,Milestones!$AA$72)&gt;=$S136),$V136,$U136)))=Milestones!$AB$72),UPPER(TEXT(EDATE($D136,Milestones!$AA$72),"dd mmm yy"))&amp;" "&amp;Milestones!$AB$72&amp;" "&amp;Milestones!$AC$72&amp;";  ","")&amp;IF(AND(EDATE($D136,Milestones!$AA$73)&lt;=AsOfDate,IF($R136=0,$X136,IF(AND($T136&lt;&gt;"",EDATE($D136,Milestones!$AA$73)&gt;=$T136),$W136,IF(AND($S136&lt;&gt;"",EDATE($D136,Milestones!$AA$73)&gt;=$S136),$V136,$U136)))=Milestones!$AB$73),UPPER(TEXT(EDATE($D136,Milestones!$AA$73),"dd mmm yy"))&amp;" "&amp;Milestones!$AB$73&amp;" "&amp;Milestones!$AC$73&amp;";  ","")&amp;IF(AND(EDATE($D136,Milestones!$AA$74)&lt;=AsOfDate,IF($R136=0,$X136,IF(AND($T136&lt;&gt;"",EDATE($D136,Milestones!$AA$74)&gt;=$T136),$W136,IF(AND($S136&lt;&gt;"",EDATE($D136,Milestones!$AA$74)&gt;=$S136),$V136,$U136)))=Milestones!$AB$74),UPPER(TEXT(EDATE($D136,Milestones!$AA$74),"dd mmm yy"))&amp;" "&amp;Milestones!$AB$74&amp;" "&amp;Milestones!$AC$74&amp;";  ","")&amp;IF(AND(EDATE($D136,Milestones!$AA$75)&lt;=AsOfDate,IF($R136=0,$X136,IF(AND($T136&lt;&gt;"",EDATE($D136,Milestones!$AA$75)&gt;=$T136),$W136,IF(AND($S136&lt;&gt;"",EDATE($D136,Milestones!$AA$75)&gt;=$S136),$V136,$U136)))=Milestones!$AB$75),UPPER(TEXT(EDATE($D136,Milestones!$AA$75),"dd mmm yy"))&amp;" "&amp;Milestones!$AB$75&amp;" "&amp;Milestones!$AC$75&amp;";  ","")&amp;IF(AND(EDATE($D136,Milestones!$AA$76)&lt;=AsOfDate,IF($R136=0,$X136,IF(AND($T136&lt;&gt;"",EDATE($D136,Milestones!$AA$76)&gt;=$T136),$W136,IF(AND($S136&lt;&gt;"",EDATE($D136,Milestones!$AA$76)&gt;=$S136),$V136,$U136)))=Milestones!$AB$76),UPPER(TEXT(EDATE($D136,Milestones!$AA$76),"dd mmm yy"))&amp;" "&amp;Milestones!$AB$76&amp;" "&amp;Milestones!$AC$76&amp;";  ","")&amp;IF(AND(EDATE($D136,Milestones!$AA$77)&lt;=AsOfDate,IF($R136=0,$X136,IF(AND($T136&lt;&gt;"",EDATE($D136,Milestones!$AA$77)&gt;=$T136),$W136,IF(AND($S136&lt;&gt;"",EDATE($D136,Milestones!$AA$77)&gt;=$S136),$V136,$U136)))=Milestones!$AB$77),UPPER(TEXT(EDATE($D136,Milestones!$AA$77),"dd mmm yy"))&amp;" "&amp;Milestones!$AB$77&amp;" "&amp;Milestones!$AC$77&amp;";  ","")&amp;IF(AND(EDATE($D136,Milestones!$AA$78)&lt;=AsOfDate,IF($R136=0,$X136,IF(AND($T136&lt;&gt;"",EDATE($D136,Milestones!$AA$78)&gt;=$T136),$W136,IF(AND($S136&lt;&gt;"",EDATE($D136,Milestones!$AA$78)&gt;=$S136),$V136,$U136)))=Milestones!$AB$78),UPPER(TEXT(EDATE($D136,Milestones!$AA$78),"dd mmm yy"))&amp;" "&amp;Milestones!$AB$78&amp;" "&amp;Milestones!$AC$78&amp;";  ","")&amp;IF(AND(EDATE($D136,Milestones!$AA$79)&lt;=AsOfDate,IF($R136=0,$X136,IF(AND($T136&lt;&gt;"",EDATE($D136,Milestones!$AA$79)&gt;=$T136),$W136,IF(AND($S136&lt;&gt;"",EDATE($D136,Milestones!$AA$79)&gt;=$S136),$V136,$U136)))=Milestones!$AB$79),UPPER(TEXT(EDATE($D136,Milestones!$AA$79),"dd mmm yy"))&amp;" "&amp;Milestones!$AB$79&amp;" "&amp;Milestones!$AC$79&amp;";  ",""))</f>
        <v/>
      </c>
      <c r="L136" s="0" t="str">
        <f aca="false">IF(OR($A136="",$D136=""),"",IF(AND(EDATE($D136,Milestones!$AA$80)&lt;=AsOfDate,IF($R136=0,$X136,IF(AND($T136&lt;&gt;"",EDATE($D136,Milestones!$AA$80)&gt;=$T136),$W136,IF(AND($S136&lt;&gt;"",EDATE($D136,Milestones!$AA$80)&gt;=$S136),$V136,$U136)))=Milestones!$AB$80),UPPER(TEXT(EDATE($D136,Milestones!$AA$80),"dd mmm yy"))&amp;" "&amp;Milestones!$AB$80&amp;" "&amp;Milestones!$AC$80&amp;";  ","")&amp;IF(AND(EDATE($D136,Milestones!$AA$81)&lt;=AsOfDate,IF($R136=0,$X136,IF(AND($T136&lt;&gt;"",EDATE($D136,Milestones!$AA$81)&gt;=$T136),$W136,IF(AND($S136&lt;&gt;"",EDATE($D136,Milestones!$AA$81)&gt;=$S136),$V136,$U136)))=Milestones!$AB$81),UPPER(TEXT(EDATE($D136,Milestones!$AA$81),"dd mmm yy"))&amp;" "&amp;Milestones!$AB$81&amp;" "&amp;Milestones!$AC$81&amp;";  ","")&amp;IF(AND(EDATE($D136,Milestones!$AA$82)&lt;=AsOfDate,IF($R136=0,$X136,IF(AND($T136&lt;&gt;"",EDATE($D136,Milestones!$AA$82)&gt;=$T136),$W136,IF(AND($S136&lt;&gt;"",EDATE($D136,Milestones!$AA$82)&gt;=$S136),$V136,$U136)))=Milestones!$AB$82),UPPER(TEXT(EDATE($D136,Milestones!$AA$82),"dd mmm yy"))&amp;" "&amp;Milestones!$AB$82&amp;" "&amp;Milestones!$AC$82&amp;";  ","")&amp;IF(AND(EDATE($D136,Milestones!$AA$83)&lt;=AsOfDate,IF($R136=0,$X136,IF(AND($T136&lt;&gt;"",EDATE($D136,Milestones!$AA$83)&gt;=$T136),$W136,IF(AND($S136&lt;&gt;"",EDATE($D136,Milestones!$AA$83)&gt;=$S136),$V136,$U136)))=Milestones!$AB$83),UPPER(TEXT(EDATE($D136,Milestones!$AA$83),"dd mmm yy"))&amp;" "&amp;Milestones!$AB$83&amp;" "&amp;Milestones!$AC$83&amp;";  ","")&amp;IF(AND(EDATE($D136,Milestones!$AA$84)&lt;=AsOfDate,IF($R136=0,$X136,IF(AND($T136&lt;&gt;"",EDATE($D136,Milestones!$AA$84)&gt;=$T136),$W136,IF(AND($S136&lt;&gt;"",EDATE($D136,Milestones!$AA$84)&gt;=$S136),$V136,$U136)))=Milestones!$AB$84),UPPER(TEXT(EDATE($D136,Milestones!$AA$84),"dd mmm yy"))&amp;" "&amp;Milestones!$AB$84&amp;" "&amp;Milestones!$AC$84&amp;";  ","")&amp;IF(AND(EDATE($D136,Milestones!$AA$85)&lt;=AsOfDate,IF($R136=0,$X136,IF(AND($T136&lt;&gt;"",EDATE($D136,Milestones!$AA$85)&gt;=$T136),$W136,IF(AND($S136&lt;&gt;"",EDATE($D136,Milestones!$AA$85)&gt;=$S136),$V136,$U136)))=Milestones!$AB$85),UPPER(TEXT(EDATE($D136,Milestones!$AA$85),"dd mmm yy"))&amp;" "&amp;Milestones!$AB$85&amp;" "&amp;Milestones!$AC$85&amp;";  ","")&amp;IF(AND(EDATE($D136,Milestones!$AA$86)&lt;=AsOfDate,IF($R136=0,$X136,IF(AND($T136&lt;&gt;"",EDATE($D136,Milestones!$AA$86)&gt;=$T136),$W136,IF(AND($S136&lt;&gt;"",EDATE($D136,Milestones!$AA$86)&gt;=$S136),$V136,$U136)))=Milestones!$AB$86),UPPER(TEXT(EDATE($D136,Milestones!$AA$86),"dd mmm yy"))&amp;" "&amp;Milestones!$AB$86&amp;" "&amp;Milestones!$AC$86&amp;";  ","")&amp;IF(AND(EDATE($D136,Milestones!$AA$87)&lt;=AsOfDate,IF($R136=0,$X136,IF(AND($T136&lt;&gt;"",EDATE($D136,Milestones!$AA$87)&gt;=$T136),$W136,IF(AND($S136&lt;&gt;"",EDATE($D136,Milestones!$AA$87)&gt;=$S136),$V136,$U136)))=Milestones!$AB$87),UPPER(TEXT(EDATE($D136,Milestones!$AA$87),"dd mmm yy"))&amp;" "&amp;Milestones!$AB$87&amp;" "&amp;Milestones!$AC$87&amp;";  ","")&amp;IF(AND(EDATE($D136,Milestones!$AA$88)&lt;=AsOfDate,IF($R136=0,$X136,IF(AND($T136&lt;&gt;"",EDATE($D136,Milestones!$AA$88)&gt;=$T136),$W136,IF(AND($S136&lt;&gt;"",EDATE($D136,Milestones!$AA$88)&gt;=$S136),$V136,$U136)))=Milestones!$AB$88),UPPER(TEXT(EDATE($D136,Milestones!$AA$88),"dd mmm yy"))&amp;" "&amp;Milestones!$AB$88&amp;" "&amp;Milestones!$AC$88&amp;";  ","")&amp;IF(AND(EDATE($D136,Milestones!$AA$89)&lt;=AsOfDate,IF($R136=0,$X136,IF(AND($T136&lt;&gt;"",EDATE($D136,Milestones!$AA$89)&gt;=$T136),$W136,IF(AND($S136&lt;&gt;"",EDATE($D136,Milestones!$AA$89)&gt;=$S136),$V136,$U136)))=Milestones!$AB$89),UPPER(TEXT(EDATE($D136,Milestones!$AA$89),"dd mmm yy"))&amp;" "&amp;Milestones!$AB$89&amp;" "&amp;Milestones!$AC$89&amp;";  ","")&amp;IF(AND(EDATE($D136,Milestones!$AA$90)&lt;=AsOfDate,IF($R136=0,$X136,IF(AND($T136&lt;&gt;"",EDATE($D136,Milestones!$AA$90)&gt;=$T136),$W136,IF(AND($S136&lt;&gt;"",EDATE($D136,Milestones!$AA$90)&gt;=$S136),$V136,$U136)))=Milestones!$AB$90),UPPER(TEXT(EDATE($D136,Milestones!$AA$90),"dd mmm yy"))&amp;" "&amp;Milestones!$AB$90&amp;" "&amp;Milestones!$AC$90&amp;";  ","")&amp;IF(AND(EDATE($D136,Milestones!$AA$91)&lt;=AsOfDate,IF($R136=0,$X136,IF(AND($T136&lt;&gt;"",EDATE($D136,Milestones!$AA$91)&gt;=$T136),$W136,IF(AND($S136&lt;&gt;"",EDATE($D136,Milestones!$AA$91)&gt;=$S136),$V136,$U136)))=Milestones!$AB$91),UPPER(TEXT(EDATE($D136,Milestones!$AA$91),"dd mmm yy"))&amp;" "&amp;Milestones!$AB$91&amp;" "&amp;Milestones!$AC$91&amp;";  ","")&amp;IF(AND(EDATE($D136,Milestones!$AA$92)&lt;=AsOfDate,IF($R136=0,$X136,IF(AND($T136&lt;&gt;"",EDATE($D136,Milestones!$AA$92)&gt;=$T136),$W136,IF(AND($S136&lt;&gt;"",EDATE($D136,Milestones!$AA$92)&gt;=$S136),$V136,$U136)))=Milestones!$AB$92),UPPER(TEXT(EDATE($D136,Milestones!$AA$92),"dd mmm yy"))&amp;" "&amp;Milestones!$AB$92&amp;" "&amp;Milestones!$AC$92&amp;";  ","")&amp;IF(AND(EDATE($D136,Milestones!$AA$93)&lt;=AsOfDate,IF($R136=0,$X136,IF(AND($T136&lt;&gt;"",EDATE($D136,Milestones!$AA$93)&gt;=$T136),$W136,IF(AND($S136&lt;&gt;"",EDATE($D136,Milestones!$AA$93)&gt;=$S136),$V136,$U136)))=Milestones!$AB$93),UPPER(TEXT(EDATE($D136,Milestones!$AA$93),"dd mmm yy"))&amp;" "&amp;Milestones!$AB$93&amp;" "&amp;Milestones!$AC$93&amp;";  ","")&amp;IF(AND(EDATE($D136,Milestones!$AA$94)&lt;=AsOfDate,IF($R136=0,$X136,IF(AND($T136&lt;&gt;"",EDATE($D136,Milestones!$AA$94)&gt;=$T136),$W136,IF(AND($S136&lt;&gt;"",EDATE($D136,Milestones!$AA$94)&gt;=$S136),$V136,$U136)))=Milestones!$AB$94),UPPER(TEXT(EDATE($D136,Milestones!$AA$94),"dd mmm yy"))&amp;" "&amp;Milestones!$AB$94&amp;" "&amp;Milestones!$AC$94&amp;";  ","")&amp;IF(AND(EDATE($D136,Milestones!$AA$95)&lt;=AsOfDate,IF($R136=0,$X136,IF(AND($T136&lt;&gt;"",EDATE($D136,Milestones!$AA$95)&gt;=$T136),$W136,IF(AND($S136&lt;&gt;"",EDATE($D136,Milestones!$AA$95)&gt;=$S136),$V136,$U136)))=Milestones!$AB$95),UPPER(TEXT(EDATE($D136,Milestones!$AA$95),"dd mmm yy"))&amp;" "&amp;Milestones!$AB$95&amp;" "&amp;Milestones!$AC$95&amp;";  ","")&amp;IF(AND(EDATE($D136,Milestones!$AA$96)&lt;=AsOfDate,IF($R136=0,$X136,IF(AND($T136&lt;&gt;"",EDATE($D136,Milestones!$AA$96)&gt;=$T136),$W136,IF(AND($S136&lt;&gt;"",EDATE($D136,Milestones!$AA$96)&gt;=$S136),$V136,$U136)))=Milestones!$AB$96),UPPER(TEXT(EDATE($D136,Milestones!$AA$96),"dd mmm yy"))&amp;" "&amp;Milestones!$AB$96&amp;" "&amp;Milestones!$AC$96&amp;";  ","")&amp;IF(AND(EDATE($D136,Milestones!$AA$97)&lt;=AsOfDate,IF($R136=0,$X136,IF(AND($T136&lt;&gt;"",EDATE($D136,Milestones!$AA$97)&gt;=$T136),$W136,IF(AND($S136&lt;&gt;"",EDATE($D136,Milestones!$AA$97)&gt;=$S136),$V136,$U136)))=Milestones!$AB$97),UPPER(TEXT(EDATE($D136,Milestones!$AA$97),"dd mmm yy"))&amp;" "&amp;Milestones!$AB$97&amp;" "&amp;Milestones!$AC$97&amp;";  ","")&amp;IF(AND(EDATE($D136,Milestones!$AA$98)&lt;=AsOfDate,IF($R136=0,$X136,IF(AND($T136&lt;&gt;"",EDATE($D136,Milestones!$AA$98)&gt;=$T136),$W136,IF(AND($S136&lt;&gt;"",EDATE($D136,Milestones!$AA$98)&gt;=$S136),$V136,$U136)))=Milestones!$AB$98),UPPER(TEXT(EDATE($D136,Milestones!$AA$98),"dd mmm yy"))&amp;" "&amp;Milestones!$AB$98&amp;" "&amp;Milestones!$AC$98&amp;";  ","")&amp;IF(AND(EDATE($D136,Milestones!$AA$99)&lt;=AsOfDate,IF($R136=0,$X136,IF(AND($T136&lt;&gt;"",EDATE($D136,Milestones!$AA$99)&gt;=$T136),$W136,IF(AND($S136&lt;&gt;"",EDATE($D136,Milestones!$AA$99)&gt;=$S136),$V136,$U136)))=Milestones!$AB$99),UPPER(TEXT(EDATE($D136,Milestones!$AA$99),"dd mmm yy"))&amp;" "&amp;Milestones!$AB$99&amp;" "&amp;Milestones!$AC$99&amp;";  ",""))</f>
        <v/>
      </c>
      <c r="M136" s="0" t="str">
        <f aca="false">IF(OR($A136="",$D136=""),"",IF(AND(EDATE($D136,Milestones!$AA$100)&lt;=AsOfDate,IF($R136=0,$X136,IF(AND($T136&lt;&gt;"",EDATE($D136,Milestones!$AA$100)&gt;=$T136),$W136,IF(AND($S136&lt;&gt;"",EDATE($D136,Milestones!$AA$100)&gt;=$S136),$V136,$U136)))=Milestones!$AB$100),UPPER(TEXT(EDATE($D136,Milestones!$AA$100),"dd mmm yy"))&amp;" "&amp;Milestones!$AB$100&amp;" "&amp;Milestones!$AC$100&amp;";  ","")&amp;IF(AND(EDATE($D136,Milestones!$AA$101)&lt;=AsOfDate,IF($R136=0,$X136,IF(AND($T136&lt;&gt;"",EDATE($D136,Milestones!$AA$101)&gt;=$T136),$W136,IF(AND($S136&lt;&gt;"",EDATE($D136,Milestones!$AA$101)&gt;=$S136),$V136,$U136)))=Milestones!$AB$101),UPPER(TEXT(EDATE($D136,Milestones!$AA$101),"dd mmm yy"))&amp;" "&amp;Milestones!$AB$101&amp;" "&amp;Milestones!$AC$101&amp;";  ","")&amp;IF(AND(EDATE($D136,Milestones!$AA$102)&lt;=AsOfDate,IF($R136=0,$X136,IF(AND($T136&lt;&gt;"",EDATE($D136,Milestones!$AA$102)&gt;=$T136),$W136,IF(AND($S136&lt;&gt;"",EDATE($D136,Milestones!$AA$102)&gt;=$S136),$V136,$U136)))=Milestones!$AB$102),UPPER(TEXT(EDATE($D136,Milestones!$AA$102),"dd mmm yy"))&amp;" "&amp;Milestones!$AB$102&amp;" "&amp;Milestones!$AC$102&amp;";  ","")&amp;IF(AND(EDATE($D136,Milestones!$AA$103)&lt;=AsOfDate,IF($R136=0,$X136,IF(AND($T136&lt;&gt;"",EDATE($D136,Milestones!$AA$103)&gt;=$T136),$W136,IF(AND($S136&lt;&gt;"",EDATE($D136,Milestones!$AA$103)&gt;=$S136),$V136,$U136)))=Milestones!$AB$103),UPPER(TEXT(EDATE($D136,Milestones!$AA$103),"dd mmm yy"))&amp;" "&amp;Milestones!$AB$103&amp;" "&amp;Milestones!$AC$103&amp;";  ","")&amp;IF(AND(EDATE($D136,Milestones!$AA$104)&lt;=AsOfDate,IF($R136=0,$X136,IF(AND($T136&lt;&gt;"",EDATE($D136,Milestones!$AA$104)&gt;=$T136),$W136,IF(AND($S136&lt;&gt;"",EDATE($D136,Milestones!$AA$104)&gt;=$S136),$V136,$U136)))=Milestones!$AB$104),UPPER(TEXT(EDATE($D136,Milestones!$AA$104),"dd mmm yy"))&amp;" "&amp;Milestones!$AB$104&amp;" "&amp;Milestones!$AC$104&amp;";  ","")&amp;IF(AND(EDATE($D136,Milestones!$AA$105)&lt;=AsOfDate,IF($R136=0,$X136,IF(AND($T136&lt;&gt;"",EDATE($D136,Milestones!$AA$105)&gt;=$T136),$W136,IF(AND($S136&lt;&gt;"",EDATE($D136,Milestones!$AA$105)&gt;=$S136),$V136,$U136)))=Milestones!$AB$105),UPPER(TEXT(EDATE($D136,Milestones!$AA$105),"dd mmm yy"))&amp;" "&amp;Milestones!$AB$105&amp;" "&amp;Milestones!$AC$105&amp;";  ","")&amp;IF(AND(EDATE($D136,Milestones!$AA$106)&lt;=AsOfDate,IF($R136=0,$X136,IF(AND($T136&lt;&gt;"",EDATE($D136,Milestones!$AA$106)&gt;=$T136),$W136,IF(AND($S136&lt;&gt;"",EDATE($D136,Milestones!$AA$106)&gt;=$S136),$V136,$U136)))=Milestones!$AB$106),UPPER(TEXT(EDATE($D136,Milestones!$AA$106),"dd mmm yy"))&amp;" "&amp;Milestones!$AB$106&amp;" "&amp;Milestones!$AC$106&amp;";  ","")&amp;IF(AND(EDATE($D136,Milestones!$AA$107)&lt;=AsOfDate,IF($R136=0,$X136,IF(AND($T136&lt;&gt;"",EDATE($D136,Milestones!$AA$107)&gt;=$T136),$W136,IF(AND($S136&lt;&gt;"",EDATE($D136,Milestones!$AA$107)&gt;=$S136),$V136,$U136)))=Milestones!$AB$107),UPPER(TEXT(EDATE($D136,Milestones!$AA$107),"dd mmm yy"))&amp;" "&amp;Milestones!$AB$107&amp;" "&amp;Milestones!$AC$107&amp;";  ","")&amp;IF(AND(EDATE($D136,Milestones!$AA$108)&lt;=AsOfDate,IF($R136=0,$X136,IF(AND($T136&lt;&gt;"",EDATE($D136,Milestones!$AA$108)&gt;=$T136),$W136,IF(AND($S136&lt;&gt;"",EDATE($D136,Milestones!$AA$108)&gt;=$S136),$V136,$U136)))=Milestones!$AB$108),UPPER(TEXT(EDATE($D136,Milestones!$AA$108),"dd mmm yy"))&amp;" "&amp;Milestones!$AB$108&amp;" "&amp;Milestones!$AC$108&amp;";  ","")&amp;IF(AND(EDATE($D136,Milestones!$AA$109)&lt;=AsOfDate,IF($R136=0,$X136,IF(AND($T136&lt;&gt;"",EDATE($D136,Milestones!$AA$109)&gt;=$T136),$W136,IF(AND($S136&lt;&gt;"",EDATE($D136,Milestones!$AA$109)&gt;=$S136),$V136,$U136)))=Milestones!$AB$109),UPPER(TEXT(EDATE($D136,Milestones!$AA$109),"dd mmm yy"))&amp;" "&amp;Milestones!$AB$109&amp;" "&amp;Milestones!$AC$109&amp;";  ","")&amp;IF(AND(EDATE($D136,Milestones!$AA$110)&lt;=AsOfDate,IF($R136=0,$X136,IF(AND($T136&lt;&gt;"",EDATE($D136,Milestones!$AA$110)&gt;=$T136),$W136,IF(AND($S136&lt;&gt;"",EDATE($D136,Milestones!$AA$110)&gt;=$S136),$V136,$U136)))=Milestones!$AB$110),UPPER(TEXT(EDATE($D136,Milestones!$AA$110),"dd mmm yy"))&amp;" "&amp;Milestones!$AB$110&amp;" "&amp;Milestones!$AC$110&amp;";  ","")&amp;IF(AND(EDATE($D136,Milestones!$AA$111)&lt;=AsOfDate,IF($R136=0,$X136,IF(AND($T136&lt;&gt;"",EDATE($D136,Milestones!$AA$111)&gt;=$T136),$W136,IF(AND($S136&lt;&gt;"",EDATE($D136,Milestones!$AA$111)&gt;=$S136),$V136,$U136)))=Milestones!$AB$111),UPPER(TEXT(EDATE($D136,Milestones!$AA$111),"dd mmm yy"))&amp;" "&amp;Milestones!$AB$111&amp;" "&amp;Milestones!$AC$111&amp;";  ","")&amp;IF(AND(EDATE($D136,Milestones!$AA$112)&lt;=AsOfDate,IF($R136=0,$X136,IF(AND($T136&lt;&gt;"",EDATE($D136,Milestones!$AA$112)&gt;=$T136),$W136,IF(AND($S136&lt;&gt;"",EDATE($D136,Milestones!$AA$112)&gt;=$S136),$V136,$U136)))=Milestones!$AB$112),UPPER(TEXT(EDATE($D136,Milestones!$AA$112),"dd mmm yy"))&amp;" "&amp;Milestones!$AB$112&amp;" "&amp;Milestones!$AC$112&amp;";  ","")&amp;IF(AND(EDATE($D136,Milestones!$AA$113)&lt;=AsOfDate,IF($R136=0,$X136,IF(AND($T136&lt;&gt;"",EDATE($D136,Milestones!$AA$113)&gt;=$T136),$W136,IF(AND($S136&lt;&gt;"",EDATE($D136,Milestones!$AA$113)&gt;=$S136),$V136,$U136)))=Milestones!$AB$113),UPPER(TEXT(EDATE($D136,Milestones!$AA$113),"dd mmm yy"))&amp;" "&amp;Milestones!$AB$113&amp;" "&amp;Milestones!$AC$113&amp;";  ","")&amp;IF(AND(EDATE($D136,Milestones!$AA$114)&lt;=AsOfDate,IF($R136=0,$X136,IF(AND($T136&lt;&gt;"",EDATE($D136,Milestones!$AA$114)&gt;=$T136),$W136,IF(AND($S136&lt;&gt;"",EDATE($D136,Milestones!$AA$114)&gt;=$S136),$V136,$U136)))=Milestones!$AB$114),UPPER(TEXT(EDATE($D136,Milestones!$AA$114),"dd mmm yy"))&amp;" "&amp;Milestones!$AB$114&amp;" "&amp;Milestones!$AC$114&amp;";  ","")&amp;IF(AND(EDATE($D136,Milestones!$AA$115)&lt;=AsOfDate,IF($R136=0,$X136,IF(AND($T136&lt;&gt;"",EDATE($D136,Milestones!$AA$115)&gt;=$T136),$W136,IF(AND($S136&lt;&gt;"",EDATE($D136,Milestones!$AA$115)&gt;=$S136),$V136,$U136)))=Milestones!$AB$115),UPPER(TEXT(EDATE($D136,Milestones!$AA$115),"dd mmm yy"))&amp;" "&amp;Milestones!$AB$115&amp;" "&amp;Milestones!$AC$115&amp;";  ","")&amp;IF(AND(EDATE($D136,Milestones!$AA$116)&lt;=AsOfDate,IF($R136=0,$X136,IF(AND($T136&lt;&gt;"",EDATE($D136,Milestones!$AA$116)&gt;=$T136),$W136,IF(AND($S136&lt;&gt;"",EDATE($D136,Milestones!$AA$116)&gt;=$S136),$V136,$U136)))=Milestones!$AB$116),UPPER(TEXT(EDATE($D136,Milestones!$AA$116),"dd mmm yy"))&amp;" "&amp;Milestones!$AB$116&amp;" "&amp;Milestones!$AC$116&amp;";  ","")&amp;IF(AND(EDATE($D136,Milestones!$AA$117)&lt;=AsOfDate,IF($R136=0,$X136,IF(AND($T136&lt;&gt;"",EDATE($D136,Milestones!$AA$117)&gt;=$T136),$W136,IF(AND($S136&lt;&gt;"",EDATE($D136,Milestones!$AA$117)&gt;=$S136),$V136,$U136)))=Milestones!$AB$117),UPPER(TEXT(EDATE($D136,Milestones!$AA$117),"dd mmm yy"))&amp;" "&amp;Milestones!$AB$117&amp;" "&amp;Milestones!$AC$117&amp;";  ","")&amp;IF(AND(EDATE($D136,Milestones!$AA$118)&lt;=AsOfDate,IF($R136=0,$X136,IF(AND($T136&lt;&gt;"",EDATE($D136,Milestones!$AA$118)&gt;=$T136),$W136,IF(AND($S136&lt;&gt;"",EDATE($D136,Milestones!$AA$118)&gt;=$S136),$V136,$U136)))=Milestones!$AB$118),UPPER(TEXT(EDATE($D136,Milestones!$AA$118),"dd mmm yy"))&amp;" "&amp;Milestones!$AB$118&amp;" "&amp;Milestones!$AC$118&amp;";  ","")&amp;IF(AND(EDATE($D136,Milestones!$AA$119)&lt;=AsOfDate,IF($R136=0,$X136,IF(AND($T136&lt;&gt;"",EDATE($D136,Milestones!$AA$119)&gt;=$T136),$W136,IF(AND($S136&lt;&gt;"",EDATE($D136,Milestones!$AA$119)&gt;=$S136),$V136,$U136)))=Milestones!$AB$119),UPPER(TEXT(EDATE($D136,Milestones!$AA$119),"dd mmm yy"))&amp;" "&amp;Milestones!$AB$119&amp;" "&amp;Milestones!$AC$119&amp;";  ",""))</f>
        <v/>
      </c>
      <c r="N136" s="0" t="str">
        <f aca="false">IF(OR($A136="",$D136=""),"",IF(AND(EDATE($D136,Milestones!$AA$120)&lt;=AsOfDate,IF($R136=0,$X136,IF(AND($T136&lt;&gt;"",EDATE($D136,Milestones!$AA$120)&gt;=$T136),$W136,IF(AND($S136&lt;&gt;"",EDATE($D136,Milestones!$AA$120)&gt;=$S136),$V136,$U136)))=Milestones!$AB$120),UPPER(TEXT(EDATE($D136,Milestones!$AA$120),"dd mmm yy"))&amp;" "&amp;Milestones!$AB$120&amp;" "&amp;Milestones!$AC$120&amp;";  ","")&amp;IF(AND(EDATE($D136,Milestones!$AA$121)&lt;=AsOfDate,IF($R136=0,$X136,IF(AND($T136&lt;&gt;"",EDATE($D136,Milestones!$AA$121)&gt;=$T136),$W136,IF(AND($S136&lt;&gt;"",EDATE($D136,Milestones!$AA$121)&gt;=$S136),$V136,$U136)))=Milestones!$AB$121),UPPER(TEXT(EDATE($D136,Milestones!$AA$121),"dd mmm yy"))&amp;" "&amp;Milestones!$AB$121&amp;" "&amp;Milestones!$AC$121&amp;";  ","")&amp;IF(AND(EDATE($D136,Milestones!$AA$122)&lt;=AsOfDate,IF($R136=0,$X136,IF(AND($T136&lt;&gt;"",EDATE($D136,Milestones!$AA$122)&gt;=$T136),$W136,IF(AND($S136&lt;&gt;"",EDATE($D136,Milestones!$AA$122)&gt;=$S136),$V136,$U136)))=Milestones!$AB$122),UPPER(TEXT(EDATE($D136,Milestones!$AA$122),"dd mmm yy"))&amp;" "&amp;Milestones!$AB$122&amp;" "&amp;Milestones!$AC$122&amp;";  ","")&amp;IF(AND(EDATE($D136,Milestones!$AA$123)&lt;=AsOfDate,IF($R136=0,$X136,IF(AND($T136&lt;&gt;"",EDATE($D136,Milestones!$AA$123)&gt;=$T136),$W136,IF(AND($S136&lt;&gt;"",EDATE($D136,Milestones!$AA$123)&gt;=$S136),$V136,$U136)))=Milestones!$AB$123),UPPER(TEXT(EDATE($D136,Milestones!$AA$123),"dd mmm yy"))&amp;" "&amp;Milestones!$AB$123&amp;" "&amp;Milestones!$AC$123&amp;";  ","")&amp;IF(AND(EDATE($D136,Milestones!$AA$124)&lt;=AsOfDate,IF($R136=0,$X136,IF(AND($T136&lt;&gt;"",EDATE($D136,Milestones!$AA$124)&gt;=$T136),$W136,IF(AND($S136&lt;&gt;"",EDATE($D136,Milestones!$AA$124)&gt;=$S136),$V136,$U136)))=Milestones!$AB$124),UPPER(TEXT(EDATE($D136,Milestones!$AA$124),"dd mmm yy"))&amp;" "&amp;Milestones!$AB$124&amp;" "&amp;Milestones!$AC$124&amp;";  ","")&amp;IF(AND(EDATE($D136,Milestones!$AA$125)&lt;=AsOfDate,IF($R136=0,$X136,IF(AND($T136&lt;&gt;"",EDATE($D136,Milestones!$AA$125)&gt;=$T136),$W136,IF(AND($S136&lt;&gt;"",EDATE($D136,Milestones!$AA$125)&gt;=$S136),$V136,$U136)))=Milestones!$AB$125),UPPER(TEXT(EDATE($D136,Milestones!$AA$125),"dd mmm yy"))&amp;" "&amp;Milestones!$AB$125&amp;" "&amp;Milestones!$AC$125&amp;";  ","")&amp;IF(AND(EDATE($D136,Milestones!$AA$126)&lt;=AsOfDate,IF($R136=0,$X136,IF(AND($T136&lt;&gt;"",EDATE($D136,Milestones!$AA$126)&gt;=$T136),$W136,IF(AND($S136&lt;&gt;"",EDATE($D136,Milestones!$AA$126)&gt;=$S136),$V136,$U136)))=Milestones!$AB$126),UPPER(TEXT(EDATE($D136,Milestones!$AA$126),"dd mmm yy"))&amp;" "&amp;Milestones!$AB$126&amp;" "&amp;Milestones!$AC$126&amp;";  ","")&amp;IF(AND(EDATE($D136,Milestones!$AA$127)&lt;=AsOfDate,IF($R136=0,$X136,IF(AND($T136&lt;&gt;"",EDATE($D136,Milestones!$AA$127)&gt;=$T136),$W136,IF(AND($S136&lt;&gt;"",EDATE($D136,Milestones!$AA$127)&gt;=$S136),$V136,$U136)))=Milestones!$AB$127),UPPER(TEXT(EDATE($D136,Milestones!$AA$127),"dd mmm yy"))&amp;" "&amp;Milestones!$AB$127&amp;" "&amp;Milestones!$AC$127&amp;";  ","")&amp;IF(AND(EDATE($D136,Milestones!$AA$128)&lt;=AsOfDate,IF($R136=0,$X136,IF(AND($T136&lt;&gt;"",EDATE($D136,Milestones!$AA$128)&gt;=$T136),$W136,IF(AND($S136&lt;&gt;"",EDATE($D136,Milestones!$AA$128)&gt;=$S136),$V136,$U136)))=Milestones!$AB$128),UPPER(TEXT(EDATE($D136,Milestones!$AA$128),"dd mmm yy"))&amp;" "&amp;Milestones!$AB$128&amp;" "&amp;Milestones!$AC$128&amp;";  ","")&amp;IF(AND(EDATE($D136,Milestones!$AA$129)&lt;=AsOfDate,IF($R136=0,$X136,IF(AND($T136&lt;&gt;"",EDATE($D136,Milestones!$AA$129)&gt;=$T136),$W136,IF(AND($S136&lt;&gt;"",EDATE($D136,Milestones!$AA$129)&gt;=$S136),$V136,$U136)))=Milestones!$AB$129),UPPER(TEXT(EDATE($D136,Milestones!$AA$129),"dd mmm yy"))&amp;" "&amp;Milestones!$AB$129&amp;" "&amp;Milestones!$AC$129&amp;";  ","")&amp;IF(AND(EDATE($D136,Milestones!$AA$130)&lt;=AsOfDate,IF($R136=0,$X136,IF(AND($T136&lt;&gt;"",EDATE($D136,Milestones!$AA$130)&gt;=$T136),$W136,IF(AND($S136&lt;&gt;"",EDATE($D136,Milestones!$AA$130)&gt;=$S136),$V136,$U136)))=Milestones!$AB$130),UPPER(TEXT(EDATE($D136,Milestones!$AA$130),"dd mmm yy"))&amp;" "&amp;Milestones!$AB$130&amp;" "&amp;Milestones!$AC$130&amp;";  ","")&amp;IF(AND(EDATE($D136,Milestones!$AA$131)&lt;=AsOfDate,IF($R136=0,$X136,IF(AND($T136&lt;&gt;"",EDATE($D136,Milestones!$AA$131)&gt;=$T136),$W136,IF(AND($S136&lt;&gt;"",EDATE($D136,Milestones!$AA$131)&gt;=$S136),$V136,$U136)))=Milestones!$AB$131),UPPER(TEXT(EDATE($D136,Milestones!$AA$131),"dd mmm yy"))&amp;" "&amp;Milestones!$AB$131&amp;" "&amp;Milestones!$AC$131&amp;";  ","")&amp;IF(AND(EDATE($D136,Milestones!$AA$132)&lt;=AsOfDate,IF($R136=0,$X136,IF(AND($T136&lt;&gt;"",EDATE($D136,Milestones!$AA$132)&gt;=$T136),$W136,IF(AND($S136&lt;&gt;"",EDATE($D136,Milestones!$AA$132)&gt;=$S136),$V136,$U136)))=Milestones!$AB$132),UPPER(TEXT(EDATE($D136,Milestones!$AA$132),"dd mmm yy"))&amp;" "&amp;Milestones!$AB$132&amp;" "&amp;Milestones!$AC$132&amp;";  ","")&amp;IF(AND(EDATE($D136,Milestones!$AA$133)&lt;=AsOfDate,IF($R136=0,$X136,IF(AND($T136&lt;&gt;"",EDATE($D136,Milestones!$AA$133)&gt;=$T136),$W136,IF(AND($S136&lt;&gt;"",EDATE($D136,Milestones!$AA$133)&gt;=$S136),$V136,$U136)))=Milestones!$AB$133),UPPER(TEXT(EDATE($D136,Milestones!$AA$133),"dd mmm yy"))&amp;" "&amp;Milestones!$AB$133&amp;" "&amp;Milestones!$AC$133&amp;";  ","")&amp;IF(AND(EDATE($D136,Milestones!$AA$134)&lt;=AsOfDate,IF($R136=0,$X136,IF(AND($T136&lt;&gt;"",EDATE($D136,Milestones!$AA$134)&gt;=$T136),$W136,IF(AND($S136&lt;&gt;"",EDATE($D136,Milestones!$AA$134)&gt;=$S136),$V136,$U136)))=Milestones!$AB$134),UPPER(TEXT(EDATE($D136,Milestones!$AA$134),"dd mmm yy"))&amp;" "&amp;Milestones!$AB$134&amp;" "&amp;Milestones!$AC$134&amp;";  ","")&amp;IF(AND(EDATE($D136,Milestones!$AA$135)&lt;=AsOfDate,IF($R136=0,$X136,IF(AND($T136&lt;&gt;"",EDATE($D136,Milestones!$AA$135)&gt;=$T136),$W136,IF(AND($S136&lt;&gt;"",EDATE($D136,Milestones!$AA$135)&gt;=$S136),$V136,$U136)))=Milestones!$AB$135),UPPER(TEXT(EDATE($D136,Milestones!$AA$135),"dd mmm yy"))&amp;" "&amp;Milestones!$AB$135&amp;" "&amp;Milestones!$AC$135&amp;";  ","")&amp;IF(AND(EDATE($D136,Milestones!$AA$136)&lt;=AsOfDate,IF($R136=0,$X136,IF(AND($T136&lt;&gt;"",EDATE($D136,Milestones!$AA$136)&gt;=$T136),$W136,IF(AND($S136&lt;&gt;"",EDATE($D136,Milestones!$AA$136)&gt;=$S136),$V136,$U136)))=Milestones!$AB$136),UPPER(TEXT(EDATE($D136,Milestones!$AA$136),"dd mmm yy"))&amp;" "&amp;Milestones!$AB$136&amp;" "&amp;Milestones!$AC$136&amp;";  ","")&amp;IF(AND(EDATE($D136,Milestones!$AA$137)&lt;=AsOfDate,IF($R136=0,$X136,IF(AND($T136&lt;&gt;"",EDATE($D136,Milestones!$AA$137)&gt;=$T136),$W136,IF(AND($S136&lt;&gt;"",EDATE($D136,Milestones!$AA$137)&gt;=$S136),$V136,$U136)))=Milestones!$AB$137),UPPER(TEXT(EDATE($D136,Milestones!$AA$137),"dd mmm yy"))&amp;" "&amp;Milestones!$AB$137&amp;" "&amp;Milestones!$AC$137&amp;";  ","")&amp;IF(AND(EDATE($D136,Milestones!$AA$138)&lt;=AsOfDate,IF($R136=0,$X136,IF(AND($T136&lt;&gt;"",EDATE($D136,Milestones!$AA$138)&gt;=$T136),$W136,IF(AND($S136&lt;&gt;"",EDATE($D136,Milestones!$AA$138)&gt;=$S136),$V136,$U136)))=Milestones!$AB$138),UPPER(TEXT(EDATE($D136,Milestones!$AA$138),"dd mmm yy"))&amp;" "&amp;Milestones!$AB$138&amp;" "&amp;Milestones!$AC$138&amp;";  ","")&amp;IF(AND(EDATE($D136,Milestones!$AA$139)&lt;=AsOfDate,IF($R136=0,$X136,IF(AND($T136&lt;&gt;"",EDATE($D136,Milestones!$AA$139)&gt;=$T136),$W136,IF(AND($S136&lt;&gt;"",EDATE($D136,Milestones!$AA$139)&gt;=$S136),$V136,$U136)))=Milestones!$AB$139),UPPER(TEXT(EDATE($D136,Milestones!$AA$139),"dd mmm yy"))&amp;" "&amp;Milestones!$AB$139&amp;" "&amp;Milestones!$AC$139&amp;";  ",""))</f>
        <v/>
      </c>
      <c r="O136" s="0" t="str">
        <f aca="false">IF(OR($A136="",$D136=""),"",IF(AND(EDATE($D136,Milestones!$AA$140)&lt;=AsOfDate,IF($R136=0,$X136,IF(AND($T136&lt;&gt;"",EDATE($D136,Milestones!$AA$140)&gt;=$T136),$W136,IF(AND($S136&lt;&gt;"",EDATE($D136,Milestones!$AA$140)&gt;=$S136),$V136,$U136)))=Milestones!$AB$140),UPPER(TEXT(EDATE($D136,Milestones!$AA$140),"dd mmm yy"))&amp;" "&amp;Milestones!$AB$140&amp;" "&amp;Milestones!$AC$140&amp;";  ","")&amp;IF(AND(EDATE($D136,Milestones!$AA$141)&lt;=AsOfDate,IF($R136=0,$X136,IF(AND($T136&lt;&gt;"",EDATE($D136,Milestones!$AA$141)&gt;=$T136),$W136,IF(AND($S136&lt;&gt;"",EDATE($D136,Milestones!$AA$141)&gt;=$S136),$V136,$U136)))=Milestones!$AB$141),UPPER(TEXT(EDATE($D136,Milestones!$AA$141),"dd mmm yy"))&amp;" "&amp;Milestones!$AB$141&amp;" "&amp;Milestones!$AC$141&amp;";  ","")&amp;IF(AND(EDATE($D136,Milestones!$AA$142)&lt;=AsOfDate,IF($R136=0,$X136,IF(AND($T136&lt;&gt;"",EDATE($D136,Milestones!$AA$142)&gt;=$T136),$W136,IF(AND($S136&lt;&gt;"",EDATE($D136,Milestones!$AA$142)&gt;=$S136),$V136,$U136)))=Milestones!$AB$142),UPPER(TEXT(EDATE($D136,Milestones!$AA$142),"dd mmm yy"))&amp;" "&amp;Milestones!$AB$142&amp;" "&amp;Milestones!$AC$142&amp;";  ","")&amp;IF(AND(EDATE($D136,Milestones!$AA$143)&lt;=AsOfDate,IF($R136=0,$X136,IF(AND($T136&lt;&gt;"",EDATE($D136,Milestones!$AA$143)&gt;=$T136),$W136,IF(AND($S136&lt;&gt;"",EDATE($D136,Milestones!$AA$143)&gt;=$S136),$V136,$U136)))=Milestones!$AB$143),UPPER(TEXT(EDATE($D136,Milestones!$AA$143),"dd mmm yy"))&amp;" "&amp;Milestones!$AB$143&amp;" "&amp;Milestones!$AC$143&amp;";  ","")&amp;IF(AND(EDATE($D136,Milestones!$AA$144)&lt;=AsOfDate,IF($R136=0,$X136,IF(AND($T136&lt;&gt;"",EDATE($D136,Milestones!$AA$144)&gt;=$T136),$W136,IF(AND($S136&lt;&gt;"",EDATE($D136,Milestones!$AA$144)&gt;=$S136),$V136,$U136)))=Milestones!$AB$144),UPPER(TEXT(EDATE($D136,Milestones!$AA$144),"dd mmm yy"))&amp;" "&amp;Milestones!$AB$144&amp;" "&amp;Milestones!$AC$144&amp;";  ","")&amp;IF(AND(EDATE($D136,Milestones!$AA$145)&lt;=AsOfDate,IF($R136=0,$X136,IF(AND($T136&lt;&gt;"",EDATE($D136,Milestones!$AA$145)&gt;=$T136),$W136,IF(AND($S136&lt;&gt;"",EDATE($D136,Milestones!$AA$145)&gt;=$S136),$V136,$U136)))=Milestones!$AB$145),UPPER(TEXT(EDATE($D136,Milestones!$AA$145),"dd mmm yy"))&amp;" "&amp;Milestones!$AB$145&amp;" "&amp;Milestones!$AC$145&amp;";  ","")&amp;IF(AND(EDATE($D136,Milestones!$AA$146)&lt;=AsOfDate,IF($R136=0,$X136,IF(AND($T136&lt;&gt;"",EDATE($D136,Milestones!$AA$146)&gt;=$T136),$W136,IF(AND($S136&lt;&gt;"",EDATE($D136,Milestones!$AA$146)&gt;=$S136),$V136,$U136)))=Milestones!$AB$146),UPPER(TEXT(EDATE($D136,Milestones!$AA$146),"dd mmm yy"))&amp;" "&amp;Milestones!$AB$146&amp;" "&amp;Milestones!$AC$146&amp;";  ","")&amp;IF(AND(EDATE($D136,Milestones!$AA$147)&lt;=AsOfDate,IF($R136=0,$X136,IF(AND($T136&lt;&gt;"",EDATE($D136,Milestones!$AA$147)&gt;=$T136),$W136,IF(AND($S136&lt;&gt;"",EDATE($D136,Milestones!$AA$147)&gt;=$S136),$V136,$U136)))=Milestones!$AB$147),UPPER(TEXT(EDATE($D136,Milestones!$AA$147),"dd mmm yy"))&amp;" "&amp;Milestones!$AB$147&amp;" "&amp;Milestones!$AC$147&amp;";  ","")&amp;IF(AND(EDATE($D136,Milestones!$AA$148)&lt;=AsOfDate,IF($R136=0,$X136,IF(AND($T136&lt;&gt;"",EDATE($D136,Milestones!$AA$148)&gt;=$T136),$W136,IF(AND($S136&lt;&gt;"",EDATE($D136,Milestones!$AA$148)&gt;=$S136),$V136,$U136)))=Milestones!$AB$148),UPPER(TEXT(EDATE($D136,Milestones!$AA$148),"dd mmm yy"))&amp;" "&amp;Milestones!$AB$148&amp;" "&amp;Milestones!$AC$148&amp;";  ","")&amp;IF(AND(EDATE($D136,Milestones!$AA$149)&lt;=AsOfDate,IF($R136=0,$X136,IF(AND($T136&lt;&gt;"",EDATE($D136,Milestones!$AA$149)&gt;=$T136),$W136,IF(AND($S136&lt;&gt;"",EDATE($D136,Milestones!$AA$149)&gt;=$S136),$V136,$U136)))=Milestones!$AB$149),UPPER(TEXT(EDATE($D136,Milestones!$AA$149),"dd mmm yy"))&amp;" "&amp;Milestones!$AB$149&amp;" "&amp;Milestones!$AC$149&amp;";  ","")&amp;IF(AND(EDATE($D136,Milestones!$AA$150)&lt;=AsOfDate,IF($R136=0,$X136,IF(AND($T136&lt;&gt;"",EDATE($D136,Milestones!$AA$150)&gt;=$T136),$W136,IF(AND($S136&lt;&gt;"",EDATE($D136,Milestones!$AA$150)&gt;=$S136),$V136,$U136)))=Milestones!$AB$150),UPPER(TEXT(EDATE($D136,Milestones!$AA$150),"dd mmm yy"))&amp;" "&amp;Milestones!$AB$150&amp;" "&amp;Milestones!$AC$150&amp;";  ","")&amp;IF(AND(EDATE($D136,Milestones!$AA$151)&lt;=AsOfDate,IF($R136=0,$X136,IF(AND($T136&lt;&gt;"",EDATE($D136,Milestones!$AA$151)&gt;=$T136),$W136,IF(AND($S136&lt;&gt;"",EDATE($D136,Milestones!$AA$151)&gt;=$S136),$V136,$U136)))=Milestones!$AB$151),UPPER(TEXT(EDATE($D136,Milestones!$AA$151),"dd mmm yy"))&amp;" "&amp;Milestones!$AB$151&amp;" "&amp;Milestones!$AC$151&amp;";  ","")&amp;IF(AND(EDATE($D136,Milestones!$AA$152)&lt;=AsOfDate,IF($R136=0,$X136,IF(AND($T136&lt;&gt;"",EDATE($D136,Milestones!$AA$152)&gt;=$T136),$W136,IF(AND($S136&lt;&gt;"",EDATE($D136,Milestones!$AA$152)&gt;=$S136),$V136,$U136)))=Milestones!$AB$152),UPPER(TEXT(EDATE($D136,Milestones!$AA$152),"dd mmm yy"))&amp;" "&amp;Milestones!$AB$152&amp;" "&amp;Milestones!$AC$152&amp;";  ","")&amp;IF(AND(EDATE($D136,Milestones!$AA$153)&lt;=AsOfDate,IF($R136=0,$X136,IF(AND($T136&lt;&gt;"",EDATE($D136,Milestones!$AA$153)&gt;=$T136),$W136,IF(AND($S136&lt;&gt;"",EDATE($D136,Milestones!$AA$153)&gt;=$S136),$V136,$U136)))=Milestones!$AB$153),UPPER(TEXT(EDATE($D136,Milestones!$AA$153),"dd mmm yy"))&amp;" "&amp;Milestones!$AB$153&amp;" "&amp;Milestones!$AC$153&amp;";  ","")&amp;IF(AND(EDATE($D136,Milestones!$AA$154)&lt;=AsOfDate,IF($R136=0,$X136,IF(AND($T136&lt;&gt;"",EDATE($D136,Milestones!$AA$154)&gt;=$T136),$W136,IF(AND($S136&lt;&gt;"",EDATE($D136,Milestones!$AA$154)&gt;=$S136),$V136,$U136)))=Milestones!$AB$154),UPPER(TEXT(EDATE($D136,Milestones!$AA$154),"dd mmm yy"))&amp;" "&amp;Milestones!$AB$154&amp;" "&amp;Milestones!$AC$154&amp;";  ","")&amp;IF(AND(EDATE($D136,Milestones!$AA$155)&lt;=AsOfDate,IF($R136=0,$X136,IF(AND($T136&lt;&gt;"",EDATE($D136,Milestones!$AA$155)&gt;=$T136),$W136,IF(AND($S136&lt;&gt;"",EDATE($D136,Milestones!$AA$155)&gt;=$S136),$V136,$U136)))=Milestones!$AB$155),UPPER(TEXT(EDATE($D136,Milestones!$AA$155),"dd mmm yy"))&amp;" "&amp;Milestones!$AB$155&amp;" "&amp;Milestones!$AC$155&amp;";  ","")&amp;IF(AND(EDATE($D136,Milestones!$AA$156)&lt;=AsOfDate,IF($R136=0,$X136,IF(AND($T136&lt;&gt;"",EDATE($D136,Milestones!$AA$156)&gt;=$T136),$W136,IF(AND($S136&lt;&gt;"",EDATE($D136,Milestones!$AA$156)&gt;=$S136),$V136,$U136)))=Milestones!$AB$156),UPPER(TEXT(EDATE($D136,Milestones!$AA$156),"dd mmm yy"))&amp;" "&amp;Milestones!$AB$156&amp;" "&amp;Milestones!$AC$156&amp;";  ","")&amp;IF(AND(EDATE($D136,Milestones!$AA$157)&lt;=AsOfDate,IF($R136=0,$X136,IF(AND($T136&lt;&gt;"",EDATE($D136,Milestones!$AA$157)&gt;=$T136),$W136,IF(AND($S136&lt;&gt;"",EDATE($D136,Milestones!$AA$157)&gt;=$S136),$V136,$U136)))=Milestones!$AB$157),UPPER(TEXT(EDATE($D136,Milestones!$AA$157),"dd mmm yy"))&amp;" "&amp;Milestones!$AB$157&amp;" "&amp;Milestones!$AC$157&amp;";  ","")&amp;IF(AND(EDATE($D136,Milestones!$AA$158)&lt;=AsOfDate,IF($R136=0,$X136,IF(AND($T136&lt;&gt;"",EDATE($D136,Milestones!$AA$158)&gt;=$T136),$W136,IF(AND($S136&lt;&gt;"",EDATE($D136,Milestones!$AA$158)&gt;=$S136),$V136,$U136)))=Milestones!$AB$158),UPPER(TEXT(EDATE($D136,Milestones!$AA$158),"dd mmm yy"))&amp;" "&amp;Milestones!$AB$158&amp;" "&amp;Milestones!$AC$158&amp;";  ","")&amp;IF(AND(EDATE($D136,Milestones!$AA$159)&lt;=AsOfDate,IF($R136=0,$X136,IF(AND($T136&lt;&gt;"",EDATE($D136,Milestones!$AA$159)&gt;=$T136),$W136,IF(AND($S136&lt;&gt;"",EDATE($D136,Milestones!$AA$159)&gt;=$S136),$V136,$U136)))=Milestones!$AB$159),UPPER(TEXT(EDATE($D136,Milestones!$AA$159),"dd mmm yy"))&amp;" "&amp;Milestones!$AB$159&amp;" "&amp;Milestones!$AC$159&amp;";  ",""))</f>
        <v/>
      </c>
      <c r="P136" s="0" t="str">
        <f aca="false">IF(OR($A136="",$D136=""),"",IF(AND(EDATE($D136,Milestones!$AA$160)&lt;=AsOfDate,IF($R136=0,$X136,IF(AND($T136&lt;&gt;"",EDATE($D136,Milestones!$AA$160)&gt;=$T136),$W136,IF(AND($S136&lt;&gt;"",EDATE($D136,Milestones!$AA$160)&gt;=$S136),$V136,$U136)))=Milestones!$AB$160),UPPER(TEXT(EDATE($D136,Milestones!$AA$160),"dd mmm yy"))&amp;" "&amp;Milestones!$AB$160&amp;" "&amp;Milestones!$AC$160&amp;";  ","")&amp;IF(AND(EDATE($D136,Milestones!$AA$161)&lt;=AsOfDate,IF($R136=0,$X136,IF(AND($T136&lt;&gt;"",EDATE($D136,Milestones!$AA$161)&gt;=$T136),$W136,IF(AND($S136&lt;&gt;"",EDATE($D136,Milestones!$AA$161)&gt;=$S136),$V136,$U136)))=Milestones!$AB$161),UPPER(TEXT(EDATE($D136,Milestones!$AA$161),"dd mmm yy"))&amp;" "&amp;Milestones!$AB$161&amp;" "&amp;Milestones!$AC$161&amp;";  ","")&amp;IF(AND(EDATE($D136,Milestones!$AA$162)&lt;=AsOfDate,IF($R136=0,$X136,IF(AND($T136&lt;&gt;"",EDATE($D136,Milestones!$AA$162)&gt;=$T136),$W136,IF(AND($S136&lt;&gt;"",EDATE($D136,Milestones!$AA$162)&gt;=$S136),$V136,$U136)))=Milestones!$AB$162),UPPER(TEXT(EDATE($D136,Milestones!$AA$162),"dd mmm yy"))&amp;" "&amp;Milestones!$AB$162&amp;" "&amp;Milestones!$AC$162&amp;";  ","")&amp;IF(AND(EDATE($D136,Milestones!$AA$163)&lt;=AsOfDate,IF($R136=0,$X136,IF(AND($T136&lt;&gt;"",EDATE($D136,Milestones!$AA$163)&gt;=$T136),$W136,IF(AND($S136&lt;&gt;"",EDATE($D136,Milestones!$AA$163)&gt;=$S136),$V136,$U136)))=Milestones!$AB$163),UPPER(TEXT(EDATE($D136,Milestones!$AA$163),"dd mmm yy"))&amp;" "&amp;Milestones!$AB$163&amp;" "&amp;Milestones!$AC$163&amp;";  ","")&amp;IF(AND(EDATE($D136,Milestones!$AA$164)&lt;=AsOfDate,IF($R136=0,$X136,IF(AND($T136&lt;&gt;"",EDATE($D136,Milestones!$AA$164)&gt;=$T136),$W136,IF(AND($S136&lt;&gt;"",EDATE($D136,Milestones!$AA$164)&gt;=$S136),$V136,$U136)))=Milestones!$AB$164),UPPER(TEXT(EDATE($D136,Milestones!$AA$164),"dd mmm yy"))&amp;" "&amp;Milestones!$AB$164&amp;" "&amp;Milestones!$AC$164&amp;";  ","")&amp;IF(AND(EDATE($D136,Milestones!$AA$165)&lt;=AsOfDate,IF($R136=0,$X136,IF(AND($T136&lt;&gt;"",EDATE($D136,Milestones!$AA$165)&gt;=$T136),$W136,IF(AND($S136&lt;&gt;"",EDATE($D136,Milestones!$AA$165)&gt;=$S136),$V136,$U136)))=Milestones!$AB$165),UPPER(TEXT(EDATE($D136,Milestones!$AA$165),"dd mmm yy"))&amp;" "&amp;Milestones!$AB$165&amp;" "&amp;Milestones!$AC$165&amp;";  ","")&amp;IF(AND(EDATE($D136,Milestones!$AA$166)&lt;=AsOfDate,IF($R136=0,$X136,IF(AND($T136&lt;&gt;"",EDATE($D136,Milestones!$AA$166)&gt;=$T136),$W136,IF(AND($S136&lt;&gt;"",EDATE($D136,Milestones!$AA$166)&gt;=$S136),$V136,$U136)))=Milestones!$AB$166),UPPER(TEXT(EDATE($D136,Milestones!$AA$166),"dd mmm yy"))&amp;" "&amp;Milestones!$AB$166&amp;" "&amp;Milestones!$AC$166&amp;";  ","")&amp;IF(AND(EDATE($D136,Milestones!$AA$167)&lt;=AsOfDate,IF($R136=0,$X136,IF(AND($T136&lt;&gt;"",EDATE($D136,Milestones!$AA$167)&gt;=$T136),$W136,IF(AND($S136&lt;&gt;"",EDATE($D136,Milestones!$AA$167)&gt;=$S136),$V136,$U136)))=Milestones!$AB$167),UPPER(TEXT(EDATE($D136,Milestones!$AA$167),"dd mmm yy"))&amp;" "&amp;Milestones!$AB$167&amp;" "&amp;Milestones!$AC$167&amp;";  ","")&amp;IF(AND(EDATE($D136,Milestones!$AA$168)&lt;=AsOfDate,IF($R136=0,$X136,IF(AND($T136&lt;&gt;"",EDATE($D136,Milestones!$AA$168)&gt;=$T136),$W136,IF(AND($S136&lt;&gt;"",EDATE($D136,Milestones!$AA$168)&gt;=$S136),$V136,$U136)))=Milestones!$AB$168),UPPER(TEXT(EDATE($D136,Milestones!$AA$168),"dd mmm yy"))&amp;" "&amp;Milestones!$AB$168&amp;" "&amp;Milestones!$AC$168&amp;";  ","")&amp;IF(AND(EDATE($D136,Milestones!$AA$169)&lt;=AsOfDate,IF($R136=0,$X136,IF(AND($T136&lt;&gt;"",EDATE($D136,Milestones!$AA$169)&gt;=$T136),$W136,IF(AND($S136&lt;&gt;"",EDATE($D136,Milestones!$AA$169)&gt;=$S136),$V136,$U136)))=Milestones!$AB$169),UPPER(TEXT(EDATE($D136,Milestones!$AA$169),"dd mmm yy"))&amp;" "&amp;Milestones!$AB$169&amp;" "&amp;Milestones!$AC$169&amp;";  ","")&amp;IF(AND(EDATE($D136,Milestones!$AA$170)&lt;=AsOfDate,IF($R136=0,$X136,IF(AND($T136&lt;&gt;"",EDATE($D136,Milestones!$AA$170)&gt;=$T136),$W136,IF(AND($S136&lt;&gt;"",EDATE($D136,Milestones!$AA$170)&gt;=$S136),$V136,$U136)))=Milestones!$AB$170),UPPER(TEXT(EDATE($D136,Milestones!$AA$170),"dd mmm yy"))&amp;" "&amp;Milestones!$AB$170&amp;" "&amp;Milestones!$AC$170&amp;";  ","")&amp;IF(AND(EDATE($D136,Milestones!$AA$171)&lt;=AsOfDate,IF($R136=0,$X136,IF(AND($T136&lt;&gt;"",EDATE($D136,Milestones!$AA$171)&gt;=$T136),$W136,IF(AND($S136&lt;&gt;"",EDATE($D136,Milestones!$AA$171)&gt;=$S136),$V136,$U136)))=Milestones!$AB$171),UPPER(TEXT(EDATE($D136,Milestones!$AA$171),"dd mmm yy"))&amp;" "&amp;Milestones!$AB$171&amp;" "&amp;Milestones!$AC$171&amp;";  ","")&amp;IF(AND(EDATE($D136,Milestones!$AA$172)&lt;=AsOfDate,IF($R136=0,$X136,IF(AND($T136&lt;&gt;"",EDATE($D136,Milestones!$AA$172)&gt;=$T136),$W136,IF(AND($S136&lt;&gt;"",EDATE($D136,Milestones!$AA$172)&gt;=$S136),$V136,$U136)))=Milestones!$AB$172),UPPER(TEXT(EDATE($D136,Milestones!$AA$172),"dd mmm yy"))&amp;" "&amp;Milestones!$AB$172&amp;" "&amp;Milestones!$AC$172&amp;";  ","")&amp;IF(AND(EDATE($D136,Milestones!$AA$173)&lt;=AsOfDate,IF($R136=0,$X136,IF(AND($T136&lt;&gt;"",EDATE($D136,Milestones!$AA$173)&gt;=$T136),$W136,IF(AND($S136&lt;&gt;"",EDATE($D136,Milestones!$AA$173)&gt;=$S136),$V136,$U136)))=Milestones!$AB$173),UPPER(TEXT(EDATE($D136,Milestones!$AA$173),"dd mmm yy"))&amp;" "&amp;Milestones!$AB$173&amp;" "&amp;Milestones!$AC$173&amp;";  ","")&amp;IF(AND(EDATE($D136,Milestones!$AA$174)&lt;=AsOfDate,IF($R136=0,$X136,IF(AND($T136&lt;&gt;"",EDATE($D136,Milestones!$AA$174)&gt;=$T136),$W136,IF(AND($S136&lt;&gt;"",EDATE($D136,Milestones!$AA$174)&gt;=$S136),$V136,$U136)))=Milestones!$AB$174),UPPER(TEXT(EDATE($D136,Milestones!$AA$174),"dd mmm yy"))&amp;" "&amp;Milestones!$AB$174&amp;" "&amp;Milestones!$AC$174&amp;";  ","")&amp;IF(AND(EDATE($D136,Milestones!$AA$175)&lt;=AsOfDate,IF($R136=0,$X136,IF(AND($T136&lt;&gt;"",EDATE($D136,Milestones!$AA$175)&gt;=$T136),$W136,IF(AND($S136&lt;&gt;"",EDATE($D136,Milestones!$AA$175)&gt;=$S136),$V136,$U136)))=Milestones!$AB$175),UPPER(TEXT(EDATE($D136,Milestones!$AA$175),"dd mmm yy"))&amp;" "&amp;Milestones!$AB$175&amp;" "&amp;Milestones!$AC$175&amp;";  ","")&amp;IF(AND(EDATE($D136,Milestones!$AA$176)&lt;=AsOfDate,IF($R136=0,$X136,IF(AND($T136&lt;&gt;"",EDATE($D136,Milestones!$AA$176)&gt;=$T136),$W136,IF(AND($S136&lt;&gt;"",EDATE($D136,Milestones!$AA$176)&gt;=$S136),$V136,$U136)))=Milestones!$AB$176),UPPER(TEXT(EDATE($D136,Milestones!$AA$176),"dd mmm yy"))&amp;" "&amp;Milestones!$AB$176&amp;" "&amp;Milestones!$AC$176&amp;";  ","")&amp;IF(AND(EDATE($D136,Milestones!$AA$177)&lt;=AsOfDate,IF($R136=0,$X136,IF(AND($T136&lt;&gt;"",EDATE($D136,Milestones!$AA$177)&gt;=$T136),$W136,IF(AND($S136&lt;&gt;"",EDATE($D136,Milestones!$AA$177)&gt;=$S136),$V136,$U136)))=Milestones!$AB$177),UPPER(TEXT(EDATE($D136,Milestones!$AA$177),"dd mmm yy"))&amp;" "&amp;Milestones!$AB$177&amp;" "&amp;Milestones!$AC$177&amp;";  ","")&amp;IF(AND(EDATE($D136,Milestones!$AA$178)&lt;=AsOfDate,IF($R136=0,$X136,IF(AND($T136&lt;&gt;"",EDATE($D136,Milestones!$AA$178)&gt;=$T136),$W136,IF(AND($S136&lt;&gt;"",EDATE($D136,Milestones!$AA$178)&gt;=$S136),$V136,$U136)))=Milestones!$AB$178),UPPER(TEXT(EDATE($D136,Milestones!$AA$178),"dd mmm yy"))&amp;" "&amp;Milestones!$AB$178&amp;" "&amp;Milestones!$AC$178&amp;";  ","")&amp;IF(AND(EDATE($D136,Milestones!$AA$179)&lt;=AsOfDate,IF($R136=0,$X136,IF(AND($T136&lt;&gt;"",EDATE($D136,Milestones!$AA$179)&gt;=$T136),$W136,IF(AND($S136&lt;&gt;"",EDATE($D136,Milestones!$AA$179)&gt;=$S136),$V136,$U136)))=Milestones!$AB$179),UPPER(TEXT(EDATE($D136,Milestones!$AA$179),"dd mmm yy"))&amp;" "&amp;Milestones!$AB$179&amp;" "&amp;Milestones!$AC$179&amp;";  ",""))</f>
        <v/>
      </c>
      <c r="Q136" s="0" t="str">
        <f aca="false">IF(OR($A136="",$D136=""),"",IF(AND(EDATE($D136,Milestones!$AA$180)&lt;=AsOfDate,IF($R136=0,$X136,IF(AND($T136&lt;&gt;"",EDATE($D136,Milestones!$AA$180)&gt;=$T136),$W136,IF(AND($S136&lt;&gt;"",EDATE($D136,Milestones!$AA$180)&gt;=$S136),$V136,$U136)))=Milestones!$AB$180),UPPER(TEXT(EDATE($D136,Milestones!$AA$180),"dd mmm yy"))&amp;" "&amp;Milestones!$AB$180&amp;" "&amp;Milestones!$AC$180&amp;";  ","")&amp;IF(AND(EDATE($D136,Milestones!$AA$181)&lt;=AsOfDate,IF($R136=0,$X136,IF(AND($T136&lt;&gt;"",EDATE($D136,Milestones!$AA$181)&gt;=$T136),$W136,IF(AND($S136&lt;&gt;"",EDATE($D136,Milestones!$AA$181)&gt;=$S136),$V136,$U136)))=Milestones!$AB$181),UPPER(TEXT(EDATE($D136,Milestones!$AA$181),"dd mmm yy"))&amp;" "&amp;Milestones!$AB$181&amp;" "&amp;Milestones!$AC$181&amp;";  ","")&amp;IF(AND(EDATE($D136,Milestones!$AA$182)&lt;=AsOfDate,IF($R136=0,$X136,IF(AND($T136&lt;&gt;"",EDATE($D136,Milestones!$AA$182)&gt;=$T136),$W136,IF(AND($S136&lt;&gt;"",EDATE($D136,Milestones!$AA$182)&gt;=$S136),$V136,$U136)))=Milestones!$AB$182),UPPER(TEXT(EDATE($D136,Milestones!$AA$182),"dd mmm yy"))&amp;" "&amp;Milestones!$AB$182&amp;" "&amp;Milestones!$AC$182&amp;";  ","")&amp;IF(AND(EDATE($D136,Milestones!$AA$183)&lt;=AsOfDate,IF($R136=0,$X136,IF(AND($T136&lt;&gt;"",EDATE($D136,Milestones!$AA$183)&gt;=$T136),$W136,IF(AND($S136&lt;&gt;"",EDATE($D136,Milestones!$AA$183)&gt;=$S136),$V136,$U136)))=Milestones!$AB$183),UPPER(TEXT(EDATE($D136,Milestones!$AA$183),"dd mmm yy"))&amp;" "&amp;Milestones!$AB$183&amp;" "&amp;Milestones!$AC$183&amp;";  ","")&amp;IF(AND(EDATE($D136,Milestones!$AA$184)&lt;=AsOfDate,IF($R136=0,$X136,IF(AND($T136&lt;&gt;"",EDATE($D136,Milestones!$AA$184)&gt;=$T136),$W136,IF(AND($S136&lt;&gt;"",EDATE($D136,Milestones!$AA$184)&gt;=$S136),$V136,$U136)))=Milestones!$AB$184),UPPER(TEXT(EDATE($D136,Milestones!$AA$184),"dd mmm yy"))&amp;" "&amp;Milestones!$AB$184&amp;" "&amp;Milestones!$AC$184&amp;";  ","")&amp;IF(AND(EDATE($D136,Milestones!$AA$185)&lt;=AsOfDate,IF($R136=0,$X136,IF(AND($T136&lt;&gt;"",EDATE($D136,Milestones!$AA$185)&gt;=$T136),$W136,IF(AND($S136&lt;&gt;"",EDATE($D136,Milestones!$AA$185)&gt;=$S136),$V136,$U136)))=Milestones!$AB$185),UPPER(TEXT(EDATE($D136,Milestones!$AA$185),"dd mmm yy"))&amp;" "&amp;Milestones!$AB$185&amp;" "&amp;Milestones!$AC$185&amp;";  ","")&amp;IF(AND(EDATE($D136,Milestones!$AA$186)&lt;=AsOfDate,IF($R136=0,$X136,IF(AND($T136&lt;&gt;"",EDATE($D136,Milestones!$AA$186)&gt;=$T136),$W136,IF(AND($S136&lt;&gt;"",EDATE($D136,Milestones!$AA$186)&gt;=$S136),$V136,$U136)))=Milestones!$AB$186),UPPER(TEXT(EDATE($D136,Milestones!$AA$186),"dd mmm yy"))&amp;" "&amp;Milestones!$AB$186&amp;" "&amp;Milestones!$AC$186&amp;";  ","")&amp;IF(AND(EDATE($D136,Milestones!$AA$187)&lt;=AsOfDate,IF($R136=0,$X136,IF(AND($T136&lt;&gt;"",EDATE($D136,Milestones!$AA$187)&gt;=$T136),$W136,IF(AND($S136&lt;&gt;"",EDATE($D136,Milestones!$AA$187)&gt;=$S136),$V136,$U136)))=Milestones!$AB$187),UPPER(TEXT(EDATE($D136,Milestones!$AA$187),"dd mmm yy"))&amp;" "&amp;Milestones!$AB$187&amp;" "&amp;Milestones!$AC$187&amp;";  ","")&amp;IF(AND(EDATE($D136,Milestones!$AA$188)&lt;=AsOfDate,IF($R136=0,$X136,IF(AND($T136&lt;&gt;"",EDATE($D136,Milestones!$AA$188)&gt;=$T136),$W136,IF(AND($S136&lt;&gt;"",EDATE($D136,Milestones!$AA$188)&gt;=$S136),$V136,$U136)))=Milestones!$AB$188),UPPER(TEXT(EDATE($D136,Milestones!$AA$188),"dd mmm yy"))&amp;" "&amp;Milestones!$AB$188&amp;" "&amp;Milestones!$AC$188&amp;";  ","")&amp;IF(AND(EDATE($D136,Milestones!$AA$189)&lt;=AsOfDate,IF($R136=0,$X136,IF(AND($T136&lt;&gt;"",EDATE($D136,Milestones!$AA$189)&gt;=$T136),$W136,IF(AND($S136&lt;&gt;"",EDATE($D136,Milestones!$AA$189)&gt;=$S136),$V136,$U136)))=Milestones!$AB$189),UPPER(TEXT(EDATE($D136,Milestones!$AA$189),"dd mmm yy"))&amp;" "&amp;Milestones!$AB$189&amp;" "&amp;Milestones!$AC$189&amp;";  ","")&amp;IF(AND(EDATE($D136,Milestones!$AA$190)&lt;=AsOfDate,IF($R136=0,$X136,IF(AND($T136&lt;&gt;"",EDATE($D136,Milestones!$AA$190)&gt;=$T136),$W136,IF(AND($S136&lt;&gt;"",EDATE($D136,Milestones!$AA$190)&gt;=$S136),$V136,$U136)))=Milestones!$AB$190),UPPER(TEXT(EDATE($D136,Milestones!$AA$190),"dd mmm yy"))&amp;" "&amp;Milestones!$AB$190&amp;" "&amp;Milestones!$AC$190&amp;";  ","")&amp;IF(AND(EDATE($D136,Milestones!$AA$191)&lt;=AsOfDate,IF($R136=0,$X136,IF(AND($T136&lt;&gt;"",EDATE($D136,Milestones!$AA$191)&gt;=$T136),$W136,IF(AND($S136&lt;&gt;"",EDATE($D136,Milestones!$AA$191)&gt;=$S136),$V136,$U136)))=Milestones!$AB$191),UPPER(TEXT(EDATE($D136,Milestones!$AA$191),"dd mmm yy"))&amp;" "&amp;Milestones!$AB$191&amp;" "&amp;Milestones!$AC$191&amp;";  ","")&amp;IF(AND(EDATE($D136,Milestones!$AA$192)&lt;=AsOfDate,IF($R136=0,$X136,IF(AND($T136&lt;&gt;"",EDATE($D136,Milestones!$AA$192)&gt;=$T136),$W136,IF(AND($S136&lt;&gt;"",EDATE($D136,Milestones!$AA$192)&gt;=$S136),$V136,$U136)))=Milestones!$AB$192),UPPER(TEXT(EDATE($D136,Milestones!$AA$192),"dd mmm yy"))&amp;" "&amp;Milestones!$AB$192&amp;" "&amp;Milestones!$AC$192&amp;";  ","")&amp;IF(AND(EDATE($D136,Milestones!$AA$193)&lt;=AsOfDate,IF($R136=0,$X136,IF(AND($T136&lt;&gt;"",EDATE($D136,Milestones!$AA$193)&gt;=$T136),$W136,IF(AND($S136&lt;&gt;"",EDATE($D136,Milestones!$AA$193)&gt;=$S136),$V136,$U136)))=Milestones!$AB$193),UPPER(TEXT(EDATE($D136,Milestones!$AA$193),"dd mmm yy"))&amp;" "&amp;Milestones!$AB$193&amp;" "&amp;Milestones!$AC$193&amp;";  ","")&amp;IF(AND(EDATE($D136,Milestones!$AA$194)&lt;=AsOfDate,IF($R136=0,$X136,IF(AND($T136&lt;&gt;"",EDATE($D136,Milestones!$AA$194)&gt;=$T136),$W136,IF(AND($S136&lt;&gt;"",EDATE($D136,Milestones!$AA$194)&gt;=$S136),$V136,$U136)))=Milestones!$AB$194),UPPER(TEXT(EDATE($D136,Milestones!$AA$194),"dd mmm yy"))&amp;" "&amp;Milestones!$AB$194&amp;" "&amp;Milestones!$AC$194&amp;";  ","")&amp;IF(AND(EDATE($D136,Milestones!$AA$195)&lt;=AsOfDate,IF($R136=0,$X136,IF(AND($T136&lt;&gt;"",EDATE($D136,Milestones!$AA$195)&gt;=$T136),$W136,IF(AND($S136&lt;&gt;"",EDATE($D136,Milestones!$AA$195)&gt;=$S136),$V136,$U136)))=Milestones!$AB$195),UPPER(TEXT(EDATE($D136,Milestones!$AA$195),"dd mmm yy"))&amp;" "&amp;Milestones!$AB$195&amp;" "&amp;Milestones!$AC$195&amp;";  ","")&amp;IF(AND(EDATE($D136,Milestones!$AA$196)&lt;=AsOfDate,IF($R136=0,$X136,IF(AND($T136&lt;&gt;"",EDATE($D136,Milestones!$AA$196)&gt;=$T136),$W136,IF(AND($S136&lt;&gt;"",EDATE($D136,Milestones!$AA$196)&gt;=$S136),$V136,$U136)))=Milestones!$AB$196),UPPER(TEXT(EDATE($D136,Milestones!$AA$196),"dd mmm yy"))&amp;" "&amp;Milestones!$AB$196&amp;" "&amp;Milestones!$AC$196&amp;";  ","")&amp;IF(AND(EDATE($D136,Milestones!$AA$197)&lt;=AsOfDate,IF($R136=0,$X136,IF(AND($T136&lt;&gt;"",EDATE($D136,Milestones!$AA$197)&gt;=$T136),$W136,IF(AND($S136&lt;&gt;"",EDATE($D136,Milestones!$AA$197)&gt;=$S136),$V136,$U136)))=Milestones!$AB$197),UPPER(TEXT(EDATE($D136,Milestones!$AA$197),"dd mmm yy"))&amp;" "&amp;Milestones!$AB$197&amp;" "&amp;Milestones!$AC$197&amp;";  ","")&amp;IF(AND(EDATE($D136,Milestones!$AA$198)&lt;=AsOfDate,IF($R136=0,$X136,IF(AND($T136&lt;&gt;"",EDATE($D136,Milestones!$AA$198)&gt;=$T136),$W136,IF(AND($S136&lt;&gt;"",EDATE($D136,Milestones!$AA$198)&gt;=$S136),$V136,$U136)))=Milestones!$AB$198),UPPER(TEXT(EDATE($D136,Milestones!$AA$198),"dd mmm yy"))&amp;" "&amp;Milestones!$AB$198&amp;" "&amp;Milestones!$AC$198&amp;";  ","")&amp;IF(AND(EDATE($D136,Milestones!$AA$199)&lt;=AsOfDate,IF($R136=0,$X136,IF(AND($T136&lt;&gt;"",EDATE($D136,Milestones!$AA$199)&gt;=$T136),$W136,IF(AND($S136&lt;&gt;"",EDATE($D136,Milestones!$AA$199)&gt;=$S136),$V136,$U136)))=Milestones!$AB$199),UPPER(TEXT(EDATE($D136,Milestones!$AA$199),"dd mmm yy"))&amp;" "&amp;Milestones!$AB$199&amp;" "&amp;Milestones!$AC$199&amp;";  ",""))</f>
        <v/>
      </c>
      <c r="R136" s="0" t="str">
        <f aca="false">IF(Staff!$A136="","",Staff!$AI136)</f>
        <v/>
      </c>
      <c r="S136" s="0" t="str">
        <f aca="false">IF(Staff!$A136="","",Staff!$AK136)</f>
        <v/>
      </c>
      <c r="T136" s="0" t="str">
        <f aca="false">IF(Staff!$A136="","",Staff!$AL136)</f>
        <v/>
      </c>
      <c r="U136" s="0" t="str">
        <f aca="false">IF(Staff!$A136="","",Staff!$AP136)</f>
        <v/>
      </c>
      <c r="V136" s="0" t="str">
        <f aca="false">IF(Staff!$A136="","",Staff!$AQ136)</f>
        <v/>
      </c>
      <c r="W136" s="0" t="str">
        <f aca="false">IF(Staff!$A136="","",Staff!$AR136)</f>
        <v/>
      </c>
      <c r="X136" s="0" t="str">
        <f aca="false">IF(Staff!$A136="","",Staff!$AS136)</f>
        <v/>
      </c>
    </row>
    <row r="137" customFormat="false" ht="15" hidden="false" customHeight="false" outlineLevel="0" collapsed="false">
      <c r="A137" s="14" t="str">
        <f aca="false">IF(Staff!$A137="","",Staff!$A137)</f>
        <v/>
      </c>
      <c r="B137" s="14" t="str">
        <f aca="false">IF(Staff!$A137="","",Staff!$B137)</f>
        <v/>
      </c>
      <c r="C137" s="14" t="str">
        <f aca="false">IF(Staff!$A137="","",Staff!$C137)</f>
        <v/>
      </c>
      <c r="D137" s="12" t="str">
        <f aca="false">IF(Staff!$A137="","",Staff!$AH137)</f>
        <v/>
      </c>
      <c r="E137" s="14" t="str">
        <f aca="false">IF(Staff!$A137="","",Staff!$O137)</f>
        <v/>
      </c>
      <c r="F137" s="14" t="str">
        <f aca="false">IF(E137="","",E137*HoursPerDay)</f>
        <v/>
      </c>
      <c r="G137" s="14" t="str">
        <f aca="false">IF(Staff!$A137="","",Staff!$AE137)</f>
        <v/>
      </c>
      <c r="H137" s="26" t="str">
        <f aca="false">IF($A137="","",I137&amp;J137&amp;K137&amp;L137&amp;M137&amp;N137&amp;O137&amp;P137&amp;Q137)</f>
        <v/>
      </c>
      <c r="I137" s="0" t="str">
        <f aca="false">IF(OR($A137="",$D137=""),"",IF(AND(EDATE($D137,Milestones!$AA$20)&lt;=AsOfDate,IF($R137=0,$X137,IF(AND($T137&lt;&gt;"",EDATE($D137,Milestones!$AA$20)&gt;=$T137),$W137,IF(AND($S137&lt;&gt;"",EDATE($D137,Milestones!$AA$20)&gt;=$S137),$V137,$U137)))=Milestones!$AB$20),UPPER(TEXT(EDATE($D137,Milestones!$AA$20),"dd mmm yy"))&amp;" "&amp;Milestones!$AB$20&amp;" "&amp;Milestones!$AC$20&amp;";  ","")&amp;IF(AND(EDATE($D137,Milestones!$AA$21)&lt;=AsOfDate,IF($R137=0,$X137,IF(AND($T137&lt;&gt;"",EDATE($D137,Milestones!$AA$21)&gt;=$T137),$W137,IF(AND($S137&lt;&gt;"",EDATE($D137,Milestones!$AA$21)&gt;=$S137),$V137,$U137)))=Milestones!$AB$21),UPPER(TEXT(EDATE($D137,Milestones!$AA$21),"dd mmm yy"))&amp;" "&amp;Milestones!$AB$21&amp;" "&amp;Milestones!$AC$21&amp;";  ","")&amp;IF(AND(EDATE($D137,Milestones!$AA$22)&lt;=AsOfDate,IF($R137=0,$X137,IF(AND($T137&lt;&gt;"",EDATE($D137,Milestones!$AA$22)&gt;=$T137),$W137,IF(AND($S137&lt;&gt;"",EDATE($D137,Milestones!$AA$22)&gt;=$S137),$V137,$U137)))=Milestones!$AB$22),UPPER(TEXT(EDATE($D137,Milestones!$AA$22),"dd mmm yy"))&amp;" "&amp;Milestones!$AB$22&amp;" "&amp;Milestones!$AC$22&amp;";  ","")&amp;IF(AND(EDATE($D137,Milestones!$AA$23)&lt;=AsOfDate,IF($R137=0,$X137,IF(AND($T137&lt;&gt;"",EDATE($D137,Milestones!$AA$23)&gt;=$T137),$W137,IF(AND($S137&lt;&gt;"",EDATE($D137,Milestones!$AA$23)&gt;=$S137),$V137,$U137)))=Milestones!$AB$23),UPPER(TEXT(EDATE($D137,Milestones!$AA$23),"dd mmm yy"))&amp;" "&amp;Milestones!$AB$23&amp;" "&amp;Milestones!$AC$23&amp;";  ","")&amp;IF(AND(EDATE($D137,Milestones!$AA$24)&lt;=AsOfDate,IF($R137=0,$X137,IF(AND($T137&lt;&gt;"",EDATE($D137,Milestones!$AA$24)&gt;=$T137),$W137,IF(AND($S137&lt;&gt;"",EDATE($D137,Milestones!$AA$24)&gt;=$S137),$V137,$U137)))=Milestones!$AB$24),UPPER(TEXT(EDATE($D137,Milestones!$AA$24),"dd mmm yy"))&amp;" "&amp;Milestones!$AB$24&amp;" "&amp;Milestones!$AC$24&amp;";  ","")&amp;IF(AND(EDATE($D137,Milestones!$AA$25)&lt;=AsOfDate,IF($R137=0,$X137,IF(AND($T137&lt;&gt;"",EDATE($D137,Milestones!$AA$25)&gt;=$T137),$W137,IF(AND($S137&lt;&gt;"",EDATE($D137,Milestones!$AA$25)&gt;=$S137),$V137,$U137)))=Milestones!$AB$25),UPPER(TEXT(EDATE($D137,Milestones!$AA$25),"dd mmm yy"))&amp;" "&amp;Milestones!$AB$25&amp;" "&amp;Milestones!$AC$25&amp;";  ","")&amp;IF(AND(EDATE($D137,Milestones!$AA$26)&lt;=AsOfDate,IF($R137=0,$X137,IF(AND($T137&lt;&gt;"",EDATE($D137,Milestones!$AA$26)&gt;=$T137),$W137,IF(AND($S137&lt;&gt;"",EDATE($D137,Milestones!$AA$26)&gt;=$S137),$V137,$U137)))=Milestones!$AB$26),UPPER(TEXT(EDATE($D137,Milestones!$AA$26),"dd mmm yy"))&amp;" "&amp;Milestones!$AB$26&amp;" "&amp;Milestones!$AC$26&amp;";  ","")&amp;IF(AND(EDATE($D137,Milestones!$AA$27)&lt;=AsOfDate,IF($R137=0,$X137,IF(AND($T137&lt;&gt;"",EDATE($D137,Milestones!$AA$27)&gt;=$T137),$W137,IF(AND($S137&lt;&gt;"",EDATE($D137,Milestones!$AA$27)&gt;=$S137),$V137,$U137)))=Milestones!$AB$27),UPPER(TEXT(EDATE($D137,Milestones!$AA$27),"dd mmm yy"))&amp;" "&amp;Milestones!$AB$27&amp;" "&amp;Milestones!$AC$27&amp;";  ","")&amp;IF(AND(EDATE($D137,Milestones!$AA$28)&lt;=AsOfDate,IF($R137=0,$X137,IF(AND($T137&lt;&gt;"",EDATE($D137,Milestones!$AA$28)&gt;=$T137),$W137,IF(AND($S137&lt;&gt;"",EDATE($D137,Milestones!$AA$28)&gt;=$S137),$V137,$U137)))=Milestones!$AB$28),UPPER(TEXT(EDATE($D137,Milestones!$AA$28),"dd mmm yy"))&amp;" "&amp;Milestones!$AB$28&amp;" "&amp;Milestones!$AC$28&amp;";  ","")&amp;IF(AND(EDATE($D137,Milestones!$AA$29)&lt;=AsOfDate,IF($R137=0,$X137,IF(AND($T137&lt;&gt;"",EDATE($D137,Milestones!$AA$29)&gt;=$T137),$W137,IF(AND($S137&lt;&gt;"",EDATE($D137,Milestones!$AA$29)&gt;=$S137),$V137,$U137)))=Milestones!$AB$29),UPPER(TEXT(EDATE($D137,Milestones!$AA$29),"dd mmm yy"))&amp;" "&amp;Milestones!$AB$29&amp;" "&amp;Milestones!$AC$29&amp;";  ","")&amp;IF(AND(EDATE($D137,Milestones!$AA$30)&lt;=AsOfDate,IF($R137=0,$X137,IF(AND($T137&lt;&gt;"",EDATE($D137,Milestones!$AA$30)&gt;=$T137),$W137,IF(AND($S137&lt;&gt;"",EDATE($D137,Milestones!$AA$30)&gt;=$S137),$V137,$U137)))=Milestones!$AB$30),UPPER(TEXT(EDATE($D137,Milestones!$AA$30),"dd mmm yy"))&amp;" "&amp;Milestones!$AB$30&amp;" "&amp;Milestones!$AC$30&amp;";  ","")&amp;IF(AND(EDATE($D137,Milestones!$AA$31)&lt;=AsOfDate,IF($R137=0,$X137,IF(AND($T137&lt;&gt;"",EDATE($D137,Milestones!$AA$31)&gt;=$T137),$W137,IF(AND($S137&lt;&gt;"",EDATE($D137,Milestones!$AA$31)&gt;=$S137),$V137,$U137)))=Milestones!$AB$31),UPPER(TEXT(EDATE($D137,Milestones!$AA$31),"dd mmm yy"))&amp;" "&amp;Milestones!$AB$31&amp;" "&amp;Milestones!$AC$31&amp;";  ","")&amp;IF(AND(EDATE($D137,Milestones!$AA$32)&lt;=AsOfDate,IF($R137=0,$X137,IF(AND($T137&lt;&gt;"",EDATE($D137,Milestones!$AA$32)&gt;=$T137),$W137,IF(AND($S137&lt;&gt;"",EDATE($D137,Milestones!$AA$32)&gt;=$S137),$V137,$U137)))=Milestones!$AB$32),UPPER(TEXT(EDATE($D137,Milestones!$AA$32),"dd mmm yy"))&amp;" "&amp;Milestones!$AB$32&amp;" "&amp;Milestones!$AC$32&amp;";  ","")&amp;IF(AND(EDATE($D137,Milestones!$AA$33)&lt;=AsOfDate,IF($R137=0,$X137,IF(AND($T137&lt;&gt;"",EDATE($D137,Milestones!$AA$33)&gt;=$T137),$W137,IF(AND($S137&lt;&gt;"",EDATE($D137,Milestones!$AA$33)&gt;=$S137),$V137,$U137)))=Milestones!$AB$33),UPPER(TEXT(EDATE($D137,Milestones!$AA$33),"dd mmm yy"))&amp;" "&amp;Milestones!$AB$33&amp;" "&amp;Milestones!$AC$33&amp;";  ","")&amp;IF(AND(EDATE($D137,Milestones!$AA$34)&lt;=AsOfDate,IF($R137=0,$X137,IF(AND($T137&lt;&gt;"",EDATE($D137,Milestones!$AA$34)&gt;=$T137),$W137,IF(AND($S137&lt;&gt;"",EDATE($D137,Milestones!$AA$34)&gt;=$S137),$V137,$U137)))=Milestones!$AB$34),UPPER(TEXT(EDATE($D137,Milestones!$AA$34),"dd mmm yy"))&amp;" "&amp;Milestones!$AB$34&amp;" "&amp;Milestones!$AC$34&amp;";  ","")&amp;IF(AND(EDATE($D137,Milestones!$AA$35)&lt;=AsOfDate,IF($R137=0,$X137,IF(AND($T137&lt;&gt;"",EDATE($D137,Milestones!$AA$35)&gt;=$T137),$W137,IF(AND($S137&lt;&gt;"",EDATE($D137,Milestones!$AA$35)&gt;=$S137),$V137,$U137)))=Milestones!$AB$35),UPPER(TEXT(EDATE($D137,Milestones!$AA$35),"dd mmm yy"))&amp;" "&amp;Milestones!$AB$35&amp;" "&amp;Milestones!$AC$35&amp;";  ","")&amp;IF(AND(EDATE($D137,Milestones!$AA$36)&lt;=AsOfDate,IF($R137=0,$X137,IF(AND($T137&lt;&gt;"",EDATE($D137,Milestones!$AA$36)&gt;=$T137),$W137,IF(AND($S137&lt;&gt;"",EDATE($D137,Milestones!$AA$36)&gt;=$S137),$V137,$U137)))=Milestones!$AB$36),UPPER(TEXT(EDATE($D137,Milestones!$AA$36),"dd mmm yy"))&amp;" "&amp;Milestones!$AB$36&amp;" "&amp;Milestones!$AC$36&amp;";  ","")&amp;IF(AND(EDATE($D137,Milestones!$AA$37)&lt;=AsOfDate,IF($R137=0,$X137,IF(AND($T137&lt;&gt;"",EDATE($D137,Milestones!$AA$37)&gt;=$T137),$W137,IF(AND($S137&lt;&gt;"",EDATE($D137,Milestones!$AA$37)&gt;=$S137),$V137,$U137)))=Milestones!$AB$37),UPPER(TEXT(EDATE($D137,Milestones!$AA$37),"dd mmm yy"))&amp;" "&amp;Milestones!$AB$37&amp;" "&amp;Milestones!$AC$37&amp;";  ","")&amp;IF(AND(EDATE($D137,Milestones!$AA$38)&lt;=AsOfDate,IF($R137=0,$X137,IF(AND($T137&lt;&gt;"",EDATE($D137,Milestones!$AA$38)&gt;=$T137),$W137,IF(AND($S137&lt;&gt;"",EDATE($D137,Milestones!$AA$38)&gt;=$S137),$V137,$U137)))=Milestones!$AB$38),UPPER(TEXT(EDATE($D137,Milestones!$AA$38),"dd mmm yy"))&amp;" "&amp;Milestones!$AB$38&amp;" "&amp;Milestones!$AC$38&amp;";  ","")&amp;IF(AND(EDATE($D137,Milestones!$AA$39)&lt;=AsOfDate,IF($R137=0,$X137,IF(AND($T137&lt;&gt;"",EDATE($D137,Milestones!$AA$39)&gt;=$T137),$W137,IF(AND($S137&lt;&gt;"",EDATE($D137,Milestones!$AA$39)&gt;=$S137),$V137,$U137)))=Milestones!$AB$39),UPPER(TEXT(EDATE($D137,Milestones!$AA$39),"dd mmm yy"))&amp;" "&amp;Milestones!$AB$39&amp;" "&amp;Milestones!$AC$39&amp;";  ",""))</f>
        <v/>
      </c>
      <c r="J137" s="0" t="str">
        <f aca="false">IF(OR($A137="",$D137=""),"",IF(AND(EDATE($D137,Milestones!$AA$40)&lt;=AsOfDate,IF($R137=0,$X137,IF(AND($T137&lt;&gt;"",EDATE($D137,Milestones!$AA$40)&gt;=$T137),$W137,IF(AND($S137&lt;&gt;"",EDATE($D137,Milestones!$AA$40)&gt;=$S137),$V137,$U137)))=Milestones!$AB$40),UPPER(TEXT(EDATE($D137,Milestones!$AA$40),"dd mmm yy"))&amp;" "&amp;Milestones!$AB$40&amp;" "&amp;Milestones!$AC$40&amp;";  ","")&amp;IF(AND(EDATE($D137,Milestones!$AA$41)&lt;=AsOfDate,IF($R137=0,$X137,IF(AND($T137&lt;&gt;"",EDATE($D137,Milestones!$AA$41)&gt;=$T137),$W137,IF(AND($S137&lt;&gt;"",EDATE($D137,Milestones!$AA$41)&gt;=$S137),$V137,$U137)))=Milestones!$AB$41),UPPER(TEXT(EDATE($D137,Milestones!$AA$41),"dd mmm yy"))&amp;" "&amp;Milestones!$AB$41&amp;" "&amp;Milestones!$AC$41&amp;";  ","")&amp;IF(AND(EDATE($D137,Milestones!$AA$42)&lt;=AsOfDate,IF($R137=0,$X137,IF(AND($T137&lt;&gt;"",EDATE($D137,Milestones!$AA$42)&gt;=$T137),$W137,IF(AND($S137&lt;&gt;"",EDATE($D137,Milestones!$AA$42)&gt;=$S137),$V137,$U137)))=Milestones!$AB$42),UPPER(TEXT(EDATE($D137,Milestones!$AA$42),"dd mmm yy"))&amp;" "&amp;Milestones!$AB$42&amp;" "&amp;Milestones!$AC$42&amp;";  ","")&amp;IF(AND(EDATE($D137,Milestones!$AA$43)&lt;=AsOfDate,IF($R137=0,$X137,IF(AND($T137&lt;&gt;"",EDATE($D137,Milestones!$AA$43)&gt;=$T137),$W137,IF(AND($S137&lt;&gt;"",EDATE($D137,Milestones!$AA$43)&gt;=$S137),$V137,$U137)))=Milestones!$AB$43),UPPER(TEXT(EDATE($D137,Milestones!$AA$43),"dd mmm yy"))&amp;" "&amp;Milestones!$AB$43&amp;" "&amp;Milestones!$AC$43&amp;";  ","")&amp;IF(AND(EDATE($D137,Milestones!$AA$44)&lt;=AsOfDate,IF($R137=0,$X137,IF(AND($T137&lt;&gt;"",EDATE($D137,Milestones!$AA$44)&gt;=$T137),$W137,IF(AND($S137&lt;&gt;"",EDATE($D137,Milestones!$AA$44)&gt;=$S137),$V137,$U137)))=Milestones!$AB$44),UPPER(TEXT(EDATE($D137,Milestones!$AA$44),"dd mmm yy"))&amp;" "&amp;Milestones!$AB$44&amp;" "&amp;Milestones!$AC$44&amp;";  ","")&amp;IF(AND(EDATE($D137,Milestones!$AA$45)&lt;=AsOfDate,IF($R137=0,$X137,IF(AND($T137&lt;&gt;"",EDATE($D137,Milestones!$AA$45)&gt;=$T137),$W137,IF(AND($S137&lt;&gt;"",EDATE($D137,Milestones!$AA$45)&gt;=$S137),$V137,$U137)))=Milestones!$AB$45),UPPER(TEXT(EDATE($D137,Milestones!$AA$45),"dd mmm yy"))&amp;" "&amp;Milestones!$AB$45&amp;" "&amp;Milestones!$AC$45&amp;";  ","")&amp;IF(AND(EDATE($D137,Milestones!$AA$46)&lt;=AsOfDate,IF($R137=0,$X137,IF(AND($T137&lt;&gt;"",EDATE($D137,Milestones!$AA$46)&gt;=$T137),$W137,IF(AND($S137&lt;&gt;"",EDATE($D137,Milestones!$AA$46)&gt;=$S137),$V137,$U137)))=Milestones!$AB$46),UPPER(TEXT(EDATE($D137,Milestones!$AA$46),"dd mmm yy"))&amp;" "&amp;Milestones!$AB$46&amp;" "&amp;Milestones!$AC$46&amp;";  ","")&amp;IF(AND(EDATE($D137,Milestones!$AA$47)&lt;=AsOfDate,IF($R137=0,$X137,IF(AND($T137&lt;&gt;"",EDATE($D137,Milestones!$AA$47)&gt;=$T137),$W137,IF(AND($S137&lt;&gt;"",EDATE($D137,Milestones!$AA$47)&gt;=$S137),$V137,$U137)))=Milestones!$AB$47),UPPER(TEXT(EDATE($D137,Milestones!$AA$47),"dd mmm yy"))&amp;" "&amp;Milestones!$AB$47&amp;" "&amp;Milestones!$AC$47&amp;";  ","")&amp;IF(AND(EDATE($D137,Milestones!$AA$48)&lt;=AsOfDate,IF($R137=0,$X137,IF(AND($T137&lt;&gt;"",EDATE($D137,Milestones!$AA$48)&gt;=$T137),$W137,IF(AND($S137&lt;&gt;"",EDATE($D137,Milestones!$AA$48)&gt;=$S137),$V137,$U137)))=Milestones!$AB$48),UPPER(TEXT(EDATE($D137,Milestones!$AA$48),"dd mmm yy"))&amp;" "&amp;Milestones!$AB$48&amp;" "&amp;Milestones!$AC$48&amp;";  ","")&amp;IF(AND(EDATE($D137,Milestones!$AA$49)&lt;=AsOfDate,IF($R137=0,$X137,IF(AND($T137&lt;&gt;"",EDATE($D137,Milestones!$AA$49)&gt;=$T137),$W137,IF(AND($S137&lt;&gt;"",EDATE($D137,Milestones!$AA$49)&gt;=$S137),$V137,$U137)))=Milestones!$AB$49),UPPER(TEXT(EDATE($D137,Milestones!$AA$49),"dd mmm yy"))&amp;" "&amp;Milestones!$AB$49&amp;" "&amp;Milestones!$AC$49&amp;";  ","")&amp;IF(AND(EDATE($D137,Milestones!$AA$50)&lt;=AsOfDate,IF($R137=0,$X137,IF(AND($T137&lt;&gt;"",EDATE($D137,Milestones!$AA$50)&gt;=$T137),$W137,IF(AND($S137&lt;&gt;"",EDATE($D137,Milestones!$AA$50)&gt;=$S137),$V137,$U137)))=Milestones!$AB$50),UPPER(TEXT(EDATE($D137,Milestones!$AA$50),"dd mmm yy"))&amp;" "&amp;Milestones!$AB$50&amp;" "&amp;Milestones!$AC$50&amp;";  ","")&amp;IF(AND(EDATE($D137,Milestones!$AA$51)&lt;=AsOfDate,IF($R137=0,$X137,IF(AND($T137&lt;&gt;"",EDATE($D137,Milestones!$AA$51)&gt;=$T137),$W137,IF(AND($S137&lt;&gt;"",EDATE($D137,Milestones!$AA$51)&gt;=$S137),$V137,$U137)))=Milestones!$AB$51),UPPER(TEXT(EDATE($D137,Milestones!$AA$51),"dd mmm yy"))&amp;" "&amp;Milestones!$AB$51&amp;" "&amp;Milestones!$AC$51&amp;";  ","")&amp;IF(AND(EDATE($D137,Milestones!$AA$52)&lt;=AsOfDate,IF($R137=0,$X137,IF(AND($T137&lt;&gt;"",EDATE($D137,Milestones!$AA$52)&gt;=$T137),$W137,IF(AND($S137&lt;&gt;"",EDATE($D137,Milestones!$AA$52)&gt;=$S137),$V137,$U137)))=Milestones!$AB$52),UPPER(TEXT(EDATE($D137,Milestones!$AA$52),"dd mmm yy"))&amp;" "&amp;Milestones!$AB$52&amp;" "&amp;Milestones!$AC$52&amp;";  ","")&amp;IF(AND(EDATE($D137,Milestones!$AA$53)&lt;=AsOfDate,IF($R137=0,$X137,IF(AND($T137&lt;&gt;"",EDATE($D137,Milestones!$AA$53)&gt;=$T137),$W137,IF(AND($S137&lt;&gt;"",EDATE($D137,Milestones!$AA$53)&gt;=$S137),$V137,$U137)))=Milestones!$AB$53),UPPER(TEXT(EDATE($D137,Milestones!$AA$53),"dd mmm yy"))&amp;" "&amp;Milestones!$AB$53&amp;" "&amp;Milestones!$AC$53&amp;";  ","")&amp;IF(AND(EDATE($D137,Milestones!$AA$54)&lt;=AsOfDate,IF($R137=0,$X137,IF(AND($T137&lt;&gt;"",EDATE($D137,Milestones!$AA$54)&gt;=$T137),$W137,IF(AND($S137&lt;&gt;"",EDATE($D137,Milestones!$AA$54)&gt;=$S137),$V137,$U137)))=Milestones!$AB$54),UPPER(TEXT(EDATE($D137,Milestones!$AA$54),"dd mmm yy"))&amp;" "&amp;Milestones!$AB$54&amp;" "&amp;Milestones!$AC$54&amp;";  ","")&amp;IF(AND(EDATE($D137,Milestones!$AA$55)&lt;=AsOfDate,IF($R137=0,$X137,IF(AND($T137&lt;&gt;"",EDATE($D137,Milestones!$AA$55)&gt;=$T137),$W137,IF(AND($S137&lt;&gt;"",EDATE($D137,Milestones!$AA$55)&gt;=$S137),$V137,$U137)))=Milestones!$AB$55),UPPER(TEXT(EDATE($D137,Milestones!$AA$55),"dd mmm yy"))&amp;" "&amp;Milestones!$AB$55&amp;" "&amp;Milestones!$AC$55&amp;";  ","")&amp;IF(AND(EDATE($D137,Milestones!$AA$56)&lt;=AsOfDate,IF($R137=0,$X137,IF(AND($T137&lt;&gt;"",EDATE($D137,Milestones!$AA$56)&gt;=$T137),$W137,IF(AND($S137&lt;&gt;"",EDATE($D137,Milestones!$AA$56)&gt;=$S137),$V137,$U137)))=Milestones!$AB$56),UPPER(TEXT(EDATE($D137,Milestones!$AA$56),"dd mmm yy"))&amp;" "&amp;Milestones!$AB$56&amp;" "&amp;Milestones!$AC$56&amp;";  ","")&amp;IF(AND(EDATE($D137,Milestones!$AA$57)&lt;=AsOfDate,IF($R137=0,$X137,IF(AND($T137&lt;&gt;"",EDATE($D137,Milestones!$AA$57)&gt;=$T137),$W137,IF(AND($S137&lt;&gt;"",EDATE($D137,Milestones!$AA$57)&gt;=$S137),$V137,$U137)))=Milestones!$AB$57),UPPER(TEXT(EDATE($D137,Milestones!$AA$57),"dd mmm yy"))&amp;" "&amp;Milestones!$AB$57&amp;" "&amp;Milestones!$AC$57&amp;";  ","")&amp;IF(AND(EDATE($D137,Milestones!$AA$58)&lt;=AsOfDate,IF($R137=0,$X137,IF(AND($T137&lt;&gt;"",EDATE($D137,Milestones!$AA$58)&gt;=$T137),$W137,IF(AND($S137&lt;&gt;"",EDATE($D137,Milestones!$AA$58)&gt;=$S137),$V137,$U137)))=Milestones!$AB$58),UPPER(TEXT(EDATE($D137,Milestones!$AA$58),"dd mmm yy"))&amp;" "&amp;Milestones!$AB$58&amp;" "&amp;Milestones!$AC$58&amp;";  ","")&amp;IF(AND(EDATE($D137,Milestones!$AA$59)&lt;=AsOfDate,IF($R137=0,$X137,IF(AND($T137&lt;&gt;"",EDATE($D137,Milestones!$AA$59)&gt;=$T137),$W137,IF(AND($S137&lt;&gt;"",EDATE($D137,Milestones!$AA$59)&gt;=$S137),$V137,$U137)))=Milestones!$AB$59),UPPER(TEXT(EDATE($D137,Milestones!$AA$59),"dd mmm yy"))&amp;" "&amp;Milestones!$AB$59&amp;" "&amp;Milestones!$AC$59&amp;";  ",""))</f>
        <v/>
      </c>
      <c r="K137" s="0" t="str">
        <f aca="false">IF(OR($A137="",$D137=""),"",IF(AND(EDATE($D137,Milestones!$AA$60)&lt;=AsOfDate,IF($R137=0,$X137,IF(AND($T137&lt;&gt;"",EDATE($D137,Milestones!$AA$60)&gt;=$T137),$W137,IF(AND($S137&lt;&gt;"",EDATE($D137,Milestones!$AA$60)&gt;=$S137),$V137,$U137)))=Milestones!$AB$60),UPPER(TEXT(EDATE($D137,Milestones!$AA$60),"dd mmm yy"))&amp;" "&amp;Milestones!$AB$60&amp;" "&amp;Milestones!$AC$60&amp;";  ","")&amp;IF(AND(EDATE($D137,Milestones!$AA$61)&lt;=AsOfDate,IF($R137=0,$X137,IF(AND($T137&lt;&gt;"",EDATE($D137,Milestones!$AA$61)&gt;=$T137),$W137,IF(AND($S137&lt;&gt;"",EDATE($D137,Milestones!$AA$61)&gt;=$S137),$V137,$U137)))=Milestones!$AB$61),UPPER(TEXT(EDATE($D137,Milestones!$AA$61),"dd mmm yy"))&amp;" "&amp;Milestones!$AB$61&amp;" "&amp;Milestones!$AC$61&amp;";  ","")&amp;IF(AND(EDATE($D137,Milestones!$AA$62)&lt;=AsOfDate,IF($R137=0,$X137,IF(AND($T137&lt;&gt;"",EDATE($D137,Milestones!$AA$62)&gt;=$T137),$W137,IF(AND($S137&lt;&gt;"",EDATE($D137,Milestones!$AA$62)&gt;=$S137),$V137,$U137)))=Milestones!$AB$62),UPPER(TEXT(EDATE($D137,Milestones!$AA$62),"dd mmm yy"))&amp;" "&amp;Milestones!$AB$62&amp;" "&amp;Milestones!$AC$62&amp;";  ","")&amp;IF(AND(EDATE($D137,Milestones!$AA$63)&lt;=AsOfDate,IF($R137=0,$X137,IF(AND($T137&lt;&gt;"",EDATE($D137,Milestones!$AA$63)&gt;=$T137),$W137,IF(AND($S137&lt;&gt;"",EDATE($D137,Milestones!$AA$63)&gt;=$S137),$V137,$U137)))=Milestones!$AB$63),UPPER(TEXT(EDATE($D137,Milestones!$AA$63),"dd mmm yy"))&amp;" "&amp;Milestones!$AB$63&amp;" "&amp;Milestones!$AC$63&amp;";  ","")&amp;IF(AND(EDATE($D137,Milestones!$AA$64)&lt;=AsOfDate,IF($R137=0,$X137,IF(AND($T137&lt;&gt;"",EDATE($D137,Milestones!$AA$64)&gt;=$T137),$W137,IF(AND($S137&lt;&gt;"",EDATE($D137,Milestones!$AA$64)&gt;=$S137),$V137,$U137)))=Milestones!$AB$64),UPPER(TEXT(EDATE($D137,Milestones!$AA$64),"dd mmm yy"))&amp;" "&amp;Milestones!$AB$64&amp;" "&amp;Milestones!$AC$64&amp;";  ","")&amp;IF(AND(EDATE($D137,Milestones!$AA$65)&lt;=AsOfDate,IF($R137=0,$X137,IF(AND($T137&lt;&gt;"",EDATE($D137,Milestones!$AA$65)&gt;=$T137),$W137,IF(AND($S137&lt;&gt;"",EDATE($D137,Milestones!$AA$65)&gt;=$S137),$V137,$U137)))=Milestones!$AB$65),UPPER(TEXT(EDATE($D137,Milestones!$AA$65),"dd mmm yy"))&amp;" "&amp;Milestones!$AB$65&amp;" "&amp;Milestones!$AC$65&amp;";  ","")&amp;IF(AND(EDATE($D137,Milestones!$AA$66)&lt;=AsOfDate,IF($R137=0,$X137,IF(AND($T137&lt;&gt;"",EDATE($D137,Milestones!$AA$66)&gt;=$T137),$W137,IF(AND($S137&lt;&gt;"",EDATE($D137,Milestones!$AA$66)&gt;=$S137),$V137,$U137)))=Milestones!$AB$66),UPPER(TEXT(EDATE($D137,Milestones!$AA$66),"dd mmm yy"))&amp;" "&amp;Milestones!$AB$66&amp;" "&amp;Milestones!$AC$66&amp;";  ","")&amp;IF(AND(EDATE($D137,Milestones!$AA$67)&lt;=AsOfDate,IF($R137=0,$X137,IF(AND($T137&lt;&gt;"",EDATE($D137,Milestones!$AA$67)&gt;=$T137),$W137,IF(AND($S137&lt;&gt;"",EDATE($D137,Milestones!$AA$67)&gt;=$S137),$V137,$U137)))=Milestones!$AB$67),UPPER(TEXT(EDATE($D137,Milestones!$AA$67),"dd mmm yy"))&amp;" "&amp;Milestones!$AB$67&amp;" "&amp;Milestones!$AC$67&amp;";  ","")&amp;IF(AND(EDATE($D137,Milestones!$AA$68)&lt;=AsOfDate,IF($R137=0,$X137,IF(AND($T137&lt;&gt;"",EDATE($D137,Milestones!$AA$68)&gt;=$T137),$W137,IF(AND($S137&lt;&gt;"",EDATE($D137,Milestones!$AA$68)&gt;=$S137),$V137,$U137)))=Milestones!$AB$68),UPPER(TEXT(EDATE($D137,Milestones!$AA$68),"dd mmm yy"))&amp;" "&amp;Milestones!$AB$68&amp;" "&amp;Milestones!$AC$68&amp;";  ","")&amp;IF(AND(EDATE($D137,Milestones!$AA$69)&lt;=AsOfDate,IF($R137=0,$X137,IF(AND($T137&lt;&gt;"",EDATE($D137,Milestones!$AA$69)&gt;=$T137),$W137,IF(AND($S137&lt;&gt;"",EDATE($D137,Milestones!$AA$69)&gt;=$S137),$V137,$U137)))=Milestones!$AB$69),UPPER(TEXT(EDATE($D137,Milestones!$AA$69),"dd mmm yy"))&amp;" "&amp;Milestones!$AB$69&amp;" "&amp;Milestones!$AC$69&amp;";  ","")&amp;IF(AND(EDATE($D137,Milestones!$AA$70)&lt;=AsOfDate,IF($R137=0,$X137,IF(AND($T137&lt;&gt;"",EDATE($D137,Milestones!$AA$70)&gt;=$T137),$W137,IF(AND($S137&lt;&gt;"",EDATE($D137,Milestones!$AA$70)&gt;=$S137),$V137,$U137)))=Milestones!$AB$70),UPPER(TEXT(EDATE($D137,Milestones!$AA$70),"dd mmm yy"))&amp;" "&amp;Milestones!$AB$70&amp;" "&amp;Milestones!$AC$70&amp;";  ","")&amp;IF(AND(EDATE($D137,Milestones!$AA$71)&lt;=AsOfDate,IF($R137=0,$X137,IF(AND($T137&lt;&gt;"",EDATE($D137,Milestones!$AA$71)&gt;=$T137),$W137,IF(AND($S137&lt;&gt;"",EDATE($D137,Milestones!$AA$71)&gt;=$S137),$V137,$U137)))=Milestones!$AB$71),UPPER(TEXT(EDATE($D137,Milestones!$AA$71),"dd mmm yy"))&amp;" "&amp;Milestones!$AB$71&amp;" "&amp;Milestones!$AC$71&amp;";  ","")&amp;IF(AND(EDATE($D137,Milestones!$AA$72)&lt;=AsOfDate,IF($R137=0,$X137,IF(AND($T137&lt;&gt;"",EDATE($D137,Milestones!$AA$72)&gt;=$T137),$W137,IF(AND($S137&lt;&gt;"",EDATE($D137,Milestones!$AA$72)&gt;=$S137),$V137,$U137)))=Milestones!$AB$72),UPPER(TEXT(EDATE($D137,Milestones!$AA$72),"dd mmm yy"))&amp;" "&amp;Milestones!$AB$72&amp;" "&amp;Milestones!$AC$72&amp;";  ","")&amp;IF(AND(EDATE($D137,Milestones!$AA$73)&lt;=AsOfDate,IF($R137=0,$X137,IF(AND($T137&lt;&gt;"",EDATE($D137,Milestones!$AA$73)&gt;=$T137),$W137,IF(AND($S137&lt;&gt;"",EDATE($D137,Milestones!$AA$73)&gt;=$S137),$V137,$U137)))=Milestones!$AB$73),UPPER(TEXT(EDATE($D137,Milestones!$AA$73),"dd mmm yy"))&amp;" "&amp;Milestones!$AB$73&amp;" "&amp;Milestones!$AC$73&amp;";  ","")&amp;IF(AND(EDATE($D137,Milestones!$AA$74)&lt;=AsOfDate,IF($R137=0,$X137,IF(AND($T137&lt;&gt;"",EDATE($D137,Milestones!$AA$74)&gt;=$T137),$W137,IF(AND($S137&lt;&gt;"",EDATE($D137,Milestones!$AA$74)&gt;=$S137),$V137,$U137)))=Milestones!$AB$74),UPPER(TEXT(EDATE($D137,Milestones!$AA$74),"dd mmm yy"))&amp;" "&amp;Milestones!$AB$74&amp;" "&amp;Milestones!$AC$74&amp;";  ","")&amp;IF(AND(EDATE($D137,Milestones!$AA$75)&lt;=AsOfDate,IF($R137=0,$X137,IF(AND($T137&lt;&gt;"",EDATE($D137,Milestones!$AA$75)&gt;=$T137),$W137,IF(AND($S137&lt;&gt;"",EDATE($D137,Milestones!$AA$75)&gt;=$S137),$V137,$U137)))=Milestones!$AB$75),UPPER(TEXT(EDATE($D137,Milestones!$AA$75),"dd mmm yy"))&amp;" "&amp;Milestones!$AB$75&amp;" "&amp;Milestones!$AC$75&amp;";  ","")&amp;IF(AND(EDATE($D137,Milestones!$AA$76)&lt;=AsOfDate,IF($R137=0,$X137,IF(AND($T137&lt;&gt;"",EDATE($D137,Milestones!$AA$76)&gt;=$T137),$W137,IF(AND($S137&lt;&gt;"",EDATE($D137,Milestones!$AA$76)&gt;=$S137),$V137,$U137)))=Milestones!$AB$76),UPPER(TEXT(EDATE($D137,Milestones!$AA$76),"dd mmm yy"))&amp;" "&amp;Milestones!$AB$76&amp;" "&amp;Milestones!$AC$76&amp;";  ","")&amp;IF(AND(EDATE($D137,Milestones!$AA$77)&lt;=AsOfDate,IF($R137=0,$X137,IF(AND($T137&lt;&gt;"",EDATE($D137,Milestones!$AA$77)&gt;=$T137),$W137,IF(AND($S137&lt;&gt;"",EDATE($D137,Milestones!$AA$77)&gt;=$S137),$V137,$U137)))=Milestones!$AB$77),UPPER(TEXT(EDATE($D137,Milestones!$AA$77),"dd mmm yy"))&amp;" "&amp;Milestones!$AB$77&amp;" "&amp;Milestones!$AC$77&amp;";  ","")&amp;IF(AND(EDATE($D137,Milestones!$AA$78)&lt;=AsOfDate,IF($R137=0,$X137,IF(AND($T137&lt;&gt;"",EDATE($D137,Milestones!$AA$78)&gt;=$T137),$W137,IF(AND($S137&lt;&gt;"",EDATE($D137,Milestones!$AA$78)&gt;=$S137),$V137,$U137)))=Milestones!$AB$78),UPPER(TEXT(EDATE($D137,Milestones!$AA$78),"dd mmm yy"))&amp;" "&amp;Milestones!$AB$78&amp;" "&amp;Milestones!$AC$78&amp;";  ","")&amp;IF(AND(EDATE($D137,Milestones!$AA$79)&lt;=AsOfDate,IF($R137=0,$X137,IF(AND($T137&lt;&gt;"",EDATE($D137,Milestones!$AA$79)&gt;=$T137),$W137,IF(AND($S137&lt;&gt;"",EDATE($D137,Milestones!$AA$79)&gt;=$S137),$V137,$U137)))=Milestones!$AB$79),UPPER(TEXT(EDATE($D137,Milestones!$AA$79),"dd mmm yy"))&amp;" "&amp;Milestones!$AB$79&amp;" "&amp;Milestones!$AC$79&amp;";  ",""))</f>
        <v/>
      </c>
      <c r="L137" s="0" t="str">
        <f aca="false">IF(OR($A137="",$D137=""),"",IF(AND(EDATE($D137,Milestones!$AA$80)&lt;=AsOfDate,IF($R137=0,$X137,IF(AND($T137&lt;&gt;"",EDATE($D137,Milestones!$AA$80)&gt;=$T137),$W137,IF(AND($S137&lt;&gt;"",EDATE($D137,Milestones!$AA$80)&gt;=$S137),$V137,$U137)))=Milestones!$AB$80),UPPER(TEXT(EDATE($D137,Milestones!$AA$80),"dd mmm yy"))&amp;" "&amp;Milestones!$AB$80&amp;" "&amp;Milestones!$AC$80&amp;";  ","")&amp;IF(AND(EDATE($D137,Milestones!$AA$81)&lt;=AsOfDate,IF($R137=0,$X137,IF(AND($T137&lt;&gt;"",EDATE($D137,Milestones!$AA$81)&gt;=$T137),$W137,IF(AND($S137&lt;&gt;"",EDATE($D137,Milestones!$AA$81)&gt;=$S137),$V137,$U137)))=Milestones!$AB$81),UPPER(TEXT(EDATE($D137,Milestones!$AA$81),"dd mmm yy"))&amp;" "&amp;Milestones!$AB$81&amp;" "&amp;Milestones!$AC$81&amp;";  ","")&amp;IF(AND(EDATE($D137,Milestones!$AA$82)&lt;=AsOfDate,IF($R137=0,$X137,IF(AND($T137&lt;&gt;"",EDATE($D137,Milestones!$AA$82)&gt;=$T137),$W137,IF(AND($S137&lt;&gt;"",EDATE($D137,Milestones!$AA$82)&gt;=$S137),$V137,$U137)))=Milestones!$AB$82),UPPER(TEXT(EDATE($D137,Milestones!$AA$82),"dd mmm yy"))&amp;" "&amp;Milestones!$AB$82&amp;" "&amp;Milestones!$AC$82&amp;";  ","")&amp;IF(AND(EDATE($D137,Milestones!$AA$83)&lt;=AsOfDate,IF($R137=0,$X137,IF(AND($T137&lt;&gt;"",EDATE($D137,Milestones!$AA$83)&gt;=$T137),$W137,IF(AND($S137&lt;&gt;"",EDATE($D137,Milestones!$AA$83)&gt;=$S137),$V137,$U137)))=Milestones!$AB$83),UPPER(TEXT(EDATE($D137,Milestones!$AA$83),"dd mmm yy"))&amp;" "&amp;Milestones!$AB$83&amp;" "&amp;Milestones!$AC$83&amp;";  ","")&amp;IF(AND(EDATE($D137,Milestones!$AA$84)&lt;=AsOfDate,IF($R137=0,$X137,IF(AND($T137&lt;&gt;"",EDATE($D137,Milestones!$AA$84)&gt;=$T137),$W137,IF(AND($S137&lt;&gt;"",EDATE($D137,Milestones!$AA$84)&gt;=$S137),$V137,$U137)))=Milestones!$AB$84),UPPER(TEXT(EDATE($D137,Milestones!$AA$84),"dd mmm yy"))&amp;" "&amp;Milestones!$AB$84&amp;" "&amp;Milestones!$AC$84&amp;";  ","")&amp;IF(AND(EDATE($D137,Milestones!$AA$85)&lt;=AsOfDate,IF($R137=0,$X137,IF(AND($T137&lt;&gt;"",EDATE($D137,Milestones!$AA$85)&gt;=$T137),$W137,IF(AND($S137&lt;&gt;"",EDATE($D137,Milestones!$AA$85)&gt;=$S137),$V137,$U137)))=Milestones!$AB$85),UPPER(TEXT(EDATE($D137,Milestones!$AA$85),"dd mmm yy"))&amp;" "&amp;Milestones!$AB$85&amp;" "&amp;Milestones!$AC$85&amp;";  ","")&amp;IF(AND(EDATE($D137,Milestones!$AA$86)&lt;=AsOfDate,IF($R137=0,$X137,IF(AND($T137&lt;&gt;"",EDATE($D137,Milestones!$AA$86)&gt;=$T137),$W137,IF(AND($S137&lt;&gt;"",EDATE($D137,Milestones!$AA$86)&gt;=$S137),$V137,$U137)))=Milestones!$AB$86),UPPER(TEXT(EDATE($D137,Milestones!$AA$86),"dd mmm yy"))&amp;" "&amp;Milestones!$AB$86&amp;" "&amp;Milestones!$AC$86&amp;";  ","")&amp;IF(AND(EDATE($D137,Milestones!$AA$87)&lt;=AsOfDate,IF($R137=0,$X137,IF(AND($T137&lt;&gt;"",EDATE($D137,Milestones!$AA$87)&gt;=$T137),$W137,IF(AND($S137&lt;&gt;"",EDATE($D137,Milestones!$AA$87)&gt;=$S137),$V137,$U137)))=Milestones!$AB$87),UPPER(TEXT(EDATE($D137,Milestones!$AA$87),"dd mmm yy"))&amp;" "&amp;Milestones!$AB$87&amp;" "&amp;Milestones!$AC$87&amp;";  ","")&amp;IF(AND(EDATE($D137,Milestones!$AA$88)&lt;=AsOfDate,IF($R137=0,$X137,IF(AND($T137&lt;&gt;"",EDATE($D137,Milestones!$AA$88)&gt;=$T137),$W137,IF(AND($S137&lt;&gt;"",EDATE($D137,Milestones!$AA$88)&gt;=$S137),$V137,$U137)))=Milestones!$AB$88),UPPER(TEXT(EDATE($D137,Milestones!$AA$88),"dd mmm yy"))&amp;" "&amp;Milestones!$AB$88&amp;" "&amp;Milestones!$AC$88&amp;";  ","")&amp;IF(AND(EDATE($D137,Milestones!$AA$89)&lt;=AsOfDate,IF($R137=0,$X137,IF(AND($T137&lt;&gt;"",EDATE($D137,Milestones!$AA$89)&gt;=$T137),$W137,IF(AND($S137&lt;&gt;"",EDATE($D137,Milestones!$AA$89)&gt;=$S137),$V137,$U137)))=Milestones!$AB$89),UPPER(TEXT(EDATE($D137,Milestones!$AA$89),"dd mmm yy"))&amp;" "&amp;Milestones!$AB$89&amp;" "&amp;Milestones!$AC$89&amp;";  ","")&amp;IF(AND(EDATE($D137,Milestones!$AA$90)&lt;=AsOfDate,IF($R137=0,$X137,IF(AND($T137&lt;&gt;"",EDATE($D137,Milestones!$AA$90)&gt;=$T137),$W137,IF(AND($S137&lt;&gt;"",EDATE($D137,Milestones!$AA$90)&gt;=$S137),$V137,$U137)))=Milestones!$AB$90),UPPER(TEXT(EDATE($D137,Milestones!$AA$90),"dd mmm yy"))&amp;" "&amp;Milestones!$AB$90&amp;" "&amp;Milestones!$AC$90&amp;";  ","")&amp;IF(AND(EDATE($D137,Milestones!$AA$91)&lt;=AsOfDate,IF($R137=0,$X137,IF(AND($T137&lt;&gt;"",EDATE($D137,Milestones!$AA$91)&gt;=$T137),$W137,IF(AND($S137&lt;&gt;"",EDATE($D137,Milestones!$AA$91)&gt;=$S137),$V137,$U137)))=Milestones!$AB$91),UPPER(TEXT(EDATE($D137,Milestones!$AA$91),"dd mmm yy"))&amp;" "&amp;Milestones!$AB$91&amp;" "&amp;Milestones!$AC$91&amp;";  ","")&amp;IF(AND(EDATE($D137,Milestones!$AA$92)&lt;=AsOfDate,IF($R137=0,$X137,IF(AND($T137&lt;&gt;"",EDATE($D137,Milestones!$AA$92)&gt;=$T137),$W137,IF(AND($S137&lt;&gt;"",EDATE($D137,Milestones!$AA$92)&gt;=$S137),$V137,$U137)))=Milestones!$AB$92),UPPER(TEXT(EDATE($D137,Milestones!$AA$92),"dd mmm yy"))&amp;" "&amp;Milestones!$AB$92&amp;" "&amp;Milestones!$AC$92&amp;";  ","")&amp;IF(AND(EDATE($D137,Milestones!$AA$93)&lt;=AsOfDate,IF($R137=0,$X137,IF(AND($T137&lt;&gt;"",EDATE($D137,Milestones!$AA$93)&gt;=$T137),$W137,IF(AND($S137&lt;&gt;"",EDATE($D137,Milestones!$AA$93)&gt;=$S137),$V137,$U137)))=Milestones!$AB$93),UPPER(TEXT(EDATE($D137,Milestones!$AA$93),"dd mmm yy"))&amp;" "&amp;Milestones!$AB$93&amp;" "&amp;Milestones!$AC$93&amp;";  ","")&amp;IF(AND(EDATE($D137,Milestones!$AA$94)&lt;=AsOfDate,IF($R137=0,$X137,IF(AND($T137&lt;&gt;"",EDATE($D137,Milestones!$AA$94)&gt;=$T137),$W137,IF(AND($S137&lt;&gt;"",EDATE($D137,Milestones!$AA$94)&gt;=$S137),$V137,$U137)))=Milestones!$AB$94),UPPER(TEXT(EDATE($D137,Milestones!$AA$94),"dd mmm yy"))&amp;" "&amp;Milestones!$AB$94&amp;" "&amp;Milestones!$AC$94&amp;";  ","")&amp;IF(AND(EDATE($D137,Milestones!$AA$95)&lt;=AsOfDate,IF($R137=0,$X137,IF(AND($T137&lt;&gt;"",EDATE($D137,Milestones!$AA$95)&gt;=$T137),$W137,IF(AND($S137&lt;&gt;"",EDATE($D137,Milestones!$AA$95)&gt;=$S137),$V137,$U137)))=Milestones!$AB$95),UPPER(TEXT(EDATE($D137,Milestones!$AA$95),"dd mmm yy"))&amp;" "&amp;Milestones!$AB$95&amp;" "&amp;Milestones!$AC$95&amp;";  ","")&amp;IF(AND(EDATE($D137,Milestones!$AA$96)&lt;=AsOfDate,IF($R137=0,$X137,IF(AND($T137&lt;&gt;"",EDATE($D137,Milestones!$AA$96)&gt;=$T137),$W137,IF(AND($S137&lt;&gt;"",EDATE($D137,Milestones!$AA$96)&gt;=$S137),$V137,$U137)))=Milestones!$AB$96),UPPER(TEXT(EDATE($D137,Milestones!$AA$96),"dd mmm yy"))&amp;" "&amp;Milestones!$AB$96&amp;" "&amp;Milestones!$AC$96&amp;";  ","")&amp;IF(AND(EDATE($D137,Milestones!$AA$97)&lt;=AsOfDate,IF($R137=0,$X137,IF(AND($T137&lt;&gt;"",EDATE($D137,Milestones!$AA$97)&gt;=$T137),$W137,IF(AND($S137&lt;&gt;"",EDATE($D137,Milestones!$AA$97)&gt;=$S137),$V137,$U137)))=Milestones!$AB$97),UPPER(TEXT(EDATE($D137,Milestones!$AA$97),"dd mmm yy"))&amp;" "&amp;Milestones!$AB$97&amp;" "&amp;Milestones!$AC$97&amp;";  ","")&amp;IF(AND(EDATE($D137,Milestones!$AA$98)&lt;=AsOfDate,IF($R137=0,$X137,IF(AND($T137&lt;&gt;"",EDATE($D137,Milestones!$AA$98)&gt;=$T137),$W137,IF(AND($S137&lt;&gt;"",EDATE($D137,Milestones!$AA$98)&gt;=$S137),$V137,$U137)))=Milestones!$AB$98),UPPER(TEXT(EDATE($D137,Milestones!$AA$98),"dd mmm yy"))&amp;" "&amp;Milestones!$AB$98&amp;" "&amp;Milestones!$AC$98&amp;";  ","")&amp;IF(AND(EDATE($D137,Milestones!$AA$99)&lt;=AsOfDate,IF($R137=0,$X137,IF(AND($T137&lt;&gt;"",EDATE($D137,Milestones!$AA$99)&gt;=$T137),$W137,IF(AND($S137&lt;&gt;"",EDATE($D137,Milestones!$AA$99)&gt;=$S137),$V137,$U137)))=Milestones!$AB$99),UPPER(TEXT(EDATE($D137,Milestones!$AA$99),"dd mmm yy"))&amp;" "&amp;Milestones!$AB$99&amp;" "&amp;Milestones!$AC$99&amp;";  ",""))</f>
        <v/>
      </c>
      <c r="M137" s="0" t="str">
        <f aca="false">IF(OR($A137="",$D137=""),"",IF(AND(EDATE($D137,Milestones!$AA$100)&lt;=AsOfDate,IF($R137=0,$X137,IF(AND($T137&lt;&gt;"",EDATE($D137,Milestones!$AA$100)&gt;=$T137),$W137,IF(AND($S137&lt;&gt;"",EDATE($D137,Milestones!$AA$100)&gt;=$S137),$V137,$U137)))=Milestones!$AB$100),UPPER(TEXT(EDATE($D137,Milestones!$AA$100),"dd mmm yy"))&amp;" "&amp;Milestones!$AB$100&amp;" "&amp;Milestones!$AC$100&amp;";  ","")&amp;IF(AND(EDATE($D137,Milestones!$AA$101)&lt;=AsOfDate,IF($R137=0,$X137,IF(AND($T137&lt;&gt;"",EDATE($D137,Milestones!$AA$101)&gt;=$T137),$W137,IF(AND($S137&lt;&gt;"",EDATE($D137,Milestones!$AA$101)&gt;=$S137),$V137,$U137)))=Milestones!$AB$101),UPPER(TEXT(EDATE($D137,Milestones!$AA$101),"dd mmm yy"))&amp;" "&amp;Milestones!$AB$101&amp;" "&amp;Milestones!$AC$101&amp;";  ","")&amp;IF(AND(EDATE($D137,Milestones!$AA$102)&lt;=AsOfDate,IF($R137=0,$X137,IF(AND($T137&lt;&gt;"",EDATE($D137,Milestones!$AA$102)&gt;=$T137),$W137,IF(AND($S137&lt;&gt;"",EDATE($D137,Milestones!$AA$102)&gt;=$S137),$V137,$U137)))=Milestones!$AB$102),UPPER(TEXT(EDATE($D137,Milestones!$AA$102),"dd mmm yy"))&amp;" "&amp;Milestones!$AB$102&amp;" "&amp;Milestones!$AC$102&amp;";  ","")&amp;IF(AND(EDATE($D137,Milestones!$AA$103)&lt;=AsOfDate,IF($R137=0,$X137,IF(AND($T137&lt;&gt;"",EDATE($D137,Milestones!$AA$103)&gt;=$T137),$W137,IF(AND($S137&lt;&gt;"",EDATE($D137,Milestones!$AA$103)&gt;=$S137),$V137,$U137)))=Milestones!$AB$103),UPPER(TEXT(EDATE($D137,Milestones!$AA$103),"dd mmm yy"))&amp;" "&amp;Milestones!$AB$103&amp;" "&amp;Milestones!$AC$103&amp;";  ","")&amp;IF(AND(EDATE($D137,Milestones!$AA$104)&lt;=AsOfDate,IF($R137=0,$X137,IF(AND($T137&lt;&gt;"",EDATE($D137,Milestones!$AA$104)&gt;=$T137),$W137,IF(AND($S137&lt;&gt;"",EDATE($D137,Milestones!$AA$104)&gt;=$S137),$V137,$U137)))=Milestones!$AB$104),UPPER(TEXT(EDATE($D137,Milestones!$AA$104),"dd mmm yy"))&amp;" "&amp;Milestones!$AB$104&amp;" "&amp;Milestones!$AC$104&amp;";  ","")&amp;IF(AND(EDATE($D137,Milestones!$AA$105)&lt;=AsOfDate,IF($R137=0,$X137,IF(AND($T137&lt;&gt;"",EDATE($D137,Milestones!$AA$105)&gt;=$T137),$W137,IF(AND($S137&lt;&gt;"",EDATE($D137,Milestones!$AA$105)&gt;=$S137),$V137,$U137)))=Milestones!$AB$105),UPPER(TEXT(EDATE($D137,Milestones!$AA$105),"dd mmm yy"))&amp;" "&amp;Milestones!$AB$105&amp;" "&amp;Milestones!$AC$105&amp;";  ","")&amp;IF(AND(EDATE($D137,Milestones!$AA$106)&lt;=AsOfDate,IF($R137=0,$X137,IF(AND($T137&lt;&gt;"",EDATE($D137,Milestones!$AA$106)&gt;=$T137),$W137,IF(AND($S137&lt;&gt;"",EDATE($D137,Milestones!$AA$106)&gt;=$S137),$V137,$U137)))=Milestones!$AB$106),UPPER(TEXT(EDATE($D137,Milestones!$AA$106),"dd mmm yy"))&amp;" "&amp;Milestones!$AB$106&amp;" "&amp;Milestones!$AC$106&amp;";  ","")&amp;IF(AND(EDATE($D137,Milestones!$AA$107)&lt;=AsOfDate,IF($R137=0,$X137,IF(AND($T137&lt;&gt;"",EDATE($D137,Milestones!$AA$107)&gt;=$T137),$W137,IF(AND($S137&lt;&gt;"",EDATE($D137,Milestones!$AA$107)&gt;=$S137),$V137,$U137)))=Milestones!$AB$107),UPPER(TEXT(EDATE($D137,Milestones!$AA$107),"dd mmm yy"))&amp;" "&amp;Milestones!$AB$107&amp;" "&amp;Milestones!$AC$107&amp;";  ","")&amp;IF(AND(EDATE($D137,Milestones!$AA$108)&lt;=AsOfDate,IF($R137=0,$X137,IF(AND($T137&lt;&gt;"",EDATE($D137,Milestones!$AA$108)&gt;=$T137),$W137,IF(AND($S137&lt;&gt;"",EDATE($D137,Milestones!$AA$108)&gt;=$S137),$V137,$U137)))=Milestones!$AB$108),UPPER(TEXT(EDATE($D137,Milestones!$AA$108),"dd mmm yy"))&amp;" "&amp;Milestones!$AB$108&amp;" "&amp;Milestones!$AC$108&amp;";  ","")&amp;IF(AND(EDATE($D137,Milestones!$AA$109)&lt;=AsOfDate,IF($R137=0,$X137,IF(AND($T137&lt;&gt;"",EDATE($D137,Milestones!$AA$109)&gt;=$T137),$W137,IF(AND($S137&lt;&gt;"",EDATE($D137,Milestones!$AA$109)&gt;=$S137),$V137,$U137)))=Milestones!$AB$109),UPPER(TEXT(EDATE($D137,Milestones!$AA$109),"dd mmm yy"))&amp;" "&amp;Milestones!$AB$109&amp;" "&amp;Milestones!$AC$109&amp;";  ","")&amp;IF(AND(EDATE($D137,Milestones!$AA$110)&lt;=AsOfDate,IF($R137=0,$X137,IF(AND($T137&lt;&gt;"",EDATE($D137,Milestones!$AA$110)&gt;=$T137),$W137,IF(AND($S137&lt;&gt;"",EDATE($D137,Milestones!$AA$110)&gt;=$S137),$V137,$U137)))=Milestones!$AB$110),UPPER(TEXT(EDATE($D137,Milestones!$AA$110),"dd mmm yy"))&amp;" "&amp;Milestones!$AB$110&amp;" "&amp;Milestones!$AC$110&amp;";  ","")&amp;IF(AND(EDATE($D137,Milestones!$AA$111)&lt;=AsOfDate,IF($R137=0,$X137,IF(AND($T137&lt;&gt;"",EDATE($D137,Milestones!$AA$111)&gt;=$T137),$W137,IF(AND($S137&lt;&gt;"",EDATE($D137,Milestones!$AA$111)&gt;=$S137),$V137,$U137)))=Milestones!$AB$111),UPPER(TEXT(EDATE($D137,Milestones!$AA$111),"dd mmm yy"))&amp;" "&amp;Milestones!$AB$111&amp;" "&amp;Milestones!$AC$111&amp;";  ","")&amp;IF(AND(EDATE($D137,Milestones!$AA$112)&lt;=AsOfDate,IF($R137=0,$X137,IF(AND($T137&lt;&gt;"",EDATE($D137,Milestones!$AA$112)&gt;=$T137),$W137,IF(AND($S137&lt;&gt;"",EDATE($D137,Milestones!$AA$112)&gt;=$S137),$V137,$U137)))=Milestones!$AB$112),UPPER(TEXT(EDATE($D137,Milestones!$AA$112),"dd mmm yy"))&amp;" "&amp;Milestones!$AB$112&amp;" "&amp;Milestones!$AC$112&amp;";  ","")&amp;IF(AND(EDATE($D137,Milestones!$AA$113)&lt;=AsOfDate,IF($R137=0,$X137,IF(AND($T137&lt;&gt;"",EDATE($D137,Milestones!$AA$113)&gt;=$T137),$W137,IF(AND($S137&lt;&gt;"",EDATE($D137,Milestones!$AA$113)&gt;=$S137),$V137,$U137)))=Milestones!$AB$113),UPPER(TEXT(EDATE($D137,Milestones!$AA$113),"dd mmm yy"))&amp;" "&amp;Milestones!$AB$113&amp;" "&amp;Milestones!$AC$113&amp;";  ","")&amp;IF(AND(EDATE($D137,Milestones!$AA$114)&lt;=AsOfDate,IF($R137=0,$X137,IF(AND($T137&lt;&gt;"",EDATE($D137,Milestones!$AA$114)&gt;=$T137),$W137,IF(AND($S137&lt;&gt;"",EDATE($D137,Milestones!$AA$114)&gt;=$S137),$V137,$U137)))=Milestones!$AB$114),UPPER(TEXT(EDATE($D137,Milestones!$AA$114),"dd mmm yy"))&amp;" "&amp;Milestones!$AB$114&amp;" "&amp;Milestones!$AC$114&amp;";  ","")&amp;IF(AND(EDATE($D137,Milestones!$AA$115)&lt;=AsOfDate,IF($R137=0,$X137,IF(AND($T137&lt;&gt;"",EDATE($D137,Milestones!$AA$115)&gt;=$T137),$W137,IF(AND($S137&lt;&gt;"",EDATE($D137,Milestones!$AA$115)&gt;=$S137),$V137,$U137)))=Milestones!$AB$115),UPPER(TEXT(EDATE($D137,Milestones!$AA$115),"dd mmm yy"))&amp;" "&amp;Milestones!$AB$115&amp;" "&amp;Milestones!$AC$115&amp;";  ","")&amp;IF(AND(EDATE($D137,Milestones!$AA$116)&lt;=AsOfDate,IF($R137=0,$X137,IF(AND($T137&lt;&gt;"",EDATE($D137,Milestones!$AA$116)&gt;=$T137),$W137,IF(AND($S137&lt;&gt;"",EDATE($D137,Milestones!$AA$116)&gt;=$S137),$V137,$U137)))=Milestones!$AB$116),UPPER(TEXT(EDATE($D137,Milestones!$AA$116),"dd mmm yy"))&amp;" "&amp;Milestones!$AB$116&amp;" "&amp;Milestones!$AC$116&amp;";  ","")&amp;IF(AND(EDATE($D137,Milestones!$AA$117)&lt;=AsOfDate,IF($R137=0,$X137,IF(AND($T137&lt;&gt;"",EDATE($D137,Milestones!$AA$117)&gt;=$T137),$W137,IF(AND($S137&lt;&gt;"",EDATE($D137,Milestones!$AA$117)&gt;=$S137),$V137,$U137)))=Milestones!$AB$117),UPPER(TEXT(EDATE($D137,Milestones!$AA$117),"dd mmm yy"))&amp;" "&amp;Milestones!$AB$117&amp;" "&amp;Milestones!$AC$117&amp;";  ","")&amp;IF(AND(EDATE($D137,Milestones!$AA$118)&lt;=AsOfDate,IF($R137=0,$X137,IF(AND($T137&lt;&gt;"",EDATE($D137,Milestones!$AA$118)&gt;=$T137),$W137,IF(AND($S137&lt;&gt;"",EDATE($D137,Milestones!$AA$118)&gt;=$S137),$V137,$U137)))=Milestones!$AB$118),UPPER(TEXT(EDATE($D137,Milestones!$AA$118),"dd mmm yy"))&amp;" "&amp;Milestones!$AB$118&amp;" "&amp;Milestones!$AC$118&amp;";  ","")&amp;IF(AND(EDATE($D137,Milestones!$AA$119)&lt;=AsOfDate,IF($R137=0,$X137,IF(AND($T137&lt;&gt;"",EDATE($D137,Milestones!$AA$119)&gt;=$T137),$W137,IF(AND($S137&lt;&gt;"",EDATE($D137,Milestones!$AA$119)&gt;=$S137),$V137,$U137)))=Milestones!$AB$119),UPPER(TEXT(EDATE($D137,Milestones!$AA$119),"dd mmm yy"))&amp;" "&amp;Milestones!$AB$119&amp;" "&amp;Milestones!$AC$119&amp;";  ",""))</f>
        <v/>
      </c>
      <c r="N137" s="0" t="str">
        <f aca="false">IF(OR($A137="",$D137=""),"",IF(AND(EDATE($D137,Milestones!$AA$120)&lt;=AsOfDate,IF($R137=0,$X137,IF(AND($T137&lt;&gt;"",EDATE($D137,Milestones!$AA$120)&gt;=$T137),$W137,IF(AND($S137&lt;&gt;"",EDATE($D137,Milestones!$AA$120)&gt;=$S137),$V137,$U137)))=Milestones!$AB$120),UPPER(TEXT(EDATE($D137,Milestones!$AA$120),"dd mmm yy"))&amp;" "&amp;Milestones!$AB$120&amp;" "&amp;Milestones!$AC$120&amp;";  ","")&amp;IF(AND(EDATE($D137,Milestones!$AA$121)&lt;=AsOfDate,IF($R137=0,$X137,IF(AND($T137&lt;&gt;"",EDATE($D137,Milestones!$AA$121)&gt;=$T137),$W137,IF(AND($S137&lt;&gt;"",EDATE($D137,Milestones!$AA$121)&gt;=$S137),$V137,$U137)))=Milestones!$AB$121),UPPER(TEXT(EDATE($D137,Milestones!$AA$121),"dd mmm yy"))&amp;" "&amp;Milestones!$AB$121&amp;" "&amp;Milestones!$AC$121&amp;";  ","")&amp;IF(AND(EDATE($D137,Milestones!$AA$122)&lt;=AsOfDate,IF($R137=0,$X137,IF(AND($T137&lt;&gt;"",EDATE($D137,Milestones!$AA$122)&gt;=$T137),$W137,IF(AND($S137&lt;&gt;"",EDATE($D137,Milestones!$AA$122)&gt;=$S137),$V137,$U137)))=Milestones!$AB$122),UPPER(TEXT(EDATE($D137,Milestones!$AA$122),"dd mmm yy"))&amp;" "&amp;Milestones!$AB$122&amp;" "&amp;Milestones!$AC$122&amp;";  ","")&amp;IF(AND(EDATE($D137,Milestones!$AA$123)&lt;=AsOfDate,IF($R137=0,$X137,IF(AND($T137&lt;&gt;"",EDATE($D137,Milestones!$AA$123)&gt;=$T137),$W137,IF(AND($S137&lt;&gt;"",EDATE($D137,Milestones!$AA$123)&gt;=$S137),$V137,$U137)))=Milestones!$AB$123),UPPER(TEXT(EDATE($D137,Milestones!$AA$123),"dd mmm yy"))&amp;" "&amp;Milestones!$AB$123&amp;" "&amp;Milestones!$AC$123&amp;";  ","")&amp;IF(AND(EDATE($D137,Milestones!$AA$124)&lt;=AsOfDate,IF($R137=0,$X137,IF(AND($T137&lt;&gt;"",EDATE($D137,Milestones!$AA$124)&gt;=$T137),$W137,IF(AND($S137&lt;&gt;"",EDATE($D137,Milestones!$AA$124)&gt;=$S137),$V137,$U137)))=Milestones!$AB$124),UPPER(TEXT(EDATE($D137,Milestones!$AA$124),"dd mmm yy"))&amp;" "&amp;Milestones!$AB$124&amp;" "&amp;Milestones!$AC$124&amp;";  ","")&amp;IF(AND(EDATE($D137,Milestones!$AA$125)&lt;=AsOfDate,IF($R137=0,$X137,IF(AND($T137&lt;&gt;"",EDATE($D137,Milestones!$AA$125)&gt;=$T137),$W137,IF(AND($S137&lt;&gt;"",EDATE($D137,Milestones!$AA$125)&gt;=$S137),$V137,$U137)))=Milestones!$AB$125),UPPER(TEXT(EDATE($D137,Milestones!$AA$125),"dd mmm yy"))&amp;" "&amp;Milestones!$AB$125&amp;" "&amp;Milestones!$AC$125&amp;";  ","")&amp;IF(AND(EDATE($D137,Milestones!$AA$126)&lt;=AsOfDate,IF($R137=0,$X137,IF(AND($T137&lt;&gt;"",EDATE($D137,Milestones!$AA$126)&gt;=$T137),$W137,IF(AND($S137&lt;&gt;"",EDATE($D137,Milestones!$AA$126)&gt;=$S137),$V137,$U137)))=Milestones!$AB$126),UPPER(TEXT(EDATE($D137,Milestones!$AA$126),"dd mmm yy"))&amp;" "&amp;Milestones!$AB$126&amp;" "&amp;Milestones!$AC$126&amp;";  ","")&amp;IF(AND(EDATE($D137,Milestones!$AA$127)&lt;=AsOfDate,IF($R137=0,$X137,IF(AND($T137&lt;&gt;"",EDATE($D137,Milestones!$AA$127)&gt;=$T137),$W137,IF(AND($S137&lt;&gt;"",EDATE($D137,Milestones!$AA$127)&gt;=$S137),$V137,$U137)))=Milestones!$AB$127),UPPER(TEXT(EDATE($D137,Milestones!$AA$127),"dd mmm yy"))&amp;" "&amp;Milestones!$AB$127&amp;" "&amp;Milestones!$AC$127&amp;";  ","")&amp;IF(AND(EDATE($D137,Milestones!$AA$128)&lt;=AsOfDate,IF($R137=0,$X137,IF(AND($T137&lt;&gt;"",EDATE($D137,Milestones!$AA$128)&gt;=$T137),$W137,IF(AND($S137&lt;&gt;"",EDATE($D137,Milestones!$AA$128)&gt;=$S137),$V137,$U137)))=Milestones!$AB$128),UPPER(TEXT(EDATE($D137,Milestones!$AA$128),"dd mmm yy"))&amp;" "&amp;Milestones!$AB$128&amp;" "&amp;Milestones!$AC$128&amp;";  ","")&amp;IF(AND(EDATE($D137,Milestones!$AA$129)&lt;=AsOfDate,IF($R137=0,$X137,IF(AND($T137&lt;&gt;"",EDATE($D137,Milestones!$AA$129)&gt;=$T137),$W137,IF(AND($S137&lt;&gt;"",EDATE($D137,Milestones!$AA$129)&gt;=$S137),$V137,$U137)))=Milestones!$AB$129),UPPER(TEXT(EDATE($D137,Milestones!$AA$129),"dd mmm yy"))&amp;" "&amp;Milestones!$AB$129&amp;" "&amp;Milestones!$AC$129&amp;";  ","")&amp;IF(AND(EDATE($D137,Milestones!$AA$130)&lt;=AsOfDate,IF($R137=0,$X137,IF(AND($T137&lt;&gt;"",EDATE($D137,Milestones!$AA$130)&gt;=$T137),$W137,IF(AND($S137&lt;&gt;"",EDATE($D137,Milestones!$AA$130)&gt;=$S137),$V137,$U137)))=Milestones!$AB$130),UPPER(TEXT(EDATE($D137,Milestones!$AA$130),"dd mmm yy"))&amp;" "&amp;Milestones!$AB$130&amp;" "&amp;Milestones!$AC$130&amp;";  ","")&amp;IF(AND(EDATE($D137,Milestones!$AA$131)&lt;=AsOfDate,IF($R137=0,$X137,IF(AND($T137&lt;&gt;"",EDATE($D137,Milestones!$AA$131)&gt;=$T137),$W137,IF(AND($S137&lt;&gt;"",EDATE($D137,Milestones!$AA$131)&gt;=$S137),$V137,$U137)))=Milestones!$AB$131),UPPER(TEXT(EDATE($D137,Milestones!$AA$131),"dd mmm yy"))&amp;" "&amp;Milestones!$AB$131&amp;" "&amp;Milestones!$AC$131&amp;";  ","")&amp;IF(AND(EDATE($D137,Milestones!$AA$132)&lt;=AsOfDate,IF($R137=0,$X137,IF(AND($T137&lt;&gt;"",EDATE($D137,Milestones!$AA$132)&gt;=$T137),$W137,IF(AND($S137&lt;&gt;"",EDATE($D137,Milestones!$AA$132)&gt;=$S137),$V137,$U137)))=Milestones!$AB$132),UPPER(TEXT(EDATE($D137,Milestones!$AA$132),"dd mmm yy"))&amp;" "&amp;Milestones!$AB$132&amp;" "&amp;Milestones!$AC$132&amp;";  ","")&amp;IF(AND(EDATE($D137,Milestones!$AA$133)&lt;=AsOfDate,IF($R137=0,$X137,IF(AND($T137&lt;&gt;"",EDATE($D137,Milestones!$AA$133)&gt;=$T137),$W137,IF(AND($S137&lt;&gt;"",EDATE($D137,Milestones!$AA$133)&gt;=$S137),$V137,$U137)))=Milestones!$AB$133),UPPER(TEXT(EDATE($D137,Milestones!$AA$133),"dd mmm yy"))&amp;" "&amp;Milestones!$AB$133&amp;" "&amp;Milestones!$AC$133&amp;";  ","")&amp;IF(AND(EDATE($D137,Milestones!$AA$134)&lt;=AsOfDate,IF($R137=0,$X137,IF(AND($T137&lt;&gt;"",EDATE($D137,Milestones!$AA$134)&gt;=$T137),$W137,IF(AND($S137&lt;&gt;"",EDATE($D137,Milestones!$AA$134)&gt;=$S137),$V137,$U137)))=Milestones!$AB$134),UPPER(TEXT(EDATE($D137,Milestones!$AA$134),"dd mmm yy"))&amp;" "&amp;Milestones!$AB$134&amp;" "&amp;Milestones!$AC$134&amp;";  ","")&amp;IF(AND(EDATE($D137,Milestones!$AA$135)&lt;=AsOfDate,IF($R137=0,$X137,IF(AND($T137&lt;&gt;"",EDATE($D137,Milestones!$AA$135)&gt;=$T137),$W137,IF(AND($S137&lt;&gt;"",EDATE($D137,Milestones!$AA$135)&gt;=$S137),$V137,$U137)))=Milestones!$AB$135),UPPER(TEXT(EDATE($D137,Milestones!$AA$135),"dd mmm yy"))&amp;" "&amp;Milestones!$AB$135&amp;" "&amp;Milestones!$AC$135&amp;";  ","")&amp;IF(AND(EDATE($D137,Milestones!$AA$136)&lt;=AsOfDate,IF($R137=0,$X137,IF(AND($T137&lt;&gt;"",EDATE($D137,Milestones!$AA$136)&gt;=$T137),$W137,IF(AND($S137&lt;&gt;"",EDATE($D137,Milestones!$AA$136)&gt;=$S137),$V137,$U137)))=Milestones!$AB$136),UPPER(TEXT(EDATE($D137,Milestones!$AA$136),"dd mmm yy"))&amp;" "&amp;Milestones!$AB$136&amp;" "&amp;Milestones!$AC$136&amp;";  ","")&amp;IF(AND(EDATE($D137,Milestones!$AA$137)&lt;=AsOfDate,IF($R137=0,$X137,IF(AND($T137&lt;&gt;"",EDATE($D137,Milestones!$AA$137)&gt;=$T137),$W137,IF(AND($S137&lt;&gt;"",EDATE($D137,Milestones!$AA$137)&gt;=$S137),$V137,$U137)))=Milestones!$AB$137),UPPER(TEXT(EDATE($D137,Milestones!$AA$137),"dd mmm yy"))&amp;" "&amp;Milestones!$AB$137&amp;" "&amp;Milestones!$AC$137&amp;";  ","")&amp;IF(AND(EDATE($D137,Milestones!$AA$138)&lt;=AsOfDate,IF($R137=0,$X137,IF(AND($T137&lt;&gt;"",EDATE($D137,Milestones!$AA$138)&gt;=$T137),$W137,IF(AND($S137&lt;&gt;"",EDATE($D137,Milestones!$AA$138)&gt;=$S137),$V137,$U137)))=Milestones!$AB$138),UPPER(TEXT(EDATE($D137,Milestones!$AA$138),"dd mmm yy"))&amp;" "&amp;Milestones!$AB$138&amp;" "&amp;Milestones!$AC$138&amp;";  ","")&amp;IF(AND(EDATE($D137,Milestones!$AA$139)&lt;=AsOfDate,IF($R137=0,$X137,IF(AND($T137&lt;&gt;"",EDATE($D137,Milestones!$AA$139)&gt;=$T137),$W137,IF(AND($S137&lt;&gt;"",EDATE($D137,Milestones!$AA$139)&gt;=$S137),$V137,$U137)))=Milestones!$AB$139),UPPER(TEXT(EDATE($D137,Milestones!$AA$139),"dd mmm yy"))&amp;" "&amp;Milestones!$AB$139&amp;" "&amp;Milestones!$AC$139&amp;";  ",""))</f>
        <v/>
      </c>
      <c r="O137" s="0" t="str">
        <f aca="false">IF(OR($A137="",$D137=""),"",IF(AND(EDATE($D137,Milestones!$AA$140)&lt;=AsOfDate,IF($R137=0,$X137,IF(AND($T137&lt;&gt;"",EDATE($D137,Milestones!$AA$140)&gt;=$T137),$W137,IF(AND($S137&lt;&gt;"",EDATE($D137,Milestones!$AA$140)&gt;=$S137),$V137,$U137)))=Milestones!$AB$140),UPPER(TEXT(EDATE($D137,Milestones!$AA$140),"dd mmm yy"))&amp;" "&amp;Milestones!$AB$140&amp;" "&amp;Milestones!$AC$140&amp;";  ","")&amp;IF(AND(EDATE($D137,Milestones!$AA$141)&lt;=AsOfDate,IF($R137=0,$X137,IF(AND($T137&lt;&gt;"",EDATE($D137,Milestones!$AA$141)&gt;=$T137),$W137,IF(AND($S137&lt;&gt;"",EDATE($D137,Milestones!$AA$141)&gt;=$S137),$V137,$U137)))=Milestones!$AB$141),UPPER(TEXT(EDATE($D137,Milestones!$AA$141),"dd mmm yy"))&amp;" "&amp;Milestones!$AB$141&amp;" "&amp;Milestones!$AC$141&amp;";  ","")&amp;IF(AND(EDATE($D137,Milestones!$AA$142)&lt;=AsOfDate,IF($R137=0,$X137,IF(AND($T137&lt;&gt;"",EDATE($D137,Milestones!$AA$142)&gt;=$T137),$W137,IF(AND($S137&lt;&gt;"",EDATE($D137,Milestones!$AA$142)&gt;=$S137),$V137,$U137)))=Milestones!$AB$142),UPPER(TEXT(EDATE($D137,Milestones!$AA$142),"dd mmm yy"))&amp;" "&amp;Milestones!$AB$142&amp;" "&amp;Milestones!$AC$142&amp;";  ","")&amp;IF(AND(EDATE($D137,Milestones!$AA$143)&lt;=AsOfDate,IF($R137=0,$X137,IF(AND($T137&lt;&gt;"",EDATE($D137,Milestones!$AA$143)&gt;=$T137),$W137,IF(AND($S137&lt;&gt;"",EDATE($D137,Milestones!$AA$143)&gt;=$S137),$V137,$U137)))=Milestones!$AB$143),UPPER(TEXT(EDATE($D137,Milestones!$AA$143),"dd mmm yy"))&amp;" "&amp;Milestones!$AB$143&amp;" "&amp;Milestones!$AC$143&amp;";  ","")&amp;IF(AND(EDATE($D137,Milestones!$AA$144)&lt;=AsOfDate,IF($R137=0,$X137,IF(AND($T137&lt;&gt;"",EDATE($D137,Milestones!$AA$144)&gt;=$T137),$W137,IF(AND($S137&lt;&gt;"",EDATE($D137,Milestones!$AA$144)&gt;=$S137),$V137,$U137)))=Milestones!$AB$144),UPPER(TEXT(EDATE($D137,Milestones!$AA$144),"dd mmm yy"))&amp;" "&amp;Milestones!$AB$144&amp;" "&amp;Milestones!$AC$144&amp;";  ","")&amp;IF(AND(EDATE($D137,Milestones!$AA$145)&lt;=AsOfDate,IF($R137=0,$X137,IF(AND($T137&lt;&gt;"",EDATE($D137,Milestones!$AA$145)&gt;=$T137),$W137,IF(AND($S137&lt;&gt;"",EDATE($D137,Milestones!$AA$145)&gt;=$S137),$V137,$U137)))=Milestones!$AB$145),UPPER(TEXT(EDATE($D137,Milestones!$AA$145),"dd mmm yy"))&amp;" "&amp;Milestones!$AB$145&amp;" "&amp;Milestones!$AC$145&amp;";  ","")&amp;IF(AND(EDATE($D137,Milestones!$AA$146)&lt;=AsOfDate,IF($R137=0,$X137,IF(AND($T137&lt;&gt;"",EDATE($D137,Milestones!$AA$146)&gt;=$T137),$W137,IF(AND($S137&lt;&gt;"",EDATE($D137,Milestones!$AA$146)&gt;=$S137),$V137,$U137)))=Milestones!$AB$146),UPPER(TEXT(EDATE($D137,Milestones!$AA$146),"dd mmm yy"))&amp;" "&amp;Milestones!$AB$146&amp;" "&amp;Milestones!$AC$146&amp;";  ","")&amp;IF(AND(EDATE($D137,Milestones!$AA$147)&lt;=AsOfDate,IF($R137=0,$X137,IF(AND($T137&lt;&gt;"",EDATE($D137,Milestones!$AA$147)&gt;=$T137),$W137,IF(AND($S137&lt;&gt;"",EDATE($D137,Milestones!$AA$147)&gt;=$S137),$V137,$U137)))=Milestones!$AB$147),UPPER(TEXT(EDATE($D137,Milestones!$AA$147),"dd mmm yy"))&amp;" "&amp;Milestones!$AB$147&amp;" "&amp;Milestones!$AC$147&amp;";  ","")&amp;IF(AND(EDATE($D137,Milestones!$AA$148)&lt;=AsOfDate,IF($R137=0,$X137,IF(AND($T137&lt;&gt;"",EDATE($D137,Milestones!$AA$148)&gt;=$T137),$W137,IF(AND($S137&lt;&gt;"",EDATE($D137,Milestones!$AA$148)&gt;=$S137),$V137,$U137)))=Milestones!$AB$148),UPPER(TEXT(EDATE($D137,Milestones!$AA$148),"dd mmm yy"))&amp;" "&amp;Milestones!$AB$148&amp;" "&amp;Milestones!$AC$148&amp;";  ","")&amp;IF(AND(EDATE($D137,Milestones!$AA$149)&lt;=AsOfDate,IF($R137=0,$X137,IF(AND($T137&lt;&gt;"",EDATE($D137,Milestones!$AA$149)&gt;=$T137),$W137,IF(AND($S137&lt;&gt;"",EDATE($D137,Milestones!$AA$149)&gt;=$S137),$V137,$U137)))=Milestones!$AB$149),UPPER(TEXT(EDATE($D137,Milestones!$AA$149),"dd mmm yy"))&amp;" "&amp;Milestones!$AB$149&amp;" "&amp;Milestones!$AC$149&amp;";  ","")&amp;IF(AND(EDATE($D137,Milestones!$AA$150)&lt;=AsOfDate,IF($R137=0,$X137,IF(AND($T137&lt;&gt;"",EDATE($D137,Milestones!$AA$150)&gt;=$T137),$W137,IF(AND($S137&lt;&gt;"",EDATE($D137,Milestones!$AA$150)&gt;=$S137),$V137,$U137)))=Milestones!$AB$150),UPPER(TEXT(EDATE($D137,Milestones!$AA$150),"dd mmm yy"))&amp;" "&amp;Milestones!$AB$150&amp;" "&amp;Milestones!$AC$150&amp;";  ","")&amp;IF(AND(EDATE($D137,Milestones!$AA$151)&lt;=AsOfDate,IF($R137=0,$X137,IF(AND($T137&lt;&gt;"",EDATE($D137,Milestones!$AA$151)&gt;=$T137),$W137,IF(AND($S137&lt;&gt;"",EDATE($D137,Milestones!$AA$151)&gt;=$S137),$V137,$U137)))=Milestones!$AB$151),UPPER(TEXT(EDATE($D137,Milestones!$AA$151),"dd mmm yy"))&amp;" "&amp;Milestones!$AB$151&amp;" "&amp;Milestones!$AC$151&amp;";  ","")&amp;IF(AND(EDATE($D137,Milestones!$AA$152)&lt;=AsOfDate,IF($R137=0,$X137,IF(AND($T137&lt;&gt;"",EDATE($D137,Milestones!$AA$152)&gt;=$T137),$W137,IF(AND($S137&lt;&gt;"",EDATE($D137,Milestones!$AA$152)&gt;=$S137),$V137,$U137)))=Milestones!$AB$152),UPPER(TEXT(EDATE($D137,Milestones!$AA$152),"dd mmm yy"))&amp;" "&amp;Milestones!$AB$152&amp;" "&amp;Milestones!$AC$152&amp;";  ","")&amp;IF(AND(EDATE($D137,Milestones!$AA$153)&lt;=AsOfDate,IF($R137=0,$X137,IF(AND($T137&lt;&gt;"",EDATE($D137,Milestones!$AA$153)&gt;=$T137),$W137,IF(AND($S137&lt;&gt;"",EDATE($D137,Milestones!$AA$153)&gt;=$S137),$V137,$U137)))=Milestones!$AB$153),UPPER(TEXT(EDATE($D137,Milestones!$AA$153),"dd mmm yy"))&amp;" "&amp;Milestones!$AB$153&amp;" "&amp;Milestones!$AC$153&amp;";  ","")&amp;IF(AND(EDATE($D137,Milestones!$AA$154)&lt;=AsOfDate,IF($R137=0,$X137,IF(AND($T137&lt;&gt;"",EDATE($D137,Milestones!$AA$154)&gt;=$T137),$W137,IF(AND($S137&lt;&gt;"",EDATE($D137,Milestones!$AA$154)&gt;=$S137),$V137,$U137)))=Milestones!$AB$154),UPPER(TEXT(EDATE($D137,Milestones!$AA$154),"dd mmm yy"))&amp;" "&amp;Milestones!$AB$154&amp;" "&amp;Milestones!$AC$154&amp;";  ","")&amp;IF(AND(EDATE($D137,Milestones!$AA$155)&lt;=AsOfDate,IF($R137=0,$X137,IF(AND($T137&lt;&gt;"",EDATE($D137,Milestones!$AA$155)&gt;=$T137),$W137,IF(AND($S137&lt;&gt;"",EDATE($D137,Milestones!$AA$155)&gt;=$S137),$V137,$U137)))=Milestones!$AB$155),UPPER(TEXT(EDATE($D137,Milestones!$AA$155),"dd mmm yy"))&amp;" "&amp;Milestones!$AB$155&amp;" "&amp;Milestones!$AC$155&amp;";  ","")&amp;IF(AND(EDATE($D137,Milestones!$AA$156)&lt;=AsOfDate,IF($R137=0,$X137,IF(AND($T137&lt;&gt;"",EDATE($D137,Milestones!$AA$156)&gt;=$T137),$W137,IF(AND($S137&lt;&gt;"",EDATE($D137,Milestones!$AA$156)&gt;=$S137),$V137,$U137)))=Milestones!$AB$156),UPPER(TEXT(EDATE($D137,Milestones!$AA$156),"dd mmm yy"))&amp;" "&amp;Milestones!$AB$156&amp;" "&amp;Milestones!$AC$156&amp;";  ","")&amp;IF(AND(EDATE($D137,Milestones!$AA$157)&lt;=AsOfDate,IF($R137=0,$X137,IF(AND($T137&lt;&gt;"",EDATE($D137,Milestones!$AA$157)&gt;=$T137),$W137,IF(AND($S137&lt;&gt;"",EDATE($D137,Milestones!$AA$157)&gt;=$S137),$V137,$U137)))=Milestones!$AB$157),UPPER(TEXT(EDATE($D137,Milestones!$AA$157),"dd mmm yy"))&amp;" "&amp;Milestones!$AB$157&amp;" "&amp;Milestones!$AC$157&amp;";  ","")&amp;IF(AND(EDATE($D137,Milestones!$AA$158)&lt;=AsOfDate,IF($R137=0,$X137,IF(AND($T137&lt;&gt;"",EDATE($D137,Milestones!$AA$158)&gt;=$T137),$W137,IF(AND($S137&lt;&gt;"",EDATE($D137,Milestones!$AA$158)&gt;=$S137),$V137,$U137)))=Milestones!$AB$158),UPPER(TEXT(EDATE($D137,Milestones!$AA$158),"dd mmm yy"))&amp;" "&amp;Milestones!$AB$158&amp;" "&amp;Milestones!$AC$158&amp;";  ","")&amp;IF(AND(EDATE($D137,Milestones!$AA$159)&lt;=AsOfDate,IF($R137=0,$X137,IF(AND($T137&lt;&gt;"",EDATE($D137,Milestones!$AA$159)&gt;=$T137),$W137,IF(AND($S137&lt;&gt;"",EDATE($D137,Milestones!$AA$159)&gt;=$S137),$V137,$U137)))=Milestones!$AB$159),UPPER(TEXT(EDATE($D137,Milestones!$AA$159),"dd mmm yy"))&amp;" "&amp;Milestones!$AB$159&amp;" "&amp;Milestones!$AC$159&amp;";  ",""))</f>
        <v/>
      </c>
      <c r="P137" s="0" t="str">
        <f aca="false">IF(OR($A137="",$D137=""),"",IF(AND(EDATE($D137,Milestones!$AA$160)&lt;=AsOfDate,IF($R137=0,$X137,IF(AND($T137&lt;&gt;"",EDATE($D137,Milestones!$AA$160)&gt;=$T137),$W137,IF(AND($S137&lt;&gt;"",EDATE($D137,Milestones!$AA$160)&gt;=$S137),$V137,$U137)))=Milestones!$AB$160),UPPER(TEXT(EDATE($D137,Milestones!$AA$160),"dd mmm yy"))&amp;" "&amp;Milestones!$AB$160&amp;" "&amp;Milestones!$AC$160&amp;";  ","")&amp;IF(AND(EDATE($D137,Milestones!$AA$161)&lt;=AsOfDate,IF($R137=0,$X137,IF(AND($T137&lt;&gt;"",EDATE($D137,Milestones!$AA$161)&gt;=$T137),$W137,IF(AND($S137&lt;&gt;"",EDATE($D137,Milestones!$AA$161)&gt;=$S137),$V137,$U137)))=Milestones!$AB$161),UPPER(TEXT(EDATE($D137,Milestones!$AA$161),"dd mmm yy"))&amp;" "&amp;Milestones!$AB$161&amp;" "&amp;Milestones!$AC$161&amp;";  ","")&amp;IF(AND(EDATE($D137,Milestones!$AA$162)&lt;=AsOfDate,IF($R137=0,$X137,IF(AND($T137&lt;&gt;"",EDATE($D137,Milestones!$AA$162)&gt;=$T137),$W137,IF(AND($S137&lt;&gt;"",EDATE($D137,Milestones!$AA$162)&gt;=$S137),$V137,$U137)))=Milestones!$AB$162),UPPER(TEXT(EDATE($D137,Milestones!$AA$162),"dd mmm yy"))&amp;" "&amp;Milestones!$AB$162&amp;" "&amp;Milestones!$AC$162&amp;";  ","")&amp;IF(AND(EDATE($D137,Milestones!$AA$163)&lt;=AsOfDate,IF($R137=0,$X137,IF(AND($T137&lt;&gt;"",EDATE($D137,Milestones!$AA$163)&gt;=$T137),$W137,IF(AND($S137&lt;&gt;"",EDATE($D137,Milestones!$AA$163)&gt;=$S137),$V137,$U137)))=Milestones!$AB$163),UPPER(TEXT(EDATE($D137,Milestones!$AA$163),"dd mmm yy"))&amp;" "&amp;Milestones!$AB$163&amp;" "&amp;Milestones!$AC$163&amp;";  ","")&amp;IF(AND(EDATE($D137,Milestones!$AA$164)&lt;=AsOfDate,IF($R137=0,$X137,IF(AND($T137&lt;&gt;"",EDATE($D137,Milestones!$AA$164)&gt;=$T137),$W137,IF(AND($S137&lt;&gt;"",EDATE($D137,Milestones!$AA$164)&gt;=$S137),$V137,$U137)))=Milestones!$AB$164),UPPER(TEXT(EDATE($D137,Milestones!$AA$164),"dd mmm yy"))&amp;" "&amp;Milestones!$AB$164&amp;" "&amp;Milestones!$AC$164&amp;";  ","")&amp;IF(AND(EDATE($D137,Milestones!$AA$165)&lt;=AsOfDate,IF($R137=0,$X137,IF(AND($T137&lt;&gt;"",EDATE($D137,Milestones!$AA$165)&gt;=$T137),$W137,IF(AND($S137&lt;&gt;"",EDATE($D137,Milestones!$AA$165)&gt;=$S137),$V137,$U137)))=Milestones!$AB$165),UPPER(TEXT(EDATE($D137,Milestones!$AA$165),"dd mmm yy"))&amp;" "&amp;Milestones!$AB$165&amp;" "&amp;Milestones!$AC$165&amp;";  ","")&amp;IF(AND(EDATE($D137,Milestones!$AA$166)&lt;=AsOfDate,IF($R137=0,$X137,IF(AND($T137&lt;&gt;"",EDATE($D137,Milestones!$AA$166)&gt;=$T137),$W137,IF(AND($S137&lt;&gt;"",EDATE($D137,Milestones!$AA$166)&gt;=$S137),$V137,$U137)))=Milestones!$AB$166),UPPER(TEXT(EDATE($D137,Milestones!$AA$166),"dd mmm yy"))&amp;" "&amp;Milestones!$AB$166&amp;" "&amp;Milestones!$AC$166&amp;";  ","")&amp;IF(AND(EDATE($D137,Milestones!$AA$167)&lt;=AsOfDate,IF($R137=0,$X137,IF(AND($T137&lt;&gt;"",EDATE($D137,Milestones!$AA$167)&gt;=$T137),$W137,IF(AND($S137&lt;&gt;"",EDATE($D137,Milestones!$AA$167)&gt;=$S137),$V137,$U137)))=Milestones!$AB$167),UPPER(TEXT(EDATE($D137,Milestones!$AA$167),"dd mmm yy"))&amp;" "&amp;Milestones!$AB$167&amp;" "&amp;Milestones!$AC$167&amp;";  ","")&amp;IF(AND(EDATE($D137,Milestones!$AA$168)&lt;=AsOfDate,IF($R137=0,$X137,IF(AND($T137&lt;&gt;"",EDATE($D137,Milestones!$AA$168)&gt;=$T137),$W137,IF(AND($S137&lt;&gt;"",EDATE($D137,Milestones!$AA$168)&gt;=$S137),$V137,$U137)))=Milestones!$AB$168),UPPER(TEXT(EDATE($D137,Milestones!$AA$168),"dd mmm yy"))&amp;" "&amp;Milestones!$AB$168&amp;" "&amp;Milestones!$AC$168&amp;";  ","")&amp;IF(AND(EDATE($D137,Milestones!$AA$169)&lt;=AsOfDate,IF($R137=0,$X137,IF(AND($T137&lt;&gt;"",EDATE($D137,Milestones!$AA$169)&gt;=$T137),$W137,IF(AND($S137&lt;&gt;"",EDATE($D137,Milestones!$AA$169)&gt;=$S137),$V137,$U137)))=Milestones!$AB$169),UPPER(TEXT(EDATE($D137,Milestones!$AA$169),"dd mmm yy"))&amp;" "&amp;Milestones!$AB$169&amp;" "&amp;Milestones!$AC$169&amp;";  ","")&amp;IF(AND(EDATE($D137,Milestones!$AA$170)&lt;=AsOfDate,IF($R137=0,$X137,IF(AND($T137&lt;&gt;"",EDATE($D137,Milestones!$AA$170)&gt;=$T137),$W137,IF(AND($S137&lt;&gt;"",EDATE($D137,Milestones!$AA$170)&gt;=$S137),$V137,$U137)))=Milestones!$AB$170),UPPER(TEXT(EDATE($D137,Milestones!$AA$170),"dd mmm yy"))&amp;" "&amp;Milestones!$AB$170&amp;" "&amp;Milestones!$AC$170&amp;";  ","")&amp;IF(AND(EDATE($D137,Milestones!$AA$171)&lt;=AsOfDate,IF($R137=0,$X137,IF(AND($T137&lt;&gt;"",EDATE($D137,Milestones!$AA$171)&gt;=$T137),$W137,IF(AND($S137&lt;&gt;"",EDATE($D137,Milestones!$AA$171)&gt;=$S137),$V137,$U137)))=Milestones!$AB$171),UPPER(TEXT(EDATE($D137,Milestones!$AA$171),"dd mmm yy"))&amp;" "&amp;Milestones!$AB$171&amp;" "&amp;Milestones!$AC$171&amp;";  ","")&amp;IF(AND(EDATE($D137,Milestones!$AA$172)&lt;=AsOfDate,IF($R137=0,$X137,IF(AND($T137&lt;&gt;"",EDATE($D137,Milestones!$AA$172)&gt;=$T137),$W137,IF(AND($S137&lt;&gt;"",EDATE($D137,Milestones!$AA$172)&gt;=$S137),$V137,$U137)))=Milestones!$AB$172),UPPER(TEXT(EDATE($D137,Milestones!$AA$172),"dd mmm yy"))&amp;" "&amp;Milestones!$AB$172&amp;" "&amp;Milestones!$AC$172&amp;";  ","")&amp;IF(AND(EDATE($D137,Milestones!$AA$173)&lt;=AsOfDate,IF($R137=0,$X137,IF(AND($T137&lt;&gt;"",EDATE($D137,Milestones!$AA$173)&gt;=$T137),$W137,IF(AND($S137&lt;&gt;"",EDATE($D137,Milestones!$AA$173)&gt;=$S137),$V137,$U137)))=Milestones!$AB$173),UPPER(TEXT(EDATE($D137,Milestones!$AA$173),"dd mmm yy"))&amp;" "&amp;Milestones!$AB$173&amp;" "&amp;Milestones!$AC$173&amp;";  ","")&amp;IF(AND(EDATE($D137,Milestones!$AA$174)&lt;=AsOfDate,IF($R137=0,$X137,IF(AND($T137&lt;&gt;"",EDATE($D137,Milestones!$AA$174)&gt;=$T137),$W137,IF(AND($S137&lt;&gt;"",EDATE($D137,Milestones!$AA$174)&gt;=$S137),$V137,$U137)))=Milestones!$AB$174),UPPER(TEXT(EDATE($D137,Milestones!$AA$174),"dd mmm yy"))&amp;" "&amp;Milestones!$AB$174&amp;" "&amp;Milestones!$AC$174&amp;";  ","")&amp;IF(AND(EDATE($D137,Milestones!$AA$175)&lt;=AsOfDate,IF($R137=0,$X137,IF(AND($T137&lt;&gt;"",EDATE($D137,Milestones!$AA$175)&gt;=$T137),$W137,IF(AND($S137&lt;&gt;"",EDATE($D137,Milestones!$AA$175)&gt;=$S137),$V137,$U137)))=Milestones!$AB$175),UPPER(TEXT(EDATE($D137,Milestones!$AA$175),"dd mmm yy"))&amp;" "&amp;Milestones!$AB$175&amp;" "&amp;Milestones!$AC$175&amp;";  ","")&amp;IF(AND(EDATE($D137,Milestones!$AA$176)&lt;=AsOfDate,IF($R137=0,$X137,IF(AND($T137&lt;&gt;"",EDATE($D137,Milestones!$AA$176)&gt;=$T137),$W137,IF(AND($S137&lt;&gt;"",EDATE($D137,Milestones!$AA$176)&gt;=$S137),$V137,$U137)))=Milestones!$AB$176),UPPER(TEXT(EDATE($D137,Milestones!$AA$176),"dd mmm yy"))&amp;" "&amp;Milestones!$AB$176&amp;" "&amp;Milestones!$AC$176&amp;";  ","")&amp;IF(AND(EDATE($D137,Milestones!$AA$177)&lt;=AsOfDate,IF($R137=0,$X137,IF(AND($T137&lt;&gt;"",EDATE($D137,Milestones!$AA$177)&gt;=$T137),$W137,IF(AND($S137&lt;&gt;"",EDATE($D137,Milestones!$AA$177)&gt;=$S137),$V137,$U137)))=Milestones!$AB$177),UPPER(TEXT(EDATE($D137,Milestones!$AA$177),"dd mmm yy"))&amp;" "&amp;Milestones!$AB$177&amp;" "&amp;Milestones!$AC$177&amp;";  ","")&amp;IF(AND(EDATE($D137,Milestones!$AA$178)&lt;=AsOfDate,IF($R137=0,$X137,IF(AND($T137&lt;&gt;"",EDATE($D137,Milestones!$AA$178)&gt;=$T137),$W137,IF(AND($S137&lt;&gt;"",EDATE($D137,Milestones!$AA$178)&gt;=$S137),$V137,$U137)))=Milestones!$AB$178),UPPER(TEXT(EDATE($D137,Milestones!$AA$178),"dd mmm yy"))&amp;" "&amp;Milestones!$AB$178&amp;" "&amp;Milestones!$AC$178&amp;";  ","")&amp;IF(AND(EDATE($D137,Milestones!$AA$179)&lt;=AsOfDate,IF($R137=0,$X137,IF(AND($T137&lt;&gt;"",EDATE($D137,Milestones!$AA$179)&gt;=$T137),$W137,IF(AND($S137&lt;&gt;"",EDATE($D137,Milestones!$AA$179)&gt;=$S137),$V137,$U137)))=Milestones!$AB$179),UPPER(TEXT(EDATE($D137,Milestones!$AA$179),"dd mmm yy"))&amp;" "&amp;Milestones!$AB$179&amp;" "&amp;Milestones!$AC$179&amp;";  ",""))</f>
        <v/>
      </c>
      <c r="Q137" s="0" t="str">
        <f aca="false">IF(OR($A137="",$D137=""),"",IF(AND(EDATE($D137,Milestones!$AA$180)&lt;=AsOfDate,IF($R137=0,$X137,IF(AND($T137&lt;&gt;"",EDATE($D137,Milestones!$AA$180)&gt;=$T137),$W137,IF(AND($S137&lt;&gt;"",EDATE($D137,Milestones!$AA$180)&gt;=$S137),$V137,$U137)))=Milestones!$AB$180),UPPER(TEXT(EDATE($D137,Milestones!$AA$180),"dd mmm yy"))&amp;" "&amp;Milestones!$AB$180&amp;" "&amp;Milestones!$AC$180&amp;";  ","")&amp;IF(AND(EDATE($D137,Milestones!$AA$181)&lt;=AsOfDate,IF($R137=0,$X137,IF(AND($T137&lt;&gt;"",EDATE($D137,Milestones!$AA$181)&gt;=$T137),$W137,IF(AND($S137&lt;&gt;"",EDATE($D137,Milestones!$AA$181)&gt;=$S137),$V137,$U137)))=Milestones!$AB$181),UPPER(TEXT(EDATE($D137,Milestones!$AA$181),"dd mmm yy"))&amp;" "&amp;Milestones!$AB$181&amp;" "&amp;Milestones!$AC$181&amp;";  ","")&amp;IF(AND(EDATE($D137,Milestones!$AA$182)&lt;=AsOfDate,IF($R137=0,$X137,IF(AND($T137&lt;&gt;"",EDATE($D137,Milestones!$AA$182)&gt;=$T137),$W137,IF(AND($S137&lt;&gt;"",EDATE($D137,Milestones!$AA$182)&gt;=$S137),$V137,$U137)))=Milestones!$AB$182),UPPER(TEXT(EDATE($D137,Milestones!$AA$182),"dd mmm yy"))&amp;" "&amp;Milestones!$AB$182&amp;" "&amp;Milestones!$AC$182&amp;";  ","")&amp;IF(AND(EDATE($D137,Milestones!$AA$183)&lt;=AsOfDate,IF($R137=0,$X137,IF(AND($T137&lt;&gt;"",EDATE($D137,Milestones!$AA$183)&gt;=$T137),$W137,IF(AND($S137&lt;&gt;"",EDATE($D137,Milestones!$AA$183)&gt;=$S137),$V137,$U137)))=Milestones!$AB$183),UPPER(TEXT(EDATE($D137,Milestones!$AA$183),"dd mmm yy"))&amp;" "&amp;Milestones!$AB$183&amp;" "&amp;Milestones!$AC$183&amp;";  ","")&amp;IF(AND(EDATE($D137,Milestones!$AA$184)&lt;=AsOfDate,IF($R137=0,$X137,IF(AND($T137&lt;&gt;"",EDATE($D137,Milestones!$AA$184)&gt;=$T137),$W137,IF(AND($S137&lt;&gt;"",EDATE($D137,Milestones!$AA$184)&gt;=$S137),$V137,$U137)))=Milestones!$AB$184),UPPER(TEXT(EDATE($D137,Milestones!$AA$184),"dd mmm yy"))&amp;" "&amp;Milestones!$AB$184&amp;" "&amp;Milestones!$AC$184&amp;";  ","")&amp;IF(AND(EDATE($D137,Milestones!$AA$185)&lt;=AsOfDate,IF($R137=0,$X137,IF(AND($T137&lt;&gt;"",EDATE($D137,Milestones!$AA$185)&gt;=$T137),$W137,IF(AND($S137&lt;&gt;"",EDATE($D137,Milestones!$AA$185)&gt;=$S137),$V137,$U137)))=Milestones!$AB$185),UPPER(TEXT(EDATE($D137,Milestones!$AA$185),"dd mmm yy"))&amp;" "&amp;Milestones!$AB$185&amp;" "&amp;Milestones!$AC$185&amp;";  ","")&amp;IF(AND(EDATE($D137,Milestones!$AA$186)&lt;=AsOfDate,IF($R137=0,$X137,IF(AND($T137&lt;&gt;"",EDATE($D137,Milestones!$AA$186)&gt;=$T137),$W137,IF(AND($S137&lt;&gt;"",EDATE($D137,Milestones!$AA$186)&gt;=$S137),$V137,$U137)))=Milestones!$AB$186),UPPER(TEXT(EDATE($D137,Milestones!$AA$186),"dd mmm yy"))&amp;" "&amp;Milestones!$AB$186&amp;" "&amp;Milestones!$AC$186&amp;";  ","")&amp;IF(AND(EDATE($D137,Milestones!$AA$187)&lt;=AsOfDate,IF($R137=0,$X137,IF(AND($T137&lt;&gt;"",EDATE($D137,Milestones!$AA$187)&gt;=$T137),$W137,IF(AND($S137&lt;&gt;"",EDATE($D137,Milestones!$AA$187)&gt;=$S137),$V137,$U137)))=Milestones!$AB$187),UPPER(TEXT(EDATE($D137,Milestones!$AA$187),"dd mmm yy"))&amp;" "&amp;Milestones!$AB$187&amp;" "&amp;Milestones!$AC$187&amp;";  ","")&amp;IF(AND(EDATE($D137,Milestones!$AA$188)&lt;=AsOfDate,IF($R137=0,$X137,IF(AND($T137&lt;&gt;"",EDATE($D137,Milestones!$AA$188)&gt;=$T137),$W137,IF(AND($S137&lt;&gt;"",EDATE($D137,Milestones!$AA$188)&gt;=$S137),$V137,$U137)))=Milestones!$AB$188),UPPER(TEXT(EDATE($D137,Milestones!$AA$188),"dd mmm yy"))&amp;" "&amp;Milestones!$AB$188&amp;" "&amp;Milestones!$AC$188&amp;";  ","")&amp;IF(AND(EDATE($D137,Milestones!$AA$189)&lt;=AsOfDate,IF($R137=0,$X137,IF(AND($T137&lt;&gt;"",EDATE($D137,Milestones!$AA$189)&gt;=$T137),$W137,IF(AND($S137&lt;&gt;"",EDATE($D137,Milestones!$AA$189)&gt;=$S137),$V137,$U137)))=Milestones!$AB$189),UPPER(TEXT(EDATE($D137,Milestones!$AA$189),"dd mmm yy"))&amp;" "&amp;Milestones!$AB$189&amp;" "&amp;Milestones!$AC$189&amp;";  ","")&amp;IF(AND(EDATE($D137,Milestones!$AA$190)&lt;=AsOfDate,IF($R137=0,$X137,IF(AND($T137&lt;&gt;"",EDATE($D137,Milestones!$AA$190)&gt;=$T137),$W137,IF(AND($S137&lt;&gt;"",EDATE($D137,Milestones!$AA$190)&gt;=$S137),$V137,$U137)))=Milestones!$AB$190),UPPER(TEXT(EDATE($D137,Milestones!$AA$190),"dd mmm yy"))&amp;" "&amp;Milestones!$AB$190&amp;" "&amp;Milestones!$AC$190&amp;";  ","")&amp;IF(AND(EDATE($D137,Milestones!$AA$191)&lt;=AsOfDate,IF($R137=0,$X137,IF(AND($T137&lt;&gt;"",EDATE($D137,Milestones!$AA$191)&gt;=$T137),$W137,IF(AND($S137&lt;&gt;"",EDATE($D137,Milestones!$AA$191)&gt;=$S137),$V137,$U137)))=Milestones!$AB$191),UPPER(TEXT(EDATE($D137,Milestones!$AA$191),"dd mmm yy"))&amp;" "&amp;Milestones!$AB$191&amp;" "&amp;Milestones!$AC$191&amp;";  ","")&amp;IF(AND(EDATE($D137,Milestones!$AA$192)&lt;=AsOfDate,IF($R137=0,$X137,IF(AND($T137&lt;&gt;"",EDATE($D137,Milestones!$AA$192)&gt;=$T137),$W137,IF(AND($S137&lt;&gt;"",EDATE($D137,Milestones!$AA$192)&gt;=$S137),$V137,$U137)))=Milestones!$AB$192),UPPER(TEXT(EDATE($D137,Milestones!$AA$192),"dd mmm yy"))&amp;" "&amp;Milestones!$AB$192&amp;" "&amp;Milestones!$AC$192&amp;";  ","")&amp;IF(AND(EDATE($D137,Milestones!$AA$193)&lt;=AsOfDate,IF($R137=0,$X137,IF(AND($T137&lt;&gt;"",EDATE($D137,Milestones!$AA$193)&gt;=$T137),$W137,IF(AND($S137&lt;&gt;"",EDATE($D137,Milestones!$AA$193)&gt;=$S137),$V137,$U137)))=Milestones!$AB$193),UPPER(TEXT(EDATE($D137,Milestones!$AA$193),"dd mmm yy"))&amp;" "&amp;Milestones!$AB$193&amp;" "&amp;Milestones!$AC$193&amp;";  ","")&amp;IF(AND(EDATE($D137,Milestones!$AA$194)&lt;=AsOfDate,IF($R137=0,$X137,IF(AND($T137&lt;&gt;"",EDATE($D137,Milestones!$AA$194)&gt;=$T137),$W137,IF(AND($S137&lt;&gt;"",EDATE($D137,Milestones!$AA$194)&gt;=$S137),$V137,$U137)))=Milestones!$AB$194),UPPER(TEXT(EDATE($D137,Milestones!$AA$194),"dd mmm yy"))&amp;" "&amp;Milestones!$AB$194&amp;" "&amp;Milestones!$AC$194&amp;";  ","")&amp;IF(AND(EDATE($D137,Milestones!$AA$195)&lt;=AsOfDate,IF($R137=0,$X137,IF(AND($T137&lt;&gt;"",EDATE($D137,Milestones!$AA$195)&gt;=$T137),$W137,IF(AND($S137&lt;&gt;"",EDATE($D137,Milestones!$AA$195)&gt;=$S137),$V137,$U137)))=Milestones!$AB$195),UPPER(TEXT(EDATE($D137,Milestones!$AA$195),"dd mmm yy"))&amp;" "&amp;Milestones!$AB$195&amp;" "&amp;Milestones!$AC$195&amp;";  ","")&amp;IF(AND(EDATE($D137,Milestones!$AA$196)&lt;=AsOfDate,IF($R137=0,$X137,IF(AND($T137&lt;&gt;"",EDATE($D137,Milestones!$AA$196)&gt;=$T137),$W137,IF(AND($S137&lt;&gt;"",EDATE($D137,Milestones!$AA$196)&gt;=$S137),$V137,$U137)))=Milestones!$AB$196),UPPER(TEXT(EDATE($D137,Milestones!$AA$196),"dd mmm yy"))&amp;" "&amp;Milestones!$AB$196&amp;" "&amp;Milestones!$AC$196&amp;";  ","")&amp;IF(AND(EDATE($D137,Milestones!$AA$197)&lt;=AsOfDate,IF($R137=0,$X137,IF(AND($T137&lt;&gt;"",EDATE($D137,Milestones!$AA$197)&gt;=$T137),$W137,IF(AND($S137&lt;&gt;"",EDATE($D137,Milestones!$AA$197)&gt;=$S137),$V137,$U137)))=Milestones!$AB$197),UPPER(TEXT(EDATE($D137,Milestones!$AA$197),"dd mmm yy"))&amp;" "&amp;Milestones!$AB$197&amp;" "&amp;Milestones!$AC$197&amp;";  ","")&amp;IF(AND(EDATE($D137,Milestones!$AA$198)&lt;=AsOfDate,IF($R137=0,$X137,IF(AND($T137&lt;&gt;"",EDATE($D137,Milestones!$AA$198)&gt;=$T137),$W137,IF(AND($S137&lt;&gt;"",EDATE($D137,Milestones!$AA$198)&gt;=$S137),$V137,$U137)))=Milestones!$AB$198),UPPER(TEXT(EDATE($D137,Milestones!$AA$198),"dd mmm yy"))&amp;" "&amp;Milestones!$AB$198&amp;" "&amp;Milestones!$AC$198&amp;";  ","")&amp;IF(AND(EDATE($D137,Milestones!$AA$199)&lt;=AsOfDate,IF($R137=0,$X137,IF(AND($T137&lt;&gt;"",EDATE($D137,Milestones!$AA$199)&gt;=$T137),$W137,IF(AND($S137&lt;&gt;"",EDATE($D137,Milestones!$AA$199)&gt;=$S137),$V137,$U137)))=Milestones!$AB$199),UPPER(TEXT(EDATE($D137,Milestones!$AA$199),"dd mmm yy"))&amp;" "&amp;Milestones!$AB$199&amp;" "&amp;Milestones!$AC$199&amp;";  ",""))</f>
        <v/>
      </c>
      <c r="R137" s="0" t="str">
        <f aca="false">IF(Staff!$A137="","",Staff!$AI137)</f>
        <v/>
      </c>
      <c r="S137" s="0" t="str">
        <f aca="false">IF(Staff!$A137="","",Staff!$AK137)</f>
        <v/>
      </c>
      <c r="T137" s="0" t="str">
        <f aca="false">IF(Staff!$A137="","",Staff!$AL137)</f>
        <v/>
      </c>
      <c r="U137" s="0" t="str">
        <f aca="false">IF(Staff!$A137="","",Staff!$AP137)</f>
        <v/>
      </c>
      <c r="V137" s="0" t="str">
        <f aca="false">IF(Staff!$A137="","",Staff!$AQ137)</f>
        <v/>
      </c>
      <c r="W137" s="0" t="str">
        <f aca="false">IF(Staff!$A137="","",Staff!$AR137)</f>
        <v/>
      </c>
      <c r="X137" s="0" t="str">
        <f aca="false">IF(Staff!$A137="","",Staff!$AS137)</f>
        <v/>
      </c>
    </row>
    <row r="138" customFormat="false" ht="15" hidden="false" customHeight="false" outlineLevel="0" collapsed="false">
      <c r="A138" s="14" t="str">
        <f aca="false">IF(Staff!$A138="","",Staff!$A138)</f>
        <v/>
      </c>
      <c r="B138" s="14" t="str">
        <f aca="false">IF(Staff!$A138="","",Staff!$B138)</f>
        <v/>
      </c>
      <c r="C138" s="14" t="str">
        <f aca="false">IF(Staff!$A138="","",Staff!$C138)</f>
        <v/>
      </c>
      <c r="D138" s="12" t="str">
        <f aca="false">IF(Staff!$A138="","",Staff!$AH138)</f>
        <v/>
      </c>
      <c r="E138" s="14" t="str">
        <f aca="false">IF(Staff!$A138="","",Staff!$O138)</f>
        <v/>
      </c>
      <c r="F138" s="14" t="str">
        <f aca="false">IF(E138="","",E138*HoursPerDay)</f>
        <v/>
      </c>
      <c r="G138" s="14" t="str">
        <f aca="false">IF(Staff!$A138="","",Staff!$AE138)</f>
        <v/>
      </c>
      <c r="H138" s="26" t="str">
        <f aca="false">IF($A138="","",I138&amp;J138&amp;K138&amp;L138&amp;M138&amp;N138&amp;O138&amp;P138&amp;Q138)</f>
        <v/>
      </c>
      <c r="I138" s="0" t="str">
        <f aca="false">IF(OR($A138="",$D138=""),"",IF(AND(EDATE($D138,Milestones!$AA$20)&lt;=AsOfDate,IF($R138=0,$X138,IF(AND($T138&lt;&gt;"",EDATE($D138,Milestones!$AA$20)&gt;=$T138),$W138,IF(AND($S138&lt;&gt;"",EDATE($D138,Milestones!$AA$20)&gt;=$S138),$V138,$U138)))=Milestones!$AB$20),UPPER(TEXT(EDATE($D138,Milestones!$AA$20),"dd mmm yy"))&amp;" "&amp;Milestones!$AB$20&amp;" "&amp;Milestones!$AC$20&amp;";  ","")&amp;IF(AND(EDATE($D138,Milestones!$AA$21)&lt;=AsOfDate,IF($R138=0,$X138,IF(AND($T138&lt;&gt;"",EDATE($D138,Milestones!$AA$21)&gt;=$T138),$W138,IF(AND($S138&lt;&gt;"",EDATE($D138,Milestones!$AA$21)&gt;=$S138),$V138,$U138)))=Milestones!$AB$21),UPPER(TEXT(EDATE($D138,Milestones!$AA$21),"dd mmm yy"))&amp;" "&amp;Milestones!$AB$21&amp;" "&amp;Milestones!$AC$21&amp;";  ","")&amp;IF(AND(EDATE($D138,Milestones!$AA$22)&lt;=AsOfDate,IF($R138=0,$X138,IF(AND($T138&lt;&gt;"",EDATE($D138,Milestones!$AA$22)&gt;=$T138),$W138,IF(AND($S138&lt;&gt;"",EDATE($D138,Milestones!$AA$22)&gt;=$S138),$V138,$U138)))=Milestones!$AB$22),UPPER(TEXT(EDATE($D138,Milestones!$AA$22),"dd mmm yy"))&amp;" "&amp;Milestones!$AB$22&amp;" "&amp;Milestones!$AC$22&amp;";  ","")&amp;IF(AND(EDATE($D138,Milestones!$AA$23)&lt;=AsOfDate,IF($R138=0,$X138,IF(AND($T138&lt;&gt;"",EDATE($D138,Milestones!$AA$23)&gt;=$T138),$W138,IF(AND($S138&lt;&gt;"",EDATE($D138,Milestones!$AA$23)&gt;=$S138),$V138,$U138)))=Milestones!$AB$23),UPPER(TEXT(EDATE($D138,Milestones!$AA$23),"dd mmm yy"))&amp;" "&amp;Milestones!$AB$23&amp;" "&amp;Milestones!$AC$23&amp;";  ","")&amp;IF(AND(EDATE($D138,Milestones!$AA$24)&lt;=AsOfDate,IF($R138=0,$X138,IF(AND($T138&lt;&gt;"",EDATE($D138,Milestones!$AA$24)&gt;=$T138),$W138,IF(AND($S138&lt;&gt;"",EDATE($D138,Milestones!$AA$24)&gt;=$S138),$V138,$U138)))=Milestones!$AB$24),UPPER(TEXT(EDATE($D138,Milestones!$AA$24),"dd mmm yy"))&amp;" "&amp;Milestones!$AB$24&amp;" "&amp;Milestones!$AC$24&amp;";  ","")&amp;IF(AND(EDATE($D138,Milestones!$AA$25)&lt;=AsOfDate,IF($R138=0,$X138,IF(AND($T138&lt;&gt;"",EDATE($D138,Milestones!$AA$25)&gt;=$T138),$W138,IF(AND($S138&lt;&gt;"",EDATE($D138,Milestones!$AA$25)&gt;=$S138),$V138,$U138)))=Milestones!$AB$25),UPPER(TEXT(EDATE($D138,Milestones!$AA$25),"dd mmm yy"))&amp;" "&amp;Milestones!$AB$25&amp;" "&amp;Milestones!$AC$25&amp;";  ","")&amp;IF(AND(EDATE($D138,Milestones!$AA$26)&lt;=AsOfDate,IF($R138=0,$X138,IF(AND($T138&lt;&gt;"",EDATE($D138,Milestones!$AA$26)&gt;=$T138),$W138,IF(AND($S138&lt;&gt;"",EDATE($D138,Milestones!$AA$26)&gt;=$S138),$V138,$U138)))=Milestones!$AB$26),UPPER(TEXT(EDATE($D138,Milestones!$AA$26),"dd mmm yy"))&amp;" "&amp;Milestones!$AB$26&amp;" "&amp;Milestones!$AC$26&amp;";  ","")&amp;IF(AND(EDATE($D138,Milestones!$AA$27)&lt;=AsOfDate,IF($R138=0,$X138,IF(AND($T138&lt;&gt;"",EDATE($D138,Milestones!$AA$27)&gt;=$T138),$W138,IF(AND($S138&lt;&gt;"",EDATE($D138,Milestones!$AA$27)&gt;=$S138),$V138,$U138)))=Milestones!$AB$27),UPPER(TEXT(EDATE($D138,Milestones!$AA$27),"dd mmm yy"))&amp;" "&amp;Milestones!$AB$27&amp;" "&amp;Milestones!$AC$27&amp;";  ","")&amp;IF(AND(EDATE($D138,Milestones!$AA$28)&lt;=AsOfDate,IF($R138=0,$X138,IF(AND($T138&lt;&gt;"",EDATE($D138,Milestones!$AA$28)&gt;=$T138),$W138,IF(AND($S138&lt;&gt;"",EDATE($D138,Milestones!$AA$28)&gt;=$S138),$V138,$U138)))=Milestones!$AB$28),UPPER(TEXT(EDATE($D138,Milestones!$AA$28),"dd mmm yy"))&amp;" "&amp;Milestones!$AB$28&amp;" "&amp;Milestones!$AC$28&amp;";  ","")&amp;IF(AND(EDATE($D138,Milestones!$AA$29)&lt;=AsOfDate,IF($R138=0,$X138,IF(AND($T138&lt;&gt;"",EDATE($D138,Milestones!$AA$29)&gt;=$T138),$W138,IF(AND($S138&lt;&gt;"",EDATE($D138,Milestones!$AA$29)&gt;=$S138),$V138,$U138)))=Milestones!$AB$29),UPPER(TEXT(EDATE($D138,Milestones!$AA$29),"dd mmm yy"))&amp;" "&amp;Milestones!$AB$29&amp;" "&amp;Milestones!$AC$29&amp;";  ","")&amp;IF(AND(EDATE($D138,Milestones!$AA$30)&lt;=AsOfDate,IF($R138=0,$X138,IF(AND($T138&lt;&gt;"",EDATE($D138,Milestones!$AA$30)&gt;=$T138),$W138,IF(AND($S138&lt;&gt;"",EDATE($D138,Milestones!$AA$30)&gt;=$S138),$V138,$U138)))=Milestones!$AB$30),UPPER(TEXT(EDATE($D138,Milestones!$AA$30),"dd mmm yy"))&amp;" "&amp;Milestones!$AB$30&amp;" "&amp;Milestones!$AC$30&amp;";  ","")&amp;IF(AND(EDATE($D138,Milestones!$AA$31)&lt;=AsOfDate,IF($R138=0,$X138,IF(AND($T138&lt;&gt;"",EDATE($D138,Milestones!$AA$31)&gt;=$T138),$W138,IF(AND($S138&lt;&gt;"",EDATE($D138,Milestones!$AA$31)&gt;=$S138),$V138,$U138)))=Milestones!$AB$31),UPPER(TEXT(EDATE($D138,Milestones!$AA$31),"dd mmm yy"))&amp;" "&amp;Milestones!$AB$31&amp;" "&amp;Milestones!$AC$31&amp;";  ","")&amp;IF(AND(EDATE($D138,Milestones!$AA$32)&lt;=AsOfDate,IF($R138=0,$X138,IF(AND($T138&lt;&gt;"",EDATE($D138,Milestones!$AA$32)&gt;=$T138),$W138,IF(AND($S138&lt;&gt;"",EDATE($D138,Milestones!$AA$32)&gt;=$S138),$V138,$U138)))=Milestones!$AB$32),UPPER(TEXT(EDATE($D138,Milestones!$AA$32),"dd mmm yy"))&amp;" "&amp;Milestones!$AB$32&amp;" "&amp;Milestones!$AC$32&amp;";  ","")&amp;IF(AND(EDATE($D138,Milestones!$AA$33)&lt;=AsOfDate,IF($R138=0,$X138,IF(AND($T138&lt;&gt;"",EDATE($D138,Milestones!$AA$33)&gt;=$T138),$W138,IF(AND($S138&lt;&gt;"",EDATE($D138,Milestones!$AA$33)&gt;=$S138),$V138,$U138)))=Milestones!$AB$33),UPPER(TEXT(EDATE($D138,Milestones!$AA$33),"dd mmm yy"))&amp;" "&amp;Milestones!$AB$33&amp;" "&amp;Milestones!$AC$33&amp;";  ","")&amp;IF(AND(EDATE($D138,Milestones!$AA$34)&lt;=AsOfDate,IF($R138=0,$X138,IF(AND($T138&lt;&gt;"",EDATE($D138,Milestones!$AA$34)&gt;=$T138),$W138,IF(AND($S138&lt;&gt;"",EDATE($D138,Milestones!$AA$34)&gt;=$S138),$V138,$U138)))=Milestones!$AB$34),UPPER(TEXT(EDATE($D138,Milestones!$AA$34),"dd mmm yy"))&amp;" "&amp;Milestones!$AB$34&amp;" "&amp;Milestones!$AC$34&amp;";  ","")&amp;IF(AND(EDATE($D138,Milestones!$AA$35)&lt;=AsOfDate,IF($R138=0,$X138,IF(AND($T138&lt;&gt;"",EDATE($D138,Milestones!$AA$35)&gt;=$T138),$W138,IF(AND($S138&lt;&gt;"",EDATE($D138,Milestones!$AA$35)&gt;=$S138),$V138,$U138)))=Milestones!$AB$35),UPPER(TEXT(EDATE($D138,Milestones!$AA$35),"dd mmm yy"))&amp;" "&amp;Milestones!$AB$35&amp;" "&amp;Milestones!$AC$35&amp;";  ","")&amp;IF(AND(EDATE($D138,Milestones!$AA$36)&lt;=AsOfDate,IF($R138=0,$X138,IF(AND($T138&lt;&gt;"",EDATE($D138,Milestones!$AA$36)&gt;=$T138),$W138,IF(AND($S138&lt;&gt;"",EDATE($D138,Milestones!$AA$36)&gt;=$S138),$V138,$U138)))=Milestones!$AB$36),UPPER(TEXT(EDATE($D138,Milestones!$AA$36),"dd mmm yy"))&amp;" "&amp;Milestones!$AB$36&amp;" "&amp;Milestones!$AC$36&amp;";  ","")&amp;IF(AND(EDATE($D138,Milestones!$AA$37)&lt;=AsOfDate,IF($R138=0,$X138,IF(AND($T138&lt;&gt;"",EDATE($D138,Milestones!$AA$37)&gt;=$T138),$W138,IF(AND($S138&lt;&gt;"",EDATE($D138,Milestones!$AA$37)&gt;=$S138),$V138,$U138)))=Milestones!$AB$37),UPPER(TEXT(EDATE($D138,Milestones!$AA$37),"dd mmm yy"))&amp;" "&amp;Milestones!$AB$37&amp;" "&amp;Milestones!$AC$37&amp;";  ","")&amp;IF(AND(EDATE($D138,Milestones!$AA$38)&lt;=AsOfDate,IF($R138=0,$X138,IF(AND($T138&lt;&gt;"",EDATE($D138,Milestones!$AA$38)&gt;=$T138),$W138,IF(AND($S138&lt;&gt;"",EDATE($D138,Milestones!$AA$38)&gt;=$S138),$V138,$U138)))=Milestones!$AB$38),UPPER(TEXT(EDATE($D138,Milestones!$AA$38),"dd mmm yy"))&amp;" "&amp;Milestones!$AB$38&amp;" "&amp;Milestones!$AC$38&amp;";  ","")&amp;IF(AND(EDATE($D138,Milestones!$AA$39)&lt;=AsOfDate,IF($R138=0,$X138,IF(AND($T138&lt;&gt;"",EDATE($D138,Milestones!$AA$39)&gt;=$T138),$W138,IF(AND($S138&lt;&gt;"",EDATE($D138,Milestones!$AA$39)&gt;=$S138),$V138,$U138)))=Milestones!$AB$39),UPPER(TEXT(EDATE($D138,Milestones!$AA$39),"dd mmm yy"))&amp;" "&amp;Milestones!$AB$39&amp;" "&amp;Milestones!$AC$39&amp;";  ",""))</f>
        <v/>
      </c>
      <c r="J138" s="0" t="str">
        <f aca="false">IF(OR($A138="",$D138=""),"",IF(AND(EDATE($D138,Milestones!$AA$40)&lt;=AsOfDate,IF($R138=0,$X138,IF(AND($T138&lt;&gt;"",EDATE($D138,Milestones!$AA$40)&gt;=$T138),$W138,IF(AND($S138&lt;&gt;"",EDATE($D138,Milestones!$AA$40)&gt;=$S138),$V138,$U138)))=Milestones!$AB$40),UPPER(TEXT(EDATE($D138,Milestones!$AA$40),"dd mmm yy"))&amp;" "&amp;Milestones!$AB$40&amp;" "&amp;Milestones!$AC$40&amp;";  ","")&amp;IF(AND(EDATE($D138,Milestones!$AA$41)&lt;=AsOfDate,IF($R138=0,$X138,IF(AND($T138&lt;&gt;"",EDATE($D138,Milestones!$AA$41)&gt;=$T138),$W138,IF(AND($S138&lt;&gt;"",EDATE($D138,Milestones!$AA$41)&gt;=$S138),$V138,$U138)))=Milestones!$AB$41),UPPER(TEXT(EDATE($D138,Milestones!$AA$41),"dd mmm yy"))&amp;" "&amp;Milestones!$AB$41&amp;" "&amp;Milestones!$AC$41&amp;";  ","")&amp;IF(AND(EDATE($D138,Milestones!$AA$42)&lt;=AsOfDate,IF($R138=0,$X138,IF(AND($T138&lt;&gt;"",EDATE($D138,Milestones!$AA$42)&gt;=$T138),$W138,IF(AND($S138&lt;&gt;"",EDATE($D138,Milestones!$AA$42)&gt;=$S138),$V138,$U138)))=Milestones!$AB$42),UPPER(TEXT(EDATE($D138,Milestones!$AA$42),"dd mmm yy"))&amp;" "&amp;Milestones!$AB$42&amp;" "&amp;Milestones!$AC$42&amp;";  ","")&amp;IF(AND(EDATE($D138,Milestones!$AA$43)&lt;=AsOfDate,IF($R138=0,$X138,IF(AND($T138&lt;&gt;"",EDATE($D138,Milestones!$AA$43)&gt;=$T138),$W138,IF(AND($S138&lt;&gt;"",EDATE($D138,Milestones!$AA$43)&gt;=$S138),$V138,$U138)))=Milestones!$AB$43),UPPER(TEXT(EDATE($D138,Milestones!$AA$43),"dd mmm yy"))&amp;" "&amp;Milestones!$AB$43&amp;" "&amp;Milestones!$AC$43&amp;";  ","")&amp;IF(AND(EDATE($D138,Milestones!$AA$44)&lt;=AsOfDate,IF($R138=0,$X138,IF(AND($T138&lt;&gt;"",EDATE($D138,Milestones!$AA$44)&gt;=$T138),$W138,IF(AND($S138&lt;&gt;"",EDATE($D138,Milestones!$AA$44)&gt;=$S138),$V138,$U138)))=Milestones!$AB$44),UPPER(TEXT(EDATE($D138,Milestones!$AA$44),"dd mmm yy"))&amp;" "&amp;Milestones!$AB$44&amp;" "&amp;Milestones!$AC$44&amp;";  ","")&amp;IF(AND(EDATE($D138,Milestones!$AA$45)&lt;=AsOfDate,IF($R138=0,$X138,IF(AND($T138&lt;&gt;"",EDATE($D138,Milestones!$AA$45)&gt;=$T138),$W138,IF(AND($S138&lt;&gt;"",EDATE($D138,Milestones!$AA$45)&gt;=$S138),$V138,$U138)))=Milestones!$AB$45),UPPER(TEXT(EDATE($D138,Milestones!$AA$45),"dd mmm yy"))&amp;" "&amp;Milestones!$AB$45&amp;" "&amp;Milestones!$AC$45&amp;";  ","")&amp;IF(AND(EDATE($D138,Milestones!$AA$46)&lt;=AsOfDate,IF($R138=0,$X138,IF(AND($T138&lt;&gt;"",EDATE($D138,Milestones!$AA$46)&gt;=$T138),$W138,IF(AND($S138&lt;&gt;"",EDATE($D138,Milestones!$AA$46)&gt;=$S138),$V138,$U138)))=Milestones!$AB$46),UPPER(TEXT(EDATE($D138,Milestones!$AA$46),"dd mmm yy"))&amp;" "&amp;Milestones!$AB$46&amp;" "&amp;Milestones!$AC$46&amp;";  ","")&amp;IF(AND(EDATE($D138,Milestones!$AA$47)&lt;=AsOfDate,IF($R138=0,$X138,IF(AND($T138&lt;&gt;"",EDATE($D138,Milestones!$AA$47)&gt;=$T138),$W138,IF(AND($S138&lt;&gt;"",EDATE($D138,Milestones!$AA$47)&gt;=$S138),$V138,$U138)))=Milestones!$AB$47),UPPER(TEXT(EDATE($D138,Milestones!$AA$47),"dd mmm yy"))&amp;" "&amp;Milestones!$AB$47&amp;" "&amp;Milestones!$AC$47&amp;";  ","")&amp;IF(AND(EDATE($D138,Milestones!$AA$48)&lt;=AsOfDate,IF($R138=0,$X138,IF(AND($T138&lt;&gt;"",EDATE($D138,Milestones!$AA$48)&gt;=$T138),$W138,IF(AND($S138&lt;&gt;"",EDATE($D138,Milestones!$AA$48)&gt;=$S138),$V138,$U138)))=Milestones!$AB$48),UPPER(TEXT(EDATE($D138,Milestones!$AA$48),"dd mmm yy"))&amp;" "&amp;Milestones!$AB$48&amp;" "&amp;Milestones!$AC$48&amp;";  ","")&amp;IF(AND(EDATE($D138,Milestones!$AA$49)&lt;=AsOfDate,IF($R138=0,$X138,IF(AND($T138&lt;&gt;"",EDATE($D138,Milestones!$AA$49)&gt;=$T138),$W138,IF(AND($S138&lt;&gt;"",EDATE($D138,Milestones!$AA$49)&gt;=$S138),$V138,$U138)))=Milestones!$AB$49),UPPER(TEXT(EDATE($D138,Milestones!$AA$49),"dd mmm yy"))&amp;" "&amp;Milestones!$AB$49&amp;" "&amp;Milestones!$AC$49&amp;";  ","")&amp;IF(AND(EDATE($D138,Milestones!$AA$50)&lt;=AsOfDate,IF($R138=0,$X138,IF(AND($T138&lt;&gt;"",EDATE($D138,Milestones!$AA$50)&gt;=$T138),$W138,IF(AND($S138&lt;&gt;"",EDATE($D138,Milestones!$AA$50)&gt;=$S138),$V138,$U138)))=Milestones!$AB$50),UPPER(TEXT(EDATE($D138,Milestones!$AA$50),"dd mmm yy"))&amp;" "&amp;Milestones!$AB$50&amp;" "&amp;Milestones!$AC$50&amp;";  ","")&amp;IF(AND(EDATE($D138,Milestones!$AA$51)&lt;=AsOfDate,IF($R138=0,$X138,IF(AND($T138&lt;&gt;"",EDATE($D138,Milestones!$AA$51)&gt;=$T138),$W138,IF(AND($S138&lt;&gt;"",EDATE($D138,Milestones!$AA$51)&gt;=$S138),$V138,$U138)))=Milestones!$AB$51),UPPER(TEXT(EDATE($D138,Milestones!$AA$51),"dd mmm yy"))&amp;" "&amp;Milestones!$AB$51&amp;" "&amp;Milestones!$AC$51&amp;";  ","")&amp;IF(AND(EDATE($D138,Milestones!$AA$52)&lt;=AsOfDate,IF($R138=0,$X138,IF(AND($T138&lt;&gt;"",EDATE($D138,Milestones!$AA$52)&gt;=$T138),$W138,IF(AND($S138&lt;&gt;"",EDATE($D138,Milestones!$AA$52)&gt;=$S138),$V138,$U138)))=Milestones!$AB$52),UPPER(TEXT(EDATE($D138,Milestones!$AA$52),"dd mmm yy"))&amp;" "&amp;Milestones!$AB$52&amp;" "&amp;Milestones!$AC$52&amp;";  ","")&amp;IF(AND(EDATE($D138,Milestones!$AA$53)&lt;=AsOfDate,IF($R138=0,$X138,IF(AND($T138&lt;&gt;"",EDATE($D138,Milestones!$AA$53)&gt;=$T138),$W138,IF(AND($S138&lt;&gt;"",EDATE($D138,Milestones!$AA$53)&gt;=$S138),$V138,$U138)))=Milestones!$AB$53),UPPER(TEXT(EDATE($D138,Milestones!$AA$53),"dd mmm yy"))&amp;" "&amp;Milestones!$AB$53&amp;" "&amp;Milestones!$AC$53&amp;";  ","")&amp;IF(AND(EDATE($D138,Milestones!$AA$54)&lt;=AsOfDate,IF($R138=0,$X138,IF(AND($T138&lt;&gt;"",EDATE($D138,Milestones!$AA$54)&gt;=$T138),$W138,IF(AND($S138&lt;&gt;"",EDATE($D138,Milestones!$AA$54)&gt;=$S138),$V138,$U138)))=Milestones!$AB$54),UPPER(TEXT(EDATE($D138,Milestones!$AA$54),"dd mmm yy"))&amp;" "&amp;Milestones!$AB$54&amp;" "&amp;Milestones!$AC$54&amp;";  ","")&amp;IF(AND(EDATE($D138,Milestones!$AA$55)&lt;=AsOfDate,IF($R138=0,$X138,IF(AND($T138&lt;&gt;"",EDATE($D138,Milestones!$AA$55)&gt;=$T138),$W138,IF(AND($S138&lt;&gt;"",EDATE($D138,Milestones!$AA$55)&gt;=$S138),$V138,$U138)))=Milestones!$AB$55),UPPER(TEXT(EDATE($D138,Milestones!$AA$55),"dd mmm yy"))&amp;" "&amp;Milestones!$AB$55&amp;" "&amp;Milestones!$AC$55&amp;";  ","")&amp;IF(AND(EDATE($D138,Milestones!$AA$56)&lt;=AsOfDate,IF($R138=0,$X138,IF(AND($T138&lt;&gt;"",EDATE($D138,Milestones!$AA$56)&gt;=$T138),$W138,IF(AND($S138&lt;&gt;"",EDATE($D138,Milestones!$AA$56)&gt;=$S138),$V138,$U138)))=Milestones!$AB$56),UPPER(TEXT(EDATE($D138,Milestones!$AA$56),"dd mmm yy"))&amp;" "&amp;Milestones!$AB$56&amp;" "&amp;Milestones!$AC$56&amp;";  ","")&amp;IF(AND(EDATE($D138,Milestones!$AA$57)&lt;=AsOfDate,IF($R138=0,$X138,IF(AND($T138&lt;&gt;"",EDATE($D138,Milestones!$AA$57)&gt;=$T138),$W138,IF(AND($S138&lt;&gt;"",EDATE($D138,Milestones!$AA$57)&gt;=$S138),$V138,$U138)))=Milestones!$AB$57),UPPER(TEXT(EDATE($D138,Milestones!$AA$57),"dd mmm yy"))&amp;" "&amp;Milestones!$AB$57&amp;" "&amp;Milestones!$AC$57&amp;";  ","")&amp;IF(AND(EDATE($D138,Milestones!$AA$58)&lt;=AsOfDate,IF($R138=0,$X138,IF(AND($T138&lt;&gt;"",EDATE($D138,Milestones!$AA$58)&gt;=$T138),$W138,IF(AND($S138&lt;&gt;"",EDATE($D138,Milestones!$AA$58)&gt;=$S138),$V138,$U138)))=Milestones!$AB$58),UPPER(TEXT(EDATE($D138,Milestones!$AA$58),"dd mmm yy"))&amp;" "&amp;Milestones!$AB$58&amp;" "&amp;Milestones!$AC$58&amp;";  ","")&amp;IF(AND(EDATE($D138,Milestones!$AA$59)&lt;=AsOfDate,IF($R138=0,$X138,IF(AND($T138&lt;&gt;"",EDATE($D138,Milestones!$AA$59)&gt;=$T138),$W138,IF(AND($S138&lt;&gt;"",EDATE($D138,Milestones!$AA$59)&gt;=$S138),$V138,$U138)))=Milestones!$AB$59),UPPER(TEXT(EDATE($D138,Milestones!$AA$59),"dd mmm yy"))&amp;" "&amp;Milestones!$AB$59&amp;" "&amp;Milestones!$AC$59&amp;";  ",""))</f>
        <v/>
      </c>
      <c r="K138" s="0" t="str">
        <f aca="false">IF(OR($A138="",$D138=""),"",IF(AND(EDATE($D138,Milestones!$AA$60)&lt;=AsOfDate,IF($R138=0,$X138,IF(AND($T138&lt;&gt;"",EDATE($D138,Milestones!$AA$60)&gt;=$T138),$W138,IF(AND($S138&lt;&gt;"",EDATE($D138,Milestones!$AA$60)&gt;=$S138),$V138,$U138)))=Milestones!$AB$60),UPPER(TEXT(EDATE($D138,Milestones!$AA$60),"dd mmm yy"))&amp;" "&amp;Milestones!$AB$60&amp;" "&amp;Milestones!$AC$60&amp;";  ","")&amp;IF(AND(EDATE($D138,Milestones!$AA$61)&lt;=AsOfDate,IF($R138=0,$X138,IF(AND($T138&lt;&gt;"",EDATE($D138,Milestones!$AA$61)&gt;=$T138),$W138,IF(AND($S138&lt;&gt;"",EDATE($D138,Milestones!$AA$61)&gt;=$S138),$V138,$U138)))=Milestones!$AB$61),UPPER(TEXT(EDATE($D138,Milestones!$AA$61),"dd mmm yy"))&amp;" "&amp;Milestones!$AB$61&amp;" "&amp;Milestones!$AC$61&amp;";  ","")&amp;IF(AND(EDATE($D138,Milestones!$AA$62)&lt;=AsOfDate,IF($R138=0,$X138,IF(AND($T138&lt;&gt;"",EDATE($D138,Milestones!$AA$62)&gt;=$T138),$W138,IF(AND($S138&lt;&gt;"",EDATE($D138,Milestones!$AA$62)&gt;=$S138),$V138,$U138)))=Milestones!$AB$62),UPPER(TEXT(EDATE($D138,Milestones!$AA$62),"dd mmm yy"))&amp;" "&amp;Milestones!$AB$62&amp;" "&amp;Milestones!$AC$62&amp;";  ","")&amp;IF(AND(EDATE($D138,Milestones!$AA$63)&lt;=AsOfDate,IF($R138=0,$X138,IF(AND($T138&lt;&gt;"",EDATE($D138,Milestones!$AA$63)&gt;=$T138),$W138,IF(AND($S138&lt;&gt;"",EDATE($D138,Milestones!$AA$63)&gt;=$S138),$V138,$U138)))=Milestones!$AB$63),UPPER(TEXT(EDATE($D138,Milestones!$AA$63),"dd mmm yy"))&amp;" "&amp;Milestones!$AB$63&amp;" "&amp;Milestones!$AC$63&amp;";  ","")&amp;IF(AND(EDATE($D138,Milestones!$AA$64)&lt;=AsOfDate,IF($R138=0,$X138,IF(AND($T138&lt;&gt;"",EDATE($D138,Milestones!$AA$64)&gt;=$T138),$W138,IF(AND($S138&lt;&gt;"",EDATE($D138,Milestones!$AA$64)&gt;=$S138),$V138,$U138)))=Milestones!$AB$64),UPPER(TEXT(EDATE($D138,Milestones!$AA$64),"dd mmm yy"))&amp;" "&amp;Milestones!$AB$64&amp;" "&amp;Milestones!$AC$64&amp;";  ","")&amp;IF(AND(EDATE($D138,Milestones!$AA$65)&lt;=AsOfDate,IF($R138=0,$X138,IF(AND($T138&lt;&gt;"",EDATE($D138,Milestones!$AA$65)&gt;=$T138),$W138,IF(AND($S138&lt;&gt;"",EDATE($D138,Milestones!$AA$65)&gt;=$S138),$V138,$U138)))=Milestones!$AB$65),UPPER(TEXT(EDATE($D138,Milestones!$AA$65),"dd mmm yy"))&amp;" "&amp;Milestones!$AB$65&amp;" "&amp;Milestones!$AC$65&amp;";  ","")&amp;IF(AND(EDATE($D138,Milestones!$AA$66)&lt;=AsOfDate,IF($R138=0,$X138,IF(AND($T138&lt;&gt;"",EDATE($D138,Milestones!$AA$66)&gt;=$T138),$W138,IF(AND($S138&lt;&gt;"",EDATE($D138,Milestones!$AA$66)&gt;=$S138),$V138,$U138)))=Milestones!$AB$66),UPPER(TEXT(EDATE($D138,Milestones!$AA$66),"dd mmm yy"))&amp;" "&amp;Milestones!$AB$66&amp;" "&amp;Milestones!$AC$66&amp;";  ","")&amp;IF(AND(EDATE($D138,Milestones!$AA$67)&lt;=AsOfDate,IF($R138=0,$X138,IF(AND($T138&lt;&gt;"",EDATE($D138,Milestones!$AA$67)&gt;=$T138),$W138,IF(AND($S138&lt;&gt;"",EDATE($D138,Milestones!$AA$67)&gt;=$S138),$V138,$U138)))=Milestones!$AB$67),UPPER(TEXT(EDATE($D138,Milestones!$AA$67),"dd mmm yy"))&amp;" "&amp;Milestones!$AB$67&amp;" "&amp;Milestones!$AC$67&amp;";  ","")&amp;IF(AND(EDATE($D138,Milestones!$AA$68)&lt;=AsOfDate,IF($R138=0,$X138,IF(AND($T138&lt;&gt;"",EDATE($D138,Milestones!$AA$68)&gt;=$T138),$W138,IF(AND($S138&lt;&gt;"",EDATE($D138,Milestones!$AA$68)&gt;=$S138),$V138,$U138)))=Milestones!$AB$68),UPPER(TEXT(EDATE($D138,Milestones!$AA$68),"dd mmm yy"))&amp;" "&amp;Milestones!$AB$68&amp;" "&amp;Milestones!$AC$68&amp;";  ","")&amp;IF(AND(EDATE($D138,Milestones!$AA$69)&lt;=AsOfDate,IF($R138=0,$X138,IF(AND($T138&lt;&gt;"",EDATE($D138,Milestones!$AA$69)&gt;=$T138),$W138,IF(AND($S138&lt;&gt;"",EDATE($D138,Milestones!$AA$69)&gt;=$S138),$V138,$U138)))=Milestones!$AB$69),UPPER(TEXT(EDATE($D138,Milestones!$AA$69),"dd mmm yy"))&amp;" "&amp;Milestones!$AB$69&amp;" "&amp;Milestones!$AC$69&amp;";  ","")&amp;IF(AND(EDATE($D138,Milestones!$AA$70)&lt;=AsOfDate,IF($R138=0,$X138,IF(AND($T138&lt;&gt;"",EDATE($D138,Milestones!$AA$70)&gt;=$T138),$W138,IF(AND($S138&lt;&gt;"",EDATE($D138,Milestones!$AA$70)&gt;=$S138),$V138,$U138)))=Milestones!$AB$70),UPPER(TEXT(EDATE($D138,Milestones!$AA$70),"dd mmm yy"))&amp;" "&amp;Milestones!$AB$70&amp;" "&amp;Milestones!$AC$70&amp;";  ","")&amp;IF(AND(EDATE($D138,Milestones!$AA$71)&lt;=AsOfDate,IF($R138=0,$X138,IF(AND($T138&lt;&gt;"",EDATE($D138,Milestones!$AA$71)&gt;=$T138),$W138,IF(AND($S138&lt;&gt;"",EDATE($D138,Milestones!$AA$71)&gt;=$S138),$V138,$U138)))=Milestones!$AB$71),UPPER(TEXT(EDATE($D138,Milestones!$AA$71),"dd mmm yy"))&amp;" "&amp;Milestones!$AB$71&amp;" "&amp;Milestones!$AC$71&amp;";  ","")&amp;IF(AND(EDATE($D138,Milestones!$AA$72)&lt;=AsOfDate,IF($R138=0,$X138,IF(AND($T138&lt;&gt;"",EDATE($D138,Milestones!$AA$72)&gt;=$T138),$W138,IF(AND($S138&lt;&gt;"",EDATE($D138,Milestones!$AA$72)&gt;=$S138),$V138,$U138)))=Milestones!$AB$72),UPPER(TEXT(EDATE($D138,Milestones!$AA$72),"dd mmm yy"))&amp;" "&amp;Milestones!$AB$72&amp;" "&amp;Milestones!$AC$72&amp;";  ","")&amp;IF(AND(EDATE($D138,Milestones!$AA$73)&lt;=AsOfDate,IF($R138=0,$X138,IF(AND($T138&lt;&gt;"",EDATE($D138,Milestones!$AA$73)&gt;=$T138),$W138,IF(AND($S138&lt;&gt;"",EDATE($D138,Milestones!$AA$73)&gt;=$S138),$V138,$U138)))=Milestones!$AB$73),UPPER(TEXT(EDATE($D138,Milestones!$AA$73),"dd mmm yy"))&amp;" "&amp;Milestones!$AB$73&amp;" "&amp;Milestones!$AC$73&amp;";  ","")&amp;IF(AND(EDATE($D138,Milestones!$AA$74)&lt;=AsOfDate,IF($R138=0,$X138,IF(AND($T138&lt;&gt;"",EDATE($D138,Milestones!$AA$74)&gt;=$T138),$W138,IF(AND($S138&lt;&gt;"",EDATE($D138,Milestones!$AA$74)&gt;=$S138),$V138,$U138)))=Milestones!$AB$74),UPPER(TEXT(EDATE($D138,Milestones!$AA$74),"dd mmm yy"))&amp;" "&amp;Milestones!$AB$74&amp;" "&amp;Milestones!$AC$74&amp;";  ","")&amp;IF(AND(EDATE($D138,Milestones!$AA$75)&lt;=AsOfDate,IF($R138=0,$X138,IF(AND($T138&lt;&gt;"",EDATE($D138,Milestones!$AA$75)&gt;=$T138),$W138,IF(AND($S138&lt;&gt;"",EDATE($D138,Milestones!$AA$75)&gt;=$S138),$V138,$U138)))=Milestones!$AB$75),UPPER(TEXT(EDATE($D138,Milestones!$AA$75),"dd mmm yy"))&amp;" "&amp;Milestones!$AB$75&amp;" "&amp;Milestones!$AC$75&amp;";  ","")&amp;IF(AND(EDATE($D138,Milestones!$AA$76)&lt;=AsOfDate,IF($R138=0,$X138,IF(AND($T138&lt;&gt;"",EDATE($D138,Milestones!$AA$76)&gt;=$T138),$W138,IF(AND($S138&lt;&gt;"",EDATE($D138,Milestones!$AA$76)&gt;=$S138),$V138,$U138)))=Milestones!$AB$76),UPPER(TEXT(EDATE($D138,Milestones!$AA$76),"dd mmm yy"))&amp;" "&amp;Milestones!$AB$76&amp;" "&amp;Milestones!$AC$76&amp;";  ","")&amp;IF(AND(EDATE($D138,Milestones!$AA$77)&lt;=AsOfDate,IF($R138=0,$X138,IF(AND($T138&lt;&gt;"",EDATE($D138,Milestones!$AA$77)&gt;=$T138),$W138,IF(AND($S138&lt;&gt;"",EDATE($D138,Milestones!$AA$77)&gt;=$S138),$V138,$U138)))=Milestones!$AB$77),UPPER(TEXT(EDATE($D138,Milestones!$AA$77),"dd mmm yy"))&amp;" "&amp;Milestones!$AB$77&amp;" "&amp;Milestones!$AC$77&amp;";  ","")&amp;IF(AND(EDATE($D138,Milestones!$AA$78)&lt;=AsOfDate,IF($R138=0,$X138,IF(AND($T138&lt;&gt;"",EDATE($D138,Milestones!$AA$78)&gt;=$T138),$W138,IF(AND($S138&lt;&gt;"",EDATE($D138,Milestones!$AA$78)&gt;=$S138),$V138,$U138)))=Milestones!$AB$78),UPPER(TEXT(EDATE($D138,Milestones!$AA$78),"dd mmm yy"))&amp;" "&amp;Milestones!$AB$78&amp;" "&amp;Milestones!$AC$78&amp;";  ","")&amp;IF(AND(EDATE($D138,Milestones!$AA$79)&lt;=AsOfDate,IF($R138=0,$X138,IF(AND($T138&lt;&gt;"",EDATE($D138,Milestones!$AA$79)&gt;=$T138),$W138,IF(AND($S138&lt;&gt;"",EDATE($D138,Milestones!$AA$79)&gt;=$S138),$V138,$U138)))=Milestones!$AB$79),UPPER(TEXT(EDATE($D138,Milestones!$AA$79),"dd mmm yy"))&amp;" "&amp;Milestones!$AB$79&amp;" "&amp;Milestones!$AC$79&amp;";  ",""))</f>
        <v/>
      </c>
      <c r="L138" s="0" t="str">
        <f aca="false">IF(OR($A138="",$D138=""),"",IF(AND(EDATE($D138,Milestones!$AA$80)&lt;=AsOfDate,IF($R138=0,$X138,IF(AND($T138&lt;&gt;"",EDATE($D138,Milestones!$AA$80)&gt;=$T138),$W138,IF(AND($S138&lt;&gt;"",EDATE($D138,Milestones!$AA$80)&gt;=$S138),$V138,$U138)))=Milestones!$AB$80),UPPER(TEXT(EDATE($D138,Milestones!$AA$80),"dd mmm yy"))&amp;" "&amp;Milestones!$AB$80&amp;" "&amp;Milestones!$AC$80&amp;";  ","")&amp;IF(AND(EDATE($D138,Milestones!$AA$81)&lt;=AsOfDate,IF($R138=0,$X138,IF(AND($T138&lt;&gt;"",EDATE($D138,Milestones!$AA$81)&gt;=$T138),$W138,IF(AND($S138&lt;&gt;"",EDATE($D138,Milestones!$AA$81)&gt;=$S138),$V138,$U138)))=Milestones!$AB$81),UPPER(TEXT(EDATE($D138,Milestones!$AA$81),"dd mmm yy"))&amp;" "&amp;Milestones!$AB$81&amp;" "&amp;Milestones!$AC$81&amp;";  ","")&amp;IF(AND(EDATE($D138,Milestones!$AA$82)&lt;=AsOfDate,IF($R138=0,$X138,IF(AND($T138&lt;&gt;"",EDATE($D138,Milestones!$AA$82)&gt;=$T138),$W138,IF(AND($S138&lt;&gt;"",EDATE($D138,Milestones!$AA$82)&gt;=$S138),$V138,$U138)))=Milestones!$AB$82),UPPER(TEXT(EDATE($D138,Milestones!$AA$82),"dd mmm yy"))&amp;" "&amp;Milestones!$AB$82&amp;" "&amp;Milestones!$AC$82&amp;";  ","")&amp;IF(AND(EDATE($D138,Milestones!$AA$83)&lt;=AsOfDate,IF($R138=0,$X138,IF(AND($T138&lt;&gt;"",EDATE($D138,Milestones!$AA$83)&gt;=$T138),$W138,IF(AND($S138&lt;&gt;"",EDATE($D138,Milestones!$AA$83)&gt;=$S138),$V138,$U138)))=Milestones!$AB$83),UPPER(TEXT(EDATE($D138,Milestones!$AA$83),"dd mmm yy"))&amp;" "&amp;Milestones!$AB$83&amp;" "&amp;Milestones!$AC$83&amp;";  ","")&amp;IF(AND(EDATE($D138,Milestones!$AA$84)&lt;=AsOfDate,IF($R138=0,$X138,IF(AND($T138&lt;&gt;"",EDATE($D138,Milestones!$AA$84)&gt;=$T138),$W138,IF(AND($S138&lt;&gt;"",EDATE($D138,Milestones!$AA$84)&gt;=$S138),$V138,$U138)))=Milestones!$AB$84),UPPER(TEXT(EDATE($D138,Milestones!$AA$84),"dd mmm yy"))&amp;" "&amp;Milestones!$AB$84&amp;" "&amp;Milestones!$AC$84&amp;";  ","")&amp;IF(AND(EDATE($D138,Milestones!$AA$85)&lt;=AsOfDate,IF($R138=0,$X138,IF(AND($T138&lt;&gt;"",EDATE($D138,Milestones!$AA$85)&gt;=$T138),$W138,IF(AND($S138&lt;&gt;"",EDATE($D138,Milestones!$AA$85)&gt;=$S138),$V138,$U138)))=Milestones!$AB$85),UPPER(TEXT(EDATE($D138,Milestones!$AA$85),"dd mmm yy"))&amp;" "&amp;Milestones!$AB$85&amp;" "&amp;Milestones!$AC$85&amp;";  ","")&amp;IF(AND(EDATE($D138,Milestones!$AA$86)&lt;=AsOfDate,IF($R138=0,$X138,IF(AND($T138&lt;&gt;"",EDATE($D138,Milestones!$AA$86)&gt;=$T138),$W138,IF(AND($S138&lt;&gt;"",EDATE($D138,Milestones!$AA$86)&gt;=$S138),$V138,$U138)))=Milestones!$AB$86),UPPER(TEXT(EDATE($D138,Milestones!$AA$86),"dd mmm yy"))&amp;" "&amp;Milestones!$AB$86&amp;" "&amp;Milestones!$AC$86&amp;";  ","")&amp;IF(AND(EDATE($D138,Milestones!$AA$87)&lt;=AsOfDate,IF($R138=0,$X138,IF(AND($T138&lt;&gt;"",EDATE($D138,Milestones!$AA$87)&gt;=$T138),$W138,IF(AND($S138&lt;&gt;"",EDATE($D138,Milestones!$AA$87)&gt;=$S138),$V138,$U138)))=Milestones!$AB$87),UPPER(TEXT(EDATE($D138,Milestones!$AA$87),"dd mmm yy"))&amp;" "&amp;Milestones!$AB$87&amp;" "&amp;Milestones!$AC$87&amp;";  ","")&amp;IF(AND(EDATE($D138,Milestones!$AA$88)&lt;=AsOfDate,IF($R138=0,$X138,IF(AND($T138&lt;&gt;"",EDATE($D138,Milestones!$AA$88)&gt;=$T138),$W138,IF(AND($S138&lt;&gt;"",EDATE($D138,Milestones!$AA$88)&gt;=$S138),$V138,$U138)))=Milestones!$AB$88),UPPER(TEXT(EDATE($D138,Milestones!$AA$88),"dd mmm yy"))&amp;" "&amp;Milestones!$AB$88&amp;" "&amp;Milestones!$AC$88&amp;";  ","")&amp;IF(AND(EDATE($D138,Milestones!$AA$89)&lt;=AsOfDate,IF($R138=0,$X138,IF(AND($T138&lt;&gt;"",EDATE($D138,Milestones!$AA$89)&gt;=$T138),$W138,IF(AND($S138&lt;&gt;"",EDATE($D138,Milestones!$AA$89)&gt;=$S138),$V138,$U138)))=Milestones!$AB$89),UPPER(TEXT(EDATE($D138,Milestones!$AA$89),"dd mmm yy"))&amp;" "&amp;Milestones!$AB$89&amp;" "&amp;Milestones!$AC$89&amp;";  ","")&amp;IF(AND(EDATE($D138,Milestones!$AA$90)&lt;=AsOfDate,IF($R138=0,$X138,IF(AND($T138&lt;&gt;"",EDATE($D138,Milestones!$AA$90)&gt;=$T138),$W138,IF(AND($S138&lt;&gt;"",EDATE($D138,Milestones!$AA$90)&gt;=$S138),$V138,$U138)))=Milestones!$AB$90),UPPER(TEXT(EDATE($D138,Milestones!$AA$90),"dd mmm yy"))&amp;" "&amp;Milestones!$AB$90&amp;" "&amp;Milestones!$AC$90&amp;";  ","")&amp;IF(AND(EDATE($D138,Milestones!$AA$91)&lt;=AsOfDate,IF($R138=0,$X138,IF(AND($T138&lt;&gt;"",EDATE($D138,Milestones!$AA$91)&gt;=$T138),$W138,IF(AND($S138&lt;&gt;"",EDATE($D138,Milestones!$AA$91)&gt;=$S138),$V138,$U138)))=Milestones!$AB$91),UPPER(TEXT(EDATE($D138,Milestones!$AA$91),"dd mmm yy"))&amp;" "&amp;Milestones!$AB$91&amp;" "&amp;Milestones!$AC$91&amp;";  ","")&amp;IF(AND(EDATE($D138,Milestones!$AA$92)&lt;=AsOfDate,IF($R138=0,$X138,IF(AND($T138&lt;&gt;"",EDATE($D138,Milestones!$AA$92)&gt;=$T138),$W138,IF(AND($S138&lt;&gt;"",EDATE($D138,Milestones!$AA$92)&gt;=$S138),$V138,$U138)))=Milestones!$AB$92),UPPER(TEXT(EDATE($D138,Milestones!$AA$92),"dd mmm yy"))&amp;" "&amp;Milestones!$AB$92&amp;" "&amp;Milestones!$AC$92&amp;";  ","")&amp;IF(AND(EDATE($D138,Milestones!$AA$93)&lt;=AsOfDate,IF($R138=0,$X138,IF(AND($T138&lt;&gt;"",EDATE($D138,Milestones!$AA$93)&gt;=$T138),$W138,IF(AND($S138&lt;&gt;"",EDATE($D138,Milestones!$AA$93)&gt;=$S138),$V138,$U138)))=Milestones!$AB$93),UPPER(TEXT(EDATE($D138,Milestones!$AA$93),"dd mmm yy"))&amp;" "&amp;Milestones!$AB$93&amp;" "&amp;Milestones!$AC$93&amp;";  ","")&amp;IF(AND(EDATE($D138,Milestones!$AA$94)&lt;=AsOfDate,IF($R138=0,$X138,IF(AND($T138&lt;&gt;"",EDATE($D138,Milestones!$AA$94)&gt;=$T138),$W138,IF(AND($S138&lt;&gt;"",EDATE($D138,Milestones!$AA$94)&gt;=$S138),$V138,$U138)))=Milestones!$AB$94),UPPER(TEXT(EDATE($D138,Milestones!$AA$94),"dd mmm yy"))&amp;" "&amp;Milestones!$AB$94&amp;" "&amp;Milestones!$AC$94&amp;";  ","")&amp;IF(AND(EDATE($D138,Milestones!$AA$95)&lt;=AsOfDate,IF($R138=0,$X138,IF(AND($T138&lt;&gt;"",EDATE($D138,Milestones!$AA$95)&gt;=$T138),$W138,IF(AND($S138&lt;&gt;"",EDATE($D138,Milestones!$AA$95)&gt;=$S138),$V138,$U138)))=Milestones!$AB$95),UPPER(TEXT(EDATE($D138,Milestones!$AA$95),"dd mmm yy"))&amp;" "&amp;Milestones!$AB$95&amp;" "&amp;Milestones!$AC$95&amp;";  ","")&amp;IF(AND(EDATE($D138,Milestones!$AA$96)&lt;=AsOfDate,IF($R138=0,$X138,IF(AND($T138&lt;&gt;"",EDATE($D138,Milestones!$AA$96)&gt;=$T138),$W138,IF(AND($S138&lt;&gt;"",EDATE($D138,Milestones!$AA$96)&gt;=$S138),$V138,$U138)))=Milestones!$AB$96),UPPER(TEXT(EDATE($D138,Milestones!$AA$96),"dd mmm yy"))&amp;" "&amp;Milestones!$AB$96&amp;" "&amp;Milestones!$AC$96&amp;";  ","")&amp;IF(AND(EDATE($D138,Milestones!$AA$97)&lt;=AsOfDate,IF($R138=0,$X138,IF(AND($T138&lt;&gt;"",EDATE($D138,Milestones!$AA$97)&gt;=$T138),$W138,IF(AND($S138&lt;&gt;"",EDATE($D138,Milestones!$AA$97)&gt;=$S138),$V138,$U138)))=Milestones!$AB$97),UPPER(TEXT(EDATE($D138,Milestones!$AA$97),"dd mmm yy"))&amp;" "&amp;Milestones!$AB$97&amp;" "&amp;Milestones!$AC$97&amp;";  ","")&amp;IF(AND(EDATE($D138,Milestones!$AA$98)&lt;=AsOfDate,IF($R138=0,$X138,IF(AND($T138&lt;&gt;"",EDATE($D138,Milestones!$AA$98)&gt;=$T138),$W138,IF(AND($S138&lt;&gt;"",EDATE($D138,Milestones!$AA$98)&gt;=$S138),$V138,$U138)))=Milestones!$AB$98),UPPER(TEXT(EDATE($D138,Milestones!$AA$98),"dd mmm yy"))&amp;" "&amp;Milestones!$AB$98&amp;" "&amp;Milestones!$AC$98&amp;";  ","")&amp;IF(AND(EDATE($D138,Milestones!$AA$99)&lt;=AsOfDate,IF($R138=0,$X138,IF(AND($T138&lt;&gt;"",EDATE($D138,Milestones!$AA$99)&gt;=$T138),$W138,IF(AND($S138&lt;&gt;"",EDATE($D138,Milestones!$AA$99)&gt;=$S138),$V138,$U138)))=Milestones!$AB$99),UPPER(TEXT(EDATE($D138,Milestones!$AA$99),"dd mmm yy"))&amp;" "&amp;Milestones!$AB$99&amp;" "&amp;Milestones!$AC$99&amp;";  ",""))</f>
        <v/>
      </c>
      <c r="M138" s="0" t="str">
        <f aca="false">IF(OR($A138="",$D138=""),"",IF(AND(EDATE($D138,Milestones!$AA$100)&lt;=AsOfDate,IF($R138=0,$X138,IF(AND($T138&lt;&gt;"",EDATE($D138,Milestones!$AA$100)&gt;=$T138),$W138,IF(AND($S138&lt;&gt;"",EDATE($D138,Milestones!$AA$100)&gt;=$S138),$V138,$U138)))=Milestones!$AB$100),UPPER(TEXT(EDATE($D138,Milestones!$AA$100),"dd mmm yy"))&amp;" "&amp;Milestones!$AB$100&amp;" "&amp;Milestones!$AC$100&amp;";  ","")&amp;IF(AND(EDATE($D138,Milestones!$AA$101)&lt;=AsOfDate,IF($R138=0,$X138,IF(AND($T138&lt;&gt;"",EDATE($D138,Milestones!$AA$101)&gt;=$T138),$W138,IF(AND($S138&lt;&gt;"",EDATE($D138,Milestones!$AA$101)&gt;=$S138),$V138,$U138)))=Milestones!$AB$101),UPPER(TEXT(EDATE($D138,Milestones!$AA$101),"dd mmm yy"))&amp;" "&amp;Milestones!$AB$101&amp;" "&amp;Milestones!$AC$101&amp;";  ","")&amp;IF(AND(EDATE($D138,Milestones!$AA$102)&lt;=AsOfDate,IF($R138=0,$X138,IF(AND($T138&lt;&gt;"",EDATE($D138,Milestones!$AA$102)&gt;=$T138),$W138,IF(AND($S138&lt;&gt;"",EDATE($D138,Milestones!$AA$102)&gt;=$S138),$V138,$U138)))=Milestones!$AB$102),UPPER(TEXT(EDATE($D138,Milestones!$AA$102),"dd mmm yy"))&amp;" "&amp;Milestones!$AB$102&amp;" "&amp;Milestones!$AC$102&amp;";  ","")&amp;IF(AND(EDATE($D138,Milestones!$AA$103)&lt;=AsOfDate,IF($R138=0,$X138,IF(AND($T138&lt;&gt;"",EDATE($D138,Milestones!$AA$103)&gt;=$T138),$W138,IF(AND($S138&lt;&gt;"",EDATE($D138,Milestones!$AA$103)&gt;=$S138),$V138,$U138)))=Milestones!$AB$103),UPPER(TEXT(EDATE($D138,Milestones!$AA$103),"dd mmm yy"))&amp;" "&amp;Milestones!$AB$103&amp;" "&amp;Milestones!$AC$103&amp;";  ","")&amp;IF(AND(EDATE($D138,Milestones!$AA$104)&lt;=AsOfDate,IF($R138=0,$X138,IF(AND($T138&lt;&gt;"",EDATE($D138,Milestones!$AA$104)&gt;=$T138),$W138,IF(AND($S138&lt;&gt;"",EDATE($D138,Milestones!$AA$104)&gt;=$S138),$V138,$U138)))=Milestones!$AB$104),UPPER(TEXT(EDATE($D138,Milestones!$AA$104),"dd mmm yy"))&amp;" "&amp;Milestones!$AB$104&amp;" "&amp;Milestones!$AC$104&amp;";  ","")&amp;IF(AND(EDATE($D138,Milestones!$AA$105)&lt;=AsOfDate,IF($R138=0,$X138,IF(AND($T138&lt;&gt;"",EDATE($D138,Milestones!$AA$105)&gt;=$T138),$W138,IF(AND($S138&lt;&gt;"",EDATE($D138,Milestones!$AA$105)&gt;=$S138),$V138,$U138)))=Milestones!$AB$105),UPPER(TEXT(EDATE($D138,Milestones!$AA$105),"dd mmm yy"))&amp;" "&amp;Milestones!$AB$105&amp;" "&amp;Milestones!$AC$105&amp;";  ","")&amp;IF(AND(EDATE($D138,Milestones!$AA$106)&lt;=AsOfDate,IF($R138=0,$X138,IF(AND($T138&lt;&gt;"",EDATE($D138,Milestones!$AA$106)&gt;=$T138),$W138,IF(AND($S138&lt;&gt;"",EDATE($D138,Milestones!$AA$106)&gt;=$S138),$V138,$U138)))=Milestones!$AB$106),UPPER(TEXT(EDATE($D138,Milestones!$AA$106),"dd mmm yy"))&amp;" "&amp;Milestones!$AB$106&amp;" "&amp;Milestones!$AC$106&amp;";  ","")&amp;IF(AND(EDATE($D138,Milestones!$AA$107)&lt;=AsOfDate,IF($R138=0,$X138,IF(AND($T138&lt;&gt;"",EDATE($D138,Milestones!$AA$107)&gt;=$T138),$W138,IF(AND($S138&lt;&gt;"",EDATE($D138,Milestones!$AA$107)&gt;=$S138),$V138,$U138)))=Milestones!$AB$107),UPPER(TEXT(EDATE($D138,Milestones!$AA$107),"dd mmm yy"))&amp;" "&amp;Milestones!$AB$107&amp;" "&amp;Milestones!$AC$107&amp;";  ","")&amp;IF(AND(EDATE($D138,Milestones!$AA$108)&lt;=AsOfDate,IF($R138=0,$X138,IF(AND($T138&lt;&gt;"",EDATE($D138,Milestones!$AA$108)&gt;=$T138),$W138,IF(AND($S138&lt;&gt;"",EDATE($D138,Milestones!$AA$108)&gt;=$S138),$V138,$U138)))=Milestones!$AB$108),UPPER(TEXT(EDATE($D138,Milestones!$AA$108),"dd mmm yy"))&amp;" "&amp;Milestones!$AB$108&amp;" "&amp;Milestones!$AC$108&amp;";  ","")&amp;IF(AND(EDATE($D138,Milestones!$AA$109)&lt;=AsOfDate,IF($R138=0,$X138,IF(AND($T138&lt;&gt;"",EDATE($D138,Milestones!$AA$109)&gt;=$T138),$W138,IF(AND($S138&lt;&gt;"",EDATE($D138,Milestones!$AA$109)&gt;=$S138),$V138,$U138)))=Milestones!$AB$109),UPPER(TEXT(EDATE($D138,Milestones!$AA$109),"dd mmm yy"))&amp;" "&amp;Milestones!$AB$109&amp;" "&amp;Milestones!$AC$109&amp;";  ","")&amp;IF(AND(EDATE($D138,Milestones!$AA$110)&lt;=AsOfDate,IF($R138=0,$X138,IF(AND($T138&lt;&gt;"",EDATE($D138,Milestones!$AA$110)&gt;=$T138),$W138,IF(AND($S138&lt;&gt;"",EDATE($D138,Milestones!$AA$110)&gt;=$S138),$V138,$U138)))=Milestones!$AB$110),UPPER(TEXT(EDATE($D138,Milestones!$AA$110),"dd mmm yy"))&amp;" "&amp;Milestones!$AB$110&amp;" "&amp;Milestones!$AC$110&amp;";  ","")&amp;IF(AND(EDATE($D138,Milestones!$AA$111)&lt;=AsOfDate,IF($R138=0,$X138,IF(AND($T138&lt;&gt;"",EDATE($D138,Milestones!$AA$111)&gt;=$T138),$W138,IF(AND($S138&lt;&gt;"",EDATE($D138,Milestones!$AA$111)&gt;=$S138),$V138,$U138)))=Milestones!$AB$111),UPPER(TEXT(EDATE($D138,Milestones!$AA$111),"dd mmm yy"))&amp;" "&amp;Milestones!$AB$111&amp;" "&amp;Milestones!$AC$111&amp;";  ","")&amp;IF(AND(EDATE($D138,Milestones!$AA$112)&lt;=AsOfDate,IF($R138=0,$X138,IF(AND($T138&lt;&gt;"",EDATE($D138,Milestones!$AA$112)&gt;=$T138),$W138,IF(AND($S138&lt;&gt;"",EDATE($D138,Milestones!$AA$112)&gt;=$S138),$V138,$U138)))=Milestones!$AB$112),UPPER(TEXT(EDATE($D138,Milestones!$AA$112),"dd mmm yy"))&amp;" "&amp;Milestones!$AB$112&amp;" "&amp;Milestones!$AC$112&amp;";  ","")&amp;IF(AND(EDATE($D138,Milestones!$AA$113)&lt;=AsOfDate,IF($R138=0,$X138,IF(AND($T138&lt;&gt;"",EDATE($D138,Milestones!$AA$113)&gt;=$T138),$W138,IF(AND($S138&lt;&gt;"",EDATE($D138,Milestones!$AA$113)&gt;=$S138),$V138,$U138)))=Milestones!$AB$113),UPPER(TEXT(EDATE($D138,Milestones!$AA$113),"dd mmm yy"))&amp;" "&amp;Milestones!$AB$113&amp;" "&amp;Milestones!$AC$113&amp;";  ","")&amp;IF(AND(EDATE($D138,Milestones!$AA$114)&lt;=AsOfDate,IF($R138=0,$X138,IF(AND($T138&lt;&gt;"",EDATE($D138,Milestones!$AA$114)&gt;=$T138),$W138,IF(AND($S138&lt;&gt;"",EDATE($D138,Milestones!$AA$114)&gt;=$S138),$V138,$U138)))=Milestones!$AB$114),UPPER(TEXT(EDATE($D138,Milestones!$AA$114),"dd mmm yy"))&amp;" "&amp;Milestones!$AB$114&amp;" "&amp;Milestones!$AC$114&amp;";  ","")&amp;IF(AND(EDATE($D138,Milestones!$AA$115)&lt;=AsOfDate,IF($R138=0,$X138,IF(AND($T138&lt;&gt;"",EDATE($D138,Milestones!$AA$115)&gt;=$T138),$W138,IF(AND($S138&lt;&gt;"",EDATE($D138,Milestones!$AA$115)&gt;=$S138),$V138,$U138)))=Milestones!$AB$115),UPPER(TEXT(EDATE($D138,Milestones!$AA$115),"dd mmm yy"))&amp;" "&amp;Milestones!$AB$115&amp;" "&amp;Milestones!$AC$115&amp;";  ","")&amp;IF(AND(EDATE($D138,Milestones!$AA$116)&lt;=AsOfDate,IF($R138=0,$X138,IF(AND($T138&lt;&gt;"",EDATE($D138,Milestones!$AA$116)&gt;=$T138),$W138,IF(AND($S138&lt;&gt;"",EDATE($D138,Milestones!$AA$116)&gt;=$S138),$V138,$U138)))=Milestones!$AB$116),UPPER(TEXT(EDATE($D138,Milestones!$AA$116),"dd mmm yy"))&amp;" "&amp;Milestones!$AB$116&amp;" "&amp;Milestones!$AC$116&amp;";  ","")&amp;IF(AND(EDATE($D138,Milestones!$AA$117)&lt;=AsOfDate,IF($R138=0,$X138,IF(AND($T138&lt;&gt;"",EDATE($D138,Milestones!$AA$117)&gt;=$T138),$W138,IF(AND($S138&lt;&gt;"",EDATE($D138,Milestones!$AA$117)&gt;=$S138),$V138,$U138)))=Milestones!$AB$117),UPPER(TEXT(EDATE($D138,Milestones!$AA$117),"dd mmm yy"))&amp;" "&amp;Milestones!$AB$117&amp;" "&amp;Milestones!$AC$117&amp;";  ","")&amp;IF(AND(EDATE($D138,Milestones!$AA$118)&lt;=AsOfDate,IF($R138=0,$X138,IF(AND($T138&lt;&gt;"",EDATE($D138,Milestones!$AA$118)&gt;=$T138),$W138,IF(AND($S138&lt;&gt;"",EDATE($D138,Milestones!$AA$118)&gt;=$S138),$V138,$U138)))=Milestones!$AB$118),UPPER(TEXT(EDATE($D138,Milestones!$AA$118),"dd mmm yy"))&amp;" "&amp;Milestones!$AB$118&amp;" "&amp;Milestones!$AC$118&amp;";  ","")&amp;IF(AND(EDATE($D138,Milestones!$AA$119)&lt;=AsOfDate,IF($R138=0,$X138,IF(AND($T138&lt;&gt;"",EDATE($D138,Milestones!$AA$119)&gt;=$T138),$W138,IF(AND($S138&lt;&gt;"",EDATE($D138,Milestones!$AA$119)&gt;=$S138),$V138,$U138)))=Milestones!$AB$119),UPPER(TEXT(EDATE($D138,Milestones!$AA$119),"dd mmm yy"))&amp;" "&amp;Milestones!$AB$119&amp;" "&amp;Milestones!$AC$119&amp;";  ",""))</f>
        <v/>
      </c>
      <c r="N138" s="0" t="str">
        <f aca="false">IF(OR($A138="",$D138=""),"",IF(AND(EDATE($D138,Milestones!$AA$120)&lt;=AsOfDate,IF($R138=0,$X138,IF(AND($T138&lt;&gt;"",EDATE($D138,Milestones!$AA$120)&gt;=$T138),$W138,IF(AND($S138&lt;&gt;"",EDATE($D138,Milestones!$AA$120)&gt;=$S138),$V138,$U138)))=Milestones!$AB$120),UPPER(TEXT(EDATE($D138,Milestones!$AA$120),"dd mmm yy"))&amp;" "&amp;Milestones!$AB$120&amp;" "&amp;Milestones!$AC$120&amp;";  ","")&amp;IF(AND(EDATE($D138,Milestones!$AA$121)&lt;=AsOfDate,IF($R138=0,$X138,IF(AND($T138&lt;&gt;"",EDATE($D138,Milestones!$AA$121)&gt;=$T138),$W138,IF(AND($S138&lt;&gt;"",EDATE($D138,Milestones!$AA$121)&gt;=$S138),$V138,$U138)))=Milestones!$AB$121),UPPER(TEXT(EDATE($D138,Milestones!$AA$121),"dd mmm yy"))&amp;" "&amp;Milestones!$AB$121&amp;" "&amp;Milestones!$AC$121&amp;";  ","")&amp;IF(AND(EDATE($D138,Milestones!$AA$122)&lt;=AsOfDate,IF($R138=0,$X138,IF(AND($T138&lt;&gt;"",EDATE($D138,Milestones!$AA$122)&gt;=$T138),$W138,IF(AND($S138&lt;&gt;"",EDATE($D138,Milestones!$AA$122)&gt;=$S138),$V138,$U138)))=Milestones!$AB$122),UPPER(TEXT(EDATE($D138,Milestones!$AA$122),"dd mmm yy"))&amp;" "&amp;Milestones!$AB$122&amp;" "&amp;Milestones!$AC$122&amp;";  ","")&amp;IF(AND(EDATE($D138,Milestones!$AA$123)&lt;=AsOfDate,IF($R138=0,$X138,IF(AND($T138&lt;&gt;"",EDATE($D138,Milestones!$AA$123)&gt;=$T138),$W138,IF(AND($S138&lt;&gt;"",EDATE($D138,Milestones!$AA$123)&gt;=$S138),$V138,$U138)))=Milestones!$AB$123),UPPER(TEXT(EDATE($D138,Milestones!$AA$123),"dd mmm yy"))&amp;" "&amp;Milestones!$AB$123&amp;" "&amp;Milestones!$AC$123&amp;";  ","")&amp;IF(AND(EDATE($D138,Milestones!$AA$124)&lt;=AsOfDate,IF($R138=0,$X138,IF(AND($T138&lt;&gt;"",EDATE($D138,Milestones!$AA$124)&gt;=$T138),$W138,IF(AND($S138&lt;&gt;"",EDATE($D138,Milestones!$AA$124)&gt;=$S138),$V138,$U138)))=Milestones!$AB$124),UPPER(TEXT(EDATE($D138,Milestones!$AA$124),"dd mmm yy"))&amp;" "&amp;Milestones!$AB$124&amp;" "&amp;Milestones!$AC$124&amp;";  ","")&amp;IF(AND(EDATE($D138,Milestones!$AA$125)&lt;=AsOfDate,IF($R138=0,$X138,IF(AND($T138&lt;&gt;"",EDATE($D138,Milestones!$AA$125)&gt;=$T138),$W138,IF(AND($S138&lt;&gt;"",EDATE($D138,Milestones!$AA$125)&gt;=$S138),$V138,$U138)))=Milestones!$AB$125),UPPER(TEXT(EDATE($D138,Milestones!$AA$125),"dd mmm yy"))&amp;" "&amp;Milestones!$AB$125&amp;" "&amp;Milestones!$AC$125&amp;";  ","")&amp;IF(AND(EDATE($D138,Milestones!$AA$126)&lt;=AsOfDate,IF($R138=0,$X138,IF(AND($T138&lt;&gt;"",EDATE($D138,Milestones!$AA$126)&gt;=$T138),$W138,IF(AND($S138&lt;&gt;"",EDATE($D138,Milestones!$AA$126)&gt;=$S138),$V138,$U138)))=Milestones!$AB$126),UPPER(TEXT(EDATE($D138,Milestones!$AA$126),"dd mmm yy"))&amp;" "&amp;Milestones!$AB$126&amp;" "&amp;Milestones!$AC$126&amp;";  ","")&amp;IF(AND(EDATE($D138,Milestones!$AA$127)&lt;=AsOfDate,IF($R138=0,$X138,IF(AND($T138&lt;&gt;"",EDATE($D138,Milestones!$AA$127)&gt;=$T138),$W138,IF(AND($S138&lt;&gt;"",EDATE($D138,Milestones!$AA$127)&gt;=$S138),$V138,$U138)))=Milestones!$AB$127),UPPER(TEXT(EDATE($D138,Milestones!$AA$127),"dd mmm yy"))&amp;" "&amp;Milestones!$AB$127&amp;" "&amp;Milestones!$AC$127&amp;";  ","")&amp;IF(AND(EDATE($D138,Milestones!$AA$128)&lt;=AsOfDate,IF($R138=0,$X138,IF(AND($T138&lt;&gt;"",EDATE($D138,Milestones!$AA$128)&gt;=$T138),$W138,IF(AND($S138&lt;&gt;"",EDATE($D138,Milestones!$AA$128)&gt;=$S138),$V138,$U138)))=Milestones!$AB$128),UPPER(TEXT(EDATE($D138,Milestones!$AA$128),"dd mmm yy"))&amp;" "&amp;Milestones!$AB$128&amp;" "&amp;Milestones!$AC$128&amp;";  ","")&amp;IF(AND(EDATE($D138,Milestones!$AA$129)&lt;=AsOfDate,IF($R138=0,$X138,IF(AND($T138&lt;&gt;"",EDATE($D138,Milestones!$AA$129)&gt;=$T138),$W138,IF(AND($S138&lt;&gt;"",EDATE($D138,Milestones!$AA$129)&gt;=$S138),$V138,$U138)))=Milestones!$AB$129),UPPER(TEXT(EDATE($D138,Milestones!$AA$129),"dd mmm yy"))&amp;" "&amp;Milestones!$AB$129&amp;" "&amp;Milestones!$AC$129&amp;";  ","")&amp;IF(AND(EDATE($D138,Milestones!$AA$130)&lt;=AsOfDate,IF($R138=0,$X138,IF(AND($T138&lt;&gt;"",EDATE($D138,Milestones!$AA$130)&gt;=$T138),$W138,IF(AND($S138&lt;&gt;"",EDATE($D138,Milestones!$AA$130)&gt;=$S138),$V138,$U138)))=Milestones!$AB$130),UPPER(TEXT(EDATE($D138,Milestones!$AA$130),"dd mmm yy"))&amp;" "&amp;Milestones!$AB$130&amp;" "&amp;Milestones!$AC$130&amp;";  ","")&amp;IF(AND(EDATE($D138,Milestones!$AA$131)&lt;=AsOfDate,IF($R138=0,$X138,IF(AND($T138&lt;&gt;"",EDATE($D138,Milestones!$AA$131)&gt;=$T138),$W138,IF(AND($S138&lt;&gt;"",EDATE($D138,Milestones!$AA$131)&gt;=$S138),$V138,$U138)))=Milestones!$AB$131),UPPER(TEXT(EDATE($D138,Milestones!$AA$131),"dd mmm yy"))&amp;" "&amp;Milestones!$AB$131&amp;" "&amp;Milestones!$AC$131&amp;";  ","")&amp;IF(AND(EDATE($D138,Milestones!$AA$132)&lt;=AsOfDate,IF($R138=0,$X138,IF(AND($T138&lt;&gt;"",EDATE($D138,Milestones!$AA$132)&gt;=$T138),$W138,IF(AND($S138&lt;&gt;"",EDATE($D138,Milestones!$AA$132)&gt;=$S138),$V138,$U138)))=Milestones!$AB$132),UPPER(TEXT(EDATE($D138,Milestones!$AA$132),"dd mmm yy"))&amp;" "&amp;Milestones!$AB$132&amp;" "&amp;Milestones!$AC$132&amp;";  ","")&amp;IF(AND(EDATE($D138,Milestones!$AA$133)&lt;=AsOfDate,IF($R138=0,$X138,IF(AND($T138&lt;&gt;"",EDATE($D138,Milestones!$AA$133)&gt;=$T138),$W138,IF(AND($S138&lt;&gt;"",EDATE($D138,Milestones!$AA$133)&gt;=$S138),$V138,$U138)))=Milestones!$AB$133),UPPER(TEXT(EDATE($D138,Milestones!$AA$133),"dd mmm yy"))&amp;" "&amp;Milestones!$AB$133&amp;" "&amp;Milestones!$AC$133&amp;";  ","")&amp;IF(AND(EDATE($D138,Milestones!$AA$134)&lt;=AsOfDate,IF($R138=0,$X138,IF(AND($T138&lt;&gt;"",EDATE($D138,Milestones!$AA$134)&gt;=$T138),$W138,IF(AND($S138&lt;&gt;"",EDATE($D138,Milestones!$AA$134)&gt;=$S138),$V138,$U138)))=Milestones!$AB$134),UPPER(TEXT(EDATE($D138,Milestones!$AA$134),"dd mmm yy"))&amp;" "&amp;Milestones!$AB$134&amp;" "&amp;Milestones!$AC$134&amp;";  ","")&amp;IF(AND(EDATE($D138,Milestones!$AA$135)&lt;=AsOfDate,IF($R138=0,$X138,IF(AND($T138&lt;&gt;"",EDATE($D138,Milestones!$AA$135)&gt;=$T138),$W138,IF(AND($S138&lt;&gt;"",EDATE($D138,Milestones!$AA$135)&gt;=$S138),$V138,$U138)))=Milestones!$AB$135),UPPER(TEXT(EDATE($D138,Milestones!$AA$135),"dd mmm yy"))&amp;" "&amp;Milestones!$AB$135&amp;" "&amp;Milestones!$AC$135&amp;";  ","")&amp;IF(AND(EDATE($D138,Milestones!$AA$136)&lt;=AsOfDate,IF($R138=0,$X138,IF(AND($T138&lt;&gt;"",EDATE($D138,Milestones!$AA$136)&gt;=$T138),$W138,IF(AND($S138&lt;&gt;"",EDATE($D138,Milestones!$AA$136)&gt;=$S138),$V138,$U138)))=Milestones!$AB$136),UPPER(TEXT(EDATE($D138,Milestones!$AA$136),"dd mmm yy"))&amp;" "&amp;Milestones!$AB$136&amp;" "&amp;Milestones!$AC$136&amp;";  ","")&amp;IF(AND(EDATE($D138,Milestones!$AA$137)&lt;=AsOfDate,IF($R138=0,$X138,IF(AND($T138&lt;&gt;"",EDATE($D138,Milestones!$AA$137)&gt;=$T138),$W138,IF(AND($S138&lt;&gt;"",EDATE($D138,Milestones!$AA$137)&gt;=$S138),$V138,$U138)))=Milestones!$AB$137),UPPER(TEXT(EDATE($D138,Milestones!$AA$137),"dd mmm yy"))&amp;" "&amp;Milestones!$AB$137&amp;" "&amp;Milestones!$AC$137&amp;";  ","")&amp;IF(AND(EDATE($D138,Milestones!$AA$138)&lt;=AsOfDate,IF($R138=0,$X138,IF(AND($T138&lt;&gt;"",EDATE($D138,Milestones!$AA$138)&gt;=$T138),$W138,IF(AND($S138&lt;&gt;"",EDATE($D138,Milestones!$AA$138)&gt;=$S138),$V138,$U138)))=Milestones!$AB$138),UPPER(TEXT(EDATE($D138,Milestones!$AA$138),"dd mmm yy"))&amp;" "&amp;Milestones!$AB$138&amp;" "&amp;Milestones!$AC$138&amp;";  ","")&amp;IF(AND(EDATE($D138,Milestones!$AA$139)&lt;=AsOfDate,IF($R138=0,$X138,IF(AND($T138&lt;&gt;"",EDATE($D138,Milestones!$AA$139)&gt;=$T138),$W138,IF(AND($S138&lt;&gt;"",EDATE($D138,Milestones!$AA$139)&gt;=$S138),$V138,$U138)))=Milestones!$AB$139),UPPER(TEXT(EDATE($D138,Milestones!$AA$139),"dd mmm yy"))&amp;" "&amp;Milestones!$AB$139&amp;" "&amp;Milestones!$AC$139&amp;";  ",""))</f>
        <v/>
      </c>
      <c r="O138" s="0" t="str">
        <f aca="false">IF(OR($A138="",$D138=""),"",IF(AND(EDATE($D138,Milestones!$AA$140)&lt;=AsOfDate,IF($R138=0,$X138,IF(AND($T138&lt;&gt;"",EDATE($D138,Milestones!$AA$140)&gt;=$T138),$W138,IF(AND($S138&lt;&gt;"",EDATE($D138,Milestones!$AA$140)&gt;=$S138),$V138,$U138)))=Milestones!$AB$140),UPPER(TEXT(EDATE($D138,Milestones!$AA$140),"dd mmm yy"))&amp;" "&amp;Milestones!$AB$140&amp;" "&amp;Milestones!$AC$140&amp;";  ","")&amp;IF(AND(EDATE($D138,Milestones!$AA$141)&lt;=AsOfDate,IF($R138=0,$X138,IF(AND($T138&lt;&gt;"",EDATE($D138,Milestones!$AA$141)&gt;=$T138),$W138,IF(AND($S138&lt;&gt;"",EDATE($D138,Milestones!$AA$141)&gt;=$S138),$V138,$U138)))=Milestones!$AB$141),UPPER(TEXT(EDATE($D138,Milestones!$AA$141),"dd mmm yy"))&amp;" "&amp;Milestones!$AB$141&amp;" "&amp;Milestones!$AC$141&amp;";  ","")&amp;IF(AND(EDATE($D138,Milestones!$AA$142)&lt;=AsOfDate,IF($R138=0,$X138,IF(AND($T138&lt;&gt;"",EDATE($D138,Milestones!$AA$142)&gt;=$T138),$W138,IF(AND($S138&lt;&gt;"",EDATE($D138,Milestones!$AA$142)&gt;=$S138),$V138,$U138)))=Milestones!$AB$142),UPPER(TEXT(EDATE($D138,Milestones!$AA$142),"dd mmm yy"))&amp;" "&amp;Milestones!$AB$142&amp;" "&amp;Milestones!$AC$142&amp;";  ","")&amp;IF(AND(EDATE($D138,Milestones!$AA$143)&lt;=AsOfDate,IF($R138=0,$X138,IF(AND($T138&lt;&gt;"",EDATE($D138,Milestones!$AA$143)&gt;=$T138),$W138,IF(AND($S138&lt;&gt;"",EDATE($D138,Milestones!$AA$143)&gt;=$S138),$V138,$U138)))=Milestones!$AB$143),UPPER(TEXT(EDATE($D138,Milestones!$AA$143),"dd mmm yy"))&amp;" "&amp;Milestones!$AB$143&amp;" "&amp;Milestones!$AC$143&amp;";  ","")&amp;IF(AND(EDATE($D138,Milestones!$AA$144)&lt;=AsOfDate,IF($R138=0,$X138,IF(AND($T138&lt;&gt;"",EDATE($D138,Milestones!$AA$144)&gt;=$T138),$W138,IF(AND($S138&lt;&gt;"",EDATE($D138,Milestones!$AA$144)&gt;=$S138),$V138,$U138)))=Milestones!$AB$144),UPPER(TEXT(EDATE($D138,Milestones!$AA$144),"dd mmm yy"))&amp;" "&amp;Milestones!$AB$144&amp;" "&amp;Milestones!$AC$144&amp;";  ","")&amp;IF(AND(EDATE($D138,Milestones!$AA$145)&lt;=AsOfDate,IF($R138=0,$X138,IF(AND($T138&lt;&gt;"",EDATE($D138,Milestones!$AA$145)&gt;=$T138),$W138,IF(AND($S138&lt;&gt;"",EDATE($D138,Milestones!$AA$145)&gt;=$S138),$V138,$U138)))=Milestones!$AB$145),UPPER(TEXT(EDATE($D138,Milestones!$AA$145),"dd mmm yy"))&amp;" "&amp;Milestones!$AB$145&amp;" "&amp;Milestones!$AC$145&amp;";  ","")&amp;IF(AND(EDATE($D138,Milestones!$AA$146)&lt;=AsOfDate,IF($R138=0,$X138,IF(AND($T138&lt;&gt;"",EDATE($D138,Milestones!$AA$146)&gt;=$T138),$W138,IF(AND($S138&lt;&gt;"",EDATE($D138,Milestones!$AA$146)&gt;=$S138),$V138,$U138)))=Milestones!$AB$146),UPPER(TEXT(EDATE($D138,Milestones!$AA$146),"dd mmm yy"))&amp;" "&amp;Milestones!$AB$146&amp;" "&amp;Milestones!$AC$146&amp;";  ","")&amp;IF(AND(EDATE($D138,Milestones!$AA$147)&lt;=AsOfDate,IF($R138=0,$X138,IF(AND($T138&lt;&gt;"",EDATE($D138,Milestones!$AA$147)&gt;=$T138),$W138,IF(AND($S138&lt;&gt;"",EDATE($D138,Milestones!$AA$147)&gt;=$S138),$V138,$U138)))=Milestones!$AB$147),UPPER(TEXT(EDATE($D138,Milestones!$AA$147),"dd mmm yy"))&amp;" "&amp;Milestones!$AB$147&amp;" "&amp;Milestones!$AC$147&amp;";  ","")&amp;IF(AND(EDATE($D138,Milestones!$AA$148)&lt;=AsOfDate,IF($R138=0,$X138,IF(AND($T138&lt;&gt;"",EDATE($D138,Milestones!$AA$148)&gt;=$T138),$W138,IF(AND($S138&lt;&gt;"",EDATE($D138,Milestones!$AA$148)&gt;=$S138),$V138,$U138)))=Milestones!$AB$148),UPPER(TEXT(EDATE($D138,Milestones!$AA$148),"dd mmm yy"))&amp;" "&amp;Milestones!$AB$148&amp;" "&amp;Milestones!$AC$148&amp;";  ","")&amp;IF(AND(EDATE($D138,Milestones!$AA$149)&lt;=AsOfDate,IF($R138=0,$X138,IF(AND($T138&lt;&gt;"",EDATE($D138,Milestones!$AA$149)&gt;=$T138),$W138,IF(AND($S138&lt;&gt;"",EDATE($D138,Milestones!$AA$149)&gt;=$S138),$V138,$U138)))=Milestones!$AB$149),UPPER(TEXT(EDATE($D138,Milestones!$AA$149),"dd mmm yy"))&amp;" "&amp;Milestones!$AB$149&amp;" "&amp;Milestones!$AC$149&amp;";  ","")&amp;IF(AND(EDATE($D138,Milestones!$AA$150)&lt;=AsOfDate,IF($R138=0,$X138,IF(AND($T138&lt;&gt;"",EDATE($D138,Milestones!$AA$150)&gt;=$T138),$W138,IF(AND($S138&lt;&gt;"",EDATE($D138,Milestones!$AA$150)&gt;=$S138),$V138,$U138)))=Milestones!$AB$150),UPPER(TEXT(EDATE($D138,Milestones!$AA$150),"dd mmm yy"))&amp;" "&amp;Milestones!$AB$150&amp;" "&amp;Milestones!$AC$150&amp;";  ","")&amp;IF(AND(EDATE($D138,Milestones!$AA$151)&lt;=AsOfDate,IF($R138=0,$X138,IF(AND($T138&lt;&gt;"",EDATE($D138,Milestones!$AA$151)&gt;=$T138),$W138,IF(AND($S138&lt;&gt;"",EDATE($D138,Milestones!$AA$151)&gt;=$S138),$V138,$U138)))=Milestones!$AB$151),UPPER(TEXT(EDATE($D138,Milestones!$AA$151),"dd mmm yy"))&amp;" "&amp;Milestones!$AB$151&amp;" "&amp;Milestones!$AC$151&amp;";  ","")&amp;IF(AND(EDATE($D138,Milestones!$AA$152)&lt;=AsOfDate,IF($R138=0,$X138,IF(AND($T138&lt;&gt;"",EDATE($D138,Milestones!$AA$152)&gt;=$T138),$W138,IF(AND($S138&lt;&gt;"",EDATE($D138,Milestones!$AA$152)&gt;=$S138),$V138,$U138)))=Milestones!$AB$152),UPPER(TEXT(EDATE($D138,Milestones!$AA$152),"dd mmm yy"))&amp;" "&amp;Milestones!$AB$152&amp;" "&amp;Milestones!$AC$152&amp;";  ","")&amp;IF(AND(EDATE($D138,Milestones!$AA$153)&lt;=AsOfDate,IF($R138=0,$X138,IF(AND($T138&lt;&gt;"",EDATE($D138,Milestones!$AA$153)&gt;=$T138),$W138,IF(AND($S138&lt;&gt;"",EDATE($D138,Milestones!$AA$153)&gt;=$S138),$V138,$U138)))=Milestones!$AB$153),UPPER(TEXT(EDATE($D138,Milestones!$AA$153),"dd mmm yy"))&amp;" "&amp;Milestones!$AB$153&amp;" "&amp;Milestones!$AC$153&amp;";  ","")&amp;IF(AND(EDATE($D138,Milestones!$AA$154)&lt;=AsOfDate,IF($R138=0,$X138,IF(AND($T138&lt;&gt;"",EDATE($D138,Milestones!$AA$154)&gt;=$T138),$W138,IF(AND($S138&lt;&gt;"",EDATE($D138,Milestones!$AA$154)&gt;=$S138),$V138,$U138)))=Milestones!$AB$154),UPPER(TEXT(EDATE($D138,Milestones!$AA$154),"dd mmm yy"))&amp;" "&amp;Milestones!$AB$154&amp;" "&amp;Milestones!$AC$154&amp;";  ","")&amp;IF(AND(EDATE($D138,Milestones!$AA$155)&lt;=AsOfDate,IF($R138=0,$X138,IF(AND($T138&lt;&gt;"",EDATE($D138,Milestones!$AA$155)&gt;=$T138),$W138,IF(AND($S138&lt;&gt;"",EDATE($D138,Milestones!$AA$155)&gt;=$S138),$V138,$U138)))=Milestones!$AB$155),UPPER(TEXT(EDATE($D138,Milestones!$AA$155),"dd mmm yy"))&amp;" "&amp;Milestones!$AB$155&amp;" "&amp;Milestones!$AC$155&amp;";  ","")&amp;IF(AND(EDATE($D138,Milestones!$AA$156)&lt;=AsOfDate,IF($R138=0,$X138,IF(AND($T138&lt;&gt;"",EDATE($D138,Milestones!$AA$156)&gt;=$T138),$W138,IF(AND($S138&lt;&gt;"",EDATE($D138,Milestones!$AA$156)&gt;=$S138),$V138,$U138)))=Milestones!$AB$156),UPPER(TEXT(EDATE($D138,Milestones!$AA$156),"dd mmm yy"))&amp;" "&amp;Milestones!$AB$156&amp;" "&amp;Milestones!$AC$156&amp;";  ","")&amp;IF(AND(EDATE($D138,Milestones!$AA$157)&lt;=AsOfDate,IF($R138=0,$X138,IF(AND($T138&lt;&gt;"",EDATE($D138,Milestones!$AA$157)&gt;=$T138),$W138,IF(AND($S138&lt;&gt;"",EDATE($D138,Milestones!$AA$157)&gt;=$S138),$V138,$U138)))=Milestones!$AB$157),UPPER(TEXT(EDATE($D138,Milestones!$AA$157),"dd mmm yy"))&amp;" "&amp;Milestones!$AB$157&amp;" "&amp;Milestones!$AC$157&amp;";  ","")&amp;IF(AND(EDATE($D138,Milestones!$AA$158)&lt;=AsOfDate,IF($R138=0,$X138,IF(AND($T138&lt;&gt;"",EDATE($D138,Milestones!$AA$158)&gt;=$T138),$W138,IF(AND($S138&lt;&gt;"",EDATE($D138,Milestones!$AA$158)&gt;=$S138),$V138,$U138)))=Milestones!$AB$158),UPPER(TEXT(EDATE($D138,Milestones!$AA$158),"dd mmm yy"))&amp;" "&amp;Milestones!$AB$158&amp;" "&amp;Milestones!$AC$158&amp;";  ","")&amp;IF(AND(EDATE($D138,Milestones!$AA$159)&lt;=AsOfDate,IF($R138=0,$X138,IF(AND($T138&lt;&gt;"",EDATE($D138,Milestones!$AA$159)&gt;=$T138),$W138,IF(AND($S138&lt;&gt;"",EDATE($D138,Milestones!$AA$159)&gt;=$S138),$V138,$U138)))=Milestones!$AB$159),UPPER(TEXT(EDATE($D138,Milestones!$AA$159),"dd mmm yy"))&amp;" "&amp;Milestones!$AB$159&amp;" "&amp;Milestones!$AC$159&amp;";  ",""))</f>
        <v/>
      </c>
      <c r="P138" s="0" t="str">
        <f aca="false">IF(OR($A138="",$D138=""),"",IF(AND(EDATE($D138,Milestones!$AA$160)&lt;=AsOfDate,IF($R138=0,$X138,IF(AND($T138&lt;&gt;"",EDATE($D138,Milestones!$AA$160)&gt;=$T138),$W138,IF(AND($S138&lt;&gt;"",EDATE($D138,Milestones!$AA$160)&gt;=$S138),$V138,$U138)))=Milestones!$AB$160),UPPER(TEXT(EDATE($D138,Milestones!$AA$160),"dd mmm yy"))&amp;" "&amp;Milestones!$AB$160&amp;" "&amp;Milestones!$AC$160&amp;";  ","")&amp;IF(AND(EDATE($D138,Milestones!$AA$161)&lt;=AsOfDate,IF($R138=0,$X138,IF(AND($T138&lt;&gt;"",EDATE($D138,Milestones!$AA$161)&gt;=$T138),$W138,IF(AND($S138&lt;&gt;"",EDATE($D138,Milestones!$AA$161)&gt;=$S138),$V138,$U138)))=Milestones!$AB$161),UPPER(TEXT(EDATE($D138,Milestones!$AA$161),"dd mmm yy"))&amp;" "&amp;Milestones!$AB$161&amp;" "&amp;Milestones!$AC$161&amp;";  ","")&amp;IF(AND(EDATE($D138,Milestones!$AA$162)&lt;=AsOfDate,IF($R138=0,$X138,IF(AND($T138&lt;&gt;"",EDATE($D138,Milestones!$AA$162)&gt;=$T138),$W138,IF(AND($S138&lt;&gt;"",EDATE($D138,Milestones!$AA$162)&gt;=$S138),$V138,$U138)))=Milestones!$AB$162),UPPER(TEXT(EDATE($D138,Milestones!$AA$162),"dd mmm yy"))&amp;" "&amp;Milestones!$AB$162&amp;" "&amp;Milestones!$AC$162&amp;";  ","")&amp;IF(AND(EDATE($D138,Milestones!$AA$163)&lt;=AsOfDate,IF($R138=0,$X138,IF(AND($T138&lt;&gt;"",EDATE($D138,Milestones!$AA$163)&gt;=$T138),$W138,IF(AND($S138&lt;&gt;"",EDATE($D138,Milestones!$AA$163)&gt;=$S138),$V138,$U138)))=Milestones!$AB$163),UPPER(TEXT(EDATE($D138,Milestones!$AA$163),"dd mmm yy"))&amp;" "&amp;Milestones!$AB$163&amp;" "&amp;Milestones!$AC$163&amp;";  ","")&amp;IF(AND(EDATE($D138,Milestones!$AA$164)&lt;=AsOfDate,IF($R138=0,$X138,IF(AND($T138&lt;&gt;"",EDATE($D138,Milestones!$AA$164)&gt;=$T138),$W138,IF(AND($S138&lt;&gt;"",EDATE($D138,Milestones!$AA$164)&gt;=$S138),$V138,$U138)))=Milestones!$AB$164),UPPER(TEXT(EDATE($D138,Milestones!$AA$164),"dd mmm yy"))&amp;" "&amp;Milestones!$AB$164&amp;" "&amp;Milestones!$AC$164&amp;";  ","")&amp;IF(AND(EDATE($D138,Milestones!$AA$165)&lt;=AsOfDate,IF($R138=0,$X138,IF(AND($T138&lt;&gt;"",EDATE($D138,Milestones!$AA$165)&gt;=$T138),$W138,IF(AND($S138&lt;&gt;"",EDATE($D138,Milestones!$AA$165)&gt;=$S138),$V138,$U138)))=Milestones!$AB$165),UPPER(TEXT(EDATE($D138,Milestones!$AA$165),"dd mmm yy"))&amp;" "&amp;Milestones!$AB$165&amp;" "&amp;Milestones!$AC$165&amp;";  ","")&amp;IF(AND(EDATE($D138,Milestones!$AA$166)&lt;=AsOfDate,IF($R138=0,$X138,IF(AND($T138&lt;&gt;"",EDATE($D138,Milestones!$AA$166)&gt;=$T138),$W138,IF(AND($S138&lt;&gt;"",EDATE($D138,Milestones!$AA$166)&gt;=$S138),$V138,$U138)))=Milestones!$AB$166),UPPER(TEXT(EDATE($D138,Milestones!$AA$166),"dd mmm yy"))&amp;" "&amp;Milestones!$AB$166&amp;" "&amp;Milestones!$AC$166&amp;";  ","")&amp;IF(AND(EDATE($D138,Milestones!$AA$167)&lt;=AsOfDate,IF($R138=0,$X138,IF(AND($T138&lt;&gt;"",EDATE($D138,Milestones!$AA$167)&gt;=$T138),$W138,IF(AND($S138&lt;&gt;"",EDATE($D138,Milestones!$AA$167)&gt;=$S138),$V138,$U138)))=Milestones!$AB$167),UPPER(TEXT(EDATE($D138,Milestones!$AA$167),"dd mmm yy"))&amp;" "&amp;Milestones!$AB$167&amp;" "&amp;Milestones!$AC$167&amp;";  ","")&amp;IF(AND(EDATE($D138,Milestones!$AA$168)&lt;=AsOfDate,IF($R138=0,$X138,IF(AND($T138&lt;&gt;"",EDATE($D138,Milestones!$AA$168)&gt;=$T138),$W138,IF(AND($S138&lt;&gt;"",EDATE($D138,Milestones!$AA$168)&gt;=$S138),$V138,$U138)))=Milestones!$AB$168),UPPER(TEXT(EDATE($D138,Milestones!$AA$168),"dd mmm yy"))&amp;" "&amp;Milestones!$AB$168&amp;" "&amp;Milestones!$AC$168&amp;";  ","")&amp;IF(AND(EDATE($D138,Milestones!$AA$169)&lt;=AsOfDate,IF($R138=0,$X138,IF(AND($T138&lt;&gt;"",EDATE($D138,Milestones!$AA$169)&gt;=$T138),$W138,IF(AND($S138&lt;&gt;"",EDATE($D138,Milestones!$AA$169)&gt;=$S138),$V138,$U138)))=Milestones!$AB$169),UPPER(TEXT(EDATE($D138,Milestones!$AA$169),"dd mmm yy"))&amp;" "&amp;Milestones!$AB$169&amp;" "&amp;Milestones!$AC$169&amp;";  ","")&amp;IF(AND(EDATE($D138,Milestones!$AA$170)&lt;=AsOfDate,IF($R138=0,$X138,IF(AND($T138&lt;&gt;"",EDATE($D138,Milestones!$AA$170)&gt;=$T138),$W138,IF(AND($S138&lt;&gt;"",EDATE($D138,Milestones!$AA$170)&gt;=$S138),$V138,$U138)))=Milestones!$AB$170),UPPER(TEXT(EDATE($D138,Milestones!$AA$170),"dd mmm yy"))&amp;" "&amp;Milestones!$AB$170&amp;" "&amp;Milestones!$AC$170&amp;";  ","")&amp;IF(AND(EDATE($D138,Milestones!$AA$171)&lt;=AsOfDate,IF($R138=0,$X138,IF(AND($T138&lt;&gt;"",EDATE($D138,Milestones!$AA$171)&gt;=$T138),$W138,IF(AND($S138&lt;&gt;"",EDATE($D138,Milestones!$AA$171)&gt;=$S138),$V138,$U138)))=Milestones!$AB$171),UPPER(TEXT(EDATE($D138,Milestones!$AA$171),"dd mmm yy"))&amp;" "&amp;Milestones!$AB$171&amp;" "&amp;Milestones!$AC$171&amp;";  ","")&amp;IF(AND(EDATE($D138,Milestones!$AA$172)&lt;=AsOfDate,IF($R138=0,$X138,IF(AND($T138&lt;&gt;"",EDATE($D138,Milestones!$AA$172)&gt;=$T138),$W138,IF(AND($S138&lt;&gt;"",EDATE($D138,Milestones!$AA$172)&gt;=$S138),$V138,$U138)))=Milestones!$AB$172),UPPER(TEXT(EDATE($D138,Milestones!$AA$172),"dd mmm yy"))&amp;" "&amp;Milestones!$AB$172&amp;" "&amp;Milestones!$AC$172&amp;";  ","")&amp;IF(AND(EDATE($D138,Milestones!$AA$173)&lt;=AsOfDate,IF($R138=0,$X138,IF(AND($T138&lt;&gt;"",EDATE($D138,Milestones!$AA$173)&gt;=$T138),$W138,IF(AND($S138&lt;&gt;"",EDATE($D138,Milestones!$AA$173)&gt;=$S138),$V138,$U138)))=Milestones!$AB$173),UPPER(TEXT(EDATE($D138,Milestones!$AA$173),"dd mmm yy"))&amp;" "&amp;Milestones!$AB$173&amp;" "&amp;Milestones!$AC$173&amp;";  ","")&amp;IF(AND(EDATE($D138,Milestones!$AA$174)&lt;=AsOfDate,IF($R138=0,$X138,IF(AND($T138&lt;&gt;"",EDATE($D138,Milestones!$AA$174)&gt;=$T138),$W138,IF(AND($S138&lt;&gt;"",EDATE($D138,Milestones!$AA$174)&gt;=$S138),$V138,$U138)))=Milestones!$AB$174),UPPER(TEXT(EDATE($D138,Milestones!$AA$174),"dd mmm yy"))&amp;" "&amp;Milestones!$AB$174&amp;" "&amp;Milestones!$AC$174&amp;";  ","")&amp;IF(AND(EDATE($D138,Milestones!$AA$175)&lt;=AsOfDate,IF($R138=0,$X138,IF(AND($T138&lt;&gt;"",EDATE($D138,Milestones!$AA$175)&gt;=$T138),$W138,IF(AND($S138&lt;&gt;"",EDATE($D138,Milestones!$AA$175)&gt;=$S138),$V138,$U138)))=Milestones!$AB$175),UPPER(TEXT(EDATE($D138,Milestones!$AA$175),"dd mmm yy"))&amp;" "&amp;Milestones!$AB$175&amp;" "&amp;Milestones!$AC$175&amp;";  ","")&amp;IF(AND(EDATE($D138,Milestones!$AA$176)&lt;=AsOfDate,IF($R138=0,$X138,IF(AND($T138&lt;&gt;"",EDATE($D138,Milestones!$AA$176)&gt;=$T138),$W138,IF(AND($S138&lt;&gt;"",EDATE($D138,Milestones!$AA$176)&gt;=$S138),$V138,$U138)))=Milestones!$AB$176),UPPER(TEXT(EDATE($D138,Milestones!$AA$176),"dd mmm yy"))&amp;" "&amp;Milestones!$AB$176&amp;" "&amp;Milestones!$AC$176&amp;";  ","")&amp;IF(AND(EDATE($D138,Milestones!$AA$177)&lt;=AsOfDate,IF($R138=0,$X138,IF(AND($T138&lt;&gt;"",EDATE($D138,Milestones!$AA$177)&gt;=$T138),$W138,IF(AND($S138&lt;&gt;"",EDATE($D138,Milestones!$AA$177)&gt;=$S138),$V138,$U138)))=Milestones!$AB$177),UPPER(TEXT(EDATE($D138,Milestones!$AA$177),"dd mmm yy"))&amp;" "&amp;Milestones!$AB$177&amp;" "&amp;Milestones!$AC$177&amp;";  ","")&amp;IF(AND(EDATE($D138,Milestones!$AA$178)&lt;=AsOfDate,IF($R138=0,$X138,IF(AND($T138&lt;&gt;"",EDATE($D138,Milestones!$AA$178)&gt;=$T138),$W138,IF(AND($S138&lt;&gt;"",EDATE($D138,Milestones!$AA$178)&gt;=$S138),$V138,$U138)))=Milestones!$AB$178),UPPER(TEXT(EDATE($D138,Milestones!$AA$178),"dd mmm yy"))&amp;" "&amp;Milestones!$AB$178&amp;" "&amp;Milestones!$AC$178&amp;";  ","")&amp;IF(AND(EDATE($D138,Milestones!$AA$179)&lt;=AsOfDate,IF($R138=0,$X138,IF(AND($T138&lt;&gt;"",EDATE($D138,Milestones!$AA$179)&gt;=$T138),$W138,IF(AND($S138&lt;&gt;"",EDATE($D138,Milestones!$AA$179)&gt;=$S138),$V138,$U138)))=Milestones!$AB$179),UPPER(TEXT(EDATE($D138,Milestones!$AA$179),"dd mmm yy"))&amp;" "&amp;Milestones!$AB$179&amp;" "&amp;Milestones!$AC$179&amp;";  ",""))</f>
        <v/>
      </c>
      <c r="Q138" s="0" t="str">
        <f aca="false">IF(OR($A138="",$D138=""),"",IF(AND(EDATE($D138,Milestones!$AA$180)&lt;=AsOfDate,IF($R138=0,$X138,IF(AND($T138&lt;&gt;"",EDATE($D138,Milestones!$AA$180)&gt;=$T138),$W138,IF(AND($S138&lt;&gt;"",EDATE($D138,Milestones!$AA$180)&gt;=$S138),$V138,$U138)))=Milestones!$AB$180),UPPER(TEXT(EDATE($D138,Milestones!$AA$180),"dd mmm yy"))&amp;" "&amp;Milestones!$AB$180&amp;" "&amp;Milestones!$AC$180&amp;";  ","")&amp;IF(AND(EDATE($D138,Milestones!$AA$181)&lt;=AsOfDate,IF($R138=0,$X138,IF(AND($T138&lt;&gt;"",EDATE($D138,Milestones!$AA$181)&gt;=$T138),$W138,IF(AND($S138&lt;&gt;"",EDATE($D138,Milestones!$AA$181)&gt;=$S138),$V138,$U138)))=Milestones!$AB$181),UPPER(TEXT(EDATE($D138,Milestones!$AA$181),"dd mmm yy"))&amp;" "&amp;Milestones!$AB$181&amp;" "&amp;Milestones!$AC$181&amp;";  ","")&amp;IF(AND(EDATE($D138,Milestones!$AA$182)&lt;=AsOfDate,IF($R138=0,$X138,IF(AND($T138&lt;&gt;"",EDATE($D138,Milestones!$AA$182)&gt;=$T138),$W138,IF(AND($S138&lt;&gt;"",EDATE($D138,Milestones!$AA$182)&gt;=$S138),$V138,$U138)))=Milestones!$AB$182),UPPER(TEXT(EDATE($D138,Milestones!$AA$182),"dd mmm yy"))&amp;" "&amp;Milestones!$AB$182&amp;" "&amp;Milestones!$AC$182&amp;";  ","")&amp;IF(AND(EDATE($D138,Milestones!$AA$183)&lt;=AsOfDate,IF($R138=0,$X138,IF(AND($T138&lt;&gt;"",EDATE($D138,Milestones!$AA$183)&gt;=$T138),$W138,IF(AND($S138&lt;&gt;"",EDATE($D138,Milestones!$AA$183)&gt;=$S138),$V138,$U138)))=Milestones!$AB$183),UPPER(TEXT(EDATE($D138,Milestones!$AA$183),"dd mmm yy"))&amp;" "&amp;Milestones!$AB$183&amp;" "&amp;Milestones!$AC$183&amp;";  ","")&amp;IF(AND(EDATE($D138,Milestones!$AA$184)&lt;=AsOfDate,IF($R138=0,$X138,IF(AND($T138&lt;&gt;"",EDATE($D138,Milestones!$AA$184)&gt;=$T138),$W138,IF(AND($S138&lt;&gt;"",EDATE($D138,Milestones!$AA$184)&gt;=$S138),$V138,$U138)))=Milestones!$AB$184),UPPER(TEXT(EDATE($D138,Milestones!$AA$184),"dd mmm yy"))&amp;" "&amp;Milestones!$AB$184&amp;" "&amp;Milestones!$AC$184&amp;";  ","")&amp;IF(AND(EDATE($D138,Milestones!$AA$185)&lt;=AsOfDate,IF($R138=0,$X138,IF(AND($T138&lt;&gt;"",EDATE($D138,Milestones!$AA$185)&gt;=$T138),$W138,IF(AND($S138&lt;&gt;"",EDATE($D138,Milestones!$AA$185)&gt;=$S138),$V138,$U138)))=Milestones!$AB$185),UPPER(TEXT(EDATE($D138,Milestones!$AA$185),"dd mmm yy"))&amp;" "&amp;Milestones!$AB$185&amp;" "&amp;Milestones!$AC$185&amp;";  ","")&amp;IF(AND(EDATE($D138,Milestones!$AA$186)&lt;=AsOfDate,IF($R138=0,$X138,IF(AND($T138&lt;&gt;"",EDATE($D138,Milestones!$AA$186)&gt;=$T138),$W138,IF(AND($S138&lt;&gt;"",EDATE($D138,Milestones!$AA$186)&gt;=$S138),$V138,$U138)))=Milestones!$AB$186),UPPER(TEXT(EDATE($D138,Milestones!$AA$186),"dd mmm yy"))&amp;" "&amp;Milestones!$AB$186&amp;" "&amp;Milestones!$AC$186&amp;";  ","")&amp;IF(AND(EDATE($D138,Milestones!$AA$187)&lt;=AsOfDate,IF($R138=0,$X138,IF(AND($T138&lt;&gt;"",EDATE($D138,Milestones!$AA$187)&gt;=$T138),$W138,IF(AND($S138&lt;&gt;"",EDATE($D138,Milestones!$AA$187)&gt;=$S138),$V138,$U138)))=Milestones!$AB$187),UPPER(TEXT(EDATE($D138,Milestones!$AA$187),"dd mmm yy"))&amp;" "&amp;Milestones!$AB$187&amp;" "&amp;Milestones!$AC$187&amp;";  ","")&amp;IF(AND(EDATE($D138,Milestones!$AA$188)&lt;=AsOfDate,IF($R138=0,$X138,IF(AND($T138&lt;&gt;"",EDATE($D138,Milestones!$AA$188)&gt;=$T138),$W138,IF(AND($S138&lt;&gt;"",EDATE($D138,Milestones!$AA$188)&gt;=$S138),$V138,$U138)))=Milestones!$AB$188),UPPER(TEXT(EDATE($D138,Milestones!$AA$188),"dd mmm yy"))&amp;" "&amp;Milestones!$AB$188&amp;" "&amp;Milestones!$AC$188&amp;";  ","")&amp;IF(AND(EDATE($D138,Milestones!$AA$189)&lt;=AsOfDate,IF($R138=0,$X138,IF(AND($T138&lt;&gt;"",EDATE($D138,Milestones!$AA$189)&gt;=$T138),$W138,IF(AND($S138&lt;&gt;"",EDATE($D138,Milestones!$AA$189)&gt;=$S138),$V138,$U138)))=Milestones!$AB$189),UPPER(TEXT(EDATE($D138,Milestones!$AA$189),"dd mmm yy"))&amp;" "&amp;Milestones!$AB$189&amp;" "&amp;Milestones!$AC$189&amp;";  ","")&amp;IF(AND(EDATE($D138,Milestones!$AA$190)&lt;=AsOfDate,IF($R138=0,$X138,IF(AND($T138&lt;&gt;"",EDATE($D138,Milestones!$AA$190)&gt;=$T138),$W138,IF(AND($S138&lt;&gt;"",EDATE($D138,Milestones!$AA$190)&gt;=$S138),$V138,$U138)))=Milestones!$AB$190),UPPER(TEXT(EDATE($D138,Milestones!$AA$190),"dd mmm yy"))&amp;" "&amp;Milestones!$AB$190&amp;" "&amp;Milestones!$AC$190&amp;";  ","")&amp;IF(AND(EDATE($D138,Milestones!$AA$191)&lt;=AsOfDate,IF($R138=0,$X138,IF(AND($T138&lt;&gt;"",EDATE($D138,Milestones!$AA$191)&gt;=$T138),$W138,IF(AND($S138&lt;&gt;"",EDATE($D138,Milestones!$AA$191)&gt;=$S138),$V138,$U138)))=Milestones!$AB$191),UPPER(TEXT(EDATE($D138,Milestones!$AA$191),"dd mmm yy"))&amp;" "&amp;Milestones!$AB$191&amp;" "&amp;Milestones!$AC$191&amp;";  ","")&amp;IF(AND(EDATE($D138,Milestones!$AA$192)&lt;=AsOfDate,IF($R138=0,$X138,IF(AND($T138&lt;&gt;"",EDATE($D138,Milestones!$AA$192)&gt;=$T138),$W138,IF(AND($S138&lt;&gt;"",EDATE($D138,Milestones!$AA$192)&gt;=$S138),$V138,$U138)))=Milestones!$AB$192),UPPER(TEXT(EDATE($D138,Milestones!$AA$192),"dd mmm yy"))&amp;" "&amp;Milestones!$AB$192&amp;" "&amp;Milestones!$AC$192&amp;";  ","")&amp;IF(AND(EDATE($D138,Milestones!$AA$193)&lt;=AsOfDate,IF($R138=0,$X138,IF(AND($T138&lt;&gt;"",EDATE($D138,Milestones!$AA$193)&gt;=$T138),$W138,IF(AND($S138&lt;&gt;"",EDATE($D138,Milestones!$AA$193)&gt;=$S138),$V138,$U138)))=Milestones!$AB$193),UPPER(TEXT(EDATE($D138,Milestones!$AA$193),"dd mmm yy"))&amp;" "&amp;Milestones!$AB$193&amp;" "&amp;Milestones!$AC$193&amp;";  ","")&amp;IF(AND(EDATE($D138,Milestones!$AA$194)&lt;=AsOfDate,IF($R138=0,$X138,IF(AND($T138&lt;&gt;"",EDATE($D138,Milestones!$AA$194)&gt;=$T138),$W138,IF(AND($S138&lt;&gt;"",EDATE($D138,Milestones!$AA$194)&gt;=$S138),$V138,$U138)))=Milestones!$AB$194),UPPER(TEXT(EDATE($D138,Milestones!$AA$194),"dd mmm yy"))&amp;" "&amp;Milestones!$AB$194&amp;" "&amp;Milestones!$AC$194&amp;";  ","")&amp;IF(AND(EDATE($D138,Milestones!$AA$195)&lt;=AsOfDate,IF($R138=0,$X138,IF(AND($T138&lt;&gt;"",EDATE($D138,Milestones!$AA$195)&gt;=$T138),$W138,IF(AND($S138&lt;&gt;"",EDATE($D138,Milestones!$AA$195)&gt;=$S138),$V138,$U138)))=Milestones!$AB$195),UPPER(TEXT(EDATE($D138,Milestones!$AA$195),"dd mmm yy"))&amp;" "&amp;Milestones!$AB$195&amp;" "&amp;Milestones!$AC$195&amp;";  ","")&amp;IF(AND(EDATE($D138,Milestones!$AA$196)&lt;=AsOfDate,IF($R138=0,$X138,IF(AND($T138&lt;&gt;"",EDATE($D138,Milestones!$AA$196)&gt;=$T138),$W138,IF(AND($S138&lt;&gt;"",EDATE($D138,Milestones!$AA$196)&gt;=$S138),$V138,$U138)))=Milestones!$AB$196),UPPER(TEXT(EDATE($D138,Milestones!$AA$196),"dd mmm yy"))&amp;" "&amp;Milestones!$AB$196&amp;" "&amp;Milestones!$AC$196&amp;";  ","")&amp;IF(AND(EDATE($D138,Milestones!$AA$197)&lt;=AsOfDate,IF($R138=0,$X138,IF(AND($T138&lt;&gt;"",EDATE($D138,Milestones!$AA$197)&gt;=$T138),$W138,IF(AND($S138&lt;&gt;"",EDATE($D138,Milestones!$AA$197)&gt;=$S138),$V138,$U138)))=Milestones!$AB$197),UPPER(TEXT(EDATE($D138,Milestones!$AA$197),"dd mmm yy"))&amp;" "&amp;Milestones!$AB$197&amp;" "&amp;Milestones!$AC$197&amp;";  ","")&amp;IF(AND(EDATE($D138,Milestones!$AA$198)&lt;=AsOfDate,IF($R138=0,$X138,IF(AND($T138&lt;&gt;"",EDATE($D138,Milestones!$AA$198)&gt;=$T138),$W138,IF(AND($S138&lt;&gt;"",EDATE($D138,Milestones!$AA$198)&gt;=$S138),$V138,$U138)))=Milestones!$AB$198),UPPER(TEXT(EDATE($D138,Milestones!$AA$198),"dd mmm yy"))&amp;" "&amp;Milestones!$AB$198&amp;" "&amp;Milestones!$AC$198&amp;";  ","")&amp;IF(AND(EDATE($D138,Milestones!$AA$199)&lt;=AsOfDate,IF($R138=0,$X138,IF(AND($T138&lt;&gt;"",EDATE($D138,Milestones!$AA$199)&gt;=$T138),$W138,IF(AND($S138&lt;&gt;"",EDATE($D138,Milestones!$AA$199)&gt;=$S138),$V138,$U138)))=Milestones!$AB$199),UPPER(TEXT(EDATE($D138,Milestones!$AA$199),"dd mmm yy"))&amp;" "&amp;Milestones!$AB$199&amp;" "&amp;Milestones!$AC$199&amp;";  ",""))</f>
        <v/>
      </c>
      <c r="R138" s="0" t="str">
        <f aca="false">IF(Staff!$A138="","",Staff!$AI138)</f>
        <v/>
      </c>
      <c r="S138" s="0" t="str">
        <f aca="false">IF(Staff!$A138="","",Staff!$AK138)</f>
        <v/>
      </c>
      <c r="T138" s="0" t="str">
        <f aca="false">IF(Staff!$A138="","",Staff!$AL138)</f>
        <v/>
      </c>
      <c r="U138" s="0" t="str">
        <f aca="false">IF(Staff!$A138="","",Staff!$AP138)</f>
        <v/>
      </c>
      <c r="V138" s="0" t="str">
        <f aca="false">IF(Staff!$A138="","",Staff!$AQ138)</f>
        <v/>
      </c>
      <c r="W138" s="0" t="str">
        <f aca="false">IF(Staff!$A138="","",Staff!$AR138)</f>
        <v/>
      </c>
      <c r="X138" s="0" t="str">
        <f aca="false">IF(Staff!$A138="","",Staff!$AS138)</f>
        <v/>
      </c>
    </row>
    <row r="139" customFormat="false" ht="15" hidden="false" customHeight="false" outlineLevel="0" collapsed="false">
      <c r="A139" s="14" t="str">
        <f aca="false">IF(Staff!$A139="","",Staff!$A139)</f>
        <v/>
      </c>
      <c r="B139" s="14" t="str">
        <f aca="false">IF(Staff!$A139="","",Staff!$B139)</f>
        <v/>
      </c>
      <c r="C139" s="14" t="str">
        <f aca="false">IF(Staff!$A139="","",Staff!$C139)</f>
        <v/>
      </c>
      <c r="D139" s="12" t="str">
        <f aca="false">IF(Staff!$A139="","",Staff!$AH139)</f>
        <v/>
      </c>
      <c r="E139" s="14" t="str">
        <f aca="false">IF(Staff!$A139="","",Staff!$O139)</f>
        <v/>
      </c>
      <c r="F139" s="14" t="str">
        <f aca="false">IF(E139="","",E139*HoursPerDay)</f>
        <v/>
      </c>
      <c r="G139" s="14" t="str">
        <f aca="false">IF(Staff!$A139="","",Staff!$AE139)</f>
        <v/>
      </c>
      <c r="H139" s="26" t="str">
        <f aca="false">IF($A139="","",I139&amp;J139&amp;K139&amp;L139&amp;M139&amp;N139&amp;O139&amp;P139&amp;Q139)</f>
        <v/>
      </c>
      <c r="I139" s="0" t="str">
        <f aca="false">IF(OR($A139="",$D139=""),"",IF(AND(EDATE($D139,Milestones!$AA$20)&lt;=AsOfDate,IF($R139=0,$X139,IF(AND($T139&lt;&gt;"",EDATE($D139,Milestones!$AA$20)&gt;=$T139),$W139,IF(AND($S139&lt;&gt;"",EDATE($D139,Milestones!$AA$20)&gt;=$S139),$V139,$U139)))=Milestones!$AB$20),UPPER(TEXT(EDATE($D139,Milestones!$AA$20),"dd mmm yy"))&amp;" "&amp;Milestones!$AB$20&amp;" "&amp;Milestones!$AC$20&amp;";  ","")&amp;IF(AND(EDATE($D139,Milestones!$AA$21)&lt;=AsOfDate,IF($R139=0,$X139,IF(AND($T139&lt;&gt;"",EDATE($D139,Milestones!$AA$21)&gt;=$T139),$W139,IF(AND($S139&lt;&gt;"",EDATE($D139,Milestones!$AA$21)&gt;=$S139),$V139,$U139)))=Milestones!$AB$21),UPPER(TEXT(EDATE($D139,Milestones!$AA$21),"dd mmm yy"))&amp;" "&amp;Milestones!$AB$21&amp;" "&amp;Milestones!$AC$21&amp;";  ","")&amp;IF(AND(EDATE($D139,Milestones!$AA$22)&lt;=AsOfDate,IF($R139=0,$X139,IF(AND($T139&lt;&gt;"",EDATE($D139,Milestones!$AA$22)&gt;=$T139),$W139,IF(AND($S139&lt;&gt;"",EDATE($D139,Milestones!$AA$22)&gt;=$S139),$V139,$U139)))=Milestones!$AB$22),UPPER(TEXT(EDATE($D139,Milestones!$AA$22),"dd mmm yy"))&amp;" "&amp;Milestones!$AB$22&amp;" "&amp;Milestones!$AC$22&amp;";  ","")&amp;IF(AND(EDATE($D139,Milestones!$AA$23)&lt;=AsOfDate,IF($R139=0,$X139,IF(AND($T139&lt;&gt;"",EDATE($D139,Milestones!$AA$23)&gt;=$T139),$W139,IF(AND($S139&lt;&gt;"",EDATE($D139,Milestones!$AA$23)&gt;=$S139),$V139,$U139)))=Milestones!$AB$23),UPPER(TEXT(EDATE($D139,Milestones!$AA$23),"dd mmm yy"))&amp;" "&amp;Milestones!$AB$23&amp;" "&amp;Milestones!$AC$23&amp;";  ","")&amp;IF(AND(EDATE($D139,Milestones!$AA$24)&lt;=AsOfDate,IF($R139=0,$X139,IF(AND($T139&lt;&gt;"",EDATE($D139,Milestones!$AA$24)&gt;=$T139),$W139,IF(AND($S139&lt;&gt;"",EDATE($D139,Milestones!$AA$24)&gt;=$S139),$V139,$U139)))=Milestones!$AB$24),UPPER(TEXT(EDATE($D139,Milestones!$AA$24),"dd mmm yy"))&amp;" "&amp;Milestones!$AB$24&amp;" "&amp;Milestones!$AC$24&amp;";  ","")&amp;IF(AND(EDATE($D139,Milestones!$AA$25)&lt;=AsOfDate,IF($R139=0,$X139,IF(AND($T139&lt;&gt;"",EDATE($D139,Milestones!$AA$25)&gt;=$T139),$W139,IF(AND($S139&lt;&gt;"",EDATE($D139,Milestones!$AA$25)&gt;=$S139),$V139,$U139)))=Milestones!$AB$25),UPPER(TEXT(EDATE($D139,Milestones!$AA$25),"dd mmm yy"))&amp;" "&amp;Milestones!$AB$25&amp;" "&amp;Milestones!$AC$25&amp;";  ","")&amp;IF(AND(EDATE($D139,Milestones!$AA$26)&lt;=AsOfDate,IF($R139=0,$X139,IF(AND($T139&lt;&gt;"",EDATE($D139,Milestones!$AA$26)&gt;=$T139),$W139,IF(AND($S139&lt;&gt;"",EDATE($D139,Milestones!$AA$26)&gt;=$S139),$V139,$U139)))=Milestones!$AB$26),UPPER(TEXT(EDATE($D139,Milestones!$AA$26),"dd mmm yy"))&amp;" "&amp;Milestones!$AB$26&amp;" "&amp;Milestones!$AC$26&amp;";  ","")&amp;IF(AND(EDATE($D139,Milestones!$AA$27)&lt;=AsOfDate,IF($R139=0,$X139,IF(AND($T139&lt;&gt;"",EDATE($D139,Milestones!$AA$27)&gt;=$T139),$W139,IF(AND($S139&lt;&gt;"",EDATE($D139,Milestones!$AA$27)&gt;=$S139),$V139,$U139)))=Milestones!$AB$27),UPPER(TEXT(EDATE($D139,Milestones!$AA$27),"dd mmm yy"))&amp;" "&amp;Milestones!$AB$27&amp;" "&amp;Milestones!$AC$27&amp;";  ","")&amp;IF(AND(EDATE($D139,Milestones!$AA$28)&lt;=AsOfDate,IF($R139=0,$X139,IF(AND($T139&lt;&gt;"",EDATE($D139,Milestones!$AA$28)&gt;=$T139),$W139,IF(AND($S139&lt;&gt;"",EDATE($D139,Milestones!$AA$28)&gt;=$S139),$V139,$U139)))=Milestones!$AB$28),UPPER(TEXT(EDATE($D139,Milestones!$AA$28),"dd mmm yy"))&amp;" "&amp;Milestones!$AB$28&amp;" "&amp;Milestones!$AC$28&amp;";  ","")&amp;IF(AND(EDATE($D139,Milestones!$AA$29)&lt;=AsOfDate,IF($R139=0,$X139,IF(AND($T139&lt;&gt;"",EDATE($D139,Milestones!$AA$29)&gt;=$T139),$W139,IF(AND($S139&lt;&gt;"",EDATE($D139,Milestones!$AA$29)&gt;=$S139),$V139,$U139)))=Milestones!$AB$29),UPPER(TEXT(EDATE($D139,Milestones!$AA$29),"dd mmm yy"))&amp;" "&amp;Milestones!$AB$29&amp;" "&amp;Milestones!$AC$29&amp;";  ","")&amp;IF(AND(EDATE($D139,Milestones!$AA$30)&lt;=AsOfDate,IF($R139=0,$X139,IF(AND($T139&lt;&gt;"",EDATE($D139,Milestones!$AA$30)&gt;=$T139),$W139,IF(AND($S139&lt;&gt;"",EDATE($D139,Milestones!$AA$30)&gt;=$S139),$V139,$U139)))=Milestones!$AB$30),UPPER(TEXT(EDATE($D139,Milestones!$AA$30),"dd mmm yy"))&amp;" "&amp;Milestones!$AB$30&amp;" "&amp;Milestones!$AC$30&amp;";  ","")&amp;IF(AND(EDATE($D139,Milestones!$AA$31)&lt;=AsOfDate,IF($R139=0,$X139,IF(AND($T139&lt;&gt;"",EDATE($D139,Milestones!$AA$31)&gt;=$T139),$W139,IF(AND($S139&lt;&gt;"",EDATE($D139,Milestones!$AA$31)&gt;=$S139),$V139,$U139)))=Milestones!$AB$31),UPPER(TEXT(EDATE($D139,Milestones!$AA$31),"dd mmm yy"))&amp;" "&amp;Milestones!$AB$31&amp;" "&amp;Milestones!$AC$31&amp;";  ","")&amp;IF(AND(EDATE($D139,Milestones!$AA$32)&lt;=AsOfDate,IF($R139=0,$X139,IF(AND($T139&lt;&gt;"",EDATE($D139,Milestones!$AA$32)&gt;=$T139),$W139,IF(AND($S139&lt;&gt;"",EDATE($D139,Milestones!$AA$32)&gt;=$S139),$V139,$U139)))=Milestones!$AB$32),UPPER(TEXT(EDATE($D139,Milestones!$AA$32),"dd mmm yy"))&amp;" "&amp;Milestones!$AB$32&amp;" "&amp;Milestones!$AC$32&amp;";  ","")&amp;IF(AND(EDATE($D139,Milestones!$AA$33)&lt;=AsOfDate,IF($R139=0,$X139,IF(AND($T139&lt;&gt;"",EDATE($D139,Milestones!$AA$33)&gt;=$T139),$W139,IF(AND($S139&lt;&gt;"",EDATE($D139,Milestones!$AA$33)&gt;=$S139),$V139,$U139)))=Milestones!$AB$33),UPPER(TEXT(EDATE($D139,Milestones!$AA$33),"dd mmm yy"))&amp;" "&amp;Milestones!$AB$33&amp;" "&amp;Milestones!$AC$33&amp;";  ","")&amp;IF(AND(EDATE($D139,Milestones!$AA$34)&lt;=AsOfDate,IF($R139=0,$X139,IF(AND($T139&lt;&gt;"",EDATE($D139,Milestones!$AA$34)&gt;=$T139),$W139,IF(AND($S139&lt;&gt;"",EDATE($D139,Milestones!$AA$34)&gt;=$S139),$V139,$U139)))=Milestones!$AB$34),UPPER(TEXT(EDATE($D139,Milestones!$AA$34),"dd mmm yy"))&amp;" "&amp;Milestones!$AB$34&amp;" "&amp;Milestones!$AC$34&amp;";  ","")&amp;IF(AND(EDATE($D139,Milestones!$AA$35)&lt;=AsOfDate,IF($R139=0,$X139,IF(AND($T139&lt;&gt;"",EDATE($D139,Milestones!$AA$35)&gt;=$T139),$W139,IF(AND($S139&lt;&gt;"",EDATE($D139,Milestones!$AA$35)&gt;=$S139),$V139,$U139)))=Milestones!$AB$35),UPPER(TEXT(EDATE($D139,Milestones!$AA$35),"dd mmm yy"))&amp;" "&amp;Milestones!$AB$35&amp;" "&amp;Milestones!$AC$35&amp;";  ","")&amp;IF(AND(EDATE($D139,Milestones!$AA$36)&lt;=AsOfDate,IF($R139=0,$X139,IF(AND($T139&lt;&gt;"",EDATE($D139,Milestones!$AA$36)&gt;=$T139),$W139,IF(AND($S139&lt;&gt;"",EDATE($D139,Milestones!$AA$36)&gt;=$S139),$V139,$U139)))=Milestones!$AB$36),UPPER(TEXT(EDATE($D139,Milestones!$AA$36),"dd mmm yy"))&amp;" "&amp;Milestones!$AB$36&amp;" "&amp;Milestones!$AC$36&amp;";  ","")&amp;IF(AND(EDATE($D139,Milestones!$AA$37)&lt;=AsOfDate,IF($R139=0,$X139,IF(AND($T139&lt;&gt;"",EDATE($D139,Milestones!$AA$37)&gt;=$T139),$W139,IF(AND($S139&lt;&gt;"",EDATE($D139,Milestones!$AA$37)&gt;=$S139),$V139,$U139)))=Milestones!$AB$37),UPPER(TEXT(EDATE($D139,Milestones!$AA$37),"dd mmm yy"))&amp;" "&amp;Milestones!$AB$37&amp;" "&amp;Milestones!$AC$37&amp;";  ","")&amp;IF(AND(EDATE($D139,Milestones!$AA$38)&lt;=AsOfDate,IF($R139=0,$X139,IF(AND($T139&lt;&gt;"",EDATE($D139,Milestones!$AA$38)&gt;=$T139),$W139,IF(AND($S139&lt;&gt;"",EDATE($D139,Milestones!$AA$38)&gt;=$S139),$V139,$U139)))=Milestones!$AB$38),UPPER(TEXT(EDATE($D139,Milestones!$AA$38),"dd mmm yy"))&amp;" "&amp;Milestones!$AB$38&amp;" "&amp;Milestones!$AC$38&amp;";  ","")&amp;IF(AND(EDATE($D139,Milestones!$AA$39)&lt;=AsOfDate,IF($R139=0,$X139,IF(AND($T139&lt;&gt;"",EDATE($D139,Milestones!$AA$39)&gt;=$T139),$W139,IF(AND($S139&lt;&gt;"",EDATE($D139,Milestones!$AA$39)&gt;=$S139),$V139,$U139)))=Milestones!$AB$39),UPPER(TEXT(EDATE($D139,Milestones!$AA$39),"dd mmm yy"))&amp;" "&amp;Milestones!$AB$39&amp;" "&amp;Milestones!$AC$39&amp;";  ",""))</f>
        <v/>
      </c>
      <c r="J139" s="0" t="str">
        <f aca="false">IF(OR($A139="",$D139=""),"",IF(AND(EDATE($D139,Milestones!$AA$40)&lt;=AsOfDate,IF($R139=0,$X139,IF(AND($T139&lt;&gt;"",EDATE($D139,Milestones!$AA$40)&gt;=$T139),$W139,IF(AND($S139&lt;&gt;"",EDATE($D139,Milestones!$AA$40)&gt;=$S139),$V139,$U139)))=Milestones!$AB$40),UPPER(TEXT(EDATE($D139,Milestones!$AA$40),"dd mmm yy"))&amp;" "&amp;Milestones!$AB$40&amp;" "&amp;Milestones!$AC$40&amp;";  ","")&amp;IF(AND(EDATE($D139,Milestones!$AA$41)&lt;=AsOfDate,IF($R139=0,$X139,IF(AND($T139&lt;&gt;"",EDATE($D139,Milestones!$AA$41)&gt;=$T139),$W139,IF(AND($S139&lt;&gt;"",EDATE($D139,Milestones!$AA$41)&gt;=$S139),$V139,$U139)))=Milestones!$AB$41),UPPER(TEXT(EDATE($D139,Milestones!$AA$41),"dd mmm yy"))&amp;" "&amp;Milestones!$AB$41&amp;" "&amp;Milestones!$AC$41&amp;";  ","")&amp;IF(AND(EDATE($D139,Milestones!$AA$42)&lt;=AsOfDate,IF($R139=0,$X139,IF(AND($T139&lt;&gt;"",EDATE($D139,Milestones!$AA$42)&gt;=$T139),$W139,IF(AND($S139&lt;&gt;"",EDATE($D139,Milestones!$AA$42)&gt;=$S139),$V139,$U139)))=Milestones!$AB$42),UPPER(TEXT(EDATE($D139,Milestones!$AA$42),"dd mmm yy"))&amp;" "&amp;Milestones!$AB$42&amp;" "&amp;Milestones!$AC$42&amp;";  ","")&amp;IF(AND(EDATE($D139,Milestones!$AA$43)&lt;=AsOfDate,IF($R139=0,$X139,IF(AND($T139&lt;&gt;"",EDATE($D139,Milestones!$AA$43)&gt;=$T139),$W139,IF(AND($S139&lt;&gt;"",EDATE($D139,Milestones!$AA$43)&gt;=$S139),$V139,$U139)))=Milestones!$AB$43),UPPER(TEXT(EDATE($D139,Milestones!$AA$43),"dd mmm yy"))&amp;" "&amp;Milestones!$AB$43&amp;" "&amp;Milestones!$AC$43&amp;";  ","")&amp;IF(AND(EDATE($D139,Milestones!$AA$44)&lt;=AsOfDate,IF($R139=0,$X139,IF(AND($T139&lt;&gt;"",EDATE($D139,Milestones!$AA$44)&gt;=$T139),$W139,IF(AND($S139&lt;&gt;"",EDATE($D139,Milestones!$AA$44)&gt;=$S139),$V139,$U139)))=Milestones!$AB$44),UPPER(TEXT(EDATE($D139,Milestones!$AA$44),"dd mmm yy"))&amp;" "&amp;Milestones!$AB$44&amp;" "&amp;Milestones!$AC$44&amp;";  ","")&amp;IF(AND(EDATE($D139,Milestones!$AA$45)&lt;=AsOfDate,IF($R139=0,$X139,IF(AND($T139&lt;&gt;"",EDATE($D139,Milestones!$AA$45)&gt;=$T139),$W139,IF(AND($S139&lt;&gt;"",EDATE($D139,Milestones!$AA$45)&gt;=$S139),$V139,$U139)))=Milestones!$AB$45),UPPER(TEXT(EDATE($D139,Milestones!$AA$45),"dd mmm yy"))&amp;" "&amp;Milestones!$AB$45&amp;" "&amp;Milestones!$AC$45&amp;";  ","")&amp;IF(AND(EDATE($D139,Milestones!$AA$46)&lt;=AsOfDate,IF($R139=0,$X139,IF(AND($T139&lt;&gt;"",EDATE($D139,Milestones!$AA$46)&gt;=$T139),$W139,IF(AND($S139&lt;&gt;"",EDATE($D139,Milestones!$AA$46)&gt;=$S139),$V139,$U139)))=Milestones!$AB$46),UPPER(TEXT(EDATE($D139,Milestones!$AA$46),"dd mmm yy"))&amp;" "&amp;Milestones!$AB$46&amp;" "&amp;Milestones!$AC$46&amp;";  ","")&amp;IF(AND(EDATE($D139,Milestones!$AA$47)&lt;=AsOfDate,IF($R139=0,$X139,IF(AND($T139&lt;&gt;"",EDATE($D139,Milestones!$AA$47)&gt;=$T139),$W139,IF(AND($S139&lt;&gt;"",EDATE($D139,Milestones!$AA$47)&gt;=$S139),$V139,$U139)))=Milestones!$AB$47),UPPER(TEXT(EDATE($D139,Milestones!$AA$47),"dd mmm yy"))&amp;" "&amp;Milestones!$AB$47&amp;" "&amp;Milestones!$AC$47&amp;";  ","")&amp;IF(AND(EDATE($D139,Milestones!$AA$48)&lt;=AsOfDate,IF($R139=0,$X139,IF(AND($T139&lt;&gt;"",EDATE($D139,Milestones!$AA$48)&gt;=$T139),$W139,IF(AND($S139&lt;&gt;"",EDATE($D139,Milestones!$AA$48)&gt;=$S139),$V139,$U139)))=Milestones!$AB$48),UPPER(TEXT(EDATE($D139,Milestones!$AA$48),"dd mmm yy"))&amp;" "&amp;Milestones!$AB$48&amp;" "&amp;Milestones!$AC$48&amp;";  ","")&amp;IF(AND(EDATE($D139,Milestones!$AA$49)&lt;=AsOfDate,IF($R139=0,$X139,IF(AND($T139&lt;&gt;"",EDATE($D139,Milestones!$AA$49)&gt;=$T139),$W139,IF(AND($S139&lt;&gt;"",EDATE($D139,Milestones!$AA$49)&gt;=$S139),$V139,$U139)))=Milestones!$AB$49),UPPER(TEXT(EDATE($D139,Milestones!$AA$49),"dd mmm yy"))&amp;" "&amp;Milestones!$AB$49&amp;" "&amp;Milestones!$AC$49&amp;";  ","")&amp;IF(AND(EDATE($D139,Milestones!$AA$50)&lt;=AsOfDate,IF($R139=0,$X139,IF(AND($T139&lt;&gt;"",EDATE($D139,Milestones!$AA$50)&gt;=$T139),$W139,IF(AND($S139&lt;&gt;"",EDATE($D139,Milestones!$AA$50)&gt;=$S139),$V139,$U139)))=Milestones!$AB$50),UPPER(TEXT(EDATE($D139,Milestones!$AA$50),"dd mmm yy"))&amp;" "&amp;Milestones!$AB$50&amp;" "&amp;Milestones!$AC$50&amp;";  ","")&amp;IF(AND(EDATE($D139,Milestones!$AA$51)&lt;=AsOfDate,IF($R139=0,$X139,IF(AND($T139&lt;&gt;"",EDATE($D139,Milestones!$AA$51)&gt;=$T139),$W139,IF(AND($S139&lt;&gt;"",EDATE($D139,Milestones!$AA$51)&gt;=$S139),$V139,$U139)))=Milestones!$AB$51),UPPER(TEXT(EDATE($D139,Milestones!$AA$51),"dd mmm yy"))&amp;" "&amp;Milestones!$AB$51&amp;" "&amp;Milestones!$AC$51&amp;";  ","")&amp;IF(AND(EDATE($D139,Milestones!$AA$52)&lt;=AsOfDate,IF($R139=0,$X139,IF(AND($T139&lt;&gt;"",EDATE($D139,Milestones!$AA$52)&gt;=$T139),$W139,IF(AND($S139&lt;&gt;"",EDATE($D139,Milestones!$AA$52)&gt;=$S139),$V139,$U139)))=Milestones!$AB$52),UPPER(TEXT(EDATE($D139,Milestones!$AA$52),"dd mmm yy"))&amp;" "&amp;Milestones!$AB$52&amp;" "&amp;Milestones!$AC$52&amp;";  ","")&amp;IF(AND(EDATE($D139,Milestones!$AA$53)&lt;=AsOfDate,IF($R139=0,$X139,IF(AND($T139&lt;&gt;"",EDATE($D139,Milestones!$AA$53)&gt;=$T139),$W139,IF(AND($S139&lt;&gt;"",EDATE($D139,Milestones!$AA$53)&gt;=$S139),$V139,$U139)))=Milestones!$AB$53),UPPER(TEXT(EDATE($D139,Milestones!$AA$53),"dd mmm yy"))&amp;" "&amp;Milestones!$AB$53&amp;" "&amp;Milestones!$AC$53&amp;";  ","")&amp;IF(AND(EDATE($D139,Milestones!$AA$54)&lt;=AsOfDate,IF($R139=0,$X139,IF(AND($T139&lt;&gt;"",EDATE($D139,Milestones!$AA$54)&gt;=$T139),$W139,IF(AND($S139&lt;&gt;"",EDATE($D139,Milestones!$AA$54)&gt;=$S139),$V139,$U139)))=Milestones!$AB$54),UPPER(TEXT(EDATE($D139,Milestones!$AA$54),"dd mmm yy"))&amp;" "&amp;Milestones!$AB$54&amp;" "&amp;Milestones!$AC$54&amp;";  ","")&amp;IF(AND(EDATE($D139,Milestones!$AA$55)&lt;=AsOfDate,IF($R139=0,$X139,IF(AND($T139&lt;&gt;"",EDATE($D139,Milestones!$AA$55)&gt;=$T139),$W139,IF(AND($S139&lt;&gt;"",EDATE($D139,Milestones!$AA$55)&gt;=$S139),$V139,$U139)))=Milestones!$AB$55),UPPER(TEXT(EDATE($D139,Milestones!$AA$55),"dd mmm yy"))&amp;" "&amp;Milestones!$AB$55&amp;" "&amp;Milestones!$AC$55&amp;";  ","")&amp;IF(AND(EDATE($D139,Milestones!$AA$56)&lt;=AsOfDate,IF($R139=0,$X139,IF(AND($T139&lt;&gt;"",EDATE($D139,Milestones!$AA$56)&gt;=$T139),$W139,IF(AND($S139&lt;&gt;"",EDATE($D139,Milestones!$AA$56)&gt;=$S139),$V139,$U139)))=Milestones!$AB$56),UPPER(TEXT(EDATE($D139,Milestones!$AA$56),"dd mmm yy"))&amp;" "&amp;Milestones!$AB$56&amp;" "&amp;Milestones!$AC$56&amp;";  ","")&amp;IF(AND(EDATE($D139,Milestones!$AA$57)&lt;=AsOfDate,IF($R139=0,$X139,IF(AND($T139&lt;&gt;"",EDATE($D139,Milestones!$AA$57)&gt;=$T139),$W139,IF(AND($S139&lt;&gt;"",EDATE($D139,Milestones!$AA$57)&gt;=$S139),$V139,$U139)))=Milestones!$AB$57),UPPER(TEXT(EDATE($D139,Milestones!$AA$57),"dd mmm yy"))&amp;" "&amp;Milestones!$AB$57&amp;" "&amp;Milestones!$AC$57&amp;";  ","")&amp;IF(AND(EDATE($D139,Milestones!$AA$58)&lt;=AsOfDate,IF($R139=0,$X139,IF(AND($T139&lt;&gt;"",EDATE($D139,Milestones!$AA$58)&gt;=$T139),$W139,IF(AND($S139&lt;&gt;"",EDATE($D139,Milestones!$AA$58)&gt;=$S139),$V139,$U139)))=Milestones!$AB$58),UPPER(TEXT(EDATE($D139,Milestones!$AA$58),"dd mmm yy"))&amp;" "&amp;Milestones!$AB$58&amp;" "&amp;Milestones!$AC$58&amp;";  ","")&amp;IF(AND(EDATE($D139,Milestones!$AA$59)&lt;=AsOfDate,IF($R139=0,$X139,IF(AND($T139&lt;&gt;"",EDATE($D139,Milestones!$AA$59)&gt;=$T139),$W139,IF(AND($S139&lt;&gt;"",EDATE($D139,Milestones!$AA$59)&gt;=$S139),$V139,$U139)))=Milestones!$AB$59),UPPER(TEXT(EDATE($D139,Milestones!$AA$59),"dd mmm yy"))&amp;" "&amp;Milestones!$AB$59&amp;" "&amp;Milestones!$AC$59&amp;";  ",""))</f>
        <v/>
      </c>
      <c r="K139" s="0" t="str">
        <f aca="false">IF(OR($A139="",$D139=""),"",IF(AND(EDATE($D139,Milestones!$AA$60)&lt;=AsOfDate,IF($R139=0,$X139,IF(AND($T139&lt;&gt;"",EDATE($D139,Milestones!$AA$60)&gt;=$T139),$W139,IF(AND($S139&lt;&gt;"",EDATE($D139,Milestones!$AA$60)&gt;=$S139),$V139,$U139)))=Milestones!$AB$60),UPPER(TEXT(EDATE($D139,Milestones!$AA$60),"dd mmm yy"))&amp;" "&amp;Milestones!$AB$60&amp;" "&amp;Milestones!$AC$60&amp;";  ","")&amp;IF(AND(EDATE($D139,Milestones!$AA$61)&lt;=AsOfDate,IF($R139=0,$X139,IF(AND($T139&lt;&gt;"",EDATE($D139,Milestones!$AA$61)&gt;=$T139),$W139,IF(AND($S139&lt;&gt;"",EDATE($D139,Milestones!$AA$61)&gt;=$S139),$V139,$U139)))=Milestones!$AB$61),UPPER(TEXT(EDATE($D139,Milestones!$AA$61),"dd mmm yy"))&amp;" "&amp;Milestones!$AB$61&amp;" "&amp;Milestones!$AC$61&amp;";  ","")&amp;IF(AND(EDATE($D139,Milestones!$AA$62)&lt;=AsOfDate,IF($R139=0,$X139,IF(AND($T139&lt;&gt;"",EDATE($D139,Milestones!$AA$62)&gt;=$T139),$W139,IF(AND($S139&lt;&gt;"",EDATE($D139,Milestones!$AA$62)&gt;=$S139),$V139,$U139)))=Milestones!$AB$62),UPPER(TEXT(EDATE($D139,Milestones!$AA$62),"dd mmm yy"))&amp;" "&amp;Milestones!$AB$62&amp;" "&amp;Milestones!$AC$62&amp;";  ","")&amp;IF(AND(EDATE($D139,Milestones!$AA$63)&lt;=AsOfDate,IF($R139=0,$X139,IF(AND($T139&lt;&gt;"",EDATE($D139,Milestones!$AA$63)&gt;=$T139),$W139,IF(AND($S139&lt;&gt;"",EDATE($D139,Milestones!$AA$63)&gt;=$S139),$V139,$U139)))=Milestones!$AB$63),UPPER(TEXT(EDATE($D139,Milestones!$AA$63),"dd mmm yy"))&amp;" "&amp;Milestones!$AB$63&amp;" "&amp;Milestones!$AC$63&amp;";  ","")&amp;IF(AND(EDATE($D139,Milestones!$AA$64)&lt;=AsOfDate,IF($R139=0,$X139,IF(AND($T139&lt;&gt;"",EDATE($D139,Milestones!$AA$64)&gt;=$T139),$W139,IF(AND($S139&lt;&gt;"",EDATE($D139,Milestones!$AA$64)&gt;=$S139),$V139,$U139)))=Milestones!$AB$64),UPPER(TEXT(EDATE($D139,Milestones!$AA$64),"dd mmm yy"))&amp;" "&amp;Milestones!$AB$64&amp;" "&amp;Milestones!$AC$64&amp;";  ","")&amp;IF(AND(EDATE($D139,Milestones!$AA$65)&lt;=AsOfDate,IF($R139=0,$X139,IF(AND($T139&lt;&gt;"",EDATE($D139,Milestones!$AA$65)&gt;=$T139),$W139,IF(AND($S139&lt;&gt;"",EDATE($D139,Milestones!$AA$65)&gt;=$S139),$V139,$U139)))=Milestones!$AB$65),UPPER(TEXT(EDATE($D139,Milestones!$AA$65),"dd mmm yy"))&amp;" "&amp;Milestones!$AB$65&amp;" "&amp;Milestones!$AC$65&amp;";  ","")&amp;IF(AND(EDATE($D139,Milestones!$AA$66)&lt;=AsOfDate,IF($R139=0,$X139,IF(AND($T139&lt;&gt;"",EDATE($D139,Milestones!$AA$66)&gt;=$T139),$W139,IF(AND($S139&lt;&gt;"",EDATE($D139,Milestones!$AA$66)&gt;=$S139),$V139,$U139)))=Milestones!$AB$66),UPPER(TEXT(EDATE($D139,Milestones!$AA$66),"dd mmm yy"))&amp;" "&amp;Milestones!$AB$66&amp;" "&amp;Milestones!$AC$66&amp;";  ","")&amp;IF(AND(EDATE($D139,Milestones!$AA$67)&lt;=AsOfDate,IF($R139=0,$X139,IF(AND($T139&lt;&gt;"",EDATE($D139,Milestones!$AA$67)&gt;=$T139),$W139,IF(AND($S139&lt;&gt;"",EDATE($D139,Milestones!$AA$67)&gt;=$S139),$V139,$U139)))=Milestones!$AB$67),UPPER(TEXT(EDATE($D139,Milestones!$AA$67),"dd mmm yy"))&amp;" "&amp;Milestones!$AB$67&amp;" "&amp;Milestones!$AC$67&amp;";  ","")&amp;IF(AND(EDATE($D139,Milestones!$AA$68)&lt;=AsOfDate,IF($R139=0,$X139,IF(AND($T139&lt;&gt;"",EDATE($D139,Milestones!$AA$68)&gt;=$T139),$W139,IF(AND($S139&lt;&gt;"",EDATE($D139,Milestones!$AA$68)&gt;=$S139),$V139,$U139)))=Milestones!$AB$68),UPPER(TEXT(EDATE($D139,Milestones!$AA$68),"dd mmm yy"))&amp;" "&amp;Milestones!$AB$68&amp;" "&amp;Milestones!$AC$68&amp;";  ","")&amp;IF(AND(EDATE($D139,Milestones!$AA$69)&lt;=AsOfDate,IF($R139=0,$X139,IF(AND($T139&lt;&gt;"",EDATE($D139,Milestones!$AA$69)&gt;=$T139),$W139,IF(AND($S139&lt;&gt;"",EDATE($D139,Milestones!$AA$69)&gt;=$S139),$V139,$U139)))=Milestones!$AB$69),UPPER(TEXT(EDATE($D139,Milestones!$AA$69),"dd mmm yy"))&amp;" "&amp;Milestones!$AB$69&amp;" "&amp;Milestones!$AC$69&amp;";  ","")&amp;IF(AND(EDATE($D139,Milestones!$AA$70)&lt;=AsOfDate,IF($R139=0,$X139,IF(AND($T139&lt;&gt;"",EDATE($D139,Milestones!$AA$70)&gt;=$T139),$W139,IF(AND($S139&lt;&gt;"",EDATE($D139,Milestones!$AA$70)&gt;=$S139),$V139,$U139)))=Milestones!$AB$70),UPPER(TEXT(EDATE($D139,Milestones!$AA$70),"dd mmm yy"))&amp;" "&amp;Milestones!$AB$70&amp;" "&amp;Milestones!$AC$70&amp;";  ","")&amp;IF(AND(EDATE($D139,Milestones!$AA$71)&lt;=AsOfDate,IF($R139=0,$X139,IF(AND($T139&lt;&gt;"",EDATE($D139,Milestones!$AA$71)&gt;=$T139),$W139,IF(AND($S139&lt;&gt;"",EDATE($D139,Milestones!$AA$71)&gt;=$S139),$V139,$U139)))=Milestones!$AB$71),UPPER(TEXT(EDATE($D139,Milestones!$AA$71),"dd mmm yy"))&amp;" "&amp;Milestones!$AB$71&amp;" "&amp;Milestones!$AC$71&amp;";  ","")&amp;IF(AND(EDATE($D139,Milestones!$AA$72)&lt;=AsOfDate,IF($R139=0,$X139,IF(AND($T139&lt;&gt;"",EDATE($D139,Milestones!$AA$72)&gt;=$T139),$W139,IF(AND($S139&lt;&gt;"",EDATE($D139,Milestones!$AA$72)&gt;=$S139),$V139,$U139)))=Milestones!$AB$72),UPPER(TEXT(EDATE($D139,Milestones!$AA$72),"dd mmm yy"))&amp;" "&amp;Milestones!$AB$72&amp;" "&amp;Milestones!$AC$72&amp;";  ","")&amp;IF(AND(EDATE($D139,Milestones!$AA$73)&lt;=AsOfDate,IF($R139=0,$X139,IF(AND($T139&lt;&gt;"",EDATE($D139,Milestones!$AA$73)&gt;=$T139),$W139,IF(AND($S139&lt;&gt;"",EDATE($D139,Milestones!$AA$73)&gt;=$S139),$V139,$U139)))=Milestones!$AB$73),UPPER(TEXT(EDATE($D139,Milestones!$AA$73),"dd mmm yy"))&amp;" "&amp;Milestones!$AB$73&amp;" "&amp;Milestones!$AC$73&amp;";  ","")&amp;IF(AND(EDATE($D139,Milestones!$AA$74)&lt;=AsOfDate,IF($R139=0,$X139,IF(AND($T139&lt;&gt;"",EDATE($D139,Milestones!$AA$74)&gt;=$T139),$W139,IF(AND($S139&lt;&gt;"",EDATE($D139,Milestones!$AA$74)&gt;=$S139),$V139,$U139)))=Milestones!$AB$74),UPPER(TEXT(EDATE($D139,Milestones!$AA$74),"dd mmm yy"))&amp;" "&amp;Milestones!$AB$74&amp;" "&amp;Milestones!$AC$74&amp;";  ","")&amp;IF(AND(EDATE($D139,Milestones!$AA$75)&lt;=AsOfDate,IF($R139=0,$X139,IF(AND($T139&lt;&gt;"",EDATE($D139,Milestones!$AA$75)&gt;=$T139),$W139,IF(AND($S139&lt;&gt;"",EDATE($D139,Milestones!$AA$75)&gt;=$S139),$V139,$U139)))=Milestones!$AB$75),UPPER(TEXT(EDATE($D139,Milestones!$AA$75),"dd mmm yy"))&amp;" "&amp;Milestones!$AB$75&amp;" "&amp;Milestones!$AC$75&amp;";  ","")&amp;IF(AND(EDATE($D139,Milestones!$AA$76)&lt;=AsOfDate,IF($R139=0,$X139,IF(AND($T139&lt;&gt;"",EDATE($D139,Milestones!$AA$76)&gt;=$T139),$W139,IF(AND($S139&lt;&gt;"",EDATE($D139,Milestones!$AA$76)&gt;=$S139),$V139,$U139)))=Milestones!$AB$76),UPPER(TEXT(EDATE($D139,Milestones!$AA$76),"dd mmm yy"))&amp;" "&amp;Milestones!$AB$76&amp;" "&amp;Milestones!$AC$76&amp;";  ","")&amp;IF(AND(EDATE($D139,Milestones!$AA$77)&lt;=AsOfDate,IF($R139=0,$X139,IF(AND($T139&lt;&gt;"",EDATE($D139,Milestones!$AA$77)&gt;=$T139),$W139,IF(AND($S139&lt;&gt;"",EDATE($D139,Milestones!$AA$77)&gt;=$S139),$V139,$U139)))=Milestones!$AB$77),UPPER(TEXT(EDATE($D139,Milestones!$AA$77),"dd mmm yy"))&amp;" "&amp;Milestones!$AB$77&amp;" "&amp;Milestones!$AC$77&amp;";  ","")&amp;IF(AND(EDATE($D139,Milestones!$AA$78)&lt;=AsOfDate,IF($R139=0,$X139,IF(AND($T139&lt;&gt;"",EDATE($D139,Milestones!$AA$78)&gt;=$T139),$W139,IF(AND($S139&lt;&gt;"",EDATE($D139,Milestones!$AA$78)&gt;=$S139),$V139,$U139)))=Milestones!$AB$78),UPPER(TEXT(EDATE($D139,Milestones!$AA$78),"dd mmm yy"))&amp;" "&amp;Milestones!$AB$78&amp;" "&amp;Milestones!$AC$78&amp;";  ","")&amp;IF(AND(EDATE($D139,Milestones!$AA$79)&lt;=AsOfDate,IF($R139=0,$X139,IF(AND($T139&lt;&gt;"",EDATE($D139,Milestones!$AA$79)&gt;=$T139),$W139,IF(AND($S139&lt;&gt;"",EDATE($D139,Milestones!$AA$79)&gt;=$S139),$V139,$U139)))=Milestones!$AB$79),UPPER(TEXT(EDATE($D139,Milestones!$AA$79),"dd mmm yy"))&amp;" "&amp;Milestones!$AB$79&amp;" "&amp;Milestones!$AC$79&amp;";  ",""))</f>
        <v/>
      </c>
      <c r="L139" s="0" t="str">
        <f aca="false">IF(OR($A139="",$D139=""),"",IF(AND(EDATE($D139,Milestones!$AA$80)&lt;=AsOfDate,IF($R139=0,$X139,IF(AND($T139&lt;&gt;"",EDATE($D139,Milestones!$AA$80)&gt;=$T139),$W139,IF(AND($S139&lt;&gt;"",EDATE($D139,Milestones!$AA$80)&gt;=$S139),$V139,$U139)))=Milestones!$AB$80),UPPER(TEXT(EDATE($D139,Milestones!$AA$80),"dd mmm yy"))&amp;" "&amp;Milestones!$AB$80&amp;" "&amp;Milestones!$AC$80&amp;";  ","")&amp;IF(AND(EDATE($D139,Milestones!$AA$81)&lt;=AsOfDate,IF($R139=0,$X139,IF(AND($T139&lt;&gt;"",EDATE($D139,Milestones!$AA$81)&gt;=$T139),$W139,IF(AND($S139&lt;&gt;"",EDATE($D139,Milestones!$AA$81)&gt;=$S139),$V139,$U139)))=Milestones!$AB$81),UPPER(TEXT(EDATE($D139,Milestones!$AA$81),"dd mmm yy"))&amp;" "&amp;Milestones!$AB$81&amp;" "&amp;Milestones!$AC$81&amp;";  ","")&amp;IF(AND(EDATE($D139,Milestones!$AA$82)&lt;=AsOfDate,IF($R139=0,$X139,IF(AND($T139&lt;&gt;"",EDATE($D139,Milestones!$AA$82)&gt;=$T139),$W139,IF(AND($S139&lt;&gt;"",EDATE($D139,Milestones!$AA$82)&gt;=$S139),$V139,$U139)))=Milestones!$AB$82),UPPER(TEXT(EDATE($D139,Milestones!$AA$82),"dd mmm yy"))&amp;" "&amp;Milestones!$AB$82&amp;" "&amp;Milestones!$AC$82&amp;";  ","")&amp;IF(AND(EDATE($D139,Milestones!$AA$83)&lt;=AsOfDate,IF($R139=0,$X139,IF(AND($T139&lt;&gt;"",EDATE($D139,Milestones!$AA$83)&gt;=$T139),$W139,IF(AND($S139&lt;&gt;"",EDATE($D139,Milestones!$AA$83)&gt;=$S139),$V139,$U139)))=Milestones!$AB$83),UPPER(TEXT(EDATE($D139,Milestones!$AA$83),"dd mmm yy"))&amp;" "&amp;Milestones!$AB$83&amp;" "&amp;Milestones!$AC$83&amp;";  ","")&amp;IF(AND(EDATE($D139,Milestones!$AA$84)&lt;=AsOfDate,IF($R139=0,$X139,IF(AND($T139&lt;&gt;"",EDATE($D139,Milestones!$AA$84)&gt;=$T139),$W139,IF(AND($S139&lt;&gt;"",EDATE($D139,Milestones!$AA$84)&gt;=$S139),$V139,$U139)))=Milestones!$AB$84),UPPER(TEXT(EDATE($D139,Milestones!$AA$84),"dd mmm yy"))&amp;" "&amp;Milestones!$AB$84&amp;" "&amp;Milestones!$AC$84&amp;";  ","")&amp;IF(AND(EDATE($D139,Milestones!$AA$85)&lt;=AsOfDate,IF($R139=0,$X139,IF(AND($T139&lt;&gt;"",EDATE($D139,Milestones!$AA$85)&gt;=$T139),$W139,IF(AND($S139&lt;&gt;"",EDATE($D139,Milestones!$AA$85)&gt;=$S139),$V139,$U139)))=Milestones!$AB$85),UPPER(TEXT(EDATE($D139,Milestones!$AA$85),"dd mmm yy"))&amp;" "&amp;Milestones!$AB$85&amp;" "&amp;Milestones!$AC$85&amp;";  ","")&amp;IF(AND(EDATE($D139,Milestones!$AA$86)&lt;=AsOfDate,IF($R139=0,$X139,IF(AND($T139&lt;&gt;"",EDATE($D139,Milestones!$AA$86)&gt;=$T139),$W139,IF(AND($S139&lt;&gt;"",EDATE($D139,Milestones!$AA$86)&gt;=$S139),$V139,$U139)))=Milestones!$AB$86),UPPER(TEXT(EDATE($D139,Milestones!$AA$86),"dd mmm yy"))&amp;" "&amp;Milestones!$AB$86&amp;" "&amp;Milestones!$AC$86&amp;";  ","")&amp;IF(AND(EDATE($D139,Milestones!$AA$87)&lt;=AsOfDate,IF($R139=0,$X139,IF(AND($T139&lt;&gt;"",EDATE($D139,Milestones!$AA$87)&gt;=$T139),$W139,IF(AND($S139&lt;&gt;"",EDATE($D139,Milestones!$AA$87)&gt;=$S139),$V139,$U139)))=Milestones!$AB$87),UPPER(TEXT(EDATE($D139,Milestones!$AA$87),"dd mmm yy"))&amp;" "&amp;Milestones!$AB$87&amp;" "&amp;Milestones!$AC$87&amp;";  ","")&amp;IF(AND(EDATE($D139,Milestones!$AA$88)&lt;=AsOfDate,IF($R139=0,$X139,IF(AND($T139&lt;&gt;"",EDATE($D139,Milestones!$AA$88)&gt;=$T139),$W139,IF(AND($S139&lt;&gt;"",EDATE($D139,Milestones!$AA$88)&gt;=$S139),$V139,$U139)))=Milestones!$AB$88),UPPER(TEXT(EDATE($D139,Milestones!$AA$88),"dd mmm yy"))&amp;" "&amp;Milestones!$AB$88&amp;" "&amp;Milestones!$AC$88&amp;";  ","")&amp;IF(AND(EDATE($D139,Milestones!$AA$89)&lt;=AsOfDate,IF($R139=0,$X139,IF(AND($T139&lt;&gt;"",EDATE($D139,Milestones!$AA$89)&gt;=$T139),$W139,IF(AND($S139&lt;&gt;"",EDATE($D139,Milestones!$AA$89)&gt;=$S139),$V139,$U139)))=Milestones!$AB$89),UPPER(TEXT(EDATE($D139,Milestones!$AA$89),"dd mmm yy"))&amp;" "&amp;Milestones!$AB$89&amp;" "&amp;Milestones!$AC$89&amp;";  ","")&amp;IF(AND(EDATE($D139,Milestones!$AA$90)&lt;=AsOfDate,IF($R139=0,$X139,IF(AND($T139&lt;&gt;"",EDATE($D139,Milestones!$AA$90)&gt;=$T139),$W139,IF(AND($S139&lt;&gt;"",EDATE($D139,Milestones!$AA$90)&gt;=$S139),$V139,$U139)))=Milestones!$AB$90),UPPER(TEXT(EDATE($D139,Milestones!$AA$90),"dd mmm yy"))&amp;" "&amp;Milestones!$AB$90&amp;" "&amp;Milestones!$AC$90&amp;";  ","")&amp;IF(AND(EDATE($D139,Milestones!$AA$91)&lt;=AsOfDate,IF($R139=0,$X139,IF(AND($T139&lt;&gt;"",EDATE($D139,Milestones!$AA$91)&gt;=$T139),$W139,IF(AND($S139&lt;&gt;"",EDATE($D139,Milestones!$AA$91)&gt;=$S139),$V139,$U139)))=Milestones!$AB$91),UPPER(TEXT(EDATE($D139,Milestones!$AA$91),"dd mmm yy"))&amp;" "&amp;Milestones!$AB$91&amp;" "&amp;Milestones!$AC$91&amp;";  ","")&amp;IF(AND(EDATE($D139,Milestones!$AA$92)&lt;=AsOfDate,IF($R139=0,$X139,IF(AND($T139&lt;&gt;"",EDATE($D139,Milestones!$AA$92)&gt;=$T139),$W139,IF(AND($S139&lt;&gt;"",EDATE($D139,Milestones!$AA$92)&gt;=$S139),$V139,$U139)))=Milestones!$AB$92),UPPER(TEXT(EDATE($D139,Milestones!$AA$92),"dd mmm yy"))&amp;" "&amp;Milestones!$AB$92&amp;" "&amp;Milestones!$AC$92&amp;";  ","")&amp;IF(AND(EDATE($D139,Milestones!$AA$93)&lt;=AsOfDate,IF($R139=0,$X139,IF(AND($T139&lt;&gt;"",EDATE($D139,Milestones!$AA$93)&gt;=$T139),$W139,IF(AND($S139&lt;&gt;"",EDATE($D139,Milestones!$AA$93)&gt;=$S139),$V139,$U139)))=Milestones!$AB$93),UPPER(TEXT(EDATE($D139,Milestones!$AA$93),"dd mmm yy"))&amp;" "&amp;Milestones!$AB$93&amp;" "&amp;Milestones!$AC$93&amp;";  ","")&amp;IF(AND(EDATE($D139,Milestones!$AA$94)&lt;=AsOfDate,IF($R139=0,$X139,IF(AND($T139&lt;&gt;"",EDATE($D139,Milestones!$AA$94)&gt;=$T139),$W139,IF(AND($S139&lt;&gt;"",EDATE($D139,Milestones!$AA$94)&gt;=$S139),$V139,$U139)))=Milestones!$AB$94),UPPER(TEXT(EDATE($D139,Milestones!$AA$94),"dd mmm yy"))&amp;" "&amp;Milestones!$AB$94&amp;" "&amp;Milestones!$AC$94&amp;";  ","")&amp;IF(AND(EDATE($D139,Milestones!$AA$95)&lt;=AsOfDate,IF($R139=0,$X139,IF(AND($T139&lt;&gt;"",EDATE($D139,Milestones!$AA$95)&gt;=$T139),$W139,IF(AND($S139&lt;&gt;"",EDATE($D139,Milestones!$AA$95)&gt;=$S139),$V139,$U139)))=Milestones!$AB$95),UPPER(TEXT(EDATE($D139,Milestones!$AA$95),"dd mmm yy"))&amp;" "&amp;Milestones!$AB$95&amp;" "&amp;Milestones!$AC$95&amp;";  ","")&amp;IF(AND(EDATE($D139,Milestones!$AA$96)&lt;=AsOfDate,IF($R139=0,$X139,IF(AND($T139&lt;&gt;"",EDATE($D139,Milestones!$AA$96)&gt;=$T139),$W139,IF(AND($S139&lt;&gt;"",EDATE($D139,Milestones!$AA$96)&gt;=$S139),$V139,$U139)))=Milestones!$AB$96),UPPER(TEXT(EDATE($D139,Milestones!$AA$96),"dd mmm yy"))&amp;" "&amp;Milestones!$AB$96&amp;" "&amp;Milestones!$AC$96&amp;";  ","")&amp;IF(AND(EDATE($D139,Milestones!$AA$97)&lt;=AsOfDate,IF($R139=0,$X139,IF(AND($T139&lt;&gt;"",EDATE($D139,Milestones!$AA$97)&gt;=$T139),$W139,IF(AND($S139&lt;&gt;"",EDATE($D139,Milestones!$AA$97)&gt;=$S139),$V139,$U139)))=Milestones!$AB$97),UPPER(TEXT(EDATE($D139,Milestones!$AA$97),"dd mmm yy"))&amp;" "&amp;Milestones!$AB$97&amp;" "&amp;Milestones!$AC$97&amp;";  ","")&amp;IF(AND(EDATE($D139,Milestones!$AA$98)&lt;=AsOfDate,IF($R139=0,$X139,IF(AND($T139&lt;&gt;"",EDATE($D139,Milestones!$AA$98)&gt;=$T139),$W139,IF(AND($S139&lt;&gt;"",EDATE($D139,Milestones!$AA$98)&gt;=$S139),$V139,$U139)))=Milestones!$AB$98),UPPER(TEXT(EDATE($D139,Milestones!$AA$98),"dd mmm yy"))&amp;" "&amp;Milestones!$AB$98&amp;" "&amp;Milestones!$AC$98&amp;";  ","")&amp;IF(AND(EDATE($D139,Milestones!$AA$99)&lt;=AsOfDate,IF($R139=0,$X139,IF(AND($T139&lt;&gt;"",EDATE($D139,Milestones!$AA$99)&gt;=$T139),$W139,IF(AND($S139&lt;&gt;"",EDATE($D139,Milestones!$AA$99)&gt;=$S139),$V139,$U139)))=Milestones!$AB$99),UPPER(TEXT(EDATE($D139,Milestones!$AA$99),"dd mmm yy"))&amp;" "&amp;Milestones!$AB$99&amp;" "&amp;Milestones!$AC$99&amp;";  ",""))</f>
        <v/>
      </c>
      <c r="M139" s="0" t="str">
        <f aca="false">IF(OR($A139="",$D139=""),"",IF(AND(EDATE($D139,Milestones!$AA$100)&lt;=AsOfDate,IF($R139=0,$X139,IF(AND($T139&lt;&gt;"",EDATE($D139,Milestones!$AA$100)&gt;=$T139),$W139,IF(AND($S139&lt;&gt;"",EDATE($D139,Milestones!$AA$100)&gt;=$S139),$V139,$U139)))=Milestones!$AB$100),UPPER(TEXT(EDATE($D139,Milestones!$AA$100),"dd mmm yy"))&amp;" "&amp;Milestones!$AB$100&amp;" "&amp;Milestones!$AC$100&amp;";  ","")&amp;IF(AND(EDATE($D139,Milestones!$AA$101)&lt;=AsOfDate,IF($R139=0,$X139,IF(AND($T139&lt;&gt;"",EDATE($D139,Milestones!$AA$101)&gt;=$T139),$W139,IF(AND($S139&lt;&gt;"",EDATE($D139,Milestones!$AA$101)&gt;=$S139),$V139,$U139)))=Milestones!$AB$101),UPPER(TEXT(EDATE($D139,Milestones!$AA$101),"dd mmm yy"))&amp;" "&amp;Milestones!$AB$101&amp;" "&amp;Milestones!$AC$101&amp;";  ","")&amp;IF(AND(EDATE($D139,Milestones!$AA$102)&lt;=AsOfDate,IF($R139=0,$X139,IF(AND($T139&lt;&gt;"",EDATE($D139,Milestones!$AA$102)&gt;=$T139),$W139,IF(AND($S139&lt;&gt;"",EDATE($D139,Milestones!$AA$102)&gt;=$S139),$V139,$U139)))=Milestones!$AB$102),UPPER(TEXT(EDATE($D139,Milestones!$AA$102),"dd mmm yy"))&amp;" "&amp;Milestones!$AB$102&amp;" "&amp;Milestones!$AC$102&amp;";  ","")&amp;IF(AND(EDATE($D139,Milestones!$AA$103)&lt;=AsOfDate,IF($R139=0,$X139,IF(AND($T139&lt;&gt;"",EDATE($D139,Milestones!$AA$103)&gt;=$T139),$W139,IF(AND($S139&lt;&gt;"",EDATE($D139,Milestones!$AA$103)&gt;=$S139),$V139,$U139)))=Milestones!$AB$103),UPPER(TEXT(EDATE($D139,Milestones!$AA$103),"dd mmm yy"))&amp;" "&amp;Milestones!$AB$103&amp;" "&amp;Milestones!$AC$103&amp;";  ","")&amp;IF(AND(EDATE($D139,Milestones!$AA$104)&lt;=AsOfDate,IF($R139=0,$X139,IF(AND($T139&lt;&gt;"",EDATE($D139,Milestones!$AA$104)&gt;=$T139),$W139,IF(AND($S139&lt;&gt;"",EDATE($D139,Milestones!$AA$104)&gt;=$S139),$V139,$U139)))=Milestones!$AB$104),UPPER(TEXT(EDATE($D139,Milestones!$AA$104),"dd mmm yy"))&amp;" "&amp;Milestones!$AB$104&amp;" "&amp;Milestones!$AC$104&amp;";  ","")&amp;IF(AND(EDATE($D139,Milestones!$AA$105)&lt;=AsOfDate,IF($R139=0,$X139,IF(AND($T139&lt;&gt;"",EDATE($D139,Milestones!$AA$105)&gt;=$T139),$W139,IF(AND($S139&lt;&gt;"",EDATE($D139,Milestones!$AA$105)&gt;=$S139),$V139,$U139)))=Milestones!$AB$105),UPPER(TEXT(EDATE($D139,Milestones!$AA$105),"dd mmm yy"))&amp;" "&amp;Milestones!$AB$105&amp;" "&amp;Milestones!$AC$105&amp;";  ","")&amp;IF(AND(EDATE($D139,Milestones!$AA$106)&lt;=AsOfDate,IF($R139=0,$X139,IF(AND($T139&lt;&gt;"",EDATE($D139,Milestones!$AA$106)&gt;=$T139),$W139,IF(AND($S139&lt;&gt;"",EDATE($D139,Milestones!$AA$106)&gt;=$S139),$V139,$U139)))=Milestones!$AB$106),UPPER(TEXT(EDATE($D139,Milestones!$AA$106),"dd mmm yy"))&amp;" "&amp;Milestones!$AB$106&amp;" "&amp;Milestones!$AC$106&amp;";  ","")&amp;IF(AND(EDATE($D139,Milestones!$AA$107)&lt;=AsOfDate,IF($R139=0,$X139,IF(AND($T139&lt;&gt;"",EDATE($D139,Milestones!$AA$107)&gt;=$T139),$W139,IF(AND($S139&lt;&gt;"",EDATE($D139,Milestones!$AA$107)&gt;=$S139),$V139,$U139)))=Milestones!$AB$107),UPPER(TEXT(EDATE($D139,Milestones!$AA$107),"dd mmm yy"))&amp;" "&amp;Milestones!$AB$107&amp;" "&amp;Milestones!$AC$107&amp;";  ","")&amp;IF(AND(EDATE($D139,Milestones!$AA$108)&lt;=AsOfDate,IF($R139=0,$X139,IF(AND($T139&lt;&gt;"",EDATE($D139,Milestones!$AA$108)&gt;=$T139),$W139,IF(AND($S139&lt;&gt;"",EDATE($D139,Milestones!$AA$108)&gt;=$S139),$V139,$U139)))=Milestones!$AB$108),UPPER(TEXT(EDATE($D139,Milestones!$AA$108),"dd mmm yy"))&amp;" "&amp;Milestones!$AB$108&amp;" "&amp;Milestones!$AC$108&amp;";  ","")&amp;IF(AND(EDATE($D139,Milestones!$AA$109)&lt;=AsOfDate,IF($R139=0,$X139,IF(AND($T139&lt;&gt;"",EDATE($D139,Milestones!$AA$109)&gt;=$T139),$W139,IF(AND($S139&lt;&gt;"",EDATE($D139,Milestones!$AA$109)&gt;=$S139),$V139,$U139)))=Milestones!$AB$109),UPPER(TEXT(EDATE($D139,Milestones!$AA$109),"dd mmm yy"))&amp;" "&amp;Milestones!$AB$109&amp;" "&amp;Milestones!$AC$109&amp;";  ","")&amp;IF(AND(EDATE($D139,Milestones!$AA$110)&lt;=AsOfDate,IF($R139=0,$X139,IF(AND($T139&lt;&gt;"",EDATE($D139,Milestones!$AA$110)&gt;=$T139),$W139,IF(AND($S139&lt;&gt;"",EDATE($D139,Milestones!$AA$110)&gt;=$S139),$V139,$U139)))=Milestones!$AB$110),UPPER(TEXT(EDATE($D139,Milestones!$AA$110),"dd mmm yy"))&amp;" "&amp;Milestones!$AB$110&amp;" "&amp;Milestones!$AC$110&amp;";  ","")&amp;IF(AND(EDATE($D139,Milestones!$AA$111)&lt;=AsOfDate,IF($R139=0,$X139,IF(AND($T139&lt;&gt;"",EDATE($D139,Milestones!$AA$111)&gt;=$T139),$W139,IF(AND($S139&lt;&gt;"",EDATE($D139,Milestones!$AA$111)&gt;=$S139),$V139,$U139)))=Milestones!$AB$111),UPPER(TEXT(EDATE($D139,Milestones!$AA$111),"dd mmm yy"))&amp;" "&amp;Milestones!$AB$111&amp;" "&amp;Milestones!$AC$111&amp;";  ","")&amp;IF(AND(EDATE($D139,Milestones!$AA$112)&lt;=AsOfDate,IF($R139=0,$X139,IF(AND($T139&lt;&gt;"",EDATE($D139,Milestones!$AA$112)&gt;=$T139),$W139,IF(AND($S139&lt;&gt;"",EDATE($D139,Milestones!$AA$112)&gt;=$S139),$V139,$U139)))=Milestones!$AB$112),UPPER(TEXT(EDATE($D139,Milestones!$AA$112),"dd mmm yy"))&amp;" "&amp;Milestones!$AB$112&amp;" "&amp;Milestones!$AC$112&amp;";  ","")&amp;IF(AND(EDATE($D139,Milestones!$AA$113)&lt;=AsOfDate,IF($R139=0,$X139,IF(AND($T139&lt;&gt;"",EDATE($D139,Milestones!$AA$113)&gt;=$T139),$W139,IF(AND($S139&lt;&gt;"",EDATE($D139,Milestones!$AA$113)&gt;=$S139),$V139,$U139)))=Milestones!$AB$113),UPPER(TEXT(EDATE($D139,Milestones!$AA$113),"dd mmm yy"))&amp;" "&amp;Milestones!$AB$113&amp;" "&amp;Milestones!$AC$113&amp;";  ","")&amp;IF(AND(EDATE($D139,Milestones!$AA$114)&lt;=AsOfDate,IF($R139=0,$X139,IF(AND($T139&lt;&gt;"",EDATE($D139,Milestones!$AA$114)&gt;=$T139),$W139,IF(AND($S139&lt;&gt;"",EDATE($D139,Milestones!$AA$114)&gt;=$S139),$V139,$U139)))=Milestones!$AB$114),UPPER(TEXT(EDATE($D139,Milestones!$AA$114),"dd mmm yy"))&amp;" "&amp;Milestones!$AB$114&amp;" "&amp;Milestones!$AC$114&amp;";  ","")&amp;IF(AND(EDATE($D139,Milestones!$AA$115)&lt;=AsOfDate,IF($R139=0,$X139,IF(AND($T139&lt;&gt;"",EDATE($D139,Milestones!$AA$115)&gt;=$T139),$W139,IF(AND($S139&lt;&gt;"",EDATE($D139,Milestones!$AA$115)&gt;=$S139),$V139,$U139)))=Milestones!$AB$115),UPPER(TEXT(EDATE($D139,Milestones!$AA$115),"dd mmm yy"))&amp;" "&amp;Milestones!$AB$115&amp;" "&amp;Milestones!$AC$115&amp;";  ","")&amp;IF(AND(EDATE($D139,Milestones!$AA$116)&lt;=AsOfDate,IF($R139=0,$X139,IF(AND($T139&lt;&gt;"",EDATE($D139,Milestones!$AA$116)&gt;=$T139),$W139,IF(AND($S139&lt;&gt;"",EDATE($D139,Milestones!$AA$116)&gt;=$S139),$V139,$U139)))=Milestones!$AB$116),UPPER(TEXT(EDATE($D139,Milestones!$AA$116),"dd mmm yy"))&amp;" "&amp;Milestones!$AB$116&amp;" "&amp;Milestones!$AC$116&amp;";  ","")&amp;IF(AND(EDATE($D139,Milestones!$AA$117)&lt;=AsOfDate,IF($R139=0,$X139,IF(AND($T139&lt;&gt;"",EDATE($D139,Milestones!$AA$117)&gt;=$T139),$W139,IF(AND($S139&lt;&gt;"",EDATE($D139,Milestones!$AA$117)&gt;=$S139),$V139,$U139)))=Milestones!$AB$117),UPPER(TEXT(EDATE($D139,Milestones!$AA$117),"dd mmm yy"))&amp;" "&amp;Milestones!$AB$117&amp;" "&amp;Milestones!$AC$117&amp;";  ","")&amp;IF(AND(EDATE($D139,Milestones!$AA$118)&lt;=AsOfDate,IF($R139=0,$X139,IF(AND($T139&lt;&gt;"",EDATE($D139,Milestones!$AA$118)&gt;=$T139),$W139,IF(AND($S139&lt;&gt;"",EDATE($D139,Milestones!$AA$118)&gt;=$S139),$V139,$U139)))=Milestones!$AB$118),UPPER(TEXT(EDATE($D139,Milestones!$AA$118),"dd mmm yy"))&amp;" "&amp;Milestones!$AB$118&amp;" "&amp;Milestones!$AC$118&amp;";  ","")&amp;IF(AND(EDATE($D139,Milestones!$AA$119)&lt;=AsOfDate,IF($R139=0,$X139,IF(AND($T139&lt;&gt;"",EDATE($D139,Milestones!$AA$119)&gt;=$T139),$W139,IF(AND($S139&lt;&gt;"",EDATE($D139,Milestones!$AA$119)&gt;=$S139),$V139,$U139)))=Milestones!$AB$119),UPPER(TEXT(EDATE($D139,Milestones!$AA$119),"dd mmm yy"))&amp;" "&amp;Milestones!$AB$119&amp;" "&amp;Milestones!$AC$119&amp;";  ",""))</f>
        <v/>
      </c>
      <c r="N139" s="0" t="str">
        <f aca="false">IF(OR($A139="",$D139=""),"",IF(AND(EDATE($D139,Milestones!$AA$120)&lt;=AsOfDate,IF($R139=0,$X139,IF(AND($T139&lt;&gt;"",EDATE($D139,Milestones!$AA$120)&gt;=$T139),$W139,IF(AND($S139&lt;&gt;"",EDATE($D139,Milestones!$AA$120)&gt;=$S139),$V139,$U139)))=Milestones!$AB$120),UPPER(TEXT(EDATE($D139,Milestones!$AA$120),"dd mmm yy"))&amp;" "&amp;Milestones!$AB$120&amp;" "&amp;Milestones!$AC$120&amp;";  ","")&amp;IF(AND(EDATE($D139,Milestones!$AA$121)&lt;=AsOfDate,IF($R139=0,$X139,IF(AND($T139&lt;&gt;"",EDATE($D139,Milestones!$AA$121)&gt;=$T139),$W139,IF(AND($S139&lt;&gt;"",EDATE($D139,Milestones!$AA$121)&gt;=$S139),$V139,$U139)))=Milestones!$AB$121),UPPER(TEXT(EDATE($D139,Milestones!$AA$121),"dd mmm yy"))&amp;" "&amp;Milestones!$AB$121&amp;" "&amp;Milestones!$AC$121&amp;";  ","")&amp;IF(AND(EDATE($D139,Milestones!$AA$122)&lt;=AsOfDate,IF($R139=0,$X139,IF(AND($T139&lt;&gt;"",EDATE($D139,Milestones!$AA$122)&gt;=$T139),$W139,IF(AND($S139&lt;&gt;"",EDATE($D139,Milestones!$AA$122)&gt;=$S139),$V139,$U139)))=Milestones!$AB$122),UPPER(TEXT(EDATE($D139,Milestones!$AA$122),"dd mmm yy"))&amp;" "&amp;Milestones!$AB$122&amp;" "&amp;Milestones!$AC$122&amp;";  ","")&amp;IF(AND(EDATE($D139,Milestones!$AA$123)&lt;=AsOfDate,IF($R139=0,$X139,IF(AND($T139&lt;&gt;"",EDATE($D139,Milestones!$AA$123)&gt;=$T139),$W139,IF(AND($S139&lt;&gt;"",EDATE($D139,Milestones!$AA$123)&gt;=$S139),$V139,$U139)))=Milestones!$AB$123),UPPER(TEXT(EDATE($D139,Milestones!$AA$123),"dd mmm yy"))&amp;" "&amp;Milestones!$AB$123&amp;" "&amp;Milestones!$AC$123&amp;";  ","")&amp;IF(AND(EDATE($D139,Milestones!$AA$124)&lt;=AsOfDate,IF($R139=0,$X139,IF(AND($T139&lt;&gt;"",EDATE($D139,Milestones!$AA$124)&gt;=$T139),$W139,IF(AND($S139&lt;&gt;"",EDATE($D139,Milestones!$AA$124)&gt;=$S139),$V139,$U139)))=Milestones!$AB$124),UPPER(TEXT(EDATE($D139,Milestones!$AA$124),"dd mmm yy"))&amp;" "&amp;Milestones!$AB$124&amp;" "&amp;Milestones!$AC$124&amp;";  ","")&amp;IF(AND(EDATE($D139,Milestones!$AA$125)&lt;=AsOfDate,IF($R139=0,$X139,IF(AND($T139&lt;&gt;"",EDATE($D139,Milestones!$AA$125)&gt;=$T139),$W139,IF(AND($S139&lt;&gt;"",EDATE($D139,Milestones!$AA$125)&gt;=$S139),$V139,$U139)))=Milestones!$AB$125),UPPER(TEXT(EDATE($D139,Milestones!$AA$125),"dd mmm yy"))&amp;" "&amp;Milestones!$AB$125&amp;" "&amp;Milestones!$AC$125&amp;";  ","")&amp;IF(AND(EDATE($D139,Milestones!$AA$126)&lt;=AsOfDate,IF($R139=0,$X139,IF(AND($T139&lt;&gt;"",EDATE($D139,Milestones!$AA$126)&gt;=$T139),$W139,IF(AND($S139&lt;&gt;"",EDATE($D139,Milestones!$AA$126)&gt;=$S139),$V139,$U139)))=Milestones!$AB$126),UPPER(TEXT(EDATE($D139,Milestones!$AA$126),"dd mmm yy"))&amp;" "&amp;Milestones!$AB$126&amp;" "&amp;Milestones!$AC$126&amp;";  ","")&amp;IF(AND(EDATE($D139,Milestones!$AA$127)&lt;=AsOfDate,IF($R139=0,$X139,IF(AND($T139&lt;&gt;"",EDATE($D139,Milestones!$AA$127)&gt;=$T139),$W139,IF(AND($S139&lt;&gt;"",EDATE($D139,Milestones!$AA$127)&gt;=$S139),$V139,$U139)))=Milestones!$AB$127),UPPER(TEXT(EDATE($D139,Milestones!$AA$127),"dd mmm yy"))&amp;" "&amp;Milestones!$AB$127&amp;" "&amp;Milestones!$AC$127&amp;";  ","")&amp;IF(AND(EDATE($D139,Milestones!$AA$128)&lt;=AsOfDate,IF($R139=0,$X139,IF(AND($T139&lt;&gt;"",EDATE($D139,Milestones!$AA$128)&gt;=$T139),$W139,IF(AND($S139&lt;&gt;"",EDATE($D139,Milestones!$AA$128)&gt;=$S139),$V139,$U139)))=Milestones!$AB$128),UPPER(TEXT(EDATE($D139,Milestones!$AA$128),"dd mmm yy"))&amp;" "&amp;Milestones!$AB$128&amp;" "&amp;Milestones!$AC$128&amp;";  ","")&amp;IF(AND(EDATE($D139,Milestones!$AA$129)&lt;=AsOfDate,IF($R139=0,$X139,IF(AND($T139&lt;&gt;"",EDATE($D139,Milestones!$AA$129)&gt;=$T139),$W139,IF(AND($S139&lt;&gt;"",EDATE($D139,Milestones!$AA$129)&gt;=$S139),$V139,$U139)))=Milestones!$AB$129),UPPER(TEXT(EDATE($D139,Milestones!$AA$129),"dd mmm yy"))&amp;" "&amp;Milestones!$AB$129&amp;" "&amp;Milestones!$AC$129&amp;";  ","")&amp;IF(AND(EDATE($D139,Milestones!$AA$130)&lt;=AsOfDate,IF($R139=0,$X139,IF(AND($T139&lt;&gt;"",EDATE($D139,Milestones!$AA$130)&gt;=$T139),$W139,IF(AND($S139&lt;&gt;"",EDATE($D139,Milestones!$AA$130)&gt;=$S139),$V139,$U139)))=Milestones!$AB$130),UPPER(TEXT(EDATE($D139,Milestones!$AA$130),"dd mmm yy"))&amp;" "&amp;Milestones!$AB$130&amp;" "&amp;Milestones!$AC$130&amp;";  ","")&amp;IF(AND(EDATE($D139,Milestones!$AA$131)&lt;=AsOfDate,IF($R139=0,$X139,IF(AND($T139&lt;&gt;"",EDATE($D139,Milestones!$AA$131)&gt;=$T139),$W139,IF(AND($S139&lt;&gt;"",EDATE($D139,Milestones!$AA$131)&gt;=$S139),$V139,$U139)))=Milestones!$AB$131),UPPER(TEXT(EDATE($D139,Milestones!$AA$131),"dd mmm yy"))&amp;" "&amp;Milestones!$AB$131&amp;" "&amp;Milestones!$AC$131&amp;";  ","")&amp;IF(AND(EDATE($D139,Milestones!$AA$132)&lt;=AsOfDate,IF($R139=0,$X139,IF(AND($T139&lt;&gt;"",EDATE($D139,Milestones!$AA$132)&gt;=$T139),$W139,IF(AND($S139&lt;&gt;"",EDATE($D139,Milestones!$AA$132)&gt;=$S139),$V139,$U139)))=Milestones!$AB$132),UPPER(TEXT(EDATE($D139,Milestones!$AA$132),"dd mmm yy"))&amp;" "&amp;Milestones!$AB$132&amp;" "&amp;Milestones!$AC$132&amp;";  ","")&amp;IF(AND(EDATE($D139,Milestones!$AA$133)&lt;=AsOfDate,IF($R139=0,$X139,IF(AND($T139&lt;&gt;"",EDATE($D139,Milestones!$AA$133)&gt;=$T139),$W139,IF(AND($S139&lt;&gt;"",EDATE($D139,Milestones!$AA$133)&gt;=$S139),$V139,$U139)))=Milestones!$AB$133),UPPER(TEXT(EDATE($D139,Milestones!$AA$133),"dd mmm yy"))&amp;" "&amp;Milestones!$AB$133&amp;" "&amp;Milestones!$AC$133&amp;";  ","")&amp;IF(AND(EDATE($D139,Milestones!$AA$134)&lt;=AsOfDate,IF($R139=0,$X139,IF(AND($T139&lt;&gt;"",EDATE($D139,Milestones!$AA$134)&gt;=$T139),$W139,IF(AND($S139&lt;&gt;"",EDATE($D139,Milestones!$AA$134)&gt;=$S139),$V139,$U139)))=Milestones!$AB$134),UPPER(TEXT(EDATE($D139,Milestones!$AA$134),"dd mmm yy"))&amp;" "&amp;Milestones!$AB$134&amp;" "&amp;Milestones!$AC$134&amp;";  ","")&amp;IF(AND(EDATE($D139,Milestones!$AA$135)&lt;=AsOfDate,IF($R139=0,$X139,IF(AND($T139&lt;&gt;"",EDATE($D139,Milestones!$AA$135)&gt;=$T139),$W139,IF(AND($S139&lt;&gt;"",EDATE($D139,Milestones!$AA$135)&gt;=$S139),$V139,$U139)))=Milestones!$AB$135),UPPER(TEXT(EDATE($D139,Milestones!$AA$135),"dd mmm yy"))&amp;" "&amp;Milestones!$AB$135&amp;" "&amp;Milestones!$AC$135&amp;";  ","")&amp;IF(AND(EDATE($D139,Milestones!$AA$136)&lt;=AsOfDate,IF($R139=0,$X139,IF(AND($T139&lt;&gt;"",EDATE($D139,Milestones!$AA$136)&gt;=$T139),$W139,IF(AND($S139&lt;&gt;"",EDATE($D139,Milestones!$AA$136)&gt;=$S139),$V139,$U139)))=Milestones!$AB$136),UPPER(TEXT(EDATE($D139,Milestones!$AA$136),"dd mmm yy"))&amp;" "&amp;Milestones!$AB$136&amp;" "&amp;Milestones!$AC$136&amp;";  ","")&amp;IF(AND(EDATE($D139,Milestones!$AA$137)&lt;=AsOfDate,IF($R139=0,$X139,IF(AND($T139&lt;&gt;"",EDATE($D139,Milestones!$AA$137)&gt;=$T139),$W139,IF(AND($S139&lt;&gt;"",EDATE($D139,Milestones!$AA$137)&gt;=$S139),$V139,$U139)))=Milestones!$AB$137),UPPER(TEXT(EDATE($D139,Milestones!$AA$137),"dd mmm yy"))&amp;" "&amp;Milestones!$AB$137&amp;" "&amp;Milestones!$AC$137&amp;";  ","")&amp;IF(AND(EDATE($D139,Milestones!$AA$138)&lt;=AsOfDate,IF($R139=0,$X139,IF(AND($T139&lt;&gt;"",EDATE($D139,Milestones!$AA$138)&gt;=$T139),$W139,IF(AND($S139&lt;&gt;"",EDATE($D139,Milestones!$AA$138)&gt;=$S139),$V139,$U139)))=Milestones!$AB$138),UPPER(TEXT(EDATE($D139,Milestones!$AA$138),"dd mmm yy"))&amp;" "&amp;Milestones!$AB$138&amp;" "&amp;Milestones!$AC$138&amp;";  ","")&amp;IF(AND(EDATE($D139,Milestones!$AA$139)&lt;=AsOfDate,IF($R139=0,$X139,IF(AND($T139&lt;&gt;"",EDATE($D139,Milestones!$AA$139)&gt;=$T139),$W139,IF(AND($S139&lt;&gt;"",EDATE($D139,Milestones!$AA$139)&gt;=$S139),$V139,$U139)))=Milestones!$AB$139),UPPER(TEXT(EDATE($D139,Milestones!$AA$139),"dd mmm yy"))&amp;" "&amp;Milestones!$AB$139&amp;" "&amp;Milestones!$AC$139&amp;";  ",""))</f>
        <v/>
      </c>
      <c r="O139" s="0" t="str">
        <f aca="false">IF(OR($A139="",$D139=""),"",IF(AND(EDATE($D139,Milestones!$AA$140)&lt;=AsOfDate,IF($R139=0,$X139,IF(AND($T139&lt;&gt;"",EDATE($D139,Milestones!$AA$140)&gt;=$T139),$W139,IF(AND($S139&lt;&gt;"",EDATE($D139,Milestones!$AA$140)&gt;=$S139),$V139,$U139)))=Milestones!$AB$140),UPPER(TEXT(EDATE($D139,Milestones!$AA$140),"dd mmm yy"))&amp;" "&amp;Milestones!$AB$140&amp;" "&amp;Milestones!$AC$140&amp;";  ","")&amp;IF(AND(EDATE($D139,Milestones!$AA$141)&lt;=AsOfDate,IF($R139=0,$X139,IF(AND($T139&lt;&gt;"",EDATE($D139,Milestones!$AA$141)&gt;=$T139),$W139,IF(AND($S139&lt;&gt;"",EDATE($D139,Milestones!$AA$141)&gt;=$S139),$V139,$U139)))=Milestones!$AB$141),UPPER(TEXT(EDATE($D139,Milestones!$AA$141),"dd mmm yy"))&amp;" "&amp;Milestones!$AB$141&amp;" "&amp;Milestones!$AC$141&amp;";  ","")&amp;IF(AND(EDATE($D139,Milestones!$AA$142)&lt;=AsOfDate,IF($R139=0,$X139,IF(AND($T139&lt;&gt;"",EDATE($D139,Milestones!$AA$142)&gt;=$T139),$W139,IF(AND($S139&lt;&gt;"",EDATE($D139,Milestones!$AA$142)&gt;=$S139),$V139,$U139)))=Milestones!$AB$142),UPPER(TEXT(EDATE($D139,Milestones!$AA$142),"dd mmm yy"))&amp;" "&amp;Milestones!$AB$142&amp;" "&amp;Milestones!$AC$142&amp;";  ","")&amp;IF(AND(EDATE($D139,Milestones!$AA$143)&lt;=AsOfDate,IF($R139=0,$X139,IF(AND($T139&lt;&gt;"",EDATE($D139,Milestones!$AA$143)&gt;=$T139),$W139,IF(AND($S139&lt;&gt;"",EDATE($D139,Milestones!$AA$143)&gt;=$S139),$V139,$U139)))=Milestones!$AB$143),UPPER(TEXT(EDATE($D139,Milestones!$AA$143),"dd mmm yy"))&amp;" "&amp;Milestones!$AB$143&amp;" "&amp;Milestones!$AC$143&amp;";  ","")&amp;IF(AND(EDATE($D139,Milestones!$AA$144)&lt;=AsOfDate,IF($R139=0,$X139,IF(AND($T139&lt;&gt;"",EDATE($D139,Milestones!$AA$144)&gt;=$T139),$W139,IF(AND($S139&lt;&gt;"",EDATE($D139,Milestones!$AA$144)&gt;=$S139),$V139,$U139)))=Milestones!$AB$144),UPPER(TEXT(EDATE($D139,Milestones!$AA$144),"dd mmm yy"))&amp;" "&amp;Milestones!$AB$144&amp;" "&amp;Milestones!$AC$144&amp;";  ","")&amp;IF(AND(EDATE($D139,Milestones!$AA$145)&lt;=AsOfDate,IF($R139=0,$X139,IF(AND($T139&lt;&gt;"",EDATE($D139,Milestones!$AA$145)&gt;=$T139),$W139,IF(AND($S139&lt;&gt;"",EDATE($D139,Milestones!$AA$145)&gt;=$S139),$V139,$U139)))=Milestones!$AB$145),UPPER(TEXT(EDATE($D139,Milestones!$AA$145),"dd mmm yy"))&amp;" "&amp;Milestones!$AB$145&amp;" "&amp;Milestones!$AC$145&amp;";  ","")&amp;IF(AND(EDATE($D139,Milestones!$AA$146)&lt;=AsOfDate,IF($R139=0,$X139,IF(AND($T139&lt;&gt;"",EDATE($D139,Milestones!$AA$146)&gt;=$T139),$W139,IF(AND($S139&lt;&gt;"",EDATE($D139,Milestones!$AA$146)&gt;=$S139),$V139,$U139)))=Milestones!$AB$146),UPPER(TEXT(EDATE($D139,Milestones!$AA$146),"dd mmm yy"))&amp;" "&amp;Milestones!$AB$146&amp;" "&amp;Milestones!$AC$146&amp;";  ","")&amp;IF(AND(EDATE($D139,Milestones!$AA$147)&lt;=AsOfDate,IF($R139=0,$X139,IF(AND($T139&lt;&gt;"",EDATE($D139,Milestones!$AA$147)&gt;=$T139),$W139,IF(AND($S139&lt;&gt;"",EDATE($D139,Milestones!$AA$147)&gt;=$S139),$V139,$U139)))=Milestones!$AB$147),UPPER(TEXT(EDATE($D139,Milestones!$AA$147),"dd mmm yy"))&amp;" "&amp;Milestones!$AB$147&amp;" "&amp;Milestones!$AC$147&amp;";  ","")&amp;IF(AND(EDATE($D139,Milestones!$AA$148)&lt;=AsOfDate,IF($R139=0,$X139,IF(AND($T139&lt;&gt;"",EDATE($D139,Milestones!$AA$148)&gt;=$T139),$W139,IF(AND($S139&lt;&gt;"",EDATE($D139,Milestones!$AA$148)&gt;=$S139),$V139,$U139)))=Milestones!$AB$148),UPPER(TEXT(EDATE($D139,Milestones!$AA$148),"dd mmm yy"))&amp;" "&amp;Milestones!$AB$148&amp;" "&amp;Milestones!$AC$148&amp;";  ","")&amp;IF(AND(EDATE($D139,Milestones!$AA$149)&lt;=AsOfDate,IF($R139=0,$X139,IF(AND($T139&lt;&gt;"",EDATE($D139,Milestones!$AA$149)&gt;=$T139),$W139,IF(AND($S139&lt;&gt;"",EDATE($D139,Milestones!$AA$149)&gt;=$S139),$V139,$U139)))=Milestones!$AB$149),UPPER(TEXT(EDATE($D139,Milestones!$AA$149),"dd mmm yy"))&amp;" "&amp;Milestones!$AB$149&amp;" "&amp;Milestones!$AC$149&amp;";  ","")&amp;IF(AND(EDATE($D139,Milestones!$AA$150)&lt;=AsOfDate,IF($R139=0,$X139,IF(AND($T139&lt;&gt;"",EDATE($D139,Milestones!$AA$150)&gt;=$T139),$W139,IF(AND($S139&lt;&gt;"",EDATE($D139,Milestones!$AA$150)&gt;=$S139),$V139,$U139)))=Milestones!$AB$150),UPPER(TEXT(EDATE($D139,Milestones!$AA$150),"dd mmm yy"))&amp;" "&amp;Milestones!$AB$150&amp;" "&amp;Milestones!$AC$150&amp;";  ","")&amp;IF(AND(EDATE($D139,Milestones!$AA$151)&lt;=AsOfDate,IF($R139=0,$X139,IF(AND($T139&lt;&gt;"",EDATE($D139,Milestones!$AA$151)&gt;=$T139),$W139,IF(AND($S139&lt;&gt;"",EDATE($D139,Milestones!$AA$151)&gt;=$S139),$V139,$U139)))=Milestones!$AB$151),UPPER(TEXT(EDATE($D139,Milestones!$AA$151),"dd mmm yy"))&amp;" "&amp;Milestones!$AB$151&amp;" "&amp;Milestones!$AC$151&amp;";  ","")&amp;IF(AND(EDATE($D139,Milestones!$AA$152)&lt;=AsOfDate,IF($R139=0,$X139,IF(AND($T139&lt;&gt;"",EDATE($D139,Milestones!$AA$152)&gt;=$T139),$W139,IF(AND($S139&lt;&gt;"",EDATE($D139,Milestones!$AA$152)&gt;=$S139),$V139,$U139)))=Milestones!$AB$152),UPPER(TEXT(EDATE($D139,Milestones!$AA$152),"dd mmm yy"))&amp;" "&amp;Milestones!$AB$152&amp;" "&amp;Milestones!$AC$152&amp;";  ","")&amp;IF(AND(EDATE($D139,Milestones!$AA$153)&lt;=AsOfDate,IF($R139=0,$X139,IF(AND($T139&lt;&gt;"",EDATE($D139,Milestones!$AA$153)&gt;=$T139),$W139,IF(AND($S139&lt;&gt;"",EDATE($D139,Milestones!$AA$153)&gt;=$S139),$V139,$U139)))=Milestones!$AB$153),UPPER(TEXT(EDATE($D139,Milestones!$AA$153),"dd mmm yy"))&amp;" "&amp;Milestones!$AB$153&amp;" "&amp;Milestones!$AC$153&amp;";  ","")&amp;IF(AND(EDATE($D139,Milestones!$AA$154)&lt;=AsOfDate,IF($R139=0,$X139,IF(AND($T139&lt;&gt;"",EDATE($D139,Milestones!$AA$154)&gt;=$T139),$W139,IF(AND($S139&lt;&gt;"",EDATE($D139,Milestones!$AA$154)&gt;=$S139),$V139,$U139)))=Milestones!$AB$154),UPPER(TEXT(EDATE($D139,Milestones!$AA$154),"dd mmm yy"))&amp;" "&amp;Milestones!$AB$154&amp;" "&amp;Milestones!$AC$154&amp;";  ","")&amp;IF(AND(EDATE($D139,Milestones!$AA$155)&lt;=AsOfDate,IF($R139=0,$X139,IF(AND($T139&lt;&gt;"",EDATE($D139,Milestones!$AA$155)&gt;=$T139),$W139,IF(AND($S139&lt;&gt;"",EDATE($D139,Milestones!$AA$155)&gt;=$S139),$V139,$U139)))=Milestones!$AB$155),UPPER(TEXT(EDATE($D139,Milestones!$AA$155),"dd mmm yy"))&amp;" "&amp;Milestones!$AB$155&amp;" "&amp;Milestones!$AC$155&amp;";  ","")&amp;IF(AND(EDATE($D139,Milestones!$AA$156)&lt;=AsOfDate,IF($R139=0,$X139,IF(AND($T139&lt;&gt;"",EDATE($D139,Milestones!$AA$156)&gt;=$T139),$W139,IF(AND($S139&lt;&gt;"",EDATE($D139,Milestones!$AA$156)&gt;=$S139),$V139,$U139)))=Milestones!$AB$156),UPPER(TEXT(EDATE($D139,Milestones!$AA$156),"dd mmm yy"))&amp;" "&amp;Milestones!$AB$156&amp;" "&amp;Milestones!$AC$156&amp;";  ","")&amp;IF(AND(EDATE($D139,Milestones!$AA$157)&lt;=AsOfDate,IF($R139=0,$X139,IF(AND($T139&lt;&gt;"",EDATE($D139,Milestones!$AA$157)&gt;=$T139),$W139,IF(AND($S139&lt;&gt;"",EDATE($D139,Milestones!$AA$157)&gt;=$S139),$V139,$U139)))=Milestones!$AB$157),UPPER(TEXT(EDATE($D139,Milestones!$AA$157),"dd mmm yy"))&amp;" "&amp;Milestones!$AB$157&amp;" "&amp;Milestones!$AC$157&amp;";  ","")&amp;IF(AND(EDATE($D139,Milestones!$AA$158)&lt;=AsOfDate,IF($R139=0,$X139,IF(AND($T139&lt;&gt;"",EDATE($D139,Milestones!$AA$158)&gt;=$T139),$W139,IF(AND($S139&lt;&gt;"",EDATE($D139,Milestones!$AA$158)&gt;=$S139),$V139,$U139)))=Milestones!$AB$158),UPPER(TEXT(EDATE($D139,Milestones!$AA$158),"dd mmm yy"))&amp;" "&amp;Milestones!$AB$158&amp;" "&amp;Milestones!$AC$158&amp;";  ","")&amp;IF(AND(EDATE($D139,Milestones!$AA$159)&lt;=AsOfDate,IF($R139=0,$X139,IF(AND($T139&lt;&gt;"",EDATE($D139,Milestones!$AA$159)&gt;=$T139),$W139,IF(AND($S139&lt;&gt;"",EDATE($D139,Milestones!$AA$159)&gt;=$S139),$V139,$U139)))=Milestones!$AB$159),UPPER(TEXT(EDATE($D139,Milestones!$AA$159),"dd mmm yy"))&amp;" "&amp;Milestones!$AB$159&amp;" "&amp;Milestones!$AC$159&amp;";  ",""))</f>
        <v/>
      </c>
      <c r="P139" s="0" t="str">
        <f aca="false">IF(OR($A139="",$D139=""),"",IF(AND(EDATE($D139,Milestones!$AA$160)&lt;=AsOfDate,IF($R139=0,$X139,IF(AND($T139&lt;&gt;"",EDATE($D139,Milestones!$AA$160)&gt;=$T139),$W139,IF(AND($S139&lt;&gt;"",EDATE($D139,Milestones!$AA$160)&gt;=$S139),$V139,$U139)))=Milestones!$AB$160),UPPER(TEXT(EDATE($D139,Milestones!$AA$160),"dd mmm yy"))&amp;" "&amp;Milestones!$AB$160&amp;" "&amp;Milestones!$AC$160&amp;";  ","")&amp;IF(AND(EDATE($D139,Milestones!$AA$161)&lt;=AsOfDate,IF($R139=0,$X139,IF(AND($T139&lt;&gt;"",EDATE($D139,Milestones!$AA$161)&gt;=$T139),$W139,IF(AND($S139&lt;&gt;"",EDATE($D139,Milestones!$AA$161)&gt;=$S139),$V139,$U139)))=Milestones!$AB$161),UPPER(TEXT(EDATE($D139,Milestones!$AA$161),"dd mmm yy"))&amp;" "&amp;Milestones!$AB$161&amp;" "&amp;Milestones!$AC$161&amp;";  ","")&amp;IF(AND(EDATE($D139,Milestones!$AA$162)&lt;=AsOfDate,IF($R139=0,$X139,IF(AND($T139&lt;&gt;"",EDATE($D139,Milestones!$AA$162)&gt;=$T139),$W139,IF(AND($S139&lt;&gt;"",EDATE($D139,Milestones!$AA$162)&gt;=$S139),$V139,$U139)))=Milestones!$AB$162),UPPER(TEXT(EDATE($D139,Milestones!$AA$162),"dd mmm yy"))&amp;" "&amp;Milestones!$AB$162&amp;" "&amp;Milestones!$AC$162&amp;";  ","")&amp;IF(AND(EDATE($D139,Milestones!$AA$163)&lt;=AsOfDate,IF($R139=0,$X139,IF(AND($T139&lt;&gt;"",EDATE($D139,Milestones!$AA$163)&gt;=$T139),$W139,IF(AND($S139&lt;&gt;"",EDATE($D139,Milestones!$AA$163)&gt;=$S139),$V139,$U139)))=Milestones!$AB$163),UPPER(TEXT(EDATE($D139,Milestones!$AA$163),"dd mmm yy"))&amp;" "&amp;Milestones!$AB$163&amp;" "&amp;Milestones!$AC$163&amp;";  ","")&amp;IF(AND(EDATE($D139,Milestones!$AA$164)&lt;=AsOfDate,IF($R139=0,$X139,IF(AND($T139&lt;&gt;"",EDATE($D139,Milestones!$AA$164)&gt;=$T139),$W139,IF(AND($S139&lt;&gt;"",EDATE($D139,Milestones!$AA$164)&gt;=$S139),$V139,$U139)))=Milestones!$AB$164),UPPER(TEXT(EDATE($D139,Milestones!$AA$164),"dd mmm yy"))&amp;" "&amp;Milestones!$AB$164&amp;" "&amp;Milestones!$AC$164&amp;";  ","")&amp;IF(AND(EDATE($D139,Milestones!$AA$165)&lt;=AsOfDate,IF($R139=0,$X139,IF(AND($T139&lt;&gt;"",EDATE($D139,Milestones!$AA$165)&gt;=$T139),$W139,IF(AND($S139&lt;&gt;"",EDATE($D139,Milestones!$AA$165)&gt;=$S139),$V139,$U139)))=Milestones!$AB$165),UPPER(TEXT(EDATE($D139,Milestones!$AA$165),"dd mmm yy"))&amp;" "&amp;Milestones!$AB$165&amp;" "&amp;Milestones!$AC$165&amp;";  ","")&amp;IF(AND(EDATE($D139,Milestones!$AA$166)&lt;=AsOfDate,IF($R139=0,$X139,IF(AND($T139&lt;&gt;"",EDATE($D139,Milestones!$AA$166)&gt;=$T139),$W139,IF(AND($S139&lt;&gt;"",EDATE($D139,Milestones!$AA$166)&gt;=$S139),$V139,$U139)))=Milestones!$AB$166),UPPER(TEXT(EDATE($D139,Milestones!$AA$166),"dd mmm yy"))&amp;" "&amp;Milestones!$AB$166&amp;" "&amp;Milestones!$AC$166&amp;";  ","")&amp;IF(AND(EDATE($D139,Milestones!$AA$167)&lt;=AsOfDate,IF($R139=0,$X139,IF(AND($T139&lt;&gt;"",EDATE($D139,Milestones!$AA$167)&gt;=$T139),$W139,IF(AND($S139&lt;&gt;"",EDATE($D139,Milestones!$AA$167)&gt;=$S139),$V139,$U139)))=Milestones!$AB$167),UPPER(TEXT(EDATE($D139,Milestones!$AA$167),"dd mmm yy"))&amp;" "&amp;Milestones!$AB$167&amp;" "&amp;Milestones!$AC$167&amp;";  ","")&amp;IF(AND(EDATE($D139,Milestones!$AA$168)&lt;=AsOfDate,IF($R139=0,$X139,IF(AND($T139&lt;&gt;"",EDATE($D139,Milestones!$AA$168)&gt;=$T139),$W139,IF(AND($S139&lt;&gt;"",EDATE($D139,Milestones!$AA$168)&gt;=$S139),$V139,$U139)))=Milestones!$AB$168),UPPER(TEXT(EDATE($D139,Milestones!$AA$168),"dd mmm yy"))&amp;" "&amp;Milestones!$AB$168&amp;" "&amp;Milestones!$AC$168&amp;";  ","")&amp;IF(AND(EDATE($D139,Milestones!$AA$169)&lt;=AsOfDate,IF($R139=0,$X139,IF(AND($T139&lt;&gt;"",EDATE($D139,Milestones!$AA$169)&gt;=$T139),$W139,IF(AND($S139&lt;&gt;"",EDATE($D139,Milestones!$AA$169)&gt;=$S139),$V139,$U139)))=Milestones!$AB$169),UPPER(TEXT(EDATE($D139,Milestones!$AA$169),"dd mmm yy"))&amp;" "&amp;Milestones!$AB$169&amp;" "&amp;Milestones!$AC$169&amp;";  ","")&amp;IF(AND(EDATE($D139,Milestones!$AA$170)&lt;=AsOfDate,IF($R139=0,$X139,IF(AND($T139&lt;&gt;"",EDATE($D139,Milestones!$AA$170)&gt;=$T139),$W139,IF(AND($S139&lt;&gt;"",EDATE($D139,Milestones!$AA$170)&gt;=$S139),$V139,$U139)))=Milestones!$AB$170),UPPER(TEXT(EDATE($D139,Milestones!$AA$170),"dd mmm yy"))&amp;" "&amp;Milestones!$AB$170&amp;" "&amp;Milestones!$AC$170&amp;";  ","")&amp;IF(AND(EDATE($D139,Milestones!$AA$171)&lt;=AsOfDate,IF($R139=0,$X139,IF(AND($T139&lt;&gt;"",EDATE($D139,Milestones!$AA$171)&gt;=$T139),$W139,IF(AND($S139&lt;&gt;"",EDATE($D139,Milestones!$AA$171)&gt;=$S139),$V139,$U139)))=Milestones!$AB$171),UPPER(TEXT(EDATE($D139,Milestones!$AA$171),"dd mmm yy"))&amp;" "&amp;Milestones!$AB$171&amp;" "&amp;Milestones!$AC$171&amp;";  ","")&amp;IF(AND(EDATE($D139,Milestones!$AA$172)&lt;=AsOfDate,IF($R139=0,$X139,IF(AND($T139&lt;&gt;"",EDATE($D139,Milestones!$AA$172)&gt;=$T139),$W139,IF(AND($S139&lt;&gt;"",EDATE($D139,Milestones!$AA$172)&gt;=$S139),$V139,$U139)))=Milestones!$AB$172),UPPER(TEXT(EDATE($D139,Milestones!$AA$172),"dd mmm yy"))&amp;" "&amp;Milestones!$AB$172&amp;" "&amp;Milestones!$AC$172&amp;";  ","")&amp;IF(AND(EDATE($D139,Milestones!$AA$173)&lt;=AsOfDate,IF($R139=0,$X139,IF(AND($T139&lt;&gt;"",EDATE($D139,Milestones!$AA$173)&gt;=$T139),$W139,IF(AND($S139&lt;&gt;"",EDATE($D139,Milestones!$AA$173)&gt;=$S139),$V139,$U139)))=Milestones!$AB$173),UPPER(TEXT(EDATE($D139,Milestones!$AA$173),"dd mmm yy"))&amp;" "&amp;Milestones!$AB$173&amp;" "&amp;Milestones!$AC$173&amp;";  ","")&amp;IF(AND(EDATE($D139,Milestones!$AA$174)&lt;=AsOfDate,IF($R139=0,$X139,IF(AND($T139&lt;&gt;"",EDATE($D139,Milestones!$AA$174)&gt;=$T139),$W139,IF(AND($S139&lt;&gt;"",EDATE($D139,Milestones!$AA$174)&gt;=$S139),$V139,$U139)))=Milestones!$AB$174),UPPER(TEXT(EDATE($D139,Milestones!$AA$174),"dd mmm yy"))&amp;" "&amp;Milestones!$AB$174&amp;" "&amp;Milestones!$AC$174&amp;";  ","")&amp;IF(AND(EDATE($D139,Milestones!$AA$175)&lt;=AsOfDate,IF($R139=0,$X139,IF(AND($T139&lt;&gt;"",EDATE($D139,Milestones!$AA$175)&gt;=$T139),$W139,IF(AND($S139&lt;&gt;"",EDATE($D139,Milestones!$AA$175)&gt;=$S139),$V139,$U139)))=Milestones!$AB$175),UPPER(TEXT(EDATE($D139,Milestones!$AA$175),"dd mmm yy"))&amp;" "&amp;Milestones!$AB$175&amp;" "&amp;Milestones!$AC$175&amp;";  ","")&amp;IF(AND(EDATE($D139,Milestones!$AA$176)&lt;=AsOfDate,IF($R139=0,$X139,IF(AND($T139&lt;&gt;"",EDATE($D139,Milestones!$AA$176)&gt;=$T139),$W139,IF(AND($S139&lt;&gt;"",EDATE($D139,Milestones!$AA$176)&gt;=$S139),$V139,$U139)))=Milestones!$AB$176),UPPER(TEXT(EDATE($D139,Milestones!$AA$176),"dd mmm yy"))&amp;" "&amp;Milestones!$AB$176&amp;" "&amp;Milestones!$AC$176&amp;";  ","")&amp;IF(AND(EDATE($D139,Milestones!$AA$177)&lt;=AsOfDate,IF($R139=0,$X139,IF(AND($T139&lt;&gt;"",EDATE($D139,Milestones!$AA$177)&gt;=$T139),$W139,IF(AND($S139&lt;&gt;"",EDATE($D139,Milestones!$AA$177)&gt;=$S139),$V139,$U139)))=Milestones!$AB$177),UPPER(TEXT(EDATE($D139,Milestones!$AA$177),"dd mmm yy"))&amp;" "&amp;Milestones!$AB$177&amp;" "&amp;Milestones!$AC$177&amp;";  ","")&amp;IF(AND(EDATE($D139,Milestones!$AA$178)&lt;=AsOfDate,IF($R139=0,$X139,IF(AND($T139&lt;&gt;"",EDATE($D139,Milestones!$AA$178)&gt;=$T139),$W139,IF(AND($S139&lt;&gt;"",EDATE($D139,Milestones!$AA$178)&gt;=$S139),$V139,$U139)))=Milestones!$AB$178),UPPER(TEXT(EDATE($D139,Milestones!$AA$178),"dd mmm yy"))&amp;" "&amp;Milestones!$AB$178&amp;" "&amp;Milestones!$AC$178&amp;";  ","")&amp;IF(AND(EDATE($D139,Milestones!$AA$179)&lt;=AsOfDate,IF($R139=0,$X139,IF(AND($T139&lt;&gt;"",EDATE($D139,Milestones!$AA$179)&gt;=$T139),$W139,IF(AND($S139&lt;&gt;"",EDATE($D139,Milestones!$AA$179)&gt;=$S139),$V139,$U139)))=Milestones!$AB$179),UPPER(TEXT(EDATE($D139,Milestones!$AA$179),"dd mmm yy"))&amp;" "&amp;Milestones!$AB$179&amp;" "&amp;Milestones!$AC$179&amp;";  ",""))</f>
        <v/>
      </c>
      <c r="Q139" s="0" t="str">
        <f aca="false">IF(OR($A139="",$D139=""),"",IF(AND(EDATE($D139,Milestones!$AA$180)&lt;=AsOfDate,IF($R139=0,$X139,IF(AND($T139&lt;&gt;"",EDATE($D139,Milestones!$AA$180)&gt;=$T139),$W139,IF(AND($S139&lt;&gt;"",EDATE($D139,Milestones!$AA$180)&gt;=$S139),$V139,$U139)))=Milestones!$AB$180),UPPER(TEXT(EDATE($D139,Milestones!$AA$180),"dd mmm yy"))&amp;" "&amp;Milestones!$AB$180&amp;" "&amp;Milestones!$AC$180&amp;";  ","")&amp;IF(AND(EDATE($D139,Milestones!$AA$181)&lt;=AsOfDate,IF($R139=0,$X139,IF(AND($T139&lt;&gt;"",EDATE($D139,Milestones!$AA$181)&gt;=$T139),$W139,IF(AND($S139&lt;&gt;"",EDATE($D139,Milestones!$AA$181)&gt;=$S139),$V139,$U139)))=Milestones!$AB$181),UPPER(TEXT(EDATE($D139,Milestones!$AA$181),"dd mmm yy"))&amp;" "&amp;Milestones!$AB$181&amp;" "&amp;Milestones!$AC$181&amp;";  ","")&amp;IF(AND(EDATE($D139,Milestones!$AA$182)&lt;=AsOfDate,IF($R139=0,$X139,IF(AND($T139&lt;&gt;"",EDATE($D139,Milestones!$AA$182)&gt;=$T139),$W139,IF(AND($S139&lt;&gt;"",EDATE($D139,Milestones!$AA$182)&gt;=$S139),$V139,$U139)))=Milestones!$AB$182),UPPER(TEXT(EDATE($D139,Milestones!$AA$182),"dd mmm yy"))&amp;" "&amp;Milestones!$AB$182&amp;" "&amp;Milestones!$AC$182&amp;";  ","")&amp;IF(AND(EDATE($D139,Milestones!$AA$183)&lt;=AsOfDate,IF($R139=0,$X139,IF(AND($T139&lt;&gt;"",EDATE($D139,Milestones!$AA$183)&gt;=$T139),$W139,IF(AND($S139&lt;&gt;"",EDATE($D139,Milestones!$AA$183)&gt;=$S139),$V139,$U139)))=Milestones!$AB$183),UPPER(TEXT(EDATE($D139,Milestones!$AA$183),"dd mmm yy"))&amp;" "&amp;Milestones!$AB$183&amp;" "&amp;Milestones!$AC$183&amp;";  ","")&amp;IF(AND(EDATE($D139,Milestones!$AA$184)&lt;=AsOfDate,IF($R139=0,$X139,IF(AND($T139&lt;&gt;"",EDATE($D139,Milestones!$AA$184)&gt;=$T139),$W139,IF(AND($S139&lt;&gt;"",EDATE($D139,Milestones!$AA$184)&gt;=$S139),$V139,$U139)))=Milestones!$AB$184),UPPER(TEXT(EDATE($D139,Milestones!$AA$184),"dd mmm yy"))&amp;" "&amp;Milestones!$AB$184&amp;" "&amp;Milestones!$AC$184&amp;";  ","")&amp;IF(AND(EDATE($D139,Milestones!$AA$185)&lt;=AsOfDate,IF($R139=0,$X139,IF(AND($T139&lt;&gt;"",EDATE($D139,Milestones!$AA$185)&gt;=$T139),$W139,IF(AND($S139&lt;&gt;"",EDATE($D139,Milestones!$AA$185)&gt;=$S139),$V139,$U139)))=Milestones!$AB$185),UPPER(TEXT(EDATE($D139,Milestones!$AA$185),"dd mmm yy"))&amp;" "&amp;Milestones!$AB$185&amp;" "&amp;Milestones!$AC$185&amp;";  ","")&amp;IF(AND(EDATE($D139,Milestones!$AA$186)&lt;=AsOfDate,IF($R139=0,$X139,IF(AND($T139&lt;&gt;"",EDATE($D139,Milestones!$AA$186)&gt;=$T139),$W139,IF(AND($S139&lt;&gt;"",EDATE($D139,Milestones!$AA$186)&gt;=$S139),$V139,$U139)))=Milestones!$AB$186),UPPER(TEXT(EDATE($D139,Milestones!$AA$186),"dd mmm yy"))&amp;" "&amp;Milestones!$AB$186&amp;" "&amp;Milestones!$AC$186&amp;";  ","")&amp;IF(AND(EDATE($D139,Milestones!$AA$187)&lt;=AsOfDate,IF($R139=0,$X139,IF(AND($T139&lt;&gt;"",EDATE($D139,Milestones!$AA$187)&gt;=$T139),$W139,IF(AND($S139&lt;&gt;"",EDATE($D139,Milestones!$AA$187)&gt;=$S139),$V139,$U139)))=Milestones!$AB$187),UPPER(TEXT(EDATE($D139,Milestones!$AA$187),"dd mmm yy"))&amp;" "&amp;Milestones!$AB$187&amp;" "&amp;Milestones!$AC$187&amp;";  ","")&amp;IF(AND(EDATE($D139,Milestones!$AA$188)&lt;=AsOfDate,IF($R139=0,$X139,IF(AND($T139&lt;&gt;"",EDATE($D139,Milestones!$AA$188)&gt;=$T139),$W139,IF(AND($S139&lt;&gt;"",EDATE($D139,Milestones!$AA$188)&gt;=$S139),$V139,$U139)))=Milestones!$AB$188),UPPER(TEXT(EDATE($D139,Milestones!$AA$188),"dd mmm yy"))&amp;" "&amp;Milestones!$AB$188&amp;" "&amp;Milestones!$AC$188&amp;";  ","")&amp;IF(AND(EDATE($D139,Milestones!$AA$189)&lt;=AsOfDate,IF($R139=0,$X139,IF(AND($T139&lt;&gt;"",EDATE($D139,Milestones!$AA$189)&gt;=$T139),$W139,IF(AND($S139&lt;&gt;"",EDATE($D139,Milestones!$AA$189)&gt;=$S139),$V139,$U139)))=Milestones!$AB$189),UPPER(TEXT(EDATE($D139,Milestones!$AA$189),"dd mmm yy"))&amp;" "&amp;Milestones!$AB$189&amp;" "&amp;Milestones!$AC$189&amp;";  ","")&amp;IF(AND(EDATE($D139,Milestones!$AA$190)&lt;=AsOfDate,IF($R139=0,$X139,IF(AND($T139&lt;&gt;"",EDATE($D139,Milestones!$AA$190)&gt;=$T139),$W139,IF(AND($S139&lt;&gt;"",EDATE($D139,Milestones!$AA$190)&gt;=$S139),$V139,$U139)))=Milestones!$AB$190),UPPER(TEXT(EDATE($D139,Milestones!$AA$190),"dd mmm yy"))&amp;" "&amp;Milestones!$AB$190&amp;" "&amp;Milestones!$AC$190&amp;";  ","")&amp;IF(AND(EDATE($D139,Milestones!$AA$191)&lt;=AsOfDate,IF($R139=0,$X139,IF(AND($T139&lt;&gt;"",EDATE($D139,Milestones!$AA$191)&gt;=$T139),$W139,IF(AND($S139&lt;&gt;"",EDATE($D139,Milestones!$AA$191)&gt;=$S139),$V139,$U139)))=Milestones!$AB$191),UPPER(TEXT(EDATE($D139,Milestones!$AA$191),"dd mmm yy"))&amp;" "&amp;Milestones!$AB$191&amp;" "&amp;Milestones!$AC$191&amp;";  ","")&amp;IF(AND(EDATE($D139,Milestones!$AA$192)&lt;=AsOfDate,IF($R139=0,$X139,IF(AND($T139&lt;&gt;"",EDATE($D139,Milestones!$AA$192)&gt;=$T139),$W139,IF(AND($S139&lt;&gt;"",EDATE($D139,Milestones!$AA$192)&gt;=$S139),$V139,$U139)))=Milestones!$AB$192),UPPER(TEXT(EDATE($D139,Milestones!$AA$192),"dd mmm yy"))&amp;" "&amp;Milestones!$AB$192&amp;" "&amp;Milestones!$AC$192&amp;";  ","")&amp;IF(AND(EDATE($D139,Milestones!$AA$193)&lt;=AsOfDate,IF($R139=0,$X139,IF(AND($T139&lt;&gt;"",EDATE($D139,Milestones!$AA$193)&gt;=$T139),$W139,IF(AND($S139&lt;&gt;"",EDATE($D139,Milestones!$AA$193)&gt;=$S139),$V139,$U139)))=Milestones!$AB$193),UPPER(TEXT(EDATE($D139,Milestones!$AA$193),"dd mmm yy"))&amp;" "&amp;Milestones!$AB$193&amp;" "&amp;Milestones!$AC$193&amp;";  ","")&amp;IF(AND(EDATE($D139,Milestones!$AA$194)&lt;=AsOfDate,IF($R139=0,$X139,IF(AND($T139&lt;&gt;"",EDATE($D139,Milestones!$AA$194)&gt;=$T139),$W139,IF(AND($S139&lt;&gt;"",EDATE($D139,Milestones!$AA$194)&gt;=$S139),$V139,$U139)))=Milestones!$AB$194),UPPER(TEXT(EDATE($D139,Milestones!$AA$194),"dd mmm yy"))&amp;" "&amp;Milestones!$AB$194&amp;" "&amp;Milestones!$AC$194&amp;";  ","")&amp;IF(AND(EDATE($D139,Milestones!$AA$195)&lt;=AsOfDate,IF($R139=0,$X139,IF(AND($T139&lt;&gt;"",EDATE($D139,Milestones!$AA$195)&gt;=$T139),$W139,IF(AND($S139&lt;&gt;"",EDATE($D139,Milestones!$AA$195)&gt;=$S139),$V139,$U139)))=Milestones!$AB$195),UPPER(TEXT(EDATE($D139,Milestones!$AA$195),"dd mmm yy"))&amp;" "&amp;Milestones!$AB$195&amp;" "&amp;Milestones!$AC$195&amp;";  ","")&amp;IF(AND(EDATE($D139,Milestones!$AA$196)&lt;=AsOfDate,IF($R139=0,$X139,IF(AND($T139&lt;&gt;"",EDATE($D139,Milestones!$AA$196)&gt;=$T139),$W139,IF(AND($S139&lt;&gt;"",EDATE($D139,Milestones!$AA$196)&gt;=$S139),$V139,$U139)))=Milestones!$AB$196),UPPER(TEXT(EDATE($D139,Milestones!$AA$196),"dd mmm yy"))&amp;" "&amp;Milestones!$AB$196&amp;" "&amp;Milestones!$AC$196&amp;";  ","")&amp;IF(AND(EDATE($D139,Milestones!$AA$197)&lt;=AsOfDate,IF($R139=0,$X139,IF(AND($T139&lt;&gt;"",EDATE($D139,Milestones!$AA$197)&gt;=$T139),$W139,IF(AND($S139&lt;&gt;"",EDATE($D139,Milestones!$AA$197)&gt;=$S139),$V139,$U139)))=Milestones!$AB$197),UPPER(TEXT(EDATE($D139,Milestones!$AA$197),"dd mmm yy"))&amp;" "&amp;Milestones!$AB$197&amp;" "&amp;Milestones!$AC$197&amp;";  ","")&amp;IF(AND(EDATE($D139,Milestones!$AA$198)&lt;=AsOfDate,IF($R139=0,$X139,IF(AND($T139&lt;&gt;"",EDATE($D139,Milestones!$AA$198)&gt;=$T139),$W139,IF(AND($S139&lt;&gt;"",EDATE($D139,Milestones!$AA$198)&gt;=$S139),$V139,$U139)))=Milestones!$AB$198),UPPER(TEXT(EDATE($D139,Milestones!$AA$198),"dd mmm yy"))&amp;" "&amp;Milestones!$AB$198&amp;" "&amp;Milestones!$AC$198&amp;";  ","")&amp;IF(AND(EDATE($D139,Milestones!$AA$199)&lt;=AsOfDate,IF($R139=0,$X139,IF(AND($T139&lt;&gt;"",EDATE($D139,Milestones!$AA$199)&gt;=$T139),$W139,IF(AND($S139&lt;&gt;"",EDATE($D139,Milestones!$AA$199)&gt;=$S139),$V139,$U139)))=Milestones!$AB$199),UPPER(TEXT(EDATE($D139,Milestones!$AA$199),"dd mmm yy"))&amp;" "&amp;Milestones!$AB$199&amp;" "&amp;Milestones!$AC$199&amp;";  ",""))</f>
        <v/>
      </c>
      <c r="R139" s="0" t="str">
        <f aca="false">IF(Staff!$A139="","",Staff!$AI139)</f>
        <v/>
      </c>
      <c r="S139" s="0" t="str">
        <f aca="false">IF(Staff!$A139="","",Staff!$AK139)</f>
        <v/>
      </c>
      <c r="T139" s="0" t="str">
        <f aca="false">IF(Staff!$A139="","",Staff!$AL139)</f>
        <v/>
      </c>
      <c r="U139" s="0" t="str">
        <f aca="false">IF(Staff!$A139="","",Staff!$AP139)</f>
        <v/>
      </c>
      <c r="V139" s="0" t="str">
        <f aca="false">IF(Staff!$A139="","",Staff!$AQ139)</f>
        <v/>
      </c>
      <c r="W139" s="0" t="str">
        <f aca="false">IF(Staff!$A139="","",Staff!$AR139)</f>
        <v/>
      </c>
      <c r="X139" s="0" t="str">
        <f aca="false">IF(Staff!$A139="","",Staff!$AS139)</f>
        <v/>
      </c>
    </row>
    <row r="140" customFormat="false" ht="15" hidden="false" customHeight="false" outlineLevel="0" collapsed="false">
      <c r="A140" s="14" t="str">
        <f aca="false">IF(Staff!$A140="","",Staff!$A140)</f>
        <v/>
      </c>
      <c r="B140" s="14" t="str">
        <f aca="false">IF(Staff!$A140="","",Staff!$B140)</f>
        <v/>
      </c>
      <c r="C140" s="14" t="str">
        <f aca="false">IF(Staff!$A140="","",Staff!$C140)</f>
        <v/>
      </c>
      <c r="D140" s="12" t="str">
        <f aca="false">IF(Staff!$A140="","",Staff!$AH140)</f>
        <v/>
      </c>
      <c r="E140" s="14" t="str">
        <f aca="false">IF(Staff!$A140="","",Staff!$O140)</f>
        <v/>
      </c>
      <c r="F140" s="14" t="str">
        <f aca="false">IF(E140="","",E140*HoursPerDay)</f>
        <v/>
      </c>
      <c r="G140" s="14" t="str">
        <f aca="false">IF(Staff!$A140="","",Staff!$AE140)</f>
        <v/>
      </c>
      <c r="H140" s="26" t="str">
        <f aca="false">IF($A140="","",I140&amp;J140&amp;K140&amp;L140&amp;M140&amp;N140&amp;O140&amp;P140&amp;Q140)</f>
        <v/>
      </c>
      <c r="I140" s="0" t="str">
        <f aca="false">IF(OR($A140="",$D140=""),"",IF(AND(EDATE($D140,Milestones!$AA$20)&lt;=AsOfDate,IF($R140=0,$X140,IF(AND($T140&lt;&gt;"",EDATE($D140,Milestones!$AA$20)&gt;=$T140),$W140,IF(AND($S140&lt;&gt;"",EDATE($D140,Milestones!$AA$20)&gt;=$S140),$V140,$U140)))=Milestones!$AB$20),UPPER(TEXT(EDATE($D140,Milestones!$AA$20),"dd mmm yy"))&amp;" "&amp;Milestones!$AB$20&amp;" "&amp;Milestones!$AC$20&amp;";  ","")&amp;IF(AND(EDATE($D140,Milestones!$AA$21)&lt;=AsOfDate,IF($R140=0,$X140,IF(AND($T140&lt;&gt;"",EDATE($D140,Milestones!$AA$21)&gt;=$T140),$W140,IF(AND($S140&lt;&gt;"",EDATE($D140,Milestones!$AA$21)&gt;=$S140),$V140,$U140)))=Milestones!$AB$21),UPPER(TEXT(EDATE($D140,Milestones!$AA$21),"dd mmm yy"))&amp;" "&amp;Milestones!$AB$21&amp;" "&amp;Milestones!$AC$21&amp;";  ","")&amp;IF(AND(EDATE($D140,Milestones!$AA$22)&lt;=AsOfDate,IF($R140=0,$X140,IF(AND($T140&lt;&gt;"",EDATE($D140,Milestones!$AA$22)&gt;=$T140),$W140,IF(AND($S140&lt;&gt;"",EDATE($D140,Milestones!$AA$22)&gt;=$S140),$V140,$U140)))=Milestones!$AB$22),UPPER(TEXT(EDATE($D140,Milestones!$AA$22),"dd mmm yy"))&amp;" "&amp;Milestones!$AB$22&amp;" "&amp;Milestones!$AC$22&amp;";  ","")&amp;IF(AND(EDATE($D140,Milestones!$AA$23)&lt;=AsOfDate,IF($R140=0,$X140,IF(AND($T140&lt;&gt;"",EDATE($D140,Milestones!$AA$23)&gt;=$T140),$W140,IF(AND($S140&lt;&gt;"",EDATE($D140,Milestones!$AA$23)&gt;=$S140),$V140,$U140)))=Milestones!$AB$23),UPPER(TEXT(EDATE($D140,Milestones!$AA$23),"dd mmm yy"))&amp;" "&amp;Milestones!$AB$23&amp;" "&amp;Milestones!$AC$23&amp;";  ","")&amp;IF(AND(EDATE($D140,Milestones!$AA$24)&lt;=AsOfDate,IF($R140=0,$X140,IF(AND($T140&lt;&gt;"",EDATE($D140,Milestones!$AA$24)&gt;=$T140),$W140,IF(AND($S140&lt;&gt;"",EDATE($D140,Milestones!$AA$24)&gt;=$S140),$V140,$U140)))=Milestones!$AB$24),UPPER(TEXT(EDATE($D140,Milestones!$AA$24),"dd mmm yy"))&amp;" "&amp;Milestones!$AB$24&amp;" "&amp;Milestones!$AC$24&amp;";  ","")&amp;IF(AND(EDATE($D140,Milestones!$AA$25)&lt;=AsOfDate,IF($R140=0,$X140,IF(AND($T140&lt;&gt;"",EDATE($D140,Milestones!$AA$25)&gt;=$T140),$W140,IF(AND($S140&lt;&gt;"",EDATE($D140,Milestones!$AA$25)&gt;=$S140),$V140,$U140)))=Milestones!$AB$25),UPPER(TEXT(EDATE($D140,Milestones!$AA$25),"dd mmm yy"))&amp;" "&amp;Milestones!$AB$25&amp;" "&amp;Milestones!$AC$25&amp;";  ","")&amp;IF(AND(EDATE($D140,Milestones!$AA$26)&lt;=AsOfDate,IF($R140=0,$X140,IF(AND($T140&lt;&gt;"",EDATE($D140,Milestones!$AA$26)&gt;=$T140),$W140,IF(AND($S140&lt;&gt;"",EDATE($D140,Milestones!$AA$26)&gt;=$S140),$V140,$U140)))=Milestones!$AB$26),UPPER(TEXT(EDATE($D140,Milestones!$AA$26),"dd mmm yy"))&amp;" "&amp;Milestones!$AB$26&amp;" "&amp;Milestones!$AC$26&amp;";  ","")&amp;IF(AND(EDATE($D140,Milestones!$AA$27)&lt;=AsOfDate,IF($R140=0,$X140,IF(AND($T140&lt;&gt;"",EDATE($D140,Milestones!$AA$27)&gt;=$T140),$W140,IF(AND($S140&lt;&gt;"",EDATE($D140,Milestones!$AA$27)&gt;=$S140),$V140,$U140)))=Milestones!$AB$27),UPPER(TEXT(EDATE($D140,Milestones!$AA$27),"dd mmm yy"))&amp;" "&amp;Milestones!$AB$27&amp;" "&amp;Milestones!$AC$27&amp;";  ","")&amp;IF(AND(EDATE($D140,Milestones!$AA$28)&lt;=AsOfDate,IF($R140=0,$X140,IF(AND($T140&lt;&gt;"",EDATE($D140,Milestones!$AA$28)&gt;=$T140),$W140,IF(AND($S140&lt;&gt;"",EDATE($D140,Milestones!$AA$28)&gt;=$S140),$V140,$U140)))=Milestones!$AB$28),UPPER(TEXT(EDATE($D140,Milestones!$AA$28),"dd mmm yy"))&amp;" "&amp;Milestones!$AB$28&amp;" "&amp;Milestones!$AC$28&amp;";  ","")&amp;IF(AND(EDATE($D140,Milestones!$AA$29)&lt;=AsOfDate,IF($R140=0,$X140,IF(AND($T140&lt;&gt;"",EDATE($D140,Milestones!$AA$29)&gt;=$T140),$W140,IF(AND($S140&lt;&gt;"",EDATE($D140,Milestones!$AA$29)&gt;=$S140),$V140,$U140)))=Milestones!$AB$29),UPPER(TEXT(EDATE($D140,Milestones!$AA$29),"dd mmm yy"))&amp;" "&amp;Milestones!$AB$29&amp;" "&amp;Milestones!$AC$29&amp;";  ","")&amp;IF(AND(EDATE($D140,Milestones!$AA$30)&lt;=AsOfDate,IF($R140=0,$X140,IF(AND($T140&lt;&gt;"",EDATE($D140,Milestones!$AA$30)&gt;=$T140),$W140,IF(AND($S140&lt;&gt;"",EDATE($D140,Milestones!$AA$30)&gt;=$S140),$V140,$U140)))=Milestones!$AB$30),UPPER(TEXT(EDATE($D140,Milestones!$AA$30),"dd mmm yy"))&amp;" "&amp;Milestones!$AB$30&amp;" "&amp;Milestones!$AC$30&amp;";  ","")&amp;IF(AND(EDATE($D140,Milestones!$AA$31)&lt;=AsOfDate,IF($R140=0,$X140,IF(AND($T140&lt;&gt;"",EDATE($D140,Milestones!$AA$31)&gt;=$T140),$W140,IF(AND($S140&lt;&gt;"",EDATE($D140,Milestones!$AA$31)&gt;=$S140),$V140,$U140)))=Milestones!$AB$31),UPPER(TEXT(EDATE($D140,Milestones!$AA$31),"dd mmm yy"))&amp;" "&amp;Milestones!$AB$31&amp;" "&amp;Milestones!$AC$31&amp;";  ","")&amp;IF(AND(EDATE($D140,Milestones!$AA$32)&lt;=AsOfDate,IF($R140=0,$X140,IF(AND($T140&lt;&gt;"",EDATE($D140,Milestones!$AA$32)&gt;=$T140),$W140,IF(AND($S140&lt;&gt;"",EDATE($D140,Milestones!$AA$32)&gt;=$S140),$V140,$U140)))=Milestones!$AB$32),UPPER(TEXT(EDATE($D140,Milestones!$AA$32),"dd mmm yy"))&amp;" "&amp;Milestones!$AB$32&amp;" "&amp;Milestones!$AC$32&amp;";  ","")&amp;IF(AND(EDATE($D140,Milestones!$AA$33)&lt;=AsOfDate,IF($R140=0,$X140,IF(AND($T140&lt;&gt;"",EDATE($D140,Milestones!$AA$33)&gt;=$T140),$W140,IF(AND($S140&lt;&gt;"",EDATE($D140,Milestones!$AA$33)&gt;=$S140),$V140,$U140)))=Milestones!$AB$33),UPPER(TEXT(EDATE($D140,Milestones!$AA$33),"dd mmm yy"))&amp;" "&amp;Milestones!$AB$33&amp;" "&amp;Milestones!$AC$33&amp;";  ","")&amp;IF(AND(EDATE($D140,Milestones!$AA$34)&lt;=AsOfDate,IF($R140=0,$X140,IF(AND($T140&lt;&gt;"",EDATE($D140,Milestones!$AA$34)&gt;=$T140),$W140,IF(AND($S140&lt;&gt;"",EDATE($D140,Milestones!$AA$34)&gt;=$S140),$V140,$U140)))=Milestones!$AB$34),UPPER(TEXT(EDATE($D140,Milestones!$AA$34),"dd mmm yy"))&amp;" "&amp;Milestones!$AB$34&amp;" "&amp;Milestones!$AC$34&amp;";  ","")&amp;IF(AND(EDATE($D140,Milestones!$AA$35)&lt;=AsOfDate,IF($R140=0,$X140,IF(AND($T140&lt;&gt;"",EDATE($D140,Milestones!$AA$35)&gt;=$T140),$W140,IF(AND($S140&lt;&gt;"",EDATE($D140,Milestones!$AA$35)&gt;=$S140),$V140,$U140)))=Milestones!$AB$35),UPPER(TEXT(EDATE($D140,Milestones!$AA$35),"dd mmm yy"))&amp;" "&amp;Milestones!$AB$35&amp;" "&amp;Milestones!$AC$35&amp;";  ","")&amp;IF(AND(EDATE($D140,Milestones!$AA$36)&lt;=AsOfDate,IF($R140=0,$X140,IF(AND($T140&lt;&gt;"",EDATE($D140,Milestones!$AA$36)&gt;=$T140),$W140,IF(AND($S140&lt;&gt;"",EDATE($D140,Milestones!$AA$36)&gt;=$S140),$V140,$U140)))=Milestones!$AB$36),UPPER(TEXT(EDATE($D140,Milestones!$AA$36),"dd mmm yy"))&amp;" "&amp;Milestones!$AB$36&amp;" "&amp;Milestones!$AC$36&amp;";  ","")&amp;IF(AND(EDATE($D140,Milestones!$AA$37)&lt;=AsOfDate,IF($R140=0,$X140,IF(AND($T140&lt;&gt;"",EDATE($D140,Milestones!$AA$37)&gt;=$T140),$W140,IF(AND($S140&lt;&gt;"",EDATE($D140,Milestones!$AA$37)&gt;=$S140),$V140,$U140)))=Milestones!$AB$37),UPPER(TEXT(EDATE($D140,Milestones!$AA$37),"dd mmm yy"))&amp;" "&amp;Milestones!$AB$37&amp;" "&amp;Milestones!$AC$37&amp;";  ","")&amp;IF(AND(EDATE($D140,Milestones!$AA$38)&lt;=AsOfDate,IF($R140=0,$X140,IF(AND($T140&lt;&gt;"",EDATE($D140,Milestones!$AA$38)&gt;=$T140),$W140,IF(AND($S140&lt;&gt;"",EDATE($D140,Milestones!$AA$38)&gt;=$S140),$V140,$U140)))=Milestones!$AB$38),UPPER(TEXT(EDATE($D140,Milestones!$AA$38),"dd mmm yy"))&amp;" "&amp;Milestones!$AB$38&amp;" "&amp;Milestones!$AC$38&amp;";  ","")&amp;IF(AND(EDATE($D140,Milestones!$AA$39)&lt;=AsOfDate,IF($R140=0,$X140,IF(AND($T140&lt;&gt;"",EDATE($D140,Milestones!$AA$39)&gt;=$T140),$W140,IF(AND($S140&lt;&gt;"",EDATE($D140,Milestones!$AA$39)&gt;=$S140),$V140,$U140)))=Milestones!$AB$39),UPPER(TEXT(EDATE($D140,Milestones!$AA$39),"dd mmm yy"))&amp;" "&amp;Milestones!$AB$39&amp;" "&amp;Milestones!$AC$39&amp;";  ",""))</f>
        <v/>
      </c>
      <c r="J140" s="0" t="str">
        <f aca="false">IF(OR($A140="",$D140=""),"",IF(AND(EDATE($D140,Milestones!$AA$40)&lt;=AsOfDate,IF($R140=0,$X140,IF(AND($T140&lt;&gt;"",EDATE($D140,Milestones!$AA$40)&gt;=$T140),$W140,IF(AND($S140&lt;&gt;"",EDATE($D140,Milestones!$AA$40)&gt;=$S140),$V140,$U140)))=Milestones!$AB$40),UPPER(TEXT(EDATE($D140,Milestones!$AA$40),"dd mmm yy"))&amp;" "&amp;Milestones!$AB$40&amp;" "&amp;Milestones!$AC$40&amp;";  ","")&amp;IF(AND(EDATE($D140,Milestones!$AA$41)&lt;=AsOfDate,IF($R140=0,$X140,IF(AND($T140&lt;&gt;"",EDATE($D140,Milestones!$AA$41)&gt;=$T140),$W140,IF(AND($S140&lt;&gt;"",EDATE($D140,Milestones!$AA$41)&gt;=$S140),$V140,$U140)))=Milestones!$AB$41),UPPER(TEXT(EDATE($D140,Milestones!$AA$41),"dd mmm yy"))&amp;" "&amp;Milestones!$AB$41&amp;" "&amp;Milestones!$AC$41&amp;";  ","")&amp;IF(AND(EDATE($D140,Milestones!$AA$42)&lt;=AsOfDate,IF($R140=0,$X140,IF(AND($T140&lt;&gt;"",EDATE($D140,Milestones!$AA$42)&gt;=$T140),$W140,IF(AND($S140&lt;&gt;"",EDATE($D140,Milestones!$AA$42)&gt;=$S140),$V140,$U140)))=Milestones!$AB$42),UPPER(TEXT(EDATE($D140,Milestones!$AA$42),"dd mmm yy"))&amp;" "&amp;Milestones!$AB$42&amp;" "&amp;Milestones!$AC$42&amp;";  ","")&amp;IF(AND(EDATE($D140,Milestones!$AA$43)&lt;=AsOfDate,IF($R140=0,$X140,IF(AND($T140&lt;&gt;"",EDATE($D140,Milestones!$AA$43)&gt;=$T140),$W140,IF(AND($S140&lt;&gt;"",EDATE($D140,Milestones!$AA$43)&gt;=$S140),$V140,$U140)))=Milestones!$AB$43),UPPER(TEXT(EDATE($D140,Milestones!$AA$43),"dd mmm yy"))&amp;" "&amp;Milestones!$AB$43&amp;" "&amp;Milestones!$AC$43&amp;";  ","")&amp;IF(AND(EDATE($D140,Milestones!$AA$44)&lt;=AsOfDate,IF($R140=0,$X140,IF(AND($T140&lt;&gt;"",EDATE($D140,Milestones!$AA$44)&gt;=$T140),$W140,IF(AND($S140&lt;&gt;"",EDATE($D140,Milestones!$AA$44)&gt;=$S140),$V140,$U140)))=Milestones!$AB$44),UPPER(TEXT(EDATE($D140,Milestones!$AA$44),"dd mmm yy"))&amp;" "&amp;Milestones!$AB$44&amp;" "&amp;Milestones!$AC$44&amp;";  ","")&amp;IF(AND(EDATE($D140,Milestones!$AA$45)&lt;=AsOfDate,IF($R140=0,$X140,IF(AND($T140&lt;&gt;"",EDATE($D140,Milestones!$AA$45)&gt;=$T140),$W140,IF(AND($S140&lt;&gt;"",EDATE($D140,Milestones!$AA$45)&gt;=$S140),$V140,$U140)))=Milestones!$AB$45),UPPER(TEXT(EDATE($D140,Milestones!$AA$45),"dd mmm yy"))&amp;" "&amp;Milestones!$AB$45&amp;" "&amp;Milestones!$AC$45&amp;";  ","")&amp;IF(AND(EDATE($D140,Milestones!$AA$46)&lt;=AsOfDate,IF($R140=0,$X140,IF(AND($T140&lt;&gt;"",EDATE($D140,Milestones!$AA$46)&gt;=$T140),$W140,IF(AND($S140&lt;&gt;"",EDATE($D140,Milestones!$AA$46)&gt;=$S140),$V140,$U140)))=Milestones!$AB$46),UPPER(TEXT(EDATE($D140,Milestones!$AA$46),"dd mmm yy"))&amp;" "&amp;Milestones!$AB$46&amp;" "&amp;Milestones!$AC$46&amp;";  ","")&amp;IF(AND(EDATE($D140,Milestones!$AA$47)&lt;=AsOfDate,IF($R140=0,$X140,IF(AND($T140&lt;&gt;"",EDATE($D140,Milestones!$AA$47)&gt;=$T140),$W140,IF(AND($S140&lt;&gt;"",EDATE($D140,Milestones!$AA$47)&gt;=$S140),$V140,$U140)))=Milestones!$AB$47),UPPER(TEXT(EDATE($D140,Milestones!$AA$47),"dd mmm yy"))&amp;" "&amp;Milestones!$AB$47&amp;" "&amp;Milestones!$AC$47&amp;";  ","")&amp;IF(AND(EDATE($D140,Milestones!$AA$48)&lt;=AsOfDate,IF($R140=0,$X140,IF(AND($T140&lt;&gt;"",EDATE($D140,Milestones!$AA$48)&gt;=$T140),$W140,IF(AND($S140&lt;&gt;"",EDATE($D140,Milestones!$AA$48)&gt;=$S140),$V140,$U140)))=Milestones!$AB$48),UPPER(TEXT(EDATE($D140,Milestones!$AA$48),"dd mmm yy"))&amp;" "&amp;Milestones!$AB$48&amp;" "&amp;Milestones!$AC$48&amp;";  ","")&amp;IF(AND(EDATE($D140,Milestones!$AA$49)&lt;=AsOfDate,IF($R140=0,$X140,IF(AND($T140&lt;&gt;"",EDATE($D140,Milestones!$AA$49)&gt;=$T140),$W140,IF(AND($S140&lt;&gt;"",EDATE($D140,Milestones!$AA$49)&gt;=$S140),$V140,$U140)))=Milestones!$AB$49),UPPER(TEXT(EDATE($D140,Milestones!$AA$49),"dd mmm yy"))&amp;" "&amp;Milestones!$AB$49&amp;" "&amp;Milestones!$AC$49&amp;";  ","")&amp;IF(AND(EDATE($D140,Milestones!$AA$50)&lt;=AsOfDate,IF($R140=0,$X140,IF(AND($T140&lt;&gt;"",EDATE($D140,Milestones!$AA$50)&gt;=$T140),$W140,IF(AND($S140&lt;&gt;"",EDATE($D140,Milestones!$AA$50)&gt;=$S140),$V140,$U140)))=Milestones!$AB$50),UPPER(TEXT(EDATE($D140,Milestones!$AA$50),"dd mmm yy"))&amp;" "&amp;Milestones!$AB$50&amp;" "&amp;Milestones!$AC$50&amp;";  ","")&amp;IF(AND(EDATE($D140,Milestones!$AA$51)&lt;=AsOfDate,IF($R140=0,$X140,IF(AND($T140&lt;&gt;"",EDATE($D140,Milestones!$AA$51)&gt;=$T140),$W140,IF(AND($S140&lt;&gt;"",EDATE($D140,Milestones!$AA$51)&gt;=$S140),$V140,$U140)))=Milestones!$AB$51),UPPER(TEXT(EDATE($D140,Milestones!$AA$51),"dd mmm yy"))&amp;" "&amp;Milestones!$AB$51&amp;" "&amp;Milestones!$AC$51&amp;";  ","")&amp;IF(AND(EDATE($D140,Milestones!$AA$52)&lt;=AsOfDate,IF($R140=0,$X140,IF(AND($T140&lt;&gt;"",EDATE($D140,Milestones!$AA$52)&gt;=$T140),$W140,IF(AND($S140&lt;&gt;"",EDATE($D140,Milestones!$AA$52)&gt;=$S140),$V140,$U140)))=Milestones!$AB$52),UPPER(TEXT(EDATE($D140,Milestones!$AA$52),"dd mmm yy"))&amp;" "&amp;Milestones!$AB$52&amp;" "&amp;Milestones!$AC$52&amp;";  ","")&amp;IF(AND(EDATE($D140,Milestones!$AA$53)&lt;=AsOfDate,IF($R140=0,$X140,IF(AND($T140&lt;&gt;"",EDATE($D140,Milestones!$AA$53)&gt;=$T140),$W140,IF(AND($S140&lt;&gt;"",EDATE($D140,Milestones!$AA$53)&gt;=$S140),$V140,$U140)))=Milestones!$AB$53),UPPER(TEXT(EDATE($D140,Milestones!$AA$53),"dd mmm yy"))&amp;" "&amp;Milestones!$AB$53&amp;" "&amp;Milestones!$AC$53&amp;";  ","")&amp;IF(AND(EDATE($D140,Milestones!$AA$54)&lt;=AsOfDate,IF($R140=0,$X140,IF(AND($T140&lt;&gt;"",EDATE($D140,Milestones!$AA$54)&gt;=$T140),$W140,IF(AND($S140&lt;&gt;"",EDATE($D140,Milestones!$AA$54)&gt;=$S140),$V140,$U140)))=Milestones!$AB$54),UPPER(TEXT(EDATE($D140,Milestones!$AA$54),"dd mmm yy"))&amp;" "&amp;Milestones!$AB$54&amp;" "&amp;Milestones!$AC$54&amp;";  ","")&amp;IF(AND(EDATE($D140,Milestones!$AA$55)&lt;=AsOfDate,IF($R140=0,$X140,IF(AND($T140&lt;&gt;"",EDATE($D140,Milestones!$AA$55)&gt;=$T140),$W140,IF(AND($S140&lt;&gt;"",EDATE($D140,Milestones!$AA$55)&gt;=$S140),$V140,$U140)))=Milestones!$AB$55),UPPER(TEXT(EDATE($D140,Milestones!$AA$55),"dd mmm yy"))&amp;" "&amp;Milestones!$AB$55&amp;" "&amp;Milestones!$AC$55&amp;";  ","")&amp;IF(AND(EDATE($D140,Milestones!$AA$56)&lt;=AsOfDate,IF($R140=0,$X140,IF(AND($T140&lt;&gt;"",EDATE($D140,Milestones!$AA$56)&gt;=$T140),$W140,IF(AND($S140&lt;&gt;"",EDATE($D140,Milestones!$AA$56)&gt;=$S140),$V140,$U140)))=Milestones!$AB$56),UPPER(TEXT(EDATE($D140,Milestones!$AA$56),"dd mmm yy"))&amp;" "&amp;Milestones!$AB$56&amp;" "&amp;Milestones!$AC$56&amp;";  ","")&amp;IF(AND(EDATE($D140,Milestones!$AA$57)&lt;=AsOfDate,IF($R140=0,$X140,IF(AND($T140&lt;&gt;"",EDATE($D140,Milestones!$AA$57)&gt;=$T140),$W140,IF(AND($S140&lt;&gt;"",EDATE($D140,Milestones!$AA$57)&gt;=$S140),$V140,$U140)))=Milestones!$AB$57),UPPER(TEXT(EDATE($D140,Milestones!$AA$57),"dd mmm yy"))&amp;" "&amp;Milestones!$AB$57&amp;" "&amp;Milestones!$AC$57&amp;";  ","")&amp;IF(AND(EDATE($D140,Milestones!$AA$58)&lt;=AsOfDate,IF($R140=0,$X140,IF(AND($T140&lt;&gt;"",EDATE($D140,Milestones!$AA$58)&gt;=$T140),$W140,IF(AND($S140&lt;&gt;"",EDATE($D140,Milestones!$AA$58)&gt;=$S140),$V140,$U140)))=Milestones!$AB$58),UPPER(TEXT(EDATE($D140,Milestones!$AA$58),"dd mmm yy"))&amp;" "&amp;Milestones!$AB$58&amp;" "&amp;Milestones!$AC$58&amp;";  ","")&amp;IF(AND(EDATE($D140,Milestones!$AA$59)&lt;=AsOfDate,IF($R140=0,$X140,IF(AND($T140&lt;&gt;"",EDATE($D140,Milestones!$AA$59)&gt;=$T140),$W140,IF(AND($S140&lt;&gt;"",EDATE($D140,Milestones!$AA$59)&gt;=$S140),$V140,$U140)))=Milestones!$AB$59),UPPER(TEXT(EDATE($D140,Milestones!$AA$59),"dd mmm yy"))&amp;" "&amp;Milestones!$AB$59&amp;" "&amp;Milestones!$AC$59&amp;";  ",""))</f>
        <v/>
      </c>
      <c r="K140" s="0" t="str">
        <f aca="false">IF(OR($A140="",$D140=""),"",IF(AND(EDATE($D140,Milestones!$AA$60)&lt;=AsOfDate,IF($R140=0,$X140,IF(AND($T140&lt;&gt;"",EDATE($D140,Milestones!$AA$60)&gt;=$T140),$W140,IF(AND($S140&lt;&gt;"",EDATE($D140,Milestones!$AA$60)&gt;=$S140),$V140,$U140)))=Milestones!$AB$60),UPPER(TEXT(EDATE($D140,Milestones!$AA$60),"dd mmm yy"))&amp;" "&amp;Milestones!$AB$60&amp;" "&amp;Milestones!$AC$60&amp;";  ","")&amp;IF(AND(EDATE($D140,Milestones!$AA$61)&lt;=AsOfDate,IF($R140=0,$X140,IF(AND($T140&lt;&gt;"",EDATE($D140,Milestones!$AA$61)&gt;=$T140),$W140,IF(AND($S140&lt;&gt;"",EDATE($D140,Milestones!$AA$61)&gt;=$S140),$V140,$U140)))=Milestones!$AB$61),UPPER(TEXT(EDATE($D140,Milestones!$AA$61),"dd mmm yy"))&amp;" "&amp;Milestones!$AB$61&amp;" "&amp;Milestones!$AC$61&amp;";  ","")&amp;IF(AND(EDATE($D140,Milestones!$AA$62)&lt;=AsOfDate,IF($R140=0,$X140,IF(AND($T140&lt;&gt;"",EDATE($D140,Milestones!$AA$62)&gt;=$T140),$W140,IF(AND($S140&lt;&gt;"",EDATE($D140,Milestones!$AA$62)&gt;=$S140),$V140,$U140)))=Milestones!$AB$62),UPPER(TEXT(EDATE($D140,Milestones!$AA$62),"dd mmm yy"))&amp;" "&amp;Milestones!$AB$62&amp;" "&amp;Milestones!$AC$62&amp;";  ","")&amp;IF(AND(EDATE($D140,Milestones!$AA$63)&lt;=AsOfDate,IF($R140=0,$X140,IF(AND($T140&lt;&gt;"",EDATE($D140,Milestones!$AA$63)&gt;=$T140),$W140,IF(AND($S140&lt;&gt;"",EDATE($D140,Milestones!$AA$63)&gt;=$S140),$V140,$U140)))=Milestones!$AB$63),UPPER(TEXT(EDATE($D140,Milestones!$AA$63),"dd mmm yy"))&amp;" "&amp;Milestones!$AB$63&amp;" "&amp;Milestones!$AC$63&amp;";  ","")&amp;IF(AND(EDATE($D140,Milestones!$AA$64)&lt;=AsOfDate,IF($R140=0,$X140,IF(AND($T140&lt;&gt;"",EDATE($D140,Milestones!$AA$64)&gt;=$T140),$W140,IF(AND($S140&lt;&gt;"",EDATE($D140,Milestones!$AA$64)&gt;=$S140),$V140,$U140)))=Milestones!$AB$64),UPPER(TEXT(EDATE($D140,Milestones!$AA$64),"dd mmm yy"))&amp;" "&amp;Milestones!$AB$64&amp;" "&amp;Milestones!$AC$64&amp;";  ","")&amp;IF(AND(EDATE($D140,Milestones!$AA$65)&lt;=AsOfDate,IF($R140=0,$X140,IF(AND($T140&lt;&gt;"",EDATE($D140,Milestones!$AA$65)&gt;=$T140),$W140,IF(AND($S140&lt;&gt;"",EDATE($D140,Milestones!$AA$65)&gt;=$S140),$V140,$U140)))=Milestones!$AB$65),UPPER(TEXT(EDATE($D140,Milestones!$AA$65),"dd mmm yy"))&amp;" "&amp;Milestones!$AB$65&amp;" "&amp;Milestones!$AC$65&amp;";  ","")&amp;IF(AND(EDATE($D140,Milestones!$AA$66)&lt;=AsOfDate,IF($R140=0,$X140,IF(AND($T140&lt;&gt;"",EDATE($D140,Milestones!$AA$66)&gt;=$T140),$W140,IF(AND($S140&lt;&gt;"",EDATE($D140,Milestones!$AA$66)&gt;=$S140),$V140,$U140)))=Milestones!$AB$66),UPPER(TEXT(EDATE($D140,Milestones!$AA$66),"dd mmm yy"))&amp;" "&amp;Milestones!$AB$66&amp;" "&amp;Milestones!$AC$66&amp;";  ","")&amp;IF(AND(EDATE($D140,Milestones!$AA$67)&lt;=AsOfDate,IF($R140=0,$X140,IF(AND($T140&lt;&gt;"",EDATE($D140,Milestones!$AA$67)&gt;=$T140),$W140,IF(AND($S140&lt;&gt;"",EDATE($D140,Milestones!$AA$67)&gt;=$S140),$V140,$U140)))=Milestones!$AB$67),UPPER(TEXT(EDATE($D140,Milestones!$AA$67),"dd mmm yy"))&amp;" "&amp;Milestones!$AB$67&amp;" "&amp;Milestones!$AC$67&amp;";  ","")&amp;IF(AND(EDATE($D140,Milestones!$AA$68)&lt;=AsOfDate,IF($R140=0,$X140,IF(AND($T140&lt;&gt;"",EDATE($D140,Milestones!$AA$68)&gt;=$T140),$W140,IF(AND($S140&lt;&gt;"",EDATE($D140,Milestones!$AA$68)&gt;=$S140),$V140,$U140)))=Milestones!$AB$68),UPPER(TEXT(EDATE($D140,Milestones!$AA$68),"dd mmm yy"))&amp;" "&amp;Milestones!$AB$68&amp;" "&amp;Milestones!$AC$68&amp;";  ","")&amp;IF(AND(EDATE($D140,Milestones!$AA$69)&lt;=AsOfDate,IF($R140=0,$X140,IF(AND($T140&lt;&gt;"",EDATE($D140,Milestones!$AA$69)&gt;=$T140),$W140,IF(AND($S140&lt;&gt;"",EDATE($D140,Milestones!$AA$69)&gt;=$S140),$V140,$U140)))=Milestones!$AB$69),UPPER(TEXT(EDATE($D140,Milestones!$AA$69),"dd mmm yy"))&amp;" "&amp;Milestones!$AB$69&amp;" "&amp;Milestones!$AC$69&amp;";  ","")&amp;IF(AND(EDATE($D140,Milestones!$AA$70)&lt;=AsOfDate,IF($R140=0,$X140,IF(AND($T140&lt;&gt;"",EDATE($D140,Milestones!$AA$70)&gt;=$T140),$W140,IF(AND($S140&lt;&gt;"",EDATE($D140,Milestones!$AA$70)&gt;=$S140),$V140,$U140)))=Milestones!$AB$70),UPPER(TEXT(EDATE($D140,Milestones!$AA$70),"dd mmm yy"))&amp;" "&amp;Milestones!$AB$70&amp;" "&amp;Milestones!$AC$70&amp;";  ","")&amp;IF(AND(EDATE($D140,Milestones!$AA$71)&lt;=AsOfDate,IF($R140=0,$X140,IF(AND($T140&lt;&gt;"",EDATE($D140,Milestones!$AA$71)&gt;=$T140),$W140,IF(AND($S140&lt;&gt;"",EDATE($D140,Milestones!$AA$71)&gt;=$S140),$V140,$U140)))=Milestones!$AB$71),UPPER(TEXT(EDATE($D140,Milestones!$AA$71),"dd mmm yy"))&amp;" "&amp;Milestones!$AB$71&amp;" "&amp;Milestones!$AC$71&amp;";  ","")&amp;IF(AND(EDATE($D140,Milestones!$AA$72)&lt;=AsOfDate,IF($R140=0,$X140,IF(AND($T140&lt;&gt;"",EDATE($D140,Milestones!$AA$72)&gt;=$T140),$W140,IF(AND($S140&lt;&gt;"",EDATE($D140,Milestones!$AA$72)&gt;=$S140),$V140,$U140)))=Milestones!$AB$72),UPPER(TEXT(EDATE($D140,Milestones!$AA$72),"dd mmm yy"))&amp;" "&amp;Milestones!$AB$72&amp;" "&amp;Milestones!$AC$72&amp;";  ","")&amp;IF(AND(EDATE($D140,Milestones!$AA$73)&lt;=AsOfDate,IF($R140=0,$X140,IF(AND($T140&lt;&gt;"",EDATE($D140,Milestones!$AA$73)&gt;=$T140),$W140,IF(AND($S140&lt;&gt;"",EDATE($D140,Milestones!$AA$73)&gt;=$S140),$V140,$U140)))=Milestones!$AB$73),UPPER(TEXT(EDATE($D140,Milestones!$AA$73),"dd mmm yy"))&amp;" "&amp;Milestones!$AB$73&amp;" "&amp;Milestones!$AC$73&amp;";  ","")&amp;IF(AND(EDATE($D140,Milestones!$AA$74)&lt;=AsOfDate,IF($R140=0,$X140,IF(AND($T140&lt;&gt;"",EDATE($D140,Milestones!$AA$74)&gt;=$T140),$W140,IF(AND($S140&lt;&gt;"",EDATE($D140,Milestones!$AA$74)&gt;=$S140),$V140,$U140)))=Milestones!$AB$74),UPPER(TEXT(EDATE($D140,Milestones!$AA$74),"dd mmm yy"))&amp;" "&amp;Milestones!$AB$74&amp;" "&amp;Milestones!$AC$74&amp;";  ","")&amp;IF(AND(EDATE($D140,Milestones!$AA$75)&lt;=AsOfDate,IF($R140=0,$X140,IF(AND($T140&lt;&gt;"",EDATE($D140,Milestones!$AA$75)&gt;=$T140),$W140,IF(AND($S140&lt;&gt;"",EDATE($D140,Milestones!$AA$75)&gt;=$S140),$V140,$U140)))=Milestones!$AB$75),UPPER(TEXT(EDATE($D140,Milestones!$AA$75),"dd mmm yy"))&amp;" "&amp;Milestones!$AB$75&amp;" "&amp;Milestones!$AC$75&amp;";  ","")&amp;IF(AND(EDATE($D140,Milestones!$AA$76)&lt;=AsOfDate,IF($R140=0,$X140,IF(AND($T140&lt;&gt;"",EDATE($D140,Milestones!$AA$76)&gt;=$T140),$W140,IF(AND($S140&lt;&gt;"",EDATE($D140,Milestones!$AA$76)&gt;=$S140),$V140,$U140)))=Milestones!$AB$76),UPPER(TEXT(EDATE($D140,Milestones!$AA$76),"dd mmm yy"))&amp;" "&amp;Milestones!$AB$76&amp;" "&amp;Milestones!$AC$76&amp;";  ","")&amp;IF(AND(EDATE($D140,Milestones!$AA$77)&lt;=AsOfDate,IF($R140=0,$X140,IF(AND($T140&lt;&gt;"",EDATE($D140,Milestones!$AA$77)&gt;=$T140),$W140,IF(AND($S140&lt;&gt;"",EDATE($D140,Milestones!$AA$77)&gt;=$S140),$V140,$U140)))=Milestones!$AB$77),UPPER(TEXT(EDATE($D140,Milestones!$AA$77),"dd mmm yy"))&amp;" "&amp;Milestones!$AB$77&amp;" "&amp;Milestones!$AC$77&amp;";  ","")&amp;IF(AND(EDATE($D140,Milestones!$AA$78)&lt;=AsOfDate,IF($R140=0,$X140,IF(AND($T140&lt;&gt;"",EDATE($D140,Milestones!$AA$78)&gt;=$T140),$W140,IF(AND($S140&lt;&gt;"",EDATE($D140,Milestones!$AA$78)&gt;=$S140),$V140,$U140)))=Milestones!$AB$78),UPPER(TEXT(EDATE($D140,Milestones!$AA$78),"dd mmm yy"))&amp;" "&amp;Milestones!$AB$78&amp;" "&amp;Milestones!$AC$78&amp;";  ","")&amp;IF(AND(EDATE($D140,Milestones!$AA$79)&lt;=AsOfDate,IF($R140=0,$X140,IF(AND($T140&lt;&gt;"",EDATE($D140,Milestones!$AA$79)&gt;=$T140),$W140,IF(AND($S140&lt;&gt;"",EDATE($D140,Milestones!$AA$79)&gt;=$S140),$V140,$U140)))=Milestones!$AB$79),UPPER(TEXT(EDATE($D140,Milestones!$AA$79),"dd mmm yy"))&amp;" "&amp;Milestones!$AB$79&amp;" "&amp;Milestones!$AC$79&amp;";  ",""))</f>
        <v/>
      </c>
      <c r="L140" s="0" t="str">
        <f aca="false">IF(OR($A140="",$D140=""),"",IF(AND(EDATE($D140,Milestones!$AA$80)&lt;=AsOfDate,IF($R140=0,$X140,IF(AND($T140&lt;&gt;"",EDATE($D140,Milestones!$AA$80)&gt;=$T140),$W140,IF(AND($S140&lt;&gt;"",EDATE($D140,Milestones!$AA$80)&gt;=$S140),$V140,$U140)))=Milestones!$AB$80),UPPER(TEXT(EDATE($D140,Milestones!$AA$80),"dd mmm yy"))&amp;" "&amp;Milestones!$AB$80&amp;" "&amp;Milestones!$AC$80&amp;";  ","")&amp;IF(AND(EDATE($D140,Milestones!$AA$81)&lt;=AsOfDate,IF($R140=0,$X140,IF(AND($T140&lt;&gt;"",EDATE($D140,Milestones!$AA$81)&gt;=$T140),$W140,IF(AND($S140&lt;&gt;"",EDATE($D140,Milestones!$AA$81)&gt;=$S140),$V140,$U140)))=Milestones!$AB$81),UPPER(TEXT(EDATE($D140,Milestones!$AA$81),"dd mmm yy"))&amp;" "&amp;Milestones!$AB$81&amp;" "&amp;Milestones!$AC$81&amp;";  ","")&amp;IF(AND(EDATE($D140,Milestones!$AA$82)&lt;=AsOfDate,IF($R140=0,$X140,IF(AND($T140&lt;&gt;"",EDATE($D140,Milestones!$AA$82)&gt;=$T140),$W140,IF(AND($S140&lt;&gt;"",EDATE($D140,Milestones!$AA$82)&gt;=$S140),$V140,$U140)))=Milestones!$AB$82),UPPER(TEXT(EDATE($D140,Milestones!$AA$82),"dd mmm yy"))&amp;" "&amp;Milestones!$AB$82&amp;" "&amp;Milestones!$AC$82&amp;";  ","")&amp;IF(AND(EDATE($D140,Milestones!$AA$83)&lt;=AsOfDate,IF($R140=0,$X140,IF(AND($T140&lt;&gt;"",EDATE($D140,Milestones!$AA$83)&gt;=$T140),$W140,IF(AND($S140&lt;&gt;"",EDATE($D140,Milestones!$AA$83)&gt;=$S140),$V140,$U140)))=Milestones!$AB$83),UPPER(TEXT(EDATE($D140,Milestones!$AA$83),"dd mmm yy"))&amp;" "&amp;Milestones!$AB$83&amp;" "&amp;Milestones!$AC$83&amp;";  ","")&amp;IF(AND(EDATE($D140,Milestones!$AA$84)&lt;=AsOfDate,IF($R140=0,$X140,IF(AND($T140&lt;&gt;"",EDATE($D140,Milestones!$AA$84)&gt;=$T140),$W140,IF(AND($S140&lt;&gt;"",EDATE($D140,Milestones!$AA$84)&gt;=$S140),$V140,$U140)))=Milestones!$AB$84),UPPER(TEXT(EDATE($D140,Milestones!$AA$84),"dd mmm yy"))&amp;" "&amp;Milestones!$AB$84&amp;" "&amp;Milestones!$AC$84&amp;";  ","")&amp;IF(AND(EDATE($D140,Milestones!$AA$85)&lt;=AsOfDate,IF($R140=0,$X140,IF(AND($T140&lt;&gt;"",EDATE($D140,Milestones!$AA$85)&gt;=$T140),$W140,IF(AND($S140&lt;&gt;"",EDATE($D140,Milestones!$AA$85)&gt;=$S140),$V140,$U140)))=Milestones!$AB$85),UPPER(TEXT(EDATE($D140,Milestones!$AA$85),"dd mmm yy"))&amp;" "&amp;Milestones!$AB$85&amp;" "&amp;Milestones!$AC$85&amp;";  ","")&amp;IF(AND(EDATE($D140,Milestones!$AA$86)&lt;=AsOfDate,IF($R140=0,$X140,IF(AND($T140&lt;&gt;"",EDATE($D140,Milestones!$AA$86)&gt;=$T140),$W140,IF(AND($S140&lt;&gt;"",EDATE($D140,Milestones!$AA$86)&gt;=$S140),$V140,$U140)))=Milestones!$AB$86),UPPER(TEXT(EDATE($D140,Milestones!$AA$86),"dd mmm yy"))&amp;" "&amp;Milestones!$AB$86&amp;" "&amp;Milestones!$AC$86&amp;";  ","")&amp;IF(AND(EDATE($D140,Milestones!$AA$87)&lt;=AsOfDate,IF($R140=0,$X140,IF(AND($T140&lt;&gt;"",EDATE($D140,Milestones!$AA$87)&gt;=$T140),$W140,IF(AND($S140&lt;&gt;"",EDATE($D140,Milestones!$AA$87)&gt;=$S140),$V140,$U140)))=Milestones!$AB$87),UPPER(TEXT(EDATE($D140,Milestones!$AA$87),"dd mmm yy"))&amp;" "&amp;Milestones!$AB$87&amp;" "&amp;Milestones!$AC$87&amp;";  ","")&amp;IF(AND(EDATE($D140,Milestones!$AA$88)&lt;=AsOfDate,IF($R140=0,$X140,IF(AND($T140&lt;&gt;"",EDATE($D140,Milestones!$AA$88)&gt;=$T140),$W140,IF(AND($S140&lt;&gt;"",EDATE($D140,Milestones!$AA$88)&gt;=$S140),$V140,$U140)))=Milestones!$AB$88),UPPER(TEXT(EDATE($D140,Milestones!$AA$88),"dd mmm yy"))&amp;" "&amp;Milestones!$AB$88&amp;" "&amp;Milestones!$AC$88&amp;";  ","")&amp;IF(AND(EDATE($D140,Milestones!$AA$89)&lt;=AsOfDate,IF($R140=0,$X140,IF(AND($T140&lt;&gt;"",EDATE($D140,Milestones!$AA$89)&gt;=$T140),$W140,IF(AND($S140&lt;&gt;"",EDATE($D140,Milestones!$AA$89)&gt;=$S140),$V140,$U140)))=Milestones!$AB$89),UPPER(TEXT(EDATE($D140,Milestones!$AA$89),"dd mmm yy"))&amp;" "&amp;Milestones!$AB$89&amp;" "&amp;Milestones!$AC$89&amp;";  ","")&amp;IF(AND(EDATE($D140,Milestones!$AA$90)&lt;=AsOfDate,IF($R140=0,$X140,IF(AND($T140&lt;&gt;"",EDATE($D140,Milestones!$AA$90)&gt;=$T140),$W140,IF(AND($S140&lt;&gt;"",EDATE($D140,Milestones!$AA$90)&gt;=$S140),$V140,$U140)))=Milestones!$AB$90),UPPER(TEXT(EDATE($D140,Milestones!$AA$90),"dd mmm yy"))&amp;" "&amp;Milestones!$AB$90&amp;" "&amp;Milestones!$AC$90&amp;";  ","")&amp;IF(AND(EDATE($D140,Milestones!$AA$91)&lt;=AsOfDate,IF($R140=0,$X140,IF(AND($T140&lt;&gt;"",EDATE($D140,Milestones!$AA$91)&gt;=$T140),$W140,IF(AND($S140&lt;&gt;"",EDATE($D140,Milestones!$AA$91)&gt;=$S140),$V140,$U140)))=Milestones!$AB$91),UPPER(TEXT(EDATE($D140,Milestones!$AA$91),"dd mmm yy"))&amp;" "&amp;Milestones!$AB$91&amp;" "&amp;Milestones!$AC$91&amp;";  ","")&amp;IF(AND(EDATE($D140,Milestones!$AA$92)&lt;=AsOfDate,IF($R140=0,$X140,IF(AND($T140&lt;&gt;"",EDATE($D140,Milestones!$AA$92)&gt;=$T140),$W140,IF(AND($S140&lt;&gt;"",EDATE($D140,Milestones!$AA$92)&gt;=$S140),$V140,$U140)))=Milestones!$AB$92),UPPER(TEXT(EDATE($D140,Milestones!$AA$92),"dd mmm yy"))&amp;" "&amp;Milestones!$AB$92&amp;" "&amp;Milestones!$AC$92&amp;";  ","")&amp;IF(AND(EDATE($D140,Milestones!$AA$93)&lt;=AsOfDate,IF($R140=0,$X140,IF(AND($T140&lt;&gt;"",EDATE($D140,Milestones!$AA$93)&gt;=$T140),$W140,IF(AND($S140&lt;&gt;"",EDATE($D140,Milestones!$AA$93)&gt;=$S140),$V140,$U140)))=Milestones!$AB$93),UPPER(TEXT(EDATE($D140,Milestones!$AA$93),"dd mmm yy"))&amp;" "&amp;Milestones!$AB$93&amp;" "&amp;Milestones!$AC$93&amp;";  ","")&amp;IF(AND(EDATE($D140,Milestones!$AA$94)&lt;=AsOfDate,IF($R140=0,$X140,IF(AND($T140&lt;&gt;"",EDATE($D140,Milestones!$AA$94)&gt;=$T140),$W140,IF(AND($S140&lt;&gt;"",EDATE($D140,Milestones!$AA$94)&gt;=$S140),$V140,$U140)))=Milestones!$AB$94),UPPER(TEXT(EDATE($D140,Milestones!$AA$94),"dd mmm yy"))&amp;" "&amp;Milestones!$AB$94&amp;" "&amp;Milestones!$AC$94&amp;";  ","")&amp;IF(AND(EDATE($D140,Milestones!$AA$95)&lt;=AsOfDate,IF($R140=0,$X140,IF(AND($T140&lt;&gt;"",EDATE($D140,Milestones!$AA$95)&gt;=$T140),$W140,IF(AND($S140&lt;&gt;"",EDATE($D140,Milestones!$AA$95)&gt;=$S140),$V140,$U140)))=Milestones!$AB$95),UPPER(TEXT(EDATE($D140,Milestones!$AA$95),"dd mmm yy"))&amp;" "&amp;Milestones!$AB$95&amp;" "&amp;Milestones!$AC$95&amp;";  ","")&amp;IF(AND(EDATE($D140,Milestones!$AA$96)&lt;=AsOfDate,IF($R140=0,$X140,IF(AND($T140&lt;&gt;"",EDATE($D140,Milestones!$AA$96)&gt;=$T140),$W140,IF(AND($S140&lt;&gt;"",EDATE($D140,Milestones!$AA$96)&gt;=$S140),$V140,$U140)))=Milestones!$AB$96),UPPER(TEXT(EDATE($D140,Milestones!$AA$96),"dd mmm yy"))&amp;" "&amp;Milestones!$AB$96&amp;" "&amp;Milestones!$AC$96&amp;";  ","")&amp;IF(AND(EDATE($D140,Milestones!$AA$97)&lt;=AsOfDate,IF($R140=0,$X140,IF(AND($T140&lt;&gt;"",EDATE($D140,Milestones!$AA$97)&gt;=$T140),$W140,IF(AND($S140&lt;&gt;"",EDATE($D140,Milestones!$AA$97)&gt;=$S140),$V140,$U140)))=Milestones!$AB$97),UPPER(TEXT(EDATE($D140,Milestones!$AA$97),"dd mmm yy"))&amp;" "&amp;Milestones!$AB$97&amp;" "&amp;Milestones!$AC$97&amp;";  ","")&amp;IF(AND(EDATE($D140,Milestones!$AA$98)&lt;=AsOfDate,IF($R140=0,$X140,IF(AND($T140&lt;&gt;"",EDATE($D140,Milestones!$AA$98)&gt;=$T140),$W140,IF(AND($S140&lt;&gt;"",EDATE($D140,Milestones!$AA$98)&gt;=$S140),$V140,$U140)))=Milestones!$AB$98),UPPER(TEXT(EDATE($D140,Milestones!$AA$98),"dd mmm yy"))&amp;" "&amp;Milestones!$AB$98&amp;" "&amp;Milestones!$AC$98&amp;";  ","")&amp;IF(AND(EDATE($D140,Milestones!$AA$99)&lt;=AsOfDate,IF($R140=0,$X140,IF(AND($T140&lt;&gt;"",EDATE($D140,Milestones!$AA$99)&gt;=$T140),$W140,IF(AND($S140&lt;&gt;"",EDATE($D140,Milestones!$AA$99)&gt;=$S140),$V140,$U140)))=Milestones!$AB$99),UPPER(TEXT(EDATE($D140,Milestones!$AA$99),"dd mmm yy"))&amp;" "&amp;Milestones!$AB$99&amp;" "&amp;Milestones!$AC$99&amp;";  ",""))</f>
        <v/>
      </c>
      <c r="M140" s="0" t="str">
        <f aca="false">IF(OR($A140="",$D140=""),"",IF(AND(EDATE($D140,Milestones!$AA$100)&lt;=AsOfDate,IF($R140=0,$X140,IF(AND($T140&lt;&gt;"",EDATE($D140,Milestones!$AA$100)&gt;=$T140),$W140,IF(AND($S140&lt;&gt;"",EDATE($D140,Milestones!$AA$100)&gt;=$S140),$V140,$U140)))=Milestones!$AB$100),UPPER(TEXT(EDATE($D140,Milestones!$AA$100),"dd mmm yy"))&amp;" "&amp;Milestones!$AB$100&amp;" "&amp;Milestones!$AC$100&amp;";  ","")&amp;IF(AND(EDATE($D140,Milestones!$AA$101)&lt;=AsOfDate,IF($R140=0,$X140,IF(AND($T140&lt;&gt;"",EDATE($D140,Milestones!$AA$101)&gt;=$T140),$W140,IF(AND($S140&lt;&gt;"",EDATE($D140,Milestones!$AA$101)&gt;=$S140),$V140,$U140)))=Milestones!$AB$101),UPPER(TEXT(EDATE($D140,Milestones!$AA$101),"dd mmm yy"))&amp;" "&amp;Milestones!$AB$101&amp;" "&amp;Milestones!$AC$101&amp;";  ","")&amp;IF(AND(EDATE($D140,Milestones!$AA$102)&lt;=AsOfDate,IF($R140=0,$X140,IF(AND($T140&lt;&gt;"",EDATE($D140,Milestones!$AA$102)&gt;=$T140),$W140,IF(AND($S140&lt;&gt;"",EDATE($D140,Milestones!$AA$102)&gt;=$S140),$V140,$U140)))=Milestones!$AB$102),UPPER(TEXT(EDATE($D140,Milestones!$AA$102),"dd mmm yy"))&amp;" "&amp;Milestones!$AB$102&amp;" "&amp;Milestones!$AC$102&amp;";  ","")&amp;IF(AND(EDATE($D140,Milestones!$AA$103)&lt;=AsOfDate,IF($R140=0,$X140,IF(AND($T140&lt;&gt;"",EDATE($D140,Milestones!$AA$103)&gt;=$T140),$W140,IF(AND($S140&lt;&gt;"",EDATE($D140,Milestones!$AA$103)&gt;=$S140),$V140,$U140)))=Milestones!$AB$103),UPPER(TEXT(EDATE($D140,Milestones!$AA$103),"dd mmm yy"))&amp;" "&amp;Milestones!$AB$103&amp;" "&amp;Milestones!$AC$103&amp;";  ","")&amp;IF(AND(EDATE($D140,Milestones!$AA$104)&lt;=AsOfDate,IF($R140=0,$X140,IF(AND($T140&lt;&gt;"",EDATE($D140,Milestones!$AA$104)&gt;=$T140),$W140,IF(AND($S140&lt;&gt;"",EDATE($D140,Milestones!$AA$104)&gt;=$S140),$V140,$U140)))=Milestones!$AB$104),UPPER(TEXT(EDATE($D140,Milestones!$AA$104),"dd mmm yy"))&amp;" "&amp;Milestones!$AB$104&amp;" "&amp;Milestones!$AC$104&amp;";  ","")&amp;IF(AND(EDATE($D140,Milestones!$AA$105)&lt;=AsOfDate,IF($R140=0,$X140,IF(AND($T140&lt;&gt;"",EDATE($D140,Milestones!$AA$105)&gt;=$T140),$W140,IF(AND($S140&lt;&gt;"",EDATE($D140,Milestones!$AA$105)&gt;=$S140),$V140,$U140)))=Milestones!$AB$105),UPPER(TEXT(EDATE($D140,Milestones!$AA$105),"dd mmm yy"))&amp;" "&amp;Milestones!$AB$105&amp;" "&amp;Milestones!$AC$105&amp;";  ","")&amp;IF(AND(EDATE($D140,Milestones!$AA$106)&lt;=AsOfDate,IF($R140=0,$X140,IF(AND($T140&lt;&gt;"",EDATE($D140,Milestones!$AA$106)&gt;=$T140),$W140,IF(AND($S140&lt;&gt;"",EDATE($D140,Milestones!$AA$106)&gt;=$S140),$V140,$U140)))=Milestones!$AB$106),UPPER(TEXT(EDATE($D140,Milestones!$AA$106),"dd mmm yy"))&amp;" "&amp;Milestones!$AB$106&amp;" "&amp;Milestones!$AC$106&amp;";  ","")&amp;IF(AND(EDATE($D140,Milestones!$AA$107)&lt;=AsOfDate,IF($R140=0,$X140,IF(AND($T140&lt;&gt;"",EDATE($D140,Milestones!$AA$107)&gt;=$T140),$W140,IF(AND($S140&lt;&gt;"",EDATE($D140,Milestones!$AA$107)&gt;=$S140),$V140,$U140)))=Milestones!$AB$107),UPPER(TEXT(EDATE($D140,Milestones!$AA$107),"dd mmm yy"))&amp;" "&amp;Milestones!$AB$107&amp;" "&amp;Milestones!$AC$107&amp;";  ","")&amp;IF(AND(EDATE($D140,Milestones!$AA$108)&lt;=AsOfDate,IF($R140=0,$X140,IF(AND($T140&lt;&gt;"",EDATE($D140,Milestones!$AA$108)&gt;=$T140),$W140,IF(AND($S140&lt;&gt;"",EDATE($D140,Milestones!$AA$108)&gt;=$S140),$V140,$U140)))=Milestones!$AB$108),UPPER(TEXT(EDATE($D140,Milestones!$AA$108),"dd mmm yy"))&amp;" "&amp;Milestones!$AB$108&amp;" "&amp;Milestones!$AC$108&amp;";  ","")&amp;IF(AND(EDATE($D140,Milestones!$AA$109)&lt;=AsOfDate,IF($R140=0,$X140,IF(AND($T140&lt;&gt;"",EDATE($D140,Milestones!$AA$109)&gt;=$T140),$W140,IF(AND($S140&lt;&gt;"",EDATE($D140,Milestones!$AA$109)&gt;=$S140),$V140,$U140)))=Milestones!$AB$109),UPPER(TEXT(EDATE($D140,Milestones!$AA$109),"dd mmm yy"))&amp;" "&amp;Milestones!$AB$109&amp;" "&amp;Milestones!$AC$109&amp;";  ","")&amp;IF(AND(EDATE($D140,Milestones!$AA$110)&lt;=AsOfDate,IF($R140=0,$X140,IF(AND($T140&lt;&gt;"",EDATE($D140,Milestones!$AA$110)&gt;=$T140),$W140,IF(AND($S140&lt;&gt;"",EDATE($D140,Milestones!$AA$110)&gt;=$S140),$V140,$U140)))=Milestones!$AB$110),UPPER(TEXT(EDATE($D140,Milestones!$AA$110),"dd mmm yy"))&amp;" "&amp;Milestones!$AB$110&amp;" "&amp;Milestones!$AC$110&amp;";  ","")&amp;IF(AND(EDATE($D140,Milestones!$AA$111)&lt;=AsOfDate,IF($R140=0,$X140,IF(AND($T140&lt;&gt;"",EDATE($D140,Milestones!$AA$111)&gt;=$T140),$W140,IF(AND($S140&lt;&gt;"",EDATE($D140,Milestones!$AA$111)&gt;=$S140),$V140,$U140)))=Milestones!$AB$111),UPPER(TEXT(EDATE($D140,Milestones!$AA$111),"dd mmm yy"))&amp;" "&amp;Milestones!$AB$111&amp;" "&amp;Milestones!$AC$111&amp;";  ","")&amp;IF(AND(EDATE($D140,Milestones!$AA$112)&lt;=AsOfDate,IF($R140=0,$X140,IF(AND($T140&lt;&gt;"",EDATE($D140,Milestones!$AA$112)&gt;=$T140),$W140,IF(AND($S140&lt;&gt;"",EDATE($D140,Milestones!$AA$112)&gt;=$S140),$V140,$U140)))=Milestones!$AB$112),UPPER(TEXT(EDATE($D140,Milestones!$AA$112),"dd mmm yy"))&amp;" "&amp;Milestones!$AB$112&amp;" "&amp;Milestones!$AC$112&amp;";  ","")&amp;IF(AND(EDATE($D140,Milestones!$AA$113)&lt;=AsOfDate,IF($R140=0,$X140,IF(AND($T140&lt;&gt;"",EDATE($D140,Milestones!$AA$113)&gt;=$T140),$W140,IF(AND($S140&lt;&gt;"",EDATE($D140,Milestones!$AA$113)&gt;=$S140),$V140,$U140)))=Milestones!$AB$113),UPPER(TEXT(EDATE($D140,Milestones!$AA$113),"dd mmm yy"))&amp;" "&amp;Milestones!$AB$113&amp;" "&amp;Milestones!$AC$113&amp;";  ","")&amp;IF(AND(EDATE($D140,Milestones!$AA$114)&lt;=AsOfDate,IF($R140=0,$X140,IF(AND($T140&lt;&gt;"",EDATE($D140,Milestones!$AA$114)&gt;=$T140),$W140,IF(AND($S140&lt;&gt;"",EDATE($D140,Milestones!$AA$114)&gt;=$S140),$V140,$U140)))=Milestones!$AB$114),UPPER(TEXT(EDATE($D140,Milestones!$AA$114),"dd mmm yy"))&amp;" "&amp;Milestones!$AB$114&amp;" "&amp;Milestones!$AC$114&amp;";  ","")&amp;IF(AND(EDATE($D140,Milestones!$AA$115)&lt;=AsOfDate,IF($R140=0,$X140,IF(AND($T140&lt;&gt;"",EDATE($D140,Milestones!$AA$115)&gt;=$T140),$W140,IF(AND($S140&lt;&gt;"",EDATE($D140,Milestones!$AA$115)&gt;=$S140),$V140,$U140)))=Milestones!$AB$115),UPPER(TEXT(EDATE($D140,Milestones!$AA$115),"dd mmm yy"))&amp;" "&amp;Milestones!$AB$115&amp;" "&amp;Milestones!$AC$115&amp;";  ","")&amp;IF(AND(EDATE($D140,Milestones!$AA$116)&lt;=AsOfDate,IF($R140=0,$X140,IF(AND($T140&lt;&gt;"",EDATE($D140,Milestones!$AA$116)&gt;=$T140),$W140,IF(AND($S140&lt;&gt;"",EDATE($D140,Milestones!$AA$116)&gt;=$S140),$V140,$U140)))=Milestones!$AB$116),UPPER(TEXT(EDATE($D140,Milestones!$AA$116),"dd mmm yy"))&amp;" "&amp;Milestones!$AB$116&amp;" "&amp;Milestones!$AC$116&amp;";  ","")&amp;IF(AND(EDATE($D140,Milestones!$AA$117)&lt;=AsOfDate,IF($R140=0,$X140,IF(AND($T140&lt;&gt;"",EDATE($D140,Milestones!$AA$117)&gt;=$T140),$W140,IF(AND($S140&lt;&gt;"",EDATE($D140,Milestones!$AA$117)&gt;=$S140),$V140,$U140)))=Milestones!$AB$117),UPPER(TEXT(EDATE($D140,Milestones!$AA$117),"dd mmm yy"))&amp;" "&amp;Milestones!$AB$117&amp;" "&amp;Milestones!$AC$117&amp;";  ","")&amp;IF(AND(EDATE($D140,Milestones!$AA$118)&lt;=AsOfDate,IF($R140=0,$X140,IF(AND($T140&lt;&gt;"",EDATE($D140,Milestones!$AA$118)&gt;=$T140),$W140,IF(AND($S140&lt;&gt;"",EDATE($D140,Milestones!$AA$118)&gt;=$S140),$V140,$U140)))=Milestones!$AB$118),UPPER(TEXT(EDATE($D140,Milestones!$AA$118),"dd mmm yy"))&amp;" "&amp;Milestones!$AB$118&amp;" "&amp;Milestones!$AC$118&amp;";  ","")&amp;IF(AND(EDATE($D140,Milestones!$AA$119)&lt;=AsOfDate,IF($R140=0,$X140,IF(AND($T140&lt;&gt;"",EDATE($D140,Milestones!$AA$119)&gt;=$T140),$W140,IF(AND($S140&lt;&gt;"",EDATE($D140,Milestones!$AA$119)&gt;=$S140),$V140,$U140)))=Milestones!$AB$119),UPPER(TEXT(EDATE($D140,Milestones!$AA$119),"dd mmm yy"))&amp;" "&amp;Milestones!$AB$119&amp;" "&amp;Milestones!$AC$119&amp;";  ",""))</f>
        <v/>
      </c>
      <c r="N140" s="0" t="str">
        <f aca="false">IF(OR($A140="",$D140=""),"",IF(AND(EDATE($D140,Milestones!$AA$120)&lt;=AsOfDate,IF($R140=0,$X140,IF(AND($T140&lt;&gt;"",EDATE($D140,Milestones!$AA$120)&gt;=$T140),$W140,IF(AND($S140&lt;&gt;"",EDATE($D140,Milestones!$AA$120)&gt;=$S140),$V140,$U140)))=Milestones!$AB$120),UPPER(TEXT(EDATE($D140,Milestones!$AA$120),"dd mmm yy"))&amp;" "&amp;Milestones!$AB$120&amp;" "&amp;Milestones!$AC$120&amp;";  ","")&amp;IF(AND(EDATE($D140,Milestones!$AA$121)&lt;=AsOfDate,IF($R140=0,$X140,IF(AND($T140&lt;&gt;"",EDATE($D140,Milestones!$AA$121)&gt;=$T140),$W140,IF(AND($S140&lt;&gt;"",EDATE($D140,Milestones!$AA$121)&gt;=$S140),$V140,$U140)))=Milestones!$AB$121),UPPER(TEXT(EDATE($D140,Milestones!$AA$121),"dd mmm yy"))&amp;" "&amp;Milestones!$AB$121&amp;" "&amp;Milestones!$AC$121&amp;";  ","")&amp;IF(AND(EDATE($D140,Milestones!$AA$122)&lt;=AsOfDate,IF($R140=0,$X140,IF(AND($T140&lt;&gt;"",EDATE($D140,Milestones!$AA$122)&gt;=$T140),$W140,IF(AND($S140&lt;&gt;"",EDATE($D140,Milestones!$AA$122)&gt;=$S140),$V140,$U140)))=Milestones!$AB$122),UPPER(TEXT(EDATE($D140,Milestones!$AA$122),"dd mmm yy"))&amp;" "&amp;Milestones!$AB$122&amp;" "&amp;Milestones!$AC$122&amp;";  ","")&amp;IF(AND(EDATE($D140,Milestones!$AA$123)&lt;=AsOfDate,IF($R140=0,$X140,IF(AND($T140&lt;&gt;"",EDATE($D140,Milestones!$AA$123)&gt;=$T140),$W140,IF(AND($S140&lt;&gt;"",EDATE($D140,Milestones!$AA$123)&gt;=$S140),$V140,$U140)))=Milestones!$AB$123),UPPER(TEXT(EDATE($D140,Milestones!$AA$123),"dd mmm yy"))&amp;" "&amp;Milestones!$AB$123&amp;" "&amp;Milestones!$AC$123&amp;";  ","")&amp;IF(AND(EDATE($D140,Milestones!$AA$124)&lt;=AsOfDate,IF($R140=0,$X140,IF(AND($T140&lt;&gt;"",EDATE($D140,Milestones!$AA$124)&gt;=$T140),$W140,IF(AND($S140&lt;&gt;"",EDATE($D140,Milestones!$AA$124)&gt;=$S140),$V140,$U140)))=Milestones!$AB$124),UPPER(TEXT(EDATE($D140,Milestones!$AA$124),"dd mmm yy"))&amp;" "&amp;Milestones!$AB$124&amp;" "&amp;Milestones!$AC$124&amp;";  ","")&amp;IF(AND(EDATE($D140,Milestones!$AA$125)&lt;=AsOfDate,IF($R140=0,$X140,IF(AND($T140&lt;&gt;"",EDATE($D140,Milestones!$AA$125)&gt;=$T140),$W140,IF(AND($S140&lt;&gt;"",EDATE($D140,Milestones!$AA$125)&gt;=$S140),$V140,$U140)))=Milestones!$AB$125),UPPER(TEXT(EDATE($D140,Milestones!$AA$125),"dd mmm yy"))&amp;" "&amp;Milestones!$AB$125&amp;" "&amp;Milestones!$AC$125&amp;";  ","")&amp;IF(AND(EDATE($D140,Milestones!$AA$126)&lt;=AsOfDate,IF($R140=0,$X140,IF(AND($T140&lt;&gt;"",EDATE($D140,Milestones!$AA$126)&gt;=$T140),$W140,IF(AND($S140&lt;&gt;"",EDATE($D140,Milestones!$AA$126)&gt;=$S140),$V140,$U140)))=Milestones!$AB$126),UPPER(TEXT(EDATE($D140,Milestones!$AA$126),"dd mmm yy"))&amp;" "&amp;Milestones!$AB$126&amp;" "&amp;Milestones!$AC$126&amp;";  ","")&amp;IF(AND(EDATE($D140,Milestones!$AA$127)&lt;=AsOfDate,IF($R140=0,$X140,IF(AND($T140&lt;&gt;"",EDATE($D140,Milestones!$AA$127)&gt;=$T140),$W140,IF(AND($S140&lt;&gt;"",EDATE($D140,Milestones!$AA$127)&gt;=$S140),$V140,$U140)))=Milestones!$AB$127),UPPER(TEXT(EDATE($D140,Milestones!$AA$127),"dd mmm yy"))&amp;" "&amp;Milestones!$AB$127&amp;" "&amp;Milestones!$AC$127&amp;";  ","")&amp;IF(AND(EDATE($D140,Milestones!$AA$128)&lt;=AsOfDate,IF($R140=0,$X140,IF(AND($T140&lt;&gt;"",EDATE($D140,Milestones!$AA$128)&gt;=$T140),$W140,IF(AND($S140&lt;&gt;"",EDATE($D140,Milestones!$AA$128)&gt;=$S140),$V140,$U140)))=Milestones!$AB$128),UPPER(TEXT(EDATE($D140,Milestones!$AA$128),"dd mmm yy"))&amp;" "&amp;Milestones!$AB$128&amp;" "&amp;Milestones!$AC$128&amp;";  ","")&amp;IF(AND(EDATE($D140,Milestones!$AA$129)&lt;=AsOfDate,IF($R140=0,$X140,IF(AND($T140&lt;&gt;"",EDATE($D140,Milestones!$AA$129)&gt;=$T140),$W140,IF(AND($S140&lt;&gt;"",EDATE($D140,Milestones!$AA$129)&gt;=$S140),$V140,$U140)))=Milestones!$AB$129),UPPER(TEXT(EDATE($D140,Milestones!$AA$129),"dd mmm yy"))&amp;" "&amp;Milestones!$AB$129&amp;" "&amp;Milestones!$AC$129&amp;";  ","")&amp;IF(AND(EDATE($D140,Milestones!$AA$130)&lt;=AsOfDate,IF($R140=0,$X140,IF(AND($T140&lt;&gt;"",EDATE($D140,Milestones!$AA$130)&gt;=$T140),$W140,IF(AND($S140&lt;&gt;"",EDATE($D140,Milestones!$AA$130)&gt;=$S140),$V140,$U140)))=Milestones!$AB$130),UPPER(TEXT(EDATE($D140,Milestones!$AA$130),"dd mmm yy"))&amp;" "&amp;Milestones!$AB$130&amp;" "&amp;Milestones!$AC$130&amp;";  ","")&amp;IF(AND(EDATE($D140,Milestones!$AA$131)&lt;=AsOfDate,IF($R140=0,$X140,IF(AND($T140&lt;&gt;"",EDATE($D140,Milestones!$AA$131)&gt;=$T140),$W140,IF(AND($S140&lt;&gt;"",EDATE($D140,Milestones!$AA$131)&gt;=$S140),$V140,$U140)))=Milestones!$AB$131),UPPER(TEXT(EDATE($D140,Milestones!$AA$131),"dd mmm yy"))&amp;" "&amp;Milestones!$AB$131&amp;" "&amp;Milestones!$AC$131&amp;";  ","")&amp;IF(AND(EDATE($D140,Milestones!$AA$132)&lt;=AsOfDate,IF($R140=0,$X140,IF(AND($T140&lt;&gt;"",EDATE($D140,Milestones!$AA$132)&gt;=$T140),$W140,IF(AND($S140&lt;&gt;"",EDATE($D140,Milestones!$AA$132)&gt;=$S140),$V140,$U140)))=Milestones!$AB$132),UPPER(TEXT(EDATE($D140,Milestones!$AA$132),"dd mmm yy"))&amp;" "&amp;Milestones!$AB$132&amp;" "&amp;Milestones!$AC$132&amp;";  ","")&amp;IF(AND(EDATE($D140,Milestones!$AA$133)&lt;=AsOfDate,IF($R140=0,$X140,IF(AND($T140&lt;&gt;"",EDATE($D140,Milestones!$AA$133)&gt;=$T140),$W140,IF(AND($S140&lt;&gt;"",EDATE($D140,Milestones!$AA$133)&gt;=$S140),$V140,$U140)))=Milestones!$AB$133),UPPER(TEXT(EDATE($D140,Milestones!$AA$133),"dd mmm yy"))&amp;" "&amp;Milestones!$AB$133&amp;" "&amp;Milestones!$AC$133&amp;";  ","")&amp;IF(AND(EDATE($D140,Milestones!$AA$134)&lt;=AsOfDate,IF($R140=0,$X140,IF(AND($T140&lt;&gt;"",EDATE($D140,Milestones!$AA$134)&gt;=$T140),$W140,IF(AND($S140&lt;&gt;"",EDATE($D140,Milestones!$AA$134)&gt;=$S140),$V140,$U140)))=Milestones!$AB$134),UPPER(TEXT(EDATE($D140,Milestones!$AA$134),"dd mmm yy"))&amp;" "&amp;Milestones!$AB$134&amp;" "&amp;Milestones!$AC$134&amp;";  ","")&amp;IF(AND(EDATE($D140,Milestones!$AA$135)&lt;=AsOfDate,IF($R140=0,$X140,IF(AND($T140&lt;&gt;"",EDATE($D140,Milestones!$AA$135)&gt;=$T140),$W140,IF(AND($S140&lt;&gt;"",EDATE($D140,Milestones!$AA$135)&gt;=$S140),$V140,$U140)))=Milestones!$AB$135),UPPER(TEXT(EDATE($D140,Milestones!$AA$135),"dd mmm yy"))&amp;" "&amp;Milestones!$AB$135&amp;" "&amp;Milestones!$AC$135&amp;";  ","")&amp;IF(AND(EDATE($D140,Milestones!$AA$136)&lt;=AsOfDate,IF($R140=0,$X140,IF(AND($T140&lt;&gt;"",EDATE($D140,Milestones!$AA$136)&gt;=$T140),$W140,IF(AND($S140&lt;&gt;"",EDATE($D140,Milestones!$AA$136)&gt;=$S140),$V140,$U140)))=Milestones!$AB$136),UPPER(TEXT(EDATE($D140,Milestones!$AA$136),"dd mmm yy"))&amp;" "&amp;Milestones!$AB$136&amp;" "&amp;Milestones!$AC$136&amp;";  ","")&amp;IF(AND(EDATE($D140,Milestones!$AA$137)&lt;=AsOfDate,IF($R140=0,$X140,IF(AND($T140&lt;&gt;"",EDATE($D140,Milestones!$AA$137)&gt;=$T140),$W140,IF(AND($S140&lt;&gt;"",EDATE($D140,Milestones!$AA$137)&gt;=$S140),$V140,$U140)))=Milestones!$AB$137),UPPER(TEXT(EDATE($D140,Milestones!$AA$137),"dd mmm yy"))&amp;" "&amp;Milestones!$AB$137&amp;" "&amp;Milestones!$AC$137&amp;";  ","")&amp;IF(AND(EDATE($D140,Milestones!$AA$138)&lt;=AsOfDate,IF($R140=0,$X140,IF(AND($T140&lt;&gt;"",EDATE($D140,Milestones!$AA$138)&gt;=$T140),$W140,IF(AND($S140&lt;&gt;"",EDATE($D140,Milestones!$AA$138)&gt;=$S140),$V140,$U140)))=Milestones!$AB$138),UPPER(TEXT(EDATE($D140,Milestones!$AA$138),"dd mmm yy"))&amp;" "&amp;Milestones!$AB$138&amp;" "&amp;Milestones!$AC$138&amp;";  ","")&amp;IF(AND(EDATE($D140,Milestones!$AA$139)&lt;=AsOfDate,IF($R140=0,$X140,IF(AND($T140&lt;&gt;"",EDATE($D140,Milestones!$AA$139)&gt;=$T140),$W140,IF(AND($S140&lt;&gt;"",EDATE($D140,Milestones!$AA$139)&gt;=$S140),$V140,$U140)))=Milestones!$AB$139),UPPER(TEXT(EDATE($D140,Milestones!$AA$139),"dd mmm yy"))&amp;" "&amp;Milestones!$AB$139&amp;" "&amp;Milestones!$AC$139&amp;";  ",""))</f>
        <v/>
      </c>
      <c r="O140" s="0" t="str">
        <f aca="false">IF(OR($A140="",$D140=""),"",IF(AND(EDATE($D140,Milestones!$AA$140)&lt;=AsOfDate,IF($R140=0,$X140,IF(AND($T140&lt;&gt;"",EDATE($D140,Milestones!$AA$140)&gt;=$T140),$W140,IF(AND($S140&lt;&gt;"",EDATE($D140,Milestones!$AA$140)&gt;=$S140),$V140,$U140)))=Milestones!$AB$140),UPPER(TEXT(EDATE($D140,Milestones!$AA$140),"dd mmm yy"))&amp;" "&amp;Milestones!$AB$140&amp;" "&amp;Milestones!$AC$140&amp;";  ","")&amp;IF(AND(EDATE($D140,Milestones!$AA$141)&lt;=AsOfDate,IF($R140=0,$X140,IF(AND($T140&lt;&gt;"",EDATE($D140,Milestones!$AA$141)&gt;=$T140),$W140,IF(AND($S140&lt;&gt;"",EDATE($D140,Milestones!$AA$141)&gt;=$S140),$V140,$U140)))=Milestones!$AB$141),UPPER(TEXT(EDATE($D140,Milestones!$AA$141),"dd mmm yy"))&amp;" "&amp;Milestones!$AB$141&amp;" "&amp;Milestones!$AC$141&amp;";  ","")&amp;IF(AND(EDATE($D140,Milestones!$AA$142)&lt;=AsOfDate,IF($R140=0,$X140,IF(AND($T140&lt;&gt;"",EDATE($D140,Milestones!$AA$142)&gt;=$T140),$W140,IF(AND($S140&lt;&gt;"",EDATE($D140,Milestones!$AA$142)&gt;=$S140),$V140,$U140)))=Milestones!$AB$142),UPPER(TEXT(EDATE($D140,Milestones!$AA$142),"dd mmm yy"))&amp;" "&amp;Milestones!$AB$142&amp;" "&amp;Milestones!$AC$142&amp;";  ","")&amp;IF(AND(EDATE($D140,Milestones!$AA$143)&lt;=AsOfDate,IF($R140=0,$X140,IF(AND($T140&lt;&gt;"",EDATE($D140,Milestones!$AA$143)&gt;=$T140),$W140,IF(AND($S140&lt;&gt;"",EDATE($D140,Milestones!$AA$143)&gt;=$S140),$V140,$U140)))=Milestones!$AB$143),UPPER(TEXT(EDATE($D140,Milestones!$AA$143),"dd mmm yy"))&amp;" "&amp;Milestones!$AB$143&amp;" "&amp;Milestones!$AC$143&amp;";  ","")&amp;IF(AND(EDATE($D140,Milestones!$AA$144)&lt;=AsOfDate,IF($R140=0,$X140,IF(AND($T140&lt;&gt;"",EDATE($D140,Milestones!$AA$144)&gt;=$T140),$W140,IF(AND($S140&lt;&gt;"",EDATE($D140,Milestones!$AA$144)&gt;=$S140),$V140,$U140)))=Milestones!$AB$144),UPPER(TEXT(EDATE($D140,Milestones!$AA$144),"dd mmm yy"))&amp;" "&amp;Milestones!$AB$144&amp;" "&amp;Milestones!$AC$144&amp;";  ","")&amp;IF(AND(EDATE($D140,Milestones!$AA$145)&lt;=AsOfDate,IF($R140=0,$X140,IF(AND($T140&lt;&gt;"",EDATE($D140,Milestones!$AA$145)&gt;=$T140),$W140,IF(AND($S140&lt;&gt;"",EDATE($D140,Milestones!$AA$145)&gt;=$S140),$V140,$U140)))=Milestones!$AB$145),UPPER(TEXT(EDATE($D140,Milestones!$AA$145),"dd mmm yy"))&amp;" "&amp;Milestones!$AB$145&amp;" "&amp;Milestones!$AC$145&amp;";  ","")&amp;IF(AND(EDATE($D140,Milestones!$AA$146)&lt;=AsOfDate,IF($R140=0,$X140,IF(AND($T140&lt;&gt;"",EDATE($D140,Milestones!$AA$146)&gt;=$T140),$W140,IF(AND($S140&lt;&gt;"",EDATE($D140,Milestones!$AA$146)&gt;=$S140),$V140,$U140)))=Milestones!$AB$146),UPPER(TEXT(EDATE($D140,Milestones!$AA$146),"dd mmm yy"))&amp;" "&amp;Milestones!$AB$146&amp;" "&amp;Milestones!$AC$146&amp;";  ","")&amp;IF(AND(EDATE($D140,Milestones!$AA$147)&lt;=AsOfDate,IF($R140=0,$X140,IF(AND($T140&lt;&gt;"",EDATE($D140,Milestones!$AA$147)&gt;=$T140),$W140,IF(AND($S140&lt;&gt;"",EDATE($D140,Milestones!$AA$147)&gt;=$S140),$V140,$U140)))=Milestones!$AB$147),UPPER(TEXT(EDATE($D140,Milestones!$AA$147),"dd mmm yy"))&amp;" "&amp;Milestones!$AB$147&amp;" "&amp;Milestones!$AC$147&amp;";  ","")&amp;IF(AND(EDATE($D140,Milestones!$AA$148)&lt;=AsOfDate,IF($R140=0,$X140,IF(AND($T140&lt;&gt;"",EDATE($D140,Milestones!$AA$148)&gt;=$T140),$W140,IF(AND($S140&lt;&gt;"",EDATE($D140,Milestones!$AA$148)&gt;=$S140),$V140,$U140)))=Milestones!$AB$148),UPPER(TEXT(EDATE($D140,Milestones!$AA$148),"dd mmm yy"))&amp;" "&amp;Milestones!$AB$148&amp;" "&amp;Milestones!$AC$148&amp;";  ","")&amp;IF(AND(EDATE($D140,Milestones!$AA$149)&lt;=AsOfDate,IF($R140=0,$X140,IF(AND($T140&lt;&gt;"",EDATE($D140,Milestones!$AA$149)&gt;=$T140),$W140,IF(AND($S140&lt;&gt;"",EDATE($D140,Milestones!$AA$149)&gt;=$S140),$V140,$U140)))=Milestones!$AB$149),UPPER(TEXT(EDATE($D140,Milestones!$AA$149),"dd mmm yy"))&amp;" "&amp;Milestones!$AB$149&amp;" "&amp;Milestones!$AC$149&amp;";  ","")&amp;IF(AND(EDATE($D140,Milestones!$AA$150)&lt;=AsOfDate,IF($R140=0,$X140,IF(AND($T140&lt;&gt;"",EDATE($D140,Milestones!$AA$150)&gt;=$T140),$W140,IF(AND($S140&lt;&gt;"",EDATE($D140,Milestones!$AA$150)&gt;=$S140),$V140,$U140)))=Milestones!$AB$150),UPPER(TEXT(EDATE($D140,Milestones!$AA$150),"dd mmm yy"))&amp;" "&amp;Milestones!$AB$150&amp;" "&amp;Milestones!$AC$150&amp;";  ","")&amp;IF(AND(EDATE($D140,Milestones!$AA$151)&lt;=AsOfDate,IF($R140=0,$X140,IF(AND($T140&lt;&gt;"",EDATE($D140,Milestones!$AA$151)&gt;=$T140),$W140,IF(AND($S140&lt;&gt;"",EDATE($D140,Milestones!$AA$151)&gt;=$S140),$V140,$U140)))=Milestones!$AB$151),UPPER(TEXT(EDATE($D140,Milestones!$AA$151),"dd mmm yy"))&amp;" "&amp;Milestones!$AB$151&amp;" "&amp;Milestones!$AC$151&amp;";  ","")&amp;IF(AND(EDATE($D140,Milestones!$AA$152)&lt;=AsOfDate,IF($R140=0,$X140,IF(AND($T140&lt;&gt;"",EDATE($D140,Milestones!$AA$152)&gt;=$T140),$W140,IF(AND($S140&lt;&gt;"",EDATE($D140,Milestones!$AA$152)&gt;=$S140),$V140,$U140)))=Milestones!$AB$152),UPPER(TEXT(EDATE($D140,Milestones!$AA$152),"dd mmm yy"))&amp;" "&amp;Milestones!$AB$152&amp;" "&amp;Milestones!$AC$152&amp;";  ","")&amp;IF(AND(EDATE($D140,Milestones!$AA$153)&lt;=AsOfDate,IF($R140=0,$X140,IF(AND($T140&lt;&gt;"",EDATE($D140,Milestones!$AA$153)&gt;=$T140),$W140,IF(AND($S140&lt;&gt;"",EDATE($D140,Milestones!$AA$153)&gt;=$S140),$V140,$U140)))=Milestones!$AB$153),UPPER(TEXT(EDATE($D140,Milestones!$AA$153),"dd mmm yy"))&amp;" "&amp;Milestones!$AB$153&amp;" "&amp;Milestones!$AC$153&amp;";  ","")&amp;IF(AND(EDATE($D140,Milestones!$AA$154)&lt;=AsOfDate,IF($R140=0,$X140,IF(AND($T140&lt;&gt;"",EDATE($D140,Milestones!$AA$154)&gt;=$T140),$W140,IF(AND($S140&lt;&gt;"",EDATE($D140,Milestones!$AA$154)&gt;=$S140),$V140,$U140)))=Milestones!$AB$154),UPPER(TEXT(EDATE($D140,Milestones!$AA$154),"dd mmm yy"))&amp;" "&amp;Milestones!$AB$154&amp;" "&amp;Milestones!$AC$154&amp;";  ","")&amp;IF(AND(EDATE($D140,Milestones!$AA$155)&lt;=AsOfDate,IF($R140=0,$X140,IF(AND($T140&lt;&gt;"",EDATE($D140,Milestones!$AA$155)&gt;=$T140),$W140,IF(AND($S140&lt;&gt;"",EDATE($D140,Milestones!$AA$155)&gt;=$S140),$V140,$U140)))=Milestones!$AB$155),UPPER(TEXT(EDATE($D140,Milestones!$AA$155),"dd mmm yy"))&amp;" "&amp;Milestones!$AB$155&amp;" "&amp;Milestones!$AC$155&amp;";  ","")&amp;IF(AND(EDATE($D140,Milestones!$AA$156)&lt;=AsOfDate,IF($R140=0,$X140,IF(AND($T140&lt;&gt;"",EDATE($D140,Milestones!$AA$156)&gt;=$T140),$W140,IF(AND($S140&lt;&gt;"",EDATE($D140,Milestones!$AA$156)&gt;=$S140),$V140,$U140)))=Milestones!$AB$156),UPPER(TEXT(EDATE($D140,Milestones!$AA$156),"dd mmm yy"))&amp;" "&amp;Milestones!$AB$156&amp;" "&amp;Milestones!$AC$156&amp;";  ","")&amp;IF(AND(EDATE($D140,Milestones!$AA$157)&lt;=AsOfDate,IF($R140=0,$X140,IF(AND($T140&lt;&gt;"",EDATE($D140,Milestones!$AA$157)&gt;=$T140),$W140,IF(AND($S140&lt;&gt;"",EDATE($D140,Milestones!$AA$157)&gt;=$S140),$V140,$U140)))=Milestones!$AB$157),UPPER(TEXT(EDATE($D140,Milestones!$AA$157),"dd mmm yy"))&amp;" "&amp;Milestones!$AB$157&amp;" "&amp;Milestones!$AC$157&amp;";  ","")&amp;IF(AND(EDATE($D140,Milestones!$AA$158)&lt;=AsOfDate,IF($R140=0,$X140,IF(AND($T140&lt;&gt;"",EDATE($D140,Milestones!$AA$158)&gt;=$T140),$W140,IF(AND($S140&lt;&gt;"",EDATE($D140,Milestones!$AA$158)&gt;=$S140),$V140,$U140)))=Milestones!$AB$158),UPPER(TEXT(EDATE($D140,Milestones!$AA$158),"dd mmm yy"))&amp;" "&amp;Milestones!$AB$158&amp;" "&amp;Milestones!$AC$158&amp;";  ","")&amp;IF(AND(EDATE($D140,Milestones!$AA$159)&lt;=AsOfDate,IF($R140=0,$X140,IF(AND($T140&lt;&gt;"",EDATE($D140,Milestones!$AA$159)&gt;=$T140),$W140,IF(AND($S140&lt;&gt;"",EDATE($D140,Milestones!$AA$159)&gt;=$S140),$V140,$U140)))=Milestones!$AB$159),UPPER(TEXT(EDATE($D140,Milestones!$AA$159),"dd mmm yy"))&amp;" "&amp;Milestones!$AB$159&amp;" "&amp;Milestones!$AC$159&amp;";  ",""))</f>
        <v/>
      </c>
      <c r="P140" s="0" t="str">
        <f aca="false">IF(OR($A140="",$D140=""),"",IF(AND(EDATE($D140,Milestones!$AA$160)&lt;=AsOfDate,IF($R140=0,$X140,IF(AND($T140&lt;&gt;"",EDATE($D140,Milestones!$AA$160)&gt;=$T140),$W140,IF(AND($S140&lt;&gt;"",EDATE($D140,Milestones!$AA$160)&gt;=$S140),$V140,$U140)))=Milestones!$AB$160),UPPER(TEXT(EDATE($D140,Milestones!$AA$160),"dd mmm yy"))&amp;" "&amp;Milestones!$AB$160&amp;" "&amp;Milestones!$AC$160&amp;";  ","")&amp;IF(AND(EDATE($D140,Milestones!$AA$161)&lt;=AsOfDate,IF($R140=0,$X140,IF(AND($T140&lt;&gt;"",EDATE($D140,Milestones!$AA$161)&gt;=$T140),$W140,IF(AND($S140&lt;&gt;"",EDATE($D140,Milestones!$AA$161)&gt;=$S140),$V140,$U140)))=Milestones!$AB$161),UPPER(TEXT(EDATE($D140,Milestones!$AA$161),"dd mmm yy"))&amp;" "&amp;Milestones!$AB$161&amp;" "&amp;Milestones!$AC$161&amp;";  ","")&amp;IF(AND(EDATE($D140,Milestones!$AA$162)&lt;=AsOfDate,IF($R140=0,$X140,IF(AND($T140&lt;&gt;"",EDATE($D140,Milestones!$AA$162)&gt;=$T140),$W140,IF(AND($S140&lt;&gt;"",EDATE($D140,Milestones!$AA$162)&gt;=$S140),$V140,$U140)))=Milestones!$AB$162),UPPER(TEXT(EDATE($D140,Milestones!$AA$162),"dd mmm yy"))&amp;" "&amp;Milestones!$AB$162&amp;" "&amp;Milestones!$AC$162&amp;";  ","")&amp;IF(AND(EDATE($D140,Milestones!$AA$163)&lt;=AsOfDate,IF($R140=0,$X140,IF(AND($T140&lt;&gt;"",EDATE($D140,Milestones!$AA$163)&gt;=$T140),$W140,IF(AND($S140&lt;&gt;"",EDATE($D140,Milestones!$AA$163)&gt;=$S140),$V140,$U140)))=Milestones!$AB$163),UPPER(TEXT(EDATE($D140,Milestones!$AA$163),"dd mmm yy"))&amp;" "&amp;Milestones!$AB$163&amp;" "&amp;Milestones!$AC$163&amp;";  ","")&amp;IF(AND(EDATE($D140,Milestones!$AA$164)&lt;=AsOfDate,IF($R140=0,$X140,IF(AND($T140&lt;&gt;"",EDATE($D140,Milestones!$AA$164)&gt;=$T140),$W140,IF(AND($S140&lt;&gt;"",EDATE($D140,Milestones!$AA$164)&gt;=$S140),$V140,$U140)))=Milestones!$AB$164),UPPER(TEXT(EDATE($D140,Milestones!$AA$164),"dd mmm yy"))&amp;" "&amp;Milestones!$AB$164&amp;" "&amp;Milestones!$AC$164&amp;";  ","")&amp;IF(AND(EDATE($D140,Milestones!$AA$165)&lt;=AsOfDate,IF($R140=0,$X140,IF(AND($T140&lt;&gt;"",EDATE($D140,Milestones!$AA$165)&gt;=$T140),$W140,IF(AND($S140&lt;&gt;"",EDATE($D140,Milestones!$AA$165)&gt;=$S140),$V140,$U140)))=Milestones!$AB$165),UPPER(TEXT(EDATE($D140,Milestones!$AA$165),"dd mmm yy"))&amp;" "&amp;Milestones!$AB$165&amp;" "&amp;Milestones!$AC$165&amp;";  ","")&amp;IF(AND(EDATE($D140,Milestones!$AA$166)&lt;=AsOfDate,IF($R140=0,$X140,IF(AND($T140&lt;&gt;"",EDATE($D140,Milestones!$AA$166)&gt;=$T140),$W140,IF(AND($S140&lt;&gt;"",EDATE($D140,Milestones!$AA$166)&gt;=$S140),$V140,$U140)))=Milestones!$AB$166),UPPER(TEXT(EDATE($D140,Milestones!$AA$166),"dd mmm yy"))&amp;" "&amp;Milestones!$AB$166&amp;" "&amp;Milestones!$AC$166&amp;";  ","")&amp;IF(AND(EDATE($D140,Milestones!$AA$167)&lt;=AsOfDate,IF($R140=0,$X140,IF(AND($T140&lt;&gt;"",EDATE($D140,Milestones!$AA$167)&gt;=$T140),$W140,IF(AND($S140&lt;&gt;"",EDATE($D140,Milestones!$AA$167)&gt;=$S140),$V140,$U140)))=Milestones!$AB$167),UPPER(TEXT(EDATE($D140,Milestones!$AA$167),"dd mmm yy"))&amp;" "&amp;Milestones!$AB$167&amp;" "&amp;Milestones!$AC$167&amp;";  ","")&amp;IF(AND(EDATE($D140,Milestones!$AA$168)&lt;=AsOfDate,IF($R140=0,$X140,IF(AND($T140&lt;&gt;"",EDATE($D140,Milestones!$AA$168)&gt;=$T140),$W140,IF(AND($S140&lt;&gt;"",EDATE($D140,Milestones!$AA$168)&gt;=$S140),$V140,$U140)))=Milestones!$AB$168),UPPER(TEXT(EDATE($D140,Milestones!$AA$168),"dd mmm yy"))&amp;" "&amp;Milestones!$AB$168&amp;" "&amp;Milestones!$AC$168&amp;";  ","")&amp;IF(AND(EDATE($D140,Milestones!$AA$169)&lt;=AsOfDate,IF($R140=0,$X140,IF(AND($T140&lt;&gt;"",EDATE($D140,Milestones!$AA$169)&gt;=$T140),$W140,IF(AND($S140&lt;&gt;"",EDATE($D140,Milestones!$AA$169)&gt;=$S140),$V140,$U140)))=Milestones!$AB$169),UPPER(TEXT(EDATE($D140,Milestones!$AA$169),"dd mmm yy"))&amp;" "&amp;Milestones!$AB$169&amp;" "&amp;Milestones!$AC$169&amp;";  ","")&amp;IF(AND(EDATE($D140,Milestones!$AA$170)&lt;=AsOfDate,IF($R140=0,$X140,IF(AND($T140&lt;&gt;"",EDATE($D140,Milestones!$AA$170)&gt;=$T140),$W140,IF(AND($S140&lt;&gt;"",EDATE($D140,Milestones!$AA$170)&gt;=$S140),$V140,$U140)))=Milestones!$AB$170),UPPER(TEXT(EDATE($D140,Milestones!$AA$170),"dd mmm yy"))&amp;" "&amp;Milestones!$AB$170&amp;" "&amp;Milestones!$AC$170&amp;";  ","")&amp;IF(AND(EDATE($D140,Milestones!$AA$171)&lt;=AsOfDate,IF($R140=0,$X140,IF(AND($T140&lt;&gt;"",EDATE($D140,Milestones!$AA$171)&gt;=$T140),$W140,IF(AND($S140&lt;&gt;"",EDATE($D140,Milestones!$AA$171)&gt;=$S140),$V140,$U140)))=Milestones!$AB$171),UPPER(TEXT(EDATE($D140,Milestones!$AA$171),"dd mmm yy"))&amp;" "&amp;Milestones!$AB$171&amp;" "&amp;Milestones!$AC$171&amp;";  ","")&amp;IF(AND(EDATE($D140,Milestones!$AA$172)&lt;=AsOfDate,IF($R140=0,$X140,IF(AND($T140&lt;&gt;"",EDATE($D140,Milestones!$AA$172)&gt;=$T140),$W140,IF(AND($S140&lt;&gt;"",EDATE($D140,Milestones!$AA$172)&gt;=$S140),$V140,$U140)))=Milestones!$AB$172),UPPER(TEXT(EDATE($D140,Milestones!$AA$172),"dd mmm yy"))&amp;" "&amp;Milestones!$AB$172&amp;" "&amp;Milestones!$AC$172&amp;";  ","")&amp;IF(AND(EDATE($D140,Milestones!$AA$173)&lt;=AsOfDate,IF($R140=0,$X140,IF(AND($T140&lt;&gt;"",EDATE($D140,Milestones!$AA$173)&gt;=$T140),$W140,IF(AND($S140&lt;&gt;"",EDATE($D140,Milestones!$AA$173)&gt;=$S140),$V140,$U140)))=Milestones!$AB$173),UPPER(TEXT(EDATE($D140,Milestones!$AA$173),"dd mmm yy"))&amp;" "&amp;Milestones!$AB$173&amp;" "&amp;Milestones!$AC$173&amp;";  ","")&amp;IF(AND(EDATE($D140,Milestones!$AA$174)&lt;=AsOfDate,IF($R140=0,$X140,IF(AND($T140&lt;&gt;"",EDATE($D140,Milestones!$AA$174)&gt;=$T140),$W140,IF(AND($S140&lt;&gt;"",EDATE($D140,Milestones!$AA$174)&gt;=$S140),$V140,$U140)))=Milestones!$AB$174),UPPER(TEXT(EDATE($D140,Milestones!$AA$174),"dd mmm yy"))&amp;" "&amp;Milestones!$AB$174&amp;" "&amp;Milestones!$AC$174&amp;";  ","")&amp;IF(AND(EDATE($D140,Milestones!$AA$175)&lt;=AsOfDate,IF($R140=0,$X140,IF(AND($T140&lt;&gt;"",EDATE($D140,Milestones!$AA$175)&gt;=$T140),$W140,IF(AND($S140&lt;&gt;"",EDATE($D140,Milestones!$AA$175)&gt;=$S140),$V140,$U140)))=Milestones!$AB$175),UPPER(TEXT(EDATE($D140,Milestones!$AA$175),"dd mmm yy"))&amp;" "&amp;Milestones!$AB$175&amp;" "&amp;Milestones!$AC$175&amp;";  ","")&amp;IF(AND(EDATE($D140,Milestones!$AA$176)&lt;=AsOfDate,IF($R140=0,$X140,IF(AND($T140&lt;&gt;"",EDATE($D140,Milestones!$AA$176)&gt;=$T140),$W140,IF(AND($S140&lt;&gt;"",EDATE($D140,Milestones!$AA$176)&gt;=$S140),$V140,$U140)))=Milestones!$AB$176),UPPER(TEXT(EDATE($D140,Milestones!$AA$176),"dd mmm yy"))&amp;" "&amp;Milestones!$AB$176&amp;" "&amp;Milestones!$AC$176&amp;";  ","")&amp;IF(AND(EDATE($D140,Milestones!$AA$177)&lt;=AsOfDate,IF($R140=0,$X140,IF(AND($T140&lt;&gt;"",EDATE($D140,Milestones!$AA$177)&gt;=$T140),$W140,IF(AND($S140&lt;&gt;"",EDATE($D140,Milestones!$AA$177)&gt;=$S140),$V140,$U140)))=Milestones!$AB$177),UPPER(TEXT(EDATE($D140,Milestones!$AA$177),"dd mmm yy"))&amp;" "&amp;Milestones!$AB$177&amp;" "&amp;Milestones!$AC$177&amp;";  ","")&amp;IF(AND(EDATE($D140,Milestones!$AA$178)&lt;=AsOfDate,IF($R140=0,$X140,IF(AND($T140&lt;&gt;"",EDATE($D140,Milestones!$AA$178)&gt;=$T140),$W140,IF(AND($S140&lt;&gt;"",EDATE($D140,Milestones!$AA$178)&gt;=$S140),$V140,$U140)))=Milestones!$AB$178),UPPER(TEXT(EDATE($D140,Milestones!$AA$178),"dd mmm yy"))&amp;" "&amp;Milestones!$AB$178&amp;" "&amp;Milestones!$AC$178&amp;";  ","")&amp;IF(AND(EDATE($D140,Milestones!$AA$179)&lt;=AsOfDate,IF($R140=0,$X140,IF(AND($T140&lt;&gt;"",EDATE($D140,Milestones!$AA$179)&gt;=$T140),$W140,IF(AND($S140&lt;&gt;"",EDATE($D140,Milestones!$AA$179)&gt;=$S140),$V140,$U140)))=Milestones!$AB$179),UPPER(TEXT(EDATE($D140,Milestones!$AA$179),"dd mmm yy"))&amp;" "&amp;Milestones!$AB$179&amp;" "&amp;Milestones!$AC$179&amp;";  ",""))</f>
        <v/>
      </c>
      <c r="Q140" s="0" t="str">
        <f aca="false">IF(OR($A140="",$D140=""),"",IF(AND(EDATE($D140,Milestones!$AA$180)&lt;=AsOfDate,IF($R140=0,$X140,IF(AND($T140&lt;&gt;"",EDATE($D140,Milestones!$AA$180)&gt;=$T140),$W140,IF(AND($S140&lt;&gt;"",EDATE($D140,Milestones!$AA$180)&gt;=$S140),$V140,$U140)))=Milestones!$AB$180),UPPER(TEXT(EDATE($D140,Milestones!$AA$180),"dd mmm yy"))&amp;" "&amp;Milestones!$AB$180&amp;" "&amp;Milestones!$AC$180&amp;";  ","")&amp;IF(AND(EDATE($D140,Milestones!$AA$181)&lt;=AsOfDate,IF($R140=0,$X140,IF(AND($T140&lt;&gt;"",EDATE($D140,Milestones!$AA$181)&gt;=$T140),$W140,IF(AND($S140&lt;&gt;"",EDATE($D140,Milestones!$AA$181)&gt;=$S140),$V140,$U140)))=Milestones!$AB$181),UPPER(TEXT(EDATE($D140,Milestones!$AA$181),"dd mmm yy"))&amp;" "&amp;Milestones!$AB$181&amp;" "&amp;Milestones!$AC$181&amp;";  ","")&amp;IF(AND(EDATE($D140,Milestones!$AA$182)&lt;=AsOfDate,IF($R140=0,$X140,IF(AND($T140&lt;&gt;"",EDATE($D140,Milestones!$AA$182)&gt;=$T140),$W140,IF(AND($S140&lt;&gt;"",EDATE($D140,Milestones!$AA$182)&gt;=$S140),$V140,$U140)))=Milestones!$AB$182),UPPER(TEXT(EDATE($D140,Milestones!$AA$182),"dd mmm yy"))&amp;" "&amp;Milestones!$AB$182&amp;" "&amp;Milestones!$AC$182&amp;";  ","")&amp;IF(AND(EDATE($D140,Milestones!$AA$183)&lt;=AsOfDate,IF($R140=0,$X140,IF(AND($T140&lt;&gt;"",EDATE($D140,Milestones!$AA$183)&gt;=$T140),$W140,IF(AND($S140&lt;&gt;"",EDATE($D140,Milestones!$AA$183)&gt;=$S140),$V140,$U140)))=Milestones!$AB$183),UPPER(TEXT(EDATE($D140,Milestones!$AA$183),"dd mmm yy"))&amp;" "&amp;Milestones!$AB$183&amp;" "&amp;Milestones!$AC$183&amp;";  ","")&amp;IF(AND(EDATE($D140,Milestones!$AA$184)&lt;=AsOfDate,IF($R140=0,$X140,IF(AND($T140&lt;&gt;"",EDATE($D140,Milestones!$AA$184)&gt;=$T140),$W140,IF(AND($S140&lt;&gt;"",EDATE($D140,Milestones!$AA$184)&gt;=$S140),$V140,$U140)))=Milestones!$AB$184),UPPER(TEXT(EDATE($D140,Milestones!$AA$184),"dd mmm yy"))&amp;" "&amp;Milestones!$AB$184&amp;" "&amp;Milestones!$AC$184&amp;";  ","")&amp;IF(AND(EDATE($D140,Milestones!$AA$185)&lt;=AsOfDate,IF($R140=0,$X140,IF(AND($T140&lt;&gt;"",EDATE($D140,Milestones!$AA$185)&gt;=$T140),$W140,IF(AND($S140&lt;&gt;"",EDATE($D140,Milestones!$AA$185)&gt;=$S140),$V140,$U140)))=Milestones!$AB$185),UPPER(TEXT(EDATE($D140,Milestones!$AA$185),"dd mmm yy"))&amp;" "&amp;Milestones!$AB$185&amp;" "&amp;Milestones!$AC$185&amp;";  ","")&amp;IF(AND(EDATE($D140,Milestones!$AA$186)&lt;=AsOfDate,IF($R140=0,$X140,IF(AND($T140&lt;&gt;"",EDATE($D140,Milestones!$AA$186)&gt;=$T140),$W140,IF(AND($S140&lt;&gt;"",EDATE($D140,Milestones!$AA$186)&gt;=$S140),$V140,$U140)))=Milestones!$AB$186),UPPER(TEXT(EDATE($D140,Milestones!$AA$186),"dd mmm yy"))&amp;" "&amp;Milestones!$AB$186&amp;" "&amp;Milestones!$AC$186&amp;";  ","")&amp;IF(AND(EDATE($D140,Milestones!$AA$187)&lt;=AsOfDate,IF($R140=0,$X140,IF(AND($T140&lt;&gt;"",EDATE($D140,Milestones!$AA$187)&gt;=$T140),$W140,IF(AND($S140&lt;&gt;"",EDATE($D140,Milestones!$AA$187)&gt;=$S140),$V140,$U140)))=Milestones!$AB$187),UPPER(TEXT(EDATE($D140,Milestones!$AA$187),"dd mmm yy"))&amp;" "&amp;Milestones!$AB$187&amp;" "&amp;Milestones!$AC$187&amp;";  ","")&amp;IF(AND(EDATE($D140,Milestones!$AA$188)&lt;=AsOfDate,IF($R140=0,$X140,IF(AND($T140&lt;&gt;"",EDATE($D140,Milestones!$AA$188)&gt;=$T140),$W140,IF(AND($S140&lt;&gt;"",EDATE($D140,Milestones!$AA$188)&gt;=$S140),$V140,$U140)))=Milestones!$AB$188),UPPER(TEXT(EDATE($D140,Milestones!$AA$188),"dd mmm yy"))&amp;" "&amp;Milestones!$AB$188&amp;" "&amp;Milestones!$AC$188&amp;";  ","")&amp;IF(AND(EDATE($D140,Milestones!$AA$189)&lt;=AsOfDate,IF($R140=0,$X140,IF(AND($T140&lt;&gt;"",EDATE($D140,Milestones!$AA$189)&gt;=$T140),$W140,IF(AND($S140&lt;&gt;"",EDATE($D140,Milestones!$AA$189)&gt;=$S140),$V140,$U140)))=Milestones!$AB$189),UPPER(TEXT(EDATE($D140,Milestones!$AA$189),"dd mmm yy"))&amp;" "&amp;Milestones!$AB$189&amp;" "&amp;Milestones!$AC$189&amp;";  ","")&amp;IF(AND(EDATE($D140,Milestones!$AA$190)&lt;=AsOfDate,IF($R140=0,$X140,IF(AND($T140&lt;&gt;"",EDATE($D140,Milestones!$AA$190)&gt;=$T140),$W140,IF(AND($S140&lt;&gt;"",EDATE($D140,Milestones!$AA$190)&gt;=$S140),$V140,$U140)))=Milestones!$AB$190),UPPER(TEXT(EDATE($D140,Milestones!$AA$190),"dd mmm yy"))&amp;" "&amp;Milestones!$AB$190&amp;" "&amp;Milestones!$AC$190&amp;";  ","")&amp;IF(AND(EDATE($D140,Milestones!$AA$191)&lt;=AsOfDate,IF($R140=0,$X140,IF(AND($T140&lt;&gt;"",EDATE($D140,Milestones!$AA$191)&gt;=$T140),$W140,IF(AND($S140&lt;&gt;"",EDATE($D140,Milestones!$AA$191)&gt;=$S140),$V140,$U140)))=Milestones!$AB$191),UPPER(TEXT(EDATE($D140,Milestones!$AA$191),"dd mmm yy"))&amp;" "&amp;Milestones!$AB$191&amp;" "&amp;Milestones!$AC$191&amp;";  ","")&amp;IF(AND(EDATE($D140,Milestones!$AA$192)&lt;=AsOfDate,IF($R140=0,$X140,IF(AND($T140&lt;&gt;"",EDATE($D140,Milestones!$AA$192)&gt;=$T140),$W140,IF(AND($S140&lt;&gt;"",EDATE($D140,Milestones!$AA$192)&gt;=$S140),$V140,$U140)))=Milestones!$AB$192),UPPER(TEXT(EDATE($D140,Milestones!$AA$192),"dd mmm yy"))&amp;" "&amp;Milestones!$AB$192&amp;" "&amp;Milestones!$AC$192&amp;";  ","")&amp;IF(AND(EDATE($D140,Milestones!$AA$193)&lt;=AsOfDate,IF($R140=0,$X140,IF(AND($T140&lt;&gt;"",EDATE($D140,Milestones!$AA$193)&gt;=$T140),$W140,IF(AND($S140&lt;&gt;"",EDATE($D140,Milestones!$AA$193)&gt;=$S140),$V140,$U140)))=Milestones!$AB$193),UPPER(TEXT(EDATE($D140,Milestones!$AA$193),"dd mmm yy"))&amp;" "&amp;Milestones!$AB$193&amp;" "&amp;Milestones!$AC$193&amp;";  ","")&amp;IF(AND(EDATE($D140,Milestones!$AA$194)&lt;=AsOfDate,IF($R140=0,$X140,IF(AND($T140&lt;&gt;"",EDATE($D140,Milestones!$AA$194)&gt;=$T140),$W140,IF(AND($S140&lt;&gt;"",EDATE($D140,Milestones!$AA$194)&gt;=$S140),$V140,$U140)))=Milestones!$AB$194),UPPER(TEXT(EDATE($D140,Milestones!$AA$194),"dd mmm yy"))&amp;" "&amp;Milestones!$AB$194&amp;" "&amp;Milestones!$AC$194&amp;";  ","")&amp;IF(AND(EDATE($D140,Milestones!$AA$195)&lt;=AsOfDate,IF($R140=0,$X140,IF(AND($T140&lt;&gt;"",EDATE($D140,Milestones!$AA$195)&gt;=$T140),$W140,IF(AND($S140&lt;&gt;"",EDATE($D140,Milestones!$AA$195)&gt;=$S140),$V140,$U140)))=Milestones!$AB$195),UPPER(TEXT(EDATE($D140,Milestones!$AA$195),"dd mmm yy"))&amp;" "&amp;Milestones!$AB$195&amp;" "&amp;Milestones!$AC$195&amp;";  ","")&amp;IF(AND(EDATE($D140,Milestones!$AA$196)&lt;=AsOfDate,IF($R140=0,$X140,IF(AND($T140&lt;&gt;"",EDATE($D140,Milestones!$AA$196)&gt;=$T140),$W140,IF(AND($S140&lt;&gt;"",EDATE($D140,Milestones!$AA$196)&gt;=$S140),$V140,$U140)))=Milestones!$AB$196),UPPER(TEXT(EDATE($D140,Milestones!$AA$196),"dd mmm yy"))&amp;" "&amp;Milestones!$AB$196&amp;" "&amp;Milestones!$AC$196&amp;";  ","")&amp;IF(AND(EDATE($D140,Milestones!$AA$197)&lt;=AsOfDate,IF($R140=0,$X140,IF(AND($T140&lt;&gt;"",EDATE($D140,Milestones!$AA$197)&gt;=$T140),$W140,IF(AND($S140&lt;&gt;"",EDATE($D140,Milestones!$AA$197)&gt;=$S140),$V140,$U140)))=Milestones!$AB$197),UPPER(TEXT(EDATE($D140,Milestones!$AA$197),"dd mmm yy"))&amp;" "&amp;Milestones!$AB$197&amp;" "&amp;Milestones!$AC$197&amp;";  ","")&amp;IF(AND(EDATE($D140,Milestones!$AA$198)&lt;=AsOfDate,IF($R140=0,$X140,IF(AND($T140&lt;&gt;"",EDATE($D140,Milestones!$AA$198)&gt;=$T140),$W140,IF(AND($S140&lt;&gt;"",EDATE($D140,Milestones!$AA$198)&gt;=$S140),$V140,$U140)))=Milestones!$AB$198),UPPER(TEXT(EDATE($D140,Milestones!$AA$198),"dd mmm yy"))&amp;" "&amp;Milestones!$AB$198&amp;" "&amp;Milestones!$AC$198&amp;";  ","")&amp;IF(AND(EDATE($D140,Milestones!$AA$199)&lt;=AsOfDate,IF($R140=0,$X140,IF(AND($T140&lt;&gt;"",EDATE($D140,Milestones!$AA$199)&gt;=$T140),$W140,IF(AND($S140&lt;&gt;"",EDATE($D140,Milestones!$AA$199)&gt;=$S140),$V140,$U140)))=Milestones!$AB$199),UPPER(TEXT(EDATE($D140,Milestones!$AA$199),"dd mmm yy"))&amp;" "&amp;Milestones!$AB$199&amp;" "&amp;Milestones!$AC$199&amp;";  ",""))</f>
        <v/>
      </c>
      <c r="R140" s="0" t="str">
        <f aca="false">IF(Staff!$A140="","",Staff!$AI140)</f>
        <v/>
      </c>
      <c r="S140" s="0" t="str">
        <f aca="false">IF(Staff!$A140="","",Staff!$AK140)</f>
        <v/>
      </c>
      <c r="T140" s="0" t="str">
        <f aca="false">IF(Staff!$A140="","",Staff!$AL140)</f>
        <v/>
      </c>
      <c r="U140" s="0" t="str">
        <f aca="false">IF(Staff!$A140="","",Staff!$AP140)</f>
        <v/>
      </c>
      <c r="V140" s="0" t="str">
        <f aca="false">IF(Staff!$A140="","",Staff!$AQ140)</f>
        <v/>
      </c>
      <c r="W140" s="0" t="str">
        <f aca="false">IF(Staff!$A140="","",Staff!$AR140)</f>
        <v/>
      </c>
      <c r="X140" s="0" t="str">
        <f aca="false">IF(Staff!$A140="","",Staff!$AS140)</f>
        <v/>
      </c>
    </row>
    <row r="141" customFormat="false" ht="15" hidden="false" customHeight="false" outlineLevel="0" collapsed="false">
      <c r="A141" s="14" t="str">
        <f aca="false">IF(Staff!$A141="","",Staff!$A141)</f>
        <v/>
      </c>
      <c r="B141" s="14" t="str">
        <f aca="false">IF(Staff!$A141="","",Staff!$B141)</f>
        <v/>
      </c>
      <c r="C141" s="14" t="str">
        <f aca="false">IF(Staff!$A141="","",Staff!$C141)</f>
        <v/>
      </c>
      <c r="D141" s="12" t="str">
        <f aca="false">IF(Staff!$A141="","",Staff!$AH141)</f>
        <v/>
      </c>
      <c r="E141" s="14" t="str">
        <f aca="false">IF(Staff!$A141="","",Staff!$O141)</f>
        <v/>
      </c>
      <c r="F141" s="14" t="str">
        <f aca="false">IF(E141="","",E141*HoursPerDay)</f>
        <v/>
      </c>
      <c r="G141" s="14" t="str">
        <f aca="false">IF(Staff!$A141="","",Staff!$AE141)</f>
        <v/>
      </c>
      <c r="H141" s="26" t="str">
        <f aca="false">IF($A141="","",I141&amp;J141&amp;K141&amp;L141&amp;M141&amp;N141&amp;O141&amp;P141&amp;Q141)</f>
        <v/>
      </c>
      <c r="I141" s="0" t="str">
        <f aca="false">IF(OR($A141="",$D141=""),"",IF(AND(EDATE($D141,Milestones!$AA$20)&lt;=AsOfDate,IF($R141=0,$X141,IF(AND($T141&lt;&gt;"",EDATE($D141,Milestones!$AA$20)&gt;=$T141),$W141,IF(AND($S141&lt;&gt;"",EDATE($D141,Milestones!$AA$20)&gt;=$S141),$V141,$U141)))=Milestones!$AB$20),UPPER(TEXT(EDATE($D141,Milestones!$AA$20),"dd mmm yy"))&amp;" "&amp;Milestones!$AB$20&amp;" "&amp;Milestones!$AC$20&amp;";  ","")&amp;IF(AND(EDATE($D141,Milestones!$AA$21)&lt;=AsOfDate,IF($R141=0,$X141,IF(AND($T141&lt;&gt;"",EDATE($D141,Milestones!$AA$21)&gt;=$T141),$W141,IF(AND($S141&lt;&gt;"",EDATE($D141,Milestones!$AA$21)&gt;=$S141),$V141,$U141)))=Milestones!$AB$21),UPPER(TEXT(EDATE($D141,Milestones!$AA$21),"dd mmm yy"))&amp;" "&amp;Milestones!$AB$21&amp;" "&amp;Milestones!$AC$21&amp;";  ","")&amp;IF(AND(EDATE($D141,Milestones!$AA$22)&lt;=AsOfDate,IF($R141=0,$X141,IF(AND($T141&lt;&gt;"",EDATE($D141,Milestones!$AA$22)&gt;=$T141),$W141,IF(AND($S141&lt;&gt;"",EDATE($D141,Milestones!$AA$22)&gt;=$S141),$V141,$U141)))=Milestones!$AB$22),UPPER(TEXT(EDATE($D141,Milestones!$AA$22),"dd mmm yy"))&amp;" "&amp;Milestones!$AB$22&amp;" "&amp;Milestones!$AC$22&amp;";  ","")&amp;IF(AND(EDATE($D141,Milestones!$AA$23)&lt;=AsOfDate,IF($R141=0,$X141,IF(AND($T141&lt;&gt;"",EDATE($D141,Milestones!$AA$23)&gt;=$T141),$W141,IF(AND($S141&lt;&gt;"",EDATE($D141,Milestones!$AA$23)&gt;=$S141),$V141,$U141)))=Milestones!$AB$23),UPPER(TEXT(EDATE($D141,Milestones!$AA$23),"dd mmm yy"))&amp;" "&amp;Milestones!$AB$23&amp;" "&amp;Milestones!$AC$23&amp;";  ","")&amp;IF(AND(EDATE($D141,Milestones!$AA$24)&lt;=AsOfDate,IF($R141=0,$X141,IF(AND($T141&lt;&gt;"",EDATE($D141,Milestones!$AA$24)&gt;=$T141),$W141,IF(AND($S141&lt;&gt;"",EDATE($D141,Milestones!$AA$24)&gt;=$S141),$V141,$U141)))=Milestones!$AB$24),UPPER(TEXT(EDATE($D141,Milestones!$AA$24),"dd mmm yy"))&amp;" "&amp;Milestones!$AB$24&amp;" "&amp;Milestones!$AC$24&amp;";  ","")&amp;IF(AND(EDATE($D141,Milestones!$AA$25)&lt;=AsOfDate,IF($R141=0,$X141,IF(AND($T141&lt;&gt;"",EDATE($D141,Milestones!$AA$25)&gt;=$T141),$W141,IF(AND($S141&lt;&gt;"",EDATE($D141,Milestones!$AA$25)&gt;=$S141),$V141,$U141)))=Milestones!$AB$25),UPPER(TEXT(EDATE($D141,Milestones!$AA$25),"dd mmm yy"))&amp;" "&amp;Milestones!$AB$25&amp;" "&amp;Milestones!$AC$25&amp;";  ","")&amp;IF(AND(EDATE($D141,Milestones!$AA$26)&lt;=AsOfDate,IF($R141=0,$X141,IF(AND($T141&lt;&gt;"",EDATE($D141,Milestones!$AA$26)&gt;=$T141),$W141,IF(AND($S141&lt;&gt;"",EDATE($D141,Milestones!$AA$26)&gt;=$S141),$V141,$U141)))=Milestones!$AB$26),UPPER(TEXT(EDATE($D141,Milestones!$AA$26),"dd mmm yy"))&amp;" "&amp;Milestones!$AB$26&amp;" "&amp;Milestones!$AC$26&amp;";  ","")&amp;IF(AND(EDATE($D141,Milestones!$AA$27)&lt;=AsOfDate,IF($R141=0,$X141,IF(AND($T141&lt;&gt;"",EDATE($D141,Milestones!$AA$27)&gt;=$T141),$W141,IF(AND($S141&lt;&gt;"",EDATE($D141,Milestones!$AA$27)&gt;=$S141),$V141,$U141)))=Milestones!$AB$27),UPPER(TEXT(EDATE($D141,Milestones!$AA$27),"dd mmm yy"))&amp;" "&amp;Milestones!$AB$27&amp;" "&amp;Milestones!$AC$27&amp;";  ","")&amp;IF(AND(EDATE($D141,Milestones!$AA$28)&lt;=AsOfDate,IF($R141=0,$X141,IF(AND($T141&lt;&gt;"",EDATE($D141,Milestones!$AA$28)&gt;=$T141),$W141,IF(AND($S141&lt;&gt;"",EDATE($D141,Milestones!$AA$28)&gt;=$S141),$V141,$U141)))=Milestones!$AB$28),UPPER(TEXT(EDATE($D141,Milestones!$AA$28),"dd mmm yy"))&amp;" "&amp;Milestones!$AB$28&amp;" "&amp;Milestones!$AC$28&amp;";  ","")&amp;IF(AND(EDATE($D141,Milestones!$AA$29)&lt;=AsOfDate,IF($R141=0,$X141,IF(AND($T141&lt;&gt;"",EDATE($D141,Milestones!$AA$29)&gt;=$T141),$W141,IF(AND($S141&lt;&gt;"",EDATE($D141,Milestones!$AA$29)&gt;=$S141),$V141,$U141)))=Milestones!$AB$29),UPPER(TEXT(EDATE($D141,Milestones!$AA$29),"dd mmm yy"))&amp;" "&amp;Milestones!$AB$29&amp;" "&amp;Milestones!$AC$29&amp;";  ","")&amp;IF(AND(EDATE($D141,Milestones!$AA$30)&lt;=AsOfDate,IF($R141=0,$X141,IF(AND($T141&lt;&gt;"",EDATE($D141,Milestones!$AA$30)&gt;=$T141),$W141,IF(AND($S141&lt;&gt;"",EDATE($D141,Milestones!$AA$30)&gt;=$S141),$V141,$U141)))=Milestones!$AB$30),UPPER(TEXT(EDATE($D141,Milestones!$AA$30),"dd mmm yy"))&amp;" "&amp;Milestones!$AB$30&amp;" "&amp;Milestones!$AC$30&amp;";  ","")&amp;IF(AND(EDATE($D141,Milestones!$AA$31)&lt;=AsOfDate,IF($R141=0,$X141,IF(AND($T141&lt;&gt;"",EDATE($D141,Milestones!$AA$31)&gt;=$T141),$W141,IF(AND($S141&lt;&gt;"",EDATE($D141,Milestones!$AA$31)&gt;=$S141),$V141,$U141)))=Milestones!$AB$31),UPPER(TEXT(EDATE($D141,Milestones!$AA$31),"dd mmm yy"))&amp;" "&amp;Milestones!$AB$31&amp;" "&amp;Milestones!$AC$31&amp;";  ","")&amp;IF(AND(EDATE($D141,Milestones!$AA$32)&lt;=AsOfDate,IF($R141=0,$X141,IF(AND($T141&lt;&gt;"",EDATE($D141,Milestones!$AA$32)&gt;=$T141),$W141,IF(AND($S141&lt;&gt;"",EDATE($D141,Milestones!$AA$32)&gt;=$S141),$V141,$U141)))=Milestones!$AB$32),UPPER(TEXT(EDATE($D141,Milestones!$AA$32),"dd mmm yy"))&amp;" "&amp;Milestones!$AB$32&amp;" "&amp;Milestones!$AC$32&amp;";  ","")&amp;IF(AND(EDATE($D141,Milestones!$AA$33)&lt;=AsOfDate,IF($R141=0,$X141,IF(AND($T141&lt;&gt;"",EDATE($D141,Milestones!$AA$33)&gt;=$T141),$W141,IF(AND($S141&lt;&gt;"",EDATE($D141,Milestones!$AA$33)&gt;=$S141),$V141,$U141)))=Milestones!$AB$33),UPPER(TEXT(EDATE($D141,Milestones!$AA$33),"dd mmm yy"))&amp;" "&amp;Milestones!$AB$33&amp;" "&amp;Milestones!$AC$33&amp;";  ","")&amp;IF(AND(EDATE($D141,Milestones!$AA$34)&lt;=AsOfDate,IF($R141=0,$X141,IF(AND($T141&lt;&gt;"",EDATE($D141,Milestones!$AA$34)&gt;=$T141),$W141,IF(AND($S141&lt;&gt;"",EDATE($D141,Milestones!$AA$34)&gt;=$S141),$V141,$U141)))=Milestones!$AB$34),UPPER(TEXT(EDATE($D141,Milestones!$AA$34),"dd mmm yy"))&amp;" "&amp;Milestones!$AB$34&amp;" "&amp;Milestones!$AC$34&amp;";  ","")&amp;IF(AND(EDATE($D141,Milestones!$AA$35)&lt;=AsOfDate,IF($R141=0,$X141,IF(AND($T141&lt;&gt;"",EDATE($D141,Milestones!$AA$35)&gt;=$T141),$W141,IF(AND($S141&lt;&gt;"",EDATE($D141,Milestones!$AA$35)&gt;=$S141),$V141,$U141)))=Milestones!$AB$35),UPPER(TEXT(EDATE($D141,Milestones!$AA$35),"dd mmm yy"))&amp;" "&amp;Milestones!$AB$35&amp;" "&amp;Milestones!$AC$35&amp;";  ","")&amp;IF(AND(EDATE($D141,Milestones!$AA$36)&lt;=AsOfDate,IF($R141=0,$X141,IF(AND($T141&lt;&gt;"",EDATE($D141,Milestones!$AA$36)&gt;=$T141),$W141,IF(AND($S141&lt;&gt;"",EDATE($D141,Milestones!$AA$36)&gt;=$S141),$V141,$U141)))=Milestones!$AB$36),UPPER(TEXT(EDATE($D141,Milestones!$AA$36),"dd mmm yy"))&amp;" "&amp;Milestones!$AB$36&amp;" "&amp;Milestones!$AC$36&amp;";  ","")&amp;IF(AND(EDATE($D141,Milestones!$AA$37)&lt;=AsOfDate,IF($R141=0,$X141,IF(AND($T141&lt;&gt;"",EDATE($D141,Milestones!$AA$37)&gt;=$T141),$W141,IF(AND($S141&lt;&gt;"",EDATE($D141,Milestones!$AA$37)&gt;=$S141),$V141,$U141)))=Milestones!$AB$37),UPPER(TEXT(EDATE($D141,Milestones!$AA$37),"dd mmm yy"))&amp;" "&amp;Milestones!$AB$37&amp;" "&amp;Milestones!$AC$37&amp;";  ","")&amp;IF(AND(EDATE($D141,Milestones!$AA$38)&lt;=AsOfDate,IF($R141=0,$X141,IF(AND($T141&lt;&gt;"",EDATE($D141,Milestones!$AA$38)&gt;=$T141),$W141,IF(AND($S141&lt;&gt;"",EDATE($D141,Milestones!$AA$38)&gt;=$S141),$V141,$U141)))=Milestones!$AB$38),UPPER(TEXT(EDATE($D141,Milestones!$AA$38),"dd mmm yy"))&amp;" "&amp;Milestones!$AB$38&amp;" "&amp;Milestones!$AC$38&amp;";  ","")&amp;IF(AND(EDATE($D141,Milestones!$AA$39)&lt;=AsOfDate,IF($R141=0,$X141,IF(AND($T141&lt;&gt;"",EDATE($D141,Milestones!$AA$39)&gt;=$T141),$W141,IF(AND($S141&lt;&gt;"",EDATE($D141,Milestones!$AA$39)&gt;=$S141),$V141,$U141)))=Milestones!$AB$39),UPPER(TEXT(EDATE($D141,Milestones!$AA$39),"dd mmm yy"))&amp;" "&amp;Milestones!$AB$39&amp;" "&amp;Milestones!$AC$39&amp;";  ",""))</f>
        <v/>
      </c>
      <c r="J141" s="0" t="str">
        <f aca="false">IF(OR($A141="",$D141=""),"",IF(AND(EDATE($D141,Milestones!$AA$40)&lt;=AsOfDate,IF($R141=0,$X141,IF(AND($T141&lt;&gt;"",EDATE($D141,Milestones!$AA$40)&gt;=$T141),$W141,IF(AND($S141&lt;&gt;"",EDATE($D141,Milestones!$AA$40)&gt;=$S141),$V141,$U141)))=Milestones!$AB$40),UPPER(TEXT(EDATE($D141,Milestones!$AA$40),"dd mmm yy"))&amp;" "&amp;Milestones!$AB$40&amp;" "&amp;Milestones!$AC$40&amp;";  ","")&amp;IF(AND(EDATE($D141,Milestones!$AA$41)&lt;=AsOfDate,IF($R141=0,$X141,IF(AND($T141&lt;&gt;"",EDATE($D141,Milestones!$AA$41)&gt;=$T141),$W141,IF(AND($S141&lt;&gt;"",EDATE($D141,Milestones!$AA$41)&gt;=$S141),$V141,$U141)))=Milestones!$AB$41),UPPER(TEXT(EDATE($D141,Milestones!$AA$41),"dd mmm yy"))&amp;" "&amp;Milestones!$AB$41&amp;" "&amp;Milestones!$AC$41&amp;";  ","")&amp;IF(AND(EDATE($D141,Milestones!$AA$42)&lt;=AsOfDate,IF($R141=0,$X141,IF(AND($T141&lt;&gt;"",EDATE($D141,Milestones!$AA$42)&gt;=$T141),$W141,IF(AND($S141&lt;&gt;"",EDATE($D141,Milestones!$AA$42)&gt;=$S141),$V141,$U141)))=Milestones!$AB$42),UPPER(TEXT(EDATE($D141,Milestones!$AA$42),"dd mmm yy"))&amp;" "&amp;Milestones!$AB$42&amp;" "&amp;Milestones!$AC$42&amp;";  ","")&amp;IF(AND(EDATE($D141,Milestones!$AA$43)&lt;=AsOfDate,IF($R141=0,$X141,IF(AND($T141&lt;&gt;"",EDATE($D141,Milestones!$AA$43)&gt;=$T141),$W141,IF(AND($S141&lt;&gt;"",EDATE($D141,Milestones!$AA$43)&gt;=$S141),$V141,$U141)))=Milestones!$AB$43),UPPER(TEXT(EDATE($D141,Milestones!$AA$43),"dd mmm yy"))&amp;" "&amp;Milestones!$AB$43&amp;" "&amp;Milestones!$AC$43&amp;";  ","")&amp;IF(AND(EDATE($D141,Milestones!$AA$44)&lt;=AsOfDate,IF($R141=0,$X141,IF(AND($T141&lt;&gt;"",EDATE($D141,Milestones!$AA$44)&gt;=$T141),$W141,IF(AND($S141&lt;&gt;"",EDATE($D141,Milestones!$AA$44)&gt;=$S141),$V141,$U141)))=Milestones!$AB$44),UPPER(TEXT(EDATE($D141,Milestones!$AA$44),"dd mmm yy"))&amp;" "&amp;Milestones!$AB$44&amp;" "&amp;Milestones!$AC$44&amp;";  ","")&amp;IF(AND(EDATE($D141,Milestones!$AA$45)&lt;=AsOfDate,IF($R141=0,$X141,IF(AND($T141&lt;&gt;"",EDATE($D141,Milestones!$AA$45)&gt;=$T141),$W141,IF(AND($S141&lt;&gt;"",EDATE($D141,Milestones!$AA$45)&gt;=$S141),$V141,$U141)))=Milestones!$AB$45),UPPER(TEXT(EDATE($D141,Milestones!$AA$45),"dd mmm yy"))&amp;" "&amp;Milestones!$AB$45&amp;" "&amp;Milestones!$AC$45&amp;";  ","")&amp;IF(AND(EDATE($D141,Milestones!$AA$46)&lt;=AsOfDate,IF($R141=0,$X141,IF(AND($T141&lt;&gt;"",EDATE($D141,Milestones!$AA$46)&gt;=$T141),$W141,IF(AND($S141&lt;&gt;"",EDATE($D141,Milestones!$AA$46)&gt;=$S141),$V141,$U141)))=Milestones!$AB$46),UPPER(TEXT(EDATE($D141,Milestones!$AA$46),"dd mmm yy"))&amp;" "&amp;Milestones!$AB$46&amp;" "&amp;Milestones!$AC$46&amp;";  ","")&amp;IF(AND(EDATE($D141,Milestones!$AA$47)&lt;=AsOfDate,IF($R141=0,$X141,IF(AND($T141&lt;&gt;"",EDATE($D141,Milestones!$AA$47)&gt;=$T141),$W141,IF(AND($S141&lt;&gt;"",EDATE($D141,Milestones!$AA$47)&gt;=$S141),$V141,$U141)))=Milestones!$AB$47),UPPER(TEXT(EDATE($D141,Milestones!$AA$47),"dd mmm yy"))&amp;" "&amp;Milestones!$AB$47&amp;" "&amp;Milestones!$AC$47&amp;";  ","")&amp;IF(AND(EDATE($D141,Milestones!$AA$48)&lt;=AsOfDate,IF($R141=0,$X141,IF(AND($T141&lt;&gt;"",EDATE($D141,Milestones!$AA$48)&gt;=$T141),$W141,IF(AND($S141&lt;&gt;"",EDATE($D141,Milestones!$AA$48)&gt;=$S141),$V141,$U141)))=Milestones!$AB$48),UPPER(TEXT(EDATE($D141,Milestones!$AA$48),"dd mmm yy"))&amp;" "&amp;Milestones!$AB$48&amp;" "&amp;Milestones!$AC$48&amp;";  ","")&amp;IF(AND(EDATE($D141,Milestones!$AA$49)&lt;=AsOfDate,IF($R141=0,$X141,IF(AND($T141&lt;&gt;"",EDATE($D141,Milestones!$AA$49)&gt;=$T141),$W141,IF(AND($S141&lt;&gt;"",EDATE($D141,Milestones!$AA$49)&gt;=$S141),$V141,$U141)))=Milestones!$AB$49),UPPER(TEXT(EDATE($D141,Milestones!$AA$49),"dd mmm yy"))&amp;" "&amp;Milestones!$AB$49&amp;" "&amp;Milestones!$AC$49&amp;";  ","")&amp;IF(AND(EDATE($D141,Milestones!$AA$50)&lt;=AsOfDate,IF($R141=0,$X141,IF(AND($T141&lt;&gt;"",EDATE($D141,Milestones!$AA$50)&gt;=$T141),$W141,IF(AND($S141&lt;&gt;"",EDATE($D141,Milestones!$AA$50)&gt;=$S141),$V141,$U141)))=Milestones!$AB$50),UPPER(TEXT(EDATE($D141,Milestones!$AA$50),"dd mmm yy"))&amp;" "&amp;Milestones!$AB$50&amp;" "&amp;Milestones!$AC$50&amp;";  ","")&amp;IF(AND(EDATE($D141,Milestones!$AA$51)&lt;=AsOfDate,IF($R141=0,$X141,IF(AND($T141&lt;&gt;"",EDATE($D141,Milestones!$AA$51)&gt;=$T141),$W141,IF(AND($S141&lt;&gt;"",EDATE($D141,Milestones!$AA$51)&gt;=$S141),$V141,$U141)))=Milestones!$AB$51),UPPER(TEXT(EDATE($D141,Milestones!$AA$51),"dd mmm yy"))&amp;" "&amp;Milestones!$AB$51&amp;" "&amp;Milestones!$AC$51&amp;";  ","")&amp;IF(AND(EDATE($D141,Milestones!$AA$52)&lt;=AsOfDate,IF($R141=0,$X141,IF(AND($T141&lt;&gt;"",EDATE($D141,Milestones!$AA$52)&gt;=$T141),$W141,IF(AND($S141&lt;&gt;"",EDATE($D141,Milestones!$AA$52)&gt;=$S141),$V141,$U141)))=Milestones!$AB$52),UPPER(TEXT(EDATE($D141,Milestones!$AA$52),"dd mmm yy"))&amp;" "&amp;Milestones!$AB$52&amp;" "&amp;Milestones!$AC$52&amp;";  ","")&amp;IF(AND(EDATE($D141,Milestones!$AA$53)&lt;=AsOfDate,IF($R141=0,$X141,IF(AND($T141&lt;&gt;"",EDATE($D141,Milestones!$AA$53)&gt;=$T141),$W141,IF(AND($S141&lt;&gt;"",EDATE($D141,Milestones!$AA$53)&gt;=$S141),$V141,$U141)))=Milestones!$AB$53),UPPER(TEXT(EDATE($D141,Milestones!$AA$53),"dd mmm yy"))&amp;" "&amp;Milestones!$AB$53&amp;" "&amp;Milestones!$AC$53&amp;";  ","")&amp;IF(AND(EDATE($D141,Milestones!$AA$54)&lt;=AsOfDate,IF($R141=0,$X141,IF(AND($T141&lt;&gt;"",EDATE($D141,Milestones!$AA$54)&gt;=$T141),$W141,IF(AND($S141&lt;&gt;"",EDATE($D141,Milestones!$AA$54)&gt;=$S141),$V141,$U141)))=Milestones!$AB$54),UPPER(TEXT(EDATE($D141,Milestones!$AA$54),"dd mmm yy"))&amp;" "&amp;Milestones!$AB$54&amp;" "&amp;Milestones!$AC$54&amp;";  ","")&amp;IF(AND(EDATE($D141,Milestones!$AA$55)&lt;=AsOfDate,IF($R141=0,$X141,IF(AND($T141&lt;&gt;"",EDATE($D141,Milestones!$AA$55)&gt;=$T141),$W141,IF(AND($S141&lt;&gt;"",EDATE($D141,Milestones!$AA$55)&gt;=$S141),$V141,$U141)))=Milestones!$AB$55),UPPER(TEXT(EDATE($D141,Milestones!$AA$55),"dd mmm yy"))&amp;" "&amp;Milestones!$AB$55&amp;" "&amp;Milestones!$AC$55&amp;";  ","")&amp;IF(AND(EDATE($D141,Milestones!$AA$56)&lt;=AsOfDate,IF($R141=0,$X141,IF(AND($T141&lt;&gt;"",EDATE($D141,Milestones!$AA$56)&gt;=$T141),$W141,IF(AND($S141&lt;&gt;"",EDATE($D141,Milestones!$AA$56)&gt;=$S141),$V141,$U141)))=Milestones!$AB$56),UPPER(TEXT(EDATE($D141,Milestones!$AA$56),"dd mmm yy"))&amp;" "&amp;Milestones!$AB$56&amp;" "&amp;Milestones!$AC$56&amp;";  ","")&amp;IF(AND(EDATE($D141,Milestones!$AA$57)&lt;=AsOfDate,IF($R141=0,$X141,IF(AND($T141&lt;&gt;"",EDATE($D141,Milestones!$AA$57)&gt;=$T141),$W141,IF(AND($S141&lt;&gt;"",EDATE($D141,Milestones!$AA$57)&gt;=$S141),$V141,$U141)))=Milestones!$AB$57),UPPER(TEXT(EDATE($D141,Milestones!$AA$57),"dd mmm yy"))&amp;" "&amp;Milestones!$AB$57&amp;" "&amp;Milestones!$AC$57&amp;";  ","")&amp;IF(AND(EDATE($D141,Milestones!$AA$58)&lt;=AsOfDate,IF($R141=0,$X141,IF(AND($T141&lt;&gt;"",EDATE($D141,Milestones!$AA$58)&gt;=$T141),$W141,IF(AND($S141&lt;&gt;"",EDATE($D141,Milestones!$AA$58)&gt;=$S141),$V141,$U141)))=Milestones!$AB$58),UPPER(TEXT(EDATE($D141,Milestones!$AA$58),"dd mmm yy"))&amp;" "&amp;Milestones!$AB$58&amp;" "&amp;Milestones!$AC$58&amp;";  ","")&amp;IF(AND(EDATE($D141,Milestones!$AA$59)&lt;=AsOfDate,IF($R141=0,$X141,IF(AND($T141&lt;&gt;"",EDATE($D141,Milestones!$AA$59)&gt;=$T141),$W141,IF(AND($S141&lt;&gt;"",EDATE($D141,Milestones!$AA$59)&gt;=$S141),$V141,$U141)))=Milestones!$AB$59),UPPER(TEXT(EDATE($D141,Milestones!$AA$59),"dd mmm yy"))&amp;" "&amp;Milestones!$AB$59&amp;" "&amp;Milestones!$AC$59&amp;";  ",""))</f>
        <v/>
      </c>
      <c r="K141" s="0" t="str">
        <f aca="false">IF(OR($A141="",$D141=""),"",IF(AND(EDATE($D141,Milestones!$AA$60)&lt;=AsOfDate,IF($R141=0,$X141,IF(AND($T141&lt;&gt;"",EDATE($D141,Milestones!$AA$60)&gt;=$T141),$W141,IF(AND($S141&lt;&gt;"",EDATE($D141,Milestones!$AA$60)&gt;=$S141),$V141,$U141)))=Milestones!$AB$60),UPPER(TEXT(EDATE($D141,Milestones!$AA$60),"dd mmm yy"))&amp;" "&amp;Milestones!$AB$60&amp;" "&amp;Milestones!$AC$60&amp;";  ","")&amp;IF(AND(EDATE($D141,Milestones!$AA$61)&lt;=AsOfDate,IF($R141=0,$X141,IF(AND($T141&lt;&gt;"",EDATE($D141,Milestones!$AA$61)&gt;=$T141),$W141,IF(AND($S141&lt;&gt;"",EDATE($D141,Milestones!$AA$61)&gt;=$S141),$V141,$U141)))=Milestones!$AB$61),UPPER(TEXT(EDATE($D141,Milestones!$AA$61),"dd mmm yy"))&amp;" "&amp;Milestones!$AB$61&amp;" "&amp;Milestones!$AC$61&amp;";  ","")&amp;IF(AND(EDATE($D141,Milestones!$AA$62)&lt;=AsOfDate,IF($R141=0,$X141,IF(AND($T141&lt;&gt;"",EDATE($D141,Milestones!$AA$62)&gt;=$T141),$W141,IF(AND($S141&lt;&gt;"",EDATE($D141,Milestones!$AA$62)&gt;=$S141),$V141,$U141)))=Milestones!$AB$62),UPPER(TEXT(EDATE($D141,Milestones!$AA$62),"dd mmm yy"))&amp;" "&amp;Milestones!$AB$62&amp;" "&amp;Milestones!$AC$62&amp;";  ","")&amp;IF(AND(EDATE($D141,Milestones!$AA$63)&lt;=AsOfDate,IF($R141=0,$X141,IF(AND($T141&lt;&gt;"",EDATE($D141,Milestones!$AA$63)&gt;=$T141),$W141,IF(AND($S141&lt;&gt;"",EDATE($D141,Milestones!$AA$63)&gt;=$S141),$V141,$U141)))=Milestones!$AB$63),UPPER(TEXT(EDATE($D141,Milestones!$AA$63),"dd mmm yy"))&amp;" "&amp;Milestones!$AB$63&amp;" "&amp;Milestones!$AC$63&amp;";  ","")&amp;IF(AND(EDATE($D141,Milestones!$AA$64)&lt;=AsOfDate,IF($R141=0,$X141,IF(AND($T141&lt;&gt;"",EDATE($D141,Milestones!$AA$64)&gt;=$T141),$W141,IF(AND($S141&lt;&gt;"",EDATE($D141,Milestones!$AA$64)&gt;=$S141),$V141,$U141)))=Milestones!$AB$64),UPPER(TEXT(EDATE($D141,Milestones!$AA$64),"dd mmm yy"))&amp;" "&amp;Milestones!$AB$64&amp;" "&amp;Milestones!$AC$64&amp;";  ","")&amp;IF(AND(EDATE($D141,Milestones!$AA$65)&lt;=AsOfDate,IF($R141=0,$X141,IF(AND($T141&lt;&gt;"",EDATE($D141,Milestones!$AA$65)&gt;=$T141),$W141,IF(AND($S141&lt;&gt;"",EDATE($D141,Milestones!$AA$65)&gt;=$S141),$V141,$U141)))=Milestones!$AB$65),UPPER(TEXT(EDATE($D141,Milestones!$AA$65),"dd mmm yy"))&amp;" "&amp;Milestones!$AB$65&amp;" "&amp;Milestones!$AC$65&amp;";  ","")&amp;IF(AND(EDATE($D141,Milestones!$AA$66)&lt;=AsOfDate,IF($R141=0,$X141,IF(AND($T141&lt;&gt;"",EDATE($D141,Milestones!$AA$66)&gt;=$T141),$W141,IF(AND($S141&lt;&gt;"",EDATE($D141,Milestones!$AA$66)&gt;=$S141),$V141,$U141)))=Milestones!$AB$66),UPPER(TEXT(EDATE($D141,Milestones!$AA$66),"dd mmm yy"))&amp;" "&amp;Milestones!$AB$66&amp;" "&amp;Milestones!$AC$66&amp;";  ","")&amp;IF(AND(EDATE($D141,Milestones!$AA$67)&lt;=AsOfDate,IF($R141=0,$X141,IF(AND($T141&lt;&gt;"",EDATE($D141,Milestones!$AA$67)&gt;=$T141),$W141,IF(AND($S141&lt;&gt;"",EDATE($D141,Milestones!$AA$67)&gt;=$S141),$V141,$U141)))=Milestones!$AB$67),UPPER(TEXT(EDATE($D141,Milestones!$AA$67),"dd mmm yy"))&amp;" "&amp;Milestones!$AB$67&amp;" "&amp;Milestones!$AC$67&amp;";  ","")&amp;IF(AND(EDATE($D141,Milestones!$AA$68)&lt;=AsOfDate,IF($R141=0,$X141,IF(AND($T141&lt;&gt;"",EDATE($D141,Milestones!$AA$68)&gt;=$T141),$W141,IF(AND($S141&lt;&gt;"",EDATE($D141,Milestones!$AA$68)&gt;=$S141),$V141,$U141)))=Milestones!$AB$68),UPPER(TEXT(EDATE($D141,Milestones!$AA$68),"dd mmm yy"))&amp;" "&amp;Milestones!$AB$68&amp;" "&amp;Milestones!$AC$68&amp;";  ","")&amp;IF(AND(EDATE($D141,Milestones!$AA$69)&lt;=AsOfDate,IF($R141=0,$X141,IF(AND($T141&lt;&gt;"",EDATE($D141,Milestones!$AA$69)&gt;=$T141),$W141,IF(AND($S141&lt;&gt;"",EDATE($D141,Milestones!$AA$69)&gt;=$S141),$V141,$U141)))=Milestones!$AB$69),UPPER(TEXT(EDATE($D141,Milestones!$AA$69),"dd mmm yy"))&amp;" "&amp;Milestones!$AB$69&amp;" "&amp;Milestones!$AC$69&amp;";  ","")&amp;IF(AND(EDATE($D141,Milestones!$AA$70)&lt;=AsOfDate,IF($R141=0,$X141,IF(AND($T141&lt;&gt;"",EDATE($D141,Milestones!$AA$70)&gt;=$T141),$W141,IF(AND($S141&lt;&gt;"",EDATE($D141,Milestones!$AA$70)&gt;=$S141),$V141,$U141)))=Milestones!$AB$70),UPPER(TEXT(EDATE($D141,Milestones!$AA$70),"dd mmm yy"))&amp;" "&amp;Milestones!$AB$70&amp;" "&amp;Milestones!$AC$70&amp;";  ","")&amp;IF(AND(EDATE($D141,Milestones!$AA$71)&lt;=AsOfDate,IF($R141=0,$X141,IF(AND($T141&lt;&gt;"",EDATE($D141,Milestones!$AA$71)&gt;=$T141),$W141,IF(AND($S141&lt;&gt;"",EDATE($D141,Milestones!$AA$71)&gt;=$S141),$V141,$U141)))=Milestones!$AB$71),UPPER(TEXT(EDATE($D141,Milestones!$AA$71),"dd mmm yy"))&amp;" "&amp;Milestones!$AB$71&amp;" "&amp;Milestones!$AC$71&amp;";  ","")&amp;IF(AND(EDATE($D141,Milestones!$AA$72)&lt;=AsOfDate,IF($R141=0,$X141,IF(AND($T141&lt;&gt;"",EDATE($D141,Milestones!$AA$72)&gt;=$T141),$W141,IF(AND($S141&lt;&gt;"",EDATE($D141,Milestones!$AA$72)&gt;=$S141),$V141,$U141)))=Milestones!$AB$72),UPPER(TEXT(EDATE($D141,Milestones!$AA$72),"dd mmm yy"))&amp;" "&amp;Milestones!$AB$72&amp;" "&amp;Milestones!$AC$72&amp;";  ","")&amp;IF(AND(EDATE($D141,Milestones!$AA$73)&lt;=AsOfDate,IF($R141=0,$X141,IF(AND($T141&lt;&gt;"",EDATE($D141,Milestones!$AA$73)&gt;=$T141),$W141,IF(AND($S141&lt;&gt;"",EDATE($D141,Milestones!$AA$73)&gt;=$S141),$V141,$U141)))=Milestones!$AB$73),UPPER(TEXT(EDATE($D141,Milestones!$AA$73),"dd mmm yy"))&amp;" "&amp;Milestones!$AB$73&amp;" "&amp;Milestones!$AC$73&amp;";  ","")&amp;IF(AND(EDATE($D141,Milestones!$AA$74)&lt;=AsOfDate,IF($R141=0,$X141,IF(AND($T141&lt;&gt;"",EDATE($D141,Milestones!$AA$74)&gt;=$T141),$W141,IF(AND($S141&lt;&gt;"",EDATE($D141,Milestones!$AA$74)&gt;=$S141),$V141,$U141)))=Milestones!$AB$74),UPPER(TEXT(EDATE($D141,Milestones!$AA$74),"dd mmm yy"))&amp;" "&amp;Milestones!$AB$74&amp;" "&amp;Milestones!$AC$74&amp;";  ","")&amp;IF(AND(EDATE($D141,Milestones!$AA$75)&lt;=AsOfDate,IF($R141=0,$X141,IF(AND($T141&lt;&gt;"",EDATE($D141,Milestones!$AA$75)&gt;=$T141),$W141,IF(AND($S141&lt;&gt;"",EDATE($D141,Milestones!$AA$75)&gt;=$S141),$V141,$U141)))=Milestones!$AB$75),UPPER(TEXT(EDATE($D141,Milestones!$AA$75),"dd mmm yy"))&amp;" "&amp;Milestones!$AB$75&amp;" "&amp;Milestones!$AC$75&amp;";  ","")&amp;IF(AND(EDATE($D141,Milestones!$AA$76)&lt;=AsOfDate,IF($R141=0,$X141,IF(AND($T141&lt;&gt;"",EDATE($D141,Milestones!$AA$76)&gt;=$T141),$W141,IF(AND($S141&lt;&gt;"",EDATE($D141,Milestones!$AA$76)&gt;=$S141),$V141,$U141)))=Milestones!$AB$76),UPPER(TEXT(EDATE($D141,Milestones!$AA$76),"dd mmm yy"))&amp;" "&amp;Milestones!$AB$76&amp;" "&amp;Milestones!$AC$76&amp;";  ","")&amp;IF(AND(EDATE($D141,Milestones!$AA$77)&lt;=AsOfDate,IF($R141=0,$X141,IF(AND($T141&lt;&gt;"",EDATE($D141,Milestones!$AA$77)&gt;=$T141),$W141,IF(AND($S141&lt;&gt;"",EDATE($D141,Milestones!$AA$77)&gt;=$S141),$V141,$U141)))=Milestones!$AB$77),UPPER(TEXT(EDATE($D141,Milestones!$AA$77),"dd mmm yy"))&amp;" "&amp;Milestones!$AB$77&amp;" "&amp;Milestones!$AC$77&amp;";  ","")&amp;IF(AND(EDATE($D141,Milestones!$AA$78)&lt;=AsOfDate,IF($R141=0,$X141,IF(AND($T141&lt;&gt;"",EDATE($D141,Milestones!$AA$78)&gt;=$T141),$W141,IF(AND($S141&lt;&gt;"",EDATE($D141,Milestones!$AA$78)&gt;=$S141),$V141,$U141)))=Milestones!$AB$78),UPPER(TEXT(EDATE($D141,Milestones!$AA$78),"dd mmm yy"))&amp;" "&amp;Milestones!$AB$78&amp;" "&amp;Milestones!$AC$78&amp;";  ","")&amp;IF(AND(EDATE($D141,Milestones!$AA$79)&lt;=AsOfDate,IF($R141=0,$X141,IF(AND($T141&lt;&gt;"",EDATE($D141,Milestones!$AA$79)&gt;=$T141),$W141,IF(AND($S141&lt;&gt;"",EDATE($D141,Milestones!$AA$79)&gt;=$S141),$V141,$U141)))=Milestones!$AB$79),UPPER(TEXT(EDATE($D141,Milestones!$AA$79),"dd mmm yy"))&amp;" "&amp;Milestones!$AB$79&amp;" "&amp;Milestones!$AC$79&amp;";  ",""))</f>
        <v/>
      </c>
      <c r="L141" s="0" t="str">
        <f aca="false">IF(OR($A141="",$D141=""),"",IF(AND(EDATE($D141,Milestones!$AA$80)&lt;=AsOfDate,IF($R141=0,$X141,IF(AND($T141&lt;&gt;"",EDATE($D141,Milestones!$AA$80)&gt;=$T141),$W141,IF(AND($S141&lt;&gt;"",EDATE($D141,Milestones!$AA$80)&gt;=$S141),$V141,$U141)))=Milestones!$AB$80),UPPER(TEXT(EDATE($D141,Milestones!$AA$80),"dd mmm yy"))&amp;" "&amp;Milestones!$AB$80&amp;" "&amp;Milestones!$AC$80&amp;";  ","")&amp;IF(AND(EDATE($D141,Milestones!$AA$81)&lt;=AsOfDate,IF($R141=0,$X141,IF(AND($T141&lt;&gt;"",EDATE($D141,Milestones!$AA$81)&gt;=$T141),$W141,IF(AND($S141&lt;&gt;"",EDATE($D141,Milestones!$AA$81)&gt;=$S141),$V141,$U141)))=Milestones!$AB$81),UPPER(TEXT(EDATE($D141,Milestones!$AA$81),"dd mmm yy"))&amp;" "&amp;Milestones!$AB$81&amp;" "&amp;Milestones!$AC$81&amp;";  ","")&amp;IF(AND(EDATE($D141,Milestones!$AA$82)&lt;=AsOfDate,IF($R141=0,$X141,IF(AND($T141&lt;&gt;"",EDATE($D141,Milestones!$AA$82)&gt;=$T141),$W141,IF(AND($S141&lt;&gt;"",EDATE($D141,Milestones!$AA$82)&gt;=$S141),$V141,$U141)))=Milestones!$AB$82),UPPER(TEXT(EDATE($D141,Milestones!$AA$82),"dd mmm yy"))&amp;" "&amp;Milestones!$AB$82&amp;" "&amp;Milestones!$AC$82&amp;";  ","")&amp;IF(AND(EDATE($D141,Milestones!$AA$83)&lt;=AsOfDate,IF($R141=0,$X141,IF(AND($T141&lt;&gt;"",EDATE($D141,Milestones!$AA$83)&gt;=$T141),$W141,IF(AND($S141&lt;&gt;"",EDATE($D141,Milestones!$AA$83)&gt;=$S141),$V141,$U141)))=Milestones!$AB$83),UPPER(TEXT(EDATE($D141,Milestones!$AA$83),"dd mmm yy"))&amp;" "&amp;Milestones!$AB$83&amp;" "&amp;Milestones!$AC$83&amp;";  ","")&amp;IF(AND(EDATE($D141,Milestones!$AA$84)&lt;=AsOfDate,IF($R141=0,$X141,IF(AND($T141&lt;&gt;"",EDATE($D141,Milestones!$AA$84)&gt;=$T141),$W141,IF(AND($S141&lt;&gt;"",EDATE($D141,Milestones!$AA$84)&gt;=$S141),$V141,$U141)))=Milestones!$AB$84),UPPER(TEXT(EDATE($D141,Milestones!$AA$84),"dd mmm yy"))&amp;" "&amp;Milestones!$AB$84&amp;" "&amp;Milestones!$AC$84&amp;";  ","")&amp;IF(AND(EDATE($D141,Milestones!$AA$85)&lt;=AsOfDate,IF($R141=0,$X141,IF(AND($T141&lt;&gt;"",EDATE($D141,Milestones!$AA$85)&gt;=$T141),$W141,IF(AND($S141&lt;&gt;"",EDATE($D141,Milestones!$AA$85)&gt;=$S141),$V141,$U141)))=Milestones!$AB$85),UPPER(TEXT(EDATE($D141,Milestones!$AA$85),"dd mmm yy"))&amp;" "&amp;Milestones!$AB$85&amp;" "&amp;Milestones!$AC$85&amp;";  ","")&amp;IF(AND(EDATE($D141,Milestones!$AA$86)&lt;=AsOfDate,IF($R141=0,$X141,IF(AND($T141&lt;&gt;"",EDATE($D141,Milestones!$AA$86)&gt;=$T141),$W141,IF(AND($S141&lt;&gt;"",EDATE($D141,Milestones!$AA$86)&gt;=$S141),$V141,$U141)))=Milestones!$AB$86),UPPER(TEXT(EDATE($D141,Milestones!$AA$86),"dd mmm yy"))&amp;" "&amp;Milestones!$AB$86&amp;" "&amp;Milestones!$AC$86&amp;";  ","")&amp;IF(AND(EDATE($D141,Milestones!$AA$87)&lt;=AsOfDate,IF($R141=0,$X141,IF(AND($T141&lt;&gt;"",EDATE($D141,Milestones!$AA$87)&gt;=$T141),$W141,IF(AND($S141&lt;&gt;"",EDATE($D141,Milestones!$AA$87)&gt;=$S141),$V141,$U141)))=Milestones!$AB$87),UPPER(TEXT(EDATE($D141,Milestones!$AA$87),"dd mmm yy"))&amp;" "&amp;Milestones!$AB$87&amp;" "&amp;Milestones!$AC$87&amp;";  ","")&amp;IF(AND(EDATE($D141,Milestones!$AA$88)&lt;=AsOfDate,IF($R141=0,$X141,IF(AND($T141&lt;&gt;"",EDATE($D141,Milestones!$AA$88)&gt;=$T141),$W141,IF(AND($S141&lt;&gt;"",EDATE($D141,Milestones!$AA$88)&gt;=$S141),$V141,$U141)))=Milestones!$AB$88),UPPER(TEXT(EDATE($D141,Milestones!$AA$88),"dd mmm yy"))&amp;" "&amp;Milestones!$AB$88&amp;" "&amp;Milestones!$AC$88&amp;";  ","")&amp;IF(AND(EDATE($D141,Milestones!$AA$89)&lt;=AsOfDate,IF($R141=0,$X141,IF(AND($T141&lt;&gt;"",EDATE($D141,Milestones!$AA$89)&gt;=$T141),$W141,IF(AND($S141&lt;&gt;"",EDATE($D141,Milestones!$AA$89)&gt;=$S141),$V141,$U141)))=Milestones!$AB$89),UPPER(TEXT(EDATE($D141,Milestones!$AA$89),"dd mmm yy"))&amp;" "&amp;Milestones!$AB$89&amp;" "&amp;Milestones!$AC$89&amp;";  ","")&amp;IF(AND(EDATE($D141,Milestones!$AA$90)&lt;=AsOfDate,IF($R141=0,$X141,IF(AND($T141&lt;&gt;"",EDATE($D141,Milestones!$AA$90)&gt;=$T141),$W141,IF(AND($S141&lt;&gt;"",EDATE($D141,Milestones!$AA$90)&gt;=$S141),$V141,$U141)))=Milestones!$AB$90),UPPER(TEXT(EDATE($D141,Milestones!$AA$90),"dd mmm yy"))&amp;" "&amp;Milestones!$AB$90&amp;" "&amp;Milestones!$AC$90&amp;";  ","")&amp;IF(AND(EDATE($D141,Milestones!$AA$91)&lt;=AsOfDate,IF($R141=0,$X141,IF(AND($T141&lt;&gt;"",EDATE($D141,Milestones!$AA$91)&gt;=$T141),$W141,IF(AND($S141&lt;&gt;"",EDATE($D141,Milestones!$AA$91)&gt;=$S141),$V141,$U141)))=Milestones!$AB$91),UPPER(TEXT(EDATE($D141,Milestones!$AA$91),"dd mmm yy"))&amp;" "&amp;Milestones!$AB$91&amp;" "&amp;Milestones!$AC$91&amp;";  ","")&amp;IF(AND(EDATE($D141,Milestones!$AA$92)&lt;=AsOfDate,IF($R141=0,$X141,IF(AND($T141&lt;&gt;"",EDATE($D141,Milestones!$AA$92)&gt;=$T141),$W141,IF(AND($S141&lt;&gt;"",EDATE($D141,Milestones!$AA$92)&gt;=$S141),$V141,$U141)))=Milestones!$AB$92),UPPER(TEXT(EDATE($D141,Milestones!$AA$92),"dd mmm yy"))&amp;" "&amp;Milestones!$AB$92&amp;" "&amp;Milestones!$AC$92&amp;";  ","")&amp;IF(AND(EDATE($D141,Milestones!$AA$93)&lt;=AsOfDate,IF($R141=0,$X141,IF(AND($T141&lt;&gt;"",EDATE($D141,Milestones!$AA$93)&gt;=$T141),$W141,IF(AND($S141&lt;&gt;"",EDATE($D141,Milestones!$AA$93)&gt;=$S141),$V141,$U141)))=Milestones!$AB$93),UPPER(TEXT(EDATE($D141,Milestones!$AA$93),"dd mmm yy"))&amp;" "&amp;Milestones!$AB$93&amp;" "&amp;Milestones!$AC$93&amp;";  ","")&amp;IF(AND(EDATE($D141,Milestones!$AA$94)&lt;=AsOfDate,IF($R141=0,$X141,IF(AND($T141&lt;&gt;"",EDATE($D141,Milestones!$AA$94)&gt;=$T141),$W141,IF(AND($S141&lt;&gt;"",EDATE($D141,Milestones!$AA$94)&gt;=$S141),$V141,$U141)))=Milestones!$AB$94),UPPER(TEXT(EDATE($D141,Milestones!$AA$94),"dd mmm yy"))&amp;" "&amp;Milestones!$AB$94&amp;" "&amp;Milestones!$AC$94&amp;";  ","")&amp;IF(AND(EDATE($D141,Milestones!$AA$95)&lt;=AsOfDate,IF($R141=0,$X141,IF(AND($T141&lt;&gt;"",EDATE($D141,Milestones!$AA$95)&gt;=$T141),$W141,IF(AND($S141&lt;&gt;"",EDATE($D141,Milestones!$AA$95)&gt;=$S141),$V141,$U141)))=Milestones!$AB$95),UPPER(TEXT(EDATE($D141,Milestones!$AA$95),"dd mmm yy"))&amp;" "&amp;Milestones!$AB$95&amp;" "&amp;Milestones!$AC$95&amp;";  ","")&amp;IF(AND(EDATE($D141,Milestones!$AA$96)&lt;=AsOfDate,IF($R141=0,$X141,IF(AND($T141&lt;&gt;"",EDATE($D141,Milestones!$AA$96)&gt;=$T141),$W141,IF(AND($S141&lt;&gt;"",EDATE($D141,Milestones!$AA$96)&gt;=$S141),$V141,$U141)))=Milestones!$AB$96),UPPER(TEXT(EDATE($D141,Milestones!$AA$96),"dd mmm yy"))&amp;" "&amp;Milestones!$AB$96&amp;" "&amp;Milestones!$AC$96&amp;";  ","")&amp;IF(AND(EDATE($D141,Milestones!$AA$97)&lt;=AsOfDate,IF($R141=0,$X141,IF(AND($T141&lt;&gt;"",EDATE($D141,Milestones!$AA$97)&gt;=$T141),$W141,IF(AND($S141&lt;&gt;"",EDATE($D141,Milestones!$AA$97)&gt;=$S141),$V141,$U141)))=Milestones!$AB$97),UPPER(TEXT(EDATE($D141,Milestones!$AA$97),"dd mmm yy"))&amp;" "&amp;Milestones!$AB$97&amp;" "&amp;Milestones!$AC$97&amp;";  ","")&amp;IF(AND(EDATE($D141,Milestones!$AA$98)&lt;=AsOfDate,IF($R141=0,$X141,IF(AND($T141&lt;&gt;"",EDATE($D141,Milestones!$AA$98)&gt;=$T141),$W141,IF(AND($S141&lt;&gt;"",EDATE($D141,Milestones!$AA$98)&gt;=$S141),$V141,$U141)))=Milestones!$AB$98),UPPER(TEXT(EDATE($D141,Milestones!$AA$98),"dd mmm yy"))&amp;" "&amp;Milestones!$AB$98&amp;" "&amp;Milestones!$AC$98&amp;";  ","")&amp;IF(AND(EDATE($D141,Milestones!$AA$99)&lt;=AsOfDate,IF($R141=0,$X141,IF(AND($T141&lt;&gt;"",EDATE($D141,Milestones!$AA$99)&gt;=$T141),$W141,IF(AND($S141&lt;&gt;"",EDATE($D141,Milestones!$AA$99)&gt;=$S141),$V141,$U141)))=Milestones!$AB$99),UPPER(TEXT(EDATE($D141,Milestones!$AA$99),"dd mmm yy"))&amp;" "&amp;Milestones!$AB$99&amp;" "&amp;Milestones!$AC$99&amp;";  ",""))</f>
        <v/>
      </c>
      <c r="M141" s="0" t="str">
        <f aca="false">IF(OR($A141="",$D141=""),"",IF(AND(EDATE($D141,Milestones!$AA$100)&lt;=AsOfDate,IF($R141=0,$X141,IF(AND($T141&lt;&gt;"",EDATE($D141,Milestones!$AA$100)&gt;=$T141),$W141,IF(AND($S141&lt;&gt;"",EDATE($D141,Milestones!$AA$100)&gt;=$S141),$V141,$U141)))=Milestones!$AB$100),UPPER(TEXT(EDATE($D141,Milestones!$AA$100),"dd mmm yy"))&amp;" "&amp;Milestones!$AB$100&amp;" "&amp;Milestones!$AC$100&amp;";  ","")&amp;IF(AND(EDATE($D141,Milestones!$AA$101)&lt;=AsOfDate,IF($R141=0,$X141,IF(AND($T141&lt;&gt;"",EDATE($D141,Milestones!$AA$101)&gt;=$T141),$W141,IF(AND($S141&lt;&gt;"",EDATE($D141,Milestones!$AA$101)&gt;=$S141),$V141,$U141)))=Milestones!$AB$101),UPPER(TEXT(EDATE($D141,Milestones!$AA$101),"dd mmm yy"))&amp;" "&amp;Milestones!$AB$101&amp;" "&amp;Milestones!$AC$101&amp;";  ","")&amp;IF(AND(EDATE($D141,Milestones!$AA$102)&lt;=AsOfDate,IF($R141=0,$X141,IF(AND($T141&lt;&gt;"",EDATE($D141,Milestones!$AA$102)&gt;=$T141),$W141,IF(AND($S141&lt;&gt;"",EDATE($D141,Milestones!$AA$102)&gt;=$S141),$V141,$U141)))=Milestones!$AB$102),UPPER(TEXT(EDATE($D141,Milestones!$AA$102),"dd mmm yy"))&amp;" "&amp;Milestones!$AB$102&amp;" "&amp;Milestones!$AC$102&amp;";  ","")&amp;IF(AND(EDATE($D141,Milestones!$AA$103)&lt;=AsOfDate,IF($R141=0,$X141,IF(AND($T141&lt;&gt;"",EDATE($D141,Milestones!$AA$103)&gt;=$T141),$W141,IF(AND($S141&lt;&gt;"",EDATE($D141,Milestones!$AA$103)&gt;=$S141),$V141,$U141)))=Milestones!$AB$103),UPPER(TEXT(EDATE($D141,Milestones!$AA$103),"dd mmm yy"))&amp;" "&amp;Milestones!$AB$103&amp;" "&amp;Milestones!$AC$103&amp;";  ","")&amp;IF(AND(EDATE($D141,Milestones!$AA$104)&lt;=AsOfDate,IF($R141=0,$X141,IF(AND($T141&lt;&gt;"",EDATE($D141,Milestones!$AA$104)&gt;=$T141),$W141,IF(AND($S141&lt;&gt;"",EDATE($D141,Milestones!$AA$104)&gt;=$S141),$V141,$U141)))=Milestones!$AB$104),UPPER(TEXT(EDATE($D141,Milestones!$AA$104),"dd mmm yy"))&amp;" "&amp;Milestones!$AB$104&amp;" "&amp;Milestones!$AC$104&amp;";  ","")&amp;IF(AND(EDATE($D141,Milestones!$AA$105)&lt;=AsOfDate,IF($R141=0,$X141,IF(AND($T141&lt;&gt;"",EDATE($D141,Milestones!$AA$105)&gt;=$T141),$W141,IF(AND($S141&lt;&gt;"",EDATE($D141,Milestones!$AA$105)&gt;=$S141),$V141,$U141)))=Milestones!$AB$105),UPPER(TEXT(EDATE($D141,Milestones!$AA$105),"dd mmm yy"))&amp;" "&amp;Milestones!$AB$105&amp;" "&amp;Milestones!$AC$105&amp;";  ","")&amp;IF(AND(EDATE($D141,Milestones!$AA$106)&lt;=AsOfDate,IF($R141=0,$X141,IF(AND($T141&lt;&gt;"",EDATE($D141,Milestones!$AA$106)&gt;=$T141),$W141,IF(AND($S141&lt;&gt;"",EDATE($D141,Milestones!$AA$106)&gt;=$S141),$V141,$U141)))=Milestones!$AB$106),UPPER(TEXT(EDATE($D141,Milestones!$AA$106),"dd mmm yy"))&amp;" "&amp;Milestones!$AB$106&amp;" "&amp;Milestones!$AC$106&amp;";  ","")&amp;IF(AND(EDATE($D141,Milestones!$AA$107)&lt;=AsOfDate,IF($R141=0,$X141,IF(AND($T141&lt;&gt;"",EDATE($D141,Milestones!$AA$107)&gt;=$T141),$W141,IF(AND($S141&lt;&gt;"",EDATE($D141,Milestones!$AA$107)&gt;=$S141),$V141,$U141)))=Milestones!$AB$107),UPPER(TEXT(EDATE($D141,Milestones!$AA$107),"dd mmm yy"))&amp;" "&amp;Milestones!$AB$107&amp;" "&amp;Milestones!$AC$107&amp;";  ","")&amp;IF(AND(EDATE($D141,Milestones!$AA$108)&lt;=AsOfDate,IF($R141=0,$X141,IF(AND($T141&lt;&gt;"",EDATE($D141,Milestones!$AA$108)&gt;=$T141),$W141,IF(AND($S141&lt;&gt;"",EDATE($D141,Milestones!$AA$108)&gt;=$S141),$V141,$U141)))=Milestones!$AB$108),UPPER(TEXT(EDATE($D141,Milestones!$AA$108),"dd mmm yy"))&amp;" "&amp;Milestones!$AB$108&amp;" "&amp;Milestones!$AC$108&amp;";  ","")&amp;IF(AND(EDATE($D141,Milestones!$AA$109)&lt;=AsOfDate,IF($R141=0,$X141,IF(AND($T141&lt;&gt;"",EDATE($D141,Milestones!$AA$109)&gt;=$T141),$W141,IF(AND($S141&lt;&gt;"",EDATE($D141,Milestones!$AA$109)&gt;=$S141),$V141,$U141)))=Milestones!$AB$109),UPPER(TEXT(EDATE($D141,Milestones!$AA$109),"dd mmm yy"))&amp;" "&amp;Milestones!$AB$109&amp;" "&amp;Milestones!$AC$109&amp;";  ","")&amp;IF(AND(EDATE($D141,Milestones!$AA$110)&lt;=AsOfDate,IF($R141=0,$X141,IF(AND($T141&lt;&gt;"",EDATE($D141,Milestones!$AA$110)&gt;=$T141),$W141,IF(AND($S141&lt;&gt;"",EDATE($D141,Milestones!$AA$110)&gt;=$S141),$V141,$U141)))=Milestones!$AB$110),UPPER(TEXT(EDATE($D141,Milestones!$AA$110),"dd mmm yy"))&amp;" "&amp;Milestones!$AB$110&amp;" "&amp;Milestones!$AC$110&amp;";  ","")&amp;IF(AND(EDATE($D141,Milestones!$AA$111)&lt;=AsOfDate,IF($R141=0,$X141,IF(AND($T141&lt;&gt;"",EDATE($D141,Milestones!$AA$111)&gt;=$T141),$W141,IF(AND($S141&lt;&gt;"",EDATE($D141,Milestones!$AA$111)&gt;=$S141),$V141,$U141)))=Milestones!$AB$111),UPPER(TEXT(EDATE($D141,Milestones!$AA$111),"dd mmm yy"))&amp;" "&amp;Milestones!$AB$111&amp;" "&amp;Milestones!$AC$111&amp;";  ","")&amp;IF(AND(EDATE($D141,Milestones!$AA$112)&lt;=AsOfDate,IF($R141=0,$X141,IF(AND($T141&lt;&gt;"",EDATE($D141,Milestones!$AA$112)&gt;=$T141),$W141,IF(AND($S141&lt;&gt;"",EDATE($D141,Milestones!$AA$112)&gt;=$S141),$V141,$U141)))=Milestones!$AB$112),UPPER(TEXT(EDATE($D141,Milestones!$AA$112),"dd mmm yy"))&amp;" "&amp;Milestones!$AB$112&amp;" "&amp;Milestones!$AC$112&amp;";  ","")&amp;IF(AND(EDATE($D141,Milestones!$AA$113)&lt;=AsOfDate,IF($R141=0,$X141,IF(AND($T141&lt;&gt;"",EDATE($D141,Milestones!$AA$113)&gt;=$T141),$W141,IF(AND($S141&lt;&gt;"",EDATE($D141,Milestones!$AA$113)&gt;=$S141),$V141,$U141)))=Milestones!$AB$113),UPPER(TEXT(EDATE($D141,Milestones!$AA$113),"dd mmm yy"))&amp;" "&amp;Milestones!$AB$113&amp;" "&amp;Milestones!$AC$113&amp;";  ","")&amp;IF(AND(EDATE($D141,Milestones!$AA$114)&lt;=AsOfDate,IF($R141=0,$X141,IF(AND($T141&lt;&gt;"",EDATE($D141,Milestones!$AA$114)&gt;=$T141),$W141,IF(AND($S141&lt;&gt;"",EDATE($D141,Milestones!$AA$114)&gt;=$S141),$V141,$U141)))=Milestones!$AB$114),UPPER(TEXT(EDATE($D141,Milestones!$AA$114),"dd mmm yy"))&amp;" "&amp;Milestones!$AB$114&amp;" "&amp;Milestones!$AC$114&amp;";  ","")&amp;IF(AND(EDATE($D141,Milestones!$AA$115)&lt;=AsOfDate,IF($R141=0,$X141,IF(AND($T141&lt;&gt;"",EDATE($D141,Milestones!$AA$115)&gt;=$T141),$W141,IF(AND($S141&lt;&gt;"",EDATE($D141,Milestones!$AA$115)&gt;=$S141),$V141,$U141)))=Milestones!$AB$115),UPPER(TEXT(EDATE($D141,Milestones!$AA$115),"dd mmm yy"))&amp;" "&amp;Milestones!$AB$115&amp;" "&amp;Milestones!$AC$115&amp;";  ","")&amp;IF(AND(EDATE($D141,Milestones!$AA$116)&lt;=AsOfDate,IF($R141=0,$X141,IF(AND($T141&lt;&gt;"",EDATE($D141,Milestones!$AA$116)&gt;=$T141),$W141,IF(AND($S141&lt;&gt;"",EDATE($D141,Milestones!$AA$116)&gt;=$S141),$V141,$U141)))=Milestones!$AB$116),UPPER(TEXT(EDATE($D141,Milestones!$AA$116),"dd mmm yy"))&amp;" "&amp;Milestones!$AB$116&amp;" "&amp;Milestones!$AC$116&amp;";  ","")&amp;IF(AND(EDATE($D141,Milestones!$AA$117)&lt;=AsOfDate,IF($R141=0,$X141,IF(AND($T141&lt;&gt;"",EDATE($D141,Milestones!$AA$117)&gt;=$T141),$W141,IF(AND($S141&lt;&gt;"",EDATE($D141,Milestones!$AA$117)&gt;=$S141),$V141,$U141)))=Milestones!$AB$117),UPPER(TEXT(EDATE($D141,Milestones!$AA$117),"dd mmm yy"))&amp;" "&amp;Milestones!$AB$117&amp;" "&amp;Milestones!$AC$117&amp;";  ","")&amp;IF(AND(EDATE($D141,Milestones!$AA$118)&lt;=AsOfDate,IF($R141=0,$X141,IF(AND($T141&lt;&gt;"",EDATE($D141,Milestones!$AA$118)&gt;=$T141),$W141,IF(AND($S141&lt;&gt;"",EDATE($D141,Milestones!$AA$118)&gt;=$S141),$V141,$U141)))=Milestones!$AB$118),UPPER(TEXT(EDATE($D141,Milestones!$AA$118),"dd mmm yy"))&amp;" "&amp;Milestones!$AB$118&amp;" "&amp;Milestones!$AC$118&amp;";  ","")&amp;IF(AND(EDATE($D141,Milestones!$AA$119)&lt;=AsOfDate,IF($R141=0,$X141,IF(AND($T141&lt;&gt;"",EDATE($D141,Milestones!$AA$119)&gt;=$T141),$W141,IF(AND($S141&lt;&gt;"",EDATE($D141,Milestones!$AA$119)&gt;=$S141),$V141,$U141)))=Milestones!$AB$119),UPPER(TEXT(EDATE($D141,Milestones!$AA$119),"dd mmm yy"))&amp;" "&amp;Milestones!$AB$119&amp;" "&amp;Milestones!$AC$119&amp;";  ",""))</f>
        <v/>
      </c>
      <c r="N141" s="0" t="str">
        <f aca="false">IF(OR($A141="",$D141=""),"",IF(AND(EDATE($D141,Milestones!$AA$120)&lt;=AsOfDate,IF($R141=0,$X141,IF(AND($T141&lt;&gt;"",EDATE($D141,Milestones!$AA$120)&gt;=$T141),$W141,IF(AND($S141&lt;&gt;"",EDATE($D141,Milestones!$AA$120)&gt;=$S141),$V141,$U141)))=Milestones!$AB$120),UPPER(TEXT(EDATE($D141,Milestones!$AA$120),"dd mmm yy"))&amp;" "&amp;Milestones!$AB$120&amp;" "&amp;Milestones!$AC$120&amp;";  ","")&amp;IF(AND(EDATE($D141,Milestones!$AA$121)&lt;=AsOfDate,IF($R141=0,$X141,IF(AND($T141&lt;&gt;"",EDATE($D141,Milestones!$AA$121)&gt;=$T141),$W141,IF(AND($S141&lt;&gt;"",EDATE($D141,Milestones!$AA$121)&gt;=$S141),$V141,$U141)))=Milestones!$AB$121),UPPER(TEXT(EDATE($D141,Milestones!$AA$121),"dd mmm yy"))&amp;" "&amp;Milestones!$AB$121&amp;" "&amp;Milestones!$AC$121&amp;";  ","")&amp;IF(AND(EDATE($D141,Milestones!$AA$122)&lt;=AsOfDate,IF($R141=0,$X141,IF(AND($T141&lt;&gt;"",EDATE($D141,Milestones!$AA$122)&gt;=$T141),$W141,IF(AND($S141&lt;&gt;"",EDATE($D141,Milestones!$AA$122)&gt;=$S141),$V141,$U141)))=Milestones!$AB$122),UPPER(TEXT(EDATE($D141,Milestones!$AA$122),"dd mmm yy"))&amp;" "&amp;Milestones!$AB$122&amp;" "&amp;Milestones!$AC$122&amp;";  ","")&amp;IF(AND(EDATE($D141,Milestones!$AA$123)&lt;=AsOfDate,IF($R141=0,$X141,IF(AND($T141&lt;&gt;"",EDATE($D141,Milestones!$AA$123)&gt;=$T141),$W141,IF(AND($S141&lt;&gt;"",EDATE($D141,Milestones!$AA$123)&gt;=$S141),$V141,$U141)))=Milestones!$AB$123),UPPER(TEXT(EDATE($D141,Milestones!$AA$123),"dd mmm yy"))&amp;" "&amp;Milestones!$AB$123&amp;" "&amp;Milestones!$AC$123&amp;";  ","")&amp;IF(AND(EDATE($D141,Milestones!$AA$124)&lt;=AsOfDate,IF($R141=0,$X141,IF(AND($T141&lt;&gt;"",EDATE($D141,Milestones!$AA$124)&gt;=$T141),$W141,IF(AND($S141&lt;&gt;"",EDATE($D141,Milestones!$AA$124)&gt;=$S141),$V141,$U141)))=Milestones!$AB$124),UPPER(TEXT(EDATE($D141,Milestones!$AA$124),"dd mmm yy"))&amp;" "&amp;Milestones!$AB$124&amp;" "&amp;Milestones!$AC$124&amp;";  ","")&amp;IF(AND(EDATE($D141,Milestones!$AA$125)&lt;=AsOfDate,IF($R141=0,$X141,IF(AND($T141&lt;&gt;"",EDATE($D141,Milestones!$AA$125)&gt;=$T141),$W141,IF(AND($S141&lt;&gt;"",EDATE($D141,Milestones!$AA$125)&gt;=$S141),$V141,$U141)))=Milestones!$AB$125),UPPER(TEXT(EDATE($D141,Milestones!$AA$125),"dd mmm yy"))&amp;" "&amp;Milestones!$AB$125&amp;" "&amp;Milestones!$AC$125&amp;";  ","")&amp;IF(AND(EDATE($D141,Milestones!$AA$126)&lt;=AsOfDate,IF($R141=0,$X141,IF(AND($T141&lt;&gt;"",EDATE($D141,Milestones!$AA$126)&gt;=$T141),$W141,IF(AND($S141&lt;&gt;"",EDATE($D141,Milestones!$AA$126)&gt;=$S141),$V141,$U141)))=Milestones!$AB$126),UPPER(TEXT(EDATE($D141,Milestones!$AA$126),"dd mmm yy"))&amp;" "&amp;Milestones!$AB$126&amp;" "&amp;Milestones!$AC$126&amp;";  ","")&amp;IF(AND(EDATE($D141,Milestones!$AA$127)&lt;=AsOfDate,IF($R141=0,$X141,IF(AND($T141&lt;&gt;"",EDATE($D141,Milestones!$AA$127)&gt;=$T141),$W141,IF(AND($S141&lt;&gt;"",EDATE($D141,Milestones!$AA$127)&gt;=$S141),$V141,$U141)))=Milestones!$AB$127),UPPER(TEXT(EDATE($D141,Milestones!$AA$127),"dd mmm yy"))&amp;" "&amp;Milestones!$AB$127&amp;" "&amp;Milestones!$AC$127&amp;";  ","")&amp;IF(AND(EDATE($D141,Milestones!$AA$128)&lt;=AsOfDate,IF($R141=0,$X141,IF(AND($T141&lt;&gt;"",EDATE($D141,Milestones!$AA$128)&gt;=$T141),$W141,IF(AND($S141&lt;&gt;"",EDATE($D141,Milestones!$AA$128)&gt;=$S141),$V141,$U141)))=Milestones!$AB$128),UPPER(TEXT(EDATE($D141,Milestones!$AA$128),"dd mmm yy"))&amp;" "&amp;Milestones!$AB$128&amp;" "&amp;Milestones!$AC$128&amp;";  ","")&amp;IF(AND(EDATE($D141,Milestones!$AA$129)&lt;=AsOfDate,IF($R141=0,$X141,IF(AND($T141&lt;&gt;"",EDATE($D141,Milestones!$AA$129)&gt;=$T141),$W141,IF(AND($S141&lt;&gt;"",EDATE($D141,Milestones!$AA$129)&gt;=$S141),$V141,$U141)))=Milestones!$AB$129),UPPER(TEXT(EDATE($D141,Milestones!$AA$129),"dd mmm yy"))&amp;" "&amp;Milestones!$AB$129&amp;" "&amp;Milestones!$AC$129&amp;";  ","")&amp;IF(AND(EDATE($D141,Milestones!$AA$130)&lt;=AsOfDate,IF($R141=0,$X141,IF(AND($T141&lt;&gt;"",EDATE($D141,Milestones!$AA$130)&gt;=$T141),$W141,IF(AND($S141&lt;&gt;"",EDATE($D141,Milestones!$AA$130)&gt;=$S141),$V141,$U141)))=Milestones!$AB$130),UPPER(TEXT(EDATE($D141,Milestones!$AA$130),"dd mmm yy"))&amp;" "&amp;Milestones!$AB$130&amp;" "&amp;Milestones!$AC$130&amp;";  ","")&amp;IF(AND(EDATE($D141,Milestones!$AA$131)&lt;=AsOfDate,IF($R141=0,$X141,IF(AND($T141&lt;&gt;"",EDATE($D141,Milestones!$AA$131)&gt;=$T141),$W141,IF(AND($S141&lt;&gt;"",EDATE($D141,Milestones!$AA$131)&gt;=$S141),$V141,$U141)))=Milestones!$AB$131),UPPER(TEXT(EDATE($D141,Milestones!$AA$131),"dd mmm yy"))&amp;" "&amp;Milestones!$AB$131&amp;" "&amp;Milestones!$AC$131&amp;";  ","")&amp;IF(AND(EDATE($D141,Milestones!$AA$132)&lt;=AsOfDate,IF($R141=0,$X141,IF(AND($T141&lt;&gt;"",EDATE($D141,Milestones!$AA$132)&gt;=$T141),$W141,IF(AND($S141&lt;&gt;"",EDATE($D141,Milestones!$AA$132)&gt;=$S141),$V141,$U141)))=Milestones!$AB$132),UPPER(TEXT(EDATE($D141,Milestones!$AA$132),"dd mmm yy"))&amp;" "&amp;Milestones!$AB$132&amp;" "&amp;Milestones!$AC$132&amp;";  ","")&amp;IF(AND(EDATE($D141,Milestones!$AA$133)&lt;=AsOfDate,IF($R141=0,$X141,IF(AND($T141&lt;&gt;"",EDATE($D141,Milestones!$AA$133)&gt;=$T141),$W141,IF(AND($S141&lt;&gt;"",EDATE($D141,Milestones!$AA$133)&gt;=$S141),$V141,$U141)))=Milestones!$AB$133),UPPER(TEXT(EDATE($D141,Milestones!$AA$133),"dd mmm yy"))&amp;" "&amp;Milestones!$AB$133&amp;" "&amp;Milestones!$AC$133&amp;";  ","")&amp;IF(AND(EDATE($D141,Milestones!$AA$134)&lt;=AsOfDate,IF($R141=0,$X141,IF(AND($T141&lt;&gt;"",EDATE($D141,Milestones!$AA$134)&gt;=$T141),$W141,IF(AND($S141&lt;&gt;"",EDATE($D141,Milestones!$AA$134)&gt;=$S141),$V141,$U141)))=Milestones!$AB$134),UPPER(TEXT(EDATE($D141,Milestones!$AA$134),"dd mmm yy"))&amp;" "&amp;Milestones!$AB$134&amp;" "&amp;Milestones!$AC$134&amp;";  ","")&amp;IF(AND(EDATE($D141,Milestones!$AA$135)&lt;=AsOfDate,IF($R141=0,$X141,IF(AND($T141&lt;&gt;"",EDATE($D141,Milestones!$AA$135)&gt;=$T141),$W141,IF(AND($S141&lt;&gt;"",EDATE($D141,Milestones!$AA$135)&gt;=$S141),$V141,$U141)))=Milestones!$AB$135),UPPER(TEXT(EDATE($D141,Milestones!$AA$135),"dd mmm yy"))&amp;" "&amp;Milestones!$AB$135&amp;" "&amp;Milestones!$AC$135&amp;";  ","")&amp;IF(AND(EDATE($D141,Milestones!$AA$136)&lt;=AsOfDate,IF($R141=0,$X141,IF(AND($T141&lt;&gt;"",EDATE($D141,Milestones!$AA$136)&gt;=$T141),$W141,IF(AND($S141&lt;&gt;"",EDATE($D141,Milestones!$AA$136)&gt;=$S141),$V141,$U141)))=Milestones!$AB$136),UPPER(TEXT(EDATE($D141,Milestones!$AA$136),"dd mmm yy"))&amp;" "&amp;Milestones!$AB$136&amp;" "&amp;Milestones!$AC$136&amp;";  ","")&amp;IF(AND(EDATE($D141,Milestones!$AA$137)&lt;=AsOfDate,IF($R141=0,$X141,IF(AND($T141&lt;&gt;"",EDATE($D141,Milestones!$AA$137)&gt;=$T141),$W141,IF(AND($S141&lt;&gt;"",EDATE($D141,Milestones!$AA$137)&gt;=$S141),$V141,$U141)))=Milestones!$AB$137),UPPER(TEXT(EDATE($D141,Milestones!$AA$137),"dd mmm yy"))&amp;" "&amp;Milestones!$AB$137&amp;" "&amp;Milestones!$AC$137&amp;";  ","")&amp;IF(AND(EDATE($D141,Milestones!$AA$138)&lt;=AsOfDate,IF($R141=0,$X141,IF(AND($T141&lt;&gt;"",EDATE($D141,Milestones!$AA$138)&gt;=$T141),$W141,IF(AND($S141&lt;&gt;"",EDATE($D141,Milestones!$AA$138)&gt;=$S141),$V141,$U141)))=Milestones!$AB$138),UPPER(TEXT(EDATE($D141,Milestones!$AA$138),"dd mmm yy"))&amp;" "&amp;Milestones!$AB$138&amp;" "&amp;Milestones!$AC$138&amp;";  ","")&amp;IF(AND(EDATE($D141,Milestones!$AA$139)&lt;=AsOfDate,IF($R141=0,$X141,IF(AND($T141&lt;&gt;"",EDATE($D141,Milestones!$AA$139)&gt;=$T141),$W141,IF(AND($S141&lt;&gt;"",EDATE($D141,Milestones!$AA$139)&gt;=$S141),$V141,$U141)))=Milestones!$AB$139),UPPER(TEXT(EDATE($D141,Milestones!$AA$139),"dd mmm yy"))&amp;" "&amp;Milestones!$AB$139&amp;" "&amp;Milestones!$AC$139&amp;";  ",""))</f>
        <v/>
      </c>
      <c r="O141" s="0" t="str">
        <f aca="false">IF(OR($A141="",$D141=""),"",IF(AND(EDATE($D141,Milestones!$AA$140)&lt;=AsOfDate,IF($R141=0,$X141,IF(AND($T141&lt;&gt;"",EDATE($D141,Milestones!$AA$140)&gt;=$T141),$W141,IF(AND($S141&lt;&gt;"",EDATE($D141,Milestones!$AA$140)&gt;=$S141),$V141,$U141)))=Milestones!$AB$140),UPPER(TEXT(EDATE($D141,Milestones!$AA$140),"dd mmm yy"))&amp;" "&amp;Milestones!$AB$140&amp;" "&amp;Milestones!$AC$140&amp;";  ","")&amp;IF(AND(EDATE($D141,Milestones!$AA$141)&lt;=AsOfDate,IF($R141=0,$X141,IF(AND($T141&lt;&gt;"",EDATE($D141,Milestones!$AA$141)&gt;=$T141),$W141,IF(AND($S141&lt;&gt;"",EDATE($D141,Milestones!$AA$141)&gt;=$S141),$V141,$U141)))=Milestones!$AB$141),UPPER(TEXT(EDATE($D141,Milestones!$AA$141),"dd mmm yy"))&amp;" "&amp;Milestones!$AB$141&amp;" "&amp;Milestones!$AC$141&amp;";  ","")&amp;IF(AND(EDATE($D141,Milestones!$AA$142)&lt;=AsOfDate,IF($R141=0,$X141,IF(AND($T141&lt;&gt;"",EDATE($D141,Milestones!$AA$142)&gt;=$T141),$W141,IF(AND($S141&lt;&gt;"",EDATE($D141,Milestones!$AA$142)&gt;=$S141),$V141,$U141)))=Milestones!$AB$142),UPPER(TEXT(EDATE($D141,Milestones!$AA$142),"dd mmm yy"))&amp;" "&amp;Milestones!$AB$142&amp;" "&amp;Milestones!$AC$142&amp;";  ","")&amp;IF(AND(EDATE($D141,Milestones!$AA$143)&lt;=AsOfDate,IF($R141=0,$X141,IF(AND($T141&lt;&gt;"",EDATE($D141,Milestones!$AA$143)&gt;=$T141),$W141,IF(AND($S141&lt;&gt;"",EDATE($D141,Milestones!$AA$143)&gt;=$S141),$V141,$U141)))=Milestones!$AB$143),UPPER(TEXT(EDATE($D141,Milestones!$AA$143),"dd mmm yy"))&amp;" "&amp;Milestones!$AB$143&amp;" "&amp;Milestones!$AC$143&amp;";  ","")&amp;IF(AND(EDATE($D141,Milestones!$AA$144)&lt;=AsOfDate,IF($R141=0,$X141,IF(AND($T141&lt;&gt;"",EDATE($D141,Milestones!$AA$144)&gt;=$T141),$W141,IF(AND($S141&lt;&gt;"",EDATE($D141,Milestones!$AA$144)&gt;=$S141),$V141,$U141)))=Milestones!$AB$144),UPPER(TEXT(EDATE($D141,Milestones!$AA$144),"dd mmm yy"))&amp;" "&amp;Milestones!$AB$144&amp;" "&amp;Milestones!$AC$144&amp;";  ","")&amp;IF(AND(EDATE($D141,Milestones!$AA$145)&lt;=AsOfDate,IF($R141=0,$X141,IF(AND($T141&lt;&gt;"",EDATE($D141,Milestones!$AA$145)&gt;=$T141),$W141,IF(AND($S141&lt;&gt;"",EDATE($D141,Milestones!$AA$145)&gt;=$S141),$V141,$U141)))=Milestones!$AB$145),UPPER(TEXT(EDATE($D141,Milestones!$AA$145),"dd mmm yy"))&amp;" "&amp;Milestones!$AB$145&amp;" "&amp;Milestones!$AC$145&amp;";  ","")&amp;IF(AND(EDATE($D141,Milestones!$AA$146)&lt;=AsOfDate,IF($R141=0,$X141,IF(AND($T141&lt;&gt;"",EDATE($D141,Milestones!$AA$146)&gt;=$T141),$W141,IF(AND($S141&lt;&gt;"",EDATE($D141,Milestones!$AA$146)&gt;=$S141),$V141,$U141)))=Milestones!$AB$146),UPPER(TEXT(EDATE($D141,Milestones!$AA$146),"dd mmm yy"))&amp;" "&amp;Milestones!$AB$146&amp;" "&amp;Milestones!$AC$146&amp;";  ","")&amp;IF(AND(EDATE($D141,Milestones!$AA$147)&lt;=AsOfDate,IF($R141=0,$X141,IF(AND($T141&lt;&gt;"",EDATE($D141,Milestones!$AA$147)&gt;=$T141),$W141,IF(AND($S141&lt;&gt;"",EDATE($D141,Milestones!$AA$147)&gt;=$S141),$V141,$U141)))=Milestones!$AB$147),UPPER(TEXT(EDATE($D141,Milestones!$AA$147),"dd mmm yy"))&amp;" "&amp;Milestones!$AB$147&amp;" "&amp;Milestones!$AC$147&amp;";  ","")&amp;IF(AND(EDATE($D141,Milestones!$AA$148)&lt;=AsOfDate,IF($R141=0,$X141,IF(AND($T141&lt;&gt;"",EDATE($D141,Milestones!$AA$148)&gt;=$T141),$W141,IF(AND($S141&lt;&gt;"",EDATE($D141,Milestones!$AA$148)&gt;=$S141),$V141,$U141)))=Milestones!$AB$148),UPPER(TEXT(EDATE($D141,Milestones!$AA$148),"dd mmm yy"))&amp;" "&amp;Milestones!$AB$148&amp;" "&amp;Milestones!$AC$148&amp;";  ","")&amp;IF(AND(EDATE($D141,Milestones!$AA$149)&lt;=AsOfDate,IF($R141=0,$X141,IF(AND($T141&lt;&gt;"",EDATE($D141,Milestones!$AA$149)&gt;=$T141),$W141,IF(AND($S141&lt;&gt;"",EDATE($D141,Milestones!$AA$149)&gt;=$S141),$V141,$U141)))=Milestones!$AB$149),UPPER(TEXT(EDATE($D141,Milestones!$AA$149),"dd mmm yy"))&amp;" "&amp;Milestones!$AB$149&amp;" "&amp;Milestones!$AC$149&amp;";  ","")&amp;IF(AND(EDATE($D141,Milestones!$AA$150)&lt;=AsOfDate,IF($R141=0,$X141,IF(AND($T141&lt;&gt;"",EDATE($D141,Milestones!$AA$150)&gt;=$T141),$W141,IF(AND($S141&lt;&gt;"",EDATE($D141,Milestones!$AA$150)&gt;=$S141),$V141,$U141)))=Milestones!$AB$150),UPPER(TEXT(EDATE($D141,Milestones!$AA$150),"dd mmm yy"))&amp;" "&amp;Milestones!$AB$150&amp;" "&amp;Milestones!$AC$150&amp;";  ","")&amp;IF(AND(EDATE($D141,Milestones!$AA$151)&lt;=AsOfDate,IF($R141=0,$X141,IF(AND($T141&lt;&gt;"",EDATE($D141,Milestones!$AA$151)&gt;=$T141),$W141,IF(AND($S141&lt;&gt;"",EDATE($D141,Milestones!$AA$151)&gt;=$S141),$V141,$U141)))=Milestones!$AB$151),UPPER(TEXT(EDATE($D141,Milestones!$AA$151),"dd mmm yy"))&amp;" "&amp;Milestones!$AB$151&amp;" "&amp;Milestones!$AC$151&amp;";  ","")&amp;IF(AND(EDATE($D141,Milestones!$AA$152)&lt;=AsOfDate,IF($R141=0,$X141,IF(AND($T141&lt;&gt;"",EDATE($D141,Milestones!$AA$152)&gt;=$T141),$W141,IF(AND($S141&lt;&gt;"",EDATE($D141,Milestones!$AA$152)&gt;=$S141),$V141,$U141)))=Milestones!$AB$152),UPPER(TEXT(EDATE($D141,Milestones!$AA$152),"dd mmm yy"))&amp;" "&amp;Milestones!$AB$152&amp;" "&amp;Milestones!$AC$152&amp;";  ","")&amp;IF(AND(EDATE($D141,Milestones!$AA$153)&lt;=AsOfDate,IF($R141=0,$X141,IF(AND($T141&lt;&gt;"",EDATE($D141,Milestones!$AA$153)&gt;=$T141),$W141,IF(AND($S141&lt;&gt;"",EDATE($D141,Milestones!$AA$153)&gt;=$S141),$V141,$U141)))=Milestones!$AB$153),UPPER(TEXT(EDATE($D141,Milestones!$AA$153),"dd mmm yy"))&amp;" "&amp;Milestones!$AB$153&amp;" "&amp;Milestones!$AC$153&amp;";  ","")&amp;IF(AND(EDATE($D141,Milestones!$AA$154)&lt;=AsOfDate,IF($R141=0,$X141,IF(AND($T141&lt;&gt;"",EDATE($D141,Milestones!$AA$154)&gt;=$T141),$W141,IF(AND($S141&lt;&gt;"",EDATE($D141,Milestones!$AA$154)&gt;=$S141),$V141,$U141)))=Milestones!$AB$154),UPPER(TEXT(EDATE($D141,Milestones!$AA$154),"dd mmm yy"))&amp;" "&amp;Milestones!$AB$154&amp;" "&amp;Milestones!$AC$154&amp;";  ","")&amp;IF(AND(EDATE($D141,Milestones!$AA$155)&lt;=AsOfDate,IF($R141=0,$X141,IF(AND($T141&lt;&gt;"",EDATE($D141,Milestones!$AA$155)&gt;=$T141),$W141,IF(AND($S141&lt;&gt;"",EDATE($D141,Milestones!$AA$155)&gt;=$S141),$V141,$U141)))=Milestones!$AB$155),UPPER(TEXT(EDATE($D141,Milestones!$AA$155),"dd mmm yy"))&amp;" "&amp;Milestones!$AB$155&amp;" "&amp;Milestones!$AC$155&amp;";  ","")&amp;IF(AND(EDATE($D141,Milestones!$AA$156)&lt;=AsOfDate,IF($R141=0,$X141,IF(AND($T141&lt;&gt;"",EDATE($D141,Milestones!$AA$156)&gt;=$T141),$W141,IF(AND($S141&lt;&gt;"",EDATE($D141,Milestones!$AA$156)&gt;=$S141),$V141,$U141)))=Milestones!$AB$156),UPPER(TEXT(EDATE($D141,Milestones!$AA$156),"dd mmm yy"))&amp;" "&amp;Milestones!$AB$156&amp;" "&amp;Milestones!$AC$156&amp;";  ","")&amp;IF(AND(EDATE($D141,Milestones!$AA$157)&lt;=AsOfDate,IF($R141=0,$X141,IF(AND($T141&lt;&gt;"",EDATE($D141,Milestones!$AA$157)&gt;=$T141),$W141,IF(AND($S141&lt;&gt;"",EDATE($D141,Milestones!$AA$157)&gt;=$S141),$V141,$U141)))=Milestones!$AB$157),UPPER(TEXT(EDATE($D141,Milestones!$AA$157),"dd mmm yy"))&amp;" "&amp;Milestones!$AB$157&amp;" "&amp;Milestones!$AC$157&amp;";  ","")&amp;IF(AND(EDATE($D141,Milestones!$AA$158)&lt;=AsOfDate,IF($R141=0,$X141,IF(AND($T141&lt;&gt;"",EDATE($D141,Milestones!$AA$158)&gt;=$T141),$W141,IF(AND($S141&lt;&gt;"",EDATE($D141,Milestones!$AA$158)&gt;=$S141),$V141,$U141)))=Milestones!$AB$158),UPPER(TEXT(EDATE($D141,Milestones!$AA$158),"dd mmm yy"))&amp;" "&amp;Milestones!$AB$158&amp;" "&amp;Milestones!$AC$158&amp;";  ","")&amp;IF(AND(EDATE($D141,Milestones!$AA$159)&lt;=AsOfDate,IF($R141=0,$X141,IF(AND($T141&lt;&gt;"",EDATE($D141,Milestones!$AA$159)&gt;=$T141),$W141,IF(AND($S141&lt;&gt;"",EDATE($D141,Milestones!$AA$159)&gt;=$S141),$V141,$U141)))=Milestones!$AB$159),UPPER(TEXT(EDATE($D141,Milestones!$AA$159),"dd mmm yy"))&amp;" "&amp;Milestones!$AB$159&amp;" "&amp;Milestones!$AC$159&amp;";  ",""))</f>
        <v/>
      </c>
      <c r="P141" s="0" t="str">
        <f aca="false">IF(OR($A141="",$D141=""),"",IF(AND(EDATE($D141,Milestones!$AA$160)&lt;=AsOfDate,IF($R141=0,$X141,IF(AND($T141&lt;&gt;"",EDATE($D141,Milestones!$AA$160)&gt;=$T141),$W141,IF(AND($S141&lt;&gt;"",EDATE($D141,Milestones!$AA$160)&gt;=$S141),$V141,$U141)))=Milestones!$AB$160),UPPER(TEXT(EDATE($D141,Milestones!$AA$160),"dd mmm yy"))&amp;" "&amp;Milestones!$AB$160&amp;" "&amp;Milestones!$AC$160&amp;";  ","")&amp;IF(AND(EDATE($D141,Milestones!$AA$161)&lt;=AsOfDate,IF($R141=0,$X141,IF(AND($T141&lt;&gt;"",EDATE($D141,Milestones!$AA$161)&gt;=$T141),$W141,IF(AND($S141&lt;&gt;"",EDATE($D141,Milestones!$AA$161)&gt;=$S141),$V141,$U141)))=Milestones!$AB$161),UPPER(TEXT(EDATE($D141,Milestones!$AA$161),"dd mmm yy"))&amp;" "&amp;Milestones!$AB$161&amp;" "&amp;Milestones!$AC$161&amp;";  ","")&amp;IF(AND(EDATE($D141,Milestones!$AA$162)&lt;=AsOfDate,IF($R141=0,$X141,IF(AND($T141&lt;&gt;"",EDATE($D141,Milestones!$AA$162)&gt;=$T141),$W141,IF(AND($S141&lt;&gt;"",EDATE($D141,Milestones!$AA$162)&gt;=$S141),$V141,$U141)))=Milestones!$AB$162),UPPER(TEXT(EDATE($D141,Milestones!$AA$162),"dd mmm yy"))&amp;" "&amp;Milestones!$AB$162&amp;" "&amp;Milestones!$AC$162&amp;";  ","")&amp;IF(AND(EDATE($D141,Milestones!$AA$163)&lt;=AsOfDate,IF($R141=0,$X141,IF(AND($T141&lt;&gt;"",EDATE($D141,Milestones!$AA$163)&gt;=$T141),$W141,IF(AND($S141&lt;&gt;"",EDATE($D141,Milestones!$AA$163)&gt;=$S141),$V141,$U141)))=Milestones!$AB$163),UPPER(TEXT(EDATE($D141,Milestones!$AA$163),"dd mmm yy"))&amp;" "&amp;Milestones!$AB$163&amp;" "&amp;Milestones!$AC$163&amp;";  ","")&amp;IF(AND(EDATE($D141,Milestones!$AA$164)&lt;=AsOfDate,IF($R141=0,$X141,IF(AND($T141&lt;&gt;"",EDATE($D141,Milestones!$AA$164)&gt;=$T141),$W141,IF(AND($S141&lt;&gt;"",EDATE($D141,Milestones!$AA$164)&gt;=$S141),$V141,$U141)))=Milestones!$AB$164),UPPER(TEXT(EDATE($D141,Milestones!$AA$164),"dd mmm yy"))&amp;" "&amp;Milestones!$AB$164&amp;" "&amp;Milestones!$AC$164&amp;";  ","")&amp;IF(AND(EDATE($D141,Milestones!$AA$165)&lt;=AsOfDate,IF($R141=0,$X141,IF(AND($T141&lt;&gt;"",EDATE($D141,Milestones!$AA$165)&gt;=$T141),$W141,IF(AND($S141&lt;&gt;"",EDATE($D141,Milestones!$AA$165)&gt;=$S141),$V141,$U141)))=Milestones!$AB$165),UPPER(TEXT(EDATE($D141,Milestones!$AA$165),"dd mmm yy"))&amp;" "&amp;Milestones!$AB$165&amp;" "&amp;Milestones!$AC$165&amp;";  ","")&amp;IF(AND(EDATE($D141,Milestones!$AA$166)&lt;=AsOfDate,IF($R141=0,$X141,IF(AND($T141&lt;&gt;"",EDATE($D141,Milestones!$AA$166)&gt;=$T141),$W141,IF(AND($S141&lt;&gt;"",EDATE($D141,Milestones!$AA$166)&gt;=$S141),$V141,$U141)))=Milestones!$AB$166),UPPER(TEXT(EDATE($D141,Milestones!$AA$166),"dd mmm yy"))&amp;" "&amp;Milestones!$AB$166&amp;" "&amp;Milestones!$AC$166&amp;";  ","")&amp;IF(AND(EDATE($D141,Milestones!$AA$167)&lt;=AsOfDate,IF($R141=0,$X141,IF(AND($T141&lt;&gt;"",EDATE($D141,Milestones!$AA$167)&gt;=$T141),$W141,IF(AND($S141&lt;&gt;"",EDATE($D141,Milestones!$AA$167)&gt;=$S141),$V141,$U141)))=Milestones!$AB$167),UPPER(TEXT(EDATE($D141,Milestones!$AA$167),"dd mmm yy"))&amp;" "&amp;Milestones!$AB$167&amp;" "&amp;Milestones!$AC$167&amp;";  ","")&amp;IF(AND(EDATE($D141,Milestones!$AA$168)&lt;=AsOfDate,IF($R141=0,$X141,IF(AND($T141&lt;&gt;"",EDATE($D141,Milestones!$AA$168)&gt;=$T141),$W141,IF(AND($S141&lt;&gt;"",EDATE($D141,Milestones!$AA$168)&gt;=$S141),$V141,$U141)))=Milestones!$AB$168),UPPER(TEXT(EDATE($D141,Milestones!$AA$168),"dd mmm yy"))&amp;" "&amp;Milestones!$AB$168&amp;" "&amp;Milestones!$AC$168&amp;";  ","")&amp;IF(AND(EDATE($D141,Milestones!$AA$169)&lt;=AsOfDate,IF($R141=0,$X141,IF(AND($T141&lt;&gt;"",EDATE($D141,Milestones!$AA$169)&gt;=$T141),$W141,IF(AND($S141&lt;&gt;"",EDATE($D141,Milestones!$AA$169)&gt;=$S141),$V141,$U141)))=Milestones!$AB$169),UPPER(TEXT(EDATE($D141,Milestones!$AA$169),"dd mmm yy"))&amp;" "&amp;Milestones!$AB$169&amp;" "&amp;Milestones!$AC$169&amp;";  ","")&amp;IF(AND(EDATE($D141,Milestones!$AA$170)&lt;=AsOfDate,IF($R141=0,$X141,IF(AND($T141&lt;&gt;"",EDATE($D141,Milestones!$AA$170)&gt;=$T141),$W141,IF(AND($S141&lt;&gt;"",EDATE($D141,Milestones!$AA$170)&gt;=$S141),$V141,$U141)))=Milestones!$AB$170),UPPER(TEXT(EDATE($D141,Milestones!$AA$170),"dd mmm yy"))&amp;" "&amp;Milestones!$AB$170&amp;" "&amp;Milestones!$AC$170&amp;";  ","")&amp;IF(AND(EDATE($D141,Milestones!$AA$171)&lt;=AsOfDate,IF($R141=0,$X141,IF(AND($T141&lt;&gt;"",EDATE($D141,Milestones!$AA$171)&gt;=$T141),$W141,IF(AND($S141&lt;&gt;"",EDATE($D141,Milestones!$AA$171)&gt;=$S141),$V141,$U141)))=Milestones!$AB$171),UPPER(TEXT(EDATE($D141,Milestones!$AA$171),"dd mmm yy"))&amp;" "&amp;Milestones!$AB$171&amp;" "&amp;Milestones!$AC$171&amp;";  ","")&amp;IF(AND(EDATE($D141,Milestones!$AA$172)&lt;=AsOfDate,IF($R141=0,$X141,IF(AND($T141&lt;&gt;"",EDATE($D141,Milestones!$AA$172)&gt;=$T141),$W141,IF(AND($S141&lt;&gt;"",EDATE($D141,Milestones!$AA$172)&gt;=$S141),$V141,$U141)))=Milestones!$AB$172),UPPER(TEXT(EDATE($D141,Milestones!$AA$172),"dd mmm yy"))&amp;" "&amp;Milestones!$AB$172&amp;" "&amp;Milestones!$AC$172&amp;";  ","")&amp;IF(AND(EDATE($D141,Milestones!$AA$173)&lt;=AsOfDate,IF($R141=0,$X141,IF(AND($T141&lt;&gt;"",EDATE($D141,Milestones!$AA$173)&gt;=$T141),$W141,IF(AND($S141&lt;&gt;"",EDATE($D141,Milestones!$AA$173)&gt;=$S141),$V141,$U141)))=Milestones!$AB$173),UPPER(TEXT(EDATE($D141,Milestones!$AA$173),"dd mmm yy"))&amp;" "&amp;Milestones!$AB$173&amp;" "&amp;Milestones!$AC$173&amp;";  ","")&amp;IF(AND(EDATE($D141,Milestones!$AA$174)&lt;=AsOfDate,IF($R141=0,$X141,IF(AND($T141&lt;&gt;"",EDATE($D141,Milestones!$AA$174)&gt;=$T141),$W141,IF(AND($S141&lt;&gt;"",EDATE($D141,Milestones!$AA$174)&gt;=$S141),$V141,$U141)))=Milestones!$AB$174),UPPER(TEXT(EDATE($D141,Milestones!$AA$174),"dd mmm yy"))&amp;" "&amp;Milestones!$AB$174&amp;" "&amp;Milestones!$AC$174&amp;";  ","")&amp;IF(AND(EDATE($D141,Milestones!$AA$175)&lt;=AsOfDate,IF($R141=0,$X141,IF(AND($T141&lt;&gt;"",EDATE($D141,Milestones!$AA$175)&gt;=$T141),$W141,IF(AND($S141&lt;&gt;"",EDATE($D141,Milestones!$AA$175)&gt;=$S141),$V141,$U141)))=Milestones!$AB$175),UPPER(TEXT(EDATE($D141,Milestones!$AA$175),"dd mmm yy"))&amp;" "&amp;Milestones!$AB$175&amp;" "&amp;Milestones!$AC$175&amp;";  ","")&amp;IF(AND(EDATE($D141,Milestones!$AA$176)&lt;=AsOfDate,IF($R141=0,$X141,IF(AND($T141&lt;&gt;"",EDATE($D141,Milestones!$AA$176)&gt;=$T141),$W141,IF(AND($S141&lt;&gt;"",EDATE($D141,Milestones!$AA$176)&gt;=$S141),$V141,$U141)))=Milestones!$AB$176),UPPER(TEXT(EDATE($D141,Milestones!$AA$176),"dd mmm yy"))&amp;" "&amp;Milestones!$AB$176&amp;" "&amp;Milestones!$AC$176&amp;";  ","")&amp;IF(AND(EDATE($D141,Milestones!$AA$177)&lt;=AsOfDate,IF($R141=0,$X141,IF(AND($T141&lt;&gt;"",EDATE($D141,Milestones!$AA$177)&gt;=$T141),$W141,IF(AND($S141&lt;&gt;"",EDATE($D141,Milestones!$AA$177)&gt;=$S141),$V141,$U141)))=Milestones!$AB$177),UPPER(TEXT(EDATE($D141,Milestones!$AA$177),"dd mmm yy"))&amp;" "&amp;Milestones!$AB$177&amp;" "&amp;Milestones!$AC$177&amp;";  ","")&amp;IF(AND(EDATE($D141,Milestones!$AA$178)&lt;=AsOfDate,IF($R141=0,$X141,IF(AND($T141&lt;&gt;"",EDATE($D141,Milestones!$AA$178)&gt;=$T141),$W141,IF(AND($S141&lt;&gt;"",EDATE($D141,Milestones!$AA$178)&gt;=$S141),$V141,$U141)))=Milestones!$AB$178),UPPER(TEXT(EDATE($D141,Milestones!$AA$178),"dd mmm yy"))&amp;" "&amp;Milestones!$AB$178&amp;" "&amp;Milestones!$AC$178&amp;";  ","")&amp;IF(AND(EDATE($D141,Milestones!$AA$179)&lt;=AsOfDate,IF($R141=0,$X141,IF(AND($T141&lt;&gt;"",EDATE($D141,Milestones!$AA$179)&gt;=$T141),$W141,IF(AND($S141&lt;&gt;"",EDATE($D141,Milestones!$AA$179)&gt;=$S141),$V141,$U141)))=Milestones!$AB$179),UPPER(TEXT(EDATE($D141,Milestones!$AA$179),"dd mmm yy"))&amp;" "&amp;Milestones!$AB$179&amp;" "&amp;Milestones!$AC$179&amp;";  ",""))</f>
        <v/>
      </c>
      <c r="Q141" s="0" t="str">
        <f aca="false">IF(OR($A141="",$D141=""),"",IF(AND(EDATE($D141,Milestones!$AA$180)&lt;=AsOfDate,IF($R141=0,$X141,IF(AND($T141&lt;&gt;"",EDATE($D141,Milestones!$AA$180)&gt;=$T141),$W141,IF(AND($S141&lt;&gt;"",EDATE($D141,Milestones!$AA$180)&gt;=$S141),$V141,$U141)))=Milestones!$AB$180),UPPER(TEXT(EDATE($D141,Milestones!$AA$180),"dd mmm yy"))&amp;" "&amp;Milestones!$AB$180&amp;" "&amp;Milestones!$AC$180&amp;";  ","")&amp;IF(AND(EDATE($D141,Milestones!$AA$181)&lt;=AsOfDate,IF($R141=0,$X141,IF(AND($T141&lt;&gt;"",EDATE($D141,Milestones!$AA$181)&gt;=$T141),$W141,IF(AND($S141&lt;&gt;"",EDATE($D141,Milestones!$AA$181)&gt;=$S141),$V141,$U141)))=Milestones!$AB$181),UPPER(TEXT(EDATE($D141,Milestones!$AA$181),"dd mmm yy"))&amp;" "&amp;Milestones!$AB$181&amp;" "&amp;Milestones!$AC$181&amp;";  ","")&amp;IF(AND(EDATE($D141,Milestones!$AA$182)&lt;=AsOfDate,IF($R141=0,$X141,IF(AND($T141&lt;&gt;"",EDATE($D141,Milestones!$AA$182)&gt;=$T141),$W141,IF(AND($S141&lt;&gt;"",EDATE($D141,Milestones!$AA$182)&gt;=$S141),$V141,$U141)))=Milestones!$AB$182),UPPER(TEXT(EDATE($D141,Milestones!$AA$182),"dd mmm yy"))&amp;" "&amp;Milestones!$AB$182&amp;" "&amp;Milestones!$AC$182&amp;";  ","")&amp;IF(AND(EDATE($D141,Milestones!$AA$183)&lt;=AsOfDate,IF($R141=0,$X141,IF(AND($T141&lt;&gt;"",EDATE($D141,Milestones!$AA$183)&gt;=$T141),$W141,IF(AND($S141&lt;&gt;"",EDATE($D141,Milestones!$AA$183)&gt;=$S141),$V141,$U141)))=Milestones!$AB$183),UPPER(TEXT(EDATE($D141,Milestones!$AA$183),"dd mmm yy"))&amp;" "&amp;Milestones!$AB$183&amp;" "&amp;Milestones!$AC$183&amp;";  ","")&amp;IF(AND(EDATE($D141,Milestones!$AA$184)&lt;=AsOfDate,IF($R141=0,$X141,IF(AND($T141&lt;&gt;"",EDATE($D141,Milestones!$AA$184)&gt;=$T141),$W141,IF(AND($S141&lt;&gt;"",EDATE($D141,Milestones!$AA$184)&gt;=$S141),$V141,$U141)))=Milestones!$AB$184),UPPER(TEXT(EDATE($D141,Milestones!$AA$184),"dd mmm yy"))&amp;" "&amp;Milestones!$AB$184&amp;" "&amp;Milestones!$AC$184&amp;";  ","")&amp;IF(AND(EDATE($D141,Milestones!$AA$185)&lt;=AsOfDate,IF($R141=0,$X141,IF(AND($T141&lt;&gt;"",EDATE($D141,Milestones!$AA$185)&gt;=$T141),$W141,IF(AND($S141&lt;&gt;"",EDATE($D141,Milestones!$AA$185)&gt;=$S141),$V141,$U141)))=Milestones!$AB$185),UPPER(TEXT(EDATE($D141,Milestones!$AA$185),"dd mmm yy"))&amp;" "&amp;Milestones!$AB$185&amp;" "&amp;Milestones!$AC$185&amp;";  ","")&amp;IF(AND(EDATE($D141,Milestones!$AA$186)&lt;=AsOfDate,IF($R141=0,$X141,IF(AND($T141&lt;&gt;"",EDATE($D141,Milestones!$AA$186)&gt;=$T141),$W141,IF(AND($S141&lt;&gt;"",EDATE($D141,Milestones!$AA$186)&gt;=$S141),$V141,$U141)))=Milestones!$AB$186),UPPER(TEXT(EDATE($D141,Milestones!$AA$186),"dd mmm yy"))&amp;" "&amp;Milestones!$AB$186&amp;" "&amp;Milestones!$AC$186&amp;";  ","")&amp;IF(AND(EDATE($D141,Milestones!$AA$187)&lt;=AsOfDate,IF($R141=0,$X141,IF(AND($T141&lt;&gt;"",EDATE($D141,Milestones!$AA$187)&gt;=$T141),$W141,IF(AND($S141&lt;&gt;"",EDATE($D141,Milestones!$AA$187)&gt;=$S141),$V141,$U141)))=Milestones!$AB$187),UPPER(TEXT(EDATE($D141,Milestones!$AA$187),"dd mmm yy"))&amp;" "&amp;Milestones!$AB$187&amp;" "&amp;Milestones!$AC$187&amp;";  ","")&amp;IF(AND(EDATE($D141,Milestones!$AA$188)&lt;=AsOfDate,IF($R141=0,$X141,IF(AND($T141&lt;&gt;"",EDATE($D141,Milestones!$AA$188)&gt;=$T141),$W141,IF(AND($S141&lt;&gt;"",EDATE($D141,Milestones!$AA$188)&gt;=$S141),$V141,$U141)))=Milestones!$AB$188),UPPER(TEXT(EDATE($D141,Milestones!$AA$188),"dd mmm yy"))&amp;" "&amp;Milestones!$AB$188&amp;" "&amp;Milestones!$AC$188&amp;";  ","")&amp;IF(AND(EDATE($D141,Milestones!$AA$189)&lt;=AsOfDate,IF($R141=0,$X141,IF(AND($T141&lt;&gt;"",EDATE($D141,Milestones!$AA$189)&gt;=$T141),$W141,IF(AND($S141&lt;&gt;"",EDATE($D141,Milestones!$AA$189)&gt;=$S141),$V141,$U141)))=Milestones!$AB$189),UPPER(TEXT(EDATE($D141,Milestones!$AA$189),"dd mmm yy"))&amp;" "&amp;Milestones!$AB$189&amp;" "&amp;Milestones!$AC$189&amp;";  ","")&amp;IF(AND(EDATE($D141,Milestones!$AA$190)&lt;=AsOfDate,IF($R141=0,$X141,IF(AND($T141&lt;&gt;"",EDATE($D141,Milestones!$AA$190)&gt;=$T141),$W141,IF(AND($S141&lt;&gt;"",EDATE($D141,Milestones!$AA$190)&gt;=$S141),$V141,$U141)))=Milestones!$AB$190),UPPER(TEXT(EDATE($D141,Milestones!$AA$190),"dd mmm yy"))&amp;" "&amp;Milestones!$AB$190&amp;" "&amp;Milestones!$AC$190&amp;";  ","")&amp;IF(AND(EDATE($D141,Milestones!$AA$191)&lt;=AsOfDate,IF($R141=0,$X141,IF(AND($T141&lt;&gt;"",EDATE($D141,Milestones!$AA$191)&gt;=$T141),$W141,IF(AND($S141&lt;&gt;"",EDATE($D141,Milestones!$AA$191)&gt;=$S141),$V141,$U141)))=Milestones!$AB$191),UPPER(TEXT(EDATE($D141,Milestones!$AA$191),"dd mmm yy"))&amp;" "&amp;Milestones!$AB$191&amp;" "&amp;Milestones!$AC$191&amp;";  ","")&amp;IF(AND(EDATE($D141,Milestones!$AA$192)&lt;=AsOfDate,IF($R141=0,$X141,IF(AND($T141&lt;&gt;"",EDATE($D141,Milestones!$AA$192)&gt;=$T141),$W141,IF(AND($S141&lt;&gt;"",EDATE($D141,Milestones!$AA$192)&gt;=$S141),$V141,$U141)))=Milestones!$AB$192),UPPER(TEXT(EDATE($D141,Milestones!$AA$192),"dd mmm yy"))&amp;" "&amp;Milestones!$AB$192&amp;" "&amp;Milestones!$AC$192&amp;";  ","")&amp;IF(AND(EDATE($D141,Milestones!$AA$193)&lt;=AsOfDate,IF($R141=0,$X141,IF(AND($T141&lt;&gt;"",EDATE($D141,Milestones!$AA$193)&gt;=$T141),$W141,IF(AND($S141&lt;&gt;"",EDATE($D141,Milestones!$AA$193)&gt;=$S141),$V141,$U141)))=Milestones!$AB$193),UPPER(TEXT(EDATE($D141,Milestones!$AA$193),"dd mmm yy"))&amp;" "&amp;Milestones!$AB$193&amp;" "&amp;Milestones!$AC$193&amp;";  ","")&amp;IF(AND(EDATE($D141,Milestones!$AA$194)&lt;=AsOfDate,IF($R141=0,$X141,IF(AND($T141&lt;&gt;"",EDATE($D141,Milestones!$AA$194)&gt;=$T141),$W141,IF(AND($S141&lt;&gt;"",EDATE($D141,Milestones!$AA$194)&gt;=$S141),$V141,$U141)))=Milestones!$AB$194),UPPER(TEXT(EDATE($D141,Milestones!$AA$194),"dd mmm yy"))&amp;" "&amp;Milestones!$AB$194&amp;" "&amp;Milestones!$AC$194&amp;";  ","")&amp;IF(AND(EDATE($D141,Milestones!$AA$195)&lt;=AsOfDate,IF($R141=0,$X141,IF(AND($T141&lt;&gt;"",EDATE($D141,Milestones!$AA$195)&gt;=$T141),$W141,IF(AND($S141&lt;&gt;"",EDATE($D141,Milestones!$AA$195)&gt;=$S141),$V141,$U141)))=Milestones!$AB$195),UPPER(TEXT(EDATE($D141,Milestones!$AA$195),"dd mmm yy"))&amp;" "&amp;Milestones!$AB$195&amp;" "&amp;Milestones!$AC$195&amp;";  ","")&amp;IF(AND(EDATE($D141,Milestones!$AA$196)&lt;=AsOfDate,IF($R141=0,$X141,IF(AND($T141&lt;&gt;"",EDATE($D141,Milestones!$AA$196)&gt;=$T141),$W141,IF(AND($S141&lt;&gt;"",EDATE($D141,Milestones!$AA$196)&gt;=$S141),$V141,$U141)))=Milestones!$AB$196),UPPER(TEXT(EDATE($D141,Milestones!$AA$196),"dd mmm yy"))&amp;" "&amp;Milestones!$AB$196&amp;" "&amp;Milestones!$AC$196&amp;";  ","")&amp;IF(AND(EDATE($D141,Milestones!$AA$197)&lt;=AsOfDate,IF($R141=0,$X141,IF(AND($T141&lt;&gt;"",EDATE($D141,Milestones!$AA$197)&gt;=$T141),$W141,IF(AND($S141&lt;&gt;"",EDATE($D141,Milestones!$AA$197)&gt;=$S141),$V141,$U141)))=Milestones!$AB$197),UPPER(TEXT(EDATE($D141,Milestones!$AA$197),"dd mmm yy"))&amp;" "&amp;Milestones!$AB$197&amp;" "&amp;Milestones!$AC$197&amp;";  ","")&amp;IF(AND(EDATE($D141,Milestones!$AA$198)&lt;=AsOfDate,IF($R141=0,$X141,IF(AND($T141&lt;&gt;"",EDATE($D141,Milestones!$AA$198)&gt;=$T141),$W141,IF(AND($S141&lt;&gt;"",EDATE($D141,Milestones!$AA$198)&gt;=$S141),$V141,$U141)))=Milestones!$AB$198),UPPER(TEXT(EDATE($D141,Milestones!$AA$198),"dd mmm yy"))&amp;" "&amp;Milestones!$AB$198&amp;" "&amp;Milestones!$AC$198&amp;";  ","")&amp;IF(AND(EDATE($D141,Milestones!$AA$199)&lt;=AsOfDate,IF($R141=0,$X141,IF(AND($T141&lt;&gt;"",EDATE($D141,Milestones!$AA$199)&gt;=$T141),$W141,IF(AND($S141&lt;&gt;"",EDATE($D141,Milestones!$AA$199)&gt;=$S141),$V141,$U141)))=Milestones!$AB$199),UPPER(TEXT(EDATE($D141,Milestones!$AA$199),"dd mmm yy"))&amp;" "&amp;Milestones!$AB$199&amp;" "&amp;Milestones!$AC$199&amp;";  ",""))</f>
        <v/>
      </c>
      <c r="R141" s="0" t="str">
        <f aca="false">IF(Staff!$A141="","",Staff!$AI141)</f>
        <v/>
      </c>
      <c r="S141" s="0" t="str">
        <f aca="false">IF(Staff!$A141="","",Staff!$AK141)</f>
        <v/>
      </c>
      <c r="T141" s="0" t="str">
        <f aca="false">IF(Staff!$A141="","",Staff!$AL141)</f>
        <v/>
      </c>
      <c r="U141" s="0" t="str">
        <f aca="false">IF(Staff!$A141="","",Staff!$AP141)</f>
        <v/>
      </c>
      <c r="V141" s="0" t="str">
        <f aca="false">IF(Staff!$A141="","",Staff!$AQ141)</f>
        <v/>
      </c>
      <c r="W141" s="0" t="str">
        <f aca="false">IF(Staff!$A141="","",Staff!$AR141)</f>
        <v/>
      </c>
      <c r="X141" s="0" t="str">
        <f aca="false">IF(Staff!$A141="","",Staff!$AS141)</f>
        <v/>
      </c>
    </row>
    <row r="142" customFormat="false" ht="15" hidden="false" customHeight="false" outlineLevel="0" collapsed="false">
      <c r="A142" s="14" t="str">
        <f aca="false">IF(Staff!$A142="","",Staff!$A142)</f>
        <v/>
      </c>
      <c r="B142" s="14" t="str">
        <f aca="false">IF(Staff!$A142="","",Staff!$B142)</f>
        <v/>
      </c>
      <c r="C142" s="14" t="str">
        <f aca="false">IF(Staff!$A142="","",Staff!$C142)</f>
        <v/>
      </c>
      <c r="D142" s="12" t="str">
        <f aca="false">IF(Staff!$A142="","",Staff!$AH142)</f>
        <v/>
      </c>
      <c r="E142" s="14" t="str">
        <f aca="false">IF(Staff!$A142="","",Staff!$O142)</f>
        <v/>
      </c>
      <c r="F142" s="14" t="str">
        <f aca="false">IF(E142="","",E142*HoursPerDay)</f>
        <v/>
      </c>
      <c r="G142" s="14" t="str">
        <f aca="false">IF(Staff!$A142="","",Staff!$AE142)</f>
        <v/>
      </c>
      <c r="H142" s="26" t="str">
        <f aca="false">IF($A142="","",I142&amp;J142&amp;K142&amp;L142&amp;M142&amp;N142&amp;O142&amp;P142&amp;Q142)</f>
        <v/>
      </c>
      <c r="I142" s="0" t="str">
        <f aca="false">IF(OR($A142="",$D142=""),"",IF(AND(EDATE($D142,Milestones!$AA$20)&lt;=AsOfDate,IF($R142=0,$X142,IF(AND($T142&lt;&gt;"",EDATE($D142,Milestones!$AA$20)&gt;=$T142),$W142,IF(AND($S142&lt;&gt;"",EDATE($D142,Milestones!$AA$20)&gt;=$S142),$V142,$U142)))=Milestones!$AB$20),UPPER(TEXT(EDATE($D142,Milestones!$AA$20),"dd mmm yy"))&amp;" "&amp;Milestones!$AB$20&amp;" "&amp;Milestones!$AC$20&amp;";  ","")&amp;IF(AND(EDATE($D142,Milestones!$AA$21)&lt;=AsOfDate,IF($R142=0,$X142,IF(AND($T142&lt;&gt;"",EDATE($D142,Milestones!$AA$21)&gt;=$T142),$W142,IF(AND($S142&lt;&gt;"",EDATE($D142,Milestones!$AA$21)&gt;=$S142),$V142,$U142)))=Milestones!$AB$21),UPPER(TEXT(EDATE($D142,Milestones!$AA$21),"dd mmm yy"))&amp;" "&amp;Milestones!$AB$21&amp;" "&amp;Milestones!$AC$21&amp;";  ","")&amp;IF(AND(EDATE($D142,Milestones!$AA$22)&lt;=AsOfDate,IF($R142=0,$X142,IF(AND($T142&lt;&gt;"",EDATE($D142,Milestones!$AA$22)&gt;=$T142),$W142,IF(AND($S142&lt;&gt;"",EDATE($D142,Milestones!$AA$22)&gt;=$S142),$V142,$U142)))=Milestones!$AB$22),UPPER(TEXT(EDATE($D142,Milestones!$AA$22),"dd mmm yy"))&amp;" "&amp;Milestones!$AB$22&amp;" "&amp;Milestones!$AC$22&amp;";  ","")&amp;IF(AND(EDATE($D142,Milestones!$AA$23)&lt;=AsOfDate,IF($R142=0,$X142,IF(AND($T142&lt;&gt;"",EDATE($D142,Milestones!$AA$23)&gt;=$T142),$W142,IF(AND($S142&lt;&gt;"",EDATE($D142,Milestones!$AA$23)&gt;=$S142),$V142,$U142)))=Milestones!$AB$23),UPPER(TEXT(EDATE($D142,Milestones!$AA$23),"dd mmm yy"))&amp;" "&amp;Milestones!$AB$23&amp;" "&amp;Milestones!$AC$23&amp;";  ","")&amp;IF(AND(EDATE($D142,Milestones!$AA$24)&lt;=AsOfDate,IF($R142=0,$X142,IF(AND($T142&lt;&gt;"",EDATE($D142,Milestones!$AA$24)&gt;=$T142),$W142,IF(AND($S142&lt;&gt;"",EDATE($D142,Milestones!$AA$24)&gt;=$S142),$V142,$U142)))=Milestones!$AB$24),UPPER(TEXT(EDATE($D142,Milestones!$AA$24),"dd mmm yy"))&amp;" "&amp;Milestones!$AB$24&amp;" "&amp;Milestones!$AC$24&amp;";  ","")&amp;IF(AND(EDATE($D142,Milestones!$AA$25)&lt;=AsOfDate,IF($R142=0,$X142,IF(AND($T142&lt;&gt;"",EDATE($D142,Milestones!$AA$25)&gt;=$T142),$W142,IF(AND($S142&lt;&gt;"",EDATE($D142,Milestones!$AA$25)&gt;=$S142),$V142,$U142)))=Milestones!$AB$25),UPPER(TEXT(EDATE($D142,Milestones!$AA$25),"dd mmm yy"))&amp;" "&amp;Milestones!$AB$25&amp;" "&amp;Milestones!$AC$25&amp;";  ","")&amp;IF(AND(EDATE($D142,Milestones!$AA$26)&lt;=AsOfDate,IF($R142=0,$X142,IF(AND($T142&lt;&gt;"",EDATE($D142,Milestones!$AA$26)&gt;=$T142),$W142,IF(AND($S142&lt;&gt;"",EDATE($D142,Milestones!$AA$26)&gt;=$S142),$V142,$U142)))=Milestones!$AB$26),UPPER(TEXT(EDATE($D142,Milestones!$AA$26),"dd mmm yy"))&amp;" "&amp;Milestones!$AB$26&amp;" "&amp;Milestones!$AC$26&amp;";  ","")&amp;IF(AND(EDATE($D142,Milestones!$AA$27)&lt;=AsOfDate,IF($R142=0,$X142,IF(AND($T142&lt;&gt;"",EDATE($D142,Milestones!$AA$27)&gt;=$T142),$W142,IF(AND($S142&lt;&gt;"",EDATE($D142,Milestones!$AA$27)&gt;=$S142),$V142,$U142)))=Milestones!$AB$27),UPPER(TEXT(EDATE($D142,Milestones!$AA$27),"dd mmm yy"))&amp;" "&amp;Milestones!$AB$27&amp;" "&amp;Milestones!$AC$27&amp;";  ","")&amp;IF(AND(EDATE($D142,Milestones!$AA$28)&lt;=AsOfDate,IF($R142=0,$X142,IF(AND($T142&lt;&gt;"",EDATE($D142,Milestones!$AA$28)&gt;=$T142),$W142,IF(AND($S142&lt;&gt;"",EDATE($D142,Milestones!$AA$28)&gt;=$S142),$V142,$U142)))=Milestones!$AB$28),UPPER(TEXT(EDATE($D142,Milestones!$AA$28),"dd mmm yy"))&amp;" "&amp;Milestones!$AB$28&amp;" "&amp;Milestones!$AC$28&amp;";  ","")&amp;IF(AND(EDATE($D142,Milestones!$AA$29)&lt;=AsOfDate,IF($R142=0,$X142,IF(AND($T142&lt;&gt;"",EDATE($D142,Milestones!$AA$29)&gt;=$T142),$W142,IF(AND($S142&lt;&gt;"",EDATE($D142,Milestones!$AA$29)&gt;=$S142),$V142,$U142)))=Milestones!$AB$29),UPPER(TEXT(EDATE($D142,Milestones!$AA$29),"dd mmm yy"))&amp;" "&amp;Milestones!$AB$29&amp;" "&amp;Milestones!$AC$29&amp;";  ","")&amp;IF(AND(EDATE($D142,Milestones!$AA$30)&lt;=AsOfDate,IF($R142=0,$X142,IF(AND($T142&lt;&gt;"",EDATE($D142,Milestones!$AA$30)&gt;=$T142),$W142,IF(AND($S142&lt;&gt;"",EDATE($D142,Milestones!$AA$30)&gt;=$S142),$V142,$U142)))=Milestones!$AB$30),UPPER(TEXT(EDATE($D142,Milestones!$AA$30),"dd mmm yy"))&amp;" "&amp;Milestones!$AB$30&amp;" "&amp;Milestones!$AC$30&amp;";  ","")&amp;IF(AND(EDATE($D142,Milestones!$AA$31)&lt;=AsOfDate,IF($R142=0,$X142,IF(AND($T142&lt;&gt;"",EDATE($D142,Milestones!$AA$31)&gt;=$T142),$W142,IF(AND($S142&lt;&gt;"",EDATE($D142,Milestones!$AA$31)&gt;=$S142),$V142,$U142)))=Milestones!$AB$31),UPPER(TEXT(EDATE($D142,Milestones!$AA$31),"dd mmm yy"))&amp;" "&amp;Milestones!$AB$31&amp;" "&amp;Milestones!$AC$31&amp;";  ","")&amp;IF(AND(EDATE($D142,Milestones!$AA$32)&lt;=AsOfDate,IF($R142=0,$X142,IF(AND($T142&lt;&gt;"",EDATE($D142,Milestones!$AA$32)&gt;=$T142),$W142,IF(AND($S142&lt;&gt;"",EDATE($D142,Milestones!$AA$32)&gt;=$S142),$V142,$U142)))=Milestones!$AB$32),UPPER(TEXT(EDATE($D142,Milestones!$AA$32),"dd mmm yy"))&amp;" "&amp;Milestones!$AB$32&amp;" "&amp;Milestones!$AC$32&amp;";  ","")&amp;IF(AND(EDATE($D142,Milestones!$AA$33)&lt;=AsOfDate,IF($R142=0,$X142,IF(AND($T142&lt;&gt;"",EDATE($D142,Milestones!$AA$33)&gt;=$T142),$W142,IF(AND($S142&lt;&gt;"",EDATE($D142,Milestones!$AA$33)&gt;=$S142),$V142,$U142)))=Milestones!$AB$33),UPPER(TEXT(EDATE($D142,Milestones!$AA$33),"dd mmm yy"))&amp;" "&amp;Milestones!$AB$33&amp;" "&amp;Milestones!$AC$33&amp;";  ","")&amp;IF(AND(EDATE($D142,Milestones!$AA$34)&lt;=AsOfDate,IF($R142=0,$X142,IF(AND($T142&lt;&gt;"",EDATE($D142,Milestones!$AA$34)&gt;=$T142),$W142,IF(AND($S142&lt;&gt;"",EDATE($D142,Milestones!$AA$34)&gt;=$S142),$V142,$U142)))=Milestones!$AB$34),UPPER(TEXT(EDATE($D142,Milestones!$AA$34),"dd mmm yy"))&amp;" "&amp;Milestones!$AB$34&amp;" "&amp;Milestones!$AC$34&amp;";  ","")&amp;IF(AND(EDATE($D142,Milestones!$AA$35)&lt;=AsOfDate,IF($R142=0,$X142,IF(AND($T142&lt;&gt;"",EDATE($D142,Milestones!$AA$35)&gt;=$T142),$W142,IF(AND($S142&lt;&gt;"",EDATE($D142,Milestones!$AA$35)&gt;=$S142),$V142,$U142)))=Milestones!$AB$35),UPPER(TEXT(EDATE($D142,Milestones!$AA$35),"dd mmm yy"))&amp;" "&amp;Milestones!$AB$35&amp;" "&amp;Milestones!$AC$35&amp;";  ","")&amp;IF(AND(EDATE($D142,Milestones!$AA$36)&lt;=AsOfDate,IF($R142=0,$X142,IF(AND($T142&lt;&gt;"",EDATE($D142,Milestones!$AA$36)&gt;=$T142),$W142,IF(AND($S142&lt;&gt;"",EDATE($D142,Milestones!$AA$36)&gt;=$S142),$V142,$U142)))=Milestones!$AB$36),UPPER(TEXT(EDATE($D142,Milestones!$AA$36),"dd mmm yy"))&amp;" "&amp;Milestones!$AB$36&amp;" "&amp;Milestones!$AC$36&amp;";  ","")&amp;IF(AND(EDATE($D142,Milestones!$AA$37)&lt;=AsOfDate,IF($R142=0,$X142,IF(AND($T142&lt;&gt;"",EDATE($D142,Milestones!$AA$37)&gt;=$T142),$W142,IF(AND($S142&lt;&gt;"",EDATE($D142,Milestones!$AA$37)&gt;=$S142),$V142,$U142)))=Milestones!$AB$37),UPPER(TEXT(EDATE($D142,Milestones!$AA$37),"dd mmm yy"))&amp;" "&amp;Milestones!$AB$37&amp;" "&amp;Milestones!$AC$37&amp;";  ","")&amp;IF(AND(EDATE($D142,Milestones!$AA$38)&lt;=AsOfDate,IF($R142=0,$X142,IF(AND($T142&lt;&gt;"",EDATE($D142,Milestones!$AA$38)&gt;=$T142),$W142,IF(AND($S142&lt;&gt;"",EDATE($D142,Milestones!$AA$38)&gt;=$S142),$V142,$U142)))=Milestones!$AB$38),UPPER(TEXT(EDATE($D142,Milestones!$AA$38),"dd mmm yy"))&amp;" "&amp;Milestones!$AB$38&amp;" "&amp;Milestones!$AC$38&amp;";  ","")&amp;IF(AND(EDATE($D142,Milestones!$AA$39)&lt;=AsOfDate,IF($R142=0,$X142,IF(AND($T142&lt;&gt;"",EDATE($D142,Milestones!$AA$39)&gt;=$T142),$W142,IF(AND($S142&lt;&gt;"",EDATE($D142,Milestones!$AA$39)&gt;=$S142),$V142,$U142)))=Milestones!$AB$39),UPPER(TEXT(EDATE($D142,Milestones!$AA$39),"dd mmm yy"))&amp;" "&amp;Milestones!$AB$39&amp;" "&amp;Milestones!$AC$39&amp;";  ",""))</f>
        <v/>
      </c>
      <c r="J142" s="0" t="str">
        <f aca="false">IF(OR($A142="",$D142=""),"",IF(AND(EDATE($D142,Milestones!$AA$40)&lt;=AsOfDate,IF($R142=0,$X142,IF(AND($T142&lt;&gt;"",EDATE($D142,Milestones!$AA$40)&gt;=$T142),$W142,IF(AND($S142&lt;&gt;"",EDATE($D142,Milestones!$AA$40)&gt;=$S142),$V142,$U142)))=Milestones!$AB$40),UPPER(TEXT(EDATE($D142,Milestones!$AA$40),"dd mmm yy"))&amp;" "&amp;Milestones!$AB$40&amp;" "&amp;Milestones!$AC$40&amp;";  ","")&amp;IF(AND(EDATE($D142,Milestones!$AA$41)&lt;=AsOfDate,IF($R142=0,$X142,IF(AND($T142&lt;&gt;"",EDATE($D142,Milestones!$AA$41)&gt;=$T142),$W142,IF(AND($S142&lt;&gt;"",EDATE($D142,Milestones!$AA$41)&gt;=$S142),$V142,$U142)))=Milestones!$AB$41),UPPER(TEXT(EDATE($D142,Milestones!$AA$41),"dd mmm yy"))&amp;" "&amp;Milestones!$AB$41&amp;" "&amp;Milestones!$AC$41&amp;";  ","")&amp;IF(AND(EDATE($D142,Milestones!$AA$42)&lt;=AsOfDate,IF($R142=0,$X142,IF(AND($T142&lt;&gt;"",EDATE($D142,Milestones!$AA$42)&gt;=$T142),$W142,IF(AND($S142&lt;&gt;"",EDATE($D142,Milestones!$AA$42)&gt;=$S142),$V142,$U142)))=Milestones!$AB$42),UPPER(TEXT(EDATE($D142,Milestones!$AA$42),"dd mmm yy"))&amp;" "&amp;Milestones!$AB$42&amp;" "&amp;Milestones!$AC$42&amp;";  ","")&amp;IF(AND(EDATE($D142,Milestones!$AA$43)&lt;=AsOfDate,IF($R142=0,$X142,IF(AND($T142&lt;&gt;"",EDATE($D142,Milestones!$AA$43)&gt;=$T142),$W142,IF(AND($S142&lt;&gt;"",EDATE($D142,Milestones!$AA$43)&gt;=$S142),$V142,$U142)))=Milestones!$AB$43),UPPER(TEXT(EDATE($D142,Milestones!$AA$43),"dd mmm yy"))&amp;" "&amp;Milestones!$AB$43&amp;" "&amp;Milestones!$AC$43&amp;";  ","")&amp;IF(AND(EDATE($D142,Milestones!$AA$44)&lt;=AsOfDate,IF($R142=0,$X142,IF(AND($T142&lt;&gt;"",EDATE($D142,Milestones!$AA$44)&gt;=$T142),$W142,IF(AND($S142&lt;&gt;"",EDATE($D142,Milestones!$AA$44)&gt;=$S142),$V142,$U142)))=Milestones!$AB$44),UPPER(TEXT(EDATE($D142,Milestones!$AA$44),"dd mmm yy"))&amp;" "&amp;Milestones!$AB$44&amp;" "&amp;Milestones!$AC$44&amp;";  ","")&amp;IF(AND(EDATE($D142,Milestones!$AA$45)&lt;=AsOfDate,IF($R142=0,$X142,IF(AND($T142&lt;&gt;"",EDATE($D142,Milestones!$AA$45)&gt;=$T142),$W142,IF(AND($S142&lt;&gt;"",EDATE($D142,Milestones!$AA$45)&gt;=$S142),$V142,$U142)))=Milestones!$AB$45),UPPER(TEXT(EDATE($D142,Milestones!$AA$45),"dd mmm yy"))&amp;" "&amp;Milestones!$AB$45&amp;" "&amp;Milestones!$AC$45&amp;";  ","")&amp;IF(AND(EDATE($D142,Milestones!$AA$46)&lt;=AsOfDate,IF($R142=0,$X142,IF(AND($T142&lt;&gt;"",EDATE($D142,Milestones!$AA$46)&gt;=$T142),$W142,IF(AND($S142&lt;&gt;"",EDATE($D142,Milestones!$AA$46)&gt;=$S142),$V142,$U142)))=Milestones!$AB$46),UPPER(TEXT(EDATE($D142,Milestones!$AA$46),"dd mmm yy"))&amp;" "&amp;Milestones!$AB$46&amp;" "&amp;Milestones!$AC$46&amp;";  ","")&amp;IF(AND(EDATE($D142,Milestones!$AA$47)&lt;=AsOfDate,IF($R142=0,$X142,IF(AND($T142&lt;&gt;"",EDATE($D142,Milestones!$AA$47)&gt;=$T142),$W142,IF(AND($S142&lt;&gt;"",EDATE($D142,Milestones!$AA$47)&gt;=$S142),$V142,$U142)))=Milestones!$AB$47),UPPER(TEXT(EDATE($D142,Milestones!$AA$47),"dd mmm yy"))&amp;" "&amp;Milestones!$AB$47&amp;" "&amp;Milestones!$AC$47&amp;";  ","")&amp;IF(AND(EDATE($D142,Milestones!$AA$48)&lt;=AsOfDate,IF($R142=0,$X142,IF(AND($T142&lt;&gt;"",EDATE($D142,Milestones!$AA$48)&gt;=$T142),$W142,IF(AND($S142&lt;&gt;"",EDATE($D142,Milestones!$AA$48)&gt;=$S142),$V142,$U142)))=Milestones!$AB$48),UPPER(TEXT(EDATE($D142,Milestones!$AA$48),"dd mmm yy"))&amp;" "&amp;Milestones!$AB$48&amp;" "&amp;Milestones!$AC$48&amp;";  ","")&amp;IF(AND(EDATE($D142,Milestones!$AA$49)&lt;=AsOfDate,IF($R142=0,$X142,IF(AND($T142&lt;&gt;"",EDATE($D142,Milestones!$AA$49)&gt;=$T142),$W142,IF(AND($S142&lt;&gt;"",EDATE($D142,Milestones!$AA$49)&gt;=$S142),$V142,$U142)))=Milestones!$AB$49),UPPER(TEXT(EDATE($D142,Milestones!$AA$49),"dd mmm yy"))&amp;" "&amp;Milestones!$AB$49&amp;" "&amp;Milestones!$AC$49&amp;";  ","")&amp;IF(AND(EDATE($D142,Milestones!$AA$50)&lt;=AsOfDate,IF($R142=0,$X142,IF(AND($T142&lt;&gt;"",EDATE($D142,Milestones!$AA$50)&gt;=$T142),$W142,IF(AND($S142&lt;&gt;"",EDATE($D142,Milestones!$AA$50)&gt;=$S142),$V142,$U142)))=Milestones!$AB$50),UPPER(TEXT(EDATE($D142,Milestones!$AA$50),"dd mmm yy"))&amp;" "&amp;Milestones!$AB$50&amp;" "&amp;Milestones!$AC$50&amp;";  ","")&amp;IF(AND(EDATE($D142,Milestones!$AA$51)&lt;=AsOfDate,IF($R142=0,$X142,IF(AND($T142&lt;&gt;"",EDATE($D142,Milestones!$AA$51)&gt;=$T142),$W142,IF(AND($S142&lt;&gt;"",EDATE($D142,Milestones!$AA$51)&gt;=$S142),$V142,$U142)))=Milestones!$AB$51),UPPER(TEXT(EDATE($D142,Milestones!$AA$51),"dd mmm yy"))&amp;" "&amp;Milestones!$AB$51&amp;" "&amp;Milestones!$AC$51&amp;";  ","")&amp;IF(AND(EDATE($D142,Milestones!$AA$52)&lt;=AsOfDate,IF($R142=0,$X142,IF(AND($T142&lt;&gt;"",EDATE($D142,Milestones!$AA$52)&gt;=$T142),$W142,IF(AND($S142&lt;&gt;"",EDATE($D142,Milestones!$AA$52)&gt;=$S142),$V142,$U142)))=Milestones!$AB$52),UPPER(TEXT(EDATE($D142,Milestones!$AA$52),"dd mmm yy"))&amp;" "&amp;Milestones!$AB$52&amp;" "&amp;Milestones!$AC$52&amp;";  ","")&amp;IF(AND(EDATE($D142,Milestones!$AA$53)&lt;=AsOfDate,IF($R142=0,$X142,IF(AND($T142&lt;&gt;"",EDATE($D142,Milestones!$AA$53)&gt;=$T142),$W142,IF(AND($S142&lt;&gt;"",EDATE($D142,Milestones!$AA$53)&gt;=$S142),$V142,$U142)))=Milestones!$AB$53),UPPER(TEXT(EDATE($D142,Milestones!$AA$53),"dd mmm yy"))&amp;" "&amp;Milestones!$AB$53&amp;" "&amp;Milestones!$AC$53&amp;";  ","")&amp;IF(AND(EDATE($D142,Milestones!$AA$54)&lt;=AsOfDate,IF($R142=0,$X142,IF(AND($T142&lt;&gt;"",EDATE($D142,Milestones!$AA$54)&gt;=$T142),$W142,IF(AND($S142&lt;&gt;"",EDATE($D142,Milestones!$AA$54)&gt;=$S142),$V142,$U142)))=Milestones!$AB$54),UPPER(TEXT(EDATE($D142,Milestones!$AA$54),"dd mmm yy"))&amp;" "&amp;Milestones!$AB$54&amp;" "&amp;Milestones!$AC$54&amp;";  ","")&amp;IF(AND(EDATE($D142,Milestones!$AA$55)&lt;=AsOfDate,IF($R142=0,$X142,IF(AND($T142&lt;&gt;"",EDATE($D142,Milestones!$AA$55)&gt;=$T142),$W142,IF(AND($S142&lt;&gt;"",EDATE($D142,Milestones!$AA$55)&gt;=$S142),$V142,$U142)))=Milestones!$AB$55),UPPER(TEXT(EDATE($D142,Milestones!$AA$55),"dd mmm yy"))&amp;" "&amp;Milestones!$AB$55&amp;" "&amp;Milestones!$AC$55&amp;";  ","")&amp;IF(AND(EDATE($D142,Milestones!$AA$56)&lt;=AsOfDate,IF($R142=0,$X142,IF(AND($T142&lt;&gt;"",EDATE($D142,Milestones!$AA$56)&gt;=$T142),$W142,IF(AND($S142&lt;&gt;"",EDATE($D142,Milestones!$AA$56)&gt;=$S142),$V142,$U142)))=Milestones!$AB$56),UPPER(TEXT(EDATE($D142,Milestones!$AA$56),"dd mmm yy"))&amp;" "&amp;Milestones!$AB$56&amp;" "&amp;Milestones!$AC$56&amp;";  ","")&amp;IF(AND(EDATE($D142,Milestones!$AA$57)&lt;=AsOfDate,IF($R142=0,$X142,IF(AND($T142&lt;&gt;"",EDATE($D142,Milestones!$AA$57)&gt;=$T142),$W142,IF(AND($S142&lt;&gt;"",EDATE($D142,Milestones!$AA$57)&gt;=$S142),$V142,$U142)))=Milestones!$AB$57),UPPER(TEXT(EDATE($D142,Milestones!$AA$57),"dd mmm yy"))&amp;" "&amp;Milestones!$AB$57&amp;" "&amp;Milestones!$AC$57&amp;";  ","")&amp;IF(AND(EDATE($D142,Milestones!$AA$58)&lt;=AsOfDate,IF($R142=0,$X142,IF(AND($T142&lt;&gt;"",EDATE($D142,Milestones!$AA$58)&gt;=$T142),$W142,IF(AND($S142&lt;&gt;"",EDATE($D142,Milestones!$AA$58)&gt;=$S142),$V142,$U142)))=Milestones!$AB$58),UPPER(TEXT(EDATE($D142,Milestones!$AA$58),"dd mmm yy"))&amp;" "&amp;Milestones!$AB$58&amp;" "&amp;Milestones!$AC$58&amp;";  ","")&amp;IF(AND(EDATE($D142,Milestones!$AA$59)&lt;=AsOfDate,IF($R142=0,$X142,IF(AND($T142&lt;&gt;"",EDATE($D142,Milestones!$AA$59)&gt;=$T142),$W142,IF(AND($S142&lt;&gt;"",EDATE($D142,Milestones!$AA$59)&gt;=$S142),$V142,$U142)))=Milestones!$AB$59),UPPER(TEXT(EDATE($D142,Milestones!$AA$59),"dd mmm yy"))&amp;" "&amp;Milestones!$AB$59&amp;" "&amp;Milestones!$AC$59&amp;";  ",""))</f>
        <v/>
      </c>
      <c r="K142" s="0" t="str">
        <f aca="false">IF(OR($A142="",$D142=""),"",IF(AND(EDATE($D142,Milestones!$AA$60)&lt;=AsOfDate,IF($R142=0,$X142,IF(AND($T142&lt;&gt;"",EDATE($D142,Milestones!$AA$60)&gt;=$T142),$W142,IF(AND($S142&lt;&gt;"",EDATE($D142,Milestones!$AA$60)&gt;=$S142),$V142,$U142)))=Milestones!$AB$60),UPPER(TEXT(EDATE($D142,Milestones!$AA$60),"dd mmm yy"))&amp;" "&amp;Milestones!$AB$60&amp;" "&amp;Milestones!$AC$60&amp;";  ","")&amp;IF(AND(EDATE($D142,Milestones!$AA$61)&lt;=AsOfDate,IF($R142=0,$X142,IF(AND($T142&lt;&gt;"",EDATE($D142,Milestones!$AA$61)&gt;=$T142),$W142,IF(AND($S142&lt;&gt;"",EDATE($D142,Milestones!$AA$61)&gt;=$S142),$V142,$U142)))=Milestones!$AB$61),UPPER(TEXT(EDATE($D142,Milestones!$AA$61),"dd mmm yy"))&amp;" "&amp;Milestones!$AB$61&amp;" "&amp;Milestones!$AC$61&amp;";  ","")&amp;IF(AND(EDATE($D142,Milestones!$AA$62)&lt;=AsOfDate,IF($R142=0,$X142,IF(AND($T142&lt;&gt;"",EDATE($D142,Milestones!$AA$62)&gt;=$T142),$W142,IF(AND($S142&lt;&gt;"",EDATE($D142,Milestones!$AA$62)&gt;=$S142),$V142,$U142)))=Milestones!$AB$62),UPPER(TEXT(EDATE($D142,Milestones!$AA$62),"dd mmm yy"))&amp;" "&amp;Milestones!$AB$62&amp;" "&amp;Milestones!$AC$62&amp;";  ","")&amp;IF(AND(EDATE($D142,Milestones!$AA$63)&lt;=AsOfDate,IF($R142=0,$X142,IF(AND($T142&lt;&gt;"",EDATE($D142,Milestones!$AA$63)&gt;=$T142),$W142,IF(AND($S142&lt;&gt;"",EDATE($D142,Milestones!$AA$63)&gt;=$S142),$V142,$U142)))=Milestones!$AB$63),UPPER(TEXT(EDATE($D142,Milestones!$AA$63),"dd mmm yy"))&amp;" "&amp;Milestones!$AB$63&amp;" "&amp;Milestones!$AC$63&amp;";  ","")&amp;IF(AND(EDATE($D142,Milestones!$AA$64)&lt;=AsOfDate,IF($R142=0,$X142,IF(AND($T142&lt;&gt;"",EDATE($D142,Milestones!$AA$64)&gt;=$T142),$W142,IF(AND($S142&lt;&gt;"",EDATE($D142,Milestones!$AA$64)&gt;=$S142),$V142,$U142)))=Milestones!$AB$64),UPPER(TEXT(EDATE($D142,Milestones!$AA$64),"dd mmm yy"))&amp;" "&amp;Milestones!$AB$64&amp;" "&amp;Milestones!$AC$64&amp;";  ","")&amp;IF(AND(EDATE($D142,Milestones!$AA$65)&lt;=AsOfDate,IF($R142=0,$X142,IF(AND($T142&lt;&gt;"",EDATE($D142,Milestones!$AA$65)&gt;=$T142),$W142,IF(AND($S142&lt;&gt;"",EDATE($D142,Milestones!$AA$65)&gt;=$S142),$V142,$U142)))=Milestones!$AB$65),UPPER(TEXT(EDATE($D142,Milestones!$AA$65),"dd mmm yy"))&amp;" "&amp;Milestones!$AB$65&amp;" "&amp;Milestones!$AC$65&amp;";  ","")&amp;IF(AND(EDATE($D142,Milestones!$AA$66)&lt;=AsOfDate,IF($R142=0,$X142,IF(AND($T142&lt;&gt;"",EDATE($D142,Milestones!$AA$66)&gt;=$T142),$W142,IF(AND($S142&lt;&gt;"",EDATE($D142,Milestones!$AA$66)&gt;=$S142),$V142,$U142)))=Milestones!$AB$66),UPPER(TEXT(EDATE($D142,Milestones!$AA$66),"dd mmm yy"))&amp;" "&amp;Milestones!$AB$66&amp;" "&amp;Milestones!$AC$66&amp;";  ","")&amp;IF(AND(EDATE($D142,Milestones!$AA$67)&lt;=AsOfDate,IF($R142=0,$X142,IF(AND($T142&lt;&gt;"",EDATE($D142,Milestones!$AA$67)&gt;=$T142),$W142,IF(AND($S142&lt;&gt;"",EDATE($D142,Milestones!$AA$67)&gt;=$S142),$V142,$U142)))=Milestones!$AB$67),UPPER(TEXT(EDATE($D142,Milestones!$AA$67),"dd mmm yy"))&amp;" "&amp;Milestones!$AB$67&amp;" "&amp;Milestones!$AC$67&amp;";  ","")&amp;IF(AND(EDATE($D142,Milestones!$AA$68)&lt;=AsOfDate,IF($R142=0,$X142,IF(AND($T142&lt;&gt;"",EDATE($D142,Milestones!$AA$68)&gt;=$T142),$W142,IF(AND($S142&lt;&gt;"",EDATE($D142,Milestones!$AA$68)&gt;=$S142),$V142,$U142)))=Milestones!$AB$68),UPPER(TEXT(EDATE($D142,Milestones!$AA$68),"dd mmm yy"))&amp;" "&amp;Milestones!$AB$68&amp;" "&amp;Milestones!$AC$68&amp;";  ","")&amp;IF(AND(EDATE($D142,Milestones!$AA$69)&lt;=AsOfDate,IF($R142=0,$X142,IF(AND($T142&lt;&gt;"",EDATE($D142,Milestones!$AA$69)&gt;=$T142),$W142,IF(AND($S142&lt;&gt;"",EDATE($D142,Milestones!$AA$69)&gt;=$S142),$V142,$U142)))=Milestones!$AB$69),UPPER(TEXT(EDATE($D142,Milestones!$AA$69),"dd mmm yy"))&amp;" "&amp;Milestones!$AB$69&amp;" "&amp;Milestones!$AC$69&amp;";  ","")&amp;IF(AND(EDATE($D142,Milestones!$AA$70)&lt;=AsOfDate,IF($R142=0,$X142,IF(AND($T142&lt;&gt;"",EDATE($D142,Milestones!$AA$70)&gt;=$T142),$W142,IF(AND($S142&lt;&gt;"",EDATE($D142,Milestones!$AA$70)&gt;=$S142),$V142,$U142)))=Milestones!$AB$70),UPPER(TEXT(EDATE($D142,Milestones!$AA$70),"dd mmm yy"))&amp;" "&amp;Milestones!$AB$70&amp;" "&amp;Milestones!$AC$70&amp;";  ","")&amp;IF(AND(EDATE($D142,Milestones!$AA$71)&lt;=AsOfDate,IF($R142=0,$X142,IF(AND($T142&lt;&gt;"",EDATE($D142,Milestones!$AA$71)&gt;=$T142),$W142,IF(AND($S142&lt;&gt;"",EDATE($D142,Milestones!$AA$71)&gt;=$S142),$V142,$U142)))=Milestones!$AB$71),UPPER(TEXT(EDATE($D142,Milestones!$AA$71),"dd mmm yy"))&amp;" "&amp;Milestones!$AB$71&amp;" "&amp;Milestones!$AC$71&amp;";  ","")&amp;IF(AND(EDATE($D142,Milestones!$AA$72)&lt;=AsOfDate,IF($R142=0,$X142,IF(AND($T142&lt;&gt;"",EDATE($D142,Milestones!$AA$72)&gt;=$T142),$W142,IF(AND($S142&lt;&gt;"",EDATE($D142,Milestones!$AA$72)&gt;=$S142),$V142,$U142)))=Milestones!$AB$72),UPPER(TEXT(EDATE($D142,Milestones!$AA$72),"dd mmm yy"))&amp;" "&amp;Milestones!$AB$72&amp;" "&amp;Milestones!$AC$72&amp;";  ","")&amp;IF(AND(EDATE($D142,Milestones!$AA$73)&lt;=AsOfDate,IF($R142=0,$X142,IF(AND($T142&lt;&gt;"",EDATE($D142,Milestones!$AA$73)&gt;=$T142),$W142,IF(AND($S142&lt;&gt;"",EDATE($D142,Milestones!$AA$73)&gt;=$S142),$V142,$U142)))=Milestones!$AB$73),UPPER(TEXT(EDATE($D142,Milestones!$AA$73),"dd mmm yy"))&amp;" "&amp;Milestones!$AB$73&amp;" "&amp;Milestones!$AC$73&amp;";  ","")&amp;IF(AND(EDATE($D142,Milestones!$AA$74)&lt;=AsOfDate,IF($R142=0,$X142,IF(AND($T142&lt;&gt;"",EDATE($D142,Milestones!$AA$74)&gt;=$T142),$W142,IF(AND($S142&lt;&gt;"",EDATE($D142,Milestones!$AA$74)&gt;=$S142),$V142,$U142)))=Milestones!$AB$74),UPPER(TEXT(EDATE($D142,Milestones!$AA$74),"dd mmm yy"))&amp;" "&amp;Milestones!$AB$74&amp;" "&amp;Milestones!$AC$74&amp;";  ","")&amp;IF(AND(EDATE($D142,Milestones!$AA$75)&lt;=AsOfDate,IF($R142=0,$X142,IF(AND($T142&lt;&gt;"",EDATE($D142,Milestones!$AA$75)&gt;=$T142),$W142,IF(AND($S142&lt;&gt;"",EDATE($D142,Milestones!$AA$75)&gt;=$S142),$V142,$U142)))=Milestones!$AB$75),UPPER(TEXT(EDATE($D142,Milestones!$AA$75),"dd mmm yy"))&amp;" "&amp;Milestones!$AB$75&amp;" "&amp;Milestones!$AC$75&amp;";  ","")&amp;IF(AND(EDATE($D142,Milestones!$AA$76)&lt;=AsOfDate,IF($R142=0,$X142,IF(AND($T142&lt;&gt;"",EDATE($D142,Milestones!$AA$76)&gt;=$T142),$W142,IF(AND($S142&lt;&gt;"",EDATE($D142,Milestones!$AA$76)&gt;=$S142),$V142,$U142)))=Milestones!$AB$76),UPPER(TEXT(EDATE($D142,Milestones!$AA$76),"dd mmm yy"))&amp;" "&amp;Milestones!$AB$76&amp;" "&amp;Milestones!$AC$76&amp;";  ","")&amp;IF(AND(EDATE($D142,Milestones!$AA$77)&lt;=AsOfDate,IF($R142=0,$X142,IF(AND($T142&lt;&gt;"",EDATE($D142,Milestones!$AA$77)&gt;=$T142),$W142,IF(AND($S142&lt;&gt;"",EDATE($D142,Milestones!$AA$77)&gt;=$S142),$V142,$U142)))=Milestones!$AB$77),UPPER(TEXT(EDATE($D142,Milestones!$AA$77),"dd mmm yy"))&amp;" "&amp;Milestones!$AB$77&amp;" "&amp;Milestones!$AC$77&amp;";  ","")&amp;IF(AND(EDATE($D142,Milestones!$AA$78)&lt;=AsOfDate,IF($R142=0,$X142,IF(AND($T142&lt;&gt;"",EDATE($D142,Milestones!$AA$78)&gt;=$T142),$W142,IF(AND($S142&lt;&gt;"",EDATE($D142,Milestones!$AA$78)&gt;=$S142),$V142,$U142)))=Milestones!$AB$78),UPPER(TEXT(EDATE($D142,Milestones!$AA$78),"dd mmm yy"))&amp;" "&amp;Milestones!$AB$78&amp;" "&amp;Milestones!$AC$78&amp;";  ","")&amp;IF(AND(EDATE($D142,Milestones!$AA$79)&lt;=AsOfDate,IF($R142=0,$X142,IF(AND($T142&lt;&gt;"",EDATE($D142,Milestones!$AA$79)&gt;=$T142),$W142,IF(AND($S142&lt;&gt;"",EDATE($D142,Milestones!$AA$79)&gt;=$S142),$V142,$U142)))=Milestones!$AB$79),UPPER(TEXT(EDATE($D142,Milestones!$AA$79),"dd mmm yy"))&amp;" "&amp;Milestones!$AB$79&amp;" "&amp;Milestones!$AC$79&amp;";  ",""))</f>
        <v/>
      </c>
      <c r="L142" s="0" t="str">
        <f aca="false">IF(OR($A142="",$D142=""),"",IF(AND(EDATE($D142,Milestones!$AA$80)&lt;=AsOfDate,IF($R142=0,$X142,IF(AND($T142&lt;&gt;"",EDATE($D142,Milestones!$AA$80)&gt;=$T142),$W142,IF(AND($S142&lt;&gt;"",EDATE($D142,Milestones!$AA$80)&gt;=$S142),$V142,$U142)))=Milestones!$AB$80),UPPER(TEXT(EDATE($D142,Milestones!$AA$80),"dd mmm yy"))&amp;" "&amp;Milestones!$AB$80&amp;" "&amp;Milestones!$AC$80&amp;";  ","")&amp;IF(AND(EDATE($D142,Milestones!$AA$81)&lt;=AsOfDate,IF($R142=0,$X142,IF(AND($T142&lt;&gt;"",EDATE($D142,Milestones!$AA$81)&gt;=$T142),$W142,IF(AND($S142&lt;&gt;"",EDATE($D142,Milestones!$AA$81)&gt;=$S142),$V142,$U142)))=Milestones!$AB$81),UPPER(TEXT(EDATE($D142,Milestones!$AA$81),"dd mmm yy"))&amp;" "&amp;Milestones!$AB$81&amp;" "&amp;Milestones!$AC$81&amp;";  ","")&amp;IF(AND(EDATE($D142,Milestones!$AA$82)&lt;=AsOfDate,IF($R142=0,$X142,IF(AND($T142&lt;&gt;"",EDATE($D142,Milestones!$AA$82)&gt;=$T142),$W142,IF(AND($S142&lt;&gt;"",EDATE($D142,Milestones!$AA$82)&gt;=$S142),$V142,$U142)))=Milestones!$AB$82),UPPER(TEXT(EDATE($D142,Milestones!$AA$82),"dd mmm yy"))&amp;" "&amp;Milestones!$AB$82&amp;" "&amp;Milestones!$AC$82&amp;";  ","")&amp;IF(AND(EDATE($D142,Milestones!$AA$83)&lt;=AsOfDate,IF($R142=0,$X142,IF(AND($T142&lt;&gt;"",EDATE($D142,Milestones!$AA$83)&gt;=$T142),$W142,IF(AND($S142&lt;&gt;"",EDATE($D142,Milestones!$AA$83)&gt;=$S142),$V142,$U142)))=Milestones!$AB$83),UPPER(TEXT(EDATE($D142,Milestones!$AA$83),"dd mmm yy"))&amp;" "&amp;Milestones!$AB$83&amp;" "&amp;Milestones!$AC$83&amp;";  ","")&amp;IF(AND(EDATE($D142,Milestones!$AA$84)&lt;=AsOfDate,IF($R142=0,$X142,IF(AND($T142&lt;&gt;"",EDATE($D142,Milestones!$AA$84)&gt;=$T142),$W142,IF(AND($S142&lt;&gt;"",EDATE($D142,Milestones!$AA$84)&gt;=$S142),$V142,$U142)))=Milestones!$AB$84),UPPER(TEXT(EDATE($D142,Milestones!$AA$84),"dd mmm yy"))&amp;" "&amp;Milestones!$AB$84&amp;" "&amp;Milestones!$AC$84&amp;";  ","")&amp;IF(AND(EDATE($D142,Milestones!$AA$85)&lt;=AsOfDate,IF($R142=0,$X142,IF(AND($T142&lt;&gt;"",EDATE($D142,Milestones!$AA$85)&gt;=$T142),$W142,IF(AND($S142&lt;&gt;"",EDATE($D142,Milestones!$AA$85)&gt;=$S142),$V142,$U142)))=Milestones!$AB$85),UPPER(TEXT(EDATE($D142,Milestones!$AA$85),"dd mmm yy"))&amp;" "&amp;Milestones!$AB$85&amp;" "&amp;Milestones!$AC$85&amp;";  ","")&amp;IF(AND(EDATE($D142,Milestones!$AA$86)&lt;=AsOfDate,IF($R142=0,$X142,IF(AND($T142&lt;&gt;"",EDATE($D142,Milestones!$AA$86)&gt;=$T142),$W142,IF(AND($S142&lt;&gt;"",EDATE($D142,Milestones!$AA$86)&gt;=$S142),$V142,$U142)))=Milestones!$AB$86),UPPER(TEXT(EDATE($D142,Milestones!$AA$86),"dd mmm yy"))&amp;" "&amp;Milestones!$AB$86&amp;" "&amp;Milestones!$AC$86&amp;";  ","")&amp;IF(AND(EDATE($D142,Milestones!$AA$87)&lt;=AsOfDate,IF($R142=0,$X142,IF(AND($T142&lt;&gt;"",EDATE($D142,Milestones!$AA$87)&gt;=$T142),$W142,IF(AND($S142&lt;&gt;"",EDATE($D142,Milestones!$AA$87)&gt;=$S142),$V142,$U142)))=Milestones!$AB$87),UPPER(TEXT(EDATE($D142,Milestones!$AA$87),"dd mmm yy"))&amp;" "&amp;Milestones!$AB$87&amp;" "&amp;Milestones!$AC$87&amp;";  ","")&amp;IF(AND(EDATE($D142,Milestones!$AA$88)&lt;=AsOfDate,IF($R142=0,$X142,IF(AND($T142&lt;&gt;"",EDATE($D142,Milestones!$AA$88)&gt;=$T142),$W142,IF(AND($S142&lt;&gt;"",EDATE($D142,Milestones!$AA$88)&gt;=$S142),$V142,$U142)))=Milestones!$AB$88),UPPER(TEXT(EDATE($D142,Milestones!$AA$88),"dd mmm yy"))&amp;" "&amp;Milestones!$AB$88&amp;" "&amp;Milestones!$AC$88&amp;";  ","")&amp;IF(AND(EDATE($D142,Milestones!$AA$89)&lt;=AsOfDate,IF($R142=0,$X142,IF(AND($T142&lt;&gt;"",EDATE($D142,Milestones!$AA$89)&gt;=$T142),$W142,IF(AND($S142&lt;&gt;"",EDATE($D142,Milestones!$AA$89)&gt;=$S142),$V142,$U142)))=Milestones!$AB$89),UPPER(TEXT(EDATE($D142,Milestones!$AA$89),"dd mmm yy"))&amp;" "&amp;Milestones!$AB$89&amp;" "&amp;Milestones!$AC$89&amp;";  ","")&amp;IF(AND(EDATE($D142,Milestones!$AA$90)&lt;=AsOfDate,IF($R142=0,$X142,IF(AND($T142&lt;&gt;"",EDATE($D142,Milestones!$AA$90)&gt;=$T142),$W142,IF(AND($S142&lt;&gt;"",EDATE($D142,Milestones!$AA$90)&gt;=$S142),$V142,$U142)))=Milestones!$AB$90),UPPER(TEXT(EDATE($D142,Milestones!$AA$90),"dd mmm yy"))&amp;" "&amp;Milestones!$AB$90&amp;" "&amp;Milestones!$AC$90&amp;";  ","")&amp;IF(AND(EDATE($D142,Milestones!$AA$91)&lt;=AsOfDate,IF($R142=0,$X142,IF(AND($T142&lt;&gt;"",EDATE($D142,Milestones!$AA$91)&gt;=$T142),$W142,IF(AND($S142&lt;&gt;"",EDATE($D142,Milestones!$AA$91)&gt;=$S142),$V142,$U142)))=Milestones!$AB$91),UPPER(TEXT(EDATE($D142,Milestones!$AA$91),"dd mmm yy"))&amp;" "&amp;Milestones!$AB$91&amp;" "&amp;Milestones!$AC$91&amp;";  ","")&amp;IF(AND(EDATE($D142,Milestones!$AA$92)&lt;=AsOfDate,IF($R142=0,$X142,IF(AND($T142&lt;&gt;"",EDATE($D142,Milestones!$AA$92)&gt;=$T142),$W142,IF(AND($S142&lt;&gt;"",EDATE($D142,Milestones!$AA$92)&gt;=$S142),$V142,$U142)))=Milestones!$AB$92),UPPER(TEXT(EDATE($D142,Milestones!$AA$92),"dd mmm yy"))&amp;" "&amp;Milestones!$AB$92&amp;" "&amp;Milestones!$AC$92&amp;";  ","")&amp;IF(AND(EDATE($D142,Milestones!$AA$93)&lt;=AsOfDate,IF($R142=0,$X142,IF(AND($T142&lt;&gt;"",EDATE($D142,Milestones!$AA$93)&gt;=$T142),$W142,IF(AND($S142&lt;&gt;"",EDATE($D142,Milestones!$AA$93)&gt;=$S142),$V142,$U142)))=Milestones!$AB$93),UPPER(TEXT(EDATE($D142,Milestones!$AA$93),"dd mmm yy"))&amp;" "&amp;Milestones!$AB$93&amp;" "&amp;Milestones!$AC$93&amp;";  ","")&amp;IF(AND(EDATE($D142,Milestones!$AA$94)&lt;=AsOfDate,IF($R142=0,$X142,IF(AND($T142&lt;&gt;"",EDATE($D142,Milestones!$AA$94)&gt;=$T142),$W142,IF(AND($S142&lt;&gt;"",EDATE($D142,Milestones!$AA$94)&gt;=$S142),$V142,$U142)))=Milestones!$AB$94),UPPER(TEXT(EDATE($D142,Milestones!$AA$94),"dd mmm yy"))&amp;" "&amp;Milestones!$AB$94&amp;" "&amp;Milestones!$AC$94&amp;";  ","")&amp;IF(AND(EDATE($D142,Milestones!$AA$95)&lt;=AsOfDate,IF($R142=0,$X142,IF(AND($T142&lt;&gt;"",EDATE($D142,Milestones!$AA$95)&gt;=$T142),$W142,IF(AND($S142&lt;&gt;"",EDATE($D142,Milestones!$AA$95)&gt;=$S142),$V142,$U142)))=Milestones!$AB$95),UPPER(TEXT(EDATE($D142,Milestones!$AA$95),"dd mmm yy"))&amp;" "&amp;Milestones!$AB$95&amp;" "&amp;Milestones!$AC$95&amp;";  ","")&amp;IF(AND(EDATE($D142,Milestones!$AA$96)&lt;=AsOfDate,IF($R142=0,$X142,IF(AND($T142&lt;&gt;"",EDATE($D142,Milestones!$AA$96)&gt;=$T142),$W142,IF(AND($S142&lt;&gt;"",EDATE($D142,Milestones!$AA$96)&gt;=$S142),$V142,$U142)))=Milestones!$AB$96),UPPER(TEXT(EDATE($D142,Milestones!$AA$96),"dd mmm yy"))&amp;" "&amp;Milestones!$AB$96&amp;" "&amp;Milestones!$AC$96&amp;";  ","")&amp;IF(AND(EDATE($D142,Milestones!$AA$97)&lt;=AsOfDate,IF($R142=0,$X142,IF(AND($T142&lt;&gt;"",EDATE($D142,Milestones!$AA$97)&gt;=$T142),$W142,IF(AND($S142&lt;&gt;"",EDATE($D142,Milestones!$AA$97)&gt;=$S142),$V142,$U142)))=Milestones!$AB$97),UPPER(TEXT(EDATE($D142,Milestones!$AA$97),"dd mmm yy"))&amp;" "&amp;Milestones!$AB$97&amp;" "&amp;Milestones!$AC$97&amp;";  ","")&amp;IF(AND(EDATE($D142,Milestones!$AA$98)&lt;=AsOfDate,IF($R142=0,$X142,IF(AND($T142&lt;&gt;"",EDATE($D142,Milestones!$AA$98)&gt;=$T142),$W142,IF(AND($S142&lt;&gt;"",EDATE($D142,Milestones!$AA$98)&gt;=$S142),$V142,$U142)))=Milestones!$AB$98),UPPER(TEXT(EDATE($D142,Milestones!$AA$98),"dd mmm yy"))&amp;" "&amp;Milestones!$AB$98&amp;" "&amp;Milestones!$AC$98&amp;";  ","")&amp;IF(AND(EDATE($D142,Milestones!$AA$99)&lt;=AsOfDate,IF($R142=0,$X142,IF(AND($T142&lt;&gt;"",EDATE($D142,Milestones!$AA$99)&gt;=$T142),$W142,IF(AND($S142&lt;&gt;"",EDATE($D142,Milestones!$AA$99)&gt;=$S142),$V142,$U142)))=Milestones!$AB$99),UPPER(TEXT(EDATE($D142,Milestones!$AA$99),"dd mmm yy"))&amp;" "&amp;Milestones!$AB$99&amp;" "&amp;Milestones!$AC$99&amp;";  ",""))</f>
        <v/>
      </c>
      <c r="M142" s="0" t="str">
        <f aca="false">IF(OR($A142="",$D142=""),"",IF(AND(EDATE($D142,Milestones!$AA$100)&lt;=AsOfDate,IF($R142=0,$X142,IF(AND($T142&lt;&gt;"",EDATE($D142,Milestones!$AA$100)&gt;=$T142),$W142,IF(AND($S142&lt;&gt;"",EDATE($D142,Milestones!$AA$100)&gt;=$S142),$V142,$U142)))=Milestones!$AB$100),UPPER(TEXT(EDATE($D142,Milestones!$AA$100),"dd mmm yy"))&amp;" "&amp;Milestones!$AB$100&amp;" "&amp;Milestones!$AC$100&amp;";  ","")&amp;IF(AND(EDATE($D142,Milestones!$AA$101)&lt;=AsOfDate,IF($R142=0,$X142,IF(AND($T142&lt;&gt;"",EDATE($D142,Milestones!$AA$101)&gt;=$T142),$W142,IF(AND($S142&lt;&gt;"",EDATE($D142,Milestones!$AA$101)&gt;=$S142),$V142,$U142)))=Milestones!$AB$101),UPPER(TEXT(EDATE($D142,Milestones!$AA$101),"dd mmm yy"))&amp;" "&amp;Milestones!$AB$101&amp;" "&amp;Milestones!$AC$101&amp;";  ","")&amp;IF(AND(EDATE($D142,Milestones!$AA$102)&lt;=AsOfDate,IF($R142=0,$X142,IF(AND($T142&lt;&gt;"",EDATE($D142,Milestones!$AA$102)&gt;=$T142),$W142,IF(AND($S142&lt;&gt;"",EDATE($D142,Milestones!$AA$102)&gt;=$S142),$V142,$U142)))=Milestones!$AB$102),UPPER(TEXT(EDATE($D142,Milestones!$AA$102),"dd mmm yy"))&amp;" "&amp;Milestones!$AB$102&amp;" "&amp;Milestones!$AC$102&amp;";  ","")&amp;IF(AND(EDATE($D142,Milestones!$AA$103)&lt;=AsOfDate,IF($R142=0,$X142,IF(AND($T142&lt;&gt;"",EDATE($D142,Milestones!$AA$103)&gt;=$T142),$W142,IF(AND($S142&lt;&gt;"",EDATE($D142,Milestones!$AA$103)&gt;=$S142),$V142,$U142)))=Milestones!$AB$103),UPPER(TEXT(EDATE($D142,Milestones!$AA$103),"dd mmm yy"))&amp;" "&amp;Milestones!$AB$103&amp;" "&amp;Milestones!$AC$103&amp;";  ","")&amp;IF(AND(EDATE($D142,Milestones!$AA$104)&lt;=AsOfDate,IF($R142=0,$X142,IF(AND($T142&lt;&gt;"",EDATE($D142,Milestones!$AA$104)&gt;=$T142),$W142,IF(AND($S142&lt;&gt;"",EDATE($D142,Milestones!$AA$104)&gt;=$S142),$V142,$U142)))=Milestones!$AB$104),UPPER(TEXT(EDATE($D142,Milestones!$AA$104),"dd mmm yy"))&amp;" "&amp;Milestones!$AB$104&amp;" "&amp;Milestones!$AC$104&amp;";  ","")&amp;IF(AND(EDATE($D142,Milestones!$AA$105)&lt;=AsOfDate,IF($R142=0,$X142,IF(AND($T142&lt;&gt;"",EDATE($D142,Milestones!$AA$105)&gt;=$T142),$W142,IF(AND($S142&lt;&gt;"",EDATE($D142,Milestones!$AA$105)&gt;=$S142),$V142,$U142)))=Milestones!$AB$105),UPPER(TEXT(EDATE($D142,Milestones!$AA$105),"dd mmm yy"))&amp;" "&amp;Milestones!$AB$105&amp;" "&amp;Milestones!$AC$105&amp;";  ","")&amp;IF(AND(EDATE($D142,Milestones!$AA$106)&lt;=AsOfDate,IF($R142=0,$X142,IF(AND($T142&lt;&gt;"",EDATE($D142,Milestones!$AA$106)&gt;=$T142),$W142,IF(AND($S142&lt;&gt;"",EDATE($D142,Milestones!$AA$106)&gt;=$S142),$V142,$U142)))=Milestones!$AB$106),UPPER(TEXT(EDATE($D142,Milestones!$AA$106),"dd mmm yy"))&amp;" "&amp;Milestones!$AB$106&amp;" "&amp;Milestones!$AC$106&amp;";  ","")&amp;IF(AND(EDATE($D142,Milestones!$AA$107)&lt;=AsOfDate,IF($R142=0,$X142,IF(AND($T142&lt;&gt;"",EDATE($D142,Milestones!$AA$107)&gt;=$T142),$W142,IF(AND($S142&lt;&gt;"",EDATE($D142,Milestones!$AA$107)&gt;=$S142),$V142,$U142)))=Milestones!$AB$107),UPPER(TEXT(EDATE($D142,Milestones!$AA$107),"dd mmm yy"))&amp;" "&amp;Milestones!$AB$107&amp;" "&amp;Milestones!$AC$107&amp;";  ","")&amp;IF(AND(EDATE($D142,Milestones!$AA$108)&lt;=AsOfDate,IF($R142=0,$X142,IF(AND($T142&lt;&gt;"",EDATE($D142,Milestones!$AA$108)&gt;=$T142),$W142,IF(AND($S142&lt;&gt;"",EDATE($D142,Milestones!$AA$108)&gt;=$S142),$V142,$U142)))=Milestones!$AB$108),UPPER(TEXT(EDATE($D142,Milestones!$AA$108),"dd mmm yy"))&amp;" "&amp;Milestones!$AB$108&amp;" "&amp;Milestones!$AC$108&amp;";  ","")&amp;IF(AND(EDATE($D142,Milestones!$AA$109)&lt;=AsOfDate,IF($R142=0,$X142,IF(AND($T142&lt;&gt;"",EDATE($D142,Milestones!$AA$109)&gt;=$T142),$W142,IF(AND($S142&lt;&gt;"",EDATE($D142,Milestones!$AA$109)&gt;=$S142),$V142,$U142)))=Milestones!$AB$109),UPPER(TEXT(EDATE($D142,Milestones!$AA$109),"dd mmm yy"))&amp;" "&amp;Milestones!$AB$109&amp;" "&amp;Milestones!$AC$109&amp;";  ","")&amp;IF(AND(EDATE($D142,Milestones!$AA$110)&lt;=AsOfDate,IF($R142=0,$X142,IF(AND($T142&lt;&gt;"",EDATE($D142,Milestones!$AA$110)&gt;=$T142),$W142,IF(AND($S142&lt;&gt;"",EDATE($D142,Milestones!$AA$110)&gt;=$S142),$V142,$U142)))=Milestones!$AB$110),UPPER(TEXT(EDATE($D142,Milestones!$AA$110),"dd mmm yy"))&amp;" "&amp;Milestones!$AB$110&amp;" "&amp;Milestones!$AC$110&amp;";  ","")&amp;IF(AND(EDATE($D142,Milestones!$AA$111)&lt;=AsOfDate,IF($R142=0,$X142,IF(AND($T142&lt;&gt;"",EDATE($D142,Milestones!$AA$111)&gt;=$T142),$W142,IF(AND($S142&lt;&gt;"",EDATE($D142,Milestones!$AA$111)&gt;=$S142),$V142,$U142)))=Milestones!$AB$111),UPPER(TEXT(EDATE($D142,Milestones!$AA$111),"dd mmm yy"))&amp;" "&amp;Milestones!$AB$111&amp;" "&amp;Milestones!$AC$111&amp;";  ","")&amp;IF(AND(EDATE($D142,Milestones!$AA$112)&lt;=AsOfDate,IF($R142=0,$X142,IF(AND($T142&lt;&gt;"",EDATE($D142,Milestones!$AA$112)&gt;=$T142),$W142,IF(AND($S142&lt;&gt;"",EDATE($D142,Milestones!$AA$112)&gt;=$S142),$V142,$U142)))=Milestones!$AB$112),UPPER(TEXT(EDATE($D142,Milestones!$AA$112),"dd mmm yy"))&amp;" "&amp;Milestones!$AB$112&amp;" "&amp;Milestones!$AC$112&amp;";  ","")&amp;IF(AND(EDATE($D142,Milestones!$AA$113)&lt;=AsOfDate,IF($R142=0,$X142,IF(AND($T142&lt;&gt;"",EDATE($D142,Milestones!$AA$113)&gt;=$T142),$W142,IF(AND($S142&lt;&gt;"",EDATE($D142,Milestones!$AA$113)&gt;=$S142),$V142,$U142)))=Milestones!$AB$113),UPPER(TEXT(EDATE($D142,Milestones!$AA$113),"dd mmm yy"))&amp;" "&amp;Milestones!$AB$113&amp;" "&amp;Milestones!$AC$113&amp;";  ","")&amp;IF(AND(EDATE($D142,Milestones!$AA$114)&lt;=AsOfDate,IF($R142=0,$X142,IF(AND($T142&lt;&gt;"",EDATE($D142,Milestones!$AA$114)&gt;=$T142),$W142,IF(AND($S142&lt;&gt;"",EDATE($D142,Milestones!$AA$114)&gt;=$S142),$V142,$U142)))=Milestones!$AB$114),UPPER(TEXT(EDATE($D142,Milestones!$AA$114),"dd mmm yy"))&amp;" "&amp;Milestones!$AB$114&amp;" "&amp;Milestones!$AC$114&amp;";  ","")&amp;IF(AND(EDATE($D142,Milestones!$AA$115)&lt;=AsOfDate,IF($R142=0,$X142,IF(AND($T142&lt;&gt;"",EDATE($D142,Milestones!$AA$115)&gt;=$T142),$W142,IF(AND($S142&lt;&gt;"",EDATE($D142,Milestones!$AA$115)&gt;=$S142),$V142,$U142)))=Milestones!$AB$115),UPPER(TEXT(EDATE($D142,Milestones!$AA$115),"dd mmm yy"))&amp;" "&amp;Milestones!$AB$115&amp;" "&amp;Milestones!$AC$115&amp;";  ","")&amp;IF(AND(EDATE($D142,Milestones!$AA$116)&lt;=AsOfDate,IF($R142=0,$X142,IF(AND($T142&lt;&gt;"",EDATE($D142,Milestones!$AA$116)&gt;=$T142),$W142,IF(AND($S142&lt;&gt;"",EDATE($D142,Milestones!$AA$116)&gt;=$S142),$V142,$U142)))=Milestones!$AB$116),UPPER(TEXT(EDATE($D142,Milestones!$AA$116),"dd mmm yy"))&amp;" "&amp;Milestones!$AB$116&amp;" "&amp;Milestones!$AC$116&amp;";  ","")&amp;IF(AND(EDATE($D142,Milestones!$AA$117)&lt;=AsOfDate,IF($R142=0,$X142,IF(AND($T142&lt;&gt;"",EDATE($D142,Milestones!$AA$117)&gt;=$T142),$W142,IF(AND($S142&lt;&gt;"",EDATE($D142,Milestones!$AA$117)&gt;=$S142),$V142,$U142)))=Milestones!$AB$117),UPPER(TEXT(EDATE($D142,Milestones!$AA$117),"dd mmm yy"))&amp;" "&amp;Milestones!$AB$117&amp;" "&amp;Milestones!$AC$117&amp;";  ","")&amp;IF(AND(EDATE($D142,Milestones!$AA$118)&lt;=AsOfDate,IF($R142=0,$X142,IF(AND($T142&lt;&gt;"",EDATE($D142,Milestones!$AA$118)&gt;=$T142),$W142,IF(AND($S142&lt;&gt;"",EDATE($D142,Milestones!$AA$118)&gt;=$S142),$V142,$U142)))=Milestones!$AB$118),UPPER(TEXT(EDATE($D142,Milestones!$AA$118),"dd mmm yy"))&amp;" "&amp;Milestones!$AB$118&amp;" "&amp;Milestones!$AC$118&amp;";  ","")&amp;IF(AND(EDATE($D142,Milestones!$AA$119)&lt;=AsOfDate,IF($R142=0,$X142,IF(AND($T142&lt;&gt;"",EDATE($D142,Milestones!$AA$119)&gt;=$T142),$W142,IF(AND($S142&lt;&gt;"",EDATE($D142,Milestones!$AA$119)&gt;=$S142),$V142,$U142)))=Milestones!$AB$119),UPPER(TEXT(EDATE($D142,Milestones!$AA$119),"dd mmm yy"))&amp;" "&amp;Milestones!$AB$119&amp;" "&amp;Milestones!$AC$119&amp;";  ",""))</f>
        <v/>
      </c>
      <c r="N142" s="0" t="str">
        <f aca="false">IF(OR($A142="",$D142=""),"",IF(AND(EDATE($D142,Milestones!$AA$120)&lt;=AsOfDate,IF($R142=0,$X142,IF(AND($T142&lt;&gt;"",EDATE($D142,Milestones!$AA$120)&gt;=$T142),$W142,IF(AND($S142&lt;&gt;"",EDATE($D142,Milestones!$AA$120)&gt;=$S142),$V142,$U142)))=Milestones!$AB$120),UPPER(TEXT(EDATE($D142,Milestones!$AA$120),"dd mmm yy"))&amp;" "&amp;Milestones!$AB$120&amp;" "&amp;Milestones!$AC$120&amp;";  ","")&amp;IF(AND(EDATE($D142,Milestones!$AA$121)&lt;=AsOfDate,IF($R142=0,$X142,IF(AND($T142&lt;&gt;"",EDATE($D142,Milestones!$AA$121)&gt;=$T142),$W142,IF(AND($S142&lt;&gt;"",EDATE($D142,Milestones!$AA$121)&gt;=$S142),$V142,$U142)))=Milestones!$AB$121),UPPER(TEXT(EDATE($D142,Milestones!$AA$121),"dd mmm yy"))&amp;" "&amp;Milestones!$AB$121&amp;" "&amp;Milestones!$AC$121&amp;";  ","")&amp;IF(AND(EDATE($D142,Milestones!$AA$122)&lt;=AsOfDate,IF($R142=0,$X142,IF(AND($T142&lt;&gt;"",EDATE($D142,Milestones!$AA$122)&gt;=$T142),$W142,IF(AND($S142&lt;&gt;"",EDATE($D142,Milestones!$AA$122)&gt;=$S142),$V142,$U142)))=Milestones!$AB$122),UPPER(TEXT(EDATE($D142,Milestones!$AA$122),"dd mmm yy"))&amp;" "&amp;Milestones!$AB$122&amp;" "&amp;Milestones!$AC$122&amp;";  ","")&amp;IF(AND(EDATE($D142,Milestones!$AA$123)&lt;=AsOfDate,IF($R142=0,$X142,IF(AND($T142&lt;&gt;"",EDATE($D142,Milestones!$AA$123)&gt;=$T142),$W142,IF(AND($S142&lt;&gt;"",EDATE($D142,Milestones!$AA$123)&gt;=$S142),$V142,$U142)))=Milestones!$AB$123),UPPER(TEXT(EDATE($D142,Milestones!$AA$123),"dd mmm yy"))&amp;" "&amp;Milestones!$AB$123&amp;" "&amp;Milestones!$AC$123&amp;";  ","")&amp;IF(AND(EDATE($D142,Milestones!$AA$124)&lt;=AsOfDate,IF($R142=0,$X142,IF(AND($T142&lt;&gt;"",EDATE($D142,Milestones!$AA$124)&gt;=$T142),$W142,IF(AND($S142&lt;&gt;"",EDATE($D142,Milestones!$AA$124)&gt;=$S142),$V142,$U142)))=Milestones!$AB$124),UPPER(TEXT(EDATE($D142,Milestones!$AA$124),"dd mmm yy"))&amp;" "&amp;Milestones!$AB$124&amp;" "&amp;Milestones!$AC$124&amp;";  ","")&amp;IF(AND(EDATE($D142,Milestones!$AA$125)&lt;=AsOfDate,IF($R142=0,$X142,IF(AND($T142&lt;&gt;"",EDATE($D142,Milestones!$AA$125)&gt;=$T142),$W142,IF(AND($S142&lt;&gt;"",EDATE($D142,Milestones!$AA$125)&gt;=$S142),$V142,$U142)))=Milestones!$AB$125),UPPER(TEXT(EDATE($D142,Milestones!$AA$125),"dd mmm yy"))&amp;" "&amp;Milestones!$AB$125&amp;" "&amp;Milestones!$AC$125&amp;";  ","")&amp;IF(AND(EDATE($D142,Milestones!$AA$126)&lt;=AsOfDate,IF($R142=0,$X142,IF(AND($T142&lt;&gt;"",EDATE($D142,Milestones!$AA$126)&gt;=$T142),$W142,IF(AND($S142&lt;&gt;"",EDATE($D142,Milestones!$AA$126)&gt;=$S142),$V142,$U142)))=Milestones!$AB$126),UPPER(TEXT(EDATE($D142,Milestones!$AA$126),"dd mmm yy"))&amp;" "&amp;Milestones!$AB$126&amp;" "&amp;Milestones!$AC$126&amp;";  ","")&amp;IF(AND(EDATE($D142,Milestones!$AA$127)&lt;=AsOfDate,IF($R142=0,$X142,IF(AND($T142&lt;&gt;"",EDATE($D142,Milestones!$AA$127)&gt;=$T142),$W142,IF(AND($S142&lt;&gt;"",EDATE($D142,Milestones!$AA$127)&gt;=$S142),$V142,$U142)))=Milestones!$AB$127),UPPER(TEXT(EDATE($D142,Milestones!$AA$127),"dd mmm yy"))&amp;" "&amp;Milestones!$AB$127&amp;" "&amp;Milestones!$AC$127&amp;";  ","")&amp;IF(AND(EDATE($D142,Milestones!$AA$128)&lt;=AsOfDate,IF($R142=0,$X142,IF(AND($T142&lt;&gt;"",EDATE($D142,Milestones!$AA$128)&gt;=$T142),$W142,IF(AND($S142&lt;&gt;"",EDATE($D142,Milestones!$AA$128)&gt;=$S142),$V142,$U142)))=Milestones!$AB$128),UPPER(TEXT(EDATE($D142,Milestones!$AA$128),"dd mmm yy"))&amp;" "&amp;Milestones!$AB$128&amp;" "&amp;Milestones!$AC$128&amp;";  ","")&amp;IF(AND(EDATE($D142,Milestones!$AA$129)&lt;=AsOfDate,IF($R142=0,$X142,IF(AND($T142&lt;&gt;"",EDATE($D142,Milestones!$AA$129)&gt;=$T142),$W142,IF(AND($S142&lt;&gt;"",EDATE($D142,Milestones!$AA$129)&gt;=$S142),$V142,$U142)))=Milestones!$AB$129),UPPER(TEXT(EDATE($D142,Milestones!$AA$129),"dd mmm yy"))&amp;" "&amp;Milestones!$AB$129&amp;" "&amp;Milestones!$AC$129&amp;";  ","")&amp;IF(AND(EDATE($D142,Milestones!$AA$130)&lt;=AsOfDate,IF($R142=0,$X142,IF(AND($T142&lt;&gt;"",EDATE($D142,Milestones!$AA$130)&gt;=$T142),$W142,IF(AND($S142&lt;&gt;"",EDATE($D142,Milestones!$AA$130)&gt;=$S142),$V142,$U142)))=Milestones!$AB$130),UPPER(TEXT(EDATE($D142,Milestones!$AA$130),"dd mmm yy"))&amp;" "&amp;Milestones!$AB$130&amp;" "&amp;Milestones!$AC$130&amp;";  ","")&amp;IF(AND(EDATE($D142,Milestones!$AA$131)&lt;=AsOfDate,IF($R142=0,$X142,IF(AND($T142&lt;&gt;"",EDATE($D142,Milestones!$AA$131)&gt;=$T142),$W142,IF(AND($S142&lt;&gt;"",EDATE($D142,Milestones!$AA$131)&gt;=$S142),$V142,$U142)))=Milestones!$AB$131),UPPER(TEXT(EDATE($D142,Milestones!$AA$131),"dd mmm yy"))&amp;" "&amp;Milestones!$AB$131&amp;" "&amp;Milestones!$AC$131&amp;";  ","")&amp;IF(AND(EDATE($D142,Milestones!$AA$132)&lt;=AsOfDate,IF($R142=0,$X142,IF(AND($T142&lt;&gt;"",EDATE($D142,Milestones!$AA$132)&gt;=$T142),$W142,IF(AND($S142&lt;&gt;"",EDATE($D142,Milestones!$AA$132)&gt;=$S142),$V142,$U142)))=Milestones!$AB$132),UPPER(TEXT(EDATE($D142,Milestones!$AA$132),"dd mmm yy"))&amp;" "&amp;Milestones!$AB$132&amp;" "&amp;Milestones!$AC$132&amp;";  ","")&amp;IF(AND(EDATE($D142,Milestones!$AA$133)&lt;=AsOfDate,IF($R142=0,$X142,IF(AND($T142&lt;&gt;"",EDATE($D142,Milestones!$AA$133)&gt;=$T142),$W142,IF(AND($S142&lt;&gt;"",EDATE($D142,Milestones!$AA$133)&gt;=$S142),$V142,$U142)))=Milestones!$AB$133),UPPER(TEXT(EDATE($D142,Milestones!$AA$133),"dd mmm yy"))&amp;" "&amp;Milestones!$AB$133&amp;" "&amp;Milestones!$AC$133&amp;";  ","")&amp;IF(AND(EDATE($D142,Milestones!$AA$134)&lt;=AsOfDate,IF($R142=0,$X142,IF(AND($T142&lt;&gt;"",EDATE($D142,Milestones!$AA$134)&gt;=$T142),$W142,IF(AND($S142&lt;&gt;"",EDATE($D142,Milestones!$AA$134)&gt;=$S142),$V142,$U142)))=Milestones!$AB$134),UPPER(TEXT(EDATE($D142,Milestones!$AA$134),"dd mmm yy"))&amp;" "&amp;Milestones!$AB$134&amp;" "&amp;Milestones!$AC$134&amp;";  ","")&amp;IF(AND(EDATE($D142,Milestones!$AA$135)&lt;=AsOfDate,IF($R142=0,$X142,IF(AND($T142&lt;&gt;"",EDATE($D142,Milestones!$AA$135)&gt;=$T142),$W142,IF(AND($S142&lt;&gt;"",EDATE($D142,Milestones!$AA$135)&gt;=$S142),$V142,$U142)))=Milestones!$AB$135),UPPER(TEXT(EDATE($D142,Milestones!$AA$135),"dd mmm yy"))&amp;" "&amp;Milestones!$AB$135&amp;" "&amp;Milestones!$AC$135&amp;";  ","")&amp;IF(AND(EDATE($D142,Milestones!$AA$136)&lt;=AsOfDate,IF($R142=0,$X142,IF(AND($T142&lt;&gt;"",EDATE($D142,Milestones!$AA$136)&gt;=$T142),$W142,IF(AND($S142&lt;&gt;"",EDATE($D142,Milestones!$AA$136)&gt;=$S142),$V142,$U142)))=Milestones!$AB$136),UPPER(TEXT(EDATE($D142,Milestones!$AA$136),"dd mmm yy"))&amp;" "&amp;Milestones!$AB$136&amp;" "&amp;Milestones!$AC$136&amp;";  ","")&amp;IF(AND(EDATE($D142,Milestones!$AA$137)&lt;=AsOfDate,IF($R142=0,$X142,IF(AND($T142&lt;&gt;"",EDATE($D142,Milestones!$AA$137)&gt;=$T142),$W142,IF(AND($S142&lt;&gt;"",EDATE($D142,Milestones!$AA$137)&gt;=$S142),$V142,$U142)))=Milestones!$AB$137),UPPER(TEXT(EDATE($D142,Milestones!$AA$137),"dd mmm yy"))&amp;" "&amp;Milestones!$AB$137&amp;" "&amp;Milestones!$AC$137&amp;";  ","")&amp;IF(AND(EDATE($D142,Milestones!$AA$138)&lt;=AsOfDate,IF($R142=0,$X142,IF(AND($T142&lt;&gt;"",EDATE($D142,Milestones!$AA$138)&gt;=$T142),$W142,IF(AND($S142&lt;&gt;"",EDATE($D142,Milestones!$AA$138)&gt;=$S142),$V142,$U142)))=Milestones!$AB$138),UPPER(TEXT(EDATE($D142,Milestones!$AA$138),"dd mmm yy"))&amp;" "&amp;Milestones!$AB$138&amp;" "&amp;Milestones!$AC$138&amp;";  ","")&amp;IF(AND(EDATE($D142,Milestones!$AA$139)&lt;=AsOfDate,IF($R142=0,$X142,IF(AND($T142&lt;&gt;"",EDATE($D142,Milestones!$AA$139)&gt;=$T142),$W142,IF(AND($S142&lt;&gt;"",EDATE($D142,Milestones!$AA$139)&gt;=$S142),$V142,$U142)))=Milestones!$AB$139),UPPER(TEXT(EDATE($D142,Milestones!$AA$139),"dd mmm yy"))&amp;" "&amp;Milestones!$AB$139&amp;" "&amp;Milestones!$AC$139&amp;";  ",""))</f>
        <v/>
      </c>
      <c r="O142" s="0" t="str">
        <f aca="false">IF(OR($A142="",$D142=""),"",IF(AND(EDATE($D142,Milestones!$AA$140)&lt;=AsOfDate,IF($R142=0,$X142,IF(AND($T142&lt;&gt;"",EDATE($D142,Milestones!$AA$140)&gt;=$T142),$W142,IF(AND($S142&lt;&gt;"",EDATE($D142,Milestones!$AA$140)&gt;=$S142),$V142,$U142)))=Milestones!$AB$140),UPPER(TEXT(EDATE($D142,Milestones!$AA$140),"dd mmm yy"))&amp;" "&amp;Milestones!$AB$140&amp;" "&amp;Milestones!$AC$140&amp;";  ","")&amp;IF(AND(EDATE($D142,Milestones!$AA$141)&lt;=AsOfDate,IF($R142=0,$X142,IF(AND($T142&lt;&gt;"",EDATE($D142,Milestones!$AA$141)&gt;=$T142),$W142,IF(AND($S142&lt;&gt;"",EDATE($D142,Milestones!$AA$141)&gt;=$S142),$V142,$U142)))=Milestones!$AB$141),UPPER(TEXT(EDATE($D142,Milestones!$AA$141),"dd mmm yy"))&amp;" "&amp;Milestones!$AB$141&amp;" "&amp;Milestones!$AC$141&amp;";  ","")&amp;IF(AND(EDATE($D142,Milestones!$AA$142)&lt;=AsOfDate,IF($R142=0,$X142,IF(AND($T142&lt;&gt;"",EDATE($D142,Milestones!$AA$142)&gt;=$T142),$W142,IF(AND($S142&lt;&gt;"",EDATE($D142,Milestones!$AA$142)&gt;=$S142),$V142,$U142)))=Milestones!$AB$142),UPPER(TEXT(EDATE($D142,Milestones!$AA$142),"dd mmm yy"))&amp;" "&amp;Milestones!$AB$142&amp;" "&amp;Milestones!$AC$142&amp;";  ","")&amp;IF(AND(EDATE($D142,Milestones!$AA$143)&lt;=AsOfDate,IF($R142=0,$X142,IF(AND($T142&lt;&gt;"",EDATE($D142,Milestones!$AA$143)&gt;=$T142),$W142,IF(AND($S142&lt;&gt;"",EDATE($D142,Milestones!$AA$143)&gt;=$S142),$V142,$U142)))=Milestones!$AB$143),UPPER(TEXT(EDATE($D142,Milestones!$AA$143),"dd mmm yy"))&amp;" "&amp;Milestones!$AB$143&amp;" "&amp;Milestones!$AC$143&amp;";  ","")&amp;IF(AND(EDATE($D142,Milestones!$AA$144)&lt;=AsOfDate,IF($R142=0,$X142,IF(AND($T142&lt;&gt;"",EDATE($D142,Milestones!$AA$144)&gt;=$T142),$W142,IF(AND($S142&lt;&gt;"",EDATE($D142,Milestones!$AA$144)&gt;=$S142),$V142,$U142)))=Milestones!$AB$144),UPPER(TEXT(EDATE($D142,Milestones!$AA$144),"dd mmm yy"))&amp;" "&amp;Milestones!$AB$144&amp;" "&amp;Milestones!$AC$144&amp;";  ","")&amp;IF(AND(EDATE($D142,Milestones!$AA$145)&lt;=AsOfDate,IF($R142=0,$X142,IF(AND($T142&lt;&gt;"",EDATE($D142,Milestones!$AA$145)&gt;=$T142),$W142,IF(AND($S142&lt;&gt;"",EDATE($D142,Milestones!$AA$145)&gt;=$S142),$V142,$U142)))=Milestones!$AB$145),UPPER(TEXT(EDATE($D142,Milestones!$AA$145),"dd mmm yy"))&amp;" "&amp;Milestones!$AB$145&amp;" "&amp;Milestones!$AC$145&amp;";  ","")&amp;IF(AND(EDATE($D142,Milestones!$AA$146)&lt;=AsOfDate,IF($R142=0,$X142,IF(AND($T142&lt;&gt;"",EDATE($D142,Milestones!$AA$146)&gt;=$T142),$W142,IF(AND($S142&lt;&gt;"",EDATE($D142,Milestones!$AA$146)&gt;=$S142),$V142,$U142)))=Milestones!$AB$146),UPPER(TEXT(EDATE($D142,Milestones!$AA$146),"dd mmm yy"))&amp;" "&amp;Milestones!$AB$146&amp;" "&amp;Milestones!$AC$146&amp;";  ","")&amp;IF(AND(EDATE($D142,Milestones!$AA$147)&lt;=AsOfDate,IF($R142=0,$X142,IF(AND($T142&lt;&gt;"",EDATE($D142,Milestones!$AA$147)&gt;=$T142),$W142,IF(AND($S142&lt;&gt;"",EDATE($D142,Milestones!$AA$147)&gt;=$S142),$V142,$U142)))=Milestones!$AB$147),UPPER(TEXT(EDATE($D142,Milestones!$AA$147),"dd mmm yy"))&amp;" "&amp;Milestones!$AB$147&amp;" "&amp;Milestones!$AC$147&amp;";  ","")&amp;IF(AND(EDATE($D142,Milestones!$AA$148)&lt;=AsOfDate,IF($R142=0,$X142,IF(AND($T142&lt;&gt;"",EDATE($D142,Milestones!$AA$148)&gt;=$T142),$W142,IF(AND($S142&lt;&gt;"",EDATE($D142,Milestones!$AA$148)&gt;=$S142),$V142,$U142)))=Milestones!$AB$148),UPPER(TEXT(EDATE($D142,Milestones!$AA$148),"dd mmm yy"))&amp;" "&amp;Milestones!$AB$148&amp;" "&amp;Milestones!$AC$148&amp;";  ","")&amp;IF(AND(EDATE($D142,Milestones!$AA$149)&lt;=AsOfDate,IF($R142=0,$X142,IF(AND($T142&lt;&gt;"",EDATE($D142,Milestones!$AA$149)&gt;=$T142),$W142,IF(AND($S142&lt;&gt;"",EDATE($D142,Milestones!$AA$149)&gt;=$S142),$V142,$U142)))=Milestones!$AB$149),UPPER(TEXT(EDATE($D142,Milestones!$AA$149),"dd mmm yy"))&amp;" "&amp;Milestones!$AB$149&amp;" "&amp;Milestones!$AC$149&amp;";  ","")&amp;IF(AND(EDATE($D142,Milestones!$AA$150)&lt;=AsOfDate,IF($R142=0,$X142,IF(AND($T142&lt;&gt;"",EDATE($D142,Milestones!$AA$150)&gt;=$T142),$W142,IF(AND($S142&lt;&gt;"",EDATE($D142,Milestones!$AA$150)&gt;=$S142),$V142,$U142)))=Milestones!$AB$150),UPPER(TEXT(EDATE($D142,Milestones!$AA$150),"dd mmm yy"))&amp;" "&amp;Milestones!$AB$150&amp;" "&amp;Milestones!$AC$150&amp;";  ","")&amp;IF(AND(EDATE($D142,Milestones!$AA$151)&lt;=AsOfDate,IF($R142=0,$X142,IF(AND($T142&lt;&gt;"",EDATE($D142,Milestones!$AA$151)&gt;=$T142),$W142,IF(AND($S142&lt;&gt;"",EDATE($D142,Milestones!$AA$151)&gt;=$S142),$V142,$U142)))=Milestones!$AB$151),UPPER(TEXT(EDATE($D142,Milestones!$AA$151),"dd mmm yy"))&amp;" "&amp;Milestones!$AB$151&amp;" "&amp;Milestones!$AC$151&amp;";  ","")&amp;IF(AND(EDATE($D142,Milestones!$AA$152)&lt;=AsOfDate,IF($R142=0,$X142,IF(AND($T142&lt;&gt;"",EDATE($D142,Milestones!$AA$152)&gt;=$T142),$W142,IF(AND($S142&lt;&gt;"",EDATE($D142,Milestones!$AA$152)&gt;=$S142),$V142,$U142)))=Milestones!$AB$152),UPPER(TEXT(EDATE($D142,Milestones!$AA$152),"dd mmm yy"))&amp;" "&amp;Milestones!$AB$152&amp;" "&amp;Milestones!$AC$152&amp;";  ","")&amp;IF(AND(EDATE($D142,Milestones!$AA$153)&lt;=AsOfDate,IF($R142=0,$X142,IF(AND($T142&lt;&gt;"",EDATE($D142,Milestones!$AA$153)&gt;=$T142),$W142,IF(AND($S142&lt;&gt;"",EDATE($D142,Milestones!$AA$153)&gt;=$S142),$V142,$U142)))=Milestones!$AB$153),UPPER(TEXT(EDATE($D142,Milestones!$AA$153),"dd mmm yy"))&amp;" "&amp;Milestones!$AB$153&amp;" "&amp;Milestones!$AC$153&amp;";  ","")&amp;IF(AND(EDATE($D142,Milestones!$AA$154)&lt;=AsOfDate,IF($R142=0,$X142,IF(AND($T142&lt;&gt;"",EDATE($D142,Milestones!$AA$154)&gt;=$T142),$W142,IF(AND($S142&lt;&gt;"",EDATE($D142,Milestones!$AA$154)&gt;=$S142),$V142,$U142)))=Milestones!$AB$154),UPPER(TEXT(EDATE($D142,Milestones!$AA$154),"dd mmm yy"))&amp;" "&amp;Milestones!$AB$154&amp;" "&amp;Milestones!$AC$154&amp;";  ","")&amp;IF(AND(EDATE($D142,Milestones!$AA$155)&lt;=AsOfDate,IF($R142=0,$X142,IF(AND($T142&lt;&gt;"",EDATE($D142,Milestones!$AA$155)&gt;=$T142),$W142,IF(AND($S142&lt;&gt;"",EDATE($D142,Milestones!$AA$155)&gt;=$S142),$V142,$U142)))=Milestones!$AB$155),UPPER(TEXT(EDATE($D142,Milestones!$AA$155),"dd mmm yy"))&amp;" "&amp;Milestones!$AB$155&amp;" "&amp;Milestones!$AC$155&amp;";  ","")&amp;IF(AND(EDATE($D142,Milestones!$AA$156)&lt;=AsOfDate,IF($R142=0,$X142,IF(AND($T142&lt;&gt;"",EDATE($D142,Milestones!$AA$156)&gt;=$T142),$W142,IF(AND($S142&lt;&gt;"",EDATE($D142,Milestones!$AA$156)&gt;=$S142),$V142,$U142)))=Milestones!$AB$156),UPPER(TEXT(EDATE($D142,Milestones!$AA$156),"dd mmm yy"))&amp;" "&amp;Milestones!$AB$156&amp;" "&amp;Milestones!$AC$156&amp;";  ","")&amp;IF(AND(EDATE($D142,Milestones!$AA$157)&lt;=AsOfDate,IF($R142=0,$X142,IF(AND($T142&lt;&gt;"",EDATE($D142,Milestones!$AA$157)&gt;=$T142),$W142,IF(AND($S142&lt;&gt;"",EDATE($D142,Milestones!$AA$157)&gt;=$S142),$V142,$U142)))=Milestones!$AB$157),UPPER(TEXT(EDATE($D142,Milestones!$AA$157),"dd mmm yy"))&amp;" "&amp;Milestones!$AB$157&amp;" "&amp;Milestones!$AC$157&amp;";  ","")&amp;IF(AND(EDATE($D142,Milestones!$AA$158)&lt;=AsOfDate,IF($R142=0,$X142,IF(AND($T142&lt;&gt;"",EDATE($D142,Milestones!$AA$158)&gt;=$T142),$W142,IF(AND($S142&lt;&gt;"",EDATE($D142,Milestones!$AA$158)&gt;=$S142),$V142,$U142)))=Milestones!$AB$158),UPPER(TEXT(EDATE($D142,Milestones!$AA$158),"dd mmm yy"))&amp;" "&amp;Milestones!$AB$158&amp;" "&amp;Milestones!$AC$158&amp;";  ","")&amp;IF(AND(EDATE($D142,Milestones!$AA$159)&lt;=AsOfDate,IF($R142=0,$X142,IF(AND($T142&lt;&gt;"",EDATE($D142,Milestones!$AA$159)&gt;=$T142),$W142,IF(AND($S142&lt;&gt;"",EDATE($D142,Milestones!$AA$159)&gt;=$S142),$V142,$U142)))=Milestones!$AB$159),UPPER(TEXT(EDATE($D142,Milestones!$AA$159),"dd mmm yy"))&amp;" "&amp;Milestones!$AB$159&amp;" "&amp;Milestones!$AC$159&amp;";  ",""))</f>
        <v/>
      </c>
      <c r="P142" s="0" t="str">
        <f aca="false">IF(OR($A142="",$D142=""),"",IF(AND(EDATE($D142,Milestones!$AA$160)&lt;=AsOfDate,IF($R142=0,$X142,IF(AND($T142&lt;&gt;"",EDATE($D142,Milestones!$AA$160)&gt;=$T142),$W142,IF(AND($S142&lt;&gt;"",EDATE($D142,Milestones!$AA$160)&gt;=$S142),$V142,$U142)))=Milestones!$AB$160),UPPER(TEXT(EDATE($D142,Milestones!$AA$160),"dd mmm yy"))&amp;" "&amp;Milestones!$AB$160&amp;" "&amp;Milestones!$AC$160&amp;";  ","")&amp;IF(AND(EDATE($D142,Milestones!$AA$161)&lt;=AsOfDate,IF($R142=0,$X142,IF(AND($T142&lt;&gt;"",EDATE($D142,Milestones!$AA$161)&gt;=$T142),$W142,IF(AND($S142&lt;&gt;"",EDATE($D142,Milestones!$AA$161)&gt;=$S142),$V142,$U142)))=Milestones!$AB$161),UPPER(TEXT(EDATE($D142,Milestones!$AA$161),"dd mmm yy"))&amp;" "&amp;Milestones!$AB$161&amp;" "&amp;Milestones!$AC$161&amp;";  ","")&amp;IF(AND(EDATE($D142,Milestones!$AA$162)&lt;=AsOfDate,IF($R142=0,$X142,IF(AND($T142&lt;&gt;"",EDATE($D142,Milestones!$AA$162)&gt;=$T142),$W142,IF(AND($S142&lt;&gt;"",EDATE($D142,Milestones!$AA$162)&gt;=$S142),$V142,$U142)))=Milestones!$AB$162),UPPER(TEXT(EDATE($D142,Milestones!$AA$162),"dd mmm yy"))&amp;" "&amp;Milestones!$AB$162&amp;" "&amp;Milestones!$AC$162&amp;";  ","")&amp;IF(AND(EDATE($D142,Milestones!$AA$163)&lt;=AsOfDate,IF($R142=0,$X142,IF(AND($T142&lt;&gt;"",EDATE($D142,Milestones!$AA$163)&gt;=$T142),$W142,IF(AND($S142&lt;&gt;"",EDATE($D142,Milestones!$AA$163)&gt;=$S142),$V142,$U142)))=Milestones!$AB$163),UPPER(TEXT(EDATE($D142,Milestones!$AA$163),"dd mmm yy"))&amp;" "&amp;Milestones!$AB$163&amp;" "&amp;Milestones!$AC$163&amp;";  ","")&amp;IF(AND(EDATE($D142,Milestones!$AA$164)&lt;=AsOfDate,IF($R142=0,$X142,IF(AND($T142&lt;&gt;"",EDATE($D142,Milestones!$AA$164)&gt;=$T142),$W142,IF(AND($S142&lt;&gt;"",EDATE($D142,Milestones!$AA$164)&gt;=$S142),$V142,$U142)))=Milestones!$AB$164),UPPER(TEXT(EDATE($D142,Milestones!$AA$164),"dd mmm yy"))&amp;" "&amp;Milestones!$AB$164&amp;" "&amp;Milestones!$AC$164&amp;";  ","")&amp;IF(AND(EDATE($D142,Milestones!$AA$165)&lt;=AsOfDate,IF($R142=0,$X142,IF(AND($T142&lt;&gt;"",EDATE($D142,Milestones!$AA$165)&gt;=$T142),$W142,IF(AND($S142&lt;&gt;"",EDATE($D142,Milestones!$AA$165)&gt;=$S142),$V142,$U142)))=Milestones!$AB$165),UPPER(TEXT(EDATE($D142,Milestones!$AA$165),"dd mmm yy"))&amp;" "&amp;Milestones!$AB$165&amp;" "&amp;Milestones!$AC$165&amp;";  ","")&amp;IF(AND(EDATE($D142,Milestones!$AA$166)&lt;=AsOfDate,IF($R142=0,$X142,IF(AND($T142&lt;&gt;"",EDATE($D142,Milestones!$AA$166)&gt;=$T142),$W142,IF(AND($S142&lt;&gt;"",EDATE($D142,Milestones!$AA$166)&gt;=$S142),$V142,$U142)))=Milestones!$AB$166),UPPER(TEXT(EDATE($D142,Milestones!$AA$166),"dd mmm yy"))&amp;" "&amp;Milestones!$AB$166&amp;" "&amp;Milestones!$AC$166&amp;";  ","")&amp;IF(AND(EDATE($D142,Milestones!$AA$167)&lt;=AsOfDate,IF($R142=0,$X142,IF(AND($T142&lt;&gt;"",EDATE($D142,Milestones!$AA$167)&gt;=$T142),$W142,IF(AND($S142&lt;&gt;"",EDATE($D142,Milestones!$AA$167)&gt;=$S142),$V142,$U142)))=Milestones!$AB$167),UPPER(TEXT(EDATE($D142,Milestones!$AA$167),"dd mmm yy"))&amp;" "&amp;Milestones!$AB$167&amp;" "&amp;Milestones!$AC$167&amp;";  ","")&amp;IF(AND(EDATE($D142,Milestones!$AA$168)&lt;=AsOfDate,IF($R142=0,$X142,IF(AND($T142&lt;&gt;"",EDATE($D142,Milestones!$AA$168)&gt;=$T142),$W142,IF(AND($S142&lt;&gt;"",EDATE($D142,Milestones!$AA$168)&gt;=$S142),$V142,$U142)))=Milestones!$AB$168),UPPER(TEXT(EDATE($D142,Milestones!$AA$168),"dd mmm yy"))&amp;" "&amp;Milestones!$AB$168&amp;" "&amp;Milestones!$AC$168&amp;";  ","")&amp;IF(AND(EDATE($D142,Milestones!$AA$169)&lt;=AsOfDate,IF($R142=0,$X142,IF(AND($T142&lt;&gt;"",EDATE($D142,Milestones!$AA$169)&gt;=$T142),$W142,IF(AND($S142&lt;&gt;"",EDATE($D142,Milestones!$AA$169)&gt;=$S142),$V142,$U142)))=Milestones!$AB$169),UPPER(TEXT(EDATE($D142,Milestones!$AA$169),"dd mmm yy"))&amp;" "&amp;Milestones!$AB$169&amp;" "&amp;Milestones!$AC$169&amp;";  ","")&amp;IF(AND(EDATE($D142,Milestones!$AA$170)&lt;=AsOfDate,IF($R142=0,$X142,IF(AND($T142&lt;&gt;"",EDATE($D142,Milestones!$AA$170)&gt;=$T142),$W142,IF(AND($S142&lt;&gt;"",EDATE($D142,Milestones!$AA$170)&gt;=$S142),$V142,$U142)))=Milestones!$AB$170),UPPER(TEXT(EDATE($D142,Milestones!$AA$170),"dd mmm yy"))&amp;" "&amp;Milestones!$AB$170&amp;" "&amp;Milestones!$AC$170&amp;";  ","")&amp;IF(AND(EDATE($D142,Milestones!$AA$171)&lt;=AsOfDate,IF($R142=0,$X142,IF(AND($T142&lt;&gt;"",EDATE($D142,Milestones!$AA$171)&gt;=$T142),$W142,IF(AND($S142&lt;&gt;"",EDATE($D142,Milestones!$AA$171)&gt;=$S142),$V142,$U142)))=Milestones!$AB$171),UPPER(TEXT(EDATE($D142,Milestones!$AA$171),"dd mmm yy"))&amp;" "&amp;Milestones!$AB$171&amp;" "&amp;Milestones!$AC$171&amp;";  ","")&amp;IF(AND(EDATE($D142,Milestones!$AA$172)&lt;=AsOfDate,IF($R142=0,$X142,IF(AND($T142&lt;&gt;"",EDATE($D142,Milestones!$AA$172)&gt;=$T142),$W142,IF(AND($S142&lt;&gt;"",EDATE($D142,Milestones!$AA$172)&gt;=$S142),$V142,$U142)))=Milestones!$AB$172),UPPER(TEXT(EDATE($D142,Milestones!$AA$172),"dd mmm yy"))&amp;" "&amp;Milestones!$AB$172&amp;" "&amp;Milestones!$AC$172&amp;";  ","")&amp;IF(AND(EDATE($D142,Milestones!$AA$173)&lt;=AsOfDate,IF($R142=0,$X142,IF(AND($T142&lt;&gt;"",EDATE($D142,Milestones!$AA$173)&gt;=$T142),$W142,IF(AND($S142&lt;&gt;"",EDATE($D142,Milestones!$AA$173)&gt;=$S142),$V142,$U142)))=Milestones!$AB$173),UPPER(TEXT(EDATE($D142,Milestones!$AA$173),"dd mmm yy"))&amp;" "&amp;Milestones!$AB$173&amp;" "&amp;Milestones!$AC$173&amp;";  ","")&amp;IF(AND(EDATE($D142,Milestones!$AA$174)&lt;=AsOfDate,IF($R142=0,$X142,IF(AND($T142&lt;&gt;"",EDATE($D142,Milestones!$AA$174)&gt;=$T142),$W142,IF(AND($S142&lt;&gt;"",EDATE($D142,Milestones!$AA$174)&gt;=$S142),$V142,$U142)))=Milestones!$AB$174),UPPER(TEXT(EDATE($D142,Milestones!$AA$174),"dd mmm yy"))&amp;" "&amp;Milestones!$AB$174&amp;" "&amp;Milestones!$AC$174&amp;";  ","")&amp;IF(AND(EDATE($D142,Milestones!$AA$175)&lt;=AsOfDate,IF($R142=0,$X142,IF(AND($T142&lt;&gt;"",EDATE($D142,Milestones!$AA$175)&gt;=$T142),$W142,IF(AND($S142&lt;&gt;"",EDATE($D142,Milestones!$AA$175)&gt;=$S142),$V142,$U142)))=Milestones!$AB$175),UPPER(TEXT(EDATE($D142,Milestones!$AA$175),"dd mmm yy"))&amp;" "&amp;Milestones!$AB$175&amp;" "&amp;Milestones!$AC$175&amp;";  ","")&amp;IF(AND(EDATE($D142,Milestones!$AA$176)&lt;=AsOfDate,IF($R142=0,$X142,IF(AND($T142&lt;&gt;"",EDATE($D142,Milestones!$AA$176)&gt;=$T142),$W142,IF(AND($S142&lt;&gt;"",EDATE($D142,Milestones!$AA$176)&gt;=$S142),$V142,$U142)))=Milestones!$AB$176),UPPER(TEXT(EDATE($D142,Milestones!$AA$176),"dd mmm yy"))&amp;" "&amp;Milestones!$AB$176&amp;" "&amp;Milestones!$AC$176&amp;";  ","")&amp;IF(AND(EDATE($D142,Milestones!$AA$177)&lt;=AsOfDate,IF($R142=0,$X142,IF(AND($T142&lt;&gt;"",EDATE($D142,Milestones!$AA$177)&gt;=$T142),$W142,IF(AND($S142&lt;&gt;"",EDATE($D142,Milestones!$AA$177)&gt;=$S142),$V142,$U142)))=Milestones!$AB$177),UPPER(TEXT(EDATE($D142,Milestones!$AA$177),"dd mmm yy"))&amp;" "&amp;Milestones!$AB$177&amp;" "&amp;Milestones!$AC$177&amp;";  ","")&amp;IF(AND(EDATE($D142,Milestones!$AA$178)&lt;=AsOfDate,IF($R142=0,$X142,IF(AND($T142&lt;&gt;"",EDATE($D142,Milestones!$AA$178)&gt;=$T142),$W142,IF(AND($S142&lt;&gt;"",EDATE($D142,Milestones!$AA$178)&gt;=$S142),$V142,$U142)))=Milestones!$AB$178),UPPER(TEXT(EDATE($D142,Milestones!$AA$178),"dd mmm yy"))&amp;" "&amp;Milestones!$AB$178&amp;" "&amp;Milestones!$AC$178&amp;";  ","")&amp;IF(AND(EDATE($D142,Milestones!$AA$179)&lt;=AsOfDate,IF($R142=0,$X142,IF(AND($T142&lt;&gt;"",EDATE($D142,Milestones!$AA$179)&gt;=$T142),$W142,IF(AND($S142&lt;&gt;"",EDATE($D142,Milestones!$AA$179)&gt;=$S142),$V142,$U142)))=Milestones!$AB$179),UPPER(TEXT(EDATE($D142,Milestones!$AA$179),"dd mmm yy"))&amp;" "&amp;Milestones!$AB$179&amp;" "&amp;Milestones!$AC$179&amp;";  ",""))</f>
        <v/>
      </c>
      <c r="Q142" s="0" t="str">
        <f aca="false">IF(OR($A142="",$D142=""),"",IF(AND(EDATE($D142,Milestones!$AA$180)&lt;=AsOfDate,IF($R142=0,$X142,IF(AND($T142&lt;&gt;"",EDATE($D142,Milestones!$AA$180)&gt;=$T142),$W142,IF(AND($S142&lt;&gt;"",EDATE($D142,Milestones!$AA$180)&gt;=$S142),$V142,$U142)))=Milestones!$AB$180),UPPER(TEXT(EDATE($D142,Milestones!$AA$180),"dd mmm yy"))&amp;" "&amp;Milestones!$AB$180&amp;" "&amp;Milestones!$AC$180&amp;";  ","")&amp;IF(AND(EDATE($D142,Milestones!$AA$181)&lt;=AsOfDate,IF($R142=0,$X142,IF(AND($T142&lt;&gt;"",EDATE($D142,Milestones!$AA$181)&gt;=$T142),$W142,IF(AND($S142&lt;&gt;"",EDATE($D142,Milestones!$AA$181)&gt;=$S142),$V142,$U142)))=Milestones!$AB$181),UPPER(TEXT(EDATE($D142,Milestones!$AA$181),"dd mmm yy"))&amp;" "&amp;Milestones!$AB$181&amp;" "&amp;Milestones!$AC$181&amp;";  ","")&amp;IF(AND(EDATE($D142,Milestones!$AA$182)&lt;=AsOfDate,IF($R142=0,$X142,IF(AND($T142&lt;&gt;"",EDATE($D142,Milestones!$AA$182)&gt;=$T142),$W142,IF(AND($S142&lt;&gt;"",EDATE($D142,Milestones!$AA$182)&gt;=$S142),$V142,$U142)))=Milestones!$AB$182),UPPER(TEXT(EDATE($D142,Milestones!$AA$182),"dd mmm yy"))&amp;" "&amp;Milestones!$AB$182&amp;" "&amp;Milestones!$AC$182&amp;";  ","")&amp;IF(AND(EDATE($D142,Milestones!$AA$183)&lt;=AsOfDate,IF($R142=0,$X142,IF(AND($T142&lt;&gt;"",EDATE($D142,Milestones!$AA$183)&gt;=$T142),$W142,IF(AND($S142&lt;&gt;"",EDATE($D142,Milestones!$AA$183)&gt;=$S142),$V142,$U142)))=Milestones!$AB$183),UPPER(TEXT(EDATE($D142,Milestones!$AA$183),"dd mmm yy"))&amp;" "&amp;Milestones!$AB$183&amp;" "&amp;Milestones!$AC$183&amp;";  ","")&amp;IF(AND(EDATE($D142,Milestones!$AA$184)&lt;=AsOfDate,IF($R142=0,$X142,IF(AND($T142&lt;&gt;"",EDATE($D142,Milestones!$AA$184)&gt;=$T142),$W142,IF(AND($S142&lt;&gt;"",EDATE($D142,Milestones!$AA$184)&gt;=$S142),$V142,$U142)))=Milestones!$AB$184),UPPER(TEXT(EDATE($D142,Milestones!$AA$184),"dd mmm yy"))&amp;" "&amp;Milestones!$AB$184&amp;" "&amp;Milestones!$AC$184&amp;";  ","")&amp;IF(AND(EDATE($D142,Milestones!$AA$185)&lt;=AsOfDate,IF($R142=0,$X142,IF(AND($T142&lt;&gt;"",EDATE($D142,Milestones!$AA$185)&gt;=$T142),$W142,IF(AND($S142&lt;&gt;"",EDATE($D142,Milestones!$AA$185)&gt;=$S142),$V142,$U142)))=Milestones!$AB$185),UPPER(TEXT(EDATE($D142,Milestones!$AA$185),"dd mmm yy"))&amp;" "&amp;Milestones!$AB$185&amp;" "&amp;Milestones!$AC$185&amp;";  ","")&amp;IF(AND(EDATE($D142,Milestones!$AA$186)&lt;=AsOfDate,IF($R142=0,$X142,IF(AND($T142&lt;&gt;"",EDATE($D142,Milestones!$AA$186)&gt;=$T142),$W142,IF(AND($S142&lt;&gt;"",EDATE($D142,Milestones!$AA$186)&gt;=$S142),$V142,$U142)))=Milestones!$AB$186),UPPER(TEXT(EDATE($D142,Milestones!$AA$186),"dd mmm yy"))&amp;" "&amp;Milestones!$AB$186&amp;" "&amp;Milestones!$AC$186&amp;";  ","")&amp;IF(AND(EDATE($D142,Milestones!$AA$187)&lt;=AsOfDate,IF($R142=0,$X142,IF(AND($T142&lt;&gt;"",EDATE($D142,Milestones!$AA$187)&gt;=$T142),$W142,IF(AND($S142&lt;&gt;"",EDATE($D142,Milestones!$AA$187)&gt;=$S142),$V142,$U142)))=Milestones!$AB$187),UPPER(TEXT(EDATE($D142,Milestones!$AA$187),"dd mmm yy"))&amp;" "&amp;Milestones!$AB$187&amp;" "&amp;Milestones!$AC$187&amp;";  ","")&amp;IF(AND(EDATE($D142,Milestones!$AA$188)&lt;=AsOfDate,IF($R142=0,$X142,IF(AND($T142&lt;&gt;"",EDATE($D142,Milestones!$AA$188)&gt;=$T142),$W142,IF(AND($S142&lt;&gt;"",EDATE($D142,Milestones!$AA$188)&gt;=$S142),$V142,$U142)))=Milestones!$AB$188),UPPER(TEXT(EDATE($D142,Milestones!$AA$188),"dd mmm yy"))&amp;" "&amp;Milestones!$AB$188&amp;" "&amp;Milestones!$AC$188&amp;";  ","")&amp;IF(AND(EDATE($D142,Milestones!$AA$189)&lt;=AsOfDate,IF($R142=0,$X142,IF(AND($T142&lt;&gt;"",EDATE($D142,Milestones!$AA$189)&gt;=$T142),$W142,IF(AND($S142&lt;&gt;"",EDATE($D142,Milestones!$AA$189)&gt;=$S142),$V142,$U142)))=Milestones!$AB$189),UPPER(TEXT(EDATE($D142,Milestones!$AA$189),"dd mmm yy"))&amp;" "&amp;Milestones!$AB$189&amp;" "&amp;Milestones!$AC$189&amp;";  ","")&amp;IF(AND(EDATE($D142,Milestones!$AA$190)&lt;=AsOfDate,IF($R142=0,$X142,IF(AND($T142&lt;&gt;"",EDATE($D142,Milestones!$AA$190)&gt;=$T142),$W142,IF(AND($S142&lt;&gt;"",EDATE($D142,Milestones!$AA$190)&gt;=$S142),$V142,$U142)))=Milestones!$AB$190),UPPER(TEXT(EDATE($D142,Milestones!$AA$190),"dd mmm yy"))&amp;" "&amp;Milestones!$AB$190&amp;" "&amp;Milestones!$AC$190&amp;";  ","")&amp;IF(AND(EDATE($D142,Milestones!$AA$191)&lt;=AsOfDate,IF($R142=0,$X142,IF(AND($T142&lt;&gt;"",EDATE($D142,Milestones!$AA$191)&gt;=$T142),$W142,IF(AND($S142&lt;&gt;"",EDATE($D142,Milestones!$AA$191)&gt;=$S142),$V142,$U142)))=Milestones!$AB$191),UPPER(TEXT(EDATE($D142,Milestones!$AA$191),"dd mmm yy"))&amp;" "&amp;Milestones!$AB$191&amp;" "&amp;Milestones!$AC$191&amp;";  ","")&amp;IF(AND(EDATE($D142,Milestones!$AA$192)&lt;=AsOfDate,IF($R142=0,$X142,IF(AND($T142&lt;&gt;"",EDATE($D142,Milestones!$AA$192)&gt;=$T142),$W142,IF(AND($S142&lt;&gt;"",EDATE($D142,Milestones!$AA$192)&gt;=$S142),$V142,$U142)))=Milestones!$AB$192),UPPER(TEXT(EDATE($D142,Milestones!$AA$192),"dd mmm yy"))&amp;" "&amp;Milestones!$AB$192&amp;" "&amp;Milestones!$AC$192&amp;";  ","")&amp;IF(AND(EDATE($D142,Milestones!$AA$193)&lt;=AsOfDate,IF($R142=0,$X142,IF(AND($T142&lt;&gt;"",EDATE($D142,Milestones!$AA$193)&gt;=$T142),$W142,IF(AND($S142&lt;&gt;"",EDATE($D142,Milestones!$AA$193)&gt;=$S142),$V142,$U142)))=Milestones!$AB$193),UPPER(TEXT(EDATE($D142,Milestones!$AA$193),"dd mmm yy"))&amp;" "&amp;Milestones!$AB$193&amp;" "&amp;Milestones!$AC$193&amp;";  ","")&amp;IF(AND(EDATE($D142,Milestones!$AA$194)&lt;=AsOfDate,IF($R142=0,$X142,IF(AND($T142&lt;&gt;"",EDATE($D142,Milestones!$AA$194)&gt;=$T142),$W142,IF(AND($S142&lt;&gt;"",EDATE($D142,Milestones!$AA$194)&gt;=$S142),$V142,$U142)))=Milestones!$AB$194),UPPER(TEXT(EDATE($D142,Milestones!$AA$194),"dd mmm yy"))&amp;" "&amp;Milestones!$AB$194&amp;" "&amp;Milestones!$AC$194&amp;";  ","")&amp;IF(AND(EDATE($D142,Milestones!$AA$195)&lt;=AsOfDate,IF($R142=0,$X142,IF(AND($T142&lt;&gt;"",EDATE($D142,Milestones!$AA$195)&gt;=$T142),$W142,IF(AND($S142&lt;&gt;"",EDATE($D142,Milestones!$AA$195)&gt;=$S142),$V142,$U142)))=Milestones!$AB$195),UPPER(TEXT(EDATE($D142,Milestones!$AA$195),"dd mmm yy"))&amp;" "&amp;Milestones!$AB$195&amp;" "&amp;Milestones!$AC$195&amp;";  ","")&amp;IF(AND(EDATE($D142,Milestones!$AA$196)&lt;=AsOfDate,IF($R142=0,$X142,IF(AND($T142&lt;&gt;"",EDATE($D142,Milestones!$AA$196)&gt;=$T142),$W142,IF(AND($S142&lt;&gt;"",EDATE($D142,Milestones!$AA$196)&gt;=$S142),$V142,$U142)))=Milestones!$AB$196),UPPER(TEXT(EDATE($D142,Milestones!$AA$196),"dd mmm yy"))&amp;" "&amp;Milestones!$AB$196&amp;" "&amp;Milestones!$AC$196&amp;";  ","")&amp;IF(AND(EDATE($D142,Milestones!$AA$197)&lt;=AsOfDate,IF($R142=0,$X142,IF(AND($T142&lt;&gt;"",EDATE($D142,Milestones!$AA$197)&gt;=$T142),$W142,IF(AND($S142&lt;&gt;"",EDATE($D142,Milestones!$AA$197)&gt;=$S142),$V142,$U142)))=Milestones!$AB$197),UPPER(TEXT(EDATE($D142,Milestones!$AA$197),"dd mmm yy"))&amp;" "&amp;Milestones!$AB$197&amp;" "&amp;Milestones!$AC$197&amp;";  ","")&amp;IF(AND(EDATE($D142,Milestones!$AA$198)&lt;=AsOfDate,IF($R142=0,$X142,IF(AND($T142&lt;&gt;"",EDATE($D142,Milestones!$AA$198)&gt;=$T142),$W142,IF(AND($S142&lt;&gt;"",EDATE($D142,Milestones!$AA$198)&gt;=$S142),$V142,$U142)))=Milestones!$AB$198),UPPER(TEXT(EDATE($D142,Milestones!$AA$198),"dd mmm yy"))&amp;" "&amp;Milestones!$AB$198&amp;" "&amp;Milestones!$AC$198&amp;";  ","")&amp;IF(AND(EDATE($D142,Milestones!$AA$199)&lt;=AsOfDate,IF($R142=0,$X142,IF(AND($T142&lt;&gt;"",EDATE($D142,Milestones!$AA$199)&gt;=$T142),$W142,IF(AND($S142&lt;&gt;"",EDATE($D142,Milestones!$AA$199)&gt;=$S142),$V142,$U142)))=Milestones!$AB$199),UPPER(TEXT(EDATE($D142,Milestones!$AA$199),"dd mmm yy"))&amp;" "&amp;Milestones!$AB$199&amp;" "&amp;Milestones!$AC$199&amp;";  ",""))</f>
        <v/>
      </c>
      <c r="R142" s="0" t="str">
        <f aca="false">IF(Staff!$A142="","",Staff!$AI142)</f>
        <v/>
      </c>
      <c r="S142" s="0" t="str">
        <f aca="false">IF(Staff!$A142="","",Staff!$AK142)</f>
        <v/>
      </c>
      <c r="T142" s="0" t="str">
        <f aca="false">IF(Staff!$A142="","",Staff!$AL142)</f>
        <v/>
      </c>
      <c r="U142" s="0" t="str">
        <f aca="false">IF(Staff!$A142="","",Staff!$AP142)</f>
        <v/>
      </c>
      <c r="V142" s="0" t="str">
        <f aca="false">IF(Staff!$A142="","",Staff!$AQ142)</f>
        <v/>
      </c>
      <c r="W142" s="0" t="str">
        <f aca="false">IF(Staff!$A142="","",Staff!$AR142)</f>
        <v/>
      </c>
      <c r="X142" s="0" t="str">
        <f aca="false">IF(Staff!$A142="","",Staff!$AS142)</f>
        <v/>
      </c>
    </row>
    <row r="143" customFormat="false" ht="15" hidden="false" customHeight="false" outlineLevel="0" collapsed="false">
      <c r="A143" s="14" t="str">
        <f aca="false">IF(Staff!$A143="","",Staff!$A143)</f>
        <v/>
      </c>
      <c r="B143" s="14" t="str">
        <f aca="false">IF(Staff!$A143="","",Staff!$B143)</f>
        <v/>
      </c>
      <c r="C143" s="14" t="str">
        <f aca="false">IF(Staff!$A143="","",Staff!$C143)</f>
        <v/>
      </c>
      <c r="D143" s="12" t="str">
        <f aca="false">IF(Staff!$A143="","",Staff!$AH143)</f>
        <v/>
      </c>
      <c r="E143" s="14" t="str">
        <f aca="false">IF(Staff!$A143="","",Staff!$O143)</f>
        <v/>
      </c>
      <c r="F143" s="14" t="str">
        <f aca="false">IF(E143="","",E143*HoursPerDay)</f>
        <v/>
      </c>
      <c r="G143" s="14" t="str">
        <f aca="false">IF(Staff!$A143="","",Staff!$AE143)</f>
        <v/>
      </c>
      <c r="H143" s="26" t="str">
        <f aca="false">IF($A143="","",I143&amp;J143&amp;K143&amp;L143&amp;M143&amp;N143&amp;O143&amp;P143&amp;Q143)</f>
        <v/>
      </c>
      <c r="I143" s="0" t="str">
        <f aca="false">IF(OR($A143="",$D143=""),"",IF(AND(EDATE($D143,Milestones!$AA$20)&lt;=AsOfDate,IF($R143=0,$X143,IF(AND($T143&lt;&gt;"",EDATE($D143,Milestones!$AA$20)&gt;=$T143),$W143,IF(AND($S143&lt;&gt;"",EDATE($D143,Milestones!$AA$20)&gt;=$S143),$V143,$U143)))=Milestones!$AB$20),UPPER(TEXT(EDATE($D143,Milestones!$AA$20),"dd mmm yy"))&amp;" "&amp;Milestones!$AB$20&amp;" "&amp;Milestones!$AC$20&amp;";  ","")&amp;IF(AND(EDATE($D143,Milestones!$AA$21)&lt;=AsOfDate,IF($R143=0,$X143,IF(AND($T143&lt;&gt;"",EDATE($D143,Milestones!$AA$21)&gt;=$T143),$W143,IF(AND($S143&lt;&gt;"",EDATE($D143,Milestones!$AA$21)&gt;=$S143),$V143,$U143)))=Milestones!$AB$21),UPPER(TEXT(EDATE($D143,Milestones!$AA$21),"dd mmm yy"))&amp;" "&amp;Milestones!$AB$21&amp;" "&amp;Milestones!$AC$21&amp;";  ","")&amp;IF(AND(EDATE($D143,Milestones!$AA$22)&lt;=AsOfDate,IF($R143=0,$X143,IF(AND($T143&lt;&gt;"",EDATE($D143,Milestones!$AA$22)&gt;=$T143),$W143,IF(AND($S143&lt;&gt;"",EDATE($D143,Milestones!$AA$22)&gt;=$S143),$V143,$U143)))=Milestones!$AB$22),UPPER(TEXT(EDATE($D143,Milestones!$AA$22),"dd mmm yy"))&amp;" "&amp;Milestones!$AB$22&amp;" "&amp;Milestones!$AC$22&amp;";  ","")&amp;IF(AND(EDATE($D143,Milestones!$AA$23)&lt;=AsOfDate,IF($R143=0,$X143,IF(AND($T143&lt;&gt;"",EDATE($D143,Milestones!$AA$23)&gt;=$T143),$W143,IF(AND($S143&lt;&gt;"",EDATE($D143,Milestones!$AA$23)&gt;=$S143),$V143,$U143)))=Milestones!$AB$23),UPPER(TEXT(EDATE($D143,Milestones!$AA$23),"dd mmm yy"))&amp;" "&amp;Milestones!$AB$23&amp;" "&amp;Milestones!$AC$23&amp;";  ","")&amp;IF(AND(EDATE($D143,Milestones!$AA$24)&lt;=AsOfDate,IF($R143=0,$X143,IF(AND($T143&lt;&gt;"",EDATE($D143,Milestones!$AA$24)&gt;=$T143),$W143,IF(AND($S143&lt;&gt;"",EDATE($D143,Milestones!$AA$24)&gt;=$S143),$V143,$U143)))=Milestones!$AB$24),UPPER(TEXT(EDATE($D143,Milestones!$AA$24),"dd mmm yy"))&amp;" "&amp;Milestones!$AB$24&amp;" "&amp;Milestones!$AC$24&amp;";  ","")&amp;IF(AND(EDATE($D143,Milestones!$AA$25)&lt;=AsOfDate,IF($R143=0,$X143,IF(AND($T143&lt;&gt;"",EDATE($D143,Milestones!$AA$25)&gt;=$T143),$W143,IF(AND($S143&lt;&gt;"",EDATE($D143,Milestones!$AA$25)&gt;=$S143),$V143,$U143)))=Milestones!$AB$25),UPPER(TEXT(EDATE($D143,Milestones!$AA$25),"dd mmm yy"))&amp;" "&amp;Milestones!$AB$25&amp;" "&amp;Milestones!$AC$25&amp;";  ","")&amp;IF(AND(EDATE($D143,Milestones!$AA$26)&lt;=AsOfDate,IF($R143=0,$X143,IF(AND($T143&lt;&gt;"",EDATE($D143,Milestones!$AA$26)&gt;=$T143),$W143,IF(AND($S143&lt;&gt;"",EDATE($D143,Milestones!$AA$26)&gt;=$S143),$V143,$U143)))=Milestones!$AB$26),UPPER(TEXT(EDATE($D143,Milestones!$AA$26),"dd mmm yy"))&amp;" "&amp;Milestones!$AB$26&amp;" "&amp;Milestones!$AC$26&amp;";  ","")&amp;IF(AND(EDATE($D143,Milestones!$AA$27)&lt;=AsOfDate,IF($R143=0,$X143,IF(AND($T143&lt;&gt;"",EDATE($D143,Milestones!$AA$27)&gt;=$T143),$W143,IF(AND($S143&lt;&gt;"",EDATE($D143,Milestones!$AA$27)&gt;=$S143),$V143,$U143)))=Milestones!$AB$27),UPPER(TEXT(EDATE($D143,Milestones!$AA$27),"dd mmm yy"))&amp;" "&amp;Milestones!$AB$27&amp;" "&amp;Milestones!$AC$27&amp;";  ","")&amp;IF(AND(EDATE($D143,Milestones!$AA$28)&lt;=AsOfDate,IF($R143=0,$X143,IF(AND($T143&lt;&gt;"",EDATE($D143,Milestones!$AA$28)&gt;=$T143),$W143,IF(AND($S143&lt;&gt;"",EDATE($D143,Milestones!$AA$28)&gt;=$S143),$V143,$U143)))=Milestones!$AB$28),UPPER(TEXT(EDATE($D143,Milestones!$AA$28),"dd mmm yy"))&amp;" "&amp;Milestones!$AB$28&amp;" "&amp;Milestones!$AC$28&amp;";  ","")&amp;IF(AND(EDATE($D143,Milestones!$AA$29)&lt;=AsOfDate,IF($R143=0,$X143,IF(AND($T143&lt;&gt;"",EDATE($D143,Milestones!$AA$29)&gt;=$T143),$W143,IF(AND($S143&lt;&gt;"",EDATE($D143,Milestones!$AA$29)&gt;=$S143),$V143,$U143)))=Milestones!$AB$29),UPPER(TEXT(EDATE($D143,Milestones!$AA$29),"dd mmm yy"))&amp;" "&amp;Milestones!$AB$29&amp;" "&amp;Milestones!$AC$29&amp;";  ","")&amp;IF(AND(EDATE($D143,Milestones!$AA$30)&lt;=AsOfDate,IF($R143=0,$X143,IF(AND($T143&lt;&gt;"",EDATE($D143,Milestones!$AA$30)&gt;=$T143),$W143,IF(AND($S143&lt;&gt;"",EDATE($D143,Milestones!$AA$30)&gt;=$S143),$V143,$U143)))=Milestones!$AB$30),UPPER(TEXT(EDATE($D143,Milestones!$AA$30),"dd mmm yy"))&amp;" "&amp;Milestones!$AB$30&amp;" "&amp;Milestones!$AC$30&amp;";  ","")&amp;IF(AND(EDATE($D143,Milestones!$AA$31)&lt;=AsOfDate,IF($R143=0,$X143,IF(AND($T143&lt;&gt;"",EDATE($D143,Milestones!$AA$31)&gt;=$T143),$W143,IF(AND($S143&lt;&gt;"",EDATE($D143,Milestones!$AA$31)&gt;=$S143),$V143,$U143)))=Milestones!$AB$31),UPPER(TEXT(EDATE($D143,Milestones!$AA$31),"dd mmm yy"))&amp;" "&amp;Milestones!$AB$31&amp;" "&amp;Milestones!$AC$31&amp;";  ","")&amp;IF(AND(EDATE($D143,Milestones!$AA$32)&lt;=AsOfDate,IF($R143=0,$X143,IF(AND($T143&lt;&gt;"",EDATE($D143,Milestones!$AA$32)&gt;=$T143),$W143,IF(AND($S143&lt;&gt;"",EDATE($D143,Milestones!$AA$32)&gt;=$S143),$V143,$U143)))=Milestones!$AB$32),UPPER(TEXT(EDATE($D143,Milestones!$AA$32),"dd mmm yy"))&amp;" "&amp;Milestones!$AB$32&amp;" "&amp;Milestones!$AC$32&amp;";  ","")&amp;IF(AND(EDATE($D143,Milestones!$AA$33)&lt;=AsOfDate,IF($R143=0,$X143,IF(AND($T143&lt;&gt;"",EDATE($D143,Milestones!$AA$33)&gt;=$T143),$W143,IF(AND($S143&lt;&gt;"",EDATE($D143,Milestones!$AA$33)&gt;=$S143),$V143,$U143)))=Milestones!$AB$33),UPPER(TEXT(EDATE($D143,Milestones!$AA$33),"dd mmm yy"))&amp;" "&amp;Milestones!$AB$33&amp;" "&amp;Milestones!$AC$33&amp;";  ","")&amp;IF(AND(EDATE($D143,Milestones!$AA$34)&lt;=AsOfDate,IF($R143=0,$X143,IF(AND($T143&lt;&gt;"",EDATE($D143,Milestones!$AA$34)&gt;=$T143),$W143,IF(AND($S143&lt;&gt;"",EDATE($D143,Milestones!$AA$34)&gt;=$S143),$V143,$U143)))=Milestones!$AB$34),UPPER(TEXT(EDATE($D143,Milestones!$AA$34),"dd mmm yy"))&amp;" "&amp;Milestones!$AB$34&amp;" "&amp;Milestones!$AC$34&amp;";  ","")&amp;IF(AND(EDATE($D143,Milestones!$AA$35)&lt;=AsOfDate,IF($R143=0,$X143,IF(AND($T143&lt;&gt;"",EDATE($D143,Milestones!$AA$35)&gt;=$T143),$W143,IF(AND($S143&lt;&gt;"",EDATE($D143,Milestones!$AA$35)&gt;=$S143),$V143,$U143)))=Milestones!$AB$35),UPPER(TEXT(EDATE($D143,Milestones!$AA$35),"dd mmm yy"))&amp;" "&amp;Milestones!$AB$35&amp;" "&amp;Milestones!$AC$35&amp;";  ","")&amp;IF(AND(EDATE($D143,Milestones!$AA$36)&lt;=AsOfDate,IF($R143=0,$X143,IF(AND($T143&lt;&gt;"",EDATE($D143,Milestones!$AA$36)&gt;=$T143),$W143,IF(AND($S143&lt;&gt;"",EDATE($D143,Milestones!$AA$36)&gt;=$S143),$V143,$U143)))=Milestones!$AB$36),UPPER(TEXT(EDATE($D143,Milestones!$AA$36),"dd mmm yy"))&amp;" "&amp;Milestones!$AB$36&amp;" "&amp;Milestones!$AC$36&amp;";  ","")&amp;IF(AND(EDATE($D143,Milestones!$AA$37)&lt;=AsOfDate,IF($R143=0,$X143,IF(AND($T143&lt;&gt;"",EDATE($D143,Milestones!$AA$37)&gt;=$T143),$W143,IF(AND($S143&lt;&gt;"",EDATE($D143,Milestones!$AA$37)&gt;=$S143),$V143,$U143)))=Milestones!$AB$37),UPPER(TEXT(EDATE($D143,Milestones!$AA$37),"dd mmm yy"))&amp;" "&amp;Milestones!$AB$37&amp;" "&amp;Milestones!$AC$37&amp;";  ","")&amp;IF(AND(EDATE($D143,Milestones!$AA$38)&lt;=AsOfDate,IF($R143=0,$X143,IF(AND($T143&lt;&gt;"",EDATE($D143,Milestones!$AA$38)&gt;=$T143),$W143,IF(AND($S143&lt;&gt;"",EDATE($D143,Milestones!$AA$38)&gt;=$S143),$V143,$U143)))=Milestones!$AB$38),UPPER(TEXT(EDATE($D143,Milestones!$AA$38),"dd mmm yy"))&amp;" "&amp;Milestones!$AB$38&amp;" "&amp;Milestones!$AC$38&amp;";  ","")&amp;IF(AND(EDATE($D143,Milestones!$AA$39)&lt;=AsOfDate,IF($R143=0,$X143,IF(AND($T143&lt;&gt;"",EDATE($D143,Milestones!$AA$39)&gt;=$T143),$W143,IF(AND($S143&lt;&gt;"",EDATE($D143,Milestones!$AA$39)&gt;=$S143),$V143,$U143)))=Milestones!$AB$39),UPPER(TEXT(EDATE($D143,Milestones!$AA$39),"dd mmm yy"))&amp;" "&amp;Milestones!$AB$39&amp;" "&amp;Milestones!$AC$39&amp;";  ",""))</f>
        <v/>
      </c>
      <c r="J143" s="0" t="str">
        <f aca="false">IF(OR($A143="",$D143=""),"",IF(AND(EDATE($D143,Milestones!$AA$40)&lt;=AsOfDate,IF($R143=0,$X143,IF(AND($T143&lt;&gt;"",EDATE($D143,Milestones!$AA$40)&gt;=$T143),$W143,IF(AND($S143&lt;&gt;"",EDATE($D143,Milestones!$AA$40)&gt;=$S143),$V143,$U143)))=Milestones!$AB$40),UPPER(TEXT(EDATE($D143,Milestones!$AA$40),"dd mmm yy"))&amp;" "&amp;Milestones!$AB$40&amp;" "&amp;Milestones!$AC$40&amp;";  ","")&amp;IF(AND(EDATE($D143,Milestones!$AA$41)&lt;=AsOfDate,IF($R143=0,$X143,IF(AND($T143&lt;&gt;"",EDATE($D143,Milestones!$AA$41)&gt;=$T143),$W143,IF(AND($S143&lt;&gt;"",EDATE($D143,Milestones!$AA$41)&gt;=$S143),$V143,$U143)))=Milestones!$AB$41),UPPER(TEXT(EDATE($D143,Milestones!$AA$41),"dd mmm yy"))&amp;" "&amp;Milestones!$AB$41&amp;" "&amp;Milestones!$AC$41&amp;";  ","")&amp;IF(AND(EDATE($D143,Milestones!$AA$42)&lt;=AsOfDate,IF($R143=0,$X143,IF(AND($T143&lt;&gt;"",EDATE($D143,Milestones!$AA$42)&gt;=$T143),$W143,IF(AND($S143&lt;&gt;"",EDATE($D143,Milestones!$AA$42)&gt;=$S143),$V143,$U143)))=Milestones!$AB$42),UPPER(TEXT(EDATE($D143,Milestones!$AA$42),"dd mmm yy"))&amp;" "&amp;Milestones!$AB$42&amp;" "&amp;Milestones!$AC$42&amp;";  ","")&amp;IF(AND(EDATE($D143,Milestones!$AA$43)&lt;=AsOfDate,IF($R143=0,$X143,IF(AND($T143&lt;&gt;"",EDATE($D143,Milestones!$AA$43)&gt;=$T143),$W143,IF(AND($S143&lt;&gt;"",EDATE($D143,Milestones!$AA$43)&gt;=$S143),$V143,$U143)))=Milestones!$AB$43),UPPER(TEXT(EDATE($D143,Milestones!$AA$43),"dd mmm yy"))&amp;" "&amp;Milestones!$AB$43&amp;" "&amp;Milestones!$AC$43&amp;";  ","")&amp;IF(AND(EDATE($D143,Milestones!$AA$44)&lt;=AsOfDate,IF($R143=0,$X143,IF(AND($T143&lt;&gt;"",EDATE($D143,Milestones!$AA$44)&gt;=$T143),$W143,IF(AND($S143&lt;&gt;"",EDATE($D143,Milestones!$AA$44)&gt;=$S143),$V143,$U143)))=Milestones!$AB$44),UPPER(TEXT(EDATE($D143,Milestones!$AA$44),"dd mmm yy"))&amp;" "&amp;Milestones!$AB$44&amp;" "&amp;Milestones!$AC$44&amp;";  ","")&amp;IF(AND(EDATE($D143,Milestones!$AA$45)&lt;=AsOfDate,IF($R143=0,$X143,IF(AND($T143&lt;&gt;"",EDATE($D143,Milestones!$AA$45)&gt;=$T143),$W143,IF(AND($S143&lt;&gt;"",EDATE($D143,Milestones!$AA$45)&gt;=$S143),$V143,$U143)))=Milestones!$AB$45),UPPER(TEXT(EDATE($D143,Milestones!$AA$45),"dd mmm yy"))&amp;" "&amp;Milestones!$AB$45&amp;" "&amp;Milestones!$AC$45&amp;";  ","")&amp;IF(AND(EDATE($D143,Milestones!$AA$46)&lt;=AsOfDate,IF($R143=0,$X143,IF(AND($T143&lt;&gt;"",EDATE($D143,Milestones!$AA$46)&gt;=$T143),$W143,IF(AND($S143&lt;&gt;"",EDATE($D143,Milestones!$AA$46)&gt;=$S143),$V143,$U143)))=Milestones!$AB$46),UPPER(TEXT(EDATE($D143,Milestones!$AA$46),"dd mmm yy"))&amp;" "&amp;Milestones!$AB$46&amp;" "&amp;Milestones!$AC$46&amp;";  ","")&amp;IF(AND(EDATE($D143,Milestones!$AA$47)&lt;=AsOfDate,IF($R143=0,$X143,IF(AND($T143&lt;&gt;"",EDATE($D143,Milestones!$AA$47)&gt;=$T143),$W143,IF(AND($S143&lt;&gt;"",EDATE($D143,Milestones!$AA$47)&gt;=$S143),$V143,$U143)))=Milestones!$AB$47),UPPER(TEXT(EDATE($D143,Milestones!$AA$47),"dd mmm yy"))&amp;" "&amp;Milestones!$AB$47&amp;" "&amp;Milestones!$AC$47&amp;";  ","")&amp;IF(AND(EDATE($D143,Milestones!$AA$48)&lt;=AsOfDate,IF($R143=0,$X143,IF(AND($T143&lt;&gt;"",EDATE($D143,Milestones!$AA$48)&gt;=$T143),$W143,IF(AND($S143&lt;&gt;"",EDATE($D143,Milestones!$AA$48)&gt;=$S143),$V143,$U143)))=Milestones!$AB$48),UPPER(TEXT(EDATE($D143,Milestones!$AA$48),"dd mmm yy"))&amp;" "&amp;Milestones!$AB$48&amp;" "&amp;Milestones!$AC$48&amp;";  ","")&amp;IF(AND(EDATE($D143,Milestones!$AA$49)&lt;=AsOfDate,IF($R143=0,$X143,IF(AND($T143&lt;&gt;"",EDATE($D143,Milestones!$AA$49)&gt;=$T143),$W143,IF(AND($S143&lt;&gt;"",EDATE($D143,Milestones!$AA$49)&gt;=$S143),$V143,$U143)))=Milestones!$AB$49),UPPER(TEXT(EDATE($D143,Milestones!$AA$49),"dd mmm yy"))&amp;" "&amp;Milestones!$AB$49&amp;" "&amp;Milestones!$AC$49&amp;";  ","")&amp;IF(AND(EDATE($D143,Milestones!$AA$50)&lt;=AsOfDate,IF($R143=0,$X143,IF(AND($T143&lt;&gt;"",EDATE($D143,Milestones!$AA$50)&gt;=$T143),$W143,IF(AND($S143&lt;&gt;"",EDATE($D143,Milestones!$AA$50)&gt;=$S143),$V143,$U143)))=Milestones!$AB$50),UPPER(TEXT(EDATE($D143,Milestones!$AA$50),"dd mmm yy"))&amp;" "&amp;Milestones!$AB$50&amp;" "&amp;Milestones!$AC$50&amp;";  ","")&amp;IF(AND(EDATE($D143,Milestones!$AA$51)&lt;=AsOfDate,IF($R143=0,$X143,IF(AND($T143&lt;&gt;"",EDATE($D143,Milestones!$AA$51)&gt;=$T143),$W143,IF(AND($S143&lt;&gt;"",EDATE($D143,Milestones!$AA$51)&gt;=$S143),$V143,$U143)))=Milestones!$AB$51),UPPER(TEXT(EDATE($D143,Milestones!$AA$51),"dd mmm yy"))&amp;" "&amp;Milestones!$AB$51&amp;" "&amp;Milestones!$AC$51&amp;";  ","")&amp;IF(AND(EDATE($D143,Milestones!$AA$52)&lt;=AsOfDate,IF($R143=0,$X143,IF(AND($T143&lt;&gt;"",EDATE($D143,Milestones!$AA$52)&gt;=$T143),$W143,IF(AND($S143&lt;&gt;"",EDATE($D143,Milestones!$AA$52)&gt;=$S143),$V143,$U143)))=Milestones!$AB$52),UPPER(TEXT(EDATE($D143,Milestones!$AA$52),"dd mmm yy"))&amp;" "&amp;Milestones!$AB$52&amp;" "&amp;Milestones!$AC$52&amp;";  ","")&amp;IF(AND(EDATE($D143,Milestones!$AA$53)&lt;=AsOfDate,IF($R143=0,$X143,IF(AND($T143&lt;&gt;"",EDATE($D143,Milestones!$AA$53)&gt;=$T143),$W143,IF(AND($S143&lt;&gt;"",EDATE($D143,Milestones!$AA$53)&gt;=$S143),$V143,$U143)))=Milestones!$AB$53),UPPER(TEXT(EDATE($D143,Milestones!$AA$53),"dd mmm yy"))&amp;" "&amp;Milestones!$AB$53&amp;" "&amp;Milestones!$AC$53&amp;";  ","")&amp;IF(AND(EDATE($D143,Milestones!$AA$54)&lt;=AsOfDate,IF($R143=0,$X143,IF(AND($T143&lt;&gt;"",EDATE($D143,Milestones!$AA$54)&gt;=$T143),$W143,IF(AND($S143&lt;&gt;"",EDATE($D143,Milestones!$AA$54)&gt;=$S143),$V143,$U143)))=Milestones!$AB$54),UPPER(TEXT(EDATE($D143,Milestones!$AA$54),"dd mmm yy"))&amp;" "&amp;Milestones!$AB$54&amp;" "&amp;Milestones!$AC$54&amp;";  ","")&amp;IF(AND(EDATE($D143,Milestones!$AA$55)&lt;=AsOfDate,IF($R143=0,$X143,IF(AND($T143&lt;&gt;"",EDATE($D143,Milestones!$AA$55)&gt;=$T143),$W143,IF(AND($S143&lt;&gt;"",EDATE($D143,Milestones!$AA$55)&gt;=$S143),$V143,$U143)))=Milestones!$AB$55),UPPER(TEXT(EDATE($D143,Milestones!$AA$55),"dd mmm yy"))&amp;" "&amp;Milestones!$AB$55&amp;" "&amp;Milestones!$AC$55&amp;";  ","")&amp;IF(AND(EDATE($D143,Milestones!$AA$56)&lt;=AsOfDate,IF($R143=0,$X143,IF(AND($T143&lt;&gt;"",EDATE($D143,Milestones!$AA$56)&gt;=$T143),$W143,IF(AND($S143&lt;&gt;"",EDATE($D143,Milestones!$AA$56)&gt;=$S143),$V143,$U143)))=Milestones!$AB$56),UPPER(TEXT(EDATE($D143,Milestones!$AA$56),"dd mmm yy"))&amp;" "&amp;Milestones!$AB$56&amp;" "&amp;Milestones!$AC$56&amp;";  ","")&amp;IF(AND(EDATE($D143,Milestones!$AA$57)&lt;=AsOfDate,IF($R143=0,$X143,IF(AND($T143&lt;&gt;"",EDATE($D143,Milestones!$AA$57)&gt;=$T143),$W143,IF(AND($S143&lt;&gt;"",EDATE($D143,Milestones!$AA$57)&gt;=$S143),$V143,$U143)))=Milestones!$AB$57),UPPER(TEXT(EDATE($D143,Milestones!$AA$57),"dd mmm yy"))&amp;" "&amp;Milestones!$AB$57&amp;" "&amp;Milestones!$AC$57&amp;";  ","")&amp;IF(AND(EDATE($D143,Milestones!$AA$58)&lt;=AsOfDate,IF($R143=0,$X143,IF(AND($T143&lt;&gt;"",EDATE($D143,Milestones!$AA$58)&gt;=$T143),$W143,IF(AND($S143&lt;&gt;"",EDATE($D143,Milestones!$AA$58)&gt;=$S143),$V143,$U143)))=Milestones!$AB$58),UPPER(TEXT(EDATE($D143,Milestones!$AA$58),"dd mmm yy"))&amp;" "&amp;Milestones!$AB$58&amp;" "&amp;Milestones!$AC$58&amp;";  ","")&amp;IF(AND(EDATE($D143,Milestones!$AA$59)&lt;=AsOfDate,IF($R143=0,$X143,IF(AND($T143&lt;&gt;"",EDATE($D143,Milestones!$AA$59)&gt;=$T143),$W143,IF(AND($S143&lt;&gt;"",EDATE($D143,Milestones!$AA$59)&gt;=$S143),$V143,$U143)))=Milestones!$AB$59),UPPER(TEXT(EDATE($D143,Milestones!$AA$59),"dd mmm yy"))&amp;" "&amp;Milestones!$AB$59&amp;" "&amp;Milestones!$AC$59&amp;";  ",""))</f>
        <v/>
      </c>
      <c r="K143" s="0" t="str">
        <f aca="false">IF(OR($A143="",$D143=""),"",IF(AND(EDATE($D143,Milestones!$AA$60)&lt;=AsOfDate,IF($R143=0,$X143,IF(AND($T143&lt;&gt;"",EDATE($D143,Milestones!$AA$60)&gt;=$T143),$W143,IF(AND($S143&lt;&gt;"",EDATE($D143,Milestones!$AA$60)&gt;=$S143),$V143,$U143)))=Milestones!$AB$60),UPPER(TEXT(EDATE($D143,Milestones!$AA$60),"dd mmm yy"))&amp;" "&amp;Milestones!$AB$60&amp;" "&amp;Milestones!$AC$60&amp;";  ","")&amp;IF(AND(EDATE($D143,Milestones!$AA$61)&lt;=AsOfDate,IF($R143=0,$X143,IF(AND($T143&lt;&gt;"",EDATE($D143,Milestones!$AA$61)&gt;=$T143),$W143,IF(AND($S143&lt;&gt;"",EDATE($D143,Milestones!$AA$61)&gt;=$S143),$V143,$U143)))=Milestones!$AB$61),UPPER(TEXT(EDATE($D143,Milestones!$AA$61),"dd mmm yy"))&amp;" "&amp;Milestones!$AB$61&amp;" "&amp;Milestones!$AC$61&amp;";  ","")&amp;IF(AND(EDATE($D143,Milestones!$AA$62)&lt;=AsOfDate,IF($R143=0,$X143,IF(AND($T143&lt;&gt;"",EDATE($D143,Milestones!$AA$62)&gt;=$T143),$W143,IF(AND($S143&lt;&gt;"",EDATE($D143,Milestones!$AA$62)&gt;=$S143),$V143,$U143)))=Milestones!$AB$62),UPPER(TEXT(EDATE($D143,Milestones!$AA$62),"dd mmm yy"))&amp;" "&amp;Milestones!$AB$62&amp;" "&amp;Milestones!$AC$62&amp;";  ","")&amp;IF(AND(EDATE($D143,Milestones!$AA$63)&lt;=AsOfDate,IF($R143=0,$X143,IF(AND($T143&lt;&gt;"",EDATE($D143,Milestones!$AA$63)&gt;=$T143),$W143,IF(AND($S143&lt;&gt;"",EDATE($D143,Milestones!$AA$63)&gt;=$S143),$V143,$U143)))=Milestones!$AB$63),UPPER(TEXT(EDATE($D143,Milestones!$AA$63),"dd mmm yy"))&amp;" "&amp;Milestones!$AB$63&amp;" "&amp;Milestones!$AC$63&amp;";  ","")&amp;IF(AND(EDATE($D143,Milestones!$AA$64)&lt;=AsOfDate,IF($R143=0,$X143,IF(AND($T143&lt;&gt;"",EDATE($D143,Milestones!$AA$64)&gt;=$T143),$W143,IF(AND($S143&lt;&gt;"",EDATE($D143,Milestones!$AA$64)&gt;=$S143),$V143,$U143)))=Milestones!$AB$64),UPPER(TEXT(EDATE($D143,Milestones!$AA$64),"dd mmm yy"))&amp;" "&amp;Milestones!$AB$64&amp;" "&amp;Milestones!$AC$64&amp;";  ","")&amp;IF(AND(EDATE($D143,Milestones!$AA$65)&lt;=AsOfDate,IF($R143=0,$X143,IF(AND($T143&lt;&gt;"",EDATE($D143,Milestones!$AA$65)&gt;=$T143),$W143,IF(AND($S143&lt;&gt;"",EDATE($D143,Milestones!$AA$65)&gt;=$S143),$V143,$U143)))=Milestones!$AB$65),UPPER(TEXT(EDATE($D143,Milestones!$AA$65),"dd mmm yy"))&amp;" "&amp;Milestones!$AB$65&amp;" "&amp;Milestones!$AC$65&amp;";  ","")&amp;IF(AND(EDATE($D143,Milestones!$AA$66)&lt;=AsOfDate,IF($R143=0,$X143,IF(AND($T143&lt;&gt;"",EDATE($D143,Milestones!$AA$66)&gt;=$T143),$W143,IF(AND($S143&lt;&gt;"",EDATE($D143,Milestones!$AA$66)&gt;=$S143),$V143,$U143)))=Milestones!$AB$66),UPPER(TEXT(EDATE($D143,Milestones!$AA$66),"dd mmm yy"))&amp;" "&amp;Milestones!$AB$66&amp;" "&amp;Milestones!$AC$66&amp;";  ","")&amp;IF(AND(EDATE($D143,Milestones!$AA$67)&lt;=AsOfDate,IF($R143=0,$X143,IF(AND($T143&lt;&gt;"",EDATE($D143,Milestones!$AA$67)&gt;=$T143),$W143,IF(AND($S143&lt;&gt;"",EDATE($D143,Milestones!$AA$67)&gt;=$S143),$V143,$U143)))=Milestones!$AB$67),UPPER(TEXT(EDATE($D143,Milestones!$AA$67),"dd mmm yy"))&amp;" "&amp;Milestones!$AB$67&amp;" "&amp;Milestones!$AC$67&amp;";  ","")&amp;IF(AND(EDATE($D143,Milestones!$AA$68)&lt;=AsOfDate,IF($R143=0,$X143,IF(AND($T143&lt;&gt;"",EDATE($D143,Milestones!$AA$68)&gt;=$T143),$W143,IF(AND($S143&lt;&gt;"",EDATE($D143,Milestones!$AA$68)&gt;=$S143),$V143,$U143)))=Milestones!$AB$68),UPPER(TEXT(EDATE($D143,Milestones!$AA$68),"dd mmm yy"))&amp;" "&amp;Milestones!$AB$68&amp;" "&amp;Milestones!$AC$68&amp;";  ","")&amp;IF(AND(EDATE($D143,Milestones!$AA$69)&lt;=AsOfDate,IF($R143=0,$X143,IF(AND($T143&lt;&gt;"",EDATE($D143,Milestones!$AA$69)&gt;=$T143),$W143,IF(AND($S143&lt;&gt;"",EDATE($D143,Milestones!$AA$69)&gt;=$S143),$V143,$U143)))=Milestones!$AB$69),UPPER(TEXT(EDATE($D143,Milestones!$AA$69),"dd mmm yy"))&amp;" "&amp;Milestones!$AB$69&amp;" "&amp;Milestones!$AC$69&amp;";  ","")&amp;IF(AND(EDATE($D143,Milestones!$AA$70)&lt;=AsOfDate,IF($R143=0,$X143,IF(AND($T143&lt;&gt;"",EDATE($D143,Milestones!$AA$70)&gt;=$T143),$W143,IF(AND($S143&lt;&gt;"",EDATE($D143,Milestones!$AA$70)&gt;=$S143),$V143,$U143)))=Milestones!$AB$70),UPPER(TEXT(EDATE($D143,Milestones!$AA$70),"dd mmm yy"))&amp;" "&amp;Milestones!$AB$70&amp;" "&amp;Milestones!$AC$70&amp;";  ","")&amp;IF(AND(EDATE($D143,Milestones!$AA$71)&lt;=AsOfDate,IF($R143=0,$X143,IF(AND($T143&lt;&gt;"",EDATE($D143,Milestones!$AA$71)&gt;=$T143),$W143,IF(AND($S143&lt;&gt;"",EDATE($D143,Milestones!$AA$71)&gt;=$S143),$V143,$U143)))=Milestones!$AB$71),UPPER(TEXT(EDATE($D143,Milestones!$AA$71),"dd mmm yy"))&amp;" "&amp;Milestones!$AB$71&amp;" "&amp;Milestones!$AC$71&amp;";  ","")&amp;IF(AND(EDATE($D143,Milestones!$AA$72)&lt;=AsOfDate,IF($R143=0,$X143,IF(AND($T143&lt;&gt;"",EDATE($D143,Milestones!$AA$72)&gt;=$T143),$W143,IF(AND($S143&lt;&gt;"",EDATE($D143,Milestones!$AA$72)&gt;=$S143),$V143,$U143)))=Milestones!$AB$72),UPPER(TEXT(EDATE($D143,Milestones!$AA$72),"dd mmm yy"))&amp;" "&amp;Milestones!$AB$72&amp;" "&amp;Milestones!$AC$72&amp;";  ","")&amp;IF(AND(EDATE($D143,Milestones!$AA$73)&lt;=AsOfDate,IF($R143=0,$X143,IF(AND($T143&lt;&gt;"",EDATE($D143,Milestones!$AA$73)&gt;=$T143),$W143,IF(AND($S143&lt;&gt;"",EDATE($D143,Milestones!$AA$73)&gt;=$S143),$V143,$U143)))=Milestones!$AB$73),UPPER(TEXT(EDATE($D143,Milestones!$AA$73),"dd mmm yy"))&amp;" "&amp;Milestones!$AB$73&amp;" "&amp;Milestones!$AC$73&amp;";  ","")&amp;IF(AND(EDATE($D143,Milestones!$AA$74)&lt;=AsOfDate,IF($R143=0,$X143,IF(AND($T143&lt;&gt;"",EDATE($D143,Milestones!$AA$74)&gt;=$T143),$W143,IF(AND($S143&lt;&gt;"",EDATE($D143,Milestones!$AA$74)&gt;=$S143),$V143,$U143)))=Milestones!$AB$74),UPPER(TEXT(EDATE($D143,Milestones!$AA$74),"dd mmm yy"))&amp;" "&amp;Milestones!$AB$74&amp;" "&amp;Milestones!$AC$74&amp;";  ","")&amp;IF(AND(EDATE($D143,Milestones!$AA$75)&lt;=AsOfDate,IF($R143=0,$X143,IF(AND($T143&lt;&gt;"",EDATE($D143,Milestones!$AA$75)&gt;=$T143),$W143,IF(AND($S143&lt;&gt;"",EDATE($D143,Milestones!$AA$75)&gt;=$S143),$V143,$U143)))=Milestones!$AB$75),UPPER(TEXT(EDATE($D143,Milestones!$AA$75),"dd mmm yy"))&amp;" "&amp;Milestones!$AB$75&amp;" "&amp;Milestones!$AC$75&amp;";  ","")&amp;IF(AND(EDATE($D143,Milestones!$AA$76)&lt;=AsOfDate,IF($R143=0,$X143,IF(AND($T143&lt;&gt;"",EDATE($D143,Milestones!$AA$76)&gt;=$T143),$W143,IF(AND($S143&lt;&gt;"",EDATE($D143,Milestones!$AA$76)&gt;=$S143),$V143,$U143)))=Milestones!$AB$76),UPPER(TEXT(EDATE($D143,Milestones!$AA$76),"dd mmm yy"))&amp;" "&amp;Milestones!$AB$76&amp;" "&amp;Milestones!$AC$76&amp;";  ","")&amp;IF(AND(EDATE($D143,Milestones!$AA$77)&lt;=AsOfDate,IF($R143=0,$X143,IF(AND($T143&lt;&gt;"",EDATE($D143,Milestones!$AA$77)&gt;=$T143),$W143,IF(AND($S143&lt;&gt;"",EDATE($D143,Milestones!$AA$77)&gt;=$S143),$V143,$U143)))=Milestones!$AB$77),UPPER(TEXT(EDATE($D143,Milestones!$AA$77),"dd mmm yy"))&amp;" "&amp;Milestones!$AB$77&amp;" "&amp;Milestones!$AC$77&amp;";  ","")&amp;IF(AND(EDATE($D143,Milestones!$AA$78)&lt;=AsOfDate,IF($R143=0,$X143,IF(AND($T143&lt;&gt;"",EDATE($D143,Milestones!$AA$78)&gt;=$T143),$W143,IF(AND($S143&lt;&gt;"",EDATE($D143,Milestones!$AA$78)&gt;=$S143),$V143,$U143)))=Milestones!$AB$78),UPPER(TEXT(EDATE($D143,Milestones!$AA$78),"dd mmm yy"))&amp;" "&amp;Milestones!$AB$78&amp;" "&amp;Milestones!$AC$78&amp;";  ","")&amp;IF(AND(EDATE($D143,Milestones!$AA$79)&lt;=AsOfDate,IF($R143=0,$X143,IF(AND($T143&lt;&gt;"",EDATE($D143,Milestones!$AA$79)&gt;=$T143),$W143,IF(AND($S143&lt;&gt;"",EDATE($D143,Milestones!$AA$79)&gt;=$S143),$V143,$U143)))=Milestones!$AB$79),UPPER(TEXT(EDATE($D143,Milestones!$AA$79),"dd mmm yy"))&amp;" "&amp;Milestones!$AB$79&amp;" "&amp;Milestones!$AC$79&amp;";  ",""))</f>
        <v/>
      </c>
      <c r="L143" s="0" t="str">
        <f aca="false">IF(OR($A143="",$D143=""),"",IF(AND(EDATE($D143,Milestones!$AA$80)&lt;=AsOfDate,IF($R143=0,$X143,IF(AND($T143&lt;&gt;"",EDATE($D143,Milestones!$AA$80)&gt;=$T143),$W143,IF(AND($S143&lt;&gt;"",EDATE($D143,Milestones!$AA$80)&gt;=$S143),$V143,$U143)))=Milestones!$AB$80),UPPER(TEXT(EDATE($D143,Milestones!$AA$80),"dd mmm yy"))&amp;" "&amp;Milestones!$AB$80&amp;" "&amp;Milestones!$AC$80&amp;";  ","")&amp;IF(AND(EDATE($D143,Milestones!$AA$81)&lt;=AsOfDate,IF($R143=0,$X143,IF(AND($T143&lt;&gt;"",EDATE($D143,Milestones!$AA$81)&gt;=$T143),$W143,IF(AND($S143&lt;&gt;"",EDATE($D143,Milestones!$AA$81)&gt;=$S143),$V143,$U143)))=Milestones!$AB$81),UPPER(TEXT(EDATE($D143,Milestones!$AA$81),"dd mmm yy"))&amp;" "&amp;Milestones!$AB$81&amp;" "&amp;Milestones!$AC$81&amp;";  ","")&amp;IF(AND(EDATE($D143,Milestones!$AA$82)&lt;=AsOfDate,IF($R143=0,$X143,IF(AND($T143&lt;&gt;"",EDATE($D143,Milestones!$AA$82)&gt;=$T143),$W143,IF(AND($S143&lt;&gt;"",EDATE($D143,Milestones!$AA$82)&gt;=$S143),$V143,$U143)))=Milestones!$AB$82),UPPER(TEXT(EDATE($D143,Milestones!$AA$82),"dd mmm yy"))&amp;" "&amp;Milestones!$AB$82&amp;" "&amp;Milestones!$AC$82&amp;";  ","")&amp;IF(AND(EDATE($D143,Milestones!$AA$83)&lt;=AsOfDate,IF($R143=0,$X143,IF(AND($T143&lt;&gt;"",EDATE($D143,Milestones!$AA$83)&gt;=$T143),$W143,IF(AND($S143&lt;&gt;"",EDATE($D143,Milestones!$AA$83)&gt;=$S143),$V143,$U143)))=Milestones!$AB$83),UPPER(TEXT(EDATE($D143,Milestones!$AA$83),"dd mmm yy"))&amp;" "&amp;Milestones!$AB$83&amp;" "&amp;Milestones!$AC$83&amp;";  ","")&amp;IF(AND(EDATE($D143,Milestones!$AA$84)&lt;=AsOfDate,IF($R143=0,$X143,IF(AND($T143&lt;&gt;"",EDATE($D143,Milestones!$AA$84)&gt;=$T143),$W143,IF(AND($S143&lt;&gt;"",EDATE($D143,Milestones!$AA$84)&gt;=$S143),$V143,$U143)))=Milestones!$AB$84),UPPER(TEXT(EDATE($D143,Milestones!$AA$84),"dd mmm yy"))&amp;" "&amp;Milestones!$AB$84&amp;" "&amp;Milestones!$AC$84&amp;";  ","")&amp;IF(AND(EDATE($D143,Milestones!$AA$85)&lt;=AsOfDate,IF($R143=0,$X143,IF(AND($T143&lt;&gt;"",EDATE($D143,Milestones!$AA$85)&gt;=$T143),$W143,IF(AND($S143&lt;&gt;"",EDATE($D143,Milestones!$AA$85)&gt;=$S143),$V143,$U143)))=Milestones!$AB$85),UPPER(TEXT(EDATE($D143,Milestones!$AA$85),"dd mmm yy"))&amp;" "&amp;Milestones!$AB$85&amp;" "&amp;Milestones!$AC$85&amp;";  ","")&amp;IF(AND(EDATE($D143,Milestones!$AA$86)&lt;=AsOfDate,IF($R143=0,$X143,IF(AND($T143&lt;&gt;"",EDATE($D143,Milestones!$AA$86)&gt;=$T143),$W143,IF(AND($S143&lt;&gt;"",EDATE($D143,Milestones!$AA$86)&gt;=$S143),$V143,$U143)))=Milestones!$AB$86),UPPER(TEXT(EDATE($D143,Milestones!$AA$86),"dd mmm yy"))&amp;" "&amp;Milestones!$AB$86&amp;" "&amp;Milestones!$AC$86&amp;";  ","")&amp;IF(AND(EDATE($D143,Milestones!$AA$87)&lt;=AsOfDate,IF($R143=0,$X143,IF(AND($T143&lt;&gt;"",EDATE($D143,Milestones!$AA$87)&gt;=$T143),$W143,IF(AND($S143&lt;&gt;"",EDATE($D143,Milestones!$AA$87)&gt;=$S143),$V143,$U143)))=Milestones!$AB$87),UPPER(TEXT(EDATE($D143,Milestones!$AA$87),"dd mmm yy"))&amp;" "&amp;Milestones!$AB$87&amp;" "&amp;Milestones!$AC$87&amp;";  ","")&amp;IF(AND(EDATE($D143,Milestones!$AA$88)&lt;=AsOfDate,IF($R143=0,$X143,IF(AND($T143&lt;&gt;"",EDATE($D143,Milestones!$AA$88)&gt;=$T143),$W143,IF(AND($S143&lt;&gt;"",EDATE($D143,Milestones!$AA$88)&gt;=$S143),$V143,$U143)))=Milestones!$AB$88),UPPER(TEXT(EDATE($D143,Milestones!$AA$88),"dd mmm yy"))&amp;" "&amp;Milestones!$AB$88&amp;" "&amp;Milestones!$AC$88&amp;";  ","")&amp;IF(AND(EDATE($D143,Milestones!$AA$89)&lt;=AsOfDate,IF($R143=0,$X143,IF(AND($T143&lt;&gt;"",EDATE($D143,Milestones!$AA$89)&gt;=$T143),$W143,IF(AND($S143&lt;&gt;"",EDATE($D143,Milestones!$AA$89)&gt;=$S143),$V143,$U143)))=Milestones!$AB$89),UPPER(TEXT(EDATE($D143,Milestones!$AA$89),"dd mmm yy"))&amp;" "&amp;Milestones!$AB$89&amp;" "&amp;Milestones!$AC$89&amp;";  ","")&amp;IF(AND(EDATE($D143,Milestones!$AA$90)&lt;=AsOfDate,IF($R143=0,$X143,IF(AND($T143&lt;&gt;"",EDATE($D143,Milestones!$AA$90)&gt;=$T143),$W143,IF(AND($S143&lt;&gt;"",EDATE($D143,Milestones!$AA$90)&gt;=$S143),$V143,$U143)))=Milestones!$AB$90),UPPER(TEXT(EDATE($D143,Milestones!$AA$90),"dd mmm yy"))&amp;" "&amp;Milestones!$AB$90&amp;" "&amp;Milestones!$AC$90&amp;";  ","")&amp;IF(AND(EDATE($D143,Milestones!$AA$91)&lt;=AsOfDate,IF($R143=0,$X143,IF(AND($T143&lt;&gt;"",EDATE($D143,Milestones!$AA$91)&gt;=$T143),$W143,IF(AND($S143&lt;&gt;"",EDATE($D143,Milestones!$AA$91)&gt;=$S143),$V143,$U143)))=Milestones!$AB$91),UPPER(TEXT(EDATE($D143,Milestones!$AA$91),"dd mmm yy"))&amp;" "&amp;Milestones!$AB$91&amp;" "&amp;Milestones!$AC$91&amp;";  ","")&amp;IF(AND(EDATE($D143,Milestones!$AA$92)&lt;=AsOfDate,IF($R143=0,$X143,IF(AND($T143&lt;&gt;"",EDATE($D143,Milestones!$AA$92)&gt;=$T143),$W143,IF(AND($S143&lt;&gt;"",EDATE($D143,Milestones!$AA$92)&gt;=$S143),$V143,$U143)))=Milestones!$AB$92),UPPER(TEXT(EDATE($D143,Milestones!$AA$92),"dd mmm yy"))&amp;" "&amp;Milestones!$AB$92&amp;" "&amp;Milestones!$AC$92&amp;";  ","")&amp;IF(AND(EDATE($D143,Milestones!$AA$93)&lt;=AsOfDate,IF($R143=0,$X143,IF(AND($T143&lt;&gt;"",EDATE($D143,Milestones!$AA$93)&gt;=$T143),$W143,IF(AND($S143&lt;&gt;"",EDATE($D143,Milestones!$AA$93)&gt;=$S143),$V143,$U143)))=Milestones!$AB$93),UPPER(TEXT(EDATE($D143,Milestones!$AA$93),"dd mmm yy"))&amp;" "&amp;Milestones!$AB$93&amp;" "&amp;Milestones!$AC$93&amp;";  ","")&amp;IF(AND(EDATE($D143,Milestones!$AA$94)&lt;=AsOfDate,IF($R143=0,$X143,IF(AND($T143&lt;&gt;"",EDATE($D143,Milestones!$AA$94)&gt;=$T143),$W143,IF(AND($S143&lt;&gt;"",EDATE($D143,Milestones!$AA$94)&gt;=$S143),$V143,$U143)))=Milestones!$AB$94),UPPER(TEXT(EDATE($D143,Milestones!$AA$94),"dd mmm yy"))&amp;" "&amp;Milestones!$AB$94&amp;" "&amp;Milestones!$AC$94&amp;";  ","")&amp;IF(AND(EDATE($D143,Milestones!$AA$95)&lt;=AsOfDate,IF($R143=0,$X143,IF(AND($T143&lt;&gt;"",EDATE($D143,Milestones!$AA$95)&gt;=$T143),$W143,IF(AND($S143&lt;&gt;"",EDATE($D143,Milestones!$AA$95)&gt;=$S143),$V143,$U143)))=Milestones!$AB$95),UPPER(TEXT(EDATE($D143,Milestones!$AA$95),"dd mmm yy"))&amp;" "&amp;Milestones!$AB$95&amp;" "&amp;Milestones!$AC$95&amp;";  ","")&amp;IF(AND(EDATE($D143,Milestones!$AA$96)&lt;=AsOfDate,IF($R143=0,$X143,IF(AND($T143&lt;&gt;"",EDATE($D143,Milestones!$AA$96)&gt;=$T143),$W143,IF(AND($S143&lt;&gt;"",EDATE($D143,Milestones!$AA$96)&gt;=$S143),$V143,$U143)))=Milestones!$AB$96),UPPER(TEXT(EDATE($D143,Milestones!$AA$96),"dd mmm yy"))&amp;" "&amp;Milestones!$AB$96&amp;" "&amp;Milestones!$AC$96&amp;";  ","")&amp;IF(AND(EDATE($D143,Milestones!$AA$97)&lt;=AsOfDate,IF($R143=0,$X143,IF(AND($T143&lt;&gt;"",EDATE($D143,Milestones!$AA$97)&gt;=$T143),$W143,IF(AND($S143&lt;&gt;"",EDATE($D143,Milestones!$AA$97)&gt;=$S143),$V143,$U143)))=Milestones!$AB$97),UPPER(TEXT(EDATE($D143,Milestones!$AA$97),"dd mmm yy"))&amp;" "&amp;Milestones!$AB$97&amp;" "&amp;Milestones!$AC$97&amp;";  ","")&amp;IF(AND(EDATE($D143,Milestones!$AA$98)&lt;=AsOfDate,IF($R143=0,$X143,IF(AND($T143&lt;&gt;"",EDATE($D143,Milestones!$AA$98)&gt;=$T143),$W143,IF(AND($S143&lt;&gt;"",EDATE($D143,Milestones!$AA$98)&gt;=$S143),$V143,$U143)))=Milestones!$AB$98),UPPER(TEXT(EDATE($D143,Milestones!$AA$98),"dd mmm yy"))&amp;" "&amp;Milestones!$AB$98&amp;" "&amp;Milestones!$AC$98&amp;";  ","")&amp;IF(AND(EDATE($D143,Milestones!$AA$99)&lt;=AsOfDate,IF($R143=0,$X143,IF(AND($T143&lt;&gt;"",EDATE($D143,Milestones!$AA$99)&gt;=$T143),$W143,IF(AND($S143&lt;&gt;"",EDATE($D143,Milestones!$AA$99)&gt;=$S143),$V143,$U143)))=Milestones!$AB$99),UPPER(TEXT(EDATE($D143,Milestones!$AA$99),"dd mmm yy"))&amp;" "&amp;Milestones!$AB$99&amp;" "&amp;Milestones!$AC$99&amp;";  ",""))</f>
        <v/>
      </c>
      <c r="M143" s="0" t="str">
        <f aca="false">IF(OR($A143="",$D143=""),"",IF(AND(EDATE($D143,Milestones!$AA$100)&lt;=AsOfDate,IF($R143=0,$X143,IF(AND($T143&lt;&gt;"",EDATE($D143,Milestones!$AA$100)&gt;=$T143),$W143,IF(AND($S143&lt;&gt;"",EDATE($D143,Milestones!$AA$100)&gt;=$S143),$V143,$U143)))=Milestones!$AB$100),UPPER(TEXT(EDATE($D143,Milestones!$AA$100),"dd mmm yy"))&amp;" "&amp;Milestones!$AB$100&amp;" "&amp;Milestones!$AC$100&amp;";  ","")&amp;IF(AND(EDATE($D143,Milestones!$AA$101)&lt;=AsOfDate,IF($R143=0,$X143,IF(AND($T143&lt;&gt;"",EDATE($D143,Milestones!$AA$101)&gt;=$T143),$W143,IF(AND($S143&lt;&gt;"",EDATE($D143,Milestones!$AA$101)&gt;=$S143),$V143,$U143)))=Milestones!$AB$101),UPPER(TEXT(EDATE($D143,Milestones!$AA$101),"dd mmm yy"))&amp;" "&amp;Milestones!$AB$101&amp;" "&amp;Milestones!$AC$101&amp;";  ","")&amp;IF(AND(EDATE($D143,Milestones!$AA$102)&lt;=AsOfDate,IF($R143=0,$X143,IF(AND($T143&lt;&gt;"",EDATE($D143,Milestones!$AA$102)&gt;=$T143),$W143,IF(AND($S143&lt;&gt;"",EDATE($D143,Milestones!$AA$102)&gt;=$S143),$V143,$U143)))=Milestones!$AB$102),UPPER(TEXT(EDATE($D143,Milestones!$AA$102),"dd mmm yy"))&amp;" "&amp;Milestones!$AB$102&amp;" "&amp;Milestones!$AC$102&amp;";  ","")&amp;IF(AND(EDATE($D143,Milestones!$AA$103)&lt;=AsOfDate,IF($R143=0,$X143,IF(AND($T143&lt;&gt;"",EDATE($D143,Milestones!$AA$103)&gt;=$T143),$W143,IF(AND($S143&lt;&gt;"",EDATE($D143,Milestones!$AA$103)&gt;=$S143),$V143,$U143)))=Milestones!$AB$103),UPPER(TEXT(EDATE($D143,Milestones!$AA$103),"dd mmm yy"))&amp;" "&amp;Milestones!$AB$103&amp;" "&amp;Milestones!$AC$103&amp;";  ","")&amp;IF(AND(EDATE($D143,Milestones!$AA$104)&lt;=AsOfDate,IF($R143=0,$X143,IF(AND($T143&lt;&gt;"",EDATE($D143,Milestones!$AA$104)&gt;=$T143),$W143,IF(AND($S143&lt;&gt;"",EDATE($D143,Milestones!$AA$104)&gt;=$S143),$V143,$U143)))=Milestones!$AB$104),UPPER(TEXT(EDATE($D143,Milestones!$AA$104),"dd mmm yy"))&amp;" "&amp;Milestones!$AB$104&amp;" "&amp;Milestones!$AC$104&amp;";  ","")&amp;IF(AND(EDATE($D143,Milestones!$AA$105)&lt;=AsOfDate,IF($R143=0,$X143,IF(AND($T143&lt;&gt;"",EDATE($D143,Milestones!$AA$105)&gt;=$T143),$W143,IF(AND($S143&lt;&gt;"",EDATE($D143,Milestones!$AA$105)&gt;=$S143),$V143,$U143)))=Milestones!$AB$105),UPPER(TEXT(EDATE($D143,Milestones!$AA$105),"dd mmm yy"))&amp;" "&amp;Milestones!$AB$105&amp;" "&amp;Milestones!$AC$105&amp;";  ","")&amp;IF(AND(EDATE($D143,Milestones!$AA$106)&lt;=AsOfDate,IF($R143=0,$X143,IF(AND($T143&lt;&gt;"",EDATE($D143,Milestones!$AA$106)&gt;=$T143),$W143,IF(AND($S143&lt;&gt;"",EDATE($D143,Milestones!$AA$106)&gt;=$S143),$V143,$U143)))=Milestones!$AB$106),UPPER(TEXT(EDATE($D143,Milestones!$AA$106),"dd mmm yy"))&amp;" "&amp;Milestones!$AB$106&amp;" "&amp;Milestones!$AC$106&amp;";  ","")&amp;IF(AND(EDATE($D143,Milestones!$AA$107)&lt;=AsOfDate,IF($R143=0,$X143,IF(AND($T143&lt;&gt;"",EDATE($D143,Milestones!$AA$107)&gt;=$T143),$W143,IF(AND($S143&lt;&gt;"",EDATE($D143,Milestones!$AA$107)&gt;=$S143),$V143,$U143)))=Milestones!$AB$107),UPPER(TEXT(EDATE($D143,Milestones!$AA$107),"dd mmm yy"))&amp;" "&amp;Milestones!$AB$107&amp;" "&amp;Milestones!$AC$107&amp;";  ","")&amp;IF(AND(EDATE($D143,Milestones!$AA$108)&lt;=AsOfDate,IF($R143=0,$X143,IF(AND($T143&lt;&gt;"",EDATE($D143,Milestones!$AA$108)&gt;=$T143),$W143,IF(AND($S143&lt;&gt;"",EDATE($D143,Milestones!$AA$108)&gt;=$S143),$V143,$U143)))=Milestones!$AB$108),UPPER(TEXT(EDATE($D143,Milestones!$AA$108),"dd mmm yy"))&amp;" "&amp;Milestones!$AB$108&amp;" "&amp;Milestones!$AC$108&amp;";  ","")&amp;IF(AND(EDATE($D143,Milestones!$AA$109)&lt;=AsOfDate,IF($R143=0,$X143,IF(AND($T143&lt;&gt;"",EDATE($D143,Milestones!$AA$109)&gt;=$T143),$W143,IF(AND($S143&lt;&gt;"",EDATE($D143,Milestones!$AA$109)&gt;=$S143),$V143,$U143)))=Milestones!$AB$109),UPPER(TEXT(EDATE($D143,Milestones!$AA$109),"dd mmm yy"))&amp;" "&amp;Milestones!$AB$109&amp;" "&amp;Milestones!$AC$109&amp;";  ","")&amp;IF(AND(EDATE($D143,Milestones!$AA$110)&lt;=AsOfDate,IF($R143=0,$X143,IF(AND($T143&lt;&gt;"",EDATE($D143,Milestones!$AA$110)&gt;=$T143),$W143,IF(AND($S143&lt;&gt;"",EDATE($D143,Milestones!$AA$110)&gt;=$S143),$V143,$U143)))=Milestones!$AB$110),UPPER(TEXT(EDATE($D143,Milestones!$AA$110),"dd mmm yy"))&amp;" "&amp;Milestones!$AB$110&amp;" "&amp;Milestones!$AC$110&amp;";  ","")&amp;IF(AND(EDATE($D143,Milestones!$AA$111)&lt;=AsOfDate,IF($R143=0,$X143,IF(AND($T143&lt;&gt;"",EDATE($D143,Milestones!$AA$111)&gt;=$T143),$W143,IF(AND($S143&lt;&gt;"",EDATE($D143,Milestones!$AA$111)&gt;=$S143),$V143,$U143)))=Milestones!$AB$111),UPPER(TEXT(EDATE($D143,Milestones!$AA$111),"dd mmm yy"))&amp;" "&amp;Milestones!$AB$111&amp;" "&amp;Milestones!$AC$111&amp;";  ","")&amp;IF(AND(EDATE($D143,Milestones!$AA$112)&lt;=AsOfDate,IF($R143=0,$X143,IF(AND($T143&lt;&gt;"",EDATE($D143,Milestones!$AA$112)&gt;=$T143),$W143,IF(AND($S143&lt;&gt;"",EDATE($D143,Milestones!$AA$112)&gt;=$S143),$V143,$U143)))=Milestones!$AB$112),UPPER(TEXT(EDATE($D143,Milestones!$AA$112),"dd mmm yy"))&amp;" "&amp;Milestones!$AB$112&amp;" "&amp;Milestones!$AC$112&amp;";  ","")&amp;IF(AND(EDATE($D143,Milestones!$AA$113)&lt;=AsOfDate,IF($R143=0,$X143,IF(AND($T143&lt;&gt;"",EDATE($D143,Milestones!$AA$113)&gt;=$T143),$W143,IF(AND($S143&lt;&gt;"",EDATE($D143,Milestones!$AA$113)&gt;=$S143),$V143,$U143)))=Milestones!$AB$113),UPPER(TEXT(EDATE($D143,Milestones!$AA$113),"dd mmm yy"))&amp;" "&amp;Milestones!$AB$113&amp;" "&amp;Milestones!$AC$113&amp;";  ","")&amp;IF(AND(EDATE($D143,Milestones!$AA$114)&lt;=AsOfDate,IF($R143=0,$X143,IF(AND($T143&lt;&gt;"",EDATE($D143,Milestones!$AA$114)&gt;=$T143),$W143,IF(AND($S143&lt;&gt;"",EDATE($D143,Milestones!$AA$114)&gt;=$S143),$V143,$U143)))=Milestones!$AB$114),UPPER(TEXT(EDATE($D143,Milestones!$AA$114),"dd mmm yy"))&amp;" "&amp;Milestones!$AB$114&amp;" "&amp;Milestones!$AC$114&amp;";  ","")&amp;IF(AND(EDATE($D143,Milestones!$AA$115)&lt;=AsOfDate,IF($R143=0,$X143,IF(AND($T143&lt;&gt;"",EDATE($D143,Milestones!$AA$115)&gt;=$T143),$W143,IF(AND($S143&lt;&gt;"",EDATE($D143,Milestones!$AA$115)&gt;=$S143),$V143,$U143)))=Milestones!$AB$115),UPPER(TEXT(EDATE($D143,Milestones!$AA$115),"dd mmm yy"))&amp;" "&amp;Milestones!$AB$115&amp;" "&amp;Milestones!$AC$115&amp;";  ","")&amp;IF(AND(EDATE($D143,Milestones!$AA$116)&lt;=AsOfDate,IF($R143=0,$X143,IF(AND($T143&lt;&gt;"",EDATE($D143,Milestones!$AA$116)&gt;=$T143),$W143,IF(AND($S143&lt;&gt;"",EDATE($D143,Milestones!$AA$116)&gt;=$S143),$V143,$U143)))=Milestones!$AB$116),UPPER(TEXT(EDATE($D143,Milestones!$AA$116),"dd mmm yy"))&amp;" "&amp;Milestones!$AB$116&amp;" "&amp;Milestones!$AC$116&amp;";  ","")&amp;IF(AND(EDATE($D143,Milestones!$AA$117)&lt;=AsOfDate,IF($R143=0,$X143,IF(AND($T143&lt;&gt;"",EDATE($D143,Milestones!$AA$117)&gt;=$T143),$W143,IF(AND($S143&lt;&gt;"",EDATE($D143,Milestones!$AA$117)&gt;=$S143),$V143,$U143)))=Milestones!$AB$117),UPPER(TEXT(EDATE($D143,Milestones!$AA$117),"dd mmm yy"))&amp;" "&amp;Milestones!$AB$117&amp;" "&amp;Milestones!$AC$117&amp;";  ","")&amp;IF(AND(EDATE($D143,Milestones!$AA$118)&lt;=AsOfDate,IF($R143=0,$X143,IF(AND($T143&lt;&gt;"",EDATE($D143,Milestones!$AA$118)&gt;=$T143),$W143,IF(AND($S143&lt;&gt;"",EDATE($D143,Milestones!$AA$118)&gt;=$S143),$V143,$U143)))=Milestones!$AB$118),UPPER(TEXT(EDATE($D143,Milestones!$AA$118),"dd mmm yy"))&amp;" "&amp;Milestones!$AB$118&amp;" "&amp;Milestones!$AC$118&amp;";  ","")&amp;IF(AND(EDATE($D143,Milestones!$AA$119)&lt;=AsOfDate,IF($R143=0,$X143,IF(AND($T143&lt;&gt;"",EDATE($D143,Milestones!$AA$119)&gt;=$T143),$W143,IF(AND($S143&lt;&gt;"",EDATE($D143,Milestones!$AA$119)&gt;=$S143),$V143,$U143)))=Milestones!$AB$119),UPPER(TEXT(EDATE($D143,Milestones!$AA$119),"dd mmm yy"))&amp;" "&amp;Milestones!$AB$119&amp;" "&amp;Milestones!$AC$119&amp;";  ",""))</f>
        <v/>
      </c>
      <c r="N143" s="0" t="str">
        <f aca="false">IF(OR($A143="",$D143=""),"",IF(AND(EDATE($D143,Milestones!$AA$120)&lt;=AsOfDate,IF($R143=0,$X143,IF(AND($T143&lt;&gt;"",EDATE($D143,Milestones!$AA$120)&gt;=$T143),$W143,IF(AND($S143&lt;&gt;"",EDATE($D143,Milestones!$AA$120)&gt;=$S143),$V143,$U143)))=Milestones!$AB$120),UPPER(TEXT(EDATE($D143,Milestones!$AA$120),"dd mmm yy"))&amp;" "&amp;Milestones!$AB$120&amp;" "&amp;Milestones!$AC$120&amp;";  ","")&amp;IF(AND(EDATE($D143,Milestones!$AA$121)&lt;=AsOfDate,IF($R143=0,$X143,IF(AND($T143&lt;&gt;"",EDATE($D143,Milestones!$AA$121)&gt;=$T143),$W143,IF(AND($S143&lt;&gt;"",EDATE($D143,Milestones!$AA$121)&gt;=$S143),$V143,$U143)))=Milestones!$AB$121),UPPER(TEXT(EDATE($D143,Milestones!$AA$121),"dd mmm yy"))&amp;" "&amp;Milestones!$AB$121&amp;" "&amp;Milestones!$AC$121&amp;";  ","")&amp;IF(AND(EDATE($D143,Milestones!$AA$122)&lt;=AsOfDate,IF($R143=0,$X143,IF(AND($T143&lt;&gt;"",EDATE($D143,Milestones!$AA$122)&gt;=$T143),$W143,IF(AND($S143&lt;&gt;"",EDATE($D143,Milestones!$AA$122)&gt;=$S143),$V143,$U143)))=Milestones!$AB$122),UPPER(TEXT(EDATE($D143,Milestones!$AA$122),"dd mmm yy"))&amp;" "&amp;Milestones!$AB$122&amp;" "&amp;Milestones!$AC$122&amp;";  ","")&amp;IF(AND(EDATE($D143,Milestones!$AA$123)&lt;=AsOfDate,IF($R143=0,$X143,IF(AND($T143&lt;&gt;"",EDATE($D143,Milestones!$AA$123)&gt;=$T143),$W143,IF(AND($S143&lt;&gt;"",EDATE($D143,Milestones!$AA$123)&gt;=$S143),$V143,$U143)))=Milestones!$AB$123),UPPER(TEXT(EDATE($D143,Milestones!$AA$123),"dd mmm yy"))&amp;" "&amp;Milestones!$AB$123&amp;" "&amp;Milestones!$AC$123&amp;";  ","")&amp;IF(AND(EDATE($D143,Milestones!$AA$124)&lt;=AsOfDate,IF($R143=0,$X143,IF(AND($T143&lt;&gt;"",EDATE($D143,Milestones!$AA$124)&gt;=$T143),$W143,IF(AND($S143&lt;&gt;"",EDATE($D143,Milestones!$AA$124)&gt;=$S143),$V143,$U143)))=Milestones!$AB$124),UPPER(TEXT(EDATE($D143,Milestones!$AA$124),"dd mmm yy"))&amp;" "&amp;Milestones!$AB$124&amp;" "&amp;Milestones!$AC$124&amp;";  ","")&amp;IF(AND(EDATE($D143,Milestones!$AA$125)&lt;=AsOfDate,IF($R143=0,$X143,IF(AND($T143&lt;&gt;"",EDATE($D143,Milestones!$AA$125)&gt;=$T143),$W143,IF(AND($S143&lt;&gt;"",EDATE($D143,Milestones!$AA$125)&gt;=$S143),$V143,$U143)))=Milestones!$AB$125),UPPER(TEXT(EDATE($D143,Milestones!$AA$125),"dd mmm yy"))&amp;" "&amp;Milestones!$AB$125&amp;" "&amp;Milestones!$AC$125&amp;";  ","")&amp;IF(AND(EDATE($D143,Milestones!$AA$126)&lt;=AsOfDate,IF($R143=0,$X143,IF(AND($T143&lt;&gt;"",EDATE($D143,Milestones!$AA$126)&gt;=$T143),$W143,IF(AND($S143&lt;&gt;"",EDATE($D143,Milestones!$AA$126)&gt;=$S143),$V143,$U143)))=Milestones!$AB$126),UPPER(TEXT(EDATE($D143,Milestones!$AA$126),"dd mmm yy"))&amp;" "&amp;Milestones!$AB$126&amp;" "&amp;Milestones!$AC$126&amp;";  ","")&amp;IF(AND(EDATE($D143,Milestones!$AA$127)&lt;=AsOfDate,IF($R143=0,$X143,IF(AND($T143&lt;&gt;"",EDATE($D143,Milestones!$AA$127)&gt;=$T143),$W143,IF(AND($S143&lt;&gt;"",EDATE($D143,Milestones!$AA$127)&gt;=$S143),$V143,$U143)))=Milestones!$AB$127),UPPER(TEXT(EDATE($D143,Milestones!$AA$127),"dd mmm yy"))&amp;" "&amp;Milestones!$AB$127&amp;" "&amp;Milestones!$AC$127&amp;";  ","")&amp;IF(AND(EDATE($D143,Milestones!$AA$128)&lt;=AsOfDate,IF($R143=0,$X143,IF(AND($T143&lt;&gt;"",EDATE($D143,Milestones!$AA$128)&gt;=$T143),$W143,IF(AND($S143&lt;&gt;"",EDATE($D143,Milestones!$AA$128)&gt;=$S143),$V143,$U143)))=Milestones!$AB$128),UPPER(TEXT(EDATE($D143,Milestones!$AA$128),"dd mmm yy"))&amp;" "&amp;Milestones!$AB$128&amp;" "&amp;Milestones!$AC$128&amp;";  ","")&amp;IF(AND(EDATE($D143,Milestones!$AA$129)&lt;=AsOfDate,IF($R143=0,$X143,IF(AND($T143&lt;&gt;"",EDATE($D143,Milestones!$AA$129)&gt;=$T143),$W143,IF(AND($S143&lt;&gt;"",EDATE($D143,Milestones!$AA$129)&gt;=$S143),$V143,$U143)))=Milestones!$AB$129),UPPER(TEXT(EDATE($D143,Milestones!$AA$129),"dd mmm yy"))&amp;" "&amp;Milestones!$AB$129&amp;" "&amp;Milestones!$AC$129&amp;";  ","")&amp;IF(AND(EDATE($D143,Milestones!$AA$130)&lt;=AsOfDate,IF($R143=0,$X143,IF(AND($T143&lt;&gt;"",EDATE($D143,Milestones!$AA$130)&gt;=$T143),$W143,IF(AND($S143&lt;&gt;"",EDATE($D143,Milestones!$AA$130)&gt;=$S143),$V143,$U143)))=Milestones!$AB$130),UPPER(TEXT(EDATE($D143,Milestones!$AA$130),"dd mmm yy"))&amp;" "&amp;Milestones!$AB$130&amp;" "&amp;Milestones!$AC$130&amp;";  ","")&amp;IF(AND(EDATE($D143,Milestones!$AA$131)&lt;=AsOfDate,IF($R143=0,$X143,IF(AND($T143&lt;&gt;"",EDATE($D143,Milestones!$AA$131)&gt;=$T143),$W143,IF(AND($S143&lt;&gt;"",EDATE($D143,Milestones!$AA$131)&gt;=$S143),$V143,$U143)))=Milestones!$AB$131),UPPER(TEXT(EDATE($D143,Milestones!$AA$131),"dd mmm yy"))&amp;" "&amp;Milestones!$AB$131&amp;" "&amp;Milestones!$AC$131&amp;";  ","")&amp;IF(AND(EDATE($D143,Milestones!$AA$132)&lt;=AsOfDate,IF($R143=0,$X143,IF(AND($T143&lt;&gt;"",EDATE($D143,Milestones!$AA$132)&gt;=$T143),$W143,IF(AND($S143&lt;&gt;"",EDATE($D143,Milestones!$AA$132)&gt;=$S143),$V143,$U143)))=Milestones!$AB$132),UPPER(TEXT(EDATE($D143,Milestones!$AA$132),"dd mmm yy"))&amp;" "&amp;Milestones!$AB$132&amp;" "&amp;Milestones!$AC$132&amp;";  ","")&amp;IF(AND(EDATE($D143,Milestones!$AA$133)&lt;=AsOfDate,IF($R143=0,$X143,IF(AND($T143&lt;&gt;"",EDATE($D143,Milestones!$AA$133)&gt;=$T143),$W143,IF(AND($S143&lt;&gt;"",EDATE($D143,Milestones!$AA$133)&gt;=$S143),$V143,$U143)))=Milestones!$AB$133),UPPER(TEXT(EDATE($D143,Milestones!$AA$133),"dd mmm yy"))&amp;" "&amp;Milestones!$AB$133&amp;" "&amp;Milestones!$AC$133&amp;";  ","")&amp;IF(AND(EDATE($D143,Milestones!$AA$134)&lt;=AsOfDate,IF($R143=0,$X143,IF(AND($T143&lt;&gt;"",EDATE($D143,Milestones!$AA$134)&gt;=$T143),$W143,IF(AND($S143&lt;&gt;"",EDATE($D143,Milestones!$AA$134)&gt;=$S143),$V143,$U143)))=Milestones!$AB$134),UPPER(TEXT(EDATE($D143,Milestones!$AA$134),"dd mmm yy"))&amp;" "&amp;Milestones!$AB$134&amp;" "&amp;Milestones!$AC$134&amp;";  ","")&amp;IF(AND(EDATE($D143,Milestones!$AA$135)&lt;=AsOfDate,IF($R143=0,$X143,IF(AND($T143&lt;&gt;"",EDATE($D143,Milestones!$AA$135)&gt;=$T143),$W143,IF(AND($S143&lt;&gt;"",EDATE($D143,Milestones!$AA$135)&gt;=$S143),$V143,$U143)))=Milestones!$AB$135),UPPER(TEXT(EDATE($D143,Milestones!$AA$135),"dd mmm yy"))&amp;" "&amp;Milestones!$AB$135&amp;" "&amp;Milestones!$AC$135&amp;";  ","")&amp;IF(AND(EDATE($D143,Milestones!$AA$136)&lt;=AsOfDate,IF($R143=0,$X143,IF(AND($T143&lt;&gt;"",EDATE($D143,Milestones!$AA$136)&gt;=$T143),$W143,IF(AND($S143&lt;&gt;"",EDATE($D143,Milestones!$AA$136)&gt;=$S143),$V143,$U143)))=Milestones!$AB$136),UPPER(TEXT(EDATE($D143,Milestones!$AA$136),"dd mmm yy"))&amp;" "&amp;Milestones!$AB$136&amp;" "&amp;Milestones!$AC$136&amp;";  ","")&amp;IF(AND(EDATE($D143,Milestones!$AA$137)&lt;=AsOfDate,IF($R143=0,$X143,IF(AND($T143&lt;&gt;"",EDATE($D143,Milestones!$AA$137)&gt;=$T143),$W143,IF(AND($S143&lt;&gt;"",EDATE($D143,Milestones!$AA$137)&gt;=$S143),$V143,$U143)))=Milestones!$AB$137),UPPER(TEXT(EDATE($D143,Milestones!$AA$137),"dd mmm yy"))&amp;" "&amp;Milestones!$AB$137&amp;" "&amp;Milestones!$AC$137&amp;";  ","")&amp;IF(AND(EDATE($D143,Milestones!$AA$138)&lt;=AsOfDate,IF($R143=0,$X143,IF(AND($T143&lt;&gt;"",EDATE($D143,Milestones!$AA$138)&gt;=$T143),$W143,IF(AND($S143&lt;&gt;"",EDATE($D143,Milestones!$AA$138)&gt;=$S143),$V143,$U143)))=Milestones!$AB$138),UPPER(TEXT(EDATE($D143,Milestones!$AA$138),"dd mmm yy"))&amp;" "&amp;Milestones!$AB$138&amp;" "&amp;Milestones!$AC$138&amp;";  ","")&amp;IF(AND(EDATE($D143,Milestones!$AA$139)&lt;=AsOfDate,IF($R143=0,$X143,IF(AND($T143&lt;&gt;"",EDATE($D143,Milestones!$AA$139)&gt;=$T143),$W143,IF(AND($S143&lt;&gt;"",EDATE($D143,Milestones!$AA$139)&gt;=$S143),$V143,$U143)))=Milestones!$AB$139),UPPER(TEXT(EDATE($D143,Milestones!$AA$139),"dd mmm yy"))&amp;" "&amp;Milestones!$AB$139&amp;" "&amp;Milestones!$AC$139&amp;";  ",""))</f>
        <v/>
      </c>
      <c r="O143" s="0" t="str">
        <f aca="false">IF(OR($A143="",$D143=""),"",IF(AND(EDATE($D143,Milestones!$AA$140)&lt;=AsOfDate,IF($R143=0,$X143,IF(AND($T143&lt;&gt;"",EDATE($D143,Milestones!$AA$140)&gt;=$T143),$W143,IF(AND($S143&lt;&gt;"",EDATE($D143,Milestones!$AA$140)&gt;=$S143),$V143,$U143)))=Milestones!$AB$140),UPPER(TEXT(EDATE($D143,Milestones!$AA$140),"dd mmm yy"))&amp;" "&amp;Milestones!$AB$140&amp;" "&amp;Milestones!$AC$140&amp;";  ","")&amp;IF(AND(EDATE($D143,Milestones!$AA$141)&lt;=AsOfDate,IF($R143=0,$X143,IF(AND($T143&lt;&gt;"",EDATE($D143,Milestones!$AA$141)&gt;=$T143),$W143,IF(AND($S143&lt;&gt;"",EDATE($D143,Milestones!$AA$141)&gt;=$S143),$V143,$U143)))=Milestones!$AB$141),UPPER(TEXT(EDATE($D143,Milestones!$AA$141),"dd mmm yy"))&amp;" "&amp;Milestones!$AB$141&amp;" "&amp;Milestones!$AC$141&amp;";  ","")&amp;IF(AND(EDATE($D143,Milestones!$AA$142)&lt;=AsOfDate,IF($R143=0,$X143,IF(AND($T143&lt;&gt;"",EDATE($D143,Milestones!$AA$142)&gt;=$T143),$W143,IF(AND($S143&lt;&gt;"",EDATE($D143,Milestones!$AA$142)&gt;=$S143),$V143,$U143)))=Milestones!$AB$142),UPPER(TEXT(EDATE($D143,Milestones!$AA$142),"dd mmm yy"))&amp;" "&amp;Milestones!$AB$142&amp;" "&amp;Milestones!$AC$142&amp;";  ","")&amp;IF(AND(EDATE($D143,Milestones!$AA$143)&lt;=AsOfDate,IF($R143=0,$X143,IF(AND($T143&lt;&gt;"",EDATE($D143,Milestones!$AA$143)&gt;=$T143),$W143,IF(AND($S143&lt;&gt;"",EDATE($D143,Milestones!$AA$143)&gt;=$S143),$V143,$U143)))=Milestones!$AB$143),UPPER(TEXT(EDATE($D143,Milestones!$AA$143),"dd mmm yy"))&amp;" "&amp;Milestones!$AB$143&amp;" "&amp;Milestones!$AC$143&amp;";  ","")&amp;IF(AND(EDATE($D143,Milestones!$AA$144)&lt;=AsOfDate,IF($R143=0,$X143,IF(AND($T143&lt;&gt;"",EDATE($D143,Milestones!$AA$144)&gt;=$T143),$W143,IF(AND($S143&lt;&gt;"",EDATE($D143,Milestones!$AA$144)&gt;=$S143),$V143,$U143)))=Milestones!$AB$144),UPPER(TEXT(EDATE($D143,Milestones!$AA$144),"dd mmm yy"))&amp;" "&amp;Milestones!$AB$144&amp;" "&amp;Milestones!$AC$144&amp;";  ","")&amp;IF(AND(EDATE($D143,Milestones!$AA$145)&lt;=AsOfDate,IF($R143=0,$X143,IF(AND($T143&lt;&gt;"",EDATE($D143,Milestones!$AA$145)&gt;=$T143),$W143,IF(AND($S143&lt;&gt;"",EDATE($D143,Milestones!$AA$145)&gt;=$S143),$V143,$U143)))=Milestones!$AB$145),UPPER(TEXT(EDATE($D143,Milestones!$AA$145),"dd mmm yy"))&amp;" "&amp;Milestones!$AB$145&amp;" "&amp;Milestones!$AC$145&amp;";  ","")&amp;IF(AND(EDATE($D143,Milestones!$AA$146)&lt;=AsOfDate,IF($R143=0,$X143,IF(AND($T143&lt;&gt;"",EDATE($D143,Milestones!$AA$146)&gt;=$T143),$W143,IF(AND($S143&lt;&gt;"",EDATE($D143,Milestones!$AA$146)&gt;=$S143),$V143,$U143)))=Milestones!$AB$146),UPPER(TEXT(EDATE($D143,Milestones!$AA$146),"dd mmm yy"))&amp;" "&amp;Milestones!$AB$146&amp;" "&amp;Milestones!$AC$146&amp;";  ","")&amp;IF(AND(EDATE($D143,Milestones!$AA$147)&lt;=AsOfDate,IF($R143=0,$X143,IF(AND($T143&lt;&gt;"",EDATE($D143,Milestones!$AA$147)&gt;=$T143),$W143,IF(AND($S143&lt;&gt;"",EDATE($D143,Milestones!$AA$147)&gt;=$S143),$V143,$U143)))=Milestones!$AB$147),UPPER(TEXT(EDATE($D143,Milestones!$AA$147),"dd mmm yy"))&amp;" "&amp;Milestones!$AB$147&amp;" "&amp;Milestones!$AC$147&amp;";  ","")&amp;IF(AND(EDATE($D143,Milestones!$AA$148)&lt;=AsOfDate,IF($R143=0,$X143,IF(AND($T143&lt;&gt;"",EDATE($D143,Milestones!$AA$148)&gt;=$T143),$W143,IF(AND($S143&lt;&gt;"",EDATE($D143,Milestones!$AA$148)&gt;=$S143),$V143,$U143)))=Milestones!$AB$148),UPPER(TEXT(EDATE($D143,Milestones!$AA$148),"dd mmm yy"))&amp;" "&amp;Milestones!$AB$148&amp;" "&amp;Milestones!$AC$148&amp;";  ","")&amp;IF(AND(EDATE($D143,Milestones!$AA$149)&lt;=AsOfDate,IF($R143=0,$X143,IF(AND($T143&lt;&gt;"",EDATE($D143,Milestones!$AA$149)&gt;=$T143),$W143,IF(AND($S143&lt;&gt;"",EDATE($D143,Milestones!$AA$149)&gt;=$S143),$V143,$U143)))=Milestones!$AB$149),UPPER(TEXT(EDATE($D143,Milestones!$AA$149),"dd mmm yy"))&amp;" "&amp;Milestones!$AB$149&amp;" "&amp;Milestones!$AC$149&amp;";  ","")&amp;IF(AND(EDATE($D143,Milestones!$AA$150)&lt;=AsOfDate,IF($R143=0,$X143,IF(AND($T143&lt;&gt;"",EDATE($D143,Milestones!$AA$150)&gt;=$T143),$W143,IF(AND($S143&lt;&gt;"",EDATE($D143,Milestones!$AA$150)&gt;=$S143),$V143,$U143)))=Milestones!$AB$150),UPPER(TEXT(EDATE($D143,Milestones!$AA$150),"dd mmm yy"))&amp;" "&amp;Milestones!$AB$150&amp;" "&amp;Milestones!$AC$150&amp;";  ","")&amp;IF(AND(EDATE($D143,Milestones!$AA$151)&lt;=AsOfDate,IF($R143=0,$X143,IF(AND($T143&lt;&gt;"",EDATE($D143,Milestones!$AA$151)&gt;=$T143),$W143,IF(AND($S143&lt;&gt;"",EDATE($D143,Milestones!$AA$151)&gt;=$S143),$V143,$U143)))=Milestones!$AB$151),UPPER(TEXT(EDATE($D143,Milestones!$AA$151),"dd mmm yy"))&amp;" "&amp;Milestones!$AB$151&amp;" "&amp;Milestones!$AC$151&amp;";  ","")&amp;IF(AND(EDATE($D143,Milestones!$AA$152)&lt;=AsOfDate,IF($R143=0,$X143,IF(AND($T143&lt;&gt;"",EDATE($D143,Milestones!$AA$152)&gt;=$T143),$W143,IF(AND($S143&lt;&gt;"",EDATE($D143,Milestones!$AA$152)&gt;=$S143),$V143,$U143)))=Milestones!$AB$152),UPPER(TEXT(EDATE($D143,Milestones!$AA$152),"dd mmm yy"))&amp;" "&amp;Milestones!$AB$152&amp;" "&amp;Milestones!$AC$152&amp;";  ","")&amp;IF(AND(EDATE($D143,Milestones!$AA$153)&lt;=AsOfDate,IF($R143=0,$X143,IF(AND($T143&lt;&gt;"",EDATE($D143,Milestones!$AA$153)&gt;=$T143),$W143,IF(AND($S143&lt;&gt;"",EDATE($D143,Milestones!$AA$153)&gt;=$S143),$V143,$U143)))=Milestones!$AB$153),UPPER(TEXT(EDATE($D143,Milestones!$AA$153),"dd mmm yy"))&amp;" "&amp;Milestones!$AB$153&amp;" "&amp;Milestones!$AC$153&amp;";  ","")&amp;IF(AND(EDATE($D143,Milestones!$AA$154)&lt;=AsOfDate,IF($R143=0,$X143,IF(AND($T143&lt;&gt;"",EDATE($D143,Milestones!$AA$154)&gt;=$T143),$W143,IF(AND($S143&lt;&gt;"",EDATE($D143,Milestones!$AA$154)&gt;=$S143),$V143,$U143)))=Milestones!$AB$154),UPPER(TEXT(EDATE($D143,Milestones!$AA$154),"dd mmm yy"))&amp;" "&amp;Milestones!$AB$154&amp;" "&amp;Milestones!$AC$154&amp;";  ","")&amp;IF(AND(EDATE($D143,Milestones!$AA$155)&lt;=AsOfDate,IF($R143=0,$X143,IF(AND($T143&lt;&gt;"",EDATE($D143,Milestones!$AA$155)&gt;=$T143),$W143,IF(AND($S143&lt;&gt;"",EDATE($D143,Milestones!$AA$155)&gt;=$S143),$V143,$U143)))=Milestones!$AB$155),UPPER(TEXT(EDATE($D143,Milestones!$AA$155),"dd mmm yy"))&amp;" "&amp;Milestones!$AB$155&amp;" "&amp;Milestones!$AC$155&amp;";  ","")&amp;IF(AND(EDATE($D143,Milestones!$AA$156)&lt;=AsOfDate,IF($R143=0,$X143,IF(AND($T143&lt;&gt;"",EDATE($D143,Milestones!$AA$156)&gt;=$T143),$W143,IF(AND($S143&lt;&gt;"",EDATE($D143,Milestones!$AA$156)&gt;=$S143),$V143,$U143)))=Milestones!$AB$156),UPPER(TEXT(EDATE($D143,Milestones!$AA$156),"dd mmm yy"))&amp;" "&amp;Milestones!$AB$156&amp;" "&amp;Milestones!$AC$156&amp;";  ","")&amp;IF(AND(EDATE($D143,Milestones!$AA$157)&lt;=AsOfDate,IF($R143=0,$X143,IF(AND($T143&lt;&gt;"",EDATE($D143,Milestones!$AA$157)&gt;=$T143),$W143,IF(AND($S143&lt;&gt;"",EDATE($D143,Milestones!$AA$157)&gt;=$S143),$V143,$U143)))=Milestones!$AB$157),UPPER(TEXT(EDATE($D143,Milestones!$AA$157),"dd mmm yy"))&amp;" "&amp;Milestones!$AB$157&amp;" "&amp;Milestones!$AC$157&amp;";  ","")&amp;IF(AND(EDATE($D143,Milestones!$AA$158)&lt;=AsOfDate,IF($R143=0,$X143,IF(AND($T143&lt;&gt;"",EDATE($D143,Milestones!$AA$158)&gt;=$T143),$W143,IF(AND($S143&lt;&gt;"",EDATE($D143,Milestones!$AA$158)&gt;=$S143),$V143,$U143)))=Milestones!$AB$158),UPPER(TEXT(EDATE($D143,Milestones!$AA$158),"dd mmm yy"))&amp;" "&amp;Milestones!$AB$158&amp;" "&amp;Milestones!$AC$158&amp;";  ","")&amp;IF(AND(EDATE($D143,Milestones!$AA$159)&lt;=AsOfDate,IF($R143=0,$X143,IF(AND($T143&lt;&gt;"",EDATE($D143,Milestones!$AA$159)&gt;=$T143),$W143,IF(AND($S143&lt;&gt;"",EDATE($D143,Milestones!$AA$159)&gt;=$S143),$V143,$U143)))=Milestones!$AB$159),UPPER(TEXT(EDATE($D143,Milestones!$AA$159),"dd mmm yy"))&amp;" "&amp;Milestones!$AB$159&amp;" "&amp;Milestones!$AC$159&amp;";  ",""))</f>
        <v/>
      </c>
      <c r="P143" s="0" t="str">
        <f aca="false">IF(OR($A143="",$D143=""),"",IF(AND(EDATE($D143,Milestones!$AA$160)&lt;=AsOfDate,IF($R143=0,$X143,IF(AND($T143&lt;&gt;"",EDATE($D143,Milestones!$AA$160)&gt;=$T143),$W143,IF(AND($S143&lt;&gt;"",EDATE($D143,Milestones!$AA$160)&gt;=$S143),$V143,$U143)))=Milestones!$AB$160),UPPER(TEXT(EDATE($D143,Milestones!$AA$160),"dd mmm yy"))&amp;" "&amp;Milestones!$AB$160&amp;" "&amp;Milestones!$AC$160&amp;";  ","")&amp;IF(AND(EDATE($D143,Milestones!$AA$161)&lt;=AsOfDate,IF($R143=0,$X143,IF(AND($T143&lt;&gt;"",EDATE($D143,Milestones!$AA$161)&gt;=$T143),$W143,IF(AND($S143&lt;&gt;"",EDATE($D143,Milestones!$AA$161)&gt;=$S143),$V143,$U143)))=Milestones!$AB$161),UPPER(TEXT(EDATE($D143,Milestones!$AA$161),"dd mmm yy"))&amp;" "&amp;Milestones!$AB$161&amp;" "&amp;Milestones!$AC$161&amp;";  ","")&amp;IF(AND(EDATE($D143,Milestones!$AA$162)&lt;=AsOfDate,IF($R143=0,$X143,IF(AND($T143&lt;&gt;"",EDATE($D143,Milestones!$AA$162)&gt;=$T143),$W143,IF(AND($S143&lt;&gt;"",EDATE($D143,Milestones!$AA$162)&gt;=$S143),$V143,$U143)))=Milestones!$AB$162),UPPER(TEXT(EDATE($D143,Milestones!$AA$162),"dd mmm yy"))&amp;" "&amp;Milestones!$AB$162&amp;" "&amp;Milestones!$AC$162&amp;";  ","")&amp;IF(AND(EDATE($D143,Milestones!$AA$163)&lt;=AsOfDate,IF($R143=0,$X143,IF(AND($T143&lt;&gt;"",EDATE($D143,Milestones!$AA$163)&gt;=$T143),$W143,IF(AND($S143&lt;&gt;"",EDATE($D143,Milestones!$AA$163)&gt;=$S143),$V143,$U143)))=Milestones!$AB$163),UPPER(TEXT(EDATE($D143,Milestones!$AA$163),"dd mmm yy"))&amp;" "&amp;Milestones!$AB$163&amp;" "&amp;Milestones!$AC$163&amp;";  ","")&amp;IF(AND(EDATE($D143,Milestones!$AA$164)&lt;=AsOfDate,IF($R143=0,$X143,IF(AND($T143&lt;&gt;"",EDATE($D143,Milestones!$AA$164)&gt;=$T143),$W143,IF(AND($S143&lt;&gt;"",EDATE($D143,Milestones!$AA$164)&gt;=$S143),$V143,$U143)))=Milestones!$AB$164),UPPER(TEXT(EDATE($D143,Milestones!$AA$164),"dd mmm yy"))&amp;" "&amp;Milestones!$AB$164&amp;" "&amp;Milestones!$AC$164&amp;";  ","")&amp;IF(AND(EDATE($D143,Milestones!$AA$165)&lt;=AsOfDate,IF($R143=0,$X143,IF(AND($T143&lt;&gt;"",EDATE($D143,Milestones!$AA$165)&gt;=$T143),$W143,IF(AND($S143&lt;&gt;"",EDATE($D143,Milestones!$AA$165)&gt;=$S143),$V143,$U143)))=Milestones!$AB$165),UPPER(TEXT(EDATE($D143,Milestones!$AA$165),"dd mmm yy"))&amp;" "&amp;Milestones!$AB$165&amp;" "&amp;Milestones!$AC$165&amp;";  ","")&amp;IF(AND(EDATE($D143,Milestones!$AA$166)&lt;=AsOfDate,IF($R143=0,$X143,IF(AND($T143&lt;&gt;"",EDATE($D143,Milestones!$AA$166)&gt;=$T143),$W143,IF(AND($S143&lt;&gt;"",EDATE($D143,Milestones!$AA$166)&gt;=$S143),$V143,$U143)))=Milestones!$AB$166),UPPER(TEXT(EDATE($D143,Milestones!$AA$166),"dd mmm yy"))&amp;" "&amp;Milestones!$AB$166&amp;" "&amp;Milestones!$AC$166&amp;";  ","")&amp;IF(AND(EDATE($D143,Milestones!$AA$167)&lt;=AsOfDate,IF($R143=0,$X143,IF(AND($T143&lt;&gt;"",EDATE($D143,Milestones!$AA$167)&gt;=$T143),$W143,IF(AND($S143&lt;&gt;"",EDATE($D143,Milestones!$AA$167)&gt;=$S143),$V143,$U143)))=Milestones!$AB$167),UPPER(TEXT(EDATE($D143,Milestones!$AA$167),"dd mmm yy"))&amp;" "&amp;Milestones!$AB$167&amp;" "&amp;Milestones!$AC$167&amp;";  ","")&amp;IF(AND(EDATE($D143,Milestones!$AA$168)&lt;=AsOfDate,IF($R143=0,$X143,IF(AND($T143&lt;&gt;"",EDATE($D143,Milestones!$AA$168)&gt;=$T143),$W143,IF(AND($S143&lt;&gt;"",EDATE($D143,Milestones!$AA$168)&gt;=$S143),$V143,$U143)))=Milestones!$AB$168),UPPER(TEXT(EDATE($D143,Milestones!$AA$168),"dd mmm yy"))&amp;" "&amp;Milestones!$AB$168&amp;" "&amp;Milestones!$AC$168&amp;";  ","")&amp;IF(AND(EDATE($D143,Milestones!$AA$169)&lt;=AsOfDate,IF($R143=0,$X143,IF(AND($T143&lt;&gt;"",EDATE($D143,Milestones!$AA$169)&gt;=$T143),$W143,IF(AND($S143&lt;&gt;"",EDATE($D143,Milestones!$AA$169)&gt;=$S143),$V143,$U143)))=Milestones!$AB$169),UPPER(TEXT(EDATE($D143,Milestones!$AA$169),"dd mmm yy"))&amp;" "&amp;Milestones!$AB$169&amp;" "&amp;Milestones!$AC$169&amp;";  ","")&amp;IF(AND(EDATE($D143,Milestones!$AA$170)&lt;=AsOfDate,IF($R143=0,$X143,IF(AND($T143&lt;&gt;"",EDATE($D143,Milestones!$AA$170)&gt;=$T143),$W143,IF(AND($S143&lt;&gt;"",EDATE($D143,Milestones!$AA$170)&gt;=$S143),$V143,$U143)))=Milestones!$AB$170),UPPER(TEXT(EDATE($D143,Milestones!$AA$170),"dd mmm yy"))&amp;" "&amp;Milestones!$AB$170&amp;" "&amp;Milestones!$AC$170&amp;";  ","")&amp;IF(AND(EDATE($D143,Milestones!$AA$171)&lt;=AsOfDate,IF($R143=0,$X143,IF(AND($T143&lt;&gt;"",EDATE($D143,Milestones!$AA$171)&gt;=$T143),$W143,IF(AND($S143&lt;&gt;"",EDATE($D143,Milestones!$AA$171)&gt;=$S143),$V143,$U143)))=Milestones!$AB$171),UPPER(TEXT(EDATE($D143,Milestones!$AA$171),"dd mmm yy"))&amp;" "&amp;Milestones!$AB$171&amp;" "&amp;Milestones!$AC$171&amp;";  ","")&amp;IF(AND(EDATE($D143,Milestones!$AA$172)&lt;=AsOfDate,IF($R143=0,$X143,IF(AND($T143&lt;&gt;"",EDATE($D143,Milestones!$AA$172)&gt;=$T143),$W143,IF(AND($S143&lt;&gt;"",EDATE($D143,Milestones!$AA$172)&gt;=$S143),$V143,$U143)))=Milestones!$AB$172),UPPER(TEXT(EDATE($D143,Milestones!$AA$172),"dd mmm yy"))&amp;" "&amp;Milestones!$AB$172&amp;" "&amp;Milestones!$AC$172&amp;";  ","")&amp;IF(AND(EDATE($D143,Milestones!$AA$173)&lt;=AsOfDate,IF($R143=0,$X143,IF(AND($T143&lt;&gt;"",EDATE($D143,Milestones!$AA$173)&gt;=$T143),$W143,IF(AND($S143&lt;&gt;"",EDATE($D143,Milestones!$AA$173)&gt;=$S143),$V143,$U143)))=Milestones!$AB$173),UPPER(TEXT(EDATE($D143,Milestones!$AA$173),"dd mmm yy"))&amp;" "&amp;Milestones!$AB$173&amp;" "&amp;Milestones!$AC$173&amp;";  ","")&amp;IF(AND(EDATE($D143,Milestones!$AA$174)&lt;=AsOfDate,IF($R143=0,$X143,IF(AND($T143&lt;&gt;"",EDATE($D143,Milestones!$AA$174)&gt;=$T143),$W143,IF(AND($S143&lt;&gt;"",EDATE($D143,Milestones!$AA$174)&gt;=$S143),$V143,$U143)))=Milestones!$AB$174),UPPER(TEXT(EDATE($D143,Milestones!$AA$174),"dd mmm yy"))&amp;" "&amp;Milestones!$AB$174&amp;" "&amp;Milestones!$AC$174&amp;";  ","")&amp;IF(AND(EDATE($D143,Milestones!$AA$175)&lt;=AsOfDate,IF($R143=0,$X143,IF(AND($T143&lt;&gt;"",EDATE($D143,Milestones!$AA$175)&gt;=$T143),$W143,IF(AND($S143&lt;&gt;"",EDATE($D143,Milestones!$AA$175)&gt;=$S143),$V143,$U143)))=Milestones!$AB$175),UPPER(TEXT(EDATE($D143,Milestones!$AA$175),"dd mmm yy"))&amp;" "&amp;Milestones!$AB$175&amp;" "&amp;Milestones!$AC$175&amp;";  ","")&amp;IF(AND(EDATE($D143,Milestones!$AA$176)&lt;=AsOfDate,IF($R143=0,$X143,IF(AND($T143&lt;&gt;"",EDATE($D143,Milestones!$AA$176)&gt;=$T143),$W143,IF(AND($S143&lt;&gt;"",EDATE($D143,Milestones!$AA$176)&gt;=$S143),$V143,$U143)))=Milestones!$AB$176),UPPER(TEXT(EDATE($D143,Milestones!$AA$176),"dd mmm yy"))&amp;" "&amp;Milestones!$AB$176&amp;" "&amp;Milestones!$AC$176&amp;";  ","")&amp;IF(AND(EDATE($D143,Milestones!$AA$177)&lt;=AsOfDate,IF($R143=0,$X143,IF(AND($T143&lt;&gt;"",EDATE($D143,Milestones!$AA$177)&gt;=$T143),$W143,IF(AND($S143&lt;&gt;"",EDATE($D143,Milestones!$AA$177)&gt;=$S143),$V143,$U143)))=Milestones!$AB$177),UPPER(TEXT(EDATE($D143,Milestones!$AA$177),"dd mmm yy"))&amp;" "&amp;Milestones!$AB$177&amp;" "&amp;Milestones!$AC$177&amp;";  ","")&amp;IF(AND(EDATE($D143,Milestones!$AA$178)&lt;=AsOfDate,IF($R143=0,$X143,IF(AND($T143&lt;&gt;"",EDATE($D143,Milestones!$AA$178)&gt;=$T143),$W143,IF(AND($S143&lt;&gt;"",EDATE($D143,Milestones!$AA$178)&gt;=$S143),$V143,$U143)))=Milestones!$AB$178),UPPER(TEXT(EDATE($D143,Milestones!$AA$178),"dd mmm yy"))&amp;" "&amp;Milestones!$AB$178&amp;" "&amp;Milestones!$AC$178&amp;";  ","")&amp;IF(AND(EDATE($D143,Milestones!$AA$179)&lt;=AsOfDate,IF($R143=0,$X143,IF(AND($T143&lt;&gt;"",EDATE($D143,Milestones!$AA$179)&gt;=$T143),$W143,IF(AND($S143&lt;&gt;"",EDATE($D143,Milestones!$AA$179)&gt;=$S143),$V143,$U143)))=Milestones!$AB$179),UPPER(TEXT(EDATE($D143,Milestones!$AA$179),"dd mmm yy"))&amp;" "&amp;Milestones!$AB$179&amp;" "&amp;Milestones!$AC$179&amp;";  ",""))</f>
        <v/>
      </c>
      <c r="Q143" s="0" t="str">
        <f aca="false">IF(OR($A143="",$D143=""),"",IF(AND(EDATE($D143,Milestones!$AA$180)&lt;=AsOfDate,IF($R143=0,$X143,IF(AND($T143&lt;&gt;"",EDATE($D143,Milestones!$AA$180)&gt;=$T143),$W143,IF(AND($S143&lt;&gt;"",EDATE($D143,Milestones!$AA$180)&gt;=$S143),$V143,$U143)))=Milestones!$AB$180),UPPER(TEXT(EDATE($D143,Milestones!$AA$180),"dd mmm yy"))&amp;" "&amp;Milestones!$AB$180&amp;" "&amp;Milestones!$AC$180&amp;";  ","")&amp;IF(AND(EDATE($D143,Milestones!$AA$181)&lt;=AsOfDate,IF($R143=0,$X143,IF(AND($T143&lt;&gt;"",EDATE($D143,Milestones!$AA$181)&gt;=$T143),$W143,IF(AND($S143&lt;&gt;"",EDATE($D143,Milestones!$AA$181)&gt;=$S143),$V143,$U143)))=Milestones!$AB$181),UPPER(TEXT(EDATE($D143,Milestones!$AA$181),"dd mmm yy"))&amp;" "&amp;Milestones!$AB$181&amp;" "&amp;Milestones!$AC$181&amp;";  ","")&amp;IF(AND(EDATE($D143,Milestones!$AA$182)&lt;=AsOfDate,IF($R143=0,$X143,IF(AND($T143&lt;&gt;"",EDATE($D143,Milestones!$AA$182)&gt;=$T143),$W143,IF(AND($S143&lt;&gt;"",EDATE($D143,Milestones!$AA$182)&gt;=$S143),$V143,$U143)))=Milestones!$AB$182),UPPER(TEXT(EDATE($D143,Milestones!$AA$182),"dd mmm yy"))&amp;" "&amp;Milestones!$AB$182&amp;" "&amp;Milestones!$AC$182&amp;";  ","")&amp;IF(AND(EDATE($D143,Milestones!$AA$183)&lt;=AsOfDate,IF($R143=0,$X143,IF(AND($T143&lt;&gt;"",EDATE($D143,Milestones!$AA$183)&gt;=$T143),$W143,IF(AND($S143&lt;&gt;"",EDATE($D143,Milestones!$AA$183)&gt;=$S143),$V143,$U143)))=Milestones!$AB$183),UPPER(TEXT(EDATE($D143,Milestones!$AA$183),"dd mmm yy"))&amp;" "&amp;Milestones!$AB$183&amp;" "&amp;Milestones!$AC$183&amp;";  ","")&amp;IF(AND(EDATE($D143,Milestones!$AA$184)&lt;=AsOfDate,IF($R143=0,$X143,IF(AND($T143&lt;&gt;"",EDATE($D143,Milestones!$AA$184)&gt;=$T143),$W143,IF(AND($S143&lt;&gt;"",EDATE($D143,Milestones!$AA$184)&gt;=$S143),$V143,$U143)))=Milestones!$AB$184),UPPER(TEXT(EDATE($D143,Milestones!$AA$184),"dd mmm yy"))&amp;" "&amp;Milestones!$AB$184&amp;" "&amp;Milestones!$AC$184&amp;";  ","")&amp;IF(AND(EDATE($D143,Milestones!$AA$185)&lt;=AsOfDate,IF($R143=0,$X143,IF(AND($T143&lt;&gt;"",EDATE($D143,Milestones!$AA$185)&gt;=$T143),$W143,IF(AND($S143&lt;&gt;"",EDATE($D143,Milestones!$AA$185)&gt;=$S143),$V143,$U143)))=Milestones!$AB$185),UPPER(TEXT(EDATE($D143,Milestones!$AA$185),"dd mmm yy"))&amp;" "&amp;Milestones!$AB$185&amp;" "&amp;Milestones!$AC$185&amp;";  ","")&amp;IF(AND(EDATE($D143,Milestones!$AA$186)&lt;=AsOfDate,IF($R143=0,$X143,IF(AND($T143&lt;&gt;"",EDATE($D143,Milestones!$AA$186)&gt;=$T143),$W143,IF(AND($S143&lt;&gt;"",EDATE($D143,Milestones!$AA$186)&gt;=$S143),$V143,$U143)))=Milestones!$AB$186),UPPER(TEXT(EDATE($D143,Milestones!$AA$186),"dd mmm yy"))&amp;" "&amp;Milestones!$AB$186&amp;" "&amp;Milestones!$AC$186&amp;";  ","")&amp;IF(AND(EDATE($D143,Milestones!$AA$187)&lt;=AsOfDate,IF($R143=0,$X143,IF(AND($T143&lt;&gt;"",EDATE($D143,Milestones!$AA$187)&gt;=$T143),$W143,IF(AND($S143&lt;&gt;"",EDATE($D143,Milestones!$AA$187)&gt;=$S143),$V143,$U143)))=Milestones!$AB$187),UPPER(TEXT(EDATE($D143,Milestones!$AA$187),"dd mmm yy"))&amp;" "&amp;Milestones!$AB$187&amp;" "&amp;Milestones!$AC$187&amp;";  ","")&amp;IF(AND(EDATE($D143,Milestones!$AA$188)&lt;=AsOfDate,IF($R143=0,$X143,IF(AND($T143&lt;&gt;"",EDATE($D143,Milestones!$AA$188)&gt;=$T143),$W143,IF(AND($S143&lt;&gt;"",EDATE($D143,Milestones!$AA$188)&gt;=$S143),$V143,$U143)))=Milestones!$AB$188),UPPER(TEXT(EDATE($D143,Milestones!$AA$188),"dd mmm yy"))&amp;" "&amp;Milestones!$AB$188&amp;" "&amp;Milestones!$AC$188&amp;";  ","")&amp;IF(AND(EDATE($D143,Milestones!$AA$189)&lt;=AsOfDate,IF($R143=0,$X143,IF(AND($T143&lt;&gt;"",EDATE($D143,Milestones!$AA$189)&gt;=$T143),$W143,IF(AND($S143&lt;&gt;"",EDATE($D143,Milestones!$AA$189)&gt;=$S143),$V143,$U143)))=Milestones!$AB$189),UPPER(TEXT(EDATE($D143,Milestones!$AA$189),"dd mmm yy"))&amp;" "&amp;Milestones!$AB$189&amp;" "&amp;Milestones!$AC$189&amp;";  ","")&amp;IF(AND(EDATE($D143,Milestones!$AA$190)&lt;=AsOfDate,IF($R143=0,$X143,IF(AND($T143&lt;&gt;"",EDATE($D143,Milestones!$AA$190)&gt;=$T143),$W143,IF(AND($S143&lt;&gt;"",EDATE($D143,Milestones!$AA$190)&gt;=$S143),$V143,$U143)))=Milestones!$AB$190),UPPER(TEXT(EDATE($D143,Milestones!$AA$190),"dd mmm yy"))&amp;" "&amp;Milestones!$AB$190&amp;" "&amp;Milestones!$AC$190&amp;";  ","")&amp;IF(AND(EDATE($D143,Milestones!$AA$191)&lt;=AsOfDate,IF($R143=0,$X143,IF(AND($T143&lt;&gt;"",EDATE($D143,Milestones!$AA$191)&gt;=$T143),$W143,IF(AND($S143&lt;&gt;"",EDATE($D143,Milestones!$AA$191)&gt;=$S143),$V143,$U143)))=Milestones!$AB$191),UPPER(TEXT(EDATE($D143,Milestones!$AA$191),"dd mmm yy"))&amp;" "&amp;Milestones!$AB$191&amp;" "&amp;Milestones!$AC$191&amp;";  ","")&amp;IF(AND(EDATE($D143,Milestones!$AA$192)&lt;=AsOfDate,IF($R143=0,$X143,IF(AND($T143&lt;&gt;"",EDATE($D143,Milestones!$AA$192)&gt;=$T143),$W143,IF(AND($S143&lt;&gt;"",EDATE($D143,Milestones!$AA$192)&gt;=$S143),$V143,$U143)))=Milestones!$AB$192),UPPER(TEXT(EDATE($D143,Milestones!$AA$192),"dd mmm yy"))&amp;" "&amp;Milestones!$AB$192&amp;" "&amp;Milestones!$AC$192&amp;";  ","")&amp;IF(AND(EDATE($D143,Milestones!$AA$193)&lt;=AsOfDate,IF($R143=0,$X143,IF(AND($T143&lt;&gt;"",EDATE($D143,Milestones!$AA$193)&gt;=$T143),$W143,IF(AND($S143&lt;&gt;"",EDATE($D143,Milestones!$AA$193)&gt;=$S143),$V143,$U143)))=Milestones!$AB$193),UPPER(TEXT(EDATE($D143,Milestones!$AA$193),"dd mmm yy"))&amp;" "&amp;Milestones!$AB$193&amp;" "&amp;Milestones!$AC$193&amp;";  ","")&amp;IF(AND(EDATE($D143,Milestones!$AA$194)&lt;=AsOfDate,IF($R143=0,$X143,IF(AND($T143&lt;&gt;"",EDATE($D143,Milestones!$AA$194)&gt;=$T143),$W143,IF(AND($S143&lt;&gt;"",EDATE($D143,Milestones!$AA$194)&gt;=$S143),$V143,$U143)))=Milestones!$AB$194),UPPER(TEXT(EDATE($D143,Milestones!$AA$194),"dd mmm yy"))&amp;" "&amp;Milestones!$AB$194&amp;" "&amp;Milestones!$AC$194&amp;";  ","")&amp;IF(AND(EDATE($D143,Milestones!$AA$195)&lt;=AsOfDate,IF($R143=0,$X143,IF(AND($T143&lt;&gt;"",EDATE($D143,Milestones!$AA$195)&gt;=$T143),$W143,IF(AND($S143&lt;&gt;"",EDATE($D143,Milestones!$AA$195)&gt;=$S143),$V143,$U143)))=Milestones!$AB$195),UPPER(TEXT(EDATE($D143,Milestones!$AA$195),"dd mmm yy"))&amp;" "&amp;Milestones!$AB$195&amp;" "&amp;Milestones!$AC$195&amp;";  ","")&amp;IF(AND(EDATE($D143,Milestones!$AA$196)&lt;=AsOfDate,IF($R143=0,$X143,IF(AND($T143&lt;&gt;"",EDATE($D143,Milestones!$AA$196)&gt;=$T143),$W143,IF(AND($S143&lt;&gt;"",EDATE($D143,Milestones!$AA$196)&gt;=$S143),$V143,$U143)))=Milestones!$AB$196),UPPER(TEXT(EDATE($D143,Milestones!$AA$196),"dd mmm yy"))&amp;" "&amp;Milestones!$AB$196&amp;" "&amp;Milestones!$AC$196&amp;";  ","")&amp;IF(AND(EDATE($D143,Milestones!$AA$197)&lt;=AsOfDate,IF($R143=0,$X143,IF(AND($T143&lt;&gt;"",EDATE($D143,Milestones!$AA$197)&gt;=$T143),$W143,IF(AND($S143&lt;&gt;"",EDATE($D143,Milestones!$AA$197)&gt;=$S143),$V143,$U143)))=Milestones!$AB$197),UPPER(TEXT(EDATE($D143,Milestones!$AA$197),"dd mmm yy"))&amp;" "&amp;Milestones!$AB$197&amp;" "&amp;Milestones!$AC$197&amp;";  ","")&amp;IF(AND(EDATE($D143,Milestones!$AA$198)&lt;=AsOfDate,IF($R143=0,$X143,IF(AND($T143&lt;&gt;"",EDATE($D143,Milestones!$AA$198)&gt;=$T143),$W143,IF(AND($S143&lt;&gt;"",EDATE($D143,Milestones!$AA$198)&gt;=$S143),$V143,$U143)))=Milestones!$AB$198),UPPER(TEXT(EDATE($D143,Milestones!$AA$198),"dd mmm yy"))&amp;" "&amp;Milestones!$AB$198&amp;" "&amp;Milestones!$AC$198&amp;";  ","")&amp;IF(AND(EDATE($D143,Milestones!$AA$199)&lt;=AsOfDate,IF($R143=0,$X143,IF(AND($T143&lt;&gt;"",EDATE($D143,Milestones!$AA$199)&gt;=$T143),$W143,IF(AND($S143&lt;&gt;"",EDATE($D143,Milestones!$AA$199)&gt;=$S143),$V143,$U143)))=Milestones!$AB$199),UPPER(TEXT(EDATE($D143,Milestones!$AA$199),"dd mmm yy"))&amp;" "&amp;Milestones!$AB$199&amp;" "&amp;Milestones!$AC$199&amp;";  ",""))</f>
        <v/>
      </c>
      <c r="R143" s="0" t="str">
        <f aca="false">IF(Staff!$A143="","",Staff!$AI143)</f>
        <v/>
      </c>
      <c r="S143" s="0" t="str">
        <f aca="false">IF(Staff!$A143="","",Staff!$AK143)</f>
        <v/>
      </c>
      <c r="T143" s="0" t="str">
        <f aca="false">IF(Staff!$A143="","",Staff!$AL143)</f>
        <v/>
      </c>
      <c r="U143" s="0" t="str">
        <f aca="false">IF(Staff!$A143="","",Staff!$AP143)</f>
        <v/>
      </c>
      <c r="V143" s="0" t="str">
        <f aca="false">IF(Staff!$A143="","",Staff!$AQ143)</f>
        <v/>
      </c>
      <c r="W143" s="0" t="str">
        <f aca="false">IF(Staff!$A143="","",Staff!$AR143)</f>
        <v/>
      </c>
      <c r="X143" s="0" t="str">
        <f aca="false">IF(Staff!$A143="","",Staff!$AS143)</f>
        <v/>
      </c>
    </row>
    <row r="144" customFormat="false" ht="15" hidden="false" customHeight="false" outlineLevel="0" collapsed="false">
      <c r="A144" s="14" t="str">
        <f aca="false">IF(Staff!$A144="","",Staff!$A144)</f>
        <v/>
      </c>
      <c r="B144" s="14" t="str">
        <f aca="false">IF(Staff!$A144="","",Staff!$B144)</f>
        <v/>
      </c>
      <c r="C144" s="14" t="str">
        <f aca="false">IF(Staff!$A144="","",Staff!$C144)</f>
        <v/>
      </c>
      <c r="D144" s="12" t="str">
        <f aca="false">IF(Staff!$A144="","",Staff!$AH144)</f>
        <v/>
      </c>
      <c r="E144" s="14" t="str">
        <f aca="false">IF(Staff!$A144="","",Staff!$O144)</f>
        <v/>
      </c>
      <c r="F144" s="14" t="str">
        <f aca="false">IF(E144="","",E144*HoursPerDay)</f>
        <v/>
      </c>
      <c r="G144" s="14" t="str">
        <f aca="false">IF(Staff!$A144="","",Staff!$AE144)</f>
        <v/>
      </c>
      <c r="H144" s="26" t="str">
        <f aca="false">IF($A144="","",I144&amp;J144&amp;K144&amp;L144&amp;M144&amp;N144&amp;O144&amp;P144&amp;Q144)</f>
        <v/>
      </c>
      <c r="I144" s="0" t="str">
        <f aca="false">IF(OR($A144="",$D144=""),"",IF(AND(EDATE($D144,Milestones!$AA$20)&lt;=AsOfDate,IF($R144=0,$X144,IF(AND($T144&lt;&gt;"",EDATE($D144,Milestones!$AA$20)&gt;=$T144),$W144,IF(AND($S144&lt;&gt;"",EDATE($D144,Milestones!$AA$20)&gt;=$S144),$V144,$U144)))=Milestones!$AB$20),UPPER(TEXT(EDATE($D144,Milestones!$AA$20),"dd mmm yy"))&amp;" "&amp;Milestones!$AB$20&amp;" "&amp;Milestones!$AC$20&amp;";  ","")&amp;IF(AND(EDATE($D144,Milestones!$AA$21)&lt;=AsOfDate,IF($R144=0,$X144,IF(AND($T144&lt;&gt;"",EDATE($D144,Milestones!$AA$21)&gt;=$T144),$W144,IF(AND($S144&lt;&gt;"",EDATE($D144,Milestones!$AA$21)&gt;=$S144),$V144,$U144)))=Milestones!$AB$21),UPPER(TEXT(EDATE($D144,Milestones!$AA$21),"dd mmm yy"))&amp;" "&amp;Milestones!$AB$21&amp;" "&amp;Milestones!$AC$21&amp;";  ","")&amp;IF(AND(EDATE($D144,Milestones!$AA$22)&lt;=AsOfDate,IF($R144=0,$X144,IF(AND($T144&lt;&gt;"",EDATE($D144,Milestones!$AA$22)&gt;=$T144),$W144,IF(AND($S144&lt;&gt;"",EDATE($D144,Milestones!$AA$22)&gt;=$S144),$V144,$U144)))=Milestones!$AB$22),UPPER(TEXT(EDATE($D144,Milestones!$AA$22),"dd mmm yy"))&amp;" "&amp;Milestones!$AB$22&amp;" "&amp;Milestones!$AC$22&amp;";  ","")&amp;IF(AND(EDATE($D144,Milestones!$AA$23)&lt;=AsOfDate,IF($R144=0,$X144,IF(AND($T144&lt;&gt;"",EDATE($D144,Milestones!$AA$23)&gt;=$T144),$W144,IF(AND($S144&lt;&gt;"",EDATE($D144,Milestones!$AA$23)&gt;=$S144),$V144,$U144)))=Milestones!$AB$23),UPPER(TEXT(EDATE($D144,Milestones!$AA$23),"dd mmm yy"))&amp;" "&amp;Milestones!$AB$23&amp;" "&amp;Milestones!$AC$23&amp;";  ","")&amp;IF(AND(EDATE($D144,Milestones!$AA$24)&lt;=AsOfDate,IF($R144=0,$X144,IF(AND($T144&lt;&gt;"",EDATE($D144,Milestones!$AA$24)&gt;=$T144),$W144,IF(AND($S144&lt;&gt;"",EDATE($D144,Milestones!$AA$24)&gt;=$S144),$V144,$U144)))=Milestones!$AB$24),UPPER(TEXT(EDATE($D144,Milestones!$AA$24),"dd mmm yy"))&amp;" "&amp;Milestones!$AB$24&amp;" "&amp;Milestones!$AC$24&amp;";  ","")&amp;IF(AND(EDATE($D144,Milestones!$AA$25)&lt;=AsOfDate,IF($R144=0,$X144,IF(AND($T144&lt;&gt;"",EDATE($D144,Milestones!$AA$25)&gt;=$T144),$W144,IF(AND($S144&lt;&gt;"",EDATE($D144,Milestones!$AA$25)&gt;=$S144),$V144,$U144)))=Milestones!$AB$25),UPPER(TEXT(EDATE($D144,Milestones!$AA$25),"dd mmm yy"))&amp;" "&amp;Milestones!$AB$25&amp;" "&amp;Milestones!$AC$25&amp;";  ","")&amp;IF(AND(EDATE($D144,Milestones!$AA$26)&lt;=AsOfDate,IF($R144=0,$X144,IF(AND($T144&lt;&gt;"",EDATE($D144,Milestones!$AA$26)&gt;=$T144),$W144,IF(AND($S144&lt;&gt;"",EDATE($D144,Milestones!$AA$26)&gt;=$S144),$V144,$U144)))=Milestones!$AB$26),UPPER(TEXT(EDATE($D144,Milestones!$AA$26),"dd mmm yy"))&amp;" "&amp;Milestones!$AB$26&amp;" "&amp;Milestones!$AC$26&amp;";  ","")&amp;IF(AND(EDATE($D144,Milestones!$AA$27)&lt;=AsOfDate,IF($R144=0,$X144,IF(AND($T144&lt;&gt;"",EDATE($D144,Milestones!$AA$27)&gt;=$T144),$W144,IF(AND($S144&lt;&gt;"",EDATE($D144,Milestones!$AA$27)&gt;=$S144),$V144,$U144)))=Milestones!$AB$27),UPPER(TEXT(EDATE($D144,Milestones!$AA$27),"dd mmm yy"))&amp;" "&amp;Milestones!$AB$27&amp;" "&amp;Milestones!$AC$27&amp;";  ","")&amp;IF(AND(EDATE($D144,Milestones!$AA$28)&lt;=AsOfDate,IF($R144=0,$X144,IF(AND($T144&lt;&gt;"",EDATE($D144,Milestones!$AA$28)&gt;=$T144),$W144,IF(AND($S144&lt;&gt;"",EDATE($D144,Milestones!$AA$28)&gt;=$S144),$V144,$U144)))=Milestones!$AB$28),UPPER(TEXT(EDATE($D144,Milestones!$AA$28),"dd mmm yy"))&amp;" "&amp;Milestones!$AB$28&amp;" "&amp;Milestones!$AC$28&amp;";  ","")&amp;IF(AND(EDATE($D144,Milestones!$AA$29)&lt;=AsOfDate,IF($R144=0,$X144,IF(AND($T144&lt;&gt;"",EDATE($D144,Milestones!$AA$29)&gt;=$T144),$W144,IF(AND($S144&lt;&gt;"",EDATE($D144,Milestones!$AA$29)&gt;=$S144),$V144,$U144)))=Milestones!$AB$29),UPPER(TEXT(EDATE($D144,Milestones!$AA$29),"dd mmm yy"))&amp;" "&amp;Milestones!$AB$29&amp;" "&amp;Milestones!$AC$29&amp;";  ","")&amp;IF(AND(EDATE($D144,Milestones!$AA$30)&lt;=AsOfDate,IF($R144=0,$X144,IF(AND($T144&lt;&gt;"",EDATE($D144,Milestones!$AA$30)&gt;=$T144),$W144,IF(AND($S144&lt;&gt;"",EDATE($D144,Milestones!$AA$30)&gt;=$S144),$V144,$U144)))=Milestones!$AB$30),UPPER(TEXT(EDATE($D144,Milestones!$AA$30),"dd mmm yy"))&amp;" "&amp;Milestones!$AB$30&amp;" "&amp;Milestones!$AC$30&amp;";  ","")&amp;IF(AND(EDATE($D144,Milestones!$AA$31)&lt;=AsOfDate,IF($R144=0,$X144,IF(AND($T144&lt;&gt;"",EDATE($D144,Milestones!$AA$31)&gt;=$T144),$W144,IF(AND($S144&lt;&gt;"",EDATE($D144,Milestones!$AA$31)&gt;=$S144),$V144,$U144)))=Milestones!$AB$31),UPPER(TEXT(EDATE($D144,Milestones!$AA$31),"dd mmm yy"))&amp;" "&amp;Milestones!$AB$31&amp;" "&amp;Milestones!$AC$31&amp;";  ","")&amp;IF(AND(EDATE($D144,Milestones!$AA$32)&lt;=AsOfDate,IF($R144=0,$X144,IF(AND($T144&lt;&gt;"",EDATE($D144,Milestones!$AA$32)&gt;=$T144),$W144,IF(AND($S144&lt;&gt;"",EDATE($D144,Milestones!$AA$32)&gt;=$S144),$V144,$U144)))=Milestones!$AB$32),UPPER(TEXT(EDATE($D144,Milestones!$AA$32),"dd mmm yy"))&amp;" "&amp;Milestones!$AB$32&amp;" "&amp;Milestones!$AC$32&amp;";  ","")&amp;IF(AND(EDATE($D144,Milestones!$AA$33)&lt;=AsOfDate,IF($R144=0,$X144,IF(AND($T144&lt;&gt;"",EDATE($D144,Milestones!$AA$33)&gt;=$T144),$W144,IF(AND($S144&lt;&gt;"",EDATE($D144,Milestones!$AA$33)&gt;=$S144),$V144,$U144)))=Milestones!$AB$33),UPPER(TEXT(EDATE($D144,Milestones!$AA$33),"dd mmm yy"))&amp;" "&amp;Milestones!$AB$33&amp;" "&amp;Milestones!$AC$33&amp;";  ","")&amp;IF(AND(EDATE($D144,Milestones!$AA$34)&lt;=AsOfDate,IF($R144=0,$X144,IF(AND($T144&lt;&gt;"",EDATE($D144,Milestones!$AA$34)&gt;=$T144),$W144,IF(AND($S144&lt;&gt;"",EDATE($D144,Milestones!$AA$34)&gt;=$S144),$V144,$U144)))=Milestones!$AB$34),UPPER(TEXT(EDATE($D144,Milestones!$AA$34),"dd mmm yy"))&amp;" "&amp;Milestones!$AB$34&amp;" "&amp;Milestones!$AC$34&amp;";  ","")&amp;IF(AND(EDATE($D144,Milestones!$AA$35)&lt;=AsOfDate,IF($R144=0,$X144,IF(AND($T144&lt;&gt;"",EDATE($D144,Milestones!$AA$35)&gt;=$T144),$W144,IF(AND($S144&lt;&gt;"",EDATE($D144,Milestones!$AA$35)&gt;=$S144),$V144,$U144)))=Milestones!$AB$35),UPPER(TEXT(EDATE($D144,Milestones!$AA$35),"dd mmm yy"))&amp;" "&amp;Milestones!$AB$35&amp;" "&amp;Milestones!$AC$35&amp;";  ","")&amp;IF(AND(EDATE($D144,Milestones!$AA$36)&lt;=AsOfDate,IF($R144=0,$X144,IF(AND($T144&lt;&gt;"",EDATE($D144,Milestones!$AA$36)&gt;=$T144),$W144,IF(AND($S144&lt;&gt;"",EDATE($D144,Milestones!$AA$36)&gt;=$S144),$V144,$U144)))=Milestones!$AB$36),UPPER(TEXT(EDATE($D144,Milestones!$AA$36),"dd mmm yy"))&amp;" "&amp;Milestones!$AB$36&amp;" "&amp;Milestones!$AC$36&amp;";  ","")&amp;IF(AND(EDATE($D144,Milestones!$AA$37)&lt;=AsOfDate,IF($R144=0,$X144,IF(AND($T144&lt;&gt;"",EDATE($D144,Milestones!$AA$37)&gt;=$T144),$W144,IF(AND($S144&lt;&gt;"",EDATE($D144,Milestones!$AA$37)&gt;=$S144),$V144,$U144)))=Milestones!$AB$37),UPPER(TEXT(EDATE($D144,Milestones!$AA$37),"dd mmm yy"))&amp;" "&amp;Milestones!$AB$37&amp;" "&amp;Milestones!$AC$37&amp;";  ","")&amp;IF(AND(EDATE($D144,Milestones!$AA$38)&lt;=AsOfDate,IF($R144=0,$X144,IF(AND($T144&lt;&gt;"",EDATE($D144,Milestones!$AA$38)&gt;=$T144),$W144,IF(AND($S144&lt;&gt;"",EDATE($D144,Milestones!$AA$38)&gt;=$S144),$V144,$U144)))=Milestones!$AB$38),UPPER(TEXT(EDATE($D144,Milestones!$AA$38),"dd mmm yy"))&amp;" "&amp;Milestones!$AB$38&amp;" "&amp;Milestones!$AC$38&amp;";  ","")&amp;IF(AND(EDATE($D144,Milestones!$AA$39)&lt;=AsOfDate,IF($R144=0,$X144,IF(AND($T144&lt;&gt;"",EDATE($D144,Milestones!$AA$39)&gt;=$T144),$W144,IF(AND($S144&lt;&gt;"",EDATE($D144,Milestones!$AA$39)&gt;=$S144),$V144,$U144)))=Milestones!$AB$39),UPPER(TEXT(EDATE($D144,Milestones!$AA$39),"dd mmm yy"))&amp;" "&amp;Milestones!$AB$39&amp;" "&amp;Milestones!$AC$39&amp;";  ",""))</f>
        <v/>
      </c>
      <c r="J144" s="0" t="str">
        <f aca="false">IF(OR($A144="",$D144=""),"",IF(AND(EDATE($D144,Milestones!$AA$40)&lt;=AsOfDate,IF($R144=0,$X144,IF(AND($T144&lt;&gt;"",EDATE($D144,Milestones!$AA$40)&gt;=$T144),$W144,IF(AND($S144&lt;&gt;"",EDATE($D144,Milestones!$AA$40)&gt;=$S144),$V144,$U144)))=Milestones!$AB$40),UPPER(TEXT(EDATE($D144,Milestones!$AA$40),"dd mmm yy"))&amp;" "&amp;Milestones!$AB$40&amp;" "&amp;Milestones!$AC$40&amp;";  ","")&amp;IF(AND(EDATE($D144,Milestones!$AA$41)&lt;=AsOfDate,IF($R144=0,$X144,IF(AND($T144&lt;&gt;"",EDATE($D144,Milestones!$AA$41)&gt;=$T144),$W144,IF(AND($S144&lt;&gt;"",EDATE($D144,Milestones!$AA$41)&gt;=$S144),$V144,$U144)))=Milestones!$AB$41),UPPER(TEXT(EDATE($D144,Milestones!$AA$41),"dd mmm yy"))&amp;" "&amp;Milestones!$AB$41&amp;" "&amp;Milestones!$AC$41&amp;";  ","")&amp;IF(AND(EDATE($D144,Milestones!$AA$42)&lt;=AsOfDate,IF($R144=0,$X144,IF(AND($T144&lt;&gt;"",EDATE($D144,Milestones!$AA$42)&gt;=$T144),$W144,IF(AND($S144&lt;&gt;"",EDATE($D144,Milestones!$AA$42)&gt;=$S144),$V144,$U144)))=Milestones!$AB$42),UPPER(TEXT(EDATE($D144,Milestones!$AA$42),"dd mmm yy"))&amp;" "&amp;Milestones!$AB$42&amp;" "&amp;Milestones!$AC$42&amp;";  ","")&amp;IF(AND(EDATE($D144,Milestones!$AA$43)&lt;=AsOfDate,IF($R144=0,$X144,IF(AND($T144&lt;&gt;"",EDATE($D144,Milestones!$AA$43)&gt;=$T144),$W144,IF(AND($S144&lt;&gt;"",EDATE($D144,Milestones!$AA$43)&gt;=$S144),$V144,$U144)))=Milestones!$AB$43),UPPER(TEXT(EDATE($D144,Milestones!$AA$43),"dd mmm yy"))&amp;" "&amp;Milestones!$AB$43&amp;" "&amp;Milestones!$AC$43&amp;";  ","")&amp;IF(AND(EDATE($D144,Milestones!$AA$44)&lt;=AsOfDate,IF($R144=0,$X144,IF(AND($T144&lt;&gt;"",EDATE($D144,Milestones!$AA$44)&gt;=$T144),$W144,IF(AND($S144&lt;&gt;"",EDATE($D144,Milestones!$AA$44)&gt;=$S144),$V144,$U144)))=Milestones!$AB$44),UPPER(TEXT(EDATE($D144,Milestones!$AA$44),"dd mmm yy"))&amp;" "&amp;Milestones!$AB$44&amp;" "&amp;Milestones!$AC$44&amp;";  ","")&amp;IF(AND(EDATE($D144,Milestones!$AA$45)&lt;=AsOfDate,IF($R144=0,$X144,IF(AND($T144&lt;&gt;"",EDATE($D144,Milestones!$AA$45)&gt;=$T144),$W144,IF(AND($S144&lt;&gt;"",EDATE($D144,Milestones!$AA$45)&gt;=$S144),$V144,$U144)))=Milestones!$AB$45),UPPER(TEXT(EDATE($D144,Milestones!$AA$45),"dd mmm yy"))&amp;" "&amp;Milestones!$AB$45&amp;" "&amp;Milestones!$AC$45&amp;";  ","")&amp;IF(AND(EDATE($D144,Milestones!$AA$46)&lt;=AsOfDate,IF($R144=0,$X144,IF(AND($T144&lt;&gt;"",EDATE($D144,Milestones!$AA$46)&gt;=$T144),$W144,IF(AND($S144&lt;&gt;"",EDATE($D144,Milestones!$AA$46)&gt;=$S144),$V144,$U144)))=Milestones!$AB$46),UPPER(TEXT(EDATE($D144,Milestones!$AA$46),"dd mmm yy"))&amp;" "&amp;Milestones!$AB$46&amp;" "&amp;Milestones!$AC$46&amp;";  ","")&amp;IF(AND(EDATE($D144,Milestones!$AA$47)&lt;=AsOfDate,IF($R144=0,$X144,IF(AND($T144&lt;&gt;"",EDATE($D144,Milestones!$AA$47)&gt;=$T144),$W144,IF(AND($S144&lt;&gt;"",EDATE($D144,Milestones!$AA$47)&gt;=$S144),$V144,$U144)))=Milestones!$AB$47),UPPER(TEXT(EDATE($D144,Milestones!$AA$47),"dd mmm yy"))&amp;" "&amp;Milestones!$AB$47&amp;" "&amp;Milestones!$AC$47&amp;";  ","")&amp;IF(AND(EDATE($D144,Milestones!$AA$48)&lt;=AsOfDate,IF($R144=0,$X144,IF(AND($T144&lt;&gt;"",EDATE($D144,Milestones!$AA$48)&gt;=$T144),$W144,IF(AND($S144&lt;&gt;"",EDATE($D144,Milestones!$AA$48)&gt;=$S144),$V144,$U144)))=Milestones!$AB$48),UPPER(TEXT(EDATE($D144,Milestones!$AA$48),"dd mmm yy"))&amp;" "&amp;Milestones!$AB$48&amp;" "&amp;Milestones!$AC$48&amp;";  ","")&amp;IF(AND(EDATE($D144,Milestones!$AA$49)&lt;=AsOfDate,IF($R144=0,$X144,IF(AND($T144&lt;&gt;"",EDATE($D144,Milestones!$AA$49)&gt;=$T144),$W144,IF(AND($S144&lt;&gt;"",EDATE($D144,Milestones!$AA$49)&gt;=$S144),$V144,$U144)))=Milestones!$AB$49),UPPER(TEXT(EDATE($D144,Milestones!$AA$49),"dd mmm yy"))&amp;" "&amp;Milestones!$AB$49&amp;" "&amp;Milestones!$AC$49&amp;";  ","")&amp;IF(AND(EDATE($D144,Milestones!$AA$50)&lt;=AsOfDate,IF($R144=0,$X144,IF(AND($T144&lt;&gt;"",EDATE($D144,Milestones!$AA$50)&gt;=$T144),$W144,IF(AND($S144&lt;&gt;"",EDATE($D144,Milestones!$AA$50)&gt;=$S144),$V144,$U144)))=Milestones!$AB$50),UPPER(TEXT(EDATE($D144,Milestones!$AA$50),"dd mmm yy"))&amp;" "&amp;Milestones!$AB$50&amp;" "&amp;Milestones!$AC$50&amp;";  ","")&amp;IF(AND(EDATE($D144,Milestones!$AA$51)&lt;=AsOfDate,IF($R144=0,$X144,IF(AND($T144&lt;&gt;"",EDATE($D144,Milestones!$AA$51)&gt;=$T144),$W144,IF(AND($S144&lt;&gt;"",EDATE($D144,Milestones!$AA$51)&gt;=$S144),$V144,$U144)))=Milestones!$AB$51),UPPER(TEXT(EDATE($D144,Milestones!$AA$51),"dd mmm yy"))&amp;" "&amp;Milestones!$AB$51&amp;" "&amp;Milestones!$AC$51&amp;";  ","")&amp;IF(AND(EDATE($D144,Milestones!$AA$52)&lt;=AsOfDate,IF($R144=0,$X144,IF(AND($T144&lt;&gt;"",EDATE($D144,Milestones!$AA$52)&gt;=$T144),$W144,IF(AND($S144&lt;&gt;"",EDATE($D144,Milestones!$AA$52)&gt;=$S144),$V144,$U144)))=Milestones!$AB$52),UPPER(TEXT(EDATE($D144,Milestones!$AA$52),"dd mmm yy"))&amp;" "&amp;Milestones!$AB$52&amp;" "&amp;Milestones!$AC$52&amp;";  ","")&amp;IF(AND(EDATE($D144,Milestones!$AA$53)&lt;=AsOfDate,IF($R144=0,$X144,IF(AND($T144&lt;&gt;"",EDATE($D144,Milestones!$AA$53)&gt;=$T144),$W144,IF(AND($S144&lt;&gt;"",EDATE($D144,Milestones!$AA$53)&gt;=$S144),$V144,$U144)))=Milestones!$AB$53),UPPER(TEXT(EDATE($D144,Milestones!$AA$53),"dd mmm yy"))&amp;" "&amp;Milestones!$AB$53&amp;" "&amp;Milestones!$AC$53&amp;";  ","")&amp;IF(AND(EDATE($D144,Milestones!$AA$54)&lt;=AsOfDate,IF($R144=0,$X144,IF(AND($T144&lt;&gt;"",EDATE($D144,Milestones!$AA$54)&gt;=$T144),$W144,IF(AND($S144&lt;&gt;"",EDATE($D144,Milestones!$AA$54)&gt;=$S144),$V144,$U144)))=Milestones!$AB$54),UPPER(TEXT(EDATE($D144,Milestones!$AA$54),"dd mmm yy"))&amp;" "&amp;Milestones!$AB$54&amp;" "&amp;Milestones!$AC$54&amp;";  ","")&amp;IF(AND(EDATE($D144,Milestones!$AA$55)&lt;=AsOfDate,IF($R144=0,$X144,IF(AND($T144&lt;&gt;"",EDATE($D144,Milestones!$AA$55)&gt;=$T144),$W144,IF(AND($S144&lt;&gt;"",EDATE($D144,Milestones!$AA$55)&gt;=$S144),$V144,$U144)))=Milestones!$AB$55),UPPER(TEXT(EDATE($D144,Milestones!$AA$55),"dd mmm yy"))&amp;" "&amp;Milestones!$AB$55&amp;" "&amp;Milestones!$AC$55&amp;";  ","")&amp;IF(AND(EDATE($D144,Milestones!$AA$56)&lt;=AsOfDate,IF($R144=0,$X144,IF(AND($T144&lt;&gt;"",EDATE($D144,Milestones!$AA$56)&gt;=$T144),$W144,IF(AND($S144&lt;&gt;"",EDATE($D144,Milestones!$AA$56)&gt;=$S144),$V144,$U144)))=Milestones!$AB$56),UPPER(TEXT(EDATE($D144,Milestones!$AA$56),"dd mmm yy"))&amp;" "&amp;Milestones!$AB$56&amp;" "&amp;Milestones!$AC$56&amp;";  ","")&amp;IF(AND(EDATE($D144,Milestones!$AA$57)&lt;=AsOfDate,IF($R144=0,$X144,IF(AND($T144&lt;&gt;"",EDATE($D144,Milestones!$AA$57)&gt;=$T144),$W144,IF(AND($S144&lt;&gt;"",EDATE($D144,Milestones!$AA$57)&gt;=$S144),$V144,$U144)))=Milestones!$AB$57),UPPER(TEXT(EDATE($D144,Milestones!$AA$57),"dd mmm yy"))&amp;" "&amp;Milestones!$AB$57&amp;" "&amp;Milestones!$AC$57&amp;";  ","")&amp;IF(AND(EDATE($D144,Milestones!$AA$58)&lt;=AsOfDate,IF($R144=0,$X144,IF(AND($T144&lt;&gt;"",EDATE($D144,Milestones!$AA$58)&gt;=$T144),$W144,IF(AND($S144&lt;&gt;"",EDATE($D144,Milestones!$AA$58)&gt;=$S144),$V144,$U144)))=Milestones!$AB$58),UPPER(TEXT(EDATE($D144,Milestones!$AA$58),"dd mmm yy"))&amp;" "&amp;Milestones!$AB$58&amp;" "&amp;Milestones!$AC$58&amp;";  ","")&amp;IF(AND(EDATE($D144,Milestones!$AA$59)&lt;=AsOfDate,IF($R144=0,$X144,IF(AND($T144&lt;&gt;"",EDATE($D144,Milestones!$AA$59)&gt;=$T144),$W144,IF(AND($S144&lt;&gt;"",EDATE($D144,Milestones!$AA$59)&gt;=$S144),$V144,$U144)))=Milestones!$AB$59),UPPER(TEXT(EDATE($D144,Milestones!$AA$59),"dd mmm yy"))&amp;" "&amp;Milestones!$AB$59&amp;" "&amp;Milestones!$AC$59&amp;";  ",""))</f>
        <v/>
      </c>
      <c r="K144" s="0" t="str">
        <f aca="false">IF(OR($A144="",$D144=""),"",IF(AND(EDATE($D144,Milestones!$AA$60)&lt;=AsOfDate,IF($R144=0,$X144,IF(AND($T144&lt;&gt;"",EDATE($D144,Milestones!$AA$60)&gt;=$T144),$W144,IF(AND($S144&lt;&gt;"",EDATE($D144,Milestones!$AA$60)&gt;=$S144),$V144,$U144)))=Milestones!$AB$60),UPPER(TEXT(EDATE($D144,Milestones!$AA$60),"dd mmm yy"))&amp;" "&amp;Milestones!$AB$60&amp;" "&amp;Milestones!$AC$60&amp;";  ","")&amp;IF(AND(EDATE($D144,Milestones!$AA$61)&lt;=AsOfDate,IF($R144=0,$X144,IF(AND($T144&lt;&gt;"",EDATE($D144,Milestones!$AA$61)&gt;=$T144),$W144,IF(AND($S144&lt;&gt;"",EDATE($D144,Milestones!$AA$61)&gt;=$S144),$V144,$U144)))=Milestones!$AB$61),UPPER(TEXT(EDATE($D144,Milestones!$AA$61),"dd mmm yy"))&amp;" "&amp;Milestones!$AB$61&amp;" "&amp;Milestones!$AC$61&amp;";  ","")&amp;IF(AND(EDATE($D144,Milestones!$AA$62)&lt;=AsOfDate,IF($R144=0,$X144,IF(AND($T144&lt;&gt;"",EDATE($D144,Milestones!$AA$62)&gt;=$T144),$W144,IF(AND($S144&lt;&gt;"",EDATE($D144,Milestones!$AA$62)&gt;=$S144),$V144,$U144)))=Milestones!$AB$62),UPPER(TEXT(EDATE($D144,Milestones!$AA$62),"dd mmm yy"))&amp;" "&amp;Milestones!$AB$62&amp;" "&amp;Milestones!$AC$62&amp;";  ","")&amp;IF(AND(EDATE($D144,Milestones!$AA$63)&lt;=AsOfDate,IF($R144=0,$X144,IF(AND($T144&lt;&gt;"",EDATE($D144,Milestones!$AA$63)&gt;=$T144),$W144,IF(AND($S144&lt;&gt;"",EDATE($D144,Milestones!$AA$63)&gt;=$S144),$V144,$U144)))=Milestones!$AB$63),UPPER(TEXT(EDATE($D144,Milestones!$AA$63),"dd mmm yy"))&amp;" "&amp;Milestones!$AB$63&amp;" "&amp;Milestones!$AC$63&amp;";  ","")&amp;IF(AND(EDATE($D144,Milestones!$AA$64)&lt;=AsOfDate,IF($R144=0,$X144,IF(AND($T144&lt;&gt;"",EDATE($D144,Milestones!$AA$64)&gt;=$T144),$W144,IF(AND($S144&lt;&gt;"",EDATE($D144,Milestones!$AA$64)&gt;=$S144),$V144,$U144)))=Milestones!$AB$64),UPPER(TEXT(EDATE($D144,Milestones!$AA$64),"dd mmm yy"))&amp;" "&amp;Milestones!$AB$64&amp;" "&amp;Milestones!$AC$64&amp;";  ","")&amp;IF(AND(EDATE($D144,Milestones!$AA$65)&lt;=AsOfDate,IF($R144=0,$X144,IF(AND($T144&lt;&gt;"",EDATE($D144,Milestones!$AA$65)&gt;=$T144),$W144,IF(AND($S144&lt;&gt;"",EDATE($D144,Milestones!$AA$65)&gt;=$S144),$V144,$U144)))=Milestones!$AB$65),UPPER(TEXT(EDATE($D144,Milestones!$AA$65),"dd mmm yy"))&amp;" "&amp;Milestones!$AB$65&amp;" "&amp;Milestones!$AC$65&amp;";  ","")&amp;IF(AND(EDATE($D144,Milestones!$AA$66)&lt;=AsOfDate,IF($R144=0,$X144,IF(AND($T144&lt;&gt;"",EDATE($D144,Milestones!$AA$66)&gt;=$T144),$W144,IF(AND($S144&lt;&gt;"",EDATE($D144,Milestones!$AA$66)&gt;=$S144),$V144,$U144)))=Milestones!$AB$66),UPPER(TEXT(EDATE($D144,Milestones!$AA$66),"dd mmm yy"))&amp;" "&amp;Milestones!$AB$66&amp;" "&amp;Milestones!$AC$66&amp;";  ","")&amp;IF(AND(EDATE($D144,Milestones!$AA$67)&lt;=AsOfDate,IF($R144=0,$X144,IF(AND($T144&lt;&gt;"",EDATE($D144,Milestones!$AA$67)&gt;=$T144),$W144,IF(AND($S144&lt;&gt;"",EDATE($D144,Milestones!$AA$67)&gt;=$S144),$V144,$U144)))=Milestones!$AB$67),UPPER(TEXT(EDATE($D144,Milestones!$AA$67),"dd mmm yy"))&amp;" "&amp;Milestones!$AB$67&amp;" "&amp;Milestones!$AC$67&amp;";  ","")&amp;IF(AND(EDATE($D144,Milestones!$AA$68)&lt;=AsOfDate,IF($R144=0,$X144,IF(AND($T144&lt;&gt;"",EDATE($D144,Milestones!$AA$68)&gt;=$T144),$W144,IF(AND($S144&lt;&gt;"",EDATE($D144,Milestones!$AA$68)&gt;=$S144),$V144,$U144)))=Milestones!$AB$68),UPPER(TEXT(EDATE($D144,Milestones!$AA$68),"dd mmm yy"))&amp;" "&amp;Milestones!$AB$68&amp;" "&amp;Milestones!$AC$68&amp;";  ","")&amp;IF(AND(EDATE($D144,Milestones!$AA$69)&lt;=AsOfDate,IF($R144=0,$X144,IF(AND($T144&lt;&gt;"",EDATE($D144,Milestones!$AA$69)&gt;=$T144),$W144,IF(AND($S144&lt;&gt;"",EDATE($D144,Milestones!$AA$69)&gt;=$S144),$V144,$U144)))=Milestones!$AB$69),UPPER(TEXT(EDATE($D144,Milestones!$AA$69),"dd mmm yy"))&amp;" "&amp;Milestones!$AB$69&amp;" "&amp;Milestones!$AC$69&amp;";  ","")&amp;IF(AND(EDATE($D144,Milestones!$AA$70)&lt;=AsOfDate,IF($R144=0,$X144,IF(AND($T144&lt;&gt;"",EDATE($D144,Milestones!$AA$70)&gt;=$T144),$W144,IF(AND($S144&lt;&gt;"",EDATE($D144,Milestones!$AA$70)&gt;=$S144),$V144,$U144)))=Milestones!$AB$70),UPPER(TEXT(EDATE($D144,Milestones!$AA$70),"dd mmm yy"))&amp;" "&amp;Milestones!$AB$70&amp;" "&amp;Milestones!$AC$70&amp;";  ","")&amp;IF(AND(EDATE($D144,Milestones!$AA$71)&lt;=AsOfDate,IF($R144=0,$X144,IF(AND($T144&lt;&gt;"",EDATE($D144,Milestones!$AA$71)&gt;=$T144),$W144,IF(AND($S144&lt;&gt;"",EDATE($D144,Milestones!$AA$71)&gt;=$S144),$V144,$U144)))=Milestones!$AB$71),UPPER(TEXT(EDATE($D144,Milestones!$AA$71),"dd mmm yy"))&amp;" "&amp;Milestones!$AB$71&amp;" "&amp;Milestones!$AC$71&amp;";  ","")&amp;IF(AND(EDATE($D144,Milestones!$AA$72)&lt;=AsOfDate,IF($R144=0,$X144,IF(AND($T144&lt;&gt;"",EDATE($D144,Milestones!$AA$72)&gt;=$T144),$W144,IF(AND($S144&lt;&gt;"",EDATE($D144,Milestones!$AA$72)&gt;=$S144),$V144,$U144)))=Milestones!$AB$72),UPPER(TEXT(EDATE($D144,Milestones!$AA$72),"dd mmm yy"))&amp;" "&amp;Milestones!$AB$72&amp;" "&amp;Milestones!$AC$72&amp;";  ","")&amp;IF(AND(EDATE($D144,Milestones!$AA$73)&lt;=AsOfDate,IF($R144=0,$X144,IF(AND($T144&lt;&gt;"",EDATE($D144,Milestones!$AA$73)&gt;=$T144),$W144,IF(AND($S144&lt;&gt;"",EDATE($D144,Milestones!$AA$73)&gt;=$S144),$V144,$U144)))=Milestones!$AB$73),UPPER(TEXT(EDATE($D144,Milestones!$AA$73),"dd mmm yy"))&amp;" "&amp;Milestones!$AB$73&amp;" "&amp;Milestones!$AC$73&amp;";  ","")&amp;IF(AND(EDATE($D144,Milestones!$AA$74)&lt;=AsOfDate,IF($R144=0,$X144,IF(AND($T144&lt;&gt;"",EDATE($D144,Milestones!$AA$74)&gt;=$T144),$W144,IF(AND($S144&lt;&gt;"",EDATE($D144,Milestones!$AA$74)&gt;=$S144),$V144,$U144)))=Milestones!$AB$74),UPPER(TEXT(EDATE($D144,Milestones!$AA$74),"dd mmm yy"))&amp;" "&amp;Milestones!$AB$74&amp;" "&amp;Milestones!$AC$74&amp;";  ","")&amp;IF(AND(EDATE($D144,Milestones!$AA$75)&lt;=AsOfDate,IF($R144=0,$X144,IF(AND($T144&lt;&gt;"",EDATE($D144,Milestones!$AA$75)&gt;=$T144),$W144,IF(AND($S144&lt;&gt;"",EDATE($D144,Milestones!$AA$75)&gt;=$S144),$V144,$U144)))=Milestones!$AB$75),UPPER(TEXT(EDATE($D144,Milestones!$AA$75),"dd mmm yy"))&amp;" "&amp;Milestones!$AB$75&amp;" "&amp;Milestones!$AC$75&amp;";  ","")&amp;IF(AND(EDATE($D144,Milestones!$AA$76)&lt;=AsOfDate,IF($R144=0,$X144,IF(AND($T144&lt;&gt;"",EDATE($D144,Milestones!$AA$76)&gt;=$T144),$W144,IF(AND($S144&lt;&gt;"",EDATE($D144,Milestones!$AA$76)&gt;=$S144),$V144,$U144)))=Milestones!$AB$76),UPPER(TEXT(EDATE($D144,Milestones!$AA$76),"dd mmm yy"))&amp;" "&amp;Milestones!$AB$76&amp;" "&amp;Milestones!$AC$76&amp;";  ","")&amp;IF(AND(EDATE($D144,Milestones!$AA$77)&lt;=AsOfDate,IF($R144=0,$X144,IF(AND($T144&lt;&gt;"",EDATE($D144,Milestones!$AA$77)&gt;=$T144),$W144,IF(AND($S144&lt;&gt;"",EDATE($D144,Milestones!$AA$77)&gt;=$S144),$V144,$U144)))=Milestones!$AB$77),UPPER(TEXT(EDATE($D144,Milestones!$AA$77),"dd mmm yy"))&amp;" "&amp;Milestones!$AB$77&amp;" "&amp;Milestones!$AC$77&amp;";  ","")&amp;IF(AND(EDATE($D144,Milestones!$AA$78)&lt;=AsOfDate,IF($R144=0,$X144,IF(AND($T144&lt;&gt;"",EDATE($D144,Milestones!$AA$78)&gt;=$T144),$W144,IF(AND($S144&lt;&gt;"",EDATE($D144,Milestones!$AA$78)&gt;=$S144),$V144,$U144)))=Milestones!$AB$78),UPPER(TEXT(EDATE($D144,Milestones!$AA$78),"dd mmm yy"))&amp;" "&amp;Milestones!$AB$78&amp;" "&amp;Milestones!$AC$78&amp;";  ","")&amp;IF(AND(EDATE($D144,Milestones!$AA$79)&lt;=AsOfDate,IF($R144=0,$X144,IF(AND($T144&lt;&gt;"",EDATE($D144,Milestones!$AA$79)&gt;=$T144),$W144,IF(AND($S144&lt;&gt;"",EDATE($D144,Milestones!$AA$79)&gt;=$S144),$V144,$U144)))=Milestones!$AB$79),UPPER(TEXT(EDATE($D144,Milestones!$AA$79),"dd mmm yy"))&amp;" "&amp;Milestones!$AB$79&amp;" "&amp;Milestones!$AC$79&amp;";  ",""))</f>
        <v/>
      </c>
      <c r="L144" s="0" t="str">
        <f aca="false">IF(OR($A144="",$D144=""),"",IF(AND(EDATE($D144,Milestones!$AA$80)&lt;=AsOfDate,IF($R144=0,$X144,IF(AND($T144&lt;&gt;"",EDATE($D144,Milestones!$AA$80)&gt;=$T144),$W144,IF(AND($S144&lt;&gt;"",EDATE($D144,Milestones!$AA$80)&gt;=$S144),$V144,$U144)))=Milestones!$AB$80),UPPER(TEXT(EDATE($D144,Milestones!$AA$80),"dd mmm yy"))&amp;" "&amp;Milestones!$AB$80&amp;" "&amp;Milestones!$AC$80&amp;";  ","")&amp;IF(AND(EDATE($D144,Milestones!$AA$81)&lt;=AsOfDate,IF($R144=0,$X144,IF(AND($T144&lt;&gt;"",EDATE($D144,Milestones!$AA$81)&gt;=$T144),$W144,IF(AND($S144&lt;&gt;"",EDATE($D144,Milestones!$AA$81)&gt;=$S144),$V144,$U144)))=Milestones!$AB$81),UPPER(TEXT(EDATE($D144,Milestones!$AA$81),"dd mmm yy"))&amp;" "&amp;Milestones!$AB$81&amp;" "&amp;Milestones!$AC$81&amp;";  ","")&amp;IF(AND(EDATE($D144,Milestones!$AA$82)&lt;=AsOfDate,IF($R144=0,$X144,IF(AND($T144&lt;&gt;"",EDATE($D144,Milestones!$AA$82)&gt;=$T144),$W144,IF(AND($S144&lt;&gt;"",EDATE($D144,Milestones!$AA$82)&gt;=$S144),$V144,$U144)))=Milestones!$AB$82),UPPER(TEXT(EDATE($D144,Milestones!$AA$82),"dd mmm yy"))&amp;" "&amp;Milestones!$AB$82&amp;" "&amp;Milestones!$AC$82&amp;";  ","")&amp;IF(AND(EDATE($D144,Milestones!$AA$83)&lt;=AsOfDate,IF($R144=0,$X144,IF(AND($T144&lt;&gt;"",EDATE($D144,Milestones!$AA$83)&gt;=$T144),$W144,IF(AND($S144&lt;&gt;"",EDATE($D144,Milestones!$AA$83)&gt;=$S144),$V144,$U144)))=Milestones!$AB$83),UPPER(TEXT(EDATE($D144,Milestones!$AA$83),"dd mmm yy"))&amp;" "&amp;Milestones!$AB$83&amp;" "&amp;Milestones!$AC$83&amp;";  ","")&amp;IF(AND(EDATE($D144,Milestones!$AA$84)&lt;=AsOfDate,IF($R144=0,$X144,IF(AND($T144&lt;&gt;"",EDATE($D144,Milestones!$AA$84)&gt;=$T144),$W144,IF(AND($S144&lt;&gt;"",EDATE($D144,Milestones!$AA$84)&gt;=$S144),$V144,$U144)))=Milestones!$AB$84),UPPER(TEXT(EDATE($D144,Milestones!$AA$84),"dd mmm yy"))&amp;" "&amp;Milestones!$AB$84&amp;" "&amp;Milestones!$AC$84&amp;";  ","")&amp;IF(AND(EDATE($D144,Milestones!$AA$85)&lt;=AsOfDate,IF($R144=0,$X144,IF(AND($T144&lt;&gt;"",EDATE($D144,Milestones!$AA$85)&gt;=$T144),$W144,IF(AND($S144&lt;&gt;"",EDATE($D144,Milestones!$AA$85)&gt;=$S144),$V144,$U144)))=Milestones!$AB$85),UPPER(TEXT(EDATE($D144,Milestones!$AA$85),"dd mmm yy"))&amp;" "&amp;Milestones!$AB$85&amp;" "&amp;Milestones!$AC$85&amp;";  ","")&amp;IF(AND(EDATE($D144,Milestones!$AA$86)&lt;=AsOfDate,IF($R144=0,$X144,IF(AND($T144&lt;&gt;"",EDATE($D144,Milestones!$AA$86)&gt;=$T144),$W144,IF(AND($S144&lt;&gt;"",EDATE($D144,Milestones!$AA$86)&gt;=$S144),$V144,$U144)))=Milestones!$AB$86),UPPER(TEXT(EDATE($D144,Milestones!$AA$86),"dd mmm yy"))&amp;" "&amp;Milestones!$AB$86&amp;" "&amp;Milestones!$AC$86&amp;";  ","")&amp;IF(AND(EDATE($D144,Milestones!$AA$87)&lt;=AsOfDate,IF($R144=0,$X144,IF(AND($T144&lt;&gt;"",EDATE($D144,Milestones!$AA$87)&gt;=$T144),$W144,IF(AND($S144&lt;&gt;"",EDATE($D144,Milestones!$AA$87)&gt;=$S144),$V144,$U144)))=Milestones!$AB$87),UPPER(TEXT(EDATE($D144,Milestones!$AA$87),"dd mmm yy"))&amp;" "&amp;Milestones!$AB$87&amp;" "&amp;Milestones!$AC$87&amp;";  ","")&amp;IF(AND(EDATE($D144,Milestones!$AA$88)&lt;=AsOfDate,IF($R144=0,$X144,IF(AND($T144&lt;&gt;"",EDATE($D144,Milestones!$AA$88)&gt;=$T144),$W144,IF(AND($S144&lt;&gt;"",EDATE($D144,Milestones!$AA$88)&gt;=$S144),$V144,$U144)))=Milestones!$AB$88),UPPER(TEXT(EDATE($D144,Milestones!$AA$88),"dd mmm yy"))&amp;" "&amp;Milestones!$AB$88&amp;" "&amp;Milestones!$AC$88&amp;";  ","")&amp;IF(AND(EDATE($D144,Milestones!$AA$89)&lt;=AsOfDate,IF($R144=0,$X144,IF(AND($T144&lt;&gt;"",EDATE($D144,Milestones!$AA$89)&gt;=$T144),$W144,IF(AND($S144&lt;&gt;"",EDATE($D144,Milestones!$AA$89)&gt;=$S144),$V144,$U144)))=Milestones!$AB$89),UPPER(TEXT(EDATE($D144,Milestones!$AA$89),"dd mmm yy"))&amp;" "&amp;Milestones!$AB$89&amp;" "&amp;Milestones!$AC$89&amp;";  ","")&amp;IF(AND(EDATE($D144,Milestones!$AA$90)&lt;=AsOfDate,IF($R144=0,$X144,IF(AND($T144&lt;&gt;"",EDATE($D144,Milestones!$AA$90)&gt;=$T144),$W144,IF(AND($S144&lt;&gt;"",EDATE($D144,Milestones!$AA$90)&gt;=$S144),$V144,$U144)))=Milestones!$AB$90),UPPER(TEXT(EDATE($D144,Milestones!$AA$90),"dd mmm yy"))&amp;" "&amp;Milestones!$AB$90&amp;" "&amp;Milestones!$AC$90&amp;";  ","")&amp;IF(AND(EDATE($D144,Milestones!$AA$91)&lt;=AsOfDate,IF($R144=0,$X144,IF(AND($T144&lt;&gt;"",EDATE($D144,Milestones!$AA$91)&gt;=$T144),$W144,IF(AND($S144&lt;&gt;"",EDATE($D144,Milestones!$AA$91)&gt;=$S144),$V144,$U144)))=Milestones!$AB$91),UPPER(TEXT(EDATE($D144,Milestones!$AA$91),"dd mmm yy"))&amp;" "&amp;Milestones!$AB$91&amp;" "&amp;Milestones!$AC$91&amp;";  ","")&amp;IF(AND(EDATE($D144,Milestones!$AA$92)&lt;=AsOfDate,IF($R144=0,$X144,IF(AND($T144&lt;&gt;"",EDATE($D144,Milestones!$AA$92)&gt;=$T144),$W144,IF(AND($S144&lt;&gt;"",EDATE($D144,Milestones!$AA$92)&gt;=$S144),$V144,$U144)))=Milestones!$AB$92),UPPER(TEXT(EDATE($D144,Milestones!$AA$92),"dd mmm yy"))&amp;" "&amp;Milestones!$AB$92&amp;" "&amp;Milestones!$AC$92&amp;";  ","")&amp;IF(AND(EDATE($D144,Milestones!$AA$93)&lt;=AsOfDate,IF($R144=0,$X144,IF(AND($T144&lt;&gt;"",EDATE($D144,Milestones!$AA$93)&gt;=$T144),$W144,IF(AND($S144&lt;&gt;"",EDATE($D144,Milestones!$AA$93)&gt;=$S144),$V144,$U144)))=Milestones!$AB$93),UPPER(TEXT(EDATE($D144,Milestones!$AA$93),"dd mmm yy"))&amp;" "&amp;Milestones!$AB$93&amp;" "&amp;Milestones!$AC$93&amp;";  ","")&amp;IF(AND(EDATE($D144,Milestones!$AA$94)&lt;=AsOfDate,IF($R144=0,$X144,IF(AND($T144&lt;&gt;"",EDATE($D144,Milestones!$AA$94)&gt;=$T144),$W144,IF(AND($S144&lt;&gt;"",EDATE($D144,Milestones!$AA$94)&gt;=$S144),$V144,$U144)))=Milestones!$AB$94),UPPER(TEXT(EDATE($D144,Milestones!$AA$94),"dd mmm yy"))&amp;" "&amp;Milestones!$AB$94&amp;" "&amp;Milestones!$AC$94&amp;";  ","")&amp;IF(AND(EDATE($D144,Milestones!$AA$95)&lt;=AsOfDate,IF($R144=0,$X144,IF(AND($T144&lt;&gt;"",EDATE($D144,Milestones!$AA$95)&gt;=$T144),$W144,IF(AND($S144&lt;&gt;"",EDATE($D144,Milestones!$AA$95)&gt;=$S144),$V144,$U144)))=Milestones!$AB$95),UPPER(TEXT(EDATE($D144,Milestones!$AA$95),"dd mmm yy"))&amp;" "&amp;Milestones!$AB$95&amp;" "&amp;Milestones!$AC$95&amp;";  ","")&amp;IF(AND(EDATE($D144,Milestones!$AA$96)&lt;=AsOfDate,IF($R144=0,$X144,IF(AND($T144&lt;&gt;"",EDATE($D144,Milestones!$AA$96)&gt;=$T144),$W144,IF(AND($S144&lt;&gt;"",EDATE($D144,Milestones!$AA$96)&gt;=$S144),$V144,$U144)))=Milestones!$AB$96),UPPER(TEXT(EDATE($D144,Milestones!$AA$96),"dd mmm yy"))&amp;" "&amp;Milestones!$AB$96&amp;" "&amp;Milestones!$AC$96&amp;";  ","")&amp;IF(AND(EDATE($D144,Milestones!$AA$97)&lt;=AsOfDate,IF($R144=0,$X144,IF(AND($T144&lt;&gt;"",EDATE($D144,Milestones!$AA$97)&gt;=$T144),$W144,IF(AND($S144&lt;&gt;"",EDATE($D144,Milestones!$AA$97)&gt;=$S144),$V144,$U144)))=Milestones!$AB$97),UPPER(TEXT(EDATE($D144,Milestones!$AA$97),"dd mmm yy"))&amp;" "&amp;Milestones!$AB$97&amp;" "&amp;Milestones!$AC$97&amp;";  ","")&amp;IF(AND(EDATE($D144,Milestones!$AA$98)&lt;=AsOfDate,IF($R144=0,$X144,IF(AND($T144&lt;&gt;"",EDATE($D144,Milestones!$AA$98)&gt;=$T144),$W144,IF(AND($S144&lt;&gt;"",EDATE($D144,Milestones!$AA$98)&gt;=$S144),$V144,$U144)))=Milestones!$AB$98),UPPER(TEXT(EDATE($D144,Milestones!$AA$98),"dd mmm yy"))&amp;" "&amp;Milestones!$AB$98&amp;" "&amp;Milestones!$AC$98&amp;";  ","")&amp;IF(AND(EDATE($D144,Milestones!$AA$99)&lt;=AsOfDate,IF($R144=0,$X144,IF(AND($T144&lt;&gt;"",EDATE($D144,Milestones!$AA$99)&gt;=$T144),$W144,IF(AND($S144&lt;&gt;"",EDATE($D144,Milestones!$AA$99)&gt;=$S144),$V144,$U144)))=Milestones!$AB$99),UPPER(TEXT(EDATE($D144,Milestones!$AA$99),"dd mmm yy"))&amp;" "&amp;Milestones!$AB$99&amp;" "&amp;Milestones!$AC$99&amp;";  ",""))</f>
        <v/>
      </c>
      <c r="M144" s="0" t="str">
        <f aca="false">IF(OR($A144="",$D144=""),"",IF(AND(EDATE($D144,Milestones!$AA$100)&lt;=AsOfDate,IF($R144=0,$X144,IF(AND($T144&lt;&gt;"",EDATE($D144,Milestones!$AA$100)&gt;=$T144),$W144,IF(AND($S144&lt;&gt;"",EDATE($D144,Milestones!$AA$100)&gt;=$S144),$V144,$U144)))=Milestones!$AB$100),UPPER(TEXT(EDATE($D144,Milestones!$AA$100),"dd mmm yy"))&amp;" "&amp;Milestones!$AB$100&amp;" "&amp;Milestones!$AC$100&amp;";  ","")&amp;IF(AND(EDATE($D144,Milestones!$AA$101)&lt;=AsOfDate,IF($R144=0,$X144,IF(AND($T144&lt;&gt;"",EDATE($D144,Milestones!$AA$101)&gt;=$T144),$W144,IF(AND($S144&lt;&gt;"",EDATE($D144,Milestones!$AA$101)&gt;=$S144),$V144,$U144)))=Milestones!$AB$101),UPPER(TEXT(EDATE($D144,Milestones!$AA$101),"dd mmm yy"))&amp;" "&amp;Milestones!$AB$101&amp;" "&amp;Milestones!$AC$101&amp;";  ","")&amp;IF(AND(EDATE($D144,Milestones!$AA$102)&lt;=AsOfDate,IF($R144=0,$X144,IF(AND($T144&lt;&gt;"",EDATE($D144,Milestones!$AA$102)&gt;=$T144),$W144,IF(AND($S144&lt;&gt;"",EDATE($D144,Milestones!$AA$102)&gt;=$S144),$V144,$U144)))=Milestones!$AB$102),UPPER(TEXT(EDATE($D144,Milestones!$AA$102),"dd mmm yy"))&amp;" "&amp;Milestones!$AB$102&amp;" "&amp;Milestones!$AC$102&amp;";  ","")&amp;IF(AND(EDATE($D144,Milestones!$AA$103)&lt;=AsOfDate,IF($R144=0,$X144,IF(AND($T144&lt;&gt;"",EDATE($D144,Milestones!$AA$103)&gt;=$T144),$W144,IF(AND($S144&lt;&gt;"",EDATE($D144,Milestones!$AA$103)&gt;=$S144),$V144,$U144)))=Milestones!$AB$103),UPPER(TEXT(EDATE($D144,Milestones!$AA$103),"dd mmm yy"))&amp;" "&amp;Milestones!$AB$103&amp;" "&amp;Milestones!$AC$103&amp;";  ","")&amp;IF(AND(EDATE($D144,Milestones!$AA$104)&lt;=AsOfDate,IF($R144=0,$X144,IF(AND($T144&lt;&gt;"",EDATE($D144,Milestones!$AA$104)&gt;=$T144),$W144,IF(AND($S144&lt;&gt;"",EDATE($D144,Milestones!$AA$104)&gt;=$S144),$V144,$U144)))=Milestones!$AB$104),UPPER(TEXT(EDATE($D144,Milestones!$AA$104),"dd mmm yy"))&amp;" "&amp;Milestones!$AB$104&amp;" "&amp;Milestones!$AC$104&amp;";  ","")&amp;IF(AND(EDATE($D144,Milestones!$AA$105)&lt;=AsOfDate,IF($R144=0,$X144,IF(AND($T144&lt;&gt;"",EDATE($D144,Milestones!$AA$105)&gt;=$T144),$W144,IF(AND($S144&lt;&gt;"",EDATE($D144,Milestones!$AA$105)&gt;=$S144),$V144,$U144)))=Milestones!$AB$105),UPPER(TEXT(EDATE($D144,Milestones!$AA$105),"dd mmm yy"))&amp;" "&amp;Milestones!$AB$105&amp;" "&amp;Milestones!$AC$105&amp;";  ","")&amp;IF(AND(EDATE($D144,Milestones!$AA$106)&lt;=AsOfDate,IF($R144=0,$X144,IF(AND($T144&lt;&gt;"",EDATE($D144,Milestones!$AA$106)&gt;=$T144),$W144,IF(AND($S144&lt;&gt;"",EDATE($D144,Milestones!$AA$106)&gt;=$S144),$V144,$U144)))=Milestones!$AB$106),UPPER(TEXT(EDATE($D144,Milestones!$AA$106),"dd mmm yy"))&amp;" "&amp;Milestones!$AB$106&amp;" "&amp;Milestones!$AC$106&amp;";  ","")&amp;IF(AND(EDATE($D144,Milestones!$AA$107)&lt;=AsOfDate,IF($R144=0,$X144,IF(AND($T144&lt;&gt;"",EDATE($D144,Milestones!$AA$107)&gt;=$T144),$W144,IF(AND($S144&lt;&gt;"",EDATE($D144,Milestones!$AA$107)&gt;=$S144),$V144,$U144)))=Milestones!$AB$107),UPPER(TEXT(EDATE($D144,Milestones!$AA$107),"dd mmm yy"))&amp;" "&amp;Milestones!$AB$107&amp;" "&amp;Milestones!$AC$107&amp;";  ","")&amp;IF(AND(EDATE($D144,Milestones!$AA$108)&lt;=AsOfDate,IF($R144=0,$X144,IF(AND($T144&lt;&gt;"",EDATE($D144,Milestones!$AA$108)&gt;=$T144),$W144,IF(AND($S144&lt;&gt;"",EDATE($D144,Milestones!$AA$108)&gt;=$S144),$V144,$U144)))=Milestones!$AB$108),UPPER(TEXT(EDATE($D144,Milestones!$AA$108),"dd mmm yy"))&amp;" "&amp;Milestones!$AB$108&amp;" "&amp;Milestones!$AC$108&amp;";  ","")&amp;IF(AND(EDATE($D144,Milestones!$AA$109)&lt;=AsOfDate,IF($R144=0,$X144,IF(AND($T144&lt;&gt;"",EDATE($D144,Milestones!$AA$109)&gt;=$T144),$W144,IF(AND($S144&lt;&gt;"",EDATE($D144,Milestones!$AA$109)&gt;=$S144),$V144,$U144)))=Milestones!$AB$109),UPPER(TEXT(EDATE($D144,Milestones!$AA$109),"dd mmm yy"))&amp;" "&amp;Milestones!$AB$109&amp;" "&amp;Milestones!$AC$109&amp;";  ","")&amp;IF(AND(EDATE($D144,Milestones!$AA$110)&lt;=AsOfDate,IF($R144=0,$X144,IF(AND($T144&lt;&gt;"",EDATE($D144,Milestones!$AA$110)&gt;=$T144),$W144,IF(AND($S144&lt;&gt;"",EDATE($D144,Milestones!$AA$110)&gt;=$S144),$V144,$U144)))=Milestones!$AB$110),UPPER(TEXT(EDATE($D144,Milestones!$AA$110),"dd mmm yy"))&amp;" "&amp;Milestones!$AB$110&amp;" "&amp;Milestones!$AC$110&amp;";  ","")&amp;IF(AND(EDATE($D144,Milestones!$AA$111)&lt;=AsOfDate,IF($R144=0,$X144,IF(AND($T144&lt;&gt;"",EDATE($D144,Milestones!$AA$111)&gt;=$T144),$W144,IF(AND($S144&lt;&gt;"",EDATE($D144,Milestones!$AA$111)&gt;=$S144),$V144,$U144)))=Milestones!$AB$111),UPPER(TEXT(EDATE($D144,Milestones!$AA$111),"dd mmm yy"))&amp;" "&amp;Milestones!$AB$111&amp;" "&amp;Milestones!$AC$111&amp;";  ","")&amp;IF(AND(EDATE($D144,Milestones!$AA$112)&lt;=AsOfDate,IF($R144=0,$X144,IF(AND($T144&lt;&gt;"",EDATE($D144,Milestones!$AA$112)&gt;=$T144),$W144,IF(AND($S144&lt;&gt;"",EDATE($D144,Milestones!$AA$112)&gt;=$S144),$V144,$U144)))=Milestones!$AB$112),UPPER(TEXT(EDATE($D144,Milestones!$AA$112),"dd mmm yy"))&amp;" "&amp;Milestones!$AB$112&amp;" "&amp;Milestones!$AC$112&amp;";  ","")&amp;IF(AND(EDATE($D144,Milestones!$AA$113)&lt;=AsOfDate,IF($R144=0,$X144,IF(AND($T144&lt;&gt;"",EDATE($D144,Milestones!$AA$113)&gt;=$T144),$W144,IF(AND($S144&lt;&gt;"",EDATE($D144,Milestones!$AA$113)&gt;=$S144),$V144,$U144)))=Milestones!$AB$113),UPPER(TEXT(EDATE($D144,Milestones!$AA$113),"dd mmm yy"))&amp;" "&amp;Milestones!$AB$113&amp;" "&amp;Milestones!$AC$113&amp;";  ","")&amp;IF(AND(EDATE($D144,Milestones!$AA$114)&lt;=AsOfDate,IF($R144=0,$X144,IF(AND($T144&lt;&gt;"",EDATE($D144,Milestones!$AA$114)&gt;=$T144),$W144,IF(AND($S144&lt;&gt;"",EDATE($D144,Milestones!$AA$114)&gt;=$S144),$V144,$U144)))=Milestones!$AB$114),UPPER(TEXT(EDATE($D144,Milestones!$AA$114),"dd mmm yy"))&amp;" "&amp;Milestones!$AB$114&amp;" "&amp;Milestones!$AC$114&amp;";  ","")&amp;IF(AND(EDATE($D144,Milestones!$AA$115)&lt;=AsOfDate,IF($R144=0,$X144,IF(AND($T144&lt;&gt;"",EDATE($D144,Milestones!$AA$115)&gt;=$T144),$W144,IF(AND($S144&lt;&gt;"",EDATE($D144,Milestones!$AA$115)&gt;=$S144),$V144,$U144)))=Milestones!$AB$115),UPPER(TEXT(EDATE($D144,Milestones!$AA$115),"dd mmm yy"))&amp;" "&amp;Milestones!$AB$115&amp;" "&amp;Milestones!$AC$115&amp;";  ","")&amp;IF(AND(EDATE($D144,Milestones!$AA$116)&lt;=AsOfDate,IF($R144=0,$X144,IF(AND($T144&lt;&gt;"",EDATE($D144,Milestones!$AA$116)&gt;=$T144),$W144,IF(AND($S144&lt;&gt;"",EDATE($D144,Milestones!$AA$116)&gt;=$S144),$V144,$U144)))=Milestones!$AB$116),UPPER(TEXT(EDATE($D144,Milestones!$AA$116),"dd mmm yy"))&amp;" "&amp;Milestones!$AB$116&amp;" "&amp;Milestones!$AC$116&amp;";  ","")&amp;IF(AND(EDATE($D144,Milestones!$AA$117)&lt;=AsOfDate,IF($R144=0,$X144,IF(AND($T144&lt;&gt;"",EDATE($D144,Milestones!$AA$117)&gt;=$T144),$W144,IF(AND($S144&lt;&gt;"",EDATE($D144,Milestones!$AA$117)&gt;=$S144),$V144,$U144)))=Milestones!$AB$117),UPPER(TEXT(EDATE($D144,Milestones!$AA$117),"dd mmm yy"))&amp;" "&amp;Milestones!$AB$117&amp;" "&amp;Milestones!$AC$117&amp;";  ","")&amp;IF(AND(EDATE($D144,Milestones!$AA$118)&lt;=AsOfDate,IF($R144=0,$X144,IF(AND($T144&lt;&gt;"",EDATE($D144,Milestones!$AA$118)&gt;=$T144),$W144,IF(AND($S144&lt;&gt;"",EDATE($D144,Milestones!$AA$118)&gt;=$S144),$V144,$U144)))=Milestones!$AB$118),UPPER(TEXT(EDATE($D144,Milestones!$AA$118),"dd mmm yy"))&amp;" "&amp;Milestones!$AB$118&amp;" "&amp;Milestones!$AC$118&amp;";  ","")&amp;IF(AND(EDATE($D144,Milestones!$AA$119)&lt;=AsOfDate,IF($R144=0,$X144,IF(AND($T144&lt;&gt;"",EDATE($D144,Milestones!$AA$119)&gt;=$T144),$W144,IF(AND($S144&lt;&gt;"",EDATE($D144,Milestones!$AA$119)&gt;=$S144),$V144,$U144)))=Milestones!$AB$119),UPPER(TEXT(EDATE($D144,Milestones!$AA$119),"dd mmm yy"))&amp;" "&amp;Milestones!$AB$119&amp;" "&amp;Milestones!$AC$119&amp;";  ",""))</f>
        <v/>
      </c>
      <c r="N144" s="0" t="str">
        <f aca="false">IF(OR($A144="",$D144=""),"",IF(AND(EDATE($D144,Milestones!$AA$120)&lt;=AsOfDate,IF($R144=0,$X144,IF(AND($T144&lt;&gt;"",EDATE($D144,Milestones!$AA$120)&gt;=$T144),$W144,IF(AND($S144&lt;&gt;"",EDATE($D144,Milestones!$AA$120)&gt;=$S144),$V144,$U144)))=Milestones!$AB$120),UPPER(TEXT(EDATE($D144,Milestones!$AA$120),"dd mmm yy"))&amp;" "&amp;Milestones!$AB$120&amp;" "&amp;Milestones!$AC$120&amp;";  ","")&amp;IF(AND(EDATE($D144,Milestones!$AA$121)&lt;=AsOfDate,IF($R144=0,$X144,IF(AND($T144&lt;&gt;"",EDATE($D144,Milestones!$AA$121)&gt;=$T144),$W144,IF(AND($S144&lt;&gt;"",EDATE($D144,Milestones!$AA$121)&gt;=$S144),$V144,$U144)))=Milestones!$AB$121),UPPER(TEXT(EDATE($D144,Milestones!$AA$121),"dd mmm yy"))&amp;" "&amp;Milestones!$AB$121&amp;" "&amp;Milestones!$AC$121&amp;";  ","")&amp;IF(AND(EDATE($D144,Milestones!$AA$122)&lt;=AsOfDate,IF($R144=0,$X144,IF(AND($T144&lt;&gt;"",EDATE($D144,Milestones!$AA$122)&gt;=$T144),$W144,IF(AND($S144&lt;&gt;"",EDATE($D144,Milestones!$AA$122)&gt;=$S144),$V144,$U144)))=Milestones!$AB$122),UPPER(TEXT(EDATE($D144,Milestones!$AA$122),"dd mmm yy"))&amp;" "&amp;Milestones!$AB$122&amp;" "&amp;Milestones!$AC$122&amp;";  ","")&amp;IF(AND(EDATE($D144,Milestones!$AA$123)&lt;=AsOfDate,IF($R144=0,$X144,IF(AND($T144&lt;&gt;"",EDATE($D144,Milestones!$AA$123)&gt;=$T144),$W144,IF(AND($S144&lt;&gt;"",EDATE($D144,Milestones!$AA$123)&gt;=$S144),$V144,$U144)))=Milestones!$AB$123),UPPER(TEXT(EDATE($D144,Milestones!$AA$123),"dd mmm yy"))&amp;" "&amp;Milestones!$AB$123&amp;" "&amp;Milestones!$AC$123&amp;";  ","")&amp;IF(AND(EDATE($D144,Milestones!$AA$124)&lt;=AsOfDate,IF($R144=0,$X144,IF(AND($T144&lt;&gt;"",EDATE($D144,Milestones!$AA$124)&gt;=$T144),$W144,IF(AND($S144&lt;&gt;"",EDATE($D144,Milestones!$AA$124)&gt;=$S144),$V144,$U144)))=Milestones!$AB$124),UPPER(TEXT(EDATE($D144,Milestones!$AA$124),"dd mmm yy"))&amp;" "&amp;Milestones!$AB$124&amp;" "&amp;Milestones!$AC$124&amp;";  ","")&amp;IF(AND(EDATE($D144,Milestones!$AA$125)&lt;=AsOfDate,IF($R144=0,$X144,IF(AND($T144&lt;&gt;"",EDATE($D144,Milestones!$AA$125)&gt;=$T144),$W144,IF(AND($S144&lt;&gt;"",EDATE($D144,Milestones!$AA$125)&gt;=$S144),$V144,$U144)))=Milestones!$AB$125),UPPER(TEXT(EDATE($D144,Milestones!$AA$125),"dd mmm yy"))&amp;" "&amp;Milestones!$AB$125&amp;" "&amp;Milestones!$AC$125&amp;";  ","")&amp;IF(AND(EDATE($D144,Milestones!$AA$126)&lt;=AsOfDate,IF($R144=0,$X144,IF(AND($T144&lt;&gt;"",EDATE($D144,Milestones!$AA$126)&gt;=$T144),$W144,IF(AND($S144&lt;&gt;"",EDATE($D144,Milestones!$AA$126)&gt;=$S144),$V144,$U144)))=Milestones!$AB$126),UPPER(TEXT(EDATE($D144,Milestones!$AA$126),"dd mmm yy"))&amp;" "&amp;Milestones!$AB$126&amp;" "&amp;Milestones!$AC$126&amp;";  ","")&amp;IF(AND(EDATE($D144,Milestones!$AA$127)&lt;=AsOfDate,IF($R144=0,$X144,IF(AND($T144&lt;&gt;"",EDATE($D144,Milestones!$AA$127)&gt;=$T144),$W144,IF(AND($S144&lt;&gt;"",EDATE($D144,Milestones!$AA$127)&gt;=$S144),$V144,$U144)))=Milestones!$AB$127),UPPER(TEXT(EDATE($D144,Milestones!$AA$127),"dd mmm yy"))&amp;" "&amp;Milestones!$AB$127&amp;" "&amp;Milestones!$AC$127&amp;";  ","")&amp;IF(AND(EDATE($D144,Milestones!$AA$128)&lt;=AsOfDate,IF($R144=0,$X144,IF(AND($T144&lt;&gt;"",EDATE($D144,Milestones!$AA$128)&gt;=$T144),$W144,IF(AND($S144&lt;&gt;"",EDATE($D144,Milestones!$AA$128)&gt;=$S144),$V144,$U144)))=Milestones!$AB$128),UPPER(TEXT(EDATE($D144,Milestones!$AA$128),"dd mmm yy"))&amp;" "&amp;Milestones!$AB$128&amp;" "&amp;Milestones!$AC$128&amp;";  ","")&amp;IF(AND(EDATE($D144,Milestones!$AA$129)&lt;=AsOfDate,IF($R144=0,$X144,IF(AND($T144&lt;&gt;"",EDATE($D144,Milestones!$AA$129)&gt;=$T144),$W144,IF(AND($S144&lt;&gt;"",EDATE($D144,Milestones!$AA$129)&gt;=$S144),$V144,$U144)))=Milestones!$AB$129),UPPER(TEXT(EDATE($D144,Milestones!$AA$129),"dd mmm yy"))&amp;" "&amp;Milestones!$AB$129&amp;" "&amp;Milestones!$AC$129&amp;";  ","")&amp;IF(AND(EDATE($D144,Milestones!$AA$130)&lt;=AsOfDate,IF($R144=0,$X144,IF(AND($T144&lt;&gt;"",EDATE($D144,Milestones!$AA$130)&gt;=$T144),$W144,IF(AND($S144&lt;&gt;"",EDATE($D144,Milestones!$AA$130)&gt;=$S144),$V144,$U144)))=Milestones!$AB$130),UPPER(TEXT(EDATE($D144,Milestones!$AA$130),"dd mmm yy"))&amp;" "&amp;Milestones!$AB$130&amp;" "&amp;Milestones!$AC$130&amp;";  ","")&amp;IF(AND(EDATE($D144,Milestones!$AA$131)&lt;=AsOfDate,IF($R144=0,$X144,IF(AND($T144&lt;&gt;"",EDATE($D144,Milestones!$AA$131)&gt;=$T144),$W144,IF(AND($S144&lt;&gt;"",EDATE($D144,Milestones!$AA$131)&gt;=$S144),$V144,$U144)))=Milestones!$AB$131),UPPER(TEXT(EDATE($D144,Milestones!$AA$131),"dd mmm yy"))&amp;" "&amp;Milestones!$AB$131&amp;" "&amp;Milestones!$AC$131&amp;";  ","")&amp;IF(AND(EDATE($D144,Milestones!$AA$132)&lt;=AsOfDate,IF($R144=0,$X144,IF(AND($T144&lt;&gt;"",EDATE($D144,Milestones!$AA$132)&gt;=$T144),$W144,IF(AND($S144&lt;&gt;"",EDATE($D144,Milestones!$AA$132)&gt;=$S144),$V144,$U144)))=Milestones!$AB$132),UPPER(TEXT(EDATE($D144,Milestones!$AA$132),"dd mmm yy"))&amp;" "&amp;Milestones!$AB$132&amp;" "&amp;Milestones!$AC$132&amp;";  ","")&amp;IF(AND(EDATE($D144,Milestones!$AA$133)&lt;=AsOfDate,IF($R144=0,$X144,IF(AND($T144&lt;&gt;"",EDATE($D144,Milestones!$AA$133)&gt;=$T144),$W144,IF(AND($S144&lt;&gt;"",EDATE($D144,Milestones!$AA$133)&gt;=$S144),$V144,$U144)))=Milestones!$AB$133),UPPER(TEXT(EDATE($D144,Milestones!$AA$133),"dd mmm yy"))&amp;" "&amp;Milestones!$AB$133&amp;" "&amp;Milestones!$AC$133&amp;";  ","")&amp;IF(AND(EDATE($D144,Milestones!$AA$134)&lt;=AsOfDate,IF($R144=0,$X144,IF(AND($T144&lt;&gt;"",EDATE($D144,Milestones!$AA$134)&gt;=$T144),$W144,IF(AND($S144&lt;&gt;"",EDATE($D144,Milestones!$AA$134)&gt;=$S144),$V144,$U144)))=Milestones!$AB$134),UPPER(TEXT(EDATE($D144,Milestones!$AA$134),"dd mmm yy"))&amp;" "&amp;Milestones!$AB$134&amp;" "&amp;Milestones!$AC$134&amp;";  ","")&amp;IF(AND(EDATE($D144,Milestones!$AA$135)&lt;=AsOfDate,IF($R144=0,$X144,IF(AND($T144&lt;&gt;"",EDATE($D144,Milestones!$AA$135)&gt;=$T144),$W144,IF(AND($S144&lt;&gt;"",EDATE($D144,Milestones!$AA$135)&gt;=$S144),$V144,$U144)))=Milestones!$AB$135),UPPER(TEXT(EDATE($D144,Milestones!$AA$135),"dd mmm yy"))&amp;" "&amp;Milestones!$AB$135&amp;" "&amp;Milestones!$AC$135&amp;";  ","")&amp;IF(AND(EDATE($D144,Milestones!$AA$136)&lt;=AsOfDate,IF($R144=0,$X144,IF(AND($T144&lt;&gt;"",EDATE($D144,Milestones!$AA$136)&gt;=$T144),$W144,IF(AND($S144&lt;&gt;"",EDATE($D144,Milestones!$AA$136)&gt;=$S144),$V144,$U144)))=Milestones!$AB$136),UPPER(TEXT(EDATE($D144,Milestones!$AA$136),"dd mmm yy"))&amp;" "&amp;Milestones!$AB$136&amp;" "&amp;Milestones!$AC$136&amp;";  ","")&amp;IF(AND(EDATE($D144,Milestones!$AA$137)&lt;=AsOfDate,IF($R144=0,$X144,IF(AND($T144&lt;&gt;"",EDATE($D144,Milestones!$AA$137)&gt;=$T144),$W144,IF(AND($S144&lt;&gt;"",EDATE($D144,Milestones!$AA$137)&gt;=$S144),$V144,$U144)))=Milestones!$AB$137),UPPER(TEXT(EDATE($D144,Milestones!$AA$137),"dd mmm yy"))&amp;" "&amp;Milestones!$AB$137&amp;" "&amp;Milestones!$AC$137&amp;";  ","")&amp;IF(AND(EDATE($D144,Milestones!$AA$138)&lt;=AsOfDate,IF($R144=0,$X144,IF(AND($T144&lt;&gt;"",EDATE($D144,Milestones!$AA$138)&gt;=$T144),$W144,IF(AND($S144&lt;&gt;"",EDATE($D144,Milestones!$AA$138)&gt;=$S144),$V144,$U144)))=Milestones!$AB$138),UPPER(TEXT(EDATE($D144,Milestones!$AA$138),"dd mmm yy"))&amp;" "&amp;Milestones!$AB$138&amp;" "&amp;Milestones!$AC$138&amp;";  ","")&amp;IF(AND(EDATE($D144,Milestones!$AA$139)&lt;=AsOfDate,IF($R144=0,$X144,IF(AND($T144&lt;&gt;"",EDATE($D144,Milestones!$AA$139)&gt;=$T144),$W144,IF(AND($S144&lt;&gt;"",EDATE($D144,Milestones!$AA$139)&gt;=$S144),$V144,$U144)))=Milestones!$AB$139),UPPER(TEXT(EDATE($D144,Milestones!$AA$139),"dd mmm yy"))&amp;" "&amp;Milestones!$AB$139&amp;" "&amp;Milestones!$AC$139&amp;";  ",""))</f>
        <v/>
      </c>
      <c r="O144" s="0" t="str">
        <f aca="false">IF(OR($A144="",$D144=""),"",IF(AND(EDATE($D144,Milestones!$AA$140)&lt;=AsOfDate,IF($R144=0,$X144,IF(AND($T144&lt;&gt;"",EDATE($D144,Milestones!$AA$140)&gt;=$T144),$W144,IF(AND($S144&lt;&gt;"",EDATE($D144,Milestones!$AA$140)&gt;=$S144),$V144,$U144)))=Milestones!$AB$140),UPPER(TEXT(EDATE($D144,Milestones!$AA$140),"dd mmm yy"))&amp;" "&amp;Milestones!$AB$140&amp;" "&amp;Milestones!$AC$140&amp;";  ","")&amp;IF(AND(EDATE($D144,Milestones!$AA$141)&lt;=AsOfDate,IF($R144=0,$X144,IF(AND($T144&lt;&gt;"",EDATE($D144,Milestones!$AA$141)&gt;=$T144),$W144,IF(AND($S144&lt;&gt;"",EDATE($D144,Milestones!$AA$141)&gt;=$S144),$V144,$U144)))=Milestones!$AB$141),UPPER(TEXT(EDATE($D144,Milestones!$AA$141),"dd mmm yy"))&amp;" "&amp;Milestones!$AB$141&amp;" "&amp;Milestones!$AC$141&amp;";  ","")&amp;IF(AND(EDATE($D144,Milestones!$AA$142)&lt;=AsOfDate,IF($R144=0,$X144,IF(AND($T144&lt;&gt;"",EDATE($D144,Milestones!$AA$142)&gt;=$T144),$W144,IF(AND($S144&lt;&gt;"",EDATE($D144,Milestones!$AA$142)&gt;=$S144),$V144,$U144)))=Milestones!$AB$142),UPPER(TEXT(EDATE($D144,Milestones!$AA$142),"dd mmm yy"))&amp;" "&amp;Milestones!$AB$142&amp;" "&amp;Milestones!$AC$142&amp;";  ","")&amp;IF(AND(EDATE($D144,Milestones!$AA$143)&lt;=AsOfDate,IF($R144=0,$X144,IF(AND($T144&lt;&gt;"",EDATE($D144,Milestones!$AA$143)&gt;=$T144),$W144,IF(AND($S144&lt;&gt;"",EDATE($D144,Milestones!$AA$143)&gt;=$S144),$V144,$U144)))=Milestones!$AB$143),UPPER(TEXT(EDATE($D144,Milestones!$AA$143),"dd mmm yy"))&amp;" "&amp;Milestones!$AB$143&amp;" "&amp;Milestones!$AC$143&amp;";  ","")&amp;IF(AND(EDATE($D144,Milestones!$AA$144)&lt;=AsOfDate,IF($R144=0,$X144,IF(AND($T144&lt;&gt;"",EDATE($D144,Milestones!$AA$144)&gt;=$T144),$W144,IF(AND($S144&lt;&gt;"",EDATE($D144,Milestones!$AA$144)&gt;=$S144),$V144,$U144)))=Milestones!$AB$144),UPPER(TEXT(EDATE($D144,Milestones!$AA$144),"dd mmm yy"))&amp;" "&amp;Milestones!$AB$144&amp;" "&amp;Milestones!$AC$144&amp;";  ","")&amp;IF(AND(EDATE($D144,Milestones!$AA$145)&lt;=AsOfDate,IF($R144=0,$X144,IF(AND($T144&lt;&gt;"",EDATE($D144,Milestones!$AA$145)&gt;=$T144),$W144,IF(AND($S144&lt;&gt;"",EDATE($D144,Milestones!$AA$145)&gt;=$S144),$V144,$U144)))=Milestones!$AB$145),UPPER(TEXT(EDATE($D144,Milestones!$AA$145),"dd mmm yy"))&amp;" "&amp;Milestones!$AB$145&amp;" "&amp;Milestones!$AC$145&amp;";  ","")&amp;IF(AND(EDATE($D144,Milestones!$AA$146)&lt;=AsOfDate,IF($R144=0,$X144,IF(AND($T144&lt;&gt;"",EDATE($D144,Milestones!$AA$146)&gt;=$T144),$W144,IF(AND($S144&lt;&gt;"",EDATE($D144,Milestones!$AA$146)&gt;=$S144),$V144,$U144)))=Milestones!$AB$146),UPPER(TEXT(EDATE($D144,Milestones!$AA$146),"dd mmm yy"))&amp;" "&amp;Milestones!$AB$146&amp;" "&amp;Milestones!$AC$146&amp;";  ","")&amp;IF(AND(EDATE($D144,Milestones!$AA$147)&lt;=AsOfDate,IF($R144=0,$X144,IF(AND($T144&lt;&gt;"",EDATE($D144,Milestones!$AA$147)&gt;=$T144),$W144,IF(AND($S144&lt;&gt;"",EDATE($D144,Milestones!$AA$147)&gt;=$S144),$V144,$U144)))=Milestones!$AB$147),UPPER(TEXT(EDATE($D144,Milestones!$AA$147),"dd mmm yy"))&amp;" "&amp;Milestones!$AB$147&amp;" "&amp;Milestones!$AC$147&amp;";  ","")&amp;IF(AND(EDATE($D144,Milestones!$AA$148)&lt;=AsOfDate,IF($R144=0,$X144,IF(AND($T144&lt;&gt;"",EDATE($D144,Milestones!$AA$148)&gt;=$T144),$W144,IF(AND($S144&lt;&gt;"",EDATE($D144,Milestones!$AA$148)&gt;=$S144),$V144,$U144)))=Milestones!$AB$148),UPPER(TEXT(EDATE($D144,Milestones!$AA$148),"dd mmm yy"))&amp;" "&amp;Milestones!$AB$148&amp;" "&amp;Milestones!$AC$148&amp;";  ","")&amp;IF(AND(EDATE($D144,Milestones!$AA$149)&lt;=AsOfDate,IF($R144=0,$X144,IF(AND($T144&lt;&gt;"",EDATE($D144,Milestones!$AA$149)&gt;=$T144),$W144,IF(AND($S144&lt;&gt;"",EDATE($D144,Milestones!$AA$149)&gt;=$S144),$V144,$U144)))=Milestones!$AB$149),UPPER(TEXT(EDATE($D144,Milestones!$AA$149),"dd mmm yy"))&amp;" "&amp;Milestones!$AB$149&amp;" "&amp;Milestones!$AC$149&amp;";  ","")&amp;IF(AND(EDATE($D144,Milestones!$AA$150)&lt;=AsOfDate,IF($R144=0,$X144,IF(AND($T144&lt;&gt;"",EDATE($D144,Milestones!$AA$150)&gt;=$T144),$W144,IF(AND($S144&lt;&gt;"",EDATE($D144,Milestones!$AA$150)&gt;=$S144),$V144,$U144)))=Milestones!$AB$150),UPPER(TEXT(EDATE($D144,Milestones!$AA$150),"dd mmm yy"))&amp;" "&amp;Milestones!$AB$150&amp;" "&amp;Milestones!$AC$150&amp;";  ","")&amp;IF(AND(EDATE($D144,Milestones!$AA$151)&lt;=AsOfDate,IF($R144=0,$X144,IF(AND($T144&lt;&gt;"",EDATE($D144,Milestones!$AA$151)&gt;=$T144),$W144,IF(AND($S144&lt;&gt;"",EDATE($D144,Milestones!$AA$151)&gt;=$S144),$V144,$U144)))=Milestones!$AB$151),UPPER(TEXT(EDATE($D144,Milestones!$AA$151),"dd mmm yy"))&amp;" "&amp;Milestones!$AB$151&amp;" "&amp;Milestones!$AC$151&amp;";  ","")&amp;IF(AND(EDATE($D144,Milestones!$AA$152)&lt;=AsOfDate,IF($R144=0,$X144,IF(AND($T144&lt;&gt;"",EDATE($D144,Milestones!$AA$152)&gt;=$T144),$W144,IF(AND($S144&lt;&gt;"",EDATE($D144,Milestones!$AA$152)&gt;=$S144),$V144,$U144)))=Milestones!$AB$152),UPPER(TEXT(EDATE($D144,Milestones!$AA$152),"dd mmm yy"))&amp;" "&amp;Milestones!$AB$152&amp;" "&amp;Milestones!$AC$152&amp;";  ","")&amp;IF(AND(EDATE($D144,Milestones!$AA$153)&lt;=AsOfDate,IF($R144=0,$X144,IF(AND($T144&lt;&gt;"",EDATE($D144,Milestones!$AA$153)&gt;=$T144),$W144,IF(AND($S144&lt;&gt;"",EDATE($D144,Milestones!$AA$153)&gt;=$S144),$V144,$U144)))=Milestones!$AB$153),UPPER(TEXT(EDATE($D144,Milestones!$AA$153),"dd mmm yy"))&amp;" "&amp;Milestones!$AB$153&amp;" "&amp;Milestones!$AC$153&amp;";  ","")&amp;IF(AND(EDATE($D144,Milestones!$AA$154)&lt;=AsOfDate,IF($R144=0,$X144,IF(AND($T144&lt;&gt;"",EDATE($D144,Milestones!$AA$154)&gt;=$T144),$W144,IF(AND($S144&lt;&gt;"",EDATE($D144,Milestones!$AA$154)&gt;=$S144),$V144,$U144)))=Milestones!$AB$154),UPPER(TEXT(EDATE($D144,Milestones!$AA$154),"dd mmm yy"))&amp;" "&amp;Milestones!$AB$154&amp;" "&amp;Milestones!$AC$154&amp;";  ","")&amp;IF(AND(EDATE($D144,Milestones!$AA$155)&lt;=AsOfDate,IF($R144=0,$X144,IF(AND($T144&lt;&gt;"",EDATE($D144,Milestones!$AA$155)&gt;=$T144),$W144,IF(AND($S144&lt;&gt;"",EDATE($D144,Milestones!$AA$155)&gt;=$S144),$V144,$U144)))=Milestones!$AB$155),UPPER(TEXT(EDATE($D144,Milestones!$AA$155),"dd mmm yy"))&amp;" "&amp;Milestones!$AB$155&amp;" "&amp;Milestones!$AC$155&amp;";  ","")&amp;IF(AND(EDATE($D144,Milestones!$AA$156)&lt;=AsOfDate,IF($R144=0,$X144,IF(AND($T144&lt;&gt;"",EDATE($D144,Milestones!$AA$156)&gt;=$T144),$W144,IF(AND($S144&lt;&gt;"",EDATE($D144,Milestones!$AA$156)&gt;=$S144),$V144,$U144)))=Milestones!$AB$156),UPPER(TEXT(EDATE($D144,Milestones!$AA$156),"dd mmm yy"))&amp;" "&amp;Milestones!$AB$156&amp;" "&amp;Milestones!$AC$156&amp;";  ","")&amp;IF(AND(EDATE($D144,Milestones!$AA$157)&lt;=AsOfDate,IF($R144=0,$X144,IF(AND($T144&lt;&gt;"",EDATE($D144,Milestones!$AA$157)&gt;=$T144),$W144,IF(AND($S144&lt;&gt;"",EDATE($D144,Milestones!$AA$157)&gt;=$S144),$V144,$U144)))=Milestones!$AB$157),UPPER(TEXT(EDATE($D144,Milestones!$AA$157),"dd mmm yy"))&amp;" "&amp;Milestones!$AB$157&amp;" "&amp;Milestones!$AC$157&amp;";  ","")&amp;IF(AND(EDATE($D144,Milestones!$AA$158)&lt;=AsOfDate,IF($R144=0,$X144,IF(AND($T144&lt;&gt;"",EDATE($D144,Milestones!$AA$158)&gt;=$T144),$W144,IF(AND($S144&lt;&gt;"",EDATE($D144,Milestones!$AA$158)&gt;=$S144),$V144,$U144)))=Milestones!$AB$158),UPPER(TEXT(EDATE($D144,Milestones!$AA$158),"dd mmm yy"))&amp;" "&amp;Milestones!$AB$158&amp;" "&amp;Milestones!$AC$158&amp;";  ","")&amp;IF(AND(EDATE($D144,Milestones!$AA$159)&lt;=AsOfDate,IF($R144=0,$X144,IF(AND($T144&lt;&gt;"",EDATE($D144,Milestones!$AA$159)&gt;=$T144),$W144,IF(AND($S144&lt;&gt;"",EDATE($D144,Milestones!$AA$159)&gt;=$S144),$V144,$U144)))=Milestones!$AB$159),UPPER(TEXT(EDATE($D144,Milestones!$AA$159),"dd mmm yy"))&amp;" "&amp;Milestones!$AB$159&amp;" "&amp;Milestones!$AC$159&amp;";  ",""))</f>
        <v/>
      </c>
      <c r="P144" s="0" t="str">
        <f aca="false">IF(OR($A144="",$D144=""),"",IF(AND(EDATE($D144,Milestones!$AA$160)&lt;=AsOfDate,IF($R144=0,$X144,IF(AND($T144&lt;&gt;"",EDATE($D144,Milestones!$AA$160)&gt;=$T144),$W144,IF(AND($S144&lt;&gt;"",EDATE($D144,Milestones!$AA$160)&gt;=$S144),$V144,$U144)))=Milestones!$AB$160),UPPER(TEXT(EDATE($D144,Milestones!$AA$160),"dd mmm yy"))&amp;" "&amp;Milestones!$AB$160&amp;" "&amp;Milestones!$AC$160&amp;";  ","")&amp;IF(AND(EDATE($D144,Milestones!$AA$161)&lt;=AsOfDate,IF($R144=0,$X144,IF(AND($T144&lt;&gt;"",EDATE($D144,Milestones!$AA$161)&gt;=$T144),$W144,IF(AND($S144&lt;&gt;"",EDATE($D144,Milestones!$AA$161)&gt;=$S144),$V144,$U144)))=Milestones!$AB$161),UPPER(TEXT(EDATE($D144,Milestones!$AA$161),"dd mmm yy"))&amp;" "&amp;Milestones!$AB$161&amp;" "&amp;Milestones!$AC$161&amp;";  ","")&amp;IF(AND(EDATE($D144,Milestones!$AA$162)&lt;=AsOfDate,IF($R144=0,$X144,IF(AND($T144&lt;&gt;"",EDATE($D144,Milestones!$AA$162)&gt;=$T144),$W144,IF(AND($S144&lt;&gt;"",EDATE($D144,Milestones!$AA$162)&gt;=$S144),$V144,$U144)))=Milestones!$AB$162),UPPER(TEXT(EDATE($D144,Milestones!$AA$162),"dd mmm yy"))&amp;" "&amp;Milestones!$AB$162&amp;" "&amp;Milestones!$AC$162&amp;";  ","")&amp;IF(AND(EDATE($D144,Milestones!$AA$163)&lt;=AsOfDate,IF($R144=0,$X144,IF(AND($T144&lt;&gt;"",EDATE($D144,Milestones!$AA$163)&gt;=$T144),$W144,IF(AND($S144&lt;&gt;"",EDATE($D144,Milestones!$AA$163)&gt;=$S144),$V144,$U144)))=Milestones!$AB$163),UPPER(TEXT(EDATE($D144,Milestones!$AA$163),"dd mmm yy"))&amp;" "&amp;Milestones!$AB$163&amp;" "&amp;Milestones!$AC$163&amp;";  ","")&amp;IF(AND(EDATE($D144,Milestones!$AA$164)&lt;=AsOfDate,IF($R144=0,$X144,IF(AND($T144&lt;&gt;"",EDATE($D144,Milestones!$AA$164)&gt;=$T144),$W144,IF(AND($S144&lt;&gt;"",EDATE($D144,Milestones!$AA$164)&gt;=$S144),$V144,$U144)))=Milestones!$AB$164),UPPER(TEXT(EDATE($D144,Milestones!$AA$164),"dd mmm yy"))&amp;" "&amp;Milestones!$AB$164&amp;" "&amp;Milestones!$AC$164&amp;";  ","")&amp;IF(AND(EDATE($D144,Milestones!$AA$165)&lt;=AsOfDate,IF($R144=0,$X144,IF(AND($T144&lt;&gt;"",EDATE($D144,Milestones!$AA$165)&gt;=$T144),$W144,IF(AND($S144&lt;&gt;"",EDATE($D144,Milestones!$AA$165)&gt;=$S144),$V144,$U144)))=Milestones!$AB$165),UPPER(TEXT(EDATE($D144,Milestones!$AA$165),"dd mmm yy"))&amp;" "&amp;Milestones!$AB$165&amp;" "&amp;Milestones!$AC$165&amp;";  ","")&amp;IF(AND(EDATE($D144,Milestones!$AA$166)&lt;=AsOfDate,IF($R144=0,$X144,IF(AND($T144&lt;&gt;"",EDATE($D144,Milestones!$AA$166)&gt;=$T144),$W144,IF(AND($S144&lt;&gt;"",EDATE($D144,Milestones!$AA$166)&gt;=$S144),$V144,$U144)))=Milestones!$AB$166),UPPER(TEXT(EDATE($D144,Milestones!$AA$166),"dd mmm yy"))&amp;" "&amp;Milestones!$AB$166&amp;" "&amp;Milestones!$AC$166&amp;";  ","")&amp;IF(AND(EDATE($D144,Milestones!$AA$167)&lt;=AsOfDate,IF($R144=0,$X144,IF(AND($T144&lt;&gt;"",EDATE($D144,Milestones!$AA$167)&gt;=$T144),$W144,IF(AND($S144&lt;&gt;"",EDATE($D144,Milestones!$AA$167)&gt;=$S144),$V144,$U144)))=Milestones!$AB$167),UPPER(TEXT(EDATE($D144,Milestones!$AA$167),"dd mmm yy"))&amp;" "&amp;Milestones!$AB$167&amp;" "&amp;Milestones!$AC$167&amp;";  ","")&amp;IF(AND(EDATE($D144,Milestones!$AA$168)&lt;=AsOfDate,IF($R144=0,$X144,IF(AND($T144&lt;&gt;"",EDATE($D144,Milestones!$AA$168)&gt;=$T144),$W144,IF(AND($S144&lt;&gt;"",EDATE($D144,Milestones!$AA$168)&gt;=$S144),$V144,$U144)))=Milestones!$AB$168),UPPER(TEXT(EDATE($D144,Milestones!$AA$168),"dd mmm yy"))&amp;" "&amp;Milestones!$AB$168&amp;" "&amp;Milestones!$AC$168&amp;";  ","")&amp;IF(AND(EDATE($D144,Milestones!$AA$169)&lt;=AsOfDate,IF($R144=0,$X144,IF(AND($T144&lt;&gt;"",EDATE($D144,Milestones!$AA$169)&gt;=$T144),$W144,IF(AND($S144&lt;&gt;"",EDATE($D144,Milestones!$AA$169)&gt;=$S144),$V144,$U144)))=Milestones!$AB$169),UPPER(TEXT(EDATE($D144,Milestones!$AA$169),"dd mmm yy"))&amp;" "&amp;Milestones!$AB$169&amp;" "&amp;Milestones!$AC$169&amp;";  ","")&amp;IF(AND(EDATE($D144,Milestones!$AA$170)&lt;=AsOfDate,IF($R144=0,$X144,IF(AND($T144&lt;&gt;"",EDATE($D144,Milestones!$AA$170)&gt;=$T144),$W144,IF(AND($S144&lt;&gt;"",EDATE($D144,Milestones!$AA$170)&gt;=$S144),$V144,$U144)))=Milestones!$AB$170),UPPER(TEXT(EDATE($D144,Milestones!$AA$170),"dd mmm yy"))&amp;" "&amp;Milestones!$AB$170&amp;" "&amp;Milestones!$AC$170&amp;";  ","")&amp;IF(AND(EDATE($D144,Milestones!$AA$171)&lt;=AsOfDate,IF($R144=0,$X144,IF(AND($T144&lt;&gt;"",EDATE($D144,Milestones!$AA$171)&gt;=$T144),$W144,IF(AND($S144&lt;&gt;"",EDATE($D144,Milestones!$AA$171)&gt;=$S144),$V144,$U144)))=Milestones!$AB$171),UPPER(TEXT(EDATE($D144,Milestones!$AA$171),"dd mmm yy"))&amp;" "&amp;Milestones!$AB$171&amp;" "&amp;Milestones!$AC$171&amp;";  ","")&amp;IF(AND(EDATE($D144,Milestones!$AA$172)&lt;=AsOfDate,IF($R144=0,$X144,IF(AND($T144&lt;&gt;"",EDATE($D144,Milestones!$AA$172)&gt;=$T144),$W144,IF(AND($S144&lt;&gt;"",EDATE($D144,Milestones!$AA$172)&gt;=$S144),$V144,$U144)))=Milestones!$AB$172),UPPER(TEXT(EDATE($D144,Milestones!$AA$172),"dd mmm yy"))&amp;" "&amp;Milestones!$AB$172&amp;" "&amp;Milestones!$AC$172&amp;";  ","")&amp;IF(AND(EDATE($D144,Milestones!$AA$173)&lt;=AsOfDate,IF($R144=0,$X144,IF(AND($T144&lt;&gt;"",EDATE($D144,Milestones!$AA$173)&gt;=$T144),$W144,IF(AND($S144&lt;&gt;"",EDATE($D144,Milestones!$AA$173)&gt;=$S144),$V144,$U144)))=Milestones!$AB$173),UPPER(TEXT(EDATE($D144,Milestones!$AA$173),"dd mmm yy"))&amp;" "&amp;Milestones!$AB$173&amp;" "&amp;Milestones!$AC$173&amp;";  ","")&amp;IF(AND(EDATE($D144,Milestones!$AA$174)&lt;=AsOfDate,IF($R144=0,$X144,IF(AND($T144&lt;&gt;"",EDATE($D144,Milestones!$AA$174)&gt;=$T144),$W144,IF(AND($S144&lt;&gt;"",EDATE($D144,Milestones!$AA$174)&gt;=$S144),$V144,$U144)))=Milestones!$AB$174),UPPER(TEXT(EDATE($D144,Milestones!$AA$174),"dd mmm yy"))&amp;" "&amp;Milestones!$AB$174&amp;" "&amp;Milestones!$AC$174&amp;";  ","")&amp;IF(AND(EDATE($D144,Milestones!$AA$175)&lt;=AsOfDate,IF($R144=0,$X144,IF(AND($T144&lt;&gt;"",EDATE($D144,Milestones!$AA$175)&gt;=$T144),$W144,IF(AND($S144&lt;&gt;"",EDATE($D144,Milestones!$AA$175)&gt;=$S144),$V144,$U144)))=Milestones!$AB$175),UPPER(TEXT(EDATE($D144,Milestones!$AA$175),"dd mmm yy"))&amp;" "&amp;Milestones!$AB$175&amp;" "&amp;Milestones!$AC$175&amp;";  ","")&amp;IF(AND(EDATE($D144,Milestones!$AA$176)&lt;=AsOfDate,IF($R144=0,$X144,IF(AND($T144&lt;&gt;"",EDATE($D144,Milestones!$AA$176)&gt;=$T144),$W144,IF(AND($S144&lt;&gt;"",EDATE($D144,Milestones!$AA$176)&gt;=$S144),$V144,$U144)))=Milestones!$AB$176),UPPER(TEXT(EDATE($D144,Milestones!$AA$176),"dd mmm yy"))&amp;" "&amp;Milestones!$AB$176&amp;" "&amp;Milestones!$AC$176&amp;";  ","")&amp;IF(AND(EDATE($D144,Milestones!$AA$177)&lt;=AsOfDate,IF($R144=0,$X144,IF(AND($T144&lt;&gt;"",EDATE($D144,Milestones!$AA$177)&gt;=$T144),$W144,IF(AND($S144&lt;&gt;"",EDATE($D144,Milestones!$AA$177)&gt;=$S144),$V144,$U144)))=Milestones!$AB$177),UPPER(TEXT(EDATE($D144,Milestones!$AA$177),"dd mmm yy"))&amp;" "&amp;Milestones!$AB$177&amp;" "&amp;Milestones!$AC$177&amp;";  ","")&amp;IF(AND(EDATE($D144,Milestones!$AA$178)&lt;=AsOfDate,IF($R144=0,$X144,IF(AND($T144&lt;&gt;"",EDATE($D144,Milestones!$AA$178)&gt;=$T144),$W144,IF(AND($S144&lt;&gt;"",EDATE($D144,Milestones!$AA$178)&gt;=$S144),$V144,$U144)))=Milestones!$AB$178),UPPER(TEXT(EDATE($D144,Milestones!$AA$178),"dd mmm yy"))&amp;" "&amp;Milestones!$AB$178&amp;" "&amp;Milestones!$AC$178&amp;";  ","")&amp;IF(AND(EDATE($D144,Milestones!$AA$179)&lt;=AsOfDate,IF($R144=0,$X144,IF(AND($T144&lt;&gt;"",EDATE($D144,Milestones!$AA$179)&gt;=$T144),$W144,IF(AND($S144&lt;&gt;"",EDATE($D144,Milestones!$AA$179)&gt;=$S144),$V144,$U144)))=Milestones!$AB$179),UPPER(TEXT(EDATE($D144,Milestones!$AA$179),"dd mmm yy"))&amp;" "&amp;Milestones!$AB$179&amp;" "&amp;Milestones!$AC$179&amp;";  ",""))</f>
        <v/>
      </c>
      <c r="Q144" s="0" t="str">
        <f aca="false">IF(OR($A144="",$D144=""),"",IF(AND(EDATE($D144,Milestones!$AA$180)&lt;=AsOfDate,IF($R144=0,$X144,IF(AND($T144&lt;&gt;"",EDATE($D144,Milestones!$AA$180)&gt;=$T144),$W144,IF(AND($S144&lt;&gt;"",EDATE($D144,Milestones!$AA$180)&gt;=$S144),$V144,$U144)))=Milestones!$AB$180),UPPER(TEXT(EDATE($D144,Milestones!$AA$180),"dd mmm yy"))&amp;" "&amp;Milestones!$AB$180&amp;" "&amp;Milestones!$AC$180&amp;";  ","")&amp;IF(AND(EDATE($D144,Milestones!$AA$181)&lt;=AsOfDate,IF($R144=0,$X144,IF(AND($T144&lt;&gt;"",EDATE($D144,Milestones!$AA$181)&gt;=$T144),$W144,IF(AND($S144&lt;&gt;"",EDATE($D144,Milestones!$AA$181)&gt;=$S144),$V144,$U144)))=Milestones!$AB$181),UPPER(TEXT(EDATE($D144,Milestones!$AA$181),"dd mmm yy"))&amp;" "&amp;Milestones!$AB$181&amp;" "&amp;Milestones!$AC$181&amp;";  ","")&amp;IF(AND(EDATE($D144,Milestones!$AA$182)&lt;=AsOfDate,IF($R144=0,$X144,IF(AND($T144&lt;&gt;"",EDATE($D144,Milestones!$AA$182)&gt;=$T144),$W144,IF(AND($S144&lt;&gt;"",EDATE($D144,Milestones!$AA$182)&gt;=$S144),$V144,$U144)))=Milestones!$AB$182),UPPER(TEXT(EDATE($D144,Milestones!$AA$182),"dd mmm yy"))&amp;" "&amp;Milestones!$AB$182&amp;" "&amp;Milestones!$AC$182&amp;";  ","")&amp;IF(AND(EDATE($D144,Milestones!$AA$183)&lt;=AsOfDate,IF($R144=0,$X144,IF(AND($T144&lt;&gt;"",EDATE($D144,Milestones!$AA$183)&gt;=$T144),$W144,IF(AND($S144&lt;&gt;"",EDATE($D144,Milestones!$AA$183)&gt;=$S144),$V144,$U144)))=Milestones!$AB$183),UPPER(TEXT(EDATE($D144,Milestones!$AA$183),"dd mmm yy"))&amp;" "&amp;Milestones!$AB$183&amp;" "&amp;Milestones!$AC$183&amp;";  ","")&amp;IF(AND(EDATE($D144,Milestones!$AA$184)&lt;=AsOfDate,IF($R144=0,$X144,IF(AND($T144&lt;&gt;"",EDATE($D144,Milestones!$AA$184)&gt;=$T144),$W144,IF(AND($S144&lt;&gt;"",EDATE($D144,Milestones!$AA$184)&gt;=$S144),$V144,$U144)))=Milestones!$AB$184),UPPER(TEXT(EDATE($D144,Milestones!$AA$184),"dd mmm yy"))&amp;" "&amp;Milestones!$AB$184&amp;" "&amp;Milestones!$AC$184&amp;";  ","")&amp;IF(AND(EDATE($D144,Milestones!$AA$185)&lt;=AsOfDate,IF($R144=0,$X144,IF(AND($T144&lt;&gt;"",EDATE($D144,Milestones!$AA$185)&gt;=$T144),$W144,IF(AND($S144&lt;&gt;"",EDATE($D144,Milestones!$AA$185)&gt;=$S144),$V144,$U144)))=Milestones!$AB$185),UPPER(TEXT(EDATE($D144,Milestones!$AA$185),"dd mmm yy"))&amp;" "&amp;Milestones!$AB$185&amp;" "&amp;Milestones!$AC$185&amp;";  ","")&amp;IF(AND(EDATE($D144,Milestones!$AA$186)&lt;=AsOfDate,IF($R144=0,$X144,IF(AND($T144&lt;&gt;"",EDATE($D144,Milestones!$AA$186)&gt;=$T144),$W144,IF(AND($S144&lt;&gt;"",EDATE($D144,Milestones!$AA$186)&gt;=$S144),$V144,$U144)))=Milestones!$AB$186),UPPER(TEXT(EDATE($D144,Milestones!$AA$186),"dd mmm yy"))&amp;" "&amp;Milestones!$AB$186&amp;" "&amp;Milestones!$AC$186&amp;";  ","")&amp;IF(AND(EDATE($D144,Milestones!$AA$187)&lt;=AsOfDate,IF($R144=0,$X144,IF(AND($T144&lt;&gt;"",EDATE($D144,Milestones!$AA$187)&gt;=$T144),$W144,IF(AND($S144&lt;&gt;"",EDATE($D144,Milestones!$AA$187)&gt;=$S144),$V144,$U144)))=Milestones!$AB$187),UPPER(TEXT(EDATE($D144,Milestones!$AA$187),"dd mmm yy"))&amp;" "&amp;Milestones!$AB$187&amp;" "&amp;Milestones!$AC$187&amp;";  ","")&amp;IF(AND(EDATE($D144,Milestones!$AA$188)&lt;=AsOfDate,IF($R144=0,$X144,IF(AND($T144&lt;&gt;"",EDATE($D144,Milestones!$AA$188)&gt;=$T144),$W144,IF(AND($S144&lt;&gt;"",EDATE($D144,Milestones!$AA$188)&gt;=$S144),$V144,$U144)))=Milestones!$AB$188),UPPER(TEXT(EDATE($D144,Milestones!$AA$188),"dd mmm yy"))&amp;" "&amp;Milestones!$AB$188&amp;" "&amp;Milestones!$AC$188&amp;";  ","")&amp;IF(AND(EDATE($D144,Milestones!$AA$189)&lt;=AsOfDate,IF($R144=0,$X144,IF(AND($T144&lt;&gt;"",EDATE($D144,Milestones!$AA$189)&gt;=$T144),$W144,IF(AND($S144&lt;&gt;"",EDATE($D144,Milestones!$AA$189)&gt;=$S144),$V144,$U144)))=Milestones!$AB$189),UPPER(TEXT(EDATE($D144,Milestones!$AA$189),"dd mmm yy"))&amp;" "&amp;Milestones!$AB$189&amp;" "&amp;Milestones!$AC$189&amp;";  ","")&amp;IF(AND(EDATE($D144,Milestones!$AA$190)&lt;=AsOfDate,IF($R144=0,$X144,IF(AND($T144&lt;&gt;"",EDATE($D144,Milestones!$AA$190)&gt;=$T144),$W144,IF(AND($S144&lt;&gt;"",EDATE($D144,Milestones!$AA$190)&gt;=$S144),$V144,$U144)))=Milestones!$AB$190),UPPER(TEXT(EDATE($D144,Milestones!$AA$190),"dd mmm yy"))&amp;" "&amp;Milestones!$AB$190&amp;" "&amp;Milestones!$AC$190&amp;";  ","")&amp;IF(AND(EDATE($D144,Milestones!$AA$191)&lt;=AsOfDate,IF($R144=0,$X144,IF(AND($T144&lt;&gt;"",EDATE($D144,Milestones!$AA$191)&gt;=$T144),$W144,IF(AND($S144&lt;&gt;"",EDATE($D144,Milestones!$AA$191)&gt;=$S144),$V144,$U144)))=Milestones!$AB$191),UPPER(TEXT(EDATE($D144,Milestones!$AA$191),"dd mmm yy"))&amp;" "&amp;Milestones!$AB$191&amp;" "&amp;Milestones!$AC$191&amp;";  ","")&amp;IF(AND(EDATE($D144,Milestones!$AA$192)&lt;=AsOfDate,IF($R144=0,$X144,IF(AND($T144&lt;&gt;"",EDATE($D144,Milestones!$AA$192)&gt;=$T144),$W144,IF(AND($S144&lt;&gt;"",EDATE($D144,Milestones!$AA$192)&gt;=$S144),$V144,$U144)))=Milestones!$AB$192),UPPER(TEXT(EDATE($D144,Milestones!$AA$192),"dd mmm yy"))&amp;" "&amp;Milestones!$AB$192&amp;" "&amp;Milestones!$AC$192&amp;";  ","")&amp;IF(AND(EDATE($D144,Milestones!$AA$193)&lt;=AsOfDate,IF($R144=0,$X144,IF(AND($T144&lt;&gt;"",EDATE($D144,Milestones!$AA$193)&gt;=$T144),$W144,IF(AND($S144&lt;&gt;"",EDATE($D144,Milestones!$AA$193)&gt;=$S144),$V144,$U144)))=Milestones!$AB$193),UPPER(TEXT(EDATE($D144,Milestones!$AA$193),"dd mmm yy"))&amp;" "&amp;Milestones!$AB$193&amp;" "&amp;Milestones!$AC$193&amp;";  ","")&amp;IF(AND(EDATE($D144,Milestones!$AA$194)&lt;=AsOfDate,IF($R144=0,$X144,IF(AND($T144&lt;&gt;"",EDATE($D144,Milestones!$AA$194)&gt;=$T144),$W144,IF(AND($S144&lt;&gt;"",EDATE($D144,Milestones!$AA$194)&gt;=$S144),$V144,$U144)))=Milestones!$AB$194),UPPER(TEXT(EDATE($D144,Milestones!$AA$194),"dd mmm yy"))&amp;" "&amp;Milestones!$AB$194&amp;" "&amp;Milestones!$AC$194&amp;";  ","")&amp;IF(AND(EDATE($D144,Milestones!$AA$195)&lt;=AsOfDate,IF($R144=0,$X144,IF(AND($T144&lt;&gt;"",EDATE($D144,Milestones!$AA$195)&gt;=$T144),$W144,IF(AND($S144&lt;&gt;"",EDATE($D144,Milestones!$AA$195)&gt;=$S144),$V144,$U144)))=Milestones!$AB$195),UPPER(TEXT(EDATE($D144,Milestones!$AA$195),"dd mmm yy"))&amp;" "&amp;Milestones!$AB$195&amp;" "&amp;Milestones!$AC$195&amp;";  ","")&amp;IF(AND(EDATE($D144,Milestones!$AA$196)&lt;=AsOfDate,IF($R144=0,$X144,IF(AND($T144&lt;&gt;"",EDATE($D144,Milestones!$AA$196)&gt;=$T144),$W144,IF(AND($S144&lt;&gt;"",EDATE($D144,Milestones!$AA$196)&gt;=$S144),$V144,$U144)))=Milestones!$AB$196),UPPER(TEXT(EDATE($D144,Milestones!$AA$196),"dd mmm yy"))&amp;" "&amp;Milestones!$AB$196&amp;" "&amp;Milestones!$AC$196&amp;";  ","")&amp;IF(AND(EDATE($D144,Milestones!$AA$197)&lt;=AsOfDate,IF($R144=0,$X144,IF(AND($T144&lt;&gt;"",EDATE($D144,Milestones!$AA$197)&gt;=$T144),$W144,IF(AND($S144&lt;&gt;"",EDATE($D144,Milestones!$AA$197)&gt;=$S144),$V144,$U144)))=Milestones!$AB$197),UPPER(TEXT(EDATE($D144,Milestones!$AA$197),"dd mmm yy"))&amp;" "&amp;Milestones!$AB$197&amp;" "&amp;Milestones!$AC$197&amp;";  ","")&amp;IF(AND(EDATE($D144,Milestones!$AA$198)&lt;=AsOfDate,IF($R144=0,$X144,IF(AND($T144&lt;&gt;"",EDATE($D144,Milestones!$AA$198)&gt;=$T144),$W144,IF(AND($S144&lt;&gt;"",EDATE($D144,Milestones!$AA$198)&gt;=$S144),$V144,$U144)))=Milestones!$AB$198),UPPER(TEXT(EDATE($D144,Milestones!$AA$198),"dd mmm yy"))&amp;" "&amp;Milestones!$AB$198&amp;" "&amp;Milestones!$AC$198&amp;";  ","")&amp;IF(AND(EDATE($D144,Milestones!$AA$199)&lt;=AsOfDate,IF($R144=0,$X144,IF(AND($T144&lt;&gt;"",EDATE($D144,Milestones!$AA$199)&gt;=$T144),$W144,IF(AND($S144&lt;&gt;"",EDATE($D144,Milestones!$AA$199)&gt;=$S144),$V144,$U144)))=Milestones!$AB$199),UPPER(TEXT(EDATE($D144,Milestones!$AA$199),"dd mmm yy"))&amp;" "&amp;Milestones!$AB$199&amp;" "&amp;Milestones!$AC$199&amp;";  ",""))</f>
        <v/>
      </c>
      <c r="R144" s="0" t="str">
        <f aca="false">IF(Staff!$A144="","",Staff!$AI144)</f>
        <v/>
      </c>
      <c r="S144" s="0" t="str">
        <f aca="false">IF(Staff!$A144="","",Staff!$AK144)</f>
        <v/>
      </c>
      <c r="T144" s="0" t="str">
        <f aca="false">IF(Staff!$A144="","",Staff!$AL144)</f>
        <v/>
      </c>
      <c r="U144" s="0" t="str">
        <f aca="false">IF(Staff!$A144="","",Staff!$AP144)</f>
        <v/>
      </c>
      <c r="V144" s="0" t="str">
        <f aca="false">IF(Staff!$A144="","",Staff!$AQ144)</f>
        <v/>
      </c>
      <c r="W144" s="0" t="str">
        <f aca="false">IF(Staff!$A144="","",Staff!$AR144)</f>
        <v/>
      </c>
      <c r="X144" s="0" t="str">
        <f aca="false">IF(Staff!$A144="","",Staff!$AS144)</f>
        <v/>
      </c>
    </row>
    <row r="145" customFormat="false" ht="15" hidden="false" customHeight="false" outlineLevel="0" collapsed="false">
      <c r="A145" s="14" t="str">
        <f aca="false">IF(Staff!$A145="","",Staff!$A145)</f>
        <v/>
      </c>
      <c r="B145" s="14" t="str">
        <f aca="false">IF(Staff!$A145="","",Staff!$B145)</f>
        <v/>
      </c>
      <c r="C145" s="14" t="str">
        <f aca="false">IF(Staff!$A145="","",Staff!$C145)</f>
        <v/>
      </c>
      <c r="D145" s="12" t="str">
        <f aca="false">IF(Staff!$A145="","",Staff!$AH145)</f>
        <v/>
      </c>
      <c r="E145" s="14" t="str">
        <f aca="false">IF(Staff!$A145="","",Staff!$O145)</f>
        <v/>
      </c>
      <c r="F145" s="14" t="str">
        <f aca="false">IF(E145="","",E145*HoursPerDay)</f>
        <v/>
      </c>
      <c r="G145" s="14" t="str">
        <f aca="false">IF(Staff!$A145="","",Staff!$AE145)</f>
        <v/>
      </c>
      <c r="H145" s="26" t="str">
        <f aca="false">IF($A145="","",I145&amp;J145&amp;K145&amp;L145&amp;M145&amp;N145&amp;O145&amp;P145&amp;Q145)</f>
        <v/>
      </c>
      <c r="I145" s="0" t="str">
        <f aca="false">IF(OR($A145="",$D145=""),"",IF(AND(EDATE($D145,Milestones!$AA$20)&lt;=AsOfDate,IF($R145=0,$X145,IF(AND($T145&lt;&gt;"",EDATE($D145,Milestones!$AA$20)&gt;=$T145),$W145,IF(AND($S145&lt;&gt;"",EDATE($D145,Milestones!$AA$20)&gt;=$S145),$V145,$U145)))=Milestones!$AB$20),UPPER(TEXT(EDATE($D145,Milestones!$AA$20),"dd mmm yy"))&amp;" "&amp;Milestones!$AB$20&amp;" "&amp;Milestones!$AC$20&amp;";  ","")&amp;IF(AND(EDATE($D145,Milestones!$AA$21)&lt;=AsOfDate,IF($R145=0,$X145,IF(AND($T145&lt;&gt;"",EDATE($D145,Milestones!$AA$21)&gt;=$T145),$W145,IF(AND($S145&lt;&gt;"",EDATE($D145,Milestones!$AA$21)&gt;=$S145),$V145,$U145)))=Milestones!$AB$21),UPPER(TEXT(EDATE($D145,Milestones!$AA$21),"dd mmm yy"))&amp;" "&amp;Milestones!$AB$21&amp;" "&amp;Milestones!$AC$21&amp;";  ","")&amp;IF(AND(EDATE($D145,Milestones!$AA$22)&lt;=AsOfDate,IF($R145=0,$X145,IF(AND($T145&lt;&gt;"",EDATE($D145,Milestones!$AA$22)&gt;=$T145),$W145,IF(AND($S145&lt;&gt;"",EDATE($D145,Milestones!$AA$22)&gt;=$S145),$V145,$U145)))=Milestones!$AB$22),UPPER(TEXT(EDATE($D145,Milestones!$AA$22),"dd mmm yy"))&amp;" "&amp;Milestones!$AB$22&amp;" "&amp;Milestones!$AC$22&amp;";  ","")&amp;IF(AND(EDATE($D145,Milestones!$AA$23)&lt;=AsOfDate,IF($R145=0,$X145,IF(AND($T145&lt;&gt;"",EDATE($D145,Milestones!$AA$23)&gt;=$T145),$W145,IF(AND($S145&lt;&gt;"",EDATE($D145,Milestones!$AA$23)&gt;=$S145),$V145,$U145)))=Milestones!$AB$23),UPPER(TEXT(EDATE($D145,Milestones!$AA$23),"dd mmm yy"))&amp;" "&amp;Milestones!$AB$23&amp;" "&amp;Milestones!$AC$23&amp;";  ","")&amp;IF(AND(EDATE($D145,Milestones!$AA$24)&lt;=AsOfDate,IF($R145=0,$X145,IF(AND($T145&lt;&gt;"",EDATE($D145,Milestones!$AA$24)&gt;=$T145),$W145,IF(AND($S145&lt;&gt;"",EDATE($D145,Milestones!$AA$24)&gt;=$S145),$V145,$U145)))=Milestones!$AB$24),UPPER(TEXT(EDATE($D145,Milestones!$AA$24),"dd mmm yy"))&amp;" "&amp;Milestones!$AB$24&amp;" "&amp;Milestones!$AC$24&amp;";  ","")&amp;IF(AND(EDATE($D145,Milestones!$AA$25)&lt;=AsOfDate,IF($R145=0,$X145,IF(AND($T145&lt;&gt;"",EDATE($D145,Milestones!$AA$25)&gt;=$T145),$W145,IF(AND($S145&lt;&gt;"",EDATE($D145,Milestones!$AA$25)&gt;=$S145),$V145,$U145)))=Milestones!$AB$25),UPPER(TEXT(EDATE($D145,Milestones!$AA$25),"dd mmm yy"))&amp;" "&amp;Milestones!$AB$25&amp;" "&amp;Milestones!$AC$25&amp;";  ","")&amp;IF(AND(EDATE($D145,Milestones!$AA$26)&lt;=AsOfDate,IF($R145=0,$X145,IF(AND($T145&lt;&gt;"",EDATE($D145,Milestones!$AA$26)&gt;=$T145),$W145,IF(AND($S145&lt;&gt;"",EDATE($D145,Milestones!$AA$26)&gt;=$S145),$V145,$U145)))=Milestones!$AB$26),UPPER(TEXT(EDATE($D145,Milestones!$AA$26),"dd mmm yy"))&amp;" "&amp;Milestones!$AB$26&amp;" "&amp;Milestones!$AC$26&amp;";  ","")&amp;IF(AND(EDATE($D145,Milestones!$AA$27)&lt;=AsOfDate,IF($R145=0,$X145,IF(AND($T145&lt;&gt;"",EDATE($D145,Milestones!$AA$27)&gt;=$T145),$W145,IF(AND($S145&lt;&gt;"",EDATE($D145,Milestones!$AA$27)&gt;=$S145),$V145,$U145)))=Milestones!$AB$27),UPPER(TEXT(EDATE($D145,Milestones!$AA$27),"dd mmm yy"))&amp;" "&amp;Milestones!$AB$27&amp;" "&amp;Milestones!$AC$27&amp;";  ","")&amp;IF(AND(EDATE($D145,Milestones!$AA$28)&lt;=AsOfDate,IF($R145=0,$X145,IF(AND($T145&lt;&gt;"",EDATE($D145,Milestones!$AA$28)&gt;=$T145),$W145,IF(AND($S145&lt;&gt;"",EDATE($D145,Milestones!$AA$28)&gt;=$S145),$V145,$U145)))=Milestones!$AB$28),UPPER(TEXT(EDATE($D145,Milestones!$AA$28),"dd mmm yy"))&amp;" "&amp;Milestones!$AB$28&amp;" "&amp;Milestones!$AC$28&amp;";  ","")&amp;IF(AND(EDATE($D145,Milestones!$AA$29)&lt;=AsOfDate,IF($R145=0,$X145,IF(AND($T145&lt;&gt;"",EDATE($D145,Milestones!$AA$29)&gt;=$T145),$W145,IF(AND($S145&lt;&gt;"",EDATE($D145,Milestones!$AA$29)&gt;=$S145),$V145,$U145)))=Milestones!$AB$29),UPPER(TEXT(EDATE($D145,Milestones!$AA$29),"dd mmm yy"))&amp;" "&amp;Milestones!$AB$29&amp;" "&amp;Milestones!$AC$29&amp;";  ","")&amp;IF(AND(EDATE($D145,Milestones!$AA$30)&lt;=AsOfDate,IF($R145=0,$X145,IF(AND($T145&lt;&gt;"",EDATE($D145,Milestones!$AA$30)&gt;=$T145),$W145,IF(AND($S145&lt;&gt;"",EDATE($D145,Milestones!$AA$30)&gt;=$S145),$V145,$U145)))=Milestones!$AB$30),UPPER(TEXT(EDATE($D145,Milestones!$AA$30),"dd mmm yy"))&amp;" "&amp;Milestones!$AB$30&amp;" "&amp;Milestones!$AC$30&amp;";  ","")&amp;IF(AND(EDATE($D145,Milestones!$AA$31)&lt;=AsOfDate,IF($R145=0,$X145,IF(AND($T145&lt;&gt;"",EDATE($D145,Milestones!$AA$31)&gt;=$T145),$W145,IF(AND($S145&lt;&gt;"",EDATE($D145,Milestones!$AA$31)&gt;=$S145),$V145,$U145)))=Milestones!$AB$31),UPPER(TEXT(EDATE($D145,Milestones!$AA$31),"dd mmm yy"))&amp;" "&amp;Milestones!$AB$31&amp;" "&amp;Milestones!$AC$31&amp;";  ","")&amp;IF(AND(EDATE($D145,Milestones!$AA$32)&lt;=AsOfDate,IF($R145=0,$X145,IF(AND($T145&lt;&gt;"",EDATE($D145,Milestones!$AA$32)&gt;=$T145),$W145,IF(AND($S145&lt;&gt;"",EDATE($D145,Milestones!$AA$32)&gt;=$S145),$V145,$U145)))=Milestones!$AB$32),UPPER(TEXT(EDATE($D145,Milestones!$AA$32),"dd mmm yy"))&amp;" "&amp;Milestones!$AB$32&amp;" "&amp;Milestones!$AC$32&amp;";  ","")&amp;IF(AND(EDATE($D145,Milestones!$AA$33)&lt;=AsOfDate,IF($R145=0,$X145,IF(AND($T145&lt;&gt;"",EDATE($D145,Milestones!$AA$33)&gt;=$T145),$W145,IF(AND($S145&lt;&gt;"",EDATE($D145,Milestones!$AA$33)&gt;=$S145),$V145,$U145)))=Milestones!$AB$33),UPPER(TEXT(EDATE($D145,Milestones!$AA$33),"dd mmm yy"))&amp;" "&amp;Milestones!$AB$33&amp;" "&amp;Milestones!$AC$33&amp;";  ","")&amp;IF(AND(EDATE($D145,Milestones!$AA$34)&lt;=AsOfDate,IF($R145=0,$X145,IF(AND($T145&lt;&gt;"",EDATE($D145,Milestones!$AA$34)&gt;=$T145),$W145,IF(AND($S145&lt;&gt;"",EDATE($D145,Milestones!$AA$34)&gt;=$S145),$V145,$U145)))=Milestones!$AB$34),UPPER(TEXT(EDATE($D145,Milestones!$AA$34),"dd mmm yy"))&amp;" "&amp;Milestones!$AB$34&amp;" "&amp;Milestones!$AC$34&amp;";  ","")&amp;IF(AND(EDATE($D145,Milestones!$AA$35)&lt;=AsOfDate,IF($R145=0,$X145,IF(AND($T145&lt;&gt;"",EDATE($D145,Milestones!$AA$35)&gt;=$T145),$W145,IF(AND($S145&lt;&gt;"",EDATE($D145,Milestones!$AA$35)&gt;=$S145),$V145,$U145)))=Milestones!$AB$35),UPPER(TEXT(EDATE($D145,Milestones!$AA$35),"dd mmm yy"))&amp;" "&amp;Milestones!$AB$35&amp;" "&amp;Milestones!$AC$35&amp;";  ","")&amp;IF(AND(EDATE($D145,Milestones!$AA$36)&lt;=AsOfDate,IF($R145=0,$X145,IF(AND($T145&lt;&gt;"",EDATE($D145,Milestones!$AA$36)&gt;=$T145),$W145,IF(AND($S145&lt;&gt;"",EDATE($D145,Milestones!$AA$36)&gt;=$S145),$V145,$U145)))=Milestones!$AB$36),UPPER(TEXT(EDATE($D145,Milestones!$AA$36),"dd mmm yy"))&amp;" "&amp;Milestones!$AB$36&amp;" "&amp;Milestones!$AC$36&amp;";  ","")&amp;IF(AND(EDATE($D145,Milestones!$AA$37)&lt;=AsOfDate,IF($R145=0,$X145,IF(AND($T145&lt;&gt;"",EDATE($D145,Milestones!$AA$37)&gt;=$T145),$W145,IF(AND($S145&lt;&gt;"",EDATE($D145,Milestones!$AA$37)&gt;=$S145),$V145,$U145)))=Milestones!$AB$37),UPPER(TEXT(EDATE($D145,Milestones!$AA$37),"dd mmm yy"))&amp;" "&amp;Milestones!$AB$37&amp;" "&amp;Milestones!$AC$37&amp;";  ","")&amp;IF(AND(EDATE($D145,Milestones!$AA$38)&lt;=AsOfDate,IF($R145=0,$X145,IF(AND($T145&lt;&gt;"",EDATE($D145,Milestones!$AA$38)&gt;=$T145),$W145,IF(AND($S145&lt;&gt;"",EDATE($D145,Milestones!$AA$38)&gt;=$S145),$V145,$U145)))=Milestones!$AB$38),UPPER(TEXT(EDATE($D145,Milestones!$AA$38),"dd mmm yy"))&amp;" "&amp;Milestones!$AB$38&amp;" "&amp;Milestones!$AC$38&amp;";  ","")&amp;IF(AND(EDATE($D145,Milestones!$AA$39)&lt;=AsOfDate,IF($R145=0,$X145,IF(AND($T145&lt;&gt;"",EDATE($D145,Milestones!$AA$39)&gt;=$T145),$W145,IF(AND($S145&lt;&gt;"",EDATE($D145,Milestones!$AA$39)&gt;=$S145),$V145,$U145)))=Milestones!$AB$39),UPPER(TEXT(EDATE($D145,Milestones!$AA$39),"dd mmm yy"))&amp;" "&amp;Milestones!$AB$39&amp;" "&amp;Milestones!$AC$39&amp;";  ",""))</f>
        <v/>
      </c>
      <c r="J145" s="0" t="str">
        <f aca="false">IF(OR($A145="",$D145=""),"",IF(AND(EDATE($D145,Milestones!$AA$40)&lt;=AsOfDate,IF($R145=0,$X145,IF(AND($T145&lt;&gt;"",EDATE($D145,Milestones!$AA$40)&gt;=$T145),$W145,IF(AND($S145&lt;&gt;"",EDATE($D145,Milestones!$AA$40)&gt;=$S145),$V145,$U145)))=Milestones!$AB$40),UPPER(TEXT(EDATE($D145,Milestones!$AA$40),"dd mmm yy"))&amp;" "&amp;Milestones!$AB$40&amp;" "&amp;Milestones!$AC$40&amp;";  ","")&amp;IF(AND(EDATE($D145,Milestones!$AA$41)&lt;=AsOfDate,IF($R145=0,$X145,IF(AND($T145&lt;&gt;"",EDATE($D145,Milestones!$AA$41)&gt;=$T145),$W145,IF(AND($S145&lt;&gt;"",EDATE($D145,Milestones!$AA$41)&gt;=$S145),$V145,$U145)))=Milestones!$AB$41),UPPER(TEXT(EDATE($D145,Milestones!$AA$41),"dd mmm yy"))&amp;" "&amp;Milestones!$AB$41&amp;" "&amp;Milestones!$AC$41&amp;";  ","")&amp;IF(AND(EDATE($D145,Milestones!$AA$42)&lt;=AsOfDate,IF($R145=0,$X145,IF(AND($T145&lt;&gt;"",EDATE($D145,Milestones!$AA$42)&gt;=$T145),$W145,IF(AND($S145&lt;&gt;"",EDATE($D145,Milestones!$AA$42)&gt;=$S145),$V145,$U145)))=Milestones!$AB$42),UPPER(TEXT(EDATE($D145,Milestones!$AA$42),"dd mmm yy"))&amp;" "&amp;Milestones!$AB$42&amp;" "&amp;Milestones!$AC$42&amp;";  ","")&amp;IF(AND(EDATE($D145,Milestones!$AA$43)&lt;=AsOfDate,IF($R145=0,$X145,IF(AND($T145&lt;&gt;"",EDATE($D145,Milestones!$AA$43)&gt;=$T145),$W145,IF(AND($S145&lt;&gt;"",EDATE($D145,Milestones!$AA$43)&gt;=$S145),$V145,$U145)))=Milestones!$AB$43),UPPER(TEXT(EDATE($D145,Milestones!$AA$43),"dd mmm yy"))&amp;" "&amp;Milestones!$AB$43&amp;" "&amp;Milestones!$AC$43&amp;";  ","")&amp;IF(AND(EDATE($D145,Milestones!$AA$44)&lt;=AsOfDate,IF($R145=0,$X145,IF(AND($T145&lt;&gt;"",EDATE($D145,Milestones!$AA$44)&gt;=$T145),$W145,IF(AND($S145&lt;&gt;"",EDATE($D145,Milestones!$AA$44)&gt;=$S145),$V145,$U145)))=Milestones!$AB$44),UPPER(TEXT(EDATE($D145,Milestones!$AA$44),"dd mmm yy"))&amp;" "&amp;Milestones!$AB$44&amp;" "&amp;Milestones!$AC$44&amp;";  ","")&amp;IF(AND(EDATE($D145,Milestones!$AA$45)&lt;=AsOfDate,IF($R145=0,$X145,IF(AND($T145&lt;&gt;"",EDATE($D145,Milestones!$AA$45)&gt;=$T145),$W145,IF(AND($S145&lt;&gt;"",EDATE($D145,Milestones!$AA$45)&gt;=$S145),$V145,$U145)))=Milestones!$AB$45),UPPER(TEXT(EDATE($D145,Milestones!$AA$45),"dd mmm yy"))&amp;" "&amp;Milestones!$AB$45&amp;" "&amp;Milestones!$AC$45&amp;";  ","")&amp;IF(AND(EDATE($D145,Milestones!$AA$46)&lt;=AsOfDate,IF($R145=0,$X145,IF(AND($T145&lt;&gt;"",EDATE($D145,Milestones!$AA$46)&gt;=$T145),$W145,IF(AND($S145&lt;&gt;"",EDATE($D145,Milestones!$AA$46)&gt;=$S145),$V145,$U145)))=Milestones!$AB$46),UPPER(TEXT(EDATE($D145,Milestones!$AA$46),"dd mmm yy"))&amp;" "&amp;Milestones!$AB$46&amp;" "&amp;Milestones!$AC$46&amp;";  ","")&amp;IF(AND(EDATE($D145,Milestones!$AA$47)&lt;=AsOfDate,IF($R145=0,$X145,IF(AND($T145&lt;&gt;"",EDATE($D145,Milestones!$AA$47)&gt;=$T145),$W145,IF(AND($S145&lt;&gt;"",EDATE($D145,Milestones!$AA$47)&gt;=$S145),$V145,$U145)))=Milestones!$AB$47),UPPER(TEXT(EDATE($D145,Milestones!$AA$47),"dd mmm yy"))&amp;" "&amp;Milestones!$AB$47&amp;" "&amp;Milestones!$AC$47&amp;";  ","")&amp;IF(AND(EDATE($D145,Milestones!$AA$48)&lt;=AsOfDate,IF($R145=0,$X145,IF(AND($T145&lt;&gt;"",EDATE($D145,Milestones!$AA$48)&gt;=$T145),$W145,IF(AND($S145&lt;&gt;"",EDATE($D145,Milestones!$AA$48)&gt;=$S145),$V145,$U145)))=Milestones!$AB$48),UPPER(TEXT(EDATE($D145,Milestones!$AA$48),"dd mmm yy"))&amp;" "&amp;Milestones!$AB$48&amp;" "&amp;Milestones!$AC$48&amp;";  ","")&amp;IF(AND(EDATE($D145,Milestones!$AA$49)&lt;=AsOfDate,IF($R145=0,$X145,IF(AND($T145&lt;&gt;"",EDATE($D145,Milestones!$AA$49)&gt;=$T145),$W145,IF(AND($S145&lt;&gt;"",EDATE($D145,Milestones!$AA$49)&gt;=$S145),$V145,$U145)))=Milestones!$AB$49),UPPER(TEXT(EDATE($D145,Milestones!$AA$49),"dd mmm yy"))&amp;" "&amp;Milestones!$AB$49&amp;" "&amp;Milestones!$AC$49&amp;";  ","")&amp;IF(AND(EDATE($D145,Milestones!$AA$50)&lt;=AsOfDate,IF($R145=0,$X145,IF(AND($T145&lt;&gt;"",EDATE($D145,Milestones!$AA$50)&gt;=$T145),$W145,IF(AND($S145&lt;&gt;"",EDATE($D145,Milestones!$AA$50)&gt;=$S145),$V145,$U145)))=Milestones!$AB$50),UPPER(TEXT(EDATE($D145,Milestones!$AA$50),"dd mmm yy"))&amp;" "&amp;Milestones!$AB$50&amp;" "&amp;Milestones!$AC$50&amp;";  ","")&amp;IF(AND(EDATE($D145,Milestones!$AA$51)&lt;=AsOfDate,IF($R145=0,$X145,IF(AND($T145&lt;&gt;"",EDATE($D145,Milestones!$AA$51)&gt;=$T145),$W145,IF(AND($S145&lt;&gt;"",EDATE($D145,Milestones!$AA$51)&gt;=$S145),$V145,$U145)))=Milestones!$AB$51),UPPER(TEXT(EDATE($D145,Milestones!$AA$51),"dd mmm yy"))&amp;" "&amp;Milestones!$AB$51&amp;" "&amp;Milestones!$AC$51&amp;";  ","")&amp;IF(AND(EDATE($D145,Milestones!$AA$52)&lt;=AsOfDate,IF($R145=0,$X145,IF(AND($T145&lt;&gt;"",EDATE($D145,Milestones!$AA$52)&gt;=$T145),$W145,IF(AND($S145&lt;&gt;"",EDATE($D145,Milestones!$AA$52)&gt;=$S145),$V145,$U145)))=Milestones!$AB$52),UPPER(TEXT(EDATE($D145,Milestones!$AA$52),"dd mmm yy"))&amp;" "&amp;Milestones!$AB$52&amp;" "&amp;Milestones!$AC$52&amp;";  ","")&amp;IF(AND(EDATE($D145,Milestones!$AA$53)&lt;=AsOfDate,IF($R145=0,$X145,IF(AND($T145&lt;&gt;"",EDATE($D145,Milestones!$AA$53)&gt;=$T145),$W145,IF(AND($S145&lt;&gt;"",EDATE($D145,Milestones!$AA$53)&gt;=$S145),$V145,$U145)))=Milestones!$AB$53),UPPER(TEXT(EDATE($D145,Milestones!$AA$53),"dd mmm yy"))&amp;" "&amp;Milestones!$AB$53&amp;" "&amp;Milestones!$AC$53&amp;";  ","")&amp;IF(AND(EDATE($D145,Milestones!$AA$54)&lt;=AsOfDate,IF($R145=0,$X145,IF(AND($T145&lt;&gt;"",EDATE($D145,Milestones!$AA$54)&gt;=$T145),$W145,IF(AND($S145&lt;&gt;"",EDATE($D145,Milestones!$AA$54)&gt;=$S145),$V145,$U145)))=Milestones!$AB$54),UPPER(TEXT(EDATE($D145,Milestones!$AA$54),"dd mmm yy"))&amp;" "&amp;Milestones!$AB$54&amp;" "&amp;Milestones!$AC$54&amp;";  ","")&amp;IF(AND(EDATE($D145,Milestones!$AA$55)&lt;=AsOfDate,IF($R145=0,$X145,IF(AND($T145&lt;&gt;"",EDATE($D145,Milestones!$AA$55)&gt;=$T145),$W145,IF(AND($S145&lt;&gt;"",EDATE($D145,Milestones!$AA$55)&gt;=$S145),$V145,$U145)))=Milestones!$AB$55),UPPER(TEXT(EDATE($D145,Milestones!$AA$55),"dd mmm yy"))&amp;" "&amp;Milestones!$AB$55&amp;" "&amp;Milestones!$AC$55&amp;";  ","")&amp;IF(AND(EDATE($D145,Milestones!$AA$56)&lt;=AsOfDate,IF($R145=0,$X145,IF(AND($T145&lt;&gt;"",EDATE($D145,Milestones!$AA$56)&gt;=$T145),$W145,IF(AND($S145&lt;&gt;"",EDATE($D145,Milestones!$AA$56)&gt;=$S145),$V145,$U145)))=Milestones!$AB$56),UPPER(TEXT(EDATE($D145,Milestones!$AA$56),"dd mmm yy"))&amp;" "&amp;Milestones!$AB$56&amp;" "&amp;Milestones!$AC$56&amp;";  ","")&amp;IF(AND(EDATE($D145,Milestones!$AA$57)&lt;=AsOfDate,IF($R145=0,$X145,IF(AND($T145&lt;&gt;"",EDATE($D145,Milestones!$AA$57)&gt;=$T145),$W145,IF(AND($S145&lt;&gt;"",EDATE($D145,Milestones!$AA$57)&gt;=$S145),$V145,$U145)))=Milestones!$AB$57),UPPER(TEXT(EDATE($D145,Milestones!$AA$57),"dd mmm yy"))&amp;" "&amp;Milestones!$AB$57&amp;" "&amp;Milestones!$AC$57&amp;";  ","")&amp;IF(AND(EDATE($D145,Milestones!$AA$58)&lt;=AsOfDate,IF($R145=0,$X145,IF(AND($T145&lt;&gt;"",EDATE($D145,Milestones!$AA$58)&gt;=$T145),$W145,IF(AND($S145&lt;&gt;"",EDATE($D145,Milestones!$AA$58)&gt;=$S145),$V145,$U145)))=Milestones!$AB$58),UPPER(TEXT(EDATE($D145,Milestones!$AA$58),"dd mmm yy"))&amp;" "&amp;Milestones!$AB$58&amp;" "&amp;Milestones!$AC$58&amp;";  ","")&amp;IF(AND(EDATE($D145,Milestones!$AA$59)&lt;=AsOfDate,IF($R145=0,$X145,IF(AND($T145&lt;&gt;"",EDATE($D145,Milestones!$AA$59)&gt;=$T145),$W145,IF(AND($S145&lt;&gt;"",EDATE($D145,Milestones!$AA$59)&gt;=$S145),$V145,$U145)))=Milestones!$AB$59),UPPER(TEXT(EDATE($D145,Milestones!$AA$59),"dd mmm yy"))&amp;" "&amp;Milestones!$AB$59&amp;" "&amp;Milestones!$AC$59&amp;";  ",""))</f>
        <v/>
      </c>
      <c r="K145" s="0" t="str">
        <f aca="false">IF(OR($A145="",$D145=""),"",IF(AND(EDATE($D145,Milestones!$AA$60)&lt;=AsOfDate,IF($R145=0,$X145,IF(AND($T145&lt;&gt;"",EDATE($D145,Milestones!$AA$60)&gt;=$T145),$W145,IF(AND($S145&lt;&gt;"",EDATE($D145,Milestones!$AA$60)&gt;=$S145),$V145,$U145)))=Milestones!$AB$60),UPPER(TEXT(EDATE($D145,Milestones!$AA$60),"dd mmm yy"))&amp;" "&amp;Milestones!$AB$60&amp;" "&amp;Milestones!$AC$60&amp;";  ","")&amp;IF(AND(EDATE($D145,Milestones!$AA$61)&lt;=AsOfDate,IF($R145=0,$X145,IF(AND($T145&lt;&gt;"",EDATE($D145,Milestones!$AA$61)&gt;=$T145),$W145,IF(AND($S145&lt;&gt;"",EDATE($D145,Milestones!$AA$61)&gt;=$S145),$V145,$U145)))=Milestones!$AB$61),UPPER(TEXT(EDATE($D145,Milestones!$AA$61),"dd mmm yy"))&amp;" "&amp;Milestones!$AB$61&amp;" "&amp;Milestones!$AC$61&amp;";  ","")&amp;IF(AND(EDATE($D145,Milestones!$AA$62)&lt;=AsOfDate,IF($R145=0,$X145,IF(AND($T145&lt;&gt;"",EDATE($D145,Milestones!$AA$62)&gt;=$T145),$W145,IF(AND($S145&lt;&gt;"",EDATE($D145,Milestones!$AA$62)&gt;=$S145),$V145,$U145)))=Milestones!$AB$62),UPPER(TEXT(EDATE($D145,Milestones!$AA$62),"dd mmm yy"))&amp;" "&amp;Milestones!$AB$62&amp;" "&amp;Milestones!$AC$62&amp;";  ","")&amp;IF(AND(EDATE($D145,Milestones!$AA$63)&lt;=AsOfDate,IF($R145=0,$X145,IF(AND($T145&lt;&gt;"",EDATE($D145,Milestones!$AA$63)&gt;=$T145),$W145,IF(AND($S145&lt;&gt;"",EDATE($D145,Milestones!$AA$63)&gt;=$S145),$V145,$U145)))=Milestones!$AB$63),UPPER(TEXT(EDATE($D145,Milestones!$AA$63),"dd mmm yy"))&amp;" "&amp;Milestones!$AB$63&amp;" "&amp;Milestones!$AC$63&amp;";  ","")&amp;IF(AND(EDATE($D145,Milestones!$AA$64)&lt;=AsOfDate,IF($R145=0,$X145,IF(AND($T145&lt;&gt;"",EDATE($D145,Milestones!$AA$64)&gt;=$T145),$W145,IF(AND($S145&lt;&gt;"",EDATE($D145,Milestones!$AA$64)&gt;=$S145),$V145,$U145)))=Milestones!$AB$64),UPPER(TEXT(EDATE($D145,Milestones!$AA$64),"dd mmm yy"))&amp;" "&amp;Milestones!$AB$64&amp;" "&amp;Milestones!$AC$64&amp;";  ","")&amp;IF(AND(EDATE($D145,Milestones!$AA$65)&lt;=AsOfDate,IF($R145=0,$X145,IF(AND($T145&lt;&gt;"",EDATE($D145,Milestones!$AA$65)&gt;=$T145),$W145,IF(AND($S145&lt;&gt;"",EDATE($D145,Milestones!$AA$65)&gt;=$S145),$V145,$U145)))=Milestones!$AB$65),UPPER(TEXT(EDATE($D145,Milestones!$AA$65),"dd mmm yy"))&amp;" "&amp;Milestones!$AB$65&amp;" "&amp;Milestones!$AC$65&amp;";  ","")&amp;IF(AND(EDATE($D145,Milestones!$AA$66)&lt;=AsOfDate,IF($R145=0,$X145,IF(AND($T145&lt;&gt;"",EDATE($D145,Milestones!$AA$66)&gt;=$T145),$W145,IF(AND($S145&lt;&gt;"",EDATE($D145,Milestones!$AA$66)&gt;=$S145),$V145,$U145)))=Milestones!$AB$66),UPPER(TEXT(EDATE($D145,Milestones!$AA$66),"dd mmm yy"))&amp;" "&amp;Milestones!$AB$66&amp;" "&amp;Milestones!$AC$66&amp;";  ","")&amp;IF(AND(EDATE($D145,Milestones!$AA$67)&lt;=AsOfDate,IF($R145=0,$X145,IF(AND($T145&lt;&gt;"",EDATE($D145,Milestones!$AA$67)&gt;=$T145),$W145,IF(AND($S145&lt;&gt;"",EDATE($D145,Milestones!$AA$67)&gt;=$S145),$V145,$U145)))=Milestones!$AB$67),UPPER(TEXT(EDATE($D145,Milestones!$AA$67),"dd mmm yy"))&amp;" "&amp;Milestones!$AB$67&amp;" "&amp;Milestones!$AC$67&amp;";  ","")&amp;IF(AND(EDATE($D145,Milestones!$AA$68)&lt;=AsOfDate,IF($R145=0,$X145,IF(AND($T145&lt;&gt;"",EDATE($D145,Milestones!$AA$68)&gt;=$T145),$W145,IF(AND($S145&lt;&gt;"",EDATE($D145,Milestones!$AA$68)&gt;=$S145),$V145,$U145)))=Milestones!$AB$68),UPPER(TEXT(EDATE($D145,Milestones!$AA$68),"dd mmm yy"))&amp;" "&amp;Milestones!$AB$68&amp;" "&amp;Milestones!$AC$68&amp;";  ","")&amp;IF(AND(EDATE($D145,Milestones!$AA$69)&lt;=AsOfDate,IF($R145=0,$X145,IF(AND($T145&lt;&gt;"",EDATE($D145,Milestones!$AA$69)&gt;=$T145),$W145,IF(AND($S145&lt;&gt;"",EDATE($D145,Milestones!$AA$69)&gt;=$S145),$V145,$U145)))=Milestones!$AB$69),UPPER(TEXT(EDATE($D145,Milestones!$AA$69),"dd mmm yy"))&amp;" "&amp;Milestones!$AB$69&amp;" "&amp;Milestones!$AC$69&amp;";  ","")&amp;IF(AND(EDATE($D145,Milestones!$AA$70)&lt;=AsOfDate,IF($R145=0,$X145,IF(AND($T145&lt;&gt;"",EDATE($D145,Milestones!$AA$70)&gt;=$T145),$W145,IF(AND($S145&lt;&gt;"",EDATE($D145,Milestones!$AA$70)&gt;=$S145),$V145,$U145)))=Milestones!$AB$70),UPPER(TEXT(EDATE($D145,Milestones!$AA$70),"dd mmm yy"))&amp;" "&amp;Milestones!$AB$70&amp;" "&amp;Milestones!$AC$70&amp;";  ","")&amp;IF(AND(EDATE($D145,Milestones!$AA$71)&lt;=AsOfDate,IF($R145=0,$X145,IF(AND($T145&lt;&gt;"",EDATE($D145,Milestones!$AA$71)&gt;=$T145),$W145,IF(AND($S145&lt;&gt;"",EDATE($D145,Milestones!$AA$71)&gt;=$S145),$V145,$U145)))=Milestones!$AB$71),UPPER(TEXT(EDATE($D145,Milestones!$AA$71),"dd mmm yy"))&amp;" "&amp;Milestones!$AB$71&amp;" "&amp;Milestones!$AC$71&amp;";  ","")&amp;IF(AND(EDATE($D145,Milestones!$AA$72)&lt;=AsOfDate,IF($R145=0,$X145,IF(AND($T145&lt;&gt;"",EDATE($D145,Milestones!$AA$72)&gt;=$T145),$W145,IF(AND($S145&lt;&gt;"",EDATE($D145,Milestones!$AA$72)&gt;=$S145),$V145,$U145)))=Milestones!$AB$72),UPPER(TEXT(EDATE($D145,Milestones!$AA$72),"dd mmm yy"))&amp;" "&amp;Milestones!$AB$72&amp;" "&amp;Milestones!$AC$72&amp;";  ","")&amp;IF(AND(EDATE($D145,Milestones!$AA$73)&lt;=AsOfDate,IF($R145=0,$X145,IF(AND($T145&lt;&gt;"",EDATE($D145,Milestones!$AA$73)&gt;=$T145),$W145,IF(AND($S145&lt;&gt;"",EDATE($D145,Milestones!$AA$73)&gt;=$S145),$V145,$U145)))=Milestones!$AB$73),UPPER(TEXT(EDATE($D145,Milestones!$AA$73),"dd mmm yy"))&amp;" "&amp;Milestones!$AB$73&amp;" "&amp;Milestones!$AC$73&amp;";  ","")&amp;IF(AND(EDATE($D145,Milestones!$AA$74)&lt;=AsOfDate,IF($R145=0,$X145,IF(AND($T145&lt;&gt;"",EDATE($D145,Milestones!$AA$74)&gt;=$T145),$W145,IF(AND($S145&lt;&gt;"",EDATE($D145,Milestones!$AA$74)&gt;=$S145),$V145,$U145)))=Milestones!$AB$74),UPPER(TEXT(EDATE($D145,Milestones!$AA$74),"dd mmm yy"))&amp;" "&amp;Milestones!$AB$74&amp;" "&amp;Milestones!$AC$74&amp;";  ","")&amp;IF(AND(EDATE($D145,Milestones!$AA$75)&lt;=AsOfDate,IF($R145=0,$X145,IF(AND($T145&lt;&gt;"",EDATE($D145,Milestones!$AA$75)&gt;=$T145),$W145,IF(AND($S145&lt;&gt;"",EDATE($D145,Milestones!$AA$75)&gt;=$S145),$V145,$U145)))=Milestones!$AB$75),UPPER(TEXT(EDATE($D145,Milestones!$AA$75),"dd mmm yy"))&amp;" "&amp;Milestones!$AB$75&amp;" "&amp;Milestones!$AC$75&amp;";  ","")&amp;IF(AND(EDATE($D145,Milestones!$AA$76)&lt;=AsOfDate,IF($R145=0,$X145,IF(AND($T145&lt;&gt;"",EDATE($D145,Milestones!$AA$76)&gt;=$T145),$W145,IF(AND($S145&lt;&gt;"",EDATE($D145,Milestones!$AA$76)&gt;=$S145),$V145,$U145)))=Milestones!$AB$76),UPPER(TEXT(EDATE($D145,Milestones!$AA$76),"dd mmm yy"))&amp;" "&amp;Milestones!$AB$76&amp;" "&amp;Milestones!$AC$76&amp;";  ","")&amp;IF(AND(EDATE($D145,Milestones!$AA$77)&lt;=AsOfDate,IF($R145=0,$X145,IF(AND($T145&lt;&gt;"",EDATE($D145,Milestones!$AA$77)&gt;=$T145),$W145,IF(AND($S145&lt;&gt;"",EDATE($D145,Milestones!$AA$77)&gt;=$S145),$V145,$U145)))=Milestones!$AB$77),UPPER(TEXT(EDATE($D145,Milestones!$AA$77),"dd mmm yy"))&amp;" "&amp;Milestones!$AB$77&amp;" "&amp;Milestones!$AC$77&amp;";  ","")&amp;IF(AND(EDATE($D145,Milestones!$AA$78)&lt;=AsOfDate,IF($R145=0,$X145,IF(AND($T145&lt;&gt;"",EDATE($D145,Milestones!$AA$78)&gt;=$T145),$W145,IF(AND($S145&lt;&gt;"",EDATE($D145,Milestones!$AA$78)&gt;=$S145),$V145,$U145)))=Milestones!$AB$78),UPPER(TEXT(EDATE($D145,Milestones!$AA$78),"dd mmm yy"))&amp;" "&amp;Milestones!$AB$78&amp;" "&amp;Milestones!$AC$78&amp;";  ","")&amp;IF(AND(EDATE($D145,Milestones!$AA$79)&lt;=AsOfDate,IF($R145=0,$X145,IF(AND($T145&lt;&gt;"",EDATE($D145,Milestones!$AA$79)&gt;=$T145),$W145,IF(AND($S145&lt;&gt;"",EDATE($D145,Milestones!$AA$79)&gt;=$S145),$V145,$U145)))=Milestones!$AB$79),UPPER(TEXT(EDATE($D145,Milestones!$AA$79),"dd mmm yy"))&amp;" "&amp;Milestones!$AB$79&amp;" "&amp;Milestones!$AC$79&amp;";  ",""))</f>
        <v/>
      </c>
      <c r="L145" s="0" t="str">
        <f aca="false">IF(OR($A145="",$D145=""),"",IF(AND(EDATE($D145,Milestones!$AA$80)&lt;=AsOfDate,IF($R145=0,$X145,IF(AND($T145&lt;&gt;"",EDATE($D145,Milestones!$AA$80)&gt;=$T145),$W145,IF(AND($S145&lt;&gt;"",EDATE($D145,Milestones!$AA$80)&gt;=$S145),$V145,$U145)))=Milestones!$AB$80),UPPER(TEXT(EDATE($D145,Milestones!$AA$80),"dd mmm yy"))&amp;" "&amp;Milestones!$AB$80&amp;" "&amp;Milestones!$AC$80&amp;";  ","")&amp;IF(AND(EDATE($D145,Milestones!$AA$81)&lt;=AsOfDate,IF($R145=0,$X145,IF(AND($T145&lt;&gt;"",EDATE($D145,Milestones!$AA$81)&gt;=$T145),$W145,IF(AND($S145&lt;&gt;"",EDATE($D145,Milestones!$AA$81)&gt;=$S145),$V145,$U145)))=Milestones!$AB$81),UPPER(TEXT(EDATE($D145,Milestones!$AA$81),"dd mmm yy"))&amp;" "&amp;Milestones!$AB$81&amp;" "&amp;Milestones!$AC$81&amp;";  ","")&amp;IF(AND(EDATE($D145,Milestones!$AA$82)&lt;=AsOfDate,IF($R145=0,$X145,IF(AND($T145&lt;&gt;"",EDATE($D145,Milestones!$AA$82)&gt;=$T145),$W145,IF(AND($S145&lt;&gt;"",EDATE($D145,Milestones!$AA$82)&gt;=$S145),$V145,$U145)))=Milestones!$AB$82),UPPER(TEXT(EDATE($D145,Milestones!$AA$82),"dd mmm yy"))&amp;" "&amp;Milestones!$AB$82&amp;" "&amp;Milestones!$AC$82&amp;";  ","")&amp;IF(AND(EDATE($D145,Milestones!$AA$83)&lt;=AsOfDate,IF($R145=0,$X145,IF(AND($T145&lt;&gt;"",EDATE($D145,Milestones!$AA$83)&gt;=$T145),$W145,IF(AND($S145&lt;&gt;"",EDATE($D145,Milestones!$AA$83)&gt;=$S145),$V145,$U145)))=Milestones!$AB$83),UPPER(TEXT(EDATE($D145,Milestones!$AA$83),"dd mmm yy"))&amp;" "&amp;Milestones!$AB$83&amp;" "&amp;Milestones!$AC$83&amp;";  ","")&amp;IF(AND(EDATE($D145,Milestones!$AA$84)&lt;=AsOfDate,IF($R145=0,$X145,IF(AND($T145&lt;&gt;"",EDATE($D145,Milestones!$AA$84)&gt;=$T145),$W145,IF(AND($S145&lt;&gt;"",EDATE($D145,Milestones!$AA$84)&gt;=$S145),$V145,$U145)))=Milestones!$AB$84),UPPER(TEXT(EDATE($D145,Milestones!$AA$84),"dd mmm yy"))&amp;" "&amp;Milestones!$AB$84&amp;" "&amp;Milestones!$AC$84&amp;";  ","")&amp;IF(AND(EDATE($D145,Milestones!$AA$85)&lt;=AsOfDate,IF($R145=0,$X145,IF(AND($T145&lt;&gt;"",EDATE($D145,Milestones!$AA$85)&gt;=$T145),$W145,IF(AND($S145&lt;&gt;"",EDATE($D145,Milestones!$AA$85)&gt;=$S145),$V145,$U145)))=Milestones!$AB$85),UPPER(TEXT(EDATE($D145,Milestones!$AA$85),"dd mmm yy"))&amp;" "&amp;Milestones!$AB$85&amp;" "&amp;Milestones!$AC$85&amp;";  ","")&amp;IF(AND(EDATE($D145,Milestones!$AA$86)&lt;=AsOfDate,IF($R145=0,$X145,IF(AND($T145&lt;&gt;"",EDATE($D145,Milestones!$AA$86)&gt;=$T145),$W145,IF(AND($S145&lt;&gt;"",EDATE($D145,Milestones!$AA$86)&gt;=$S145),$V145,$U145)))=Milestones!$AB$86),UPPER(TEXT(EDATE($D145,Milestones!$AA$86),"dd mmm yy"))&amp;" "&amp;Milestones!$AB$86&amp;" "&amp;Milestones!$AC$86&amp;";  ","")&amp;IF(AND(EDATE($D145,Milestones!$AA$87)&lt;=AsOfDate,IF($R145=0,$X145,IF(AND($T145&lt;&gt;"",EDATE($D145,Milestones!$AA$87)&gt;=$T145),$W145,IF(AND($S145&lt;&gt;"",EDATE($D145,Milestones!$AA$87)&gt;=$S145),$V145,$U145)))=Milestones!$AB$87),UPPER(TEXT(EDATE($D145,Milestones!$AA$87),"dd mmm yy"))&amp;" "&amp;Milestones!$AB$87&amp;" "&amp;Milestones!$AC$87&amp;";  ","")&amp;IF(AND(EDATE($D145,Milestones!$AA$88)&lt;=AsOfDate,IF($R145=0,$X145,IF(AND($T145&lt;&gt;"",EDATE($D145,Milestones!$AA$88)&gt;=$T145),$W145,IF(AND($S145&lt;&gt;"",EDATE($D145,Milestones!$AA$88)&gt;=$S145),$V145,$U145)))=Milestones!$AB$88),UPPER(TEXT(EDATE($D145,Milestones!$AA$88),"dd mmm yy"))&amp;" "&amp;Milestones!$AB$88&amp;" "&amp;Milestones!$AC$88&amp;";  ","")&amp;IF(AND(EDATE($D145,Milestones!$AA$89)&lt;=AsOfDate,IF($R145=0,$X145,IF(AND($T145&lt;&gt;"",EDATE($D145,Milestones!$AA$89)&gt;=$T145),$W145,IF(AND($S145&lt;&gt;"",EDATE($D145,Milestones!$AA$89)&gt;=$S145),$V145,$U145)))=Milestones!$AB$89),UPPER(TEXT(EDATE($D145,Milestones!$AA$89),"dd mmm yy"))&amp;" "&amp;Milestones!$AB$89&amp;" "&amp;Milestones!$AC$89&amp;";  ","")&amp;IF(AND(EDATE($D145,Milestones!$AA$90)&lt;=AsOfDate,IF($R145=0,$X145,IF(AND($T145&lt;&gt;"",EDATE($D145,Milestones!$AA$90)&gt;=$T145),$W145,IF(AND($S145&lt;&gt;"",EDATE($D145,Milestones!$AA$90)&gt;=$S145),$V145,$U145)))=Milestones!$AB$90),UPPER(TEXT(EDATE($D145,Milestones!$AA$90),"dd mmm yy"))&amp;" "&amp;Milestones!$AB$90&amp;" "&amp;Milestones!$AC$90&amp;";  ","")&amp;IF(AND(EDATE($D145,Milestones!$AA$91)&lt;=AsOfDate,IF($R145=0,$X145,IF(AND($T145&lt;&gt;"",EDATE($D145,Milestones!$AA$91)&gt;=$T145),$W145,IF(AND($S145&lt;&gt;"",EDATE($D145,Milestones!$AA$91)&gt;=$S145),$V145,$U145)))=Milestones!$AB$91),UPPER(TEXT(EDATE($D145,Milestones!$AA$91),"dd mmm yy"))&amp;" "&amp;Milestones!$AB$91&amp;" "&amp;Milestones!$AC$91&amp;";  ","")&amp;IF(AND(EDATE($D145,Milestones!$AA$92)&lt;=AsOfDate,IF($R145=0,$X145,IF(AND($T145&lt;&gt;"",EDATE($D145,Milestones!$AA$92)&gt;=$T145),$W145,IF(AND($S145&lt;&gt;"",EDATE($D145,Milestones!$AA$92)&gt;=$S145),$V145,$U145)))=Milestones!$AB$92),UPPER(TEXT(EDATE($D145,Milestones!$AA$92),"dd mmm yy"))&amp;" "&amp;Milestones!$AB$92&amp;" "&amp;Milestones!$AC$92&amp;";  ","")&amp;IF(AND(EDATE($D145,Milestones!$AA$93)&lt;=AsOfDate,IF($R145=0,$X145,IF(AND($T145&lt;&gt;"",EDATE($D145,Milestones!$AA$93)&gt;=$T145),$W145,IF(AND($S145&lt;&gt;"",EDATE($D145,Milestones!$AA$93)&gt;=$S145),$V145,$U145)))=Milestones!$AB$93),UPPER(TEXT(EDATE($D145,Milestones!$AA$93),"dd mmm yy"))&amp;" "&amp;Milestones!$AB$93&amp;" "&amp;Milestones!$AC$93&amp;";  ","")&amp;IF(AND(EDATE($D145,Milestones!$AA$94)&lt;=AsOfDate,IF($R145=0,$X145,IF(AND($T145&lt;&gt;"",EDATE($D145,Milestones!$AA$94)&gt;=$T145),$W145,IF(AND($S145&lt;&gt;"",EDATE($D145,Milestones!$AA$94)&gt;=$S145),$V145,$U145)))=Milestones!$AB$94),UPPER(TEXT(EDATE($D145,Milestones!$AA$94),"dd mmm yy"))&amp;" "&amp;Milestones!$AB$94&amp;" "&amp;Milestones!$AC$94&amp;";  ","")&amp;IF(AND(EDATE($D145,Milestones!$AA$95)&lt;=AsOfDate,IF($R145=0,$X145,IF(AND($T145&lt;&gt;"",EDATE($D145,Milestones!$AA$95)&gt;=$T145),$W145,IF(AND($S145&lt;&gt;"",EDATE($D145,Milestones!$AA$95)&gt;=$S145),$V145,$U145)))=Milestones!$AB$95),UPPER(TEXT(EDATE($D145,Milestones!$AA$95),"dd mmm yy"))&amp;" "&amp;Milestones!$AB$95&amp;" "&amp;Milestones!$AC$95&amp;";  ","")&amp;IF(AND(EDATE($D145,Milestones!$AA$96)&lt;=AsOfDate,IF($R145=0,$X145,IF(AND($T145&lt;&gt;"",EDATE($D145,Milestones!$AA$96)&gt;=$T145),$W145,IF(AND($S145&lt;&gt;"",EDATE($D145,Milestones!$AA$96)&gt;=$S145),$V145,$U145)))=Milestones!$AB$96),UPPER(TEXT(EDATE($D145,Milestones!$AA$96),"dd mmm yy"))&amp;" "&amp;Milestones!$AB$96&amp;" "&amp;Milestones!$AC$96&amp;";  ","")&amp;IF(AND(EDATE($D145,Milestones!$AA$97)&lt;=AsOfDate,IF($R145=0,$X145,IF(AND($T145&lt;&gt;"",EDATE($D145,Milestones!$AA$97)&gt;=$T145),$W145,IF(AND($S145&lt;&gt;"",EDATE($D145,Milestones!$AA$97)&gt;=$S145),$V145,$U145)))=Milestones!$AB$97),UPPER(TEXT(EDATE($D145,Milestones!$AA$97),"dd mmm yy"))&amp;" "&amp;Milestones!$AB$97&amp;" "&amp;Milestones!$AC$97&amp;";  ","")&amp;IF(AND(EDATE($D145,Milestones!$AA$98)&lt;=AsOfDate,IF($R145=0,$X145,IF(AND($T145&lt;&gt;"",EDATE($D145,Milestones!$AA$98)&gt;=$T145),$W145,IF(AND($S145&lt;&gt;"",EDATE($D145,Milestones!$AA$98)&gt;=$S145),$V145,$U145)))=Milestones!$AB$98),UPPER(TEXT(EDATE($D145,Milestones!$AA$98),"dd mmm yy"))&amp;" "&amp;Milestones!$AB$98&amp;" "&amp;Milestones!$AC$98&amp;";  ","")&amp;IF(AND(EDATE($D145,Milestones!$AA$99)&lt;=AsOfDate,IF($R145=0,$X145,IF(AND($T145&lt;&gt;"",EDATE($D145,Milestones!$AA$99)&gt;=$T145),$W145,IF(AND($S145&lt;&gt;"",EDATE($D145,Milestones!$AA$99)&gt;=$S145),$V145,$U145)))=Milestones!$AB$99),UPPER(TEXT(EDATE($D145,Milestones!$AA$99),"dd mmm yy"))&amp;" "&amp;Milestones!$AB$99&amp;" "&amp;Milestones!$AC$99&amp;";  ",""))</f>
        <v/>
      </c>
      <c r="M145" s="0" t="str">
        <f aca="false">IF(OR($A145="",$D145=""),"",IF(AND(EDATE($D145,Milestones!$AA$100)&lt;=AsOfDate,IF($R145=0,$X145,IF(AND($T145&lt;&gt;"",EDATE($D145,Milestones!$AA$100)&gt;=$T145),$W145,IF(AND($S145&lt;&gt;"",EDATE($D145,Milestones!$AA$100)&gt;=$S145),$V145,$U145)))=Milestones!$AB$100),UPPER(TEXT(EDATE($D145,Milestones!$AA$100),"dd mmm yy"))&amp;" "&amp;Milestones!$AB$100&amp;" "&amp;Milestones!$AC$100&amp;";  ","")&amp;IF(AND(EDATE($D145,Milestones!$AA$101)&lt;=AsOfDate,IF($R145=0,$X145,IF(AND($T145&lt;&gt;"",EDATE($D145,Milestones!$AA$101)&gt;=$T145),$W145,IF(AND($S145&lt;&gt;"",EDATE($D145,Milestones!$AA$101)&gt;=$S145),$V145,$U145)))=Milestones!$AB$101),UPPER(TEXT(EDATE($D145,Milestones!$AA$101),"dd mmm yy"))&amp;" "&amp;Milestones!$AB$101&amp;" "&amp;Milestones!$AC$101&amp;";  ","")&amp;IF(AND(EDATE($D145,Milestones!$AA$102)&lt;=AsOfDate,IF($R145=0,$X145,IF(AND($T145&lt;&gt;"",EDATE($D145,Milestones!$AA$102)&gt;=$T145),$W145,IF(AND($S145&lt;&gt;"",EDATE($D145,Milestones!$AA$102)&gt;=$S145),$V145,$U145)))=Milestones!$AB$102),UPPER(TEXT(EDATE($D145,Milestones!$AA$102),"dd mmm yy"))&amp;" "&amp;Milestones!$AB$102&amp;" "&amp;Milestones!$AC$102&amp;";  ","")&amp;IF(AND(EDATE($D145,Milestones!$AA$103)&lt;=AsOfDate,IF($R145=0,$X145,IF(AND($T145&lt;&gt;"",EDATE($D145,Milestones!$AA$103)&gt;=$T145),$W145,IF(AND($S145&lt;&gt;"",EDATE($D145,Milestones!$AA$103)&gt;=$S145),$V145,$U145)))=Milestones!$AB$103),UPPER(TEXT(EDATE($D145,Milestones!$AA$103),"dd mmm yy"))&amp;" "&amp;Milestones!$AB$103&amp;" "&amp;Milestones!$AC$103&amp;";  ","")&amp;IF(AND(EDATE($D145,Milestones!$AA$104)&lt;=AsOfDate,IF($R145=0,$X145,IF(AND($T145&lt;&gt;"",EDATE($D145,Milestones!$AA$104)&gt;=$T145),$W145,IF(AND($S145&lt;&gt;"",EDATE($D145,Milestones!$AA$104)&gt;=$S145),$V145,$U145)))=Milestones!$AB$104),UPPER(TEXT(EDATE($D145,Milestones!$AA$104),"dd mmm yy"))&amp;" "&amp;Milestones!$AB$104&amp;" "&amp;Milestones!$AC$104&amp;";  ","")&amp;IF(AND(EDATE($D145,Milestones!$AA$105)&lt;=AsOfDate,IF($R145=0,$X145,IF(AND($T145&lt;&gt;"",EDATE($D145,Milestones!$AA$105)&gt;=$T145),$W145,IF(AND($S145&lt;&gt;"",EDATE($D145,Milestones!$AA$105)&gt;=$S145),$V145,$U145)))=Milestones!$AB$105),UPPER(TEXT(EDATE($D145,Milestones!$AA$105),"dd mmm yy"))&amp;" "&amp;Milestones!$AB$105&amp;" "&amp;Milestones!$AC$105&amp;";  ","")&amp;IF(AND(EDATE($D145,Milestones!$AA$106)&lt;=AsOfDate,IF($R145=0,$X145,IF(AND($T145&lt;&gt;"",EDATE($D145,Milestones!$AA$106)&gt;=$T145),$W145,IF(AND($S145&lt;&gt;"",EDATE($D145,Milestones!$AA$106)&gt;=$S145),$V145,$U145)))=Milestones!$AB$106),UPPER(TEXT(EDATE($D145,Milestones!$AA$106),"dd mmm yy"))&amp;" "&amp;Milestones!$AB$106&amp;" "&amp;Milestones!$AC$106&amp;";  ","")&amp;IF(AND(EDATE($D145,Milestones!$AA$107)&lt;=AsOfDate,IF($R145=0,$X145,IF(AND($T145&lt;&gt;"",EDATE($D145,Milestones!$AA$107)&gt;=$T145),$W145,IF(AND($S145&lt;&gt;"",EDATE($D145,Milestones!$AA$107)&gt;=$S145),$V145,$U145)))=Milestones!$AB$107),UPPER(TEXT(EDATE($D145,Milestones!$AA$107),"dd mmm yy"))&amp;" "&amp;Milestones!$AB$107&amp;" "&amp;Milestones!$AC$107&amp;";  ","")&amp;IF(AND(EDATE($D145,Milestones!$AA$108)&lt;=AsOfDate,IF($R145=0,$X145,IF(AND($T145&lt;&gt;"",EDATE($D145,Milestones!$AA$108)&gt;=$T145),$W145,IF(AND($S145&lt;&gt;"",EDATE($D145,Milestones!$AA$108)&gt;=$S145),$V145,$U145)))=Milestones!$AB$108),UPPER(TEXT(EDATE($D145,Milestones!$AA$108),"dd mmm yy"))&amp;" "&amp;Milestones!$AB$108&amp;" "&amp;Milestones!$AC$108&amp;";  ","")&amp;IF(AND(EDATE($D145,Milestones!$AA$109)&lt;=AsOfDate,IF($R145=0,$X145,IF(AND($T145&lt;&gt;"",EDATE($D145,Milestones!$AA$109)&gt;=$T145),$W145,IF(AND($S145&lt;&gt;"",EDATE($D145,Milestones!$AA$109)&gt;=$S145),$V145,$U145)))=Milestones!$AB$109),UPPER(TEXT(EDATE($D145,Milestones!$AA$109),"dd mmm yy"))&amp;" "&amp;Milestones!$AB$109&amp;" "&amp;Milestones!$AC$109&amp;";  ","")&amp;IF(AND(EDATE($D145,Milestones!$AA$110)&lt;=AsOfDate,IF($R145=0,$X145,IF(AND($T145&lt;&gt;"",EDATE($D145,Milestones!$AA$110)&gt;=$T145),$W145,IF(AND($S145&lt;&gt;"",EDATE($D145,Milestones!$AA$110)&gt;=$S145),$V145,$U145)))=Milestones!$AB$110),UPPER(TEXT(EDATE($D145,Milestones!$AA$110),"dd mmm yy"))&amp;" "&amp;Milestones!$AB$110&amp;" "&amp;Milestones!$AC$110&amp;";  ","")&amp;IF(AND(EDATE($D145,Milestones!$AA$111)&lt;=AsOfDate,IF($R145=0,$X145,IF(AND($T145&lt;&gt;"",EDATE($D145,Milestones!$AA$111)&gt;=$T145),$W145,IF(AND($S145&lt;&gt;"",EDATE($D145,Milestones!$AA$111)&gt;=$S145),$V145,$U145)))=Milestones!$AB$111),UPPER(TEXT(EDATE($D145,Milestones!$AA$111),"dd mmm yy"))&amp;" "&amp;Milestones!$AB$111&amp;" "&amp;Milestones!$AC$111&amp;";  ","")&amp;IF(AND(EDATE($D145,Milestones!$AA$112)&lt;=AsOfDate,IF($R145=0,$X145,IF(AND($T145&lt;&gt;"",EDATE($D145,Milestones!$AA$112)&gt;=$T145),$W145,IF(AND($S145&lt;&gt;"",EDATE($D145,Milestones!$AA$112)&gt;=$S145),$V145,$U145)))=Milestones!$AB$112),UPPER(TEXT(EDATE($D145,Milestones!$AA$112),"dd mmm yy"))&amp;" "&amp;Milestones!$AB$112&amp;" "&amp;Milestones!$AC$112&amp;";  ","")&amp;IF(AND(EDATE($D145,Milestones!$AA$113)&lt;=AsOfDate,IF($R145=0,$X145,IF(AND($T145&lt;&gt;"",EDATE($D145,Milestones!$AA$113)&gt;=$T145),$W145,IF(AND($S145&lt;&gt;"",EDATE($D145,Milestones!$AA$113)&gt;=$S145),$V145,$U145)))=Milestones!$AB$113),UPPER(TEXT(EDATE($D145,Milestones!$AA$113),"dd mmm yy"))&amp;" "&amp;Milestones!$AB$113&amp;" "&amp;Milestones!$AC$113&amp;";  ","")&amp;IF(AND(EDATE($D145,Milestones!$AA$114)&lt;=AsOfDate,IF($R145=0,$X145,IF(AND($T145&lt;&gt;"",EDATE($D145,Milestones!$AA$114)&gt;=$T145),$W145,IF(AND($S145&lt;&gt;"",EDATE($D145,Milestones!$AA$114)&gt;=$S145),$V145,$U145)))=Milestones!$AB$114),UPPER(TEXT(EDATE($D145,Milestones!$AA$114),"dd mmm yy"))&amp;" "&amp;Milestones!$AB$114&amp;" "&amp;Milestones!$AC$114&amp;";  ","")&amp;IF(AND(EDATE($D145,Milestones!$AA$115)&lt;=AsOfDate,IF($R145=0,$X145,IF(AND($T145&lt;&gt;"",EDATE($D145,Milestones!$AA$115)&gt;=$T145),$W145,IF(AND($S145&lt;&gt;"",EDATE($D145,Milestones!$AA$115)&gt;=$S145),$V145,$U145)))=Milestones!$AB$115),UPPER(TEXT(EDATE($D145,Milestones!$AA$115),"dd mmm yy"))&amp;" "&amp;Milestones!$AB$115&amp;" "&amp;Milestones!$AC$115&amp;";  ","")&amp;IF(AND(EDATE($D145,Milestones!$AA$116)&lt;=AsOfDate,IF($R145=0,$X145,IF(AND($T145&lt;&gt;"",EDATE($D145,Milestones!$AA$116)&gt;=$T145),$W145,IF(AND($S145&lt;&gt;"",EDATE($D145,Milestones!$AA$116)&gt;=$S145),$V145,$U145)))=Milestones!$AB$116),UPPER(TEXT(EDATE($D145,Milestones!$AA$116),"dd mmm yy"))&amp;" "&amp;Milestones!$AB$116&amp;" "&amp;Milestones!$AC$116&amp;";  ","")&amp;IF(AND(EDATE($D145,Milestones!$AA$117)&lt;=AsOfDate,IF($R145=0,$X145,IF(AND($T145&lt;&gt;"",EDATE($D145,Milestones!$AA$117)&gt;=$T145),$W145,IF(AND($S145&lt;&gt;"",EDATE($D145,Milestones!$AA$117)&gt;=$S145),$V145,$U145)))=Milestones!$AB$117),UPPER(TEXT(EDATE($D145,Milestones!$AA$117),"dd mmm yy"))&amp;" "&amp;Milestones!$AB$117&amp;" "&amp;Milestones!$AC$117&amp;";  ","")&amp;IF(AND(EDATE($D145,Milestones!$AA$118)&lt;=AsOfDate,IF($R145=0,$X145,IF(AND($T145&lt;&gt;"",EDATE($D145,Milestones!$AA$118)&gt;=$T145),$W145,IF(AND($S145&lt;&gt;"",EDATE($D145,Milestones!$AA$118)&gt;=$S145),$V145,$U145)))=Milestones!$AB$118),UPPER(TEXT(EDATE($D145,Milestones!$AA$118),"dd mmm yy"))&amp;" "&amp;Milestones!$AB$118&amp;" "&amp;Milestones!$AC$118&amp;";  ","")&amp;IF(AND(EDATE($D145,Milestones!$AA$119)&lt;=AsOfDate,IF($R145=0,$X145,IF(AND($T145&lt;&gt;"",EDATE($D145,Milestones!$AA$119)&gt;=$T145),$W145,IF(AND($S145&lt;&gt;"",EDATE($D145,Milestones!$AA$119)&gt;=$S145),$V145,$U145)))=Milestones!$AB$119),UPPER(TEXT(EDATE($D145,Milestones!$AA$119),"dd mmm yy"))&amp;" "&amp;Milestones!$AB$119&amp;" "&amp;Milestones!$AC$119&amp;";  ",""))</f>
        <v/>
      </c>
      <c r="N145" s="0" t="str">
        <f aca="false">IF(OR($A145="",$D145=""),"",IF(AND(EDATE($D145,Milestones!$AA$120)&lt;=AsOfDate,IF($R145=0,$X145,IF(AND($T145&lt;&gt;"",EDATE($D145,Milestones!$AA$120)&gt;=$T145),$W145,IF(AND($S145&lt;&gt;"",EDATE($D145,Milestones!$AA$120)&gt;=$S145),$V145,$U145)))=Milestones!$AB$120),UPPER(TEXT(EDATE($D145,Milestones!$AA$120),"dd mmm yy"))&amp;" "&amp;Milestones!$AB$120&amp;" "&amp;Milestones!$AC$120&amp;";  ","")&amp;IF(AND(EDATE($D145,Milestones!$AA$121)&lt;=AsOfDate,IF($R145=0,$X145,IF(AND($T145&lt;&gt;"",EDATE($D145,Milestones!$AA$121)&gt;=$T145),$W145,IF(AND($S145&lt;&gt;"",EDATE($D145,Milestones!$AA$121)&gt;=$S145),$V145,$U145)))=Milestones!$AB$121),UPPER(TEXT(EDATE($D145,Milestones!$AA$121),"dd mmm yy"))&amp;" "&amp;Milestones!$AB$121&amp;" "&amp;Milestones!$AC$121&amp;";  ","")&amp;IF(AND(EDATE($D145,Milestones!$AA$122)&lt;=AsOfDate,IF($R145=0,$X145,IF(AND($T145&lt;&gt;"",EDATE($D145,Milestones!$AA$122)&gt;=$T145),$W145,IF(AND($S145&lt;&gt;"",EDATE($D145,Milestones!$AA$122)&gt;=$S145),$V145,$U145)))=Milestones!$AB$122),UPPER(TEXT(EDATE($D145,Milestones!$AA$122),"dd mmm yy"))&amp;" "&amp;Milestones!$AB$122&amp;" "&amp;Milestones!$AC$122&amp;";  ","")&amp;IF(AND(EDATE($D145,Milestones!$AA$123)&lt;=AsOfDate,IF($R145=0,$X145,IF(AND($T145&lt;&gt;"",EDATE($D145,Milestones!$AA$123)&gt;=$T145),$W145,IF(AND($S145&lt;&gt;"",EDATE($D145,Milestones!$AA$123)&gt;=$S145),$V145,$U145)))=Milestones!$AB$123),UPPER(TEXT(EDATE($D145,Milestones!$AA$123),"dd mmm yy"))&amp;" "&amp;Milestones!$AB$123&amp;" "&amp;Milestones!$AC$123&amp;";  ","")&amp;IF(AND(EDATE($D145,Milestones!$AA$124)&lt;=AsOfDate,IF($R145=0,$X145,IF(AND($T145&lt;&gt;"",EDATE($D145,Milestones!$AA$124)&gt;=$T145),$W145,IF(AND($S145&lt;&gt;"",EDATE($D145,Milestones!$AA$124)&gt;=$S145),$V145,$U145)))=Milestones!$AB$124),UPPER(TEXT(EDATE($D145,Milestones!$AA$124),"dd mmm yy"))&amp;" "&amp;Milestones!$AB$124&amp;" "&amp;Milestones!$AC$124&amp;";  ","")&amp;IF(AND(EDATE($D145,Milestones!$AA$125)&lt;=AsOfDate,IF($R145=0,$X145,IF(AND($T145&lt;&gt;"",EDATE($D145,Milestones!$AA$125)&gt;=$T145),$W145,IF(AND($S145&lt;&gt;"",EDATE($D145,Milestones!$AA$125)&gt;=$S145),$V145,$U145)))=Milestones!$AB$125),UPPER(TEXT(EDATE($D145,Milestones!$AA$125),"dd mmm yy"))&amp;" "&amp;Milestones!$AB$125&amp;" "&amp;Milestones!$AC$125&amp;";  ","")&amp;IF(AND(EDATE($D145,Milestones!$AA$126)&lt;=AsOfDate,IF($R145=0,$X145,IF(AND($T145&lt;&gt;"",EDATE($D145,Milestones!$AA$126)&gt;=$T145),$W145,IF(AND($S145&lt;&gt;"",EDATE($D145,Milestones!$AA$126)&gt;=$S145),$V145,$U145)))=Milestones!$AB$126),UPPER(TEXT(EDATE($D145,Milestones!$AA$126),"dd mmm yy"))&amp;" "&amp;Milestones!$AB$126&amp;" "&amp;Milestones!$AC$126&amp;";  ","")&amp;IF(AND(EDATE($D145,Milestones!$AA$127)&lt;=AsOfDate,IF($R145=0,$X145,IF(AND($T145&lt;&gt;"",EDATE($D145,Milestones!$AA$127)&gt;=$T145),$W145,IF(AND($S145&lt;&gt;"",EDATE($D145,Milestones!$AA$127)&gt;=$S145),$V145,$U145)))=Milestones!$AB$127),UPPER(TEXT(EDATE($D145,Milestones!$AA$127),"dd mmm yy"))&amp;" "&amp;Milestones!$AB$127&amp;" "&amp;Milestones!$AC$127&amp;";  ","")&amp;IF(AND(EDATE($D145,Milestones!$AA$128)&lt;=AsOfDate,IF($R145=0,$X145,IF(AND($T145&lt;&gt;"",EDATE($D145,Milestones!$AA$128)&gt;=$T145),$W145,IF(AND($S145&lt;&gt;"",EDATE($D145,Milestones!$AA$128)&gt;=$S145),$V145,$U145)))=Milestones!$AB$128),UPPER(TEXT(EDATE($D145,Milestones!$AA$128),"dd mmm yy"))&amp;" "&amp;Milestones!$AB$128&amp;" "&amp;Milestones!$AC$128&amp;";  ","")&amp;IF(AND(EDATE($D145,Milestones!$AA$129)&lt;=AsOfDate,IF($R145=0,$X145,IF(AND($T145&lt;&gt;"",EDATE($D145,Milestones!$AA$129)&gt;=$T145),$W145,IF(AND($S145&lt;&gt;"",EDATE($D145,Milestones!$AA$129)&gt;=$S145),$V145,$U145)))=Milestones!$AB$129),UPPER(TEXT(EDATE($D145,Milestones!$AA$129),"dd mmm yy"))&amp;" "&amp;Milestones!$AB$129&amp;" "&amp;Milestones!$AC$129&amp;";  ","")&amp;IF(AND(EDATE($D145,Milestones!$AA$130)&lt;=AsOfDate,IF($R145=0,$X145,IF(AND($T145&lt;&gt;"",EDATE($D145,Milestones!$AA$130)&gt;=$T145),$W145,IF(AND($S145&lt;&gt;"",EDATE($D145,Milestones!$AA$130)&gt;=$S145),$V145,$U145)))=Milestones!$AB$130),UPPER(TEXT(EDATE($D145,Milestones!$AA$130),"dd mmm yy"))&amp;" "&amp;Milestones!$AB$130&amp;" "&amp;Milestones!$AC$130&amp;";  ","")&amp;IF(AND(EDATE($D145,Milestones!$AA$131)&lt;=AsOfDate,IF($R145=0,$X145,IF(AND($T145&lt;&gt;"",EDATE($D145,Milestones!$AA$131)&gt;=$T145),$W145,IF(AND($S145&lt;&gt;"",EDATE($D145,Milestones!$AA$131)&gt;=$S145),$V145,$U145)))=Milestones!$AB$131),UPPER(TEXT(EDATE($D145,Milestones!$AA$131),"dd mmm yy"))&amp;" "&amp;Milestones!$AB$131&amp;" "&amp;Milestones!$AC$131&amp;";  ","")&amp;IF(AND(EDATE($D145,Milestones!$AA$132)&lt;=AsOfDate,IF($R145=0,$X145,IF(AND($T145&lt;&gt;"",EDATE($D145,Milestones!$AA$132)&gt;=$T145),$W145,IF(AND($S145&lt;&gt;"",EDATE($D145,Milestones!$AA$132)&gt;=$S145),$V145,$U145)))=Milestones!$AB$132),UPPER(TEXT(EDATE($D145,Milestones!$AA$132),"dd mmm yy"))&amp;" "&amp;Milestones!$AB$132&amp;" "&amp;Milestones!$AC$132&amp;";  ","")&amp;IF(AND(EDATE($D145,Milestones!$AA$133)&lt;=AsOfDate,IF($R145=0,$X145,IF(AND($T145&lt;&gt;"",EDATE($D145,Milestones!$AA$133)&gt;=$T145),$W145,IF(AND($S145&lt;&gt;"",EDATE($D145,Milestones!$AA$133)&gt;=$S145),$V145,$U145)))=Milestones!$AB$133),UPPER(TEXT(EDATE($D145,Milestones!$AA$133),"dd mmm yy"))&amp;" "&amp;Milestones!$AB$133&amp;" "&amp;Milestones!$AC$133&amp;";  ","")&amp;IF(AND(EDATE($D145,Milestones!$AA$134)&lt;=AsOfDate,IF($R145=0,$X145,IF(AND($T145&lt;&gt;"",EDATE($D145,Milestones!$AA$134)&gt;=$T145),$W145,IF(AND($S145&lt;&gt;"",EDATE($D145,Milestones!$AA$134)&gt;=$S145),$V145,$U145)))=Milestones!$AB$134),UPPER(TEXT(EDATE($D145,Milestones!$AA$134),"dd mmm yy"))&amp;" "&amp;Milestones!$AB$134&amp;" "&amp;Milestones!$AC$134&amp;";  ","")&amp;IF(AND(EDATE($D145,Milestones!$AA$135)&lt;=AsOfDate,IF($R145=0,$X145,IF(AND($T145&lt;&gt;"",EDATE($D145,Milestones!$AA$135)&gt;=$T145),$W145,IF(AND($S145&lt;&gt;"",EDATE($D145,Milestones!$AA$135)&gt;=$S145),$V145,$U145)))=Milestones!$AB$135),UPPER(TEXT(EDATE($D145,Milestones!$AA$135),"dd mmm yy"))&amp;" "&amp;Milestones!$AB$135&amp;" "&amp;Milestones!$AC$135&amp;";  ","")&amp;IF(AND(EDATE($D145,Milestones!$AA$136)&lt;=AsOfDate,IF($R145=0,$X145,IF(AND($T145&lt;&gt;"",EDATE($D145,Milestones!$AA$136)&gt;=$T145),$W145,IF(AND($S145&lt;&gt;"",EDATE($D145,Milestones!$AA$136)&gt;=$S145),$V145,$U145)))=Milestones!$AB$136),UPPER(TEXT(EDATE($D145,Milestones!$AA$136),"dd mmm yy"))&amp;" "&amp;Milestones!$AB$136&amp;" "&amp;Milestones!$AC$136&amp;";  ","")&amp;IF(AND(EDATE($D145,Milestones!$AA$137)&lt;=AsOfDate,IF($R145=0,$X145,IF(AND($T145&lt;&gt;"",EDATE($D145,Milestones!$AA$137)&gt;=$T145),$W145,IF(AND($S145&lt;&gt;"",EDATE($D145,Milestones!$AA$137)&gt;=$S145),$V145,$U145)))=Milestones!$AB$137),UPPER(TEXT(EDATE($D145,Milestones!$AA$137),"dd mmm yy"))&amp;" "&amp;Milestones!$AB$137&amp;" "&amp;Milestones!$AC$137&amp;";  ","")&amp;IF(AND(EDATE($D145,Milestones!$AA$138)&lt;=AsOfDate,IF($R145=0,$X145,IF(AND($T145&lt;&gt;"",EDATE($D145,Milestones!$AA$138)&gt;=$T145),$W145,IF(AND($S145&lt;&gt;"",EDATE($D145,Milestones!$AA$138)&gt;=$S145),$V145,$U145)))=Milestones!$AB$138),UPPER(TEXT(EDATE($D145,Milestones!$AA$138),"dd mmm yy"))&amp;" "&amp;Milestones!$AB$138&amp;" "&amp;Milestones!$AC$138&amp;";  ","")&amp;IF(AND(EDATE($D145,Milestones!$AA$139)&lt;=AsOfDate,IF($R145=0,$X145,IF(AND($T145&lt;&gt;"",EDATE($D145,Milestones!$AA$139)&gt;=$T145),$W145,IF(AND($S145&lt;&gt;"",EDATE($D145,Milestones!$AA$139)&gt;=$S145),$V145,$U145)))=Milestones!$AB$139),UPPER(TEXT(EDATE($D145,Milestones!$AA$139),"dd mmm yy"))&amp;" "&amp;Milestones!$AB$139&amp;" "&amp;Milestones!$AC$139&amp;";  ",""))</f>
        <v/>
      </c>
      <c r="O145" s="0" t="str">
        <f aca="false">IF(OR($A145="",$D145=""),"",IF(AND(EDATE($D145,Milestones!$AA$140)&lt;=AsOfDate,IF($R145=0,$X145,IF(AND($T145&lt;&gt;"",EDATE($D145,Milestones!$AA$140)&gt;=$T145),$W145,IF(AND($S145&lt;&gt;"",EDATE($D145,Milestones!$AA$140)&gt;=$S145),$V145,$U145)))=Milestones!$AB$140),UPPER(TEXT(EDATE($D145,Milestones!$AA$140),"dd mmm yy"))&amp;" "&amp;Milestones!$AB$140&amp;" "&amp;Milestones!$AC$140&amp;";  ","")&amp;IF(AND(EDATE($D145,Milestones!$AA$141)&lt;=AsOfDate,IF($R145=0,$X145,IF(AND($T145&lt;&gt;"",EDATE($D145,Milestones!$AA$141)&gt;=$T145),$W145,IF(AND($S145&lt;&gt;"",EDATE($D145,Milestones!$AA$141)&gt;=$S145),$V145,$U145)))=Milestones!$AB$141),UPPER(TEXT(EDATE($D145,Milestones!$AA$141),"dd mmm yy"))&amp;" "&amp;Milestones!$AB$141&amp;" "&amp;Milestones!$AC$141&amp;";  ","")&amp;IF(AND(EDATE($D145,Milestones!$AA$142)&lt;=AsOfDate,IF($R145=0,$X145,IF(AND($T145&lt;&gt;"",EDATE($D145,Milestones!$AA$142)&gt;=$T145),$W145,IF(AND($S145&lt;&gt;"",EDATE($D145,Milestones!$AA$142)&gt;=$S145),$V145,$U145)))=Milestones!$AB$142),UPPER(TEXT(EDATE($D145,Milestones!$AA$142),"dd mmm yy"))&amp;" "&amp;Milestones!$AB$142&amp;" "&amp;Milestones!$AC$142&amp;";  ","")&amp;IF(AND(EDATE($D145,Milestones!$AA$143)&lt;=AsOfDate,IF($R145=0,$X145,IF(AND($T145&lt;&gt;"",EDATE($D145,Milestones!$AA$143)&gt;=$T145),$W145,IF(AND($S145&lt;&gt;"",EDATE($D145,Milestones!$AA$143)&gt;=$S145),$V145,$U145)))=Milestones!$AB$143),UPPER(TEXT(EDATE($D145,Milestones!$AA$143),"dd mmm yy"))&amp;" "&amp;Milestones!$AB$143&amp;" "&amp;Milestones!$AC$143&amp;";  ","")&amp;IF(AND(EDATE($D145,Milestones!$AA$144)&lt;=AsOfDate,IF($R145=0,$X145,IF(AND($T145&lt;&gt;"",EDATE($D145,Milestones!$AA$144)&gt;=$T145),$W145,IF(AND($S145&lt;&gt;"",EDATE($D145,Milestones!$AA$144)&gt;=$S145),$V145,$U145)))=Milestones!$AB$144),UPPER(TEXT(EDATE($D145,Milestones!$AA$144),"dd mmm yy"))&amp;" "&amp;Milestones!$AB$144&amp;" "&amp;Milestones!$AC$144&amp;";  ","")&amp;IF(AND(EDATE($D145,Milestones!$AA$145)&lt;=AsOfDate,IF($R145=0,$X145,IF(AND($T145&lt;&gt;"",EDATE($D145,Milestones!$AA$145)&gt;=$T145),$W145,IF(AND($S145&lt;&gt;"",EDATE($D145,Milestones!$AA$145)&gt;=$S145),$V145,$U145)))=Milestones!$AB$145),UPPER(TEXT(EDATE($D145,Milestones!$AA$145),"dd mmm yy"))&amp;" "&amp;Milestones!$AB$145&amp;" "&amp;Milestones!$AC$145&amp;";  ","")&amp;IF(AND(EDATE($D145,Milestones!$AA$146)&lt;=AsOfDate,IF($R145=0,$X145,IF(AND($T145&lt;&gt;"",EDATE($D145,Milestones!$AA$146)&gt;=$T145),$W145,IF(AND($S145&lt;&gt;"",EDATE($D145,Milestones!$AA$146)&gt;=$S145),$V145,$U145)))=Milestones!$AB$146),UPPER(TEXT(EDATE($D145,Milestones!$AA$146),"dd mmm yy"))&amp;" "&amp;Milestones!$AB$146&amp;" "&amp;Milestones!$AC$146&amp;";  ","")&amp;IF(AND(EDATE($D145,Milestones!$AA$147)&lt;=AsOfDate,IF($R145=0,$X145,IF(AND($T145&lt;&gt;"",EDATE($D145,Milestones!$AA$147)&gt;=$T145),$W145,IF(AND($S145&lt;&gt;"",EDATE($D145,Milestones!$AA$147)&gt;=$S145),$V145,$U145)))=Milestones!$AB$147),UPPER(TEXT(EDATE($D145,Milestones!$AA$147),"dd mmm yy"))&amp;" "&amp;Milestones!$AB$147&amp;" "&amp;Milestones!$AC$147&amp;";  ","")&amp;IF(AND(EDATE($D145,Milestones!$AA$148)&lt;=AsOfDate,IF($R145=0,$X145,IF(AND($T145&lt;&gt;"",EDATE($D145,Milestones!$AA$148)&gt;=$T145),$W145,IF(AND($S145&lt;&gt;"",EDATE($D145,Milestones!$AA$148)&gt;=$S145),$V145,$U145)))=Milestones!$AB$148),UPPER(TEXT(EDATE($D145,Milestones!$AA$148),"dd mmm yy"))&amp;" "&amp;Milestones!$AB$148&amp;" "&amp;Milestones!$AC$148&amp;";  ","")&amp;IF(AND(EDATE($D145,Milestones!$AA$149)&lt;=AsOfDate,IF($R145=0,$X145,IF(AND($T145&lt;&gt;"",EDATE($D145,Milestones!$AA$149)&gt;=$T145),$W145,IF(AND($S145&lt;&gt;"",EDATE($D145,Milestones!$AA$149)&gt;=$S145),$V145,$U145)))=Milestones!$AB$149),UPPER(TEXT(EDATE($D145,Milestones!$AA$149),"dd mmm yy"))&amp;" "&amp;Milestones!$AB$149&amp;" "&amp;Milestones!$AC$149&amp;";  ","")&amp;IF(AND(EDATE($D145,Milestones!$AA$150)&lt;=AsOfDate,IF($R145=0,$X145,IF(AND($T145&lt;&gt;"",EDATE($D145,Milestones!$AA$150)&gt;=$T145),$W145,IF(AND($S145&lt;&gt;"",EDATE($D145,Milestones!$AA$150)&gt;=$S145),$V145,$U145)))=Milestones!$AB$150),UPPER(TEXT(EDATE($D145,Milestones!$AA$150),"dd mmm yy"))&amp;" "&amp;Milestones!$AB$150&amp;" "&amp;Milestones!$AC$150&amp;";  ","")&amp;IF(AND(EDATE($D145,Milestones!$AA$151)&lt;=AsOfDate,IF($R145=0,$X145,IF(AND($T145&lt;&gt;"",EDATE($D145,Milestones!$AA$151)&gt;=$T145),$W145,IF(AND($S145&lt;&gt;"",EDATE($D145,Milestones!$AA$151)&gt;=$S145),$V145,$U145)))=Milestones!$AB$151),UPPER(TEXT(EDATE($D145,Milestones!$AA$151),"dd mmm yy"))&amp;" "&amp;Milestones!$AB$151&amp;" "&amp;Milestones!$AC$151&amp;";  ","")&amp;IF(AND(EDATE($D145,Milestones!$AA$152)&lt;=AsOfDate,IF($R145=0,$X145,IF(AND($T145&lt;&gt;"",EDATE($D145,Milestones!$AA$152)&gt;=$T145),$W145,IF(AND($S145&lt;&gt;"",EDATE($D145,Milestones!$AA$152)&gt;=$S145),$V145,$U145)))=Milestones!$AB$152),UPPER(TEXT(EDATE($D145,Milestones!$AA$152),"dd mmm yy"))&amp;" "&amp;Milestones!$AB$152&amp;" "&amp;Milestones!$AC$152&amp;";  ","")&amp;IF(AND(EDATE($D145,Milestones!$AA$153)&lt;=AsOfDate,IF($R145=0,$X145,IF(AND($T145&lt;&gt;"",EDATE($D145,Milestones!$AA$153)&gt;=$T145),$W145,IF(AND($S145&lt;&gt;"",EDATE($D145,Milestones!$AA$153)&gt;=$S145),$V145,$U145)))=Milestones!$AB$153),UPPER(TEXT(EDATE($D145,Milestones!$AA$153),"dd mmm yy"))&amp;" "&amp;Milestones!$AB$153&amp;" "&amp;Milestones!$AC$153&amp;";  ","")&amp;IF(AND(EDATE($D145,Milestones!$AA$154)&lt;=AsOfDate,IF($R145=0,$X145,IF(AND($T145&lt;&gt;"",EDATE($D145,Milestones!$AA$154)&gt;=$T145),$W145,IF(AND($S145&lt;&gt;"",EDATE($D145,Milestones!$AA$154)&gt;=$S145),$V145,$U145)))=Milestones!$AB$154),UPPER(TEXT(EDATE($D145,Milestones!$AA$154),"dd mmm yy"))&amp;" "&amp;Milestones!$AB$154&amp;" "&amp;Milestones!$AC$154&amp;";  ","")&amp;IF(AND(EDATE($D145,Milestones!$AA$155)&lt;=AsOfDate,IF($R145=0,$X145,IF(AND($T145&lt;&gt;"",EDATE($D145,Milestones!$AA$155)&gt;=$T145),$W145,IF(AND($S145&lt;&gt;"",EDATE($D145,Milestones!$AA$155)&gt;=$S145),$V145,$U145)))=Milestones!$AB$155),UPPER(TEXT(EDATE($D145,Milestones!$AA$155),"dd mmm yy"))&amp;" "&amp;Milestones!$AB$155&amp;" "&amp;Milestones!$AC$155&amp;";  ","")&amp;IF(AND(EDATE($D145,Milestones!$AA$156)&lt;=AsOfDate,IF($R145=0,$X145,IF(AND($T145&lt;&gt;"",EDATE($D145,Milestones!$AA$156)&gt;=$T145),$W145,IF(AND($S145&lt;&gt;"",EDATE($D145,Milestones!$AA$156)&gt;=$S145),$V145,$U145)))=Milestones!$AB$156),UPPER(TEXT(EDATE($D145,Milestones!$AA$156),"dd mmm yy"))&amp;" "&amp;Milestones!$AB$156&amp;" "&amp;Milestones!$AC$156&amp;";  ","")&amp;IF(AND(EDATE($D145,Milestones!$AA$157)&lt;=AsOfDate,IF($R145=0,$X145,IF(AND($T145&lt;&gt;"",EDATE($D145,Milestones!$AA$157)&gt;=$T145),$W145,IF(AND($S145&lt;&gt;"",EDATE($D145,Milestones!$AA$157)&gt;=$S145),$V145,$U145)))=Milestones!$AB$157),UPPER(TEXT(EDATE($D145,Milestones!$AA$157),"dd mmm yy"))&amp;" "&amp;Milestones!$AB$157&amp;" "&amp;Milestones!$AC$157&amp;";  ","")&amp;IF(AND(EDATE($D145,Milestones!$AA$158)&lt;=AsOfDate,IF($R145=0,$X145,IF(AND($T145&lt;&gt;"",EDATE($D145,Milestones!$AA$158)&gt;=$T145),$W145,IF(AND($S145&lt;&gt;"",EDATE($D145,Milestones!$AA$158)&gt;=$S145),$V145,$U145)))=Milestones!$AB$158),UPPER(TEXT(EDATE($D145,Milestones!$AA$158),"dd mmm yy"))&amp;" "&amp;Milestones!$AB$158&amp;" "&amp;Milestones!$AC$158&amp;";  ","")&amp;IF(AND(EDATE($D145,Milestones!$AA$159)&lt;=AsOfDate,IF($R145=0,$X145,IF(AND($T145&lt;&gt;"",EDATE($D145,Milestones!$AA$159)&gt;=$T145),$W145,IF(AND($S145&lt;&gt;"",EDATE($D145,Milestones!$AA$159)&gt;=$S145),$V145,$U145)))=Milestones!$AB$159),UPPER(TEXT(EDATE($D145,Milestones!$AA$159),"dd mmm yy"))&amp;" "&amp;Milestones!$AB$159&amp;" "&amp;Milestones!$AC$159&amp;";  ",""))</f>
        <v/>
      </c>
      <c r="P145" s="0" t="str">
        <f aca="false">IF(OR($A145="",$D145=""),"",IF(AND(EDATE($D145,Milestones!$AA$160)&lt;=AsOfDate,IF($R145=0,$X145,IF(AND($T145&lt;&gt;"",EDATE($D145,Milestones!$AA$160)&gt;=$T145),$W145,IF(AND($S145&lt;&gt;"",EDATE($D145,Milestones!$AA$160)&gt;=$S145),$V145,$U145)))=Milestones!$AB$160),UPPER(TEXT(EDATE($D145,Milestones!$AA$160),"dd mmm yy"))&amp;" "&amp;Milestones!$AB$160&amp;" "&amp;Milestones!$AC$160&amp;";  ","")&amp;IF(AND(EDATE($D145,Milestones!$AA$161)&lt;=AsOfDate,IF($R145=0,$X145,IF(AND($T145&lt;&gt;"",EDATE($D145,Milestones!$AA$161)&gt;=$T145),$W145,IF(AND($S145&lt;&gt;"",EDATE($D145,Milestones!$AA$161)&gt;=$S145),$V145,$U145)))=Milestones!$AB$161),UPPER(TEXT(EDATE($D145,Milestones!$AA$161),"dd mmm yy"))&amp;" "&amp;Milestones!$AB$161&amp;" "&amp;Milestones!$AC$161&amp;";  ","")&amp;IF(AND(EDATE($D145,Milestones!$AA$162)&lt;=AsOfDate,IF($R145=0,$X145,IF(AND($T145&lt;&gt;"",EDATE($D145,Milestones!$AA$162)&gt;=$T145),$W145,IF(AND($S145&lt;&gt;"",EDATE($D145,Milestones!$AA$162)&gt;=$S145),$V145,$U145)))=Milestones!$AB$162),UPPER(TEXT(EDATE($D145,Milestones!$AA$162),"dd mmm yy"))&amp;" "&amp;Milestones!$AB$162&amp;" "&amp;Milestones!$AC$162&amp;";  ","")&amp;IF(AND(EDATE($D145,Milestones!$AA$163)&lt;=AsOfDate,IF($R145=0,$X145,IF(AND($T145&lt;&gt;"",EDATE($D145,Milestones!$AA$163)&gt;=$T145),$W145,IF(AND($S145&lt;&gt;"",EDATE($D145,Milestones!$AA$163)&gt;=$S145),$V145,$U145)))=Milestones!$AB$163),UPPER(TEXT(EDATE($D145,Milestones!$AA$163),"dd mmm yy"))&amp;" "&amp;Milestones!$AB$163&amp;" "&amp;Milestones!$AC$163&amp;";  ","")&amp;IF(AND(EDATE($D145,Milestones!$AA$164)&lt;=AsOfDate,IF($R145=0,$X145,IF(AND($T145&lt;&gt;"",EDATE($D145,Milestones!$AA$164)&gt;=$T145),$W145,IF(AND($S145&lt;&gt;"",EDATE($D145,Milestones!$AA$164)&gt;=$S145),$V145,$U145)))=Milestones!$AB$164),UPPER(TEXT(EDATE($D145,Milestones!$AA$164),"dd mmm yy"))&amp;" "&amp;Milestones!$AB$164&amp;" "&amp;Milestones!$AC$164&amp;";  ","")&amp;IF(AND(EDATE($D145,Milestones!$AA$165)&lt;=AsOfDate,IF($R145=0,$X145,IF(AND($T145&lt;&gt;"",EDATE($D145,Milestones!$AA$165)&gt;=$T145),$W145,IF(AND($S145&lt;&gt;"",EDATE($D145,Milestones!$AA$165)&gt;=$S145),$V145,$U145)))=Milestones!$AB$165),UPPER(TEXT(EDATE($D145,Milestones!$AA$165),"dd mmm yy"))&amp;" "&amp;Milestones!$AB$165&amp;" "&amp;Milestones!$AC$165&amp;";  ","")&amp;IF(AND(EDATE($D145,Milestones!$AA$166)&lt;=AsOfDate,IF($R145=0,$X145,IF(AND($T145&lt;&gt;"",EDATE($D145,Milestones!$AA$166)&gt;=$T145),$W145,IF(AND($S145&lt;&gt;"",EDATE($D145,Milestones!$AA$166)&gt;=$S145),$V145,$U145)))=Milestones!$AB$166),UPPER(TEXT(EDATE($D145,Milestones!$AA$166),"dd mmm yy"))&amp;" "&amp;Milestones!$AB$166&amp;" "&amp;Milestones!$AC$166&amp;";  ","")&amp;IF(AND(EDATE($D145,Milestones!$AA$167)&lt;=AsOfDate,IF($R145=0,$X145,IF(AND($T145&lt;&gt;"",EDATE($D145,Milestones!$AA$167)&gt;=$T145),$W145,IF(AND($S145&lt;&gt;"",EDATE($D145,Milestones!$AA$167)&gt;=$S145),$V145,$U145)))=Milestones!$AB$167),UPPER(TEXT(EDATE($D145,Milestones!$AA$167),"dd mmm yy"))&amp;" "&amp;Milestones!$AB$167&amp;" "&amp;Milestones!$AC$167&amp;";  ","")&amp;IF(AND(EDATE($D145,Milestones!$AA$168)&lt;=AsOfDate,IF($R145=0,$X145,IF(AND($T145&lt;&gt;"",EDATE($D145,Milestones!$AA$168)&gt;=$T145),$W145,IF(AND($S145&lt;&gt;"",EDATE($D145,Milestones!$AA$168)&gt;=$S145),$V145,$U145)))=Milestones!$AB$168),UPPER(TEXT(EDATE($D145,Milestones!$AA$168),"dd mmm yy"))&amp;" "&amp;Milestones!$AB$168&amp;" "&amp;Milestones!$AC$168&amp;";  ","")&amp;IF(AND(EDATE($D145,Milestones!$AA$169)&lt;=AsOfDate,IF($R145=0,$X145,IF(AND($T145&lt;&gt;"",EDATE($D145,Milestones!$AA$169)&gt;=$T145),$W145,IF(AND($S145&lt;&gt;"",EDATE($D145,Milestones!$AA$169)&gt;=$S145),$V145,$U145)))=Milestones!$AB$169),UPPER(TEXT(EDATE($D145,Milestones!$AA$169),"dd mmm yy"))&amp;" "&amp;Milestones!$AB$169&amp;" "&amp;Milestones!$AC$169&amp;";  ","")&amp;IF(AND(EDATE($D145,Milestones!$AA$170)&lt;=AsOfDate,IF($R145=0,$X145,IF(AND($T145&lt;&gt;"",EDATE($D145,Milestones!$AA$170)&gt;=$T145),$W145,IF(AND($S145&lt;&gt;"",EDATE($D145,Milestones!$AA$170)&gt;=$S145),$V145,$U145)))=Milestones!$AB$170),UPPER(TEXT(EDATE($D145,Milestones!$AA$170),"dd mmm yy"))&amp;" "&amp;Milestones!$AB$170&amp;" "&amp;Milestones!$AC$170&amp;";  ","")&amp;IF(AND(EDATE($D145,Milestones!$AA$171)&lt;=AsOfDate,IF($R145=0,$X145,IF(AND($T145&lt;&gt;"",EDATE($D145,Milestones!$AA$171)&gt;=$T145),$W145,IF(AND($S145&lt;&gt;"",EDATE($D145,Milestones!$AA$171)&gt;=$S145),$V145,$U145)))=Milestones!$AB$171),UPPER(TEXT(EDATE($D145,Milestones!$AA$171),"dd mmm yy"))&amp;" "&amp;Milestones!$AB$171&amp;" "&amp;Milestones!$AC$171&amp;";  ","")&amp;IF(AND(EDATE($D145,Milestones!$AA$172)&lt;=AsOfDate,IF($R145=0,$X145,IF(AND($T145&lt;&gt;"",EDATE($D145,Milestones!$AA$172)&gt;=$T145),$W145,IF(AND($S145&lt;&gt;"",EDATE($D145,Milestones!$AA$172)&gt;=$S145),$V145,$U145)))=Milestones!$AB$172),UPPER(TEXT(EDATE($D145,Milestones!$AA$172),"dd mmm yy"))&amp;" "&amp;Milestones!$AB$172&amp;" "&amp;Milestones!$AC$172&amp;";  ","")&amp;IF(AND(EDATE($D145,Milestones!$AA$173)&lt;=AsOfDate,IF($R145=0,$X145,IF(AND($T145&lt;&gt;"",EDATE($D145,Milestones!$AA$173)&gt;=$T145),$W145,IF(AND($S145&lt;&gt;"",EDATE($D145,Milestones!$AA$173)&gt;=$S145),$V145,$U145)))=Milestones!$AB$173),UPPER(TEXT(EDATE($D145,Milestones!$AA$173),"dd mmm yy"))&amp;" "&amp;Milestones!$AB$173&amp;" "&amp;Milestones!$AC$173&amp;";  ","")&amp;IF(AND(EDATE($D145,Milestones!$AA$174)&lt;=AsOfDate,IF($R145=0,$X145,IF(AND($T145&lt;&gt;"",EDATE($D145,Milestones!$AA$174)&gt;=$T145),$W145,IF(AND($S145&lt;&gt;"",EDATE($D145,Milestones!$AA$174)&gt;=$S145),$V145,$U145)))=Milestones!$AB$174),UPPER(TEXT(EDATE($D145,Milestones!$AA$174),"dd mmm yy"))&amp;" "&amp;Milestones!$AB$174&amp;" "&amp;Milestones!$AC$174&amp;";  ","")&amp;IF(AND(EDATE($D145,Milestones!$AA$175)&lt;=AsOfDate,IF($R145=0,$X145,IF(AND($T145&lt;&gt;"",EDATE($D145,Milestones!$AA$175)&gt;=$T145),$W145,IF(AND($S145&lt;&gt;"",EDATE($D145,Milestones!$AA$175)&gt;=$S145),$V145,$U145)))=Milestones!$AB$175),UPPER(TEXT(EDATE($D145,Milestones!$AA$175),"dd mmm yy"))&amp;" "&amp;Milestones!$AB$175&amp;" "&amp;Milestones!$AC$175&amp;";  ","")&amp;IF(AND(EDATE($D145,Milestones!$AA$176)&lt;=AsOfDate,IF($R145=0,$X145,IF(AND($T145&lt;&gt;"",EDATE($D145,Milestones!$AA$176)&gt;=$T145),$W145,IF(AND($S145&lt;&gt;"",EDATE($D145,Milestones!$AA$176)&gt;=$S145),$V145,$U145)))=Milestones!$AB$176),UPPER(TEXT(EDATE($D145,Milestones!$AA$176),"dd mmm yy"))&amp;" "&amp;Milestones!$AB$176&amp;" "&amp;Milestones!$AC$176&amp;";  ","")&amp;IF(AND(EDATE($D145,Milestones!$AA$177)&lt;=AsOfDate,IF($R145=0,$X145,IF(AND($T145&lt;&gt;"",EDATE($D145,Milestones!$AA$177)&gt;=$T145),$W145,IF(AND($S145&lt;&gt;"",EDATE($D145,Milestones!$AA$177)&gt;=$S145),$V145,$U145)))=Milestones!$AB$177),UPPER(TEXT(EDATE($D145,Milestones!$AA$177),"dd mmm yy"))&amp;" "&amp;Milestones!$AB$177&amp;" "&amp;Milestones!$AC$177&amp;";  ","")&amp;IF(AND(EDATE($D145,Milestones!$AA$178)&lt;=AsOfDate,IF($R145=0,$X145,IF(AND($T145&lt;&gt;"",EDATE($D145,Milestones!$AA$178)&gt;=$T145),$W145,IF(AND($S145&lt;&gt;"",EDATE($D145,Milestones!$AA$178)&gt;=$S145),$V145,$U145)))=Milestones!$AB$178),UPPER(TEXT(EDATE($D145,Milestones!$AA$178),"dd mmm yy"))&amp;" "&amp;Milestones!$AB$178&amp;" "&amp;Milestones!$AC$178&amp;";  ","")&amp;IF(AND(EDATE($D145,Milestones!$AA$179)&lt;=AsOfDate,IF($R145=0,$X145,IF(AND($T145&lt;&gt;"",EDATE($D145,Milestones!$AA$179)&gt;=$T145),$W145,IF(AND($S145&lt;&gt;"",EDATE($D145,Milestones!$AA$179)&gt;=$S145),$V145,$U145)))=Milestones!$AB$179),UPPER(TEXT(EDATE($D145,Milestones!$AA$179),"dd mmm yy"))&amp;" "&amp;Milestones!$AB$179&amp;" "&amp;Milestones!$AC$179&amp;";  ",""))</f>
        <v/>
      </c>
      <c r="Q145" s="0" t="str">
        <f aca="false">IF(OR($A145="",$D145=""),"",IF(AND(EDATE($D145,Milestones!$AA$180)&lt;=AsOfDate,IF($R145=0,$X145,IF(AND($T145&lt;&gt;"",EDATE($D145,Milestones!$AA$180)&gt;=$T145),$W145,IF(AND($S145&lt;&gt;"",EDATE($D145,Milestones!$AA$180)&gt;=$S145),$V145,$U145)))=Milestones!$AB$180),UPPER(TEXT(EDATE($D145,Milestones!$AA$180),"dd mmm yy"))&amp;" "&amp;Milestones!$AB$180&amp;" "&amp;Milestones!$AC$180&amp;";  ","")&amp;IF(AND(EDATE($D145,Milestones!$AA$181)&lt;=AsOfDate,IF($R145=0,$X145,IF(AND($T145&lt;&gt;"",EDATE($D145,Milestones!$AA$181)&gt;=$T145),$W145,IF(AND($S145&lt;&gt;"",EDATE($D145,Milestones!$AA$181)&gt;=$S145),$V145,$U145)))=Milestones!$AB$181),UPPER(TEXT(EDATE($D145,Milestones!$AA$181),"dd mmm yy"))&amp;" "&amp;Milestones!$AB$181&amp;" "&amp;Milestones!$AC$181&amp;";  ","")&amp;IF(AND(EDATE($D145,Milestones!$AA$182)&lt;=AsOfDate,IF($R145=0,$X145,IF(AND($T145&lt;&gt;"",EDATE($D145,Milestones!$AA$182)&gt;=$T145),$W145,IF(AND($S145&lt;&gt;"",EDATE($D145,Milestones!$AA$182)&gt;=$S145),$V145,$U145)))=Milestones!$AB$182),UPPER(TEXT(EDATE($D145,Milestones!$AA$182),"dd mmm yy"))&amp;" "&amp;Milestones!$AB$182&amp;" "&amp;Milestones!$AC$182&amp;";  ","")&amp;IF(AND(EDATE($D145,Milestones!$AA$183)&lt;=AsOfDate,IF($R145=0,$X145,IF(AND($T145&lt;&gt;"",EDATE($D145,Milestones!$AA$183)&gt;=$T145),$W145,IF(AND($S145&lt;&gt;"",EDATE($D145,Milestones!$AA$183)&gt;=$S145),$V145,$U145)))=Milestones!$AB$183),UPPER(TEXT(EDATE($D145,Milestones!$AA$183),"dd mmm yy"))&amp;" "&amp;Milestones!$AB$183&amp;" "&amp;Milestones!$AC$183&amp;";  ","")&amp;IF(AND(EDATE($D145,Milestones!$AA$184)&lt;=AsOfDate,IF($R145=0,$X145,IF(AND($T145&lt;&gt;"",EDATE($D145,Milestones!$AA$184)&gt;=$T145),$W145,IF(AND($S145&lt;&gt;"",EDATE($D145,Milestones!$AA$184)&gt;=$S145),$V145,$U145)))=Milestones!$AB$184),UPPER(TEXT(EDATE($D145,Milestones!$AA$184),"dd mmm yy"))&amp;" "&amp;Milestones!$AB$184&amp;" "&amp;Milestones!$AC$184&amp;";  ","")&amp;IF(AND(EDATE($D145,Milestones!$AA$185)&lt;=AsOfDate,IF($R145=0,$X145,IF(AND($T145&lt;&gt;"",EDATE($D145,Milestones!$AA$185)&gt;=$T145),$W145,IF(AND($S145&lt;&gt;"",EDATE($D145,Milestones!$AA$185)&gt;=$S145),$V145,$U145)))=Milestones!$AB$185),UPPER(TEXT(EDATE($D145,Milestones!$AA$185),"dd mmm yy"))&amp;" "&amp;Milestones!$AB$185&amp;" "&amp;Milestones!$AC$185&amp;";  ","")&amp;IF(AND(EDATE($D145,Milestones!$AA$186)&lt;=AsOfDate,IF($R145=0,$X145,IF(AND($T145&lt;&gt;"",EDATE($D145,Milestones!$AA$186)&gt;=$T145),$W145,IF(AND($S145&lt;&gt;"",EDATE($D145,Milestones!$AA$186)&gt;=$S145),$V145,$U145)))=Milestones!$AB$186),UPPER(TEXT(EDATE($D145,Milestones!$AA$186),"dd mmm yy"))&amp;" "&amp;Milestones!$AB$186&amp;" "&amp;Milestones!$AC$186&amp;";  ","")&amp;IF(AND(EDATE($D145,Milestones!$AA$187)&lt;=AsOfDate,IF($R145=0,$X145,IF(AND($T145&lt;&gt;"",EDATE($D145,Milestones!$AA$187)&gt;=$T145),$W145,IF(AND($S145&lt;&gt;"",EDATE($D145,Milestones!$AA$187)&gt;=$S145),$V145,$U145)))=Milestones!$AB$187),UPPER(TEXT(EDATE($D145,Milestones!$AA$187),"dd mmm yy"))&amp;" "&amp;Milestones!$AB$187&amp;" "&amp;Milestones!$AC$187&amp;";  ","")&amp;IF(AND(EDATE($D145,Milestones!$AA$188)&lt;=AsOfDate,IF($R145=0,$X145,IF(AND($T145&lt;&gt;"",EDATE($D145,Milestones!$AA$188)&gt;=$T145),$W145,IF(AND($S145&lt;&gt;"",EDATE($D145,Milestones!$AA$188)&gt;=$S145),$V145,$U145)))=Milestones!$AB$188),UPPER(TEXT(EDATE($D145,Milestones!$AA$188),"dd mmm yy"))&amp;" "&amp;Milestones!$AB$188&amp;" "&amp;Milestones!$AC$188&amp;";  ","")&amp;IF(AND(EDATE($D145,Milestones!$AA$189)&lt;=AsOfDate,IF($R145=0,$X145,IF(AND($T145&lt;&gt;"",EDATE($D145,Milestones!$AA$189)&gt;=$T145),$W145,IF(AND($S145&lt;&gt;"",EDATE($D145,Milestones!$AA$189)&gt;=$S145),$V145,$U145)))=Milestones!$AB$189),UPPER(TEXT(EDATE($D145,Milestones!$AA$189),"dd mmm yy"))&amp;" "&amp;Milestones!$AB$189&amp;" "&amp;Milestones!$AC$189&amp;";  ","")&amp;IF(AND(EDATE($D145,Milestones!$AA$190)&lt;=AsOfDate,IF($R145=0,$X145,IF(AND($T145&lt;&gt;"",EDATE($D145,Milestones!$AA$190)&gt;=$T145),$W145,IF(AND($S145&lt;&gt;"",EDATE($D145,Milestones!$AA$190)&gt;=$S145),$V145,$U145)))=Milestones!$AB$190),UPPER(TEXT(EDATE($D145,Milestones!$AA$190),"dd mmm yy"))&amp;" "&amp;Milestones!$AB$190&amp;" "&amp;Milestones!$AC$190&amp;";  ","")&amp;IF(AND(EDATE($D145,Milestones!$AA$191)&lt;=AsOfDate,IF($R145=0,$X145,IF(AND($T145&lt;&gt;"",EDATE($D145,Milestones!$AA$191)&gt;=$T145),$W145,IF(AND($S145&lt;&gt;"",EDATE($D145,Milestones!$AA$191)&gt;=$S145),$V145,$U145)))=Milestones!$AB$191),UPPER(TEXT(EDATE($D145,Milestones!$AA$191),"dd mmm yy"))&amp;" "&amp;Milestones!$AB$191&amp;" "&amp;Milestones!$AC$191&amp;";  ","")&amp;IF(AND(EDATE($D145,Milestones!$AA$192)&lt;=AsOfDate,IF($R145=0,$X145,IF(AND($T145&lt;&gt;"",EDATE($D145,Milestones!$AA$192)&gt;=$T145),$W145,IF(AND($S145&lt;&gt;"",EDATE($D145,Milestones!$AA$192)&gt;=$S145),$V145,$U145)))=Milestones!$AB$192),UPPER(TEXT(EDATE($D145,Milestones!$AA$192),"dd mmm yy"))&amp;" "&amp;Milestones!$AB$192&amp;" "&amp;Milestones!$AC$192&amp;";  ","")&amp;IF(AND(EDATE($D145,Milestones!$AA$193)&lt;=AsOfDate,IF($R145=0,$X145,IF(AND($T145&lt;&gt;"",EDATE($D145,Milestones!$AA$193)&gt;=$T145),$W145,IF(AND($S145&lt;&gt;"",EDATE($D145,Milestones!$AA$193)&gt;=$S145),$V145,$U145)))=Milestones!$AB$193),UPPER(TEXT(EDATE($D145,Milestones!$AA$193),"dd mmm yy"))&amp;" "&amp;Milestones!$AB$193&amp;" "&amp;Milestones!$AC$193&amp;";  ","")&amp;IF(AND(EDATE($D145,Milestones!$AA$194)&lt;=AsOfDate,IF($R145=0,$X145,IF(AND($T145&lt;&gt;"",EDATE($D145,Milestones!$AA$194)&gt;=$T145),$W145,IF(AND($S145&lt;&gt;"",EDATE($D145,Milestones!$AA$194)&gt;=$S145),$V145,$U145)))=Milestones!$AB$194),UPPER(TEXT(EDATE($D145,Milestones!$AA$194),"dd mmm yy"))&amp;" "&amp;Milestones!$AB$194&amp;" "&amp;Milestones!$AC$194&amp;";  ","")&amp;IF(AND(EDATE($D145,Milestones!$AA$195)&lt;=AsOfDate,IF($R145=0,$X145,IF(AND($T145&lt;&gt;"",EDATE($D145,Milestones!$AA$195)&gt;=$T145),$W145,IF(AND($S145&lt;&gt;"",EDATE($D145,Milestones!$AA$195)&gt;=$S145),$V145,$U145)))=Milestones!$AB$195),UPPER(TEXT(EDATE($D145,Milestones!$AA$195),"dd mmm yy"))&amp;" "&amp;Milestones!$AB$195&amp;" "&amp;Milestones!$AC$195&amp;";  ","")&amp;IF(AND(EDATE($D145,Milestones!$AA$196)&lt;=AsOfDate,IF($R145=0,$X145,IF(AND($T145&lt;&gt;"",EDATE($D145,Milestones!$AA$196)&gt;=$T145),$W145,IF(AND($S145&lt;&gt;"",EDATE($D145,Milestones!$AA$196)&gt;=$S145),$V145,$U145)))=Milestones!$AB$196),UPPER(TEXT(EDATE($D145,Milestones!$AA$196),"dd mmm yy"))&amp;" "&amp;Milestones!$AB$196&amp;" "&amp;Milestones!$AC$196&amp;";  ","")&amp;IF(AND(EDATE($D145,Milestones!$AA$197)&lt;=AsOfDate,IF($R145=0,$X145,IF(AND($T145&lt;&gt;"",EDATE($D145,Milestones!$AA$197)&gt;=$T145),$W145,IF(AND($S145&lt;&gt;"",EDATE($D145,Milestones!$AA$197)&gt;=$S145),$V145,$U145)))=Milestones!$AB$197),UPPER(TEXT(EDATE($D145,Milestones!$AA$197),"dd mmm yy"))&amp;" "&amp;Milestones!$AB$197&amp;" "&amp;Milestones!$AC$197&amp;";  ","")&amp;IF(AND(EDATE($D145,Milestones!$AA$198)&lt;=AsOfDate,IF($R145=0,$X145,IF(AND($T145&lt;&gt;"",EDATE($D145,Milestones!$AA$198)&gt;=$T145),$W145,IF(AND($S145&lt;&gt;"",EDATE($D145,Milestones!$AA$198)&gt;=$S145),$V145,$U145)))=Milestones!$AB$198),UPPER(TEXT(EDATE($D145,Milestones!$AA$198),"dd mmm yy"))&amp;" "&amp;Milestones!$AB$198&amp;" "&amp;Milestones!$AC$198&amp;";  ","")&amp;IF(AND(EDATE($D145,Milestones!$AA$199)&lt;=AsOfDate,IF($R145=0,$X145,IF(AND($T145&lt;&gt;"",EDATE($D145,Milestones!$AA$199)&gt;=$T145),$W145,IF(AND($S145&lt;&gt;"",EDATE($D145,Milestones!$AA$199)&gt;=$S145),$V145,$U145)))=Milestones!$AB$199),UPPER(TEXT(EDATE($D145,Milestones!$AA$199),"dd mmm yy"))&amp;" "&amp;Milestones!$AB$199&amp;" "&amp;Milestones!$AC$199&amp;";  ",""))</f>
        <v/>
      </c>
      <c r="R145" s="0" t="str">
        <f aca="false">IF(Staff!$A145="","",Staff!$AI145)</f>
        <v/>
      </c>
      <c r="S145" s="0" t="str">
        <f aca="false">IF(Staff!$A145="","",Staff!$AK145)</f>
        <v/>
      </c>
      <c r="T145" s="0" t="str">
        <f aca="false">IF(Staff!$A145="","",Staff!$AL145)</f>
        <v/>
      </c>
      <c r="U145" s="0" t="str">
        <f aca="false">IF(Staff!$A145="","",Staff!$AP145)</f>
        <v/>
      </c>
      <c r="V145" s="0" t="str">
        <f aca="false">IF(Staff!$A145="","",Staff!$AQ145)</f>
        <v/>
      </c>
      <c r="W145" s="0" t="str">
        <f aca="false">IF(Staff!$A145="","",Staff!$AR145)</f>
        <v/>
      </c>
      <c r="X145" s="0" t="str">
        <f aca="false">IF(Staff!$A145="","",Staff!$AS145)</f>
        <v/>
      </c>
    </row>
    <row r="146" customFormat="false" ht="15" hidden="false" customHeight="false" outlineLevel="0" collapsed="false">
      <c r="A146" s="14" t="str">
        <f aca="false">IF(Staff!$A146="","",Staff!$A146)</f>
        <v/>
      </c>
      <c r="B146" s="14" t="str">
        <f aca="false">IF(Staff!$A146="","",Staff!$B146)</f>
        <v/>
      </c>
      <c r="C146" s="14" t="str">
        <f aca="false">IF(Staff!$A146="","",Staff!$C146)</f>
        <v/>
      </c>
      <c r="D146" s="12" t="str">
        <f aca="false">IF(Staff!$A146="","",Staff!$AH146)</f>
        <v/>
      </c>
      <c r="E146" s="14" t="str">
        <f aca="false">IF(Staff!$A146="","",Staff!$O146)</f>
        <v/>
      </c>
      <c r="F146" s="14" t="str">
        <f aca="false">IF(E146="","",E146*HoursPerDay)</f>
        <v/>
      </c>
      <c r="G146" s="14" t="str">
        <f aca="false">IF(Staff!$A146="","",Staff!$AE146)</f>
        <v/>
      </c>
      <c r="H146" s="26" t="str">
        <f aca="false">IF($A146="","",I146&amp;J146&amp;K146&amp;L146&amp;M146&amp;N146&amp;O146&amp;P146&amp;Q146)</f>
        <v/>
      </c>
      <c r="I146" s="0" t="str">
        <f aca="false">IF(OR($A146="",$D146=""),"",IF(AND(EDATE($D146,Milestones!$AA$20)&lt;=AsOfDate,IF($R146=0,$X146,IF(AND($T146&lt;&gt;"",EDATE($D146,Milestones!$AA$20)&gt;=$T146),$W146,IF(AND($S146&lt;&gt;"",EDATE($D146,Milestones!$AA$20)&gt;=$S146),$V146,$U146)))=Milestones!$AB$20),UPPER(TEXT(EDATE($D146,Milestones!$AA$20),"dd mmm yy"))&amp;" "&amp;Milestones!$AB$20&amp;" "&amp;Milestones!$AC$20&amp;";  ","")&amp;IF(AND(EDATE($D146,Milestones!$AA$21)&lt;=AsOfDate,IF($R146=0,$X146,IF(AND($T146&lt;&gt;"",EDATE($D146,Milestones!$AA$21)&gt;=$T146),$W146,IF(AND($S146&lt;&gt;"",EDATE($D146,Milestones!$AA$21)&gt;=$S146),$V146,$U146)))=Milestones!$AB$21),UPPER(TEXT(EDATE($D146,Milestones!$AA$21),"dd mmm yy"))&amp;" "&amp;Milestones!$AB$21&amp;" "&amp;Milestones!$AC$21&amp;";  ","")&amp;IF(AND(EDATE($D146,Milestones!$AA$22)&lt;=AsOfDate,IF($R146=0,$X146,IF(AND($T146&lt;&gt;"",EDATE($D146,Milestones!$AA$22)&gt;=$T146),$W146,IF(AND($S146&lt;&gt;"",EDATE($D146,Milestones!$AA$22)&gt;=$S146),$V146,$U146)))=Milestones!$AB$22),UPPER(TEXT(EDATE($D146,Milestones!$AA$22),"dd mmm yy"))&amp;" "&amp;Milestones!$AB$22&amp;" "&amp;Milestones!$AC$22&amp;";  ","")&amp;IF(AND(EDATE($D146,Milestones!$AA$23)&lt;=AsOfDate,IF($R146=0,$X146,IF(AND($T146&lt;&gt;"",EDATE($D146,Milestones!$AA$23)&gt;=$T146),$W146,IF(AND($S146&lt;&gt;"",EDATE($D146,Milestones!$AA$23)&gt;=$S146),$V146,$U146)))=Milestones!$AB$23),UPPER(TEXT(EDATE($D146,Milestones!$AA$23),"dd mmm yy"))&amp;" "&amp;Milestones!$AB$23&amp;" "&amp;Milestones!$AC$23&amp;";  ","")&amp;IF(AND(EDATE($D146,Milestones!$AA$24)&lt;=AsOfDate,IF($R146=0,$X146,IF(AND($T146&lt;&gt;"",EDATE($D146,Milestones!$AA$24)&gt;=$T146),$W146,IF(AND($S146&lt;&gt;"",EDATE($D146,Milestones!$AA$24)&gt;=$S146),$V146,$U146)))=Milestones!$AB$24),UPPER(TEXT(EDATE($D146,Milestones!$AA$24),"dd mmm yy"))&amp;" "&amp;Milestones!$AB$24&amp;" "&amp;Milestones!$AC$24&amp;";  ","")&amp;IF(AND(EDATE($D146,Milestones!$AA$25)&lt;=AsOfDate,IF($R146=0,$X146,IF(AND($T146&lt;&gt;"",EDATE($D146,Milestones!$AA$25)&gt;=$T146),$W146,IF(AND($S146&lt;&gt;"",EDATE($D146,Milestones!$AA$25)&gt;=$S146),$V146,$U146)))=Milestones!$AB$25),UPPER(TEXT(EDATE($D146,Milestones!$AA$25),"dd mmm yy"))&amp;" "&amp;Milestones!$AB$25&amp;" "&amp;Milestones!$AC$25&amp;";  ","")&amp;IF(AND(EDATE($D146,Milestones!$AA$26)&lt;=AsOfDate,IF($R146=0,$X146,IF(AND($T146&lt;&gt;"",EDATE($D146,Milestones!$AA$26)&gt;=$T146),$W146,IF(AND($S146&lt;&gt;"",EDATE($D146,Milestones!$AA$26)&gt;=$S146),$V146,$U146)))=Milestones!$AB$26),UPPER(TEXT(EDATE($D146,Milestones!$AA$26),"dd mmm yy"))&amp;" "&amp;Milestones!$AB$26&amp;" "&amp;Milestones!$AC$26&amp;";  ","")&amp;IF(AND(EDATE($D146,Milestones!$AA$27)&lt;=AsOfDate,IF($R146=0,$X146,IF(AND($T146&lt;&gt;"",EDATE($D146,Milestones!$AA$27)&gt;=$T146),$W146,IF(AND($S146&lt;&gt;"",EDATE($D146,Milestones!$AA$27)&gt;=$S146),$V146,$U146)))=Milestones!$AB$27),UPPER(TEXT(EDATE($D146,Milestones!$AA$27),"dd mmm yy"))&amp;" "&amp;Milestones!$AB$27&amp;" "&amp;Milestones!$AC$27&amp;";  ","")&amp;IF(AND(EDATE($D146,Milestones!$AA$28)&lt;=AsOfDate,IF($R146=0,$X146,IF(AND($T146&lt;&gt;"",EDATE($D146,Milestones!$AA$28)&gt;=$T146),$W146,IF(AND($S146&lt;&gt;"",EDATE($D146,Milestones!$AA$28)&gt;=$S146),$V146,$U146)))=Milestones!$AB$28),UPPER(TEXT(EDATE($D146,Milestones!$AA$28),"dd mmm yy"))&amp;" "&amp;Milestones!$AB$28&amp;" "&amp;Milestones!$AC$28&amp;";  ","")&amp;IF(AND(EDATE($D146,Milestones!$AA$29)&lt;=AsOfDate,IF($R146=0,$X146,IF(AND($T146&lt;&gt;"",EDATE($D146,Milestones!$AA$29)&gt;=$T146),$W146,IF(AND($S146&lt;&gt;"",EDATE($D146,Milestones!$AA$29)&gt;=$S146),$V146,$U146)))=Milestones!$AB$29),UPPER(TEXT(EDATE($D146,Milestones!$AA$29),"dd mmm yy"))&amp;" "&amp;Milestones!$AB$29&amp;" "&amp;Milestones!$AC$29&amp;";  ","")&amp;IF(AND(EDATE($D146,Milestones!$AA$30)&lt;=AsOfDate,IF($R146=0,$X146,IF(AND($T146&lt;&gt;"",EDATE($D146,Milestones!$AA$30)&gt;=$T146),$W146,IF(AND($S146&lt;&gt;"",EDATE($D146,Milestones!$AA$30)&gt;=$S146),$V146,$U146)))=Milestones!$AB$30),UPPER(TEXT(EDATE($D146,Milestones!$AA$30),"dd mmm yy"))&amp;" "&amp;Milestones!$AB$30&amp;" "&amp;Milestones!$AC$30&amp;";  ","")&amp;IF(AND(EDATE($D146,Milestones!$AA$31)&lt;=AsOfDate,IF($R146=0,$X146,IF(AND($T146&lt;&gt;"",EDATE($D146,Milestones!$AA$31)&gt;=$T146),$W146,IF(AND($S146&lt;&gt;"",EDATE($D146,Milestones!$AA$31)&gt;=$S146),$V146,$U146)))=Milestones!$AB$31),UPPER(TEXT(EDATE($D146,Milestones!$AA$31),"dd mmm yy"))&amp;" "&amp;Milestones!$AB$31&amp;" "&amp;Milestones!$AC$31&amp;";  ","")&amp;IF(AND(EDATE($D146,Milestones!$AA$32)&lt;=AsOfDate,IF($R146=0,$X146,IF(AND($T146&lt;&gt;"",EDATE($D146,Milestones!$AA$32)&gt;=$T146),$W146,IF(AND($S146&lt;&gt;"",EDATE($D146,Milestones!$AA$32)&gt;=$S146),$V146,$U146)))=Milestones!$AB$32),UPPER(TEXT(EDATE($D146,Milestones!$AA$32),"dd mmm yy"))&amp;" "&amp;Milestones!$AB$32&amp;" "&amp;Milestones!$AC$32&amp;";  ","")&amp;IF(AND(EDATE($D146,Milestones!$AA$33)&lt;=AsOfDate,IF($R146=0,$X146,IF(AND($T146&lt;&gt;"",EDATE($D146,Milestones!$AA$33)&gt;=$T146),$W146,IF(AND($S146&lt;&gt;"",EDATE($D146,Milestones!$AA$33)&gt;=$S146),$V146,$U146)))=Milestones!$AB$33),UPPER(TEXT(EDATE($D146,Milestones!$AA$33),"dd mmm yy"))&amp;" "&amp;Milestones!$AB$33&amp;" "&amp;Milestones!$AC$33&amp;";  ","")&amp;IF(AND(EDATE($D146,Milestones!$AA$34)&lt;=AsOfDate,IF($R146=0,$X146,IF(AND($T146&lt;&gt;"",EDATE($D146,Milestones!$AA$34)&gt;=$T146),$W146,IF(AND($S146&lt;&gt;"",EDATE($D146,Milestones!$AA$34)&gt;=$S146),$V146,$U146)))=Milestones!$AB$34),UPPER(TEXT(EDATE($D146,Milestones!$AA$34),"dd mmm yy"))&amp;" "&amp;Milestones!$AB$34&amp;" "&amp;Milestones!$AC$34&amp;";  ","")&amp;IF(AND(EDATE($D146,Milestones!$AA$35)&lt;=AsOfDate,IF($R146=0,$X146,IF(AND($T146&lt;&gt;"",EDATE($D146,Milestones!$AA$35)&gt;=$T146),$W146,IF(AND($S146&lt;&gt;"",EDATE($D146,Milestones!$AA$35)&gt;=$S146),$V146,$U146)))=Milestones!$AB$35),UPPER(TEXT(EDATE($D146,Milestones!$AA$35),"dd mmm yy"))&amp;" "&amp;Milestones!$AB$35&amp;" "&amp;Milestones!$AC$35&amp;";  ","")&amp;IF(AND(EDATE($D146,Milestones!$AA$36)&lt;=AsOfDate,IF($R146=0,$X146,IF(AND($T146&lt;&gt;"",EDATE($D146,Milestones!$AA$36)&gt;=$T146),$W146,IF(AND($S146&lt;&gt;"",EDATE($D146,Milestones!$AA$36)&gt;=$S146),$V146,$U146)))=Milestones!$AB$36),UPPER(TEXT(EDATE($D146,Milestones!$AA$36),"dd mmm yy"))&amp;" "&amp;Milestones!$AB$36&amp;" "&amp;Milestones!$AC$36&amp;";  ","")&amp;IF(AND(EDATE($D146,Milestones!$AA$37)&lt;=AsOfDate,IF($R146=0,$X146,IF(AND($T146&lt;&gt;"",EDATE($D146,Milestones!$AA$37)&gt;=$T146),$W146,IF(AND($S146&lt;&gt;"",EDATE($D146,Milestones!$AA$37)&gt;=$S146),$V146,$U146)))=Milestones!$AB$37),UPPER(TEXT(EDATE($D146,Milestones!$AA$37),"dd mmm yy"))&amp;" "&amp;Milestones!$AB$37&amp;" "&amp;Milestones!$AC$37&amp;";  ","")&amp;IF(AND(EDATE($D146,Milestones!$AA$38)&lt;=AsOfDate,IF($R146=0,$X146,IF(AND($T146&lt;&gt;"",EDATE($D146,Milestones!$AA$38)&gt;=$T146),$W146,IF(AND($S146&lt;&gt;"",EDATE($D146,Milestones!$AA$38)&gt;=$S146),$V146,$U146)))=Milestones!$AB$38),UPPER(TEXT(EDATE($D146,Milestones!$AA$38),"dd mmm yy"))&amp;" "&amp;Milestones!$AB$38&amp;" "&amp;Milestones!$AC$38&amp;";  ","")&amp;IF(AND(EDATE($D146,Milestones!$AA$39)&lt;=AsOfDate,IF($R146=0,$X146,IF(AND($T146&lt;&gt;"",EDATE($D146,Milestones!$AA$39)&gt;=$T146),$W146,IF(AND($S146&lt;&gt;"",EDATE($D146,Milestones!$AA$39)&gt;=$S146),$V146,$U146)))=Milestones!$AB$39),UPPER(TEXT(EDATE($D146,Milestones!$AA$39),"dd mmm yy"))&amp;" "&amp;Milestones!$AB$39&amp;" "&amp;Milestones!$AC$39&amp;";  ",""))</f>
        <v/>
      </c>
      <c r="J146" s="0" t="str">
        <f aca="false">IF(OR($A146="",$D146=""),"",IF(AND(EDATE($D146,Milestones!$AA$40)&lt;=AsOfDate,IF($R146=0,$X146,IF(AND($T146&lt;&gt;"",EDATE($D146,Milestones!$AA$40)&gt;=$T146),$W146,IF(AND($S146&lt;&gt;"",EDATE($D146,Milestones!$AA$40)&gt;=$S146),$V146,$U146)))=Milestones!$AB$40),UPPER(TEXT(EDATE($D146,Milestones!$AA$40),"dd mmm yy"))&amp;" "&amp;Milestones!$AB$40&amp;" "&amp;Milestones!$AC$40&amp;";  ","")&amp;IF(AND(EDATE($D146,Milestones!$AA$41)&lt;=AsOfDate,IF($R146=0,$X146,IF(AND($T146&lt;&gt;"",EDATE($D146,Milestones!$AA$41)&gt;=$T146),$W146,IF(AND($S146&lt;&gt;"",EDATE($D146,Milestones!$AA$41)&gt;=$S146),$V146,$U146)))=Milestones!$AB$41),UPPER(TEXT(EDATE($D146,Milestones!$AA$41),"dd mmm yy"))&amp;" "&amp;Milestones!$AB$41&amp;" "&amp;Milestones!$AC$41&amp;";  ","")&amp;IF(AND(EDATE($D146,Milestones!$AA$42)&lt;=AsOfDate,IF($R146=0,$X146,IF(AND($T146&lt;&gt;"",EDATE($D146,Milestones!$AA$42)&gt;=$T146),$W146,IF(AND($S146&lt;&gt;"",EDATE($D146,Milestones!$AA$42)&gt;=$S146),$V146,$U146)))=Milestones!$AB$42),UPPER(TEXT(EDATE($D146,Milestones!$AA$42),"dd mmm yy"))&amp;" "&amp;Milestones!$AB$42&amp;" "&amp;Milestones!$AC$42&amp;";  ","")&amp;IF(AND(EDATE($D146,Milestones!$AA$43)&lt;=AsOfDate,IF($R146=0,$X146,IF(AND($T146&lt;&gt;"",EDATE($D146,Milestones!$AA$43)&gt;=$T146),$W146,IF(AND($S146&lt;&gt;"",EDATE($D146,Milestones!$AA$43)&gt;=$S146),$V146,$U146)))=Milestones!$AB$43),UPPER(TEXT(EDATE($D146,Milestones!$AA$43),"dd mmm yy"))&amp;" "&amp;Milestones!$AB$43&amp;" "&amp;Milestones!$AC$43&amp;";  ","")&amp;IF(AND(EDATE($D146,Milestones!$AA$44)&lt;=AsOfDate,IF($R146=0,$X146,IF(AND($T146&lt;&gt;"",EDATE($D146,Milestones!$AA$44)&gt;=$T146),$W146,IF(AND($S146&lt;&gt;"",EDATE($D146,Milestones!$AA$44)&gt;=$S146),$V146,$U146)))=Milestones!$AB$44),UPPER(TEXT(EDATE($D146,Milestones!$AA$44),"dd mmm yy"))&amp;" "&amp;Milestones!$AB$44&amp;" "&amp;Milestones!$AC$44&amp;";  ","")&amp;IF(AND(EDATE($D146,Milestones!$AA$45)&lt;=AsOfDate,IF($R146=0,$X146,IF(AND($T146&lt;&gt;"",EDATE($D146,Milestones!$AA$45)&gt;=$T146),$W146,IF(AND($S146&lt;&gt;"",EDATE($D146,Milestones!$AA$45)&gt;=$S146),$V146,$U146)))=Milestones!$AB$45),UPPER(TEXT(EDATE($D146,Milestones!$AA$45),"dd mmm yy"))&amp;" "&amp;Milestones!$AB$45&amp;" "&amp;Milestones!$AC$45&amp;";  ","")&amp;IF(AND(EDATE($D146,Milestones!$AA$46)&lt;=AsOfDate,IF($R146=0,$X146,IF(AND($T146&lt;&gt;"",EDATE($D146,Milestones!$AA$46)&gt;=$T146),$W146,IF(AND($S146&lt;&gt;"",EDATE($D146,Milestones!$AA$46)&gt;=$S146),$V146,$U146)))=Milestones!$AB$46),UPPER(TEXT(EDATE($D146,Milestones!$AA$46),"dd mmm yy"))&amp;" "&amp;Milestones!$AB$46&amp;" "&amp;Milestones!$AC$46&amp;";  ","")&amp;IF(AND(EDATE($D146,Milestones!$AA$47)&lt;=AsOfDate,IF($R146=0,$X146,IF(AND($T146&lt;&gt;"",EDATE($D146,Milestones!$AA$47)&gt;=$T146),$W146,IF(AND($S146&lt;&gt;"",EDATE($D146,Milestones!$AA$47)&gt;=$S146),$V146,$U146)))=Milestones!$AB$47),UPPER(TEXT(EDATE($D146,Milestones!$AA$47),"dd mmm yy"))&amp;" "&amp;Milestones!$AB$47&amp;" "&amp;Milestones!$AC$47&amp;";  ","")&amp;IF(AND(EDATE($D146,Milestones!$AA$48)&lt;=AsOfDate,IF($R146=0,$X146,IF(AND($T146&lt;&gt;"",EDATE($D146,Milestones!$AA$48)&gt;=$T146),$W146,IF(AND($S146&lt;&gt;"",EDATE($D146,Milestones!$AA$48)&gt;=$S146),$V146,$U146)))=Milestones!$AB$48),UPPER(TEXT(EDATE($D146,Milestones!$AA$48),"dd mmm yy"))&amp;" "&amp;Milestones!$AB$48&amp;" "&amp;Milestones!$AC$48&amp;";  ","")&amp;IF(AND(EDATE($D146,Milestones!$AA$49)&lt;=AsOfDate,IF($R146=0,$X146,IF(AND($T146&lt;&gt;"",EDATE($D146,Milestones!$AA$49)&gt;=$T146),$W146,IF(AND($S146&lt;&gt;"",EDATE($D146,Milestones!$AA$49)&gt;=$S146),$V146,$U146)))=Milestones!$AB$49),UPPER(TEXT(EDATE($D146,Milestones!$AA$49),"dd mmm yy"))&amp;" "&amp;Milestones!$AB$49&amp;" "&amp;Milestones!$AC$49&amp;";  ","")&amp;IF(AND(EDATE($D146,Milestones!$AA$50)&lt;=AsOfDate,IF($R146=0,$X146,IF(AND($T146&lt;&gt;"",EDATE($D146,Milestones!$AA$50)&gt;=$T146),$W146,IF(AND($S146&lt;&gt;"",EDATE($D146,Milestones!$AA$50)&gt;=$S146),$V146,$U146)))=Milestones!$AB$50),UPPER(TEXT(EDATE($D146,Milestones!$AA$50),"dd mmm yy"))&amp;" "&amp;Milestones!$AB$50&amp;" "&amp;Milestones!$AC$50&amp;";  ","")&amp;IF(AND(EDATE($D146,Milestones!$AA$51)&lt;=AsOfDate,IF($R146=0,$X146,IF(AND($T146&lt;&gt;"",EDATE($D146,Milestones!$AA$51)&gt;=$T146),$W146,IF(AND($S146&lt;&gt;"",EDATE($D146,Milestones!$AA$51)&gt;=$S146),$V146,$U146)))=Milestones!$AB$51),UPPER(TEXT(EDATE($D146,Milestones!$AA$51),"dd mmm yy"))&amp;" "&amp;Milestones!$AB$51&amp;" "&amp;Milestones!$AC$51&amp;";  ","")&amp;IF(AND(EDATE($D146,Milestones!$AA$52)&lt;=AsOfDate,IF($R146=0,$X146,IF(AND($T146&lt;&gt;"",EDATE($D146,Milestones!$AA$52)&gt;=$T146),$W146,IF(AND($S146&lt;&gt;"",EDATE($D146,Milestones!$AA$52)&gt;=$S146),$V146,$U146)))=Milestones!$AB$52),UPPER(TEXT(EDATE($D146,Milestones!$AA$52),"dd mmm yy"))&amp;" "&amp;Milestones!$AB$52&amp;" "&amp;Milestones!$AC$52&amp;";  ","")&amp;IF(AND(EDATE($D146,Milestones!$AA$53)&lt;=AsOfDate,IF($R146=0,$X146,IF(AND($T146&lt;&gt;"",EDATE($D146,Milestones!$AA$53)&gt;=$T146),$W146,IF(AND($S146&lt;&gt;"",EDATE($D146,Milestones!$AA$53)&gt;=$S146),$V146,$U146)))=Milestones!$AB$53),UPPER(TEXT(EDATE($D146,Milestones!$AA$53),"dd mmm yy"))&amp;" "&amp;Milestones!$AB$53&amp;" "&amp;Milestones!$AC$53&amp;";  ","")&amp;IF(AND(EDATE($D146,Milestones!$AA$54)&lt;=AsOfDate,IF($R146=0,$X146,IF(AND($T146&lt;&gt;"",EDATE($D146,Milestones!$AA$54)&gt;=$T146),$W146,IF(AND($S146&lt;&gt;"",EDATE($D146,Milestones!$AA$54)&gt;=$S146),$V146,$U146)))=Milestones!$AB$54),UPPER(TEXT(EDATE($D146,Milestones!$AA$54),"dd mmm yy"))&amp;" "&amp;Milestones!$AB$54&amp;" "&amp;Milestones!$AC$54&amp;";  ","")&amp;IF(AND(EDATE($D146,Milestones!$AA$55)&lt;=AsOfDate,IF($R146=0,$X146,IF(AND($T146&lt;&gt;"",EDATE($D146,Milestones!$AA$55)&gt;=$T146),$W146,IF(AND($S146&lt;&gt;"",EDATE($D146,Milestones!$AA$55)&gt;=$S146),$V146,$U146)))=Milestones!$AB$55),UPPER(TEXT(EDATE($D146,Milestones!$AA$55),"dd mmm yy"))&amp;" "&amp;Milestones!$AB$55&amp;" "&amp;Milestones!$AC$55&amp;";  ","")&amp;IF(AND(EDATE($D146,Milestones!$AA$56)&lt;=AsOfDate,IF($R146=0,$X146,IF(AND($T146&lt;&gt;"",EDATE($D146,Milestones!$AA$56)&gt;=$T146),$W146,IF(AND($S146&lt;&gt;"",EDATE($D146,Milestones!$AA$56)&gt;=$S146),$V146,$U146)))=Milestones!$AB$56),UPPER(TEXT(EDATE($D146,Milestones!$AA$56),"dd mmm yy"))&amp;" "&amp;Milestones!$AB$56&amp;" "&amp;Milestones!$AC$56&amp;";  ","")&amp;IF(AND(EDATE($D146,Milestones!$AA$57)&lt;=AsOfDate,IF($R146=0,$X146,IF(AND($T146&lt;&gt;"",EDATE($D146,Milestones!$AA$57)&gt;=$T146),$W146,IF(AND($S146&lt;&gt;"",EDATE($D146,Milestones!$AA$57)&gt;=$S146),$V146,$U146)))=Milestones!$AB$57),UPPER(TEXT(EDATE($D146,Milestones!$AA$57),"dd mmm yy"))&amp;" "&amp;Milestones!$AB$57&amp;" "&amp;Milestones!$AC$57&amp;";  ","")&amp;IF(AND(EDATE($D146,Milestones!$AA$58)&lt;=AsOfDate,IF($R146=0,$X146,IF(AND($T146&lt;&gt;"",EDATE($D146,Milestones!$AA$58)&gt;=$T146),$W146,IF(AND($S146&lt;&gt;"",EDATE($D146,Milestones!$AA$58)&gt;=$S146),$V146,$U146)))=Milestones!$AB$58),UPPER(TEXT(EDATE($D146,Milestones!$AA$58),"dd mmm yy"))&amp;" "&amp;Milestones!$AB$58&amp;" "&amp;Milestones!$AC$58&amp;";  ","")&amp;IF(AND(EDATE($D146,Milestones!$AA$59)&lt;=AsOfDate,IF($R146=0,$X146,IF(AND($T146&lt;&gt;"",EDATE($D146,Milestones!$AA$59)&gt;=$T146),$W146,IF(AND($S146&lt;&gt;"",EDATE($D146,Milestones!$AA$59)&gt;=$S146),$V146,$U146)))=Milestones!$AB$59),UPPER(TEXT(EDATE($D146,Milestones!$AA$59),"dd mmm yy"))&amp;" "&amp;Milestones!$AB$59&amp;" "&amp;Milestones!$AC$59&amp;";  ",""))</f>
        <v/>
      </c>
      <c r="K146" s="0" t="str">
        <f aca="false">IF(OR($A146="",$D146=""),"",IF(AND(EDATE($D146,Milestones!$AA$60)&lt;=AsOfDate,IF($R146=0,$X146,IF(AND($T146&lt;&gt;"",EDATE($D146,Milestones!$AA$60)&gt;=$T146),$W146,IF(AND($S146&lt;&gt;"",EDATE($D146,Milestones!$AA$60)&gt;=$S146),$V146,$U146)))=Milestones!$AB$60),UPPER(TEXT(EDATE($D146,Milestones!$AA$60),"dd mmm yy"))&amp;" "&amp;Milestones!$AB$60&amp;" "&amp;Milestones!$AC$60&amp;";  ","")&amp;IF(AND(EDATE($D146,Milestones!$AA$61)&lt;=AsOfDate,IF($R146=0,$X146,IF(AND($T146&lt;&gt;"",EDATE($D146,Milestones!$AA$61)&gt;=$T146),$W146,IF(AND($S146&lt;&gt;"",EDATE($D146,Milestones!$AA$61)&gt;=$S146),$V146,$U146)))=Milestones!$AB$61),UPPER(TEXT(EDATE($D146,Milestones!$AA$61),"dd mmm yy"))&amp;" "&amp;Milestones!$AB$61&amp;" "&amp;Milestones!$AC$61&amp;";  ","")&amp;IF(AND(EDATE($D146,Milestones!$AA$62)&lt;=AsOfDate,IF($R146=0,$X146,IF(AND($T146&lt;&gt;"",EDATE($D146,Milestones!$AA$62)&gt;=$T146),$W146,IF(AND($S146&lt;&gt;"",EDATE($D146,Milestones!$AA$62)&gt;=$S146),$V146,$U146)))=Milestones!$AB$62),UPPER(TEXT(EDATE($D146,Milestones!$AA$62),"dd mmm yy"))&amp;" "&amp;Milestones!$AB$62&amp;" "&amp;Milestones!$AC$62&amp;";  ","")&amp;IF(AND(EDATE($D146,Milestones!$AA$63)&lt;=AsOfDate,IF($R146=0,$X146,IF(AND($T146&lt;&gt;"",EDATE($D146,Milestones!$AA$63)&gt;=$T146),$W146,IF(AND($S146&lt;&gt;"",EDATE($D146,Milestones!$AA$63)&gt;=$S146),$V146,$U146)))=Milestones!$AB$63),UPPER(TEXT(EDATE($D146,Milestones!$AA$63),"dd mmm yy"))&amp;" "&amp;Milestones!$AB$63&amp;" "&amp;Milestones!$AC$63&amp;";  ","")&amp;IF(AND(EDATE($D146,Milestones!$AA$64)&lt;=AsOfDate,IF($R146=0,$X146,IF(AND($T146&lt;&gt;"",EDATE($D146,Milestones!$AA$64)&gt;=$T146),$W146,IF(AND($S146&lt;&gt;"",EDATE($D146,Milestones!$AA$64)&gt;=$S146),$V146,$U146)))=Milestones!$AB$64),UPPER(TEXT(EDATE($D146,Milestones!$AA$64),"dd mmm yy"))&amp;" "&amp;Milestones!$AB$64&amp;" "&amp;Milestones!$AC$64&amp;";  ","")&amp;IF(AND(EDATE($D146,Milestones!$AA$65)&lt;=AsOfDate,IF($R146=0,$X146,IF(AND($T146&lt;&gt;"",EDATE($D146,Milestones!$AA$65)&gt;=$T146),$W146,IF(AND($S146&lt;&gt;"",EDATE($D146,Milestones!$AA$65)&gt;=$S146),$V146,$U146)))=Milestones!$AB$65),UPPER(TEXT(EDATE($D146,Milestones!$AA$65),"dd mmm yy"))&amp;" "&amp;Milestones!$AB$65&amp;" "&amp;Milestones!$AC$65&amp;";  ","")&amp;IF(AND(EDATE($D146,Milestones!$AA$66)&lt;=AsOfDate,IF($R146=0,$X146,IF(AND($T146&lt;&gt;"",EDATE($D146,Milestones!$AA$66)&gt;=$T146),$W146,IF(AND($S146&lt;&gt;"",EDATE($D146,Milestones!$AA$66)&gt;=$S146),$V146,$U146)))=Milestones!$AB$66),UPPER(TEXT(EDATE($D146,Milestones!$AA$66),"dd mmm yy"))&amp;" "&amp;Milestones!$AB$66&amp;" "&amp;Milestones!$AC$66&amp;";  ","")&amp;IF(AND(EDATE($D146,Milestones!$AA$67)&lt;=AsOfDate,IF($R146=0,$X146,IF(AND($T146&lt;&gt;"",EDATE($D146,Milestones!$AA$67)&gt;=$T146),$W146,IF(AND($S146&lt;&gt;"",EDATE($D146,Milestones!$AA$67)&gt;=$S146),$V146,$U146)))=Milestones!$AB$67),UPPER(TEXT(EDATE($D146,Milestones!$AA$67),"dd mmm yy"))&amp;" "&amp;Milestones!$AB$67&amp;" "&amp;Milestones!$AC$67&amp;";  ","")&amp;IF(AND(EDATE($D146,Milestones!$AA$68)&lt;=AsOfDate,IF($R146=0,$X146,IF(AND($T146&lt;&gt;"",EDATE($D146,Milestones!$AA$68)&gt;=$T146),$W146,IF(AND($S146&lt;&gt;"",EDATE($D146,Milestones!$AA$68)&gt;=$S146),$V146,$U146)))=Milestones!$AB$68),UPPER(TEXT(EDATE($D146,Milestones!$AA$68),"dd mmm yy"))&amp;" "&amp;Milestones!$AB$68&amp;" "&amp;Milestones!$AC$68&amp;";  ","")&amp;IF(AND(EDATE($D146,Milestones!$AA$69)&lt;=AsOfDate,IF($R146=0,$X146,IF(AND($T146&lt;&gt;"",EDATE($D146,Milestones!$AA$69)&gt;=$T146),$W146,IF(AND($S146&lt;&gt;"",EDATE($D146,Milestones!$AA$69)&gt;=$S146),$V146,$U146)))=Milestones!$AB$69),UPPER(TEXT(EDATE($D146,Milestones!$AA$69),"dd mmm yy"))&amp;" "&amp;Milestones!$AB$69&amp;" "&amp;Milestones!$AC$69&amp;";  ","")&amp;IF(AND(EDATE($D146,Milestones!$AA$70)&lt;=AsOfDate,IF($R146=0,$X146,IF(AND($T146&lt;&gt;"",EDATE($D146,Milestones!$AA$70)&gt;=$T146),$W146,IF(AND($S146&lt;&gt;"",EDATE($D146,Milestones!$AA$70)&gt;=$S146),$V146,$U146)))=Milestones!$AB$70),UPPER(TEXT(EDATE($D146,Milestones!$AA$70),"dd mmm yy"))&amp;" "&amp;Milestones!$AB$70&amp;" "&amp;Milestones!$AC$70&amp;";  ","")&amp;IF(AND(EDATE($D146,Milestones!$AA$71)&lt;=AsOfDate,IF($R146=0,$X146,IF(AND($T146&lt;&gt;"",EDATE($D146,Milestones!$AA$71)&gt;=$T146),$W146,IF(AND($S146&lt;&gt;"",EDATE($D146,Milestones!$AA$71)&gt;=$S146),$V146,$U146)))=Milestones!$AB$71),UPPER(TEXT(EDATE($D146,Milestones!$AA$71),"dd mmm yy"))&amp;" "&amp;Milestones!$AB$71&amp;" "&amp;Milestones!$AC$71&amp;";  ","")&amp;IF(AND(EDATE($D146,Milestones!$AA$72)&lt;=AsOfDate,IF($R146=0,$X146,IF(AND($T146&lt;&gt;"",EDATE($D146,Milestones!$AA$72)&gt;=$T146),$W146,IF(AND($S146&lt;&gt;"",EDATE($D146,Milestones!$AA$72)&gt;=$S146),$V146,$U146)))=Milestones!$AB$72),UPPER(TEXT(EDATE($D146,Milestones!$AA$72),"dd mmm yy"))&amp;" "&amp;Milestones!$AB$72&amp;" "&amp;Milestones!$AC$72&amp;";  ","")&amp;IF(AND(EDATE($D146,Milestones!$AA$73)&lt;=AsOfDate,IF($R146=0,$X146,IF(AND($T146&lt;&gt;"",EDATE($D146,Milestones!$AA$73)&gt;=$T146),$W146,IF(AND($S146&lt;&gt;"",EDATE($D146,Milestones!$AA$73)&gt;=$S146),$V146,$U146)))=Milestones!$AB$73),UPPER(TEXT(EDATE($D146,Milestones!$AA$73),"dd mmm yy"))&amp;" "&amp;Milestones!$AB$73&amp;" "&amp;Milestones!$AC$73&amp;";  ","")&amp;IF(AND(EDATE($D146,Milestones!$AA$74)&lt;=AsOfDate,IF($R146=0,$X146,IF(AND($T146&lt;&gt;"",EDATE($D146,Milestones!$AA$74)&gt;=$T146),$W146,IF(AND($S146&lt;&gt;"",EDATE($D146,Milestones!$AA$74)&gt;=$S146),$V146,$U146)))=Milestones!$AB$74),UPPER(TEXT(EDATE($D146,Milestones!$AA$74),"dd mmm yy"))&amp;" "&amp;Milestones!$AB$74&amp;" "&amp;Milestones!$AC$74&amp;";  ","")&amp;IF(AND(EDATE($D146,Milestones!$AA$75)&lt;=AsOfDate,IF($R146=0,$X146,IF(AND($T146&lt;&gt;"",EDATE($D146,Milestones!$AA$75)&gt;=$T146),$W146,IF(AND($S146&lt;&gt;"",EDATE($D146,Milestones!$AA$75)&gt;=$S146),$V146,$U146)))=Milestones!$AB$75),UPPER(TEXT(EDATE($D146,Milestones!$AA$75),"dd mmm yy"))&amp;" "&amp;Milestones!$AB$75&amp;" "&amp;Milestones!$AC$75&amp;";  ","")&amp;IF(AND(EDATE($D146,Milestones!$AA$76)&lt;=AsOfDate,IF($R146=0,$X146,IF(AND($T146&lt;&gt;"",EDATE($D146,Milestones!$AA$76)&gt;=$T146),$W146,IF(AND($S146&lt;&gt;"",EDATE($D146,Milestones!$AA$76)&gt;=$S146),$V146,$U146)))=Milestones!$AB$76),UPPER(TEXT(EDATE($D146,Milestones!$AA$76),"dd mmm yy"))&amp;" "&amp;Milestones!$AB$76&amp;" "&amp;Milestones!$AC$76&amp;";  ","")&amp;IF(AND(EDATE($D146,Milestones!$AA$77)&lt;=AsOfDate,IF($R146=0,$X146,IF(AND($T146&lt;&gt;"",EDATE($D146,Milestones!$AA$77)&gt;=$T146),$W146,IF(AND($S146&lt;&gt;"",EDATE($D146,Milestones!$AA$77)&gt;=$S146),$V146,$U146)))=Milestones!$AB$77),UPPER(TEXT(EDATE($D146,Milestones!$AA$77),"dd mmm yy"))&amp;" "&amp;Milestones!$AB$77&amp;" "&amp;Milestones!$AC$77&amp;";  ","")&amp;IF(AND(EDATE($D146,Milestones!$AA$78)&lt;=AsOfDate,IF($R146=0,$X146,IF(AND($T146&lt;&gt;"",EDATE($D146,Milestones!$AA$78)&gt;=$T146),$W146,IF(AND($S146&lt;&gt;"",EDATE($D146,Milestones!$AA$78)&gt;=$S146),$V146,$U146)))=Milestones!$AB$78),UPPER(TEXT(EDATE($D146,Milestones!$AA$78),"dd mmm yy"))&amp;" "&amp;Milestones!$AB$78&amp;" "&amp;Milestones!$AC$78&amp;";  ","")&amp;IF(AND(EDATE($D146,Milestones!$AA$79)&lt;=AsOfDate,IF($R146=0,$X146,IF(AND($T146&lt;&gt;"",EDATE($D146,Milestones!$AA$79)&gt;=$T146),$W146,IF(AND($S146&lt;&gt;"",EDATE($D146,Milestones!$AA$79)&gt;=$S146),$V146,$U146)))=Milestones!$AB$79),UPPER(TEXT(EDATE($D146,Milestones!$AA$79),"dd mmm yy"))&amp;" "&amp;Milestones!$AB$79&amp;" "&amp;Milestones!$AC$79&amp;";  ",""))</f>
        <v/>
      </c>
      <c r="L146" s="0" t="str">
        <f aca="false">IF(OR($A146="",$D146=""),"",IF(AND(EDATE($D146,Milestones!$AA$80)&lt;=AsOfDate,IF($R146=0,$X146,IF(AND($T146&lt;&gt;"",EDATE($D146,Milestones!$AA$80)&gt;=$T146),$W146,IF(AND($S146&lt;&gt;"",EDATE($D146,Milestones!$AA$80)&gt;=$S146),$V146,$U146)))=Milestones!$AB$80),UPPER(TEXT(EDATE($D146,Milestones!$AA$80),"dd mmm yy"))&amp;" "&amp;Milestones!$AB$80&amp;" "&amp;Milestones!$AC$80&amp;";  ","")&amp;IF(AND(EDATE($D146,Milestones!$AA$81)&lt;=AsOfDate,IF($R146=0,$X146,IF(AND($T146&lt;&gt;"",EDATE($D146,Milestones!$AA$81)&gt;=$T146),$W146,IF(AND($S146&lt;&gt;"",EDATE($D146,Milestones!$AA$81)&gt;=$S146),$V146,$U146)))=Milestones!$AB$81),UPPER(TEXT(EDATE($D146,Milestones!$AA$81),"dd mmm yy"))&amp;" "&amp;Milestones!$AB$81&amp;" "&amp;Milestones!$AC$81&amp;";  ","")&amp;IF(AND(EDATE($D146,Milestones!$AA$82)&lt;=AsOfDate,IF($R146=0,$X146,IF(AND($T146&lt;&gt;"",EDATE($D146,Milestones!$AA$82)&gt;=$T146),$W146,IF(AND($S146&lt;&gt;"",EDATE($D146,Milestones!$AA$82)&gt;=$S146),$V146,$U146)))=Milestones!$AB$82),UPPER(TEXT(EDATE($D146,Milestones!$AA$82),"dd mmm yy"))&amp;" "&amp;Milestones!$AB$82&amp;" "&amp;Milestones!$AC$82&amp;";  ","")&amp;IF(AND(EDATE($D146,Milestones!$AA$83)&lt;=AsOfDate,IF($R146=0,$X146,IF(AND($T146&lt;&gt;"",EDATE($D146,Milestones!$AA$83)&gt;=$T146),$W146,IF(AND($S146&lt;&gt;"",EDATE($D146,Milestones!$AA$83)&gt;=$S146),$V146,$U146)))=Milestones!$AB$83),UPPER(TEXT(EDATE($D146,Milestones!$AA$83),"dd mmm yy"))&amp;" "&amp;Milestones!$AB$83&amp;" "&amp;Milestones!$AC$83&amp;";  ","")&amp;IF(AND(EDATE($D146,Milestones!$AA$84)&lt;=AsOfDate,IF($R146=0,$X146,IF(AND($T146&lt;&gt;"",EDATE($D146,Milestones!$AA$84)&gt;=$T146),$W146,IF(AND($S146&lt;&gt;"",EDATE($D146,Milestones!$AA$84)&gt;=$S146),$V146,$U146)))=Milestones!$AB$84),UPPER(TEXT(EDATE($D146,Milestones!$AA$84),"dd mmm yy"))&amp;" "&amp;Milestones!$AB$84&amp;" "&amp;Milestones!$AC$84&amp;";  ","")&amp;IF(AND(EDATE($D146,Milestones!$AA$85)&lt;=AsOfDate,IF($R146=0,$X146,IF(AND($T146&lt;&gt;"",EDATE($D146,Milestones!$AA$85)&gt;=$T146),$W146,IF(AND($S146&lt;&gt;"",EDATE($D146,Milestones!$AA$85)&gt;=$S146),$V146,$U146)))=Milestones!$AB$85),UPPER(TEXT(EDATE($D146,Milestones!$AA$85),"dd mmm yy"))&amp;" "&amp;Milestones!$AB$85&amp;" "&amp;Milestones!$AC$85&amp;";  ","")&amp;IF(AND(EDATE($D146,Milestones!$AA$86)&lt;=AsOfDate,IF($R146=0,$X146,IF(AND($T146&lt;&gt;"",EDATE($D146,Milestones!$AA$86)&gt;=$T146),$W146,IF(AND($S146&lt;&gt;"",EDATE($D146,Milestones!$AA$86)&gt;=$S146),$V146,$U146)))=Milestones!$AB$86),UPPER(TEXT(EDATE($D146,Milestones!$AA$86),"dd mmm yy"))&amp;" "&amp;Milestones!$AB$86&amp;" "&amp;Milestones!$AC$86&amp;";  ","")&amp;IF(AND(EDATE($D146,Milestones!$AA$87)&lt;=AsOfDate,IF($R146=0,$X146,IF(AND($T146&lt;&gt;"",EDATE($D146,Milestones!$AA$87)&gt;=$T146),$W146,IF(AND($S146&lt;&gt;"",EDATE($D146,Milestones!$AA$87)&gt;=$S146),$V146,$U146)))=Milestones!$AB$87),UPPER(TEXT(EDATE($D146,Milestones!$AA$87),"dd mmm yy"))&amp;" "&amp;Milestones!$AB$87&amp;" "&amp;Milestones!$AC$87&amp;";  ","")&amp;IF(AND(EDATE($D146,Milestones!$AA$88)&lt;=AsOfDate,IF($R146=0,$X146,IF(AND($T146&lt;&gt;"",EDATE($D146,Milestones!$AA$88)&gt;=$T146),$W146,IF(AND($S146&lt;&gt;"",EDATE($D146,Milestones!$AA$88)&gt;=$S146),$V146,$U146)))=Milestones!$AB$88),UPPER(TEXT(EDATE($D146,Milestones!$AA$88),"dd mmm yy"))&amp;" "&amp;Milestones!$AB$88&amp;" "&amp;Milestones!$AC$88&amp;";  ","")&amp;IF(AND(EDATE($D146,Milestones!$AA$89)&lt;=AsOfDate,IF($R146=0,$X146,IF(AND($T146&lt;&gt;"",EDATE($D146,Milestones!$AA$89)&gt;=$T146),$W146,IF(AND($S146&lt;&gt;"",EDATE($D146,Milestones!$AA$89)&gt;=$S146),$V146,$U146)))=Milestones!$AB$89),UPPER(TEXT(EDATE($D146,Milestones!$AA$89),"dd mmm yy"))&amp;" "&amp;Milestones!$AB$89&amp;" "&amp;Milestones!$AC$89&amp;";  ","")&amp;IF(AND(EDATE($D146,Milestones!$AA$90)&lt;=AsOfDate,IF($R146=0,$X146,IF(AND($T146&lt;&gt;"",EDATE($D146,Milestones!$AA$90)&gt;=$T146),$W146,IF(AND($S146&lt;&gt;"",EDATE($D146,Milestones!$AA$90)&gt;=$S146),$V146,$U146)))=Milestones!$AB$90),UPPER(TEXT(EDATE($D146,Milestones!$AA$90),"dd mmm yy"))&amp;" "&amp;Milestones!$AB$90&amp;" "&amp;Milestones!$AC$90&amp;";  ","")&amp;IF(AND(EDATE($D146,Milestones!$AA$91)&lt;=AsOfDate,IF($R146=0,$X146,IF(AND($T146&lt;&gt;"",EDATE($D146,Milestones!$AA$91)&gt;=$T146),$W146,IF(AND($S146&lt;&gt;"",EDATE($D146,Milestones!$AA$91)&gt;=$S146),$V146,$U146)))=Milestones!$AB$91),UPPER(TEXT(EDATE($D146,Milestones!$AA$91),"dd mmm yy"))&amp;" "&amp;Milestones!$AB$91&amp;" "&amp;Milestones!$AC$91&amp;";  ","")&amp;IF(AND(EDATE($D146,Milestones!$AA$92)&lt;=AsOfDate,IF($R146=0,$X146,IF(AND($T146&lt;&gt;"",EDATE($D146,Milestones!$AA$92)&gt;=$T146),$W146,IF(AND($S146&lt;&gt;"",EDATE($D146,Milestones!$AA$92)&gt;=$S146),$V146,$U146)))=Milestones!$AB$92),UPPER(TEXT(EDATE($D146,Milestones!$AA$92),"dd mmm yy"))&amp;" "&amp;Milestones!$AB$92&amp;" "&amp;Milestones!$AC$92&amp;";  ","")&amp;IF(AND(EDATE($D146,Milestones!$AA$93)&lt;=AsOfDate,IF($R146=0,$X146,IF(AND($T146&lt;&gt;"",EDATE($D146,Milestones!$AA$93)&gt;=$T146),$W146,IF(AND($S146&lt;&gt;"",EDATE($D146,Milestones!$AA$93)&gt;=$S146),$V146,$U146)))=Milestones!$AB$93),UPPER(TEXT(EDATE($D146,Milestones!$AA$93),"dd mmm yy"))&amp;" "&amp;Milestones!$AB$93&amp;" "&amp;Milestones!$AC$93&amp;";  ","")&amp;IF(AND(EDATE($D146,Milestones!$AA$94)&lt;=AsOfDate,IF($R146=0,$X146,IF(AND($T146&lt;&gt;"",EDATE($D146,Milestones!$AA$94)&gt;=$T146),$W146,IF(AND($S146&lt;&gt;"",EDATE($D146,Milestones!$AA$94)&gt;=$S146),$V146,$U146)))=Milestones!$AB$94),UPPER(TEXT(EDATE($D146,Milestones!$AA$94),"dd mmm yy"))&amp;" "&amp;Milestones!$AB$94&amp;" "&amp;Milestones!$AC$94&amp;";  ","")&amp;IF(AND(EDATE($D146,Milestones!$AA$95)&lt;=AsOfDate,IF($R146=0,$X146,IF(AND($T146&lt;&gt;"",EDATE($D146,Milestones!$AA$95)&gt;=$T146),$W146,IF(AND($S146&lt;&gt;"",EDATE($D146,Milestones!$AA$95)&gt;=$S146),$V146,$U146)))=Milestones!$AB$95),UPPER(TEXT(EDATE($D146,Milestones!$AA$95),"dd mmm yy"))&amp;" "&amp;Milestones!$AB$95&amp;" "&amp;Milestones!$AC$95&amp;";  ","")&amp;IF(AND(EDATE($D146,Milestones!$AA$96)&lt;=AsOfDate,IF($R146=0,$X146,IF(AND($T146&lt;&gt;"",EDATE($D146,Milestones!$AA$96)&gt;=$T146),$W146,IF(AND($S146&lt;&gt;"",EDATE($D146,Milestones!$AA$96)&gt;=$S146),$V146,$U146)))=Milestones!$AB$96),UPPER(TEXT(EDATE($D146,Milestones!$AA$96),"dd mmm yy"))&amp;" "&amp;Milestones!$AB$96&amp;" "&amp;Milestones!$AC$96&amp;";  ","")&amp;IF(AND(EDATE($D146,Milestones!$AA$97)&lt;=AsOfDate,IF($R146=0,$X146,IF(AND($T146&lt;&gt;"",EDATE($D146,Milestones!$AA$97)&gt;=$T146),$W146,IF(AND($S146&lt;&gt;"",EDATE($D146,Milestones!$AA$97)&gt;=$S146),$V146,$U146)))=Milestones!$AB$97),UPPER(TEXT(EDATE($D146,Milestones!$AA$97),"dd mmm yy"))&amp;" "&amp;Milestones!$AB$97&amp;" "&amp;Milestones!$AC$97&amp;";  ","")&amp;IF(AND(EDATE($D146,Milestones!$AA$98)&lt;=AsOfDate,IF($R146=0,$X146,IF(AND($T146&lt;&gt;"",EDATE($D146,Milestones!$AA$98)&gt;=$T146),$W146,IF(AND($S146&lt;&gt;"",EDATE($D146,Milestones!$AA$98)&gt;=$S146),$V146,$U146)))=Milestones!$AB$98),UPPER(TEXT(EDATE($D146,Milestones!$AA$98),"dd mmm yy"))&amp;" "&amp;Milestones!$AB$98&amp;" "&amp;Milestones!$AC$98&amp;";  ","")&amp;IF(AND(EDATE($D146,Milestones!$AA$99)&lt;=AsOfDate,IF($R146=0,$X146,IF(AND($T146&lt;&gt;"",EDATE($D146,Milestones!$AA$99)&gt;=$T146),$W146,IF(AND($S146&lt;&gt;"",EDATE($D146,Milestones!$AA$99)&gt;=$S146),$V146,$U146)))=Milestones!$AB$99),UPPER(TEXT(EDATE($D146,Milestones!$AA$99),"dd mmm yy"))&amp;" "&amp;Milestones!$AB$99&amp;" "&amp;Milestones!$AC$99&amp;";  ",""))</f>
        <v/>
      </c>
      <c r="M146" s="0" t="str">
        <f aca="false">IF(OR($A146="",$D146=""),"",IF(AND(EDATE($D146,Milestones!$AA$100)&lt;=AsOfDate,IF($R146=0,$X146,IF(AND($T146&lt;&gt;"",EDATE($D146,Milestones!$AA$100)&gt;=$T146),$W146,IF(AND($S146&lt;&gt;"",EDATE($D146,Milestones!$AA$100)&gt;=$S146),$V146,$U146)))=Milestones!$AB$100),UPPER(TEXT(EDATE($D146,Milestones!$AA$100),"dd mmm yy"))&amp;" "&amp;Milestones!$AB$100&amp;" "&amp;Milestones!$AC$100&amp;";  ","")&amp;IF(AND(EDATE($D146,Milestones!$AA$101)&lt;=AsOfDate,IF($R146=0,$X146,IF(AND($T146&lt;&gt;"",EDATE($D146,Milestones!$AA$101)&gt;=$T146),$W146,IF(AND($S146&lt;&gt;"",EDATE($D146,Milestones!$AA$101)&gt;=$S146),$V146,$U146)))=Milestones!$AB$101),UPPER(TEXT(EDATE($D146,Milestones!$AA$101),"dd mmm yy"))&amp;" "&amp;Milestones!$AB$101&amp;" "&amp;Milestones!$AC$101&amp;";  ","")&amp;IF(AND(EDATE($D146,Milestones!$AA$102)&lt;=AsOfDate,IF($R146=0,$X146,IF(AND($T146&lt;&gt;"",EDATE($D146,Milestones!$AA$102)&gt;=$T146),$W146,IF(AND($S146&lt;&gt;"",EDATE($D146,Milestones!$AA$102)&gt;=$S146),$V146,$U146)))=Milestones!$AB$102),UPPER(TEXT(EDATE($D146,Milestones!$AA$102),"dd mmm yy"))&amp;" "&amp;Milestones!$AB$102&amp;" "&amp;Milestones!$AC$102&amp;";  ","")&amp;IF(AND(EDATE($D146,Milestones!$AA$103)&lt;=AsOfDate,IF($R146=0,$X146,IF(AND($T146&lt;&gt;"",EDATE($D146,Milestones!$AA$103)&gt;=$T146),$W146,IF(AND($S146&lt;&gt;"",EDATE($D146,Milestones!$AA$103)&gt;=$S146),$V146,$U146)))=Milestones!$AB$103),UPPER(TEXT(EDATE($D146,Milestones!$AA$103),"dd mmm yy"))&amp;" "&amp;Milestones!$AB$103&amp;" "&amp;Milestones!$AC$103&amp;";  ","")&amp;IF(AND(EDATE($D146,Milestones!$AA$104)&lt;=AsOfDate,IF($R146=0,$X146,IF(AND($T146&lt;&gt;"",EDATE($D146,Milestones!$AA$104)&gt;=$T146),$W146,IF(AND($S146&lt;&gt;"",EDATE($D146,Milestones!$AA$104)&gt;=$S146),$V146,$U146)))=Milestones!$AB$104),UPPER(TEXT(EDATE($D146,Milestones!$AA$104),"dd mmm yy"))&amp;" "&amp;Milestones!$AB$104&amp;" "&amp;Milestones!$AC$104&amp;";  ","")&amp;IF(AND(EDATE($D146,Milestones!$AA$105)&lt;=AsOfDate,IF($R146=0,$X146,IF(AND($T146&lt;&gt;"",EDATE($D146,Milestones!$AA$105)&gt;=$T146),$W146,IF(AND($S146&lt;&gt;"",EDATE($D146,Milestones!$AA$105)&gt;=$S146),$V146,$U146)))=Milestones!$AB$105),UPPER(TEXT(EDATE($D146,Milestones!$AA$105),"dd mmm yy"))&amp;" "&amp;Milestones!$AB$105&amp;" "&amp;Milestones!$AC$105&amp;";  ","")&amp;IF(AND(EDATE($D146,Milestones!$AA$106)&lt;=AsOfDate,IF($R146=0,$X146,IF(AND($T146&lt;&gt;"",EDATE($D146,Milestones!$AA$106)&gt;=$T146),$W146,IF(AND($S146&lt;&gt;"",EDATE($D146,Milestones!$AA$106)&gt;=$S146),$V146,$U146)))=Milestones!$AB$106),UPPER(TEXT(EDATE($D146,Milestones!$AA$106),"dd mmm yy"))&amp;" "&amp;Milestones!$AB$106&amp;" "&amp;Milestones!$AC$106&amp;";  ","")&amp;IF(AND(EDATE($D146,Milestones!$AA$107)&lt;=AsOfDate,IF($R146=0,$X146,IF(AND($T146&lt;&gt;"",EDATE($D146,Milestones!$AA$107)&gt;=$T146),$W146,IF(AND($S146&lt;&gt;"",EDATE($D146,Milestones!$AA$107)&gt;=$S146),$V146,$U146)))=Milestones!$AB$107),UPPER(TEXT(EDATE($D146,Milestones!$AA$107),"dd mmm yy"))&amp;" "&amp;Milestones!$AB$107&amp;" "&amp;Milestones!$AC$107&amp;";  ","")&amp;IF(AND(EDATE($D146,Milestones!$AA$108)&lt;=AsOfDate,IF($R146=0,$X146,IF(AND($T146&lt;&gt;"",EDATE($D146,Milestones!$AA$108)&gt;=$T146),$W146,IF(AND($S146&lt;&gt;"",EDATE($D146,Milestones!$AA$108)&gt;=$S146),$V146,$U146)))=Milestones!$AB$108),UPPER(TEXT(EDATE($D146,Milestones!$AA$108),"dd mmm yy"))&amp;" "&amp;Milestones!$AB$108&amp;" "&amp;Milestones!$AC$108&amp;";  ","")&amp;IF(AND(EDATE($D146,Milestones!$AA$109)&lt;=AsOfDate,IF($R146=0,$X146,IF(AND($T146&lt;&gt;"",EDATE($D146,Milestones!$AA$109)&gt;=$T146),$W146,IF(AND($S146&lt;&gt;"",EDATE($D146,Milestones!$AA$109)&gt;=$S146),$V146,$U146)))=Milestones!$AB$109),UPPER(TEXT(EDATE($D146,Milestones!$AA$109),"dd mmm yy"))&amp;" "&amp;Milestones!$AB$109&amp;" "&amp;Milestones!$AC$109&amp;";  ","")&amp;IF(AND(EDATE($D146,Milestones!$AA$110)&lt;=AsOfDate,IF($R146=0,$X146,IF(AND($T146&lt;&gt;"",EDATE($D146,Milestones!$AA$110)&gt;=$T146),$W146,IF(AND($S146&lt;&gt;"",EDATE($D146,Milestones!$AA$110)&gt;=$S146),$V146,$U146)))=Milestones!$AB$110),UPPER(TEXT(EDATE($D146,Milestones!$AA$110),"dd mmm yy"))&amp;" "&amp;Milestones!$AB$110&amp;" "&amp;Milestones!$AC$110&amp;";  ","")&amp;IF(AND(EDATE($D146,Milestones!$AA$111)&lt;=AsOfDate,IF($R146=0,$X146,IF(AND($T146&lt;&gt;"",EDATE($D146,Milestones!$AA$111)&gt;=$T146),$W146,IF(AND($S146&lt;&gt;"",EDATE($D146,Milestones!$AA$111)&gt;=$S146),$V146,$U146)))=Milestones!$AB$111),UPPER(TEXT(EDATE($D146,Milestones!$AA$111),"dd mmm yy"))&amp;" "&amp;Milestones!$AB$111&amp;" "&amp;Milestones!$AC$111&amp;";  ","")&amp;IF(AND(EDATE($D146,Milestones!$AA$112)&lt;=AsOfDate,IF($R146=0,$X146,IF(AND($T146&lt;&gt;"",EDATE($D146,Milestones!$AA$112)&gt;=$T146),$W146,IF(AND($S146&lt;&gt;"",EDATE($D146,Milestones!$AA$112)&gt;=$S146),$V146,$U146)))=Milestones!$AB$112),UPPER(TEXT(EDATE($D146,Milestones!$AA$112),"dd mmm yy"))&amp;" "&amp;Milestones!$AB$112&amp;" "&amp;Milestones!$AC$112&amp;";  ","")&amp;IF(AND(EDATE($D146,Milestones!$AA$113)&lt;=AsOfDate,IF($R146=0,$X146,IF(AND($T146&lt;&gt;"",EDATE($D146,Milestones!$AA$113)&gt;=$T146),$W146,IF(AND($S146&lt;&gt;"",EDATE($D146,Milestones!$AA$113)&gt;=$S146),$V146,$U146)))=Milestones!$AB$113),UPPER(TEXT(EDATE($D146,Milestones!$AA$113),"dd mmm yy"))&amp;" "&amp;Milestones!$AB$113&amp;" "&amp;Milestones!$AC$113&amp;";  ","")&amp;IF(AND(EDATE($D146,Milestones!$AA$114)&lt;=AsOfDate,IF($R146=0,$X146,IF(AND($T146&lt;&gt;"",EDATE($D146,Milestones!$AA$114)&gt;=$T146),$W146,IF(AND($S146&lt;&gt;"",EDATE($D146,Milestones!$AA$114)&gt;=$S146),$V146,$U146)))=Milestones!$AB$114),UPPER(TEXT(EDATE($D146,Milestones!$AA$114),"dd mmm yy"))&amp;" "&amp;Milestones!$AB$114&amp;" "&amp;Milestones!$AC$114&amp;";  ","")&amp;IF(AND(EDATE($D146,Milestones!$AA$115)&lt;=AsOfDate,IF($R146=0,$X146,IF(AND($T146&lt;&gt;"",EDATE($D146,Milestones!$AA$115)&gt;=$T146),$W146,IF(AND($S146&lt;&gt;"",EDATE($D146,Milestones!$AA$115)&gt;=$S146),$V146,$U146)))=Milestones!$AB$115),UPPER(TEXT(EDATE($D146,Milestones!$AA$115),"dd mmm yy"))&amp;" "&amp;Milestones!$AB$115&amp;" "&amp;Milestones!$AC$115&amp;";  ","")&amp;IF(AND(EDATE($D146,Milestones!$AA$116)&lt;=AsOfDate,IF($R146=0,$X146,IF(AND($T146&lt;&gt;"",EDATE($D146,Milestones!$AA$116)&gt;=$T146),$W146,IF(AND($S146&lt;&gt;"",EDATE($D146,Milestones!$AA$116)&gt;=$S146),$V146,$U146)))=Milestones!$AB$116),UPPER(TEXT(EDATE($D146,Milestones!$AA$116),"dd mmm yy"))&amp;" "&amp;Milestones!$AB$116&amp;" "&amp;Milestones!$AC$116&amp;";  ","")&amp;IF(AND(EDATE($D146,Milestones!$AA$117)&lt;=AsOfDate,IF($R146=0,$X146,IF(AND($T146&lt;&gt;"",EDATE($D146,Milestones!$AA$117)&gt;=$T146),$W146,IF(AND($S146&lt;&gt;"",EDATE($D146,Milestones!$AA$117)&gt;=$S146),$V146,$U146)))=Milestones!$AB$117),UPPER(TEXT(EDATE($D146,Milestones!$AA$117),"dd mmm yy"))&amp;" "&amp;Milestones!$AB$117&amp;" "&amp;Milestones!$AC$117&amp;";  ","")&amp;IF(AND(EDATE($D146,Milestones!$AA$118)&lt;=AsOfDate,IF($R146=0,$X146,IF(AND($T146&lt;&gt;"",EDATE($D146,Milestones!$AA$118)&gt;=$T146),$W146,IF(AND($S146&lt;&gt;"",EDATE($D146,Milestones!$AA$118)&gt;=$S146),$V146,$U146)))=Milestones!$AB$118),UPPER(TEXT(EDATE($D146,Milestones!$AA$118),"dd mmm yy"))&amp;" "&amp;Milestones!$AB$118&amp;" "&amp;Milestones!$AC$118&amp;";  ","")&amp;IF(AND(EDATE($D146,Milestones!$AA$119)&lt;=AsOfDate,IF($R146=0,$X146,IF(AND($T146&lt;&gt;"",EDATE($D146,Milestones!$AA$119)&gt;=$T146),$W146,IF(AND($S146&lt;&gt;"",EDATE($D146,Milestones!$AA$119)&gt;=$S146),$V146,$U146)))=Milestones!$AB$119),UPPER(TEXT(EDATE($D146,Milestones!$AA$119),"dd mmm yy"))&amp;" "&amp;Milestones!$AB$119&amp;" "&amp;Milestones!$AC$119&amp;";  ",""))</f>
        <v/>
      </c>
      <c r="N146" s="0" t="str">
        <f aca="false">IF(OR($A146="",$D146=""),"",IF(AND(EDATE($D146,Milestones!$AA$120)&lt;=AsOfDate,IF($R146=0,$X146,IF(AND($T146&lt;&gt;"",EDATE($D146,Milestones!$AA$120)&gt;=$T146),$W146,IF(AND($S146&lt;&gt;"",EDATE($D146,Milestones!$AA$120)&gt;=$S146),$V146,$U146)))=Milestones!$AB$120),UPPER(TEXT(EDATE($D146,Milestones!$AA$120),"dd mmm yy"))&amp;" "&amp;Milestones!$AB$120&amp;" "&amp;Milestones!$AC$120&amp;";  ","")&amp;IF(AND(EDATE($D146,Milestones!$AA$121)&lt;=AsOfDate,IF($R146=0,$X146,IF(AND($T146&lt;&gt;"",EDATE($D146,Milestones!$AA$121)&gt;=$T146),$W146,IF(AND($S146&lt;&gt;"",EDATE($D146,Milestones!$AA$121)&gt;=$S146),$V146,$U146)))=Milestones!$AB$121),UPPER(TEXT(EDATE($D146,Milestones!$AA$121),"dd mmm yy"))&amp;" "&amp;Milestones!$AB$121&amp;" "&amp;Milestones!$AC$121&amp;";  ","")&amp;IF(AND(EDATE($D146,Milestones!$AA$122)&lt;=AsOfDate,IF($R146=0,$X146,IF(AND($T146&lt;&gt;"",EDATE($D146,Milestones!$AA$122)&gt;=$T146),$W146,IF(AND($S146&lt;&gt;"",EDATE($D146,Milestones!$AA$122)&gt;=$S146),$V146,$U146)))=Milestones!$AB$122),UPPER(TEXT(EDATE($D146,Milestones!$AA$122),"dd mmm yy"))&amp;" "&amp;Milestones!$AB$122&amp;" "&amp;Milestones!$AC$122&amp;";  ","")&amp;IF(AND(EDATE($D146,Milestones!$AA$123)&lt;=AsOfDate,IF($R146=0,$X146,IF(AND($T146&lt;&gt;"",EDATE($D146,Milestones!$AA$123)&gt;=$T146),$W146,IF(AND($S146&lt;&gt;"",EDATE($D146,Milestones!$AA$123)&gt;=$S146),$V146,$U146)))=Milestones!$AB$123),UPPER(TEXT(EDATE($D146,Milestones!$AA$123),"dd mmm yy"))&amp;" "&amp;Milestones!$AB$123&amp;" "&amp;Milestones!$AC$123&amp;";  ","")&amp;IF(AND(EDATE($D146,Milestones!$AA$124)&lt;=AsOfDate,IF($R146=0,$X146,IF(AND($T146&lt;&gt;"",EDATE($D146,Milestones!$AA$124)&gt;=$T146),$W146,IF(AND($S146&lt;&gt;"",EDATE($D146,Milestones!$AA$124)&gt;=$S146),$V146,$U146)))=Milestones!$AB$124),UPPER(TEXT(EDATE($D146,Milestones!$AA$124),"dd mmm yy"))&amp;" "&amp;Milestones!$AB$124&amp;" "&amp;Milestones!$AC$124&amp;";  ","")&amp;IF(AND(EDATE($D146,Milestones!$AA$125)&lt;=AsOfDate,IF($R146=0,$X146,IF(AND($T146&lt;&gt;"",EDATE($D146,Milestones!$AA$125)&gt;=$T146),$W146,IF(AND($S146&lt;&gt;"",EDATE($D146,Milestones!$AA$125)&gt;=$S146),$V146,$U146)))=Milestones!$AB$125),UPPER(TEXT(EDATE($D146,Milestones!$AA$125),"dd mmm yy"))&amp;" "&amp;Milestones!$AB$125&amp;" "&amp;Milestones!$AC$125&amp;";  ","")&amp;IF(AND(EDATE($D146,Milestones!$AA$126)&lt;=AsOfDate,IF($R146=0,$X146,IF(AND($T146&lt;&gt;"",EDATE($D146,Milestones!$AA$126)&gt;=$T146),$W146,IF(AND($S146&lt;&gt;"",EDATE($D146,Milestones!$AA$126)&gt;=$S146),$V146,$U146)))=Milestones!$AB$126),UPPER(TEXT(EDATE($D146,Milestones!$AA$126),"dd mmm yy"))&amp;" "&amp;Milestones!$AB$126&amp;" "&amp;Milestones!$AC$126&amp;";  ","")&amp;IF(AND(EDATE($D146,Milestones!$AA$127)&lt;=AsOfDate,IF($R146=0,$X146,IF(AND($T146&lt;&gt;"",EDATE($D146,Milestones!$AA$127)&gt;=$T146),$W146,IF(AND($S146&lt;&gt;"",EDATE($D146,Milestones!$AA$127)&gt;=$S146),$V146,$U146)))=Milestones!$AB$127),UPPER(TEXT(EDATE($D146,Milestones!$AA$127),"dd mmm yy"))&amp;" "&amp;Milestones!$AB$127&amp;" "&amp;Milestones!$AC$127&amp;";  ","")&amp;IF(AND(EDATE($D146,Milestones!$AA$128)&lt;=AsOfDate,IF($R146=0,$X146,IF(AND($T146&lt;&gt;"",EDATE($D146,Milestones!$AA$128)&gt;=$T146),$W146,IF(AND($S146&lt;&gt;"",EDATE($D146,Milestones!$AA$128)&gt;=$S146),$V146,$U146)))=Milestones!$AB$128),UPPER(TEXT(EDATE($D146,Milestones!$AA$128),"dd mmm yy"))&amp;" "&amp;Milestones!$AB$128&amp;" "&amp;Milestones!$AC$128&amp;";  ","")&amp;IF(AND(EDATE($D146,Milestones!$AA$129)&lt;=AsOfDate,IF($R146=0,$X146,IF(AND($T146&lt;&gt;"",EDATE($D146,Milestones!$AA$129)&gt;=$T146),$W146,IF(AND($S146&lt;&gt;"",EDATE($D146,Milestones!$AA$129)&gt;=$S146),$V146,$U146)))=Milestones!$AB$129),UPPER(TEXT(EDATE($D146,Milestones!$AA$129),"dd mmm yy"))&amp;" "&amp;Milestones!$AB$129&amp;" "&amp;Milestones!$AC$129&amp;";  ","")&amp;IF(AND(EDATE($D146,Milestones!$AA$130)&lt;=AsOfDate,IF($R146=0,$X146,IF(AND($T146&lt;&gt;"",EDATE($D146,Milestones!$AA$130)&gt;=$T146),$W146,IF(AND($S146&lt;&gt;"",EDATE($D146,Milestones!$AA$130)&gt;=$S146),$V146,$U146)))=Milestones!$AB$130),UPPER(TEXT(EDATE($D146,Milestones!$AA$130),"dd mmm yy"))&amp;" "&amp;Milestones!$AB$130&amp;" "&amp;Milestones!$AC$130&amp;";  ","")&amp;IF(AND(EDATE($D146,Milestones!$AA$131)&lt;=AsOfDate,IF($R146=0,$X146,IF(AND($T146&lt;&gt;"",EDATE($D146,Milestones!$AA$131)&gt;=$T146),$W146,IF(AND($S146&lt;&gt;"",EDATE($D146,Milestones!$AA$131)&gt;=$S146),$V146,$U146)))=Milestones!$AB$131),UPPER(TEXT(EDATE($D146,Milestones!$AA$131),"dd mmm yy"))&amp;" "&amp;Milestones!$AB$131&amp;" "&amp;Milestones!$AC$131&amp;";  ","")&amp;IF(AND(EDATE($D146,Milestones!$AA$132)&lt;=AsOfDate,IF($R146=0,$X146,IF(AND($T146&lt;&gt;"",EDATE($D146,Milestones!$AA$132)&gt;=$T146),$W146,IF(AND($S146&lt;&gt;"",EDATE($D146,Milestones!$AA$132)&gt;=$S146),$V146,$U146)))=Milestones!$AB$132),UPPER(TEXT(EDATE($D146,Milestones!$AA$132),"dd mmm yy"))&amp;" "&amp;Milestones!$AB$132&amp;" "&amp;Milestones!$AC$132&amp;";  ","")&amp;IF(AND(EDATE($D146,Milestones!$AA$133)&lt;=AsOfDate,IF($R146=0,$X146,IF(AND($T146&lt;&gt;"",EDATE($D146,Milestones!$AA$133)&gt;=$T146),$W146,IF(AND($S146&lt;&gt;"",EDATE($D146,Milestones!$AA$133)&gt;=$S146),$V146,$U146)))=Milestones!$AB$133),UPPER(TEXT(EDATE($D146,Milestones!$AA$133),"dd mmm yy"))&amp;" "&amp;Milestones!$AB$133&amp;" "&amp;Milestones!$AC$133&amp;";  ","")&amp;IF(AND(EDATE($D146,Milestones!$AA$134)&lt;=AsOfDate,IF($R146=0,$X146,IF(AND($T146&lt;&gt;"",EDATE($D146,Milestones!$AA$134)&gt;=$T146),$W146,IF(AND($S146&lt;&gt;"",EDATE($D146,Milestones!$AA$134)&gt;=$S146),$V146,$U146)))=Milestones!$AB$134),UPPER(TEXT(EDATE($D146,Milestones!$AA$134),"dd mmm yy"))&amp;" "&amp;Milestones!$AB$134&amp;" "&amp;Milestones!$AC$134&amp;";  ","")&amp;IF(AND(EDATE($D146,Milestones!$AA$135)&lt;=AsOfDate,IF($R146=0,$X146,IF(AND($T146&lt;&gt;"",EDATE($D146,Milestones!$AA$135)&gt;=$T146),$W146,IF(AND($S146&lt;&gt;"",EDATE($D146,Milestones!$AA$135)&gt;=$S146),$V146,$U146)))=Milestones!$AB$135),UPPER(TEXT(EDATE($D146,Milestones!$AA$135),"dd mmm yy"))&amp;" "&amp;Milestones!$AB$135&amp;" "&amp;Milestones!$AC$135&amp;";  ","")&amp;IF(AND(EDATE($D146,Milestones!$AA$136)&lt;=AsOfDate,IF($R146=0,$X146,IF(AND($T146&lt;&gt;"",EDATE($D146,Milestones!$AA$136)&gt;=$T146),$W146,IF(AND($S146&lt;&gt;"",EDATE($D146,Milestones!$AA$136)&gt;=$S146),$V146,$U146)))=Milestones!$AB$136),UPPER(TEXT(EDATE($D146,Milestones!$AA$136),"dd mmm yy"))&amp;" "&amp;Milestones!$AB$136&amp;" "&amp;Milestones!$AC$136&amp;";  ","")&amp;IF(AND(EDATE($D146,Milestones!$AA$137)&lt;=AsOfDate,IF($R146=0,$X146,IF(AND($T146&lt;&gt;"",EDATE($D146,Milestones!$AA$137)&gt;=$T146),$W146,IF(AND($S146&lt;&gt;"",EDATE($D146,Milestones!$AA$137)&gt;=$S146),$V146,$U146)))=Milestones!$AB$137),UPPER(TEXT(EDATE($D146,Milestones!$AA$137),"dd mmm yy"))&amp;" "&amp;Milestones!$AB$137&amp;" "&amp;Milestones!$AC$137&amp;";  ","")&amp;IF(AND(EDATE($D146,Milestones!$AA$138)&lt;=AsOfDate,IF($R146=0,$X146,IF(AND($T146&lt;&gt;"",EDATE($D146,Milestones!$AA$138)&gt;=$T146),$W146,IF(AND($S146&lt;&gt;"",EDATE($D146,Milestones!$AA$138)&gt;=$S146),$V146,$U146)))=Milestones!$AB$138),UPPER(TEXT(EDATE($D146,Milestones!$AA$138),"dd mmm yy"))&amp;" "&amp;Milestones!$AB$138&amp;" "&amp;Milestones!$AC$138&amp;";  ","")&amp;IF(AND(EDATE($D146,Milestones!$AA$139)&lt;=AsOfDate,IF($R146=0,$X146,IF(AND($T146&lt;&gt;"",EDATE($D146,Milestones!$AA$139)&gt;=$T146),$W146,IF(AND($S146&lt;&gt;"",EDATE($D146,Milestones!$AA$139)&gt;=$S146),$V146,$U146)))=Milestones!$AB$139),UPPER(TEXT(EDATE($D146,Milestones!$AA$139),"dd mmm yy"))&amp;" "&amp;Milestones!$AB$139&amp;" "&amp;Milestones!$AC$139&amp;";  ",""))</f>
        <v/>
      </c>
      <c r="O146" s="0" t="str">
        <f aca="false">IF(OR($A146="",$D146=""),"",IF(AND(EDATE($D146,Milestones!$AA$140)&lt;=AsOfDate,IF($R146=0,$X146,IF(AND($T146&lt;&gt;"",EDATE($D146,Milestones!$AA$140)&gt;=$T146),$W146,IF(AND($S146&lt;&gt;"",EDATE($D146,Milestones!$AA$140)&gt;=$S146),$V146,$U146)))=Milestones!$AB$140),UPPER(TEXT(EDATE($D146,Milestones!$AA$140),"dd mmm yy"))&amp;" "&amp;Milestones!$AB$140&amp;" "&amp;Milestones!$AC$140&amp;";  ","")&amp;IF(AND(EDATE($D146,Milestones!$AA$141)&lt;=AsOfDate,IF($R146=0,$X146,IF(AND($T146&lt;&gt;"",EDATE($D146,Milestones!$AA$141)&gt;=$T146),$W146,IF(AND($S146&lt;&gt;"",EDATE($D146,Milestones!$AA$141)&gt;=$S146),$V146,$U146)))=Milestones!$AB$141),UPPER(TEXT(EDATE($D146,Milestones!$AA$141),"dd mmm yy"))&amp;" "&amp;Milestones!$AB$141&amp;" "&amp;Milestones!$AC$141&amp;";  ","")&amp;IF(AND(EDATE($D146,Milestones!$AA$142)&lt;=AsOfDate,IF($R146=0,$X146,IF(AND($T146&lt;&gt;"",EDATE($D146,Milestones!$AA$142)&gt;=$T146),$W146,IF(AND($S146&lt;&gt;"",EDATE($D146,Milestones!$AA$142)&gt;=$S146),$V146,$U146)))=Milestones!$AB$142),UPPER(TEXT(EDATE($D146,Milestones!$AA$142),"dd mmm yy"))&amp;" "&amp;Milestones!$AB$142&amp;" "&amp;Milestones!$AC$142&amp;";  ","")&amp;IF(AND(EDATE($D146,Milestones!$AA$143)&lt;=AsOfDate,IF($R146=0,$X146,IF(AND($T146&lt;&gt;"",EDATE($D146,Milestones!$AA$143)&gt;=$T146),$W146,IF(AND($S146&lt;&gt;"",EDATE($D146,Milestones!$AA$143)&gt;=$S146),$V146,$U146)))=Milestones!$AB$143),UPPER(TEXT(EDATE($D146,Milestones!$AA$143),"dd mmm yy"))&amp;" "&amp;Milestones!$AB$143&amp;" "&amp;Milestones!$AC$143&amp;";  ","")&amp;IF(AND(EDATE($D146,Milestones!$AA$144)&lt;=AsOfDate,IF($R146=0,$X146,IF(AND($T146&lt;&gt;"",EDATE($D146,Milestones!$AA$144)&gt;=$T146),$W146,IF(AND($S146&lt;&gt;"",EDATE($D146,Milestones!$AA$144)&gt;=$S146),$V146,$U146)))=Milestones!$AB$144),UPPER(TEXT(EDATE($D146,Milestones!$AA$144),"dd mmm yy"))&amp;" "&amp;Milestones!$AB$144&amp;" "&amp;Milestones!$AC$144&amp;";  ","")&amp;IF(AND(EDATE($D146,Milestones!$AA$145)&lt;=AsOfDate,IF($R146=0,$X146,IF(AND($T146&lt;&gt;"",EDATE($D146,Milestones!$AA$145)&gt;=$T146),$W146,IF(AND($S146&lt;&gt;"",EDATE($D146,Milestones!$AA$145)&gt;=$S146),$V146,$U146)))=Milestones!$AB$145),UPPER(TEXT(EDATE($D146,Milestones!$AA$145),"dd mmm yy"))&amp;" "&amp;Milestones!$AB$145&amp;" "&amp;Milestones!$AC$145&amp;";  ","")&amp;IF(AND(EDATE($D146,Milestones!$AA$146)&lt;=AsOfDate,IF($R146=0,$X146,IF(AND($T146&lt;&gt;"",EDATE($D146,Milestones!$AA$146)&gt;=$T146),$W146,IF(AND($S146&lt;&gt;"",EDATE($D146,Milestones!$AA$146)&gt;=$S146),$V146,$U146)))=Milestones!$AB$146),UPPER(TEXT(EDATE($D146,Milestones!$AA$146),"dd mmm yy"))&amp;" "&amp;Milestones!$AB$146&amp;" "&amp;Milestones!$AC$146&amp;";  ","")&amp;IF(AND(EDATE($D146,Milestones!$AA$147)&lt;=AsOfDate,IF($R146=0,$X146,IF(AND($T146&lt;&gt;"",EDATE($D146,Milestones!$AA$147)&gt;=$T146),$W146,IF(AND($S146&lt;&gt;"",EDATE($D146,Milestones!$AA$147)&gt;=$S146),$V146,$U146)))=Milestones!$AB$147),UPPER(TEXT(EDATE($D146,Milestones!$AA$147),"dd mmm yy"))&amp;" "&amp;Milestones!$AB$147&amp;" "&amp;Milestones!$AC$147&amp;";  ","")&amp;IF(AND(EDATE($D146,Milestones!$AA$148)&lt;=AsOfDate,IF($R146=0,$X146,IF(AND($T146&lt;&gt;"",EDATE($D146,Milestones!$AA$148)&gt;=$T146),$W146,IF(AND($S146&lt;&gt;"",EDATE($D146,Milestones!$AA$148)&gt;=$S146),$V146,$U146)))=Milestones!$AB$148),UPPER(TEXT(EDATE($D146,Milestones!$AA$148),"dd mmm yy"))&amp;" "&amp;Milestones!$AB$148&amp;" "&amp;Milestones!$AC$148&amp;";  ","")&amp;IF(AND(EDATE($D146,Milestones!$AA$149)&lt;=AsOfDate,IF($R146=0,$X146,IF(AND($T146&lt;&gt;"",EDATE($D146,Milestones!$AA$149)&gt;=$T146),$W146,IF(AND($S146&lt;&gt;"",EDATE($D146,Milestones!$AA$149)&gt;=$S146),$V146,$U146)))=Milestones!$AB$149),UPPER(TEXT(EDATE($D146,Milestones!$AA$149),"dd mmm yy"))&amp;" "&amp;Milestones!$AB$149&amp;" "&amp;Milestones!$AC$149&amp;";  ","")&amp;IF(AND(EDATE($D146,Milestones!$AA$150)&lt;=AsOfDate,IF($R146=0,$X146,IF(AND($T146&lt;&gt;"",EDATE($D146,Milestones!$AA$150)&gt;=$T146),$W146,IF(AND($S146&lt;&gt;"",EDATE($D146,Milestones!$AA$150)&gt;=$S146),$V146,$U146)))=Milestones!$AB$150),UPPER(TEXT(EDATE($D146,Milestones!$AA$150),"dd mmm yy"))&amp;" "&amp;Milestones!$AB$150&amp;" "&amp;Milestones!$AC$150&amp;";  ","")&amp;IF(AND(EDATE($D146,Milestones!$AA$151)&lt;=AsOfDate,IF($R146=0,$X146,IF(AND($T146&lt;&gt;"",EDATE($D146,Milestones!$AA$151)&gt;=$T146),$W146,IF(AND($S146&lt;&gt;"",EDATE($D146,Milestones!$AA$151)&gt;=$S146),$V146,$U146)))=Milestones!$AB$151),UPPER(TEXT(EDATE($D146,Milestones!$AA$151),"dd mmm yy"))&amp;" "&amp;Milestones!$AB$151&amp;" "&amp;Milestones!$AC$151&amp;";  ","")&amp;IF(AND(EDATE($D146,Milestones!$AA$152)&lt;=AsOfDate,IF($R146=0,$X146,IF(AND($T146&lt;&gt;"",EDATE($D146,Milestones!$AA$152)&gt;=$T146),$W146,IF(AND($S146&lt;&gt;"",EDATE($D146,Milestones!$AA$152)&gt;=$S146),$V146,$U146)))=Milestones!$AB$152),UPPER(TEXT(EDATE($D146,Milestones!$AA$152),"dd mmm yy"))&amp;" "&amp;Milestones!$AB$152&amp;" "&amp;Milestones!$AC$152&amp;";  ","")&amp;IF(AND(EDATE($D146,Milestones!$AA$153)&lt;=AsOfDate,IF($R146=0,$X146,IF(AND($T146&lt;&gt;"",EDATE($D146,Milestones!$AA$153)&gt;=$T146),$W146,IF(AND($S146&lt;&gt;"",EDATE($D146,Milestones!$AA$153)&gt;=$S146),$V146,$U146)))=Milestones!$AB$153),UPPER(TEXT(EDATE($D146,Milestones!$AA$153),"dd mmm yy"))&amp;" "&amp;Milestones!$AB$153&amp;" "&amp;Milestones!$AC$153&amp;";  ","")&amp;IF(AND(EDATE($D146,Milestones!$AA$154)&lt;=AsOfDate,IF($R146=0,$X146,IF(AND($T146&lt;&gt;"",EDATE($D146,Milestones!$AA$154)&gt;=$T146),$W146,IF(AND($S146&lt;&gt;"",EDATE($D146,Milestones!$AA$154)&gt;=$S146),$V146,$U146)))=Milestones!$AB$154),UPPER(TEXT(EDATE($D146,Milestones!$AA$154),"dd mmm yy"))&amp;" "&amp;Milestones!$AB$154&amp;" "&amp;Milestones!$AC$154&amp;";  ","")&amp;IF(AND(EDATE($D146,Milestones!$AA$155)&lt;=AsOfDate,IF($R146=0,$X146,IF(AND($T146&lt;&gt;"",EDATE($D146,Milestones!$AA$155)&gt;=$T146),$W146,IF(AND($S146&lt;&gt;"",EDATE($D146,Milestones!$AA$155)&gt;=$S146),$V146,$U146)))=Milestones!$AB$155),UPPER(TEXT(EDATE($D146,Milestones!$AA$155),"dd mmm yy"))&amp;" "&amp;Milestones!$AB$155&amp;" "&amp;Milestones!$AC$155&amp;";  ","")&amp;IF(AND(EDATE($D146,Milestones!$AA$156)&lt;=AsOfDate,IF($R146=0,$X146,IF(AND($T146&lt;&gt;"",EDATE($D146,Milestones!$AA$156)&gt;=$T146),$W146,IF(AND($S146&lt;&gt;"",EDATE($D146,Milestones!$AA$156)&gt;=$S146),$V146,$U146)))=Milestones!$AB$156),UPPER(TEXT(EDATE($D146,Milestones!$AA$156),"dd mmm yy"))&amp;" "&amp;Milestones!$AB$156&amp;" "&amp;Milestones!$AC$156&amp;";  ","")&amp;IF(AND(EDATE($D146,Milestones!$AA$157)&lt;=AsOfDate,IF($R146=0,$X146,IF(AND($T146&lt;&gt;"",EDATE($D146,Milestones!$AA$157)&gt;=$T146),$W146,IF(AND($S146&lt;&gt;"",EDATE($D146,Milestones!$AA$157)&gt;=$S146),$V146,$U146)))=Milestones!$AB$157),UPPER(TEXT(EDATE($D146,Milestones!$AA$157),"dd mmm yy"))&amp;" "&amp;Milestones!$AB$157&amp;" "&amp;Milestones!$AC$157&amp;";  ","")&amp;IF(AND(EDATE($D146,Milestones!$AA$158)&lt;=AsOfDate,IF($R146=0,$X146,IF(AND($T146&lt;&gt;"",EDATE($D146,Milestones!$AA$158)&gt;=$T146),$W146,IF(AND($S146&lt;&gt;"",EDATE($D146,Milestones!$AA$158)&gt;=$S146),$V146,$U146)))=Milestones!$AB$158),UPPER(TEXT(EDATE($D146,Milestones!$AA$158),"dd mmm yy"))&amp;" "&amp;Milestones!$AB$158&amp;" "&amp;Milestones!$AC$158&amp;";  ","")&amp;IF(AND(EDATE($D146,Milestones!$AA$159)&lt;=AsOfDate,IF($R146=0,$X146,IF(AND($T146&lt;&gt;"",EDATE($D146,Milestones!$AA$159)&gt;=$T146),$W146,IF(AND($S146&lt;&gt;"",EDATE($D146,Milestones!$AA$159)&gt;=$S146),$V146,$U146)))=Milestones!$AB$159),UPPER(TEXT(EDATE($D146,Milestones!$AA$159),"dd mmm yy"))&amp;" "&amp;Milestones!$AB$159&amp;" "&amp;Milestones!$AC$159&amp;";  ",""))</f>
        <v/>
      </c>
      <c r="P146" s="0" t="str">
        <f aca="false">IF(OR($A146="",$D146=""),"",IF(AND(EDATE($D146,Milestones!$AA$160)&lt;=AsOfDate,IF($R146=0,$X146,IF(AND($T146&lt;&gt;"",EDATE($D146,Milestones!$AA$160)&gt;=$T146),$W146,IF(AND($S146&lt;&gt;"",EDATE($D146,Milestones!$AA$160)&gt;=$S146),$V146,$U146)))=Milestones!$AB$160),UPPER(TEXT(EDATE($D146,Milestones!$AA$160),"dd mmm yy"))&amp;" "&amp;Milestones!$AB$160&amp;" "&amp;Milestones!$AC$160&amp;";  ","")&amp;IF(AND(EDATE($D146,Milestones!$AA$161)&lt;=AsOfDate,IF($R146=0,$X146,IF(AND($T146&lt;&gt;"",EDATE($D146,Milestones!$AA$161)&gt;=$T146),$W146,IF(AND($S146&lt;&gt;"",EDATE($D146,Milestones!$AA$161)&gt;=$S146),$V146,$U146)))=Milestones!$AB$161),UPPER(TEXT(EDATE($D146,Milestones!$AA$161),"dd mmm yy"))&amp;" "&amp;Milestones!$AB$161&amp;" "&amp;Milestones!$AC$161&amp;";  ","")&amp;IF(AND(EDATE($D146,Milestones!$AA$162)&lt;=AsOfDate,IF($R146=0,$X146,IF(AND($T146&lt;&gt;"",EDATE($D146,Milestones!$AA$162)&gt;=$T146),$W146,IF(AND($S146&lt;&gt;"",EDATE($D146,Milestones!$AA$162)&gt;=$S146),$V146,$U146)))=Milestones!$AB$162),UPPER(TEXT(EDATE($D146,Milestones!$AA$162),"dd mmm yy"))&amp;" "&amp;Milestones!$AB$162&amp;" "&amp;Milestones!$AC$162&amp;";  ","")&amp;IF(AND(EDATE($D146,Milestones!$AA$163)&lt;=AsOfDate,IF($R146=0,$X146,IF(AND($T146&lt;&gt;"",EDATE($D146,Milestones!$AA$163)&gt;=$T146),$W146,IF(AND($S146&lt;&gt;"",EDATE($D146,Milestones!$AA$163)&gt;=$S146),$V146,$U146)))=Milestones!$AB$163),UPPER(TEXT(EDATE($D146,Milestones!$AA$163),"dd mmm yy"))&amp;" "&amp;Milestones!$AB$163&amp;" "&amp;Milestones!$AC$163&amp;";  ","")&amp;IF(AND(EDATE($D146,Milestones!$AA$164)&lt;=AsOfDate,IF($R146=0,$X146,IF(AND($T146&lt;&gt;"",EDATE($D146,Milestones!$AA$164)&gt;=$T146),$W146,IF(AND($S146&lt;&gt;"",EDATE($D146,Milestones!$AA$164)&gt;=$S146),$V146,$U146)))=Milestones!$AB$164),UPPER(TEXT(EDATE($D146,Milestones!$AA$164),"dd mmm yy"))&amp;" "&amp;Milestones!$AB$164&amp;" "&amp;Milestones!$AC$164&amp;";  ","")&amp;IF(AND(EDATE($D146,Milestones!$AA$165)&lt;=AsOfDate,IF($R146=0,$X146,IF(AND($T146&lt;&gt;"",EDATE($D146,Milestones!$AA$165)&gt;=$T146),$W146,IF(AND($S146&lt;&gt;"",EDATE($D146,Milestones!$AA$165)&gt;=$S146),$V146,$U146)))=Milestones!$AB$165),UPPER(TEXT(EDATE($D146,Milestones!$AA$165),"dd mmm yy"))&amp;" "&amp;Milestones!$AB$165&amp;" "&amp;Milestones!$AC$165&amp;";  ","")&amp;IF(AND(EDATE($D146,Milestones!$AA$166)&lt;=AsOfDate,IF($R146=0,$X146,IF(AND($T146&lt;&gt;"",EDATE($D146,Milestones!$AA$166)&gt;=$T146),$W146,IF(AND($S146&lt;&gt;"",EDATE($D146,Milestones!$AA$166)&gt;=$S146),$V146,$U146)))=Milestones!$AB$166),UPPER(TEXT(EDATE($D146,Milestones!$AA$166),"dd mmm yy"))&amp;" "&amp;Milestones!$AB$166&amp;" "&amp;Milestones!$AC$166&amp;";  ","")&amp;IF(AND(EDATE($D146,Milestones!$AA$167)&lt;=AsOfDate,IF($R146=0,$X146,IF(AND($T146&lt;&gt;"",EDATE($D146,Milestones!$AA$167)&gt;=$T146),$W146,IF(AND($S146&lt;&gt;"",EDATE($D146,Milestones!$AA$167)&gt;=$S146),$V146,$U146)))=Milestones!$AB$167),UPPER(TEXT(EDATE($D146,Milestones!$AA$167),"dd mmm yy"))&amp;" "&amp;Milestones!$AB$167&amp;" "&amp;Milestones!$AC$167&amp;";  ","")&amp;IF(AND(EDATE($D146,Milestones!$AA$168)&lt;=AsOfDate,IF($R146=0,$X146,IF(AND($T146&lt;&gt;"",EDATE($D146,Milestones!$AA$168)&gt;=$T146),$W146,IF(AND($S146&lt;&gt;"",EDATE($D146,Milestones!$AA$168)&gt;=$S146),$V146,$U146)))=Milestones!$AB$168),UPPER(TEXT(EDATE($D146,Milestones!$AA$168),"dd mmm yy"))&amp;" "&amp;Milestones!$AB$168&amp;" "&amp;Milestones!$AC$168&amp;";  ","")&amp;IF(AND(EDATE($D146,Milestones!$AA$169)&lt;=AsOfDate,IF($R146=0,$X146,IF(AND($T146&lt;&gt;"",EDATE($D146,Milestones!$AA$169)&gt;=$T146),$W146,IF(AND($S146&lt;&gt;"",EDATE($D146,Milestones!$AA$169)&gt;=$S146),$V146,$U146)))=Milestones!$AB$169),UPPER(TEXT(EDATE($D146,Milestones!$AA$169),"dd mmm yy"))&amp;" "&amp;Milestones!$AB$169&amp;" "&amp;Milestones!$AC$169&amp;";  ","")&amp;IF(AND(EDATE($D146,Milestones!$AA$170)&lt;=AsOfDate,IF($R146=0,$X146,IF(AND($T146&lt;&gt;"",EDATE($D146,Milestones!$AA$170)&gt;=$T146),$W146,IF(AND($S146&lt;&gt;"",EDATE($D146,Milestones!$AA$170)&gt;=$S146),$V146,$U146)))=Milestones!$AB$170),UPPER(TEXT(EDATE($D146,Milestones!$AA$170),"dd mmm yy"))&amp;" "&amp;Milestones!$AB$170&amp;" "&amp;Milestones!$AC$170&amp;";  ","")&amp;IF(AND(EDATE($D146,Milestones!$AA$171)&lt;=AsOfDate,IF($R146=0,$X146,IF(AND($T146&lt;&gt;"",EDATE($D146,Milestones!$AA$171)&gt;=$T146),$W146,IF(AND($S146&lt;&gt;"",EDATE($D146,Milestones!$AA$171)&gt;=$S146),$V146,$U146)))=Milestones!$AB$171),UPPER(TEXT(EDATE($D146,Milestones!$AA$171),"dd mmm yy"))&amp;" "&amp;Milestones!$AB$171&amp;" "&amp;Milestones!$AC$171&amp;";  ","")&amp;IF(AND(EDATE($D146,Milestones!$AA$172)&lt;=AsOfDate,IF($R146=0,$X146,IF(AND($T146&lt;&gt;"",EDATE($D146,Milestones!$AA$172)&gt;=$T146),$W146,IF(AND($S146&lt;&gt;"",EDATE($D146,Milestones!$AA$172)&gt;=$S146),$V146,$U146)))=Milestones!$AB$172),UPPER(TEXT(EDATE($D146,Milestones!$AA$172),"dd mmm yy"))&amp;" "&amp;Milestones!$AB$172&amp;" "&amp;Milestones!$AC$172&amp;";  ","")&amp;IF(AND(EDATE($D146,Milestones!$AA$173)&lt;=AsOfDate,IF($R146=0,$X146,IF(AND($T146&lt;&gt;"",EDATE($D146,Milestones!$AA$173)&gt;=$T146),$W146,IF(AND($S146&lt;&gt;"",EDATE($D146,Milestones!$AA$173)&gt;=$S146),$V146,$U146)))=Milestones!$AB$173),UPPER(TEXT(EDATE($D146,Milestones!$AA$173),"dd mmm yy"))&amp;" "&amp;Milestones!$AB$173&amp;" "&amp;Milestones!$AC$173&amp;";  ","")&amp;IF(AND(EDATE($D146,Milestones!$AA$174)&lt;=AsOfDate,IF($R146=0,$X146,IF(AND($T146&lt;&gt;"",EDATE($D146,Milestones!$AA$174)&gt;=$T146),$W146,IF(AND($S146&lt;&gt;"",EDATE($D146,Milestones!$AA$174)&gt;=$S146),$V146,$U146)))=Milestones!$AB$174),UPPER(TEXT(EDATE($D146,Milestones!$AA$174),"dd mmm yy"))&amp;" "&amp;Milestones!$AB$174&amp;" "&amp;Milestones!$AC$174&amp;";  ","")&amp;IF(AND(EDATE($D146,Milestones!$AA$175)&lt;=AsOfDate,IF($R146=0,$X146,IF(AND($T146&lt;&gt;"",EDATE($D146,Milestones!$AA$175)&gt;=$T146),$W146,IF(AND($S146&lt;&gt;"",EDATE($D146,Milestones!$AA$175)&gt;=$S146),$V146,$U146)))=Milestones!$AB$175),UPPER(TEXT(EDATE($D146,Milestones!$AA$175),"dd mmm yy"))&amp;" "&amp;Milestones!$AB$175&amp;" "&amp;Milestones!$AC$175&amp;";  ","")&amp;IF(AND(EDATE($D146,Milestones!$AA$176)&lt;=AsOfDate,IF($R146=0,$X146,IF(AND($T146&lt;&gt;"",EDATE($D146,Milestones!$AA$176)&gt;=$T146),$W146,IF(AND($S146&lt;&gt;"",EDATE($D146,Milestones!$AA$176)&gt;=$S146),$V146,$U146)))=Milestones!$AB$176),UPPER(TEXT(EDATE($D146,Milestones!$AA$176),"dd mmm yy"))&amp;" "&amp;Milestones!$AB$176&amp;" "&amp;Milestones!$AC$176&amp;";  ","")&amp;IF(AND(EDATE($D146,Milestones!$AA$177)&lt;=AsOfDate,IF($R146=0,$X146,IF(AND($T146&lt;&gt;"",EDATE($D146,Milestones!$AA$177)&gt;=$T146),$W146,IF(AND($S146&lt;&gt;"",EDATE($D146,Milestones!$AA$177)&gt;=$S146),$V146,$U146)))=Milestones!$AB$177),UPPER(TEXT(EDATE($D146,Milestones!$AA$177),"dd mmm yy"))&amp;" "&amp;Milestones!$AB$177&amp;" "&amp;Milestones!$AC$177&amp;";  ","")&amp;IF(AND(EDATE($D146,Milestones!$AA$178)&lt;=AsOfDate,IF($R146=0,$X146,IF(AND($T146&lt;&gt;"",EDATE($D146,Milestones!$AA$178)&gt;=$T146),$W146,IF(AND($S146&lt;&gt;"",EDATE($D146,Milestones!$AA$178)&gt;=$S146),$V146,$U146)))=Milestones!$AB$178),UPPER(TEXT(EDATE($D146,Milestones!$AA$178),"dd mmm yy"))&amp;" "&amp;Milestones!$AB$178&amp;" "&amp;Milestones!$AC$178&amp;";  ","")&amp;IF(AND(EDATE($D146,Milestones!$AA$179)&lt;=AsOfDate,IF($R146=0,$X146,IF(AND($T146&lt;&gt;"",EDATE($D146,Milestones!$AA$179)&gt;=$T146),$W146,IF(AND($S146&lt;&gt;"",EDATE($D146,Milestones!$AA$179)&gt;=$S146),$V146,$U146)))=Milestones!$AB$179),UPPER(TEXT(EDATE($D146,Milestones!$AA$179),"dd mmm yy"))&amp;" "&amp;Milestones!$AB$179&amp;" "&amp;Milestones!$AC$179&amp;";  ",""))</f>
        <v/>
      </c>
      <c r="Q146" s="0" t="str">
        <f aca="false">IF(OR($A146="",$D146=""),"",IF(AND(EDATE($D146,Milestones!$AA$180)&lt;=AsOfDate,IF($R146=0,$X146,IF(AND($T146&lt;&gt;"",EDATE($D146,Milestones!$AA$180)&gt;=$T146),$W146,IF(AND($S146&lt;&gt;"",EDATE($D146,Milestones!$AA$180)&gt;=$S146),$V146,$U146)))=Milestones!$AB$180),UPPER(TEXT(EDATE($D146,Milestones!$AA$180),"dd mmm yy"))&amp;" "&amp;Milestones!$AB$180&amp;" "&amp;Milestones!$AC$180&amp;";  ","")&amp;IF(AND(EDATE($D146,Milestones!$AA$181)&lt;=AsOfDate,IF($R146=0,$X146,IF(AND($T146&lt;&gt;"",EDATE($D146,Milestones!$AA$181)&gt;=$T146),$W146,IF(AND($S146&lt;&gt;"",EDATE($D146,Milestones!$AA$181)&gt;=$S146),$V146,$U146)))=Milestones!$AB$181),UPPER(TEXT(EDATE($D146,Milestones!$AA$181),"dd mmm yy"))&amp;" "&amp;Milestones!$AB$181&amp;" "&amp;Milestones!$AC$181&amp;";  ","")&amp;IF(AND(EDATE($D146,Milestones!$AA$182)&lt;=AsOfDate,IF($R146=0,$X146,IF(AND($T146&lt;&gt;"",EDATE($D146,Milestones!$AA$182)&gt;=$T146),$W146,IF(AND($S146&lt;&gt;"",EDATE($D146,Milestones!$AA$182)&gt;=$S146),$V146,$U146)))=Milestones!$AB$182),UPPER(TEXT(EDATE($D146,Milestones!$AA$182),"dd mmm yy"))&amp;" "&amp;Milestones!$AB$182&amp;" "&amp;Milestones!$AC$182&amp;";  ","")&amp;IF(AND(EDATE($D146,Milestones!$AA$183)&lt;=AsOfDate,IF($R146=0,$X146,IF(AND($T146&lt;&gt;"",EDATE($D146,Milestones!$AA$183)&gt;=$T146),$W146,IF(AND($S146&lt;&gt;"",EDATE($D146,Milestones!$AA$183)&gt;=$S146),$V146,$U146)))=Milestones!$AB$183),UPPER(TEXT(EDATE($D146,Milestones!$AA$183),"dd mmm yy"))&amp;" "&amp;Milestones!$AB$183&amp;" "&amp;Milestones!$AC$183&amp;";  ","")&amp;IF(AND(EDATE($D146,Milestones!$AA$184)&lt;=AsOfDate,IF($R146=0,$X146,IF(AND($T146&lt;&gt;"",EDATE($D146,Milestones!$AA$184)&gt;=$T146),$W146,IF(AND($S146&lt;&gt;"",EDATE($D146,Milestones!$AA$184)&gt;=$S146),$V146,$U146)))=Milestones!$AB$184),UPPER(TEXT(EDATE($D146,Milestones!$AA$184),"dd mmm yy"))&amp;" "&amp;Milestones!$AB$184&amp;" "&amp;Milestones!$AC$184&amp;";  ","")&amp;IF(AND(EDATE($D146,Milestones!$AA$185)&lt;=AsOfDate,IF($R146=0,$X146,IF(AND($T146&lt;&gt;"",EDATE($D146,Milestones!$AA$185)&gt;=$T146),$W146,IF(AND($S146&lt;&gt;"",EDATE($D146,Milestones!$AA$185)&gt;=$S146),$V146,$U146)))=Milestones!$AB$185),UPPER(TEXT(EDATE($D146,Milestones!$AA$185),"dd mmm yy"))&amp;" "&amp;Milestones!$AB$185&amp;" "&amp;Milestones!$AC$185&amp;";  ","")&amp;IF(AND(EDATE($D146,Milestones!$AA$186)&lt;=AsOfDate,IF($R146=0,$X146,IF(AND($T146&lt;&gt;"",EDATE($D146,Milestones!$AA$186)&gt;=$T146),$W146,IF(AND($S146&lt;&gt;"",EDATE($D146,Milestones!$AA$186)&gt;=$S146),$V146,$U146)))=Milestones!$AB$186),UPPER(TEXT(EDATE($D146,Milestones!$AA$186),"dd mmm yy"))&amp;" "&amp;Milestones!$AB$186&amp;" "&amp;Milestones!$AC$186&amp;";  ","")&amp;IF(AND(EDATE($D146,Milestones!$AA$187)&lt;=AsOfDate,IF($R146=0,$X146,IF(AND($T146&lt;&gt;"",EDATE($D146,Milestones!$AA$187)&gt;=$T146),$W146,IF(AND($S146&lt;&gt;"",EDATE($D146,Milestones!$AA$187)&gt;=$S146),$V146,$U146)))=Milestones!$AB$187),UPPER(TEXT(EDATE($D146,Milestones!$AA$187),"dd mmm yy"))&amp;" "&amp;Milestones!$AB$187&amp;" "&amp;Milestones!$AC$187&amp;";  ","")&amp;IF(AND(EDATE($D146,Milestones!$AA$188)&lt;=AsOfDate,IF($R146=0,$X146,IF(AND($T146&lt;&gt;"",EDATE($D146,Milestones!$AA$188)&gt;=$T146),$W146,IF(AND($S146&lt;&gt;"",EDATE($D146,Milestones!$AA$188)&gt;=$S146),$V146,$U146)))=Milestones!$AB$188),UPPER(TEXT(EDATE($D146,Milestones!$AA$188),"dd mmm yy"))&amp;" "&amp;Milestones!$AB$188&amp;" "&amp;Milestones!$AC$188&amp;";  ","")&amp;IF(AND(EDATE($D146,Milestones!$AA$189)&lt;=AsOfDate,IF($R146=0,$X146,IF(AND($T146&lt;&gt;"",EDATE($D146,Milestones!$AA$189)&gt;=$T146),$W146,IF(AND($S146&lt;&gt;"",EDATE($D146,Milestones!$AA$189)&gt;=$S146),$V146,$U146)))=Milestones!$AB$189),UPPER(TEXT(EDATE($D146,Milestones!$AA$189),"dd mmm yy"))&amp;" "&amp;Milestones!$AB$189&amp;" "&amp;Milestones!$AC$189&amp;";  ","")&amp;IF(AND(EDATE($D146,Milestones!$AA$190)&lt;=AsOfDate,IF($R146=0,$X146,IF(AND($T146&lt;&gt;"",EDATE($D146,Milestones!$AA$190)&gt;=$T146),$W146,IF(AND($S146&lt;&gt;"",EDATE($D146,Milestones!$AA$190)&gt;=$S146),$V146,$U146)))=Milestones!$AB$190),UPPER(TEXT(EDATE($D146,Milestones!$AA$190),"dd mmm yy"))&amp;" "&amp;Milestones!$AB$190&amp;" "&amp;Milestones!$AC$190&amp;";  ","")&amp;IF(AND(EDATE($D146,Milestones!$AA$191)&lt;=AsOfDate,IF($R146=0,$X146,IF(AND($T146&lt;&gt;"",EDATE($D146,Milestones!$AA$191)&gt;=$T146),$W146,IF(AND($S146&lt;&gt;"",EDATE($D146,Milestones!$AA$191)&gt;=$S146),$V146,$U146)))=Milestones!$AB$191),UPPER(TEXT(EDATE($D146,Milestones!$AA$191),"dd mmm yy"))&amp;" "&amp;Milestones!$AB$191&amp;" "&amp;Milestones!$AC$191&amp;";  ","")&amp;IF(AND(EDATE($D146,Milestones!$AA$192)&lt;=AsOfDate,IF($R146=0,$X146,IF(AND($T146&lt;&gt;"",EDATE($D146,Milestones!$AA$192)&gt;=$T146),$W146,IF(AND($S146&lt;&gt;"",EDATE($D146,Milestones!$AA$192)&gt;=$S146),$V146,$U146)))=Milestones!$AB$192),UPPER(TEXT(EDATE($D146,Milestones!$AA$192),"dd mmm yy"))&amp;" "&amp;Milestones!$AB$192&amp;" "&amp;Milestones!$AC$192&amp;";  ","")&amp;IF(AND(EDATE($D146,Milestones!$AA$193)&lt;=AsOfDate,IF($R146=0,$X146,IF(AND($T146&lt;&gt;"",EDATE($D146,Milestones!$AA$193)&gt;=$T146),$W146,IF(AND($S146&lt;&gt;"",EDATE($D146,Milestones!$AA$193)&gt;=$S146),$V146,$U146)))=Milestones!$AB$193),UPPER(TEXT(EDATE($D146,Milestones!$AA$193),"dd mmm yy"))&amp;" "&amp;Milestones!$AB$193&amp;" "&amp;Milestones!$AC$193&amp;";  ","")&amp;IF(AND(EDATE($D146,Milestones!$AA$194)&lt;=AsOfDate,IF($R146=0,$X146,IF(AND($T146&lt;&gt;"",EDATE($D146,Milestones!$AA$194)&gt;=$T146),$W146,IF(AND($S146&lt;&gt;"",EDATE($D146,Milestones!$AA$194)&gt;=$S146),$V146,$U146)))=Milestones!$AB$194),UPPER(TEXT(EDATE($D146,Milestones!$AA$194),"dd mmm yy"))&amp;" "&amp;Milestones!$AB$194&amp;" "&amp;Milestones!$AC$194&amp;";  ","")&amp;IF(AND(EDATE($D146,Milestones!$AA$195)&lt;=AsOfDate,IF($R146=0,$X146,IF(AND($T146&lt;&gt;"",EDATE($D146,Milestones!$AA$195)&gt;=$T146),$W146,IF(AND($S146&lt;&gt;"",EDATE($D146,Milestones!$AA$195)&gt;=$S146),$V146,$U146)))=Milestones!$AB$195),UPPER(TEXT(EDATE($D146,Milestones!$AA$195),"dd mmm yy"))&amp;" "&amp;Milestones!$AB$195&amp;" "&amp;Milestones!$AC$195&amp;";  ","")&amp;IF(AND(EDATE($D146,Milestones!$AA$196)&lt;=AsOfDate,IF($R146=0,$X146,IF(AND($T146&lt;&gt;"",EDATE($D146,Milestones!$AA$196)&gt;=$T146),$W146,IF(AND($S146&lt;&gt;"",EDATE($D146,Milestones!$AA$196)&gt;=$S146),$V146,$U146)))=Milestones!$AB$196),UPPER(TEXT(EDATE($D146,Milestones!$AA$196),"dd mmm yy"))&amp;" "&amp;Milestones!$AB$196&amp;" "&amp;Milestones!$AC$196&amp;";  ","")&amp;IF(AND(EDATE($D146,Milestones!$AA$197)&lt;=AsOfDate,IF($R146=0,$X146,IF(AND($T146&lt;&gt;"",EDATE($D146,Milestones!$AA$197)&gt;=$T146),$W146,IF(AND($S146&lt;&gt;"",EDATE($D146,Milestones!$AA$197)&gt;=$S146),$V146,$U146)))=Milestones!$AB$197),UPPER(TEXT(EDATE($D146,Milestones!$AA$197),"dd mmm yy"))&amp;" "&amp;Milestones!$AB$197&amp;" "&amp;Milestones!$AC$197&amp;";  ","")&amp;IF(AND(EDATE($D146,Milestones!$AA$198)&lt;=AsOfDate,IF($R146=0,$X146,IF(AND($T146&lt;&gt;"",EDATE($D146,Milestones!$AA$198)&gt;=$T146),$W146,IF(AND($S146&lt;&gt;"",EDATE($D146,Milestones!$AA$198)&gt;=$S146),$V146,$U146)))=Milestones!$AB$198),UPPER(TEXT(EDATE($D146,Milestones!$AA$198),"dd mmm yy"))&amp;" "&amp;Milestones!$AB$198&amp;" "&amp;Milestones!$AC$198&amp;";  ","")&amp;IF(AND(EDATE($D146,Milestones!$AA$199)&lt;=AsOfDate,IF($R146=0,$X146,IF(AND($T146&lt;&gt;"",EDATE($D146,Milestones!$AA$199)&gt;=$T146),$W146,IF(AND($S146&lt;&gt;"",EDATE($D146,Milestones!$AA$199)&gt;=$S146),$V146,$U146)))=Milestones!$AB$199),UPPER(TEXT(EDATE($D146,Milestones!$AA$199),"dd mmm yy"))&amp;" "&amp;Milestones!$AB$199&amp;" "&amp;Milestones!$AC$199&amp;";  ",""))</f>
        <v/>
      </c>
      <c r="R146" s="0" t="str">
        <f aca="false">IF(Staff!$A146="","",Staff!$AI146)</f>
        <v/>
      </c>
      <c r="S146" s="0" t="str">
        <f aca="false">IF(Staff!$A146="","",Staff!$AK146)</f>
        <v/>
      </c>
      <c r="T146" s="0" t="str">
        <f aca="false">IF(Staff!$A146="","",Staff!$AL146)</f>
        <v/>
      </c>
      <c r="U146" s="0" t="str">
        <f aca="false">IF(Staff!$A146="","",Staff!$AP146)</f>
        <v/>
      </c>
      <c r="V146" s="0" t="str">
        <f aca="false">IF(Staff!$A146="","",Staff!$AQ146)</f>
        <v/>
      </c>
      <c r="W146" s="0" t="str">
        <f aca="false">IF(Staff!$A146="","",Staff!$AR146)</f>
        <v/>
      </c>
      <c r="X146" s="0" t="str">
        <f aca="false">IF(Staff!$A146="","",Staff!$AS146)</f>
        <v/>
      </c>
    </row>
    <row r="147" customFormat="false" ht="15" hidden="false" customHeight="false" outlineLevel="0" collapsed="false">
      <c r="A147" s="14" t="str">
        <f aca="false">IF(Staff!$A147="","",Staff!$A147)</f>
        <v/>
      </c>
      <c r="B147" s="14" t="str">
        <f aca="false">IF(Staff!$A147="","",Staff!$B147)</f>
        <v/>
      </c>
      <c r="C147" s="14" t="str">
        <f aca="false">IF(Staff!$A147="","",Staff!$C147)</f>
        <v/>
      </c>
      <c r="D147" s="12" t="str">
        <f aca="false">IF(Staff!$A147="","",Staff!$AH147)</f>
        <v/>
      </c>
      <c r="E147" s="14" t="str">
        <f aca="false">IF(Staff!$A147="","",Staff!$O147)</f>
        <v/>
      </c>
      <c r="F147" s="14" t="str">
        <f aca="false">IF(E147="","",E147*HoursPerDay)</f>
        <v/>
      </c>
      <c r="G147" s="14" t="str">
        <f aca="false">IF(Staff!$A147="","",Staff!$AE147)</f>
        <v/>
      </c>
      <c r="H147" s="26" t="str">
        <f aca="false">IF($A147="","",I147&amp;J147&amp;K147&amp;L147&amp;M147&amp;N147&amp;O147&amp;P147&amp;Q147)</f>
        <v/>
      </c>
      <c r="I147" s="0" t="str">
        <f aca="false">IF(OR($A147="",$D147=""),"",IF(AND(EDATE($D147,Milestones!$AA$20)&lt;=AsOfDate,IF($R147=0,$X147,IF(AND($T147&lt;&gt;"",EDATE($D147,Milestones!$AA$20)&gt;=$T147),$W147,IF(AND($S147&lt;&gt;"",EDATE($D147,Milestones!$AA$20)&gt;=$S147),$V147,$U147)))=Milestones!$AB$20),UPPER(TEXT(EDATE($D147,Milestones!$AA$20),"dd mmm yy"))&amp;" "&amp;Milestones!$AB$20&amp;" "&amp;Milestones!$AC$20&amp;";  ","")&amp;IF(AND(EDATE($D147,Milestones!$AA$21)&lt;=AsOfDate,IF($R147=0,$X147,IF(AND($T147&lt;&gt;"",EDATE($D147,Milestones!$AA$21)&gt;=$T147),$W147,IF(AND($S147&lt;&gt;"",EDATE($D147,Milestones!$AA$21)&gt;=$S147),$V147,$U147)))=Milestones!$AB$21),UPPER(TEXT(EDATE($D147,Milestones!$AA$21),"dd mmm yy"))&amp;" "&amp;Milestones!$AB$21&amp;" "&amp;Milestones!$AC$21&amp;";  ","")&amp;IF(AND(EDATE($D147,Milestones!$AA$22)&lt;=AsOfDate,IF($R147=0,$X147,IF(AND($T147&lt;&gt;"",EDATE($D147,Milestones!$AA$22)&gt;=$T147),$W147,IF(AND($S147&lt;&gt;"",EDATE($D147,Milestones!$AA$22)&gt;=$S147),$V147,$U147)))=Milestones!$AB$22),UPPER(TEXT(EDATE($D147,Milestones!$AA$22),"dd mmm yy"))&amp;" "&amp;Milestones!$AB$22&amp;" "&amp;Milestones!$AC$22&amp;";  ","")&amp;IF(AND(EDATE($D147,Milestones!$AA$23)&lt;=AsOfDate,IF($R147=0,$X147,IF(AND($T147&lt;&gt;"",EDATE($D147,Milestones!$AA$23)&gt;=$T147),$W147,IF(AND($S147&lt;&gt;"",EDATE($D147,Milestones!$AA$23)&gt;=$S147),$V147,$U147)))=Milestones!$AB$23),UPPER(TEXT(EDATE($D147,Milestones!$AA$23),"dd mmm yy"))&amp;" "&amp;Milestones!$AB$23&amp;" "&amp;Milestones!$AC$23&amp;";  ","")&amp;IF(AND(EDATE($D147,Milestones!$AA$24)&lt;=AsOfDate,IF($R147=0,$X147,IF(AND($T147&lt;&gt;"",EDATE($D147,Milestones!$AA$24)&gt;=$T147),$W147,IF(AND($S147&lt;&gt;"",EDATE($D147,Milestones!$AA$24)&gt;=$S147),$V147,$U147)))=Milestones!$AB$24),UPPER(TEXT(EDATE($D147,Milestones!$AA$24),"dd mmm yy"))&amp;" "&amp;Milestones!$AB$24&amp;" "&amp;Milestones!$AC$24&amp;";  ","")&amp;IF(AND(EDATE($D147,Milestones!$AA$25)&lt;=AsOfDate,IF($R147=0,$X147,IF(AND($T147&lt;&gt;"",EDATE($D147,Milestones!$AA$25)&gt;=$T147),$W147,IF(AND($S147&lt;&gt;"",EDATE($D147,Milestones!$AA$25)&gt;=$S147),$V147,$U147)))=Milestones!$AB$25),UPPER(TEXT(EDATE($D147,Milestones!$AA$25),"dd mmm yy"))&amp;" "&amp;Milestones!$AB$25&amp;" "&amp;Milestones!$AC$25&amp;";  ","")&amp;IF(AND(EDATE($D147,Milestones!$AA$26)&lt;=AsOfDate,IF($R147=0,$X147,IF(AND($T147&lt;&gt;"",EDATE($D147,Milestones!$AA$26)&gt;=$T147),$W147,IF(AND($S147&lt;&gt;"",EDATE($D147,Milestones!$AA$26)&gt;=$S147),$V147,$U147)))=Milestones!$AB$26),UPPER(TEXT(EDATE($D147,Milestones!$AA$26),"dd mmm yy"))&amp;" "&amp;Milestones!$AB$26&amp;" "&amp;Milestones!$AC$26&amp;";  ","")&amp;IF(AND(EDATE($D147,Milestones!$AA$27)&lt;=AsOfDate,IF($R147=0,$X147,IF(AND($T147&lt;&gt;"",EDATE($D147,Milestones!$AA$27)&gt;=$T147),$W147,IF(AND($S147&lt;&gt;"",EDATE($D147,Milestones!$AA$27)&gt;=$S147),$V147,$U147)))=Milestones!$AB$27),UPPER(TEXT(EDATE($D147,Milestones!$AA$27),"dd mmm yy"))&amp;" "&amp;Milestones!$AB$27&amp;" "&amp;Milestones!$AC$27&amp;";  ","")&amp;IF(AND(EDATE($D147,Milestones!$AA$28)&lt;=AsOfDate,IF($R147=0,$X147,IF(AND($T147&lt;&gt;"",EDATE($D147,Milestones!$AA$28)&gt;=$T147),$W147,IF(AND($S147&lt;&gt;"",EDATE($D147,Milestones!$AA$28)&gt;=$S147),$V147,$U147)))=Milestones!$AB$28),UPPER(TEXT(EDATE($D147,Milestones!$AA$28),"dd mmm yy"))&amp;" "&amp;Milestones!$AB$28&amp;" "&amp;Milestones!$AC$28&amp;";  ","")&amp;IF(AND(EDATE($D147,Milestones!$AA$29)&lt;=AsOfDate,IF($R147=0,$X147,IF(AND($T147&lt;&gt;"",EDATE($D147,Milestones!$AA$29)&gt;=$T147),$W147,IF(AND($S147&lt;&gt;"",EDATE($D147,Milestones!$AA$29)&gt;=$S147),$V147,$U147)))=Milestones!$AB$29),UPPER(TEXT(EDATE($D147,Milestones!$AA$29),"dd mmm yy"))&amp;" "&amp;Milestones!$AB$29&amp;" "&amp;Milestones!$AC$29&amp;";  ","")&amp;IF(AND(EDATE($D147,Milestones!$AA$30)&lt;=AsOfDate,IF($R147=0,$X147,IF(AND($T147&lt;&gt;"",EDATE($D147,Milestones!$AA$30)&gt;=$T147),$W147,IF(AND($S147&lt;&gt;"",EDATE($D147,Milestones!$AA$30)&gt;=$S147),$V147,$U147)))=Milestones!$AB$30),UPPER(TEXT(EDATE($D147,Milestones!$AA$30),"dd mmm yy"))&amp;" "&amp;Milestones!$AB$30&amp;" "&amp;Milestones!$AC$30&amp;";  ","")&amp;IF(AND(EDATE($D147,Milestones!$AA$31)&lt;=AsOfDate,IF($R147=0,$X147,IF(AND($T147&lt;&gt;"",EDATE($D147,Milestones!$AA$31)&gt;=$T147),$W147,IF(AND($S147&lt;&gt;"",EDATE($D147,Milestones!$AA$31)&gt;=$S147),$V147,$U147)))=Milestones!$AB$31),UPPER(TEXT(EDATE($D147,Milestones!$AA$31),"dd mmm yy"))&amp;" "&amp;Milestones!$AB$31&amp;" "&amp;Milestones!$AC$31&amp;";  ","")&amp;IF(AND(EDATE($D147,Milestones!$AA$32)&lt;=AsOfDate,IF($R147=0,$X147,IF(AND($T147&lt;&gt;"",EDATE($D147,Milestones!$AA$32)&gt;=$T147),$W147,IF(AND($S147&lt;&gt;"",EDATE($D147,Milestones!$AA$32)&gt;=$S147),$V147,$U147)))=Milestones!$AB$32),UPPER(TEXT(EDATE($D147,Milestones!$AA$32),"dd mmm yy"))&amp;" "&amp;Milestones!$AB$32&amp;" "&amp;Milestones!$AC$32&amp;";  ","")&amp;IF(AND(EDATE($D147,Milestones!$AA$33)&lt;=AsOfDate,IF($R147=0,$X147,IF(AND($T147&lt;&gt;"",EDATE($D147,Milestones!$AA$33)&gt;=$T147),$W147,IF(AND($S147&lt;&gt;"",EDATE($D147,Milestones!$AA$33)&gt;=$S147),$V147,$U147)))=Milestones!$AB$33),UPPER(TEXT(EDATE($D147,Milestones!$AA$33),"dd mmm yy"))&amp;" "&amp;Milestones!$AB$33&amp;" "&amp;Milestones!$AC$33&amp;";  ","")&amp;IF(AND(EDATE($D147,Milestones!$AA$34)&lt;=AsOfDate,IF($R147=0,$X147,IF(AND($T147&lt;&gt;"",EDATE($D147,Milestones!$AA$34)&gt;=$T147),$W147,IF(AND($S147&lt;&gt;"",EDATE($D147,Milestones!$AA$34)&gt;=$S147),$V147,$U147)))=Milestones!$AB$34),UPPER(TEXT(EDATE($D147,Milestones!$AA$34),"dd mmm yy"))&amp;" "&amp;Milestones!$AB$34&amp;" "&amp;Milestones!$AC$34&amp;";  ","")&amp;IF(AND(EDATE($D147,Milestones!$AA$35)&lt;=AsOfDate,IF($R147=0,$X147,IF(AND($T147&lt;&gt;"",EDATE($D147,Milestones!$AA$35)&gt;=$T147),$W147,IF(AND($S147&lt;&gt;"",EDATE($D147,Milestones!$AA$35)&gt;=$S147),$V147,$U147)))=Milestones!$AB$35),UPPER(TEXT(EDATE($D147,Milestones!$AA$35),"dd mmm yy"))&amp;" "&amp;Milestones!$AB$35&amp;" "&amp;Milestones!$AC$35&amp;";  ","")&amp;IF(AND(EDATE($D147,Milestones!$AA$36)&lt;=AsOfDate,IF($R147=0,$X147,IF(AND($T147&lt;&gt;"",EDATE($D147,Milestones!$AA$36)&gt;=$T147),$W147,IF(AND($S147&lt;&gt;"",EDATE($D147,Milestones!$AA$36)&gt;=$S147),$V147,$U147)))=Milestones!$AB$36),UPPER(TEXT(EDATE($D147,Milestones!$AA$36),"dd mmm yy"))&amp;" "&amp;Milestones!$AB$36&amp;" "&amp;Milestones!$AC$36&amp;";  ","")&amp;IF(AND(EDATE($D147,Milestones!$AA$37)&lt;=AsOfDate,IF($R147=0,$X147,IF(AND($T147&lt;&gt;"",EDATE($D147,Milestones!$AA$37)&gt;=$T147),$W147,IF(AND($S147&lt;&gt;"",EDATE($D147,Milestones!$AA$37)&gt;=$S147),$V147,$U147)))=Milestones!$AB$37),UPPER(TEXT(EDATE($D147,Milestones!$AA$37),"dd mmm yy"))&amp;" "&amp;Milestones!$AB$37&amp;" "&amp;Milestones!$AC$37&amp;";  ","")&amp;IF(AND(EDATE($D147,Milestones!$AA$38)&lt;=AsOfDate,IF($R147=0,$X147,IF(AND($T147&lt;&gt;"",EDATE($D147,Milestones!$AA$38)&gt;=$T147),$W147,IF(AND($S147&lt;&gt;"",EDATE($D147,Milestones!$AA$38)&gt;=$S147),$V147,$U147)))=Milestones!$AB$38),UPPER(TEXT(EDATE($D147,Milestones!$AA$38),"dd mmm yy"))&amp;" "&amp;Milestones!$AB$38&amp;" "&amp;Milestones!$AC$38&amp;";  ","")&amp;IF(AND(EDATE($D147,Milestones!$AA$39)&lt;=AsOfDate,IF($R147=0,$X147,IF(AND($T147&lt;&gt;"",EDATE($D147,Milestones!$AA$39)&gt;=$T147),$W147,IF(AND($S147&lt;&gt;"",EDATE($D147,Milestones!$AA$39)&gt;=$S147),$V147,$U147)))=Milestones!$AB$39),UPPER(TEXT(EDATE($D147,Milestones!$AA$39),"dd mmm yy"))&amp;" "&amp;Milestones!$AB$39&amp;" "&amp;Milestones!$AC$39&amp;";  ",""))</f>
        <v/>
      </c>
      <c r="J147" s="0" t="str">
        <f aca="false">IF(OR($A147="",$D147=""),"",IF(AND(EDATE($D147,Milestones!$AA$40)&lt;=AsOfDate,IF($R147=0,$X147,IF(AND($T147&lt;&gt;"",EDATE($D147,Milestones!$AA$40)&gt;=$T147),$W147,IF(AND($S147&lt;&gt;"",EDATE($D147,Milestones!$AA$40)&gt;=$S147),$V147,$U147)))=Milestones!$AB$40),UPPER(TEXT(EDATE($D147,Milestones!$AA$40),"dd mmm yy"))&amp;" "&amp;Milestones!$AB$40&amp;" "&amp;Milestones!$AC$40&amp;";  ","")&amp;IF(AND(EDATE($D147,Milestones!$AA$41)&lt;=AsOfDate,IF($R147=0,$X147,IF(AND($T147&lt;&gt;"",EDATE($D147,Milestones!$AA$41)&gt;=$T147),$W147,IF(AND($S147&lt;&gt;"",EDATE($D147,Milestones!$AA$41)&gt;=$S147),$V147,$U147)))=Milestones!$AB$41),UPPER(TEXT(EDATE($D147,Milestones!$AA$41),"dd mmm yy"))&amp;" "&amp;Milestones!$AB$41&amp;" "&amp;Milestones!$AC$41&amp;";  ","")&amp;IF(AND(EDATE($D147,Milestones!$AA$42)&lt;=AsOfDate,IF($R147=0,$X147,IF(AND($T147&lt;&gt;"",EDATE($D147,Milestones!$AA$42)&gt;=$T147),$W147,IF(AND($S147&lt;&gt;"",EDATE($D147,Milestones!$AA$42)&gt;=$S147),$V147,$U147)))=Milestones!$AB$42),UPPER(TEXT(EDATE($D147,Milestones!$AA$42),"dd mmm yy"))&amp;" "&amp;Milestones!$AB$42&amp;" "&amp;Milestones!$AC$42&amp;";  ","")&amp;IF(AND(EDATE($D147,Milestones!$AA$43)&lt;=AsOfDate,IF($R147=0,$X147,IF(AND($T147&lt;&gt;"",EDATE($D147,Milestones!$AA$43)&gt;=$T147),$W147,IF(AND($S147&lt;&gt;"",EDATE($D147,Milestones!$AA$43)&gt;=$S147),$V147,$U147)))=Milestones!$AB$43),UPPER(TEXT(EDATE($D147,Milestones!$AA$43),"dd mmm yy"))&amp;" "&amp;Milestones!$AB$43&amp;" "&amp;Milestones!$AC$43&amp;";  ","")&amp;IF(AND(EDATE($D147,Milestones!$AA$44)&lt;=AsOfDate,IF($R147=0,$X147,IF(AND($T147&lt;&gt;"",EDATE($D147,Milestones!$AA$44)&gt;=$T147),$W147,IF(AND($S147&lt;&gt;"",EDATE($D147,Milestones!$AA$44)&gt;=$S147),$V147,$U147)))=Milestones!$AB$44),UPPER(TEXT(EDATE($D147,Milestones!$AA$44),"dd mmm yy"))&amp;" "&amp;Milestones!$AB$44&amp;" "&amp;Milestones!$AC$44&amp;";  ","")&amp;IF(AND(EDATE($D147,Milestones!$AA$45)&lt;=AsOfDate,IF($R147=0,$X147,IF(AND($T147&lt;&gt;"",EDATE($D147,Milestones!$AA$45)&gt;=$T147),$W147,IF(AND($S147&lt;&gt;"",EDATE($D147,Milestones!$AA$45)&gt;=$S147),$V147,$U147)))=Milestones!$AB$45),UPPER(TEXT(EDATE($D147,Milestones!$AA$45),"dd mmm yy"))&amp;" "&amp;Milestones!$AB$45&amp;" "&amp;Milestones!$AC$45&amp;";  ","")&amp;IF(AND(EDATE($D147,Milestones!$AA$46)&lt;=AsOfDate,IF($R147=0,$X147,IF(AND($T147&lt;&gt;"",EDATE($D147,Milestones!$AA$46)&gt;=$T147),$W147,IF(AND($S147&lt;&gt;"",EDATE($D147,Milestones!$AA$46)&gt;=$S147),$V147,$U147)))=Milestones!$AB$46),UPPER(TEXT(EDATE($D147,Milestones!$AA$46),"dd mmm yy"))&amp;" "&amp;Milestones!$AB$46&amp;" "&amp;Milestones!$AC$46&amp;";  ","")&amp;IF(AND(EDATE($D147,Milestones!$AA$47)&lt;=AsOfDate,IF($R147=0,$X147,IF(AND($T147&lt;&gt;"",EDATE($D147,Milestones!$AA$47)&gt;=$T147),$W147,IF(AND($S147&lt;&gt;"",EDATE($D147,Milestones!$AA$47)&gt;=$S147),$V147,$U147)))=Milestones!$AB$47),UPPER(TEXT(EDATE($D147,Milestones!$AA$47),"dd mmm yy"))&amp;" "&amp;Milestones!$AB$47&amp;" "&amp;Milestones!$AC$47&amp;";  ","")&amp;IF(AND(EDATE($D147,Milestones!$AA$48)&lt;=AsOfDate,IF($R147=0,$X147,IF(AND($T147&lt;&gt;"",EDATE($D147,Milestones!$AA$48)&gt;=$T147),$W147,IF(AND($S147&lt;&gt;"",EDATE($D147,Milestones!$AA$48)&gt;=$S147),$V147,$U147)))=Milestones!$AB$48),UPPER(TEXT(EDATE($D147,Milestones!$AA$48),"dd mmm yy"))&amp;" "&amp;Milestones!$AB$48&amp;" "&amp;Milestones!$AC$48&amp;";  ","")&amp;IF(AND(EDATE($D147,Milestones!$AA$49)&lt;=AsOfDate,IF($R147=0,$X147,IF(AND($T147&lt;&gt;"",EDATE($D147,Milestones!$AA$49)&gt;=$T147),$W147,IF(AND($S147&lt;&gt;"",EDATE($D147,Milestones!$AA$49)&gt;=$S147),$V147,$U147)))=Milestones!$AB$49),UPPER(TEXT(EDATE($D147,Milestones!$AA$49),"dd mmm yy"))&amp;" "&amp;Milestones!$AB$49&amp;" "&amp;Milestones!$AC$49&amp;";  ","")&amp;IF(AND(EDATE($D147,Milestones!$AA$50)&lt;=AsOfDate,IF($R147=0,$X147,IF(AND($T147&lt;&gt;"",EDATE($D147,Milestones!$AA$50)&gt;=$T147),$W147,IF(AND($S147&lt;&gt;"",EDATE($D147,Milestones!$AA$50)&gt;=$S147),$V147,$U147)))=Milestones!$AB$50),UPPER(TEXT(EDATE($D147,Milestones!$AA$50),"dd mmm yy"))&amp;" "&amp;Milestones!$AB$50&amp;" "&amp;Milestones!$AC$50&amp;";  ","")&amp;IF(AND(EDATE($D147,Milestones!$AA$51)&lt;=AsOfDate,IF($R147=0,$X147,IF(AND($T147&lt;&gt;"",EDATE($D147,Milestones!$AA$51)&gt;=$T147),$W147,IF(AND($S147&lt;&gt;"",EDATE($D147,Milestones!$AA$51)&gt;=$S147),$V147,$U147)))=Milestones!$AB$51),UPPER(TEXT(EDATE($D147,Milestones!$AA$51),"dd mmm yy"))&amp;" "&amp;Milestones!$AB$51&amp;" "&amp;Milestones!$AC$51&amp;";  ","")&amp;IF(AND(EDATE($D147,Milestones!$AA$52)&lt;=AsOfDate,IF($R147=0,$X147,IF(AND($T147&lt;&gt;"",EDATE($D147,Milestones!$AA$52)&gt;=$T147),$W147,IF(AND($S147&lt;&gt;"",EDATE($D147,Milestones!$AA$52)&gt;=$S147),$V147,$U147)))=Milestones!$AB$52),UPPER(TEXT(EDATE($D147,Milestones!$AA$52),"dd mmm yy"))&amp;" "&amp;Milestones!$AB$52&amp;" "&amp;Milestones!$AC$52&amp;";  ","")&amp;IF(AND(EDATE($D147,Milestones!$AA$53)&lt;=AsOfDate,IF($R147=0,$X147,IF(AND($T147&lt;&gt;"",EDATE($D147,Milestones!$AA$53)&gt;=$T147),$W147,IF(AND($S147&lt;&gt;"",EDATE($D147,Milestones!$AA$53)&gt;=$S147),$V147,$U147)))=Milestones!$AB$53),UPPER(TEXT(EDATE($D147,Milestones!$AA$53),"dd mmm yy"))&amp;" "&amp;Milestones!$AB$53&amp;" "&amp;Milestones!$AC$53&amp;";  ","")&amp;IF(AND(EDATE($D147,Milestones!$AA$54)&lt;=AsOfDate,IF($R147=0,$X147,IF(AND($T147&lt;&gt;"",EDATE($D147,Milestones!$AA$54)&gt;=$T147),$W147,IF(AND($S147&lt;&gt;"",EDATE($D147,Milestones!$AA$54)&gt;=$S147),$V147,$U147)))=Milestones!$AB$54),UPPER(TEXT(EDATE($D147,Milestones!$AA$54),"dd mmm yy"))&amp;" "&amp;Milestones!$AB$54&amp;" "&amp;Milestones!$AC$54&amp;";  ","")&amp;IF(AND(EDATE($D147,Milestones!$AA$55)&lt;=AsOfDate,IF($R147=0,$X147,IF(AND($T147&lt;&gt;"",EDATE($D147,Milestones!$AA$55)&gt;=$T147),$W147,IF(AND($S147&lt;&gt;"",EDATE($D147,Milestones!$AA$55)&gt;=$S147),$V147,$U147)))=Milestones!$AB$55),UPPER(TEXT(EDATE($D147,Milestones!$AA$55),"dd mmm yy"))&amp;" "&amp;Milestones!$AB$55&amp;" "&amp;Milestones!$AC$55&amp;";  ","")&amp;IF(AND(EDATE($D147,Milestones!$AA$56)&lt;=AsOfDate,IF($R147=0,$X147,IF(AND($T147&lt;&gt;"",EDATE($D147,Milestones!$AA$56)&gt;=$T147),$W147,IF(AND($S147&lt;&gt;"",EDATE($D147,Milestones!$AA$56)&gt;=$S147),$V147,$U147)))=Milestones!$AB$56),UPPER(TEXT(EDATE($D147,Milestones!$AA$56),"dd mmm yy"))&amp;" "&amp;Milestones!$AB$56&amp;" "&amp;Milestones!$AC$56&amp;";  ","")&amp;IF(AND(EDATE($D147,Milestones!$AA$57)&lt;=AsOfDate,IF($R147=0,$X147,IF(AND($T147&lt;&gt;"",EDATE($D147,Milestones!$AA$57)&gt;=$T147),$W147,IF(AND($S147&lt;&gt;"",EDATE($D147,Milestones!$AA$57)&gt;=$S147),$V147,$U147)))=Milestones!$AB$57),UPPER(TEXT(EDATE($D147,Milestones!$AA$57),"dd mmm yy"))&amp;" "&amp;Milestones!$AB$57&amp;" "&amp;Milestones!$AC$57&amp;";  ","")&amp;IF(AND(EDATE($D147,Milestones!$AA$58)&lt;=AsOfDate,IF($R147=0,$X147,IF(AND($T147&lt;&gt;"",EDATE($D147,Milestones!$AA$58)&gt;=$T147),$W147,IF(AND($S147&lt;&gt;"",EDATE($D147,Milestones!$AA$58)&gt;=$S147),$V147,$U147)))=Milestones!$AB$58),UPPER(TEXT(EDATE($D147,Milestones!$AA$58),"dd mmm yy"))&amp;" "&amp;Milestones!$AB$58&amp;" "&amp;Milestones!$AC$58&amp;";  ","")&amp;IF(AND(EDATE($D147,Milestones!$AA$59)&lt;=AsOfDate,IF($R147=0,$X147,IF(AND($T147&lt;&gt;"",EDATE($D147,Milestones!$AA$59)&gt;=$T147),$W147,IF(AND($S147&lt;&gt;"",EDATE($D147,Milestones!$AA$59)&gt;=$S147),$V147,$U147)))=Milestones!$AB$59),UPPER(TEXT(EDATE($D147,Milestones!$AA$59),"dd mmm yy"))&amp;" "&amp;Milestones!$AB$59&amp;" "&amp;Milestones!$AC$59&amp;";  ",""))</f>
        <v/>
      </c>
      <c r="K147" s="0" t="str">
        <f aca="false">IF(OR($A147="",$D147=""),"",IF(AND(EDATE($D147,Milestones!$AA$60)&lt;=AsOfDate,IF($R147=0,$X147,IF(AND($T147&lt;&gt;"",EDATE($D147,Milestones!$AA$60)&gt;=$T147),$W147,IF(AND($S147&lt;&gt;"",EDATE($D147,Milestones!$AA$60)&gt;=$S147),$V147,$U147)))=Milestones!$AB$60),UPPER(TEXT(EDATE($D147,Milestones!$AA$60),"dd mmm yy"))&amp;" "&amp;Milestones!$AB$60&amp;" "&amp;Milestones!$AC$60&amp;";  ","")&amp;IF(AND(EDATE($D147,Milestones!$AA$61)&lt;=AsOfDate,IF($R147=0,$X147,IF(AND($T147&lt;&gt;"",EDATE($D147,Milestones!$AA$61)&gt;=$T147),$W147,IF(AND($S147&lt;&gt;"",EDATE($D147,Milestones!$AA$61)&gt;=$S147),$V147,$U147)))=Milestones!$AB$61),UPPER(TEXT(EDATE($D147,Milestones!$AA$61),"dd mmm yy"))&amp;" "&amp;Milestones!$AB$61&amp;" "&amp;Milestones!$AC$61&amp;";  ","")&amp;IF(AND(EDATE($D147,Milestones!$AA$62)&lt;=AsOfDate,IF($R147=0,$X147,IF(AND($T147&lt;&gt;"",EDATE($D147,Milestones!$AA$62)&gt;=$T147),$W147,IF(AND($S147&lt;&gt;"",EDATE($D147,Milestones!$AA$62)&gt;=$S147),$V147,$U147)))=Milestones!$AB$62),UPPER(TEXT(EDATE($D147,Milestones!$AA$62),"dd mmm yy"))&amp;" "&amp;Milestones!$AB$62&amp;" "&amp;Milestones!$AC$62&amp;";  ","")&amp;IF(AND(EDATE($D147,Milestones!$AA$63)&lt;=AsOfDate,IF($R147=0,$X147,IF(AND($T147&lt;&gt;"",EDATE($D147,Milestones!$AA$63)&gt;=$T147),$W147,IF(AND($S147&lt;&gt;"",EDATE($D147,Milestones!$AA$63)&gt;=$S147),$V147,$U147)))=Milestones!$AB$63),UPPER(TEXT(EDATE($D147,Milestones!$AA$63),"dd mmm yy"))&amp;" "&amp;Milestones!$AB$63&amp;" "&amp;Milestones!$AC$63&amp;";  ","")&amp;IF(AND(EDATE($D147,Milestones!$AA$64)&lt;=AsOfDate,IF($R147=0,$X147,IF(AND($T147&lt;&gt;"",EDATE($D147,Milestones!$AA$64)&gt;=$T147),$W147,IF(AND($S147&lt;&gt;"",EDATE($D147,Milestones!$AA$64)&gt;=$S147),$V147,$U147)))=Milestones!$AB$64),UPPER(TEXT(EDATE($D147,Milestones!$AA$64),"dd mmm yy"))&amp;" "&amp;Milestones!$AB$64&amp;" "&amp;Milestones!$AC$64&amp;";  ","")&amp;IF(AND(EDATE($D147,Milestones!$AA$65)&lt;=AsOfDate,IF($R147=0,$X147,IF(AND($T147&lt;&gt;"",EDATE($D147,Milestones!$AA$65)&gt;=$T147),$W147,IF(AND($S147&lt;&gt;"",EDATE($D147,Milestones!$AA$65)&gt;=$S147),$V147,$U147)))=Milestones!$AB$65),UPPER(TEXT(EDATE($D147,Milestones!$AA$65),"dd mmm yy"))&amp;" "&amp;Milestones!$AB$65&amp;" "&amp;Milestones!$AC$65&amp;";  ","")&amp;IF(AND(EDATE($D147,Milestones!$AA$66)&lt;=AsOfDate,IF($R147=0,$X147,IF(AND($T147&lt;&gt;"",EDATE($D147,Milestones!$AA$66)&gt;=$T147),$W147,IF(AND($S147&lt;&gt;"",EDATE($D147,Milestones!$AA$66)&gt;=$S147),$V147,$U147)))=Milestones!$AB$66),UPPER(TEXT(EDATE($D147,Milestones!$AA$66),"dd mmm yy"))&amp;" "&amp;Milestones!$AB$66&amp;" "&amp;Milestones!$AC$66&amp;";  ","")&amp;IF(AND(EDATE($D147,Milestones!$AA$67)&lt;=AsOfDate,IF($R147=0,$X147,IF(AND($T147&lt;&gt;"",EDATE($D147,Milestones!$AA$67)&gt;=$T147),$W147,IF(AND($S147&lt;&gt;"",EDATE($D147,Milestones!$AA$67)&gt;=$S147),$V147,$U147)))=Milestones!$AB$67),UPPER(TEXT(EDATE($D147,Milestones!$AA$67),"dd mmm yy"))&amp;" "&amp;Milestones!$AB$67&amp;" "&amp;Milestones!$AC$67&amp;";  ","")&amp;IF(AND(EDATE($D147,Milestones!$AA$68)&lt;=AsOfDate,IF($R147=0,$X147,IF(AND($T147&lt;&gt;"",EDATE($D147,Milestones!$AA$68)&gt;=$T147),$W147,IF(AND($S147&lt;&gt;"",EDATE($D147,Milestones!$AA$68)&gt;=$S147),$V147,$U147)))=Milestones!$AB$68),UPPER(TEXT(EDATE($D147,Milestones!$AA$68),"dd mmm yy"))&amp;" "&amp;Milestones!$AB$68&amp;" "&amp;Milestones!$AC$68&amp;";  ","")&amp;IF(AND(EDATE($D147,Milestones!$AA$69)&lt;=AsOfDate,IF($R147=0,$X147,IF(AND($T147&lt;&gt;"",EDATE($D147,Milestones!$AA$69)&gt;=$T147),$W147,IF(AND($S147&lt;&gt;"",EDATE($D147,Milestones!$AA$69)&gt;=$S147),$V147,$U147)))=Milestones!$AB$69),UPPER(TEXT(EDATE($D147,Milestones!$AA$69),"dd mmm yy"))&amp;" "&amp;Milestones!$AB$69&amp;" "&amp;Milestones!$AC$69&amp;";  ","")&amp;IF(AND(EDATE($D147,Milestones!$AA$70)&lt;=AsOfDate,IF($R147=0,$X147,IF(AND($T147&lt;&gt;"",EDATE($D147,Milestones!$AA$70)&gt;=$T147),$W147,IF(AND($S147&lt;&gt;"",EDATE($D147,Milestones!$AA$70)&gt;=$S147),$V147,$U147)))=Milestones!$AB$70),UPPER(TEXT(EDATE($D147,Milestones!$AA$70),"dd mmm yy"))&amp;" "&amp;Milestones!$AB$70&amp;" "&amp;Milestones!$AC$70&amp;";  ","")&amp;IF(AND(EDATE($D147,Milestones!$AA$71)&lt;=AsOfDate,IF($R147=0,$X147,IF(AND($T147&lt;&gt;"",EDATE($D147,Milestones!$AA$71)&gt;=$T147),$W147,IF(AND($S147&lt;&gt;"",EDATE($D147,Milestones!$AA$71)&gt;=$S147),$V147,$U147)))=Milestones!$AB$71),UPPER(TEXT(EDATE($D147,Milestones!$AA$71),"dd mmm yy"))&amp;" "&amp;Milestones!$AB$71&amp;" "&amp;Milestones!$AC$71&amp;";  ","")&amp;IF(AND(EDATE($D147,Milestones!$AA$72)&lt;=AsOfDate,IF($R147=0,$X147,IF(AND($T147&lt;&gt;"",EDATE($D147,Milestones!$AA$72)&gt;=$T147),$W147,IF(AND($S147&lt;&gt;"",EDATE($D147,Milestones!$AA$72)&gt;=$S147),$V147,$U147)))=Milestones!$AB$72),UPPER(TEXT(EDATE($D147,Milestones!$AA$72),"dd mmm yy"))&amp;" "&amp;Milestones!$AB$72&amp;" "&amp;Milestones!$AC$72&amp;";  ","")&amp;IF(AND(EDATE($D147,Milestones!$AA$73)&lt;=AsOfDate,IF($R147=0,$X147,IF(AND($T147&lt;&gt;"",EDATE($D147,Milestones!$AA$73)&gt;=$T147),$W147,IF(AND($S147&lt;&gt;"",EDATE($D147,Milestones!$AA$73)&gt;=$S147),$V147,$U147)))=Milestones!$AB$73),UPPER(TEXT(EDATE($D147,Milestones!$AA$73),"dd mmm yy"))&amp;" "&amp;Milestones!$AB$73&amp;" "&amp;Milestones!$AC$73&amp;";  ","")&amp;IF(AND(EDATE($D147,Milestones!$AA$74)&lt;=AsOfDate,IF($R147=0,$X147,IF(AND($T147&lt;&gt;"",EDATE($D147,Milestones!$AA$74)&gt;=$T147),$W147,IF(AND($S147&lt;&gt;"",EDATE($D147,Milestones!$AA$74)&gt;=$S147),$V147,$U147)))=Milestones!$AB$74),UPPER(TEXT(EDATE($D147,Milestones!$AA$74),"dd mmm yy"))&amp;" "&amp;Milestones!$AB$74&amp;" "&amp;Milestones!$AC$74&amp;";  ","")&amp;IF(AND(EDATE($D147,Milestones!$AA$75)&lt;=AsOfDate,IF($R147=0,$X147,IF(AND($T147&lt;&gt;"",EDATE($D147,Milestones!$AA$75)&gt;=$T147),$W147,IF(AND($S147&lt;&gt;"",EDATE($D147,Milestones!$AA$75)&gt;=$S147),$V147,$U147)))=Milestones!$AB$75),UPPER(TEXT(EDATE($D147,Milestones!$AA$75),"dd mmm yy"))&amp;" "&amp;Milestones!$AB$75&amp;" "&amp;Milestones!$AC$75&amp;";  ","")&amp;IF(AND(EDATE($D147,Milestones!$AA$76)&lt;=AsOfDate,IF($R147=0,$X147,IF(AND($T147&lt;&gt;"",EDATE($D147,Milestones!$AA$76)&gt;=$T147),$W147,IF(AND($S147&lt;&gt;"",EDATE($D147,Milestones!$AA$76)&gt;=$S147),$V147,$U147)))=Milestones!$AB$76),UPPER(TEXT(EDATE($D147,Milestones!$AA$76),"dd mmm yy"))&amp;" "&amp;Milestones!$AB$76&amp;" "&amp;Milestones!$AC$76&amp;";  ","")&amp;IF(AND(EDATE($D147,Milestones!$AA$77)&lt;=AsOfDate,IF($R147=0,$X147,IF(AND($T147&lt;&gt;"",EDATE($D147,Milestones!$AA$77)&gt;=$T147),$W147,IF(AND($S147&lt;&gt;"",EDATE($D147,Milestones!$AA$77)&gt;=$S147),$V147,$U147)))=Milestones!$AB$77),UPPER(TEXT(EDATE($D147,Milestones!$AA$77),"dd mmm yy"))&amp;" "&amp;Milestones!$AB$77&amp;" "&amp;Milestones!$AC$77&amp;";  ","")&amp;IF(AND(EDATE($D147,Milestones!$AA$78)&lt;=AsOfDate,IF($R147=0,$X147,IF(AND($T147&lt;&gt;"",EDATE($D147,Milestones!$AA$78)&gt;=$T147),$W147,IF(AND($S147&lt;&gt;"",EDATE($D147,Milestones!$AA$78)&gt;=$S147),$V147,$U147)))=Milestones!$AB$78),UPPER(TEXT(EDATE($D147,Milestones!$AA$78),"dd mmm yy"))&amp;" "&amp;Milestones!$AB$78&amp;" "&amp;Milestones!$AC$78&amp;";  ","")&amp;IF(AND(EDATE($D147,Milestones!$AA$79)&lt;=AsOfDate,IF($R147=0,$X147,IF(AND($T147&lt;&gt;"",EDATE($D147,Milestones!$AA$79)&gt;=$T147),$W147,IF(AND($S147&lt;&gt;"",EDATE($D147,Milestones!$AA$79)&gt;=$S147),$V147,$U147)))=Milestones!$AB$79),UPPER(TEXT(EDATE($D147,Milestones!$AA$79),"dd mmm yy"))&amp;" "&amp;Milestones!$AB$79&amp;" "&amp;Milestones!$AC$79&amp;";  ",""))</f>
        <v/>
      </c>
      <c r="L147" s="0" t="str">
        <f aca="false">IF(OR($A147="",$D147=""),"",IF(AND(EDATE($D147,Milestones!$AA$80)&lt;=AsOfDate,IF($R147=0,$X147,IF(AND($T147&lt;&gt;"",EDATE($D147,Milestones!$AA$80)&gt;=$T147),$W147,IF(AND($S147&lt;&gt;"",EDATE($D147,Milestones!$AA$80)&gt;=$S147),$V147,$U147)))=Milestones!$AB$80),UPPER(TEXT(EDATE($D147,Milestones!$AA$80),"dd mmm yy"))&amp;" "&amp;Milestones!$AB$80&amp;" "&amp;Milestones!$AC$80&amp;";  ","")&amp;IF(AND(EDATE($D147,Milestones!$AA$81)&lt;=AsOfDate,IF($R147=0,$X147,IF(AND($T147&lt;&gt;"",EDATE($D147,Milestones!$AA$81)&gt;=$T147),$W147,IF(AND($S147&lt;&gt;"",EDATE($D147,Milestones!$AA$81)&gt;=$S147),$V147,$U147)))=Milestones!$AB$81),UPPER(TEXT(EDATE($D147,Milestones!$AA$81),"dd mmm yy"))&amp;" "&amp;Milestones!$AB$81&amp;" "&amp;Milestones!$AC$81&amp;";  ","")&amp;IF(AND(EDATE($D147,Milestones!$AA$82)&lt;=AsOfDate,IF($R147=0,$X147,IF(AND($T147&lt;&gt;"",EDATE($D147,Milestones!$AA$82)&gt;=$T147),$W147,IF(AND($S147&lt;&gt;"",EDATE($D147,Milestones!$AA$82)&gt;=$S147),$V147,$U147)))=Milestones!$AB$82),UPPER(TEXT(EDATE($D147,Milestones!$AA$82),"dd mmm yy"))&amp;" "&amp;Milestones!$AB$82&amp;" "&amp;Milestones!$AC$82&amp;";  ","")&amp;IF(AND(EDATE($D147,Milestones!$AA$83)&lt;=AsOfDate,IF($R147=0,$X147,IF(AND($T147&lt;&gt;"",EDATE($D147,Milestones!$AA$83)&gt;=$T147),$W147,IF(AND($S147&lt;&gt;"",EDATE($D147,Milestones!$AA$83)&gt;=$S147),$V147,$U147)))=Milestones!$AB$83),UPPER(TEXT(EDATE($D147,Milestones!$AA$83),"dd mmm yy"))&amp;" "&amp;Milestones!$AB$83&amp;" "&amp;Milestones!$AC$83&amp;";  ","")&amp;IF(AND(EDATE($D147,Milestones!$AA$84)&lt;=AsOfDate,IF($R147=0,$X147,IF(AND($T147&lt;&gt;"",EDATE($D147,Milestones!$AA$84)&gt;=$T147),$W147,IF(AND($S147&lt;&gt;"",EDATE($D147,Milestones!$AA$84)&gt;=$S147),$V147,$U147)))=Milestones!$AB$84),UPPER(TEXT(EDATE($D147,Milestones!$AA$84),"dd mmm yy"))&amp;" "&amp;Milestones!$AB$84&amp;" "&amp;Milestones!$AC$84&amp;";  ","")&amp;IF(AND(EDATE($D147,Milestones!$AA$85)&lt;=AsOfDate,IF($R147=0,$X147,IF(AND($T147&lt;&gt;"",EDATE($D147,Milestones!$AA$85)&gt;=$T147),$W147,IF(AND($S147&lt;&gt;"",EDATE($D147,Milestones!$AA$85)&gt;=$S147),$V147,$U147)))=Milestones!$AB$85),UPPER(TEXT(EDATE($D147,Milestones!$AA$85),"dd mmm yy"))&amp;" "&amp;Milestones!$AB$85&amp;" "&amp;Milestones!$AC$85&amp;";  ","")&amp;IF(AND(EDATE($D147,Milestones!$AA$86)&lt;=AsOfDate,IF($R147=0,$X147,IF(AND($T147&lt;&gt;"",EDATE($D147,Milestones!$AA$86)&gt;=$T147),$W147,IF(AND($S147&lt;&gt;"",EDATE($D147,Milestones!$AA$86)&gt;=$S147),$V147,$U147)))=Milestones!$AB$86),UPPER(TEXT(EDATE($D147,Milestones!$AA$86),"dd mmm yy"))&amp;" "&amp;Milestones!$AB$86&amp;" "&amp;Milestones!$AC$86&amp;";  ","")&amp;IF(AND(EDATE($D147,Milestones!$AA$87)&lt;=AsOfDate,IF($R147=0,$X147,IF(AND($T147&lt;&gt;"",EDATE($D147,Milestones!$AA$87)&gt;=$T147),$W147,IF(AND($S147&lt;&gt;"",EDATE($D147,Milestones!$AA$87)&gt;=$S147),$V147,$U147)))=Milestones!$AB$87),UPPER(TEXT(EDATE($D147,Milestones!$AA$87),"dd mmm yy"))&amp;" "&amp;Milestones!$AB$87&amp;" "&amp;Milestones!$AC$87&amp;";  ","")&amp;IF(AND(EDATE($D147,Milestones!$AA$88)&lt;=AsOfDate,IF($R147=0,$X147,IF(AND($T147&lt;&gt;"",EDATE($D147,Milestones!$AA$88)&gt;=$T147),$W147,IF(AND($S147&lt;&gt;"",EDATE($D147,Milestones!$AA$88)&gt;=$S147),$V147,$U147)))=Milestones!$AB$88),UPPER(TEXT(EDATE($D147,Milestones!$AA$88),"dd mmm yy"))&amp;" "&amp;Milestones!$AB$88&amp;" "&amp;Milestones!$AC$88&amp;";  ","")&amp;IF(AND(EDATE($D147,Milestones!$AA$89)&lt;=AsOfDate,IF($R147=0,$X147,IF(AND($T147&lt;&gt;"",EDATE($D147,Milestones!$AA$89)&gt;=$T147),$W147,IF(AND($S147&lt;&gt;"",EDATE($D147,Milestones!$AA$89)&gt;=$S147),$V147,$U147)))=Milestones!$AB$89),UPPER(TEXT(EDATE($D147,Milestones!$AA$89),"dd mmm yy"))&amp;" "&amp;Milestones!$AB$89&amp;" "&amp;Milestones!$AC$89&amp;";  ","")&amp;IF(AND(EDATE($D147,Milestones!$AA$90)&lt;=AsOfDate,IF($R147=0,$X147,IF(AND($T147&lt;&gt;"",EDATE($D147,Milestones!$AA$90)&gt;=$T147),$W147,IF(AND($S147&lt;&gt;"",EDATE($D147,Milestones!$AA$90)&gt;=$S147),$V147,$U147)))=Milestones!$AB$90),UPPER(TEXT(EDATE($D147,Milestones!$AA$90),"dd mmm yy"))&amp;" "&amp;Milestones!$AB$90&amp;" "&amp;Milestones!$AC$90&amp;";  ","")&amp;IF(AND(EDATE($D147,Milestones!$AA$91)&lt;=AsOfDate,IF($R147=0,$X147,IF(AND($T147&lt;&gt;"",EDATE($D147,Milestones!$AA$91)&gt;=$T147),$W147,IF(AND($S147&lt;&gt;"",EDATE($D147,Milestones!$AA$91)&gt;=$S147),$V147,$U147)))=Milestones!$AB$91),UPPER(TEXT(EDATE($D147,Milestones!$AA$91),"dd mmm yy"))&amp;" "&amp;Milestones!$AB$91&amp;" "&amp;Milestones!$AC$91&amp;";  ","")&amp;IF(AND(EDATE($D147,Milestones!$AA$92)&lt;=AsOfDate,IF($R147=0,$X147,IF(AND($T147&lt;&gt;"",EDATE($D147,Milestones!$AA$92)&gt;=$T147),$W147,IF(AND($S147&lt;&gt;"",EDATE($D147,Milestones!$AA$92)&gt;=$S147),$V147,$U147)))=Milestones!$AB$92),UPPER(TEXT(EDATE($D147,Milestones!$AA$92),"dd mmm yy"))&amp;" "&amp;Milestones!$AB$92&amp;" "&amp;Milestones!$AC$92&amp;";  ","")&amp;IF(AND(EDATE($D147,Milestones!$AA$93)&lt;=AsOfDate,IF($R147=0,$X147,IF(AND($T147&lt;&gt;"",EDATE($D147,Milestones!$AA$93)&gt;=$T147),$W147,IF(AND($S147&lt;&gt;"",EDATE($D147,Milestones!$AA$93)&gt;=$S147),$V147,$U147)))=Milestones!$AB$93),UPPER(TEXT(EDATE($D147,Milestones!$AA$93),"dd mmm yy"))&amp;" "&amp;Milestones!$AB$93&amp;" "&amp;Milestones!$AC$93&amp;";  ","")&amp;IF(AND(EDATE($D147,Milestones!$AA$94)&lt;=AsOfDate,IF($R147=0,$X147,IF(AND($T147&lt;&gt;"",EDATE($D147,Milestones!$AA$94)&gt;=$T147),$W147,IF(AND($S147&lt;&gt;"",EDATE($D147,Milestones!$AA$94)&gt;=$S147),$V147,$U147)))=Milestones!$AB$94),UPPER(TEXT(EDATE($D147,Milestones!$AA$94),"dd mmm yy"))&amp;" "&amp;Milestones!$AB$94&amp;" "&amp;Milestones!$AC$94&amp;";  ","")&amp;IF(AND(EDATE($D147,Milestones!$AA$95)&lt;=AsOfDate,IF($R147=0,$X147,IF(AND($T147&lt;&gt;"",EDATE($D147,Milestones!$AA$95)&gt;=$T147),$W147,IF(AND($S147&lt;&gt;"",EDATE($D147,Milestones!$AA$95)&gt;=$S147),$V147,$U147)))=Milestones!$AB$95),UPPER(TEXT(EDATE($D147,Milestones!$AA$95),"dd mmm yy"))&amp;" "&amp;Milestones!$AB$95&amp;" "&amp;Milestones!$AC$95&amp;";  ","")&amp;IF(AND(EDATE($D147,Milestones!$AA$96)&lt;=AsOfDate,IF($R147=0,$X147,IF(AND($T147&lt;&gt;"",EDATE($D147,Milestones!$AA$96)&gt;=$T147),$W147,IF(AND($S147&lt;&gt;"",EDATE($D147,Milestones!$AA$96)&gt;=$S147),$V147,$U147)))=Milestones!$AB$96),UPPER(TEXT(EDATE($D147,Milestones!$AA$96),"dd mmm yy"))&amp;" "&amp;Milestones!$AB$96&amp;" "&amp;Milestones!$AC$96&amp;";  ","")&amp;IF(AND(EDATE($D147,Milestones!$AA$97)&lt;=AsOfDate,IF($R147=0,$X147,IF(AND($T147&lt;&gt;"",EDATE($D147,Milestones!$AA$97)&gt;=$T147),$W147,IF(AND($S147&lt;&gt;"",EDATE($D147,Milestones!$AA$97)&gt;=$S147),$V147,$U147)))=Milestones!$AB$97),UPPER(TEXT(EDATE($D147,Milestones!$AA$97),"dd mmm yy"))&amp;" "&amp;Milestones!$AB$97&amp;" "&amp;Milestones!$AC$97&amp;";  ","")&amp;IF(AND(EDATE($D147,Milestones!$AA$98)&lt;=AsOfDate,IF($R147=0,$X147,IF(AND($T147&lt;&gt;"",EDATE($D147,Milestones!$AA$98)&gt;=$T147),$W147,IF(AND($S147&lt;&gt;"",EDATE($D147,Milestones!$AA$98)&gt;=$S147),$V147,$U147)))=Milestones!$AB$98),UPPER(TEXT(EDATE($D147,Milestones!$AA$98),"dd mmm yy"))&amp;" "&amp;Milestones!$AB$98&amp;" "&amp;Milestones!$AC$98&amp;";  ","")&amp;IF(AND(EDATE($D147,Milestones!$AA$99)&lt;=AsOfDate,IF($R147=0,$X147,IF(AND($T147&lt;&gt;"",EDATE($D147,Milestones!$AA$99)&gt;=$T147),$W147,IF(AND($S147&lt;&gt;"",EDATE($D147,Milestones!$AA$99)&gt;=$S147),$V147,$U147)))=Milestones!$AB$99),UPPER(TEXT(EDATE($D147,Milestones!$AA$99),"dd mmm yy"))&amp;" "&amp;Milestones!$AB$99&amp;" "&amp;Milestones!$AC$99&amp;";  ",""))</f>
        <v/>
      </c>
      <c r="M147" s="0" t="str">
        <f aca="false">IF(OR($A147="",$D147=""),"",IF(AND(EDATE($D147,Milestones!$AA$100)&lt;=AsOfDate,IF($R147=0,$X147,IF(AND($T147&lt;&gt;"",EDATE($D147,Milestones!$AA$100)&gt;=$T147),$W147,IF(AND($S147&lt;&gt;"",EDATE($D147,Milestones!$AA$100)&gt;=$S147),$V147,$U147)))=Milestones!$AB$100),UPPER(TEXT(EDATE($D147,Milestones!$AA$100),"dd mmm yy"))&amp;" "&amp;Milestones!$AB$100&amp;" "&amp;Milestones!$AC$100&amp;";  ","")&amp;IF(AND(EDATE($D147,Milestones!$AA$101)&lt;=AsOfDate,IF($R147=0,$X147,IF(AND($T147&lt;&gt;"",EDATE($D147,Milestones!$AA$101)&gt;=$T147),$W147,IF(AND($S147&lt;&gt;"",EDATE($D147,Milestones!$AA$101)&gt;=$S147),$V147,$U147)))=Milestones!$AB$101),UPPER(TEXT(EDATE($D147,Milestones!$AA$101),"dd mmm yy"))&amp;" "&amp;Milestones!$AB$101&amp;" "&amp;Milestones!$AC$101&amp;";  ","")&amp;IF(AND(EDATE($D147,Milestones!$AA$102)&lt;=AsOfDate,IF($R147=0,$X147,IF(AND($T147&lt;&gt;"",EDATE($D147,Milestones!$AA$102)&gt;=$T147),$W147,IF(AND($S147&lt;&gt;"",EDATE($D147,Milestones!$AA$102)&gt;=$S147),$V147,$U147)))=Milestones!$AB$102),UPPER(TEXT(EDATE($D147,Milestones!$AA$102),"dd mmm yy"))&amp;" "&amp;Milestones!$AB$102&amp;" "&amp;Milestones!$AC$102&amp;";  ","")&amp;IF(AND(EDATE($D147,Milestones!$AA$103)&lt;=AsOfDate,IF($R147=0,$X147,IF(AND($T147&lt;&gt;"",EDATE($D147,Milestones!$AA$103)&gt;=$T147),$W147,IF(AND($S147&lt;&gt;"",EDATE($D147,Milestones!$AA$103)&gt;=$S147),$V147,$U147)))=Milestones!$AB$103),UPPER(TEXT(EDATE($D147,Milestones!$AA$103),"dd mmm yy"))&amp;" "&amp;Milestones!$AB$103&amp;" "&amp;Milestones!$AC$103&amp;";  ","")&amp;IF(AND(EDATE($D147,Milestones!$AA$104)&lt;=AsOfDate,IF($R147=0,$X147,IF(AND($T147&lt;&gt;"",EDATE($D147,Milestones!$AA$104)&gt;=$T147),$W147,IF(AND($S147&lt;&gt;"",EDATE($D147,Milestones!$AA$104)&gt;=$S147),$V147,$U147)))=Milestones!$AB$104),UPPER(TEXT(EDATE($D147,Milestones!$AA$104),"dd mmm yy"))&amp;" "&amp;Milestones!$AB$104&amp;" "&amp;Milestones!$AC$104&amp;";  ","")&amp;IF(AND(EDATE($D147,Milestones!$AA$105)&lt;=AsOfDate,IF($R147=0,$X147,IF(AND($T147&lt;&gt;"",EDATE($D147,Milestones!$AA$105)&gt;=$T147),$W147,IF(AND($S147&lt;&gt;"",EDATE($D147,Milestones!$AA$105)&gt;=$S147),$V147,$U147)))=Milestones!$AB$105),UPPER(TEXT(EDATE($D147,Milestones!$AA$105),"dd mmm yy"))&amp;" "&amp;Milestones!$AB$105&amp;" "&amp;Milestones!$AC$105&amp;";  ","")&amp;IF(AND(EDATE($D147,Milestones!$AA$106)&lt;=AsOfDate,IF($R147=0,$X147,IF(AND($T147&lt;&gt;"",EDATE($D147,Milestones!$AA$106)&gt;=$T147),$W147,IF(AND($S147&lt;&gt;"",EDATE($D147,Milestones!$AA$106)&gt;=$S147),$V147,$U147)))=Milestones!$AB$106),UPPER(TEXT(EDATE($D147,Milestones!$AA$106),"dd mmm yy"))&amp;" "&amp;Milestones!$AB$106&amp;" "&amp;Milestones!$AC$106&amp;";  ","")&amp;IF(AND(EDATE($D147,Milestones!$AA$107)&lt;=AsOfDate,IF($R147=0,$X147,IF(AND($T147&lt;&gt;"",EDATE($D147,Milestones!$AA$107)&gt;=$T147),$W147,IF(AND($S147&lt;&gt;"",EDATE($D147,Milestones!$AA$107)&gt;=$S147),$V147,$U147)))=Milestones!$AB$107),UPPER(TEXT(EDATE($D147,Milestones!$AA$107),"dd mmm yy"))&amp;" "&amp;Milestones!$AB$107&amp;" "&amp;Milestones!$AC$107&amp;";  ","")&amp;IF(AND(EDATE($D147,Milestones!$AA$108)&lt;=AsOfDate,IF($R147=0,$X147,IF(AND($T147&lt;&gt;"",EDATE($D147,Milestones!$AA$108)&gt;=$T147),$W147,IF(AND($S147&lt;&gt;"",EDATE($D147,Milestones!$AA$108)&gt;=$S147),$V147,$U147)))=Milestones!$AB$108),UPPER(TEXT(EDATE($D147,Milestones!$AA$108),"dd mmm yy"))&amp;" "&amp;Milestones!$AB$108&amp;" "&amp;Milestones!$AC$108&amp;";  ","")&amp;IF(AND(EDATE($D147,Milestones!$AA$109)&lt;=AsOfDate,IF($R147=0,$X147,IF(AND($T147&lt;&gt;"",EDATE($D147,Milestones!$AA$109)&gt;=$T147),$W147,IF(AND($S147&lt;&gt;"",EDATE($D147,Milestones!$AA$109)&gt;=$S147),$V147,$U147)))=Milestones!$AB$109),UPPER(TEXT(EDATE($D147,Milestones!$AA$109),"dd mmm yy"))&amp;" "&amp;Milestones!$AB$109&amp;" "&amp;Milestones!$AC$109&amp;";  ","")&amp;IF(AND(EDATE($D147,Milestones!$AA$110)&lt;=AsOfDate,IF($R147=0,$X147,IF(AND($T147&lt;&gt;"",EDATE($D147,Milestones!$AA$110)&gt;=$T147),$W147,IF(AND($S147&lt;&gt;"",EDATE($D147,Milestones!$AA$110)&gt;=$S147),$V147,$U147)))=Milestones!$AB$110),UPPER(TEXT(EDATE($D147,Milestones!$AA$110),"dd mmm yy"))&amp;" "&amp;Milestones!$AB$110&amp;" "&amp;Milestones!$AC$110&amp;";  ","")&amp;IF(AND(EDATE($D147,Milestones!$AA$111)&lt;=AsOfDate,IF($R147=0,$X147,IF(AND($T147&lt;&gt;"",EDATE($D147,Milestones!$AA$111)&gt;=$T147),$W147,IF(AND($S147&lt;&gt;"",EDATE($D147,Milestones!$AA$111)&gt;=$S147),$V147,$U147)))=Milestones!$AB$111),UPPER(TEXT(EDATE($D147,Milestones!$AA$111),"dd mmm yy"))&amp;" "&amp;Milestones!$AB$111&amp;" "&amp;Milestones!$AC$111&amp;";  ","")&amp;IF(AND(EDATE($D147,Milestones!$AA$112)&lt;=AsOfDate,IF($R147=0,$X147,IF(AND($T147&lt;&gt;"",EDATE($D147,Milestones!$AA$112)&gt;=$T147),$W147,IF(AND($S147&lt;&gt;"",EDATE($D147,Milestones!$AA$112)&gt;=$S147),$V147,$U147)))=Milestones!$AB$112),UPPER(TEXT(EDATE($D147,Milestones!$AA$112),"dd mmm yy"))&amp;" "&amp;Milestones!$AB$112&amp;" "&amp;Milestones!$AC$112&amp;";  ","")&amp;IF(AND(EDATE($D147,Milestones!$AA$113)&lt;=AsOfDate,IF($R147=0,$X147,IF(AND($T147&lt;&gt;"",EDATE($D147,Milestones!$AA$113)&gt;=$T147),$W147,IF(AND($S147&lt;&gt;"",EDATE($D147,Milestones!$AA$113)&gt;=$S147),$V147,$U147)))=Milestones!$AB$113),UPPER(TEXT(EDATE($D147,Milestones!$AA$113),"dd mmm yy"))&amp;" "&amp;Milestones!$AB$113&amp;" "&amp;Milestones!$AC$113&amp;";  ","")&amp;IF(AND(EDATE($D147,Milestones!$AA$114)&lt;=AsOfDate,IF($R147=0,$X147,IF(AND($T147&lt;&gt;"",EDATE($D147,Milestones!$AA$114)&gt;=$T147),$W147,IF(AND($S147&lt;&gt;"",EDATE($D147,Milestones!$AA$114)&gt;=$S147),$V147,$U147)))=Milestones!$AB$114),UPPER(TEXT(EDATE($D147,Milestones!$AA$114),"dd mmm yy"))&amp;" "&amp;Milestones!$AB$114&amp;" "&amp;Milestones!$AC$114&amp;";  ","")&amp;IF(AND(EDATE($D147,Milestones!$AA$115)&lt;=AsOfDate,IF($R147=0,$X147,IF(AND($T147&lt;&gt;"",EDATE($D147,Milestones!$AA$115)&gt;=$T147),$W147,IF(AND($S147&lt;&gt;"",EDATE($D147,Milestones!$AA$115)&gt;=$S147),$V147,$U147)))=Milestones!$AB$115),UPPER(TEXT(EDATE($D147,Milestones!$AA$115),"dd mmm yy"))&amp;" "&amp;Milestones!$AB$115&amp;" "&amp;Milestones!$AC$115&amp;";  ","")&amp;IF(AND(EDATE($D147,Milestones!$AA$116)&lt;=AsOfDate,IF($R147=0,$X147,IF(AND($T147&lt;&gt;"",EDATE($D147,Milestones!$AA$116)&gt;=$T147),$W147,IF(AND($S147&lt;&gt;"",EDATE($D147,Milestones!$AA$116)&gt;=$S147),$V147,$U147)))=Milestones!$AB$116),UPPER(TEXT(EDATE($D147,Milestones!$AA$116),"dd mmm yy"))&amp;" "&amp;Milestones!$AB$116&amp;" "&amp;Milestones!$AC$116&amp;";  ","")&amp;IF(AND(EDATE($D147,Milestones!$AA$117)&lt;=AsOfDate,IF($R147=0,$X147,IF(AND($T147&lt;&gt;"",EDATE($D147,Milestones!$AA$117)&gt;=$T147),$W147,IF(AND($S147&lt;&gt;"",EDATE($D147,Milestones!$AA$117)&gt;=$S147),$V147,$U147)))=Milestones!$AB$117),UPPER(TEXT(EDATE($D147,Milestones!$AA$117),"dd mmm yy"))&amp;" "&amp;Milestones!$AB$117&amp;" "&amp;Milestones!$AC$117&amp;";  ","")&amp;IF(AND(EDATE($D147,Milestones!$AA$118)&lt;=AsOfDate,IF($R147=0,$X147,IF(AND($T147&lt;&gt;"",EDATE($D147,Milestones!$AA$118)&gt;=$T147),$W147,IF(AND($S147&lt;&gt;"",EDATE($D147,Milestones!$AA$118)&gt;=$S147),$V147,$U147)))=Milestones!$AB$118),UPPER(TEXT(EDATE($D147,Milestones!$AA$118),"dd mmm yy"))&amp;" "&amp;Milestones!$AB$118&amp;" "&amp;Milestones!$AC$118&amp;";  ","")&amp;IF(AND(EDATE($D147,Milestones!$AA$119)&lt;=AsOfDate,IF($R147=0,$X147,IF(AND($T147&lt;&gt;"",EDATE($D147,Milestones!$AA$119)&gt;=$T147),$W147,IF(AND($S147&lt;&gt;"",EDATE($D147,Milestones!$AA$119)&gt;=$S147),$V147,$U147)))=Milestones!$AB$119),UPPER(TEXT(EDATE($D147,Milestones!$AA$119),"dd mmm yy"))&amp;" "&amp;Milestones!$AB$119&amp;" "&amp;Milestones!$AC$119&amp;";  ",""))</f>
        <v/>
      </c>
      <c r="N147" s="0" t="str">
        <f aca="false">IF(OR($A147="",$D147=""),"",IF(AND(EDATE($D147,Milestones!$AA$120)&lt;=AsOfDate,IF($R147=0,$X147,IF(AND($T147&lt;&gt;"",EDATE($D147,Milestones!$AA$120)&gt;=$T147),$W147,IF(AND($S147&lt;&gt;"",EDATE($D147,Milestones!$AA$120)&gt;=$S147),$V147,$U147)))=Milestones!$AB$120),UPPER(TEXT(EDATE($D147,Milestones!$AA$120),"dd mmm yy"))&amp;" "&amp;Milestones!$AB$120&amp;" "&amp;Milestones!$AC$120&amp;";  ","")&amp;IF(AND(EDATE($D147,Milestones!$AA$121)&lt;=AsOfDate,IF($R147=0,$X147,IF(AND($T147&lt;&gt;"",EDATE($D147,Milestones!$AA$121)&gt;=$T147),$W147,IF(AND($S147&lt;&gt;"",EDATE($D147,Milestones!$AA$121)&gt;=$S147),$V147,$U147)))=Milestones!$AB$121),UPPER(TEXT(EDATE($D147,Milestones!$AA$121),"dd mmm yy"))&amp;" "&amp;Milestones!$AB$121&amp;" "&amp;Milestones!$AC$121&amp;";  ","")&amp;IF(AND(EDATE($D147,Milestones!$AA$122)&lt;=AsOfDate,IF($R147=0,$X147,IF(AND($T147&lt;&gt;"",EDATE($D147,Milestones!$AA$122)&gt;=$T147),$W147,IF(AND($S147&lt;&gt;"",EDATE($D147,Milestones!$AA$122)&gt;=$S147),$V147,$U147)))=Milestones!$AB$122),UPPER(TEXT(EDATE($D147,Milestones!$AA$122),"dd mmm yy"))&amp;" "&amp;Milestones!$AB$122&amp;" "&amp;Milestones!$AC$122&amp;";  ","")&amp;IF(AND(EDATE($D147,Milestones!$AA$123)&lt;=AsOfDate,IF($R147=0,$X147,IF(AND($T147&lt;&gt;"",EDATE($D147,Milestones!$AA$123)&gt;=$T147),$W147,IF(AND($S147&lt;&gt;"",EDATE($D147,Milestones!$AA$123)&gt;=$S147),$V147,$U147)))=Milestones!$AB$123),UPPER(TEXT(EDATE($D147,Milestones!$AA$123),"dd mmm yy"))&amp;" "&amp;Milestones!$AB$123&amp;" "&amp;Milestones!$AC$123&amp;";  ","")&amp;IF(AND(EDATE($D147,Milestones!$AA$124)&lt;=AsOfDate,IF($R147=0,$X147,IF(AND($T147&lt;&gt;"",EDATE($D147,Milestones!$AA$124)&gt;=$T147),$W147,IF(AND($S147&lt;&gt;"",EDATE($D147,Milestones!$AA$124)&gt;=$S147),$V147,$U147)))=Milestones!$AB$124),UPPER(TEXT(EDATE($D147,Milestones!$AA$124),"dd mmm yy"))&amp;" "&amp;Milestones!$AB$124&amp;" "&amp;Milestones!$AC$124&amp;";  ","")&amp;IF(AND(EDATE($D147,Milestones!$AA$125)&lt;=AsOfDate,IF($R147=0,$X147,IF(AND($T147&lt;&gt;"",EDATE($D147,Milestones!$AA$125)&gt;=$T147),$W147,IF(AND($S147&lt;&gt;"",EDATE($D147,Milestones!$AA$125)&gt;=$S147),$V147,$U147)))=Milestones!$AB$125),UPPER(TEXT(EDATE($D147,Milestones!$AA$125),"dd mmm yy"))&amp;" "&amp;Milestones!$AB$125&amp;" "&amp;Milestones!$AC$125&amp;";  ","")&amp;IF(AND(EDATE($D147,Milestones!$AA$126)&lt;=AsOfDate,IF($R147=0,$X147,IF(AND($T147&lt;&gt;"",EDATE($D147,Milestones!$AA$126)&gt;=$T147),$W147,IF(AND($S147&lt;&gt;"",EDATE($D147,Milestones!$AA$126)&gt;=$S147),$V147,$U147)))=Milestones!$AB$126),UPPER(TEXT(EDATE($D147,Milestones!$AA$126),"dd mmm yy"))&amp;" "&amp;Milestones!$AB$126&amp;" "&amp;Milestones!$AC$126&amp;";  ","")&amp;IF(AND(EDATE($D147,Milestones!$AA$127)&lt;=AsOfDate,IF($R147=0,$X147,IF(AND($T147&lt;&gt;"",EDATE($D147,Milestones!$AA$127)&gt;=$T147),$W147,IF(AND($S147&lt;&gt;"",EDATE($D147,Milestones!$AA$127)&gt;=$S147),$V147,$U147)))=Milestones!$AB$127),UPPER(TEXT(EDATE($D147,Milestones!$AA$127),"dd mmm yy"))&amp;" "&amp;Milestones!$AB$127&amp;" "&amp;Milestones!$AC$127&amp;";  ","")&amp;IF(AND(EDATE($D147,Milestones!$AA$128)&lt;=AsOfDate,IF($R147=0,$X147,IF(AND($T147&lt;&gt;"",EDATE($D147,Milestones!$AA$128)&gt;=$T147),$W147,IF(AND($S147&lt;&gt;"",EDATE($D147,Milestones!$AA$128)&gt;=$S147),$V147,$U147)))=Milestones!$AB$128),UPPER(TEXT(EDATE($D147,Milestones!$AA$128),"dd mmm yy"))&amp;" "&amp;Milestones!$AB$128&amp;" "&amp;Milestones!$AC$128&amp;";  ","")&amp;IF(AND(EDATE($D147,Milestones!$AA$129)&lt;=AsOfDate,IF($R147=0,$X147,IF(AND($T147&lt;&gt;"",EDATE($D147,Milestones!$AA$129)&gt;=$T147),$W147,IF(AND($S147&lt;&gt;"",EDATE($D147,Milestones!$AA$129)&gt;=$S147),$V147,$U147)))=Milestones!$AB$129),UPPER(TEXT(EDATE($D147,Milestones!$AA$129),"dd mmm yy"))&amp;" "&amp;Milestones!$AB$129&amp;" "&amp;Milestones!$AC$129&amp;";  ","")&amp;IF(AND(EDATE($D147,Milestones!$AA$130)&lt;=AsOfDate,IF($R147=0,$X147,IF(AND($T147&lt;&gt;"",EDATE($D147,Milestones!$AA$130)&gt;=$T147),$W147,IF(AND($S147&lt;&gt;"",EDATE($D147,Milestones!$AA$130)&gt;=$S147),$V147,$U147)))=Milestones!$AB$130),UPPER(TEXT(EDATE($D147,Milestones!$AA$130),"dd mmm yy"))&amp;" "&amp;Milestones!$AB$130&amp;" "&amp;Milestones!$AC$130&amp;";  ","")&amp;IF(AND(EDATE($D147,Milestones!$AA$131)&lt;=AsOfDate,IF($R147=0,$X147,IF(AND($T147&lt;&gt;"",EDATE($D147,Milestones!$AA$131)&gt;=$T147),$W147,IF(AND($S147&lt;&gt;"",EDATE($D147,Milestones!$AA$131)&gt;=$S147),$V147,$U147)))=Milestones!$AB$131),UPPER(TEXT(EDATE($D147,Milestones!$AA$131),"dd mmm yy"))&amp;" "&amp;Milestones!$AB$131&amp;" "&amp;Milestones!$AC$131&amp;";  ","")&amp;IF(AND(EDATE($D147,Milestones!$AA$132)&lt;=AsOfDate,IF($R147=0,$X147,IF(AND($T147&lt;&gt;"",EDATE($D147,Milestones!$AA$132)&gt;=$T147),$W147,IF(AND($S147&lt;&gt;"",EDATE($D147,Milestones!$AA$132)&gt;=$S147),$V147,$U147)))=Milestones!$AB$132),UPPER(TEXT(EDATE($D147,Milestones!$AA$132),"dd mmm yy"))&amp;" "&amp;Milestones!$AB$132&amp;" "&amp;Milestones!$AC$132&amp;";  ","")&amp;IF(AND(EDATE($D147,Milestones!$AA$133)&lt;=AsOfDate,IF($R147=0,$X147,IF(AND($T147&lt;&gt;"",EDATE($D147,Milestones!$AA$133)&gt;=$T147),$W147,IF(AND($S147&lt;&gt;"",EDATE($D147,Milestones!$AA$133)&gt;=$S147),$V147,$U147)))=Milestones!$AB$133),UPPER(TEXT(EDATE($D147,Milestones!$AA$133),"dd mmm yy"))&amp;" "&amp;Milestones!$AB$133&amp;" "&amp;Milestones!$AC$133&amp;";  ","")&amp;IF(AND(EDATE($D147,Milestones!$AA$134)&lt;=AsOfDate,IF($R147=0,$X147,IF(AND($T147&lt;&gt;"",EDATE($D147,Milestones!$AA$134)&gt;=$T147),$W147,IF(AND($S147&lt;&gt;"",EDATE($D147,Milestones!$AA$134)&gt;=$S147),$V147,$U147)))=Milestones!$AB$134),UPPER(TEXT(EDATE($D147,Milestones!$AA$134),"dd mmm yy"))&amp;" "&amp;Milestones!$AB$134&amp;" "&amp;Milestones!$AC$134&amp;";  ","")&amp;IF(AND(EDATE($D147,Milestones!$AA$135)&lt;=AsOfDate,IF($R147=0,$X147,IF(AND($T147&lt;&gt;"",EDATE($D147,Milestones!$AA$135)&gt;=$T147),$W147,IF(AND($S147&lt;&gt;"",EDATE($D147,Milestones!$AA$135)&gt;=$S147),$V147,$U147)))=Milestones!$AB$135),UPPER(TEXT(EDATE($D147,Milestones!$AA$135),"dd mmm yy"))&amp;" "&amp;Milestones!$AB$135&amp;" "&amp;Milestones!$AC$135&amp;";  ","")&amp;IF(AND(EDATE($D147,Milestones!$AA$136)&lt;=AsOfDate,IF($R147=0,$X147,IF(AND($T147&lt;&gt;"",EDATE($D147,Milestones!$AA$136)&gt;=$T147),$W147,IF(AND($S147&lt;&gt;"",EDATE($D147,Milestones!$AA$136)&gt;=$S147),$V147,$U147)))=Milestones!$AB$136),UPPER(TEXT(EDATE($D147,Milestones!$AA$136),"dd mmm yy"))&amp;" "&amp;Milestones!$AB$136&amp;" "&amp;Milestones!$AC$136&amp;";  ","")&amp;IF(AND(EDATE($D147,Milestones!$AA$137)&lt;=AsOfDate,IF($R147=0,$X147,IF(AND($T147&lt;&gt;"",EDATE($D147,Milestones!$AA$137)&gt;=$T147),$W147,IF(AND($S147&lt;&gt;"",EDATE($D147,Milestones!$AA$137)&gt;=$S147),$V147,$U147)))=Milestones!$AB$137),UPPER(TEXT(EDATE($D147,Milestones!$AA$137),"dd mmm yy"))&amp;" "&amp;Milestones!$AB$137&amp;" "&amp;Milestones!$AC$137&amp;";  ","")&amp;IF(AND(EDATE($D147,Milestones!$AA$138)&lt;=AsOfDate,IF($R147=0,$X147,IF(AND($T147&lt;&gt;"",EDATE($D147,Milestones!$AA$138)&gt;=$T147),$W147,IF(AND($S147&lt;&gt;"",EDATE($D147,Milestones!$AA$138)&gt;=$S147),$V147,$U147)))=Milestones!$AB$138),UPPER(TEXT(EDATE($D147,Milestones!$AA$138),"dd mmm yy"))&amp;" "&amp;Milestones!$AB$138&amp;" "&amp;Milestones!$AC$138&amp;";  ","")&amp;IF(AND(EDATE($D147,Milestones!$AA$139)&lt;=AsOfDate,IF($R147=0,$X147,IF(AND($T147&lt;&gt;"",EDATE($D147,Milestones!$AA$139)&gt;=$T147),$W147,IF(AND($S147&lt;&gt;"",EDATE($D147,Milestones!$AA$139)&gt;=$S147),$V147,$U147)))=Milestones!$AB$139),UPPER(TEXT(EDATE($D147,Milestones!$AA$139),"dd mmm yy"))&amp;" "&amp;Milestones!$AB$139&amp;" "&amp;Milestones!$AC$139&amp;";  ",""))</f>
        <v/>
      </c>
      <c r="O147" s="0" t="str">
        <f aca="false">IF(OR($A147="",$D147=""),"",IF(AND(EDATE($D147,Milestones!$AA$140)&lt;=AsOfDate,IF($R147=0,$X147,IF(AND($T147&lt;&gt;"",EDATE($D147,Milestones!$AA$140)&gt;=$T147),$W147,IF(AND($S147&lt;&gt;"",EDATE($D147,Milestones!$AA$140)&gt;=$S147),$V147,$U147)))=Milestones!$AB$140),UPPER(TEXT(EDATE($D147,Milestones!$AA$140),"dd mmm yy"))&amp;" "&amp;Milestones!$AB$140&amp;" "&amp;Milestones!$AC$140&amp;";  ","")&amp;IF(AND(EDATE($D147,Milestones!$AA$141)&lt;=AsOfDate,IF($R147=0,$X147,IF(AND($T147&lt;&gt;"",EDATE($D147,Milestones!$AA$141)&gt;=$T147),$W147,IF(AND($S147&lt;&gt;"",EDATE($D147,Milestones!$AA$141)&gt;=$S147),$V147,$U147)))=Milestones!$AB$141),UPPER(TEXT(EDATE($D147,Milestones!$AA$141),"dd mmm yy"))&amp;" "&amp;Milestones!$AB$141&amp;" "&amp;Milestones!$AC$141&amp;";  ","")&amp;IF(AND(EDATE($D147,Milestones!$AA$142)&lt;=AsOfDate,IF($R147=0,$X147,IF(AND($T147&lt;&gt;"",EDATE($D147,Milestones!$AA$142)&gt;=$T147),$W147,IF(AND($S147&lt;&gt;"",EDATE($D147,Milestones!$AA$142)&gt;=$S147),$V147,$U147)))=Milestones!$AB$142),UPPER(TEXT(EDATE($D147,Milestones!$AA$142),"dd mmm yy"))&amp;" "&amp;Milestones!$AB$142&amp;" "&amp;Milestones!$AC$142&amp;";  ","")&amp;IF(AND(EDATE($D147,Milestones!$AA$143)&lt;=AsOfDate,IF($R147=0,$X147,IF(AND($T147&lt;&gt;"",EDATE($D147,Milestones!$AA$143)&gt;=$T147),$W147,IF(AND($S147&lt;&gt;"",EDATE($D147,Milestones!$AA$143)&gt;=$S147),$V147,$U147)))=Milestones!$AB$143),UPPER(TEXT(EDATE($D147,Milestones!$AA$143),"dd mmm yy"))&amp;" "&amp;Milestones!$AB$143&amp;" "&amp;Milestones!$AC$143&amp;";  ","")&amp;IF(AND(EDATE($D147,Milestones!$AA$144)&lt;=AsOfDate,IF($R147=0,$X147,IF(AND($T147&lt;&gt;"",EDATE($D147,Milestones!$AA$144)&gt;=$T147),$W147,IF(AND($S147&lt;&gt;"",EDATE($D147,Milestones!$AA$144)&gt;=$S147),$V147,$U147)))=Milestones!$AB$144),UPPER(TEXT(EDATE($D147,Milestones!$AA$144),"dd mmm yy"))&amp;" "&amp;Milestones!$AB$144&amp;" "&amp;Milestones!$AC$144&amp;";  ","")&amp;IF(AND(EDATE($D147,Milestones!$AA$145)&lt;=AsOfDate,IF($R147=0,$X147,IF(AND($T147&lt;&gt;"",EDATE($D147,Milestones!$AA$145)&gt;=$T147),$W147,IF(AND($S147&lt;&gt;"",EDATE($D147,Milestones!$AA$145)&gt;=$S147),$V147,$U147)))=Milestones!$AB$145),UPPER(TEXT(EDATE($D147,Milestones!$AA$145),"dd mmm yy"))&amp;" "&amp;Milestones!$AB$145&amp;" "&amp;Milestones!$AC$145&amp;";  ","")&amp;IF(AND(EDATE($D147,Milestones!$AA$146)&lt;=AsOfDate,IF($R147=0,$X147,IF(AND($T147&lt;&gt;"",EDATE($D147,Milestones!$AA$146)&gt;=$T147),$W147,IF(AND($S147&lt;&gt;"",EDATE($D147,Milestones!$AA$146)&gt;=$S147),$V147,$U147)))=Milestones!$AB$146),UPPER(TEXT(EDATE($D147,Milestones!$AA$146),"dd mmm yy"))&amp;" "&amp;Milestones!$AB$146&amp;" "&amp;Milestones!$AC$146&amp;";  ","")&amp;IF(AND(EDATE($D147,Milestones!$AA$147)&lt;=AsOfDate,IF($R147=0,$X147,IF(AND($T147&lt;&gt;"",EDATE($D147,Milestones!$AA$147)&gt;=$T147),$W147,IF(AND($S147&lt;&gt;"",EDATE($D147,Milestones!$AA$147)&gt;=$S147),$V147,$U147)))=Milestones!$AB$147),UPPER(TEXT(EDATE($D147,Milestones!$AA$147),"dd mmm yy"))&amp;" "&amp;Milestones!$AB$147&amp;" "&amp;Milestones!$AC$147&amp;";  ","")&amp;IF(AND(EDATE($D147,Milestones!$AA$148)&lt;=AsOfDate,IF($R147=0,$X147,IF(AND($T147&lt;&gt;"",EDATE($D147,Milestones!$AA$148)&gt;=$T147),$W147,IF(AND($S147&lt;&gt;"",EDATE($D147,Milestones!$AA$148)&gt;=$S147),$V147,$U147)))=Milestones!$AB$148),UPPER(TEXT(EDATE($D147,Milestones!$AA$148),"dd mmm yy"))&amp;" "&amp;Milestones!$AB$148&amp;" "&amp;Milestones!$AC$148&amp;";  ","")&amp;IF(AND(EDATE($D147,Milestones!$AA$149)&lt;=AsOfDate,IF($R147=0,$X147,IF(AND($T147&lt;&gt;"",EDATE($D147,Milestones!$AA$149)&gt;=$T147),$W147,IF(AND($S147&lt;&gt;"",EDATE($D147,Milestones!$AA$149)&gt;=$S147),$V147,$U147)))=Milestones!$AB$149),UPPER(TEXT(EDATE($D147,Milestones!$AA$149),"dd mmm yy"))&amp;" "&amp;Milestones!$AB$149&amp;" "&amp;Milestones!$AC$149&amp;";  ","")&amp;IF(AND(EDATE($D147,Milestones!$AA$150)&lt;=AsOfDate,IF($R147=0,$X147,IF(AND($T147&lt;&gt;"",EDATE($D147,Milestones!$AA$150)&gt;=$T147),$W147,IF(AND($S147&lt;&gt;"",EDATE($D147,Milestones!$AA$150)&gt;=$S147),$V147,$U147)))=Milestones!$AB$150),UPPER(TEXT(EDATE($D147,Milestones!$AA$150),"dd mmm yy"))&amp;" "&amp;Milestones!$AB$150&amp;" "&amp;Milestones!$AC$150&amp;";  ","")&amp;IF(AND(EDATE($D147,Milestones!$AA$151)&lt;=AsOfDate,IF($R147=0,$X147,IF(AND($T147&lt;&gt;"",EDATE($D147,Milestones!$AA$151)&gt;=$T147),$W147,IF(AND($S147&lt;&gt;"",EDATE($D147,Milestones!$AA$151)&gt;=$S147),$V147,$U147)))=Milestones!$AB$151),UPPER(TEXT(EDATE($D147,Milestones!$AA$151),"dd mmm yy"))&amp;" "&amp;Milestones!$AB$151&amp;" "&amp;Milestones!$AC$151&amp;";  ","")&amp;IF(AND(EDATE($D147,Milestones!$AA$152)&lt;=AsOfDate,IF($R147=0,$X147,IF(AND($T147&lt;&gt;"",EDATE($D147,Milestones!$AA$152)&gt;=$T147),$W147,IF(AND($S147&lt;&gt;"",EDATE($D147,Milestones!$AA$152)&gt;=$S147),$V147,$U147)))=Milestones!$AB$152),UPPER(TEXT(EDATE($D147,Milestones!$AA$152),"dd mmm yy"))&amp;" "&amp;Milestones!$AB$152&amp;" "&amp;Milestones!$AC$152&amp;";  ","")&amp;IF(AND(EDATE($D147,Milestones!$AA$153)&lt;=AsOfDate,IF($R147=0,$X147,IF(AND($T147&lt;&gt;"",EDATE($D147,Milestones!$AA$153)&gt;=$T147),$W147,IF(AND($S147&lt;&gt;"",EDATE($D147,Milestones!$AA$153)&gt;=$S147),$V147,$U147)))=Milestones!$AB$153),UPPER(TEXT(EDATE($D147,Milestones!$AA$153),"dd mmm yy"))&amp;" "&amp;Milestones!$AB$153&amp;" "&amp;Milestones!$AC$153&amp;";  ","")&amp;IF(AND(EDATE($D147,Milestones!$AA$154)&lt;=AsOfDate,IF($R147=0,$X147,IF(AND($T147&lt;&gt;"",EDATE($D147,Milestones!$AA$154)&gt;=$T147),$W147,IF(AND($S147&lt;&gt;"",EDATE($D147,Milestones!$AA$154)&gt;=$S147),$V147,$U147)))=Milestones!$AB$154),UPPER(TEXT(EDATE($D147,Milestones!$AA$154),"dd mmm yy"))&amp;" "&amp;Milestones!$AB$154&amp;" "&amp;Milestones!$AC$154&amp;";  ","")&amp;IF(AND(EDATE($D147,Milestones!$AA$155)&lt;=AsOfDate,IF($R147=0,$X147,IF(AND($T147&lt;&gt;"",EDATE($D147,Milestones!$AA$155)&gt;=$T147),$W147,IF(AND($S147&lt;&gt;"",EDATE($D147,Milestones!$AA$155)&gt;=$S147),$V147,$U147)))=Milestones!$AB$155),UPPER(TEXT(EDATE($D147,Milestones!$AA$155),"dd mmm yy"))&amp;" "&amp;Milestones!$AB$155&amp;" "&amp;Milestones!$AC$155&amp;";  ","")&amp;IF(AND(EDATE($D147,Milestones!$AA$156)&lt;=AsOfDate,IF($R147=0,$X147,IF(AND($T147&lt;&gt;"",EDATE($D147,Milestones!$AA$156)&gt;=$T147),$W147,IF(AND($S147&lt;&gt;"",EDATE($D147,Milestones!$AA$156)&gt;=$S147),$V147,$U147)))=Milestones!$AB$156),UPPER(TEXT(EDATE($D147,Milestones!$AA$156),"dd mmm yy"))&amp;" "&amp;Milestones!$AB$156&amp;" "&amp;Milestones!$AC$156&amp;";  ","")&amp;IF(AND(EDATE($D147,Milestones!$AA$157)&lt;=AsOfDate,IF($R147=0,$X147,IF(AND($T147&lt;&gt;"",EDATE($D147,Milestones!$AA$157)&gt;=$T147),$W147,IF(AND($S147&lt;&gt;"",EDATE($D147,Milestones!$AA$157)&gt;=$S147),$V147,$U147)))=Milestones!$AB$157),UPPER(TEXT(EDATE($D147,Milestones!$AA$157),"dd mmm yy"))&amp;" "&amp;Milestones!$AB$157&amp;" "&amp;Milestones!$AC$157&amp;";  ","")&amp;IF(AND(EDATE($D147,Milestones!$AA$158)&lt;=AsOfDate,IF($R147=0,$X147,IF(AND($T147&lt;&gt;"",EDATE($D147,Milestones!$AA$158)&gt;=$T147),$W147,IF(AND($S147&lt;&gt;"",EDATE($D147,Milestones!$AA$158)&gt;=$S147),$V147,$U147)))=Milestones!$AB$158),UPPER(TEXT(EDATE($D147,Milestones!$AA$158),"dd mmm yy"))&amp;" "&amp;Milestones!$AB$158&amp;" "&amp;Milestones!$AC$158&amp;";  ","")&amp;IF(AND(EDATE($D147,Milestones!$AA$159)&lt;=AsOfDate,IF($R147=0,$X147,IF(AND($T147&lt;&gt;"",EDATE($D147,Milestones!$AA$159)&gt;=$T147),$W147,IF(AND($S147&lt;&gt;"",EDATE($D147,Milestones!$AA$159)&gt;=$S147),$V147,$U147)))=Milestones!$AB$159),UPPER(TEXT(EDATE($D147,Milestones!$AA$159),"dd mmm yy"))&amp;" "&amp;Milestones!$AB$159&amp;" "&amp;Milestones!$AC$159&amp;";  ",""))</f>
        <v/>
      </c>
      <c r="P147" s="0" t="str">
        <f aca="false">IF(OR($A147="",$D147=""),"",IF(AND(EDATE($D147,Milestones!$AA$160)&lt;=AsOfDate,IF($R147=0,$X147,IF(AND($T147&lt;&gt;"",EDATE($D147,Milestones!$AA$160)&gt;=$T147),$W147,IF(AND($S147&lt;&gt;"",EDATE($D147,Milestones!$AA$160)&gt;=$S147),$V147,$U147)))=Milestones!$AB$160),UPPER(TEXT(EDATE($D147,Milestones!$AA$160),"dd mmm yy"))&amp;" "&amp;Milestones!$AB$160&amp;" "&amp;Milestones!$AC$160&amp;";  ","")&amp;IF(AND(EDATE($D147,Milestones!$AA$161)&lt;=AsOfDate,IF($R147=0,$X147,IF(AND($T147&lt;&gt;"",EDATE($D147,Milestones!$AA$161)&gt;=$T147),$W147,IF(AND($S147&lt;&gt;"",EDATE($D147,Milestones!$AA$161)&gt;=$S147),$V147,$U147)))=Milestones!$AB$161),UPPER(TEXT(EDATE($D147,Milestones!$AA$161),"dd mmm yy"))&amp;" "&amp;Milestones!$AB$161&amp;" "&amp;Milestones!$AC$161&amp;";  ","")&amp;IF(AND(EDATE($D147,Milestones!$AA$162)&lt;=AsOfDate,IF($R147=0,$X147,IF(AND($T147&lt;&gt;"",EDATE($D147,Milestones!$AA$162)&gt;=$T147),$W147,IF(AND($S147&lt;&gt;"",EDATE($D147,Milestones!$AA$162)&gt;=$S147),$V147,$U147)))=Milestones!$AB$162),UPPER(TEXT(EDATE($D147,Milestones!$AA$162),"dd mmm yy"))&amp;" "&amp;Milestones!$AB$162&amp;" "&amp;Milestones!$AC$162&amp;";  ","")&amp;IF(AND(EDATE($D147,Milestones!$AA$163)&lt;=AsOfDate,IF($R147=0,$X147,IF(AND($T147&lt;&gt;"",EDATE($D147,Milestones!$AA$163)&gt;=$T147),$W147,IF(AND($S147&lt;&gt;"",EDATE($D147,Milestones!$AA$163)&gt;=$S147),$V147,$U147)))=Milestones!$AB$163),UPPER(TEXT(EDATE($D147,Milestones!$AA$163),"dd mmm yy"))&amp;" "&amp;Milestones!$AB$163&amp;" "&amp;Milestones!$AC$163&amp;";  ","")&amp;IF(AND(EDATE($D147,Milestones!$AA$164)&lt;=AsOfDate,IF($R147=0,$X147,IF(AND($T147&lt;&gt;"",EDATE($D147,Milestones!$AA$164)&gt;=$T147),$W147,IF(AND($S147&lt;&gt;"",EDATE($D147,Milestones!$AA$164)&gt;=$S147),$V147,$U147)))=Milestones!$AB$164),UPPER(TEXT(EDATE($D147,Milestones!$AA$164),"dd mmm yy"))&amp;" "&amp;Milestones!$AB$164&amp;" "&amp;Milestones!$AC$164&amp;";  ","")&amp;IF(AND(EDATE($D147,Milestones!$AA$165)&lt;=AsOfDate,IF($R147=0,$X147,IF(AND($T147&lt;&gt;"",EDATE($D147,Milestones!$AA$165)&gt;=$T147),$W147,IF(AND($S147&lt;&gt;"",EDATE($D147,Milestones!$AA$165)&gt;=$S147),$V147,$U147)))=Milestones!$AB$165),UPPER(TEXT(EDATE($D147,Milestones!$AA$165),"dd mmm yy"))&amp;" "&amp;Milestones!$AB$165&amp;" "&amp;Milestones!$AC$165&amp;";  ","")&amp;IF(AND(EDATE($D147,Milestones!$AA$166)&lt;=AsOfDate,IF($R147=0,$X147,IF(AND($T147&lt;&gt;"",EDATE($D147,Milestones!$AA$166)&gt;=$T147),$W147,IF(AND($S147&lt;&gt;"",EDATE($D147,Milestones!$AA$166)&gt;=$S147),$V147,$U147)))=Milestones!$AB$166),UPPER(TEXT(EDATE($D147,Milestones!$AA$166),"dd mmm yy"))&amp;" "&amp;Milestones!$AB$166&amp;" "&amp;Milestones!$AC$166&amp;";  ","")&amp;IF(AND(EDATE($D147,Milestones!$AA$167)&lt;=AsOfDate,IF($R147=0,$X147,IF(AND($T147&lt;&gt;"",EDATE($D147,Milestones!$AA$167)&gt;=$T147),$W147,IF(AND($S147&lt;&gt;"",EDATE($D147,Milestones!$AA$167)&gt;=$S147),$V147,$U147)))=Milestones!$AB$167),UPPER(TEXT(EDATE($D147,Milestones!$AA$167),"dd mmm yy"))&amp;" "&amp;Milestones!$AB$167&amp;" "&amp;Milestones!$AC$167&amp;";  ","")&amp;IF(AND(EDATE($D147,Milestones!$AA$168)&lt;=AsOfDate,IF($R147=0,$X147,IF(AND($T147&lt;&gt;"",EDATE($D147,Milestones!$AA$168)&gt;=$T147),$W147,IF(AND($S147&lt;&gt;"",EDATE($D147,Milestones!$AA$168)&gt;=$S147),$V147,$U147)))=Milestones!$AB$168),UPPER(TEXT(EDATE($D147,Milestones!$AA$168),"dd mmm yy"))&amp;" "&amp;Milestones!$AB$168&amp;" "&amp;Milestones!$AC$168&amp;";  ","")&amp;IF(AND(EDATE($D147,Milestones!$AA$169)&lt;=AsOfDate,IF($R147=0,$X147,IF(AND($T147&lt;&gt;"",EDATE($D147,Milestones!$AA$169)&gt;=$T147),$W147,IF(AND($S147&lt;&gt;"",EDATE($D147,Milestones!$AA$169)&gt;=$S147),$V147,$U147)))=Milestones!$AB$169),UPPER(TEXT(EDATE($D147,Milestones!$AA$169),"dd mmm yy"))&amp;" "&amp;Milestones!$AB$169&amp;" "&amp;Milestones!$AC$169&amp;";  ","")&amp;IF(AND(EDATE($D147,Milestones!$AA$170)&lt;=AsOfDate,IF($R147=0,$X147,IF(AND($T147&lt;&gt;"",EDATE($D147,Milestones!$AA$170)&gt;=$T147),$W147,IF(AND($S147&lt;&gt;"",EDATE($D147,Milestones!$AA$170)&gt;=$S147),$V147,$U147)))=Milestones!$AB$170),UPPER(TEXT(EDATE($D147,Milestones!$AA$170),"dd mmm yy"))&amp;" "&amp;Milestones!$AB$170&amp;" "&amp;Milestones!$AC$170&amp;";  ","")&amp;IF(AND(EDATE($D147,Milestones!$AA$171)&lt;=AsOfDate,IF($R147=0,$X147,IF(AND($T147&lt;&gt;"",EDATE($D147,Milestones!$AA$171)&gt;=$T147),$W147,IF(AND($S147&lt;&gt;"",EDATE($D147,Milestones!$AA$171)&gt;=$S147),$V147,$U147)))=Milestones!$AB$171),UPPER(TEXT(EDATE($D147,Milestones!$AA$171),"dd mmm yy"))&amp;" "&amp;Milestones!$AB$171&amp;" "&amp;Milestones!$AC$171&amp;";  ","")&amp;IF(AND(EDATE($D147,Milestones!$AA$172)&lt;=AsOfDate,IF($R147=0,$X147,IF(AND($T147&lt;&gt;"",EDATE($D147,Milestones!$AA$172)&gt;=$T147),$W147,IF(AND($S147&lt;&gt;"",EDATE($D147,Milestones!$AA$172)&gt;=$S147),$V147,$U147)))=Milestones!$AB$172),UPPER(TEXT(EDATE($D147,Milestones!$AA$172),"dd mmm yy"))&amp;" "&amp;Milestones!$AB$172&amp;" "&amp;Milestones!$AC$172&amp;";  ","")&amp;IF(AND(EDATE($D147,Milestones!$AA$173)&lt;=AsOfDate,IF($R147=0,$X147,IF(AND($T147&lt;&gt;"",EDATE($D147,Milestones!$AA$173)&gt;=$T147),$W147,IF(AND($S147&lt;&gt;"",EDATE($D147,Milestones!$AA$173)&gt;=$S147),$V147,$U147)))=Milestones!$AB$173),UPPER(TEXT(EDATE($D147,Milestones!$AA$173),"dd mmm yy"))&amp;" "&amp;Milestones!$AB$173&amp;" "&amp;Milestones!$AC$173&amp;";  ","")&amp;IF(AND(EDATE($D147,Milestones!$AA$174)&lt;=AsOfDate,IF($R147=0,$X147,IF(AND($T147&lt;&gt;"",EDATE($D147,Milestones!$AA$174)&gt;=$T147),$W147,IF(AND($S147&lt;&gt;"",EDATE($D147,Milestones!$AA$174)&gt;=$S147),$V147,$U147)))=Milestones!$AB$174),UPPER(TEXT(EDATE($D147,Milestones!$AA$174),"dd mmm yy"))&amp;" "&amp;Milestones!$AB$174&amp;" "&amp;Milestones!$AC$174&amp;";  ","")&amp;IF(AND(EDATE($D147,Milestones!$AA$175)&lt;=AsOfDate,IF($R147=0,$X147,IF(AND($T147&lt;&gt;"",EDATE($D147,Milestones!$AA$175)&gt;=$T147),$W147,IF(AND($S147&lt;&gt;"",EDATE($D147,Milestones!$AA$175)&gt;=$S147),$V147,$U147)))=Milestones!$AB$175),UPPER(TEXT(EDATE($D147,Milestones!$AA$175),"dd mmm yy"))&amp;" "&amp;Milestones!$AB$175&amp;" "&amp;Milestones!$AC$175&amp;";  ","")&amp;IF(AND(EDATE($D147,Milestones!$AA$176)&lt;=AsOfDate,IF($R147=0,$X147,IF(AND($T147&lt;&gt;"",EDATE($D147,Milestones!$AA$176)&gt;=$T147),$W147,IF(AND($S147&lt;&gt;"",EDATE($D147,Milestones!$AA$176)&gt;=$S147),$V147,$U147)))=Milestones!$AB$176),UPPER(TEXT(EDATE($D147,Milestones!$AA$176),"dd mmm yy"))&amp;" "&amp;Milestones!$AB$176&amp;" "&amp;Milestones!$AC$176&amp;";  ","")&amp;IF(AND(EDATE($D147,Milestones!$AA$177)&lt;=AsOfDate,IF($R147=0,$X147,IF(AND($T147&lt;&gt;"",EDATE($D147,Milestones!$AA$177)&gt;=$T147),$W147,IF(AND($S147&lt;&gt;"",EDATE($D147,Milestones!$AA$177)&gt;=$S147),$V147,$U147)))=Milestones!$AB$177),UPPER(TEXT(EDATE($D147,Milestones!$AA$177),"dd mmm yy"))&amp;" "&amp;Milestones!$AB$177&amp;" "&amp;Milestones!$AC$177&amp;";  ","")&amp;IF(AND(EDATE($D147,Milestones!$AA$178)&lt;=AsOfDate,IF($R147=0,$X147,IF(AND($T147&lt;&gt;"",EDATE($D147,Milestones!$AA$178)&gt;=$T147),$W147,IF(AND($S147&lt;&gt;"",EDATE($D147,Milestones!$AA$178)&gt;=$S147),$V147,$U147)))=Milestones!$AB$178),UPPER(TEXT(EDATE($D147,Milestones!$AA$178),"dd mmm yy"))&amp;" "&amp;Milestones!$AB$178&amp;" "&amp;Milestones!$AC$178&amp;";  ","")&amp;IF(AND(EDATE($D147,Milestones!$AA$179)&lt;=AsOfDate,IF($R147=0,$X147,IF(AND($T147&lt;&gt;"",EDATE($D147,Milestones!$AA$179)&gt;=$T147),$W147,IF(AND($S147&lt;&gt;"",EDATE($D147,Milestones!$AA$179)&gt;=$S147),$V147,$U147)))=Milestones!$AB$179),UPPER(TEXT(EDATE($D147,Milestones!$AA$179),"dd mmm yy"))&amp;" "&amp;Milestones!$AB$179&amp;" "&amp;Milestones!$AC$179&amp;";  ",""))</f>
        <v/>
      </c>
      <c r="Q147" s="0" t="str">
        <f aca="false">IF(OR($A147="",$D147=""),"",IF(AND(EDATE($D147,Milestones!$AA$180)&lt;=AsOfDate,IF($R147=0,$X147,IF(AND($T147&lt;&gt;"",EDATE($D147,Milestones!$AA$180)&gt;=$T147),$W147,IF(AND($S147&lt;&gt;"",EDATE($D147,Milestones!$AA$180)&gt;=$S147),$V147,$U147)))=Milestones!$AB$180),UPPER(TEXT(EDATE($D147,Milestones!$AA$180),"dd mmm yy"))&amp;" "&amp;Milestones!$AB$180&amp;" "&amp;Milestones!$AC$180&amp;";  ","")&amp;IF(AND(EDATE($D147,Milestones!$AA$181)&lt;=AsOfDate,IF($R147=0,$X147,IF(AND($T147&lt;&gt;"",EDATE($D147,Milestones!$AA$181)&gt;=$T147),$W147,IF(AND($S147&lt;&gt;"",EDATE($D147,Milestones!$AA$181)&gt;=$S147),$V147,$U147)))=Milestones!$AB$181),UPPER(TEXT(EDATE($D147,Milestones!$AA$181),"dd mmm yy"))&amp;" "&amp;Milestones!$AB$181&amp;" "&amp;Milestones!$AC$181&amp;";  ","")&amp;IF(AND(EDATE($D147,Milestones!$AA$182)&lt;=AsOfDate,IF($R147=0,$X147,IF(AND($T147&lt;&gt;"",EDATE($D147,Milestones!$AA$182)&gt;=$T147),$W147,IF(AND($S147&lt;&gt;"",EDATE($D147,Milestones!$AA$182)&gt;=$S147),$V147,$U147)))=Milestones!$AB$182),UPPER(TEXT(EDATE($D147,Milestones!$AA$182),"dd mmm yy"))&amp;" "&amp;Milestones!$AB$182&amp;" "&amp;Milestones!$AC$182&amp;";  ","")&amp;IF(AND(EDATE($D147,Milestones!$AA$183)&lt;=AsOfDate,IF($R147=0,$X147,IF(AND($T147&lt;&gt;"",EDATE($D147,Milestones!$AA$183)&gt;=$T147),$W147,IF(AND($S147&lt;&gt;"",EDATE($D147,Milestones!$AA$183)&gt;=$S147),$V147,$U147)))=Milestones!$AB$183),UPPER(TEXT(EDATE($D147,Milestones!$AA$183),"dd mmm yy"))&amp;" "&amp;Milestones!$AB$183&amp;" "&amp;Milestones!$AC$183&amp;";  ","")&amp;IF(AND(EDATE($D147,Milestones!$AA$184)&lt;=AsOfDate,IF($R147=0,$X147,IF(AND($T147&lt;&gt;"",EDATE($D147,Milestones!$AA$184)&gt;=$T147),$W147,IF(AND($S147&lt;&gt;"",EDATE($D147,Milestones!$AA$184)&gt;=$S147),$V147,$U147)))=Milestones!$AB$184),UPPER(TEXT(EDATE($D147,Milestones!$AA$184),"dd mmm yy"))&amp;" "&amp;Milestones!$AB$184&amp;" "&amp;Milestones!$AC$184&amp;";  ","")&amp;IF(AND(EDATE($D147,Milestones!$AA$185)&lt;=AsOfDate,IF($R147=0,$X147,IF(AND($T147&lt;&gt;"",EDATE($D147,Milestones!$AA$185)&gt;=$T147),$W147,IF(AND($S147&lt;&gt;"",EDATE($D147,Milestones!$AA$185)&gt;=$S147),$V147,$U147)))=Milestones!$AB$185),UPPER(TEXT(EDATE($D147,Milestones!$AA$185),"dd mmm yy"))&amp;" "&amp;Milestones!$AB$185&amp;" "&amp;Milestones!$AC$185&amp;";  ","")&amp;IF(AND(EDATE($D147,Milestones!$AA$186)&lt;=AsOfDate,IF($R147=0,$X147,IF(AND($T147&lt;&gt;"",EDATE($D147,Milestones!$AA$186)&gt;=$T147),$W147,IF(AND($S147&lt;&gt;"",EDATE($D147,Milestones!$AA$186)&gt;=$S147),$V147,$U147)))=Milestones!$AB$186),UPPER(TEXT(EDATE($D147,Milestones!$AA$186),"dd mmm yy"))&amp;" "&amp;Milestones!$AB$186&amp;" "&amp;Milestones!$AC$186&amp;";  ","")&amp;IF(AND(EDATE($D147,Milestones!$AA$187)&lt;=AsOfDate,IF($R147=0,$X147,IF(AND($T147&lt;&gt;"",EDATE($D147,Milestones!$AA$187)&gt;=$T147),$W147,IF(AND($S147&lt;&gt;"",EDATE($D147,Milestones!$AA$187)&gt;=$S147),$V147,$U147)))=Milestones!$AB$187),UPPER(TEXT(EDATE($D147,Milestones!$AA$187),"dd mmm yy"))&amp;" "&amp;Milestones!$AB$187&amp;" "&amp;Milestones!$AC$187&amp;";  ","")&amp;IF(AND(EDATE($D147,Milestones!$AA$188)&lt;=AsOfDate,IF($R147=0,$X147,IF(AND($T147&lt;&gt;"",EDATE($D147,Milestones!$AA$188)&gt;=$T147),$W147,IF(AND($S147&lt;&gt;"",EDATE($D147,Milestones!$AA$188)&gt;=$S147),$V147,$U147)))=Milestones!$AB$188),UPPER(TEXT(EDATE($D147,Milestones!$AA$188),"dd mmm yy"))&amp;" "&amp;Milestones!$AB$188&amp;" "&amp;Milestones!$AC$188&amp;";  ","")&amp;IF(AND(EDATE($D147,Milestones!$AA$189)&lt;=AsOfDate,IF($R147=0,$X147,IF(AND($T147&lt;&gt;"",EDATE($D147,Milestones!$AA$189)&gt;=$T147),$W147,IF(AND($S147&lt;&gt;"",EDATE($D147,Milestones!$AA$189)&gt;=$S147),$V147,$U147)))=Milestones!$AB$189),UPPER(TEXT(EDATE($D147,Milestones!$AA$189),"dd mmm yy"))&amp;" "&amp;Milestones!$AB$189&amp;" "&amp;Milestones!$AC$189&amp;";  ","")&amp;IF(AND(EDATE($D147,Milestones!$AA$190)&lt;=AsOfDate,IF($R147=0,$X147,IF(AND($T147&lt;&gt;"",EDATE($D147,Milestones!$AA$190)&gt;=$T147),$W147,IF(AND($S147&lt;&gt;"",EDATE($D147,Milestones!$AA$190)&gt;=$S147),$V147,$U147)))=Milestones!$AB$190),UPPER(TEXT(EDATE($D147,Milestones!$AA$190),"dd mmm yy"))&amp;" "&amp;Milestones!$AB$190&amp;" "&amp;Milestones!$AC$190&amp;";  ","")&amp;IF(AND(EDATE($D147,Milestones!$AA$191)&lt;=AsOfDate,IF($R147=0,$X147,IF(AND($T147&lt;&gt;"",EDATE($D147,Milestones!$AA$191)&gt;=$T147),$W147,IF(AND($S147&lt;&gt;"",EDATE($D147,Milestones!$AA$191)&gt;=$S147),$V147,$U147)))=Milestones!$AB$191),UPPER(TEXT(EDATE($D147,Milestones!$AA$191),"dd mmm yy"))&amp;" "&amp;Milestones!$AB$191&amp;" "&amp;Milestones!$AC$191&amp;";  ","")&amp;IF(AND(EDATE($D147,Milestones!$AA$192)&lt;=AsOfDate,IF($R147=0,$X147,IF(AND($T147&lt;&gt;"",EDATE($D147,Milestones!$AA$192)&gt;=$T147),$W147,IF(AND($S147&lt;&gt;"",EDATE($D147,Milestones!$AA$192)&gt;=$S147),$V147,$U147)))=Milestones!$AB$192),UPPER(TEXT(EDATE($D147,Milestones!$AA$192),"dd mmm yy"))&amp;" "&amp;Milestones!$AB$192&amp;" "&amp;Milestones!$AC$192&amp;";  ","")&amp;IF(AND(EDATE($D147,Milestones!$AA$193)&lt;=AsOfDate,IF($R147=0,$X147,IF(AND($T147&lt;&gt;"",EDATE($D147,Milestones!$AA$193)&gt;=$T147),$W147,IF(AND($S147&lt;&gt;"",EDATE($D147,Milestones!$AA$193)&gt;=$S147),$V147,$U147)))=Milestones!$AB$193),UPPER(TEXT(EDATE($D147,Milestones!$AA$193),"dd mmm yy"))&amp;" "&amp;Milestones!$AB$193&amp;" "&amp;Milestones!$AC$193&amp;";  ","")&amp;IF(AND(EDATE($D147,Milestones!$AA$194)&lt;=AsOfDate,IF($R147=0,$X147,IF(AND($T147&lt;&gt;"",EDATE($D147,Milestones!$AA$194)&gt;=$T147),$W147,IF(AND($S147&lt;&gt;"",EDATE($D147,Milestones!$AA$194)&gt;=$S147),$V147,$U147)))=Milestones!$AB$194),UPPER(TEXT(EDATE($D147,Milestones!$AA$194),"dd mmm yy"))&amp;" "&amp;Milestones!$AB$194&amp;" "&amp;Milestones!$AC$194&amp;";  ","")&amp;IF(AND(EDATE($D147,Milestones!$AA$195)&lt;=AsOfDate,IF($R147=0,$X147,IF(AND($T147&lt;&gt;"",EDATE($D147,Milestones!$AA$195)&gt;=$T147),$W147,IF(AND($S147&lt;&gt;"",EDATE($D147,Milestones!$AA$195)&gt;=$S147),$V147,$U147)))=Milestones!$AB$195),UPPER(TEXT(EDATE($D147,Milestones!$AA$195),"dd mmm yy"))&amp;" "&amp;Milestones!$AB$195&amp;" "&amp;Milestones!$AC$195&amp;";  ","")&amp;IF(AND(EDATE($D147,Milestones!$AA$196)&lt;=AsOfDate,IF($R147=0,$X147,IF(AND($T147&lt;&gt;"",EDATE($D147,Milestones!$AA$196)&gt;=$T147),$W147,IF(AND($S147&lt;&gt;"",EDATE($D147,Milestones!$AA$196)&gt;=$S147),$V147,$U147)))=Milestones!$AB$196),UPPER(TEXT(EDATE($D147,Milestones!$AA$196),"dd mmm yy"))&amp;" "&amp;Milestones!$AB$196&amp;" "&amp;Milestones!$AC$196&amp;";  ","")&amp;IF(AND(EDATE($D147,Milestones!$AA$197)&lt;=AsOfDate,IF($R147=0,$X147,IF(AND($T147&lt;&gt;"",EDATE($D147,Milestones!$AA$197)&gt;=$T147),$W147,IF(AND($S147&lt;&gt;"",EDATE($D147,Milestones!$AA$197)&gt;=$S147),$V147,$U147)))=Milestones!$AB$197),UPPER(TEXT(EDATE($D147,Milestones!$AA$197),"dd mmm yy"))&amp;" "&amp;Milestones!$AB$197&amp;" "&amp;Milestones!$AC$197&amp;";  ","")&amp;IF(AND(EDATE($D147,Milestones!$AA$198)&lt;=AsOfDate,IF($R147=0,$X147,IF(AND($T147&lt;&gt;"",EDATE($D147,Milestones!$AA$198)&gt;=$T147),$W147,IF(AND($S147&lt;&gt;"",EDATE($D147,Milestones!$AA$198)&gt;=$S147),$V147,$U147)))=Milestones!$AB$198),UPPER(TEXT(EDATE($D147,Milestones!$AA$198),"dd mmm yy"))&amp;" "&amp;Milestones!$AB$198&amp;" "&amp;Milestones!$AC$198&amp;";  ","")&amp;IF(AND(EDATE($D147,Milestones!$AA$199)&lt;=AsOfDate,IF($R147=0,$X147,IF(AND($T147&lt;&gt;"",EDATE($D147,Milestones!$AA$199)&gt;=$T147),$W147,IF(AND($S147&lt;&gt;"",EDATE($D147,Milestones!$AA$199)&gt;=$S147),$V147,$U147)))=Milestones!$AB$199),UPPER(TEXT(EDATE($D147,Milestones!$AA$199),"dd mmm yy"))&amp;" "&amp;Milestones!$AB$199&amp;" "&amp;Milestones!$AC$199&amp;";  ",""))</f>
        <v/>
      </c>
      <c r="R147" s="0" t="str">
        <f aca="false">IF(Staff!$A147="","",Staff!$AI147)</f>
        <v/>
      </c>
      <c r="S147" s="0" t="str">
        <f aca="false">IF(Staff!$A147="","",Staff!$AK147)</f>
        <v/>
      </c>
      <c r="T147" s="0" t="str">
        <f aca="false">IF(Staff!$A147="","",Staff!$AL147)</f>
        <v/>
      </c>
      <c r="U147" s="0" t="str">
        <f aca="false">IF(Staff!$A147="","",Staff!$AP147)</f>
        <v/>
      </c>
      <c r="V147" s="0" t="str">
        <f aca="false">IF(Staff!$A147="","",Staff!$AQ147)</f>
        <v/>
      </c>
      <c r="W147" s="0" t="str">
        <f aca="false">IF(Staff!$A147="","",Staff!$AR147)</f>
        <v/>
      </c>
      <c r="X147" s="0" t="str">
        <f aca="false">IF(Staff!$A147="","",Staff!$AS147)</f>
        <v/>
      </c>
    </row>
    <row r="148" customFormat="false" ht="15" hidden="false" customHeight="false" outlineLevel="0" collapsed="false">
      <c r="A148" s="14" t="str">
        <f aca="false">IF(Staff!$A148="","",Staff!$A148)</f>
        <v/>
      </c>
      <c r="B148" s="14" t="str">
        <f aca="false">IF(Staff!$A148="","",Staff!$B148)</f>
        <v/>
      </c>
      <c r="C148" s="14" t="str">
        <f aca="false">IF(Staff!$A148="","",Staff!$C148)</f>
        <v/>
      </c>
      <c r="D148" s="12" t="str">
        <f aca="false">IF(Staff!$A148="","",Staff!$AH148)</f>
        <v/>
      </c>
      <c r="E148" s="14" t="str">
        <f aca="false">IF(Staff!$A148="","",Staff!$O148)</f>
        <v/>
      </c>
      <c r="F148" s="14" t="str">
        <f aca="false">IF(E148="","",E148*HoursPerDay)</f>
        <v/>
      </c>
      <c r="G148" s="14" t="str">
        <f aca="false">IF(Staff!$A148="","",Staff!$AE148)</f>
        <v/>
      </c>
      <c r="H148" s="26" t="str">
        <f aca="false">IF($A148="","",I148&amp;J148&amp;K148&amp;L148&amp;M148&amp;N148&amp;O148&amp;P148&amp;Q148)</f>
        <v/>
      </c>
      <c r="I148" s="0" t="str">
        <f aca="false">IF(OR($A148="",$D148=""),"",IF(AND(EDATE($D148,Milestones!$AA$20)&lt;=AsOfDate,IF($R148=0,$X148,IF(AND($T148&lt;&gt;"",EDATE($D148,Milestones!$AA$20)&gt;=$T148),$W148,IF(AND($S148&lt;&gt;"",EDATE($D148,Milestones!$AA$20)&gt;=$S148),$V148,$U148)))=Milestones!$AB$20),UPPER(TEXT(EDATE($D148,Milestones!$AA$20),"dd mmm yy"))&amp;" "&amp;Milestones!$AB$20&amp;" "&amp;Milestones!$AC$20&amp;";  ","")&amp;IF(AND(EDATE($D148,Milestones!$AA$21)&lt;=AsOfDate,IF($R148=0,$X148,IF(AND($T148&lt;&gt;"",EDATE($D148,Milestones!$AA$21)&gt;=$T148),$W148,IF(AND($S148&lt;&gt;"",EDATE($D148,Milestones!$AA$21)&gt;=$S148),$V148,$U148)))=Milestones!$AB$21),UPPER(TEXT(EDATE($D148,Milestones!$AA$21),"dd mmm yy"))&amp;" "&amp;Milestones!$AB$21&amp;" "&amp;Milestones!$AC$21&amp;";  ","")&amp;IF(AND(EDATE($D148,Milestones!$AA$22)&lt;=AsOfDate,IF($R148=0,$X148,IF(AND($T148&lt;&gt;"",EDATE($D148,Milestones!$AA$22)&gt;=$T148),$W148,IF(AND($S148&lt;&gt;"",EDATE($D148,Milestones!$AA$22)&gt;=$S148),$V148,$U148)))=Milestones!$AB$22),UPPER(TEXT(EDATE($D148,Milestones!$AA$22),"dd mmm yy"))&amp;" "&amp;Milestones!$AB$22&amp;" "&amp;Milestones!$AC$22&amp;";  ","")&amp;IF(AND(EDATE($D148,Milestones!$AA$23)&lt;=AsOfDate,IF($R148=0,$X148,IF(AND($T148&lt;&gt;"",EDATE($D148,Milestones!$AA$23)&gt;=$T148),$W148,IF(AND($S148&lt;&gt;"",EDATE($D148,Milestones!$AA$23)&gt;=$S148),$V148,$U148)))=Milestones!$AB$23),UPPER(TEXT(EDATE($D148,Milestones!$AA$23),"dd mmm yy"))&amp;" "&amp;Milestones!$AB$23&amp;" "&amp;Milestones!$AC$23&amp;";  ","")&amp;IF(AND(EDATE($D148,Milestones!$AA$24)&lt;=AsOfDate,IF($R148=0,$X148,IF(AND($T148&lt;&gt;"",EDATE($D148,Milestones!$AA$24)&gt;=$T148),$W148,IF(AND($S148&lt;&gt;"",EDATE($D148,Milestones!$AA$24)&gt;=$S148),$V148,$U148)))=Milestones!$AB$24),UPPER(TEXT(EDATE($D148,Milestones!$AA$24),"dd mmm yy"))&amp;" "&amp;Milestones!$AB$24&amp;" "&amp;Milestones!$AC$24&amp;";  ","")&amp;IF(AND(EDATE($D148,Milestones!$AA$25)&lt;=AsOfDate,IF($R148=0,$X148,IF(AND($T148&lt;&gt;"",EDATE($D148,Milestones!$AA$25)&gt;=$T148),$W148,IF(AND($S148&lt;&gt;"",EDATE($D148,Milestones!$AA$25)&gt;=$S148),$V148,$U148)))=Milestones!$AB$25),UPPER(TEXT(EDATE($D148,Milestones!$AA$25),"dd mmm yy"))&amp;" "&amp;Milestones!$AB$25&amp;" "&amp;Milestones!$AC$25&amp;";  ","")&amp;IF(AND(EDATE($D148,Milestones!$AA$26)&lt;=AsOfDate,IF($R148=0,$X148,IF(AND($T148&lt;&gt;"",EDATE($D148,Milestones!$AA$26)&gt;=$T148),$W148,IF(AND($S148&lt;&gt;"",EDATE($D148,Milestones!$AA$26)&gt;=$S148),$V148,$U148)))=Milestones!$AB$26),UPPER(TEXT(EDATE($D148,Milestones!$AA$26),"dd mmm yy"))&amp;" "&amp;Milestones!$AB$26&amp;" "&amp;Milestones!$AC$26&amp;";  ","")&amp;IF(AND(EDATE($D148,Milestones!$AA$27)&lt;=AsOfDate,IF($R148=0,$X148,IF(AND($T148&lt;&gt;"",EDATE($D148,Milestones!$AA$27)&gt;=$T148),$W148,IF(AND($S148&lt;&gt;"",EDATE($D148,Milestones!$AA$27)&gt;=$S148),$V148,$U148)))=Milestones!$AB$27),UPPER(TEXT(EDATE($D148,Milestones!$AA$27),"dd mmm yy"))&amp;" "&amp;Milestones!$AB$27&amp;" "&amp;Milestones!$AC$27&amp;";  ","")&amp;IF(AND(EDATE($D148,Milestones!$AA$28)&lt;=AsOfDate,IF($R148=0,$X148,IF(AND($T148&lt;&gt;"",EDATE($D148,Milestones!$AA$28)&gt;=$T148),$W148,IF(AND($S148&lt;&gt;"",EDATE($D148,Milestones!$AA$28)&gt;=$S148),$V148,$U148)))=Milestones!$AB$28),UPPER(TEXT(EDATE($D148,Milestones!$AA$28),"dd mmm yy"))&amp;" "&amp;Milestones!$AB$28&amp;" "&amp;Milestones!$AC$28&amp;";  ","")&amp;IF(AND(EDATE($D148,Milestones!$AA$29)&lt;=AsOfDate,IF($R148=0,$X148,IF(AND($T148&lt;&gt;"",EDATE($D148,Milestones!$AA$29)&gt;=$T148),$W148,IF(AND($S148&lt;&gt;"",EDATE($D148,Milestones!$AA$29)&gt;=$S148),$V148,$U148)))=Milestones!$AB$29),UPPER(TEXT(EDATE($D148,Milestones!$AA$29),"dd mmm yy"))&amp;" "&amp;Milestones!$AB$29&amp;" "&amp;Milestones!$AC$29&amp;";  ","")&amp;IF(AND(EDATE($D148,Milestones!$AA$30)&lt;=AsOfDate,IF($R148=0,$X148,IF(AND($T148&lt;&gt;"",EDATE($D148,Milestones!$AA$30)&gt;=$T148),$W148,IF(AND($S148&lt;&gt;"",EDATE($D148,Milestones!$AA$30)&gt;=$S148),$V148,$U148)))=Milestones!$AB$30),UPPER(TEXT(EDATE($D148,Milestones!$AA$30),"dd mmm yy"))&amp;" "&amp;Milestones!$AB$30&amp;" "&amp;Milestones!$AC$30&amp;";  ","")&amp;IF(AND(EDATE($D148,Milestones!$AA$31)&lt;=AsOfDate,IF($R148=0,$X148,IF(AND($T148&lt;&gt;"",EDATE($D148,Milestones!$AA$31)&gt;=$T148),$W148,IF(AND($S148&lt;&gt;"",EDATE($D148,Milestones!$AA$31)&gt;=$S148),$V148,$U148)))=Milestones!$AB$31),UPPER(TEXT(EDATE($D148,Milestones!$AA$31),"dd mmm yy"))&amp;" "&amp;Milestones!$AB$31&amp;" "&amp;Milestones!$AC$31&amp;";  ","")&amp;IF(AND(EDATE($D148,Milestones!$AA$32)&lt;=AsOfDate,IF($R148=0,$X148,IF(AND($T148&lt;&gt;"",EDATE($D148,Milestones!$AA$32)&gt;=$T148),$W148,IF(AND($S148&lt;&gt;"",EDATE($D148,Milestones!$AA$32)&gt;=$S148),$V148,$U148)))=Milestones!$AB$32),UPPER(TEXT(EDATE($D148,Milestones!$AA$32),"dd mmm yy"))&amp;" "&amp;Milestones!$AB$32&amp;" "&amp;Milestones!$AC$32&amp;";  ","")&amp;IF(AND(EDATE($D148,Milestones!$AA$33)&lt;=AsOfDate,IF($R148=0,$X148,IF(AND($T148&lt;&gt;"",EDATE($D148,Milestones!$AA$33)&gt;=$T148),$W148,IF(AND($S148&lt;&gt;"",EDATE($D148,Milestones!$AA$33)&gt;=$S148),$V148,$U148)))=Milestones!$AB$33),UPPER(TEXT(EDATE($D148,Milestones!$AA$33),"dd mmm yy"))&amp;" "&amp;Milestones!$AB$33&amp;" "&amp;Milestones!$AC$33&amp;";  ","")&amp;IF(AND(EDATE($D148,Milestones!$AA$34)&lt;=AsOfDate,IF($R148=0,$X148,IF(AND($T148&lt;&gt;"",EDATE($D148,Milestones!$AA$34)&gt;=$T148),$W148,IF(AND($S148&lt;&gt;"",EDATE($D148,Milestones!$AA$34)&gt;=$S148),$V148,$U148)))=Milestones!$AB$34),UPPER(TEXT(EDATE($D148,Milestones!$AA$34),"dd mmm yy"))&amp;" "&amp;Milestones!$AB$34&amp;" "&amp;Milestones!$AC$34&amp;";  ","")&amp;IF(AND(EDATE($D148,Milestones!$AA$35)&lt;=AsOfDate,IF($R148=0,$X148,IF(AND($T148&lt;&gt;"",EDATE($D148,Milestones!$AA$35)&gt;=$T148),$W148,IF(AND($S148&lt;&gt;"",EDATE($D148,Milestones!$AA$35)&gt;=$S148),$V148,$U148)))=Milestones!$AB$35),UPPER(TEXT(EDATE($D148,Milestones!$AA$35),"dd mmm yy"))&amp;" "&amp;Milestones!$AB$35&amp;" "&amp;Milestones!$AC$35&amp;";  ","")&amp;IF(AND(EDATE($D148,Milestones!$AA$36)&lt;=AsOfDate,IF($R148=0,$X148,IF(AND($T148&lt;&gt;"",EDATE($D148,Milestones!$AA$36)&gt;=$T148),$W148,IF(AND($S148&lt;&gt;"",EDATE($D148,Milestones!$AA$36)&gt;=$S148),$V148,$U148)))=Milestones!$AB$36),UPPER(TEXT(EDATE($D148,Milestones!$AA$36),"dd mmm yy"))&amp;" "&amp;Milestones!$AB$36&amp;" "&amp;Milestones!$AC$36&amp;";  ","")&amp;IF(AND(EDATE($D148,Milestones!$AA$37)&lt;=AsOfDate,IF($R148=0,$X148,IF(AND($T148&lt;&gt;"",EDATE($D148,Milestones!$AA$37)&gt;=$T148),$W148,IF(AND($S148&lt;&gt;"",EDATE($D148,Milestones!$AA$37)&gt;=$S148),$V148,$U148)))=Milestones!$AB$37),UPPER(TEXT(EDATE($D148,Milestones!$AA$37),"dd mmm yy"))&amp;" "&amp;Milestones!$AB$37&amp;" "&amp;Milestones!$AC$37&amp;";  ","")&amp;IF(AND(EDATE($D148,Milestones!$AA$38)&lt;=AsOfDate,IF($R148=0,$X148,IF(AND($T148&lt;&gt;"",EDATE($D148,Milestones!$AA$38)&gt;=$T148),$W148,IF(AND($S148&lt;&gt;"",EDATE($D148,Milestones!$AA$38)&gt;=$S148),$V148,$U148)))=Milestones!$AB$38),UPPER(TEXT(EDATE($D148,Milestones!$AA$38),"dd mmm yy"))&amp;" "&amp;Milestones!$AB$38&amp;" "&amp;Milestones!$AC$38&amp;";  ","")&amp;IF(AND(EDATE($D148,Milestones!$AA$39)&lt;=AsOfDate,IF($R148=0,$X148,IF(AND($T148&lt;&gt;"",EDATE($D148,Milestones!$AA$39)&gt;=$T148),$W148,IF(AND($S148&lt;&gt;"",EDATE($D148,Milestones!$AA$39)&gt;=$S148),$V148,$U148)))=Milestones!$AB$39),UPPER(TEXT(EDATE($D148,Milestones!$AA$39),"dd mmm yy"))&amp;" "&amp;Milestones!$AB$39&amp;" "&amp;Milestones!$AC$39&amp;";  ",""))</f>
        <v/>
      </c>
      <c r="J148" s="0" t="str">
        <f aca="false">IF(OR($A148="",$D148=""),"",IF(AND(EDATE($D148,Milestones!$AA$40)&lt;=AsOfDate,IF($R148=0,$X148,IF(AND($T148&lt;&gt;"",EDATE($D148,Milestones!$AA$40)&gt;=$T148),$W148,IF(AND($S148&lt;&gt;"",EDATE($D148,Milestones!$AA$40)&gt;=$S148),$V148,$U148)))=Milestones!$AB$40),UPPER(TEXT(EDATE($D148,Milestones!$AA$40),"dd mmm yy"))&amp;" "&amp;Milestones!$AB$40&amp;" "&amp;Milestones!$AC$40&amp;";  ","")&amp;IF(AND(EDATE($D148,Milestones!$AA$41)&lt;=AsOfDate,IF($R148=0,$X148,IF(AND($T148&lt;&gt;"",EDATE($D148,Milestones!$AA$41)&gt;=$T148),$W148,IF(AND($S148&lt;&gt;"",EDATE($D148,Milestones!$AA$41)&gt;=$S148),$V148,$U148)))=Milestones!$AB$41),UPPER(TEXT(EDATE($D148,Milestones!$AA$41),"dd mmm yy"))&amp;" "&amp;Milestones!$AB$41&amp;" "&amp;Milestones!$AC$41&amp;";  ","")&amp;IF(AND(EDATE($D148,Milestones!$AA$42)&lt;=AsOfDate,IF($R148=0,$X148,IF(AND($T148&lt;&gt;"",EDATE($D148,Milestones!$AA$42)&gt;=$T148),$W148,IF(AND($S148&lt;&gt;"",EDATE($D148,Milestones!$AA$42)&gt;=$S148),$V148,$U148)))=Milestones!$AB$42),UPPER(TEXT(EDATE($D148,Milestones!$AA$42),"dd mmm yy"))&amp;" "&amp;Milestones!$AB$42&amp;" "&amp;Milestones!$AC$42&amp;";  ","")&amp;IF(AND(EDATE($D148,Milestones!$AA$43)&lt;=AsOfDate,IF($R148=0,$X148,IF(AND($T148&lt;&gt;"",EDATE($D148,Milestones!$AA$43)&gt;=$T148),$W148,IF(AND($S148&lt;&gt;"",EDATE($D148,Milestones!$AA$43)&gt;=$S148),$V148,$U148)))=Milestones!$AB$43),UPPER(TEXT(EDATE($D148,Milestones!$AA$43),"dd mmm yy"))&amp;" "&amp;Milestones!$AB$43&amp;" "&amp;Milestones!$AC$43&amp;";  ","")&amp;IF(AND(EDATE($D148,Milestones!$AA$44)&lt;=AsOfDate,IF($R148=0,$X148,IF(AND($T148&lt;&gt;"",EDATE($D148,Milestones!$AA$44)&gt;=$T148),$W148,IF(AND($S148&lt;&gt;"",EDATE($D148,Milestones!$AA$44)&gt;=$S148),$V148,$U148)))=Milestones!$AB$44),UPPER(TEXT(EDATE($D148,Milestones!$AA$44),"dd mmm yy"))&amp;" "&amp;Milestones!$AB$44&amp;" "&amp;Milestones!$AC$44&amp;";  ","")&amp;IF(AND(EDATE($D148,Milestones!$AA$45)&lt;=AsOfDate,IF($R148=0,$X148,IF(AND($T148&lt;&gt;"",EDATE($D148,Milestones!$AA$45)&gt;=$T148),$W148,IF(AND($S148&lt;&gt;"",EDATE($D148,Milestones!$AA$45)&gt;=$S148),$V148,$U148)))=Milestones!$AB$45),UPPER(TEXT(EDATE($D148,Milestones!$AA$45),"dd mmm yy"))&amp;" "&amp;Milestones!$AB$45&amp;" "&amp;Milestones!$AC$45&amp;";  ","")&amp;IF(AND(EDATE($D148,Milestones!$AA$46)&lt;=AsOfDate,IF($R148=0,$X148,IF(AND($T148&lt;&gt;"",EDATE($D148,Milestones!$AA$46)&gt;=$T148),$W148,IF(AND($S148&lt;&gt;"",EDATE($D148,Milestones!$AA$46)&gt;=$S148),$V148,$U148)))=Milestones!$AB$46),UPPER(TEXT(EDATE($D148,Milestones!$AA$46),"dd mmm yy"))&amp;" "&amp;Milestones!$AB$46&amp;" "&amp;Milestones!$AC$46&amp;";  ","")&amp;IF(AND(EDATE($D148,Milestones!$AA$47)&lt;=AsOfDate,IF($R148=0,$X148,IF(AND($T148&lt;&gt;"",EDATE($D148,Milestones!$AA$47)&gt;=$T148),$W148,IF(AND($S148&lt;&gt;"",EDATE($D148,Milestones!$AA$47)&gt;=$S148),$V148,$U148)))=Milestones!$AB$47),UPPER(TEXT(EDATE($D148,Milestones!$AA$47),"dd mmm yy"))&amp;" "&amp;Milestones!$AB$47&amp;" "&amp;Milestones!$AC$47&amp;";  ","")&amp;IF(AND(EDATE($D148,Milestones!$AA$48)&lt;=AsOfDate,IF($R148=0,$X148,IF(AND($T148&lt;&gt;"",EDATE($D148,Milestones!$AA$48)&gt;=$T148),$W148,IF(AND($S148&lt;&gt;"",EDATE($D148,Milestones!$AA$48)&gt;=$S148),$V148,$U148)))=Milestones!$AB$48),UPPER(TEXT(EDATE($D148,Milestones!$AA$48),"dd mmm yy"))&amp;" "&amp;Milestones!$AB$48&amp;" "&amp;Milestones!$AC$48&amp;";  ","")&amp;IF(AND(EDATE($D148,Milestones!$AA$49)&lt;=AsOfDate,IF($R148=0,$X148,IF(AND($T148&lt;&gt;"",EDATE($D148,Milestones!$AA$49)&gt;=$T148),$W148,IF(AND($S148&lt;&gt;"",EDATE($D148,Milestones!$AA$49)&gt;=$S148),$V148,$U148)))=Milestones!$AB$49),UPPER(TEXT(EDATE($D148,Milestones!$AA$49),"dd mmm yy"))&amp;" "&amp;Milestones!$AB$49&amp;" "&amp;Milestones!$AC$49&amp;";  ","")&amp;IF(AND(EDATE($D148,Milestones!$AA$50)&lt;=AsOfDate,IF($R148=0,$X148,IF(AND($T148&lt;&gt;"",EDATE($D148,Milestones!$AA$50)&gt;=$T148),$W148,IF(AND($S148&lt;&gt;"",EDATE($D148,Milestones!$AA$50)&gt;=$S148),$V148,$U148)))=Milestones!$AB$50),UPPER(TEXT(EDATE($D148,Milestones!$AA$50),"dd mmm yy"))&amp;" "&amp;Milestones!$AB$50&amp;" "&amp;Milestones!$AC$50&amp;";  ","")&amp;IF(AND(EDATE($D148,Milestones!$AA$51)&lt;=AsOfDate,IF($R148=0,$X148,IF(AND($T148&lt;&gt;"",EDATE($D148,Milestones!$AA$51)&gt;=$T148),$W148,IF(AND($S148&lt;&gt;"",EDATE($D148,Milestones!$AA$51)&gt;=$S148),$V148,$U148)))=Milestones!$AB$51),UPPER(TEXT(EDATE($D148,Milestones!$AA$51),"dd mmm yy"))&amp;" "&amp;Milestones!$AB$51&amp;" "&amp;Milestones!$AC$51&amp;";  ","")&amp;IF(AND(EDATE($D148,Milestones!$AA$52)&lt;=AsOfDate,IF($R148=0,$X148,IF(AND($T148&lt;&gt;"",EDATE($D148,Milestones!$AA$52)&gt;=$T148),$W148,IF(AND($S148&lt;&gt;"",EDATE($D148,Milestones!$AA$52)&gt;=$S148),$V148,$U148)))=Milestones!$AB$52),UPPER(TEXT(EDATE($D148,Milestones!$AA$52),"dd mmm yy"))&amp;" "&amp;Milestones!$AB$52&amp;" "&amp;Milestones!$AC$52&amp;";  ","")&amp;IF(AND(EDATE($D148,Milestones!$AA$53)&lt;=AsOfDate,IF($R148=0,$X148,IF(AND($T148&lt;&gt;"",EDATE($D148,Milestones!$AA$53)&gt;=$T148),$W148,IF(AND($S148&lt;&gt;"",EDATE($D148,Milestones!$AA$53)&gt;=$S148),$V148,$U148)))=Milestones!$AB$53),UPPER(TEXT(EDATE($D148,Milestones!$AA$53),"dd mmm yy"))&amp;" "&amp;Milestones!$AB$53&amp;" "&amp;Milestones!$AC$53&amp;";  ","")&amp;IF(AND(EDATE($D148,Milestones!$AA$54)&lt;=AsOfDate,IF($R148=0,$X148,IF(AND($T148&lt;&gt;"",EDATE($D148,Milestones!$AA$54)&gt;=$T148),$W148,IF(AND($S148&lt;&gt;"",EDATE($D148,Milestones!$AA$54)&gt;=$S148),$V148,$U148)))=Milestones!$AB$54),UPPER(TEXT(EDATE($D148,Milestones!$AA$54),"dd mmm yy"))&amp;" "&amp;Milestones!$AB$54&amp;" "&amp;Milestones!$AC$54&amp;";  ","")&amp;IF(AND(EDATE($D148,Milestones!$AA$55)&lt;=AsOfDate,IF($R148=0,$X148,IF(AND($T148&lt;&gt;"",EDATE($D148,Milestones!$AA$55)&gt;=$T148),$W148,IF(AND($S148&lt;&gt;"",EDATE($D148,Milestones!$AA$55)&gt;=$S148),$V148,$U148)))=Milestones!$AB$55),UPPER(TEXT(EDATE($D148,Milestones!$AA$55),"dd mmm yy"))&amp;" "&amp;Milestones!$AB$55&amp;" "&amp;Milestones!$AC$55&amp;";  ","")&amp;IF(AND(EDATE($D148,Milestones!$AA$56)&lt;=AsOfDate,IF($R148=0,$X148,IF(AND($T148&lt;&gt;"",EDATE($D148,Milestones!$AA$56)&gt;=$T148),$W148,IF(AND($S148&lt;&gt;"",EDATE($D148,Milestones!$AA$56)&gt;=$S148),$V148,$U148)))=Milestones!$AB$56),UPPER(TEXT(EDATE($D148,Milestones!$AA$56),"dd mmm yy"))&amp;" "&amp;Milestones!$AB$56&amp;" "&amp;Milestones!$AC$56&amp;";  ","")&amp;IF(AND(EDATE($D148,Milestones!$AA$57)&lt;=AsOfDate,IF($R148=0,$X148,IF(AND($T148&lt;&gt;"",EDATE($D148,Milestones!$AA$57)&gt;=$T148),$W148,IF(AND($S148&lt;&gt;"",EDATE($D148,Milestones!$AA$57)&gt;=$S148),$V148,$U148)))=Milestones!$AB$57),UPPER(TEXT(EDATE($D148,Milestones!$AA$57),"dd mmm yy"))&amp;" "&amp;Milestones!$AB$57&amp;" "&amp;Milestones!$AC$57&amp;";  ","")&amp;IF(AND(EDATE($D148,Milestones!$AA$58)&lt;=AsOfDate,IF($R148=0,$X148,IF(AND($T148&lt;&gt;"",EDATE($D148,Milestones!$AA$58)&gt;=$T148),$W148,IF(AND($S148&lt;&gt;"",EDATE($D148,Milestones!$AA$58)&gt;=$S148),$V148,$U148)))=Milestones!$AB$58),UPPER(TEXT(EDATE($D148,Milestones!$AA$58),"dd mmm yy"))&amp;" "&amp;Milestones!$AB$58&amp;" "&amp;Milestones!$AC$58&amp;";  ","")&amp;IF(AND(EDATE($D148,Milestones!$AA$59)&lt;=AsOfDate,IF($R148=0,$X148,IF(AND($T148&lt;&gt;"",EDATE($D148,Milestones!$AA$59)&gt;=$T148),$W148,IF(AND($S148&lt;&gt;"",EDATE($D148,Milestones!$AA$59)&gt;=$S148),$V148,$U148)))=Milestones!$AB$59),UPPER(TEXT(EDATE($D148,Milestones!$AA$59),"dd mmm yy"))&amp;" "&amp;Milestones!$AB$59&amp;" "&amp;Milestones!$AC$59&amp;";  ",""))</f>
        <v/>
      </c>
      <c r="K148" s="0" t="str">
        <f aca="false">IF(OR($A148="",$D148=""),"",IF(AND(EDATE($D148,Milestones!$AA$60)&lt;=AsOfDate,IF($R148=0,$X148,IF(AND($T148&lt;&gt;"",EDATE($D148,Milestones!$AA$60)&gt;=$T148),$W148,IF(AND($S148&lt;&gt;"",EDATE($D148,Milestones!$AA$60)&gt;=$S148),$V148,$U148)))=Milestones!$AB$60),UPPER(TEXT(EDATE($D148,Milestones!$AA$60),"dd mmm yy"))&amp;" "&amp;Milestones!$AB$60&amp;" "&amp;Milestones!$AC$60&amp;";  ","")&amp;IF(AND(EDATE($D148,Milestones!$AA$61)&lt;=AsOfDate,IF($R148=0,$X148,IF(AND($T148&lt;&gt;"",EDATE($D148,Milestones!$AA$61)&gt;=$T148),$W148,IF(AND($S148&lt;&gt;"",EDATE($D148,Milestones!$AA$61)&gt;=$S148),$V148,$U148)))=Milestones!$AB$61),UPPER(TEXT(EDATE($D148,Milestones!$AA$61),"dd mmm yy"))&amp;" "&amp;Milestones!$AB$61&amp;" "&amp;Milestones!$AC$61&amp;";  ","")&amp;IF(AND(EDATE($D148,Milestones!$AA$62)&lt;=AsOfDate,IF($R148=0,$X148,IF(AND($T148&lt;&gt;"",EDATE($D148,Milestones!$AA$62)&gt;=$T148),$W148,IF(AND($S148&lt;&gt;"",EDATE($D148,Milestones!$AA$62)&gt;=$S148),$V148,$U148)))=Milestones!$AB$62),UPPER(TEXT(EDATE($D148,Milestones!$AA$62),"dd mmm yy"))&amp;" "&amp;Milestones!$AB$62&amp;" "&amp;Milestones!$AC$62&amp;";  ","")&amp;IF(AND(EDATE($D148,Milestones!$AA$63)&lt;=AsOfDate,IF($R148=0,$X148,IF(AND($T148&lt;&gt;"",EDATE($D148,Milestones!$AA$63)&gt;=$T148),$W148,IF(AND($S148&lt;&gt;"",EDATE($D148,Milestones!$AA$63)&gt;=$S148),$V148,$U148)))=Milestones!$AB$63),UPPER(TEXT(EDATE($D148,Milestones!$AA$63),"dd mmm yy"))&amp;" "&amp;Milestones!$AB$63&amp;" "&amp;Milestones!$AC$63&amp;";  ","")&amp;IF(AND(EDATE($D148,Milestones!$AA$64)&lt;=AsOfDate,IF($R148=0,$X148,IF(AND($T148&lt;&gt;"",EDATE($D148,Milestones!$AA$64)&gt;=$T148),$W148,IF(AND($S148&lt;&gt;"",EDATE($D148,Milestones!$AA$64)&gt;=$S148),$V148,$U148)))=Milestones!$AB$64),UPPER(TEXT(EDATE($D148,Milestones!$AA$64),"dd mmm yy"))&amp;" "&amp;Milestones!$AB$64&amp;" "&amp;Milestones!$AC$64&amp;";  ","")&amp;IF(AND(EDATE($D148,Milestones!$AA$65)&lt;=AsOfDate,IF($R148=0,$X148,IF(AND($T148&lt;&gt;"",EDATE($D148,Milestones!$AA$65)&gt;=$T148),$W148,IF(AND($S148&lt;&gt;"",EDATE($D148,Milestones!$AA$65)&gt;=$S148),$V148,$U148)))=Milestones!$AB$65),UPPER(TEXT(EDATE($D148,Milestones!$AA$65),"dd mmm yy"))&amp;" "&amp;Milestones!$AB$65&amp;" "&amp;Milestones!$AC$65&amp;";  ","")&amp;IF(AND(EDATE($D148,Milestones!$AA$66)&lt;=AsOfDate,IF($R148=0,$X148,IF(AND($T148&lt;&gt;"",EDATE($D148,Milestones!$AA$66)&gt;=$T148),$W148,IF(AND($S148&lt;&gt;"",EDATE($D148,Milestones!$AA$66)&gt;=$S148),$V148,$U148)))=Milestones!$AB$66),UPPER(TEXT(EDATE($D148,Milestones!$AA$66),"dd mmm yy"))&amp;" "&amp;Milestones!$AB$66&amp;" "&amp;Milestones!$AC$66&amp;";  ","")&amp;IF(AND(EDATE($D148,Milestones!$AA$67)&lt;=AsOfDate,IF($R148=0,$X148,IF(AND($T148&lt;&gt;"",EDATE($D148,Milestones!$AA$67)&gt;=$T148),$W148,IF(AND($S148&lt;&gt;"",EDATE($D148,Milestones!$AA$67)&gt;=$S148),$V148,$U148)))=Milestones!$AB$67),UPPER(TEXT(EDATE($D148,Milestones!$AA$67),"dd mmm yy"))&amp;" "&amp;Milestones!$AB$67&amp;" "&amp;Milestones!$AC$67&amp;";  ","")&amp;IF(AND(EDATE($D148,Milestones!$AA$68)&lt;=AsOfDate,IF($R148=0,$X148,IF(AND($T148&lt;&gt;"",EDATE($D148,Milestones!$AA$68)&gt;=$T148),$W148,IF(AND($S148&lt;&gt;"",EDATE($D148,Milestones!$AA$68)&gt;=$S148),$V148,$U148)))=Milestones!$AB$68),UPPER(TEXT(EDATE($D148,Milestones!$AA$68),"dd mmm yy"))&amp;" "&amp;Milestones!$AB$68&amp;" "&amp;Milestones!$AC$68&amp;";  ","")&amp;IF(AND(EDATE($D148,Milestones!$AA$69)&lt;=AsOfDate,IF($R148=0,$X148,IF(AND($T148&lt;&gt;"",EDATE($D148,Milestones!$AA$69)&gt;=$T148),$W148,IF(AND($S148&lt;&gt;"",EDATE($D148,Milestones!$AA$69)&gt;=$S148),$V148,$U148)))=Milestones!$AB$69),UPPER(TEXT(EDATE($D148,Milestones!$AA$69),"dd mmm yy"))&amp;" "&amp;Milestones!$AB$69&amp;" "&amp;Milestones!$AC$69&amp;";  ","")&amp;IF(AND(EDATE($D148,Milestones!$AA$70)&lt;=AsOfDate,IF($R148=0,$X148,IF(AND($T148&lt;&gt;"",EDATE($D148,Milestones!$AA$70)&gt;=$T148),$W148,IF(AND($S148&lt;&gt;"",EDATE($D148,Milestones!$AA$70)&gt;=$S148),$V148,$U148)))=Milestones!$AB$70),UPPER(TEXT(EDATE($D148,Milestones!$AA$70),"dd mmm yy"))&amp;" "&amp;Milestones!$AB$70&amp;" "&amp;Milestones!$AC$70&amp;";  ","")&amp;IF(AND(EDATE($D148,Milestones!$AA$71)&lt;=AsOfDate,IF($R148=0,$X148,IF(AND($T148&lt;&gt;"",EDATE($D148,Milestones!$AA$71)&gt;=$T148),$W148,IF(AND($S148&lt;&gt;"",EDATE($D148,Milestones!$AA$71)&gt;=$S148),$V148,$U148)))=Milestones!$AB$71),UPPER(TEXT(EDATE($D148,Milestones!$AA$71),"dd mmm yy"))&amp;" "&amp;Milestones!$AB$71&amp;" "&amp;Milestones!$AC$71&amp;";  ","")&amp;IF(AND(EDATE($D148,Milestones!$AA$72)&lt;=AsOfDate,IF($R148=0,$X148,IF(AND($T148&lt;&gt;"",EDATE($D148,Milestones!$AA$72)&gt;=$T148),$W148,IF(AND($S148&lt;&gt;"",EDATE($D148,Milestones!$AA$72)&gt;=$S148),$V148,$U148)))=Milestones!$AB$72),UPPER(TEXT(EDATE($D148,Milestones!$AA$72),"dd mmm yy"))&amp;" "&amp;Milestones!$AB$72&amp;" "&amp;Milestones!$AC$72&amp;";  ","")&amp;IF(AND(EDATE($D148,Milestones!$AA$73)&lt;=AsOfDate,IF($R148=0,$X148,IF(AND($T148&lt;&gt;"",EDATE($D148,Milestones!$AA$73)&gt;=$T148),$W148,IF(AND($S148&lt;&gt;"",EDATE($D148,Milestones!$AA$73)&gt;=$S148),$V148,$U148)))=Milestones!$AB$73),UPPER(TEXT(EDATE($D148,Milestones!$AA$73),"dd mmm yy"))&amp;" "&amp;Milestones!$AB$73&amp;" "&amp;Milestones!$AC$73&amp;";  ","")&amp;IF(AND(EDATE($D148,Milestones!$AA$74)&lt;=AsOfDate,IF($R148=0,$X148,IF(AND($T148&lt;&gt;"",EDATE($D148,Milestones!$AA$74)&gt;=$T148),$W148,IF(AND($S148&lt;&gt;"",EDATE($D148,Milestones!$AA$74)&gt;=$S148),$V148,$U148)))=Milestones!$AB$74),UPPER(TEXT(EDATE($D148,Milestones!$AA$74),"dd mmm yy"))&amp;" "&amp;Milestones!$AB$74&amp;" "&amp;Milestones!$AC$74&amp;";  ","")&amp;IF(AND(EDATE($D148,Milestones!$AA$75)&lt;=AsOfDate,IF($R148=0,$X148,IF(AND($T148&lt;&gt;"",EDATE($D148,Milestones!$AA$75)&gt;=$T148),$W148,IF(AND($S148&lt;&gt;"",EDATE($D148,Milestones!$AA$75)&gt;=$S148),$V148,$U148)))=Milestones!$AB$75),UPPER(TEXT(EDATE($D148,Milestones!$AA$75),"dd mmm yy"))&amp;" "&amp;Milestones!$AB$75&amp;" "&amp;Milestones!$AC$75&amp;";  ","")&amp;IF(AND(EDATE($D148,Milestones!$AA$76)&lt;=AsOfDate,IF($R148=0,$X148,IF(AND($T148&lt;&gt;"",EDATE($D148,Milestones!$AA$76)&gt;=$T148),$W148,IF(AND($S148&lt;&gt;"",EDATE($D148,Milestones!$AA$76)&gt;=$S148),$V148,$U148)))=Milestones!$AB$76),UPPER(TEXT(EDATE($D148,Milestones!$AA$76),"dd mmm yy"))&amp;" "&amp;Milestones!$AB$76&amp;" "&amp;Milestones!$AC$76&amp;";  ","")&amp;IF(AND(EDATE($D148,Milestones!$AA$77)&lt;=AsOfDate,IF($R148=0,$X148,IF(AND($T148&lt;&gt;"",EDATE($D148,Milestones!$AA$77)&gt;=$T148),$W148,IF(AND($S148&lt;&gt;"",EDATE($D148,Milestones!$AA$77)&gt;=$S148),$V148,$U148)))=Milestones!$AB$77),UPPER(TEXT(EDATE($D148,Milestones!$AA$77),"dd mmm yy"))&amp;" "&amp;Milestones!$AB$77&amp;" "&amp;Milestones!$AC$77&amp;";  ","")&amp;IF(AND(EDATE($D148,Milestones!$AA$78)&lt;=AsOfDate,IF($R148=0,$X148,IF(AND($T148&lt;&gt;"",EDATE($D148,Milestones!$AA$78)&gt;=$T148),$W148,IF(AND($S148&lt;&gt;"",EDATE($D148,Milestones!$AA$78)&gt;=$S148),$V148,$U148)))=Milestones!$AB$78),UPPER(TEXT(EDATE($D148,Milestones!$AA$78),"dd mmm yy"))&amp;" "&amp;Milestones!$AB$78&amp;" "&amp;Milestones!$AC$78&amp;";  ","")&amp;IF(AND(EDATE($D148,Milestones!$AA$79)&lt;=AsOfDate,IF($R148=0,$X148,IF(AND($T148&lt;&gt;"",EDATE($D148,Milestones!$AA$79)&gt;=$T148),$W148,IF(AND($S148&lt;&gt;"",EDATE($D148,Milestones!$AA$79)&gt;=$S148),$V148,$U148)))=Milestones!$AB$79),UPPER(TEXT(EDATE($D148,Milestones!$AA$79),"dd mmm yy"))&amp;" "&amp;Milestones!$AB$79&amp;" "&amp;Milestones!$AC$79&amp;";  ",""))</f>
        <v/>
      </c>
      <c r="L148" s="0" t="str">
        <f aca="false">IF(OR($A148="",$D148=""),"",IF(AND(EDATE($D148,Milestones!$AA$80)&lt;=AsOfDate,IF($R148=0,$X148,IF(AND($T148&lt;&gt;"",EDATE($D148,Milestones!$AA$80)&gt;=$T148),$W148,IF(AND($S148&lt;&gt;"",EDATE($D148,Milestones!$AA$80)&gt;=$S148),$V148,$U148)))=Milestones!$AB$80),UPPER(TEXT(EDATE($D148,Milestones!$AA$80),"dd mmm yy"))&amp;" "&amp;Milestones!$AB$80&amp;" "&amp;Milestones!$AC$80&amp;";  ","")&amp;IF(AND(EDATE($D148,Milestones!$AA$81)&lt;=AsOfDate,IF($R148=0,$X148,IF(AND($T148&lt;&gt;"",EDATE($D148,Milestones!$AA$81)&gt;=$T148),$W148,IF(AND($S148&lt;&gt;"",EDATE($D148,Milestones!$AA$81)&gt;=$S148),$V148,$U148)))=Milestones!$AB$81),UPPER(TEXT(EDATE($D148,Milestones!$AA$81),"dd mmm yy"))&amp;" "&amp;Milestones!$AB$81&amp;" "&amp;Milestones!$AC$81&amp;";  ","")&amp;IF(AND(EDATE($D148,Milestones!$AA$82)&lt;=AsOfDate,IF($R148=0,$X148,IF(AND($T148&lt;&gt;"",EDATE($D148,Milestones!$AA$82)&gt;=$T148),$W148,IF(AND($S148&lt;&gt;"",EDATE($D148,Milestones!$AA$82)&gt;=$S148),$V148,$U148)))=Milestones!$AB$82),UPPER(TEXT(EDATE($D148,Milestones!$AA$82),"dd mmm yy"))&amp;" "&amp;Milestones!$AB$82&amp;" "&amp;Milestones!$AC$82&amp;";  ","")&amp;IF(AND(EDATE($D148,Milestones!$AA$83)&lt;=AsOfDate,IF($R148=0,$X148,IF(AND($T148&lt;&gt;"",EDATE($D148,Milestones!$AA$83)&gt;=$T148),$W148,IF(AND($S148&lt;&gt;"",EDATE($D148,Milestones!$AA$83)&gt;=$S148),$V148,$U148)))=Milestones!$AB$83),UPPER(TEXT(EDATE($D148,Milestones!$AA$83),"dd mmm yy"))&amp;" "&amp;Milestones!$AB$83&amp;" "&amp;Milestones!$AC$83&amp;";  ","")&amp;IF(AND(EDATE($D148,Milestones!$AA$84)&lt;=AsOfDate,IF($R148=0,$X148,IF(AND($T148&lt;&gt;"",EDATE($D148,Milestones!$AA$84)&gt;=$T148),$W148,IF(AND($S148&lt;&gt;"",EDATE($D148,Milestones!$AA$84)&gt;=$S148),$V148,$U148)))=Milestones!$AB$84),UPPER(TEXT(EDATE($D148,Milestones!$AA$84),"dd mmm yy"))&amp;" "&amp;Milestones!$AB$84&amp;" "&amp;Milestones!$AC$84&amp;";  ","")&amp;IF(AND(EDATE($D148,Milestones!$AA$85)&lt;=AsOfDate,IF($R148=0,$X148,IF(AND($T148&lt;&gt;"",EDATE($D148,Milestones!$AA$85)&gt;=$T148),$W148,IF(AND($S148&lt;&gt;"",EDATE($D148,Milestones!$AA$85)&gt;=$S148),$V148,$U148)))=Milestones!$AB$85),UPPER(TEXT(EDATE($D148,Milestones!$AA$85),"dd mmm yy"))&amp;" "&amp;Milestones!$AB$85&amp;" "&amp;Milestones!$AC$85&amp;";  ","")&amp;IF(AND(EDATE($D148,Milestones!$AA$86)&lt;=AsOfDate,IF($R148=0,$X148,IF(AND($T148&lt;&gt;"",EDATE($D148,Milestones!$AA$86)&gt;=$T148),$W148,IF(AND($S148&lt;&gt;"",EDATE($D148,Milestones!$AA$86)&gt;=$S148),$V148,$U148)))=Milestones!$AB$86),UPPER(TEXT(EDATE($D148,Milestones!$AA$86),"dd mmm yy"))&amp;" "&amp;Milestones!$AB$86&amp;" "&amp;Milestones!$AC$86&amp;";  ","")&amp;IF(AND(EDATE($D148,Milestones!$AA$87)&lt;=AsOfDate,IF($R148=0,$X148,IF(AND($T148&lt;&gt;"",EDATE($D148,Milestones!$AA$87)&gt;=$T148),$W148,IF(AND($S148&lt;&gt;"",EDATE($D148,Milestones!$AA$87)&gt;=$S148),$V148,$U148)))=Milestones!$AB$87),UPPER(TEXT(EDATE($D148,Milestones!$AA$87),"dd mmm yy"))&amp;" "&amp;Milestones!$AB$87&amp;" "&amp;Milestones!$AC$87&amp;";  ","")&amp;IF(AND(EDATE($D148,Milestones!$AA$88)&lt;=AsOfDate,IF($R148=0,$X148,IF(AND($T148&lt;&gt;"",EDATE($D148,Milestones!$AA$88)&gt;=$T148),$W148,IF(AND($S148&lt;&gt;"",EDATE($D148,Milestones!$AA$88)&gt;=$S148),$V148,$U148)))=Milestones!$AB$88),UPPER(TEXT(EDATE($D148,Milestones!$AA$88),"dd mmm yy"))&amp;" "&amp;Milestones!$AB$88&amp;" "&amp;Milestones!$AC$88&amp;";  ","")&amp;IF(AND(EDATE($D148,Milestones!$AA$89)&lt;=AsOfDate,IF($R148=0,$X148,IF(AND($T148&lt;&gt;"",EDATE($D148,Milestones!$AA$89)&gt;=$T148),$W148,IF(AND($S148&lt;&gt;"",EDATE($D148,Milestones!$AA$89)&gt;=$S148),$V148,$U148)))=Milestones!$AB$89),UPPER(TEXT(EDATE($D148,Milestones!$AA$89),"dd mmm yy"))&amp;" "&amp;Milestones!$AB$89&amp;" "&amp;Milestones!$AC$89&amp;";  ","")&amp;IF(AND(EDATE($D148,Milestones!$AA$90)&lt;=AsOfDate,IF($R148=0,$X148,IF(AND($T148&lt;&gt;"",EDATE($D148,Milestones!$AA$90)&gt;=$T148),$W148,IF(AND($S148&lt;&gt;"",EDATE($D148,Milestones!$AA$90)&gt;=$S148),$V148,$U148)))=Milestones!$AB$90),UPPER(TEXT(EDATE($D148,Milestones!$AA$90),"dd mmm yy"))&amp;" "&amp;Milestones!$AB$90&amp;" "&amp;Milestones!$AC$90&amp;";  ","")&amp;IF(AND(EDATE($D148,Milestones!$AA$91)&lt;=AsOfDate,IF($R148=0,$X148,IF(AND($T148&lt;&gt;"",EDATE($D148,Milestones!$AA$91)&gt;=$T148),$W148,IF(AND($S148&lt;&gt;"",EDATE($D148,Milestones!$AA$91)&gt;=$S148),$V148,$U148)))=Milestones!$AB$91),UPPER(TEXT(EDATE($D148,Milestones!$AA$91),"dd mmm yy"))&amp;" "&amp;Milestones!$AB$91&amp;" "&amp;Milestones!$AC$91&amp;";  ","")&amp;IF(AND(EDATE($D148,Milestones!$AA$92)&lt;=AsOfDate,IF($R148=0,$X148,IF(AND($T148&lt;&gt;"",EDATE($D148,Milestones!$AA$92)&gt;=$T148),$W148,IF(AND($S148&lt;&gt;"",EDATE($D148,Milestones!$AA$92)&gt;=$S148),$V148,$U148)))=Milestones!$AB$92),UPPER(TEXT(EDATE($D148,Milestones!$AA$92),"dd mmm yy"))&amp;" "&amp;Milestones!$AB$92&amp;" "&amp;Milestones!$AC$92&amp;";  ","")&amp;IF(AND(EDATE($D148,Milestones!$AA$93)&lt;=AsOfDate,IF($R148=0,$X148,IF(AND($T148&lt;&gt;"",EDATE($D148,Milestones!$AA$93)&gt;=$T148),$W148,IF(AND($S148&lt;&gt;"",EDATE($D148,Milestones!$AA$93)&gt;=$S148),$V148,$U148)))=Milestones!$AB$93),UPPER(TEXT(EDATE($D148,Milestones!$AA$93),"dd mmm yy"))&amp;" "&amp;Milestones!$AB$93&amp;" "&amp;Milestones!$AC$93&amp;";  ","")&amp;IF(AND(EDATE($D148,Milestones!$AA$94)&lt;=AsOfDate,IF($R148=0,$X148,IF(AND($T148&lt;&gt;"",EDATE($D148,Milestones!$AA$94)&gt;=$T148),$W148,IF(AND($S148&lt;&gt;"",EDATE($D148,Milestones!$AA$94)&gt;=$S148),$V148,$U148)))=Milestones!$AB$94),UPPER(TEXT(EDATE($D148,Milestones!$AA$94),"dd mmm yy"))&amp;" "&amp;Milestones!$AB$94&amp;" "&amp;Milestones!$AC$94&amp;";  ","")&amp;IF(AND(EDATE($D148,Milestones!$AA$95)&lt;=AsOfDate,IF($R148=0,$X148,IF(AND($T148&lt;&gt;"",EDATE($D148,Milestones!$AA$95)&gt;=$T148),$W148,IF(AND($S148&lt;&gt;"",EDATE($D148,Milestones!$AA$95)&gt;=$S148),$V148,$U148)))=Milestones!$AB$95),UPPER(TEXT(EDATE($D148,Milestones!$AA$95),"dd mmm yy"))&amp;" "&amp;Milestones!$AB$95&amp;" "&amp;Milestones!$AC$95&amp;";  ","")&amp;IF(AND(EDATE($D148,Milestones!$AA$96)&lt;=AsOfDate,IF($R148=0,$X148,IF(AND($T148&lt;&gt;"",EDATE($D148,Milestones!$AA$96)&gt;=$T148),$W148,IF(AND($S148&lt;&gt;"",EDATE($D148,Milestones!$AA$96)&gt;=$S148),$V148,$U148)))=Milestones!$AB$96),UPPER(TEXT(EDATE($D148,Milestones!$AA$96),"dd mmm yy"))&amp;" "&amp;Milestones!$AB$96&amp;" "&amp;Milestones!$AC$96&amp;";  ","")&amp;IF(AND(EDATE($D148,Milestones!$AA$97)&lt;=AsOfDate,IF($R148=0,$X148,IF(AND($T148&lt;&gt;"",EDATE($D148,Milestones!$AA$97)&gt;=$T148),$W148,IF(AND($S148&lt;&gt;"",EDATE($D148,Milestones!$AA$97)&gt;=$S148),$V148,$U148)))=Milestones!$AB$97),UPPER(TEXT(EDATE($D148,Milestones!$AA$97),"dd mmm yy"))&amp;" "&amp;Milestones!$AB$97&amp;" "&amp;Milestones!$AC$97&amp;";  ","")&amp;IF(AND(EDATE($D148,Milestones!$AA$98)&lt;=AsOfDate,IF($R148=0,$X148,IF(AND($T148&lt;&gt;"",EDATE($D148,Milestones!$AA$98)&gt;=$T148),$W148,IF(AND($S148&lt;&gt;"",EDATE($D148,Milestones!$AA$98)&gt;=$S148),$V148,$U148)))=Milestones!$AB$98),UPPER(TEXT(EDATE($D148,Milestones!$AA$98),"dd mmm yy"))&amp;" "&amp;Milestones!$AB$98&amp;" "&amp;Milestones!$AC$98&amp;";  ","")&amp;IF(AND(EDATE($D148,Milestones!$AA$99)&lt;=AsOfDate,IF($R148=0,$X148,IF(AND($T148&lt;&gt;"",EDATE($D148,Milestones!$AA$99)&gt;=$T148),$W148,IF(AND($S148&lt;&gt;"",EDATE($D148,Milestones!$AA$99)&gt;=$S148),$V148,$U148)))=Milestones!$AB$99),UPPER(TEXT(EDATE($D148,Milestones!$AA$99),"dd mmm yy"))&amp;" "&amp;Milestones!$AB$99&amp;" "&amp;Milestones!$AC$99&amp;";  ",""))</f>
        <v/>
      </c>
      <c r="M148" s="0" t="str">
        <f aca="false">IF(OR($A148="",$D148=""),"",IF(AND(EDATE($D148,Milestones!$AA$100)&lt;=AsOfDate,IF($R148=0,$X148,IF(AND($T148&lt;&gt;"",EDATE($D148,Milestones!$AA$100)&gt;=$T148),$W148,IF(AND($S148&lt;&gt;"",EDATE($D148,Milestones!$AA$100)&gt;=$S148),$V148,$U148)))=Milestones!$AB$100),UPPER(TEXT(EDATE($D148,Milestones!$AA$100),"dd mmm yy"))&amp;" "&amp;Milestones!$AB$100&amp;" "&amp;Milestones!$AC$100&amp;";  ","")&amp;IF(AND(EDATE($D148,Milestones!$AA$101)&lt;=AsOfDate,IF($R148=0,$X148,IF(AND($T148&lt;&gt;"",EDATE($D148,Milestones!$AA$101)&gt;=$T148),$W148,IF(AND($S148&lt;&gt;"",EDATE($D148,Milestones!$AA$101)&gt;=$S148),$V148,$U148)))=Milestones!$AB$101),UPPER(TEXT(EDATE($D148,Milestones!$AA$101),"dd mmm yy"))&amp;" "&amp;Milestones!$AB$101&amp;" "&amp;Milestones!$AC$101&amp;";  ","")&amp;IF(AND(EDATE($D148,Milestones!$AA$102)&lt;=AsOfDate,IF($R148=0,$X148,IF(AND($T148&lt;&gt;"",EDATE($D148,Milestones!$AA$102)&gt;=$T148),$W148,IF(AND($S148&lt;&gt;"",EDATE($D148,Milestones!$AA$102)&gt;=$S148),$V148,$U148)))=Milestones!$AB$102),UPPER(TEXT(EDATE($D148,Milestones!$AA$102),"dd mmm yy"))&amp;" "&amp;Milestones!$AB$102&amp;" "&amp;Milestones!$AC$102&amp;";  ","")&amp;IF(AND(EDATE($D148,Milestones!$AA$103)&lt;=AsOfDate,IF($R148=0,$X148,IF(AND($T148&lt;&gt;"",EDATE($D148,Milestones!$AA$103)&gt;=$T148),$W148,IF(AND($S148&lt;&gt;"",EDATE($D148,Milestones!$AA$103)&gt;=$S148),$V148,$U148)))=Milestones!$AB$103),UPPER(TEXT(EDATE($D148,Milestones!$AA$103),"dd mmm yy"))&amp;" "&amp;Milestones!$AB$103&amp;" "&amp;Milestones!$AC$103&amp;";  ","")&amp;IF(AND(EDATE($D148,Milestones!$AA$104)&lt;=AsOfDate,IF($R148=0,$X148,IF(AND($T148&lt;&gt;"",EDATE($D148,Milestones!$AA$104)&gt;=$T148),$W148,IF(AND($S148&lt;&gt;"",EDATE($D148,Milestones!$AA$104)&gt;=$S148),$V148,$U148)))=Milestones!$AB$104),UPPER(TEXT(EDATE($D148,Milestones!$AA$104),"dd mmm yy"))&amp;" "&amp;Milestones!$AB$104&amp;" "&amp;Milestones!$AC$104&amp;";  ","")&amp;IF(AND(EDATE($D148,Milestones!$AA$105)&lt;=AsOfDate,IF($R148=0,$X148,IF(AND($T148&lt;&gt;"",EDATE($D148,Milestones!$AA$105)&gt;=$T148),$W148,IF(AND($S148&lt;&gt;"",EDATE($D148,Milestones!$AA$105)&gt;=$S148),$V148,$U148)))=Milestones!$AB$105),UPPER(TEXT(EDATE($D148,Milestones!$AA$105),"dd mmm yy"))&amp;" "&amp;Milestones!$AB$105&amp;" "&amp;Milestones!$AC$105&amp;";  ","")&amp;IF(AND(EDATE($D148,Milestones!$AA$106)&lt;=AsOfDate,IF($R148=0,$X148,IF(AND($T148&lt;&gt;"",EDATE($D148,Milestones!$AA$106)&gt;=$T148),$W148,IF(AND($S148&lt;&gt;"",EDATE($D148,Milestones!$AA$106)&gt;=$S148),$V148,$U148)))=Milestones!$AB$106),UPPER(TEXT(EDATE($D148,Milestones!$AA$106),"dd mmm yy"))&amp;" "&amp;Milestones!$AB$106&amp;" "&amp;Milestones!$AC$106&amp;";  ","")&amp;IF(AND(EDATE($D148,Milestones!$AA$107)&lt;=AsOfDate,IF($R148=0,$X148,IF(AND($T148&lt;&gt;"",EDATE($D148,Milestones!$AA$107)&gt;=$T148),$W148,IF(AND($S148&lt;&gt;"",EDATE($D148,Milestones!$AA$107)&gt;=$S148),$V148,$U148)))=Milestones!$AB$107),UPPER(TEXT(EDATE($D148,Milestones!$AA$107),"dd mmm yy"))&amp;" "&amp;Milestones!$AB$107&amp;" "&amp;Milestones!$AC$107&amp;";  ","")&amp;IF(AND(EDATE($D148,Milestones!$AA$108)&lt;=AsOfDate,IF($R148=0,$X148,IF(AND($T148&lt;&gt;"",EDATE($D148,Milestones!$AA$108)&gt;=$T148),$W148,IF(AND($S148&lt;&gt;"",EDATE($D148,Milestones!$AA$108)&gt;=$S148),$V148,$U148)))=Milestones!$AB$108),UPPER(TEXT(EDATE($D148,Milestones!$AA$108),"dd mmm yy"))&amp;" "&amp;Milestones!$AB$108&amp;" "&amp;Milestones!$AC$108&amp;";  ","")&amp;IF(AND(EDATE($D148,Milestones!$AA$109)&lt;=AsOfDate,IF($R148=0,$X148,IF(AND($T148&lt;&gt;"",EDATE($D148,Milestones!$AA$109)&gt;=$T148),$W148,IF(AND($S148&lt;&gt;"",EDATE($D148,Milestones!$AA$109)&gt;=$S148),$V148,$U148)))=Milestones!$AB$109),UPPER(TEXT(EDATE($D148,Milestones!$AA$109),"dd mmm yy"))&amp;" "&amp;Milestones!$AB$109&amp;" "&amp;Milestones!$AC$109&amp;";  ","")&amp;IF(AND(EDATE($D148,Milestones!$AA$110)&lt;=AsOfDate,IF($R148=0,$X148,IF(AND($T148&lt;&gt;"",EDATE($D148,Milestones!$AA$110)&gt;=$T148),$W148,IF(AND($S148&lt;&gt;"",EDATE($D148,Milestones!$AA$110)&gt;=$S148),$V148,$U148)))=Milestones!$AB$110),UPPER(TEXT(EDATE($D148,Milestones!$AA$110),"dd mmm yy"))&amp;" "&amp;Milestones!$AB$110&amp;" "&amp;Milestones!$AC$110&amp;";  ","")&amp;IF(AND(EDATE($D148,Milestones!$AA$111)&lt;=AsOfDate,IF($R148=0,$X148,IF(AND($T148&lt;&gt;"",EDATE($D148,Milestones!$AA$111)&gt;=$T148),$W148,IF(AND($S148&lt;&gt;"",EDATE($D148,Milestones!$AA$111)&gt;=$S148),$V148,$U148)))=Milestones!$AB$111),UPPER(TEXT(EDATE($D148,Milestones!$AA$111),"dd mmm yy"))&amp;" "&amp;Milestones!$AB$111&amp;" "&amp;Milestones!$AC$111&amp;";  ","")&amp;IF(AND(EDATE($D148,Milestones!$AA$112)&lt;=AsOfDate,IF($R148=0,$X148,IF(AND($T148&lt;&gt;"",EDATE($D148,Milestones!$AA$112)&gt;=$T148),$W148,IF(AND($S148&lt;&gt;"",EDATE($D148,Milestones!$AA$112)&gt;=$S148),$V148,$U148)))=Milestones!$AB$112),UPPER(TEXT(EDATE($D148,Milestones!$AA$112),"dd mmm yy"))&amp;" "&amp;Milestones!$AB$112&amp;" "&amp;Milestones!$AC$112&amp;";  ","")&amp;IF(AND(EDATE($D148,Milestones!$AA$113)&lt;=AsOfDate,IF($R148=0,$X148,IF(AND($T148&lt;&gt;"",EDATE($D148,Milestones!$AA$113)&gt;=$T148),$W148,IF(AND($S148&lt;&gt;"",EDATE($D148,Milestones!$AA$113)&gt;=$S148),$V148,$U148)))=Milestones!$AB$113),UPPER(TEXT(EDATE($D148,Milestones!$AA$113),"dd mmm yy"))&amp;" "&amp;Milestones!$AB$113&amp;" "&amp;Milestones!$AC$113&amp;";  ","")&amp;IF(AND(EDATE($D148,Milestones!$AA$114)&lt;=AsOfDate,IF($R148=0,$X148,IF(AND($T148&lt;&gt;"",EDATE($D148,Milestones!$AA$114)&gt;=$T148),$W148,IF(AND($S148&lt;&gt;"",EDATE($D148,Milestones!$AA$114)&gt;=$S148),$V148,$U148)))=Milestones!$AB$114),UPPER(TEXT(EDATE($D148,Milestones!$AA$114),"dd mmm yy"))&amp;" "&amp;Milestones!$AB$114&amp;" "&amp;Milestones!$AC$114&amp;";  ","")&amp;IF(AND(EDATE($D148,Milestones!$AA$115)&lt;=AsOfDate,IF($R148=0,$X148,IF(AND($T148&lt;&gt;"",EDATE($D148,Milestones!$AA$115)&gt;=$T148),$W148,IF(AND($S148&lt;&gt;"",EDATE($D148,Milestones!$AA$115)&gt;=$S148),$V148,$U148)))=Milestones!$AB$115),UPPER(TEXT(EDATE($D148,Milestones!$AA$115),"dd mmm yy"))&amp;" "&amp;Milestones!$AB$115&amp;" "&amp;Milestones!$AC$115&amp;";  ","")&amp;IF(AND(EDATE($D148,Milestones!$AA$116)&lt;=AsOfDate,IF($R148=0,$X148,IF(AND($T148&lt;&gt;"",EDATE($D148,Milestones!$AA$116)&gt;=$T148),$W148,IF(AND($S148&lt;&gt;"",EDATE($D148,Milestones!$AA$116)&gt;=$S148),$V148,$U148)))=Milestones!$AB$116),UPPER(TEXT(EDATE($D148,Milestones!$AA$116),"dd mmm yy"))&amp;" "&amp;Milestones!$AB$116&amp;" "&amp;Milestones!$AC$116&amp;";  ","")&amp;IF(AND(EDATE($D148,Milestones!$AA$117)&lt;=AsOfDate,IF($R148=0,$X148,IF(AND($T148&lt;&gt;"",EDATE($D148,Milestones!$AA$117)&gt;=$T148),$W148,IF(AND($S148&lt;&gt;"",EDATE($D148,Milestones!$AA$117)&gt;=$S148),$V148,$U148)))=Milestones!$AB$117),UPPER(TEXT(EDATE($D148,Milestones!$AA$117),"dd mmm yy"))&amp;" "&amp;Milestones!$AB$117&amp;" "&amp;Milestones!$AC$117&amp;";  ","")&amp;IF(AND(EDATE($D148,Milestones!$AA$118)&lt;=AsOfDate,IF($R148=0,$X148,IF(AND($T148&lt;&gt;"",EDATE($D148,Milestones!$AA$118)&gt;=$T148),$W148,IF(AND($S148&lt;&gt;"",EDATE($D148,Milestones!$AA$118)&gt;=$S148),$V148,$U148)))=Milestones!$AB$118),UPPER(TEXT(EDATE($D148,Milestones!$AA$118),"dd mmm yy"))&amp;" "&amp;Milestones!$AB$118&amp;" "&amp;Milestones!$AC$118&amp;";  ","")&amp;IF(AND(EDATE($D148,Milestones!$AA$119)&lt;=AsOfDate,IF($R148=0,$X148,IF(AND($T148&lt;&gt;"",EDATE($D148,Milestones!$AA$119)&gt;=$T148),$W148,IF(AND($S148&lt;&gt;"",EDATE($D148,Milestones!$AA$119)&gt;=$S148),$V148,$U148)))=Milestones!$AB$119),UPPER(TEXT(EDATE($D148,Milestones!$AA$119),"dd mmm yy"))&amp;" "&amp;Milestones!$AB$119&amp;" "&amp;Milestones!$AC$119&amp;";  ",""))</f>
        <v/>
      </c>
      <c r="N148" s="0" t="str">
        <f aca="false">IF(OR($A148="",$D148=""),"",IF(AND(EDATE($D148,Milestones!$AA$120)&lt;=AsOfDate,IF($R148=0,$X148,IF(AND($T148&lt;&gt;"",EDATE($D148,Milestones!$AA$120)&gt;=$T148),$W148,IF(AND($S148&lt;&gt;"",EDATE($D148,Milestones!$AA$120)&gt;=$S148),$V148,$U148)))=Milestones!$AB$120),UPPER(TEXT(EDATE($D148,Milestones!$AA$120),"dd mmm yy"))&amp;" "&amp;Milestones!$AB$120&amp;" "&amp;Milestones!$AC$120&amp;";  ","")&amp;IF(AND(EDATE($D148,Milestones!$AA$121)&lt;=AsOfDate,IF($R148=0,$X148,IF(AND($T148&lt;&gt;"",EDATE($D148,Milestones!$AA$121)&gt;=$T148),$W148,IF(AND($S148&lt;&gt;"",EDATE($D148,Milestones!$AA$121)&gt;=$S148),$V148,$U148)))=Milestones!$AB$121),UPPER(TEXT(EDATE($D148,Milestones!$AA$121),"dd mmm yy"))&amp;" "&amp;Milestones!$AB$121&amp;" "&amp;Milestones!$AC$121&amp;";  ","")&amp;IF(AND(EDATE($D148,Milestones!$AA$122)&lt;=AsOfDate,IF($R148=0,$X148,IF(AND($T148&lt;&gt;"",EDATE($D148,Milestones!$AA$122)&gt;=$T148),$W148,IF(AND($S148&lt;&gt;"",EDATE($D148,Milestones!$AA$122)&gt;=$S148),$V148,$U148)))=Milestones!$AB$122),UPPER(TEXT(EDATE($D148,Milestones!$AA$122),"dd mmm yy"))&amp;" "&amp;Milestones!$AB$122&amp;" "&amp;Milestones!$AC$122&amp;";  ","")&amp;IF(AND(EDATE($D148,Milestones!$AA$123)&lt;=AsOfDate,IF($R148=0,$X148,IF(AND($T148&lt;&gt;"",EDATE($D148,Milestones!$AA$123)&gt;=$T148),$W148,IF(AND($S148&lt;&gt;"",EDATE($D148,Milestones!$AA$123)&gt;=$S148),$V148,$U148)))=Milestones!$AB$123),UPPER(TEXT(EDATE($D148,Milestones!$AA$123),"dd mmm yy"))&amp;" "&amp;Milestones!$AB$123&amp;" "&amp;Milestones!$AC$123&amp;";  ","")&amp;IF(AND(EDATE($D148,Milestones!$AA$124)&lt;=AsOfDate,IF($R148=0,$X148,IF(AND($T148&lt;&gt;"",EDATE($D148,Milestones!$AA$124)&gt;=$T148),$W148,IF(AND($S148&lt;&gt;"",EDATE($D148,Milestones!$AA$124)&gt;=$S148),$V148,$U148)))=Milestones!$AB$124),UPPER(TEXT(EDATE($D148,Milestones!$AA$124),"dd mmm yy"))&amp;" "&amp;Milestones!$AB$124&amp;" "&amp;Milestones!$AC$124&amp;";  ","")&amp;IF(AND(EDATE($D148,Milestones!$AA$125)&lt;=AsOfDate,IF($R148=0,$X148,IF(AND($T148&lt;&gt;"",EDATE($D148,Milestones!$AA$125)&gt;=$T148),$W148,IF(AND($S148&lt;&gt;"",EDATE($D148,Milestones!$AA$125)&gt;=$S148),$V148,$U148)))=Milestones!$AB$125),UPPER(TEXT(EDATE($D148,Milestones!$AA$125),"dd mmm yy"))&amp;" "&amp;Milestones!$AB$125&amp;" "&amp;Milestones!$AC$125&amp;";  ","")&amp;IF(AND(EDATE($D148,Milestones!$AA$126)&lt;=AsOfDate,IF($R148=0,$X148,IF(AND($T148&lt;&gt;"",EDATE($D148,Milestones!$AA$126)&gt;=$T148),$W148,IF(AND($S148&lt;&gt;"",EDATE($D148,Milestones!$AA$126)&gt;=$S148),$V148,$U148)))=Milestones!$AB$126),UPPER(TEXT(EDATE($D148,Milestones!$AA$126),"dd mmm yy"))&amp;" "&amp;Milestones!$AB$126&amp;" "&amp;Milestones!$AC$126&amp;";  ","")&amp;IF(AND(EDATE($D148,Milestones!$AA$127)&lt;=AsOfDate,IF($R148=0,$X148,IF(AND($T148&lt;&gt;"",EDATE($D148,Milestones!$AA$127)&gt;=$T148),$W148,IF(AND($S148&lt;&gt;"",EDATE($D148,Milestones!$AA$127)&gt;=$S148),$V148,$U148)))=Milestones!$AB$127),UPPER(TEXT(EDATE($D148,Milestones!$AA$127),"dd mmm yy"))&amp;" "&amp;Milestones!$AB$127&amp;" "&amp;Milestones!$AC$127&amp;";  ","")&amp;IF(AND(EDATE($D148,Milestones!$AA$128)&lt;=AsOfDate,IF($R148=0,$X148,IF(AND($T148&lt;&gt;"",EDATE($D148,Milestones!$AA$128)&gt;=$T148),$W148,IF(AND($S148&lt;&gt;"",EDATE($D148,Milestones!$AA$128)&gt;=$S148),$V148,$U148)))=Milestones!$AB$128),UPPER(TEXT(EDATE($D148,Milestones!$AA$128),"dd mmm yy"))&amp;" "&amp;Milestones!$AB$128&amp;" "&amp;Milestones!$AC$128&amp;";  ","")&amp;IF(AND(EDATE($D148,Milestones!$AA$129)&lt;=AsOfDate,IF($R148=0,$X148,IF(AND($T148&lt;&gt;"",EDATE($D148,Milestones!$AA$129)&gt;=$T148),$W148,IF(AND($S148&lt;&gt;"",EDATE($D148,Milestones!$AA$129)&gt;=$S148),$V148,$U148)))=Milestones!$AB$129),UPPER(TEXT(EDATE($D148,Milestones!$AA$129),"dd mmm yy"))&amp;" "&amp;Milestones!$AB$129&amp;" "&amp;Milestones!$AC$129&amp;";  ","")&amp;IF(AND(EDATE($D148,Milestones!$AA$130)&lt;=AsOfDate,IF($R148=0,$X148,IF(AND($T148&lt;&gt;"",EDATE($D148,Milestones!$AA$130)&gt;=$T148),$W148,IF(AND($S148&lt;&gt;"",EDATE($D148,Milestones!$AA$130)&gt;=$S148),$V148,$U148)))=Milestones!$AB$130),UPPER(TEXT(EDATE($D148,Milestones!$AA$130),"dd mmm yy"))&amp;" "&amp;Milestones!$AB$130&amp;" "&amp;Milestones!$AC$130&amp;";  ","")&amp;IF(AND(EDATE($D148,Milestones!$AA$131)&lt;=AsOfDate,IF($R148=0,$X148,IF(AND($T148&lt;&gt;"",EDATE($D148,Milestones!$AA$131)&gt;=$T148),$W148,IF(AND($S148&lt;&gt;"",EDATE($D148,Milestones!$AA$131)&gt;=$S148),$V148,$U148)))=Milestones!$AB$131),UPPER(TEXT(EDATE($D148,Milestones!$AA$131),"dd mmm yy"))&amp;" "&amp;Milestones!$AB$131&amp;" "&amp;Milestones!$AC$131&amp;";  ","")&amp;IF(AND(EDATE($D148,Milestones!$AA$132)&lt;=AsOfDate,IF($R148=0,$X148,IF(AND($T148&lt;&gt;"",EDATE($D148,Milestones!$AA$132)&gt;=$T148),$W148,IF(AND($S148&lt;&gt;"",EDATE($D148,Milestones!$AA$132)&gt;=$S148),$V148,$U148)))=Milestones!$AB$132),UPPER(TEXT(EDATE($D148,Milestones!$AA$132),"dd mmm yy"))&amp;" "&amp;Milestones!$AB$132&amp;" "&amp;Milestones!$AC$132&amp;";  ","")&amp;IF(AND(EDATE($D148,Milestones!$AA$133)&lt;=AsOfDate,IF($R148=0,$X148,IF(AND($T148&lt;&gt;"",EDATE($D148,Milestones!$AA$133)&gt;=$T148),$W148,IF(AND($S148&lt;&gt;"",EDATE($D148,Milestones!$AA$133)&gt;=$S148),$V148,$U148)))=Milestones!$AB$133),UPPER(TEXT(EDATE($D148,Milestones!$AA$133),"dd mmm yy"))&amp;" "&amp;Milestones!$AB$133&amp;" "&amp;Milestones!$AC$133&amp;";  ","")&amp;IF(AND(EDATE($D148,Milestones!$AA$134)&lt;=AsOfDate,IF($R148=0,$X148,IF(AND($T148&lt;&gt;"",EDATE($D148,Milestones!$AA$134)&gt;=$T148),$W148,IF(AND($S148&lt;&gt;"",EDATE($D148,Milestones!$AA$134)&gt;=$S148),$V148,$U148)))=Milestones!$AB$134),UPPER(TEXT(EDATE($D148,Milestones!$AA$134),"dd mmm yy"))&amp;" "&amp;Milestones!$AB$134&amp;" "&amp;Milestones!$AC$134&amp;";  ","")&amp;IF(AND(EDATE($D148,Milestones!$AA$135)&lt;=AsOfDate,IF($R148=0,$X148,IF(AND($T148&lt;&gt;"",EDATE($D148,Milestones!$AA$135)&gt;=$T148),$W148,IF(AND($S148&lt;&gt;"",EDATE($D148,Milestones!$AA$135)&gt;=$S148),$V148,$U148)))=Milestones!$AB$135),UPPER(TEXT(EDATE($D148,Milestones!$AA$135),"dd mmm yy"))&amp;" "&amp;Milestones!$AB$135&amp;" "&amp;Milestones!$AC$135&amp;";  ","")&amp;IF(AND(EDATE($D148,Milestones!$AA$136)&lt;=AsOfDate,IF($R148=0,$X148,IF(AND($T148&lt;&gt;"",EDATE($D148,Milestones!$AA$136)&gt;=$T148),$W148,IF(AND($S148&lt;&gt;"",EDATE($D148,Milestones!$AA$136)&gt;=$S148),$V148,$U148)))=Milestones!$AB$136),UPPER(TEXT(EDATE($D148,Milestones!$AA$136),"dd mmm yy"))&amp;" "&amp;Milestones!$AB$136&amp;" "&amp;Milestones!$AC$136&amp;";  ","")&amp;IF(AND(EDATE($D148,Milestones!$AA$137)&lt;=AsOfDate,IF($R148=0,$X148,IF(AND($T148&lt;&gt;"",EDATE($D148,Milestones!$AA$137)&gt;=$T148),$W148,IF(AND($S148&lt;&gt;"",EDATE($D148,Milestones!$AA$137)&gt;=$S148),$V148,$U148)))=Milestones!$AB$137),UPPER(TEXT(EDATE($D148,Milestones!$AA$137),"dd mmm yy"))&amp;" "&amp;Milestones!$AB$137&amp;" "&amp;Milestones!$AC$137&amp;";  ","")&amp;IF(AND(EDATE($D148,Milestones!$AA$138)&lt;=AsOfDate,IF($R148=0,$X148,IF(AND($T148&lt;&gt;"",EDATE($D148,Milestones!$AA$138)&gt;=$T148),$W148,IF(AND($S148&lt;&gt;"",EDATE($D148,Milestones!$AA$138)&gt;=$S148),$V148,$U148)))=Milestones!$AB$138),UPPER(TEXT(EDATE($D148,Milestones!$AA$138),"dd mmm yy"))&amp;" "&amp;Milestones!$AB$138&amp;" "&amp;Milestones!$AC$138&amp;";  ","")&amp;IF(AND(EDATE($D148,Milestones!$AA$139)&lt;=AsOfDate,IF($R148=0,$X148,IF(AND($T148&lt;&gt;"",EDATE($D148,Milestones!$AA$139)&gt;=$T148),$W148,IF(AND($S148&lt;&gt;"",EDATE($D148,Milestones!$AA$139)&gt;=$S148),$V148,$U148)))=Milestones!$AB$139),UPPER(TEXT(EDATE($D148,Milestones!$AA$139),"dd mmm yy"))&amp;" "&amp;Milestones!$AB$139&amp;" "&amp;Milestones!$AC$139&amp;";  ",""))</f>
        <v/>
      </c>
      <c r="O148" s="0" t="str">
        <f aca="false">IF(OR($A148="",$D148=""),"",IF(AND(EDATE($D148,Milestones!$AA$140)&lt;=AsOfDate,IF($R148=0,$X148,IF(AND($T148&lt;&gt;"",EDATE($D148,Milestones!$AA$140)&gt;=$T148),$W148,IF(AND($S148&lt;&gt;"",EDATE($D148,Milestones!$AA$140)&gt;=$S148),$V148,$U148)))=Milestones!$AB$140),UPPER(TEXT(EDATE($D148,Milestones!$AA$140),"dd mmm yy"))&amp;" "&amp;Milestones!$AB$140&amp;" "&amp;Milestones!$AC$140&amp;";  ","")&amp;IF(AND(EDATE($D148,Milestones!$AA$141)&lt;=AsOfDate,IF($R148=0,$X148,IF(AND($T148&lt;&gt;"",EDATE($D148,Milestones!$AA$141)&gt;=$T148),$W148,IF(AND($S148&lt;&gt;"",EDATE($D148,Milestones!$AA$141)&gt;=$S148),$V148,$U148)))=Milestones!$AB$141),UPPER(TEXT(EDATE($D148,Milestones!$AA$141),"dd mmm yy"))&amp;" "&amp;Milestones!$AB$141&amp;" "&amp;Milestones!$AC$141&amp;";  ","")&amp;IF(AND(EDATE($D148,Milestones!$AA$142)&lt;=AsOfDate,IF($R148=0,$X148,IF(AND($T148&lt;&gt;"",EDATE($D148,Milestones!$AA$142)&gt;=$T148),$W148,IF(AND($S148&lt;&gt;"",EDATE($D148,Milestones!$AA$142)&gt;=$S148),$V148,$U148)))=Milestones!$AB$142),UPPER(TEXT(EDATE($D148,Milestones!$AA$142),"dd mmm yy"))&amp;" "&amp;Milestones!$AB$142&amp;" "&amp;Milestones!$AC$142&amp;";  ","")&amp;IF(AND(EDATE($D148,Milestones!$AA$143)&lt;=AsOfDate,IF($R148=0,$X148,IF(AND($T148&lt;&gt;"",EDATE($D148,Milestones!$AA$143)&gt;=$T148),$W148,IF(AND($S148&lt;&gt;"",EDATE($D148,Milestones!$AA$143)&gt;=$S148),$V148,$U148)))=Milestones!$AB$143),UPPER(TEXT(EDATE($D148,Milestones!$AA$143),"dd mmm yy"))&amp;" "&amp;Milestones!$AB$143&amp;" "&amp;Milestones!$AC$143&amp;";  ","")&amp;IF(AND(EDATE($D148,Milestones!$AA$144)&lt;=AsOfDate,IF($R148=0,$X148,IF(AND($T148&lt;&gt;"",EDATE($D148,Milestones!$AA$144)&gt;=$T148),$W148,IF(AND($S148&lt;&gt;"",EDATE($D148,Milestones!$AA$144)&gt;=$S148),$V148,$U148)))=Milestones!$AB$144),UPPER(TEXT(EDATE($D148,Milestones!$AA$144),"dd mmm yy"))&amp;" "&amp;Milestones!$AB$144&amp;" "&amp;Milestones!$AC$144&amp;";  ","")&amp;IF(AND(EDATE($D148,Milestones!$AA$145)&lt;=AsOfDate,IF($R148=0,$X148,IF(AND($T148&lt;&gt;"",EDATE($D148,Milestones!$AA$145)&gt;=$T148),$W148,IF(AND($S148&lt;&gt;"",EDATE($D148,Milestones!$AA$145)&gt;=$S148),$V148,$U148)))=Milestones!$AB$145),UPPER(TEXT(EDATE($D148,Milestones!$AA$145),"dd mmm yy"))&amp;" "&amp;Milestones!$AB$145&amp;" "&amp;Milestones!$AC$145&amp;";  ","")&amp;IF(AND(EDATE($D148,Milestones!$AA$146)&lt;=AsOfDate,IF($R148=0,$X148,IF(AND($T148&lt;&gt;"",EDATE($D148,Milestones!$AA$146)&gt;=$T148),$W148,IF(AND($S148&lt;&gt;"",EDATE($D148,Milestones!$AA$146)&gt;=$S148),$V148,$U148)))=Milestones!$AB$146),UPPER(TEXT(EDATE($D148,Milestones!$AA$146),"dd mmm yy"))&amp;" "&amp;Milestones!$AB$146&amp;" "&amp;Milestones!$AC$146&amp;";  ","")&amp;IF(AND(EDATE($D148,Milestones!$AA$147)&lt;=AsOfDate,IF($R148=0,$X148,IF(AND($T148&lt;&gt;"",EDATE($D148,Milestones!$AA$147)&gt;=$T148),$W148,IF(AND($S148&lt;&gt;"",EDATE($D148,Milestones!$AA$147)&gt;=$S148),$V148,$U148)))=Milestones!$AB$147),UPPER(TEXT(EDATE($D148,Milestones!$AA$147),"dd mmm yy"))&amp;" "&amp;Milestones!$AB$147&amp;" "&amp;Milestones!$AC$147&amp;";  ","")&amp;IF(AND(EDATE($D148,Milestones!$AA$148)&lt;=AsOfDate,IF($R148=0,$X148,IF(AND($T148&lt;&gt;"",EDATE($D148,Milestones!$AA$148)&gt;=$T148),$W148,IF(AND($S148&lt;&gt;"",EDATE($D148,Milestones!$AA$148)&gt;=$S148),$V148,$U148)))=Milestones!$AB$148),UPPER(TEXT(EDATE($D148,Milestones!$AA$148),"dd mmm yy"))&amp;" "&amp;Milestones!$AB$148&amp;" "&amp;Milestones!$AC$148&amp;";  ","")&amp;IF(AND(EDATE($D148,Milestones!$AA$149)&lt;=AsOfDate,IF($R148=0,$X148,IF(AND($T148&lt;&gt;"",EDATE($D148,Milestones!$AA$149)&gt;=$T148),$W148,IF(AND($S148&lt;&gt;"",EDATE($D148,Milestones!$AA$149)&gt;=$S148),$V148,$U148)))=Milestones!$AB$149),UPPER(TEXT(EDATE($D148,Milestones!$AA$149),"dd mmm yy"))&amp;" "&amp;Milestones!$AB$149&amp;" "&amp;Milestones!$AC$149&amp;";  ","")&amp;IF(AND(EDATE($D148,Milestones!$AA$150)&lt;=AsOfDate,IF($R148=0,$X148,IF(AND($T148&lt;&gt;"",EDATE($D148,Milestones!$AA$150)&gt;=$T148),$W148,IF(AND($S148&lt;&gt;"",EDATE($D148,Milestones!$AA$150)&gt;=$S148),$V148,$U148)))=Milestones!$AB$150),UPPER(TEXT(EDATE($D148,Milestones!$AA$150),"dd mmm yy"))&amp;" "&amp;Milestones!$AB$150&amp;" "&amp;Milestones!$AC$150&amp;";  ","")&amp;IF(AND(EDATE($D148,Milestones!$AA$151)&lt;=AsOfDate,IF($R148=0,$X148,IF(AND($T148&lt;&gt;"",EDATE($D148,Milestones!$AA$151)&gt;=$T148),$W148,IF(AND($S148&lt;&gt;"",EDATE($D148,Milestones!$AA$151)&gt;=$S148),$V148,$U148)))=Milestones!$AB$151),UPPER(TEXT(EDATE($D148,Milestones!$AA$151),"dd mmm yy"))&amp;" "&amp;Milestones!$AB$151&amp;" "&amp;Milestones!$AC$151&amp;";  ","")&amp;IF(AND(EDATE($D148,Milestones!$AA$152)&lt;=AsOfDate,IF($R148=0,$X148,IF(AND($T148&lt;&gt;"",EDATE($D148,Milestones!$AA$152)&gt;=$T148),$W148,IF(AND($S148&lt;&gt;"",EDATE($D148,Milestones!$AA$152)&gt;=$S148),$V148,$U148)))=Milestones!$AB$152),UPPER(TEXT(EDATE($D148,Milestones!$AA$152),"dd mmm yy"))&amp;" "&amp;Milestones!$AB$152&amp;" "&amp;Milestones!$AC$152&amp;";  ","")&amp;IF(AND(EDATE($D148,Milestones!$AA$153)&lt;=AsOfDate,IF($R148=0,$X148,IF(AND($T148&lt;&gt;"",EDATE($D148,Milestones!$AA$153)&gt;=$T148),$W148,IF(AND($S148&lt;&gt;"",EDATE($D148,Milestones!$AA$153)&gt;=$S148),$V148,$U148)))=Milestones!$AB$153),UPPER(TEXT(EDATE($D148,Milestones!$AA$153),"dd mmm yy"))&amp;" "&amp;Milestones!$AB$153&amp;" "&amp;Milestones!$AC$153&amp;";  ","")&amp;IF(AND(EDATE($D148,Milestones!$AA$154)&lt;=AsOfDate,IF($R148=0,$X148,IF(AND($T148&lt;&gt;"",EDATE($D148,Milestones!$AA$154)&gt;=$T148),$W148,IF(AND($S148&lt;&gt;"",EDATE($D148,Milestones!$AA$154)&gt;=$S148),$V148,$U148)))=Milestones!$AB$154),UPPER(TEXT(EDATE($D148,Milestones!$AA$154),"dd mmm yy"))&amp;" "&amp;Milestones!$AB$154&amp;" "&amp;Milestones!$AC$154&amp;";  ","")&amp;IF(AND(EDATE($D148,Milestones!$AA$155)&lt;=AsOfDate,IF($R148=0,$X148,IF(AND($T148&lt;&gt;"",EDATE($D148,Milestones!$AA$155)&gt;=$T148),$W148,IF(AND($S148&lt;&gt;"",EDATE($D148,Milestones!$AA$155)&gt;=$S148),$V148,$U148)))=Milestones!$AB$155),UPPER(TEXT(EDATE($D148,Milestones!$AA$155),"dd mmm yy"))&amp;" "&amp;Milestones!$AB$155&amp;" "&amp;Milestones!$AC$155&amp;";  ","")&amp;IF(AND(EDATE($D148,Milestones!$AA$156)&lt;=AsOfDate,IF($R148=0,$X148,IF(AND($T148&lt;&gt;"",EDATE($D148,Milestones!$AA$156)&gt;=$T148),$W148,IF(AND($S148&lt;&gt;"",EDATE($D148,Milestones!$AA$156)&gt;=$S148),$V148,$U148)))=Milestones!$AB$156),UPPER(TEXT(EDATE($D148,Milestones!$AA$156),"dd mmm yy"))&amp;" "&amp;Milestones!$AB$156&amp;" "&amp;Milestones!$AC$156&amp;";  ","")&amp;IF(AND(EDATE($D148,Milestones!$AA$157)&lt;=AsOfDate,IF($R148=0,$X148,IF(AND($T148&lt;&gt;"",EDATE($D148,Milestones!$AA$157)&gt;=$T148),$W148,IF(AND($S148&lt;&gt;"",EDATE($D148,Milestones!$AA$157)&gt;=$S148),$V148,$U148)))=Milestones!$AB$157),UPPER(TEXT(EDATE($D148,Milestones!$AA$157),"dd mmm yy"))&amp;" "&amp;Milestones!$AB$157&amp;" "&amp;Milestones!$AC$157&amp;";  ","")&amp;IF(AND(EDATE($D148,Milestones!$AA$158)&lt;=AsOfDate,IF($R148=0,$X148,IF(AND($T148&lt;&gt;"",EDATE($D148,Milestones!$AA$158)&gt;=$T148),$W148,IF(AND($S148&lt;&gt;"",EDATE($D148,Milestones!$AA$158)&gt;=$S148),$V148,$U148)))=Milestones!$AB$158),UPPER(TEXT(EDATE($D148,Milestones!$AA$158),"dd mmm yy"))&amp;" "&amp;Milestones!$AB$158&amp;" "&amp;Milestones!$AC$158&amp;";  ","")&amp;IF(AND(EDATE($D148,Milestones!$AA$159)&lt;=AsOfDate,IF($R148=0,$X148,IF(AND($T148&lt;&gt;"",EDATE($D148,Milestones!$AA$159)&gt;=$T148),$W148,IF(AND($S148&lt;&gt;"",EDATE($D148,Milestones!$AA$159)&gt;=$S148),$V148,$U148)))=Milestones!$AB$159),UPPER(TEXT(EDATE($D148,Milestones!$AA$159),"dd mmm yy"))&amp;" "&amp;Milestones!$AB$159&amp;" "&amp;Milestones!$AC$159&amp;";  ",""))</f>
        <v/>
      </c>
      <c r="P148" s="0" t="str">
        <f aca="false">IF(OR($A148="",$D148=""),"",IF(AND(EDATE($D148,Milestones!$AA$160)&lt;=AsOfDate,IF($R148=0,$X148,IF(AND($T148&lt;&gt;"",EDATE($D148,Milestones!$AA$160)&gt;=$T148),$W148,IF(AND($S148&lt;&gt;"",EDATE($D148,Milestones!$AA$160)&gt;=$S148),$V148,$U148)))=Milestones!$AB$160),UPPER(TEXT(EDATE($D148,Milestones!$AA$160),"dd mmm yy"))&amp;" "&amp;Milestones!$AB$160&amp;" "&amp;Milestones!$AC$160&amp;";  ","")&amp;IF(AND(EDATE($D148,Milestones!$AA$161)&lt;=AsOfDate,IF($R148=0,$X148,IF(AND($T148&lt;&gt;"",EDATE($D148,Milestones!$AA$161)&gt;=$T148),$W148,IF(AND($S148&lt;&gt;"",EDATE($D148,Milestones!$AA$161)&gt;=$S148),$V148,$U148)))=Milestones!$AB$161),UPPER(TEXT(EDATE($D148,Milestones!$AA$161),"dd mmm yy"))&amp;" "&amp;Milestones!$AB$161&amp;" "&amp;Milestones!$AC$161&amp;";  ","")&amp;IF(AND(EDATE($D148,Milestones!$AA$162)&lt;=AsOfDate,IF($R148=0,$X148,IF(AND($T148&lt;&gt;"",EDATE($D148,Milestones!$AA$162)&gt;=$T148),$W148,IF(AND($S148&lt;&gt;"",EDATE($D148,Milestones!$AA$162)&gt;=$S148),$V148,$U148)))=Milestones!$AB$162),UPPER(TEXT(EDATE($D148,Milestones!$AA$162),"dd mmm yy"))&amp;" "&amp;Milestones!$AB$162&amp;" "&amp;Milestones!$AC$162&amp;";  ","")&amp;IF(AND(EDATE($D148,Milestones!$AA$163)&lt;=AsOfDate,IF($R148=0,$X148,IF(AND($T148&lt;&gt;"",EDATE($D148,Milestones!$AA$163)&gt;=$T148),$W148,IF(AND($S148&lt;&gt;"",EDATE($D148,Milestones!$AA$163)&gt;=$S148),$V148,$U148)))=Milestones!$AB$163),UPPER(TEXT(EDATE($D148,Milestones!$AA$163),"dd mmm yy"))&amp;" "&amp;Milestones!$AB$163&amp;" "&amp;Milestones!$AC$163&amp;";  ","")&amp;IF(AND(EDATE($D148,Milestones!$AA$164)&lt;=AsOfDate,IF($R148=0,$X148,IF(AND($T148&lt;&gt;"",EDATE($D148,Milestones!$AA$164)&gt;=$T148),$W148,IF(AND($S148&lt;&gt;"",EDATE($D148,Milestones!$AA$164)&gt;=$S148),$V148,$U148)))=Milestones!$AB$164),UPPER(TEXT(EDATE($D148,Milestones!$AA$164),"dd mmm yy"))&amp;" "&amp;Milestones!$AB$164&amp;" "&amp;Milestones!$AC$164&amp;";  ","")&amp;IF(AND(EDATE($D148,Milestones!$AA$165)&lt;=AsOfDate,IF($R148=0,$X148,IF(AND($T148&lt;&gt;"",EDATE($D148,Milestones!$AA$165)&gt;=$T148),$W148,IF(AND($S148&lt;&gt;"",EDATE($D148,Milestones!$AA$165)&gt;=$S148),$V148,$U148)))=Milestones!$AB$165),UPPER(TEXT(EDATE($D148,Milestones!$AA$165),"dd mmm yy"))&amp;" "&amp;Milestones!$AB$165&amp;" "&amp;Milestones!$AC$165&amp;";  ","")&amp;IF(AND(EDATE($D148,Milestones!$AA$166)&lt;=AsOfDate,IF($R148=0,$X148,IF(AND($T148&lt;&gt;"",EDATE($D148,Milestones!$AA$166)&gt;=$T148),$W148,IF(AND($S148&lt;&gt;"",EDATE($D148,Milestones!$AA$166)&gt;=$S148),$V148,$U148)))=Milestones!$AB$166),UPPER(TEXT(EDATE($D148,Milestones!$AA$166),"dd mmm yy"))&amp;" "&amp;Milestones!$AB$166&amp;" "&amp;Milestones!$AC$166&amp;";  ","")&amp;IF(AND(EDATE($D148,Milestones!$AA$167)&lt;=AsOfDate,IF($R148=0,$X148,IF(AND($T148&lt;&gt;"",EDATE($D148,Milestones!$AA$167)&gt;=$T148),$W148,IF(AND($S148&lt;&gt;"",EDATE($D148,Milestones!$AA$167)&gt;=$S148),$V148,$U148)))=Milestones!$AB$167),UPPER(TEXT(EDATE($D148,Milestones!$AA$167),"dd mmm yy"))&amp;" "&amp;Milestones!$AB$167&amp;" "&amp;Milestones!$AC$167&amp;";  ","")&amp;IF(AND(EDATE($D148,Milestones!$AA$168)&lt;=AsOfDate,IF($R148=0,$X148,IF(AND($T148&lt;&gt;"",EDATE($D148,Milestones!$AA$168)&gt;=$T148),$W148,IF(AND($S148&lt;&gt;"",EDATE($D148,Milestones!$AA$168)&gt;=$S148),$V148,$U148)))=Milestones!$AB$168),UPPER(TEXT(EDATE($D148,Milestones!$AA$168),"dd mmm yy"))&amp;" "&amp;Milestones!$AB$168&amp;" "&amp;Milestones!$AC$168&amp;";  ","")&amp;IF(AND(EDATE($D148,Milestones!$AA$169)&lt;=AsOfDate,IF($R148=0,$X148,IF(AND($T148&lt;&gt;"",EDATE($D148,Milestones!$AA$169)&gt;=$T148),$W148,IF(AND($S148&lt;&gt;"",EDATE($D148,Milestones!$AA$169)&gt;=$S148),$V148,$U148)))=Milestones!$AB$169),UPPER(TEXT(EDATE($D148,Milestones!$AA$169),"dd mmm yy"))&amp;" "&amp;Milestones!$AB$169&amp;" "&amp;Milestones!$AC$169&amp;";  ","")&amp;IF(AND(EDATE($D148,Milestones!$AA$170)&lt;=AsOfDate,IF($R148=0,$X148,IF(AND($T148&lt;&gt;"",EDATE($D148,Milestones!$AA$170)&gt;=$T148),$W148,IF(AND($S148&lt;&gt;"",EDATE($D148,Milestones!$AA$170)&gt;=$S148),$V148,$U148)))=Milestones!$AB$170),UPPER(TEXT(EDATE($D148,Milestones!$AA$170),"dd mmm yy"))&amp;" "&amp;Milestones!$AB$170&amp;" "&amp;Milestones!$AC$170&amp;";  ","")&amp;IF(AND(EDATE($D148,Milestones!$AA$171)&lt;=AsOfDate,IF($R148=0,$X148,IF(AND($T148&lt;&gt;"",EDATE($D148,Milestones!$AA$171)&gt;=$T148),$W148,IF(AND($S148&lt;&gt;"",EDATE($D148,Milestones!$AA$171)&gt;=$S148),$V148,$U148)))=Milestones!$AB$171),UPPER(TEXT(EDATE($D148,Milestones!$AA$171),"dd mmm yy"))&amp;" "&amp;Milestones!$AB$171&amp;" "&amp;Milestones!$AC$171&amp;";  ","")&amp;IF(AND(EDATE($D148,Milestones!$AA$172)&lt;=AsOfDate,IF($R148=0,$X148,IF(AND($T148&lt;&gt;"",EDATE($D148,Milestones!$AA$172)&gt;=$T148),$W148,IF(AND($S148&lt;&gt;"",EDATE($D148,Milestones!$AA$172)&gt;=$S148),$V148,$U148)))=Milestones!$AB$172),UPPER(TEXT(EDATE($D148,Milestones!$AA$172),"dd mmm yy"))&amp;" "&amp;Milestones!$AB$172&amp;" "&amp;Milestones!$AC$172&amp;";  ","")&amp;IF(AND(EDATE($D148,Milestones!$AA$173)&lt;=AsOfDate,IF($R148=0,$X148,IF(AND($T148&lt;&gt;"",EDATE($D148,Milestones!$AA$173)&gt;=$T148),$W148,IF(AND($S148&lt;&gt;"",EDATE($D148,Milestones!$AA$173)&gt;=$S148),$V148,$U148)))=Milestones!$AB$173),UPPER(TEXT(EDATE($D148,Milestones!$AA$173),"dd mmm yy"))&amp;" "&amp;Milestones!$AB$173&amp;" "&amp;Milestones!$AC$173&amp;";  ","")&amp;IF(AND(EDATE($D148,Milestones!$AA$174)&lt;=AsOfDate,IF($R148=0,$X148,IF(AND($T148&lt;&gt;"",EDATE($D148,Milestones!$AA$174)&gt;=$T148),$W148,IF(AND($S148&lt;&gt;"",EDATE($D148,Milestones!$AA$174)&gt;=$S148),$V148,$U148)))=Milestones!$AB$174),UPPER(TEXT(EDATE($D148,Milestones!$AA$174),"dd mmm yy"))&amp;" "&amp;Milestones!$AB$174&amp;" "&amp;Milestones!$AC$174&amp;";  ","")&amp;IF(AND(EDATE($D148,Milestones!$AA$175)&lt;=AsOfDate,IF($R148=0,$X148,IF(AND($T148&lt;&gt;"",EDATE($D148,Milestones!$AA$175)&gt;=$T148),$W148,IF(AND($S148&lt;&gt;"",EDATE($D148,Milestones!$AA$175)&gt;=$S148),$V148,$U148)))=Milestones!$AB$175),UPPER(TEXT(EDATE($D148,Milestones!$AA$175),"dd mmm yy"))&amp;" "&amp;Milestones!$AB$175&amp;" "&amp;Milestones!$AC$175&amp;";  ","")&amp;IF(AND(EDATE($D148,Milestones!$AA$176)&lt;=AsOfDate,IF($R148=0,$X148,IF(AND($T148&lt;&gt;"",EDATE($D148,Milestones!$AA$176)&gt;=$T148),$W148,IF(AND($S148&lt;&gt;"",EDATE($D148,Milestones!$AA$176)&gt;=$S148),$V148,$U148)))=Milestones!$AB$176),UPPER(TEXT(EDATE($D148,Milestones!$AA$176),"dd mmm yy"))&amp;" "&amp;Milestones!$AB$176&amp;" "&amp;Milestones!$AC$176&amp;";  ","")&amp;IF(AND(EDATE($D148,Milestones!$AA$177)&lt;=AsOfDate,IF($R148=0,$X148,IF(AND($T148&lt;&gt;"",EDATE($D148,Milestones!$AA$177)&gt;=$T148),$W148,IF(AND($S148&lt;&gt;"",EDATE($D148,Milestones!$AA$177)&gt;=$S148),$V148,$U148)))=Milestones!$AB$177),UPPER(TEXT(EDATE($D148,Milestones!$AA$177),"dd mmm yy"))&amp;" "&amp;Milestones!$AB$177&amp;" "&amp;Milestones!$AC$177&amp;";  ","")&amp;IF(AND(EDATE($D148,Milestones!$AA$178)&lt;=AsOfDate,IF($R148=0,$X148,IF(AND($T148&lt;&gt;"",EDATE($D148,Milestones!$AA$178)&gt;=$T148),$W148,IF(AND($S148&lt;&gt;"",EDATE($D148,Milestones!$AA$178)&gt;=$S148),$V148,$U148)))=Milestones!$AB$178),UPPER(TEXT(EDATE($D148,Milestones!$AA$178),"dd mmm yy"))&amp;" "&amp;Milestones!$AB$178&amp;" "&amp;Milestones!$AC$178&amp;";  ","")&amp;IF(AND(EDATE($D148,Milestones!$AA$179)&lt;=AsOfDate,IF($R148=0,$X148,IF(AND($T148&lt;&gt;"",EDATE($D148,Milestones!$AA$179)&gt;=$T148),$W148,IF(AND($S148&lt;&gt;"",EDATE($D148,Milestones!$AA$179)&gt;=$S148),$V148,$U148)))=Milestones!$AB$179),UPPER(TEXT(EDATE($D148,Milestones!$AA$179),"dd mmm yy"))&amp;" "&amp;Milestones!$AB$179&amp;" "&amp;Milestones!$AC$179&amp;";  ",""))</f>
        <v/>
      </c>
      <c r="Q148" s="0" t="str">
        <f aca="false">IF(OR($A148="",$D148=""),"",IF(AND(EDATE($D148,Milestones!$AA$180)&lt;=AsOfDate,IF($R148=0,$X148,IF(AND($T148&lt;&gt;"",EDATE($D148,Milestones!$AA$180)&gt;=$T148),$W148,IF(AND($S148&lt;&gt;"",EDATE($D148,Milestones!$AA$180)&gt;=$S148),$V148,$U148)))=Milestones!$AB$180),UPPER(TEXT(EDATE($D148,Milestones!$AA$180),"dd mmm yy"))&amp;" "&amp;Milestones!$AB$180&amp;" "&amp;Milestones!$AC$180&amp;";  ","")&amp;IF(AND(EDATE($D148,Milestones!$AA$181)&lt;=AsOfDate,IF($R148=0,$X148,IF(AND($T148&lt;&gt;"",EDATE($D148,Milestones!$AA$181)&gt;=$T148),$W148,IF(AND($S148&lt;&gt;"",EDATE($D148,Milestones!$AA$181)&gt;=$S148),$V148,$U148)))=Milestones!$AB$181),UPPER(TEXT(EDATE($D148,Milestones!$AA$181),"dd mmm yy"))&amp;" "&amp;Milestones!$AB$181&amp;" "&amp;Milestones!$AC$181&amp;";  ","")&amp;IF(AND(EDATE($D148,Milestones!$AA$182)&lt;=AsOfDate,IF($R148=0,$X148,IF(AND($T148&lt;&gt;"",EDATE($D148,Milestones!$AA$182)&gt;=$T148),$W148,IF(AND($S148&lt;&gt;"",EDATE($D148,Milestones!$AA$182)&gt;=$S148),$V148,$U148)))=Milestones!$AB$182),UPPER(TEXT(EDATE($D148,Milestones!$AA$182),"dd mmm yy"))&amp;" "&amp;Milestones!$AB$182&amp;" "&amp;Milestones!$AC$182&amp;";  ","")&amp;IF(AND(EDATE($D148,Milestones!$AA$183)&lt;=AsOfDate,IF($R148=0,$X148,IF(AND($T148&lt;&gt;"",EDATE($D148,Milestones!$AA$183)&gt;=$T148),$W148,IF(AND($S148&lt;&gt;"",EDATE($D148,Milestones!$AA$183)&gt;=$S148),$V148,$U148)))=Milestones!$AB$183),UPPER(TEXT(EDATE($D148,Milestones!$AA$183),"dd mmm yy"))&amp;" "&amp;Milestones!$AB$183&amp;" "&amp;Milestones!$AC$183&amp;";  ","")&amp;IF(AND(EDATE($D148,Milestones!$AA$184)&lt;=AsOfDate,IF($R148=0,$X148,IF(AND($T148&lt;&gt;"",EDATE($D148,Milestones!$AA$184)&gt;=$T148),$W148,IF(AND($S148&lt;&gt;"",EDATE($D148,Milestones!$AA$184)&gt;=$S148),$V148,$U148)))=Milestones!$AB$184),UPPER(TEXT(EDATE($D148,Milestones!$AA$184),"dd mmm yy"))&amp;" "&amp;Milestones!$AB$184&amp;" "&amp;Milestones!$AC$184&amp;";  ","")&amp;IF(AND(EDATE($D148,Milestones!$AA$185)&lt;=AsOfDate,IF($R148=0,$X148,IF(AND($T148&lt;&gt;"",EDATE($D148,Milestones!$AA$185)&gt;=$T148),$W148,IF(AND($S148&lt;&gt;"",EDATE($D148,Milestones!$AA$185)&gt;=$S148),$V148,$U148)))=Milestones!$AB$185),UPPER(TEXT(EDATE($D148,Milestones!$AA$185),"dd mmm yy"))&amp;" "&amp;Milestones!$AB$185&amp;" "&amp;Milestones!$AC$185&amp;";  ","")&amp;IF(AND(EDATE($D148,Milestones!$AA$186)&lt;=AsOfDate,IF($R148=0,$X148,IF(AND($T148&lt;&gt;"",EDATE($D148,Milestones!$AA$186)&gt;=$T148),$W148,IF(AND($S148&lt;&gt;"",EDATE($D148,Milestones!$AA$186)&gt;=$S148),$V148,$U148)))=Milestones!$AB$186),UPPER(TEXT(EDATE($D148,Milestones!$AA$186),"dd mmm yy"))&amp;" "&amp;Milestones!$AB$186&amp;" "&amp;Milestones!$AC$186&amp;";  ","")&amp;IF(AND(EDATE($D148,Milestones!$AA$187)&lt;=AsOfDate,IF($R148=0,$X148,IF(AND($T148&lt;&gt;"",EDATE($D148,Milestones!$AA$187)&gt;=$T148),$W148,IF(AND($S148&lt;&gt;"",EDATE($D148,Milestones!$AA$187)&gt;=$S148),$V148,$U148)))=Milestones!$AB$187),UPPER(TEXT(EDATE($D148,Milestones!$AA$187),"dd mmm yy"))&amp;" "&amp;Milestones!$AB$187&amp;" "&amp;Milestones!$AC$187&amp;";  ","")&amp;IF(AND(EDATE($D148,Milestones!$AA$188)&lt;=AsOfDate,IF($R148=0,$X148,IF(AND($T148&lt;&gt;"",EDATE($D148,Milestones!$AA$188)&gt;=$T148),$W148,IF(AND($S148&lt;&gt;"",EDATE($D148,Milestones!$AA$188)&gt;=$S148),$V148,$U148)))=Milestones!$AB$188),UPPER(TEXT(EDATE($D148,Milestones!$AA$188),"dd mmm yy"))&amp;" "&amp;Milestones!$AB$188&amp;" "&amp;Milestones!$AC$188&amp;";  ","")&amp;IF(AND(EDATE($D148,Milestones!$AA$189)&lt;=AsOfDate,IF($R148=0,$X148,IF(AND($T148&lt;&gt;"",EDATE($D148,Milestones!$AA$189)&gt;=$T148),$W148,IF(AND($S148&lt;&gt;"",EDATE($D148,Milestones!$AA$189)&gt;=$S148),$V148,$U148)))=Milestones!$AB$189),UPPER(TEXT(EDATE($D148,Milestones!$AA$189),"dd mmm yy"))&amp;" "&amp;Milestones!$AB$189&amp;" "&amp;Milestones!$AC$189&amp;";  ","")&amp;IF(AND(EDATE($D148,Milestones!$AA$190)&lt;=AsOfDate,IF($R148=0,$X148,IF(AND($T148&lt;&gt;"",EDATE($D148,Milestones!$AA$190)&gt;=$T148),$W148,IF(AND($S148&lt;&gt;"",EDATE($D148,Milestones!$AA$190)&gt;=$S148),$V148,$U148)))=Milestones!$AB$190),UPPER(TEXT(EDATE($D148,Milestones!$AA$190),"dd mmm yy"))&amp;" "&amp;Milestones!$AB$190&amp;" "&amp;Milestones!$AC$190&amp;";  ","")&amp;IF(AND(EDATE($D148,Milestones!$AA$191)&lt;=AsOfDate,IF($R148=0,$X148,IF(AND($T148&lt;&gt;"",EDATE($D148,Milestones!$AA$191)&gt;=$T148),$W148,IF(AND($S148&lt;&gt;"",EDATE($D148,Milestones!$AA$191)&gt;=$S148),$V148,$U148)))=Milestones!$AB$191),UPPER(TEXT(EDATE($D148,Milestones!$AA$191),"dd mmm yy"))&amp;" "&amp;Milestones!$AB$191&amp;" "&amp;Milestones!$AC$191&amp;";  ","")&amp;IF(AND(EDATE($D148,Milestones!$AA$192)&lt;=AsOfDate,IF($R148=0,$X148,IF(AND($T148&lt;&gt;"",EDATE($D148,Milestones!$AA$192)&gt;=$T148),$W148,IF(AND($S148&lt;&gt;"",EDATE($D148,Milestones!$AA$192)&gt;=$S148),$V148,$U148)))=Milestones!$AB$192),UPPER(TEXT(EDATE($D148,Milestones!$AA$192),"dd mmm yy"))&amp;" "&amp;Milestones!$AB$192&amp;" "&amp;Milestones!$AC$192&amp;";  ","")&amp;IF(AND(EDATE($D148,Milestones!$AA$193)&lt;=AsOfDate,IF($R148=0,$X148,IF(AND($T148&lt;&gt;"",EDATE($D148,Milestones!$AA$193)&gt;=$T148),$W148,IF(AND($S148&lt;&gt;"",EDATE($D148,Milestones!$AA$193)&gt;=$S148),$V148,$U148)))=Milestones!$AB$193),UPPER(TEXT(EDATE($D148,Milestones!$AA$193),"dd mmm yy"))&amp;" "&amp;Milestones!$AB$193&amp;" "&amp;Milestones!$AC$193&amp;";  ","")&amp;IF(AND(EDATE($D148,Milestones!$AA$194)&lt;=AsOfDate,IF($R148=0,$X148,IF(AND($T148&lt;&gt;"",EDATE($D148,Milestones!$AA$194)&gt;=$T148),$W148,IF(AND($S148&lt;&gt;"",EDATE($D148,Milestones!$AA$194)&gt;=$S148),$V148,$U148)))=Milestones!$AB$194),UPPER(TEXT(EDATE($D148,Milestones!$AA$194),"dd mmm yy"))&amp;" "&amp;Milestones!$AB$194&amp;" "&amp;Milestones!$AC$194&amp;";  ","")&amp;IF(AND(EDATE($D148,Milestones!$AA$195)&lt;=AsOfDate,IF($R148=0,$X148,IF(AND($T148&lt;&gt;"",EDATE($D148,Milestones!$AA$195)&gt;=$T148),$W148,IF(AND($S148&lt;&gt;"",EDATE($D148,Milestones!$AA$195)&gt;=$S148),$V148,$U148)))=Milestones!$AB$195),UPPER(TEXT(EDATE($D148,Milestones!$AA$195),"dd mmm yy"))&amp;" "&amp;Milestones!$AB$195&amp;" "&amp;Milestones!$AC$195&amp;";  ","")&amp;IF(AND(EDATE($D148,Milestones!$AA$196)&lt;=AsOfDate,IF($R148=0,$X148,IF(AND($T148&lt;&gt;"",EDATE($D148,Milestones!$AA$196)&gt;=$T148),$W148,IF(AND($S148&lt;&gt;"",EDATE($D148,Milestones!$AA$196)&gt;=$S148),$V148,$U148)))=Milestones!$AB$196),UPPER(TEXT(EDATE($D148,Milestones!$AA$196),"dd mmm yy"))&amp;" "&amp;Milestones!$AB$196&amp;" "&amp;Milestones!$AC$196&amp;";  ","")&amp;IF(AND(EDATE($D148,Milestones!$AA$197)&lt;=AsOfDate,IF($R148=0,$X148,IF(AND($T148&lt;&gt;"",EDATE($D148,Milestones!$AA$197)&gt;=$T148),$W148,IF(AND($S148&lt;&gt;"",EDATE($D148,Milestones!$AA$197)&gt;=$S148),$V148,$U148)))=Milestones!$AB$197),UPPER(TEXT(EDATE($D148,Milestones!$AA$197),"dd mmm yy"))&amp;" "&amp;Milestones!$AB$197&amp;" "&amp;Milestones!$AC$197&amp;";  ","")&amp;IF(AND(EDATE($D148,Milestones!$AA$198)&lt;=AsOfDate,IF($R148=0,$X148,IF(AND($T148&lt;&gt;"",EDATE($D148,Milestones!$AA$198)&gt;=$T148),$W148,IF(AND($S148&lt;&gt;"",EDATE($D148,Milestones!$AA$198)&gt;=$S148),$V148,$U148)))=Milestones!$AB$198),UPPER(TEXT(EDATE($D148,Milestones!$AA$198),"dd mmm yy"))&amp;" "&amp;Milestones!$AB$198&amp;" "&amp;Milestones!$AC$198&amp;";  ","")&amp;IF(AND(EDATE($D148,Milestones!$AA$199)&lt;=AsOfDate,IF($R148=0,$X148,IF(AND($T148&lt;&gt;"",EDATE($D148,Milestones!$AA$199)&gt;=$T148),$W148,IF(AND($S148&lt;&gt;"",EDATE($D148,Milestones!$AA$199)&gt;=$S148),$V148,$U148)))=Milestones!$AB$199),UPPER(TEXT(EDATE($D148,Milestones!$AA$199),"dd mmm yy"))&amp;" "&amp;Milestones!$AB$199&amp;" "&amp;Milestones!$AC$199&amp;";  ",""))</f>
        <v/>
      </c>
      <c r="R148" s="0" t="str">
        <f aca="false">IF(Staff!$A148="","",Staff!$AI148)</f>
        <v/>
      </c>
      <c r="S148" s="0" t="str">
        <f aca="false">IF(Staff!$A148="","",Staff!$AK148)</f>
        <v/>
      </c>
      <c r="T148" s="0" t="str">
        <f aca="false">IF(Staff!$A148="","",Staff!$AL148)</f>
        <v/>
      </c>
      <c r="U148" s="0" t="str">
        <f aca="false">IF(Staff!$A148="","",Staff!$AP148)</f>
        <v/>
      </c>
      <c r="V148" s="0" t="str">
        <f aca="false">IF(Staff!$A148="","",Staff!$AQ148)</f>
        <v/>
      </c>
      <c r="W148" s="0" t="str">
        <f aca="false">IF(Staff!$A148="","",Staff!$AR148)</f>
        <v/>
      </c>
      <c r="X148" s="0" t="str">
        <f aca="false">IF(Staff!$A148="","",Staff!$AS148)</f>
        <v/>
      </c>
    </row>
    <row r="149" customFormat="false" ht="15" hidden="false" customHeight="false" outlineLevel="0" collapsed="false">
      <c r="A149" s="14" t="str">
        <f aca="false">IF(Staff!$A149="","",Staff!$A149)</f>
        <v/>
      </c>
      <c r="B149" s="14" t="str">
        <f aca="false">IF(Staff!$A149="","",Staff!$B149)</f>
        <v/>
      </c>
      <c r="C149" s="14" t="str">
        <f aca="false">IF(Staff!$A149="","",Staff!$C149)</f>
        <v/>
      </c>
      <c r="D149" s="12" t="str">
        <f aca="false">IF(Staff!$A149="","",Staff!$AH149)</f>
        <v/>
      </c>
      <c r="E149" s="14" t="str">
        <f aca="false">IF(Staff!$A149="","",Staff!$O149)</f>
        <v/>
      </c>
      <c r="F149" s="14" t="str">
        <f aca="false">IF(E149="","",E149*HoursPerDay)</f>
        <v/>
      </c>
      <c r="G149" s="14" t="str">
        <f aca="false">IF(Staff!$A149="","",Staff!$AE149)</f>
        <v/>
      </c>
      <c r="H149" s="26" t="str">
        <f aca="false">IF($A149="","",I149&amp;J149&amp;K149&amp;L149&amp;M149&amp;N149&amp;O149&amp;P149&amp;Q149)</f>
        <v/>
      </c>
      <c r="I149" s="0" t="str">
        <f aca="false">IF(OR($A149="",$D149=""),"",IF(AND(EDATE($D149,Milestones!$AA$20)&lt;=AsOfDate,IF($R149=0,$X149,IF(AND($T149&lt;&gt;"",EDATE($D149,Milestones!$AA$20)&gt;=$T149),$W149,IF(AND($S149&lt;&gt;"",EDATE($D149,Milestones!$AA$20)&gt;=$S149),$V149,$U149)))=Milestones!$AB$20),UPPER(TEXT(EDATE($D149,Milestones!$AA$20),"dd mmm yy"))&amp;" "&amp;Milestones!$AB$20&amp;" "&amp;Milestones!$AC$20&amp;";  ","")&amp;IF(AND(EDATE($D149,Milestones!$AA$21)&lt;=AsOfDate,IF($R149=0,$X149,IF(AND($T149&lt;&gt;"",EDATE($D149,Milestones!$AA$21)&gt;=$T149),$W149,IF(AND($S149&lt;&gt;"",EDATE($D149,Milestones!$AA$21)&gt;=$S149),$V149,$U149)))=Milestones!$AB$21),UPPER(TEXT(EDATE($D149,Milestones!$AA$21),"dd mmm yy"))&amp;" "&amp;Milestones!$AB$21&amp;" "&amp;Milestones!$AC$21&amp;";  ","")&amp;IF(AND(EDATE($D149,Milestones!$AA$22)&lt;=AsOfDate,IF($R149=0,$X149,IF(AND($T149&lt;&gt;"",EDATE($D149,Milestones!$AA$22)&gt;=$T149),$W149,IF(AND($S149&lt;&gt;"",EDATE($D149,Milestones!$AA$22)&gt;=$S149),$V149,$U149)))=Milestones!$AB$22),UPPER(TEXT(EDATE($D149,Milestones!$AA$22),"dd mmm yy"))&amp;" "&amp;Milestones!$AB$22&amp;" "&amp;Milestones!$AC$22&amp;";  ","")&amp;IF(AND(EDATE($D149,Milestones!$AA$23)&lt;=AsOfDate,IF($R149=0,$X149,IF(AND($T149&lt;&gt;"",EDATE($D149,Milestones!$AA$23)&gt;=$T149),$W149,IF(AND($S149&lt;&gt;"",EDATE($D149,Milestones!$AA$23)&gt;=$S149),$V149,$U149)))=Milestones!$AB$23),UPPER(TEXT(EDATE($D149,Milestones!$AA$23),"dd mmm yy"))&amp;" "&amp;Milestones!$AB$23&amp;" "&amp;Milestones!$AC$23&amp;";  ","")&amp;IF(AND(EDATE($D149,Milestones!$AA$24)&lt;=AsOfDate,IF($R149=0,$X149,IF(AND($T149&lt;&gt;"",EDATE($D149,Milestones!$AA$24)&gt;=$T149),$W149,IF(AND($S149&lt;&gt;"",EDATE($D149,Milestones!$AA$24)&gt;=$S149),$V149,$U149)))=Milestones!$AB$24),UPPER(TEXT(EDATE($D149,Milestones!$AA$24),"dd mmm yy"))&amp;" "&amp;Milestones!$AB$24&amp;" "&amp;Milestones!$AC$24&amp;";  ","")&amp;IF(AND(EDATE($D149,Milestones!$AA$25)&lt;=AsOfDate,IF($R149=0,$X149,IF(AND($T149&lt;&gt;"",EDATE($D149,Milestones!$AA$25)&gt;=$T149),$W149,IF(AND($S149&lt;&gt;"",EDATE($D149,Milestones!$AA$25)&gt;=$S149),$V149,$U149)))=Milestones!$AB$25),UPPER(TEXT(EDATE($D149,Milestones!$AA$25),"dd mmm yy"))&amp;" "&amp;Milestones!$AB$25&amp;" "&amp;Milestones!$AC$25&amp;";  ","")&amp;IF(AND(EDATE($D149,Milestones!$AA$26)&lt;=AsOfDate,IF($R149=0,$X149,IF(AND($T149&lt;&gt;"",EDATE($D149,Milestones!$AA$26)&gt;=$T149),$W149,IF(AND($S149&lt;&gt;"",EDATE($D149,Milestones!$AA$26)&gt;=$S149),$V149,$U149)))=Milestones!$AB$26),UPPER(TEXT(EDATE($D149,Milestones!$AA$26),"dd mmm yy"))&amp;" "&amp;Milestones!$AB$26&amp;" "&amp;Milestones!$AC$26&amp;";  ","")&amp;IF(AND(EDATE($D149,Milestones!$AA$27)&lt;=AsOfDate,IF($R149=0,$X149,IF(AND($T149&lt;&gt;"",EDATE($D149,Milestones!$AA$27)&gt;=$T149),$W149,IF(AND($S149&lt;&gt;"",EDATE($D149,Milestones!$AA$27)&gt;=$S149),$V149,$U149)))=Milestones!$AB$27),UPPER(TEXT(EDATE($D149,Milestones!$AA$27),"dd mmm yy"))&amp;" "&amp;Milestones!$AB$27&amp;" "&amp;Milestones!$AC$27&amp;";  ","")&amp;IF(AND(EDATE($D149,Milestones!$AA$28)&lt;=AsOfDate,IF($R149=0,$X149,IF(AND($T149&lt;&gt;"",EDATE($D149,Milestones!$AA$28)&gt;=$T149),$W149,IF(AND($S149&lt;&gt;"",EDATE($D149,Milestones!$AA$28)&gt;=$S149),$V149,$U149)))=Milestones!$AB$28),UPPER(TEXT(EDATE($D149,Milestones!$AA$28),"dd mmm yy"))&amp;" "&amp;Milestones!$AB$28&amp;" "&amp;Milestones!$AC$28&amp;";  ","")&amp;IF(AND(EDATE($D149,Milestones!$AA$29)&lt;=AsOfDate,IF($R149=0,$X149,IF(AND($T149&lt;&gt;"",EDATE($D149,Milestones!$AA$29)&gt;=$T149),$W149,IF(AND($S149&lt;&gt;"",EDATE($D149,Milestones!$AA$29)&gt;=$S149),$V149,$U149)))=Milestones!$AB$29),UPPER(TEXT(EDATE($D149,Milestones!$AA$29),"dd mmm yy"))&amp;" "&amp;Milestones!$AB$29&amp;" "&amp;Milestones!$AC$29&amp;";  ","")&amp;IF(AND(EDATE($D149,Milestones!$AA$30)&lt;=AsOfDate,IF($R149=0,$X149,IF(AND($T149&lt;&gt;"",EDATE($D149,Milestones!$AA$30)&gt;=$T149),$W149,IF(AND($S149&lt;&gt;"",EDATE($D149,Milestones!$AA$30)&gt;=$S149),$V149,$U149)))=Milestones!$AB$30),UPPER(TEXT(EDATE($D149,Milestones!$AA$30),"dd mmm yy"))&amp;" "&amp;Milestones!$AB$30&amp;" "&amp;Milestones!$AC$30&amp;";  ","")&amp;IF(AND(EDATE($D149,Milestones!$AA$31)&lt;=AsOfDate,IF($R149=0,$X149,IF(AND($T149&lt;&gt;"",EDATE($D149,Milestones!$AA$31)&gt;=$T149),$W149,IF(AND($S149&lt;&gt;"",EDATE($D149,Milestones!$AA$31)&gt;=$S149),$V149,$U149)))=Milestones!$AB$31),UPPER(TEXT(EDATE($D149,Milestones!$AA$31),"dd mmm yy"))&amp;" "&amp;Milestones!$AB$31&amp;" "&amp;Milestones!$AC$31&amp;";  ","")&amp;IF(AND(EDATE($D149,Milestones!$AA$32)&lt;=AsOfDate,IF($R149=0,$X149,IF(AND($T149&lt;&gt;"",EDATE($D149,Milestones!$AA$32)&gt;=$T149),$W149,IF(AND($S149&lt;&gt;"",EDATE($D149,Milestones!$AA$32)&gt;=$S149),$V149,$U149)))=Milestones!$AB$32),UPPER(TEXT(EDATE($D149,Milestones!$AA$32),"dd mmm yy"))&amp;" "&amp;Milestones!$AB$32&amp;" "&amp;Milestones!$AC$32&amp;";  ","")&amp;IF(AND(EDATE($D149,Milestones!$AA$33)&lt;=AsOfDate,IF($R149=0,$X149,IF(AND($T149&lt;&gt;"",EDATE($D149,Milestones!$AA$33)&gt;=$T149),$W149,IF(AND($S149&lt;&gt;"",EDATE($D149,Milestones!$AA$33)&gt;=$S149),$V149,$U149)))=Milestones!$AB$33),UPPER(TEXT(EDATE($D149,Milestones!$AA$33),"dd mmm yy"))&amp;" "&amp;Milestones!$AB$33&amp;" "&amp;Milestones!$AC$33&amp;";  ","")&amp;IF(AND(EDATE($D149,Milestones!$AA$34)&lt;=AsOfDate,IF($R149=0,$X149,IF(AND($T149&lt;&gt;"",EDATE($D149,Milestones!$AA$34)&gt;=$T149),$W149,IF(AND($S149&lt;&gt;"",EDATE($D149,Milestones!$AA$34)&gt;=$S149),$V149,$U149)))=Milestones!$AB$34),UPPER(TEXT(EDATE($D149,Milestones!$AA$34),"dd mmm yy"))&amp;" "&amp;Milestones!$AB$34&amp;" "&amp;Milestones!$AC$34&amp;";  ","")&amp;IF(AND(EDATE($D149,Milestones!$AA$35)&lt;=AsOfDate,IF($R149=0,$X149,IF(AND($T149&lt;&gt;"",EDATE($D149,Milestones!$AA$35)&gt;=$T149),$W149,IF(AND($S149&lt;&gt;"",EDATE($D149,Milestones!$AA$35)&gt;=$S149),$V149,$U149)))=Milestones!$AB$35),UPPER(TEXT(EDATE($D149,Milestones!$AA$35),"dd mmm yy"))&amp;" "&amp;Milestones!$AB$35&amp;" "&amp;Milestones!$AC$35&amp;";  ","")&amp;IF(AND(EDATE($D149,Milestones!$AA$36)&lt;=AsOfDate,IF($R149=0,$X149,IF(AND($T149&lt;&gt;"",EDATE($D149,Milestones!$AA$36)&gt;=$T149),$W149,IF(AND($S149&lt;&gt;"",EDATE($D149,Milestones!$AA$36)&gt;=$S149),$V149,$U149)))=Milestones!$AB$36),UPPER(TEXT(EDATE($D149,Milestones!$AA$36),"dd mmm yy"))&amp;" "&amp;Milestones!$AB$36&amp;" "&amp;Milestones!$AC$36&amp;";  ","")&amp;IF(AND(EDATE($D149,Milestones!$AA$37)&lt;=AsOfDate,IF($R149=0,$X149,IF(AND($T149&lt;&gt;"",EDATE($D149,Milestones!$AA$37)&gt;=$T149),$W149,IF(AND($S149&lt;&gt;"",EDATE($D149,Milestones!$AA$37)&gt;=$S149),$V149,$U149)))=Milestones!$AB$37),UPPER(TEXT(EDATE($D149,Milestones!$AA$37),"dd mmm yy"))&amp;" "&amp;Milestones!$AB$37&amp;" "&amp;Milestones!$AC$37&amp;";  ","")&amp;IF(AND(EDATE($D149,Milestones!$AA$38)&lt;=AsOfDate,IF($R149=0,$X149,IF(AND($T149&lt;&gt;"",EDATE($D149,Milestones!$AA$38)&gt;=$T149),$W149,IF(AND($S149&lt;&gt;"",EDATE($D149,Milestones!$AA$38)&gt;=$S149),$V149,$U149)))=Milestones!$AB$38),UPPER(TEXT(EDATE($D149,Milestones!$AA$38),"dd mmm yy"))&amp;" "&amp;Milestones!$AB$38&amp;" "&amp;Milestones!$AC$38&amp;";  ","")&amp;IF(AND(EDATE($D149,Milestones!$AA$39)&lt;=AsOfDate,IF($R149=0,$X149,IF(AND($T149&lt;&gt;"",EDATE($D149,Milestones!$AA$39)&gt;=$T149),$W149,IF(AND($S149&lt;&gt;"",EDATE($D149,Milestones!$AA$39)&gt;=$S149),$V149,$U149)))=Milestones!$AB$39),UPPER(TEXT(EDATE($D149,Milestones!$AA$39),"dd mmm yy"))&amp;" "&amp;Milestones!$AB$39&amp;" "&amp;Milestones!$AC$39&amp;";  ",""))</f>
        <v/>
      </c>
      <c r="J149" s="0" t="str">
        <f aca="false">IF(OR($A149="",$D149=""),"",IF(AND(EDATE($D149,Milestones!$AA$40)&lt;=AsOfDate,IF($R149=0,$X149,IF(AND($T149&lt;&gt;"",EDATE($D149,Milestones!$AA$40)&gt;=$T149),$W149,IF(AND($S149&lt;&gt;"",EDATE($D149,Milestones!$AA$40)&gt;=$S149),$V149,$U149)))=Milestones!$AB$40),UPPER(TEXT(EDATE($D149,Milestones!$AA$40),"dd mmm yy"))&amp;" "&amp;Milestones!$AB$40&amp;" "&amp;Milestones!$AC$40&amp;";  ","")&amp;IF(AND(EDATE($D149,Milestones!$AA$41)&lt;=AsOfDate,IF($R149=0,$X149,IF(AND($T149&lt;&gt;"",EDATE($D149,Milestones!$AA$41)&gt;=$T149),$W149,IF(AND($S149&lt;&gt;"",EDATE($D149,Milestones!$AA$41)&gt;=$S149),$V149,$U149)))=Milestones!$AB$41),UPPER(TEXT(EDATE($D149,Milestones!$AA$41),"dd mmm yy"))&amp;" "&amp;Milestones!$AB$41&amp;" "&amp;Milestones!$AC$41&amp;";  ","")&amp;IF(AND(EDATE($D149,Milestones!$AA$42)&lt;=AsOfDate,IF($R149=0,$X149,IF(AND($T149&lt;&gt;"",EDATE($D149,Milestones!$AA$42)&gt;=$T149),$W149,IF(AND($S149&lt;&gt;"",EDATE($D149,Milestones!$AA$42)&gt;=$S149),$V149,$U149)))=Milestones!$AB$42),UPPER(TEXT(EDATE($D149,Milestones!$AA$42),"dd mmm yy"))&amp;" "&amp;Milestones!$AB$42&amp;" "&amp;Milestones!$AC$42&amp;";  ","")&amp;IF(AND(EDATE($D149,Milestones!$AA$43)&lt;=AsOfDate,IF($R149=0,$X149,IF(AND($T149&lt;&gt;"",EDATE($D149,Milestones!$AA$43)&gt;=$T149),$W149,IF(AND($S149&lt;&gt;"",EDATE($D149,Milestones!$AA$43)&gt;=$S149),$V149,$U149)))=Milestones!$AB$43),UPPER(TEXT(EDATE($D149,Milestones!$AA$43),"dd mmm yy"))&amp;" "&amp;Milestones!$AB$43&amp;" "&amp;Milestones!$AC$43&amp;";  ","")&amp;IF(AND(EDATE($D149,Milestones!$AA$44)&lt;=AsOfDate,IF($R149=0,$X149,IF(AND($T149&lt;&gt;"",EDATE($D149,Milestones!$AA$44)&gt;=$T149),$W149,IF(AND($S149&lt;&gt;"",EDATE($D149,Milestones!$AA$44)&gt;=$S149),$V149,$U149)))=Milestones!$AB$44),UPPER(TEXT(EDATE($D149,Milestones!$AA$44),"dd mmm yy"))&amp;" "&amp;Milestones!$AB$44&amp;" "&amp;Milestones!$AC$44&amp;";  ","")&amp;IF(AND(EDATE($D149,Milestones!$AA$45)&lt;=AsOfDate,IF($R149=0,$X149,IF(AND($T149&lt;&gt;"",EDATE($D149,Milestones!$AA$45)&gt;=$T149),$W149,IF(AND($S149&lt;&gt;"",EDATE($D149,Milestones!$AA$45)&gt;=$S149),$V149,$U149)))=Milestones!$AB$45),UPPER(TEXT(EDATE($D149,Milestones!$AA$45),"dd mmm yy"))&amp;" "&amp;Milestones!$AB$45&amp;" "&amp;Milestones!$AC$45&amp;";  ","")&amp;IF(AND(EDATE($D149,Milestones!$AA$46)&lt;=AsOfDate,IF($R149=0,$X149,IF(AND($T149&lt;&gt;"",EDATE($D149,Milestones!$AA$46)&gt;=$T149),$W149,IF(AND($S149&lt;&gt;"",EDATE($D149,Milestones!$AA$46)&gt;=$S149),$V149,$U149)))=Milestones!$AB$46),UPPER(TEXT(EDATE($D149,Milestones!$AA$46),"dd mmm yy"))&amp;" "&amp;Milestones!$AB$46&amp;" "&amp;Milestones!$AC$46&amp;";  ","")&amp;IF(AND(EDATE($D149,Milestones!$AA$47)&lt;=AsOfDate,IF($R149=0,$X149,IF(AND($T149&lt;&gt;"",EDATE($D149,Milestones!$AA$47)&gt;=$T149),$W149,IF(AND($S149&lt;&gt;"",EDATE($D149,Milestones!$AA$47)&gt;=$S149),$V149,$U149)))=Milestones!$AB$47),UPPER(TEXT(EDATE($D149,Milestones!$AA$47),"dd mmm yy"))&amp;" "&amp;Milestones!$AB$47&amp;" "&amp;Milestones!$AC$47&amp;";  ","")&amp;IF(AND(EDATE($D149,Milestones!$AA$48)&lt;=AsOfDate,IF($R149=0,$X149,IF(AND($T149&lt;&gt;"",EDATE($D149,Milestones!$AA$48)&gt;=$T149),$W149,IF(AND($S149&lt;&gt;"",EDATE($D149,Milestones!$AA$48)&gt;=$S149),$V149,$U149)))=Milestones!$AB$48),UPPER(TEXT(EDATE($D149,Milestones!$AA$48),"dd mmm yy"))&amp;" "&amp;Milestones!$AB$48&amp;" "&amp;Milestones!$AC$48&amp;";  ","")&amp;IF(AND(EDATE($D149,Milestones!$AA$49)&lt;=AsOfDate,IF($R149=0,$X149,IF(AND($T149&lt;&gt;"",EDATE($D149,Milestones!$AA$49)&gt;=$T149),$W149,IF(AND($S149&lt;&gt;"",EDATE($D149,Milestones!$AA$49)&gt;=$S149),$V149,$U149)))=Milestones!$AB$49),UPPER(TEXT(EDATE($D149,Milestones!$AA$49),"dd mmm yy"))&amp;" "&amp;Milestones!$AB$49&amp;" "&amp;Milestones!$AC$49&amp;";  ","")&amp;IF(AND(EDATE($D149,Milestones!$AA$50)&lt;=AsOfDate,IF($R149=0,$X149,IF(AND($T149&lt;&gt;"",EDATE($D149,Milestones!$AA$50)&gt;=$T149),$W149,IF(AND($S149&lt;&gt;"",EDATE($D149,Milestones!$AA$50)&gt;=$S149),$V149,$U149)))=Milestones!$AB$50),UPPER(TEXT(EDATE($D149,Milestones!$AA$50),"dd mmm yy"))&amp;" "&amp;Milestones!$AB$50&amp;" "&amp;Milestones!$AC$50&amp;";  ","")&amp;IF(AND(EDATE($D149,Milestones!$AA$51)&lt;=AsOfDate,IF($R149=0,$X149,IF(AND($T149&lt;&gt;"",EDATE($D149,Milestones!$AA$51)&gt;=$T149),$W149,IF(AND($S149&lt;&gt;"",EDATE($D149,Milestones!$AA$51)&gt;=$S149),$V149,$U149)))=Milestones!$AB$51),UPPER(TEXT(EDATE($D149,Milestones!$AA$51),"dd mmm yy"))&amp;" "&amp;Milestones!$AB$51&amp;" "&amp;Milestones!$AC$51&amp;";  ","")&amp;IF(AND(EDATE($D149,Milestones!$AA$52)&lt;=AsOfDate,IF($R149=0,$X149,IF(AND($T149&lt;&gt;"",EDATE($D149,Milestones!$AA$52)&gt;=$T149),$W149,IF(AND($S149&lt;&gt;"",EDATE($D149,Milestones!$AA$52)&gt;=$S149),$V149,$U149)))=Milestones!$AB$52),UPPER(TEXT(EDATE($D149,Milestones!$AA$52),"dd mmm yy"))&amp;" "&amp;Milestones!$AB$52&amp;" "&amp;Milestones!$AC$52&amp;";  ","")&amp;IF(AND(EDATE($D149,Milestones!$AA$53)&lt;=AsOfDate,IF($R149=0,$X149,IF(AND($T149&lt;&gt;"",EDATE($D149,Milestones!$AA$53)&gt;=$T149),$W149,IF(AND($S149&lt;&gt;"",EDATE($D149,Milestones!$AA$53)&gt;=$S149),$V149,$U149)))=Milestones!$AB$53),UPPER(TEXT(EDATE($D149,Milestones!$AA$53),"dd mmm yy"))&amp;" "&amp;Milestones!$AB$53&amp;" "&amp;Milestones!$AC$53&amp;";  ","")&amp;IF(AND(EDATE($D149,Milestones!$AA$54)&lt;=AsOfDate,IF($R149=0,$X149,IF(AND($T149&lt;&gt;"",EDATE($D149,Milestones!$AA$54)&gt;=$T149),$W149,IF(AND($S149&lt;&gt;"",EDATE($D149,Milestones!$AA$54)&gt;=$S149),$V149,$U149)))=Milestones!$AB$54),UPPER(TEXT(EDATE($D149,Milestones!$AA$54),"dd mmm yy"))&amp;" "&amp;Milestones!$AB$54&amp;" "&amp;Milestones!$AC$54&amp;";  ","")&amp;IF(AND(EDATE($D149,Milestones!$AA$55)&lt;=AsOfDate,IF($R149=0,$X149,IF(AND($T149&lt;&gt;"",EDATE($D149,Milestones!$AA$55)&gt;=$T149),$W149,IF(AND($S149&lt;&gt;"",EDATE($D149,Milestones!$AA$55)&gt;=$S149),$V149,$U149)))=Milestones!$AB$55),UPPER(TEXT(EDATE($D149,Milestones!$AA$55),"dd mmm yy"))&amp;" "&amp;Milestones!$AB$55&amp;" "&amp;Milestones!$AC$55&amp;";  ","")&amp;IF(AND(EDATE($D149,Milestones!$AA$56)&lt;=AsOfDate,IF($R149=0,$X149,IF(AND($T149&lt;&gt;"",EDATE($D149,Milestones!$AA$56)&gt;=$T149),$W149,IF(AND($S149&lt;&gt;"",EDATE($D149,Milestones!$AA$56)&gt;=$S149),$V149,$U149)))=Milestones!$AB$56),UPPER(TEXT(EDATE($D149,Milestones!$AA$56),"dd mmm yy"))&amp;" "&amp;Milestones!$AB$56&amp;" "&amp;Milestones!$AC$56&amp;";  ","")&amp;IF(AND(EDATE($D149,Milestones!$AA$57)&lt;=AsOfDate,IF($R149=0,$X149,IF(AND($T149&lt;&gt;"",EDATE($D149,Milestones!$AA$57)&gt;=$T149),$W149,IF(AND($S149&lt;&gt;"",EDATE($D149,Milestones!$AA$57)&gt;=$S149),$V149,$U149)))=Milestones!$AB$57),UPPER(TEXT(EDATE($D149,Milestones!$AA$57),"dd mmm yy"))&amp;" "&amp;Milestones!$AB$57&amp;" "&amp;Milestones!$AC$57&amp;";  ","")&amp;IF(AND(EDATE($D149,Milestones!$AA$58)&lt;=AsOfDate,IF($R149=0,$X149,IF(AND($T149&lt;&gt;"",EDATE($D149,Milestones!$AA$58)&gt;=$T149),$W149,IF(AND($S149&lt;&gt;"",EDATE($D149,Milestones!$AA$58)&gt;=$S149),$V149,$U149)))=Milestones!$AB$58),UPPER(TEXT(EDATE($D149,Milestones!$AA$58),"dd mmm yy"))&amp;" "&amp;Milestones!$AB$58&amp;" "&amp;Milestones!$AC$58&amp;";  ","")&amp;IF(AND(EDATE($D149,Milestones!$AA$59)&lt;=AsOfDate,IF($R149=0,$X149,IF(AND($T149&lt;&gt;"",EDATE($D149,Milestones!$AA$59)&gt;=$T149),$W149,IF(AND($S149&lt;&gt;"",EDATE($D149,Milestones!$AA$59)&gt;=$S149),$V149,$U149)))=Milestones!$AB$59),UPPER(TEXT(EDATE($D149,Milestones!$AA$59),"dd mmm yy"))&amp;" "&amp;Milestones!$AB$59&amp;" "&amp;Milestones!$AC$59&amp;";  ",""))</f>
        <v/>
      </c>
      <c r="K149" s="0" t="str">
        <f aca="false">IF(OR($A149="",$D149=""),"",IF(AND(EDATE($D149,Milestones!$AA$60)&lt;=AsOfDate,IF($R149=0,$X149,IF(AND($T149&lt;&gt;"",EDATE($D149,Milestones!$AA$60)&gt;=$T149),$W149,IF(AND($S149&lt;&gt;"",EDATE($D149,Milestones!$AA$60)&gt;=$S149),$V149,$U149)))=Milestones!$AB$60),UPPER(TEXT(EDATE($D149,Milestones!$AA$60),"dd mmm yy"))&amp;" "&amp;Milestones!$AB$60&amp;" "&amp;Milestones!$AC$60&amp;";  ","")&amp;IF(AND(EDATE($D149,Milestones!$AA$61)&lt;=AsOfDate,IF($R149=0,$X149,IF(AND($T149&lt;&gt;"",EDATE($D149,Milestones!$AA$61)&gt;=$T149),$W149,IF(AND($S149&lt;&gt;"",EDATE($D149,Milestones!$AA$61)&gt;=$S149),$V149,$U149)))=Milestones!$AB$61),UPPER(TEXT(EDATE($D149,Milestones!$AA$61),"dd mmm yy"))&amp;" "&amp;Milestones!$AB$61&amp;" "&amp;Milestones!$AC$61&amp;";  ","")&amp;IF(AND(EDATE($D149,Milestones!$AA$62)&lt;=AsOfDate,IF($R149=0,$X149,IF(AND($T149&lt;&gt;"",EDATE($D149,Milestones!$AA$62)&gt;=$T149),$W149,IF(AND($S149&lt;&gt;"",EDATE($D149,Milestones!$AA$62)&gt;=$S149),$V149,$U149)))=Milestones!$AB$62),UPPER(TEXT(EDATE($D149,Milestones!$AA$62),"dd mmm yy"))&amp;" "&amp;Milestones!$AB$62&amp;" "&amp;Milestones!$AC$62&amp;";  ","")&amp;IF(AND(EDATE($D149,Milestones!$AA$63)&lt;=AsOfDate,IF($R149=0,$X149,IF(AND($T149&lt;&gt;"",EDATE($D149,Milestones!$AA$63)&gt;=$T149),$W149,IF(AND($S149&lt;&gt;"",EDATE($D149,Milestones!$AA$63)&gt;=$S149),$V149,$U149)))=Milestones!$AB$63),UPPER(TEXT(EDATE($D149,Milestones!$AA$63),"dd mmm yy"))&amp;" "&amp;Milestones!$AB$63&amp;" "&amp;Milestones!$AC$63&amp;";  ","")&amp;IF(AND(EDATE($D149,Milestones!$AA$64)&lt;=AsOfDate,IF($R149=0,$X149,IF(AND($T149&lt;&gt;"",EDATE($D149,Milestones!$AA$64)&gt;=$T149),$W149,IF(AND($S149&lt;&gt;"",EDATE($D149,Milestones!$AA$64)&gt;=$S149),$V149,$U149)))=Milestones!$AB$64),UPPER(TEXT(EDATE($D149,Milestones!$AA$64),"dd mmm yy"))&amp;" "&amp;Milestones!$AB$64&amp;" "&amp;Milestones!$AC$64&amp;";  ","")&amp;IF(AND(EDATE($D149,Milestones!$AA$65)&lt;=AsOfDate,IF($R149=0,$X149,IF(AND($T149&lt;&gt;"",EDATE($D149,Milestones!$AA$65)&gt;=$T149),$W149,IF(AND($S149&lt;&gt;"",EDATE($D149,Milestones!$AA$65)&gt;=$S149),$V149,$U149)))=Milestones!$AB$65),UPPER(TEXT(EDATE($D149,Milestones!$AA$65),"dd mmm yy"))&amp;" "&amp;Milestones!$AB$65&amp;" "&amp;Milestones!$AC$65&amp;";  ","")&amp;IF(AND(EDATE($D149,Milestones!$AA$66)&lt;=AsOfDate,IF($R149=0,$X149,IF(AND($T149&lt;&gt;"",EDATE($D149,Milestones!$AA$66)&gt;=$T149),$W149,IF(AND($S149&lt;&gt;"",EDATE($D149,Milestones!$AA$66)&gt;=$S149),$V149,$U149)))=Milestones!$AB$66),UPPER(TEXT(EDATE($D149,Milestones!$AA$66),"dd mmm yy"))&amp;" "&amp;Milestones!$AB$66&amp;" "&amp;Milestones!$AC$66&amp;";  ","")&amp;IF(AND(EDATE($D149,Milestones!$AA$67)&lt;=AsOfDate,IF($R149=0,$X149,IF(AND($T149&lt;&gt;"",EDATE($D149,Milestones!$AA$67)&gt;=$T149),$W149,IF(AND($S149&lt;&gt;"",EDATE($D149,Milestones!$AA$67)&gt;=$S149),$V149,$U149)))=Milestones!$AB$67),UPPER(TEXT(EDATE($D149,Milestones!$AA$67),"dd mmm yy"))&amp;" "&amp;Milestones!$AB$67&amp;" "&amp;Milestones!$AC$67&amp;";  ","")&amp;IF(AND(EDATE($D149,Milestones!$AA$68)&lt;=AsOfDate,IF($R149=0,$X149,IF(AND($T149&lt;&gt;"",EDATE($D149,Milestones!$AA$68)&gt;=$T149),$W149,IF(AND($S149&lt;&gt;"",EDATE($D149,Milestones!$AA$68)&gt;=$S149),$V149,$U149)))=Milestones!$AB$68),UPPER(TEXT(EDATE($D149,Milestones!$AA$68),"dd mmm yy"))&amp;" "&amp;Milestones!$AB$68&amp;" "&amp;Milestones!$AC$68&amp;";  ","")&amp;IF(AND(EDATE($D149,Milestones!$AA$69)&lt;=AsOfDate,IF($R149=0,$X149,IF(AND($T149&lt;&gt;"",EDATE($D149,Milestones!$AA$69)&gt;=$T149),$W149,IF(AND($S149&lt;&gt;"",EDATE($D149,Milestones!$AA$69)&gt;=$S149),$V149,$U149)))=Milestones!$AB$69),UPPER(TEXT(EDATE($D149,Milestones!$AA$69),"dd mmm yy"))&amp;" "&amp;Milestones!$AB$69&amp;" "&amp;Milestones!$AC$69&amp;";  ","")&amp;IF(AND(EDATE($D149,Milestones!$AA$70)&lt;=AsOfDate,IF($R149=0,$X149,IF(AND($T149&lt;&gt;"",EDATE($D149,Milestones!$AA$70)&gt;=$T149),$W149,IF(AND($S149&lt;&gt;"",EDATE($D149,Milestones!$AA$70)&gt;=$S149),$V149,$U149)))=Milestones!$AB$70),UPPER(TEXT(EDATE($D149,Milestones!$AA$70),"dd mmm yy"))&amp;" "&amp;Milestones!$AB$70&amp;" "&amp;Milestones!$AC$70&amp;";  ","")&amp;IF(AND(EDATE($D149,Milestones!$AA$71)&lt;=AsOfDate,IF($R149=0,$X149,IF(AND($T149&lt;&gt;"",EDATE($D149,Milestones!$AA$71)&gt;=$T149),$W149,IF(AND($S149&lt;&gt;"",EDATE($D149,Milestones!$AA$71)&gt;=$S149),$V149,$U149)))=Milestones!$AB$71),UPPER(TEXT(EDATE($D149,Milestones!$AA$71),"dd mmm yy"))&amp;" "&amp;Milestones!$AB$71&amp;" "&amp;Milestones!$AC$71&amp;";  ","")&amp;IF(AND(EDATE($D149,Milestones!$AA$72)&lt;=AsOfDate,IF($R149=0,$X149,IF(AND($T149&lt;&gt;"",EDATE($D149,Milestones!$AA$72)&gt;=$T149),$W149,IF(AND($S149&lt;&gt;"",EDATE($D149,Milestones!$AA$72)&gt;=$S149),$V149,$U149)))=Milestones!$AB$72),UPPER(TEXT(EDATE($D149,Milestones!$AA$72),"dd mmm yy"))&amp;" "&amp;Milestones!$AB$72&amp;" "&amp;Milestones!$AC$72&amp;";  ","")&amp;IF(AND(EDATE($D149,Milestones!$AA$73)&lt;=AsOfDate,IF($R149=0,$X149,IF(AND($T149&lt;&gt;"",EDATE($D149,Milestones!$AA$73)&gt;=$T149),$W149,IF(AND($S149&lt;&gt;"",EDATE($D149,Milestones!$AA$73)&gt;=$S149),$V149,$U149)))=Milestones!$AB$73),UPPER(TEXT(EDATE($D149,Milestones!$AA$73),"dd mmm yy"))&amp;" "&amp;Milestones!$AB$73&amp;" "&amp;Milestones!$AC$73&amp;";  ","")&amp;IF(AND(EDATE($D149,Milestones!$AA$74)&lt;=AsOfDate,IF($R149=0,$X149,IF(AND($T149&lt;&gt;"",EDATE($D149,Milestones!$AA$74)&gt;=$T149),$W149,IF(AND($S149&lt;&gt;"",EDATE($D149,Milestones!$AA$74)&gt;=$S149),$V149,$U149)))=Milestones!$AB$74),UPPER(TEXT(EDATE($D149,Milestones!$AA$74),"dd mmm yy"))&amp;" "&amp;Milestones!$AB$74&amp;" "&amp;Milestones!$AC$74&amp;";  ","")&amp;IF(AND(EDATE($D149,Milestones!$AA$75)&lt;=AsOfDate,IF($R149=0,$X149,IF(AND($T149&lt;&gt;"",EDATE($D149,Milestones!$AA$75)&gt;=$T149),$W149,IF(AND($S149&lt;&gt;"",EDATE($D149,Milestones!$AA$75)&gt;=$S149),$V149,$U149)))=Milestones!$AB$75),UPPER(TEXT(EDATE($D149,Milestones!$AA$75),"dd mmm yy"))&amp;" "&amp;Milestones!$AB$75&amp;" "&amp;Milestones!$AC$75&amp;";  ","")&amp;IF(AND(EDATE($D149,Milestones!$AA$76)&lt;=AsOfDate,IF($R149=0,$X149,IF(AND($T149&lt;&gt;"",EDATE($D149,Milestones!$AA$76)&gt;=$T149),$W149,IF(AND($S149&lt;&gt;"",EDATE($D149,Milestones!$AA$76)&gt;=$S149),$V149,$U149)))=Milestones!$AB$76),UPPER(TEXT(EDATE($D149,Milestones!$AA$76),"dd mmm yy"))&amp;" "&amp;Milestones!$AB$76&amp;" "&amp;Milestones!$AC$76&amp;";  ","")&amp;IF(AND(EDATE($D149,Milestones!$AA$77)&lt;=AsOfDate,IF($R149=0,$X149,IF(AND($T149&lt;&gt;"",EDATE($D149,Milestones!$AA$77)&gt;=$T149),$W149,IF(AND($S149&lt;&gt;"",EDATE($D149,Milestones!$AA$77)&gt;=$S149),$V149,$U149)))=Milestones!$AB$77),UPPER(TEXT(EDATE($D149,Milestones!$AA$77),"dd mmm yy"))&amp;" "&amp;Milestones!$AB$77&amp;" "&amp;Milestones!$AC$77&amp;";  ","")&amp;IF(AND(EDATE($D149,Milestones!$AA$78)&lt;=AsOfDate,IF($R149=0,$X149,IF(AND($T149&lt;&gt;"",EDATE($D149,Milestones!$AA$78)&gt;=$T149),$W149,IF(AND($S149&lt;&gt;"",EDATE($D149,Milestones!$AA$78)&gt;=$S149),$V149,$U149)))=Milestones!$AB$78),UPPER(TEXT(EDATE($D149,Milestones!$AA$78),"dd mmm yy"))&amp;" "&amp;Milestones!$AB$78&amp;" "&amp;Milestones!$AC$78&amp;";  ","")&amp;IF(AND(EDATE($D149,Milestones!$AA$79)&lt;=AsOfDate,IF($R149=0,$X149,IF(AND($T149&lt;&gt;"",EDATE($D149,Milestones!$AA$79)&gt;=$T149),$W149,IF(AND($S149&lt;&gt;"",EDATE($D149,Milestones!$AA$79)&gt;=$S149),$V149,$U149)))=Milestones!$AB$79),UPPER(TEXT(EDATE($D149,Milestones!$AA$79),"dd mmm yy"))&amp;" "&amp;Milestones!$AB$79&amp;" "&amp;Milestones!$AC$79&amp;";  ",""))</f>
        <v/>
      </c>
      <c r="L149" s="0" t="str">
        <f aca="false">IF(OR($A149="",$D149=""),"",IF(AND(EDATE($D149,Milestones!$AA$80)&lt;=AsOfDate,IF($R149=0,$X149,IF(AND($T149&lt;&gt;"",EDATE($D149,Milestones!$AA$80)&gt;=$T149),$W149,IF(AND($S149&lt;&gt;"",EDATE($D149,Milestones!$AA$80)&gt;=$S149),$V149,$U149)))=Milestones!$AB$80),UPPER(TEXT(EDATE($D149,Milestones!$AA$80),"dd mmm yy"))&amp;" "&amp;Milestones!$AB$80&amp;" "&amp;Milestones!$AC$80&amp;";  ","")&amp;IF(AND(EDATE($D149,Milestones!$AA$81)&lt;=AsOfDate,IF($R149=0,$X149,IF(AND($T149&lt;&gt;"",EDATE($D149,Milestones!$AA$81)&gt;=$T149),$W149,IF(AND($S149&lt;&gt;"",EDATE($D149,Milestones!$AA$81)&gt;=$S149),$V149,$U149)))=Milestones!$AB$81),UPPER(TEXT(EDATE($D149,Milestones!$AA$81),"dd mmm yy"))&amp;" "&amp;Milestones!$AB$81&amp;" "&amp;Milestones!$AC$81&amp;";  ","")&amp;IF(AND(EDATE($D149,Milestones!$AA$82)&lt;=AsOfDate,IF($R149=0,$X149,IF(AND($T149&lt;&gt;"",EDATE($D149,Milestones!$AA$82)&gt;=$T149),$W149,IF(AND($S149&lt;&gt;"",EDATE($D149,Milestones!$AA$82)&gt;=$S149),$V149,$U149)))=Milestones!$AB$82),UPPER(TEXT(EDATE($D149,Milestones!$AA$82),"dd mmm yy"))&amp;" "&amp;Milestones!$AB$82&amp;" "&amp;Milestones!$AC$82&amp;";  ","")&amp;IF(AND(EDATE($D149,Milestones!$AA$83)&lt;=AsOfDate,IF($R149=0,$X149,IF(AND($T149&lt;&gt;"",EDATE($D149,Milestones!$AA$83)&gt;=$T149),$W149,IF(AND($S149&lt;&gt;"",EDATE($D149,Milestones!$AA$83)&gt;=$S149),$V149,$U149)))=Milestones!$AB$83),UPPER(TEXT(EDATE($D149,Milestones!$AA$83),"dd mmm yy"))&amp;" "&amp;Milestones!$AB$83&amp;" "&amp;Milestones!$AC$83&amp;";  ","")&amp;IF(AND(EDATE($D149,Milestones!$AA$84)&lt;=AsOfDate,IF($R149=0,$X149,IF(AND($T149&lt;&gt;"",EDATE($D149,Milestones!$AA$84)&gt;=$T149),$W149,IF(AND($S149&lt;&gt;"",EDATE($D149,Milestones!$AA$84)&gt;=$S149),$V149,$U149)))=Milestones!$AB$84),UPPER(TEXT(EDATE($D149,Milestones!$AA$84),"dd mmm yy"))&amp;" "&amp;Milestones!$AB$84&amp;" "&amp;Milestones!$AC$84&amp;";  ","")&amp;IF(AND(EDATE($D149,Milestones!$AA$85)&lt;=AsOfDate,IF($R149=0,$X149,IF(AND($T149&lt;&gt;"",EDATE($D149,Milestones!$AA$85)&gt;=$T149),$W149,IF(AND($S149&lt;&gt;"",EDATE($D149,Milestones!$AA$85)&gt;=$S149),$V149,$U149)))=Milestones!$AB$85),UPPER(TEXT(EDATE($D149,Milestones!$AA$85),"dd mmm yy"))&amp;" "&amp;Milestones!$AB$85&amp;" "&amp;Milestones!$AC$85&amp;";  ","")&amp;IF(AND(EDATE($D149,Milestones!$AA$86)&lt;=AsOfDate,IF($R149=0,$X149,IF(AND($T149&lt;&gt;"",EDATE($D149,Milestones!$AA$86)&gt;=$T149),$W149,IF(AND($S149&lt;&gt;"",EDATE($D149,Milestones!$AA$86)&gt;=$S149),$V149,$U149)))=Milestones!$AB$86),UPPER(TEXT(EDATE($D149,Milestones!$AA$86),"dd mmm yy"))&amp;" "&amp;Milestones!$AB$86&amp;" "&amp;Milestones!$AC$86&amp;";  ","")&amp;IF(AND(EDATE($D149,Milestones!$AA$87)&lt;=AsOfDate,IF($R149=0,$X149,IF(AND($T149&lt;&gt;"",EDATE($D149,Milestones!$AA$87)&gt;=$T149),$W149,IF(AND($S149&lt;&gt;"",EDATE($D149,Milestones!$AA$87)&gt;=$S149),$V149,$U149)))=Milestones!$AB$87),UPPER(TEXT(EDATE($D149,Milestones!$AA$87),"dd mmm yy"))&amp;" "&amp;Milestones!$AB$87&amp;" "&amp;Milestones!$AC$87&amp;";  ","")&amp;IF(AND(EDATE($D149,Milestones!$AA$88)&lt;=AsOfDate,IF($R149=0,$X149,IF(AND($T149&lt;&gt;"",EDATE($D149,Milestones!$AA$88)&gt;=$T149),$W149,IF(AND($S149&lt;&gt;"",EDATE($D149,Milestones!$AA$88)&gt;=$S149),$V149,$U149)))=Milestones!$AB$88),UPPER(TEXT(EDATE($D149,Milestones!$AA$88),"dd mmm yy"))&amp;" "&amp;Milestones!$AB$88&amp;" "&amp;Milestones!$AC$88&amp;";  ","")&amp;IF(AND(EDATE($D149,Milestones!$AA$89)&lt;=AsOfDate,IF($R149=0,$X149,IF(AND($T149&lt;&gt;"",EDATE($D149,Milestones!$AA$89)&gt;=$T149),$W149,IF(AND($S149&lt;&gt;"",EDATE($D149,Milestones!$AA$89)&gt;=$S149),$V149,$U149)))=Milestones!$AB$89),UPPER(TEXT(EDATE($D149,Milestones!$AA$89),"dd mmm yy"))&amp;" "&amp;Milestones!$AB$89&amp;" "&amp;Milestones!$AC$89&amp;";  ","")&amp;IF(AND(EDATE($D149,Milestones!$AA$90)&lt;=AsOfDate,IF($R149=0,$X149,IF(AND($T149&lt;&gt;"",EDATE($D149,Milestones!$AA$90)&gt;=$T149),$W149,IF(AND($S149&lt;&gt;"",EDATE($D149,Milestones!$AA$90)&gt;=$S149),$V149,$U149)))=Milestones!$AB$90),UPPER(TEXT(EDATE($D149,Milestones!$AA$90),"dd mmm yy"))&amp;" "&amp;Milestones!$AB$90&amp;" "&amp;Milestones!$AC$90&amp;";  ","")&amp;IF(AND(EDATE($D149,Milestones!$AA$91)&lt;=AsOfDate,IF($R149=0,$X149,IF(AND($T149&lt;&gt;"",EDATE($D149,Milestones!$AA$91)&gt;=$T149),$W149,IF(AND($S149&lt;&gt;"",EDATE($D149,Milestones!$AA$91)&gt;=$S149),$V149,$U149)))=Milestones!$AB$91),UPPER(TEXT(EDATE($D149,Milestones!$AA$91),"dd mmm yy"))&amp;" "&amp;Milestones!$AB$91&amp;" "&amp;Milestones!$AC$91&amp;";  ","")&amp;IF(AND(EDATE($D149,Milestones!$AA$92)&lt;=AsOfDate,IF($R149=0,$X149,IF(AND($T149&lt;&gt;"",EDATE($D149,Milestones!$AA$92)&gt;=$T149),$W149,IF(AND($S149&lt;&gt;"",EDATE($D149,Milestones!$AA$92)&gt;=$S149),$V149,$U149)))=Milestones!$AB$92),UPPER(TEXT(EDATE($D149,Milestones!$AA$92),"dd mmm yy"))&amp;" "&amp;Milestones!$AB$92&amp;" "&amp;Milestones!$AC$92&amp;";  ","")&amp;IF(AND(EDATE($D149,Milestones!$AA$93)&lt;=AsOfDate,IF($R149=0,$X149,IF(AND($T149&lt;&gt;"",EDATE($D149,Milestones!$AA$93)&gt;=$T149),$W149,IF(AND($S149&lt;&gt;"",EDATE($D149,Milestones!$AA$93)&gt;=$S149),$V149,$U149)))=Milestones!$AB$93),UPPER(TEXT(EDATE($D149,Milestones!$AA$93),"dd mmm yy"))&amp;" "&amp;Milestones!$AB$93&amp;" "&amp;Milestones!$AC$93&amp;";  ","")&amp;IF(AND(EDATE($D149,Milestones!$AA$94)&lt;=AsOfDate,IF($R149=0,$X149,IF(AND($T149&lt;&gt;"",EDATE($D149,Milestones!$AA$94)&gt;=$T149),$W149,IF(AND($S149&lt;&gt;"",EDATE($D149,Milestones!$AA$94)&gt;=$S149),$V149,$U149)))=Milestones!$AB$94),UPPER(TEXT(EDATE($D149,Milestones!$AA$94),"dd mmm yy"))&amp;" "&amp;Milestones!$AB$94&amp;" "&amp;Milestones!$AC$94&amp;";  ","")&amp;IF(AND(EDATE($D149,Milestones!$AA$95)&lt;=AsOfDate,IF($R149=0,$X149,IF(AND($T149&lt;&gt;"",EDATE($D149,Milestones!$AA$95)&gt;=$T149),$W149,IF(AND($S149&lt;&gt;"",EDATE($D149,Milestones!$AA$95)&gt;=$S149),$V149,$U149)))=Milestones!$AB$95),UPPER(TEXT(EDATE($D149,Milestones!$AA$95),"dd mmm yy"))&amp;" "&amp;Milestones!$AB$95&amp;" "&amp;Milestones!$AC$95&amp;";  ","")&amp;IF(AND(EDATE($D149,Milestones!$AA$96)&lt;=AsOfDate,IF($R149=0,$X149,IF(AND($T149&lt;&gt;"",EDATE($D149,Milestones!$AA$96)&gt;=$T149),$W149,IF(AND($S149&lt;&gt;"",EDATE($D149,Milestones!$AA$96)&gt;=$S149),$V149,$U149)))=Milestones!$AB$96),UPPER(TEXT(EDATE($D149,Milestones!$AA$96),"dd mmm yy"))&amp;" "&amp;Milestones!$AB$96&amp;" "&amp;Milestones!$AC$96&amp;";  ","")&amp;IF(AND(EDATE($D149,Milestones!$AA$97)&lt;=AsOfDate,IF($R149=0,$X149,IF(AND($T149&lt;&gt;"",EDATE($D149,Milestones!$AA$97)&gt;=$T149),$W149,IF(AND($S149&lt;&gt;"",EDATE($D149,Milestones!$AA$97)&gt;=$S149),$V149,$U149)))=Milestones!$AB$97),UPPER(TEXT(EDATE($D149,Milestones!$AA$97),"dd mmm yy"))&amp;" "&amp;Milestones!$AB$97&amp;" "&amp;Milestones!$AC$97&amp;";  ","")&amp;IF(AND(EDATE($D149,Milestones!$AA$98)&lt;=AsOfDate,IF($R149=0,$X149,IF(AND($T149&lt;&gt;"",EDATE($D149,Milestones!$AA$98)&gt;=$T149),$W149,IF(AND($S149&lt;&gt;"",EDATE($D149,Milestones!$AA$98)&gt;=$S149),$V149,$U149)))=Milestones!$AB$98),UPPER(TEXT(EDATE($D149,Milestones!$AA$98),"dd mmm yy"))&amp;" "&amp;Milestones!$AB$98&amp;" "&amp;Milestones!$AC$98&amp;";  ","")&amp;IF(AND(EDATE($D149,Milestones!$AA$99)&lt;=AsOfDate,IF($R149=0,$X149,IF(AND($T149&lt;&gt;"",EDATE($D149,Milestones!$AA$99)&gt;=$T149),$W149,IF(AND($S149&lt;&gt;"",EDATE($D149,Milestones!$AA$99)&gt;=$S149),$V149,$U149)))=Milestones!$AB$99),UPPER(TEXT(EDATE($D149,Milestones!$AA$99),"dd mmm yy"))&amp;" "&amp;Milestones!$AB$99&amp;" "&amp;Milestones!$AC$99&amp;";  ",""))</f>
        <v/>
      </c>
      <c r="M149" s="0" t="str">
        <f aca="false">IF(OR($A149="",$D149=""),"",IF(AND(EDATE($D149,Milestones!$AA$100)&lt;=AsOfDate,IF($R149=0,$X149,IF(AND($T149&lt;&gt;"",EDATE($D149,Milestones!$AA$100)&gt;=$T149),$W149,IF(AND($S149&lt;&gt;"",EDATE($D149,Milestones!$AA$100)&gt;=$S149),$V149,$U149)))=Milestones!$AB$100),UPPER(TEXT(EDATE($D149,Milestones!$AA$100),"dd mmm yy"))&amp;" "&amp;Milestones!$AB$100&amp;" "&amp;Milestones!$AC$100&amp;";  ","")&amp;IF(AND(EDATE($D149,Milestones!$AA$101)&lt;=AsOfDate,IF($R149=0,$X149,IF(AND($T149&lt;&gt;"",EDATE($D149,Milestones!$AA$101)&gt;=$T149),$W149,IF(AND($S149&lt;&gt;"",EDATE($D149,Milestones!$AA$101)&gt;=$S149),$V149,$U149)))=Milestones!$AB$101),UPPER(TEXT(EDATE($D149,Milestones!$AA$101),"dd mmm yy"))&amp;" "&amp;Milestones!$AB$101&amp;" "&amp;Milestones!$AC$101&amp;";  ","")&amp;IF(AND(EDATE($D149,Milestones!$AA$102)&lt;=AsOfDate,IF($R149=0,$X149,IF(AND($T149&lt;&gt;"",EDATE($D149,Milestones!$AA$102)&gt;=$T149),$W149,IF(AND($S149&lt;&gt;"",EDATE($D149,Milestones!$AA$102)&gt;=$S149),$V149,$U149)))=Milestones!$AB$102),UPPER(TEXT(EDATE($D149,Milestones!$AA$102),"dd mmm yy"))&amp;" "&amp;Milestones!$AB$102&amp;" "&amp;Milestones!$AC$102&amp;";  ","")&amp;IF(AND(EDATE($D149,Milestones!$AA$103)&lt;=AsOfDate,IF($R149=0,$X149,IF(AND($T149&lt;&gt;"",EDATE($D149,Milestones!$AA$103)&gt;=$T149),$W149,IF(AND($S149&lt;&gt;"",EDATE($D149,Milestones!$AA$103)&gt;=$S149),$V149,$U149)))=Milestones!$AB$103),UPPER(TEXT(EDATE($D149,Milestones!$AA$103),"dd mmm yy"))&amp;" "&amp;Milestones!$AB$103&amp;" "&amp;Milestones!$AC$103&amp;";  ","")&amp;IF(AND(EDATE($D149,Milestones!$AA$104)&lt;=AsOfDate,IF($R149=0,$X149,IF(AND($T149&lt;&gt;"",EDATE($D149,Milestones!$AA$104)&gt;=$T149),$W149,IF(AND($S149&lt;&gt;"",EDATE($D149,Milestones!$AA$104)&gt;=$S149),$V149,$U149)))=Milestones!$AB$104),UPPER(TEXT(EDATE($D149,Milestones!$AA$104),"dd mmm yy"))&amp;" "&amp;Milestones!$AB$104&amp;" "&amp;Milestones!$AC$104&amp;";  ","")&amp;IF(AND(EDATE($D149,Milestones!$AA$105)&lt;=AsOfDate,IF($R149=0,$X149,IF(AND($T149&lt;&gt;"",EDATE($D149,Milestones!$AA$105)&gt;=$T149),$W149,IF(AND($S149&lt;&gt;"",EDATE($D149,Milestones!$AA$105)&gt;=$S149),$V149,$U149)))=Milestones!$AB$105),UPPER(TEXT(EDATE($D149,Milestones!$AA$105),"dd mmm yy"))&amp;" "&amp;Milestones!$AB$105&amp;" "&amp;Milestones!$AC$105&amp;";  ","")&amp;IF(AND(EDATE($D149,Milestones!$AA$106)&lt;=AsOfDate,IF($R149=0,$X149,IF(AND($T149&lt;&gt;"",EDATE($D149,Milestones!$AA$106)&gt;=$T149),$W149,IF(AND($S149&lt;&gt;"",EDATE($D149,Milestones!$AA$106)&gt;=$S149),$V149,$U149)))=Milestones!$AB$106),UPPER(TEXT(EDATE($D149,Milestones!$AA$106),"dd mmm yy"))&amp;" "&amp;Milestones!$AB$106&amp;" "&amp;Milestones!$AC$106&amp;";  ","")&amp;IF(AND(EDATE($D149,Milestones!$AA$107)&lt;=AsOfDate,IF($R149=0,$X149,IF(AND($T149&lt;&gt;"",EDATE($D149,Milestones!$AA$107)&gt;=$T149),$W149,IF(AND($S149&lt;&gt;"",EDATE($D149,Milestones!$AA$107)&gt;=$S149),$V149,$U149)))=Milestones!$AB$107),UPPER(TEXT(EDATE($D149,Milestones!$AA$107),"dd mmm yy"))&amp;" "&amp;Milestones!$AB$107&amp;" "&amp;Milestones!$AC$107&amp;";  ","")&amp;IF(AND(EDATE($D149,Milestones!$AA$108)&lt;=AsOfDate,IF($R149=0,$X149,IF(AND($T149&lt;&gt;"",EDATE($D149,Milestones!$AA$108)&gt;=$T149),$W149,IF(AND($S149&lt;&gt;"",EDATE($D149,Milestones!$AA$108)&gt;=$S149),$V149,$U149)))=Milestones!$AB$108),UPPER(TEXT(EDATE($D149,Milestones!$AA$108),"dd mmm yy"))&amp;" "&amp;Milestones!$AB$108&amp;" "&amp;Milestones!$AC$108&amp;";  ","")&amp;IF(AND(EDATE($D149,Milestones!$AA$109)&lt;=AsOfDate,IF($R149=0,$X149,IF(AND($T149&lt;&gt;"",EDATE($D149,Milestones!$AA$109)&gt;=$T149),$W149,IF(AND($S149&lt;&gt;"",EDATE($D149,Milestones!$AA$109)&gt;=$S149),$V149,$U149)))=Milestones!$AB$109),UPPER(TEXT(EDATE($D149,Milestones!$AA$109),"dd mmm yy"))&amp;" "&amp;Milestones!$AB$109&amp;" "&amp;Milestones!$AC$109&amp;";  ","")&amp;IF(AND(EDATE($D149,Milestones!$AA$110)&lt;=AsOfDate,IF($R149=0,$X149,IF(AND($T149&lt;&gt;"",EDATE($D149,Milestones!$AA$110)&gt;=$T149),$W149,IF(AND($S149&lt;&gt;"",EDATE($D149,Milestones!$AA$110)&gt;=$S149),$V149,$U149)))=Milestones!$AB$110),UPPER(TEXT(EDATE($D149,Milestones!$AA$110),"dd mmm yy"))&amp;" "&amp;Milestones!$AB$110&amp;" "&amp;Milestones!$AC$110&amp;";  ","")&amp;IF(AND(EDATE($D149,Milestones!$AA$111)&lt;=AsOfDate,IF($R149=0,$X149,IF(AND($T149&lt;&gt;"",EDATE($D149,Milestones!$AA$111)&gt;=$T149),$W149,IF(AND($S149&lt;&gt;"",EDATE($D149,Milestones!$AA$111)&gt;=$S149),$V149,$U149)))=Milestones!$AB$111),UPPER(TEXT(EDATE($D149,Milestones!$AA$111),"dd mmm yy"))&amp;" "&amp;Milestones!$AB$111&amp;" "&amp;Milestones!$AC$111&amp;";  ","")&amp;IF(AND(EDATE($D149,Milestones!$AA$112)&lt;=AsOfDate,IF($R149=0,$X149,IF(AND($T149&lt;&gt;"",EDATE($D149,Milestones!$AA$112)&gt;=$T149),$W149,IF(AND($S149&lt;&gt;"",EDATE($D149,Milestones!$AA$112)&gt;=$S149),$V149,$U149)))=Milestones!$AB$112),UPPER(TEXT(EDATE($D149,Milestones!$AA$112),"dd mmm yy"))&amp;" "&amp;Milestones!$AB$112&amp;" "&amp;Milestones!$AC$112&amp;";  ","")&amp;IF(AND(EDATE($D149,Milestones!$AA$113)&lt;=AsOfDate,IF($R149=0,$X149,IF(AND($T149&lt;&gt;"",EDATE($D149,Milestones!$AA$113)&gt;=$T149),$W149,IF(AND($S149&lt;&gt;"",EDATE($D149,Milestones!$AA$113)&gt;=$S149),$V149,$U149)))=Milestones!$AB$113),UPPER(TEXT(EDATE($D149,Milestones!$AA$113),"dd mmm yy"))&amp;" "&amp;Milestones!$AB$113&amp;" "&amp;Milestones!$AC$113&amp;";  ","")&amp;IF(AND(EDATE($D149,Milestones!$AA$114)&lt;=AsOfDate,IF($R149=0,$X149,IF(AND($T149&lt;&gt;"",EDATE($D149,Milestones!$AA$114)&gt;=$T149),$W149,IF(AND($S149&lt;&gt;"",EDATE($D149,Milestones!$AA$114)&gt;=$S149),$V149,$U149)))=Milestones!$AB$114),UPPER(TEXT(EDATE($D149,Milestones!$AA$114),"dd mmm yy"))&amp;" "&amp;Milestones!$AB$114&amp;" "&amp;Milestones!$AC$114&amp;";  ","")&amp;IF(AND(EDATE($D149,Milestones!$AA$115)&lt;=AsOfDate,IF($R149=0,$X149,IF(AND($T149&lt;&gt;"",EDATE($D149,Milestones!$AA$115)&gt;=$T149),$W149,IF(AND($S149&lt;&gt;"",EDATE($D149,Milestones!$AA$115)&gt;=$S149),$V149,$U149)))=Milestones!$AB$115),UPPER(TEXT(EDATE($D149,Milestones!$AA$115),"dd mmm yy"))&amp;" "&amp;Milestones!$AB$115&amp;" "&amp;Milestones!$AC$115&amp;";  ","")&amp;IF(AND(EDATE($D149,Milestones!$AA$116)&lt;=AsOfDate,IF($R149=0,$X149,IF(AND($T149&lt;&gt;"",EDATE($D149,Milestones!$AA$116)&gt;=$T149),$W149,IF(AND($S149&lt;&gt;"",EDATE($D149,Milestones!$AA$116)&gt;=$S149),$V149,$U149)))=Milestones!$AB$116),UPPER(TEXT(EDATE($D149,Milestones!$AA$116),"dd mmm yy"))&amp;" "&amp;Milestones!$AB$116&amp;" "&amp;Milestones!$AC$116&amp;";  ","")&amp;IF(AND(EDATE($D149,Milestones!$AA$117)&lt;=AsOfDate,IF($R149=0,$X149,IF(AND($T149&lt;&gt;"",EDATE($D149,Milestones!$AA$117)&gt;=$T149),$W149,IF(AND($S149&lt;&gt;"",EDATE($D149,Milestones!$AA$117)&gt;=$S149),$V149,$U149)))=Milestones!$AB$117),UPPER(TEXT(EDATE($D149,Milestones!$AA$117),"dd mmm yy"))&amp;" "&amp;Milestones!$AB$117&amp;" "&amp;Milestones!$AC$117&amp;";  ","")&amp;IF(AND(EDATE($D149,Milestones!$AA$118)&lt;=AsOfDate,IF($R149=0,$X149,IF(AND($T149&lt;&gt;"",EDATE($D149,Milestones!$AA$118)&gt;=$T149),$W149,IF(AND($S149&lt;&gt;"",EDATE($D149,Milestones!$AA$118)&gt;=$S149),$V149,$U149)))=Milestones!$AB$118),UPPER(TEXT(EDATE($D149,Milestones!$AA$118),"dd mmm yy"))&amp;" "&amp;Milestones!$AB$118&amp;" "&amp;Milestones!$AC$118&amp;";  ","")&amp;IF(AND(EDATE($D149,Milestones!$AA$119)&lt;=AsOfDate,IF($R149=0,$X149,IF(AND($T149&lt;&gt;"",EDATE($D149,Milestones!$AA$119)&gt;=$T149),$W149,IF(AND($S149&lt;&gt;"",EDATE($D149,Milestones!$AA$119)&gt;=$S149),$V149,$U149)))=Milestones!$AB$119),UPPER(TEXT(EDATE($D149,Milestones!$AA$119),"dd mmm yy"))&amp;" "&amp;Milestones!$AB$119&amp;" "&amp;Milestones!$AC$119&amp;";  ",""))</f>
        <v/>
      </c>
      <c r="N149" s="0" t="str">
        <f aca="false">IF(OR($A149="",$D149=""),"",IF(AND(EDATE($D149,Milestones!$AA$120)&lt;=AsOfDate,IF($R149=0,$X149,IF(AND($T149&lt;&gt;"",EDATE($D149,Milestones!$AA$120)&gt;=$T149),$W149,IF(AND($S149&lt;&gt;"",EDATE($D149,Milestones!$AA$120)&gt;=$S149),$V149,$U149)))=Milestones!$AB$120),UPPER(TEXT(EDATE($D149,Milestones!$AA$120),"dd mmm yy"))&amp;" "&amp;Milestones!$AB$120&amp;" "&amp;Milestones!$AC$120&amp;";  ","")&amp;IF(AND(EDATE($D149,Milestones!$AA$121)&lt;=AsOfDate,IF($R149=0,$X149,IF(AND($T149&lt;&gt;"",EDATE($D149,Milestones!$AA$121)&gt;=$T149),$W149,IF(AND($S149&lt;&gt;"",EDATE($D149,Milestones!$AA$121)&gt;=$S149),$V149,$U149)))=Milestones!$AB$121),UPPER(TEXT(EDATE($D149,Milestones!$AA$121),"dd mmm yy"))&amp;" "&amp;Milestones!$AB$121&amp;" "&amp;Milestones!$AC$121&amp;";  ","")&amp;IF(AND(EDATE($D149,Milestones!$AA$122)&lt;=AsOfDate,IF($R149=0,$X149,IF(AND($T149&lt;&gt;"",EDATE($D149,Milestones!$AA$122)&gt;=$T149),$W149,IF(AND($S149&lt;&gt;"",EDATE($D149,Milestones!$AA$122)&gt;=$S149),$V149,$U149)))=Milestones!$AB$122),UPPER(TEXT(EDATE($D149,Milestones!$AA$122),"dd mmm yy"))&amp;" "&amp;Milestones!$AB$122&amp;" "&amp;Milestones!$AC$122&amp;";  ","")&amp;IF(AND(EDATE($D149,Milestones!$AA$123)&lt;=AsOfDate,IF($R149=0,$X149,IF(AND($T149&lt;&gt;"",EDATE($D149,Milestones!$AA$123)&gt;=$T149),$W149,IF(AND($S149&lt;&gt;"",EDATE($D149,Milestones!$AA$123)&gt;=$S149),$V149,$U149)))=Milestones!$AB$123),UPPER(TEXT(EDATE($D149,Milestones!$AA$123),"dd mmm yy"))&amp;" "&amp;Milestones!$AB$123&amp;" "&amp;Milestones!$AC$123&amp;";  ","")&amp;IF(AND(EDATE($D149,Milestones!$AA$124)&lt;=AsOfDate,IF($R149=0,$X149,IF(AND($T149&lt;&gt;"",EDATE($D149,Milestones!$AA$124)&gt;=$T149),$W149,IF(AND($S149&lt;&gt;"",EDATE($D149,Milestones!$AA$124)&gt;=$S149),$V149,$U149)))=Milestones!$AB$124),UPPER(TEXT(EDATE($D149,Milestones!$AA$124),"dd mmm yy"))&amp;" "&amp;Milestones!$AB$124&amp;" "&amp;Milestones!$AC$124&amp;";  ","")&amp;IF(AND(EDATE($D149,Milestones!$AA$125)&lt;=AsOfDate,IF($R149=0,$X149,IF(AND($T149&lt;&gt;"",EDATE($D149,Milestones!$AA$125)&gt;=$T149),$W149,IF(AND($S149&lt;&gt;"",EDATE($D149,Milestones!$AA$125)&gt;=$S149),$V149,$U149)))=Milestones!$AB$125),UPPER(TEXT(EDATE($D149,Milestones!$AA$125),"dd mmm yy"))&amp;" "&amp;Milestones!$AB$125&amp;" "&amp;Milestones!$AC$125&amp;";  ","")&amp;IF(AND(EDATE($D149,Milestones!$AA$126)&lt;=AsOfDate,IF($R149=0,$X149,IF(AND($T149&lt;&gt;"",EDATE($D149,Milestones!$AA$126)&gt;=$T149),$W149,IF(AND($S149&lt;&gt;"",EDATE($D149,Milestones!$AA$126)&gt;=$S149),$V149,$U149)))=Milestones!$AB$126),UPPER(TEXT(EDATE($D149,Milestones!$AA$126),"dd mmm yy"))&amp;" "&amp;Milestones!$AB$126&amp;" "&amp;Milestones!$AC$126&amp;";  ","")&amp;IF(AND(EDATE($D149,Milestones!$AA$127)&lt;=AsOfDate,IF($R149=0,$X149,IF(AND($T149&lt;&gt;"",EDATE($D149,Milestones!$AA$127)&gt;=$T149),$W149,IF(AND($S149&lt;&gt;"",EDATE($D149,Milestones!$AA$127)&gt;=$S149),$V149,$U149)))=Milestones!$AB$127),UPPER(TEXT(EDATE($D149,Milestones!$AA$127),"dd mmm yy"))&amp;" "&amp;Milestones!$AB$127&amp;" "&amp;Milestones!$AC$127&amp;";  ","")&amp;IF(AND(EDATE($D149,Milestones!$AA$128)&lt;=AsOfDate,IF($R149=0,$X149,IF(AND($T149&lt;&gt;"",EDATE($D149,Milestones!$AA$128)&gt;=$T149),$W149,IF(AND($S149&lt;&gt;"",EDATE($D149,Milestones!$AA$128)&gt;=$S149),$V149,$U149)))=Milestones!$AB$128),UPPER(TEXT(EDATE($D149,Milestones!$AA$128),"dd mmm yy"))&amp;" "&amp;Milestones!$AB$128&amp;" "&amp;Milestones!$AC$128&amp;";  ","")&amp;IF(AND(EDATE($D149,Milestones!$AA$129)&lt;=AsOfDate,IF($R149=0,$X149,IF(AND($T149&lt;&gt;"",EDATE($D149,Milestones!$AA$129)&gt;=$T149),$W149,IF(AND($S149&lt;&gt;"",EDATE($D149,Milestones!$AA$129)&gt;=$S149),$V149,$U149)))=Milestones!$AB$129),UPPER(TEXT(EDATE($D149,Milestones!$AA$129),"dd mmm yy"))&amp;" "&amp;Milestones!$AB$129&amp;" "&amp;Milestones!$AC$129&amp;";  ","")&amp;IF(AND(EDATE($D149,Milestones!$AA$130)&lt;=AsOfDate,IF($R149=0,$X149,IF(AND($T149&lt;&gt;"",EDATE($D149,Milestones!$AA$130)&gt;=$T149),$W149,IF(AND($S149&lt;&gt;"",EDATE($D149,Milestones!$AA$130)&gt;=$S149),$V149,$U149)))=Milestones!$AB$130),UPPER(TEXT(EDATE($D149,Milestones!$AA$130),"dd mmm yy"))&amp;" "&amp;Milestones!$AB$130&amp;" "&amp;Milestones!$AC$130&amp;";  ","")&amp;IF(AND(EDATE($D149,Milestones!$AA$131)&lt;=AsOfDate,IF($R149=0,$X149,IF(AND($T149&lt;&gt;"",EDATE($D149,Milestones!$AA$131)&gt;=$T149),$W149,IF(AND($S149&lt;&gt;"",EDATE($D149,Milestones!$AA$131)&gt;=$S149),$V149,$U149)))=Milestones!$AB$131),UPPER(TEXT(EDATE($D149,Milestones!$AA$131),"dd mmm yy"))&amp;" "&amp;Milestones!$AB$131&amp;" "&amp;Milestones!$AC$131&amp;";  ","")&amp;IF(AND(EDATE($D149,Milestones!$AA$132)&lt;=AsOfDate,IF($R149=0,$X149,IF(AND($T149&lt;&gt;"",EDATE($D149,Milestones!$AA$132)&gt;=$T149),$W149,IF(AND($S149&lt;&gt;"",EDATE($D149,Milestones!$AA$132)&gt;=$S149),$V149,$U149)))=Milestones!$AB$132),UPPER(TEXT(EDATE($D149,Milestones!$AA$132),"dd mmm yy"))&amp;" "&amp;Milestones!$AB$132&amp;" "&amp;Milestones!$AC$132&amp;";  ","")&amp;IF(AND(EDATE($D149,Milestones!$AA$133)&lt;=AsOfDate,IF($R149=0,$X149,IF(AND($T149&lt;&gt;"",EDATE($D149,Milestones!$AA$133)&gt;=$T149),$W149,IF(AND($S149&lt;&gt;"",EDATE($D149,Milestones!$AA$133)&gt;=$S149),$V149,$U149)))=Milestones!$AB$133),UPPER(TEXT(EDATE($D149,Milestones!$AA$133),"dd mmm yy"))&amp;" "&amp;Milestones!$AB$133&amp;" "&amp;Milestones!$AC$133&amp;";  ","")&amp;IF(AND(EDATE($D149,Milestones!$AA$134)&lt;=AsOfDate,IF($R149=0,$X149,IF(AND($T149&lt;&gt;"",EDATE($D149,Milestones!$AA$134)&gt;=$T149),$W149,IF(AND($S149&lt;&gt;"",EDATE($D149,Milestones!$AA$134)&gt;=$S149),$V149,$U149)))=Milestones!$AB$134),UPPER(TEXT(EDATE($D149,Milestones!$AA$134),"dd mmm yy"))&amp;" "&amp;Milestones!$AB$134&amp;" "&amp;Milestones!$AC$134&amp;";  ","")&amp;IF(AND(EDATE($D149,Milestones!$AA$135)&lt;=AsOfDate,IF($R149=0,$X149,IF(AND($T149&lt;&gt;"",EDATE($D149,Milestones!$AA$135)&gt;=$T149),$W149,IF(AND($S149&lt;&gt;"",EDATE($D149,Milestones!$AA$135)&gt;=$S149),$V149,$U149)))=Milestones!$AB$135),UPPER(TEXT(EDATE($D149,Milestones!$AA$135),"dd mmm yy"))&amp;" "&amp;Milestones!$AB$135&amp;" "&amp;Milestones!$AC$135&amp;";  ","")&amp;IF(AND(EDATE($D149,Milestones!$AA$136)&lt;=AsOfDate,IF($R149=0,$X149,IF(AND($T149&lt;&gt;"",EDATE($D149,Milestones!$AA$136)&gt;=$T149),$W149,IF(AND($S149&lt;&gt;"",EDATE($D149,Milestones!$AA$136)&gt;=$S149),$V149,$U149)))=Milestones!$AB$136),UPPER(TEXT(EDATE($D149,Milestones!$AA$136),"dd mmm yy"))&amp;" "&amp;Milestones!$AB$136&amp;" "&amp;Milestones!$AC$136&amp;";  ","")&amp;IF(AND(EDATE($D149,Milestones!$AA$137)&lt;=AsOfDate,IF($R149=0,$X149,IF(AND($T149&lt;&gt;"",EDATE($D149,Milestones!$AA$137)&gt;=$T149),$W149,IF(AND($S149&lt;&gt;"",EDATE($D149,Milestones!$AA$137)&gt;=$S149),$V149,$U149)))=Milestones!$AB$137),UPPER(TEXT(EDATE($D149,Milestones!$AA$137),"dd mmm yy"))&amp;" "&amp;Milestones!$AB$137&amp;" "&amp;Milestones!$AC$137&amp;";  ","")&amp;IF(AND(EDATE($D149,Milestones!$AA$138)&lt;=AsOfDate,IF($R149=0,$X149,IF(AND($T149&lt;&gt;"",EDATE($D149,Milestones!$AA$138)&gt;=$T149),$W149,IF(AND($S149&lt;&gt;"",EDATE($D149,Milestones!$AA$138)&gt;=$S149),$V149,$U149)))=Milestones!$AB$138),UPPER(TEXT(EDATE($D149,Milestones!$AA$138),"dd mmm yy"))&amp;" "&amp;Milestones!$AB$138&amp;" "&amp;Milestones!$AC$138&amp;";  ","")&amp;IF(AND(EDATE($D149,Milestones!$AA$139)&lt;=AsOfDate,IF($R149=0,$X149,IF(AND($T149&lt;&gt;"",EDATE($D149,Milestones!$AA$139)&gt;=$T149),$W149,IF(AND($S149&lt;&gt;"",EDATE($D149,Milestones!$AA$139)&gt;=$S149),$V149,$U149)))=Milestones!$AB$139),UPPER(TEXT(EDATE($D149,Milestones!$AA$139),"dd mmm yy"))&amp;" "&amp;Milestones!$AB$139&amp;" "&amp;Milestones!$AC$139&amp;";  ",""))</f>
        <v/>
      </c>
      <c r="O149" s="0" t="str">
        <f aca="false">IF(OR($A149="",$D149=""),"",IF(AND(EDATE($D149,Milestones!$AA$140)&lt;=AsOfDate,IF($R149=0,$X149,IF(AND($T149&lt;&gt;"",EDATE($D149,Milestones!$AA$140)&gt;=$T149),$W149,IF(AND($S149&lt;&gt;"",EDATE($D149,Milestones!$AA$140)&gt;=$S149),$V149,$U149)))=Milestones!$AB$140),UPPER(TEXT(EDATE($D149,Milestones!$AA$140),"dd mmm yy"))&amp;" "&amp;Milestones!$AB$140&amp;" "&amp;Milestones!$AC$140&amp;";  ","")&amp;IF(AND(EDATE($D149,Milestones!$AA$141)&lt;=AsOfDate,IF($R149=0,$X149,IF(AND($T149&lt;&gt;"",EDATE($D149,Milestones!$AA$141)&gt;=$T149),$W149,IF(AND($S149&lt;&gt;"",EDATE($D149,Milestones!$AA$141)&gt;=$S149),$V149,$U149)))=Milestones!$AB$141),UPPER(TEXT(EDATE($D149,Milestones!$AA$141),"dd mmm yy"))&amp;" "&amp;Milestones!$AB$141&amp;" "&amp;Milestones!$AC$141&amp;";  ","")&amp;IF(AND(EDATE($D149,Milestones!$AA$142)&lt;=AsOfDate,IF($R149=0,$X149,IF(AND($T149&lt;&gt;"",EDATE($D149,Milestones!$AA$142)&gt;=$T149),$W149,IF(AND($S149&lt;&gt;"",EDATE($D149,Milestones!$AA$142)&gt;=$S149),$V149,$U149)))=Milestones!$AB$142),UPPER(TEXT(EDATE($D149,Milestones!$AA$142),"dd mmm yy"))&amp;" "&amp;Milestones!$AB$142&amp;" "&amp;Milestones!$AC$142&amp;";  ","")&amp;IF(AND(EDATE($D149,Milestones!$AA$143)&lt;=AsOfDate,IF($R149=0,$X149,IF(AND($T149&lt;&gt;"",EDATE($D149,Milestones!$AA$143)&gt;=$T149),$W149,IF(AND($S149&lt;&gt;"",EDATE($D149,Milestones!$AA$143)&gt;=$S149),$V149,$U149)))=Milestones!$AB$143),UPPER(TEXT(EDATE($D149,Milestones!$AA$143),"dd mmm yy"))&amp;" "&amp;Milestones!$AB$143&amp;" "&amp;Milestones!$AC$143&amp;";  ","")&amp;IF(AND(EDATE($D149,Milestones!$AA$144)&lt;=AsOfDate,IF($R149=0,$X149,IF(AND($T149&lt;&gt;"",EDATE($D149,Milestones!$AA$144)&gt;=$T149),$W149,IF(AND($S149&lt;&gt;"",EDATE($D149,Milestones!$AA$144)&gt;=$S149),$V149,$U149)))=Milestones!$AB$144),UPPER(TEXT(EDATE($D149,Milestones!$AA$144),"dd mmm yy"))&amp;" "&amp;Milestones!$AB$144&amp;" "&amp;Milestones!$AC$144&amp;";  ","")&amp;IF(AND(EDATE($D149,Milestones!$AA$145)&lt;=AsOfDate,IF($R149=0,$X149,IF(AND($T149&lt;&gt;"",EDATE($D149,Milestones!$AA$145)&gt;=$T149),$W149,IF(AND($S149&lt;&gt;"",EDATE($D149,Milestones!$AA$145)&gt;=$S149),$V149,$U149)))=Milestones!$AB$145),UPPER(TEXT(EDATE($D149,Milestones!$AA$145),"dd mmm yy"))&amp;" "&amp;Milestones!$AB$145&amp;" "&amp;Milestones!$AC$145&amp;";  ","")&amp;IF(AND(EDATE($D149,Milestones!$AA$146)&lt;=AsOfDate,IF($R149=0,$X149,IF(AND($T149&lt;&gt;"",EDATE($D149,Milestones!$AA$146)&gt;=$T149),$W149,IF(AND($S149&lt;&gt;"",EDATE($D149,Milestones!$AA$146)&gt;=$S149),$V149,$U149)))=Milestones!$AB$146),UPPER(TEXT(EDATE($D149,Milestones!$AA$146),"dd mmm yy"))&amp;" "&amp;Milestones!$AB$146&amp;" "&amp;Milestones!$AC$146&amp;";  ","")&amp;IF(AND(EDATE($D149,Milestones!$AA$147)&lt;=AsOfDate,IF($R149=0,$X149,IF(AND($T149&lt;&gt;"",EDATE($D149,Milestones!$AA$147)&gt;=$T149),$W149,IF(AND($S149&lt;&gt;"",EDATE($D149,Milestones!$AA$147)&gt;=$S149),$V149,$U149)))=Milestones!$AB$147),UPPER(TEXT(EDATE($D149,Milestones!$AA$147),"dd mmm yy"))&amp;" "&amp;Milestones!$AB$147&amp;" "&amp;Milestones!$AC$147&amp;";  ","")&amp;IF(AND(EDATE($D149,Milestones!$AA$148)&lt;=AsOfDate,IF($R149=0,$X149,IF(AND($T149&lt;&gt;"",EDATE($D149,Milestones!$AA$148)&gt;=$T149),$W149,IF(AND($S149&lt;&gt;"",EDATE($D149,Milestones!$AA$148)&gt;=$S149),$V149,$U149)))=Milestones!$AB$148),UPPER(TEXT(EDATE($D149,Milestones!$AA$148),"dd mmm yy"))&amp;" "&amp;Milestones!$AB$148&amp;" "&amp;Milestones!$AC$148&amp;";  ","")&amp;IF(AND(EDATE($D149,Milestones!$AA$149)&lt;=AsOfDate,IF($R149=0,$X149,IF(AND($T149&lt;&gt;"",EDATE($D149,Milestones!$AA$149)&gt;=$T149),$W149,IF(AND($S149&lt;&gt;"",EDATE($D149,Milestones!$AA$149)&gt;=$S149),$V149,$U149)))=Milestones!$AB$149),UPPER(TEXT(EDATE($D149,Milestones!$AA$149),"dd mmm yy"))&amp;" "&amp;Milestones!$AB$149&amp;" "&amp;Milestones!$AC$149&amp;";  ","")&amp;IF(AND(EDATE($D149,Milestones!$AA$150)&lt;=AsOfDate,IF($R149=0,$X149,IF(AND($T149&lt;&gt;"",EDATE($D149,Milestones!$AA$150)&gt;=$T149),$W149,IF(AND($S149&lt;&gt;"",EDATE($D149,Milestones!$AA$150)&gt;=$S149),$V149,$U149)))=Milestones!$AB$150),UPPER(TEXT(EDATE($D149,Milestones!$AA$150),"dd mmm yy"))&amp;" "&amp;Milestones!$AB$150&amp;" "&amp;Milestones!$AC$150&amp;";  ","")&amp;IF(AND(EDATE($D149,Milestones!$AA$151)&lt;=AsOfDate,IF($R149=0,$X149,IF(AND($T149&lt;&gt;"",EDATE($D149,Milestones!$AA$151)&gt;=$T149),$W149,IF(AND($S149&lt;&gt;"",EDATE($D149,Milestones!$AA$151)&gt;=$S149),$V149,$U149)))=Milestones!$AB$151),UPPER(TEXT(EDATE($D149,Milestones!$AA$151),"dd mmm yy"))&amp;" "&amp;Milestones!$AB$151&amp;" "&amp;Milestones!$AC$151&amp;";  ","")&amp;IF(AND(EDATE($D149,Milestones!$AA$152)&lt;=AsOfDate,IF($R149=0,$X149,IF(AND($T149&lt;&gt;"",EDATE($D149,Milestones!$AA$152)&gt;=$T149),$W149,IF(AND($S149&lt;&gt;"",EDATE($D149,Milestones!$AA$152)&gt;=$S149),$V149,$U149)))=Milestones!$AB$152),UPPER(TEXT(EDATE($D149,Milestones!$AA$152),"dd mmm yy"))&amp;" "&amp;Milestones!$AB$152&amp;" "&amp;Milestones!$AC$152&amp;";  ","")&amp;IF(AND(EDATE($D149,Milestones!$AA$153)&lt;=AsOfDate,IF($R149=0,$X149,IF(AND($T149&lt;&gt;"",EDATE($D149,Milestones!$AA$153)&gt;=$T149),$W149,IF(AND($S149&lt;&gt;"",EDATE($D149,Milestones!$AA$153)&gt;=$S149),$V149,$U149)))=Milestones!$AB$153),UPPER(TEXT(EDATE($D149,Milestones!$AA$153),"dd mmm yy"))&amp;" "&amp;Milestones!$AB$153&amp;" "&amp;Milestones!$AC$153&amp;";  ","")&amp;IF(AND(EDATE($D149,Milestones!$AA$154)&lt;=AsOfDate,IF($R149=0,$X149,IF(AND($T149&lt;&gt;"",EDATE($D149,Milestones!$AA$154)&gt;=$T149),$W149,IF(AND($S149&lt;&gt;"",EDATE($D149,Milestones!$AA$154)&gt;=$S149),$V149,$U149)))=Milestones!$AB$154),UPPER(TEXT(EDATE($D149,Milestones!$AA$154),"dd mmm yy"))&amp;" "&amp;Milestones!$AB$154&amp;" "&amp;Milestones!$AC$154&amp;";  ","")&amp;IF(AND(EDATE($D149,Milestones!$AA$155)&lt;=AsOfDate,IF($R149=0,$X149,IF(AND($T149&lt;&gt;"",EDATE($D149,Milestones!$AA$155)&gt;=$T149),$W149,IF(AND($S149&lt;&gt;"",EDATE($D149,Milestones!$AA$155)&gt;=$S149),$V149,$U149)))=Milestones!$AB$155),UPPER(TEXT(EDATE($D149,Milestones!$AA$155),"dd mmm yy"))&amp;" "&amp;Milestones!$AB$155&amp;" "&amp;Milestones!$AC$155&amp;";  ","")&amp;IF(AND(EDATE($D149,Milestones!$AA$156)&lt;=AsOfDate,IF($R149=0,$X149,IF(AND($T149&lt;&gt;"",EDATE($D149,Milestones!$AA$156)&gt;=$T149),$W149,IF(AND($S149&lt;&gt;"",EDATE($D149,Milestones!$AA$156)&gt;=$S149),$V149,$U149)))=Milestones!$AB$156),UPPER(TEXT(EDATE($D149,Milestones!$AA$156),"dd mmm yy"))&amp;" "&amp;Milestones!$AB$156&amp;" "&amp;Milestones!$AC$156&amp;";  ","")&amp;IF(AND(EDATE($D149,Milestones!$AA$157)&lt;=AsOfDate,IF($R149=0,$X149,IF(AND($T149&lt;&gt;"",EDATE($D149,Milestones!$AA$157)&gt;=$T149),$W149,IF(AND($S149&lt;&gt;"",EDATE($D149,Milestones!$AA$157)&gt;=$S149),$V149,$U149)))=Milestones!$AB$157),UPPER(TEXT(EDATE($D149,Milestones!$AA$157),"dd mmm yy"))&amp;" "&amp;Milestones!$AB$157&amp;" "&amp;Milestones!$AC$157&amp;";  ","")&amp;IF(AND(EDATE($D149,Milestones!$AA$158)&lt;=AsOfDate,IF($R149=0,$X149,IF(AND($T149&lt;&gt;"",EDATE($D149,Milestones!$AA$158)&gt;=$T149),$W149,IF(AND($S149&lt;&gt;"",EDATE($D149,Milestones!$AA$158)&gt;=$S149),$V149,$U149)))=Milestones!$AB$158),UPPER(TEXT(EDATE($D149,Milestones!$AA$158),"dd mmm yy"))&amp;" "&amp;Milestones!$AB$158&amp;" "&amp;Milestones!$AC$158&amp;";  ","")&amp;IF(AND(EDATE($D149,Milestones!$AA$159)&lt;=AsOfDate,IF($R149=0,$X149,IF(AND($T149&lt;&gt;"",EDATE($D149,Milestones!$AA$159)&gt;=$T149),$W149,IF(AND($S149&lt;&gt;"",EDATE($D149,Milestones!$AA$159)&gt;=$S149),$V149,$U149)))=Milestones!$AB$159),UPPER(TEXT(EDATE($D149,Milestones!$AA$159),"dd mmm yy"))&amp;" "&amp;Milestones!$AB$159&amp;" "&amp;Milestones!$AC$159&amp;";  ",""))</f>
        <v/>
      </c>
      <c r="P149" s="0" t="str">
        <f aca="false">IF(OR($A149="",$D149=""),"",IF(AND(EDATE($D149,Milestones!$AA$160)&lt;=AsOfDate,IF($R149=0,$X149,IF(AND($T149&lt;&gt;"",EDATE($D149,Milestones!$AA$160)&gt;=$T149),$W149,IF(AND($S149&lt;&gt;"",EDATE($D149,Milestones!$AA$160)&gt;=$S149),$V149,$U149)))=Milestones!$AB$160),UPPER(TEXT(EDATE($D149,Milestones!$AA$160),"dd mmm yy"))&amp;" "&amp;Milestones!$AB$160&amp;" "&amp;Milestones!$AC$160&amp;";  ","")&amp;IF(AND(EDATE($D149,Milestones!$AA$161)&lt;=AsOfDate,IF($R149=0,$X149,IF(AND($T149&lt;&gt;"",EDATE($D149,Milestones!$AA$161)&gt;=$T149),$W149,IF(AND($S149&lt;&gt;"",EDATE($D149,Milestones!$AA$161)&gt;=$S149),$V149,$U149)))=Milestones!$AB$161),UPPER(TEXT(EDATE($D149,Milestones!$AA$161),"dd mmm yy"))&amp;" "&amp;Milestones!$AB$161&amp;" "&amp;Milestones!$AC$161&amp;";  ","")&amp;IF(AND(EDATE($D149,Milestones!$AA$162)&lt;=AsOfDate,IF($R149=0,$X149,IF(AND($T149&lt;&gt;"",EDATE($D149,Milestones!$AA$162)&gt;=$T149),$W149,IF(AND($S149&lt;&gt;"",EDATE($D149,Milestones!$AA$162)&gt;=$S149),$V149,$U149)))=Milestones!$AB$162),UPPER(TEXT(EDATE($D149,Milestones!$AA$162),"dd mmm yy"))&amp;" "&amp;Milestones!$AB$162&amp;" "&amp;Milestones!$AC$162&amp;";  ","")&amp;IF(AND(EDATE($D149,Milestones!$AA$163)&lt;=AsOfDate,IF($R149=0,$X149,IF(AND($T149&lt;&gt;"",EDATE($D149,Milestones!$AA$163)&gt;=$T149),$W149,IF(AND($S149&lt;&gt;"",EDATE($D149,Milestones!$AA$163)&gt;=$S149),$V149,$U149)))=Milestones!$AB$163),UPPER(TEXT(EDATE($D149,Milestones!$AA$163),"dd mmm yy"))&amp;" "&amp;Milestones!$AB$163&amp;" "&amp;Milestones!$AC$163&amp;";  ","")&amp;IF(AND(EDATE($D149,Milestones!$AA$164)&lt;=AsOfDate,IF($R149=0,$X149,IF(AND($T149&lt;&gt;"",EDATE($D149,Milestones!$AA$164)&gt;=$T149),$W149,IF(AND($S149&lt;&gt;"",EDATE($D149,Milestones!$AA$164)&gt;=$S149),$V149,$U149)))=Milestones!$AB$164),UPPER(TEXT(EDATE($D149,Milestones!$AA$164),"dd mmm yy"))&amp;" "&amp;Milestones!$AB$164&amp;" "&amp;Milestones!$AC$164&amp;";  ","")&amp;IF(AND(EDATE($D149,Milestones!$AA$165)&lt;=AsOfDate,IF($R149=0,$X149,IF(AND($T149&lt;&gt;"",EDATE($D149,Milestones!$AA$165)&gt;=$T149),$W149,IF(AND($S149&lt;&gt;"",EDATE($D149,Milestones!$AA$165)&gt;=$S149),$V149,$U149)))=Milestones!$AB$165),UPPER(TEXT(EDATE($D149,Milestones!$AA$165),"dd mmm yy"))&amp;" "&amp;Milestones!$AB$165&amp;" "&amp;Milestones!$AC$165&amp;";  ","")&amp;IF(AND(EDATE($D149,Milestones!$AA$166)&lt;=AsOfDate,IF($R149=0,$X149,IF(AND($T149&lt;&gt;"",EDATE($D149,Milestones!$AA$166)&gt;=$T149),$W149,IF(AND($S149&lt;&gt;"",EDATE($D149,Milestones!$AA$166)&gt;=$S149),$V149,$U149)))=Milestones!$AB$166),UPPER(TEXT(EDATE($D149,Milestones!$AA$166),"dd mmm yy"))&amp;" "&amp;Milestones!$AB$166&amp;" "&amp;Milestones!$AC$166&amp;";  ","")&amp;IF(AND(EDATE($D149,Milestones!$AA$167)&lt;=AsOfDate,IF($R149=0,$X149,IF(AND($T149&lt;&gt;"",EDATE($D149,Milestones!$AA$167)&gt;=$T149),$W149,IF(AND($S149&lt;&gt;"",EDATE($D149,Milestones!$AA$167)&gt;=$S149),$V149,$U149)))=Milestones!$AB$167),UPPER(TEXT(EDATE($D149,Milestones!$AA$167),"dd mmm yy"))&amp;" "&amp;Milestones!$AB$167&amp;" "&amp;Milestones!$AC$167&amp;";  ","")&amp;IF(AND(EDATE($D149,Milestones!$AA$168)&lt;=AsOfDate,IF($R149=0,$X149,IF(AND($T149&lt;&gt;"",EDATE($D149,Milestones!$AA$168)&gt;=$T149),$W149,IF(AND($S149&lt;&gt;"",EDATE($D149,Milestones!$AA$168)&gt;=$S149),$V149,$U149)))=Milestones!$AB$168),UPPER(TEXT(EDATE($D149,Milestones!$AA$168),"dd mmm yy"))&amp;" "&amp;Milestones!$AB$168&amp;" "&amp;Milestones!$AC$168&amp;";  ","")&amp;IF(AND(EDATE($D149,Milestones!$AA$169)&lt;=AsOfDate,IF($R149=0,$X149,IF(AND($T149&lt;&gt;"",EDATE($D149,Milestones!$AA$169)&gt;=$T149),$W149,IF(AND($S149&lt;&gt;"",EDATE($D149,Milestones!$AA$169)&gt;=$S149),$V149,$U149)))=Milestones!$AB$169),UPPER(TEXT(EDATE($D149,Milestones!$AA$169),"dd mmm yy"))&amp;" "&amp;Milestones!$AB$169&amp;" "&amp;Milestones!$AC$169&amp;";  ","")&amp;IF(AND(EDATE($D149,Milestones!$AA$170)&lt;=AsOfDate,IF($R149=0,$X149,IF(AND($T149&lt;&gt;"",EDATE($D149,Milestones!$AA$170)&gt;=$T149),$W149,IF(AND($S149&lt;&gt;"",EDATE($D149,Milestones!$AA$170)&gt;=$S149),$V149,$U149)))=Milestones!$AB$170),UPPER(TEXT(EDATE($D149,Milestones!$AA$170),"dd mmm yy"))&amp;" "&amp;Milestones!$AB$170&amp;" "&amp;Milestones!$AC$170&amp;";  ","")&amp;IF(AND(EDATE($D149,Milestones!$AA$171)&lt;=AsOfDate,IF($R149=0,$X149,IF(AND($T149&lt;&gt;"",EDATE($D149,Milestones!$AA$171)&gt;=$T149),$W149,IF(AND($S149&lt;&gt;"",EDATE($D149,Milestones!$AA$171)&gt;=$S149),$V149,$U149)))=Milestones!$AB$171),UPPER(TEXT(EDATE($D149,Milestones!$AA$171),"dd mmm yy"))&amp;" "&amp;Milestones!$AB$171&amp;" "&amp;Milestones!$AC$171&amp;";  ","")&amp;IF(AND(EDATE($D149,Milestones!$AA$172)&lt;=AsOfDate,IF($R149=0,$X149,IF(AND($T149&lt;&gt;"",EDATE($D149,Milestones!$AA$172)&gt;=$T149),$W149,IF(AND($S149&lt;&gt;"",EDATE($D149,Milestones!$AA$172)&gt;=$S149),$V149,$U149)))=Milestones!$AB$172),UPPER(TEXT(EDATE($D149,Milestones!$AA$172),"dd mmm yy"))&amp;" "&amp;Milestones!$AB$172&amp;" "&amp;Milestones!$AC$172&amp;";  ","")&amp;IF(AND(EDATE($D149,Milestones!$AA$173)&lt;=AsOfDate,IF($R149=0,$X149,IF(AND($T149&lt;&gt;"",EDATE($D149,Milestones!$AA$173)&gt;=$T149),$W149,IF(AND($S149&lt;&gt;"",EDATE($D149,Milestones!$AA$173)&gt;=$S149),$V149,$U149)))=Milestones!$AB$173),UPPER(TEXT(EDATE($D149,Milestones!$AA$173),"dd mmm yy"))&amp;" "&amp;Milestones!$AB$173&amp;" "&amp;Milestones!$AC$173&amp;";  ","")&amp;IF(AND(EDATE($D149,Milestones!$AA$174)&lt;=AsOfDate,IF($R149=0,$X149,IF(AND($T149&lt;&gt;"",EDATE($D149,Milestones!$AA$174)&gt;=$T149),$W149,IF(AND($S149&lt;&gt;"",EDATE($D149,Milestones!$AA$174)&gt;=$S149),$V149,$U149)))=Milestones!$AB$174),UPPER(TEXT(EDATE($D149,Milestones!$AA$174),"dd mmm yy"))&amp;" "&amp;Milestones!$AB$174&amp;" "&amp;Milestones!$AC$174&amp;";  ","")&amp;IF(AND(EDATE($D149,Milestones!$AA$175)&lt;=AsOfDate,IF($R149=0,$X149,IF(AND($T149&lt;&gt;"",EDATE($D149,Milestones!$AA$175)&gt;=$T149),$W149,IF(AND($S149&lt;&gt;"",EDATE($D149,Milestones!$AA$175)&gt;=$S149),$V149,$U149)))=Milestones!$AB$175),UPPER(TEXT(EDATE($D149,Milestones!$AA$175),"dd mmm yy"))&amp;" "&amp;Milestones!$AB$175&amp;" "&amp;Milestones!$AC$175&amp;";  ","")&amp;IF(AND(EDATE($D149,Milestones!$AA$176)&lt;=AsOfDate,IF($R149=0,$X149,IF(AND($T149&lt;&gt;"",EDATE($D149,Milestones!$AA$176)&gt;=$T149),$W149,IF(AND($S149&lt;&gt;"",EDATE($D149,Milestones!$AA$176)&gt;=$S149),$V149,$U149)))=Milestones!$AB$176),UPPER(TEXT(EDATE($D149,Milestones!$AA$176),"dd mmm yy"))&amp;" "&amp;Milestones!$AB$176&amp;" "&amp;Milestones!$AC$176&amp;";  ","")&amp;IF(AND(EDATE($D149,Milestones!$AA$177)&lt;=AsOfDate,IF($R149=0,$X149,IF(AND($T149&lt;&gt;"",EDATE($D149,Milestones!$AA$177)&gt;=$T149),$W149,IF(AND($S149&lt;&gt;"",EDATE($D149,Milestones!$AA$177)&gt;=$S149),$V149,$U149)))=Milestones!$AB$177),UPPER(TEXT(EDATE($D149,Milestones!$AA$177),"dd mmm yy"))&amp;" "&amp;Milestones!$AB$177&amp;" "&amp;Milestones!$AC$177&amp;";  ","")&amp;IF(AND(EDATE($D149,Milestones!$AA$178)&lt;=AsOfDate,IF($R149=0,$X149,IF(AND($T149&lt;&gt;"",EDATE($D149,Milestones!$AA$178)&gt;=$T149),$W149,IF(AND($S149&lt;&gt;"",EDATE($D149,Milestones!$AA$178)&gt;=$S149),$V149,$U149)))=Milestones!$AB$178),UPPER(TEXT(EDATE($D149,Milestones!$AA$178),"dd mmm yy"))&amp;" "&amp;Milestones!$AB$178&amp;" "&amp;Milestones!$AC$178&amp;";  ","")&amp;IF(AND(EDATE($D149,Milestones!$AA$179)&lt;=AsOfDate,IF($R149=0,$X149,IF(AND($T149&lt;&gt;"",EDATE($D149,Milestones!$AA$179)&gt;=$T149),$W149,IF(AND($S149&lt;&gt;"",EDATE($D149,Milestones!$AA$179)&gt;=$S149),$V149,$U149)))=Milestones!$AB$179),UPPER(TEXT(EDATE($D149,Milestones!$AA$179),"dd mmm yy"))&amp;" "&amp;Milestones!$AB$179&amp;" "&amp;Milestones!$AC$179&amp;";  ",""))</f>
        <v/>
      </c>
      <c r="Q149" s="0" t="str">
        <f aca="false">IF(OR($A149="",$D149=""),"",IF(AND(EDATE($D149,Milestones!$AA$180)&lt;=AsOfDate,IF($R149=0,$X149,IF(AND($T149&lt;&gt;"",EDATE($D149,Milestones!$AA$180)&gt;=$T149),$W149,IF(AND($S149&lt;&gt;"",EDATE($D149,Milestones!$AA$180)&gt;=$S149),$V149,$U149)))=Milestones!$AB$180),UPPER(TEXT(EDATE($D149,Milestones!$AA$180),"dd mmm yy"))&amp;" "&amp;Milestones!$AB$180&amp;" "&amp;Milestones!$AC$180&amp;";  ","")&amp;IF(AND(EDATE($D149,Milestones!$AA$181)&lt;=AsOfDate,IF($R149=0,$X149,IF(AND($T149&lt;&gt;"",EDATE($D149,Milestones!$AA$181)&gt;=$T149),$W149,IF(AND($S149&lt;&gt;"",EDATE($D149,Milestones!$AA$181)&gt;=$S149),$V149,$U149)))=Milestones!$AB$181),UPPER(TEXT(EDATE($D149,Milestones!$AA$181),"dd mmm yy"))&amp;" "&amp;Milestones!$AB$181&amp;" "&amp;Milestones!$AC$181&amp;";  ","")&amp;IF(AND(EDATE($D149,Milestones!$AA$182)&lt;=AsOfDate,IF($R149=0,$X149,IF(AND($T149&lt;&gt;"",EDATE($D149,Milestones!$AA$182)&gt;=$T149),$W149,IF(AND($S149&lt;&gt;"",EDATE($D149,Milestones!$AA$182)&gt;=$S149),$V149,$U149)))=Milestones!$AB$182),UPPER(TEXT(EDATE($D149,Milestones!$AA$182),"dd mmm yy"))&amp;" "&amp;Milestones!$AB$182&amp;" "&amp;Milestones!$AC$182&amp;";  ","")&amp;IF(AND(EDATE($D149,Milestones!$AA$183)&lt;=AsOfDate,IF($R149=0,$X149,IF(AND($T149&lt;&gt;"",EDATE($D149,Milestones!$AA$183)&gt;=$T149),$W149,IF(AND($S149&lt;&gt;"",EDATE($D149,Milestones!$AA$183)&gt;=$S149),$V149,$U149)))=Milestones!$AB$183),UPPER(TEXT(EDATE($D149,Milestones!$AA$183),"dd mmm yy"))&amp;" "&amp;Milestones!$AB$183&amp;" "&amp;Milestones!$AC$183&amp;";  ","")&amp;IF(AND(EDATE($D149,Milestones!$AA$184)&lt;=AsOfDate,IF($R149=0,$X149,IF(AND($T149&lt;&gt;"",EDATE($D149,Milestones!$AA$184)&gt;=$T149),$W149,IF(AND($S149&lt;&gt;"",EDATE($D149,Milestones!$AA$184)&gt;=$S149),$V149,$U149)))=Milestones!$AB$184),UPPER(TEXT(EDATE($D149,Milestones!$AA$184),"dd mmm yy"))&amp;" "&amp;Milestones!$AB$184&amp;" "&amp;Milestones!$AC$184&amp;";  ","")&amp;IF(AND(EDATE($D149,Milestones!$AA$185)&lt;=AsOfDate,IF($R149=0,$X149,IF(AND($T149&lt;&gt;"",EDATE($D149,Milestones!$AA$185)&gt;=$T149),$W149,IF(AND($S149&lt;&gt;"",EDATE($D149,Milestones!$AA$185)&gt;=$S149),$V149,$U149)))=Milestones!$AB$185),UPPER(TEXT(EDATE($D149,Milestones!$AA$185),"dd mmm yy"))&amp;" "&amp;Milestones!$AB$185&amp;" "&amp;Milestones!$AC$185&amp;";  ","")&amp;IF(AND(EDATE($D149,Milestones!$AA$186)&lt;=AsOfDate,IF($R149=0,$X149,IF(AND($T149&lt;&gt;"",EDATE($D149,Milestones!$AA$186)&gt;=$T149),$W149,IF(AND($S149&lt;&gt;"",EDATE($D149,Milestones!$AA$186)&gt;=$S149),$V149,$U149)))=Milestones!$AB$186),UPPER(TEXT(EDATE($D149,Milestones!$AA$186),"dd mmm yy"))&amp;" "&amp;Milestones!$AB$186&amp;" "&amp;Milestones!$AC$186&amp;";  ","")&amp;IF(AND(EDATE($D149,Milestones!$AA$187)&lt;=AsOfDate,IF($R149=0,$X149,IF(AND($T149&lt;&gt;"",EDATE($D149,Milestones!$AA$187)&gt;=$T149),$W149,IF(AND($S149&lt;&gt;"",EDATE($D149,Milestones!$AA$187)&gt;=$S149),$V149,$U149)))=Milestones!$AB$187),UPPER(TEXT(EDATE($D149,Milestones!$AA$187),"dd mmm yy"))&amp;" "&amp;Milestones!$AB$187&amp;" "&amp;Milestones!$AC$187&amp;";  ","")&amp;IF(AND(EDATE($D149,Milestones!$AA$188)&lt;=AsOfDate,IF($R149=0,$X149,IF(AND($T149&lt;&gt;"",EDATE($D149,Milestones!$AA$188)&gt;=$T149),$W149,IF(AND($S149&lt;&gt;"",EDATE($D149,Milestones!$AA$188)&gt;=$S149),$V149,$U149)))=Milestones!$AB$188),UPPER(TEXT(EDATE($D149,Milestones!$AA$188),"dd mmm yy"))&amp;" "&amp;Milestones!$AB$188&amp;" "&amp;Milestones!$AC$188&amp;";  ","")&amp;IF(AND(EDATE($D149,Milestones!$AA$189)&lt;=AsOfDate,IF($R149=0,$X149,IF(AND($T149&lt;&gt;"",EDATE($D149,Milestones!$AA$189)&gt;=$T149),$W149,IF(AND($S149&lt;&gt;"",EDATE($D149,Milestones!$AA$189)&gt;=$S149),$V149,$U149)))=Milestones!$AB$189),UPPER(TEXT(EDATE($D149,Milestones!$AA$189),"dd mmm yy"))&amp;" "&amp;Milestones!$AB$189&amp;" "&amp;Milestones!$AC$189&amp;";  ","")&amp;IF(AND(EDATE($D149,Milestones!$AA$190)&lt;=AsOfDate,IF($R149=0,$X149,IF(AND($T149&lt;&gt;"",EDATE($D149,Milestones!$AA$190)&gt;=$T149),$W149,IF(AND($S149&lt;&gt;"",EDATE($D149,Milestones!$AA$190)&gt;=$S149),$V149,$U149)))=Milestones!$AB$190),UPPER(TEXT(EDATE($D149,Milestones!$AA$190),"dd mmm yy"))&amp;" "&amp;Milestones!$AB$190&amp;" "&amp;Milestones!$AC$190&amp;";  ","")&amp;IF(AND(EDATE($D149,Milestones!$AA$191)&lt;=AsOfDate,IF($R149=0,$X149,IF(AND($T149&lt;&gt;"",EDATE($D149,Milestones!$AA$191)&gt;=$T149),$W149,IF(AND($S149&lt;&gt;"",EDATE($D149,Milestones!$AA$191)&gt;=$S149),$V149,$U149)))=Milestones!$AB$191),UPPER(TEXT(EDATE($D149,Milestones!$AA$191),"dd mmm yy"))&amp;" "&amp;Milestones!$AB$191&amp;" "&amp;Milestones!$AC$191&amp;";  ","")&amp;IF(AND(EDATE($D149,Milestones!$AA$192)&lt;=AsOfDate,IF($R149=0,$X149,IF(AND($T149&lt;&gt;"",EDATE($D149,Milestones!$AA$192)&gt;=$T149),$W149,IF(AND($S149&lt;&gt;"",EDATE($D149,Milestones!$AA$192)&gt;=$S149),$V149,$U149)))=Milestones!$AB$192),UPPER(TEXT(EDATE($D149,Milestones!$AA$192),"dd mmm yy"))&amp;" "&amp;Milestones!$AB$192&amp;" "&amp;Milestones!$AC$192&amp;";  ","")&amp;IF(AND(EDATE($D149,Milestones!$AA$193)&lt;=AsOfDate,IF($R149=0,$X149,IF(AND($T149&lt;&gt;"",EDATE($D149,Milestones!$AA$193)&gt;=$T149),$W149,IF(AND($S149&lt;&gt;"",EDATE($D149,Milestones!$AA$193)&gt;=$S149),$V149,$U149)))=Milestones!$AB$193),UPPER(TEXT(EDATE($D149,Milestones!$AA$193),"dd mmm yy"))&amp;" "&amp;Milestones!$AB$193&amp;" "&amp;Milestones!$AC$193&amp;";  ","")&amp;IF(AND(EDATE($D149,Milestones!$AA$194)&lt;=AsOfDate,IF($R149=0,$X149,IF(AND($T149&lt;&gt;"",EDATE($D149,Milestones!$AA$194)&gt;=$T149),$W149,IF(AND($S149&lt;&gt;"",EDATE($D149,Milestones!$AA$194)&gt;=$S149),$V149,$U149)))=Milestones!$AB$194),UPPER(TEXT(EDATE($D149,Milestones!$AA$194),"dd mmm yy"))&amp;" "&amp;Milestones!$AB$194&amp;" "&amp;Milestones!$AC$194&amp;";  ","")&amp;IF(AND(EDATE($D149,Milestones!$AA$195)&lt;=AsOfDate,IF($R149=0,$X149,IF(AND($T149&lt;&gt;"",EDATE($D149,Milestones!$AA$195)&gt;=$T149),$W149,IF(AND($S149&lt;&gt;"",EDATE($D149,Milestones!$AA$195)&gt;=$S149),$V149,$U149)))=Milestones!$AB$195),UPPER(TEXT(EDATE($D149,Milestones!$AA$195),"dd mmm yy"))&amp;" "&amp;Milestones!$AB$195&amp;" "&amp;Milestones!$AC$195&amp;";  ","")&amp;IF(AND(EDATE($D149,Milestones!$AA$196)&lt;=AsOfDate,IF($R149=0,$X149,IF(AND($T149&lt;&gt;"",EDATE($D149,Milestones!$AA$196)&gt;=$T149),$W149,IF(AND($S149&lt;&gt;"",EDATE($D149,Milestones!$AA$196)&gt;=$S149),$V149,$U149)))=Milestones!$AB$196),UPPER(TEXT(EDATE($D149,Milestones!$AA$196),"dd mmm yy"))&amp;" "&amp;Milestones!$AB$196&amp;" "&amp;Milestones!$AC$196&amp;";  ","")&amp;IF(AND(EDATE($D149,Milestones!$AA$197)&lt;=AsOfDate,IF($R149=0,$X149,IF(AND($T149&lt;&gt;"",EDATE($D149,Milestones!$AA$197)&gt;=$T149),$W149,IF(AND($S149&lt;&gt;"",EDATE($D149,Milestones!$AA$197)&gt;=$S149),$V149,$U149)))=Milestones!$AB$197),UPPER(TEXT(EDATE($D149,Milestones!$AA$197),"dd mmm yy"))&amp;" "&amp;Milestones!$AB$197&amp;" "&amp;Milestones!$AC$197&amp;";  ","")&amp;IF(AND(EDATE($D149,Milestones!$AA$198)&lt;=AsOfDate,IF($R149=0,$X149,IF(AND($T149&lt;&gt;"",EDATE($D149,Milestones!$AA$198)&gt;=$T149),$W149,IF(AND($S149&lt;&gt;"",EDATE($D149,Milestones!$AA$198)&gt;=$S149),$V149,$U149)))=Milestones!$AB$198),UPPER(TEXT(EDATE($D149,Milestones!$AA$198),"dd mmm yy"))&amp;" "&amp;Milestones!$AB$198&amp;" "&amp;Milestones!$AC$198&amp;";  ","")&amp;IF(AND(EDATE($D149,Milestones!$AA$199)&lt;=AsOfDate,IF($R149=0,$X149,IF(AND($T149&lt;&gt;"",EDATE($D149,Milestones!$AA$199)&gt;=$T149),$W149,IF(AND($S149&lt;&gt;"",EDATE($D149,Milestones!$AA$199)&gt;=$S149),$V149,$U149)))=Milestones!$AB$199),UPPER(TEXT(EDATE($D149,Milestones!$AA$199),"dd mmm yy"))&amp;" "&amp;Milestones!$AB$199&amp;" "&amp;Milestones!$AC$199&amp;";  ",""))</f>
        <v/>
      </c>
      <c r="R149" s="0" t="str">
        <f aca="false">IF(Staff!$A149="","",Staff!$AI149)</f>
        <v/>
      </c>
      <c r="S149" s="0" t="str">
        <f aca="false">IF(Staff!$A149="","",Staff!$AK149)</f>
        <v/>
      </c>
      <c r="T149" s="0" t="str">
        <f aca="false">IF(Staff!$A149="","",Staff!$AL149)</f>
        <v/>
      </c>
      <c r="U149" s="0" t="str">
        <f aca="false">IF(Staff!$A149="","",Staff!$AP149)</f>
        <v/>
      </c>
      <c r="V149" s="0" t="str">
        <f aca="false">IF(Staff!$A149="","",Staff!$AQ149)</f>
        <v/>
      </c>
      <c r="W149" s="0" t="str">
        <f aca="false">IF(Staff!$A149="","",Staff!$AR149)</f>
        <v/>
      </c>
      <c r="X149" s="0" t="str">
        <f aca="false">IF(Staff!$A149="","",Staff!$AS149)</f>
        <v/>
      </c>
    </row>
    <row r="150" customFormat="false" ht="15" hidden="false" customHeight="false" outlineLevel="0" collapsed="false">
      <c r="A150" s="14" t="str">
        <f aca="false">IF(Staff!$A150="","",Staff!$A150)</f>
        <v/>
      </c>
      <c r="B150" s="14" t="str">
        <f aca="false">IF(Staff!$A150="","",Staff!$B150)</f>
        <v/>
      </c>
      <c r="C150" s="14" t="str">
        <f aca="false">IF(Staff!$A150="","",Staff!$C150)</f>
        <v/>
      </c>
      <c r="D150" s="12" t="str">
        <f aca="false">IF(Staff!$A150="","",Staff!$AH150)</f>
        <v/>
      </c>
      <c r="E150" s="14" t="str">
        <f aca="false">IF(Staff!$A150="","",Staff!$O150)</f>
        <v/>
      </c>
      <c r="F150" s="14" t="str">
        <f aca="false">IF(E150="","",E150*HoursPerDay)</f>
        <v/>
      </c>
      <c r="G150" s="14" t="str">
        <f aca="false">IF(Staff!$A150="","",Staff!$AE150)</f>
        <v/>
      </c>
      <c r="H150" s="26" t="str">
        <f aca="false">IF($A150="","",I150&amp;J150&amp;K150&amp;L150&amp;M150&amp;N150&amp;O150&amp;P150&amp;Q150)</f>
        <v/>
      </c>
      <c r="I150" s="0" t="str">
        <f aca="false">IF(OR($A150="",$D150=""),"",IF(AND(EDATE($D150,Milestones!$AA$20)&lt;=AsOfDate,IF($R150=0,$X150,IF(AND($T150&lt;&gt;"",EDATE($D150,Milestones!$AA$20)&gt;=$T150),$W150,IF(AND($S150&lt;&gt;"",EDATE($D150,Milestones!$AA$20)&gt;=$S150),$V150,$U150)))=Milestones!$AB$20),UPPER(TEXT(EDATE($D150,Milestones!$AA$20),"dd mmm yy"))&amp;" "&amp;Milestones!$AB$20&amp;" "&amp;Milestones!$AC$20&amp;";  ","")&amp;IF(AND(EDATE($D150,Milestones!$AA$21)&lt;=AsOfDate,IF($R150=0,$X150,IF(AND($T150&lt;&gt;"",EDATE($D150,Milestones!$AA$21)&gt;=$T150),$W150,IF(AND($S150&lt;&gt;"",EDATE($D150,Milestones!$AA$21)&gt;=$S150),$V150,$U150)))=Milestones!$AB$21),UPPER(TEXT(EDATE($D150,Milestones!$AA$21),"dd mmm yy"))&amp;" "&amp;Milestones!$AB$21&amp;" "&amp;Milestones!$AC$21&amp;";  ","")&amp;IF(AND(EDATE($D150,Milestones!$AA$22)&lt;=AsOfDate,IF($R150=0,$X150,IF(AND($T150&lt;&gt;"",EDATE($D150,Milestones!$AA$22)&gt;=$T150),$W150,IF(AND($S150&lt;&gt;"",EDATE($D150,Milestones!$AA$22)&gt;=$S150),$V150,$U150)))=Milestones!$AB$22),UPPER(TEXT(EDATE($D150,Milestones!$AA$22),"dd mmm yy"))&amp;" "&amp;Milestones!$AB$22&amp;" "&amp;Milestones!$AC$22&amp;";  ","")&amp;IF(AND(EDATE($D150,Milestones!$AA$23)&lt;=AsOfDate,IF($R150=0,$X150,IF(AND($T150&lt;&gt;"",EDATE($D150,Milestones!$AA$23)&gt;=$T150),$W150,IF(AND($S150&lt;&gt;"",EDATE($D150,Milestones!$AA$23)&gt;=$S150),$V150,$U150)))=Milestones!$AB$23),UPPER(TEXT(EDATE($D150,Milestones!$AA$23),"dd mmm yy"))&amp;" "&amp;Milestones!$AB$23&amp;" "&amp;Milestones!$AC$23&amp;";  ","")&amp;IF(AND(EDATE($D150,Milestones!$AA$24)&lt;=AsOfDate,IF($R150=0,$X150,IF(AND($T150&lt;&gt;"",EDATE($D150,Milestones!$AA$24)&gt;=$T150),$W150,IF(AND($S150&lt;&gt;"",EDATE($D150,Milestones!$AA$24)&gt;=$S150),$V150,$U150)))=Milestones!$AB$24),UPPER(TEXT(EDATE($D150,Milestones!$AA$24),"dd mmm yy"))&amp;" "&amp;Milestones!$AB$24&amp;" "&amp;Milestones!$AC$24&amp;";  ","")&amp;IF(AND(EDATE($D150,Milestones!$AA$25)&lt;=AsOfDate,IF($R150=0,$X150,IF(AND($T150&lt;&gt;"",EDATE($D150,Milestones!$AA$25)&gt;=$T150),$W150,IF(AND($S150&lt;&gt;"",EDATE($D150,Milestones!$AA$25)&gt;=$S150),$V150,$U150)))=Milestones!$AB$25),UPPER(TEXT(EDATE($D150,Milestones!$AA$25),"dd mmm yy"))&amp;" "&amp;Milestones!$AB$25&amp;" "&amp;Milestones!$AC$25&amp;";  ","")&amp;IF(AND(EDATE($D150,Milestones!$AA$26)&lt;=AsOfDate,IF($R150=0,$X150,IF(AND($T150&lt;&gt;"",EDATE($D150,Milestones!$AA$26)&gt;=$T150),$W150,IF(AND($S150&lt;&gt;"",EDATE($D150,Milestones!$AA$26)&gt;=$S150),$V150,$U150)))=Milestones!$AB$26),UPPER(TEXT(EDATE($D150,Milestones!$AA$26),"dd mmm yy"))&amp;" "&amp;Milestones!$AB$26&amp;" "&amp;Milestones!$AC$26&amp;";  ","")&amp;IF(AND(EDATE($D150,Milestones!$AA$27)&lt;=AsOfDate,IF($R150=0,$X150,IF(AND($T150&lt;&gt;"",EDATE($D150,Milestones!$AA$27)&gt;=$T150),$W150,IF(AND($S150&lt;&gt;"",EDATE($D150,Milestones!$AA$27)&gt;=$S150),$V150,$U150)))=Milestones!$AB$27),UPPER(TEXT(EDATE($D150,Milestones!$AA$27),"dd mmm yy"))&amp;" "&amp;Milestones!$AB$27&amp;" "&amp;Milestones!$AC$27&amp;";  ","")&amp;IF(AND(EDATE($D150,Milestones!$AA$28)&lt;=AsOfDate,IF($R150=0,$X150,IF(AND($T150&lt;&gt;"",EDATE($D150,Milestones!$AA$28)&gt;=$T150),$W150,IF(AND($S150&lt;&gt;"",EDATE($D150,Milestones!$AA$28)&gt;=$S150),$V150,$U150)))=Milestones!$AB$28),UPPER(TEXT(EDATE($D150,Milestones!$AA$28),"dd mmm yy"))&amp;" "&amp;Milestones!$AB$28&amp;" "&amp;Milestones!$AC$28&amp;";  ","")&amp;IF(AND(EDATE($D150,Milestones!$AA$29)&lt;=AsOfDate,IF($R150=0,$X150,IF(AND($T150&lt;&gt;"",EDATE($D150,Milestones!$AA$29)&gt;=$T150),$W150,IF(AND($S150&lt;&gt;"",EDATE($D150,Milestones!$AA$29)&gt;=$S150),$V150,$U150)))=Milestones!$AB$29),UPPER(TEXT(EDATE($D150,Milestones!$AA$29),"dd mmm yy"))&amp;" "&amp;Milestones!$AB$29&amp;" "&amp;Milestones!$AC$29&amp;";  ","")&amp;IF(AND(EDATE($D150,Milestones!$AA$30)&lt;=AsOfDate,IF($R150=0,$X150,IF(AND($T150&lt;&gt;"",EDATE($D150,Milestones!$AA$30)&gt;=$T150),$W150,IF(AND($S150&lt;&gt;"",EDATE($D150,Milestones!$AA$30)&gt;=$S150),$V150,$U150)))=Milestones!$AB$30),UPPER(TEXT(EDATE($D150,Milestones!$AA$30),"dd mmm yy"))&amp;" "&amp;Milestones!$AB$30&amp;" "&amp;Milestones!$AC$30&amp;";  ","")&amp;IF(AND(EDATE($D150,Milestones!$AA$31)&lt;=AsOfDate,IF($R150=0,$X150,IF(AND($T150&lt;&gt;"",EDATE($D150,Milestones!$AA$31)&gt;=$T150),$W150,IF(AND($S150&lt;&gt;"",EDATE($D150,Milestones!$AA$31)&gt;=$S150),$V150,$U150)))=Milestones!$AB$31),UPPER(TEXT(EDATE($D150,Milestones!$AA$31),"dd mmm yy"))&amp;" "&amp;Milestones!$AB$31&amp;" "&amp;Milestones!$AC$31&amp;";  ","")&amp;IF(AND(EDATE($D150,Milestones!$AA$32)&lt;=AsOfDate,IF($R150=0,$X150,IF(AND($T150&lt;&gt;"",EDATE($D150,Milestones!$AA$32)&gt;=$T150),$W150,IF(AND($S150&lt;&gt;"",EDATE($D150,Milestones!$AA$32)&gt;=$S150),$V150,$U150)))=Milestones!$AB$32),UPPER(TEXT(EDATE($D150,Milestones!$AA$32),"dd mmm yy"))&amp;" "&amp;Milestones!$AB$32&amp;" "&amp;Milestones!$AC$32&amp;";  ","")&amp;IF(AND(EDATE($D150,Milestones!$AA$33)&lt;=AsOfDate,IF($R150=0,$X150,IF(AND($T150&lt;&gt;"",EDATE($D150,Milestones!$AA$33)&gt;=$T150),$W150,IF(AND($S150&lt;&gt;"",EDATE($D150,Milestones!$AA$33)&gt;=$S150),$V150,$U150)))=Milestones!$AB$33),UPPER(TEXT(EDATE($D150,Milestones!$AA$33),"dd mmm yy"))&amp;" "&amp;Milestones!$AB$33&amp;" "&amp;Milestones!$AC$33&amp;";  ","")&amp;IF(AND(EDATE($D150,Milestones!$AA$34)&lt;=AsOfDate,IF($R150=0,$X150,IF(AND($T150&lt;&gt;"",EDATE($D150,Milestones!$AA$34)&gt;=$T150),$W150,IF(AND($S150&lt;&gt;"",EDATE($D150,Milestones!$AA$34)&gt;=$S150),$V150,$U150)))=Milestones!$AB$34),UPPER(TEXT(EDATE($D150,Milestones!$AA$34),"dd mmm yy"))&amp;" "&amp;Milestones!$AB$34&amp;" "&amp;Milestones!$AC$34&amp;";  ","")&amp;IF(AND(EDATE($D150,Milestones!$AA$35)&lt;=AsOfDate,IF($R150=0,$X150,IF(AND($T150&lt;&gt;"",EDATE($D150,Milestones!$AA$35)&gt;=$T150),$W150,IF(AND($S150&lt;&gt;"",EDATE($D150,Milestones!$AA$35)&gt;=$S150),$V150,$U150)))=Milestones!$AB$35),UPPER(TEXT(EDATE($D150,Milestones!$AA$35),"dd mmm yy"))&amp;" "&amp;Milestones!$AB$35&amp;" "&amp;Milestones!$AC$35&amp;";  ","")&amp;IF(AND(EDATE($D150,Milestones!$AA$36)&lt;=AsOfDate,IF($R150=0,$X150,IF(AND($T150&lt;&gt;"",EDATE($D150,Milestones!$AA$36)&gt;=$T150),$W150,IF(AND($S150&lt;&gt;"",EDATE($D150,Milestones!$AA$36)&gt;=$S150),$V150,$U150)))=Milestones!$AB$36),UPPER(TEXT(EDATE($D150,Milestones!$AA$36),"dd mmm yy"))&amp;" "&amp;Milestones!$AB$36&amp;" "&amp;Milestones!$AC$36&amp;";  ","")&amp;IF(AND(EDATE($D150,Milestones!$AA$37)&lt;=AsOfDate,IF($R150=0,$X150,IF(AND($T150&lt;&gt;"",EDATE($D150,Milestones!$AA$37)&gt;=$T150),$W150,IF(AND($S150&lt;&gt;"",EDATE($D150,Milestones!$AA$37)&gt;=$S150),$V150,$U150)))=Milestones!$AB$37),UPPER(TEXT(EDATE($D150,Milestones!$AA$37),"dd mmm yy"))&amp;" "&amp;Milestones!$AB$37&amp;" "&amp;Milestones!$AC$37&amp;";  ","")&amp;IF(AND(EDATE($D150,Milestones!$AA$38)&lt;=AsOfDate,IF($R150=0,$X150,IF(AND($T150&lt;&gt;"",EDATE($D150,Milestones!$AA$38)&gt;=$T150),$W150,IF(AND($S150&lt;&gt;"",EDATE($D150,Milestones!$AA$38)&gt;=$S150),$V150,$U150)))=Milestones!$AB$38),UPPER(TEXT(EDATE($D150,Milestones!$AA$38),"dd mmm yy"))&amp;" "&amp;Milestones!$AB$38&amp;" "&amp;Milestones!$AC$38&amp;";  ","")&amp;IF(AND(EDATE($D150,Milestones!$AA$39)&lt;=AsOfDate,IF($R150=0,$X150,IF(AND($T150&lt;&gt;"",EDATE($D150,Milestones!$AA$39)&gt;=$T150),$W150,IF(AND($S150&lt;&gt;"",EDATE($D150,Milestones!$AA$39)&gt;=$S150),$V150,$U150)))=Milestones!$AB$39),UPPER(TEXT(EDATE($D150,Milestones!$AA$39),"dd mmm yy"))&amp;" "&amp;Milestones!$AB$39&amp;" "&amp;Milestones!$AC$39&amp;";  ",""))</f>
        <v/>
      </c>
      <c r="J150" s="0" t="str">
        <f aca="false">IF(OR($A150="",$D150=""),"",IF(AND(EDATE($D150,Milestones!$AA$40)&lt;=AsOfDate,IF($R150=0,$X150,IF(AND($T150&lt;&gt;"",EDATE($D150,Milestones!$AA$40)&gt;=$T150),$W150,IF(AND($S150&lt;&gt;"",EDATE($D150,Milestones!$AA$40)&gt;=$S150),$V150,$U150)))=Milestones!$AB$40),UPPER(TEXT(EDATE($D150,Milestones!$AA$40),"dd mmm yy"))&amp;" "&amp;Milestones!$AB$40&amp;" "&amp;Milestones!$AC$40&amp;";  ","")&amp;IF(AND(EDATE($D150,Milestones!$AA$41)&lt;=AsOfDate,IF($R150=0,$X150,IF(AND($T150&lt;&gt;"",EDATE($D150,Milestones!$AA$41)&gt;=$T150),$W150,IF(AND($S150&lt;&gt;"",EDATE($D150,Milestones!$AA$41)&gt;=$S150),$V150,$U150)))=Milestones!$AB$41),UPPER(TEXT(EDATE($D150,Milestones!$AA$41),"dd mmm yy"))&amp;" "&amp;Milestones!$AB$41&amp;" "&amp;Milestones!$AC$41&amp;";  ","")&amp;IF(AND(EDATE($D150,Milestones!$AA$42)&lt;=AsOfDate,IF($R150=0,$X150,IF(AND($T150&lt;&gt;"",EDATE($D150,Milestones!$AA$42)&gt;=$T150),$W150,IF(AND($S150&lt;&gt;"",EDATE($D150,Milestones!$AA$42)&gt;=$S150),$V150,$U150)))=Milestones!$AB$42),UPPER(TEXT(EDATE($D150,Milestones!$AA$42),"dd mmm yy"))&amp;" "&amp;Milestones!$AB$42&amp;" "&amp;Milestones!$AC$42&amp;";  ","")&amp;IF(AND(EDATE($D150,Milestones!$AA$43)&lt;=AsOfDate,IF($R150=0,$X150,IF(AND($T150&lt;&gt;"",EDATE($D150,Milestones!$AA$43)&gt;=$T150),$W150,IF(AND($S150&lt;&gt;"",EDATE($D150,Milestones!$AA$43)&gt;=$S150),$V150,$U150)))=Milestones!$AB$43),UPPER(TEXT(EDATE($D150,Milestones!$AA$43),"dd mmm yy"))&amp;" "&amp;Milestones!$AB$43&amp;" "&amp;Milestones!$AC$43&amp;";  ","")&amp;IF(AND(EDATE($D150,Milestones!$AA$44)&lt;=AsOfDate,IF($R150=0,$X150,IF(AND($T150&lt;&gt;"",EDATE($D150,Milestones!$AA$44)&gt;=$T150),$W150,IF(AND($S150&lt;&gt;"",EDATE($D150,Milestones!$AA$44)&gt;=$S150),$V150,$U150)))=Milestones!$AB$44),UPPER(TEXT(EDATE($D150,Milestones!$AA$44),"dd mmm yy"))&amp;" "&amp;Milestones!$AB$44&amp;" "&amp;Milestones!$AC$44&amp;";  ","")&amp;IF(AND(EDATE($D150,Milestones!$AA$45)&lt;=AsOfDate,IF($R150=0,$X150,IF(AND($T150&lt;&gt;"",EDATE($D150,Milestones!$AA$45)&gt;=$T150),$W150,IF(AND($S150&lt;&gt;"",EDATE($D150,Milestones!$AA$45)&gt;=$S150),$V150,$U150)))=Milestones!$AB$45),UPPER(TEXT(EDATE($D150,Milestones!$AA$45),"dd mmm yy"))&amp;" "&amp;Milestones!$AB$45&amp;" "&amp;Milestones!$AC$45&amp;";  ","")&amp;IF(AND(EDATE($D150,Milestones!$AA$46)&lt;=AsOfDate,IF($R150=0,$X150,IF(AND($T150&lt;&gt;"",EDATE($D150,Milestones!$AA$46)&gt;=$T150),$W150,IF(AND($S150&lt;&gt;"",EDATE($D150,Milestones!$AA$46)&gt;=$S150),$V150,$U150)))=Milestones!$AB$46),UPPER(TEXT(EDATE($D150,Milestones!$AA$46),"dd mmm yy"))&amp;" "&amp;Milestones!$AB$46&amp;" "&amp;Milestones!$AC$46&amp;";  ","")&amp;IF(AND(EDATE($D150,Milestones!$AA$47)&lt;=AsOfDate,IF($R150=0,$X150,IF(AND($T150&lt;&gt;"",EDATE($D150,Milestones!$AA$47)&gt;=$T150),$W150,IF(AND($S150&lt;&gt;"",EDATE($D150,Milestones!$AA$47)&gt;=$S150),$V150,$U150)))=Milestones!$AB$47),UPPER(TEXT(EDATE($D150,Milestones!$AA$47),"dd mmm yy"))&amp;" "&amp;Milestones!$AB$47&amp;" "&amp;Milestones!$AC$47&amp;";  ","")&amp;IF(AND(EDATE($D150,Milestones!$AA$48)&lt;=AsOfDate,IF($R150=0,$X150,IF(AND($T150&lt;&gt;"",EDATE($D150,Milestones!$AA$48)&gt;=$T150),$W150,IF(AND($S150&lt;&gt;"",EDATE($D150,Milestones!$AA$48)&gt;=$S150),$V150,$U150)))=Milestones!$AB$48),UPPER(TEXT(EDATE($D150,Milestones!$AA$48),"dd mmm yy"))&amp;" "&amp;Milestones!$AB$48&amp;" "&amp;Milestones!$AC$48&amp;";  ","")&amp;IF(AND(EDATE($D150,Milestones!$AA$49)&lt;=AsOfDate,IF($R150=0,$X150,IF(AND($T150&lt;&gt;"",EDATE($D150,Milestones!$AA$49)&gt;=$T150),$W150,IF(AND($S150&lt;&gt;"",EDATE($D150,Milestones!$AA$49)&gt;=$S150),$V150,$U150)))=Milestones!$AB$49),UPPER(TEXT(EDATE($D150,Milestones!$AA$49),"dd mmm yy"))&amp;" "&amp;Milestones!$AB$49&amp;" "&amp;Milestones!$AC$49&amp;";  ","")&amp;IF(AND(EDATE($D150,Milestones!$AA$50)&lt;=AsOfDate,IF($R150=0,$X150,IF(AND($T150&lt;&gt;"",EDATE($D150,Milestones!$AA$50)&gt;=$T150),$W150,IF(AND($S150&lt;&gt;"",EDATE($D150,Milestones!$AA$50)&gt;=$S150),$V150,$U150)))=Milestones!$AB$50),UPPER(TEXT(EDATE($D150,Milestones!$AA$50),"dd mmm yy"))&amp;" "&amp;Milestones!$AB$50&amp;" "&amp;Milestones!$AC$50&amp;";  ","")&amp;IF(AND(EDATE($D150,Milestones!$AA$51)&lt;=AsOfDate,IF($R150=0,$X150,IF(AND($T150&lt;&gt;"",EDATE($D150,Milestones!$AA$51)&gt;=$T150),$W150,IF(AND($S150&lt;&gt;"",EDATE($D150,Milestones!$AA$51)&gt;=$S150),$V150,$U150)))=Milestones!$AB$51),UPPER(TEXT(EDATE($D150,Milestones!$AA$51),"dd mmm yy"))&amp;" "&amp;Milestones!$AB$51&amp;" "&amp;Milestones!$AC$51&amp;";  ","")&amp;IF(AND(EDATE($D150,Milestones!$AA$52)&lt;=AsOfDate,IF($R150=0,$X150,IF(AND($T150&lt;&gt;"",EDATE($D150,Milestones!$AA$52)&gt;=$T150),$W150,IF(AND($S150&lt;&gt;"",EDATE($D150,Milestones!$AA$52)&gt;=$S150),$V150,$U150)))=Milestones!$AB$52),UPPER(TEXT(EDATE($D150,Milestones!$AA$52),"dd mmm yy"))&amp;" "&amp;Milestones!$AB$52&amp;" "&amp;Milestones!$AC$52&amp;";  ","")&amp;IF(AND(EDATE($D150,Milestones!$AA$53)&lt;=AsOfDate,IF($R150=0,$X150,IF(AND($T150&lt;&gt;"",EDATE($D150,Milestones!$AA$53)&gt;=$T150),$W150,IF(AND($S150&lt;&gt;"",EDATE($D150,Milestones!$AA$53)&gt;=$S150),$V150,$U150)))=Milestones!$AB$53),UPPER(TEXT(EDATE($D150,Milestones!$AA$53),"dd mmm yy"))&amp;" "&amp;Milestones!$AB$53&amp;" "&amp;Milestones!$AC$53&amp;";  ","")&amp;IF(AND(EDATE($D150,Milestones!$AA$54)&lt;=AsOfDate,IF($R150=0,$X150,IF(AND($T150&lt;&gt;"",EDATE($D150,Milestones!$AA$54)&gt;=$T150),$W150,IF(AND($S150&lt;&gt;"",EDATE($D150,Milestones!$AA$54)&gt;=$S150),$V150,$U150)))=Milestones!$AB$54),UPPER(TEXT(EDATE($D150,Milestones!$AA$54),"dd mmm yy"))&amp;" "&amp;Milestones!$AB$54&amp;" "&amp;Milestones!$AC$54&amp;";  ","")&amp;IF(AND(EDATE($D150,Milestones!$AA$55)&lt;=AsOfDate,IF($R150=0,$X150,IF(AND($T150&lt;&gt;"",EDATE($D150,Milestones!$AA$55)&gt;=$T150),$W150,IF(AND($S150&lt;&gt;"",EDATE($D150,Milestones!$AA$55)&gt;=$S150),$V150,$U150)))=Milestones!$AB$55),UPPER(TEXT(EDATE($D150,Milestones!$AA$55),"dd mmm yy"))&amp;" "&amp;Milestones!$AB$55&amp;" "&amp;Milestones!$AC$55&amp;";  ","")&amp;IF(AND(EDATE($D150,Milestones!$AA$56)&lt;=AsOfDate,IF($R150=0,$X150,IF(AND($T150&lt;&gt;"",EDATE($D150,Milestones!$AA$56)&gt;=$T150),$W150,IF(AND($S150&lt;&gt;"",EDATE($D150,Milestones!$AA$56)&gt;=$S150),$V150,$U150)))=Milestones!$AB$56),UPPER(TEXT(EDATE($D150,Milestones!$AA$56),"dd mmm yy"))&amp;" "&amp;Milestones!$AB$56&amp;" "&amp;Milestones!$AC$56&amp;";  ","")&amp;IF(AND(EDATE($D150,Milestones!$AA$57)&lt;=AsOfDate,IF($R150=0,$X150,IF(AND($T150&lt;&gt;"",EDATE($D150,Milestones!$AA$57)&gt;=$T150),$W150,IF(AND($S150&lt;&gt;"",EDATE($D150,Milestones!$AA$57)&gt;=$S150),$V150,$U150)))=Milestones!$AB$57),UPPER(TEXT(EDATE($D150,Milestones!$AA$57),"dd mmm yy"))&amp;" "&amp;Milestones!$AB$57&amp;" "&amp;Milestones!$AC$57&amp;";  ","")&amp;IF(AND(EDATE($D150,Milestones!$AA$58)&lt;=AsOfDate,IF($R150=0,$X150,IF(AND($T150&lt;&gt;"",EDATE($D150,Milestones!$AA$58)&gt;=$T150),$W150,IF(AND($S150&lt;&gt;"",EDATE($D150,Milestones!$AA$58)&gt;=$S150),$V150,$U150)))=Milestones!$AB$58),UPPER(TEXT(EDATE($D150,Milestones!$AA$58),"dd mmm yy"))&amp;" "&amp;Milestones!$AB$58&amp;" "&amp;Milestones!$AC$58&amp;";  ","")&amp;IF(AND(EDATE($D150,Milestones!$AA$59)&lt;=AsOfDate,IF($R150=0,$X150,IF(AND($T150&lt;&gt;"",EDATE($D150,Milestones!$AA$59)&gt;=$T150),$W150,IF(AND($S150&lt;&gt;"",EDATE($D150,Milestones!$AA$59)&gt;=$S150),$V150,$U150)))=Milestones!$AB$59),UPPER(TEXT(EDATE($D150,Milestones!$AA$59),"dd mmm yy"))&amp;" "&amp;Milestones!$AB$59&amp;" "&amp;Milestones!$AC$59&amp;";  ",""))</f>
        <v/>
      </c>
      <c r="K150" s="0" t="str">
        <f aca="false">IF(OR($A150="",$D150=""),"",IF(AND(EDATE($D150,Milestones!$AA$60)&lt;=AsOfDate,IF($R150=0,$X150,IF(AND($T150&lt;&gt;"",EDATE($D150,Milestones!$AA$60)&gt;=$T150),$W150,IF(AND($S150&lt;&gt;"",EDATE($D150,Milestones!$AA$60)&gt;=$S150),$V150,$U150)))=Milestones!$AB$60),UPPER(TEXT(EDATE($D150,Milestones!$AA$60),"dd mmm yy"))&amp;" "&amp;Milestones!$AB$60&amp;" "&amp;Milestones!$AC$60&amp;";  ","")&amp;IF(AND(EDATE($D150,Milestones!$AA$61)&lt;=AsOfDate,IF($R150=0,$X150,IF(AND($T150&lt;&gt;"",EDATE($D150,Milestones!$AA$61)&gt;=$T150),$W150,IF(AND($S150&lt;&gt;"",EDATE($D150,Milestones!$AA$61)&gt;=$S150),$V150,$U150)))=Milestones!$AB$61),UPPER(TEXT(EDATE($D150,Milestones!$AA$61),"dd mmm yy"))&amp;" "&amp;Milestones!$AB$61&amp;" "&amp;Milestones!$AC$61&amp;";  ","")&amp;IF(AND(EDATE($D150,Milestones!$AA$62)&lt;=AsOfDate,IF($R150=0,$X150,IF(AND($T150&lt;&gt;"",EDATE($D150,Milestones!$AA$62)&gt;=$T150),$W150,IF(AND($S150&lt;&gt;"",EDATE($D150,Milestones!$AA$62)&gt;=$S150),$V150,$U150)))=Milestones!$AB$62),UPPER(TEXT(EDATE($D150,Milestones!$AA$62),"dd mmm yy"))&amp;" "&amp;Milestones!$AB$62&amp;" "&amp;Milestones!$AC$62&amp;";  ","")&amp;IF(AND(EDATE($D150,Milestones!$AA$63)&lt;=AsOfDate,IF($R150=0,$X150,IF(AND($T150&lt;&gt;"",EDATE($D150,Milestones!$AA$63)&gt;=$T150),$W150,IF(AND($S150&lt;&gt;"",EDATE($D150,Milestones!$AA$63)&gt;=$S150),$V150,$U150)))=Milestones!$AB$63),UPPER(TEXT(EDATE($D150,Milestones!$AA$63),"dd mmm yy"))&amp;" "&amp;Milestones!$AB$63&amp;" "&amp;Milestones!$AC$63&amp;";  ","")&amp;IF(AND(EDATE($D150,Milestones!$AA$64)&lt;=AsOfDate,IF($R150=0,$X150,IF(AND($T150&lt;&gt;"",EDATE($D150,Milestones!$AA$64)&gt;=$T150),$W150,IF(AND($S150&lt;&gt;"",EDATE($D150,Milestones!$AA$64)&gt;=$S150),$V150,$U150)))=Milestones!$AB$64),UPPER(TEXT(EDATE($D150,Milestones!$AA$64),"dd mmm yy"))&amp;" "&amp;Milestones!$AB$64&amp;" "&amp;Milestones!$AC$64&amp;";  ","")&amp;IF(AND(EDATE($D150,Milestones!$AA$65)&lt;=AsOfDate,IF($R150=0,$X150,IF(AND($T150&lt;&gt;"",EDATE($D150,Milestones!$AA$65)&gt;=$T150),$W150,IF(AND($S150&lt;&gt;"",EDATE($D150,Milestones!$AA$65)&gt;=$S150),$V150,$U150)))=Milestones!$AB$65),UPPER(TEXT(EDATE($D150,Milestones!$AA$65),"dd mmm yy"))&amp;" "&amp;Milestones!$AB$65&amp;" "&amp;Milestones!$AC$65&amp;";  ","")&amp;IF(AND(EDATE($D150,Milestones!$AA$66)&lt;=AsOfDate,IF($R150=0,$X150,IF(AND($T150&lt;&gt;"",EDATE($D150,Milestones!$AA$66)&gt;=$T150),$W150,IF(AND($S150&lt;&gt;"",EDATE($D150,Milestones!$AA$66)&gt;=$S150),$V150,$U150)))=Milestones!$AB$66),UPPER(TEXT(EDATE($D150,Milestones!$AA$66),"dd mmm yy"))&amp;" "&amp;Milestones!$AB$66&amp;" "&amp;Milestones!$AC$66&amp;";  ","")&amp;IF(AND(EDATE($D150,Milestones!$AA$67)&lt;=AsOfDate,IF($R150=0,$X150,IF(AND($T150&lt;&gt;"",EDATE($D150,Milestones!$AA$67)&gt;=$T150),$W150,IF(AND($S150&lt;&gt;"",EDATE($D150,Milestones!$AA$67)&gt;=$S150),$V150,$U150)))=Milestones!$AB$67),UPPER(TEXT(EDATE($D150,Milestones!$AA$67),"dd mmm yy"))&amp;" "&amp;Milestones!$AB$67&amp;" "&amp;Milestones!$AC$67&amp;";  ","")&amp;IF(AND(EDATE($D150,Milestones!$AA$68)&lt;=AsOfDate,IF($R150=0,$X150,IF(AND($T150&lt;&gt;"",EDATE($D150,Milestones!$AA$68)&gt;=$T150),$W150,IF(AND($S150&lt;&gt;"",EDATE($D150,Milestones!$AA$68)&gt;=$S150),$V150,$U150)))=Milestones!$AB$68),UPPER(TEXT(EDATE($D150,Milestones!$AA$68),"dd mmm yy"))&amp;" "&amp;Milestones!$AB$68&amp;" "&amp;Milestones!$AC$68&amp;";  ","")&amp;IF(AND(EDATE($D150,Milestones!$AA$69)&lt;=AsOfDate,IF($R150=0,$X150,IF(AND($T150&lt;&gt;"",EDATE($D150,Milestones!$AA$69)&gt;=$T150),$W150,IF(AND($S150&lt;&gt;"",EDATE($D150,Milestones!$AA$69)&gt;=$S150),$V150,$U150)))=Milestones!$AB$69),UPPER(TEXT(EDATE($D150,Milestones!$AA$69),"dd mmm yy"))&amp;" "&amp;Milestones!$AB$69&amp;" "&amp;Milestones!$AC$69&amp;";  ","")&amp;IF(AND(EDATE($D150,Milestones!$AA$70)&lt;=AsOfDate,IF($R150=0,$X150,IF(AND($T150&lt;&gt;"",EDATE($D150,Milestones!$AA$70)&gt;=$T150),$W150,IF(AND($S150&lt;&gt;"",EDATE($D150,Milestones!$AA$70)&gt;=$S150),$V150,$U150)))=Milestones!$AB$70),UPPER(TEXT(EDATE($D150,Milestones!$AA$70),"dd mmm yy"))&amp;" "&amp;Milestones!$AB$70&amp;" "&amp;Milestones!$AC$70&amp;";  ","")&amp;IF(AND(EDATE($D150,Milestones!$AA$71)&lt;=AsOfDate,IF($R150=0,$X150,IF(AND($T150&lt;&gt;"",EDATE($D150,Milestones!$AA$71)&gt;=$T150),$W150,IF(AND($S150&lt;&gt;"",EDATE($D150,Milestones!$AA$71)&gt;=$S150),$V150,$U150)))=Milestones!$AB$71),UPPER(TEXT(EDATE($D150,Milestones!$AA$71),"dd mmm yy"))&amp;" "&amp;Milestones!$AB$71&amp;" "&amp;Milestones!$AC$71&amp;";  ","")&amp;IF(AND(EDATE($D150,Milestones!$AA$72)&lt;=AsOfDate,IF($R150=0,$X150,IF(AND($T150&lt;&gt;"",EDATE($D150,Milestones!$AA$72)&gt;=$T150),$W150,IF(AND($S150&lt;&gt;"",EDATE($D150,Milestones!$AA$72)&gt;=$S150),$V150,$U150)))=Milestones!$AB$72),UPPER(TEXT(EDATE($D150,Milestones!$AA$72),"dd mmm yy"))&amp;" "&amp;Milestones!$AB$72&amp;" "&amp;Milestones!$AC$72&amp;";  ","")&amp;IF(AND(EDATE($D150,Milestones!$AA$73)&lt;=AsOfDate,IF($R150=0,$X150,IF(AND($T150&lt;&gt;"",EDATE($D150,Milestones!$AA$73)&gt;=$T150),$W150,IF(AND($S150&lt;&gt;"",EDATE($D150,Milestones!$AA$73)&gt;=$S150),$V150,$U150)))=Milestones!$AB$73),UPPER(TEXT(EDATE($D150,Milestones!$AA$73),"dd mmm yy"))&amp;" "&amp;Milestones!$AB$73&amp;" "&amp;Milestones!$AC$73&amp;";  ","")&amp;IF(AND(EDATE($D150,Milestones!$AA$74)&lt;=AsOfDate,IF($R150=0,$X150,IF(AND($T150&lt;&gt;"",EDATE($D150,Milestones!$AA$74)&gt;=$T150),$W150,IF(AND($S150&lt;&gt;"",EDATE($D150,Milestones!$AA$74)&gt;=$S150),$V150,$U150)))=Milestones!$AB$74),UPPER(TEXT(EDATE($D150,Milestones!$AA$74),"dd mmm yy"))&amp;" "&amp;Milestones!$AB$74&amp;" "&amp;Milestones!$AC$74&amp;";  ","")&amp;IF(AND(EDATE($D150,Milestones!$AA$75)&lt;=AsOfDate,IF($R150=0,$X150,IF(AND($T150&lt;&gt;"",EDATE($D150,Milestones!$AA$75)&gt;=$T150),$W150,IF(AND($S150&lt;&gt;"",EDATE($D150,Milestones!$AA$75)&gt;=$S150),$V150,$U150)))=Milestones!$AB$75),UPPER(TEXT(EDATE($D150,Milestones!$AA$75),"dd mmm yy"))&amp;" "&amp;Milestones!$AB$75&amp;" "&amp;Milestones!$AC$75&amp;";  ","")&amp;IF(AND(EDATE($D150,Milestones!$AA$76)&lt;=AsOfDate,IF($R150=0,$X150,IF(AND($T150&lt;&gt;"",EDATE($D150,Milestones!$AA$76)&gt;=$T150),$W150,IF(AND($S150&lt;&gt;"",EDATE($D150,Milestones!$AA$76)&gt;=$S150),$V150,$U150)))=Milestones!$AB$76),UPPER(TEXT(EDATE($D150,Milestones!$AA$76),"dd mmm yy"))&amp;" "&amp;Milestones!$AB$76&amp;" "&amp;Milestones!$AC$76&amp;";  ","")&amp;IF(AND(EDATE($D150,Milestones!$AA$77)&lt;=AsOfDate,IF($R150=0,$X150,IF(AND($T150&lt;&gt;"",EDATE($D150,Milestones!$AA$77)&gt;=$T150),$W150,IF(AND($S150&lt;&gt;"",EDATE($D150,Milestones!$AA$77)&gt;=$S150),$V150,$U150)))=Milestones!$AB$77),UPPER(TEXT(EDATE($D150,Milestones!$AA$77),"dd mmm yy"))&amp;" "&amp;Milestones!$AB$77&amp;" "&amp;Milestones!$AC$77&amp;";  ","")&amp;IF(AND(EDATE($D150,Milestones!$AA$78)&lt;=AsOfDate,IF($R150=0,$X150,IF(AND($T150&lt;&gt;"",EDATE($D150,Milestones!$AA$78)&gt;=$T150),$W150,IF(AND($S150&lt;&gt;"",EDATE($D150,Milestones!$AA$78)&gt;=$S150),$V150,$U150)))=Milestones!$AB$78),UPPER(TEXT(EDATE($D150,Milestones!$AA$78),"dd mmm yy"))&amp;" "&amp;Milestones!$AB$78&amp;" "&amp;Milestones!$AC$78&amp;";  ","")&amp;IF(AND(EDATE($D150,Milestones!$AA$79)&lt;=AsOfDate,IF($R150=0,$X150,IF(AND($T150&lt;&gt;"",EDATE($D150,Milestones!$AA$79)&gt;=$T150),$W150,IF(AND($S150&lt;&gt;"",EDATE($D150,Milestones!$AA$79)&gt;=$S150),$V150,$U150)))=Milestones!$AB$79),UPPER(TEXT(EDATE($D150,Milestones!$AA$79),"dd mmm yy"))&amp;" "&amp;Milestones!$AB$79&amp;" "&amp;Milestones!$AC$79&amp;";  ",""))</f>
        <v/>
      </c>
      <c r="L150" s="0" t="str">
        <f aca="false">IF(OR($A150="",$D150=""),"",IF(AND(EDATE($D150,Milestones!$AA$80)&lt;=AsOfDate,IF($R150=0,$X150,IF(AND($T150&lt;&gt;"",EDATE($D150,Milestones!$AA$80)&gt;=$T150),$W150,IF(AND($S150&lt;&gt;"",EDATE($D150,Milestones!$AA$80)&gt;=$S150),$V150,$U150)))=Milestones!$AB$80),UPPER(TEXT(EDATE($D150,Milestones!$AA$80),"dd mmm yy"))&amp;" "&amp;Milestones!$AB$80&amp;" "&amp;Milestones!$AC$80&amp;";  ","")&amp;IF(AND(EDATE($D150,Milestones!$AA$81)&lt;=AsOfDate,IF($R150=0,$X150,IF(AND($T150&lt;&gt;"",EDATE($D150,Milestones!$AA$81)&gt;=$T150),$W150,IF(AND($S150&lt;&gt;"",EDATE($D150,Milestones!$AA$81)&gt;=$S150),$V150,$U150)))=Milestones!$AB$81),UPPER(TEXT(EDATE($D150,Milestones!$AA$81),"dd mmm yy"))&amp;" "&amp;Milestones!$AB$81&amp;" "&amp;Milestones!$AC$81&amp;";  ","")&amp;IF(AND(EDATE($D150,Milestones!$AA$82)&lt;=AsOfDate,IF($R150=0,$X150,IF(AND($T150&lt;&gt;"",EDATE($D150,Milestones!$AA$82)&gt;=$T150),$W150,IF(AND($S150&lt;&gt;"",EDATE($D150,Milestones!$AA$82)&gt;=$S150),$V150,$U150)))=Milestones!$AB$82),UPPER(TEXT(EDATE($D150,Milestones!$AA$82),"dd mmm yy"))&amp;" "&amp;Milestones!$AB$82&amp;" "&amp;Milestones!$AC$82&amp;";  ","")&amp;IF(AND(EDATE($D150,Milestones!$AA$83)&lt;=AsOfDate,IF($R150=0,$X150,IF(AND($T150&lt;&gt;"",EDATE($D150,Milestones!$AA$83)&gt;=$T150),$W150,IF(AND($S150&lt;&gt;"",EDATE($D150,Milestones!$AA$83)&gt;=$S150),$V150,$U150)))=Milestones!$AB$83),UPPER(TEXT(EDATE($D150,Milestones!$AA$83),"dd mmm yy"))&amp;" "&amp;Milestones!$AB$83&amp;" "&amp;Milestones!$AC$83&amp;";  ","")&amp;IF(AND(EDATE($D150,Milestones!$AA$84)&lt;=AsOfDate,IF($R150=0,$X150,IF(AND($T150&lt;&gt;"",EDATE($D150,Milestones!$AA$84)&gt;=$T150),$W150,IF(AND($S150&lt;&gt;"",EDATE($D150,Milestones!$AA$84)&gt;=$S150),$V150,$U150)))=Milestones!$AB$84),UPPER(TEXT(EDATE($D150,Milestones!$AA$84),"dd mmm yy"))&amp;" "&amp;Milestones!$AB$84&amp;" "&amp;Milestones!$AC$84&amp;";  ","")&amp;IF(AND(EDATE($D150,Milestones!$AA$85)&lt;=AsOfDate,IF($R150=0,$X150,IF(AND($T150&lt;&gt;"",EDATE($D150,Milestones!$AA$85)&gt;=$T150),$W150,IF(AND($S150&lt;&gt;"",EDATE($D150,Milestones!$AA$85)&gt;=$S150),$V150,$U150)))=Milestones!$AB$85),UPPER(TEXT(EDATE($D150,Milestones!$AA$85),"dd mmm yy"))&amp;" "&amp;Milestones!$AB$85&amp;" "&amp;Milestones!$AC$85&amp;";  ","")&amp;IF(AND(EDATE($D150,Milestones!$AA$86)&lt;=AsOfDate,IF($R150=0,$X150,IF(AND($T150&lt;&gt;"",EDATE($D150,Milestones!$AA$86)&gt;=$T150),$W150,IF(AND($S150&lt;&gt;"",EDATE($D150,Milestones!$AA$86)&gt;=$S150),$V150,$U150)))=Milestones!$AB$86),UPPER(TEXT(EDATE($D150,Milestones!$AA$86),"dd mmm yy"))&amp;" "&amp;Milestones!$AB$86&amp;" "&amp;Milestones!$AC$86&amp;";  ","")&amp;IF(AND(EDATE($D150,Milestones!$AA$87)&lt;=AsOfDate,IF($R150=0,$X150,IF(AND($T150&lt;&gt;"",EDATE($D150,Milestones!$AA$87)&gt;=$T150),$W150,IF(AND($S150&lt;&gt;"",EDATE($D150,Milestones!$AA$87)&gt;=$S150),$V150,$U150)))=Milestones!$AB$87),UPPER(TEXT(EDATE($D150,Milestones!$AA$87),"dd mmm yy"))&amp;" "&amp;Milestones!$AB$87&amp;" "&amp;Milestones!$AC$87&amp;";  ","")&amp;IF(AND(EDATE($D150,Milestones!$AA$88)&lt;=AsOfDate,IF($R150=0,$X150,IF(AND($T150&lt;&gt;"",EDATE($D150,Milestones!$AA$88)&gt;=$T150),$W150,IF(AND($S150&lt;&gt;"",EDATE($D150,Milestones!$AA$88)&gt;=$S150),$V150,$U150)))=Milestones!$AB$88),UPPER(TEXT(EDATE($D150,Milestones!$AA$88),"dd mmm yy"))&amp;" "&amp;Milestones!$AB$88&amp;" "&amp;Milestones!$AC$88&amp;";  ","")&amp;IF(AND(EDATE($D150,Milestones!$AA$89)&lt;=AsOfDate,IF($R150=0,$X150,IF(AND($T150&lt;&gt;"",EDATE($D150,Milestones!$AA$89)&gt;=$T150),$W150,IF(AND($S150&lt;&gt;"",EDATE($D150,Milestones!$AA$89)&gt;=$S150),$V150,$U150)))=Milestones!$AB$89),UPPER(TEXT(EDATE($D150,Milestones!$AA$89),"dd mmm yy"))&amp;" "&amp;Milestones!$AB$89&amp;" "&amp;Milestones!$AC$89&amp;";  ","")&amp;IF(AND(EDATE($D150,Milestones!$AA$90)&lt;=AsOfDate,IF($R150=0,$X150,IF(AND($T150&lt;&gt;"",EDATE($D150,Milestones!$AA$90)&gt;=$T150),$W150,IF(AND($S150&lt;&gt;"",EDATE($D150,Milestones!$AA$90)&gt;=$S150),$V150,$U150)))=Milestones!$AB$90),UPPER(TEXT(EDATE($D150,Milestones!$AA$90),"dd mmm yy"))&amp;" "&amp;Milestones!$AB$90&amp;" "&amp;Milestones!$AC$90&amp;";  ","")&amp;IF(AND(EDATE($D150,Milestones!$AA$91)&lt;=AsOfDate,IF($R150=0,$X150,IF(AND($T150&lt;&gt;"",EDATE($D150,Milestones!$AA$91)&gt;=$T150),$W150,IF(AND($S150&lt;&gt;"",EDATE($D150,Milestones!$AA$91)&gt;=$S150),$V150,$U150)))=Milestones!$AB$91),UPPER(TEXT(EDATE($D150,Milestones!$AA$91),"dd mmm yy"))&amp;" "&amp;Milestones!$AB$91&amp;" "&amp;Milestones!$AC$91&amp;";  ","")&amp;IF(AND(EDATE($D150,Milestones!$AA$92)&lt;=AsOfDate,IF($R150=0,$X150,IF(AND($T150&lt;&gt;"",EDATE($D150,Milestones!$AA$92)&gt;=$T150),$W150,IF(AND($S150&lt;&gt;"",EDATE($D150,Milestones!$AA$92)&gt;=$S150),$V150,$U150)))=Milestones!$AB$92),UPPER(TEXT(EDATE($D150,Milestones!$AA$92),"dd mmm yy"))&amp;" "&amp;Milestones!$AB$92&amp;" "&amp;Milestones!$AC$92&amp;";  ","")&amp;IF(AND(EDATE($D150,Milestones!$AA$93)&lt;=AsOfDate,IF($R150=0,$X150,IF(AND($T150&lt;&gt;"",EDATE($D150,Milestones!$AA$93)&gt;=$T150),$W150,IF(AND($S150&lt;&gt;"",EDATE($D150,Milestones!$AA$93)&gt;=$S150),$V150,$U150)))=Milestones!$AB$93),UPPER(TEXT(EDATE($D150,Milestones!$AA$93),"dd mmm yy"))&amp;" "&amp;Milestones!$AB$93&amp;" "&amp;Milestones!$AC$93&amp;";  ","")&amp;IF(AND(EDATE($D150,Milestones!$AA$94)&lt;=AsOfDate,IF($R150=0,$X150,IF(AND($T150&lt;&gt;"",EDATE($D150,Milestones!$AA$94)&gt;=$T150),$W150,IF(AND($S150&lt;&gt;"",EDATE($D150,Milestones!$AA$94)&gt;=$S150),$V150,$U150)))=Milestones!$AB$94),UPPER(TEXT(EDATE($D150,Milestones!$AA$94),"dd mmm yy"))&amp;" "&amp;Milestones!$AB$94&amp;" "&amp;Milestones!$AC$94&amp;";  ","")&amp;IF(AND(EDATE($D150,Milestones!$AA$95)&lt;=AsOfDate,IF($R150=0,$X150,IF(AND($T150&lt;&gt;"",EDATE($D150,Milestones!$AA$95)&gt;=$T150),$W150,IF(AND($S150&lt;&gt;"",EDATE($D150,Milestones!$AA$95)&gt;=$S150),$V150,$U150)))=Milestones!$AB$95),UPPER(TEXT(EDATE($D150,Milestones!$AA$95),"dd mmm yy"))&amp;" "&amp;Milestones!$AB$95&amp;" "&amp;Milestones!$AC$95&amp;";  ","")&amp;IF(AND(EDATE($D150,Milestones!$AA$96)&lt;=AsOfDate,IF($R150=0,$X150,IF(AND($T150&lt;&gt;"",EDATE($D150,Milestones!$AA$96)&gt;=$T150),$W150,IF(AND($S150&lt;&gt;"",EDATE($D150,Milestones!$AA$96)&gt;=$S150),$V150,$U150)))=Milestones!$AB$96),UPPER(TEXT(EDATE($D150,Milestones!$AA$96),"dd mmm yy"))&amp;" "&amp;Milestones!$AB$96&amp;" "&amp;Milestones!$AC$96&amp;";  ","")&amp;IF(AND(EDATE($D150,Milestones!$AA$97)&lt;=AsOfDate,IF($R150=0,$X150,IF(AND($T150&lt;&gt;"",EDATE($D150,Milestones!$AA$97)&gt;=$T150),$W150,IF(AND($S150&lt;&gt;"",EDATE($D150,Milestones!$AA$97)&gt;=$S150),$V150,$U150)))=Milestones!$AB$97),UPPER(TEXT(EDATE($D150,Milestones!$AA$97),"dd mmm yy"))&amp;" "&amp;Milestones!$AB$97&amp;" "&amp;Milestones!$AC$97&amp;";  ","")&amp;IF(AND(EDATE($D150,Milestones!$AA$98)&lt;=AsOfDate,IF($R150=0,$X150,IF(AND($T150&lt;&gt;"",EDATE($D150,Milestones!$AA$98)&gt;=$T150),$W150,IF(AND($S150&lt;&gt;"",EDATE($D150,Milestones!$AA$98)&gt;=$S150),$V150,$U150)))=Milestones!$AB$98),UPPER(TEXT(EDATE($D150,Milestones!$AA$98),"dd mmm yy"))&amp;" "&amp;Milestones!$AB$98&amp;" "&amp;Milestones!$AC$98&amp;";  ","")&amp;IF(AND(EDATE($D150,Milestones!$AA$99)&lt;=AsOfDate,IF($R150=0,$X150,IF(AND($T150&lt;&gt;"",EDATE($D150,Milestones!$AA$99)&gt;=$T150),$W150,IF(AND($S150&lt;&gt;"",EDATE($D150,Milestones!$AA$99)&gt;=$S150),$V150,$U150)))=Milestones!$AB$99),UPPER(TEXT(EDATE($D150,Milestones!$AA$99),"dd mmm yy"))&amp;" "&amp;Milestones!$AB$99&amp;" "&amp;Milestones!$AC$99&amp;";  ",""))</f>
        <v/>
      </c>
      <c r="M150" s="0" t="str">
        <f aca="false">IF(OR($A150="",$D150=""),"",IF(AND(EDATE($D150,Milestones!$AA$100)&lt;=AsOfDate,IF($R150=0,$X150,IF(AND($T150&lt;&gt;"",EDATE($D150,Milestones!$AA$100)&gt;=$T150),$W150,IF(AND($S150&lt;&gt;"",EDATE($D150,Milestones!$AA$100)&gt;=$S150),$V150,$U150)))=Milestones!$AB$100),UPPER(TEXT(EDATE($D150,Milestones!$AA$100),"dd mmm yy"))&amp;" "&amp;Milestones!$AB$100&amp;" "&amp;Milestones!$AC$100&amp;";  ","")&amp;IF(AND(EDATE($D150,Milestones!$AA$101)&lt;=AsOfDate,IF($R150=0,$X150,IF(AND($T150&lt;&gt;"",EDATE($D150,Milestones!$AA$101)&gt;=$T150),$W150,IF(AND($S150&lt;&gt;"",EDATE($D150,Milestones!$AA$101)&gt;=$S150),$V150,$U150)))=Milestones!$AB$101),UPPER(TEXT(EDATE($D150,Milestones!$AA$101),"dd mmm yy"))&amp;" "&amp;Milestones!$AB$101&amp;" "&amp;Milestones!$AC$101&amp;";  ","")&amp;IF(AND(EDATE($D150,Milestones!$AA$102)&lt;=AsOfDate,IF($R150=0,$X150,IF(AND($T150&lt;&gt;"",EDATE($D150,Milestones!$AA$102)&gt;=$T150),$W150,IF(AND($S150&lt;&gt;"",EDATE($D150,Milestones!$AA$102)&gt;=$S150),$V150,$U150)))=Milestones!$AB$102),UPPER(TEXT(EDATE($D150,Milestones!$AA$102),"dd mmm yy"))&amp;" "&amp;Milestones!$AB$102&amp;" "&amp;Milestones!$AC$102&amp;";  ","")&amp;IF(AND(EDATE($D150,Milestones!$AA$103)&lt;=AsOfDate,IF($R150=0,$X150,IF(AND($T150&lt;&gt;"",EDATE($D150,Milestones!$AA$103)&gt;=$T150),$W150,IF(AND($S150&lt;&gt;"",EDATE($D150,Milestones!$AA$103)&gt;=$S150),$V150,$U150)))=Milestones!$AB$103),UPPER(TEXT(EDATE($D150,Milestones!$AA$103),"dd mmm yy"))&amp;" "&amp;Milestones!$AB$103&amp;" "&amp;Milestones!$AC$103&amp;";  ","")&amp;IF(AND(EDATE($D150,Milestones!$AA$104)&lt;=AsOfDate,IF($R150=0,$X150,IF(AND($T150&lt;&gt;"",EDATE($D150,Milestones!$AA$104)&gt;=$T150),$W150,IF(AND($S150&lt;&gt;"",EDATE($D150,Milestones!$AA$104)&gt;=$S150),$V150,$U150)))=Milestones!$AB$104),UPPER(TEXT(EDATE($D150,Milestones!$AA$104),"dd mmm yy"))&amp;" "&amp;Milestones!$AB$104&amp;" "&amp;Milestones!$AC$104&amp;";  ","")&amp;IF(AND(EDATE($D150,Milestones!$AA$105)&lt;=AsOfDate,IF($R150=0,$X150,IF(AND($T150&lt;&gt;"",EDATE($D150,Milestones!$AA$105)&gt;=$T150),$W150,IF(AND($S150&lt;&gt;"",EDATE($D150,Milestones!$AA$105)&gt;=$S150),$V150,$U150)))=Milestones!$AB$105),UPPER(TEXT(EDATE($D150,Milestones!$AA$105),"dd mmm yy"))&amp;" "&amp;Milestones!$AB$105&amp;" "&amp;Milestones!$AC$105&amp;";  ","")&amp;IF(AND(EDATE($D150,Milestones!$AA$106)&lt;=AsOfDate,IF($R150=0,$X150,IF(AND($T150&lt;&gt;"",EDATE($D150,Milestones!$AA$106)&gt;=$T150),$W150,IF(AND($S150&lt;&gt;"",EDATE($D150,Milestones!$AA$106)&gt;=$S150),$V150,$U150)))=Milestones!$AB$106),UPPER(TEXT(EDATE($D150,Milestones!$AA$106),"dd mmm yy"))&amp;" "&amp;Milestones!$AB$106&amp;" "&amp;Milestones!$AC$106&amp;";  ","")&amp;IF(AND(EDATE($D150,Milestones!$AA$107)&lt;=AsOfDate,IF($R150=0,$X150,IF(AND($T150&lt;&gt;"",EDATE($D150,Milestones!$AA$107)&gt;=$T150),$W150,IF(AND($S150&lt;&gt;"",EDATE($D150,Milestones!$AA$107)&gt;=$S150),$V150,$U150)))=Milestones!$AB$107),UPPER(TEXT(EDATE($D150,Milestones!$AA$107),"dd mmm yy"))&amp;" "&amp;Milestones!$AB$107&amp;" "&amp;Milestones!$AC$107&amp;";  ","")&amp;IF(AND(EDATE($D150,Milestones!$AA$108)&lt;=AsOfDate,IF($R150=0,$X150,IF(AND($T150&lt;&gt;"",EDATE($D150,Milestones!$AA$108)&gt;=$T150),$W150,IF(AND($S150&lt;&gt;"",EDATE($D150,Milestones!$AA$108)&gt;=$S150),$V150,$U150)))=Milestones!$AB$108),UPPER(TEXT(EDATE($D150,Milestones!$AA$108),"dd mmm yy"))&amp;" "&amp;Milestones!$AB$108&amp;" "&amp;Milestones!$AC$108&amp;";  ","")&amp;IF(AND(EDATE($D150,Milestones!$AA$109)&lt;=AsOfDate,IF($R150=0,$X150,IF(AND($T150&lt;&gt;"",EDATE($D150,Milestones!$AA$109)&gt;=$T150),$W150,IF(AND($S150&lt;&gt;"",EDATE($D150,Milestones!$AA$109)&gt;=$S150),$V150,$U150)))=Milestones!$AB$109),UPPER(TEXT(EDATE($D150,Milestones!$AA$109),"dd mmm yy"))&amp;" "&amp;Milestones!$AB$109&amp;" "&amp;Milestones!$AC$109&amp;";  ","")&amp;IF(AND(EDATE($D150,Milestones!$AA$110)&lt;=AsOfDate,IF($R150=0,$X150,IF(AND($T150&lt;&gt;"",EDATE($D150,Milestones!$AA$110)&gt;=$T150),$W150,IF(AND($S150&lt;&gt;"",EDATE($D150,Milestones!$AA$110)&gt;=$S150),$V150,$U150)))=Milestones!$AB$110),UPPER(TEXT(EDATE($D150,Milestones!$AA$110),"dd mmm yy"))&amp;" "&amp;Milestones!$AB$110&amp;" "&amp;Milestones!$AC$110&amp;";  ","")&amp;IF(AND(EDATE($D150,Milestones!$AA$111)&lt;=AsOfDate,IF($R150=0,$X150,IF(AND($T150&lt;&gt;"",EDATE($D150,Milestones!$AA$111)&gt;=$T150),$W150,IF(AND($S150&lt;&gt;"",EDATE($D150,Milestones!$AA$111)&gt;=$S150),$V150,$U150)))=Milestones!$AB$111),UPPER(TEXT(EDATE($D150,Milestones!$AA$111),"dd mmm yy"))&amp;" "&amp;Milestones!$AB$111&amp;" "&amp;Milestones!$AC$111&amp;";  ","")&amp;IF(AND(EDATE($D150,Milestones!$AA$112)&lt;=AsOfDate,IF($R150=0,$X150,IF(AND($T150&lt;&gt;"",EDATE($D150,Milestones!$AA$112)&gt;=$T150),$W150,IF(AND($S150&lt;&gt;"",EDATE($D150,Milestones!$AA$112)&gt;=$S150),$V150,$U150)))=Milestones!$AB$112),UPPER(TEXT(EDATE($D150,Milestones!$AA$112),"dd mmm yy"))&amp;" "&amp;Milestones!$AB$112&amp;" "&amp;Milestones!$AC$112&amp;";  ","")&amp;IF(AND(EDATE($D150,Milestones!$AA$113)&lt;=AsOfDate,IF($R150=0,$X150,IF(AND($T150&lt;&gt;"",EDATE($D150,Milestones!$AA$113)&gt;=$T150),$W150,IF(AND($S150&lt;&gt;"",EDATE($D150,Milestones!$AA$113)&gt;=$S150),$V150,$U150)))=Milestones!$AB$113),UPPER(TEXT(EDATE($D150,Milestones!$AA$113),"dd mmm yy"))&amp;" "&amp;Milestones!$AB$113&amp;" "&amp;Milestones!$AC$113&amp;";  ","")&amp;IF(AND(EDATE($D150,Milestones!$AA$114)&lt;=AsOfDate,IF($R150=0,$X150,IF(AND($T150&lt;&gt;"",EDATE($D150,Milestones!$AA$114)&gt;=$T150),$W150,IF(AND($S150&lt;&gt;"",EDATE($D150,Milestones!$AA$114)&gt;=$S150),$V150,$U150)))=Milestones!$AB$114),UPPER(TEXT(EDATE($D150,Milestones!$AA$114),"dd mmm yy"))&amp;" "&amp;Milestones!$AB$114&amp;" "&amp;Milestones!$AC$114&amp;";  ","")&amp;IF(AND(EDATE($D150,Milestones!$AA$115)&lt;=AsOfDate,IF($R150=0,$X150,IF(AND($T150&lt;&gt;"",EDATE($D150,Milestones!$AA$115)&gt;=$T150),$W150,IF(AND($S150&lt;&gt;"",EDATE($D150,Milestones!$AA$115)&gt;=$S150),$V150,$U150)))=Milestones!$AB$115),UPPER(TEXT(EDATE($D150,Milestones!$AA$115),"dd mmm yy"))&amp;" "&amp;Milestones!$AB$115&amp;" "&amp;Milestones!$AC$115&amp;";  ","")&amp;IF(AND(EDATE($D150,Milestones!$AA$116)&lt;=AsOfDate,IF($R150=0,$X150,IF(AND($T150&lt;&gt;"",EDATE($D150,Milestones!$AA$116)&gt;=$T150),$W150,IF(AND($S150&lt;&gt;"",EDATE($D150,Milestones!$AA$116)&gt;=$S150),$V150,$U150)))=Milestones!$AB$116),UPPER(TEXT(EDATE($D150,Milestones!$AA$116),"dd mmm yy"))&amp;" "&amp;Milestones!$AB$116&amp;" "&amp;Milestones!$AC$116&amp;";  ","")&amp;IF(AND(EDATE($D150,Milestones!$AA$117)&lt;=AsOfDate,IF($R150=0,$X150,IF(AND($T150&lt;&gt;"",EDATE($D150,Milestones!$AA$117)&gt;=$T150),$W150,IF(AND($S150&lt;&gt;"",EDATE($D150,Milestones!$AA$117)&gt;=$S150),$V150,$U150)))=Milestones!$AB$117),UPPER(TEXT(EDATE($D150,Milestones!$AA$117),"dd mmm yy"))&amp;" "&amp;Milestones!$AB$117&amp;" "&amp;Milestones!$AC$117&amp;";  ","")&amp;IF(AND(EDATE($D150,Milestones!$AA$118)&lt;=AsOfDate,IF($R150=0,$X150,IF(AND($T150&lt;&gt;"",EDATE($D150,Milestones!$AA$118)&gt;=$T150),$W150,IF(AND($S150&lt;&gt;"",EDATE($D150,Milestones!$AA$118)&gt;=$S150),$V150,$U150)))=Milestones!$AB$118),UPPER(TEXT(EDATE($D150,Milestones!$AA$118),"dd mmm yy"))&amp;" "&amp;Milestones!$AB$118&amp;" "&amp;Milestones!$AC$118&amp;";  ","")&amp;IF(AND(EDATE($D150,Milestones!$AA$119)&lt;=AsOfDate,IF($R150=0,$X150,IF(AND($T150&lt;&gt;"",EDATE($D150,Milestones!$AA$119)&gt;=$T150),$W150,IF(AND($S150&lt;&gt;"",EDATE($D150,Milestones!$AA$119)&gt;=$S150),$V150,$U150)))=Milestones!$AB$119),UPPER(TEXT(EDATE($D150,Milestones!$AA$119),"dd mmm yy"))&amp;" "&amp;Milestones!$AB$119&amp;" "&amp;Milestones!$AC$119&amp;";  ",""))</f>
        <v/>
      </c>
      <c r="N150" s="0" t="str">
        <f aca="false">IF(OR($A150="",$D150=""),"",IF(AND(EDATE($D150,Milestones!$AA$120)&lt;=AsOfDate,IF($R150=0,$X150,IF(AND($T150&lt;&gt;"",EDATE($D150,Milestones!$AA$120)&gt;=$T150),$W150,IF(AND($S150&lt;&gt;"",EDATE($D150,Milestones!$AA$120)&gt;=$S150),$V150,$U150)))=Milestones!$AB$120),UPPER(TEXT(EDATE($D150,Milestones!$AA$120),"dd mmm yy"))&amp;" "&amp;Milestones!$AB$120&amp;" "&amp;Milestones!$AC$120&amp;";  ","")&amp;IF(AND(EDATE($D150,Milestones!$AA$121)&lt;=AsOfDate,IF($R150=0,$X150,IF(AND($T150&lt;&gt;"",EDATE($D150,Milestones!$AA$121)&gt;=$T150),$W150,IF(AND($S150&lt;&gt;"",EDATE($D150,Milestones!$AA$121)&gt;=$S150),$V150,$U150)))=Milestones!$AB$121),UPPER(TEXT(EDATE($D150,Milestones!$AA$121),"dd mmm yy"))&amp;" "&amp;Milestones!$AB$121&amp;" "&amp;Milestones!$AC$121&amp;";  ","")&amp;IF(AND(EDATE($D150,Milestones!$AA$122)&lt;=AsOfDate,IF($R150=0,$X150,IF(AND($T150&lt;&gt;"",EDATE($D150,Milestones!$AA$122)&gt;=$T150),$W150,IF(AND($S150&lt;&gt;"",EDATE($D150,Milestones!$AA$122)&gt;=$S150),$V150,$U150)))=Milestones!$AB$122),UPPER(TEXT(EDATE($D150,Milestones!$AA$122),"dd mmm yy"))&amp;" "&amp;Milestones!$AB$122&amp;" "&amp;Milestones!$AC$122&amp;";  ","")&amp;IF(AND(EDATE($D150,Milestones!$AA$123)&lt;=AsOfDate,IF($R150=0,$X150,IF(AND($T150&lt;&gt;"",EDATE($D150,Milestones!$AA$123)&gt;=$T150),$W150,IF(AND($S150&lt;&gt;"",EDATE($D150,Milestones!$AA$123)&gt;=$S150),$V150,$U150)))=Milestones!$AB$123),UPPER(TEXT(EDATE($D150,Milestones!$AA$123),"dd mmm yy"))&amp;" "&amp;Milestones!$AB$123&amp;" "&amp;Milestones!$AC$123&amp;";  ","")&amp;IF(AND(EDATE($D150,Milestones!$AA$124)&lt;=AsOfDate,IF($R150=0,$X150,IF(AND($T150&lt;&gt;"",EDATE($D150,Milestones!$AA$124)&gt;=$T150),$W150,IF(AND($S150&lt;&gt;"",EDATE($D150,Milestones!$AA$124)&gt;=$S150),$V150,$U150)))=Milestones!$AB$124),UPPER(TEXT(EDATE($D150,Milestones!$AA$124),"dd mmm yy"))&amp;" "&amp;Milestones!$AB$124&amp;" "&amp;Milestones!$AC$124&amp;";  ","")&amp;IF(AND(EDATE($D150,Milestones!$AA$125)&lt;=AsOfDate,IF($R150=0,$X150,IF(AND($T150&lt;&gt;"",EDATE($D150,Milestones!$AA$125)&gt;=$T150),$W150,IF(AND($S150&lt;&gt;"",EDATE($D150,Milestones!$AA$125)&gt;=$S150),$V150,$U150)))=Milestones!$AB$125),UPPER(TEXT(EDATE($D150,Milestones!$AA$125),"dd mmm yy"))&amp;" "&amp;Milestones!$AB$125&amp;" "&amp;Milestones!$AC$125&amp;";  ","")&amp;IF(AND(EDATE($D150,Milestones!$AA$126)&lt;=AsOfDate,IF($R150=0,$X150,IF(AND($T150&lt;&gt;"",EDATE($D150,Milestones!$AA$126)&gt;=$T150),$W150,IF(AND($S150&lt;&gt;"",EDATE($D150,Milestones!$AA$126)&gt;=$S150),$V150,$U150)))=Milestones!$AB$126),UPPER(TEXT(EDATE($D150,Milestones!$AA$126),"dd mmm yy"))&amp;" "&amp;Milestones!$AB$126&amp;" "&amp;Milestones!$AC$126&amp;";  ","")&amp;IF(AND(EDATE($D150,Milestones!$AA$127)&lt;=AsOfDate,IF($R150=0,$X150,IF(AND($T150&lt;&gt;"",EDATE($D150,Milestones!$AA$127)&gt;=$T150),$W150,IF(AND($S150&lt;&gt;"",EDATE($D150,Milestones!$AA$127)&gt;=$S150),$V150,$U150)))=Milestones!$AB$127),UPPER(TEXT(EDATE($D150,Milestones!$AA$127),"dd mmm yy"))&amp;" "&amp;Milestones!$AB$127&amp;" "&amp;Milestones!$AC$127&amp;";  ","")&amp;IF(AND(EDATE($D150,Milestones!$AA$128)&lt;=AsOfDate,IF($R150=0,$X150,IF(AND($T150&lt;&gt;"",EDATE($D150,Milestones!$AA$128)&gt;=$T150),$W150,IF(AND($S150&lt;&gt;"",EDATE($D150,Milestones!$AA$128)&gt;=$S150),$V150,$U150)))=Milestones!$AB$128),UPPER(TEXT(EDATE($D150,Milestones!$AA$128),"dd mmm yy"))&amp;" "&amp;Milestones!$AB$128&amp;" "&amp;Milestones!$AC$128&amp;";  ","")&amp;IF(AND(EDATE($D150,Milestones!$AA$129)&lt;=AsOfDate,IF($R150=0,$X150,IF(AND($T150&lt;&gt;"",EDATE($D150,Milestones!$AA$129)&gt;=$T150),$W150,IF(AND($S150&lt;&gt;"",EDATE($D150,Milestones!$AA$129)&gt;=$S150),$V150,$U150)))=Milestones!$AB$129),UPPER(TEXT(EDATE($D150,Milestones!$AA$129),"dd mmm yy"))&amp;" "&amp;Milestones!$AB$129&amp;" "&amp;Milestones!$AC$129&amp;";  ","")&amp;IF(AND(EDATE($D150,Milestones!$AA$130)&lt;=AsOfDate,IF($R150=0,$X150,IF(AND($T150&lt;&gt;"",EDATE($D150,Milestones!$AA$130)&gt;=$T150),$W150,IF(AND($S150&lt;&gt;"",EDATE($D150,Milestones!$AA$130)&gt;=$S150),$V150,$U150)))=Milestones!$AB$130),UPPER(TEXT(EDATE($D150,Milestones!$AA$130),"dd mmm yy"))&amp;" "&amp;Milestones!$AB$130&amp;" "&amp;Milestones!$AC$130&amp;";  ","")&amp;IF(AND(EDATE($D150,Milestones!$AA$131)&lt;=AsOfDate,IF($R150=0,$X150,IF(AND($T150&lt;&gt;"",EDATE($D150,Milestones!$AA$131)&gt;=$T150),$W150,IF(AND($S150&lt;&gt;"",EDATE($D150,Milestones!$AA$131)&gt;=$S150),$V150,$U150)))=Milestones!$AB$131),UPPER(TEXT(EDATE($D150,Milestones!$AA$131),"dd mmm yy"))&amp;" "&amp;Milestones!$AB$131&amp;" "&amp;Milestones!$AC$131&amp;";  ","")&amp;IF(AND(EDATE($D150,Milestones!$AA$132)&lt;=AsOfDate,IF($R150=0,$X150,IF(AND($T150&lt;&gt;"",EDATE($D150,Milestones!$AA$132)&gt;=$T150),$W150,IF(AND($S150&lt;&gt;"",EDATE($D150,Milestones!$AA$132)&gt;=$S150),$V150,$U150)))=Milestones!$AB$132),UPPER(TEXT(EDATE($D150,Milestones!$AA$132),"dd mmm yy"))&amp;" "&amp;Milestones!$AB$132&amp;" "&amp;Milestones!$AC$132&amp;";  ","")&amp;IF(AND(EDATE($D150,Milestones!$AA$133)&lt;=AsOfDate,IF($R150=0,$X150,IF(AND($T150&lt;&gt;"",EDATE($D150,Milestones!$AA$133)&gt;=$T150),$W150,IF(AND($S150&lt;&gt;"",EDATE($D150,Milestones!$AA$133)&gt;=$S150),$V150,$U150)))=Milestones!$AB$133),UPPER(TEXT(EDATE($D150,Milestones!$AA$133),"dd mmm yy"))&amp;" "&amp;Milestones!$AB$133&amp;" "&amp;Milestones!$AC$133&amp;";  ","")&amp;IF(AND(EDATE($D150,Milestones!$AA$134)&lt;=AsOfDate,IF($R150=0,$X150,IF(AND($T150&lt;&gt;"",EDATE($D150,Milestones!$AA$134)&gt;=$T150),$W150,IF(AND($S150&lt;&gt;"",EDATE($D150,Milestones!$AA$134)&gt;=$S150),$V150,$U150)))=Milestones!$AB$134),UPPER(TEXT(EDATE($D150,Milestones!$AA$134),"dd mmm yy"))&amp;" "&amp;Milestones!$AB$134&amp;" "&amp;Milestones!$AC$134&amp;";  ","")&amp;IF(AND(EDATE($D150,Milestones!$AA$135)&lt;=AsOfDate,IF($R150=0,$X150,IF(AND($T150&lt;&gt;"",EDATE($D150,Milestones!$AA$135)&gt;=$T150),$W150,IF(AND($S150&lt;&gt;"",EDATE($D150,Milestones!$AA$135)&gt;=$S150),$V150,$U150)))=Milestones!$AB$135),UPPER(TEXT(EDATE($D150,Milestones!$AA$135),"dd mmm yy"))&amp;" "&amp;Milestones!$AB$135&amp;" "&amp;Milestones!$AC$135&amp;";  ","")&amp;IF(AND(EDATE($D150,Milestones!$AA$136)&lt;=AsOfDate,IF($R150=0,$X150,IF(AND($T150&lt;&gt;"",EDATE($D150,Milestones!$AA$136)&gt;=$T150),$W150,IF(AND($S150&lt;&gt;"",EDATE($D150,Milestones!$AA$136)&gt;=$S150),$V150,$U150)))=Milestones!$AB$136),UPPER(TEXT(EDATE($D150,Milestones!$AA$136),"dd mmm yy"))&amp;" "&amp;Milestones!$AB$136&amp;" "&amp;Milestones!$AC$136&amp;";  ","")&amp;IF(AND(EDATE($D150,Milestones!$AA$137)&lt;=AsOfDate,IF($R150=0,$X150,IF(AND($T150&lt;&gt;"",EDATE($D150,Milestones!$AA$137)&gt;=$T150),$W150,IF(AND($S150&lt;&gt;"",EDATE($D150,Milestones!$AA$137)&gt;=$S150),$V150,$U150)))=Milestones!$AB$137),UPPER(TEXT(EDATE($D150,Milestones!$AA$137),"dd mmm yy"))&amp;" "&amp;Milestones!$AB$137&amp;" "&amp;Milestones!$AC$137&amp;";  ","")&amp;IF(AND(EDATE($D150,Milestones!$AA$138)&lt;=AsOfDate,IF($R150=0,$X150,IF(AND($T150&lt;&gt;"",EDATE($D150,Milestones!$AA$138)&gt;=$T150),$W150,IF(AND($S150&lt;&gt;"",EDATE($D150,Milestones!$AA$138)&gt;=$S150),$V150,$U150)))=Milestones!$AB$138),UPPER(TEXT(EDATE($D150,Milestones!$AA$138),"dd mmm yy"))&amp;" "&amp;Milestones!$AB$138&amp;" "&amp;Milestones!$AC$138&amp;";  ","")&amp;IF(AND(EDATE($D150,Milestones!$AA$139)&lt;=AsOfDate,IF($R150=0,$X150,IF(AND($T150&lt;&gt;"",EDATE($D150,Milestones!$AA$139)&gt;=$T150),$W150,IF(AND($S150&lt;&gt;"",EDATE($D150,Milestones!$AA$139)&gt;=$S150),$V150,$U150)))=Milestones!$AB$139),UPPER(TEXT(EDATE($D150,Milestones!$AA$139),"dd mmm yy"))&amp;" "&amp;Milestones!$AB$139&amp;" "&amp;Milestones!$AC$139&amp;";  ",""))</f>
        <v/>
      </c>
      <c r="O150" s="0" t="str">
        <f aca="false">IF(OR($A150="",$D150=""),"",IF(AND(EDATE($D150,Milestones!$AA$140)&lt;=AsOfDate,IF($R150=0,$X150,IF(AND($T150&lt;&gt;"",EDATE($D150,Milestones!$AA$140)&gt;=$T150),$W150,IF(AND($S150&lt;&gt;"",EDATE($D150,Milestones!$AA$140)&gt;=$S150),$V150,$U150)))=Milestones!$AB$140),UPPER(TEXT(EDATE($D150,Milestones!$AA$140),"dd mmm yy"))&amp;" "&amp;Milestones!$AB$140&amp;" "&amp;Milestones!$AC$140&amp;";  ","")&amp;IF(AND(EDATE($D150,Milestones!$AA$141)&lt;=AsOfDate,IF($R150=0,$X150,IF(AND($T150&lt;&gt;"",EDATE($D150,Milestones!$AA$141)&gt;=$T150),$W150,IF(AND($S150&lt;&gt;"",EDATE($D150,Milestones!$AA$141)&gt;=$S150),$V150,$U150)))=Milestones!$AB$141),UPPER(TEXT(EDATE($D150,Milestones!$AA$141),"dd mmm yy"))&amp;" "&amp;Milestones!$AB$141&amp;" "&amp;Milestones!$AC$141&amp;";  ","")&amp;IF(AND(EDATE($D150,Milestones!$AA$142)&lt;=AsOfDate,IF($R150=0,$X150,IF(AND($T150&lt;&gt;"",EDATE($D150,Milestones!$AA$142)&gt;=$T150),$W150,IF(AND($S150&lt;&gt;"",EDATE($D150,Milestones!$AA$142)&gt;=$S150),$V150,$U150)))=Milestones!$AB$142),UPPER(TEXT(EDATE($D150,Milestones!$AA$142),"dd mmm yy"))&amp;" "&amp;Milestones!$AB$142&amp;" "&amp;Milestones!$AC$142&amp;";  ","")&amp;IF(AND(EDATE($D150,Milestones!$AA$143)&lt;=AsOfDate,IF($R150=0,$X150,IF(AND($T150&lt;&gt;"",EDATE($D150,Milestones!$AA$143)&gt;=$T150),$W150,IF(AND($S150&lt;&gt;"",EDATE($D150,Milestones!$AA$143)&gt;=$S150),$V150,$U150)))=Milestones!$AB$143),UPPER(TEXT(EDATE($D150,Milestones!$AA$143),"dd mmm yy"))&amp;" "&amp;Milestones!$AB$143&amp;" "&amp;Milestones!$AC$143&amp;";  ","")&amp;IF(AND(EDATE($D150,Milestones!$AA$144)&lt;=AsOfDate,IF($R150=0,$X150,IF(AND($T150&lt;&gt;"",EDATE($D150,Milestones!$AA$144)&gt;=$T150),$W150,IF(AND($S150&lt;&gt;"",EDATE($D150,Milestones!$AA$144)&gt;=$S150),$V150,$U150)))=Milestones!$AB$144),UPPER(TEXT(EDATE($D150,Milestones!$AA$144),"dd mmm yy"))&amp;" "&amp;Milestones!$AB$144&amp;" "&amp;Milestones!$AC$144&amp;";  ","")&amp;IF(AND(EDATE($D150,Milestones!$AA$145)&lt;=AsOfDate,IF($R150=0,$X150,IF(AND($T150&lt;&gt;"",EDATE($D150,Milestones!$AA$145)&gt;=$T150),$W150,IF(AND($S150&lt;&gt;"",EDATE($D150,Milestones!$AA$145)&gt;=$S150),$V150,$U150)))=Milestones!$AB$145),UPPER(TEXT(EDATE($D150,Milestones!$AA$145),"dd mmm yy"))&amp;" "&amp;Milestones!$AB$145&amp;" "&amp;Milestones!$AC$145&amp;";  ","")&amp;IF(AND(EDATE($D150,Milestones!$AA$146)&lt;=AsOfDate,IF($R150=0,$X150,IF(AND($T150&lt;&gt;"",EDATE($D150,Milestones!$AA$146)&gt;=$T150),$W150,IF(AND($S150&lt;&gt;"",EDATE($D150,Milestones!$AA$146)&gt;=$S150),$V150,$U150)))=Milestones!$AB$146),UPPER(TEXT(EDATE($D150,Milestones!$AA$146),"dd mmm yy"))&amp;" "&amp;Milestones!$AB$146&amp;" "&amp;Milestones!$AC$146&amp;";  ","")&amp;IF(AND(EDATE($D150,Milestones!$AA$147)&lt;=AsOfDate,IF($R150=0,$X150,IF(AND($T150&lt;&gt;"",EDATE($D150,Milestones!$AA$147)&gt;=$T150),$W150,IF(AND($S150&lt;&gt;"",EDATE($D150,Milestones!$AA$147)&gt;=$S150),$V150,$U150)))=Milestones!$AB$147),UPPER(TEXT(EDATE($D150,Milestones!$AA$147),"dd mmm yy"))&amp;" "&amp;Milestones!$AB$147&amp;" "&amp;Milestones!$AC$147&amp;";  ","")&amp;IF(AND(EDATE($D150,Milestones!$AA$148)&lt;=AsOfDate,IF($R150=0,$X150,IF(AND($T150&lt;&gt;"",EDATE($D150,Milestones!$AA$148)&gt;=$T150),$W150,IF(AND($S150&lt;&gt;"",EDATE($D150,Milestones!$AA$148)&gt;=$S150),$V150,$U150)))=Milestones!$AB$148),UPPER(TEXT(EDATE($D150,Milestones!$AA$148),"dd mmm yy"))&amp;" "&amp;Milestones!$AB$148&amp;" "&amp;Milestones!$AC$148&amp;";  ","")&amp;IF(AND(EDATE($D150,Milestones!$AA$149)&lt;=AsOfDate,IF($R150=0,$X150,IF(AND($T150&lt;&gt;"",EDATE($D150,Milestones!$AA$149)&gt;=$T150),$W150,IF(AND($S150&lt;&gt;"",EDATE($D150,Milestones!$AA$149)&gt;=$S150),$V150,$U150)))=Milestones!$AB$149),UPPER(TEXT(EDATE($D150,Milestones!$AA$149),"dd mmm yy"))&amp;" "&amp;Milestones!$AB$149&amp;" "&amp;Milestones!$AC$149&amp;";  ","")&amp;IF(AND(EDATE($D150,Milestones!$AA$150)&lt;=AsOfDate,IF($R150=0,$X150,IF(AND($T150&lt;&gt;"",EDATE($D150,Milestones!$AA$150)&gt;=$T150),$W150,IF(AND($S150&lt;&gt;"",EDATE($D150,Milestones!$AA$150)&gt;=$S150),$V150,$U150)))=Milestones!$AB$150),UPPER(TEXT(EDATE($D150,Milestones!$AA$150),"dd mmm yy"))&amp;" "&amp;Milestones!$AB$150&amp;" "&amp;Milestones!$AC$150&amp;";  ","")&amp;IF(AND(EDATE($D150,Milestones!$AA$151)&lt;=AsOfDate,IF($R150=0,$X150,IF(AND($T150&lt;&gt;"",EDATE($D150,Milestones!$AA$151)&gt;=$T150),$W150,IF(AND($S150&lt;&gt;"",EDATE($D150,Milestones!$AA$151)&gt;=$S150),$V150,$U150)))=Milestones!$AB$151),UPPER(TEXT(EDATE($D150,Milestones!$AA$151),"dd mmm yy"))&amp;" "&amp;Milestones!$AB$151&amp;" "&amp;Milestones!$AC$151&amp;";  ","")&amp;IF(AND(EDATE($D150,Milestones!$AA$152)&lt;=AsOfDate,IF($R150=0,$X150,IF(AND($T150&lt;&gt;"",EDATE($D150,Milestones!$AA$152)&gt;=$T150),$W150,IF(AND($S150&lt;&gt;"",EDATE($D150,Milestones!$AA$152)&gt;=$S150),$V150,$U150)))=Milestones!$AB$152),UPPER(TEXT(EDATE($D150,Milestones!$AA$152),"dd mmm yy"))&amp;" "&amp;Milestones!$AB$152&amp;" "&amp;Milestones!$AC$152&amp;";  ","")&amp;IF(AND(EDATE($D150,Milestones!$AA$153)&lt;=AsOfDate,IF($R150=0,$X150,IF(AND($T150&lt;&gt;"",EDATE($D150,Milestones!$AA$153)&gt;=$T150),$W150,IF(AND($S150&lt;&gt;"",EDATE($D150,Milestones!$AA$153)&gt;=$S150),$V150,$U150)))=Milestones!$AB$153),UPPER(TEXT(EDATE($D150,Milestones!$AA$153),"dd mmm yy"))&amp;" "&amp;Milestones!$AB$153&amp;" "&amp;Milestones!$AC$153&amp;";  ","")&amp;IF(AND(EDATE($D150,Milestones!$AA$154)&lt;=AsOfDate,IF($R150=0,$X150,IF(AND($T150&lt;&gt;"",EDATE($D150,Milestones!$AA$154)&gt;=$T150),$W150,IF(AND($S150&lt;&gt;"",EDATE($D150,Milestones!$AA$154)&gt;=$S150),$V150,$U150)))=Milestones!$AB$154),UPPER(TEXT(EDATE($D150,Milestones!$AA$154),"dd mmm yy"))&amp;" "&amp;Milestones!$AB$154&amp;" "&amp;Milestones!$AC$154&amp;";  ","")&amp;IF(AND(EDATE($D150,Milestones!$AA$155)&lt;=AsOfDate,IF($R150=0,$X150,IF(AND($T150&lt;&gt;"",EDATE($D150,Milestones!$AA$155)&gt;=$T150),$W150,IF(AND($S150&lt;&gt;"",EDATE($D150,Milestones!$AA$155)&gt;=$S150),$V150,$U150)))=Milestones!$AB$155),UPPER(TEXT(EDATE($D150,Milestones!$AA$155),"dd mmm yy"))&amp;" "&amp;Milestones!$AB$155&amp;" "&amp;Milestones!$AC$155&amp;";  ","")&amp;IF(AND(EDATE($D150,Milestones!$AA$156)&lt;=AsOfDate,IF($R150=0,$X150,IF(AND($T150&lt;&gt;"",EDATE($D150,Milestones!$AA$156)&gt;=$T150),$W150,IF(AND($S150&lt;&gt;"",EDATE($D150,Milestones!$AA$156)&gt;=$S150),$V150,$U150)))=Milestones!$AB$156),UPPER(TEXT(EDATE($D150,Milestones!$AA$156),"dd mmm yy"))&amp;" "&amp;Milestones!$AB$156&amp;" "&amp;Milestones!$AC$156&amp;";  ","")&amp;IF(AND(EDATE($D150,Milestones!$AA$157)&lt;=AsOfDate,IF($R150=0,$X150,IF(AND($T150&lt;&gt;"",EDATE($D150,Milestones!$AA$157)&gt;=$T150),$W150,IF(AND($S150&lt;&gt;"",EDATE($D150,Milestones!$AA$157)&gt;=$S150),$V150,$U150)))=Milestones!$AB$157),UPPER(TEXT(EDATE($D150,Milestones!$AA$157),"dd mmm yy"))&amp;" "&amp;Milestones!$AB$157&amp;" "&amp;Milestones!$AC$157&amp;";  ","")&amp;IF(AND(EDATE($D150,Milestones!$AA$158)&lt;=AsOfDate,IF($R150=0,$X150,IF(AND($T150&lt;&gt;"",EDATE($D150,Milestones!$AA$158)&gt;=$T150),$W150,IF(AND($S150&lt;&gt;"",EDATE($D150,Milestones!$AA$158)&gt;=$S150),$V150,$U150)))=Milestones!$AB$158),UPPER(TEXT(EDATE($D150,Milestones!$AA$158),"dd mmm yy"))&amp;" "&amp;Milestones!$AB$158&amp;" "&amp;Milestones!$AC$158&amp;";  ","")&amp;IF(AND(EDATE($D150,Milestones!$AA$159)&lt;=AsOfDate,IF($R150=0,$X150,IF(AND($T150&lt;&gt;"",EDATE($D150,Milestones!$AA$159)&gt;=$T150),$W150,IF(AND($S150&lt;&gt;"",EDATE($D150,Milestones!$AA$159)&gt;=$S150),$V150,$U150)))=Milestones!$AB$159),UPPER(TEXT(EDATE($D150,Milestones!$AA$159),"dd mmm yy"))&amp;" "&amp;Milestones!$AB$159&amp;" "&amp;Milestones!$AC$159&amp;";  ",""))</f>
        <v/>
      </c>
      <c r="P150" s="0" t="str">
        <f aca="false">IF(OR($A150="",$D150=""),"",IF(AND(EDATE($D150,Milestones!$AA$160)&lt;=AsOfDate,IF($R150=0,$X150,IF(AND($T150&lt;&gt;"",EDATE($D150,Milestones!$AA$160)&gt;=$T150),$W150,IF(AND($S150&lt;&gt;"",EDATE($D150,Milestones!$AA$160)&gt;=$S150),$V150,$U150)))=Milestones!$AB$160),UPPER(TEXT(EDATE($D150,Milestones!$AA$160),"dd mmm yy"))&amp;" "&amp;Milestones!$AB$160&amp;" "&amp;Milestones!$AC$160&amp;";  ","")&amp;IF(AND(EDATE($D150,Milestones!$AA$161)&lt;=AsOfDate,IF($R150=0,$X150,IF(AND($T150&lt;&gt;"",EDATE($D150,Milestones!$AA$161)&gt;=$T150),$W150,IF(AND($S150&lt;&gt;"",EDATE($D150,Milestones!$AA$161)&gt;=$S150),$V150,$U150)))=Milestones!$AB$161),UPPER(TEXT(EDATE($D150,Milestones!$AA$161),"dd mmm yy"))&amp;" "&amp;Milestones!$AB$161&amp;" "&amp;Milestones!$AC$161&amp;";  ","")&amp;IF(AND(EDATE($D150,Milestones!$AA$162)&lt;=AsOfDate,IF($R150=0,$X150,IF(AND($T150&lt;&gt;"",EDATE($D150,Milestones!$AA$162)&gt;=$T150),$W150,IF(AND($S150&lt;&gt;"",EDATE($D150,Milestones!$AA$162)&gt;=$S150),$V150,$U150)))=Milestones!$AB$162),UPPER(TEXT(EDATE($D150,Milestones!$AA$162),"dd mmm yy"))&amp;" "&amp;Milestones!$AB$162&amp;" "&amp;Milestones!$AC$162&amp;";  ","")&amp;IF(AND(EDATE($D150,Milestones!$AA$163)&lt;=AsOfDate,IF($R150=0,$X150,IF(AND($T150&lt;&gt;"",EDATE($D150,Milestones!$AA$163)&gt;=$T150),$W150,IF(AND($S150&lt;&gt;"",EDATE($D150,Milestones!$AA$163)&gt;=$S150),$V150,$U150)))=Milestones!$AB$163),UPPER(TEXT(EDATE($D150,Milestones!$AA$163),"dd mmm yy"))&amp;" "&amp;Milestones!$AB$163&amp;" "&amp;Milestones!$AC$163&amp;";  ","")&amp;IF(AND(EDATE($D150,Milestones!$AA$164)&lt;=AsOfDate,IF($R150=0,$X150,IF(AND($T150&lt;&gt;"",EDATE($D150,Milestones!$AA$164)&gt;=$T150),$W150,IF(AND($S150&lt;&gt;"",EDATE($D150,Milestones!$AA$164)&gt;=$S150),$V150,$U150)))=Milestones!$AB$164),UPPER(TEXT(EDATE($D150,Milestones!$AA$164),"dd mmm yy"))&amp;" "&amp;Milestones!$AB$164&amp;" "&amp;Milestones!$AC$164&amp;";  ","")&amp;IF(AND(EDATE($D150,Milestones!$AA$165)&lt;=AsOfDate,IF($R150=0,$X150,IF(AND($T150&lt;&gt;"",EDATE($D150,Milestones!$AA$165)&gt;=$T150),$W150,IF(AND($S150&lt;&gt;"",EDATE($D150,Milestones!$AA$165)&gt;=$S150),$V150,$U150)))=Milestones!$AB$165),UPPER(TEXT(EDATE($D150,Milestones!$AA$165),"dd mmm yy"))&amp;" "&amp;Milestones!$AB$165&amp;" "&amp;Milestones!$AC$165&amp;";  ","")&amp;IF(AND(EDATE($D150,Milestones!$AA$166)&lt;=AsOfDate,IF($R150=0,$X150,IF(AND($T150&lt;&gt;"",EDATE($D150,Milestones!$AA$166)&gt;=$T150),$W150,IF(AND($S150&lt;&gt;"",EDATE($D150,Milestones!$AA$166)&gt;=$S150),$V150,$U150)))=Milestones!$AB$166),UPPER(TEXT(EDATE($D150,Milestones!$AA$166),"dd mmm yy"))&amp;" "&amp;Milestones!$AB$166&amp;" "&amp;Milestones!$AC$166&amp;";  ","")&amp;IF(AND(EDATE($D150,Milestones!$AA$167)&lt;=AsOfDate,IF($R150=0,$X150,IF(AND($T150&lt;&gt;"",EDATE($D150,Milestones!$AA$167)&gt;=$T150),$W150,IF(AND($S150&lt;&gt;"",EDATE($D150,Milestones!$AA$167)&gt;=$S150),$V150,$U150)))=Milestones!$AB$167),UPPER(TEXT(EDATE($D150,Milestones!$AA$167),"dd mmm yy"))&amp;" "&amp;Milestones!$AB$167&amp;" "&amp;Milestones!$AC$167&amp;";  ","")&amp;IF(AND(EDATE($D150,Milestones!$AA$168)&lt;=AsOfDate,IF($R150=0,$X150,IF(AND($T150&lt;&gt;"",EDATE($D150,Milestones!$AA$168)&gt;=$T150),$W150,IF(AND($S150&lt;&gt;"",EDATE($D150,Milestones!$AA$168)&gt;=$S150),$V150,$U150)))=Milestones!$AB$168),UPPER(TEXT(EDATE($D150,Milestones!$AA$168),"dd mmm yy"))&amp;" "&amp;Milestones!$AB$168&amp;" "&amp;Milestones!$AC$168&amp;";  ","")&amp;IF(AND(EDATE($D150,Milestones!$AA$169)&lt;=AsOfDate,IF($R150=0,$X150,IF(AND($T150&lt;&gt;"",EDATE($D150,Milestones!$AA$169)&gt;=$T150),$W150,IF(AND($S150&lt;&gt;"",EDATE($D150,Milestones!$AA$169)&gt;=$S150),$V150,$U150)))=Milestones!$AB$169),UPPER(TEXT(EDATE($D150,Milestones!$AA$169),"dd mmm yy"))&amp;" "&amp;Milestones!$AB$169&amp;" "&amp;Milestones!$AC$169&amp;";  ","")&amp;IF(AND(EDATE($D150,Milestones!$AA$170)&lt;=AsOfDate,IF($R150=0,$X150,IF(AND($T150&lt;&gt;"",EDATE($D150,Milestones!$AA$170)&gt;=$T150),$W150,IF(AND($S150&lt;&gt;"",EDATE($D150,Milestones!$AA$170)&gt;=$S150),$V150,$U150)))=Milestones!$AB$170),UPPER(TEXT(EDATE($D150,Milestones!$AA$170),"dd mmm yy"))&amp;" "&amp;Milestones!$AB$170&amp;" "&amp;Milestones!$AC$170&amp;";  ","")&amp;IF(AND(EDATE($D150,Milestones!$AA$171)&lt;=AsOfDate,IF($R150=0,$X150,IF(AND($T150&lt;&gt;"",EDATE($D150,Milestones!$AA$171)&gt;=$T150),$W150,IF(AND($S150&lt;&gt;"",EDATE($D150,Milestones!$AA$171)&gt;=$S150),$V150,$U150)))=Milestones!$AB$171),UPPER(TEXT(EDATE($D150,Milestones!$AA$171),"dd mmm yy"))&amp;" "&amp;Milestones!$AB$171&amp;" "&amp;Milestones!$AC$171&amp;";  ","")&amp;IF(AND(EDATE($D150,Milestones!$AA$172)&lt;=AsOfDate,IF($R150=0,$X150,IF(AND($T150&lt;&gt;"",EDATE($D150,Milestones!$AA$172)&gt;=$T150),$W150,IF(AND($S150&lt;&gt;"",EDATE($D150,Milestones!$AA$172)&gt;=$S150),$V150,$U150)))=Milestones!$AB$172),UPPER(TEXT(EDATE($D150,Milestones!$AA$172),"dd mmm yy"))&amp;" "&amp;Milestones!$AB$172&amp;" "&amp;Milestones!$AC$172&amp;";  ","")&amp;IF(AND(EDATE($D150,Milestones!$AA$173)&lt;=AsOfDate,IF($R150=0,$X150,IF(AND($T150&lt;&gt;"",EDATE($D150,Milestones!$AA$173)&gt;=$T150),$W150,IF(AND($S150&lt;&gt;"",EDATE($D150,Milestones!$AA$173)&gt;=$S150),$V150,$U150)))=Milestones!$AB$173),UPPER(TEXT(EDATE($D150,Milestones!$AA$173),"dd mmm yy"))&amp;" "&amp;Milestones!$AB$173&amp;" "&amp;Milestones!$AC$173&amp;";  ","")&amp;IF(AND(EDATE($D150,Milestones!$AA$174)&lt;=AsOfDate,IF($R150=0,$X150,IF(AND($T150&lt;&gt;"",EDATE($D150,Milestones!$AA$174)&gt;=$T150),$W150,IF(AND($S150&lt;&gt;"",EDATE($D150,Milestones!$AA$174)&gt;=$S150),$V150,$U150)))=Milestones!$AB$174),UPPER(TEXT(EDATE($D150,Milestones!$AA$174),"dd mmm yy"))&amp;" "&amp;Milestones!$AB$174&amp;" "&amp;Milestones!$AC$174&amp;";  ","")&amp;IF(AND(EDATE($D150,Milestones!$AA$175)&lt;=AsOfDate,IF($R150=0,$X150,IF(AND($T150&lt;&gt;"",EDATE($D150,Milestones!$AA$175)&gt;=$T150),$W150,IF(AND($S150&lt;&gt;"",EDATE($D150,Milestones!$AA$175)&gt;=$S150),$V150,$U150)))=Milestones!$AB$175),UPPER(TEXT(EDATE($D150,Milestones!$AA$175),"dd mmm yy"))&amp;" "&amp;Milestones!$AB$175&amp;" "&amp;Milestones!$AC$175&amp;";  ","")&amp;IF(AND(EDATE($D150,Milestones!$AA$176)&lt;=AsOfDate,IF($R150=0,$X150,IF(AND($T150&lt;&gt;"",EDATE($D150,Milestones!$AA$176)&gt;=$T150),$W150,IF(AND($S150&lt;&gt;"",EDATE($D150,Milestones!$AA$176)&gt;=$S150),$V150,$U150)))=Milestones!$AB$176),UPPER(TEXT(EDATE($D150,Milestones!$AA$176),"dd mmm yy"))&amp;" "&amp;Milestones!$AB$176&amp;" "&amp;Milestones!$AC$176&amp;";  ","")&amp;IF(AND(EDATE($D150,Milestones!$AA$177)&lt;=AsOfDate,IF($R150=0,$X150,IF(AND($T150&lt;&gt;"",EDATE($D150,Milestones!$AA$177)&gt;=$T150),$W150,IF(AND($S150&lt;&gt;"",EDATE($D150,Milestones!$AA$177)&gt;=$S150),$V150,$U150)))=Milestones!$AB$177),UPPER(TEXT(EDATE($D150,Milestones!$AA$177),"dd mmm yy"))&amp;" "&amp;Milestones!$AB$177&amp;" "&amp;Milestones!$AC$177&amp;";  ","")&amp;IF(AND(EDATE($D150,Milestones!$AA$178)&lt;=AsOfDate,IF($R150=0,$X150,IF(AND($T150&lt;&gt;"",EDATE($D150,Milestones!$AA$178)&gt;=$T150),$W150,IF(AND($S150&lt;&gt;"",EDATE($D150,Milestones!$AA$178)&gt;=$S150),$V150,$U150)))=Milestones!$AB$178),UPPER(TEXT(EDATE($D150,Milestones!$AA$178),"dd mmm yy"))&amp;" "&amp;Milestones!$AB$178&amp;" "&amp;Milestones!$AC$178&amp;";  ","")&amp;IF(AND(EDATE($D150,Milestones!$AA$179)&lt;=AsOfDate,IF($R150=0,$X150,IF(AND($T150&lt;&gt;"",EDATE($D150,Milestones!$AA$179)&gt;=$T150),$W150,IF(AND($S150&lt;&gt;"",EDATE($D150,Milestones!$AA$179)&gt;=$S150),$V150,$U150)))=Milestones!$AB$179),UPPER(TEXT(EDATE($D150,Milestones!$AA$179),"dd mmm yy"))&amp;" "&amp;Milestones!$AB$179&amp;" "&amp;Milestones!$AC$179&amp;";  ",""))</f>
        <v/>
      </c>
      <c r="Q150" s="0" t="str">
        <f aca="false">IF(OR($A150="",$D150=""),"",IF(AND(EDATE($D150,Milestones!$AA$180)&lt;=AsOfDate,IF($R150=0,$X150,IF(AND($T150&lt;&gt;"",EDATE($D150,Milestones!$AA$180)&gt;=$T150),$W150,IF(AND($S150&lt;&gt;"",EDATE($D150,Milestones!$AA$180)&gt;=$S150),$V150,$U150)))=Milestones!$AB$180),UPPER(TEXT(EDATE($D150,Milestones!$AA$180),"dd mmm yy"))&amp;" "&amp;Milestones!$AB$180&amp;" "&amp;Milestones!$AC$180&amp;";  ","")&amp;IF(AND(EDATE($D150,Milestones!$AA$181)&lt;=AsOfDate,IF($R150=0,$X150,IF(AND($T150&lt;&gt;"",EDATE($D150,Milestones!$AA$181)&gt;=$T150),$W150,IF(AND($S150&lt;&gt;"",EDATE($D150,Milestones!$AA$181)&gt;=$S150),$V150,$U150)))=Milestones!$AB$181),UPPER(TEXT(EDATE($D150,Milestones!$AA$181),"dd mmm yy"))&amp;" "&amp;Milestones!$AB$181&amp;" "&amp;Milestones!$AC$181&amp;";  ","")&amp;IF(AND(EDATE($D150,Milestones!$AA$182)&lt;=AsOfDate,IF($R150=0,$X150,IF(AND($T150&lt;&gt;"",EDATE($D150,Milestones!$AA$182)&gt;=$T150),$W150,IF(AND($S150&lt;&gt;"",EDATE($D150,Milestones!$AA$182)&gt;=$S150),$V150,$U150)))=Milestones!$AB$182),UPPER(TEXT(EDATE($D150,Milestones!$AA$182),"dd mmm yy"))&amp;" "&amp;Milestones!$AB$182&amp;" "&amp;Milestones!$AC$182&amp;";  ","")&amp;IF(AND(EDATE($D150,Milestones!$AA$183)&lt;=AsOfDate,IF($R150=0,$X150,IF(AND($T150&lt;&gt;"",EDATE($D150,Milestones!$AA$183)&gt;=$T150),$W150,IF(AND($S150&lt;&gt;"",EDATE($D150,Milestones!$AA$183)&gt;=$S150),$V150,$U150)))=Milestones!$AB$183),UPPER(TEXT(EDATE($D150,Milestones!$AA$183),"dd mmm yy"))&amp;" "&amp;Milestones!$AB$183&amp;" "&amp;Milestones!$AC$183&amp;";  ","")&amp;IF(AND(EDATE($D150,Milestones!$AA$184)&lt;=AsOfDate,IF($R150=0,$X150,IF(AND($T150&lt;&gt;"",EDATE($D150,Milestones!$AA$184)&gt;=$T150),$W150,IF(AND($S150&lt;&gt;"",EDATE($D150,Milestones!$AA$184)&gt;=$S150),$V150,$U150)))=Milestones!$AB$184),UPPER(TEXT(EDATE($D150,Milestones!$AA$184),"dd mmm yy"))&amp;" "&amp;Milestones!$AB$184&amp;" "&amp;Milestones!$AC$184&amp;";  ","")&amp;IF(AND(EDATE($D150,Milestones!$AA$185)&lt;=AsOfDate,IF($R150=0,$X150,IF(AND($T150&lt;&gt;"",EDATE($D150,Milestones!$AA$185)&gt;=$T150),$W150,IF(AND($S150&lt;&gt;"",EDATE($D150,Milestones!$AA$185)&gt;=$S150),$V150,$U150)))=Milestones!$AB$185),UPPER(TEXT(EDATE($D150,Milestones!$AA$185),"dd mmm yy"))&amp;" "&amp;Milestones!$AB$185&amp;" "&amp;Milestones!$AC$185&amp;";  ","")&amp;IF(AND(EDATE($D150,Milestones!$AA$186)&lt;=AsOfDate,IF($R150=0,$X150,IF(AND($T150&lt;&gt;"",EDATE($D150,Milestones!$AA$186)&gt;=$T150),$W150,IF(AND($S150&lt;&gt;"",EDATE($D150,Milestones!$AA$186)&gt;=$S150),$V150,$U150)))=Milestones!$AB$186),UPPER(TEXT(EDATE($D150,Milestones!$AA$186),"dd mmm yy"))&amp;" "&amp;Milestones!$AB$186&amp;" "&amp;Milestones!$AC$186&amp;";  ","")&amp;IF(AND(EDATE($D150,Milestones!$AA$187)&lt;=AsOfDate,IF($R150=0,$X150,IF(AND($T150&lt;&gt;"",EDATE($D150,Milestones!$AA$187)&gt;=$T150),$W150,IF(AND($S150&lt;&gt;"",EDATE($D150,Milestones!$AA$187)&gt;=$S150),$V150,$U150)))=Milestones!$AB$187),UPPER(TEXT(EDATE($D150,Milestones!$AA$187),"dd mmm yy"))&amp;" "&amp;Milestones!$AB$187&amp;" "&amp;Milestones!$AC$187&amp;";  ","")&amp;IF(AND(EDATE($D150,Milestones!$AA$188)&lt;=AsOfDate,IF($R150=0,$X150,IF(AND($T150&lt;&gt;"",EDATE($D150,Milestones!$AA$188)&gt;=$T150),$W150,IF(AND($S150&lt;&gt;"",EDATE($D150,Milestones!$AA$188)&gt;=$S150),$V150,$U150)))=Milestones!$AB$188),UPPER(TEXT(EDATE($D150,Milestones!$AA$188),"dd mmm yy"))&amp;" "&amp;Milestones!$AB$188&amp;" "&amp;Milestones!$AC$188&amp;";  ","")&amp;IF(AND(EDATE($D150,Milestones!$AA$189)&lt;=AsOfDate,IF($R150=0,$X150,IF(AND($T150&lt;&gt;"",EDATE($D150,Milestones!$AA$189)&gt;=$T150),$W150,IF(AND($S150&lt;&gt;"",EDATE($D150,Milestones!$AA$189)&gt;=$S150),$V150,$U150)))=Milestones!$AB$189),UPPER(TEXT(EDATE($D150,Milestones!$AA$189),"dd mmm yy"))&amp;" "&amp;Milestones!$AB$189&amp;" "&amp;Milestones!$AC$189&amp;";  ","")&amp;IF(AND(EDATE($D150,Milestones!$AA$190)&lt;=AsOfDate,IF($R150=0,$X150,IF(AND($T150&lt;&gt;"",EDATE($D150,Milestones!$AA$190)&gt;=$T150),$W150,IF(AND($S150&lt;&gt;"",EDATE($D150,Milestones!$AA$190)&gt;=$S150),$V150,$U150)))=Milestones!$AB$190),UPPER(TEXT(EDATE($D150,Milestones!$AA$190),"dd mmm yy"))&amp;" "&amp;Milestones!$AB$190&amp;" "&amp;Milestones!$AC$190&amp;";  ","")&amp;IF(AND(EDATE($D150,Milestones!$AA$191)&lt;=AsOfDate,IF($R150=0,$X150,IF(AND($T150&lt;&gt;"",EDATE($D150,Milestones!$AA$191)&gt;=$T150),$W150,IF(AND($S150&lt;&gt;"",EDATE($D150,Milestones!$AA$191)&gt;=$S150),$V150,$U150)))=Milestones!$AB$191),UPPER(TEXT(EDATE($D150,Milestones!$AA$191),"dd mmm yy"))&amp;" "&amp;Milestones!$AB$191&amp;" "&amp;Milestones!$AC$191&amp;";  ","")&amp;IF(AND(EDATE($D150,Milestones!$AA$192)&lt;=AsOfDate,IF($R150=0,$X150,IF(AND($T150&lt;&gt;"",EDATE($D150,Milestones!$AA$192)&gt;=$T150),$W150,IF(AND($S150&lt;&gt;"",EDATE($D150,Milestones!$AA$192)&gt;=$S150),$V150,$U150)))=Milestones!$AB$192),UPPER(TEXT(EDATE($D150,Milestones!$AA$192),"dd mmm yy"))&amp;" "&amp;Milestones!$AB$192&amp;" "&amp;Milestones!$AC$192&amp;";  ","")&amp;IF(AND(EDATE($D150,Milestones!$AA$193)&lt;=AsOfDate,IF($R150=0,$X150,IF(AND($T150&lt;&gt;"",EDATE($D150,Milestones!$AA$193)&gt;=$T150),$W150,IF(AND($S150&lt;&gt;"",EDATE($D150,Milestones!$AA$193)&gt;=$S150),$V150,$U150)))=Milestones!$AB$193),UPPER(TEXT(EDATE($D150,Milestones!$AA$193),"dd mmm yy"))&amp;" "&amp;Milestones!$AB$193&amp;" "&amp;Milestones!$AC$193&amp;";  ","")&amp;IF(AND(EDATE($D150,Milestones!$AA$194)&lt;=AsOfDate,IF($R150=0,$X150,IF(AND($T150&lt;&gt;"",EDATE($D150,Milestones!$AA$194)&gt;=$T150),$W150,IF(AND($S150&lt;&gt;"",EDATE($D150,Milestones!$AA$194)&gt;=$S150),$V150,$U150)))=Milestones!$AB$194),UPPER(TEXT(EDATE($D150,Milestones!$AA$194),"dd mmm yy"))&amp;" "&amp;Milestones!$AB$194&amp;" "&amp;Milestones!$AC$194&amp;";  ","")&amp;IF(AND(EDATE($D150,Milestones!$AA$195)&lt;=AsOfDate,IF($R150=0,$X150,IF(AND($T150&lt;&gt;"",EDATE($D150,Milestones!$AA$195)&gt;=$T150),$W150,IF(AND($S150&lt;&gt;"",EDATE($D150,Milestones!$AA$195)&gt;=$S150),$V150,$U150)))=Milestones!$AB$195),UPPER(TEXT(EDATE($D150,Milestones!$AA$195),"dd mmm yy"))&amp;" "&amp;Milestones!$AB$195&amp;" "&amp;Milestones!$AC$195&amp;";  ","")&amp;IF(AND(EDATE($D150,Milestones!$AA$196)&lt;=AsOfDate,IF($R150=0,$X150,IF(AND($T150&lt;&gt;"",EDATE($D150,Milestones!$AA$196)&gt;=$T150),$W150,IF(AND($S150&lt;&gt;"",EDATE($D150,Milestones!$AA$196)&gt;=$S150),$V150,$U150)))=Milestones!$AB$196),UPPER(TEXT(EDATE($D150,Milestones!$AA$196),"dd mmm yy"))&amp;" "&amp;Milestones!$AB$196&amp;" "&amp;Milestones!$AC$196&amp;";  ","")&amp;IF(AND(EDATE($D150,Milestones!$AA$197)&lt;=AsOfDate,IF($R150=0,$X150,IF(AND($T150&lt;&gt;"",EDATE($D150,Milestones!$AA$197)&gt;=$T150),$W150,IF(AND($S150&lt;&gt;"",EDATE($D150,Milestones!$AA$197)&gt;=$S150),$V150,$U150)))=Milestones!$AB$197),UPPER(TEXT(EDATE($D150,Milestones!$AA$197),"dd mmm yy"))&amp;" "&amp;Milestones!$AB$197&amp;" "&amp;Milestones!$AC$197&amp;";  ","")&amp;IF(AND(EDATE($D150,Milestones!$AA$198)&lt;=AsOfDate,IF($R150=0,$X150,IF(AND($T150&lt;&gt;"",EDATE($D150,Milestones!$AA$198)&gt;=$T150),$W150,IF(AND($S150&lt;&gt;"",EDATE($D150,Milestones!$AA$198)&gt;=$S150),$V150,$U150)))=Milestones!$AB$198),UPPER(TEXT(EDATE($D150,Milestones!$AA$198),"dd mmm yy"))&amp;" "&amp;Milestones!$AB$198&amp;" "&amp;Milestones!$AC$198&amp;";  ","")&amp;IF(AND(EDATE($D150,Milestones!$AA$199)&lt;=AsOfDate,IF($R150=0,$X150,IF(AND($T150&lt;&gt;"",EDATE($D150,Milestones!$AA$199)&gt;=$T150),$W150,IF(AND($S150&lt;&gt;"",EDATE($D150,Milestones!$AA$199)&gt;=$S150),$V150,$U150)))=Milestones!$AB$199),UPPER(TEXT(EDATE($D150,Milestones!$AA$199),"dd mmm yy"))&amp;" "&amp;Milestones!$AB$199&amp;" "&amp;Milestones!$AC$199&amp;";  ",""))</f>
        <v/>
      </c>
      <c r="R150" s="0" t="str">
        <f aca="false">IF(Staff!$A150="","",Staff!$AI150)</f>
        <v/>
      </c>
      <c r="S150" s="0" t="str">
        <f aca="false">IF(Staff!$A150="","",Staff!$AK150)</f>
        <v/>
      </c>
      <c r="T150" s="0" t="str">
        <f aca="false">IF(Staff!$A150="","",Staff!$AL150)</f>
        <v/>
      </c>
      <c r="U150" s="0" t="str">
        <f aca="false">IF(Staff!$A150="","",Staff!$AP150)</f>
        <v/>
      </c>
      <c r="V150" s="0" t="str">
        <f aca="false">IF(Staff!$A150="","",Staff!$AQ150)</f>
        <v/>
      </c>
      <c r="W150" s="0" t="str">
        <f aca="false">IF(Staff!$A150="","",Staff!$AR150)</f>
        <v/>
      </c>
      <c r="X150" s="0" t="str">
        <f aca="false">IF(Staff!$A150="","",Staff!$AS150)</f>
        <v/>
      </c>
    </row>
    <row r="151" customFormat="false" ht="15" hidden="false" customHeight="false" outlineLevel="0" collapsed="false">
      <c r="A151" s="14" t="str">
        <f aca="false">IF(Staff!$A151="","",Staff!$A151)</f>
        <v/>
      </c>
      <c r="B151" s="14" t="str">
        <f aca="false">IF(Staff!$A151="","",Staff!$B151)</f>
        <v/>
      </c>
      <c r="C151" s="14" t="str">
        <f aca="false">IF(Staff!$A151="","",Staff!$C151)</f>
        <v/>
      </c>
      <c r="D151" s="12" t="str">
        <f aca="false">IF(Staff!$A151="","",Staff!$AH151)</f>
        <v/>
      </c>
      <c r="E151" s="14" t="str">
        <f aca="false">IF(Staff!$A151="","",Staff!$O151)</f>
        <v/>
      </c>
      <c r="F151" s="14" t="str">
        <f aca="false">IF(E151="","",E151*HoursPerDay)</f>
        <v/>
      </c>
      <c r="G151" s="14" t="str">
        <f aca="false">IF(Staff!$A151="","",Staff!$AE151)</f>
        <v/>
      </c>
      <c r="H151" s="26" t="str">
        <f aca="false">IF($A151="","",I151&amp;J151&amp;K151&amp;L151&amp;M151&amp;N151&amp;O151&amp;P151&amp;Q151)</f>
        <v/>
      </c>
      <c r="I151" s="0" t="str">
        <f aca="false">IF(OR($A151="",$D151=""),"",IF(AND(EDATE($D151,Milestones!$AA$20)&lt;=AsOfDate,IF($R151=0,$X151,IF(AND($T151&lt;&gt;"",EDATE($D151,Milestones!$AA$20)&gt;=$T151),$W151,IF(AND($S151&lt;&gt;"",EDATE($D151,Milestones!$AA$20)&gt;=$S151),$V151,$U151)))=Milestones!$AB$20),UPPER(TEXT(EDATE($D151,Milestones!$AA$20),"dd mmm yy"))&amp;" "&amp;Milestones!$AB$20&amp;" "&amp;Milestones!$AC$20&amp;";  ","")&amp;IF(AND(EDATE($D151,Milestones!$AA$21)&lt;=AsOfDate,IF($R151=0,$X151,IF(AND($T151&lt;&gt;"",EDATE($D151,Milestones!$AA$21)&gt;=$T151),$W151,IF(AND($S151&lt;&gt;"",EDATE($D151,Milestones!$AA$21)&gt;=$S151),$V151,$U151)))=Milestones!$AB$21),UPPER(TEXT(EDATE($D151,Milestones!$AA$21),"dd mmm yy"))&amp;" "&amp;Milestones!$AB$21&amp;" "&amp;Milestones!$AC$21&amp;";  ","")&amp;IF(AND(EDATE($D151,Milestones!$AA$22)&lt;=AsOfDate,IF($R151=0,$X151,IF(AND($T151&lt;&gt;"",EDATE($D151,Milestones!$AA$22)&gt;=$T151),$W151,IF(AND($S151&lt;&gt;"",EDATE($D151,Milestones!$AA$22)&gt;=$S151),$V151,$U151)))=Milestones!$AB$22),UPPER(TEXT(EDATE($D151,Milestones!$AA$22),"dd mmm yy"))&amp;" "&amp;Milestones!$AB$22&amp;" "&amp;Milestones!$AC$22&amp;";  ","")&amp;IF(AND(EDATE($D151,Milestones!$AA$23)&lt;=AsOfDate,IF($R151=0,$X151,IF(AND($T151&lt;&gt;"",EDATE($D151,Milestones!$AA$23)&gt;=$T151),$W151,IF(AND($S151&lt;&gt;"",EDATE($D151,Milestones!$AA$23)&gt;=$S151),$V151,$U151)))=Milestones!$AB$23),UPPER(TEXT(EDATE($D151,Milestones!$AA$23),"dd mmm yy"))&amp;" "&amp;Milestones!$AB$23&amp;" "&amp;Milestones!$AC$23&amp;";  ","")&amp;IF(AND(EDATE($D151,Milestones!$AA$24)&lt;=AsOfDate,IF($R151=0,$X151,IF(AND($T151&lt;&gt;"",EDATE($D151,Milestones!$AA$24)&gt;=$T151),$W151,IF(AND($S151&lt;&gt;"",EDATE($D151,Milestones!$AA$24)&gt;=$S151),$V151,$U151)))=Milestones!$AB$24),UPPER(TEXT(EDATE($D151,Milestones!$AA$24),"dd mmm yy"))&amp;" "&amp;Milestones!$AB$24&amp;" "&amp;Milestones!$AC$24&amp;";  ","")&amp;IF(AND(EDATE($D151,Milestones!$AA$25)&lt;=AsOfDate,IF($R151=0,$X151,IF(AND($T151&lt;&gt;"",EDATE($D151,Milestones!$AA$25)&gt;=$T151),$W151,IF(AND($S151&lt;&gt;"",EDATE($D151,Milestones!$AA$25)&gt;=$S151),$V151,$U151)))=Milestones!$AB$25),UPPER(TEXT(EDATE($D151,Milestones!$AA$25),"dd mmm yy"))&amp;" "&amp;Milestones!$AB$25&amp;" "&amp;Milestones!$AC$25&amp;";  ","")&amp;IF(AND(EDATE($D151,Milestones!$AA$26)&lt;=AsOfDate,IF($R151=0,$X151,IF(AND($T151&lt;&gt;"",EDATE($D151,Milestones!$AA$26)&gt;=$T151),$W151,IF(AND($S151&lt;&gt;"",EDATE($D151,Milestones!$AA$26)&gt;=$S151),$V151,$U151)))=Milestones!$AB$26),UPPER(TEXT(EDATE($D151,Milestones!$AA$26),"dd mmm yy"))&amp;" "&amp;Milestones!$AB$26&amp;" "&amp;Milestones!$AC$26&amp;";  ","")&amp;IF(AND(EDATE($D151,Milestones!$AA$27)&lt;=AsOfDate,IF($R151=0,$X151,IF(AND($T151&lt;&gt;"",EDATE($D151,Milestones!$AA$27)&gt;=$T151),$W151,IF(AND($S151&lt;&gt;"",EDATE($D151,Milestones!$AA$27)&gt;=$S151),$V151,$U151)))=Milestones!$AB$27),UPPER(TEXT(EDATE($D151,Milestones!$AA$27),"dd mmm yy"))&amp;" "&amp;Milestones!$AB$27&amp;" "&amp;Milestones!$AC$27&amp;";  ","")&amp;IF(AND(EDATE($D151,Milestones!$AA$28)&lt;=AsOfDate,IF($R151=0,$X151,IF(AND($T151&lt;&gt;"",EDATE($D151,Milestones!$AA$28)&gt;=$T151),$W151,IF(AND($S151&lt;&gt;"",EDATE($D151,Milestones!$AA$28)&gt;=$S151),$V151,$U151)))=Milestones!$AB$28),UPPER(TEXT(EDATE($D151,Milestones!$AA$28),"dd mmm yy"))&amp;" "&amp;Milestones!$AB$28&amp;" "&amp;Milestones!$AC$28&amp;";  ","")&amp;IF(AND(EDATE($D151,Milestones!$AA$29)&lt;=AsOfDate,IF($R151=0,$X151,IF(AND($T151&lt;&gt;"",EDATE($D151,Milestones!$AA$29)&gt;=$T151),$W151,IF(AND($S151&lt;&gt;"",EDATE($D151,Milestones!$AA$29)&gt;=$S151),$V151,$U151)))=Milestones!$AB$29),UPPER(TEXT(EDATE($D151,Milestones!$AA$29),"dd mmm yy"))&amp;" "&amp;Milestones!$AB$29&amp;" "&amp;Milestones!$AC$29&amp;";  ","")&amp;IF(AND(EDATE($D151,Milestones!$AA$30)&lt;=AsOfDate,IF($R151=0,$X151,IF(AND($T151&lt;&gt;"",EDATE($D151,Milestones!$AA$30)&gt;=$T151),$W151,IF(AND($S151&lt;&gt;"",EDATE($D151,Milestones!$AA$30)&gt;=$S151),$V151,$U151)))=Milestones!$AB$30),UPPER(TEXT(EDATE($D151,Milestones!$AA$30),"dd mmm yy"))&amp;" "&amp;Milestones!$AB$30&amp;" "&amp;Milestones!$AC$30&amp;";  ","")&amp;IF(AND(EDATE($D151,Milestones!$AA$31)&lt;=AsOfDate,IF($R151=0,$X151,IF(AND($T151&lt;&gt;"",EDATE($D151,Milestones!$AA$31)&gt;=$T151),$W151,IF(AND($S151&lt;&gt;"",EDATE($D151,Milestones!$AA$31)&gt;=$S151),$V151,$U151)))=Milestones!$AB$31),UPPER(TEXT(EDATE($D151,Milestones!$AA$31),"dd mmm yy"))&amp;" "&amp;Milestones!$AB$31&amp;" "&amp;Milestones!$AC$31&amp;";  ","")&amp;IF(AND(EDATE($D151,Milestones!$AA$32)&lt;=AsOfDate,IF($R151=0,$X151,IF(AND($T151&lt;&gt;"",EDATE($D151,Milestones!$AA$32)&gt;=$T151),$W151,IF(AND($S151&lt;&gt;"",EDATE($D151,Milestones!$AA$32)&gt;=$S151),$V151,$U151)))=Milestones!$AB$32),UPPER(TEXT(EDATE($D151,Milestones!$AA$32),"dd mmm yy"))&amp;" "&amp;Milestones!$AB$32&amp;" "&amp;Milestones!$AC$32&amp;";  ","")&amp;IF(AND(EDATE($D151,Milestones!$AA$33)&lt;=AsOfDate,IF($R151=0,$X151,IF(AND($T151&lt;&gt;"",EDATE($D151,Milestones!$AA$33)&gt;=$T151),$W151,IF(AND($S151&lt;&gt;"",EDATE($D151,Milestones!$AA$33)&gt;=$S151),$V151,$U151)))=Milestones!$AB$33),UPPER(TEXT(EDATE($D151,Milestones!$AA$33),"dd mmm yy"))&amp;" "&amp;Milestones!$AB$33&amp;" "&amp;Milestones!$AC$33&amp;";  ","")&amp;IF(AND(EDATE($D151,Milestones!$AA$34)&lt;=AsOfDate,IF($R151=0,$X151,IF(AND($T151&lt;&gt;"",EDATE($D151,Milestones!$AA$34)&gt;=$T151),$W151,IF(AND($S151&lt;&gt;"",EDATE($D151,Milestones!$AA$34)&gt;=$S151),$V151,$U151)))=Milestones!$AB$34),UPPER(TEXT(EDATE($D151,Milestones!$AA$34),"dd mmm yy"))&amp;" "&amp;Milestones!$AB$34&amp;" "&amp;Milestones!$AC$34&amp;";  ","")&amp;IF(AND(EDATE($D151,Milestones!$AA$35)&lt;=AsOfDate,IF($R151=0,$X151,IF(AND($T151&lt;&gt;"",EDATE($D151,Milestones!$AA$35)&gt;=$T151),$W151,IF(AND($S151&lt;&gt;"",EDATE($D151,Milestones!$AA$35)&gt;=$S151),$V151,$U151)))=Milestones!$AB$35),UPPER(TEXT(EDATE($D151,Milestones!$AA$35),"dd mmm yy"))&amp;" "&amp;Milestones!$AB$35&amp;" "&amp;Milestones!$AC$35&amp;";  ","")&amp;IF(AND(EDATE($D151,Milestones!$AA$36)&lt;=AsOfDate,IF($R151=0,$X151,IF(AND($T151&lt;&gt;"",EDATE($D151,Milestones!$AA$36)&gt;=$T151),$W151,IF(AND($S151&lt;&gt;"",EDATE($D151,Milestones!$AA$36)&gt;=$S151),$V151,$U151)))=Milestones!$AB$36),UPPER(TEXT(EDATE($D151,Milestones!$AA$36),"dd mmm yy"))&amp;" "&amp;Milestones!$AB$36&amp;" "&amp;Milestones!$AC$36&amp;";  ","")&amp;IF(AND(EDATE($D151,Milestones!$AA$37)&lt;=AsOfDate,IF($R151=0,$X151,IF(AND($T151&lt;&gt;"",EDATE($D151,Milestones!$AA$37)&gt;=$T151),$W151,IF(AND($S151&lt;&gt;"",EDATE($D151,Milestones!$AA$37)&gt;=$S151),$V151,$U151)))=Milestones!$AB$37),UPPER(TEXT(EDATE($D151,Milestones!$AA$37),"dd mmm yy"))&amp;" "&amp;Milestones!$AB$37&amp;" "&amp;Milestones!$AC$37&amp;";  ","")&amp;IF(AND(EDATE($D151,Milestones!$AA$38)&lt;=AsOfDate,IF($R151=0,$X151,IF(AND($T151&lt;&gt;"",EDATE($D151,Milestones!$AA$38)&gt;=$T151),$W151,IF(AND($S151&lt;&gt;"",EDATE($D151,Milestones!$AA$38)&gt;=$S151),$V151,$U151)))=Milestones!$AB$38),UPPER(TEXT(EDATE($D151,Milestones!$AA$38),"dd mmm yy"))&amp;" "&amp;Milestones!$AB$38&amp;" "&amp;Milestones!$AC$38&amp;";  ","")&amp;IF(AND(EDATE($D151,Milestones!$AA$39)&lt;=AsOfDate,IF($R151=0,$X151,IF(AND($T151&lt;&gt;"",EDATE($D151,Milestones!$AA$39)&gt;=$T151),$W151,IF(AND($S151&lt;&gt;"",EDATE($D151,Milestones!$AA$39)&gt;=$S151),$V151,$U151)))=Milestones!$AB$39),UPPER(TEXT(EDATE($D151,Milestones!$AA$39),"dd mmm yy"))&amp;" "&amp;Milestones!$AB$39&amp;" "&amp;Milestones!$AC$39&amp;";  ",""))</f>
        <v/>
      </c>
      <c r="J151" s="0" t="str">
        <f aca="false">IF(OR($A151="",$D151=""),"",IF(AND(EDATE($D151,Milestones!$AA$40)&lt;=AsOfDate,IF($R151=0,$X151,IF(AND($T151&lt;&gt;"",EDATE($D151,Milestones!$AA$40)&gt;=$T151),$W151,IF(AND($S151&lt;&gt;"",EDATE($D151,Milestones!$AA$40)&gt;=$S151),$V151,$U151)))=Milestones!$AB$40),UPPER(TEXT(EDATE($D151,Milestones!$AA$40),"dd mmm yy"))&amp;" "&amp;Milestones!$AB$40&amp;" "&amp;Milestones!$AC$40&amp;";  ","")&amp;IF(AND(EDATE($D151,Milestones!$AA$41)&lt;=AsOfDate,IF($R151=0,$X151,IF(AND($T151&lt;&gt;"",EDATE($D151,Milestones!$AA$41)&gt;=$T151),$W151,IF(AND($S151&lt;&gt;"",EDATE($D151,Milestones!$AA$41)&gt;=$S151),$V151,$U151)))=Milestones!$AB$41),UPPER(TEXT(EDATE($D151,Milestones!$AA$41),"dd mmm yy"))&amp;" "&amp;Milestones!$AB$41&amp;" "&amp;Milestones!$AC$41&amp;";  ","")&amp;IF(AND(EDATE($D151,Milestones!$AA$42)&lt;=AsOfDate,IF($R151=0,$X151,IF(AND($T151&lt;&gt;"",EDATE($D151,Milestones!$AA$42)&gt;=$T151),$W151,IF(AND($S151&lt;&gt;"",EDATE($D151,Milestones!$AA$42)&gt;=$S151),$V151,$U151)))=Milestones!$AB$42),UPPER(TEXT(EDATE($D151,Milestones!$AA$42),"dd mmm yy"))&amp;" "&amp;Milestones!$AB$42&amp;" "&amp;Milestones!$AC$42&amp;";  ","")&amp;IF(AND(EDATE($D151,Milestones!$AA$43)&lt;=AsOfDate,IF($R151=0,$X151,IF(AND($T151&lt;&gt;"",EDATE($D151,Milestones!$AA$43)&gt;=$T151),$W151,IF(AND($S151&lt;&gt;"",EDATE($D151,Milestones!$AA$43)&gt;=$S151),$V151,$U151)))=Milestones!$AB$43),UPPER(TEXT(EDATE($D151,Milestones!$AA$43),"dd mmm yy"))&amp;" "&amp;Milestones!$AB$43&amp;" "&amp;Milestones!$AC$43&amp;";  ","")&amp;IF(AND(EDATE($D151,Milestones!$AA$44)&lt;=AsOfDate,IF($R151=0,$X151,IF(AND($T151&lt;&gt;"",EDATE($D151,Milestones!$AA$44)&gt;=$T151),$W151,IF(AND($S151&lt;&gt;"",EDATE($D151,Milestones!$AA$44)&gt;=$S151),$V151,$U151)))=Milestones!$AB$44),UPPER(TEXT(EDATE($D151,Milestones!$AA$44),"dd mmm yy"))&amp;" "&amp;Milestones!$AB$44&amp;" "&amp;Milestones!$AC$44&amp;";  ","")&amp;IF(AND(EDATE($D151,Milestones!$AA$45)&lt;=AsOfDate,IF($R151=0,$X151,IF(AND($T151&lt;&gt;"",EDATE($D151,Milestones!$AA$45)&gt;=$T151),$W151,IF(AND($S151&lt;&gt;"",EDATE($D151,Milestones!$AA$45)&gt;=$S151),$V151,$U151)))=Milestones!$AB$45),UPPER(TEXT(EDATE($D151,Milestones!$AA$45),"dd mmm yy"))&amp;" "&amp;Milestones!$AB$45&amp;" "&amp;Milestones!$AC$45&amp;";  ","")&amp;IF(AND(EDATE($D151,Milestones!$AA$46)&lt;=AsOfDate,IF($R151=0,$X151,IF(AND($T151&lt;&gt;"",EDATE($D151,Milestones!$AA$46)&gt;=$T151),$W151,IF(AND($S151&lt;&gt;"",EDATE($D151,Milestones!$AA$46)&gt;=$S151),$V151,$U151)))=Milestones!$AB$46),UPPER(TEXT(EDATE($D151,Milestones!$AA$46),"dd mmm yy"))&amp;" "&amp;Milestones!$AB$46&amp;" "&amp;Milestones!$AC$46&amp;";  ","")&amp;IF(AND(EDATE($D151,Milestones!$AA$47)&lt;=AsOfDate,IF($R151=0,$X151,IF(AND($T151&lt;&gt;"",EDATE($D151,Milestones!$AA$47)&gt;=$T151),$W151,IF(AND($S151&lt;&gt;"",EDATE($D151,Milestones!$AA$47)&gt;=$S151),$V151,$U151)))=Milestones!$AB$47),UPPER(TEXT(EDATE($D151,Milestones!$AA$47),"dd mmm yy"))&amp;" "&amp;Milestones!$AB$47&amp;" "&amp;Milestones!$AC$47&amp;";  ","")&amp;IF(AND(EDATE($D151,Milestones!$AA$48)&lt;=AsOfDate,IF($R151=0,$X151,IF(AND($T151&lt;&gt;"",EDATE($D151,Milestones!$AA$48)&gt;=$T151),$W151,IF(AND($S151&lt;&gt;"",EDATE($D151,Milestones!$AA$48)&gt;=$S151),$V151,$U151)))=Milestones!$AB$48),UPPER(TEXT(EDATE($D151,Milestones!$AA$48),"dd mmm yy"))&amp;" "&amp;Milestones!$AB$48&amp;" "&amp;Milestones!$AC$48&amp;";  ","")&amp;IF(AND(EDATE($D151,Milestones!$AA$49)&lt;=AsOfDate,IF($R151=0,$X151,IF(AND($T151&lt;&gt;"",EDATE($D151,Milestones!$AA$49)&gt;=$T151),$W151,IF(AND($S151&lt;&gt;"",EDATE($D151,Milestones!$AA$49)&gt;=$S151),$V151,$U151)))=Milestones!$AB$49),UPPER(TEXT(EDATE($D151,Milestones!$AA$49),"dd mmm yy"))&amp;" "&amp;Milestones!$AB$49&amp;" "&amp;Milestones!$AC$49&amp;";  ","")&amp;IF(AND(EDATE($D151,Milestones!$AA$50)&lt;=AsOfDate,IF($R151=0,$X151,IF(AND($T151&lt;&gt;"",EDATE($D151,Milestones!$AA$50)&gt;=$T151),$W151,IF(AND($S151&lt;&gt;"",EDATE($D151,Milestones!$AA$50)&gt;=$S151),$V151,$U151)))=Milestones!$AB$50),UPPER(TEXT(EDATE($D151,Milestones!$AA$50),"dd mmm yy"))&amp;" "&amp;Milestones!$AB$50&amp;" "&amp;Milestones!$AC$50&amp;";  ","")&amp;IF(AND(EDATE($D151,Milestones!$AA$51)&lt;=AsOfDate,IF($R151=0,$X151,IF(AND($T151&lt;&gt;"",EDATE($D151,Milestones!$AA$51)&gt;=$T151),$W151,IF(AND($S151&lt;&gt;"",EDATE($D151,Milestones!$AA$51)&gt;=$S151),$V151,$U151)))=Milestones!$AB$51),UPPER(TEXT(EDATE($D151,Milestones!$AA$51),"dd mmm yy"))&amp;" "&amp;Milestones!$AB$51&amp;" "&amp;Milestones!$AC$51&amp;";  ","")&amp;IF(AND(EDATE($D151,Milestones!$AA$52)&lt;=AsOfDate,IF($R151=0,$X151,IF(AND($T151&lt;&gt;"",EDATE($D151,Milestones!$AA$52)&gt;=$T151),$W151,IF(AND($S151&lt;&gt;"",EDATE($D151,Milestones!$AA$52)&gt;=$S151),$V151,$U151)))=Milestones!$AB$52),UPPER(TEXT(EDATE($D151,Milestones!$AA$52),"dd mmm yy"))&amp;" "&amp;Milestones!$AB$52&amp;" "&amp;Milestones!$AC$52&amp;";  ","")&amp;IF(AND(EDATE($D151,Milestones!$AA$53)&lt;=AsOfDate,IF($R151=0,$X151,IF(AND($T151&lt;&gt;"",EDATE($D151,Milestones!$AA$53)&gt;=$T151),$W151,IF(AND($S151&lt;&gt;"",EDATE($D151,Milestones!$AA$53)&gt;=$S151),$V151,$U151)))=Milestones!$AB$53),UPPER(TEXT(EDATE($D151,Milestones!$AA$53),"dd mmm yy"))&amp;" "&amp;Milestones!$AB$53&amp;" "&amp;Milestones!$AC$53&amp;";  ","")&amp;IF(AND(EDATE($D151,Milestones!$AA$54)&lt;=AsOfDate,IF($R151=0,$X151,IF(AND($T151&lt;&gt;"",EDATE($D151,Milestones!$AA$54)&gt;=$T151),$W151,IF(AND($S151&lt;&gt;"",EDATE($D151,Milestones!$AA$54)&gt;=$S151),$V151,$U151)))=Milestones!$AB$54),UPPER(TEXT(EDATE($D151,Milestones!$AA$54),"dd mmm yy"))&amp;" "&amp;Milestones!$AB$54&amp;" "&amp;Milestones!$AC$54&amp;";  ","")&amp;IF(AND(EDATE($D151,Milestones!$AA$55)&lt;=AsOfDate,IF($R151=0,$X151,IF(AND($T151&lt;&gt;"",EDATE($D151,Milestones!$AA$55)&gt;=$T151),$W151,IF(AND($S151&lt;&gt;"",EDATE($D151,Milestones!$AA$55)&gt;=$S151),$V151,$U151)))=Milestones!$AB$55),UPPER(TEXT(EDATE($D151,Milestones!$AA$55),"dd mmm yy"))&amp;" "&amp;Milestones!$AB$55&amp;" "&amp;Milestones!$AC$55&amp;";  ","")&amp;IF(AND(EDATE($D151,Milestones!$AA$56)&lt;=AsOfDate,IF($R151=0,$X151,IF(AND($T151&lt;&gt;"",EDATE($D151,Milestones!$AA$56)&gt;=$T151),$W151,IF(AND($S151&lt;&gt;"",EDATE($D151,Milestones!$AA$56)&gt;=$S151),$V151,$U151)))=Milestones!$AB$56),UPPER(TEXT(EDATE($D151,Milestones!$AA$56),"dd mmm yy"))&amp;" "&amp;Milestones!$AB$56&amp;" "&amp;Milestones!$AC$56&amp;";  ","")&amp;IF(AND(EDATE($D151,Milestones!$AA$57)&lt;=AsOfDate,IF($R151=0,$X151,IF(AND($T151&lt;&gt;"",EDATE($D151,Milestones!$AA$57)&gt;=$T151),$W151,IF(AND($S151&lt;&gt;"",EDATE($D151,Milestones!$AA$57)&gt;=$S151),$V151,$U151)))=Milestones!$AB$57),UPPER(TEXT(EDATE($D151,Milestones!$AA$57),"dd mmm yy"))&amp;" "&amp;Milestones!$AB$57&amp;" "&amp;Milestones!$AC$57&amp;";  ","")&amp;IF(AND(EDATE($D151,Milestones!$AA$58)&lt;=AsOfDate,IF($R151=0,$X151,IF(AND($T151&lt;&gt;"",EDATE($D151,Milestones!$AA$58)&gt;=$T151),$W151,IF(AND($S151&lt;&gt;"",EDATE($D151,Milestones!$AA$58)&gt;=$S151),$V151,$U151)))=Milestones!$AB$58),UPPER(TEXT(EDATE($D151,Milestones!$AA$58),"dd mmm yy"))&amp;" "&amp;Milestones!$AB$58&amp;" "&amp;Milestones!$AC$58&amp;";  ","")&amp;IF(AND(EDATE($D151,Milestones!$AA$59)&lt;=AsOfDate,IF($R151=0,$X151,IF(AND($T151&lt;&gt;"",EDATE($D151,Milestones!$AA$59)&gt;=$T151),$W151,IF(AND($S151&lt;&gt;"",EDATE($D151,Milestones!$AA$59)&gt;=$S151),$V151,$U151)))=Milestones!$AB$59),UPPER(TEXT(EDATE($D151,Milestones!$AA$59),"dd mmm yy"))&amp;" "&amp;Milestones!$AB$59&amp;" "&amp;Milestones!$AC$59&amp;";  ",""))</f>
        <v/>
      </c>
      <c r="K151" s="0" t="str">
        <f aca="false">IF(OR($A151="",$D151=""),"",IF(AND(EDATE($D151,Milestones!$AA$60)&lt;=AsOfDate,IF($R151=0,$X151,IF(AND($T151&lt;&gt;"",EDATE($D151,Milestones!$AA$60)&gt;=$T151),$W151,IF(AND($S151&lt;&gt;"",EDATE($D151,Milestones!$AA$60)&gt;=$S151),$V151,$U151)))=Milestones!$AB$60),UPPER(TEXT(EDATE($D151,Milestones!$AA$60),"dd mmm yy"))&amp;" "&amp;Milestones!$AB$60&amp;" "&amp;Milestones!$AC$60&amp;";  ","")&amp;IF(AND(EDATE($D151,Milestones!$AA$61)&lt;=AsOfDate,IF($R151=0,$X151,IF(AND($T151&lt;&gt;"",EDATE($D151,Milestones!$AA$61)&gt;=$T151),$W151,IF(AND($S151&lt;&gt;"",EDATE($D151,Milestones!$AA$61)&gt;=$S151),$V151,$U151)))=Milestones!$AB$61),UPPER(TEXT(EDATE($D151,Milestones!$AA$61),"dd mmm yy"))&amp;" "&amp;Milestones!$AB$61&amp;" "&amp;Milestones!$AC$61&amp;";  ","")&amp;IF(AND(EDATE($D151,Milestones!$AA$62)&lt;=AsOfDate,IF($R151=0,$X151,IF(AND($T151&lt;&gt;"",EDATE($D151,Milestones!$AA$62)&gt;=$T151),$W151,IF(AND($S151&lt;&gt;"",EDATE($D151,Milestones!$AA$62)&gt;=$S151),$V151,$U151)))=Milestones!$AB$62),UPPER(TEXT(EDATE($D151,Milestones!$AA$62),"dd mmm yy"))&amp;" "&amp;Milestones!$AB$62&amp;" "&amp;Milestones!$AC$62&amp;";  ","")&amp;IF(AND(EDATE($D151,Milestones!$AA$63)&lt;=AsOfDate,IF($R151=0,$X151,IF(AND($T151&lt;&gt;"",EDATE($D151,Milestones!$AA$63)&gt;=$T151),$W151,IF(AND($S151&lt;&gt;"",EDATE($D151,Milestones!$AA$63)&gt;=$S151),$V151,$U151)))=Milestones!$AB$63),UPPER(TEXT(EDATE($D151,Milestones!$AA$63),"dd mmm yy"))&amp;" "&amp;Milestones!$AB$63&amp;" "&amp;Milestones!$AC$63&amp;";  ","")&amp;IF(AND(EDATE($D151,Milestones!$AA$64)&lt;=AsOfDate,IF($R151=0,$X151,IF(AND($T151&lt;&gt;"",EDATE($D151,Milestones!$AA$64)&gt;=$T151),$W151,IF(AND($S151&lt;&gt;"",EDATE($D151,Milestones!$AA$64)&gt;=$S151),$V151,$U151)))=Milestones!$AB$64),UPPER(TEXT(EDATE($D151,Milestones!$AA$64),"dd mmm yy"))&amp;" "&amp;Milestones!$AB$64&amp;" "&amp;Milestones!$AC$64&amp;";  ","")&amp;IF(AND(EDATE($D151,Milestones!$AA$65)&lt;=AsOfDate,IF($R151=0,$X151,IF(AND($T151&lt;&gt;"",EDATE($D151,Milestones!$AA$65)&gt;=$T151),$W151,IF(AND($S151&lt;&gt;"",EDATE($D151,Milestones!$AA$65)&gt;=$S151),$V151,$U151)))=Milestones!$AB$65),UPPER(TEXT(EDATE($D151,Milestones!$AA$65),"dd mmm yy"))&amp;" "&amp;Milestones!$AB$65&amp;" "&amp;Milestones!$AC$65&amp;";  ","")&amp;IF(AND(EDATE($D151,Milestones!$AA$66)&lt;=AsOfDate,IF($R151=0,$X151,IF(AND($T151&lt;&gt;"",EDATE($D151,Milestones!$AA$66)&gt;=$T151),$W151,IF(AND($S151&lt;&gt;"",EDATE($D151,Milestones!$AA$66)&gt;=$S151),$V151,$U151)))=Milestones!$AB$66),UPPER(TEXT(EDATE($D151,Milestones!$AA$66),"dd mmm yy"))&amp;" "&amp;Milestones!$AB$66&amp;" "&amp;Milestones!$AC$66&amp;";  ","")&amp;IF(AND(EDATE($D151,Milestones!$AA$67)&lt;=AsOfDate,IF($R151=0,$X151,IF(AND($T151&lt;&gt;"",EDATE($D151,Milestones!$AA$67)&gt;=$T151),$W151,IF(AND($S151&lt;&gt;"",EDATE($D151,Milestones!$AA$67)&gt;=$S151),$V151,$U151)))=Milestones!$AB$67),UPPER(TEXT(EDATE($D151,Milestones!$AA$67),"dd mmm yy"))&amp;" "&amp;Milestones!$AB$67&amp;" "&amp;Milestones!$AC$67&amp;";  ","")&amp;IF(AND(EDATE($D151,Milestones!$AA$68)&lt;=AsOfDate,IF($R151=0,$X151,IF(AND($T151&lt;&gt;"",EDATE($D151,Milestones!$AA$68)&gt;=$T151),$W151,IF(AND($S151&lt;&gt;"",EDATE($D151,Milestones!$AA$68)&gt;=$S151),$V151,$U151)))=Milestones!$AB$68),UPPER(TEXT(EDATE($D151,Milestones!$AA$68),"dd mmm yy"))&amp;" "&amp;Milestones!$AB$68&amp;" "&amp;Milestones!$AC$68&amp;";  ","")&amp;IF(AND(EDATE($D151,Milestones!$AA$69)&lt;=AsOfDate,IF($R151=0,$X151,IF(AND($T151&lt;&gt;"",EDATE($D151,Milestones!$AA$69)&gt;=$T151),$W151,IF(AND($S151&lt;&gt;"",EDATE($D151,Milestones!$AA$69)&gt;=$S151),$V151,$U151)))=Milestones!$AB$69),UPPER(TEXT(EDATE($D151,Milestones!$AA$69),"dd mmm yy"))&amp;" "&amp;Milestones!$AB$69&amp;" "&amp;Milestones!$AC$69&amp;";  ","")&amp;IF(AND(EDATE($D151,Milestones!$AA$70)&lt;=AsOfDate,IF($R151=0,$X151,IF(AND($T151&lt;&gt;"",EDATE($D151,Milestones!$AA$70)&gt;=$T151),$W151,IF(AND($S151&lt;&gt;"",EDATE($D151,Milestones!$AA$70)&gt;=$S151),$V151,$U151)))=Milestones!$AB$70),UPPER(TEXT(EDATE($D151,Milestones!$AA$70),"dd mmm yy"))&amp;" "&amp;Milestones!$AB$70&amp;" "&amp;Milestones!$AC$70&amp;";  ","")&amp;IF(AND(EDATE($D151,Milestones!$AA$71)&lt;=AsOfDate,IF($R151=0,$X151,IF(AND($T151&lt;&gt;"",EDATE($D151,Milestones!$AA$71)&gt;=$T151),$W151,IF(AND($S151&lt;&gt;"",EDATE($D151,Milestones!$AA$71)&gt;=$S151),$V151,$U151)))=Milestones!$AB$71),UPPER(TEXT(EDATE($D151,Milestones!$AA$71),"dd mmm yy"))&amp;" "&amp;Milestones!$AB$71&amp;" "&amp;Milestones!$AC$71&amp;";  ","")&amp;IF(AND(EDATE($D151,Milestones!$AA$72)&lt;=AsOfDate,IF($R151=0,$X151,IF(AND($T151&lt;&gt;"",EDATE($D151,Milestones!$AA$72)&gt;=$T151),$W151,IF(AND($S151&lt;&gt;"",EDATE($D151,Milestones!$AA$72)&gt;=$S151),$V151,$U151)))=Milestones!$AB$72),UPPER(TEXT(EDATE($D151,Milestones!$AA$72),"dd mmm yy"))&amp;" "&amp;Milestones!$AB$72&amp;" "&amp;Milestones!$AC$72&amp;";  ","")&amp;IF(AND(EDATE($D151,Milestones!$AA$73)&lt;=AsOfDate,IF($R151=0,$X151,IF(AND($T151&lt;&gt;"",EDATE($D151,Milestones!$AA$73)&gt;=$T151),$W151,IF(AND($S151&lt;&gt;"",EDATE($D151,Milestones!$AA$73)&gt;=$S151),$V151,$U151)))=Milestones!$AB$73),UPPER(TEXT(EDATE($D151,Milestones!$AA$73),"dd mmm yy"))&amp;" "&amp;Milestones!$AB$73&amp;" "&amp;Milestones!$AC$73&amp;";  ","")&amp;IF(AND(EDATE($D151,Milestones!$AA$74)&lt;=AsOfDate,IF($R151=0,$X151,IF(AND($T151&lt;&gt;"",EDATE($D151,Milestones!$AA$74)&gt;=$T151),$W151,IF(AND($S151&lt;&gt;"",EDATE($D151,Milestones!$AA$74)&gt;=$S151),$V151,$U151)))=Milestones!$AB$74),UPPER(TEXT(EDATE($D151,Milestones!$AA$74),"dd mmm yy"))&amp;" "&amp;Milestones!$AB$74&amp;" "&amp;Milestones!$AC$74&amp;";  ","")&amp;IF(AND(EDATE($D151,Milestones!$AA$75)&lt;=AsOfDate,IF($R151=0,$X151,IF(AND($T151&lt;&gt;"",EDATE($D151,Milestones!$AA$75)&gt;=$T151),$W151,IF(AND($S151&lt;&gt;"",EDATE($D151,Milestones!$AA$75)&gt;=$S151),$V151,$U151)))=Milestones!$AB$75),UPPER(TEXT(EDATE($D151,Milestones!$AA$75),"dd mmm yy"))&amp;" "&amp;Milestones!$AB$75&amp;" "&amp;Milestones!$AC$75&amp;";  ","")&amp;IF(AND(EDATE($D151,Milestones!$AA$76)&lt;=AsOfDate,IF($R151=0,$X151,IF(AND($T151&lt;&gt;"",EDATE($D151,Milestones!$AA$76)&gt;=$T151),$W151,IF(AND($S151&lt;&gt;"",EDATE($D151,Milestones!$AA$76)&gt;=$S151),$V151,$U151)))=Milestones!$AB$76),UPPER(TEXT(EDATE($D151,Milestones!$AA$76),"dd mmm yy"))&amp;" "&amp;Milestones!$AB$76&amp;" "&amp;Milestones!$AC$76&amp;";  ","")&amp;IF(AND(EDATE($D151,Milestones!$AA$77)&lt;=AsOfDate,IF($R151=0,$X151,IF(AND($T151&lt;&gt;"",EDATE($D151,Milestones!$AA$77)&gt;=$T151),$W151,IF(AND($S151&lt;&gt;"",EDATE($D151,Milestones!$AA$77)&gt;=$S151),$V151,$U151)))=Milestones!$AB$77),UPPER(TEXT(EDATE($D151,Milestones!$AA$77),"dd mmm yy"))&amp;" "&amp;Milestones!$AB$77&amp;" "&amp;Milestones!$AC$77&amp;";  ","")&amp;IF(AND(EDATE($D151,Milestones!$AA$78)&lt;=AsOfDate,IF($R151=0,$X151,IF(AND($T151&lt;&gt;"",EDATE($D151,Milestones!$AA$78)&gt;=$T151),$W151,IF(AND($S151&lt;&gt;"",EDATE($D151,Milestones!$AA$78)&gt;=$S151),$V151,$U151)))=Milestones!$AB$78),UPPER(TEXT(EDATE($D151,Milestones!$AA$78),"dd mmm yy"))&amp;" "&amp;Milestones!$AB$78&amp;" "&amp;Milestones!$AC$78&amp;";  ","")&amp;IF(AND(EDATE($D151,Milestones!$AA$79)&lt;=AsOfDate,IF($R151=0,$X151,IF(AND($T151&lt;&gt;"",EDATE($D151,Milestones!$AA$79)&gt;=$T151),$W151,IF(AND($S151&lt;&gt;"",EDATE($D151,Milestones!$AA$79)&gt;=$S151),$V151,$U151)))=Milestones!$AB$79),UPPER(TEXT(EDATE($D151,Milestones!$AA$79),"dd mmm yy"))&amp;" "&amp;Milestones!$AB$79&amp;" "&amp;Milestones!$AC$79&amp;";  ",""))</f>
        <v/>
      </c>
      <c r="L151" s="0" t="str">
        <f aca="false">IF(OR($A151="",$D151=""),"",IF(AND(EDATE($D151,Milestones!$AA$80)&lt;=AsOfDate,IF($R151=0,$X151,IF(AND($T151&lt;&gt;"",EDATE($D151,Milestones!$AA$80)&gt;=$T151),$W151,IF(AND($S151&lt;&gt;"",EDATE($D151,Milestones!$AA$80)&gt;=$S151),$V151,$U151)))=Milestones!$AB$80),UPPER(TEXT(EDATE($D151,Milestones!$AA$80),"dd mmm yy"))&amp;" "&amp;Milestones!$AB$80&amp;" "&amp;Milestones!$AC$80&amp;";  ","")&amp;IF(AND(EDATE($D151,Milestones!$AA$81)&lt;=AsOfDate,IF($R151=0,$X151,IF(AND($T151&lt;&gt;"",EDATE($D151,Milestones!$AA$81)&gt;=$T151),$W151,IF(AND($S151&lt;&gt;"",EDATE($D151,Milestones!$AA$81)&gt;=$S151),$V151,$U151)))=Milestones!$AB$81),UPPER(TEXT(EDATE($D151,Milestones!$AA$81),"dd mmm yy"))&amp;" "&amp;Milestones!$AB$81&amp;" "&amp;Milestones!$AC$81&amp;";  ","")&amp;IF(AND(EDATE($D151,Milestones!$AA$82)&lt;=AsOfDate,IF($R151=0,$X151,IF(AND($T151&lt;&gt;"",EDATE($D151,Milestones!$AA$82)&gt;=$T151),$W151,IF(AND($S151&lt;&gt;"",EDATE($D151,Milestones!$AA$82)&gt;=$S151),$V151,$U151)))=Milestones!$AB$82),UPPER(TEXT(EDATE($D151,Milestones!$AA$82),"dd mmm yy"))&amp;" "&amp;Milestones!$AB$82&amp;" "&amp;Milestones!$AC$82&amp;";  ","")&amp;IF(AND(EDATE($D151,Milestones!$AA$83)&lt;=AsOfDate,IF($R151=0,$X151,IF(AND($T151&lt;&gt;"",EDATE($D151,Milestones!$AA$83)&gt;=$T151),$W151,IF(AND($S151&lt;&gt;"",EDATE($D151,Milestones!$AA$83)&gt;=$S151),$V151,$U151)))=Milestones!$AB$83),UPPER(TEXT(EDATE($D151,Milestones!$AA$83),"dd mmm yy"))&amp;" "&amp;Milestones!$AB$83&amp;" "&amp;Milestones!$AC$83&amp;";  ","")&amp;IF(AND(EDATE($D151,Milestones!$AA$84)&lt;=AsOfDate,IF($R151=0,$X151,IF(AND($T151&lt;&gt;"",EDATE($D151,Milestones!$AA$84)&gt;=$T151),$W151,IF(AND($S151&lt;&gt;"",EDATE($D151,Milestones!$AA$84)&gt;=$S151),$V151,$U151)))=Milestones!$AB$84),UPPER(TEXT(EDATE($D151,Milestones!$AA$84),"dd mmm yy"))&amp;" "&amp;Milestones!$AB$84&amp;" "&amp;Milestones!$AC$84&amp;";  ","")&amp;IF(AND(EDATE($D151,Milestones!$AA$85)&lt;=AsOfDate,IF($R151=0,$X151,IF(AND($T151&lt;&gt;"",EDATE($D151,Milestones!$AA$85)&gt;=$T151),$W151,IF(AND($S151&lt;&gt;"",EDATE($D151,Milestones!$AA$85)&gt;=$S151),$V151,$U151)))=Milestones!$AB$85),UPPER(TEXT(EDATE($D151,Milestones!$AA$85),"dd mmm yy"))&amp;" "&amp;Milestones!$AB$85&amp;" "&amp;Milestones!$AC$85&amp;";  ","")&amp;IF(AND(EDATE($D151,Milestones!$AA$86)&lt;=AsOfDate,IF($R151=0,$X151,IF(AND($T151&lt;&gt;"",EDATE($D151,Milestones!$AA$86)&gt;=$T151),$W151,IF(AND($S151&lt;&gt;"",EDATE($D151,Milestones!$AA$86)&gt;=$S151),$V151,$U151)))=Milestones!$AB$86),UPPER(TEXT(EDATE($D151,Milestones!$AA$86),"dd mmm yy"))&amp;" "&amp;Milestones!$AB$86&amp;" "&amp;Milestones!$AC$86&amp;";  ","")&amp;IF(AND(EDATE($D151,Milestones!$AA$87)&lt;=AsOfDate,IF($R151=0,$X151,IF(AND($T151&lt;&gt;"",EDATE($D151,Milestones!$AA$87)&gt;=$T151),$W151,IF(AND($S151&lt;&gt;"",EDATE($D151,Milestones!$AA$87)&gt;=$S151),$V151,$U151)))=Milestones!$AB$87),UPPER(TEXT(EDATE($D151,Milestones!$AA$87),"dd mmm yy"))&amp;" "&amp;Milestones!$AB$87&amp;" "&amp;Milestones!$AC$87&amp;";  ","")&amp;IF(AND(EDATE($D151,Milestones!$AA$88)&lt;=AsOfDate,IF($R151=0,$X151,IF(AND($T151&lt;&gt;"",EDATE($D151,Milestones!$AA$88)&gt;=$T151),$W151,IF(AND($S151&lt;&gt;"",EDATE($D151,Milestones!$AA$88)&gt;=$S151),$V151,$U151)))=Milestones!$AB$88),UPPER(TEXT(EDATE($D151,Milestones!$AA$88),"dd mmm yy"))&amp;" "&amp;Milestones!$AB$88&amp;" "&amp;Milestones!$AC$88&amp;";  ","")&amp;IF(AND(EDATE($D151,Milestones!$AA$89)&lt;=AsOfDate,IF($R151=0,$X151,IF(AND($T151&lt;&gt;"",EDATE($D151,Milestones!$AA$89)&gt;=$T151),$W151,IF(AND($S151&lt;&gt;"",EDATE($D151,Milestones!$AA$89)&gt;=$S151),$V151,$U151)))=Milestones!$AB$89),UPPER(TEXT(EDATE($D151,Milestones!$AA$89),"dd mmm yy"))&amp;" "&amp;Milestones!$AB$89&amp;" "&amp;Milestones!$AC$89&amp;";  ","")&amp;IF(AND(EDATE($D151,Milestones!$AA$90)&lt;=AsOfDate,IF($R151=0,$X151,IF(AND($T151&lt;&gt;"",EDATE($D151,Milestones!$AA$90)&gt;=$T151),$W151,IF(AND($S151&lt;&gt;"",EDATE($D151,Milestones!$AA$90)&gt;=$S151),$V151,$U151)))=Milestones!$AB$90),UPPER(TEXT(EDATE($D151,Milestones!$AA$90),"dd mmm yy"))&amp;" "&amp;Milestones!$AB$90&amp;" "&amp;Milestones!$AC$90&amp;";  ","")&amp;IF(AND(EDATE($D151,Milestones!$AA$91)&lt;=AsOfDate,IF($R151=0,$X151,IF(AND($T151&lt;&gt;"",EDATE($D151,Milestones!$AA$91)&gt;=$T151),$W151,IF(AND($S151&lt;&gt;"",EDATE($D151,Milestones!$AA$91)&gt;=$S151),$V151,$U151)))=Milestones!$AB$91),UPPER(TEXT(EDATE($D151,Milestones!$AA$91),"dd mmm yy"))&amp;" "&amp;Milestones!$AB$91&amp;" "&amp;Milestones!$AC$91&amp;";  ","")&amp;IF(AND(EDATE($D151,Milestones!$AA$92)&lt;=AsOfDate,IF($R151=0,$X151,IF(AND($T151&lt;&gt;"",EDATE($D151,Milestones!$AA$92)&gt;=$T151),$W151,IF(AND($S151&lt;&gt;"",EDATE($D151,Milestones!$AA$92)&gt;=$S151),$V151,$U151)))=Milestones!$AB$92),UPPER(TEXT(EDATE($D151,Milestones!$AA$92),"dd mmm yy"))&amp;" "&amp;Milestones!$AB$92&amp;" "&amp;Milestones!$AC$92&amp;";  ","")&amp;IF(AND(EDATE($D151,Milestones!$AA$93)&lt;=AsOfDate,IF($R151=0,$X151,IF(AND($T151&lt;&gt;"",EDATE($D151,Milestones!$AA$93)&gt;=$T151),$W151,IF(AND($S151&lt;&gt;"",EDATE($D151,Milestones!$AA$93)&gt;=$S151),$V151,$U151)))=Milestones!$AB$93),UPPER(TEXT(EDATE($D151,Milestones!$AA$93),"dd mmm yy"))&amp;" "&amp;Milestones!$AB$93&amp;" "&amp;Milestones!$AC$93&amp;";  ","")&amp;IF(AND(EDATE($D151,Milestones!$AA$94)&lt;=AsOfDate,IF($R151=0,$X151,IF(AND($T151&lt;&gt;"",EDATE($D151,Milestones!$AA$94)&gt;=$T151),$W151,IF(AND($S151&lt;&gt;"",EDATE($D151,Milestones!$AA$94)&gt;=$S151),$V151,$U151)))=Milestones!$AB$94),UPPER(TEXT(EDATE($D151,Milestones!$AA$94),"dd mmm yy"))&amp;" "&amp;Milestones!$AB$94&amp;" "&amp;Milestones!$AC$94&amp;";  ","")&amp;IF(AND(EDATE($D151,Milestones!$AA$95)&lt;=AsOfDate,IF($R151=0,$X151,IF(AND($T151&lt;&gt;"",EDATE($D151,Milestones!$AA$95)&gt;=$T151),$W151,IF(AND($S151&lt;&gt;"",EDATE($D151,Milestones!$AA$95)&gt;=$S151),$V151,$U151)))=Milestones!$AB$95),UPPER(TEXT(EDATE($D151,Milestones!$AA$95),"dd mmm yy"))&amp;" "&amp;Milestones!$AB$95&amp;" "&amp;Milestones!$AC$95&amp;";  ","")&amp;IF(AND(EDATE($D151,Milestones!$AA$96)&lt;=AsOfDate,IF($R151=0,$X151,IF(AND($T151&lt;&gt;"",EDATE($D151,Milestones!$AA$96)&gt;=$T151),$W151,IF(AND($S151&lt;&gt;"",EDATE($D151,Milestones!$AA$96)&gt;=$S151),$V151,$U151)))=Milestones!$AB$96),UPPER(TEXT(EDATE($D151,Milestones!$AA$96),"dd mmm yy"))&amp;" "&amp;Milestones!$AB$96&amp;" "&amp;Milestones!$AC$96&amp;";  ","")&amp;IF(AND(EDATE($D151,Milestones!$AA$97)&lt;=AsOfDate,IF($R151=0,$X151,IF(AND($T151&lt;&gt;"",EDATE($D151,Milestones!$AA$97)&gt;=$T151),$W151,IF(AND($S151&lt;&gt;"",EDATE($D151,Milestones!$AA$97)&gt;=$S151),$V151,$U151)))=Milestones!$AB$97),UPPER(TEXT(EDATE($D151,Milestones!$AA$97),"dd mmm yy"))&amp;" "&amp;Milestones!$AB$97&amp;" "&amp;Milestones!$AC$97&amp;";  ","")&amp;IF(AND(EDATE($D151,Milestones!$AA$98)&lt;=AsOfDate,IF($R151=0,$X151,IF(AND($T151&lt;&gt;"",EDATE($D151,Milestones!$AA$98)&gt;=$T151),$W151,IF(AND($S151&lt;&gt;"",EDATE($D151,Milestones!$AA$98)&gt;=$S151),$V151,$U151)))=Milestones!$AB$98),UPPER(TEXT(EDATE($D151,Milestones!$AA$98),"dd mmm yy"))&amp;" "&amp;Milestones!$AB$98&amp;" "&amp;Milestones!$AC$98&amp;";  ","")&amp;IF(AND(EDATE($D151,Milestones!$AA$99)&lt;=AsOfDate,IF($R151=0,$X151,IF(AND($T151&lt;&gt;"",EDATE($D151,Milestones!$AA$99)&gt;=$T151),$W151,IF(AND($S151&lt;&gt;"",EDATE($D151,Milestones!$AA$99)&gt;=$S151),$V151,$U151)))=Milestones!$AB$99),UPPER(TEXT(EDATE($D151,Milestones!$AA$99),"dd mmm yy"))&amp;" "&amp;Milestones!$AB$99&amp;" "&amp;Milestones!$AC$99&amp;";  ",""))</f>
        <v/>
      </c>
      <c r="M151" s="0" t="str">
        <f aca="false">IF(OR($A151="",$D151=""),"",IF(AND(EDATE($D151,Milestones!$AA$100)&lt;=AsOfDate,IF($R151=0,$X151,IF(AND($T151&lt;&gt;"",EDATE($D151,Milestones!$AA$100)&gt;=$T151),$W151,IF(AND($S151&lt;&gt;"",EDATE($D151,Milestones!$AA$100)&gt;=$S151),$V151,$U151)))=Milestones!$AB$100),UPPER(TEXT(EDATE($D151,Milestones!$AA$100),"dd mmm yy"))&amp;" "&amp;Milestones!$AB$100&amp;" "&amp;Milestones!$AC$100&amp;";  ","")&amp;IF(AND(EDATE($D151,Milestones!$AA$101)&lt;=AsOfDate,IF($R151=0,$X151,IF(AND($T151&lt;&gt;"",EDATE($D151,Milestones!$AA$101)&gt;=$T151),$W151,IF(AND($S151&lt;&gt;"",EDATE($D151,Milestones!$AA$101)&gt;=$S151),$V151,$U151)))=Milestones!$AB$101),UPPER(TEXT(EDATE($D151,Milestones!$AA$101),"dd mmm yy"))&amp;" "&amp;Milestones!$AB$101&amp;" "&amp;Milestones!$AC$101&amp;";  ","")&amp;IF(AND(EDATE($D151,Milestones!$AA$102)&lt;=AsOfDate,IF($R151=0,$X151,IF(AND($T151&lt;&gt;"",EDATE($D151,Milestones!$AA$102)&gt;=$T151),$W151,IF(AND($S151&lt;&gt;"",EDATE($D151,Milestones!$AA$102)&gt;=$S151),$V151,$U151)))=Milestones!$AB$102),UPPER(TEXT(EDATE($D151,Milestones!$AA$102),"dd mmm yy"))&amp;" "&amp;Milestones!$AB$102&amp;" "&amp;Milestones!$AC$102&amp;";  ","")&amp;IF(AND(EDATE($D151,Milestones!$AA$103)&lt;=AsOfDate,IF($R151=0,$X151,IF(AND($T151&lt;&gt;"",EDATE($D151,Milestones!$AA$103)&gt;=$T151),$W151,IF(AND($S151&lt;&gt;"",EDATE($D151,Milestones!$AA$103)&gt;=$S151),$V151,$U151)))=Milestones!$AB$103),UPPER(TEXT(EDATE($D151,Milestones!$AA$103),"dd mmm yy"))&amp;" "&amp;Milestones!$AB$103&amp;" "&amp;Milestones!$AC$103&amp;";  ","")&amp;IF(AND(EDATE($D151,Milestones!$AA$104)&lt;=AsOfDate,IF($R151=0,$X151,IF(AND($T151&lt;&gt;"",EDATE($D151,Milestones!$AA$104)&gt;=$T151),$W151,IF(AND($S151&lt;&gt;"",EDATE($D151,Milestones!$AA$104)&gt;=$S151),$V151,$U151)))=Milestones!$AB$104),UPPER(TEXT(EDATE($D151,Milestones!$AA$104),"dd mmm yy"))&amp;" "&amp;Milestones!$AB$104&amp;" "&amp;Milestones!$AC$104&amp;";  ","")&amp;IF(AND(EDATE($D151,Milestones!$AA$105)&lt;=AsOfDate,IF($R151=0,$X151,IF(AND($T151&lt;&gt;"",EDATE($D151,Milestones!$AA$105)&gt;=$T151),$W151,IF(AND($S151&lt;&gt;"",EDATE($D151,Milestones!$AA$105)&gt;=$S151),$V151,$U151)))=Milestones!$AB$105),UPPER(TEXT(EDATE($D151,Milestones!$AA$105),"dd mmm yy"))&amp;" "&amp;Milestones!$AB$105&amp;" "&amp;Milestones!$AC$105&amp;";  ","")&amp;IF(AND(EDATE($D151,Milestones!$AA$106)&lt;=AsOfDate,IF($R151=0,$X151,IF(AND($T151&lt;&gt;"",EDATE($D151,Milestones!$AA$106)&gt;=$T151),$W151,IF(AND($S151&lt;&gt;"",EDATE($D151,Milestones!$AA$106)&gt;=$S151),$V151,$U151)))=Milestones!$AB$106),UPPER(TEXT(EDATE($D151,Milestones!$AA$106),"dd mmm yy"))&amp;" "&amp;Milestones!$AB$106&amp;" "&amp;Milestones!$AC$106&amp;";  ","")&amp;IF(AND(EDATE($D151,Milestones!$AA$107)&lt;=AsOfDate,IF($R151=0,$X151,IF(AND($T151&lt;&gt;"",EDATE($D151,Milestones!$AA$107)&gt;=$T151),$W151,IF(AND($S151&lt;&gt;"",EDATE($D151,Milestones!$AA$107)&gt;=$S151),$V151,$U151)))=Milestones!$AB$107),UPPER(TEXT(EDATE($D151,Milestones!$AA$107),"dd mmm yy"))&amp;" "&amp;Milestones!$AB$107&amp;" "&amp;Milestones!$AC$107&amp;";  ","")&amp;IF(AND(EDATE($D151,Milestones!$AA$108)&lt;=AsOfDate,IF($R151=0,$X151,IF(AND($T151&lt;&gt;"",EDATE($D151,Milestones!$AA$108)&gt;=$T151),$W151,IF(AND($S151&lt;&gt;"",EDATE($D151,Milestones!$AA$108)&gt;=$S151),$V151,$U151)))=Milestones!$AB$108),UPPER(TEXT(EDATE($D151,Milestones!$AA$108),"dd mmm yy"))&amp;" "&amp;Milestones!$AB$108&amp;" "&amp;Milestones!$AC$108&amp;";  ","")&amp;IF(AND(EDATE($D151,Milestones!$AA$109)&lt;=AsOfDate,IF($R151=0,$X151,IF(AND($T151&lt;&gt;"",EDATE($D151,Milestones!$AA$109)&gt;=$T151),$W151,IF(AND($S151&lt;&gt;"",EDATE($D151,Milestones!$AA$109)&gt;=$S151),$V151,$U151)))=Milestones!$AB$109),UPPER(TEXT(EDATE($D151,Milestones!$AA$109),"dd mmm yy"))&amp;" "&amp;Milestones!$AB$109&amp;" "&amp;Milestones!$AC$109&amp;";  ","")&amp;IF(AND(EDATE($D151,Milestones!$AA$110)&lt;=AsOfDate,IF($R151=0,$X151,IF(AND($T151&lt;&gt;"",EDATE($D151,Milestones!$AA$110)&gt;=$T151),$W151,IF(AND($S151&lt;&gt;"",EDATE($D151,Milestones!$AA$110)&gt;=$S151),$V151,$U151)))=Milestones!$AB$110),UPPER(TEXT(EDATE($D151,Milestones!$AA$110),"dd mmm yy"))&amp;" "&amp;Milestones!$AB$110&amp;" "&amp;Milestones!$AC$110&amp;";  ","")&amp;IF(AND(EDATE($D151,Milestones!$AA$111)&lt;=AsOfDate,IF($R151=0,$X151,IF(AND($T151&lt;&gt;"",EDATE($D151,Milestones!$AA$111)&gt;=$T151),$W151,IF(AND($S151&lt;&gt;"",EDATE($D151,Milestones!$AA$111)&gt;=$S151),$V151,$U151)))=Milestones!$AB$111),UPPER(TEXT(EDATE($D151,Milestones!$AA$111),"dd mmm yy"))&amp;" "&amp;Milestones!$AB$111&amp;" "&amp;Milestones!$AC$111&amp;";  ","")&amp;IF(AND(EDATE($D151,Milestones!$AA$112)&lt;=AsOfDate,IF($R151=0,$X151,IF(AND($T151&lt;&gt;"",EDATE($D151,Milestones!$AA$112)&gt;=$T151),$W151,IF(AND($S151&lt;&gt;"",EDATE($D151,Milestones!$AA$112)&gt;=$S151),$V151,$U151)))=Milestones!$AB$112),UPPER(TEXT(EDATE($D151,Milestones!$AA$112),"dd mmm yy"))&amp;" "&amp;Milestones!$AB$112&amp;" "&amp;Milestones!$AC$112&amp;";  ","")&amp;IF(AND(EDATE($D151,Milestones!$AA$113)&lt;=AsOfDate,IF($R151=0,$X151,IF(AND($T151&lt;&gt;"",EDATE($D151,Milestones!$AA$113)&gt;=$T151),$W151,IF(AND($S151&lt;&gt;"",EDATE($D151,Milestones!$AA$113)&gt;=$S151),$V151,$U151)))=Milestones!$AB$113),UPPER(TEXT(EDATE($D151,Milestones!$AA$113),"dd mmm yy"))&amp;" "&amp;Milestones!$AB$113&amp;" "&amp;Milestones!$AC$113&amp;";  ","")&amp;IF(AND(EDATE($D151,Milestones!$AA$114)&lt;=AsOfDate,IF($R151=0,$X151,IF(AND($T151&lt;&gt;"",EDATE($D151,Milestones!$AA$114)&gt;=$T151),$W151,IF(AND($S151&lt;&gt;"",EDATE($D151,Milestones!$AA$114)&gt;=$S151),$V151,$U151)))=Milestones!$AB$114),UPPER(TEXT(EDATE($D151,Milestones!$AA$114),"dd mmm yy"))&amp;" "&amp;Milestones!$AB$114&amp;" "&amp;Milestones!$AC$114&amp;";  ","")&amp;IF(AND(EDATE($D151,Milestones!$AA$115)&lt;=AsOfDate,IF($R151=0,$X151,IF(AND($T151&lt;&gt;"",EDATE($D151,Milestones!$AA$115)&gt;=$T151),$W151,IF(AND($S151&lt;&gt;"",EDATE($D151,Milestones!$AA$115)&gt;=$S151),$V151,$U151)))=Milestones!$AB$115),UPPER(TEXT(EDATE($D151,Milestones!$AA$115),"dd mmm yy"))&amp;" "&amp;Milestones!$AB$115&amp;" "&amp;Milestones!$AC$115&amp;";  ","")&amp;IF(AND(EDATE($D151,Milestones!$AA$116)&lt;=AsOfDate,IF($R151=0,$X151,IF(AND($T151&lt;&gt;"",EDATE($D151,Milestones!$AA$116)&gt;=$T151),$W151,IF(AND($S151&lt;&gt;"",EDATE($D151,Milestones!$AA$116)&gt;=$S151),$V151,$U151)))=Milestones!$AB$116),UPPER(TEXT(EDATE($D151,Milestones!$AA$116),"dd mmm yy"))&amp;" "&amp;Milestones!$AB$116&amp;" "&amp;Milestones!$AC$116&amp;";  ","")&amp;IF(AND(EDATE($D151,Milestones!$AA$117)&lt;=AsOfDate,IF($R151=0,$X151,IF(AND($T151&lt;&gt;"",EDATE($D151,Milestones!$AA$117)&gt;=$T151),$W151,IF(AND($S151&lt;&gt;"",EDATE($D151,Milestones!$AA$117)&gt;=$S151),$V151,$U151)))=Milestones!$AB$117),UPPER(TEXT(EDATE($D151,Milestones!$AA$117),"dd mmm yy"))&amp;" "&amp;Milestones!$AB$117&amp;" "&amp;Milestones!$AC$117&amp;";  ","")&amp;IF(AND(EDATE($D151,Milestones!$AA$118)&lt;=AsOfDate,IF($R151=0,$X151,IF(AND($T151&lt;&gt;"",EDATE($D151,Milestones!$AA$118)&gt;=$T151),$W151,IF(AND($S151&lt;&gt;"",EDATE($D151,Milestones!$AA$118)&gt;=$S151),$V151,$U151)))=Milestones!$AB$118),UPPER(TEXT(EDATE($D151,Milestones!$AA$118),"dd mmm yy"))&amp;" "&amp;Milestones!$AB$118&amp;" "&amp;Milestones!$AC$118&amp;";  ","")&amp;IF(AND(EDATE($D151,Milestones!$AA$119)&lt;=AsOfDate,IF($R151=0,$X151,IF(AND($T151&lt;&gt;"",EDATE($D151,Milestones!$AA$119)&gt;=$T151),$W151,IF(AND($S151&lt;&gt;"",EDATE($D151,Milestones!$AA$119)&gt;=$S151),$V151,$U151)))=Milestones!$AB$119),UPPER(TEXT(EDATE($D151,Milestones!$AA$119),"dd mmm yy"))&amp;" "&amp;Milestones!$AB$119&amp;" "&amp;Milestones!$AC$119&amp;";  ",""))</f>
        <v/>
      </c>
      <c r="N151" s="0" t="str">
        <f aca="false">IF(OR($A151="",$D151=""),"",IF(AND(EDATE($D151,Milestones!$AA$120)&lt;=AsOfDate,IF($R151=0,$X151,IF(AND($T151&lt;&gt;"",EDATE($D151,Milestones!$AA$120)&gt;=$T151),$W151,IF(AND($S151&lt;&gt;"",EDATE($D151,Milestones!$AA$120)&gt;=$S151),$V151,$U151)))=Milestones!$AB$120),UPPER(TEXT(EDATE($D151,Milestones!$AA$120),"dd mmm yy"))&amp;" "&amp;Milestones!$AB$120&amp;" "&amp;Milestones!$AC$120&amp;";  ","")&amp;IF(AND(EDATE($D151,Milestones!$AA$121)&lt;=AsOfDate,IF($R151=0,$X151,IF(AND($T151&lt;&gt;"",EDATE($D151,Milestones!$AA$121)&gt;=$T151),$W151,IF(AND($S151&lt;&gt;"",EDATE($D151,Milestones!$AA$121)&gt;=$S151),$V151,$U151)))=Milestones!$AB$121),UPPER(TEXT(EDATE($D151,Milestones!$AA$121),"dd mmm yy"))&amp;" "&amp;Milestones!$AB$121&amp;" "&amp;Milestones!$AC$121&amp;";  ","")&amp;IF(AND(EDATE($D151,Milestones!$AA$122)&lt;=AsOfDate,IF($R151=0,$X151,IF(AND($T151&lt;&gt;"",EDATE($D151,Milestones!$AA$122)&gt;=$T151),$W151,IF(AND($S151&lt;&gt;"",EDATE($D151,Milestones!$AA$122)&gt;=$S151),$V151,$U151)))=Milestones!$AB$122),UPPER(TEXT(EDATE($D151,Milestones!$AA$122),"dd mmm yy"))&amp;" "&amp;Milestones!$AB$122&amp;" "&amp;Milestones!$AC$122&amp;";  ","")&amp;IF(AND(EDATE($D151,Milestones!$AA$123)&lt;=AsOfDate,IF($R151=0,$X151,IF(AND($T151&lt;&gt;"",EDATE($D151,Milestones!$AA$123)&gt;=$T151),$W151,IF(AND($S151&lt;&gt;"",EDATE($D151,Milestones!$AA$123)&gt;=$S151),$V151,$U151)))=Milestones!$AB$123),UPPER(TEXT(EDATE($D151,Milestones!$AA$123),"dd mmm yy"))&amp;" "&amp;Milestones!$AB$123&amp;" "&amp;Milestones!$AC$123&amp;";  ","")&amp;IF(AND(EDATE($D151,Milestones!$AA$124)&lt;=AsOfDate,IF($R151=0,$X151,IF(AND($T151&lt;&gt;"",EDATE($D151,Milestones!$AA$124)&gt;=$T151),$W151,IF(AND($S151&lt;&gt;"",EDATE($D151,Milestones!$AA$124)&gt;=$S151),$V151,$U151)))=Milestones!$AB$124),UPPER(TEXT(EDATE($D151,Milestones!$AA$124),"dd mmm yy"))&amp;" "&amp;Milestones!$AB$124&amp;" "&amp;Milestones!$AC$124&amp;";  ","")&amp;IF(AND(EDATE($D151,Milestones!$AA$125)&lt;=AsOfDate,IF($R151=0,$X151,IF(AND($T151&lt;&gt;"",EDATE($D151,Milestones!$AA$125)&gt;=$T151),$W151,IF(AND($S151&lt;&gt;"",EDATE($D151,Milestones!$AA$125)&gt;=$S151),$V151,$U151)))=Milestones!$AB$125),UPPER(TEXT(EDATE($D151,Milestones!$AA$125),"dd mmm yy"))&amp;" "&amp;Milestones!$AB$125&amp;" "&amp;Milestones!$AC$125&amp;";  ","")&amp;IF(AND(EDATE($D151,Milestones!$AA$126)&lt;=AsOfDate,IF($R151=0,$X151,IF(AND($T151&lt;&gt;"",EDATE($D151,Milestones!$AA$126)&gt;=$T151),$W151,IF(AND($S151&lt;&gt;"",EDATE($D151,Milestones!$AA$126)&gt;=$S151),$V151,$U151)))=Milestones!$AB$126),UPPER(TEXT(EDATE($D151,Milestones!$AA$126),"dd mmm yy"))&amp;" "&amp;Milestones!$AB$126&amp;" "&amp;Milestones!$AC$126&amp;";  ","")&amp;IF(AND(EDATE($D151,Milestones!$AA$127)&lt;=AsOfDate,IF($R151=0,$X151,IF(AND($T151&lt;&gt;"",EDATE($D151,Milestones!$AA$127)&gt;=$T151),$W151,IF(AND($S151&lt;&gt;"",EDATE($D151,Milestones!$AA$127)&gt;=$S151),$V151,$U151)))=Milestones!$AB$127),UPPER(TEXT(EDATE($D151,Milestones!$AA$127),"dd mmm yy"))&amp;" "&amp;Milestones!$AB$127&amp;" "&amp;Milestones!$AC$127&amp;";  ","")&amp;IF(AND(EDATE($D151,Milestones!$AA$128)&lt;=AsOfDate,IF($R151=0,$X151,IF(AND($T151&lt;&gt;"",EDATE($D151,Milestones!$AA$128)&gt;=$T151),$W151,IF(AND($S151&lt;&gt;"",EDATE($D151,Milestones!$AA$128)&gt;=$S151),$V151,$U151)))=Milestones!$AB$128),UPPER(TEXT(EDATE($D151,Milestones!$AA$128),"dd mmm yy"))&amp;" "&amp;Milestones!$AB$128&amp;" "&amp;Milestones!$AC$128&amp;";  ","")&amp;IF(AND(EDATE($D151,Milestones!$AA$129)&lt;=AsOfDate,IF($R151=0,$X151,IF(AND($T151&lt;&gt;"",EDATE($D151,Milestones!$AA$129)&gt;=$T151),$W151,IF(AND($S151&lt;&gt;"",EDATE($D151,Milestones!$AA$129)&gt;=$S151),$V151,$U151)))=Milestones!$AB$129),UPPER(TEXT(EDATE($D151,Milestones!$AA$129),"dd mmm yy"))&amp;" "&amp;Milestones!$AB$129&amp;" "&amp;Milestones!$AC$129&amp;";  ","")&amp;IF(AND(EDATE($D151,Milestones!$AA$130)&lt;=AsOfDate,IF($R151=0,$X151,IF(AND($T151&lt;&gt;"",EDATE($D151,Milestones!$AA$130)&gt;=$T151),$W151,IF(AND($S151&lt;&gt;"",EDATE($D151,Milestones!$AA$130)&gt;=$S151),$V151,$U151)))=Milestones!$AB$130),UPPER(TEXT(EDATE($D151,Milestones!$AA$130),"dd mmm yy"))&amp;" "&amp;Milestones!$AB$130&amp;" "&amp;Milestones!$AC$130&amp;";  ","")&amp;IF(AND(EDATE($D151,Milestones!$AA$131)&lt;=AsOfDate,IF($R151=0,$X151,IF(AND($T151&lt;&gt;"",EDATE($D151,Milestones!$AA$131)&gt;=$T151),$W151,IF(AND($S151&lt;&gt;"",EDATE($D151,Milestones!$AA$131)&gt;=$S151),$V151,$U151)))=Milestones!$AB$131),UPPER(TEXT(EDATE($D151,Milestones!$AA$131),"dd mmm yy"))&amp;" "&amp;Milestones!$AB$131&amp;" "&amp;Milestones!$AC$131&amp;";  ","")&amp;IF(AND(EDATE($D151,Milestones!$AA$132)&lt;=AsOfDate,IF($R151=0,$X151,IF(AND($T151&lt;&gt;"",EDATE($D151,Milestones!$AA$132)&gt;=$T151),$W151,IF(AND($S151&lt;&gt;"",EDATE($D151,Milestones!$AA$132)&gt;=$S151),$V151,$U151)))=Milestones!$AB$132),UPPER(TEXT(EDATE($D151,Milestones!$AA$132),"dd mmm yy"))&amp;" "&amp;Milestones!$AB$132&amp;" "&amp;Milestones!$AC$132&amp;";  ","")&amp;IF(AND(EDATE($D151,Milestones!$AA$133)&lt;=AsOfDate,IF($R151=0,$X151,IF(AND($T151&lt;&gt;"",EDATE($D151,Milestones!$AA$133)&gt;=$T151),$W151,IF(AND($S151&lt;&gt;"",EDATE($D151,Milestones!$AA$133)&gt;=$S151),$V151,$U151)))=Milestones!$AB$133),UPPER(TEXT(EDATE($D151,Milestones!$AA$133),"dd mmm yy"))&amp;" "&amp;Milestones!$AB$133&amp;" "&amp;Milestones!$AC$133&amp;";  ","")&amp;IF(AND(EDATE($D151,Milestones!$AA$134)&lt;=AsOfDate,IF($R151=0,$X151,IF(AND($T151&lt;&gt;"",EDATE($D151,Milestones!$AA$134)&gt;=$T151),$W151,IF(AND($S151&lt;&gt;"",EDATE($D151,Milestones!$AA$134)&gt;=$S151),$V151,$U151)))=Milestones!$AB$134),UPPER(TEXT(EDATE($D151,Milestones!$AA$134),"dd mmm yy"))&amp;" "&amp;Milestones!$AB$134&amp;" "&amp;Milestones!$AC$134&amp;";  ","")&amp;IF(AND(EDATE($D151,Milestones!$AA$135)&lt;=AsOfDate,IF($R151=0,$X151,IF(AND($T151&lt;&gt;"",EDATE($D151,Milestones!$AA$135)&gt;=$T151),$W151,IF(AND($S151&lt;&gt;"",EDATE($D151,Milestones!$AA$135)&gt;=$S151),$V151,$U151)))=Milestones!$AB$135),UPPER(TEXT(EDATE($D151,Milestones!$AA$135),"dd mmm yy"))&amp;" "&amp;Milestones!$AB$135&amp;" "&amp;Milestones!$AC$135&amp;";  ","")&amp;IF(AND(EDATE($D151,Milestones!$AA$136)&lt;=AsOfDate,IF($R151=0,$X151,IF(AND($T151&lt;&gt;"",EDATE($D151,Milestones!$AA$136)&gt;=$T151),$W151,IF(AND($S151&lt;&gt;"",EDATE($D151,Milestones!$AA$136)&gt;=$S151),$V151,$U151)))=Milestones!$AB$136),UPPER(TEXT(EDATE($D151,Milestones!$AA$136),"dd mmm yy"))&amp;" "&amp;Milestones!$AB$136&amp;" "&amp;Milestones!$AC$136&amp;";  ","")&amp;IF(AND(EDATE($D151,Milestones!$AA$137)&lt;=AsOfDate,IF($R151=0,$X151,IF(AND($T151&lt;&gt;"",EDATE($D151,Milestones!$AA$137)&gt;=$T151),$W151,IF(AND($S151&lt;&gt;"",EDATE($D151,Milestones!$AA$137)&gt;=$S151),$V151,$U151)))=Milestones!$AB$137),UPPER(TEXT(EDATE($D151,Milestones!$AA$137),"dd mmm yy"))&amp;" "&amp;Milestones!$AB$137&amp;" "&amp;Milestones!$AC$137&amp;";  ","")&amp;IF(AND(EDATE($D151,Milestones!$AA$138)&lt;=AsOfDate,IF($R151=0,$X151,IF(AND($T151&lt;&gt;"",EDATE($D151,Milestones!$AA$138)&gt;=$T151),$W151,IF(AND($S151&lt;&gt;"",EDATE($D151,Milestones!$AA$138)&gt;=$S151),$V151,$U151)))=Milestones!$AB$138),UPPER(TEXT(EDATE($D151,Milestones!$AA$138),"dd mmm yy"))&amp;" "&amp;Milestones!$AB$138&amp;" "&amp;Milestones!$AC$138&amp;";  ","")&amp;IF(AND(EDATE($D151,Milestones!$AA$139)&lt;=AsOfDate,IF($R151=0,$X151,IF(AND($T151&lt;&gt;"",EDATE($D151,Milestones!$AA$139)&gt;=$T151),$W151,IF(AND($S151&lt;&gt;"",EDATE($D151,Milestones!$AA$139)&gt;=$S151),$V151,$U151)))=Milestones!$AB$139),UPPER(TEXT(EDATE($D151,Milestones!$AA$139),"dd mmm yy"))&amp;" "&amp;Milestones!$AB$139&amp;" "&amp;Milestones!$AC$139&amp;";  ",""))</f>
        <v/>
      </c>
      <c r="O151" s="0" t="str">
        <f aca="false">IF(OR($A151="",$D151=""),"",IF(AND(EDATE($D151,Milestones!$AA$140)&lt;=AsOfDate,IF($R151=0,$X151,IF(AND($T151&lt;&gt;"",EDATE($D151,Milestones!$AA$140)&gt;=$T151),$W151,IF(AND($S151&lt;&gt;"",EDATE($D151,Milestones!$AA$140)&gt;=$S151),$V151,$U151)))=Milestones!$AB$140),UPPER(TEXT(EDATE($D151,Milestones!$AA$140),"dd mmm yy"))&amp;" "&amp;Milestones!$AB$140&amp;" "&amp;Milestones!$AC$140&amp;";  ","")&amp;IF(AND(EDATE($D151,Milestones!$AA$141)&lt;=AsOfDate,IF($R151=0,$X151,IF(AND($T151&lt;&gt;"",EDATE($D151,Milestones!$AA$141)&gt;=$T151),$W151,IF(AND($S151&lt;&gt;"",EDATE($D151,Milestones!$AA$141)&gt;=$S151),$V151,$U151)))=Milestones!$AB$141),UPPER(TEXT(EDATE($D151,Milestones!$AA$141),"dd mmm yy"))&amp;" "&amp;Milestones!$AB$141&amp;" "&amp;Milestones!$AC$141&amp;";  ","")&amp;IF(AND(EDATE($D151,Milestones!$AA$142)&lt;=AsOfDate,IF($R151=0,$X151,IF(AND($T151&lt;&gt;"",EDATE($D151,Milestones!$AA$142)&gt;=$T151),$W151,IF(AND($S151&lt;&gt;"",EDATE($D151,Milestones!$AA$142)&gt;=$S151),$V151,$U151)))=Milestones!$AB$142),UPPER(TEXT(EDATE($D151,Milestones!$AA$142),"dd mmm yy"))&amp;" "&amp;Milestones!$AB$142&amp;" "&amp;Milestones!$AC$142&amp;";  ","")&amp;IF(AND(EDATE($D151,Milestones!$AA$143)&lt;=AsOfDate,IF($R151=0,$X151,IF(AND($T151&lt;&gt;"",EDATE($D151,Milestones!$AA$143)&gt;=$T151),$W151,IF(AND($S151&lt;&gt;"",EDATE($D151,Milestones!$AA$143)&gt;=$S151),$V151,$U151)))=Milestones!$AB$143),UPPER(TEXT(EDATE($D151,Milestones!$AA$143),"dd mmm yy"))&amp;" "&amp;Milestones!$AB$143&amp;" "&amp;Milestones!$AC$143&amp;";  ","")&amp;IF(AND(EDATE($D151,Milestones!$AA$144)&lt;=AsOfDate,IF($R151=0,$X151,IF(AND($T151&lt;&gt;"",EDATE($D151,Milestones!$AA$144)&gt;=$T151),$W151,IF(AND($S151&lt;&gt;"",EDATE($D151,Milestones!$AA$144)&gt;=$S151),$V151,$U151)))=Milestones!$AB$144),UPPER(TEXT(EDATE($D151,Milestones!$AA$144),"dd mmm yy"))&amp;" "&amp;Milestones!$AB$144&amp;" "&amp;Milestones!$AC$144&amp;";  ","")&amp;IF(AND(EDATE($D151,Milestones!$AA$145)&lt;=AsOfDate,IF($R151=0,$X151,IF(AND($T151&lt;&gt;"",EDATE($D151,Milestones!$AA$145)&gt;=$T151),$W151,IF(AND($S151&lt;&gt;"",EDATE($D151,Milestones!$AA$145)&gt;=$S151),$V151,$U151)))=Milestones!$AB$145),UPPER(TEXT(EDATE($D151,Milestones!$AA$145),"dd mmm yy"))&amp;" "&amp;Milestones!$AB$145&amp;" "&amp;Milestones!$AC$145&amp;";  ","")&amp;IF(AND(EDATE($D151,Milestones!$AA$146)&lt;=AsOfDate,IF($R151=0,$X151,IF(AND($T151&lt;&gt;"",EDATE($D151,Milestones!$AA$146)&gt;=$T151),$W151,IF(AND($S151&lt;&gt;"",EDATE($D151,Milestones!$AA$146)&gt;=$S151),$V151,$U151)))=Milestones!$AB$146),UPPER(TEXT(EDATE($D151,Milestones!$AA$146),"dd mmm yy"))&amp;" "&amp;Milestones!$AB$146&amp;" "&amp;Milestones!$AC$146&amp;";  ","")&amp;IF(AND(EDATE($D151,Milestones!$AA$147)&lt;=AsOfDate,IF($R151=0,$X151,IF(AND($T151&lt;&gt;"",EDATE($D151,Milestones!$AA$147)&gt;=$T151),$W151,IF(AND($S151&lt;&gt;"",EDATE($D151,Milestones!$AA$147)&gt;=$S151),$V151,$U151)))=Milestones!$AB$147),UPPER(TEXT(EDATE($D151,Milestones!$AA$147),"dd mmm yy"))&amp;" "&amp;Milestones!$AB$147&amp;" "&amp;Milestones!$AC$147&amp;";  ","")&amp;IF(AND(EDATE($D151,Milestones!$AA$148)&lt;=AsOfDate,IF($R151=0,$X151,IF(AND($T151&lt;&gt;"",EDATE($D151,Milestones!$AA$148)&gt;=$T151),$W151,IF(AND($S151&lt;&gt;"",EDATE($D151,Milestones!$AA$148)&gt;=$S151),$V151,$U151)))=Milestones!$AB$148),UPPER(TEXT(EDATE($D151,Milestones!$AA$148),"dd mmm yy"))&amp;" "&amp;Milestones!$AB$148&amp;" "&amp;Milestones!$AC$148&amp;";  ","")&amp;IF(AND(EDATE($D151,Milestones!$AA$149)&lt;=AsOfDate,IF($R151=0,$X151,IF(AND($T151&lt;&gt;"",EDATE($D151,Milestones!$AA$149)&gt;=$T151),$W151,IF(AND($S151&lt;&gt;"",EDATE($D151,Milestones!$AA$149)&gt;=$S151),$V151,$U151)))=Milestones!$AB$149),UPPER(TEXT(EDATE($D151,Milestones!$AA$149),"dd mmm yy"))&amp;" "&amp;Milestones!$AB$149&amp;" "&amp;Milestones!$AC$149&amp;";  ","")&amp;IF(AND(EDATE($D151,Milestones!$AA$150)&lt;=AsOfDate,IF($R151=0,$X151,IF(AND($T151&lt;&gt;"",EDATE($D151,Milestones!$AA$150)&gt;=$T151),$W151,IF(AND($S151&lt;&gt;"",EDATE($D151,Milestones!$AA$150)&gt;=$S151),$V151,$U151)))=Milestones!$AB$150),UPPER(TEXT(EDATE($D151,Milestones!$AA$150),"dd mmm yy"))&amp;" "&amp;Milestones!$AB$150&amp;" "&amp;Milestones!$AC$150&amp;";  ","")&amp;IF(AND(EDATE($D151,Milestones!$AA$151)&lt;=AsOfDate,IF($R151=0,$X151,IF(AND($T151&lt;&gt;"",EDATE($D151,Milestones!$AA$151)&gt;=$T151),$W151,IF(AND($S151&lt;&gt;"",EDATE($D151,Milestones!$AA$151)&gt;=$S151),$V151,$U151)))=Milestones!$AB$151),UPPER(TEXT(EDATE($D151,Milestones!$AA$151),"dd mmm yy"))&amp;" "&amp;Milestones!$AB$151&amp;" "&amp;Milestones!$AC$151&amp;";  ","")&amp;IF(AND(EDATE($D151,Milestones!$AA$152)&lt;=AsOfDate,IF($R151=0,$X151,IF(AND($T151&lt;&gt;"",EDATE($D151,Milestones!$AA$152)&gt;=$T151),$W151,IF(AND($S151&lt;&gt;"",EDATE($D151,Milestones!$AA$152)&gt;=$S151),$V151,$U151)))=Milestones!$AB$152),UPPER(TEXT(EDATE($D151,Milestones!$AA$152),"dd mmm yy"))&amp;" "&amp;Milestones!$AB$152&amp;" "&amp;Milestones!$AC$152&amp;";  ","")&amp;IF(AND(EDATE($D151,Milestones!$AA$153)&lt;=AsOfDate,IF($R151=0,$X151,IF(AND($T151&lt;&gt;"",EDATE($D151,Milestones!$AA$153)&gt;=$T151),$W151,IF(AND($S151&lt;&gt;"",EDATE($D151,Milestones!$AA$153)&gt;=$S151),$V151,$U151)))=Milestones!$AB$153),UPPER(TEXT(EDATE($D151,Milestones!$AA$153),"dd mmm yy"))&amp;" "&amp;Milestones!$AB$153&amp;" "&amp;Milestones!$AC$153&amp;";  ","")&amp;IF(AND(EDATE($D151,Milestones!$AA$154)&lt;=AsOfDate,IF($R151=0,$X151,IF(AND($T151&lt;&gt;"",EDATE($D151,Milestones!$AA$154)&gt;=$T151),$W151,IF(AND($S151&lt;&gt;"",EDATE($D151,Milestones!$AA$154)&gt;=$S151),$V151,$U151)))=Milestones!$AB$154),UPPER(TEXT(EDATE($D151,Milestones!$AA$154),"dd mmm yy"))&amp;" "&amp;Milestones!$AB$154&amp;" "&amp;Milestones!$AC$154&amp;";  ","")&amp;IF(AND(EDATE($D151,Milestones!$AA$155)&lt;=AsOfDate,IF($R151=0,$X151,IF(AND($T151&lt;&gt;"",EDATE($D151,Milestones!$AA$155)&gt;=$T151),$W151,IF(AND($S151&lt;&gt;"",EDATE($D151,Milestones!$AA$155)&gt;=$S151),$V151,$U151)))=Milestones!$AB$155),UPPER(TEXT(EDATE($D151,Milestones!$AA$155),"dd mmm yy"))&amp;" "&amp;Milestones!$AB$155&amp;" "&amp;Milestones!$AC$155&amp;";  ","")&amp;IF(AND(EDATE($D151,Milestones!$AA$156)&lt;=AsOfDate,IF($R151=0,$X151,IF(AND($T151&lt;&gt;"",EDATE($D151,Milestones!$AA$156)&gt;=$T151),$W151,IF(AND($S151&lt;&gt;"",EDATE($D151,Milestones!$AA$156)&gt;=$S151),$V151,$U151)))=Milestones!$AB$156),UPPER(TEXT(EDATE($D151,Milestones!$AA$156),"dd mmm yy"))&amp;" "&amp;Milestones!$AB$156&amp;" "&amp;Milestones!$AC$156&amp;";  ","")&amp;IF(AND(EDATE($D151,Milestones!$AA$157)&lt;=AsOfDate,IF($R151=0,$X151,IF(AND($T151&lt;&gt;"",EDATE($D151,Milestones!$AA$157)&gt;=$T151),$W151,IF(AND($S151&lt;&gt;"",EDATE($D151,Milestones!$AA$157)&gt;=$S151),$V151,$U151)))=Milestones!$AB$157),UPPER(TEXT(EDATE($D151,Milestones!$AA$157),"dd mmm yy"))&amp;" "&amp;Milestones!$AB$157&amp;" "&amp;Milestones!$AC$157&amp;";  ","")&amp;IF(AND(EDATE($D151,Milestones!$AA$158)&lt;=AsOfDate,IF($R151=0,$X151,IF(AND($T151&lt;&gt;"",EDATE($D151,Milestones!$AA$158)&gt;=$T151),$W151,IF(AND($S151&lt;&gt;"",EDATE($D151,Milestones!$AA$158)&gt;=$S151),$V151,$U151)))=Milestones!$AB$158),UPPER(TEXT(EDATE($D151,Milestones!$AA$158),"dd mmm yy"))&amp;" "&amp;Milestones!$AB$158&amp;" "&amp;Milestones!$AC$158&amp;";  ","")&amp;IF(AND(EDATE($D151,Milestones!$AA$159)&lt;=AsOfDate,IF($R151=0,$X151,IF(AND($T151&lt;&gt;"",EDATE($D151,Milestones!$AA$159)&gt;=$T151),$W151,IF(AND($S151&lt;&gt;"",EDATE($D151,Milestones!$AA$159)&gt;=$S151),$V151,$U151)))=Milestones!$AB$159),UPPER(TEXT(EDATE($D151,Milestones!$AA$159),"dd mmm yy"))&amp;" "&amp;Milestones!$AB$159&amp;" "&amp;Milestones!$AC$159&amp;";  ",""))</f>
        <v/>
      </c>
      <c r="P151" s="0" t="str">
        <f aca="false">IF(OR($A151="",$D151=""),"",IF(AND(EDATE($D151,Milestones!$AA$160)&lt;=AsOfDate,IF($R151=0,$X151,IF(AND($T151&lt;&gt;"",EDATE($D151,Milestones!$AA$160)&gt;=$T151),$W151,IF(AND($S151&lt;&gt;"",EDATE($D151,Milestones!$AA$160)&gt;=$S151),$V151,$U151)))=Milestones!$AB$160),UPPER(TEXT(EDATE($D151,Milestones!$AA$160),"dd mmm yy"))&amp;" "&amp;Milestones!$AB$160&amp;" "&amp;Milestones!$AC$160&amp;";  ","")&amp;IF(AND(EDATE($D151,Milestones!$AA$161)&lt;=AsOfDate,IF($R151=0,$X151,IF(AND($T151&lt;&gt;"",EDATE($D151,Milestones!$AA$161)&gt;=$T151),$W151,IF(AND($S151&lt;&gt;"",EDATE($D151,Milestones!$AA$161)&gt;=$S151),$V151,$U151)))=Milestones!$AB$161),UPPER(TEXT(EDATE($D151,Milestones!$AA$161),"dd mmm yy"))&amp;" "&amp;Milestones!$AB$161&amp;" "&amp;Milestones!$AC$161&amp;";  ","")&amp;IF(AND(EDATE($D151,Milestones!$AA$162)&lt;=AsOfDate,IF($R151=0,$X151,IF(AND($T151&lt;&gt;"",EDATE($D151,Milestones!$AA$162)&gt;=$T151),$W151,IF(AND($S151&lt;&gt;"",EDATE($D151,Milestones!$AA$162)&gt;=$S151),$V151,$U151)))=Milestones!$AB$162),UPPER(TEXT(EDATE($D151,Milestones!$AA$162),"dd mmm yy"))&amp;" "&amp;Milestones!$AB$162&amp;" "&amp;Milestones!$AC$162&amp;";  ","")&amp;IF(AND(EDATE($D151,Milestones!$AA$163)&lt;=AsOfDate,IF($R151=0,$X151,IF(AND($T151&lt;&gt;"",EDATE($D151,Milestones!$AA$163)&gt;=$T151),$W151,IF(AND($S151&lt;&gt;"",EDATE($D151,Milestones!$AA$163)&gt;=$S151),$V151,$U151)))=Milestones!$AB$163),UPPER(TEXT(EDATE($D151,Milestones!$AA$163),"dd mmm yy"))&amp;" "&amp;Milestones!$AB$163&amp;" "&amp;Milestones!$AC$163&amp;";  ","")&amp;IF(AND(EDATE($D151,Milestones!$AA$164)&lt;=AsOfDate,IF($R151=0,$X151,IF(AND($T151&lt;&gt;"",EDATE($D151,Milestones!$AA$164)&gt;=$T151),$W151,IF(AND($S151&lt;&gt;"",EDATE($D151,Milestones!$AA$164)&gt;=$S151),$V151,$U151)))=Milestones!$AB$164),UPPER(TEXT(EDATE($D151,Milestones!$AA$164),"dd mmm yy"))&amp;" "&amp;Milestones!$AB$164&amp;" "&amp;Milestones!$AC$164&amp;";  ","")&amp;IF(AND(EDATE($D151,Milestones!$AA$165)&lt;=AsOfDate,IF($R151=0,$X151,IF(AND($T151&lt;&gt;"",EDATE($D151,Milestones!$AA$165)&gt;=$T151),$W151,IF(AND($S151&lt;&gt;"",EDATE($D151,Milestones!$AA$165)&gt;=$S151),$V151,$U151)))=Milestones!$AB$165),UPPER(TEXT(EDATE($D151,Milestones!$AA$165),"dd mmm yy"))&amp;" "&amp;Milestones!$AB$165&amp;" "&amp;Milestones!$AC$165&amp;";  ","")&amp;IF(AND(EDATE($D151,Milestones!$AA$166)&lt;=AsOfDate,IF($R151=0,$X151,IF(AND($T151&lt;&gt;"",EDATE($D151,Milestones!$AA$166)&gt;=$T151),$W151,IF(AND($S151&lt;&gt;"",EDATE($D151,Milestones!$AA$166)&gt;=$S151),$V151,$U151)))=Milestones!$AB$166),UPPER(TEXT(EDATE($D151,Milestones!$AA$166),"dd mmm yy"))&amp;" "&amp;Milestones!$AB$166&amp;" "&amp;Milestones!$AC$166&amp;";  ","")&amp;IF(AND(EDATE($D151,Milestones!$AA$167)&lt;=AsOfDate,IF($R151=0,$X151,IF(AND($T151&lt;&gt;"",EDATE($D151,Milestones!$AA$167)&gt;=$T151),$W151,IF(AND($S151&lt;&gt;"",EDATE($D151,Milestones!$AA$167)&gt;=$S151),$V151,$U151)))=Milestones!$AB$167),UPPER(TEXT(EDATE($D151,Milestones!$AA$167),"dd mmm yy"))&amp;" "&amp;Milestones!$AB$167&amp;" "&amp;Milestones!$AC$167&amp;";  ","")&amp;IF(AND(EDATE($D151,Milestones!$AA$168)&lt;=AsOfDate,IF($R151=0,$X151,IF(AND($T151&lt;&gt;"",EDATE($D151,Milestones!$AA$168)&gt;=$T151),$W151,IF(AND($S151&lt;&gt;"",EDATE($D151,Milestones!$AA$168)&gt;=$S151),$V151,$U151)))=Milestones!$AB$168),UPPER(TEXT(EDATE($D151,Milestones!$AA$168),"dd mmm yy"))&amp;" "&amp;Milestones!$AB$168&amp;" "&amp;Milestones!$AC$168&amp;";  ","")&amp;IF(AND(EDATE($D151,Milestones!$AA$169)&lt;=AsOfDate,IF($R151=0,$X151,IF(AND($T151&lt;&gt;"",EDATE($D151,Milestones!$AA$169)&gt;=$T151),$W151,IF(AND($S151&lt;&gt;"",EDATE($D151,Milestones!$AA$169)&gt;=$S151),$V151,$U151)))=Milestones!$AB$169),UPPER(TEXT(EDATE($D151,Milestones!$AA$169),"dd mmm yy"))&amp;" "&amp;Milestones!$AB$169&amp;" "&amp;Milestones!$AC$169&amp;";  ","")&amp;IF(AND(EDATE($D151,Milestones!$AA$170)&lt;=AsOfDate,IF($R151=0,$X151,IF(AND($T151&lt;&gt;"",EDATE($D151,Milestones!$AA$170)&gt;=$T151),$W151,IF(AND($S151&lt;&gt;"",EDATE($D151,Milestones!$AA$170)&gt;=$S151),$V151,$U151)))=Milestones!$AB$170),UPPER(TEXT(EDATE($D151,Milestones!$AA$170),"dd mmm yy"))&amp;" "&amp;Milestones!$AB$170&amp;" "&amp;Milestones!$AC$170&amp;";  ","")&amp;IF(AND(EDATE($D151,Milestones!$AA$171)&lt;=AsOfDate,IF($R151=0,$X151,IF(AND($T151&lt;&gt;"",EDATE($D151,Milestones!$AA$171)&gt;=$T151),$W151,IF(AND($S151&lt;&gt;"",EDATE($D151,Milestones!$AA$171)&gt;=$S151),$V151,$U151)))=Milestones!$AB$171),UPPER(TEXT(EDATE($D151,Milestones!$AA$171),"dd mmm yy"))&amp;" "&amp;Milestones!$AB$171&amp;" "&amp;Milestones!$AC$171&amp;";  ","")&amp;IF(AND(EDATE($D151,Milestones!$AA$172)&lt;=AsOfDate,IF($R151=0,$X151,IF(AND($T151&lt;&gt;"",EDATE($D151,Milestones!$AA$172)&gt;=$T151),$W151,IF(AND($S151&lt;&gt;"",EDATE($D151,Milestones!$AA$172)&gt;=$S151),$V151,$U151)))=Milestones!$AB$172),UPPER(TEXT(EDATE($D151,Milestones!$AA$172),"dd mmm yy"))&amp;" "&amp;Milestones!$AB$172&amp;" "&amp;Milestones!$AC$172&amp;";  ","")&amp;IF(AND(EDATE($D151,Milestones!$AA$173)&lt;=AsOfDate,IF($R151=0,$X151,IF(AND($T151&lt;&gt;"",EDATE($D151,Milestones!$AA$173)&gt;=$T151),$W151,IF(AND($S151&lt;&gt;"",EDATE($D151,Milestones!$AA$173)&gt;=$S151),$V151,$U151)))=Milestones!$AB$173),UPPER(TEXT(EDATE($D151,Milestones!$AA$173),"dd mmm yy"))&amp;" "&amp;Milestones!$AB$173&amp;" "&amp;Milestones!$AC$173&amp;";  ","")&amp;IF(AND(EDATE($D151,Milestones!$AA$174)&lt;=AsOfDate,IF($R151=0,$X151,IF(AND($T151&lt;&gt;"",EDATE($D151,Milestones!$AA$174)&gt;=$T151),$W151,IF(AND($S151&lt;&gt;"",EDATE($D151,Milestones!$AA$174)&gt;=$S151),$V151,$U151)))=Milestones!$AB$174),UPPER(TEXT(EDATE($D151,Milestones!$AA$174),"dd mmm yy"))&amp;" "&amp;Milestones!$AB$174&amp;" "&amp;Milestones!$AC$174&amp;";  ","")&amp;IF(AND(EDATE($D151,Milestones!$AA$175)&lt;=AsOfDate,IF($R151=0,$X151,IF(AND($T151&lt;&gt;"",EDATE($D151,Milestones!$AA$175)&gt;=$T151),$W151,IF(AND($S151&lt;&gt;"",EDATE($D151,Milestones!$AA$175)&gt;=$S151),$V151,$U151)))=Milestones!$AB$175),UPPER(TEXT(EDATE($D151,Milestones!$AA$175),"dd mmm yy"))&amp;" "&amp;Milestones!$AB$175&amp;" "&amp;Milestones!$AC$175&amp;";  ","")&amp;IF(AND(EDATE($D151,Milestones!$AA$176)&lt;=AsOfDate,IF($R151=0,$X151,IF(AND($T151&lt;&gt;"",EDATE($D151,Milestones!$AA$176)&gt;=$T151),$W151,IF(AND($S151&lt;&gt;"",EDATE($D151,Milestones!$AA$176)&gt;=$S151),$V151,$U151)))=Milestones!$AB$176),UPPER(TEXT(EDATE($D151,Milestones!$AA$176),"dd mmm yy"))&amp;" "&amp;Milestones!$AB$176&amp;" "&amp;Milestones!$AC$176&amp;";  ","")&amp;IF(AND(EDATE($D151,Milestones!$AA$177)&lt;=AsOfDate,IF($R151=0,$X151,IF(AND($T151&lt;&gt;"",EDATE($D151,Milestones!$AA$177)&gt;=$T151),$W151,IF(AND($S151&lt;&gt;"",EDATE($D151,Milestones!$AA$177)&gt;=$S151),$V151,$U151)))=Milestones!$AB$177),UPPER(TEXT(EDATE($D151,Milestones!$AA$177),"dd mmm yy"))&amp;" "&amp;Milestones!$AB$177&amp;" "&amp;Milestones!$AC$177&amp;";  ","")&amp;IF(AND(EDATE($D151,Milestones!$AA$178)&lt;=AsOfDate,IF($R151=0,$X151,IF(AND($T151&lt;&gt;"",EDATE($D151,Milestones!$AA$178)&gt;=$T151),$W151,IF(AND($S151&lt;&gt;"",EDATE($D151,Milestones!$AA$178)&gt;=$S151),$V151,$U151)))=Milestones!$AB$178),UPPER(TEXT(EDATE($D151,Milestones!$AA$178),"dd mmm yy"))&amp;" "&amp;Milestones!$AB$178&amp;" "&amp;Milestones!$AC$178&amp;";  ","")&amp;IF(AND(EDATE($D151,Milestones!$AA$179)&lt;=AsOfDate,IF($R151=0,$X151,IF(AND($T151&lt;&gt;"",EDATE($D151,Milestones!$AA$179)&gt;=$T151),$W151,IF(AND($S151&lt;&gt;"",EDATE($D151,Milestones!$AA$179)&gt;=$S151),$V151,$U151)))=Milestones!$AB$179),UPPER(TEXT(EDATE($D151,Milestones!$AA$179),"dd mmm yy"))&amp;" "&amp;Milestones!$AB$179&amp;" "&amp;Milestones!$AC$179&amp;";  ",""))</f>
        <v/>
      </c>
      <c r="Q151" s="0" t="str">
        <f aca="false">IF(OR($A151="",$D151=""),"",IF(AND(EDATE($D151,Milestones!$AA$180)&lt;=AsOfDate,IF($R151=0,$X151,IF(AND($T151&lt;&gt;"",EDATE($D151,Milestones!$AA$180)&gt;=$T151),$W151,IF(AND($S151&lt;&gt;"",EDATE($D151,Milestones!$AA$180)&gt;=$S151),$V151,$U151)))=Milestones!$AB$180),UPPER(TEXT(EDATE($D151,Milestones!$AA$180),"dd mmm yy"))&amp;" "&amp;Milestones!$AB$180&amp;" "&amp;Milestones!$AC$180&amp;";  ","")&amp;IF(AND(EDATE($D151,Milestones!$AA$181)&lt;=AsOfDate,IF($R151=0,$X151,IF(AND($T151&lt;&gt;"",EDATE($D151,Milestones!$AA$181)&gt;=$T151),$W151,IF(AND($S151&lt;&gt;"",EDATE($D151,Milestones!$AA$181)&gt;=$S151),$V151,$U151)))=Milestones!$AB$181),UPPER(TEXT(EDATE($D151,Milestones!$AA$181),"dd mmm yy"))&amp;" "&amp;Milestones!$AB$181&amp;" "&amp;Milestones!$AC$181&amp;";  ","")&amp;IF(AND(EDATE($D151,Milestones!$AA$182)&lt;=AsOfDate,IF($R151=0,$X151,IF(AND($T151&lt;&gt;"",EDATE($D151,Milestones!$AA$182)&gt;=$T151),$W151,IF(AND($S151&lt;&gt;"",EDATE($D151,Milestones!$AA$182)&gt;=$S151),$V151,$U151)))=Milestones!$AB$182),UPPER(TEXT(EDATE($D151,Milestones!$AA$182),"dd mmm yy"))&amp;" "&amp;Milestones!$AB$182&amp;" "&amp;Milestones!$AC$182&amp;";  ","")&amp;IF(AND(EDATE($D151,Milestones!$AA$183)&lt;=AsOfDate,IF($R151=0,$X151,IF(AND($T151&lt;&gt;"",EDATE($D151,Milestones!$AA$183)&gt;=$T151),$W151,IF(AND($S151&lt;&gt;"",EDATE($D151,Milestones!$AA$183)&gt;=$S151),$V151,$U151)))=Milestones!$AB$183),UPPER(TEXT(EDATE($D151,Milestones!$AA$183),"dd mmm yy"))&amp;" "&amp;Milestones!$AB$183&amp;" "&amp;Milestones!$AC$183&amp;";  ","")&amp;IF(AND(EDATE($D151,Milestones!$AA$184)&lt;=AsOfDate,IF($R151=0,$X151,IF(AND($T151&lt;&gt;"",EDATE($D151,Milestones!$AA$184)&gt;=$T151),$W151,IF(AND($S151&lt;&gt;"",EDATE($D151,Milestones!$AA$184)&gt;=$S151),$V151,$U151)))=Milestones!$AB$184),UPPER(TEXT(EDATE($D151,Milestones!$AA$184),"dd mmm yy"))&amp;" "&amp;Milestones!$AB$184&amp;" "&amp;Milestones!$AC$184&amp;";  ","")&amp;IF(AND(EDATE($D151,Milestones!$AA$185)&lt;=AsOfDate,IF($R151=0,$X151,IF(AND($T151&lt;&gt;"",EDATE($D151,Milestones!$AA$185)&gt;=$T151),$W151,IF(AND($S151&lt;&gt;"",EDATE($D151,Milestones!$AA$185)&gt;=$S151),$V151,$U151)))=Milestones!$AB$185),UPPER(TEXT(EDATE($D151,Milestones!$AA$185),"dd mmm yy"))&amp;" "&amp;Milestones!$AB$185&amp;" "&amp;Milestones!$AC$185&amp;";  ","")&amp;IF(AND(EDATE($D151,Milestones!$AA$186)&lt;=AsOfDate,IF($R151=0,$X151,IF(AND($T151&lt;&gt;"",EDATE($D151,Milestones!$AA$186)&gt;=$T151),$W151,IF(AND($S151&lt;&gt;"",EDATE($D151,Milestones!$AA$186)&gt;=$S151),$V151,$U151)))=Milestones!$AB$186),UPPER(TEXT(EDATE($D151,Milestones!$AA$186),"dd mmm yy"))&amp;" "&amp;Milestones!$AB$186&amp;" "&amp;Milestones!$AC$186&amp;";  ","")&amp;IF(AND(EDATE($D151,Milestones!$AA$187)&lt;=AsOfDate,IF($R151=0,$X151,IF(AND($T151&lt;&gt;"",EDATE($D151,Milestones!$AA$187)&gt;=$T151),$W151,IF(AND($S151&lt;&gt;"",EDATE($D151,Milestones!$AA$187)&gt;=$S151),$V151,$U151)))=Milestones!$AB$187),UPPER(TEXT(EDATE($D151,Milestones!$AA$187),"dd mmm yy"))&amp;" "&amp;Milestones!$AB$187&amp;" "&amp;Milestones!$AC$187&amp;";  ","")&amp;IF(AND(EDATE($D151,Milestones!$AA$188)&lt;=AsOfDate,IF($R151=0,$X151,IF(AND($T151&lt;&gt;"",EDATE($D151,Milestones!$AA$188)&gt;=$T151),$W151,IF(AND($S151&lt;&gt;"",EDATE($D151,Milestones!$AA$188)&gt;=$S151),$V151,$U151)))=Milestones!$AB$188),UPPER(TEXT(EDATE($D151,Milestones!$AA$188),"dd mmm yy"))&amp;" "&amp;Milestones!$AB$188&amp;" "&amp;Milestones!$AC$188&amp;";  ","")&amp;IF(AND(EDATE($D151,Milestones!$AA$189)&lt;=AsOfDate,IF($R151=0,$X151,IF(AND($T151&lt;&gt;"",EDATE($D151,Milestones!$AA$189)&gt;=$T151),$W151,IF(AND($S151&lt;&gt;"",EDATE($D151,Milestones!$AA$189)&gt;=$S151),$V151,$U151)))=Milestones!$AB$189),UPPER(TEXT(EDATE($D151,Milestones!$AA$189),"dd mmm yy"))&amp;" "&amp;Milestones!$AB$189&amp;" "&amp;Milestones!$AC$189&amp;";  ","")&amp;IF(AND(EDATE($D151,Milestones!$AA$190)&lt;=AsOfDate,IF($R151=0,$X151,IF(AND($T151&lt;&gt;"",EDATE($D151,Milestones!$AA$190)&gt;=$T151),$W151,IF(AND($S151&lt;&gt;"",EDATE($D151,Milestones!$AA$190)&gt;=$S151),$V151,$U151)))=Milestones!$AB$190),UPPER(TEXT(EDATE($D151,Milestones!$AA$190),"dd mmm yy"))&amp;" "&amp;Milestones!$AB$190&amp;" "&amp;Milestones!$AC$190&amp;";  ","")&amp;IF(AND(EDATE($D151,Milestones!$AA$191)&lt;=AsOfDate,IF($R151=0,$X151,IF(AND($T151&lt;&gt;"",EDATE($D151,Milestones!$AA$191)&gt;=$T151),$W151,IF(AND($S151&lt;&gt;"",EDATE($D151,Milestones!$AA$191)&gt;=$S151),$V151,$U151)))=Milestones!$AB$191),UPPER(TEXT(EDATE($D151,Milestones!$AA$191),"dd mmm yy"))&amp;" "&amp;Milestones!$AB$191&amp;" "&amp;Milestones!$AC$191&amp;";  ","")&amp;IF(AND(EDATE($D151,Milestones!$AA$192)&lt;=AsOfDate,IF($R151=0,$X151,IF(AND($T151&lt;&gt;"",EDATE($D151,Milestones!$AA$192)&gt;=$T151),$W151,IF(AND($S151&lt;&gt;"",EDATE($D151,Milestones!$AA$192)&gt;=$S151),$V151,$U151)))=Milestones!$AB$192),UPPER(TEXT(EDATE($D151,Milestones!$AA$192),"dd mmm yy"))&amp;" "&amp;Milestones!$AB$192&amp;" "&amp;Milestones!$AC$192&amp;";  ","")&amp;IF(AND(EDATE($D151,Milestones!$AA$193)&lt;=AsOfDate,IF($R151=0,$X151,IF(AND($T151&lt;&gt;"",EDATE($D151,Milestones!$AA$193)&gt;=$T151),$W151,IF(AND($S151&lt;&gt;"",EDATE($D151,Milestones!$AA$193)&gt;=$S151),$V151,$U151)))=Milestones!$AB$193),UPPER(TEXT(EDATE($D151,Milestones!$AA$193),"dd mmm yy"))&amp;" "&amp;Milestones!$AB$193&amp;" "&amp;Milestones!$AC$193&amp;";  ","")&amp;IF(AND(EDATE($D151,Milestones!$AA$194)&lt;=AsOfDate,IF($R151=0,$X151,IF(AND($T151&lt;&gt;"",EDATE($D151,Milestones!$AA$194)&gt;=$T151),$W151,IF(AND($S151&lt;&gt;"",EDATE($D151,Milestones!$AA$194)&gt;=$S151),$V151,$U151)))=Milestones!$AB$194),UPPER(TEXT(EDATE($D151,Milestones!$AA$194),"dd mmm yy"))&amp;" "&amp;Milestones!$AB$194&amp;" "&amp;Milestones!$AC$194&amp;";  ","")&amp;IF(AND(EDATE($D151,Milestones!$AA$195)&lt;=AsOfDate,IF($R151=0,$X151,IF(AND($T151&lt;&gt;"",EDATE($D151,Milestones!$AA$195)&gt;=$T151),$W151,IF(AND($S151&lt;&gt;"",EDATE($D151,Milestones!$AA$195)&gt;=$S151),$V151,$U151)))=Milestones!$AB$195),UPPER(TEXT(EDATE($D151,Milestones!$AA$195),"dd mmm yy"))&amp;" "&amp;Milestones!$AB$195&amp;" "&amp;Milestones!$AC$195&amp;";  ","")&amp;IF(AND(EDATE($D151,Milestones!$AA$196)&lt;=AsOfDate,IF($R151=0,$X151,IF(AND($T151&lt;&gt;"",EDATE($D151,Milestones!$AA$196)&gt;=$T151),$W151,IF(AND($S151&lt;&gt;"",EDATE($D151,Milestones!$AA$196)&gt;=$S151),$V151,$U151)))=Milestones!$AB$196),UPPER(TEXT(EDATE($D151,Milestones!$AA$196),"dd mmm yy"))&amp;" "&amp;Milestones!$AB$196&amp;" "&amp;Milestones!$AC$196&amp;";  ","")&amp;IF(AND(EDATE($D151,Milestones!$AA$197)&lt;=AsOfDate,IF($R151=0,$X151,IF(AND($T151&lt;&gt;"",EDATE($D151,Milestones!$AA$197)&gt;=$T151),$W151,IF(AND($S151&lt;&gt;"",EDATE($D151,Milestones!$AA$197)&gt;=$S151),$V151,$U151)))=Milestones!$AB$197),UPPER(TEXT(EDATE($D151,Milestones!$AA$197),"dd mmm yy"))&amp;" "&amp;Milestones!$AB$197&amp;" "&amp;Milestones!$AC$197&amp;";  ","")&amp;IF(AND(EDATE($D151,Milestones!$AA$198)&lt;=AsOfDate,IF($R151=0,$X151,IF(AND($T151&lt;&gt;"",EDATE($D151,Milestones!$AA$198)&gt;=$T151),$W151,IF(AND($S151&lt;&gt;"",EDATE($D151,Milestones!$AA$198)&gt;=$S151),$V151,$U151)))=Milestones!$AB$198),UPPER(TEXT(EDATE($D151,Milestones!$AA$198),"dd mmm yy"))&amp;" "&amp;Milestones!$AB$198&amp;" "&amp;Milestones!$AC$198&amp;";  ","")&amp;IF(AND(EDATE($D151,Milestones!$AA$199)&lt;=AsOfDate,IF($R151=0,$X151,IF(AND($T151&lt;&gt;"",EDATE($D151,Milestones!$AA$199)&gt;=$T151),$W151,IF(AND($S151&lt;&gt;"",EDATE($D151,Milestones!$AA$199)&gt;=$S151),$V151,$U151)))=Milestones!$AB$199),UPPER(TEXT(EDATE($D151,Milestones!$AA$199),"dd mmm yy"))&amp;" "&amp;Milestones!$AB$199&amp;" "&amp;Milestones!$AC$199&amp;";  ",""))</f>
        <v/>
      </c>
      <c r="R151" s="0" t="str">
        <f aca="false">IF(Staff!$A151="","",Staff!$AI151)</f>
        <v/>
      </c>
      <c r="S151" s="0" t="str">
        <f aca="false">IF(Staff!$A151="","",Staff!$AK151)</f>
        <v/>
      </c>
      <c r="T151" s="0" t="str">
        <f aca="false">IF(Staff!$A151="","",Staff!$AL151)</f>
        <v/>
      </c>
      <c r="U151" s="0" t="str">
        <f aca="false">IF(Staff!$A151="","",Staff!$AP151)</f>
        <v/>
      </c>
      <c r="V151" s="0" t="str">
        <f aca="false">IF(Staff!$A151="","",Staff!$AQ151)</f>
        <v/>
      </c>
      <c r="W151" s="0" t="str">
        <f aca="false">IF(Staff!$A151="","",Staff!$AR151)</f>
        <v/>
      </c>
      <c r="X151" s="0" t="str">
        <f aca="false">IF(Staff!$A151="","",Staff!$AS151)</f>
        <v/>
      </c>
    </row>
    <row r="152" customFormat="false" ht="15" hidden="false" customHeight="false" outlineLevel="0" collapsed="false">
      <c r="A152" s="14" t="str">
        <f aca="false">IF(Staff!$A152="","",Staff!$A152)</f>
        <v/>
      </c>
      <c r="B152" s="14" t="str">
        <f aca="false">IF(Staff!$A152="","",Staff!$B152)</f>
        <v/>
      </c>
      <c r="C152" s="14" t="str">
        <f aca="false">IF(Staff!$A152="","",Staff!$C152)</f>
        <v/>
      </c>
      <c r="D152" s="12" t="str">
        <f aca="false">IF(Staff!$A152="","",Staff!$AH152)</f>
        <v/>
      </c>
      <c r="E152" s="14" t="str">
        <f aca="false">IF(Staff!$A152="","",Staff!$O152)</f>
        <v/>
      </c>
      <c r="F152" s="14" t="str">
        <f aca="false">IF(E152="","",E152*HoursPerDay)</f>
        <v/>
      </c>
      <c r="G152" s="14" t="str">
        <f aca="false">IF(Staff!$A152="","",Staff!$AE152)</f>
        <v/>
      </c>
      <c r="H152" s="26" t="str">
        <f aca="false">IF($A152="","",I152&amp;J152&amp;K152&amp;L152&amp;M152&amp;N152&amp;O152&amp;P152&amp;Q152)</f>
        <v/>
      </c>
      <c r="I152" s="0" t="str">
        <f aca="false">IF(OR($A152="",$D152=""),"",IF(AND(EDATE($D152,Milestones!$AA$20)&lt;=AsOfDate,IF($R152=0,$X152,IF(AND($T152&lt;&gt;"",EDATE($D152,Milestones!$AA$20)&gt;=$T152),$W152,IF(AND($S152&lt;&gt;"",EDATE($D152,Milestones!$AA$20)&gt;=$S152),$V152,$U152)))=Milestones!$AB$20),UPPER(TEXT(EDATE($D152,Milestones!$AA$20),"dd mmm yy"))&amp;" "&amp;Milestones!$AB$20&amp;" "&amp;Milestones!$AC$20&amp;";  ","")&amp;IF(AND(EDATE($D152,Milestones!$AA$21)&lt;=AsOfDate,IF($R152=0,$X152,IF(AND($T152&lt;&gt;"",EDATE($D152,Milestones!$AA$21)&gt;=$T152),$W152,IF(AND($S152&lt;&gt;"",EDATE($D152,Milestones!$AA$21)&gt;=$S152),$V152,$U152)))=Milestones!$AB$21),UPPER(TEXT(EDATE($D152,Milestones!$AA$21),"dd mmm yy"))&amp;" "&amp;Milestones!$AB$21&amp;" "&amp;Milestones!$AC$21&amp;";  ","")&amp;IF(AND(EDATE($D152,Milestones!$AA$22)&lt;=AsOfDate,IF($R152=0,$X152,IF(AND($T152&lt;&gt;"",EDATE($D152,Milestones!$AA$22)&gt;=$T152),$W152,IF(AND($S152&lt;&gt;"",EDATE($D152,Milestones!$AA$22)&gt;=$S152),$V152,$U152)))=Milestones!$AB$22),UPPER(TEXT(EDATE($D152,Milestones!$AA$22),"dd mmm yy"))&amp;" "&amp;Milestones!$AB$22&amp;" "&amp;Milestones!$AC$22&amp;";  ","")&amp;IF(AND(EDATE($D152,Milestones!$AA$23)&lt;=AsOfDate,IF($R152=0,$X152,IF(AND($T152&lt;&gt;"",EDATE($D152,Milestones!$AA$23)&gt;=$T152),$W152,IF(AND($S152&lt;&gt;"",EDATE($D152,Milestones!$AA$23)&gt;=$S152),$V152,$U152)))=Milestones!$AB$23),UPPER(TEXT(EDATE($D152,Milestones!$AA$23),"dd mmm yy"))&amp;" "&amp;Milestones!$AB$23&amp;" "&amp;Milestones!$AC$23&amp;";  ","")&amp;IF(AND(EDATE($D152,Milestones!$AA$24)&lt;=AsOfDate,IF($R152=0,$X152,IF(AND($T152&lt;&gt;"",EDATE($D152,Milestones!$AA$24)&gt;=$T152),$W152,IF(AND($S152&lt;&gt;"",EDATE($D152,Milestones!$AA$24)&gt;=$S152),$V152,$U152)))=Milestones!$AB$24),UPPER(TEXT(EDATE($D152,Milestones!$AA$24),"dd mmm yy"))&amp;" "&amp;Milestones!$AB$24&amp;" "&amp;Milestones!$AC$24&amp;";  ","")&amp;IF(AND(EDATE($D152,Milestones!$AA$25)&lt;=AsOfDate,IF($R152=0,$X152,IF(AND($T152&lt;&gt;"",EDATE($D152,Milestones!$AA$25)&gt;=$T152),$W152,IF(AND($S152&lt;&gt;"",EDATE($D152,Milestones!$AA$25)&gt;=$S152),$V152,$U152)))=Milestones!$AB$25),UPPER(TEXT(EDATE($D152,Milestones!$AA$25),"dd mmm yy"))&amp;" "&amp;Milestones!$AB$25&amp;" "&amp;Milestones!$AC$25&amp;";  ","")&amp;IF(AND(EDATE($D152,Milestones!$AA$26)&lt;=AsOfDate,IF($R152=0,$X152,IF(AND($T152&lt;&gt;"",EDATE($D152,Milestones!$AA$26)&gt;=$T152),$W152,IF(AND($S152&lt;&gt;"",EDATE($D152,Milestones!$AA$26)&gt;=$S152),$V152,$U152)))=Milestones!$AB$26),UPPER(TEXT(EDATE($D152,Milestones!$AA$26),"dd mmm yy"))&amp;" "&amp;Milestones!$AB$26&amp;" "&amp;Milestones!$AC$26&amp;";  ","")&amp;IF(AND(EDATE($D152,Milestones!$AA$27)&lt;=AsOfDate,IF($R152=0,$X152,IF(AND($T152&lt;&gt;"",EDATE($D152,Milestones!$AA$27)&gt;=$T152),$W152,IF(AND($S152&lt;&gt;"",EDATE($D152,Milestones!$AA$27)&gt;=$S152),$V152,$U152)))=Milestones!$AB$27),UPPER(TEXT(EDATE($D152,Milestones!$AA$27),"dd mmm yy"))&amp;" "&amp;Milestones!$AB$27&amp;" "&amp;Milestones!$AC$27&amp;";  ","")&amp;IF(AND(EDATE($D152,Milestones!$AA$28)&lt;=AsOfDate,IF($R152=0,$X152,IF(AND($T152&lt;&gt;"",EDATE($D152,Milestones!$AA$28)&gt;=$T152),$W152,IF(AND($S152&lt;&gt;"",EDATE($D152,Milestones!$AA$28)&gt;=$S152),$V152,$U152)))=Milestones!$AB$28),UPPER(TEXT(EDATE($D152,Milestones!$AA$28),"dd mmm yy"))&amp;" "&amp;Milestones!$AB$28&amp;" "&amp;Milestones!$AC$28&amp;";  ","")&amp;IF(AND(EDATE($D152,Milestones!$AA$29)&lt;=AsOfDate,IF($R152=0,$X152,IF(AND($T152&lt;&gt;"",EDATE($D152,Milestones!$AA$29)&gt;=$T152),$W152,IF(AND($S152&lt;&gt;"",EDATE($D152,Milestones!$AA$29)&gt;=$S152),$V152,$U152)))=Milestones!$AB$29),UPPER(TEXT(EDATE($D152,Milestones!$AA$29),"dd mmm yy"))&amp;" "&amp;Milestones!$AB$29&amp;" "&amp;Milestones!$AC$29&amp;";  ","")&amp;IF(AND(EDATE($D152,Milestones!$AA$30)&lt;=AsOfDate,IF($R152=0,$X152,IF(AND($T152&lt;&gt;"",EDATE($D152,Milestones!$AA$30)&gt;=$T152),$W152,IF(AND($S152&lt;&gt;"",EDATE($D152,Milestones!$AA$30)&gt;=$S152),$V152,$U152)))=Milestones!$AB$30),UPPER(TEXT(EDATE($D152,Milestones!$AA$30),"dd mmm yy"))&amp;" "&amp;Milestones!$AB$30&amp;" "&amp;Milestones!$AC$30&amp;";  ","")&amp;IF(AND(EDATE($D152,Milestones!$AA$31)&lt;=AsOfDate,IF($R152=0,$X152,IF(AND($T152&lt;&gt;"",EDATE($D152,Milestones!$AA$31)&gt;=$T152),$W152,IF(AND($S152&lt;&gt;"",EDATE($D152,Milestones!$AA$31)&gt;=$S152),$V152,$U152)))=Milestones!$AB$31),UPPER(TEXT(EDATE($D152,Milestones!$AA$31),"dd mmm yy"))&amp;" "&amp;Milestones!$AB$31&amp;" "&amp;Milestones!$AC$31&amp;";  ","")&amp;IF(AND(EDATE($D152,Milestones!$AA$32)&lt;=AsOfDate,IF($R152=0,$X152,IF(AND($T152&lt;&gt;"",EDATE($D152,Milestones!$AA$32)&gt;=$T152),$W152,IF(AND($S152&lt;&gt;"",EDATE($D152,Milestones!$AA$32)&gt;=$S152),$V152,$U152)))=Milestones!$AB$32),UPPER(TEXT(EDATE($D152,Milestones!$AA$32),"dd mmm yy"))&amp;" "&amp;Milestones!$AB$32&amp;" "&amp;Milestones!$AC$32&amp;";  ","")&amp;IF(AND(EDATE($D152,Milestones!$AA$33)&lt;=AsOfDate,IF($R152=0,$X152,IF(AND($T152&lt;&gt;"",EDATE($D152,Milestones!$AA$33)&gt;=$T152),$W152,IF(AND($S152&lt;&gt;"",EDATE($D152,Milestones!$AA$33)&gt;=$S152),$V152,$U152)))=Milestones!$AB$33),UPPER(TEXT(EDATE($D152,Milestones!$AA$33),"dd mmm yy"))&amp;" "&amp;Milestones!$AB$33&amp;" "&amp;Milestones!$AC$33&amp;";  ","")&amp;IF(AND(EDATE($D152,Milestones!$AA$34)&lt;=AsOfDate,IF($R152=0,$X152,IF(AND($T152&lt;&gt;"",EDATE($D152,Milestones!$AA$34)&gt;=$T152),$W152,IF(AND($S152&lt;&gt;"",EDATE($D152,Milestones!$AA$34)&gt;=$S152),$V152,$U152)))=Milestones!$AB$34),UPPER(TEXT(EDATE($D152,Milestones!$AA$34),"dd mmm yy"))&amp;" "&amp;Milestones!$AB$34&amp;" "&amp;Milestones!$AC$34&amp;";  ","")&amp;IF(AND(EDATE($D152,Milestones!$AA$35)&lt;=AsOfDate,IF($R152=0,$X152,IF(AND($T152&lt;&gt;"",EDATE($D152,Milestones!$AA$35)&gt;=$T152),$W152,IF(AND($S152&lt;&gt;"",EDATE($D152,Milestones!$AA$35)&gt;=$S152),$V152,$U152)))=Milestones!$AB$35),UPPER(TEXT(EDATE($D152,Milestones!$AA$35),"dd mmm yy"))&amp;" "&amp;Milestones!$AB$35&amp;" "&amp;Milestones!$AC$35&amp;";  ","")&amp;IF(AND(EDATE($D152,Milestones!$AA$36)&lt;=AsOfDate,IF($R152=0,$X152,IF(AND($T152&lt;&gt;"",EDATE($D152,Milestones!$AA$36)&gt;=$T152),$W152,IF(AND($S152&lt;&gt;"",EDATE($D152,Milestones!$AA$36)&gt;=$S152),$V152,$U152)))=Milestones!$AB$36),UPPER(TEXT(EDATE($D152,Milestones!$AA$36),"dd mmm yy"))&amp;" "&amp;Milestones!$AB$36&amp;" "&amp;Milestones!$AC$36&amp;";  ","")&amp;IF(AND(EDATE($D152,Milestones!$AA$37)&lt;=AsOfDate,IF($R152=0,$X152,IF(AND($T152&lt;&gt;"",EDATE($D152,Milestones!$AA$37)&gt;=$T152),$W152,IF(AND($S152&lt;&gt;"",EDATE($D152,Milestones!$AA$37)&gt;=$S152),$V152,$U152)))=Milestones!$AB$37),UPPER(TEXT(EDATE($D152,Milestones!$AA$37),"dd mmm yy"))&amp;" "&amp;Milestones!$AB$37&amp;" "&amp;Milestones!$AC$37&amp;";  ","")&amp;IF(AND(EDATE($D152,Milestones!$AA$38)&lt;=AsOfDate,IF($R152=0,$X152,IF(AND($T152&lt;&gt;"",EDATE($D152,Milestones!$AA$38)&gt;=$T152),$W152,IF(AND($S152&lt;&gt;"",EDATE($D152,Milestones!$AA$38)&gt;=$S152),$V152,$U152)))=Milestones!$AB$38),UPPER(TEXT(EDATE($D152,Milestones!$AA$38),"dd mmm yy"))&amp;" "&amp;Milestones!$AB$38&amp;" "&amp;Milestones!$AC$38&amp;";  ","")&amp;IF(AND(EDATE($D152,Milestones!$AA$39)&lt;=AsOfDate,IF($R152=0,$X152,IF(AND($T152&lt;&gt;"",EDATE($D152,Milestones!$AA$39)&gt;=$T152),$W152,IF(AND($S152&lt;&gt;"",EDATE($D152,Milestones!$AA$39)&gt;=$S152),$V152,$U152)))=Milestones!$AB$39),UPPER(TEXT(EDATE($D152,Milestones!$AA$39),"dd mmm yy"))&amp;" "&amp;Milestones!$AB$39&amp;" "&amp;Milestones!$AC$39&amp;";  ",""))</f>
        <v/>
      </c>
      <c r="J152" s="0" t="str">
        <f aca="false">IF(OR($A152="",$D152=""),"",IF(AND(EDATE($D152,Milestones!$AA$40)&lt;=AsOfDate,IF($R152=0,$X152,IF(AND($T152&lt;&gt;"",EDATE($D152,Milestones!$AA$40)&gt;=$T152),$W152,IF(AND($S152&lt;&gt;"",EDATE($D152,Milestones!$AA$40)&gt;=$S152),$V152,$U152)))=Milestones!$AB$40),UPPER(TEXT(EDATE($D152,Milestones!$AA$40),"dd mmm yy"))&amp;" "&amp;Milestones!$AB$40&amp;" "&amp;Milestones!$AC$40&amp;";  ","")&amp;IF(AND(EDATE($D152,Milestones!$AA$41)&lt;=AsOfDate,IF($R152=0,$X152,IF(AND($T152&lt;&gt;"",EDATE($D152,Milestones!$AA$41)&gt;=$T152),$W152,IF(AND($S152&lt;&gt;"",EDATE($D152,Milestones!$AA$41)&gt;=$S152),$V152,$U152)))=Milestones!$AB$41),UPPER(TEXT(EDATE($D152,Milestones!$AA$41),"dd mmm yy"))&amp;" "&amp;Milestones!$AB$41&amp;" "&amp;Milestones!$AC$41&amp;";  ","")&amp;IF(AND(EDATE($D152,Milestones!$AA$42)&lt;=AsOfDate,IF($R152=0,$X152,IF(AND($T152&lt;&gt;"",EDATE($D152,Milestones!$AA$42)&gt;=$T152),$W152,IF(AND($S152&lt;&gt;"",EDATE($D152,Milestones!$AA$42)&gt;=$S152),$V152,$U152)))=Milestones!$AB$42),UPPER(TEXT(EDATE($D152,Milestones!$AA$42),"dd mmm yy"))&amp;" "&amp;Milestones!$AB$42&amp;" "&amp;Milestones!$AC$42&amp;";  ","")&amp;IF(AND(EDATE($D152,Milestones!$AA$43)&lt;=AsOfDate,IF($R152=0,$X152,IF(AND($T152&lt;&gt;"",EDATE($D152,Milestones!$AA$43)&gt;=$T152),$W152,IF(AND($S152&lt;&gt;"",EDATE($D152,Milestones!$AA$43)&gt;=$S152),$V152,$U152)))=Milestones!$AB$43),UPPER(TEXT(EDATE($D152,Milestones!$AA$43),"dd mmm yy"))&amp;" "&amp;Milestones!$AB$43&amp;" "&amp;Milestones!$AC$43&amp;";  ","")&amp;IF(AND(EDATE($D152,Milestones!$AA$44)&lt;=AsOfDate,IF($R152=0,$X152,IF(AND($T152&lt;&gt;"",EDATE($D152,Milestones!$AA$44)&gt;=$T152),$W152,IF(AND($S152&lt;&gt;"",EDATE($D152,Milestones!$AA$44)&gt;=$S152),$V152,$U152)))=Milestones!$AB$44),UPPER(TEXT(EDATE($D152,Milestones!$AA$44),"dd mmm yy"))&amp;" "&amp;Milestones!$AB$44&amp;" "&amp;Milestones!$AC$44&amp;";  ","")&amp;IF(AND(EDATE($D152,Milestones!$AA$45)&lt;=AsOfDate,IF($R152=0,$X152,IF(AND($T152&lt;&gt;"",EDATE($D152,Milestones!$AA$45)&gt;=$T152),$W152,IF(AND($S152&lt;&gt;"",EDATE($D152,Milestones!$AA$45)&gt;=$S152),$V152,$U152)))=Milestones!$AB$45),UPPER(TEXT(EDATE($D152,Milestones!$AA$45),"dd mmm yy"))&amp;" "&amp;Milestones!$AB$45&amp;" "&amp;Milestones!$AC$45&amp;";  ","")&amp;IF(AND(EDATE($D152,Milestones!$AA$46)&lt;=AsOfDate,IF($R152=0,$X152,IF(AND($T152&lt;&gt;"",EDATE($D152,Milestones!$AA$46)&gt;=$T152),$W152,IF(AND($S152&lt;&gt;"",EDATE($D152,Milestones!$AA$46)&gt;=$S152),$V152,$U152)))=Milestones!$AB$46),UPPER(TEXT(EDATE($D152,Milestones!$AA$46),"dd mmm yy"))&amp;" "&amp;Milestones!$AB$46&amp;" "&amp;Milestones!$AC$46&amp;";  ","")&amp;IF(AND(EDATE($D152,Milestones!$AA$47)&lt;=AsOfDate,IF($R152=0,$X152,IF(AND($T152&lt;&gt;"",EDATE($D152,Milestones!$AA$47)&gt;=$T152),$W152,IF(AND($S152&lt;&gt;"",EDATE($D152,Milestones!$AA$47)&gt;=$S152),$V152,$U152)))=Milestones!$AB$47),UPPER(TEXT(EDATE($D152,Milestones!$AA$47),"dd mmm yy"))&amp;" "&amp;Milestones!$AB$47&amp;" "&amp;Milestones!$AC$47&amp;";  ","")&amp;IF(AND(EDATE($D152,Milestones!$AA$48)&lt;=AsOfDate,IF($R152=0,$X152,IF(AND($T152&lt;&gt;"",EDATE($D152,Milestones!$AA$48)&gt;=$T152),$W152,IF(AND($S152&lt;&gt;"",EDATE($D152,Milestones!$AA$48)&gt;=$S152),$V152,$U152)))=Milestones!$AB$48),UPPER(TEXT(EDATE($D152,Milestones!$AA$48),"dd mmm yy"))&amp;" "&amp;Milestones!$AB$48&amp;" "&amp;Milestones!$AC$48&amp;";  ","")&amp;IF(AND(EDATE($D152,Milestones!$AA$49)&lt;=AsOfDate,IF($R152=0,$X152,IF(AND($T152&lt;&gt;"",EDATE($D152,Milestones!$AA$49)&gt;=$T152),$W152,IF(AND($S152&lt;&gt;"",EDATE($D152,Milestones!$AA$49)&gt;=$S152),$V152,$U152)))=Milestones!$AB$49),UPPER(TEXT(EDATE($D152,Milestones!$AA$49),"dd mmm yy"))&amp;" "&amp;Milestones!$AB$49&amp;" "&amp;Milestones!$AC$49&amp;";  ","")&amp;IF(AND(EDATE($D152,Milestones!$AA$50)&lt;=AsOfDate,IF($R152=0,$X152,IF(AND($T152&lt;&gt;"",EDATE($D152,Milestones!$AA$50)&gt;=$T152),$W152,IF(AND($S152&lt;&gt;"",EDATE($D152,Milestones!$AA$50)&gt;=$S152),$V152,$U152)))=Milestones!$AB$50),UPPER(TEXT(EDATE($D152,Milestones!$AA$50),"dd mmm yy"))&amp;" "&amp;Milestones!$AB$50&amp;" "&amp;Milestones!$AC$50&amp;";  ","")&amp;IF(AND(EDATE($D152,Milestones!$AA$51)&lt;=AsOfDate,IF($R152=0,$X152,IF(AND($T152&lt;&gt;"",EDATE($D152,Milestones!$AA$51)&gt;=$T152),$W152,IF(AND($S152&lt;&gt;"",EDATE($D152,Milestones!$AA$51)&gt;=$S152),$V152,$U152)))=Milestones!$AB$51),UPPER(TEXT(EDATE($D152,Milestones!$AA$51),"dd mmm yy"))&amp;" "&amp;Milestones!$AB$51&amp;" "&amp;Milestones!$AC$51&amp;";  ","")&amp;IF(AND(EDATE($D152,Milestones!$AA$52)&lt;=AsOfDate,IF($R152=0,$X152,IF(AND($T152&lt;&gt;"",EDATE($D152,Milestones!$AA$52)&gt;=$T152),$W152,IF(AND($S152&lt;&gt;"",EDATE($D152,Milestones!$AA$52)&gt;=$S152),$V152,$U152)))=Milestones!$AB$52),UPPER(TEXT(EDATE($D152,Milestones!$AA$52),"dd mmm yy"))&amp;" "&amp;Milestones!$AB$52&amp;" "&amp;Milestones!$AC$52&amp;";  ","")&amp;IF(AND(EDATE($D152,Milestones!$AA$53)&lt;=AsOfDate,IF($R152=0,$X152,IF(AND($T152&lt;&gt;"",EDATE($D152,Milestones!$AA$53)&gt;=$T152),$W152,IF(AND($S152&lt;&gt;"",EDATE($D152,Milestones!$AA$53)&gt;=$S152),$V152,$U152)))=Milestones!$AB$53),UPPER(TEXT(EDATE($D152,Milestones!$AA$53),"dd mmm yy"))&amp;" "&amp;Milestones!$AB$53&amp;" "&amp;Milestones!$AC$53&amp;";  ","")&amp;IF(AND(EDATE($D152,Milestones!$AA$54)&lt;=AsOfDate,IF($R152=0,$X152,IF(AND($T152&lt;&gt;"",EDATE($D152,Milestones!$AA$54)&gt;=$T152),$W152,IF(AND($S152&lt;&gt;"",EDATE($D152,Milestones!$AA$54)&gt;=$S152),$V152,$U152)))=Milestones!$AB$54),UPPER(TEXT(EDATE($D152,Milestones!$AA$54),"dd mmm yy"))&amp;" "&amp;Milestones!$AB$54&amp;" "&amp;Milestones!$AC$54&amp;";  ","")&amp;IF(AND(EDATE($D152,Milestones!$AA$55)&lt;=AsOfDate,IF($R152=0,$X152,IF(AND($T152&lt;&gt;"",EDATE($D152,Milestones!$AA$55)&gt;=$T152),$W152,IF(AND($S152&lt;&gt;"",EDATE($D152,Milestones!$AA$55)&gt;=$S152),$V152,$U152)))=Milestones!$AB$55),UPPER(TEXT(EDATE($D152,Milestones!$AA$55),"dd mmm yy"))&amp;" "&amp;Milestones!$AB$55&amp;" "&amp;Milestones!$AC$55&amp;";  ","")&amp;IF(AND(EDATE($D152,Milestones!$AA$56)&lt;=AsOfDate,IF($R152=0,$X152,IF(AND($T152&lt;&gt;"",EDATE($D152,Milestones!$AA$56)&gt;=$T152),$W152,IF(AND($S152&lt;&gt;"",EDATE($D152,Milestones!$AA$56)&gt;=$S152),$V152,$U152)))=Milestones!$AB$56),UPPER(TEXT(EDATE($D152,Milestones!$AA$56),"dd mmm yy"))&amp;" "&amp;Milestones!$AB$56&amp;" "&amp;Milestones!$AC$56&amp;";  ","")&amp;IF(AND(EDATE($D152,Milestones!$AA$57)&lt;=AsOfDate,IF($R152=0,$X152,IF(AND($T152&lt;&gt;"",EDATE($D152,Milestones!$AA$57)&gt;=$T152),$W152,IF(AND($S152&lt;&gt;"",EDATE($D152,Milestones!$AA$57)&gt;=$S152),$V152,$U152)))=Milestones!$AB$57),UPPER(TEXT(EDATE($D152,Milestones!$AA$57),"dd mmm yy"))&amp;" "&amp;Milestones!$AB$57&amp;" "&amp;Milestones!$AC$57&amp;";  ","")&amp;IF(AND(EDATE($D152,Milestones!$AA$58)&lt;=AsOfDate,IF($R152=0,$X152,IF(AND($T152&lt;&gt;"",EDATE($D152,Milestones!$AA$58)&gt;=$T152),$W152,IF(AND($S152&lt;&gt;"",EDATE($D152,Milestones!$AA$58)&gt;=$S152),$V152,$U152)))=Milestones!$AB$58),UPPER(TEXT(EDATE($D152,Milestones!$AA$58),"dd mmm yy"))&amp;" "&amp;Milestones!$AB$58&amp;" "&amp;Milestones!$AC$58&amp;";  ","")&amp;IF(AND(EDATE($D152,Milestones!$AA$59)&lt;=AsOfDate,IF($R152=0,$X152,IF(AND($T152&lt;&gt;"",EDATE($D152,Milestones!$AA$59)&gt;=$T152),$W152,IF(AND($S152&lt;&gt;"",EDATE($D152,Milestones!$AA$59)&gt;=$S152),$V152,$U152)))=Milestones!$AB$59),UPPER(TEXT(EDATE($D152,Milestones!$AA$59),"dd mmm yy"))&amp;" "&amp;Milestones!$AB$59&amp;" "&amp;Milestones!$AC$59&amp;";  ",""))</f>
        <v/>
      </c>
      <c r="K152" s="0" t="str">
        <f aca="false">IF(OR($A152="",$D152=""),"",IF(AND(EDATE($D152,Milestones!$AA$60)&lt;=AsOfDate,IF($R152=0,$X152,IF(AND($T152&lt;&gt;"",EDATE($D152,Milestones!$AA$60)&gt;=$T152),$W152,IF(AND($S152&lt;&gt;"",EDATE($D152,Milestones!$AA$60)&gt;=$S152),$V152,$U152)))=Milestones!$AB$60),UPPER(TEXT(EDATE($D152,Milestones!$AA$60),"dd mmm yy"))&amp;" "&amp;Milestones!$AB$60&amp;" "&amp;Milestones!$AC$60&amp;";  ","")&amp;IF(AND(EDATE($D152,Milestones!$AA$61)&lt;=AsOfDate,IF($R152=0,$X152,IF(AND($T152&lt;&gt;"",EDATE($D152,Milestones!$AA$61)&gt;=$T152),$W152,IF(AND($S152&lt;&gt;"",EDATE($D152,Milestones!$AA$61)&gt;=$S152),$V152,$U152)))=Milestones!$AB$61),UPPER(TEXT(EDATE($D152,Milestones!$AA$61),"dd mmm yy"))&amp;" "&amp;Milestones!$AB$61&amp;" "&amp;Milestones!$AC$61&amp;";  ","")&amp;IF(AND(EDATE($D152,Milestones!$AA$62)&lt;=AsOfDate,IF($R152=0,$X152,IF(AND($T152&lt;&gt;"",EDATE($D152,Milestones!$AA$62)&gt;=$T152),$W152,IF(AND($S152&lt;&gt;"",EDATE($D152,Milestones!$AA$62)&gt;=$S152),$V152,$U152)))=Milestones!$AB$62),UPPER(TEXT(EDATE($D152,Milestones!$AA$62),"dd mmm yy"))&amp;" "&amp;Milestones!$AB$62&amp;" "&amp;Milestones!$AC$62&amp;";  ","")&amp;IF(AND(EDATE($D152,Milestones!$AA$63)&lt;=AsOfDate,IF($R152=0,$X152,IF(AND($T152&lt;&gt;"",EDATE($D152,Milestones!$AA$63)&gt;=$T152),$W152,IF(AND($S152&lt;&gt;"",EDATE($D152,Milestones!$AA$63)&gt;=$S152),$V152,$U152)))=Milestones!$AB$63),UPPER(TEXT(EDATE($D152,Milestones!$AA$63),"dd mmm yy"))&amp;" "&amp;Milestones!$AB$63&amp;" "&amp;Milestones!$AC$63&amp;";  ","")&amp;IF(AND(EDATE($D152,Milestones!$AA$64)&lt;=AsOfDate,IF($R152=0,$X152,IF(AND($T152&lt;&gt;"",EDATE($D152,Milestones!$AA$64)&gt;=$T152),$W152,IF(AND($S152&lt;&gt;"",EDATE($D152,Milestones!$AA$64)&gt;=$S152),$V152,$U152)))=Milestones!$AB$64),UPPER(TEXT(EDATE($D152,Milestones!$AA$64),"dd mmm yy"))&amp;" "&amp;Milestones!$AB$64&amp;" "&amp;Milestones!$AC$64&amp;";  ","")&amp;IF(AND(EDATE($D152,Milestones!$AA$65)&lt;=AsOfDate,IF($R152=0,$X152,IF(AND($T152&lt;&gt;"",EDATE($D152,Milestones!$AA$65)&gt;=$T152),$W152,IF(AND($S152&lt;&gt;"",EDATE($D152,Milestones!$AA$65)&gt;=$S152),$V152,$U152)))=Milestones!$AB$65),UPPER(TEXT(EDATE($D152,Milestones!$AA$65),"dd mmm yy"))&amp;" "&amp;Milestones!$AB$65&amp;" "&amp;Milestones!$AC$65&amp;";  ","")&amp;IF(AND(EDATE($D152,Milestones!$AA$66)&lt;=AsOfDate,IF($R152=0,$X152,IF(AND($T152&lt;&gt;"",EDATE($D152,Milestones!$AA$66)&gt;=$T152),$W152,IF(AND($S152&lt;&gt;"",EDATE($D152,Milestones!$AA$66)&gt;=$S152),$V152,$U152)))=Milestones!$AB$66),UPPER(TEXT(EDATE($D152,Milestones!$AA$66),"dd mmm yy"))&amp;" "&amp;Milestones!$AB$66&amp;" "&amp;Milestones!$AC$66&amp;";  ","")&amp;IF(AND(EDATE($D152,Milestones!$AA$67)&lt;=AsOfDate,IF($R152=0,$X152,IF(AND($T152&lt;&gt;"",EDATE($D152,Milestones!$AA$67)&gt;=$T152),$W152,IF(AND($S152&lt;&gt;"",EDATE($D152,Milestones!$AA$67)&gt;=$S152),$V152,$U152)))=Milestones!$AB$67),UPPER(TEXT(EDATE($D152,Milestones!$AA$67),"dd mmm yy"))&amp;" "&amp;Milestones!$AB$67&amp;" "&amp;Milestones!$AC$67&amp;";  ","")&amp;IF(AND(EDATE($D152,Milestones!$AA$68)&lt;=AsOfDate,IF($R152=0,$X152,IF(AND($T152&lt;&gt;"",EDATE($D152,Milestones!$AA$68)&gt;=$T152),$W152,IF(AND($S152&lt;&gt;"",EDATE($D152,Milestones!$AA$68)&gt;=$S152),$V152,$U152)))=Milestones!$AB$68),UPPER(TEXT(EDATE($D152,Milestones!$AA$68),"dd mmm yy"))&amp;" "&amp;Milestones!$AB$68&amp;" "&amp;Milestones!$AC$68&amp;";  ","")&amp;IF(AND(EDATE($D152,Milestones!$AA$69)&lt;=AsOfDate,IF($R152=0,$X152,IF(AND($T152&lt;&gt;"",EDATE($D152,Milestones!$AA$69)&gt;=$T152),$W152,IF(AND($S152&lt;&gt;"",EDATE($D152,Milestones!$AA$69)&gt;=$S152),$V152,$U152)))=Milestones!$AB$69),UPPER(TEXT(EDATE($D152,Milestones!$AA$69),"dd mmm yy"))&amp;" "&amp;Milestones!$AB$69&amp;" "&amp;Milestones!$AC$69&amp;";  ","")&amp;IF(AND(EDATE($D152,Milestones!$AA$70)&lt;=AsOfDate,IF($R152=0,$X152,IF(AND($T152&lt;&gt;"",EDATE($D152,Milestones!$AA$70)&gt;=$T152),$W152,IF(AND($S152&lt;&gt;"",EDATE($D152,Milestones!$AA$70)&gt;=$S152),$V152,$U152)))=Milestones!$AB$70),UPPER(TEXT(EDATE($D152,Milestones!$AA$70),"dd mmm yy"))&amp;" "&amp;Milestones!$AB$70&amp;" "&amp;Milestones!$AC$70&amp;";  ","")&amp;IF(AND(EDATE($D152,Milestones!$AA$71)&lt;=AsOfDate,IF($R152=0,$X152,IF(AND($T152&lt;&gt;"",EDATE($D152,Milestones!$AA$71)&gt;=$T152),$W152,IF(AND($S152&lt;&gt;"",EDATE($D152,Milestones!$AA$71)&gt;=$S152),$V152,$U152)))=Milestones!$AB$71),UPPER(TEXT(EDATE($D152,Milestones!$AA$71),"dd mmm yy"))&amp;" "&amp;Milestones!$AB$71&amp;" "&amp;Milestones!$AC$71&amp;";  ","")&amp;IF(AND(EDATE($D152,Milestones!$AA$72)&lt;=AsOfDate,IF($R152=0,$X152,IF(AND($T152&lt;&gt;"",EDATE($D152,Milestones!$AA$72)&gt;=$T152),$W152,IF(AND($S152&lt;&gt;"",EDATE($D152,Milestones!$AA$72)&gt;=$S152),$V152,$U152)))=Milestones!$AB$72),UPPER(TEXT(EDATE($D152,Milestones!$AA$72),"dd mmm yy"))&amp;" "&amp;Milestones!$AB$72&amp;" "&amp;Milestones!$AC$72&amp;";  ","")&amp;IF(AND(EDATE($D152,Milestones!$AA$73)&lt;=AsOfDate,IF($R152=0,$X152,IF(AND($T152&lt;&gt;"",EDATE($D152,Milestones!$AA$73)&gt;=$T152),$W152,IF(AND($S152&lt;&gt;"",EDATE($D152,Milestones!$AA$73)&gt;=$S152),$V152,$U152)))=Milestones!$AB$73),UPPER(TEXT(EDATE($D152,Milestones!$AA$73),"dd mmm yy"))&amp;" "&amp;Milestones!$AB$73&amp;" "&amp;Milestones!$AC$73&amp;";  ","")&amp;IF(AND(EDATE($D152,Milestones!$AA$74)&lt;=AsOfDate,IF($R152=0,$X152,IF(AND($T152&lt;&gt;"",EDATE($D152,Milestones!$AA$74)&gt;=$T152),$W152,IF(AND($S152&lt;&gt;"",EDATE($D152,Milestones!$AA$74)&gt;=$S152),$V152,$U152)))=Milestones!$AB$74),UPPER(TEXT(EDATE($D152,Milestones!$AA$74),"dd mmm yy"))&amp;" "&amp;Milestones!$AB$74&amp;" "&amp;Milestones!$AC$74&amp;";  ","")&amp;IF(AND(EDATE($D152,Milestones!$AA$75)&lt;=AsOfDate,IF($R152=0,$X152,IF(AND($T152&lt;&gt;"",EDATE($D152,Milestones!$AA$75)&gt;=$T152),$W152,IF(AND($S152&lt;&gt;"",EDATE($D152,Milestones!$AA$75)&gt;=$S152),$V152,$U152)))=Milestones!$AB$75),UPPER(TEXT(EDATE($D152,Milestones!$AA$75),"dd mmm yy"))&amp;" "&amp;Milestones!$AB$75&amp;" "&amp;Milestones!$AC$75&amp;";  ","")&amp;IF(AND(EDATE($D152,Milestones!$AA$76)&lt;=AsOfDate,IF($R152=0,$X152,IF(AND($T152&lt;&gt;"",EDATE($D152,Milestones!$AA$76)&gt;=$T152),$W152,IF(AND($S152&lt;&gt;"",EDATE($D152,Milestones!$AA$76)&gt;=$S152),$V152,$U152)))=Milestones!$AB$76),UPPER(TEXT(EDATE($D152,Milestones!$AA$76),"dd mmm yy"))&amp;" "&amp;Milestones!$AB$76&amp;" "&amp;Milestones!$AC$76&amp;";  ","")&amp;IF(AND(EDATE($D152,Milestones!$AA$77)&lt;=AsOfDate,IF($R152=0,$X152,IF(AND($T152&lt;&gt;"",EDATE($D152,Milestones!$AA$77)&gt;=$T152),$W152,IF(AND($S152&lt;&gt;"",EDATE($D152,Milestones!$AA$77)&gt;=$S152),$V152,$U152)))=Milestones!$AB$77),UPPER(TEXT(EDATE($D152,Milestones!$AA$77),"dd mmm yy"))&amp;" "&amp;Milestones!$AB$77&amp;" "&amp;Milestones!$AC$77&amp;";  ","")&amp;IF(AND(EDATE($D152,Milestones!$AA$78)&lt;=AsOfDate,IF($R152=0,$X152,IF(AND($T152&lt;&gt;"",EDATE($D152,Milestones!$AA$78)&gt;=$T152),$W152,IF(AND($S152&lt;&gt;"",EDATE($D152,Milestones!$AA$78)&gt;=$S152),$V152,$U152)))=Milestones!$AB$78),UPPER(TEXT(EDATE($D152,Milestones!$AA$78),"dd mmm yy"))&amp;" "&amp;Milestones!$AB$78&amp;" "&amp;Milestones!$AC$78&amp;";  ","")&amp;IF(AND(EDATE($D152,Milestones!$AA$79)&lt;=AsOfDate,IF($R152=0,$X152,IF(AND($T152&lt;&gt;"",EDATE($D152,Milestones!$AA$79)&gt;=$T152),$W152,IF(AND($S152&lt;&gt;"",EDATE($D152,Milestones!$AA$79)&gt;=$S152),$V152,$U152)))=Milestones!$AB$79),UPPER(TEXT(EDATE($D152,Milestones!$AA$79),"dd mmm yy"))&amp;" "&amp;Milestones!$AB$79&amp;" "&amp;Milestones!$AC$79&amp;";  ",""))</f>
        <v/>
      </c>
      <c r="L152" s="0" t="str">
        <f aca="false">IF(OR($A152="",$D152=""),"",IF(AND(EDATE($D152,Milestones!$AA$80)&lt;=AsOfDate,IF($R152=0,$X152,IF(AND($T152&lt;&gt;"",EDATE($D152,Milestones!$AA$80)&gt;=$T152),$W152,IF(AND($S152&lt;&gt;"",EDATE($D152,Milestones!$AA$80)&gt;=$S152),$V152,$U152)))=Milestones!$AB$80),UPPER(TEXT(EDATE($D152,Milestones!$AA$80),"dd mmm yy"))&amp;" "&amp;Milestones!$AB$80&amp;" "&amp;Milestones!$AC$80&amp;";  ","")&amp;IF(AND(EDATE($D152,Milestones!$AA$81)&lt;=AsOfDate,IF($R152=0,$X152,IF(AND($T152&lt;&gt;"",EDATE($D152,Milestones!$AA$81)&gt;=$T152),$W152,IF(AND($S152&lt;&gt;"",EDATE($D152,Milestones!$AA$81)&gt;=$S152),$V152,$U152)))=Milestones!$AB$81),UPPER(TEXT(EDATE($D152,Milestones!$AA$81),"dd mmm yy"))&amp;" "&amp;Milestones!$AB$81&amp;" "&amp;Milestones!$AC$81&amp;";  ","")&amp;IF(AND(EDATE($D152,Milestones!$AA$82)&lt;=AsOfDate,IF($R152=0,$X152,IF(AND($T152&lt;&gt;"",EDATE($D152,Milestones!$AA$82)&gt;=$T152),$W152,IF(AND($S152&lt;&gt;"",EDATE($D152,Milestones!$AA$82)&gt;=$S152),$V152,$U152)))=Milestones!$AB$82),UPPER(TEXT(EDATE($D152,Milestones!$AA$82),"dd mmm yy"))&amp;" "&amp;Milestones!$AB$82&amp;" "&amp;Milestones!$AC$82&amp;";  ","")&amp;IF(AND(EDATE($D152,Milestones!$AA$83)&lt;=AsOfDate,IF($R152=0,$X152,IF(AND($T152&lt;&gt;"",EDATE($D152,Milestones!$AA$83)&gt;=$T152),$W152,IF(AND($S152&lt;&gt;"",EDATE($D152,Milestones!$AA$83)&gt;=$S152),$V152,$U152)))=Milestones!$AB$83),UPPER(TEXT(EDATE($D152,Milestones!$AA$83),"dd mmm yy"))&amp;" "&amp;Milestones!$AB$83&amp;" "&amp;Milestones!$AC$83&amp;";  ","")&amp;IF(AND(EDATE($D152,Milestones!$AA$84)&lt;=AsOfDate,IF($R152=0,$X152,IF(AND($T152&lt;&gt;"",EDATE($D152,Milestones!$AA$84)&gt;=$T152),$W152,IF(AND($S152&lt;&gt;"",EDATE($D152,Milestones!$AA$84)&gt;=$S152),$V152,$U152)))=Milestones!$AB$84),UPPER(TEXT(EDATE($D152,Milestones!$AA$84),"dd mmm yy"))&amp;" "&amp;Milestones!$AB$84&amp;" "&amp;Milestones!$AC$84&amp;";  ","")&amp;IF(AND(EDATE($D152,Milestones!$AA$85)&lt;=AsOfDate,IF($R152=0,$X152,IF(AND($T152&lt;&gt;"",EDATE($D152,Milestones!$AA$85)&gt;=$T152),$W152,IF(AND($S152&lt;&gt;"",EDATE($D152,Milestones!$AA$85)&gt;=$S152),$V152,$U152)))=Milestones!$AB$85),UPPER(TEXT(EDATE($D152,Milestones!$AA$85),"dd mmm yy"))&amp;" "&amp;Milestones!$AB$85&amp;" "&amp;Milestones!$AC$85&amp;";  ","")&amp;IF(AND(EDATE($D152,Milestones!$AA$86)&lt;=AsOfDate,IF($R152=0,$X152,IF(AND($T152&lt;&gt;"",EDATE($D152,Milestones!$AA$86)&gt;=$T152),$W152,IF(AND($S152&lt;&gt;"",EDATE($D152,Milestones!$AA$86)&gt;=$S152),$V152,$U152)))=Milestones!$AB$86),UPPER(TEXT(EDATE($D152,Milestones!$AA$86),"dd mmm yy"))&amp;" "&amp;Milestones!$AB$86&amp;" "&amp;Milestones!$AC$86&amp;";  ","")&amp;IF(AND(EDATE($D152,Milestones!$AA$87)&lt;=AsOfDate,IF($R152=0,$X152,IF(AND($T152&lt;&gt;"",EDATE($D152,Milestones!$AA$87)&gt;=$T152),$W152,IF(AND($S152&lt;&gt;"",EDATE($D152,Milestones!$AA$87)&gt;=$S152),$V152,$U152)))=Milestones!$AB$87),UPPER(TEXT(EDATE($D152,Milestones!$AA$87),"dd mmm yy"))&amp;" "&amp;Milestones!$AB$87&amp;" "&amp;Milestones!$AC$87&amp;";  ","")&amp;IF(AND(EDATE($D152,Milestones!$AA$88)&lt;=AsOfDate,IF($R152=0,$X152,IF(AND($T152&lt;&gt;"",EDATE($D152,Milestones!$AA$88)&gt;=$T152),$W152,IF(AND($S152&lt;&gt;"",EDATE($D152,Milestones!$AA$88)&gt;=$S152),$V152,$U152)))=Milestones!$AB$88),UPPER(TEXT(EDATE($D152,Milestones!$AA$88),"dd mmm yy"))&amp;" "&amp;Milestones!$AB$88&amp;" "&amp;Milestones!$AC$88&amp;";  ","")&amp;IF(AND(EDATE($D152,Milestones!$AA$89)&lt;=AsOfDate,IF($R152=0,$X152,IF(AND($T152&lt;&gt;"",EDATE($D152,Milestones!$AA$89)&gt;=$T152),$W152,IF(AND($S152&lt;&gt;"",EDATE($D152,Milestones!$AA$89)&gt;=$S152),$V152,$U152)))=Milestones!$AB$89),UPPER(TEXT(EDATE($D152,Milestones!$AA$89),"dd mmm yy"))&amp;" "&amp;Milestones!$AB$89&amp;" "&amp;Milestones!$AC$89&amp;";  ","")&amp;IF(AND(EDATE($D152,Milestones!$AA$90)&lt;=AsOfDate,IF($R152=0,$X152,IF(AND($T152&lt;&gt;"",EDATE($D152,Milestones!$AA$90)&gt;=$T152),$W152,IF(AND($S152&lt;&gt;"",EDATE($D152,Milestones!$AA$90)&gt;=$S152),$V152,$U152)))=Milestones!$AB$90),UPPER(TEXT(EDATE($D152,Milestones!$AA$90),"dd mmm yy"))&amp;" "&amp;Milestones!$AB$90&amp;" "&amp;Milestones!$AC$90&amp;";  ","")&amp;IF(AND(EDATE($D152,Milestones!$AA$91)&lt;=AsOfDate,IF($R152=0,$X152,IF(AND($T152&lt;&gt;"",EDATE($D152,Milestones!$AA$91)&gt;=$T152),$W152,IF(AND($S152&lt;&gt;"",EDATE($D152,Milestones!$AA$91)&gt;=$S152),$V152,$U152)))=Milestones!$AB$91),UPPER(TEXT(EDATE($D152,Milestones!$AA$91),"dd mmm yy"))&amp;" "&amp;Milestones!$AB$91&amp;" "&amp;Milestones!$AC$91&amp;";  ","")&amp;IF(AND(EDATE($D152,Milestones!$AA$92)&lt;=AsOfDate,IF($R152=0,$X152,IF(AND($T152&lt;&gt;"",EDATE($D152,Milestones!$AA$92)&gt;=$T152),$W152,IF(AND($S152&lt;&gt;"",EDATE($D152,Milestones!$AA$92)&gt;=$S152),$V152,$U152)))=Milestones!$AB$92),UPPER(TEXT(EDATE($D152,Milestones!$AA$92),"dd mmm yy"))&amp;" "&amp;Milestones!$AB$92&amp;" "&amp;Milestones!$AC$92&amp;";  ","")&amp;IF(AND(EDATE($D152,Milestones!$AA$93)&lt;=AsOfDate,IF($R152=0,$X152,IF(AND($T152&lt;&gt;"",EDATE($D152,Milestones!$AA$93)&gt;=$T152),$W152,IF(AND($S152&lt;&gt;"",EDATE($D152,Milestones!$AA$93)&gt;=$S152),$V152,$U152)))=Milestones!$AB$93),UPPER(TEXT(EDATE($D152,Milestones!$AA$93),"dd mmm yy"))&amp;" "&amp;Milestones!$AB$93&amp;" "&amp;Milestones!$AC$93&amp;";  ","")&amp;IF(AND(EDATE($D152,Milestones!$AA$94)&lt;=AsOfDate,IF($R152=0,$X152,IF(AND($T152&lt;&gt;"",EDATE($D152,Milestones!$AA$94)&gt;=$T152),$W152,IF(AND($S152&lt;&gt;"",EDATE($D152,Milestones!$AA$94)&gt;=$S152),$V152,$U152)))=Milestones!$AB$94),UPPER(TEXT(EDATE($D152,Milestones!$AA$94),"dd mmm yy"))&amp;" "&amp;Milestones!$AB$94&amp;" "&amp;Milestones!$AC$94&amp;";  ","")&amp;IF(AND(EDATE($D152,Milestones!$AA$95)&lt;=AsOfDate,IF($R152=0,$X152,IF(AND($T152&lt;&gt;"",EDATE($D152,Milestones!$AA$95)&gt;=$T152),$W152,IF(AND($S152&lt;&gt;"",EDATE($D152,Milestones!$AA$95)&gt;=$S152),$V152,$U152)))=Milestones!$AB$95),UPPER(TEXT(EDATE($D152,Milestones!$AA$95),"dd mmm yy"))&amp;" "&amp;Milestones!$AB$95&amp;" "&amp;Milestones!$AC$95&amp;";  ","")&amp;IF(AND(EDATE($D152,Milestones!$AA$96)&lt;=AsOfDate,IF($R152=0,$X152,IF(AND($T152&lt;&gt;"",EDATE($D152,Milestones!$AA$96)&gt;=$T152),$W152,IF(AND($S152&lt;&gt;"",EDATE($D152,Milestones!$AA$96)&gt;=$S152),$V152,$U152)))=Milestones!$AB$96),UPPER(TEXT(EDATE($D152,Milestones!$AA$96),"dd mmm yy"))&amp;" "&amp;Milestones!$AB$96&amp;" "&amp;Milestones!$AC$96&amp;";  ","")&amp;IF(AND(EDATE($D152,Milestones!$AA$97)&lt;=AsOfDate,IF($R152=0,$X152,IF(AND($T152&lt;&gt;"",EDATE($D152,Milestones!$AA$97)&gt;=$T152),$W152,IF(AND($S152&lt;&gt;"",EDATE($D152,Milestones!$AA$97)&gt;=$S152),$V152,$U152)))=Milestones!$AB$97),UPPER(TEXT(EDATE($D152,Milestones!$AA$97),"dd mmm yy"))&amp;" "&amp;Milestones!$AB$97&amp;" "&amp;Milestones!$AC$97&amp;";  ","")&amp;IF(AND(EDATE($D152,Milestones!$AA$98)&lt;=AsOfDate,IF($R152=0,$X152,IF(AND($T152&lt;&gt;"",EDATE($D152,Milestones!$AA$98)&gt;=$T152),$W152,IF(AND($S152&lt;&gt;"",EDATE($D152,Milestones!$AA$98)&gt;=$S152),$V152,$U152)))=Milestones!$AB$98),UPPER(TEXT(EDATE($D152,Milestones!$AA$98),"dd mmm yy"))&amp;" "&amp;Milestones!$AB$98&amp;" "&amp;Milestones!$AC$98&amp;";  ","")&amp;IF(AND(EDATE($D152,Milestones!$AA$99)&lt;=AsOfDate,IF($R152=0,$X152,IF(AND($T152&lt;&gt;"",EDATE($D152,Milestones!$AA$99)&gt;=$T152),$W152,IF(AND($S152&lt;&gt;"",EDATE($D152,Milestones!$AA$99)&gt;=$S152),$V152,$U152)))=Milestones!$AB$99),UPPER(TEXT(EDATE($D152,Milestones!$AA$99),"dd mmm yy"))&amp;" "&amp;Milestones!$AB$99&amp;" "&amp;Milestones!$AC$99&amp;";  ",""))</f>
        <v/>
      </c>
      <c r="M152" s="0" t="str">
        <f aca="false">IF(OR($A152="",$D152=""),"",IF(AND(EDATE($D152,Milestones!$AA$100)&lt;=AsOfDate,IF($R152=0,$X152,IF(AND($T152&lt;&gt;"",EDATE($D152,Milestones!$AA$100)&gt;=$T152),$W152,IF(AND($S152&lt;&gt;"",EDATE($D152,Milestones!$AA$100)&gt;=$S152),$V152,$U152)))=Milestones!$AB$100),UPPER(TEXT(EDATE($D152,Milestones!$AA$100),"dd mmm yy"))&amp;" "&amp;Milestones!$AB$100&amp;" "&amp;Milestones!$AC$100&amp;";  ","")&amp;IF(AND(EDATE($D152,Milestones!$AA$101)&lt;=AsOfDate,IF($R152=0,$X152,IF(AND($T152&lt;&gt;"",EDATE($D152,Milestones!$AA$101)&gt;=$T152),$W152,IF(AND($S152&lt;&gt;"",EDATE($D152,Milestones!$AA$101)&gt;=$S152),$V152,$U152)))=Milestones!$AB$101),UPPER(TEXT(EDATE($D152,Milestones!$AA$101),"dd mmm yy"))&amp;" "&amp;Milestones!$AB$101&amp;" "&amp;Milestones!$AC$101&amp;";  ","")&amp;IF(AND(EDATE($D152,Milestones!$AA$102)&lt;=AsOfDate,IF($R152=0,$X152,IF(AND($T152&lt;&gt;"",EDATE($D152,Milestones!$AA$102)&gt;=$T152),$W152,IF(AND($S152&lt;&gt;"",EDATE($D152,Milestones!$AA$102)&gt;=$S152),$V152,$U152)))=Milestones!$AB$102),UPPER(TEXT(EDATE($D152,Milestones!$AA$102),"dd mmm yy"))&amp;" "&amp;Milestones!$AB$102&amp;" "&amp;Milestones!$AC$102&amp;";  ","")&amp;IF(AND(EDATE($D152,Milestones!$AA$103)&lt;=AsOfDate,IF($R152=0,$X152,IF(AND($T152&lt;&gt;"",EDATE($D152,Milestones!$AA$103)&gt;=$T152),$W152,IF(AND($S152&lt;&gt;"",EDATE($D152,Milestones!$AA$103)&gt;=$S152),$V152,$U152)))=Milestones!$AB$103),UPPER(TEXT(EDATE($D152,Milestones!$AA$103),"dd mmm yy"))&amp;" "&amp;Milestones!$AB$103&amp;" "&amp;Milestones!$AC$103&amp;";  ","")&amp;IF(AND(EDATE($D152,Milestones!$AA$104)&lt;=AsOfDate,IF($R152=0,$X152,IF(AND($T152&lt;&gt;"",EDATE($D152,Milestones!$AA$104)&gt;=$T152),$W152,IF(AND($S152&lt;&gt;"",EDATE($D152,Milestones!$AA$104)&gt;=$S152),$V152,$U152)))=Milestones!$AB$104),UPPER(TEXT(EDATE($D152,Milestones!$AA$104),"dd mmm yy"))&amp;" "&amp;Milestones!$AB$104&amp;" "&amp;Milestones!$AC$104&amp;";  ","")&amp;IF(AND(EDATE($D152,Milestones!$AA$105)&lt;=AsOfDate,IF($R152=0,$X152,IF(AND($T152&lt;&gt;"",EDATE($D152,Milestones!$AA$105)&gt;=$T152),$W152,IF(AND($S152&lt;&gt;"",EDATE($D152,Milestones!$AA$105)&gt;=$S152),$V152,$U152)))=Milestones!$AB$105),UPPER(TEXT(EDATE($D152,Milestones!$AA$105),"dd mmm yy"))&amp;" "&amp;Milestones!$AB$105&amp;" "&amp;Milestones!$AC$105&amp;";  ","")&amp;IF(AND(EDATE($D152,Milestones!$AA$106)&lt;=AsOfDate,IF($R152=0,$X152,IF(AND($T152&lt;&gt;"",EDATE($D152,Milestones!$AA$106)&gt;=$T152),$W152,IF(AND($S152&lt;&gt;"",EDATE($D152,Milestones!$AA$106)&gt;=$S152),$V152,$U152)))=Milestones!$AB$106),UPPER(TEXT(EDATE($D152,Milestones!$AA$106),"dd mmm yy"))&amp;" "&amp;Milestones!$AB$106&amp;" "&amp;Milestones!$AC$106&amp;";  ","")&amp;IF(AND(EDATE($D152,Milestones!$AA$107)&lt;=AsOfDate,IF($R152=0,$X152,IF(AND($T152&lt;&gt;"",EDATE($D152,Milestones!$AA$107)&gt;=$T152),$W152,IF(AND($S152&lt;&gt;"",EDATE($D152,Milestones!$AA$107)&gt;=$S152),$V152,$U152)))=Milestones!$AB$107),UPPER(TEXT(EDATE($D152,Milestones!$AA$107),"dd mmm yy"))&amp;" "&amp;Milestones!$AB$107&amp;" "&amp;Milestones!$AC$107&amp;";  ","")&amp;IF(AND(EDATE($D152,Milestones!$AA$108)&lt;=AsOfDate,IF($R152=0,$X152,IF(AND($T152&lt;&gt;"",EDATE($D152,Milestones!$AA$108)&gt;=$T152),$W152,IF(AND($S152&lt;&gt;"",EDATE($D152,Milestones!$AA$108)&gt;=$S152),$V152,$U152)))=Milestones!$AB$108),UPPER(TEXT(EDATE($D152,Milestones!$AA$108),"dd mmm yy"))&amp;" "&amp;Milestones!$AB$108&amp;" "&amp;Milestones!$AC$108&amp;";  ","")&amp;IF(AND(EDATE($D152,Milestones!$AA$109)&lt;=AsOfDate,IF($R152=0,$X152,IF(AND($T152&lt;&gt;"",EDATE($D152,Milestones!$AA$109)&gt;=$T152),$W152,IF(AND($S152&lt;&gt;"",EDATE($D152,Milestones!$AA$109)&gt;=$S152),$V152,$U152)))=Milestones!$AB$109),UPPER(TEXT(EDATE($D152,Milestones!$AA$109),"dd mmm yy"))&amp;" "&amp;Milestones!$AB$109&amp;" "&amp;Milestones!$AC$109&amp;";  ","")&amp;IF(AND(EDATE($D152,Milestones!$AA$110)&lt;=AsOfDate,IF($R152=0,$X152,IF(AND($T152&lt;&gt;"",EDATE($D152,Milestones!$AA$110)&gt;=$T152),$W152,IF(AND($S152&lt;&gt;"",EDATE($D152,Milestones!$AA$110)&gt;=$S152),$V152,$U152)))=Milestones!$AB$110),UPPER(TEXT(EDATE($D152,Milestones!$AA$110),"dd mmm yy"))&amp;" "&amp;Milestones!$AB$110&amp;" "&amp;Milestones!$AC$110&amp;";  ","")&amp;IF(AND(EDATE($D152,Milestones!$AA$111)&lt;=AsOfDate,IF($R152=0,$X152,IF(AND($T152&lt;&gt;"",EDATE($D152,Milestones!$AA$111)&gt;=$T152),$W152,IF(AND($S152&lt;&gt;"",EDATE($D152,Milestones!$AA$111)&gt;=$S152),$V152,$U152)))=Milestones!$AB$111),UPPER(TEXT(EDATE($D152,Milestones!$AA$111),"dd mmm yy"))&amp;" "&amp;Milestones!$AB$111&amp;" "&amp;Milestones!$AC$111&amp;";  ","")&amp;IF(AND(EDATE($D152,Milestones!$AA$112)&lt;=AsOfDate,IF($R152=0,$X152,IF(AND($T152&lt;&gt;"",EDATE($D152,Milestones!$AA$112)&gt;=$T152),$W152,IF(AND($S152&lt;&gt;"",EDATE($D152,Milestones!$AA$112)&gt;=$S152),$V152,$U152)))=Milestones!$AB$112),UPPER(TEXT(EDATE($D152,Milestones!$AA$112),"dd mmm yy"))&amp;" "&amp;Milestones!$AB$112&amp;" "&amp;Milestones!$AC$112&amp;";  ","")&amp;IF(AND(EDATE($D152,Milestones!$AA$113)&lt;=AsOfDate,IF($R152=0,$X152,IF(AND($T152&lt;&gt;"",EDATE($D152,Milestones!$AA$113)&gt;=$T152),$W152,IF(AND($S152&lt;&gt;"",EDATE($D152,Milestones!$AA$113)&gt;=$S152),$V152,$U152)))=Milestones!$AB$113),UPPER(TEXT(EDATE($D152,Milestones!$AA$113),"dd mmm yy"))&amp;" "&amp;Milestones!$AB$113&amp;" "&amp;Milestones!$AC$113&amp;";  ","")&amp;IF(AND(EDATE($D152,Milestones!$AA$114)&lt;=AsOfDate,IF($R152=0,$X152,IF(AND($T152&lt;&gt;"",EDATE($D152,Milestones!$AA$114)&gt;=$T152),$W152,IF(AND($S152&lt;&gt;"",EDATE($D152,Milestones!$AA$114)&gt;=$S152),$V152,$U152)))=Milestones!$AB$114),UPPER(TEXT(EDATE($D152,Milestones!$AA$114),"dd mmm yy"))&amp;" "&amp;Milestones!$AB$114&amp;" "&amp;Milestones!$AC$114&amp;";  ","")&amp;IF(AND(EDATE($D152,Milestones!$AA$115)&lt;=AsOfDate,IF($R152=0,$X152,IF(AND($T152&lt;&gt;"",EDATE($D152,Milestones!$AA$115)&gt;=$T152),$W152,IF(AND($S152&lt;&gt;"",EDATE($D152,Milestones!$AA$115)&gt;=$S152),$V152,$U152)))=Milestones!$AB$115),UPPER(TEXT(EDATE($D152,Milestones!$AA$115),"dd mmm yy"))&amp;" "&amp;Milestones!$AB$115&amp;" "&amp;Milestones!$AC$115&amp;";  ","")&amp;IF(AND(EDATE($D152,Milestones!$AA$116)&lt;=AsOfDate,IF($R152=0,$X152,IF(AND($T152&lt;&gt;"",EDATE($D152,Milestones!$AA$116)&gt;=$T152),$W152,IF(AND($S152&lt;&gt;"",EDATE($D152,Milestones!$AA$116)&gt;=$S152),$V152,$U152)))=Milestones!$AB$116),UPPER(TEXT(EDATE($D152,Milestones!$AA$116),"dd mmm yy"))&amp;" "&amp;Milestones!$AB$116&amp;" "&amp;Milestones!$AC$116&amp;";  ","")&amp;IF(AND(EDATE($D152,Milestones!$AA$117)&lt;=AsOfDate,IF($R152=0,$X152,IF(AND($T152&lt;&gt;"",EDATE($D152,Milestones!$AA$117)&gt;=$T152),$W152,IF(AND($S152&lt;&gt;"",EDATE($D152,Milestones!$AA$117)&gt;=$S152),$V152,$U152)))=Milestones!$AB$117),UPPER(TEXT(EDATE($D152,Milestones!$AA$117),"dd mmm yy"))&amp;" "&amp;Milestones!$AB$117&amp;" "&amp;Milestones!$AC$117&amp;";  ","")&amp;IF(AND(EDATE($D152,Milestones!$AA$118)&lt;=AsOfDate,IF($R152=0,$X152,IF(AND($T152&lt;&gt;"",EDATE($D152,Milestones!$AA$118)&gt;=$T152),$W152,IF(AND($S152&lt;&gt;"",EDATE($D152,Milestones!$AA$118)&gt;=$S152),$V152,$U152)))=Milestones!$AB$118),UPPER(TEXT(EDATE($D152,Milestones!$AA$118),"dd mmm yy"))&amp;" "&amp;Milestones!$AB$118&amp;" "&amp;Milestones!$AC$118&amp;";  ","")&amp;IF(AND(EDATE($D152,Milestones!$AA$119)&lt;=AsOfDate,IF($R152=0,$X152,IF(AND($T152&lt;&gt;"",EDATE($D152,Milestones!$AA$119)&gt;=$T152),$W152,IF(AND($S152&lt;&gt;"",EDATE($D152,Milestones!$AA$119)&gt;=$S152),$V152,$U152)))=Milestones!$AB$119),UPPER(TEXT(EDATE($D152,Milestones!$AA$119),"dd mmm yy"))&amp;" "&amp;Milestones!$AB$119&amp;" "&amp;Milestones!$AC$119&amp;";  ",""))</f>
        <v/>
      </c>
      <c r="N152" s="0" t="str">
        <f aca="false">IF(OR($A152="",$D152=""),"",IF(AND(EDATE($D152,Milestones!$AA$120)&lt;=AsOfDate,IF($R152=0,$X152,IF(AND($T152&lt;&gt;"",EDATE($D152,Milestones!$AA$120)&gt;=$T152),$W152,IF(AND($S152&lt;&gt;"",EDATE($D152,Milestones!$AA$120)&gt;=$S152),$V152,$U152)))=Milestones!$AB$120),UPPER(TEXT(EDATE($D152,Milestones!$AA$120),"dd mmm yy"))&amp;" "&amp;Milestones!$AB$120&amp;" "&amp;Milestones!$AC$120&amp;";  ","")&amp;IF(AND(EDATE($D152,Milestones!$AA$121)&lt;=AsOfDate,IF($R152=0,$X152,IF(AND($T152&lt;&gt;"",EDATE($D152,Milestones!$AA$121)&gt;=$T152),$W152,IF(AND($S152&lt;&gt;"",EDATE($D152,Milestones!$AA$121)&gt;=$S152),$V152,$U152)))=Milestones!$AB$121),UPPER(TEXT(EDATE($D152,Milestones!$AA$121),"dd mmm yy"))&amp;" "&amp;Milestones!$AB$121&amp;" "&amp;Milestones!$AC$121&amp;";  ","")&amp;IF(AND(EDATE($D152,Milestones!$AA$122)&lt;=AsOfDate,IF($R152=0,$X152,IF(AND($T152&lt;&gt;"",EDATE($D152,Milestones!$AA$122)&gt;=$T152),$W152,IF(AND($S152&lt;&gt;"",EDATE($D152,Milestones!$AA$122)&gt;=$S152),$V152,$U152)))=Milestones!$AB$122),UPPER(TEXT(EDATE($D152,Milestones!$AA$122),"dd mmm yy"))&amp;" "&amp;Milestones!$AB$122&amp;" "&amp;Milestones!$AC$122&amp;";  ","")&amp;IF(AND(EDATE($D152,Milestones!$AA$123)&lt;=AsOfDate,IF($R152=0,$X152,IF(AND($T152&lt;&gt;"",EDATE($D152,Milestones!$AA$123)&gt;=$T152),$W152,IF(AND($S152&lt;&gt;"",EDATE($D152,Milestones!$AA$123)&gt;=$S152),$V152,$U152)))=Milestones!$AB$123),UPPER(TEXT(EDATE($D152,Milestones!$AA$123),"dd mmm yy"))&amp;" "&amp;Milestones!$AB$123&amp;" "&amp;Milestones!$AC$123&amp;";  ","")&amp;IF(AND(EDATE($D152,Milestones!$AA$124)&lt;=AsOfDate,IF($R152=0,$X152,IF(AND($T152&lt;&gt;"",EDATE($D152,Milestones!$AA$124)&gt;=$T152),$W152,IF(AND($S152&lt;&gt;"",EDATE($D152,Milestones!$AA$124)&gt;=$S152),$V152,$U152)))=Milestones!$AB$124),UPPER(TEXT(EDATE($D152,Milestones!$AA$124),"dd mmm yy"))&amp;" "&amp;Milestones!$AB$124&amp;" "&amp;Milestones!$AC$124&amp;";  ","")&amp;IF(AND(EDATE($D152,Milestones!$AA$125)&lt;=AsOfDate,IF($R152=0,$X152,IF(AND($T152&lt;&gt;"",EDATE($D152,Milestones!$AA$125)&gt;=$T152),$W152,IF(AND($S152&lt;&gt;"",EDATE($D152,Milestones!$AA$125)&gt;=$S152),$V152,$U152)))=Milestones!$AB$125),UPPER(TEXT(EDATE($D152,Milestones!$AA$125),"dd mmm yy"))&amp;" "&amp;Milestones!$AB$125&amp;" "&amp;Milestones!$AC$125&amp;";  ","")&amp;IF(AND(EDATE($D152,Milestones!$AA$126)&lt;=AsOfDate,IF($R152=0,$X152,IF(AND($T152&lt;&gt;"",EDATE($D152,Milestones!$AA$126)&gt;=$T152),$W152,IF(AND($S152&lt;&gt;"",EDATE($D152,Milestones!$AA$126)&gt;=$S152),$V152,$U152)))=Milestones!$AB$126),UPPER(TEXT(EDATE($D152,Milestones!$AA$126),"dd mmm yy"))&amp;" "&amp;Milestones!$AB$126&amp;" "&amp;Milestones!$AC$126&amp;";  ","")&amp;IF(AND(EDATE($D152,Milestones!$AA$127)&lt;=AsOfDate,IF($R152=0,$X152,IF(AND($T152&lt;&gt;"",EDATE($D152,Milestones!$AA$127)&gt;=$T152),$W152,IF(AND($S152&lt;&gt;"",EDATE($D152,Milestones!$AA$127)&gt;=$S152),$V152,$U152)))=Milestones!$AB$127),UPPER(TEXT(EDATE($D152,Milestones!$AA$127),"dd mmm yy"))&amp;" "&amp;Milestones!$AB$127&amp;" "&amp;Milestones!$AC$127&amp;";  ","")&amp;IF(AND(EDATE($D152,Milestones!$AA$128)&lt;=AsOfDate,IF($R152=0,$X152,IF(AND($T152&lt;&gt;"",EDATE($D152,Milestones!$AA$128)&gt;=$T152),$W152,IF(AND($S152&lt;&gt;"",EDATE($D152,Milestones!$AA$128)&gt;=$S152),$V152,$U152)))=Milestones!$AB$128),UPPER(TEXT(EDATE($D152,Milestones!$AA$128),"dd mmm yy"))&amp;" "&amp;Milestones!$AB$128&amp;" "&amp;Milestones!$AC$128&amp;";  ","")&amp;IF(AND(EDATE($D152,Milestones!$AA$129)&lt;=AsOfDate,IF($R152=0,$X152,IF(AND($T152&lt;&gt;"",EDATE($D152,Milestones!$AA$129)&gt;=$T152),$W152,IF(AND($S152&lt;&gt;"",EDATE($D152,Milestones!$AA$129)&gt;=$S152),$V152,$U152)))=Milestones!$AB$129),UPPER(TEXT(EDATE($D152,Milestones!$AA$129),"dd mmm yy"))&amp;" "&amp;Milestones!$AB$129&amp;" "&amp;Milestones!$AC$129&amp;";  ","")&amp;IF(AND(EDATE($D152,Milestones!$AA$130)&lt;=AsOfDate,IF($R152=0,$X152,IF(AND($T152&lt;&gt;"",EDATE($D152,Milestones!$AA$130)&gt;=$T152),$W152,IF(AND($S152&lt;&gt;"",EDATE($D152,Milestones!$AA$130)&gt;=$S152),$V152,$U152)))=Milestones!$AB$130),UPPER(TEXT(EDATE($D152,Milestones!$AA$130),"dd mmm yy"))&amp;" "&amp;Milestones!$AB$130&amp;" "&amp;Milestones!$AC$130&amp;";  ","")&amp;IF(AND(EDATE($D152,Milestones!$AA$131)&lt;=AsOfDate,IF($R152=0,$X152,IF(AND($T152&lt;&gt;"",EDATE($D152,Milestones!$AA$131)&gt;=$T152),$W152,IF(AND($S152&lt;&gt;"",EDATE($D152,Milestones!$AA$131)&gt;=$S152),$V152,$U152)))=Milestones!$AB$131),UPPER(TEXT(EDATE($D152,Milestones!$AA$131),"dd mmm yy"))&amp;" "&amp;Milestones!$AB$131&amp;" "&amp;Milestones!$AC$131&amp;";  ","")&amp;IF(AND(EDATE($D152,Milestones!$AA$132)&lt;=AsOfDate,IF($R152=0,$X152,IF(AND($T152&lt;&gt;"",EDATE($D152,Milestones!$AA$132)&gt;=$T152),$W152,IF(AND($S152&lt;&gt;"",EDATE($D152,Milestones!$AA$132)&gt;=$S152),$V152,$U152)))=Milestones!$AB$132),UPPER(TEXT(EDATE($D152,Milestones!$AA$132),"dd mmm yy"))&amp;" "&amp;Milestones!$AB$132&amp;" "&amp;Milestones!$AC$132&amp;";  ","")&amp;IF(AND(EDATE($D152,Milestones!$AA$133)&lt;=AsOfDate,IF($R152=0,$X152,IF(AND($T152&lt;&gt;"",EDATE($D152,Milestones!$AA$133)&gt;=$T152),$W152,IF(AND($S152&lt;&gt;"",EDATE($D152,Milestones!$AA$133)&gt;=$S152),$V152,$U152)))=Milestones!$AB$133),UPPER(TEXT(EDATE($D152,Milestones!$AA$133),"dd mmm yy"))&amp;" "&amp;Milestones!$AB$133&amp;" "&amp;Milestones!$AC$133&amp;";  ","")&amp;IF(AND(EDATE($D152,Milestones!$AA$134)&lt;=AsOfDate,IF($R152=0,$X152,IF(AND($T152&lt;&gt;"",EDATE($D152,Milestones!$AA$134)&gt;=$T152),$W152,IF(AND($S152&lt;&gt;"",EDATE($D152,Milestones!$AA$134)&gt;=$S152),$V152,$U152)))=Milestones!$AB$134),UPPER(TEXT(EDATE($D152,Milestones!$AA$134),"dd mmm yy"))&amp;" "&amp;Milestones!$AB$134&amp;" "&amp;Milestones!$AC$134&amp;";  ","")&amp;IF(AND(EDATE($D152,Milestones!$AA$135)&lt;=AsOfDate,IF($R152=0,$X152,IF(AND($T152&lt;&gt;"",EDATE($D152,Milestones!$AA$135)&gt;=$T152),$W152,IF(AND($S152&lt;&gt;"",EDATE($D152,Milestones!$AA$135)&gt;=$S152),$V152,$U152)))=Milestones!$AB$135),UPPER(TEXT(EDATE($D152,Milestones!$AA$135),"dd mmm yy"))&amp;" "&amp;Milestones!$AB$135&amp;" "&amp;Milestones!$AC$135&amp;";  ","")&amp;IF(AND(EDATE($D152,Milestones!$AA$136)&lt;=AsOfDate,IF($R152=0,$X152,IF(AND($T152&lt;&gt;"",EDATE($D152,Milestones!$AA$136)&gt;=$T152),$W152,IF(AND($S152&lt;&gt;"",EDATE($D152,Milestones!$AA$136)&gt;=$S152),$V152,$U152)))=Milestones!$AB$136),UPPER(TEXT(EDATE($D152,Milestones!$AA$136),"dd mmm yy"))&amp;" "&amp;Milestones!$AB$136&amp;" "&amp;Milestones!$AC$136&amp;";  ","")&amp;IF(AND(EDATE($D152,Milestones!$AA$137)&lt;=AsOfDate,IF($R152=0,$X152,IF(AND($T152&lt;&gt;"",EDATE($D152,Milestones!$AA$137)&gt;=$T152),$W152,IF(AND($S152&lt;&gt;"",EDATE($D152,Milestones!$AA$137)&gt;=$S152),$V152,$U152)))=Milestones!$AB$137),UPPER(TEXT(EDATE($D152,Milestones!$AA$137),"dd mmm yy"))&amp;" "&amp;Milestones!$AB$137&amp;" "&amp;Milestones!$AC$137&amp;";  ","")&amp;IF(AND(EDATE($D152,Milestones!$AA$138)&lt;=AsOfDate,IF($R152=0,$X152,IF(AND($T152&lt;&gt;"",EDATE($D152,Milestones!$AA$138)&gt;=$T152),$W152,IF(AND($S152&lt;&gt;"",EDATE($D152,Milestones!$AA$138)&gt;=$S152),$V152,$U152)))=Milestones!$AB$138),UPPER(TEXT(EDATE($D152,Milestones!$AA$138),"dd mmm yy"))&amp;" "&amp;Milestones!$AB$138&amp;" "&amp;Milestones!$AC$138&amp;";  ","")&amp;IF(AND(EDATE($D152,Milestones!$AA$139)&lt;=AsOfDate,IF($R152=0,$X152,IF(AND($T152&lt;&gt;"",EDATE($D152,Milestones!$AA$139)&gt;=$T152),$W152,IF(AND($S152&lt;&gt;"",EDATE($D152,Milestones!$AA$139)&gt;=$S152),$V152,$U152)))=Milestones!$AB$139),UPPER(TEXT(EDATE($D152,Milestones!$AA$139),"dd mmm yy"))&amp;" "&amp;Milestones!$AB$139&amp;" "&amp;Milestones!$AC$139&amp;";  ",""))</f>
        <v/>
      </c>
      <c r="O152" s="0" t="str">
        <f aca="false">IF(OR($A152="",$D152=""),"",IF(AND(EDATE($D152,Milestones!$AA$140)&lt;=AsOfDate,IF($R152=0,$X152,IF(AND($T152&lt;&gt;"",EDATE($D152,Milestones!$AA$140)&gt;=$T152),$W152,IF(AND($S152&lt;&gt;"",EDATE($D152,Milestones!$AA$140)&gt;=$S152),$V152,$U152)))=Milestones!$AB$140),UPPER(TEXT(EDATE($D152,Milestones!$AA$140),"dd mmm yy"))&amp;" "&amp;Milestones!$AB$140&amp;" "&amp;Milestones!$AC$140&amp;";  ","")&amp;IF(AND(EDATE($D152,Milestones!$AA$141)&lt;=AsOfDate,IF($R152=0,$X152,IF(AND($T152&lt;&gt;"",EDATE($D152,Milestones!$AA$141)&gt;=$T152),$W152,IF(AND($S152&lt;&gt;"",EDATE($D152,Milestones!$AA$141)&gt;=$S152),$V152,$U152)))=Milestones!$AB$141),UPPER(TEXT(EDATE($D152,Milestones!$AA$141),"dd mmm yy"))&amp;" "&amp;Milestones!$AB$141&amp;" "&amp;Milestones!$AC$141&amp;";  ","")&amp;IF(AND(EDATE($D152,Milestones!$AA$142)&lt;=AsOfDate,IF($R152=0,$X152,IF(AND($T152&lt;&gt;"",EDATE($D152,Milestones!$AA$142)&gt;=$T152),$W152,IF(AND($S152&lt;&gt;"",EDATE($D152,Milestones!$AA$142)&gt;=$S152),$V152,$U152)))=Milestones!$AB$142),UPPER(TEXT(EDATE($D152,Milestones!$AA$142),"dd mmm yy"))&amp;" "&amp;Milestones!$AB$142&amp;" "&amp;Milestones!$AC$142&amp;";  ","")&amp;IF(AND(EDATE($D152,Milestones!$AA$143)&lt;=AsOfDate,IF($R152=0,$X152,IF(AND($T152&lt;&gt;"",EDATE($D152,Milestones!$AA$143)&gt;=$T152),$W152,IF(AND($S152&lt;&gt;"",EDATE($D152,Milestones!$AA$143)&gt;=$S152),$V152,$U152)))=Milestones!$AB$143),UPPER(TEXT(EDATE($D152,Milestones!$AA$143),"dd mmm yy"))&amp;" "&amp;Milestones!$AB$143&amp;" "&amp;Milestones!$AC$143&amp;";  ","")&amp;IF(AND(EDATE($D152,Milestones!$AA$144)&lt;=AsOfDate,IF($R152=0,$X152,IF(AND($T152&lt;&gt;"",EDATE($D152,Milestones!$AA$144)&gt;=$T152),$W152,IF(AND($S152&lt;&gt;"",EDATE($D152,Milestones!$AA$144)&gt;=$S152),$V152,$U152)))=Milestones!$AB$144),UPPER(TEXT(EDATE($D152,Milestones!$AA$144),"dd mmm yy"))&amp;" "&amp;Milestones!$AB$144&amp;" "&amp;Milestones!$AC$144&amp;";  ","")&amp;IF(AND(EDATE($D152,Milestones!$AA$145)&lt;=AsOfDate,IF($R152=0,$X152,IF(AND($T152&lt;&gt;"",EDATE($D152,Milestones!$AA$145)&gt;=$T152),$W152,IF(AND($S152&lt;&gt;"",EDATE($D152,Milestones!$AA$145)&gt;=$S152),$V152,$U152)))=Milestones!$AB$145),UPPER(TEXT(EDATE($D152,Milestones!$AA$145),"dd mmm yy"))&amp;" "&amp;Milestones!$AB$145&amp;" "&amp;Milestones!$AC$145&amp;";  ","")&amp;IF(AND(EDATE($D152,Milestones!$AA$146)&lt;=AsOfDate,IF($R152=0,$X152,IF(AND($T152&lt;&gt;"",EDATE($D152,Milestones!$AA$146)&gt;=$T152),$W152,IF(AND($S152&lt;&gt;"",EDATE($D152,Milestones!$AA$146)&gt;=$S152),$V152,$U152)))=Milestones!$AB$146),UPPER(TEXT(EDATE($D152,Milestones!$AA$146),"dd mmm yy"))&amp;" "&amp;Milestones!$AB$146&amp;" "&amp;Milestones!$AC$146&amp;";  ","")&amp;IF(AND(EDATE($D152,Milestones!$AA$147)&lt;=AsOfDate,IF($R152=0,$X152,IF(AND($T152&lt;&gt;"",EDATE($D152,Milestones!$AA$147)&gt;=$T152),$W152,IF(AND($S152&lt;&gt;"",EDATE($D152,Milestones!$AA$147)&gt;=$S152),$V152,$U152)))=Milestones!$AB$147),UPPER(TEXT(EDATE($D152,Milestones!$AA$147),"dd mmm yy"))&amp;" "&amp;Milestones!$AB$147&amp;" "&amp;Milestones!$AC$147&amp;";  ","")&amp;IF(AND(EDATE($D152,Milestones!$AA$148)&lt;=AsOfDate,IF($R152=0,$X152,IF(AND($T152&lt;&gt;"",EDATE($D152,Milestones!$AA$148)&gt;=$T152),$W152,IF(AND($S152&lt;&gt;"",EDATE($D152,Milestones!$AA$148)&gt;=$S152),$V152,$U152)))=Milestones!$AB$148),UPPER(TEXT(EDATE($D152,Milestones!$AA$148),"dd mmm yy"))&amp;" "&amp;Milestones!$AB$148&amp;" "&amp;Milestones!$AC$148&amp;";  ","")&amp;IF(AND(EDATE($D152,Milestones!$AA$149)&lt;=AsOfDate,IF($R152=0,$X152,IF(AND($T152&lt;&gt;"",EDATE($D152,Milestones!$AA$149)&gt;=$T152),$W152,IF(AND($S152&lt;&gt;"",EDATE($D152,Milestones!$AA$149)&gt;=$S152),$V152,$U152)))=Milestones!$AB$149),UPPER(TEXT(EDATE($D152,Milestones!$AA$149),"dd mmm yy"))&amp;" "&amp;Milestones!$AB$149&amp;" "&amp;Milestones!$AC$149&amp;";  ","")&amp;IF(AND(EDATE($D152,Milestones!$AA$150)&lt;=AsOfDate,IF($R152=0,$X152,IF(AND($T152&lt;&gt;"",EDATE($D152,Milestones!$AA$150)&gt;=$T152),$W152,IF(AND($S152&lt;&gt;"",EDATE($D152,Milestones!$AA$150)&gt;=$S152),$V152,$U152)))=Milestones!$AB$150),UPPER(TEXT(EDATE($D152,Milestones!$AA$150),"dd mmm yy"))&amp;" "&amp;Milestones!$AB$150&amp;" "&amp;Milestones!$AC$150&amp;";  ","")&amp;IF(AND(EDATE($D152,Milestones!$AA$151)&lt;=AsOfDate,IF($R152=0,$X152,IF(AND($T152&lt;&gt;"",EDATE($D152,Milestones!$AA$151)&gt;=$T152),$W152,IF(AND($S152&lt;&gt;"",EDATE($D152,Milestones!$AA$151)&gt;=$S152),$V152,$U152)))=Milestones!$AB$151),UPPER(TEXT(EDATE($D152,Milestones!$AA$151),"dd mmm yy"))&amp;" "&amp;Milestones!$AB$151&amp;" "&amp;Milestones!$AC$151&amp;";  ","")&amp;IF(AND(EDATE($D152,Milestones!$AA$152)&lt;=AsOfDate,IF($R152=0,$X152,IF(AND($T152&lt;&gt;"",EDATE($D152,Milestones!$AA$152)&gt;=$T152),$W152,IF(AND($S152&lt;&gt;"",EDATE($D152,Milestones!$AA$152)&gt;=$S152),$V152,$U152)))=Milestones!$AB$152),UPPER(TEXT(EDATE($D152,Milestones!$AA$152),"dd mmm yy"))&amp;" "&amp;Milestones!$AB$152&amp;" "&amp;Milestones!$AC$152&amp;";  ","")&amp;IF(AND(EDATE($D152,Milestones!$AA$153)&lt;=AsOfDate,IF($R152=0,$X152,IF(AND($T152&lt;&gt;"",EDATE($D152,Milestones!$AA$153)&gt;=$T152),$W152,IF(AND($S152&lt;&gt;"",EDATE($D152,Milestones!$AA$153)&gt;=$S152),$V152,$U152)))=Milestones!$AB$153),UPPER(TEXT(EDATE($D152,Milestones!$AA$153),"dd mmm yy"))&amp;" "&amp;Milestones!$AB$153&amp;" "&amp;Milestones!$AC$153&amp;";  ","")&amp;IF(AND(EDATE($D152,Milestones!$AA$154)&lt;=AsOfDate,IF($R152=0,$X152,IF(AND($T152&lt;&gt;"",EDATE($D152,Milestones!$AA$154)&gt;=$T152),$W152,IF(AND($S152&lt;&gt;"",EDATE($D152,Milestones!$AA$154)&gt;=$S152),$V152,$U152)))=Milestones!$AB$154),UPPER(TEXT(EDATE($D152,Milestones!$AA$154),"dd mmm yy"))&amp;" "&amp;Milestones!$AB$154&amp;" "&amp;Milestones!$AC$154&amp;";  ","")&amp;IF(AND(EDATE($D152,Milestones!$AA$155)&lt;=AsOfDate,IF($R152=0,$X152,IF(AND($T152&lt;&gt;"",EDATE($D152,Milestones!$AA$155)&gt;=$T152),$W152,IF(AND($S152&lt;&gt;"",EDATE($D152,Milestones!$AA$155)&gt;=$S152),$V152,$U152)))=Milestones!$AB$155),UPPER(TEXT(EDATE($D152,Milestones!$AA$155),"dd mmm yy"))&amp;" "&amp;Milestones!$AB$155&amp;" "&amp;Milestones!$AC$155&amp;";  ","")&amp;IF(AND(EDATE($D152,Milestones!$AA$156)&lt;=AsOfDate,IF($R152=0,$X152,IF(AND($T152&lt;&gt;"",EDATE($D152,Milestones!$AA$156)&gt;=$T152),$W152,IF(AND($S152&lt;&gt;"",EDATE($D152,Milestones!$AA$156)&gt;=$S152),$V152,$U152)))=Milestones!$AB$156),UPPER(TEXT(EDATE($D152,Milestones!$AA$156),"dd mmm yy"))&amp;" "&amp;Milestones!$AB$156&amp;" "&amp;Milestones!$AC$156&amp;";  ","")&amp;IF(AND(EDATE($D152,Milestones!$AA$157)&lt;=AsOfDate,IF($R152=0,$X152,IF(AND($T152&lt;&gt;"",EDATE($D152,Milestones!$AA$157)&gt;=$T152),$W152,IF(AND($S152&lt;&gt;"",EDATE($D152,Milestones!$AA$157)&gt;=$S152),$V152,$U152)))=Milestones!$AB$157),UPPER(TEXT(EDATE($D152,Milestones!$AA$157),"dd mmm yy"))&amp;" "&amp;Milestones!$AB$157&amp;" "&amp;Milestones!$AC$157&amp;";  ","")&amp;IF(AND(EDATE($D152,Milestones!$AA$158)&lt;=AsOfDate,IF($R152=0,$X152,IF(AND($T152&lt;&gt;"",EDATE($D152,Milestones!$AA$158)&gt;=$T152),$W152,IF(AND($S152&lt;&gt;"",EDATE($D152,Milestones!$AA$158)&gt;=$S152),$V152,$U152)))=Milestones!$AB$158),UPPER(TEXT(EDATE($D152,Milestones!$AA$158),"dd mmm yy"))&amp;" "&amp;Milestones!$AB$158&amp;" "&amp;Milestones!$AC$158&amp;";  ","")&amp;IF(AND(EDATE($D152,Milestones!$AA$159)&lt;=AsOfDate,IF($R152=0,$X152,IF(AND($T152&lt;&gt;"",EDATE($D152,Milestones!$AA$159)&gt;=$T152),$W152,IF(AND($S152&lt;&gt;"",EDATE($D152,Milestones!$AA$159)&gt;=$S152),$V152,$U152)))=Milestones!$AB$159),UPPER(TEXT(EDATE($D152,Milestones!$AA$159),"dd mmm yy"))&amp;" "&amp;Milestones!$AB$159&amp;" "&amp;Milestones!$AC$159&amp;";  ",""))</f>
        <v/>
      </c>
      <c r="P152" s="0" t="str">
        <f aca="false">IF(OR($A152="",$D152=""),"",IF(AND(EDATE($D152,Milestones!$AA$160)&lt;=AsOfDate,IF($R152=0,$X152,IF(AND($T152&lt;&gt;"",EDATE($D152,Milestones!$AA$160)&gt;=$T152),$W152,IF(AND($S152&lt;&gt;"",EDATE($D152,Milestones!$AA$160)&gt;=$S152),$V152,$U152)))=Milestones!$AB$160),UPPER(TEXT(EDATE($D152,Milestones!$AA$160),"dd mmm yy"))&amp;" "&amp;Milestones!$AB$160&amp;" "&amp;Milestones!$AC$160&amp;";  ","")&amp;IF(AND(EDATE($D152,Milestones!$AA$161)&lt;=AsOfDate,IF($R152=0,$X152,IF(AND($T152&lt;&gt;"",EDATE($D152,Milestones!$AA$161)&gt;=$T152),$W152,IF(AND($S152&lt;&gt;"",EDATE($D152,Milestones!$AA$161)&gt;=$S152),$V152,$U152)))=Milestones!$AB$161),UPPER(TEXT(EDATE($D152,Milestones!$AA$161),"dd mmm yy"))&amp;" "&amp;Milestones!$AB$161&amp;" "&amp;Milestones!$AC$161&amp;";  ","")&amp;IF(AND(EDATE($D152,Milestones!$AA$162)&lt;=AsOfDate,IF($R152=0,$X152,IF(AND($T152&lt;&gt;"",EDATE($D152,Milestones!$AA$162)&gt;=$T152),$W152,IF(AND($S152&lt;&gt;"",EDATE($D152,Milestones!$AA$162)&gt;=$S152),$V152,$U152)))=Milestones!$AB$162),UPPER(TEXT(EDATE($D152,Milestones!$AA$162),"dd mmm yy"))&amp;" "&amp;Milestones!$AB$162&amp;" "&amp;Milestones!$AC$162&amp;";  ","")&amp;IF(AND(EDATE($D152,Milestones!$AA$163)&lt;=AsOfDate,IF($R152=0,$X152,IF(AND($T152&lt;&gt;"",EDATE($D152,Milestones!$AA$163)&gt;=$T152),$W152,IF(AND($S152&lt;&gt;"",EDATE($D152,Milestones!$AA$163)&gt;=$S152),$V152,$U152)))=Milestones!$AB$163),UPPER(TEXT(EDATE($D152,Milestones!$AA$163),"dd mmm yy"))&amp;" "&amp;Milestones!$AB$163&amp;" "&amp;Milestones!$AC$163&amp;";  ","")&amp;IF(AND(EDATE($D152,Milestones!$AA$164)&lt;=AsOfDate,IF($R152=0,$X152,IF(AND($T152&lt;&gt;"",EDATE($D152,Milestones!$AA$164)&gt;=$T152),$W152,IF(AND($S152&lt;&gt;"",EDATE($D152,Milestones!$AA$164)&gt;=$S152),$V152,$U152)))=Milestones!$AB$164),UPPER(TEXT(EDATE($D152,Milestones!$AA$164),"dd mmm yy"))&amp;" "&amp;Milestones!$AB$164&amp;" "&amp;Milestones!$AC$164&amp;";  ","")&amp;IF(AND(EDATE($D152,Milestones!$AA$165)&lt;=AsOfDate,IF($R152=0,$X152,IF(AND($T152&lt;&gt;"",EDATE($D152,Milestones!$AA$165)&gt;=$T152),$W152,IF(AND($S152&lt;&gt;"",EDATE($D152,Milestones!$AA$165)&gt;=$S152),$V152,$U152)))=Milestones!$AB$165),UPPER(TEXT(EDATE($D152,Milestones!$AA$165),"dd mmm yy"))&amp;" "&amp;Milestones!$AB$165&amp;" "&amp;Milestones!$AC$165&amp;";  ","")&amp;IF(AND(EDATE($D152,Milestones!$AA$166)&lt;=AsOfDate,IF($R152=0,$X152,IF(AND($T152&lt;&gt;"",EDATE($D152,Milestones!$AA$166)&gt;=$T152),$W152,IF(AND($S152&lt;&gt;"",EDATE($D152,Milestones!$AA$166)&gt;=$S152),$V152,$U152)))=Milestones!$AB$166),UPPER(TEXT(EDATE($D152,Milestones!$AA$166),"dd mmm yy"))&amp;" "&amp;Milestones!$AB$166&amp;" "&amp;Milestones!$AC$166&amp;";  ","")&amp;IF(AND(EDATE($D152,Milestones!$AA$167)&lt;=AsOfDate,IF($R152=0,$X152,IF(AND($T152&lt;&gt;"",EDATE($D152,Milestones!$AA$167)&gt;=$T152),$W152,IF(AND($S152&lt;&gt;"",EDATE($D152,Milestones!$AA$167)&gt;=$S152),$V152,$U152)))=Milestones!$AB$167),UPPER(TEXT(EDATE($D152,Milestones!$AA$167),"dd mmm yy"))&amp;" "&amp;Milestones!$AB$167&amp;" "&amp;Milestones!$AC$167&amp;";  ","")&amp;IF(AND(EDATE($D152,Milestones!$AA$168)&lt;=AsOfDate,IF($R152=0,$X152,IF(AND($T152&lt;&gt;"",EDATE($D152,Milestones!$AA$168)&gt;=$T152),$W152,IF(AND($S152&lt;&gt;"",EDATE($D152,Milestones!$AA$168)&gt;=$S152),$V152,$U152)))=Milestones!$AB$168),UPPER(TEXT(EDATE($D152,Milestones!$AA$168),"dd mmm yy"))&amp;" "&amp;Milestones!$AB$168&amp;" "&amp;Milestones!$AC$168&amp;";  ","")&amp;IF(AND(EDATE($D152,Milestones!$AA$169)&lt;=AsOfDate,IF($R152=0,$X152,IF(AND($T152&lt;&gt;"",EDATE($D152,Milestones!$AA$169)&gt;=$T152),$W152,IF(AND($S152&lt;&gt;"",EDATE($D152,Milestones!$AA$169)&gt;=$S152),$V152,$U152)))=Milestones!$AB$169),UPPER(TEXT(EDATE($D152,Milestones!$AA$169),"dd mmm yy"))&amp;" "&amp;Milestones!$AB$169&amp;" "&amp;Milestones!$AC$169&amp;";  ","")&amp;IF(AND(EDATE($D152,Milestones!$AA$170)&lt;=AsOfDate,IF($R152=0,$X152,IF(AND($T152&lt;&gt;"",EDATE($D152,Milestones!$AA$170)&gt;=$T152),$W152,IF(AND($S152&lt;&gt;"",EDATE($D152,Milestones!$AA$170)&gt;=$S152),$V152,$U152)))=Milestones!$AB$170),UPPER(TEXT(EDATE($D152,Milestones!$AA$170),"dd mmm yy"))&amp;" "&amp;Milestones!$AB$170&amp;" "&amp;Milestones!$AC$170&amp;";  ","")&amp;IF(AND(EDATE($D152,Milestones!$AA$171)&lt;=AsOfDate,IF($R152=0,$X152,IF(AND($T152&lt;&gt;"",EDATE($D152,Milestones!$AA$171)&gt;=$T152),$W152,IF(AND($S152&lt;&gt;"",EDATE($D152,Milestones!$AA$171)&gt;=$S152),$V152,$U152)))=Milestones!$AB$171),UPPER(TEXT(EDATE($D152,Milestones!$AA$171),"dd mmm yy"))&amp;" "&amp;Milestones!$AB$171&amp;" "&amp;Milestones!$AC$171&amp;";  ","")&amp;IF(AND(EDATE($D152,Milestones!$AA$172)&lt;=AsOfDate,IF($R152=0,$X152,IF(AND($T152&lt;&gt;"",EDATE($D152,Milestones!$AA$172)&gt;=$T152),$W152,IF(AND($S152&lt;&gt;"",EDATE($D152,Milestones!$AA$172)&gt;=$S152),$V152,$U152)))=Milestones!$AB$172),UPPER(TEXT(EDATE($D152,Milestones!$AA$172),"dd mmm yy"))&amp;" "&amp;Milestones!$AB$172&amp;" "&amp;Milestones!$AC$172&amp;";  ","")&amp;IF(AND(EDATE($D152,Milestones!$AA$173)&lt;=AsOfDate,IF($R152=0,$X152,IF(AND($T152&lt;&gt;"",EDATE($D152,Milestones!$AA$173)&gt;=$T152),$W152,IF(AND($S152&lt;&gt;"",EDATE($D152,Milestones!$AA$173)&gt;=$S152),$V152,$U152)))=Milestones!$AB$173),UPPER(TEXT(EDATE($D152,Milestones!$AA$173),"dd mmm yy"))&amp;" "&amp;Milestones!$AB$173&amp;" "&amp;Milestones!$AC$173&amp;";  ","")&amp;IF(AND(EDATE($D152,Milestones!$AA$174)&lt;=AsOfDate,IF($R152=0,$X152,IF(AND($T152&lt;&gt;"",EDATE($D152,Milestones!$AA$174)&gt;=$T152),$W152,IF(AND($S152&lt;&gt;"",EDATE($D152,Milestones!$AA$174)&gt;=$S152),$V152,$U152)))=Milestones!$AB$174),UPPER(TEXT(EDATE($D152,Milestones!$AA$174),"dd mmm yy"))&amp;" "&amp;Milestones!$AB$174&amp;" "&amp;Milestones!$AC$174&amp;";  ","")&amp;IF(AND(EDATE($D152,Milestones!$AA$175)&lt;=AsOfDate,IF($R152=0,$X152,IF(AND($T152&lt;&gt;"",EDATE($D152,Milestones!$AA$175)&gt;=$T152),$W152,IF(AND($S152&lt;&gt;"",EDATE($D152,Milestones!$AA$175)&gt;=$S152),$V152,$U152)))=Milestones!$AB$175),UPPER(TEXT(EDATE($D152,Milestones!$AA$175),"dd mmm yy"))&amp;" "&amp;Milestones!$AB$175&amp;" "&amp;Milestones!$AC$175&amp;";  ","")&amp;IF(AND(EDATE($D152,Milestones!$AA$176)&lt;=AsOfDate,IF($R152=0,$X152,IF(AND($T152&lt;&gt;"",EDATE($D152,Milestones!$AA$176)&gt;=$T152),$W152,IF(AND($S152&lt;&gt;"",EDATE($D152,Milestones!$AA$176)&gt;=$S152),$V152,$U152)))=Milestones!$AB$176),UPPER(TEXT(EDATE($D152,Milestones!$AA$176),"dd mmm yy"))&amp;" "&amp;Milestones!$AB$176&amp;" "&amp;Milestones!$AC$176&amp;";  ","")&amp;IF(AND(EDATE($D152,Milestones!$AA$177)&lt;=AsOfDate,IF($R152=0,$X152,IF(AND($T152&lt;&gt;"",EDATE($D152,Milestones!$AA$177)&gt;=$T152),$W152,IF(AND($S152&lt;&gt;"",EDATE($D152,Milestones!$AA$177)&gt;=$S152),$V152,$U152)))=Milestones!$AB$177),UPPER(TEXT(EDATE($D152,Milestones!$AA$177),"dd mmm yy"))&amp;" "&amp;Milestones!$AB$177&amp;" "&amp;Milestones!$AC$177&amp;";  ","")&amp;IF(AND(EDATE($D152,Milestones!$AA$178)&lt;=AsOfDate,IF($R152=0,$X152,IF(AND($T152&lt;&gt;"",EDATE($D152,Milestones!$AA$178)&gt;=$T152),$W152,IF(AND($S152&lt;&gt;"",EDATE($D152,Milestones!$AA$178)&gt;=$S152),$V152,$U152)))=Milestones!$AB$178),UPPER(TEXT(EDATE($D152,Milestones!$AA$178),"dd mmm yy"))&amp;" "&amp;Milestones!$AB$178&amp;" "&amp;Milestones!$AC$178&amp;";  ","")&amp;IF(AND(EDATE($D152,Milestones!$AA$179)&lt;=AsOfDate,IF($R152=0,$X152,IF(AND($T152&lt;&gt;"",EDATE($D152,Milestones!$AA$179)&gt;=$T152),$W152,IF(AND($S152&lt;&gt;"",EDATE($D152,Milestones!$AA$179)&gt;=$S152),$V152,$U152)))=Milestones!$AB$179),UPPER(TEXT(EDATE($D152,Milestones!$AA$179),"dd mmm yy"))&amp;" "&amp;Milestones!$AB$179&amp;" "&amp;Milestones!$AC$179&amp;";  ",""))</f>
        <v/>
      </c>
      <c r="Q152" s="0" t="str">
        <f aca="false">IF(OR($A152="",$D152=""),"",IF(AND(EDATE($D152,Milestones!$AA$180)&lt;=AsOfDate,IF($R152=0,$X152,IF(AND($T152&lt;&gt;"",EDATE($D152,Milestones!$AA$180)&gt;=$T152),$W152,IF(AND($S152&lt;&gt;"",EDATE($D152,Milestones!$AA$180)&gt;=$S152),$V152,$U152)))=Milestones!$AB$180),UPPER(TEXT(EDATE($D152,Milestones!$AA$180),"dd mmm yy"))&amp;" "&amp;Milestones!$AB$180&amp;" "&amp;Milestones!$AC$180&amp;";  ","")&amp;IF(AND(EDATE($D152,Milestones!$AA$181)&lt;=AsOfDate,IF($R152=0,$X152,IF(AND($T152&lt;&gt;"",EDATE($D152,Milestones!$AA$181)&gt;=$T152),$W152,IF(AND($S152&lt;&gt;"",EDATE($D152,Milestones!$AA$181)&gt;=$S152),$V152,$U152)))=Milestones!$AB$181),UPPER(TEXT(EDATE($D152,Milestones!$AA$181),"dd mmm yy"))&amp;" "&amp;Milestones!$AB$181&amp;" "&amp;Milestones!$AC$181&amp;";  ","")&amp;IF(AND(EDATE($D152,Milestones!$AA$182)&lt;=AsOfDate,IF($R152=0,$X152,IF(AND($T152&lt;&gt;"",EDATE($D152,Milestones!$AA$182)&gt;=$T152),$W152,IF(AND($S152&lt;&gt;"",EDATE($D152,Milestones!$AA$182)&gt;=$S152),$V152,$U152)))=Milestones!$AB$182),UPPER(TEXT(EDATE($D152,Milestones!$AA$182),"dd mmm yy"))&amp;" "&amp;Milestones!$AB$182&amp;" "&amp;Milestones!$AC$182&amp;";  ","")&amp;IF(AND(EDATE($D152,Milestones!$AA$183)&lt;=AsOfDate,IF($R152=0,$X152,IF(AND($T152&lt;&gt;"",EDATE($D152,Milestones!$AA$183)&gt;=$T152),$W152,IF(AND($S152&lt;&gt;"",EDATE($D152,Milestones!$AA$183)&gt;=$S152),$V152,$U152)))=Milestones!$AB$183),UPPER(TEXT(EDATE($D152,Milestones!$AA$183),"dd mmm yy"))&amp;" "&amp;Milestones!$AB$183&amp;" "&amp;Milestones!$AC$183&amp;";  ","")&amp;IF(AND(EDATE($D152,Milestones!$AA$184)&lt;=AsOfDate,IF($R152=0,$X152,IF(AND($T152&lt;&gt;"",EDATE($D152,Milestones!$AA$184)&gt;=$T152),$W152,IF(AND($S152&lt;&gt;"",EDATE($D152,Milestones!$AA$184)&gt;=$S152),$V152,$U152)))=Milestones!$AB$184),UPPER(TEXT(EDATE($D152,Milestones!$AA$184),"dd mmm yy"))&amp;" "&amp;Milestones!$AB$184&amp;" "&amp;Milestones!$AC$184&amp;";  ","")&amp;IF(AND(EDATE($D152,Milestones!$AA$185)&lt;=AsOfDate,IF($R152=0,$X152,IF(AND($T152&lt;&gt;"",EDATE($D152,Milestones!$AA$185)&gt;=$T152),$W152,IF(AND($S152&lt;&gt;"",EDATE($D152,Milestones!$AA$185)&gt;=$S152),$V152,$U152)))=Milestones!$AB$185),UPPER(TEXT(EDATE($D152,Milestones!$AA$185),"dd mmm yy"))&amp;" "&amp;Milestones!$AB$185&amp;" "&amp;Milestones!$AC$185&amp;";  ","")&amp;IF(AND(EDATE($D152,Milestones!$AA$186)&lt;=AsOfDate,IF($R152=0,$X152,IF(AND($T152&lt;&gt;"",EDATE($D152,Milestones!$AA$186)&gt;=$T152),$W152,IF(AND($S152&lt;&gt;"",EDATE($D152,Milestones!$AA$186)&gt;=$S152),$V152,$U152)))=Milestones!$AB$186),UPPER(TEXT(EDATE($D152,Milestones!$AA$186),"dd mmm yy"))&amp;" "&amp;Milestones!$AB$186&amp;" "&amp;Milestones!$AC$186&amp;";  ","")&amp;IF(AND(EDATE($D152,Milestones!$AA$187)&lt;=AsOfDate,IF($R152=0,$X152,IF(AND($T152&lt;&gt;"",EDATE($D152,Milestones!$AA$187)&gt;=$T152),$W152,IF(AND($S152&lt;&gt;"",EDATE($D152,Milestones!$AA$187)&gt;=$S152),$V152,$U152)))=Milestones!$AB$187),UPPER(TEXT(EDATE($D152,Milestones!$AA$187),"dd mmm yy"))&amp;" "&amp;Milestones!$AB$187&amp;" "&amp;Milestones!$AC$187&amp;";  ","")&amp;IF(AND(EDATE($D152,Milestones!$AA$188)&lt;=AsOfDate,IF($R152=0,$X152,IF(AND($T152&lt;&gt;"",EDATE($D152,Milestones!$AA$188)&gt;=$T152),$W152,IF(AND($S152&lt;&gt;"",EDATE($D152,Milestones!$AA$188)&gt;=$S152),$V152,$U152)))=Milestones!$AB$188),UPPER(TEXT(EDATE($D152,Milestones!$AA$188),"dd mmm yy"))&amp;" "&amp;Milestones!$AB$188&amp;" "&amp;Milestones!$AC$188&amp;";  ","")&amp;IF(AND(EDATE($D152,Milestones!$AA$189)&lt;=AsOfDate,IF($R152=0,$X152,IF(AND($T152&lt;&gt;"",EDATE($D152,Milestones!$AA$189)&gt;=$T152),$W152,IF(AND($S152&lt;&gt;"",EDATE($D152,Milestones!$AA$189)&gt;=$S152),$V152,$U152)))=Milestones!$AB$189),UPPER(TEXT(EDATE($D152,Milestones!$AA$189),"dd mmm yy"))&amp;" "&amp;Milestones!$AB$189&amp;" "&amp;Milestones!$AC$189&amp;";  ","")&amp;IF(AND(EDATE($D152,Milestones!$AA$190)&lt;=AsOfDate,IF($R152=0,$X152,IF(AND($T152&lt;&gt;"",EDATE($D152,Milestones!$AA$190)&gt;=$T152),$W152,IF(AND($S152&lt;&gt;"",EDATE($D152,Milestones!$AA$190)&gt;=$S152),$V152,$U152)))=Milestones!$AB$190),UPPER(TEXT(EDATE($D152,Milestones!$AA$190),"dd mmm yy"))&amp;" "&amp;Milestones!$AB$190&amp;" "&amp;Milestones!$AC$190&amp;";  ","")&amp;IF(AND(EDATE($D152,Milestones!$AA$191)&lt;=AsOfDate,IF($R152=0,$X152,IF(AND($T152&lt;&gt;"",EDATE($D152,Milestones!$AA$191)&gt;=$T152),$W152,IF(AND($S152&lt;&gt;"",EDATE($D152,Milestones!$AA$191)&gt;=$S152),$V152,$U152)))=Milestones!$AB$191),UPPER(TEXT(EDATE($D152,Milestones!$AA$191),"dd mmm yy"))&amp;" "&amp;Milestones!$AB$191&amp;" "&amp;Milestones!$AC$191&amp;";  ","")&amp;IF(AND(EDATE($D152,Milestones!$AA$192)&lt;=AsOfDate,IF($R152=0,$X152,IF(AND($T152&lt;&gt;"",EDATE($D152,Milestones!$AA$192)&gt;=$T152),$W152,IF(AND($S152&lt;&gt;"",EDATE($D152,Milestones!$AA$192)&gt;=$S152),$V152,$U152)))=Milestones!$AB$192),UPPER(TEXT(EDATE($D152,Milestones!$AA$192),"dd mmm yy"))&amp;" "&amp;Milestones!$AB$192&amp;" "&amp;Milestones!$AC$192&amp;";  ","")&amp;IF(AND(EDATE($D152,Milestones!$AA$193)&lt;=AsOfDate,IF($R152=0,$X152,IF(AND($T152&lt;&gt;"",EDATE($D152,Milestones!$AA$193)&gt;=$T152),$W152,IF(AND($S152&lt;&gt;"",EDATE($D152,Milestones!$AA$193)&gt;=$S152),$V152,$U152)))=Milestones!$AB$193),UPPER(TEXT(EDATE($D152,Milestones!$AA$193),"dd mmm yy"))&amp;" "&amp;Milestones!$AB$193&amp;" "&amp;Milestones!$AC$193&amp;";  ","")&amp;IF(AND(EDATE($D152,Milestones!$AA$194)&lt;=AsOfDate,IF($R152=0,$X152,IF(AND($T152&lt;&gt;"",EDATE($D152,Milestones!$AA$194)&gt;=$T152),$W152,IF(AND($S152&lt;&gt;"",EDATE($D152,Milestones!$AA$194)&gt;=$S152),$V152,$U152)))=Milestones!$AB$194),UPPER(TEXT(EDATE($D152,Milestones!$AA$194),"dd mmm yy"))&amp;" "&amp;Milestones!$AB$194&amp;" "&amp;Milestones!$AC$194&amp;";  ","")&amp;IF(AND(EDATE($D152,Milestones!$AA$195)&lt;=AsOfDate,IF($R152=0,$X152,IF(AND($T152&lt;&gt;"",EDATE($D152,Milestones!$AA$195)&gt;=$T152),$W152,IF(AND($S152&lt;&gt;"",EDATE($D152,Milestones!$AA$195)&gt;=$S152),$V152,$U152)))=Milestones!$AB$195),UPPER(TEXT(EDATE($D152,Milestones!$AA$195),"dd mmm yy"))&amp;" "&amp;Milestones!$AB$195&amp;" "&amp;Milestones!$AC$195&amp;";  ","")&amp;IF(AND(EDATE($D152,Milestones!$AA$196)&lt;=AsOfDate,IF($R152=0,$X152,IF(AND($T152&lt;&gt;"",EDATE($D152,Milestones!$AA$196)&gt;=$T152),$W152,IF(AND($S152&lt;&gt;"",EDATE($D152,Milestones!$AA$196)&gt;=$S152),$V152,$U152)))=Milestones!$AB$196),UPPER(TEXT(EDATE($D152,Milestones!$AA$196),"dd mmm yy"))&amp;" "&amp;Milestones!$AB$196&amp;" "&amp;Milestones!$AC$196&amp;";  ","")&amp;IF(AND(EDATE($D152,Milestones!$AA$197)&lt;=AsOfDate,IF($R152=0,$X152,IF(AND($T152&lt;&gt;"",EDATE($D152,Milestones!$AA$197)&gt;=$T152),$W152,IF(AND($S152&lt;&gt;"",EDATE($D152,Milestones!$AA$197)&gt;=$S152),$V152,$U152)))=Milestones!$AB$197),UPPER(TEXT(EDATE($D152,Milestones!$AA$197),"dd mmm yy"))&amp;" "&amp;Milestones!$AB$197&amp;" "&amp;Milestones!$AC$197&amp;";  ","")&amp;IF(AND(EDATE($D152,Milestones!$AA$198)&lt;=AsOfDate,IF($R152=0,$X152,IF(AND($T152&lt;&gt;"",EDATE($D152,Milestones!$AA$198)&gt;=$T152),$W152,IF(AND($S152&lt;&gt;"",EDATE($D152,Milestones!$AA$198)&gt;=$S152),$V152,$U152)))=Milestones!$AB$198),UPPER(TEXT(EDATE($D152,Milestones!$AA$198),"dd mmm yy"))&amp;" "&amp;Milestones!$AB$198&amp;" "&amp;Milestones!$AC$198&amp;";  ","")&amp;IF(AND(EDATE($D152,Milestones!$AA$199)&lt;=AsOfDate,IF($R152=0,$X152,IF(AND($T152&lt;&gt;"",EDATE($D152,Milestones!$AA$199)&gt;=$T152),$W152,IF(AND($S152&lt;&gt;"",EDATE($D152,Milestones!$AA$199)&gt;=$S152),$V152,$U152)))=Milestones!$AB$199),UPPER(TEXT(EDATE($D152,Milestones!$AA$199),"dd mmm yy"))&amp;" "&amp;Milestones!$AB$199&amp;" "&amp;Milestones!$AC$199&amp;";  ",""))</f>
        <v/>
      </c>
      <c r="R152" s="0" t="str">
        <f aca="false">IF(Staff!$A152="","",Staff!$AI152)</f>
        <v/>
      </c>
      <c r="S152" s="0" t="str">
        <f aca="false">IF(Staff!$A152="","",Staff!$AK152)</f>
        <v/>
      </c>
      <c r="T152" s="0" t="str">
        <f aca="false">IF(Staff!$A152="","",Staff!$AL152)</f>
        <v/>
      </c>
      <c r="U152" s="0" t="str">
        <f aca="false">IF(Staff!$A152="","",Staff!$AP152)</f>
        <v/>
      </c>
      <c r="V152" s="0" t="str">
        <f aca="false">IF(Staff!$A152="","",Staff!$AQ152)</f>
        <v/>
      </c>
      <c r="W152" s="0" t="str">
        <f aca="false">IF(Staff!$A152="","",Staff!$AR152)</f>
        <v/>
      </c>
      <c r="X152" s="0" t="str">
        <f aca="false">IF(Staff!$A152="","",Staff!$AS152)</f>
        <v/>
      </c>
    </row>
    <row r="153" customFormat="false" ht="15" hidden="false" customHeight="false" outlineLevel="0" collapsed="false">
      <c r="A153" s="14" t="str">
        <f aca="false">IF(Staff!$A153="","",Staff!$A153)</f>
        <v/>
      </c>
      <c r="B153" s="14" t="str">
        <f aca="false">IF(Staff!$A153="","",Staff!$B153)</f>
        <v/>
      </c>
      <c r="C153" s="14" t="str">
        <f aca="false">IF(Staff!$A153="","",Staff!$C153)</f>
        <v/>
      </c>
      <c r="D153" s="12" t="str">
        <f aca="false">IF(Staff!$A153="","",Staff!$AH153)</f>
        <v/>
      </c>
      <c r="E153" s="14" t="str">
        <f aca="false">IF(Staff!$A153="","",Staff!$O153)</f>
        <v/>
      </c>
      <c r="F153" s="14" t="str">
        <f aca="false">IF(E153="","",E153*HoursPerDay)</f>
        <v/>
      </c>
      <c r="G153" s="14" t="str">
        <f aca="false">IF(Staff!$A153="","",Staff!$AE153)</f>
        <v/>
      </c>
      <c r="H153" s="26" t="str">
        <f aca="false">IF($A153="","",I153&amp;J153&amp;K153&amp;L153&amp;M153&amp;N153&amp;O153&amp;P153&amp;Q153)</f>
        <v/>
      </c>
      <c r="I153" s="0" t="str">
        <f aca="false">IF(OR($A153="",$D153=""),"",IF(AND(EDATE($D153,Milestones!$AA$20)&lt;=AsOfDate,IF($R153=0,$X153,IF(AND($T153&lt;&gt;"",EDATE($D153,Milestones!$AA$20)&gt;=$T153),$W153,IF(AND($S153&lt;&gt;"",EDATE($D153,Milestones!$AA$20)&gt;=$S153),$V153,$U153)))=Milestones!$AB$20),UPPER(TEXT(EDATE($D153,Milestones!$AA$20),"dd mmm yy"))&amp;" "&amp;Milestones!$AB$20&amp;" "&amp;Milestones!$AC$20&amp;";  ","")&amp;IF(AND(EDATE($D153,Milestones!$AA$21)&lt;=AsOfDate,IF($R153=0,$X153,IF(AND($T153&lt;&gt;"",EDATE($D153,Milestones!$AA$21)&gt;=$T153),$W153,IF(AND($S153&lt;&gt;"",EDATE($D153,Milestones!$AA$21)&gt;=$S153),$V153,$U153)))=Milestones!$AB$21),UPPER(TEXT(EDATE($D153,Milestones!$AA$21),"dd mmm yy"))&amp;" "&amp;Milestones!$AB$21&amp;" "&amp;Milestones!$AC$21&amp;";  ","")&amp;IF(AND(EDATE($D153,Milestones!$AA$22)&lt;=AsOfDate,IF($R153=0,$X153,IF(AND($T153&lt;&gt;"",EDATE($D153,Milestones!$AA$22)&gt;=$T153),$W153,IF(AND($S153&lt;&gt;"",EDATE($D153,Milestones!$AA$22)&gt;=$S153),$V153,$U153)))=Milestones!$AB$22),UPPER(TEXT(EDATE($D153,Milestones!$AA$22),"dd mmm yy"))&amp;" "&amp;Milestones!$AB$22&amp;" "&amp;Milestones!$AC$22&amp;";  ","")&amp;IF(AND(EDATE($D153,Milestones!$AA$23)&lt;=AsOfDate,IF($R153=0,$X153,IF(AND($T153&lt;&gt;"",EDATE($D153,Milestones!$AA$23)&gt;=$T153),$W153,IF(AND($S153&lt;&gt;"",EDATE($D153,Milestones!$AA$23)&gt;=$S153),$V153,$U153)))=Milestones!$AB$23),UPPER(TEXT(EDATE($D153,Milestones!$AA$23),"dd mmm yy"))&amp;" "&amp;Milestones!$AB$23&amp;" "&amp;Milestones!$AC$23&amp;";  ","")&amp;IF(AND(EDATE($D153,Milestones!$AA$24)&lt;=AsOfDate,IF($R153=0,$X153,IF(AND($T153&lt;&gt;"",EDATE($D153,Milestones!$AA$24)&gt;=$T153),$W153,IF(AND($S153&lt;&gt;"",EDATE($D153,Milestones!$AA$24)&gt;=$S153),$V153,$U153)))=Milestones!$AB$24),UPPER(TEXT(EDATE($D153,Milestones!$AA$24),"dd mmm yy"))&amp;" "&amp;Milestones!$AB$24&amp;" "&amp;Milestones!$AC$24&amp;";  ","")&amp;IF(AND(EDATE($D153,Milestones!$AA$25)&lt;=AsOfDate,IF($R153=0,$X153,IF(AND($T153&lt;&gt;"",EDATE($D153,Milestones!$AA$25)&gt;=$T153),$W153,IF(AND($S153&lt;&gt;"",EDATE($D153,Milestones!$AA$25)&gt;=$S153),$V153,$U153)))=Milestones!$AB$25),UPPER(TEXT(EDATE($D153,Milestones!$AA$25),"dd mmm yy"))&amp;" "&amp;Milestones!$AB$25&amp;" "&amp;Milestones!$AC$25&amp;";  ","")&amp;IF(AND(EDATE($D153,Milestones!$AA$26)&lt;=AsOfDate,IF($R153=0,$X153,IF(AND($T153&lt;&gt;"",EDATE($D153,Milestones!$AA$26)&gt;=$T153),$W153,IF(AND($S153&lt;&gt;"",EDATE($D153,Milestones!$AA$26)&gt;=$S153),$V153,$U153)))=Milestones!$AB$26),UPPER(TEXT(EDATE($D153,Milestones!$AA$26),"dd mmm yy"))&amp;" "&amp;Milestones!$AB$26&amp;" "&amp;Milestones!$AC$26&amp;";  ","")&amp;IF(AND(EDATE($D153,Milestones!$AA$27)&lt;=AsOfDate,IF($R153=0,$X153,IF(AND($T153&lt;&gt;"",EDATE($D153,Milestones!$AA$27)&gt;=$T153),$W153,IF(AND($S153&lt;&gt;"",EDATE($D153,Milestones!$AA$27)&gt;=$S153),$V153,$U153)))=Milestones!$AB$27),UPPER(TEXT(EDATE($D153,Milestones!$AA$27),"dd mmm yy"))&amp;" "&amp;Milestones!$AB$27&amp;" "&amp;Milestones!$AC$27&amp;";  ","")&amp;IF(AND(EDATE($D153,Milestones!$AA$28)&lt;=AsOfDate,IF($R153=0,$X153,IF(AND($T153&lt;&gt;"",EDATE($D153,Milestones!$AA$28)&gt;=$T153),$W153,IF(AND($S153&lt;&gt;"",EDATE($D153,Milestones!$AA$28)&gt;=$S153),$V153,$U153)))=Milestones!$AB$28),UPPER(TEXT(EDATE($D153,Milestones!$AA$28),"dd mmm yy"))&amp;" "&amp;Milestones!$AB$28&amp;" "&amp;Milestones!$AC$28&amp;";  ","")&amp;IF(AND(EDATE($D153,Milestones!$AA$29)&lt;=AsOfDate,IF($R153=0,$X153,IF(AND($T153&lt;&gt;"",EDATE($D153,Milestones!$AA$29)&gt;=$T153),$W153,IF(AND($S153&lt;&gt;"",EDATE($D153,Milestones!$AA$29)&gt;=$S153),$V153,$U153)))=Milestones!$AB$29),UPPER(TEXT(EDATE($D153,Milestones!$AA$29),"dd mmm yy"))&amp;" "&amp;Milestones!$AB$29&amp;" "&amp;Milestones!$AC$29&amp;";  ","")&amp;IF(AND(EDATE($D153,Milestones!$AA$30)&lt;=AsOfDate,IF($R153=0,$X153,IF(AND($T153&lt;&gt;"",EDATE($D153,Milestones!$AA$30)&gt;=$T153),$W153,IF(AND($S153&lt;&gt;"",EDATE($D153,Milestones!$AA$30)&gt;=$S153),$V153,$U153)))=Milestones!$AB$30),UPPER(TEXT(EDATE($D153,Milestones!$AA$30),"dd mmm yy"))&amp;" "&amp;Milestones!$AB$30&amp;" "&amp;Milestones!$AC$30&amp;";  ","")&amp;IF(AND(EDATE($D153,Milestones!$AA$31)&lt;=AsOfDate,IF($R153=0,$X153,IF(AND($T153&lt;&gt;"",EDATE($D153,Milestones!$AA$31)&gt;=$T153),$W153,IF(AND($S153&lt;&gt;"",EDATE($D153,Milestones!$AA$31)&gt;=$S153),$V153,$U153)))=Milestones!$AB$31),UPPER(TEXT(EDATE($D153,Milestones!$AA$31),"dd mmm yy"))&amp;" "&amp;Milestones!$AB$31&amp;" "&amp;Milestones!$AC$31&amp;";  ","")&amp;IF(AND(EDATE($D153,Milestones!$AA$32)&lt;=AsOfDate,IF($R153=0,$X153,IF(AND($T153&lt;&gt;"",EDATE($D153,Milestones!$AA$32)&gt;=$T153),$W153,IF(AND($S153&lt;&gt;"",EDATE($D153,Milestones!$AA$32)&gt;=$S153),$V153,$U153)))=Milestones!$AB$32),UPPER(TEXT(EDATE($D153,Milestones!$AA$32),"dd mmm yy"))&amp;" "&amp;Milestones!$AB$32&amp;" "&amp;Milestones!$AC$32&amp;";  ","")&amp;IF(AND(EDATE($D153,Milestones!$AA$33)&lt;=AsOfDate,IF($R153=0,$X153,IF(AND($T153&lt;&gt;"",EDATE($D153,Milestones!$AA$33)&gt;=$T153),$W153,IF(AND($S153&lt;&gt;"",EDATE($D153,Milestones!$AA$33)&gt;=$S153),$V153,$U153)))=Milestones!$AB$33),UPPER(TEXT(EDATE($D153,Milestones!$AA$33),"dd mmm yy"))&amp;" "&amp;Milestones!$AB$33&amp;" "&amp;Milestones!$AC$33&amp;";  ","")&amp;IF(AND(EDATE($D153,Milestones!$AA$34)&lt;=AsOfDate,IF($R153=0,$X153,IF(AND($T153&lt;&gt;"",EDATE($D153,Milestones!$AA$34)&gt;=$T153),$W153,IF(AND($S153&lt;&gt;"",EDATE($D153,Milestones!$AA$34)&gt;=$S153),$V153,$U153)))=Milestones!$AB$34),UPPER(TEXT(EDATE($D153,Milestones!$AA$34),"dd mmm yy"))&amp;" "&amp;Milestones!$AB$34&amp;" "&amp;Milestones!$AC$34&amp;";  ","")&amp;IF(AND(EDATE($D153,Milestones!$AA$35)&lt;=AsOfDate,IF($R153=0,$X153,IF(AND($T153&lt;&gt;"",EDATE($D153,Milestones!$AA$35)&gt;=$T153),$W153,IF(AND($S153&lt;&gt;"",EDATE($D153,Milestones!$AA$35)&gt;=$S153),$V153,$U153)))=Milestones!$AB$35),UPPER(TEXT(EDATE($D153,Milestones!$AA$35),"dd mmm yy"))&amp;" "&amp;Milestones!$AB$35&amp;" "&amp;Milestones!$AC$35&amp;";  ","")&amp;IF(AND(EDATE($D153,Milestones!$AA$36)&lt;=AsOfDate,IF($R153=0,$X153,IF(AND($T153&lt;&gt;"",EDATE($D153,Milestones!$AA$36)&gt;=$T153),$W153,IF(AND($S153&lt;&gt;"",EDATE($D153,Milestones!$AA$36)&gt;=$S153),$V153,$U153)))=Milestones!$AB$36),UPPER(TEXT(EDATE($D153,Milestones!$AA$36),"dd mmm yy"))&amp;" "&amp;Milestones!$AB$36&amp;" "&amp;Milestones!$AC$36&amp;";  ","")&amp;IF(AND(EDATE($D153,Milestones!$AA$37)&lt;=AsOfDate,IF($R153=0,$X153,IF(AND($T153&lt;&gt;"",EDATE($D153,Milestones!$AA$37)&gt;=$T153),$W153,IF(AND($S153&lt;&gt;"",EDATE($D153,Milestones!$AA$37)&gt;=$S153),$V153,$U153)))=Milestones!$AB$37),UPPER(TEXT(EDATE($D153,Milestones!$AA$37),"dd mmm yy"))&amp;" "&amp;Milestones!$AB$37&amp;" "&amp;Milestones!$AC$37&amp;";  ","")&amp;IF(AND(EDATE($D153,Milestones!$AA$38)&lt;=AsOfDate,IF($R153=0,$X153,IF(AND($T153&lt;&gt;"",EDATE($D153,Milestones!$AA$38)&gt;=$T153),$W153,IF(AND($S153&lt;&gt;"",EDATE($D153,Milestones!$AA$38)&gt;=$S153),$V153,$U153)))=Milestones!$AB$38),UPPER(TEXT(EDATE($D153,Milestones!$AA$38),"dd mmm yy"))&amp;" "&amp;Milestones!$AB$38&amp;" "&amp;Milestones!$AC$38&amp;";  ","")&amp;IF(AND(EDATE($D153,Milestones!$AA$39)&lt;=AsOfDate,IF($R153=0,$X153,IF(AND($T153&lt;&gt;"",EDATE($D153,Milestones!$AA$39)&gt;=$T153),$W153,IF(AND($S153&lt;&gt;"",EDATE($D153,Milestones!$AA$39)&gt;=$S153),$V153,$U153)))=Milestones!$AB$39),UPPER(TEXT(EDATE($D153,Milestones!$AA$39),"dd mmm yy"))&amp;" "&amp;Milestones!$AB$39&amp;" "&amp;Milestones!$AC$39&amp;";  ",""))</f>
        <v/>
      </c>
      <c r="J153" s="0" t="str">
        <f aca="false">IF(OR($A153="",$D153=""),"",IF(AND(EDATE($D153,Milestones!$AA$40)&lt;=AsOfDate,IF($R153=0,$X153,IF(AND($T153&lt;&gt;"",EDATE($D153,Milestones!$AA$40)&gt;=$T153),$W153,IF(AND($S153&lt;&gt;"",EDATE($D153,Milestones!$AA$40)&gt;=$S153),$V153,$U153)))=Milestones!$AB$40),UPPER(TEXT(EDATE($D153,Milestones!$AA$40),"dd mmm yy"))&amp;" "&amp;Milestones!$AB$40&amp;" "&amp;Milestones!$AC$40&amp;";  ","")&amp;IF(AND(EDATE($D153,Milestones!$AA$41)&lt;=AsOfDate,IF($R153=0,$X153,IF(AND($T153&lt;&gt;"",EDATE($D153,Milestones!$AA$41)&gt;=$T153),$W153,IF(AND($S153&lt;&gt;"",EDATE($D153,Milestones!$AA$41)&gt;=$S153),$V153,$U153)))=Milestones!$AB$41),UPPER(TEXT(EDATE($D153,Milestones!$AA$41),"dd mmm yy"))&amp;" "&amp;Milestones!$AB$41&amp;" "&amp;Milestones!$AC$41&amp;";  ","")&amp;IF(AND(EDATE($D153,Milestones!$AA$42)&lt;=AsOfDate,IF($R153=0,$X153,IF(AND($T153&lt;&gt;"",EDATE($D153,Milestones!$AA$42)&gt;=$T153),$W153,IF(AND($S153&lt;&gt;"",EDATE($D153,Milestones!$AA$42)&gt;=$S153),$V153,$U153)))=Milestones!$AB$42),UPPER(TEXT(EDATE($D153,Milestones!$AA$42),"dd mmm yy"))&amp;" "&amp;Milestones!$AB$42&amp;" "&amp;Milestones!$AC$42&amp;";  ","")&amp;IF(AND(EDATE($D153,Milestones!$AA$43)&lt;=AsOfDate,IF($R153=0,$X153,IF(AND($T153&lt;&gt;"",EDATE($D153,Milestones!$AA$43)&gt;=$T153),$W153,IF(AND($S153&lt;&gt;"",EDATE($D153,Milestones!$AA$43)&gt;=$S153),$V153,$U153)))=Milestones!$AB$43),UPPER(TEXT(EDATE($D153,Milestones!$AA$43),"dd mmm yy"))&amp;" "&amp;Milestones!$AB$43&amp;" "&amp;Milestones!$AC$43&amp;";  ","")&amp;IF(AND(EDATE($D153,Milestones!$AA$44)&lt;=AsOfDate,IF($R153=0,$X153,IF(AND($T153&lt;&gt;"",EDATE($D153,Milestones!$AA$44)&gt;=$T153),$W153,IF(AND($S153&lt;&gt;"",EDATE($D153,Milestones!$AA$44)&gt;=$S153),$V153,$U153)))=Milestones!$AB$44),UPPER(TEXT(EDATE($D153,Milestones!$AA$44),"dd mmm yy"))&amp;" "&amp;Milestones!$AB$44&amp;" "&amp;Milestones!$AC$44&amp;";  ","")&amp;IF(AND(EDATE($D153,Milestones!$AA$45)&lt;=AsOfDate,IF($R153=0,$X153,IF(AND($T153&lt;&gt;"",EDATE($D153,Milestones!$AA$45)&gt;=$T153),$W153,IF(AND($S153&lt;&gt;"",EDATE($D153,Milestones!$AA$45)&gt;=$S153),$V153,$U153)))=Milestones!$AB$45),UPPER(TEXT(EDATE($D153,Milestones!$AA$45),"dd mmm yy"))&amp;" "&amp;Milestones!$AB$45&amp;" "&amp;Milestones!$AC$45&amp;";  ","")&amp;IF(AND(EDATE($D153,Milestones!$AA$46)&lt;=AsOfDate,IF($R153=0,$X153,IF(AND($T153&lt;&gt;"",EDATE($D153,Milestones!$AA$46)&gt;=$T153),$W153,IF(AND($S153&lt;&gt;"",EDATE($D153,Milestones!$AA$46)&gt;=$S153),$V153,$U153)))=Milestones!$AB$46),UPPER(TEXT(EDATE($D153,Milestones!$AA$46),"dd mmm yy"))&amp;" "&amp;Milestones!$AB$46&amp;" "&amp;Milestones!$AC$46&amp;";  ","")&amp;IF(AND(EDATE($D153,Milestones!$AA$47)&lt;=AsOfDate,IF($R153=0,$X153,IF(AND($T153&lt;&gt;"",EDATE($D153,Milestones!$AA$47)&gt;=$T153),$W153,IF(AND($S153&lt;&gt;"",EDATE($D153,Milestones!$AA$47)&gt;=$S153),$V153,$U153)))=Milestones!$AB$47),UPPER(TEXT(EDATE($D153,Milestones!$AA$47),"dd mmm yy"))&amp;" "&amp;Milestones!$AB$47&amp;" "&amp;Milestones!$AC$47&amp;";  ","")&amp;IF(AND(EDATE($D153,Milestones!$AA$48)&lt;=AsOfDate,IF($R153=0,$X153,IF(AND($T153&lt;&gt;"",EDATE($D153,Milestones!$AA$48)&gt;=$T153),$W153,IF(AND($S153&lt;&gt;"",EDATE($D153,Milestones!$AA$48)&gt;=$S153),$V153,$U153)))=Milestones!$AB$48),UPPER(TEXT(EDATE($D153,Milestones!$AA$48),"dd mmm yy"))&amp;" "&amp;Milestones!$AB$48&amp;" "&amp;Milestones!$AC$48&amp;";  ","")&amp;IF(AND(EDATE($D153,Milestones!$AA$49)&lt;=AsOfDate,IF($R153=0,$X153,IF(AND($T153&lt;&gt;"",EDATE($D153,Milestones!$AA$49)&gt;=$T153),$W153,IF(AND($S153&lt;&gt;"",EDATE($D153,Milestones!$AA$49)&gt;=$S153),$V153,$U153)))=Milestones!$AB$49),UPPER(TEXT(EDATE($D153,Milestones!$AA$49),"dd mmm yy"))&amp;" "&amp;Milestones!$AB$49&amp;" "&amp;Milestones!$AC$49&amp;";  ","")&amp;IF(AND(EDATE($D153,Milestones!$AA$50)&lt;=AsOfDate,IF($R153=0,$X153,IF(AND($T153&lt;&gt;"",EDATE($D153,Milestones!$AA$50)&gt;=$T153),$W153,IF(AND($S153&lt;&gt;"",EDATE($D153,Milestones!$AA$50)&gt;=$S153),$V153,$U153)))=Milestones!$AB$50),UPPER(TEXT(EDATE($D153,Milestones!$AA$50),"dd mmm yy"))&amp;" "&amp;Milestones!$AB$50&amp;" "&amp;Milestones!$AC$50&amp;";  ","")&amp;IF(AND(EDATE($D153,Milestones!$AA$51)&lt;=AsOfDate,IF($R153=0,$X153,IF(AND($T153&lt;&gt;"",EDATE($D153,Milestones!$AA$51)&gt;=$T153),$W153,IF(AND($S153&lt;&gt;"",EDATE($D153,Milestones!$AA$51)&gt;=$S153),$V153,$U153)))=Milestones!$AB$51),UPPER(TEXT(EDATE($D153,Milestones!$AA$51),"dd mmm yy"))&amp;" "&amp;Milestones!$AB$51&amp;" "&amp;Milestones!$AC$51&amp;";  ","")&amp;IF(AND(EDATE($D153,Milestones!$AA$52)&lt;=AsOfDate,IF($R153=0,$X153,IF(AND($T153&lt;&gt;"",EDATE($D153,Milestones!$AA$52)&gt;=$T153),$W153,IF(AND($S153&lt;&gt;"",EDATE($D153,Milestones!$AA$52)&gt;=$S153),$V153,$U153)))=Milestones!$AB$52),UPPER(TEXT(EDATE($D153,Milestones!$AA$52),"dd mmm yy"))&amp;" "&amp;Milestones!$AB$52&amp;" "&amp;Milestones!$AC$52&amp;";  ","")&amp;IF(AND(EDATE($D153,Milestones!$AA$53)&lt;=AsOfDate,IF($R153=0,$X153,IF(AND($T153&lt;&gt;"",EDATE($D153,Milestones!$AA$53)&gt;=$T153),$W153,IF(AND($S153&lt;&gt;"",EDATE($D153,Milestones!$AA$53)&gt;=$S153),$V153,$U153)))=Milestones!$AB$53),UPPER(TEXT(EDATE($D153,Milestones!$AA$53),"dd mmm yy"))&amp;" "&amp;Milestones!$AB$53&amp;" "&amp;Milestones!$AC$53&amp;";  ","")&amp;IF(AND(EDATE($D153,Milestones!$AA$54)&lt;=AsOfDate,IF($R153=0,$X153,IF(AND($T153&lt;&gt;"",EDATE($D153,Milestones!$AA$54)&gt;=$T153),$W153,IF(AND($S153&lt;&gt;"",EDATE($D153,Milestones!$AA$54)&gt;=$S153),$V153,$U153)))=Milestones!$AB$54),UPPER(TEXT(EDATE($D153,Milestones!$AA$54),"dd mmm yy"))&amp;" "&amp;Milestones!$AB$54&amp;" "&amp;Milestones!$AC$54&amp;";  ","")&amp;IF(AND(EDATE($D153,Milestones!$AA$55)&lt;=AsOfDate,IF($R153=0,$X153,IF(AND($T153&lt;&gt;"",EDATE($D153,Milestones!$AA$55)&gt;=$T153),$W153,IF(AND($S153&lt;&gt;"",EDATE($D153,Milestones!$AA$55)&gt;=$S153),$V153,$U153)))=Milestones!$AB$55),UPPER(TEXT(EDATE($D153,Milestones!$AA$55),"dd mmm yy"))&amp;" "&amp;Milestones!$AB$55&amp;" "&amp;Milestones!$AC$55&amp;";  ","")&amp;IF(AND(EDATE($D153,Milestones!$AA$56)&lt;=AsOfDate,IF($R153=0,$X153,IF(AND($T153&lt;&gt;"",EDATE($D153,Milestones!$AA$56)&gt;=$T153),$W153,IF(AND($S153&lt;&gt;"",EDATE($D153,Milestones!$AA$56)&gt;=$S153),$V153,$U153)))=Milestones!$AB$56),UPPER(TEXT(EDATE($D153,Milestones!$AA$56),"dd mmm yy"))&amp;" "&amp;Milestones!$AB$56&amp;" "&amp;Milestones!$AC$56&amp;";  ","")&amp;IF(AND(EDATE($D153,Milestones!$AA$57)&lt;=AsOfDate,IF($R153=0,$X153,IF(AND($T153&lt;&gt;"",EDATE($D153,Milestones!$AA$57)&gt;=$T153),$W153,IF(AND($S153&lt;&gt;"",EDATE($D153,Milestones!$AA$57)&gt;=$S153),$V153,$U153)))=Milestones!$AB$57),UPPER(TEXT(EDATE($D153,Milestones!$AA$57),"dd mmm yy"))&amp;" "&amp;Milestones!$AB$57&amp;" "&amp;Milestones!$AC$57&amp;";  ","")&amp;IF(AND(EDATE($D153,Milestones!$AA$58)&lt;=AsOfDate,IF($R153=0,$X153,IF(AND($T153&lt;&gt;"",EDATE($D153,Milestones!$AA$58)&gt;=$T153),$W153,IF(AND($S153&lt;&gt;"",EDATE($D153,Milestones!$AA$58)&gt;=$S153),$V153,$U153)))=Milestones!$AB$58),UPPER(TEXT(EDATE($D153,Milestones!$AA$58),"dd mmm yy"))&amp;" "&amp;Milestones!$AB$58&amp;" "&amp;Milestones!$AC$58&amp;";  ","")&amp;IF(AND(EDATE($D153,Milestones!$AA$59)&lt;=AsOfDate,IF($R153=0,$X153,IF(AND($T153&lt;&gt;"",EDATE($D153,Milestones!$AA$59)&gt;=$T153),$W153,IF(AND($S153&lt;&gt;"",EDATE($D153,Milestones!$AA$59)&gt;=$S153),$V153,$U153)))=Milestones!$AB$59),UPPER(TEXT(EDATE($D153,Milestones!$AA$59),"dd mmm yy"))&amp;" "&amp;Milestones!$AB$59&amp;" "&amp;Milestones!$AC$59&amp;";  ",""))</f>
        <v/>
      </c>
      <c r="K153" s="0" t="str">
        <f aca="false">IF(OR($A153="",$D153=""),"",IF(AND(EDATE($D153,Milestones!$AA$60)&lt;=AsOfDate,IF($R153=0,$X153,IF(AND($T153&lt;&gt;"",EDATE($D153,Milestones!$AA$60)&gt;=$T153),$W153,IF(AND($S153&lt;&gt;"",EDATE($D153,Milestones!$AA$60)&gt;=$S153),$V153,$U153)))=Milestones!$AB$60),UPPER(TEXT(EDATE($D153,Milestones!$AA$60),"dd mmm yy"))&amp;" "&amp;Milestones!$AB$60&amp;" "&amp;Milestones!$AC$60&amp;";  ","")&amp;IF(AND(EDATE($D153,Milestones!$AA$61)&lt;=AsOfDate,IF($R153=0,$X153,IF(AND($T153&lt;&gt;"",EDATE($D153,Milestones!$AA$61)&gt;=$T153),$W153,IF(AND($S153&lt;&gt;"",EDATE($D153,Milestones!$AA$61)&gt;=$S153),$V153,$U153)))=Milestones!$AB$61),UPPER(TEXT(EDATE($D153,Milestones!$AA$61),"dd mmm yy"))&amp;" "&amp;Milestones!$AB$61&amp;" "&amp;Milestones!$AC$61&amp;";  ","")&amp;IF(AND(EDATE($D153,Milestones!$AA$62)&lt;=AsOfDate,IF($R153=0,$X153,IF(AND($T153&lt;&gt;"",EDATE($D153,Milestones!$AA$62)&gt;=$T153),$W153,IF(AND($S153&lt;&gt;"",EDATE($D153,Milestones!$AA$62)&gt;=$S153),$V153,$U153)))=Milestones!$AB$62),UPPER(TEXT(EDATE($D153,Milestones!$AA$62),"dd mmm yy"))&amp;" "&amp;Milestones!$AB$62&amp;" "&amp;Milestones!$AC$62&amp;";  ","")&amp;IF(AND(EDATE($D153,Milestones!$AA$63)&lt;=AsOfDate,IF($R153=0,$X153,IF(AND($T153&lt;&gt;"",EDATE($D153,Milestones!$AA$63)&gt;=$T153),$W153,IF(AND($S153&lt;&gt;"",EDATE($D153,Milestones!$AA$63)&gt;=$S153),$V153,$U153)))=Milestones!$AB$63),UPPER(TEXT(EDATE($D153,Milestones!$AA$63),"dd mmm yy"))&amp;" "&amp;Milestones!$AB$63&amp;" "&amp;Milestones!$AC$63&amp;";  ","")&amp;IF(AND(EDATE($D153,Milestones!$AA$64)&lt;=AsOfDate,IF($R153=0,$X153,IF(AND($T153&lt;&gt;"",EDATE($D153,Milestones!$AA$64)&gt;=$T153),$W153,IF(AND($S153&lt;&gt;"",EDATE($D153,Milestones!$AA$64)&gt;=$S153),$V153,$U153)))=Milestones!$AB$64),UPPER(TEXT(EDATE($D153,Milestones!$AA$64),"dd mmm yy"))&amp;" "&amp;Milestones!$AB$64&amp;" "&amp;Milestones!$AC$64&amp;";  ","")&amp;IF(AND(EDATE($D153,Milestones!$AA$65)&lt;=AsOfDate,IF($R153=0,$X153,IF(AND($T153&lt;&gt;"",EDATE($D153,Milestones!$AA$65)&gt;=$T153),$W153,IF(AND($S153&lt;&gt;"",EDATE($D153,Milestones!$AA$65)&gt;=$S153),$V153,$U153)))=Milestones!$AB$65),UPPER(TEXT(EDATE($D153,Milestones!$AA$65),"dd mmm yy"))&amp;" "&amp;Milestones!$AB$65&amp;" "&amp;Milestones!$AC$65&amp;";  ","")&amp;IF(AND(EDATE($D153,Milestones!$AA$66)&lt;=AsOfDate,IF($R153=0,$X153,IF(AND($T153&lt;&gt;"",EDATE($D153,Milestones!$AA$66)&gt;=$T153),$W153,IF(AND($S153&lt;&gt;"",EDATE($D153,Milestones!$AA$66)&gt;=$S153),$V153,$U153)))=Milestones!$AB$66),UPPER(TEXT(EDATE($D153,Milestones!$AA$66),"dd mmm yy"))&amp;" "&amp;Milestones!$AB$66&amp;" "&amp;Milestones!$AC$66&amp;";  ","")&amp;IF(AND(EDATE($D153,Milestones!$AA$67)&lt;=AsOfDate,IF($R153=0,$X153,IF(AND($T153&lt;&gt;"",EDATE($D153,Milestones!$AA$67)&gt;=$T153),$W153,IF(AND($S153&lt;&gt;"",EDATE($D153,Milestones!$AA$67)&gt;=$S153),$V153,$U153)))=Milestones!$AB$67),UPPER(TEXT(EDATE($D153,Milestones!$AA$67),"dd mmm yy"))&amp;" "&amp;Milestones!$AB$67&amp;" "&amp;Milestones!$AC$67&amp;";  ","")&amp;IF(AND(EDATE($D153,Milestones!$AA$68)&lt;=AsOfDate,IF($R153=0,$X153,IF(AND($T153&lt;&gt;"",EDATE($D153,Milestones!$AA$68)&gt;=$T153),$W153,IF(AND($S153&lt;&gt;"",EDATE($D153,Milestones!$AA$68)&gt;=$S153),$V153,$U153)))=Milestones!$AB$68),UPPER(TEXT(EDATE($D153,Milestones!$AA$68),"dd mmm yy"))&amp;" "&amp;Milestones!$AB$68&amp;" "&amp;Milestones!$AC$68&amp;";  ","")&amp;IF(AND(EDATE($D153,Milestones!$AA$69)&lt;=AsOfDate,IF($R153=0,$X153,IF(AND($T153&lt;&gt;"",EDATE($D153,Milestones!$AA$69)&gt;=$T153),$W153,IF(AND($S153&lt;&gt;"",EDATE($D153,Milestones!$AA$69)&gt;=$S153),$V153,$U153)))=Milestones!$AB$69),UPPER(TEXT(EDATE($D153,Milestones!$AA$69),"dd mmm yy"))&amp;" "&amp;Milestones!$AB$69&amp;" "&amp;Milestones!$AC$69&amp;";  ","")&amp;IF(AND(EDATE($D153,Milestones!$AA$70)&lt;=AsOfDate,IF($R153=0,$X153,IF(AND($T153&lt;&gt;"",EDATE($D153,Milestones!$AA$70)&gt;=$T153),$W153,IF(AND($S153&lt;&gt;"",EDATE($D153,Milestones!$AA$70)&gt;=$S153),$V153,$U153)))=Milestones!$AB$70),UPPER(TEXT(EDATE($D153,Milestones!$AA$70),"dd mmm yy"))&amp;" "&amp;Milestones!$AB$70&amp;" "&amp;Milestones!$AC$70&amp;";  ","")&amp;IF(AND(EDATE($D153,Milestones!$AA$71)&lt;=AsOfDate,IF($R153=0,$X153,IF(AND($T153&lt;&gt;"",EDATE($D153,Milestones!$AA$71)&gt;=$T153),$W153,IF(AND($S153&lt;&gt;"",EDATE($D153,Milestones!$AA$71)&gt;=$S153),$V153,$U153)))=Milestones!$AB$71),UPPER(TEXT(EDATE($D153,Milestones!$AA$71),"dd mmm yy"))&amp;" "&amp;Milestones!$AB$71&amp;" "&amp;Milestones!$AC$71&amp;";  ","")&amp;IF(AND(EDATE($D153,Milestones!$AA$72)&lt;=AsOfDate,IF($R153=0,$X153,IF(AND($T153&lt;&gt;"",EDATE($D153,Milestones!$AA$72)&gt;=$T153),$W153,IF(AND($S153&lt;&gt;"",EDATE($D153,Milestones!$AA$72)&gt;=$S153),$V153,$U153)))=Milestones!$AB$72),UPPER(TEXT(EDATE($D153,Milestones!$AA$72),"dd mmm yy"))&amp;" "&amp;Milestones!$AB$72&amp;" "&amp;Milestones!$AC$72&amp;";  ","")&amp;IF(AND(EDATE($D153,Milestones!$AA$73)&lt;=AsOfDate,IF($R153=0,$X153,IF(AND($T153&lt;&gt;"",EDATE($D153,Milestones!$AA$73)&gt;=$T153),$W153,IF(AND($S153&lt;&gt;"",EDATE($D153,Milestones!$AA$73)&gt;=$S153),$V153,$U153)))=Milestones!$AB$73),UPPER(TEXT(EDATE($D153,Milestones!$AA$73),"dd mmm yy"))&amp;" "&amp;Milestones!$AB$73&amp;" "&amp;Milestones!$AC$73&amp;";  ","")&amp;IF(AND(EDATE($D153,Milestones!$AA$74)&lt;=AsOfDate,IF($R153=0,$X153,IF(AND($T153&lt;&gt;"",EDATE($D153,Milestones!$AA$74)&gt;=$T153),$W153,IF(AND($S153&lt;&gt;"",EDATE($D153,Milestones!$AA$74)&gt;=$S153),$V153,$U153)))=Milestones!$AB$74),UPPER(TEXT(EDATE($D153,Milestones!$AA$74),"dd mmm yy"))&amp;" "&amp;Milestones!$AB$74&amp;" "&amp;Milestones!$AC$74&amp;";  ","")&amp;IF(AND(EDATE($D153,Milestones!$AA$75)&lt;=AsOfDate,IF($R153=0,$X153,IF(AND($T153&lt;&gt;"",EDATE($D153,Milestones!$AA$75)&gt;=$T153),$W153,IF(AND($S153&lt;&gt;"",EDATE($D153,Milestones!$AA$75)&gt;=$S153),$V153,$U153)))=Milestones!$AB$75),UPPER(TEXT(EDATE($D153,Milestones!$AA$75),"dd mmm yy"))&amp;" "&amp;Milestones!$AB$75&amp;" "&amp;Milestones!$AC$75&amp;";  ","")&amp;IF(AND(EDATE($D153,Milestones!$AA$76)&lt;=AsOfDate,IF($R153=0,$X153,IF(AND($T153&lt;&gt;"",EDATE($D153,Milestones!$AA$76)&gt;=$T153),$W153,IF(AND($S153&lt;&gt;"",EDATE($D153,Milestones!$AA$76)&gt;=$S153),$V153,$U153)))=Milestones!$AB$76),UPPER(TEXT(EDATE($D153,Milestones!$AA$76),"dd mmm yy"))&amp;" "&amp;Milestones!$AB$76&amp;" "&amp;Milestones!$AC$76&amp;";  ","")&amp;IF(AND(EDATE($D153,Milestones!$AA$77)&lt;=AsOfDate,IF($R153=0,$X153,IF(AND($T153&lt;&gt;"",EDATE($D153,Milestones!$AA$77)&gt;=$T153),$W153,IF(AND($S153&lt;&gt;"",EDATE($D153,Milestones!$AA$77)&gt;=$S153),$V153,$U153)))=Milestones!$AB$77),UPPER(TEXT(EDATE($D153,Milestones!$AA$77),"dd mmm yy"))&amp;" "&amp;Milestones!$AB$77&amp;" "&amp;Milestones!$AC$77&amp;";  ","")&amp;IF(AND(EDATE($D153,Milestones!$AA$78)&lt;=AsOfDate,IF($R153=0,$X153,IF(AND($T153&lt;&gt;"",EDATE($D153,Milestones!$AA$78)&gt;=$T153),$W153,IF(AND($S153&lt;&gt;"",EDATE($D153,Milestones!$AA$78)&gt;=$S153),$V153,$U153)))=Milestones!$AB$78),UPPER(TEXT(EDATE($D153,Milestones!$AA$78),"dd mmm yy"))&amp;" "&amp;Milestones!$AB$78&amp;" "&amp;Milestones!$AC$78&amp;";  ","")&amp;IF(AND(EDATE($D153,Milestones!$AA$79)&lt;=AsOfDate,IF($R153=0,$X153,IF(AND($T153&lt;&gt;"",EDATE($D153,Milestones!$AA$79)&gt;=$T153),$W153,IF(AND($S153&lt;&gt;"",EDATE($D153,Milestones!$AA$79)&gt;=$S153),$V153,$U153)))=Milestones!$AB$79),UPPER(TEXT(EDATE($D153,Milestones!$AA$79),"dd mmm yy"))&amp;" "&amp;Milestones!$AB$79&amp;" "&amp;Milestones!$AC$79&amp;";  ",""))</f>
        <v/>
      </c>
      <c r="L153" s="0" t="str">
        <f aca="false">IF(OR($A153="",$D153=""),"",IF(AND(EDATE($D153,Milestones!$AA$80)&lt;=AsOfDate,IF($R153=0,$X153,IF(AND($T153&lt;&gt;"",EDATE($D153,Milestones!$AA$80)&gt;=$T153),$W153,IF(AND($S153&lt;&gt;"",EDATE($D153,Milestones!$AA$80)&gt;=$S153),$V153,$U153)))=Milestones!$AB$80),UPPER(TEXT(EDATE($D153,Milestones!$AA$80),"dd mmm yy"))&amp;" "&amp;Milestones!$AB$80&amp;" "&amp;Milestones!$AC$80&amp;";  ","")&amp;IF(AND(EDATE($D153,Milestones!$AA$81)&lt;=AsOfDate,IF($R153=0,$X153,IF(AND($T153&lt;&gt;"",EDATE($D153,Milestones!$AA$81)&gt;=$T153),$W153,IF(AND($S153&lt;&gt;"",EDATE($D153,Milestones!$AA$81)&gt;=$S153),$V153,$U153)))=Milestones!$AB$81),UPPER(TEXT(EDATE($D153,Milestones!$AA$81),"dd mmm yy"))&amp;" "&amp;Milestones!$AB$81&amp;" "&amp;Milestones!$AC$81&amp;";  ","")&amp;IF(AND(EDATE($D153,Milestones!$AA$82)&lt;=AsOfDate,IF($R153=0,$X153,IF(AND($T153&lt;&gt;"",EDATE($D153,Milestones!$AA$82)&gt;=$T153),$W153,IF(AND($S153&lt;&gt;"",EDATE($D153,Milestones!$AA$82)&gt;=$S153),$V153,$U153)))=Milestones!$AB$82),UPPER(TEXT(EDATE($D153,Milestones!$AA$82),"dd mmm yy"))&amp;" "&amp;Milestones!$AB$82&amp;" "&amp;Milestones!$AC$82&amp;";  ","")&amp;IF(AND(EDATE($D153,Milestones!$AA$83)&lt;=AsOfDate,IF($R153=0,$X153,IF(AND($T153&lt;&gt;"",EDATE($D153,Milestones!$AA$83)&gt;=$T153),$W153,IF(AND($S153&lt;&gt;"",EDATE($D153,Milestones!$AA$83)&gt;=$S153),$V153,$U153)))=Milestones!$AB$83),UPPER(TEXT(EDATE($D153,Milestones!$AA$83),"dd mmm yy"))&amp;" "&amp;Milestones!$AB$83&amp;" "&amp;Milestones!$AC$83&amp;";  ","")&amp;IF(AND(EDATE($D153,Milestones!$AA$84)&lt;=AsOfDate,IF($R153=0,$X153,IF(AND($T153&lt;&gt;"",EDATE($D153,Milestones!$AA$84)&gt;=$T153),$W153,IF(AND($S153&lt;&gt;"",EDATE($D153,Milestones!$AA$84)&gt;=$S153),$V153,$U153)))=Milestones!$AB$84),UPPER(TEXT(EDATE($D153,Milestones!$AA$84),"dd mmm yy"))&amp;" "&amp;Milestones!$AB$84&amp;" "&amp;Milestones!$AC$84&amp;";  ","")&amp;IF(AND(EDATE($D153,Milestones!$AA$85)&lt;=AsOfDate,IF($R153=0,$X153,IF(AND($T153&lt;&gt;"",EDATE($D153,Milestones!$AA$85)&gt;=$T153),$W153,IF(AND($S153&lt;&gt;"",EDATE($D153,Milestones!$AA$85)&gt;=$S153),$V153,$U153)))=Milestones!$AB$85),UPPER(TEXT(EDATE($D153,Milestones!$AA$85),"dd mmm yy"))&amp;" "&amp;Milestones!$AB$85&amp;" "&amp;Milestones!$AC$85&amp;";  ","")&amp;IF(AND(EDATE($D153,Milestones!$AA$86)&lt;=AsOfDate,IF($R153=0,$X153,IF(AND($T153&lt;&gt;"",EDATE($D153,Milestones!$AA$86)&gt;=$T153),$W153,IF(AND($S153&lt;&gt;"",EDATE($D153,Milestones!$AA$86)&gt;=$S153),$V153,$U153)))=Milestones!$AB$86),UPPER(TEXT(EDATE($D153,Milestones!$AA$86),"dd mmm yy"))&amp;" "&amp;Milestones!$AB$86&amp;" "&amp;Milestones!$AC$86&amp;";  ","")&amp;IF(AND(EDATE($D153,Milestones!$AA$87)&lt;=AsOfDate,IF($R153=0,$X153,IF(AND($T153&lt;&gt;"",EDATE($D153,Milestones!$AA$87)&gt;=$T153),$W153,IF(AND($S153&lt;&gt;"",EDATE($D153,Milestones!$AA$87)&gt;=$S153),$V153,$U153)))=Milestones!$AB$87),UPPER(TEXT(EDATE($D153,Milestones!$AA$87),"dd mmm yy"))&amp;" "&amp;Milestones!$AB$87&amp;" "&amp;Milestones!$AC$87&amp;";  ","")&amp;IF(AND(EDATE($D153,Milestones!$AA$88)&lt;=AsOfDate,IF($R153=0,$X153,IF(AND($T153&lt;&gt;"",EDATE($D153,Milestones!$AA$88)&gt;=$T153),$W153,IF(AND($S153&lt;&gt;"",EDATE($D153,Milestones!$AA$88)&gt;=$S153),$V153,$U153)))=Milestones!$AB$88),UPPER(TEXT(EDATE($D153,Milestones!$AA$88),"dd mmm yy"))&amp;" "&amp;Milestones!$AB$88&amp;" "&amp;Milestones!$AC$88&amp;";  ","")&amp;IF(AND(EDATE($D153,Milestones!$AA$89)&lt;=AsOfDate,IF($R153=0,$X153,IF(AND($T153&lt;&gt;"",EDATE($D153,Milestones!$AA$89)&gt;=$T153),$W153,IF(AND($S153&lt;&gt;"",EDATE($D153,Milestones!$AA$89)&gt;=$S153),$V153,$U153)))=Milestones!$AB$89),UPPER(TEXT(EDATE($D153,Milestones!$AA$89),"dd mmm yy"))&amp;" "&amp;Milestones!$AB$89&amp;" "&amp;Milestones!$AC$89&amp;";  ","")&amp;IF(AND(EDATE($D153,Milestones!$AA$90)&lt;=AsOfDate,IF($R153=0,$X153,IF(AND($T153&lt;&gt;"",EDATE($D153,Milestones!$AA$90)&gt;=$T153),$W153,IF(AND($S153&lt;&gt;"",EDATE($D153,Milestones!$AA$90)&gt;=$S153),$V153,$U153)))=Milestones!$AB$90),UPPER(TEXT(EDATE($D153,Milestones!$AA$90),"dd mmm yy"))&amp;" "&amp;Milestones!$AB$90&amp;" "&amp;Milestones!$AC$90&amp;";  ","")&amp;IF(AND(EDATE($D153,Milestones!$AA$91)&lt;=AsOfDate,IF($R153=0,$X153,IF(AND($T153&lt;&gt;"",EDATE($D153,Milestones!$AA$91)&gt;=$T153),$W153,IF(AND($S153&lt;&gt;"",EDATE($D153,Milestones!$AA$91)&gt;=$S153),$V153,$U153)))=Milestones!$AB$91),UPPER(TEXT(EDATE($D153,Milestones!$AA$91),"dd mmm yy"))&amp;" "&amp;Milestones!$AB$91&amp;" "&amp;Milestones!$AC$91&amp;";  ","")&amp;IF(AND(EDATE($D153,Milestones!$AA$92)&lt;=AsOfDate,IF($R153=0,$X153,IF(AND($T153&lt;&gt;"",EDATE($D153,Milestones!$AA$92)&gt;=$T153),$W153,IF(AND($S153&lt;&gt;"",EDATE($D153,Milestones!$AA$92)&gt;=$S153),$V153,$U153)))=Milestones!$AB$92),UPPER(TEXT(EDATE($D153,Milestones!$AA$92),"dd mmm yy"))&amp;" "&amp;Milestones!$AB$92&amp;" "&amp;Milestones!$AC$92&amp;";  ","")&amp;IF(AND(EDATE($D153,Milestones!$AA$93)&lt;=AsOfDate,IF($R153=0,$X153,IF(AND($T153&lt;&gt;"",EDATE($D153,Milestones!$AA$93)&gt;=$T153),$W153,IF(AND($S153&lt;&gt;"",EDATE($D153,Milestones!$AA$93)&gt;=$S153),$V153,$U153)))=Milestones!$AB$93),UPPER(TEXT(EDATE($D153,Milestones!$AA$93),"dd mmm yy"))&amp;" "&amp;Milestones!$AB$93&amp;" "&amp;Milestones!$AC$93&amp;";  ","")&amp;IF(AND(EDATE($D153,Milestones!$AA$94)&lt;=AsOfDate,IF($R153=0,$X153,IF(AND($T153&lt;&gt;"",EDATE($D153,Milestones!$AA$94)&gt;=$T153),$W153,IF(AND($S153&lt;&gt;"",EDATE($D153,Milestones!$AA$94)&gt;=$S153),$V153,$U153)))=Milestones!$AB$94),UPPER(TEXT(EDATE($D153,Milestones!$AA$94),"dd mmm yy"))&amp;" "&amp;Milestones!$AB$94&amp;" "&amp;Milestones!$AC$94&amp;";  ","")&amp;IF(AND(EDATE($D153,Milestones!$AA$95)&lt;=AsOfDate,IF($R153=0,$X153,IF(AND($T153&lt;&gt;"",EDATE($D153,Milestones!$AA$95)&gt;=$T153),$W153,IF(AND($S153&lt;&gt;"",EDATE($D153,Milestones!$AA$95)&gt;=$S153),$V153,$U153)))=Milestones!$AB$95),UPPER(TEXT(EDATE($D153,Milestones!$AA$95),"dd mmm yy"))&amp;" "&amp;Milestones!$AB$95&amp;" "&amp;Milestones!$AC$95&amp;";  ","")&amp;IF(AND(EDATE($D153,Milestones!$AA$96)&lt;=AsOfDate,IF($R153=0,$X153,IF(AND($T153&lt;&gt;"",EDATE($D153,Milestones!$AA$96)&gt;=$T153),$W153,IF(AND($S153&lt;&gt;"",EDATE($D153,Milestones!$AA$96)&gt;=$S153),$V153,$U153)))=Milestones!$AB$96),UPPER(TEXT(EDATE($D153,Milestones!$AA$96),"dd mmm yy"))&amp;" "&amp;Milestones!$AB$96&amp;" "&amp;Milestones!$AC$96&amp;";  ","")&amp;IF(AND(EDATE($D153,Milestones!$AA$97)&lt;=AsOfDate,IF($R153=0,$X153,IF(AND($T153&lt;&gt;"",EDATE($D153,Milestones!$AA$97)&gt;=$T153),$W153,IF(AND($S153&lt;&gt;"",EDATE($D153,Milestones!$AA$97)&gt;=$S153),$V153,$U153)))=Milestones!$AB$97),UPPER(TEXT(EDATE($D153,Milestones!$AA$97),"dd mmm yy"))&amp;" "&amp;Milestones!$AB$97&amp;" "&amp;Milestones!$AC$97&amp;";  ","")&amp;IF(AND(EDATE($D153,Milestones!$AA$98)&lt;=AsOfDate,IF($R153=0,$X153,IF(AND($T153&lt;&gt;"",EDATE($D153,Milestones!$AA$98)&gt;=$T153),$W153,IF(AND($S153&lt;&gt;"",EDATE($D153,Milestones!$AA$98)&gt;=$S153),$V153,$U153)))=Milestones!$AB$98),UPPER(TEXT(EDATE($D153,Milestones!$AA$98),"dd mmm yy"))&amp;" "&amp;Milestones!$AB$98&amp;" "&amp;Milestones!$AC$98&amp;";  ","")&amp;IF(AND(EDATE($D153,Milestones!$AA$99)&lt;=AsOfDate,IF($R153=0,$X153,IF(AND($T153&lt;&gt;"",EDATE($D153,Milestones!$AA$99)&gt;=$T153),$W153,IF(AND($S153&lt;&gt;"",EDATE($D153,Milestones!$AA$99)&gt;=$S153),$V153,$U153)))=Milestones!$AB$99),UPPER(TEXT(EDATE($D153,Milestones!$AA$99),"dd mmm yy"))&amp;" "&amp;Milestones!$AB$99&amp;" "&amp;Milestones!$AC$99&amp;";  ",""))</f>
        <v/>
      </c>
      <c r="M153" s="0" t="str">
        <f aca="false">IF(OR($A153="",$D153=""),"",IF(AND(EDATE($D153,Milestones!$AA$100)&lt;=AsOfDate,IF($R153=0,$X153,IF(AND($T153&lt;&gt;"",EDATE($D153,Milestones!$AA$100)&gt;=$T153),$W153,IF(AND($S153&lt;&gt;"",EDATE($D153,Milestones!$AA$100)&gt;=$S153),$V153,$U153)))=Milestones!$AB$100),UPPER(TEXT(EDATE($D153,Milestones!$AA$100),"dd mmm yy"))&amp;" "&amp;Milestones!$AB$100&amp;" "&amp;Milestones!$AC$100&amp;";  ","")&amp;IF(AND(EDATE($D153,Milestones!$AA$101)&lt;=AsOfDate,IF($R153=0,$X153,IF(AND($T153&lt;&gt;"",EDATE($D153,Milestones!$AA$101)&gt;=$T153),$W153,IF(AND($S153&lt;&gt;"",EDATE($D153,Milestones!$AA$101)&gt;=$S153),$V153,$U153)))=Milestones!$AB$101),UPPER(TEXT(EDATE($D153,Milestones!$AA$101),"dd mmm yy"))&amp;" "&amp;Milestones!$AB$101&amp;" "&amp;Milestones!$AC$101&amp;";  ","")&amp;IF(AND(EDATE($D153,Milestones!$AA$102)&lt;=AsOfDate,IF($R153=0,$X153,IF(AND($T153&lt;&gt;"",EDATE($D153,Milestones!$AA$102)&gt;=$T153),$W153,IF(AND($S153&lt;&gt;"",EDATE($D153,Milestones!$AA$102)&gt;=$S153),$V153,$U153)))=Milestones!$AB$102),UPPER(TEXT(EDATE($D153,Milestones!$AA$102),"dd mmm yy"))&amp;" "&amp;Milestones!$AB$102&amp;" "&amp;Milestones!$AC$102&amp;";  ","")&amp;IF(AND(EDATE($D153,Milestones!$AA$103)&lt;=AsOfDate,IF($R153=0,$X153,IF(AND($T153&lt;&gt;"",EDATE($D153,Milestones!$AA$103)&gt;=$T153),$W153,IF(AND($S153&lt;&gt;"",EDATE($D153,Milestones!$AA$103)&gt;=$S153),$V153,$U153)))=Milestones!$AB$103),UPPER(TEXT(EDATE($D153,Milestones!$AA$103),"dd mmm yy"))&amp;" "&amp;Milestones!$AB$103&amp;" "&amp;Milestones!$AC$103&amp;";  ","")&amp;IF(AND(EDATE($D153,Milestones!$AA$104)&lt;=AsOfDate,IF($R153=0,$X153,IF(AND($T153&lt;&gt;"",EDATE($D153,Milestones!$AA$104)&gt;=$T153),$W153,IF(AND($S153&lt;&gt;"",EDATE($D153,Milestones!$AA$104)&gt;=$S153),$V153,$U153)))=Milestones!$AB$104),UPPER(TEXT(EDATE($D153,Milestones!$AA$104),"dd mmm yy"))&amp;" "&amp;Milestones!$AB$104&amp;" "&amp;Milestones!$AC$104&amp;";  ","")&amp;IF(AND(EDATE($D153,Milestones!$AA$105)&lt;=AsOfDate,IF($R153=0,$X153,IF(AND($T153&lt;&gt;"",EDATE($D153,Milestones!$AA$105)&gt;=$T153),$W153,IF(AND($S153&lt;&gt;"",EDATE($D153,Milestones!$AA$105)&gt;=$S153),$V153,$U153)))=Milestones!$AB$105),UPPER(TEXT(EDATE($D153,Milestones!$AA$105),"dd mmm yy"))&amp;" "&amp;Milestones!$AB$105&amp;" "&amp;Milestones!$AC$105&amp;";  ","")&amp;IF(AND(EDATE($D153,Milestones!$AA$106)&lt;=AsOfDate,IF($R153=0,$X153,IF(AND($T153&lt;&gt;"",EDATE($D153,Milestones!$AA$106)&gt;=$T153),$W153,IF(AND($S153&lt;&gt;"",EDATE($D153,Milestones!$AA$106)&gt;=$S153),$V153,$U153)))=Milestones!$AB$106),UPPER(TEXT(EDATE($D153,Milestones!$AA$106),"dd mmm yy"))&amp;" "&amp;Milestones!$AB$106&amp;" "&amp;Milestones!$AC$106&amp;";  ","")&amp;IF(AND(EDATE($D153,Milestones!$AA$107)&lt;=AsOfDate,IF($R153=0,$X153,IF(AND($T153&lt;&gt;"",EDATE($D153,Milestones!$AA$107)&gt;=$T153),$W153,IF(AND($S153&lt;&gt;"",EDATE($D153,Milestones!$AA$107)&gt;=$S153),$V153,$U153)))=Milestones!$AB$107),UPPER(TEXT(EDATE($D153,Milestones!$AA$107),"dd mmm yy"))&amp;" "&amp;Milestones!$AB$107&amp;" "&amp;Milestones!$AC$107&amp;";  ","")&amp;IF(AND(EDATE($D153,Milestones!$AA$108)&lt;=AsOfDate,IF($R153=0,$X153,IF(AND($T153&lt;&gt;"",EDATE($D153,Milestones!$AA$108)&gt;=$T153),$W153,IF(AND($S153&lt;&gt;"",EDATE($D153,Milestones!$AA$108)&gt;=$S153),$V153,$U153)))=Milestones!$AB$108),UPPER(TEXT(EDATE($D153,Milestones!$AA$108),"dd mmm yy"))&amp;" "&amp;Milestones!$AB$108&amp;" "&amp;Milestones!$AC$108&amp;";  ","")&amp;IF(AND(EDATE($D153,Milestones!$AA$109)&lt;=AsOfDate,IF($R153=0,$X153,IF(AND($T153&lt;&gt;"",EDATE($D153,Milestones!$AA$109)&gt;=$T153),$W153,IF(AND($S153&lt;&gt;"",EDATE($D153,Milestones!$AA$109)&gt;=$S153),$V153,$U153)))=Milestones!$AB$109),UPPER(TEXT(EDATE($D153,Milestones!$AA$109),"dd mmm yy"))&amp;" "&amp;Milestones!$AB$109&amp;" "&amp;Milestones!$AC$109&amp;";  ","")&amp;IF(AND(EDATE($D153,Milestones!$AA$110)&lt;=AsOfDate,IF($R153=0,$X153,IF(AND($T153&lt;&gt;"",EDATE($D153,Milestones!$AA$110)&gt;=$T153),$W153,IF(AND($S153&lt;&gt;"",EDATE($D153,Milestones!$AA$110)&gt;=$S153),$V153,$U153)))=Milestones!$AB$110),UPPER(TEXT(EDATE($D153,Milestones!$AA$110),"dd mmm yy"))&amp;" "&amp;Milestones!$AB$110&amp;" "&amp;Milestones!$AC$110&amp;";  ","")&amp;IF(AND(EDATE($D153,Milestones!$AA$111)&lt;=AsOfDate,IF($R153=0,$X153,IF(AND($T153&lt;&gt;"",EDATE($D153,Milestones!$AA$111)&gt;=$T153),$W153,IF(AND($S153&lt;&gt;"",EDATE($D153,Milestones!$AA$111)&gt;=$S153),$V153,$U153)))=Milestones!$AB$111),UPPER(TEXT(EDATE($D153,Milestones!$AA$111),"dd mmm yy"))&amp;" "&amp;Milestones!$AB$111&amp;" "&amp;Milestones!$AC$111&amp;";  ","")&amp;IF(AND(EDATE($D153,Milestones!$AA$112)&lt;=AsOfDate,IF($R153=0,$X153,IF(AND($T153&lt;&gt;"",EDATE($D153,Milestones!$AA$112)&gt;=$T153),$W153,IF(AND($S153&lt;&gt;"",EDATE($D153,Milestones!$AA$112)&gt;=$S153),$V153,$U153)))=Milestones!$AB$112),UPPER(TEXT(EDATE($D153,Milestones!$AA$112),"dd mmm yy"))&amp;" "&amp;Milestones!$AB$112&amp;" "&amp;Milestones!$AC$112&amp;";  ","")&amp;IF(AND(EDATE($D153,Milestones!$AA$113)&lt;=AsOfDate,IF($R153=0,$X153,IF(AND($T153&lt;&gt;"",EDATE($D153,Milestones!$AA$113)&gt;=$T153),$W153,IF(AND($S153&lt;&gt;"",EDATE($D153,Milestones!$AA$113)&gt;=$S153),$V153,$U153)))=Milestones!$AB$113),UPPER(TEXT(EDATE($D153,Milestones!$AA$113),"dd mmm yy"))&amp;" "&amp;Milestones!$AB$113&amp;" "&amp;Milestones!$AC$113&amp;";  ","")&amp;IF(AND(EDATE($D153,Milestones!$AA$114)&lt;=AsOfDate,IF($R153=0,$X153,IF(AND($T153&lt;&gt;"",EDATE($D153,Milestones!$AA$114)&gt;=$T153),$W153,IF(AND($S153&lt;&gt;"",EDATE($D153,Milestones!$AA$114)&gt;=$S153),$V153,$U153)))=Milestones!$AB$114),UPPER(TEXT(EDATE($D153,Milestones!$AA$114),"dd mmm yy"))&amp;" "&amp;Milestones!$AB$114&amp;" "&amp;Milestones!$AC$114&amp;";  ","")&amp;IF(AND(EDATE($D153,Milestones!$AA$115)&lt;=AsOfDate,IF($R153=0,$X153,IF(AND($T153&lt;&gt;"",EDATE($D153,Milestones!$AA$115)&gt;=$T153),$W153,IF(AND($S153&lt;&gt;"",EDATE($D153,Milestones!$AA$115)&gt;=$S153),$V153,$U153)))=Milestones!$AB$115),UPPER(TEXT(EDATE($D153,Milestones!$AA$115),"dd mmm yy"))&amp;" "&amp;Milestones!$AB$115&amp;" "&amp;Milestones!$AC$115&amp;";  ","")&amp;IF(AND(EDATE($D153,Milestones!$AA$116)&lt;=AsOfDate,IF($R153=0,$X153,IF(AND($T153&lt;&gt;"",EDATE($D153,Milestones!$AA$116)&gt;=$T153),$W153,IF(AND($S153&lt;&gt;"",EDATE($D153,Milestones!$AA$116)&gt;=$S153),$V153,$U153)))=Milestones!$AB$116),UPPER(TEXT(EDATE($D153,Milestones!$AA$116),"dd mmm yy"))&amp;" "&amp;Milestones!$AB$116&amp;" "&amp;Milestones!$AC$116&amp;";  ","")&amp;IF(AND(EDATE($D153,Milestones!$AA$117)&lt;=AsOfDate,IF($R153=0,$X153,IF(AND($T153&lt;&gt;"",EDATE($D153,Milestones!$AA$117)&gt;=$T153),$W153,IF(AND($S153&lt;&gt;"",EDATE($D153,Milestones!$AA$117)&gt;=$S153),$V153,$U153)))=Milestones!$AB$117),UPPER(TEXT(EDATE($D153,Milestones!$AA$117),"dd mmm yy"))&amp;" "&amp;Milestones!$AB$117&amp;" "&amp;Milestones!$AC$117&amp;";  ","")&amp;IF(AND(EDATE($D153,Milestones!$AA$118)&lt;=AsOfDate,IF($R153=0,$X153,IF(AND($T153&lt;&gt;"",EDATE($D153,Milestones!$AA$118)&gt;=$T153),$W153,IF(AND($S153&lt;&gt;"",EDATE($D153,Milestones!$AA$118)&gt;=$S153),$V153,$U153)))=Milestones!$AB$118),UPPER(TEXT(EDATE($D153,Milestones!$AA$118),"dd mmm yy"))&amp;" "&amp;Milestones!$AB$118&amp;" "&amp;Milestones!$AC$118&amp;";  ","")&amp;IF(AND(EDATE($D153,Milestones!$AA$119)&lt;=AsOfDate,IF($R153=0,$X153,IF(AND($T153&lt;&gt;"",EDATE($D153,Milestones!$AA$119)&gt;=$T153),$W153,IF(AND($S153&lt;&gt;"",EDATE($D153,Milestones!$AA$119)&gt;=$S153),$V153,$U153)))=Milestones!$AB$119),UPPER(TEXT(EDATE($D153,Milestones!$AA$119),"dd mmm yy"))&amp;" "&amp;Milestones!$AB$119&amp;" "&amp;Milestones!$AC$119&amp;";  ",""))</f>
        <v/>
      </c>
      <c r="N153" s="0" t="str">
        <f aca="false">IF(OR($A153="",$D153=""),"",IF(AND(EDATE($D153,Milestones!$AA$120)&lt;=AsOfDate,IF($R153=0,$X153,IF(AND($T153&lt;&gt;"",EDATE($D153,Milestones!$AA$120)&gt;=$T153),$W153,IF(AND($S153&lt;&gt;"",EDATE($D153,Milestones!$AA$120)&gt;=$S153),$V153,$U153)))=Milestones!$AB$120),UPPER(TEXT(EDATE($D153,Milestones!$AA$120),"dd mmm yy"))&amp;" "&amp;Milestones!$AB$120&amp;" "&amp;Milestones!$AC$120&amp;";  ","")&amp;IF(AND(EDATE($D153,Milestones!$AA$121)&lt;=AsOfDate,IF($R153=0,$X153,IF(AND($T153&lt;&gt;"",EDATE($D153,Milestones!$AA$121)&gt;=$T153),$W153,IF(AND($S153&lt;&gt;"",EDATE($D153,Milestones!$AA$121)&gt;=$S153),$V153,$U153)))=Milestones!$AB$121),UPPER(TEXT(EDATE($D153,Milestones!$AA$121),"dd mmm yy"))&amp;" "&amp;Milestones!$AB$121&amp;" "&amp;Milestones!$AC$121&amp;";  ","")&amp;IF(AND(EDATE($D153,Milestones!$AA$122)&lt;=AsOfDate,IF($R153=0,$X153,IF(AND($T153&lt;&gt;"",EDATE($D153,Milestones!$AA$122)&gt;=$T153),$W153,IF(AND($S153&lt;&gt;"",EDATE($D153,Milestones!$AA$122)&gt;=$S153),$V153,$U153)))=Milestones!$AB$122),UPPER(TEXT(EDATE($D153,Milestones!$AA$122),"dd mmm yy"))&amp;" "&amp;Milestones!$AB$122&amp;" "&amp;Milestones!$AC$122&amp;";  ","")&amp;IF(AND(EDATE($D153,Milestones!$AA$123)&lt;=AsOfDate,IF($R153=0,$X153,IF(AND($T153&lt;&gt;"",EDATE($D153,Milestones!$AA$123)&gt;=$T153),$W153,IF(AND($S153&lt;&gt;"",EDATE($D153,Milestones!$AA$123)&gt;=$S153),$V153,$U153)))=Milestones!$AB$123),UPPER(TEXT(EDATE($D153,Milestones!$AA$123),"dd mmm yy"))&amp;" "&amp;Milestones!$AB$123&amp;" "&amp;Milestones!$AC$123&amp;";  ","")&amp;IF(AND(EDATE($D153,Milestones!$AA$124)&lt;=AsOfDate,IF($R153=0,$X153,IF(AND($T153&lt;&gt;"",EDATE($D153,Milestones!$AA$124)&gt;=$T153),$W153,IF(AND($S153&lt;&gt;"",EDATE($D153,Milestones!$AA$124)&gt;=$S153),$V153,$U153)))=Milestones!$AB$124),UPPER(TEXT(EDATE($D153,Milestones!$AA$124),"dd mmm yy"))&amp;" "&amp;Milestones!$AB$124&amp;" "&amp;Milestones!$AC$124&amp;";  ","")&amp;IF(AND(EDATE($D153,Milestones!$AA$125)&lt;=AsOfDate,IF($R153=0,$X153,IF(AND($T153&lt;&gt;"",EDATE($D153,Milestones!$AA$125)&gt;=$T153),$W153,IF(AND($S153&lt;&gt;"",EDATE($D153,Milestones!$AA$125)&gt;=$S153),$V153,$U153)))=Milestones!$AB$125),UPPER(TEXT(EDATE($D153,Milestones!$AA$125),"dd mmm yy"))&amp;" "&amp;Milestones!$AB$125&amp;" "&amp;Milestones!$AC$125&amp;";  ","")&amp;IF(AND(EDATE($D153,Milestones!$AA$126)&lt;=AsOfDate,IF($R153=0,$X153,IF(AND($T153&lt;&gt;"",EDATE($D153,Milestones!$AA$126)&gt;=$T153),$W153,IF(AND($S153&lt;&gt;"",EDATE($D153,Milestones!$AA$126)&gt;=$S153),$V153,$U153)))=Milestones!$AB$126),UPPER(TEXT(EDATE($D153,Milestones!$AA$126),"dd mmm yy"))&amp;" "&amp;Milestones!$AB$126&amp;" "&amp;Milestones!$AC$126&amp;";  ","")&amp;IF(AND(EDATE($D153,Milestones!$AA$127)&lt;=AsOfDate,IF($R153=0,$X153,IF(AND($T153&lt;&gt;"",EDATE($D153,Milestones!$AA$127)&gt;=$T153),$W153,IF(AND($S153&lt;&gt;"",EDATE($D153,Milestones!$AA$127)&gt;=$S153),$V153,$U153)))=Milestones!$AB$127),UPPER(TEXT(EDATE($D153,Milestones!$AA$127),"dd mmm yy"))&amp;" "&amp;Milestones!$AB$127&amp;" "&amp;Milestones!$AC$127&amp;";  ","")&amp;IF(AND(EDATE($D153,Milestones!$AA$128)&lt;=AsOfDate,IF($R153=0,$X153,IF(AND($T153&lt;&gt;"",EDATE($D153,Milestones!$AA$128)&gt;=$T153),$W153,IF(AND($S153&lt;&gt;"",EDATE($D153,Milestones!$AA$128)&gt;=$S153),$V153,$U153)))=Milestones!$AB$128),UPPER(TEXT(EDATE($D153,Milestones!$AA$128),"dd mmm yy"))&amp;" "&amp;Milestones!$AB$128&amp;" "&amp;Milestones!$AC$128&amp;";  ","")&amp;IF(AND(EDATE($D153,Milestones!$AA$129)&lt;=AsOfDate,IF($R153=0,$X153,IF(AND($T153&lt;&gt;"",EDATE($D153,Milestones!$AA$129)&gt;=$T153),$W153,IF(AND($S153&lt;&gt;"",EDATE($D153,Milestones!$AA$129)&gt;=$S153),$V153,$U153)))=Milestones!$AB$129),UPPER(TEXT(EDATE($D153,Milestones!$AA$129),"dd mmm yy"))&amp;" "&amp;Milestones!$AB$129&amp;" "&amp;Milestones!$AC$129&amp;";  ","")&amp;IF(AND(EDATE($D153,Milestones!$AA$130)&lt;=AsOfDate,IF($R153=0,$X153,IF(AND($T153&lt;&gt;"",EDATE($D153,Milestones!$AA$130)&gt;=$T153),$W153,IF(AND($S153&lt;&gt;"",EDATE($D153,Milestones!$AA$130)&gt;=$S153),$V153,$U153)))=Milestones!$AB$130),UPPER(TEXT(EDATE($D153,Milestones!$AA$130),"dd mmm yy"))&amp;" "&amp;Milestones!$AB$130&amp;" "&amp;Milestones!$AC$130&amp;";  ","")&amp;IF(AND(EDATE($D153,Milestones!$AA$131)&lt;=AsOfDate,IF($R153=0,$X153,IF(AND($T153&lt;&gt;"",EDATE($D153,Milestones!$AA$131)&gt;=$T153),$W153,IF(AND($S153&lt;&gt;"",EDATE($D153,Milestones!$AA$131)&gt;=$S153),$V153,$U153)))=Milestones!$AB$131),UPPER(TEXT(EDATE($D153,Milestones!$AA$131),"dd mmm yy"))&amp;" "&amp;Milestones!$AB$131&amp;" "&amp;Milestones!$AC$131&amp;";  ","")&amp;IF(AND(EDATE($D153,Milestones!$AA$132)&lt;=AsOfDate,IF($R153=0,$X153,IF(AND($T153&lt;&gt;"",EDATE($D153,Milestones!$AA$132)&gt;=$T153),$W153,IF(AND($S153&lt;&gt;"",EDATE($D153,Milestones!$AA$132)&gt;=$S153),$V153,$U153)))=Milestones!$AB$132),UPPER(TEXT(EDATE($D153,Milestones!$AA$132),"dd mmm yy"))&amp;" "&amp;Milestones!$AB$132&amp;" "&amp;Milestones!$AC$132&amp;";  ","")&amp;IF(AND(EDATE($D153,Milestones!$AA$133)&lt;=AsOfDate,IF($R153=0,$X153,IF(AND($T153&lt;&gt;"",EDATE($D153,Milestones!$AA$133)&gt;=$T153),$W153,IF(AND($S153&lt;&gt;"",EDATE($D153,Milestones!$AA$133)&gt;=$S153),$V153,$U153)))=Milestones!$AB$133),UPPER(TEXT(EDATE($D153,Milestones!$AA$133),"dd mmm yy"))&amp;" "&amp;Milestones!$AB$133&amp;" "&amp;Milestones!$AC$133&amp;";  ","")&amp;IF(AND(EDATE($D153,Milestones!$AA$134)&lt;=AsOfDate,IF($R153=0,$X153,IF(AND($T153&lt;&gt;"",EDATE($D153,Milestones!$AA$134)&gt;=$T153),$W153,IF(AND($S153&lt;&gt;"",EDATE($D153,Milestones!$AA$134)&gt;=$S153),$V153,$U153)))=Milestones!$AB$134),UPPER(TEXT(EDATE($D153,Milestones!$AA$134),"dd mmm yy"))&amp;" "&amp;Milestones!$AB$134&amp;" "&amp;Milestones!$AC$134&amp;";  ","")&amp;IF(AND(EDATE($D153,Milestones!$AA$135)&lt;=AsOfDate,IF($R153=0,$X153,IF(AND($T153&lt;&gt;"",EDATE($D153,Milestones!$AA$135)&gt;=$T153),$W153,IF(AND($S153&lt;&gt;"",EDATE($D153,Milestones!$AA$135)&gt;=$S153),$V153,$U153)))=Milestones!$AB$135),UPPER(TEXT(EDATE($D153,Milestones!$AA$135),"dd mmm yy"))&amp;" "&amp;Milestones!$AB$135&amp;" "&amp;Milestones!$AC$135&amp;";  ","")&amp;IF(AND(EDATE($D153,Milestones!$AA$136)&lt;=AsOfDate,IF($R153=0,$X153,IF(AND($T153&lt;&gt;"",EDATE($D153,Milestones!$AA$136)&gt;=$T153),$W153,IF(AND($S153&lt;&gt;"",EDATE($D153,Milestones!$AA$136)&gt;=$S153),$V153,$U153)))=Milestones!$AB$136),UPPER(TEXT(EDATE($D153,Milestones!$AA$136),"dd mmm yy"))&amp;" "&amp;Milestones!$AB$136&amp;" "&amp;Milestones!$AC$136&amp;";  ","")&amp;IF(AND(EDATE($D153,Milestones!$AA$137)&lt;=AsOfDate,IF($R153=0,$X153,IF(AND($T153&lt;&gt;"",EDATE($D153,Milestones!$AA$137)&gt;=$T153),$W153,IF(AND($S153&lt;&gt;"",EDATE($D153,Milestones!$AA$137)&gt;=$S153),$V153,$U153)))=Milestones!$AB$137),UPPER(TEXT(EDATE($D153,Milestones!$AA$137),"dd mmm yy"))&amp;" "&amp;Milestones!$AB$137&amp;" "&amp;Milestones!$AC$137&amp;";  ","")&amp;IF(AND(EDATE($D153,Milestones!$AA$138)&lt;=AsOfDate,IF($R153=0,$X153,IF(AND($T153&lt;&gt;"",EDATE($D153,Milestones!$AA$138)&gt;=$T153),$W153,IF(AND($S153&lt;&gt;"",EDATE($D153,Milestones!$AA$138)&gt;=$S153),$V153,$U153)))=Milestones!$AB$138),UPPER(TEXT(EDATE($D153,Milestones!$AA$138),"dd mmm yy"))&amp;" "&amp;Milestones!$AB$138&amp;" "&amp;Milestones!$AC$138&amp;";  ","")&amp;IF(AND(EDATE($D153,Milestones!$AA$139)&lt;=AsOfDate,IF($R153=0,$X153,IF(AND($T153&lt;&gt;"",EDATE($D153,Milestones!$AA$139)&gt;=$T153),$W153,IF(AND($S153&lt;&gt;"",EDATE($D153,Milestones!$AA$139)&gt;=$S153),$V153,$U153)))=Milestones!$AB$139),UPPER(TEXT(EDATE($D153,Milestones!$AA$139),"dd mmm yy"))&amp;" "&amp;Milestones!$AB$139&amp;" "&amp;Milestones!$AC$139&amp;";  ",""))</f>
        <v/>
      </c>
      <c r="O153" s="0" t="str">
        <f aca="false">IF(OR($A153="",$D153=""),"",IF(AND(EDATE($D153,Milestones!$AA$140)&lt;=AsOfDate,IF($R153=0,$X153,IF(AND($T153&lt;&gt;"",EDATE($D153,Milestones!$AA$140)&gt;=$T153),$W153,IF(AND($S153&lt;&gt;"",EDATE($D153,Milestones!$AA$140)&gt;=$S153),$V153,$U153)))=Milestones!$AB$140),UPPER(TEXT(EDATE($D153,Milestones!$AA$140),"dd mmm yy"))&amp;" "&amp;Milestones!$AB$140&amp;" "&amp;Milestones!$AC$140&amp;";  ","")&amp;IF(AND(EDATE($D153,Milestones!$AA$141)&lt;=AsOfDate,IF($R153=0,$X153,IF(AND($T153&lt;&gt;"",EDATE($D153,Milestones!$AA$141)&gt;=$T153),$W153,IF(AND($S153&lt;&gt;"",EDATE($D153,Milestones!$AA$141)&gt;=$S153),$V153,$U153)))=Milestones!$AB$141),UPPER(TEXT(EDATE($D153,Milestones!$AA$141),"dd mmm yy"))&amp;" "&amp;Milestones!$AB$141&amp;" "&amp;Milestones!$AC$141&amp;";  ","")&amp;IF(AND(EDATE($D153,Milestones!$AA$142)&lt;=AsOfDate,IF($R153=0,$X153,IF(AND($T153&lt;&gt;"",EDATE($D153,Milestones!$AA$142)&gt;=$T153),$W153,IF(AND($S153&lt;&gt;"",EDATE($D153,Milestones!$AA$142)&gt;=$S153),$V153,$U153)))=Milestones!$AB$142),UPPER(TEXT(EDATE($D153,Milestones!$AA$142),"dd mmm yy"))&amp;" "&amp;Milestones!$AB$142&amp;" "&amp;Milestones!$AC$142&amp;";  ","")&amp;IF(AND(EDATE($D153,Milestones!$AA$143)&lt;=AsOfDate,IF($R153=0,$X153,IF(AND($T153&lt;&gt;"",EDATE($D153,Milestones!$AA$143)&gt;=$T153),$W153,IF(AND($S153&lt;&gt;"",EDATE($D153,Milestones!$AA$143)&gt;=$S153),$V153,$U153)))=Milestones!$AB$143),UPPER(TEXT(EDATE($D153,Milestones!$AA$143),"dd mmm yy"))&amp;" "&amp;Milestones!$AB$143&amp;" "&amp;Milestones!$AC$143&amp;";  ","")&amp;IF(AND(EDATE($D153,Milestones!$AA$144)&lt;=AsOfDate,IF($R153=0,$X153,IF(AND($T153&lt;&gt;"",EDATE($D153,Milestones!$AA$144)&gt;=$T153),$W153,IF(AND($S153&lt;&gt;"",EDATE($D153,Milestones!$AA$144)&gt;=$S153),$V153,$U153)))=Milestones!$AB$144),UPPER(TEXT(EDATE($D153,Milestones!$AA$144),"dd mmm yy"))&amp;" "&amp;Milestones!$AB$144&amp;" "&amp;Milestones!$AC$144&amp;";  ","")&amp;IF(AND(EDATE($D153,Milestones!$AA$145)&lt;=AsOfDate,IF($R153=0,$X153,IF(AND($T153&lt;&gt;"",EDATE($D153,Milestones!$AA$145)&gt;=$T153),$W153,IF(AND($S153&lt;&gt;"",EDATE($D153,Milestones!$AA$145)&gt;=$S153),$V153,$U153)))=Milestones!$AB$145),UPPER(TEXT(EDATE($D153,Milestones!$AA$145),"dd mmm yy"))&amp;" "&amp;Milestones!$AB$145&amp;" "&amp;Milestones!$AC$145&amp;";  ","")&amp;IF(AND(EDATE($D153,Milestones!$AA$146)&lt;=AsOfDate,IF($R153=0,$X153,IF(AND($T153&lt;&gt;"",EDATE($D153,Milestones!$AA$146)&gt;=$T153),$W153,IF(AND($S153&lt;&gt;"",EDATE($D153,Milestones!$AA$146)&gt;=$S153),$V153,$U153)))=Milestones!$AB$146),UPPER(TEXT(EDATE($D153,Milestones!$AA$146),"dd mmm yy"))&amp;" "&amp;Milestones!$AB$146&amp;" "&amp;Milestones!$AC$146&amp;";  ","")&amp;IF(AND(EDATE($D153,Milestones!$AA$147)&lt;=AsOfDate,IF($R153=0,$X153,IF(AND($T153&lt;&gt;"",EDATE($D153,Milestones!$AA$147)&gt;=$T153),$W153,IF(AND($S153&lt;&gt;"",EDATE($D153,Milestones!$AA$147)&gt;=$S153),$V153,$U153)))=Milestones!$AB$147),UPPER(TEXT(EDATE($D153,Milestones!$AA$147),"dd mmm yy"))&amp;" "&amp;Milestones!$AB$147&amp;" "&amp;Milestones!$AC$147&amp;";  ","")&amp;IF(AND(EDATE($D153,Milestones!$AA$148)&lt;=AsOfDate,IF($R153=0,$X153,IF(AND($T153&lt;&gt;"",EDATE($D153,Milestones!$AA$148)&gt;=$T153),$W153,IF(AND($S153&lt;&gt;"",EDATE($D153,Milestones!$AA$148)&gt;=$S153),$V153,$U153)))=Milestones!$AB$148),UPPER(TEXT(EDATE($D153,Milestones!$AA$148),"dd mmm yy"))&amp;" "&amp;Milestones!$AB$148&amp;" "&amp;Milestones!$AC$148&amp;";  ","")&amp;IF(AND(EDATE($D153,Milestones!$AA$149)&lt;=AsOfDate,IF($R153=0,$X153,IF(AND($T153&lt;&gt;"",EDATE($D153,Milestones!$AA$149)&gt;=$T153),$W153,IF(AND($S153&lt;&gt;"",EDATE($D153,Milestones!$AA$149)&gt;=$S153),$V153,$U153)))=Milestones!$AB$149),UPPER(TEXT(EDATE($D153,Milestones!$AA$149),"dd mmm yy"))&amp;" "&amp;Milestones!$AB$149&amp;" "&amp;Milestones!$AC$149&amp;";  ","")&amp;IF(AND(EDATE($D153,Milestones!$AA$150)&lt;=AsOfDate,IF($R153=0,$X153,IF(AND($T153&lt;&gt;"",EDATE($D153,Milestones!$AA$150)&gt;=$T153),$W153,IF(AND($S153&lt;&gt;"",EDATE($D153,Milestones!$AA$150)&gt;=$S153),$V153,$U153)))=Milestones!$AB$150),UPPER(TEXT(EDATE($D153,Milestones!$AA$150),"dd mmm yy"))&amp;" "&amp;Milestones!$AB$150&amp;" "&amp;Milestones!$AC$150&amp;";  ","")&amp;IF(AND(EDATE($D153,Milestones!$AA$151)&lt;=AsOfDate,IF($R153=0,$X153,IF(AND($T153&lt;&gt;"",EDATE($D153,Milestones!$AA$151)&gt;=$T153),$W153,IF(AND($S153&lt;&gt;"",EDATE($D153,Milestones!$AA$151)&gt;=$S153),$V153,$U153)))=Milestones!$AB$151),UPPER(TEXT(EDATE($D153,Milestones!$AA$151),"dd mmm yy"))&amp;" "&amp;Milestones!$AB$151&amp;" "&amp;Milestones!$AC$151&amp;";  ","")&amp;IF(AND(EDATE($D153,Milestones!$AA$152)&lt;=AsOfDate,IF($R153=0,$X153,IF(AND($T153&lt;&gt;"",EDATE($D153,Milestones!$AA$152)&gt;=$T153),$W153,IF(AND($S153&lt;&gt;"",EDATE($D153,Milestones!$AA$152)&gt;=$S153),$V153,$U153)))=Milestones!$AB$152),UPPER(TEXT(EDATE($D153,Milestones!$AA$152),"dd mmm yy"))&amp;" "&amp;Milestones!$AB$152&amp;" "&amp;Milestones!$AC$152&amp;";  ","")&amp;IF(AND(EDATE($D153,Milestones!$AA$153)&lt;=AsOfDate,IF($R153=0,$X153,IF(AND($T153&lt;&gt;"",EDATE($D153,Milestones!$AA$153)&gt;=$T153),$W153,IF(AND($S153&lt;&gt;"",EDATE($D153,Milestones!$AA$153)&gt;=$S153),$V153,$U153)))=Milestones!$AB$153),UPPER(TEXT(EDATE($D153,Milestones!$AA$153),"dd mmm yy"))&amp;" "&amp;Milestones!$AB$153&amp;" "&amp;Milestones!$AC$153&amp;";  ","")&amp;IF(AND(EDATE($D153,Milestones!$AA$154)&lt;=AsOfDate,IF($R153=0,$X153,IF(AND($T153&lt;&gt;"",EDATE($D153,Milestones!$AA$154)&gt;=$T153),$W153,IF(AND($S153&lt;&gt;"",EDATE($D153,Milestones!$AA$154)&gt;=$S153),$V153,$U153)))=Milestones!$AB$154),UPPER(TEXT(EDATE($D153,Milestones!$AA$154),"dd mmm yy"))&amp;" "&amp;Milestones!$AB$154&amp;" "&amp;Milestones!$AC$154&amp;";  ","")&amp;IF(AND(EDATE($D153,Milestones!$AA$155)&lt;=AsOfDate,IF($R153=0,$X153,IF(AND($T153&lt;&gt;"",EDATE($D153,Milestones!$AA$155)&gt;=$T153),$W153,IF(AND($S153&lt;&gt;"",EDATE($D153,Milestones!$AA$155)&gt;=$S153),$V153,$U153)))=Milestones!$AB$155),UPPER(TEXT(EDATE($D153,Milestones!$AA$155),"dd mmm yy"))&amp;" "&amp;Milestones!$AB$155&amp;" "&amp;Milestones!$AC$155&amp;";  ","")&amp;IF(AND(EDATE($D153,Milestones!$AA$156)&lt;=AsOfDate,IF($R153=0,$X153,IF(AND($T153&lt;&gt;"",EDATE($D153,Milestones!$AA$156)&gt;=$T153),$W153,IF(AND($S153&lt;&gt;"",EDATE($D153,Milestones!$AA$156)&gt;=$S153),$V153,$U153)))=Milestones!$AB$156),UPPER(TEXT(EDATE($D153,Milestones!$AA$156),"dd mmm yy"))&amp;" "&amp;Milestones!$AB$156&amp;" "&amp;Milestones!$AC$156&amp;";  ","")&amp;IF(AND(EDATE($D153,Milestones!$AA$157)&lt;=AsOfDate,IF($R153=0,$X153,IF(AND($T153&lt;&gt;"",EDATE($D153,Milestones!$AA$157)&gt;=$T153),$W153,IF(AND($S153&lt;&gt;"",EDATE($D153,Milestones!$AA$157)&gt;=$S153),$V153,$U153)))=Milestones!$AB$157),UPPER(TEXT(EDATE($D153,Milestones!$AA$157),"dd mmm yy"))&amp;" "&amp;Milestones!$AB$157&amp;" "&amp;Milestones!$AC$157&amp;";  ","")&amp;IF(AND(EDATE($D153,Milestones!$AA$158)&lt;=AsOfDate,IF($R153=0,$X153,IF(AND($T153&lt;&gt;"",EDATE($D153,Milestones!$AA$158)&gt;=$T153),$W153,IF(AND($S153&lt;&gt;"",EDATE($D153,Milestones!$AA$158)&gt;=$S153),$V153,$U153)))=Milestones!$AB$158),UPPER(TEXT(EDATE($D153,Milestones!$AA$158),"dd mmm yy"))&amp;" "&amp;Milestones!$AB$158&amp;" "&amp;Milestones!$AC$158&amp;";  ","")&amp;IF(AND(EDATE($D153,Milestones!$AA$159)&lt;=AsOfDate,IF($R153=0,$X153,IF(AND($T153&lt;&gt;"",EDATE($D153,Milestones!$AA$159)&gt;=$T153),$W153,IF(AND($S153&lt;&gt;"",EDATE($D153,Milestones!$AA$159)&gt;=$S153),$V153,$U153)))=Milestones!$AB$159),UPPER(TEXT(EDATE($D153,Milestones!$AA$159),"dd mmm yy"))&amp;" "&amp;Milestones!$AB$159&amp;" "&amp;Milestones!$AC$159&amp;";  ",""))</f>
        <v/>
      </c>
      <c r="P153" s="0" t="str">
        <f aca="false">IF(OR($A153="",$D153=""),"",IF(AND(EDATE($D153,Milestones!$AA$160)&lt;=AsOfDate,IF($R153=0,$X153,IF(AND($T153&lt;&gt;"",EDATE($D153,Milestones!$AA$160)&gt;=$T153),$W153,IF(AND($S153&lt;&gt;"",EDATE($D153,Milestones!$AA$160)&gt;=$S153),$V153,$U153)))=Milestones!$AB$160),UPPER(TEXT(EDATE($D153,Milestones!$AA$160),"dd mmm yy"))&amp;" "&amp;Milestones!$AB$160&amp;" "&amp;Milestones!$AC$160&amp;";  ","")&amp;IF(AND(EDATE($D153,Milestones!$AA$161)&lt;=AsOfDate,IF($R153=0,$X153,IF(AND($T153&lt;&gt;"",EDATE($D153,Milestones!$AA$161)&gt;=$T153),$W153,IF(AND($S153&lt;&gt;"",EDATE($D153,Milestones!$AA$161)&gt;=$S153),$V153,$U153)))=Milestones!$AB$161),UPPER(TEXT(EDATE($D153,Milestones!$AA$161),"dd mmm yy"))&amp;" "&amp;Milestones!$AB$161&amp;" "&amp;Milestones!$AC$161&amp;";  ","")&amp;IF(AND(EDATE($D153,Milestones!$AA$162)&lt;=AsOfDate,IF($R153=0,$X153,IF(AND($T153&lt;&gt;"",EDATE($D153,Milestones!$AA$162)&gt;=$T153),$W153,IF(AND($S153&lt;&gt;"",EDATE($D153,Milestones!$AA$162)&gt;=$S153),$V153,$U153)))=Milestones!$AB$162),UPPER(TEXT(EDATE($D153,Milestones!$AA$162),"dd mmm yy"))&amp;" "&amp;Milestones!$AB$162&amp;" "&amp;Milestones!$AC$162&amp;";  ","")&amp;IF(AND(EDATE($D153,Milestones!$AA$163)&lt;=AsOfDate,IF($R153=0,$X153,IF(AND($T153&lt;&gt;"",EDATE($D153,Milestones!$AA$163)&gt;=$T153),$W153,IF(AND($S153&lt;&gt;"",EDATE($D153,Milestones!$AA$163)&gt;=$S153),$V153,$U153)))=Milestones!$AB$163),UPPER(TEXT(EDATE($D153,Milestones!$AA$163),"dd mmm yy"))&amp;" "&amp;Milestones!$AB$163&amp;" "&amp;Milestones!$AC$163&amp;";  ","")&amp;IF(AND(EDATE($D153,Milestones!$AA$164)&lt;=AsOfDate,IF($R153=0,$X153,IF(AND($T153&lt;&gt;"",EDATE($D153,Milestones!$AA$164)&gt;=$T153),$W153,IF(AND($S153&lt;&gt;"",EDATE($D153,Milestones!$AA$164)&gt;=$S153),$V153,$U153)))=Milestones!$AB$164),UPPER(TEXT(EDATE($D153,Milestones!$AA$164),"dd mmm yy"))&amp;" "&amp;Milestones!$AB$164&amp;" "&amp;Milestones!$AC$164&amp;";  ","")&amp;IF(AND(EDATE($D153,Milestones!$AA$165)&lt;=AsOfDate,IF($R153=0,$X153,IF(AND($T153&lt;&gt;"",EDATE($D153,Milestones!$AA$165)&gt;=$T153),$W153,IF(AND($S153&lt;&gt;"",EDATE($D153,Milestones!$AA$165)&gt;=$S153),$V153,$U153)))=Milestones!$AB$165),UPPER(TEXT(EDATE($D153,Milestones!$AA$165),"dd mmm yy"))&amp;" "&amp;Milestones!$AB$165&amp;" "&amp;Milestones!$AC$165&amp;";  ","")&amp;IF(AND(EDATE($D153,Milestones!$AA$166)&lt;=AsOfDate,IF($R153=0,$X153,IF(AND($T153&lt;&gt;"",EDATE($D153,Milestones!$AA$166)&gt;=$T153),$W153,IF(AND($S153&lt;&gt;"",EDATE($D153,Milestones!$AA$166)&gt;=$S153),$V153,$U153)))=Milestones!$AB$166),UPPER(TEXT(EDATE($D153,Milestones!$AA$166),"dd mmm yy"))&amp;" "&amp;Milestones!$AB$166&amp;" "&amp;Milestones!$AC$166&amp;";  ","")&amp;IF(AND(EDATE($D153,Milestones!$AA$167)&lt;=AsOfDate,IF($R153=0,$X153,IF(AND($T153&lt;&gt;"",EDATE($D153,Milestones!$AA$167)&gt;=$T153),$W153,IF(AND($S153&lt;&gt;"",EDATE($D153,Milestones!$AA$167)&gt;=$S153),$V153,$U153)))=Milestones!$AB$167),UPPER(TEXT(EDATE($D153,Milestones!$AA$167),"dd mmm yy"))&amp;" "&amp;Milestones!$AB$167&amp;" "&amp;Milestones!$AC$167&amp;";  ","")&amp;IF(AND(EDATE($D153,Milestones!$AA$168)&lt;=AsOfDate,IF($R153=0,$X153,IF(AND($T153&lt;&gt;"",EDATE($D153,Milestones!$AA$168)&gt;=$T153),$W153,IF(AND($S153&lt;&gt;"",EDATE($D153,Milestones!$AA$168)&gt;=$S153),$V153,$U153)))=Milestones!$AB$168),UPPER(TEXT(EDATE($D153,Milestones!$AA$168),"dd mmm yy"))&amp;" "&amp;Milestones!$AB$168&amp;" "&amp;Milestones!$AC$168&amp;";  ","")&amp;IF(AND(EDATE($D153,Milestones!$AA$169)&lt;=AsOfDate,IF($R153=0,$X153,IF(AND($T153&lt;&gt;"",EDATE($D153,Milestones!$AA$169)&gt;=$T153),$W153,IF(AND($S153&lt;&gt;"",EDATE($D153,Milestones!$AA$169)&gt;=$S153),$V153,$U153)))=Milestones!$AB$169),UPPER(TEXT(EDATE($D153,Milestones!$AA$169),"dd mmm yy"))&amp;" "&amp;Milestones!$AB$169&amp;" "&amp;Milestones!$AC$169&amp;";  ","")&amp;IF(AND(EDATE($D153,Milestones!$AA$170)&lt;=AsOfDate,IF($R153=0,$X153,IF(AND($T153&lt;&gt;"",EDATE($D153,Milestones!$AA$170)&gt;=$T153),$W153,IF(AND($S153&lt;&gt;"",EDATE($D153,Milestones!$AA$170)&gt;=$S153),$V153,$U153)))=Milestones!$AB$170),UPPER(TEXT(EDATE($D153,Milestones!$AA$170),"dd mmm yy"))&amp;" "&amp;Milestones!$AB$170&amp;" "&amp;Milestones!$AC$170&amp;";  ","")&amp;IF(AND(EDATE($D153,Milestones!$AA$171)&lt;=AsOfDate,IF($R153=0,$X153,IF(AND($T153&lt;&gt;"",EDATE($D153,Milestones!$AA$171)&gt;=$T153),$W153,IF(AND($S153&lt;&gt;"",EDATE($D153,Milestones!$AA$171)&gt;=$S153),$V153,$U153)))=Milestones!$AB$171),UPPER(TEXT(EDATE($D153,Milestones!$AA$171),"dd mmm yy"))&amp;" "&amp;Milestones!$AB$171&amp;" "&amp;Milestones!$AC$171&amp;";  ","")&amp;IF(AND(EDATE($D153,Milestones!$AA$172)&lt;=AsOfDate,IF($R153=0,$X153,IF(AND($T153&lt;&gt;"",EDATE($D153,Milestones!$AA$172)&gt;=$T153),$W153,IF(AND($S153&lt;&gt;"",EDATE($D153,Milestones!$AA$172)&gt;=$S153),$V153,$U153)))=Milestones!$AB$172),UPPER(TEXT(EDATE($D153,Milestones!$AA$172),"dd mmm yy"))&amp;" "&amp;Milestones!$AB$172&amp;" "&amp;Milestones!$AC$172&amp;";  ","")&amp;IF(AND(EDATE($D153,Milestones!$AA$173)&lt;=AsOfDate,IF($R153=0,$X153,IF(AND($T153&lt;&gt;"",EDATE($D153,Milestones!$AA$173)&gt;=$T153),$W153,IF(AND($S153&lt;&gt;"",EDATE($D153,Milestones!$AA$173)&gt;=$S153),$V153,$U153)))=Milestones!$AB$173),UPPER(TEXT(EDATE($D153,Milestones!$AA$173),"dd mmm yy"))&amp;" "&amp;Milestones!$AB$173&amp;" "&amp;Milestones!$AC$173&amp;";  ","")&amp;IF(AND(EDATE($D153,Milestones!$AA$174)&lt;=AsOfDate,IF($R153=0,$X153,IF(AND($T153&lt;&gt;"",EDATE($D153,Milestones!$AA$174)&gt;=$T153),$W153,IF(AND($S153&lt;&gt;"",EDATE($D153,Milestones!$AA$174)&gt;=$S153),$V153,$U153)))=Milestones!$AB$174),UPPER(TEXT(EDATE($D153,Milestones!$AA$174),"dd mmm yy"))&amp;" "&amp;Milestones!$AB$174&amp;" "&amp;Milestones!$AC$174&amp;";  ","")&amp;IF(AND(EDATE($D153,Milestones!$AA$175)&lt;=AsOfDate,IF($R153=0,$X153,IF(AND($T153&lt;&gt;"",EDATE($D153,Milestones!$AA$175)&gt;=$T153),$W153,IF(AND($S153&lt;&gt;"",EDATE($D153,Milestones!$AA$175)&gt;=$S153),$V153,$U153)))=Milestones!$AB$175),UPPER(TEXT(EDATE($D153,Milestones!$AA$175),"dd mmm yy"))&amp;" "&amp;Milestones!$AB$175&amp;" "&amp;Milestones!$AC$175&amp;";  ","")&amp;IF(AND(EDATE($D153,Milestones!$AA$176)&lt;=AsOfDate,IF($R153=0,$X153,IF(AND($T153&lt;&gt;"",EDATE($D153,Milestones!$AA$176)&gt;=$T153),$W153,IF(AND($S153&lt;&gt;"",EDATE($D153,Milestones!$AA$176)&gt;=$S153),$V153,$U153)))=Milestones!$AB$176),UPPER(TEXT(EDATE($D153,Milestones!$AA$176),"dd mmm yy"))&amp;" "&amp;Milestones!$AB$176&amp;" "&amp;Milestones!$AC$176&amp;";  ","")&amp;IF(AND(EDATE($D153,Milestones!$AA$177)&lt;=AsOfDate,IF($R153=0,$X153,IF(AND($T153&lt;&gt;"",EDATE($D153,Milestones!$AA$177)&gt;=$T153),$W153,IF(AND($S153&lt;&gt;"",EDATE($D153,Milestones!$AA$177)&gt;=$S153),$V153,$U153)))=Milestones!$AB$177),UPPER(TEXT(EDATE($D153,Milestones!$AA$177),"dd mmm yy"))&amp;" "&amp;Milestones!$AB$177&amp;" "&amp;Milestones!$AC$177&amp;";  ","")&amp;IF(AND(EDATE($D153,Milestones!$AA$178)&lt;=AsOfDate,IF($R153=0,$X153,IF(AND($T153&lt;&gt;"",EDATE($D153,Milestones!$AA$178)&gt;=$T153),$W153,IF(AND($S153&lt;&gt;"",EDATE($D153,Milestones!$AA$178)&gt;=$S153),$V153,$U153)))=Milestones!$AB$178),UPPER(TEXT(EDATE($D153,Milestones!$AA$178),"dd mmm yy"))&amp;" "&amp;Milestones!$AB$178&amp;" "&amp;Milestones!$AC$178&amp;";  ","")&amp;IF(AND(EDATE($D153,Milestones!$AA$179)&lt;=AsOfDate,IF($R153=0,$X153,IF(AND($T153&lt;&gt;"",EDATE($D153,Milestones!$AA$179)&gt;=$T153),$W153,IF(AND($S153&lt;&gt;"",EDATE($D153,Milestones!$AA$179)&gt;=$S153),$V153,$U153)))=Milestones!$AB$179),UPPER(TEXT(EDATE($D153,Milestones!$AA$179),"dd mmm yy"))&amp;" "&amp;Milestones!$AB$179&amp;" "&amp;Milestones!$AC$179&amp;";  ",""))</f>
        <v/>
      </c>
      <c r="Q153" s="0" t="str">
        <f aca="false">IF(OR($A153="",$D153=""),"",IF(AND(EDATE($D153,Milestones!$AA$180)&lt;=AsOfDate,IF($R153=0,$X153,IF(AND($T153&lt;&gt;"",EDATE($D153,Milestones!$AA$180)&gt;=$T153),$W153,IF(AND($S153&lt;&gt;"",EDATE($D153,Milestones!$AA$180)&gt;=$S153),$V153,$U153)))=Milestones!$AB$180),UPPER(TEXT(EDATE($D153,Milestones!$AA$180),"dd mmm yy"))&amp;" "&amp;Milestones!$AB$180&amp;" "&amp;Milestones!$AC$180&amp;";  ","")&amp;IF(AND(EDATE($D153,Milestones!$AA$181)&lt;=AsOfDate,IF($R153=0,$X153,IF(AND($T153&lt;&gt;"",EDATE($D153,Milestones!$AA$181)&gt;=$T153),$W153,IF(AND($S153&lt;&gt;"",EDATE($D153,Milestones!$AA$181)&gt;=$S153),$V153,$U153)))=Milestones!$AB$181),UPPER(TEXT(EDATE($D153,Milestones!$AA$181),"dd mmm yy"))&amp;" "&amp;Milestones!$AB$181&amp;" "&amp;Milestones!$AC$181&amp;";  ","")&amp;IF(AND(EDATE($D153,Milestones!$AA$182)&lt;=AsOfDate,IF($R153=0,$X153,IF(AND($T153&lt;&gt;"",EDATE($D153,Milestones!$AA$182)&gt;=$T153),$W153,IF(AND($S153&lt;&gt;"",EDATE($D153,Milestones!$AA$182)&gt;=$S153),$V153,$U153)))=Milestones!$AB$182),UPPER(TEXT(EDATE($D153,Milestones!$AA$182),"dd mmm yy"))&amp;" "&amp;Milestones!$AB$182&amp;" "&amp;Milestones!$AC$182&amp;";  ","")&amp;IF(AND(EDATE($D153,Milestones!$AA$183)&lt;=AsOfDate,IF($R153=0,$X153,IF(AND($T153&lt;&gt;"",EDATE($D153,Milestones!$AA$183)&gt;=$T153),$W153,IF(AND($S153&lt;&gt;"",EDATE($D153,Milestones!$AA$183)&gt;=$S153),$V153,$U153)))=Milestones!$AB$183),UPPER(TEXT(EDATE($D153,Milestones!$AA$183),"dd mmm yy"))&amp;" "&amp;Milestones!$AB$183&amp;" "&amp;Milestones!$AC$183&amp;";  ","")&amp;IF(AND(EDATE($D153,Milestones!$AA$184)&lt;=AsOfDate,IF($R153=0,$X153,IF(AND($T153&lt;&gt;"",EDATE($D153,Milestones!$AA$184)&gt;=$T153),$W153,IF(AND($S153&lt;&gt;"",EDATE($D153,Milestones!$AA$184)&gt;=$S153),$V153,$U153)))=Milestones!$AB$184),UPPER(TEXT(EDATE($D153,Milestones!$AA$184),"dd mmm yy"))&amp;" "&amp;Milestones!$AB$184&amp;" "&amp;Milestones!$AC$184&amp;";  ","")&amp;IF(AND(EDATE($D153,Milestones!$AA$185)&lt;=AsOfDate,IF($R153=0,$X153,IF(AND($T153&lt;&gt;"",EDATE($D153,Milestones!$AA$185)&gt;=$T153),$W153,IF(AND($S153&lt;&gt;"",EDATE($D153,Milestones!$AA$185)&gt;=$S153),$V153,$U153)))=Milestones!$AB$185),UPPER(TEXT(EDATE($D153,Milestones!$AA$185),"dd mmm yy"))&amp;" "&amp;Milestones!$AB$185&amp;" "&amp;Milestones!$AC$185&amp;";  ","")&amp;IF(AND(EDATE($D153,Milestones!$AA$186)&lt;=AsOfDate,IF($R153=0,$X153,IF(AND($T153&lt;&gt;"",EDATE($D153,Milestones!$AA$186)&gt;=$T153),$W153,IF(AND($S153&lt;&gt;"",EDATE($D153,Milestones!$AA$186)&gt;=$S153),$V153,$U153)))=Milestones!$AB$186),UPPER(TEXT(EDATE($D153,Milestones!$AA$186),"dd mmm yy"))&amp;" "&amp;Milestones!$AB$186&amp;" "&amp;Milestones!$AC$186&amp;";  ","")&amp;IF(AND(EDATE($D153,Milestones!$AA$187)&lt;=AsOfDate,IF($R153=0,$X153,IF(AND($T153&lt;&gt;"",EDATE($D153,Milestones!$AA$187)&gt;=$T153),$W153,IF(AND($S153&lt;&gt;"",EDATE($D153,Milestones!$AA$187)&gt;=$S153),$V153,$U153)))=Milestones!$AB$187),UPPER(TEXT(EDATE($D153,Milestones!$AA$187),"dd mmm yy"))&amp;" "&amp;Milestones!$AB$187&amp;" "&amp;Milestones!$AC$187&amp;";  ","")&amp;IF(AND(EDATE($D153,Milestones!$AA$188)&lt;=AsOfDate,IF($R153=0,$X153,IF(AND($T153&lt;&gt;"",EDATE($D153,Milestones!$AA$188)&gt;=$T153),$W153,IF(AND($S153&lt;&gt;"",EDATE($D153,Milestones!$AA$188)&gt;=$S153),$V153,$U153)))=Milestones!$AB$188),UPPER(TEXT(EDATE($D153,Milestones!$AA$188),"dd mmm yy"))&amp;" "&amp;Milestones!$AB$188&amp;" "&amp;Milestones!$AC$188&amp;";  ","")&amp;IF(AND(EDATE($D153,Milestones!$AA$189)&lt;=AsOfDate,IF($R153=0,$X153,IF(AND($T153&lt;&gt;"",EDATE($D153,Milestones!$AA$189)&gt;=$T153),$W153,IF(AND($S153&lt;&gt;"",EDATE($D153,Milestones!$AA$189)&gt;=$S153),$V153,$U153)))=Milestones!$AB$189),UPPER(TEXT(EDATE($D153,Milestones!$AA$189),"dd mmm yy"))&amp;" "&amp;Milestones!$AB$189&amp;" "&amp;Milestones!$AC$189&amp;";  ","")&amp;IF(AND(EDATE($D153,Milestones!$AA$190)&lt;=AsOfDate,IF($R153=0,$X153,IF(AND($T153&lt;&gt;"",EDATE($D153,Milestones!$AA$190)&gt;=$T153),$W153,IF(AND($S153&lt;&gt;"",EDATE($D153,Milestones!$AA$190)&gt;=$S153),$V153,$U153)))=Milestones!$AB$190),UPPER(TEXT(EDATE($D153,Milestones!$AA$190),"dd mmm yy"))&amp;" "&amp;Milestones!$AB$190&amp;" "&amp;Milestones!$AC$190&amp;";  ","")&amp;IF(AND(EDATE($D153,Milestones!$AA$191)&lt;=AsOfDate,IF($R153=0,$X153,IF(AND($T153&lt;&gt;"",EDATE($D153,Milestones!$AA$191)&gt;=$T153),$W153,IF(AND($S153&lt;&gt;"",EDATE($D153,Milestones!$AA$191)&gt;=$S153),$V153,$U153)))=Milestones!$AB$191),UPPER(TEXT(EDATE($D153,Milestones!$AA$191),"dd mmm yy"))&amp;" "&amp;Milestones!$AB$191&amp;" "&amp;Milestones!$AC$191&amp;";  ","")&amp;IF(AND(EDATE($D153,Milestones!$AA$192)&lt;=AsOfDate,IF($R153=0,$X153,IF(AND($T153&lt;&gt;"",EDATE($D153,Milestones!$AA$192)&gt;=$T153),$W153,IF(AND($S153&lt;&gt;"",EDATE($D153,Milestones!$AA$192)&gt;=$S153),$V153,$U153)))=Milestones!$AB$192),UPPER(TEXT(EDATE($D153,Milestones!$AA$192),"dd mmm yy"))&amp;" "&amp;Milestones!$AB$192&amp;" "&amp;Milestones!$AC$192&amp;";  ","")&amp;IF(AND(EDATE($D153,Milestones!$AA$193)&lt;=AsOfDate,IF($R153=0,$X153,IF(AND($T153&lt;&gt;"",EDATE($D153,Milestones!$AA$193)&gt;=$T153),$W153,IF(AND($S153&lt;&gt;"",EDATE($D153,Milestones!$AA$193)&gt;=$S153),$V153,$U153)))=Milestones!$AB$193),UPPER(TEXT(EDATE($D153,Milestones!$AA$193),"dd mmm yy"))&amp;" "&amp;Milestones!$AB$193&amp;" "&amp;Milestones!$AC$193&amp;";  ","")&amp;IF(AND(EDATE($D153,Milestones!$AA$194)&lt;=AsOfDate,IF($R153=0,$X153,IF(AND($T153&lt;&gt;"",EDATE($D153,Milestones!$AA$194)&gt;=$T153),$W153,IF(AND($S153&lt;&gt;"",EDATE($D153,Milestones!$AA$194)&gt;=$S153),$V153,$U153)))=Milestones!$AB$194),UPPER(TEXT(EDATE($D153,Milestones!$AA$194),"dd mmm yy"))&amp;" "&amp;Milestones!$AB$194&amp;" "&amp;Milestones!$AC$194&amp;";  ","")&amp;IF(AND(EDATE($D153,Milestones!$AA$195)&lt;=AsOfDate,IF($R153=0,$X153,IF(AND($T153&lt;&gt;"",EDATE($D153,Milestones!$AA$195)&gt;=$T153),$W153,IF(AND($S153&lt;&gt;"",EDATE($D153,Milestones!$AA$195)&gt;=$S153),$V153,$U153)))=Milestones!$AB$195),UPPER(TEXT(EDATE($D153,Milestones!$AA$195),"dd mmm yy"))&amp;" "&amp;Milestones!$AB$195&amp;" "&amp;Milestones!$AC$195&amp;";  ","")&amp;IF(AND(EDATE($D153,Milestones!$AA$196)&lt;=AsOfDate,IF($R153=0,$X153,IF(AND($T153&lt;&gt;"",EDATE($D153,Milestones!$AA$196)&gt;=$T153),$W153,IF(AND($S153&lt;&gt;"",EDATE($D153,Milestones!$AA$196)&gt;=$S153),$V153,$U153)))=Milestones!$AB$196),UPPER(TEXT(EDATE($D153,Milestones!$AA$196),"dd mmm yy"))&amp;" "&amp;Milestones!$AB$196&amp;" "&amp;Milestones!$AC$196&amp;";  ","")&amp;IF(AND(EDATE($D153,Milestones!$AA$197)&lt;=AsOfDate,IF($R153=0,$X153,IF(AND($T153&lt;&gt;"",EDATE($D153,Milestones!$AA$197)&gt;=$T153),$W153,IF(AND($S153&lt;&gt;"",EDATE($D153,Milestones!$AA$197)&gt;=$S153),$V153,$U153)))=Milestones!$AB$197),UPPER(TEXT(EDATE($D153,Milestones!$AA$197),"dd mmm yy"))&amp;" "&amp;Milestones!$AB$197&amp;" "&amp;Milestones!$AC$197&amp;";  ","")&amp;IF(AND(EDATE($D153,Milestones!$AA$198)&lt;=AsOfDate,IF($R153=0,$X153,IF(AND($T153&lt;&gt;"",EDATE($D153,Milestones!$AA$198)&gt;=$T153),$W153,IF(AND($S153&lt;&gt;"",EDATE($D153,Milestones!$AA$198)&gt;=$S153),$V153,$U153)))=Milestones!$AB$198),UPPER(TEXT(EDATE($D153,Milestones!$AA$198),"dd mmm yy"))&amp;" "&amp;Milestones!$AB$198&amp;" "&amp;Milestones!$AC$198&amp;";  ","")&amp;IF(AND(EDATE($D153,Milestones!$AA$199)&lt;=AsOfDate,IF($R153=0,$X153,IF(AND($T153&lt;&gt;"",EDATE($D153,Milestones!$AA$199)&gt;=$T153),$W153,IF(AND($S153&lt;&gt;"",EDATE($D153,Milestones!$AA$199)&gt;=$S153),$V153,$U153)))=Milestones!$AB$199),UPPER(TEXT(EDATE($D153,Milestones!$AA$199),"dd mmm yy"))&amp;" "&amp;Milestones!$AB$199&amp;" "&amp;Milestones!$AC$199&amp;";  ",""))</f>
        <v/>
      </c>
      <c r="R153" s="0" t="str">
        <f aca="false">IF(Staff!$A153="","",Staff!$AI153)</f>
        <v/>
      </c>
      <c r="S153" s="0" t="str">
        <f aca="false">IF(Staff!$A153="","",Staff!$AK153)</f>
        <v/>
      </c>
      <c r="T153" s="0" t="str">
        <f aca="false">IF(Staff!$A153="","",Staff!$AL153)</f>
        <v/>
      </c>
      <c r="U153" s="0" t="str">
        <f aca="false">IF(Staff!$A153="","",Staff!$AP153)</f>
        <v/>
      </c>
      <c r="V153" s="0" t="str">
        <f aca="false">IF(Staff!$A153="","",Staff!$AQ153)</f>
        <v/>
      </c>
      <c r="W153" s="0" t="str">
        <f aca="false">IF(Staff!$A153="","",Staff!$AR153)</f>
        <v/>
      </c>
      <c r="X153" s="0" t="str">
        <f aca="false">IF(Staff!$A153="","",Staff!$AS153)</f>
        <v/>
      </c>
    </row>
    <row r="154" customFormat="false" ht="15" hidden="false" customHeight="false" outlineLevel="0" collapsed="false">
      <c r="A154" s="14" t="str">
        <f aca="false">IF(Staff!$A154="","",Staff!$A154)</f>
        <v/>
      </c>
      <c r="B154" s="14" t="str">
        <f aca="false">IF(Staff!$A154="","",Staff!$B154)</f>
        <v/>
      </c>
      <c r="C154" s="14" t="str">
        <f aca="false">IF(Staff!$A154="","",Staff!$C154)</f>
        <v/>
      </c>
      <c r="D154" s="12" t="str">
        <f aca="false">IF(Staff!$A154="","",Staff!$AH154)</f>
        <v/>
      </c>
      <c r="E154" s="14" t="str">
        <f aca="false">IF(Staff!$A154="","",Staff!$O154)</f>
        <v/>
      </c>
      <c r="F154" s="14" t="str">
        <f aca="false">IF(E154="","",E154*HoursPerDay)</f>
        <v/>
      </c>
      <c r="G154" s="14" t="str">
        <f aca="false">IF(Staff!$A154="","",Staff!$AE154)</f>
        <v/>
      </c>
      <c r="H154" s="26" t="str">
        <f aca="false">IF($A154="","",I154&amp;J154&amp;K154&amp;L154&amp;M154&amp;N154&amp;O154&amp;P154&amp;Q154)</f>
        <v/>
      </c>
      <c r="I154" s="0" t="str">
        <f aca="false">IF(OR($A154="",$D154=""),"",IF(AND(EDATE($D154,Milestones!$AA$20)&lt;=AsOfDate,IF($R154=0,$X154,IF(AND($T154&lt;&gt;"",EDATE($D154,Milestones!$AA$20)&gt;=$T154),$W154,IF(AND($S154&lt;&gt;"",EDATE($D154,Milestones!$AA$20)&gt;=$S154),$V154,$U154)))=Milestones!$AB$20),UPPER(TEXT(EDATE($D154,Milestones!$AA$20),"dd mmm yy"))&amp;" "&amp;Milestones!$AB$20&amp;" "&amp;Milestones!$AC$20&amp;";  ","")&amp;IF(AND(EDATE($D154,Milestones!$AA$21)&lt;=AsOfDate,IF($R154=0,$X154,IF(AND($T154&lt;&gt;"",EDATE($D154,Milestones!$AA$21)&gt;=$T154),$W154,IF(AND($S154&lt;&gt;"",EDATE($D154,Milestones!$AA$21)&gt;=$S154),$V154,$U154)))=Milestones!$AB$21),UPPER(TEXT(EDATE($D154,Milestones!$AA$21),"dd mmm yy"))&amp;" "&amp;Milestones!$AB$21&amp;" "&amp;Milestones!$AC$21&amp;";  ","")&amp;IF(AND(EDATE($D154,Milestones!$AA$22)&lt;=AsOfDate,IF($R154=0,$X154,IF(AND($T154&lt;&gt;"",EDATE($D154,Milestones!$AA$22)&gt;=$T154),$W154,IF(AND($S154&lt;&gt;"",EDATE($D154,Milestones!$AA$22)&gt;=$S154),$V154,$U154)))=Milestones!$AB$22),UPPER(TEXT(EDATE($D154,Milestones!$AA$22),"dd mmm yy"))&amp;" "&amp;Milestones!$AB$22&amp;" "&amp;Milestones!$AC$22&amp;";  ","")&amp;IF(AND(EDATE($D154,Milestones!$AA$23)&lt;=AsOfDate,IF($R154=0,$X154,IF(AND($T154&lt;&gt;"",EDATE($D154,Milestones!$AA$23)&gt;=$T154),$W154,IF(AND($S154&lt;&gt;"",EDATE($D154,Milestones!$AA$23)&gt;=$S154),$V154,$U154)))=Milestones!$AB$23),UPPER(TEXT(EDATE($D154,Milestones!$AA$23),"dd mmm yy"))&amp;" "&amp;Milestones!$AB$23&amp;" "&amp;Milestones!$AC$23&amp;";  ","")&amp;IF(AND(EDATE($D154,Milestones!$AA$24)&lt;=AsOfDate,IF($R154=0,$X154,IF(AND($T154&lt;&gt;"",EDATE($D154,Milestones!$AA$24)&gt;=$T154),$W154,IF(AND($S154&lt;&gt;"",EDATE($D154,Milestones!$AA$24)&gt;=$S154),$V154,$U154)))=Milestones!$AB$24),UPPER(TEXT(EDATE($D154,Milestones!$AA$24),"dd mmm yy"))&amp;" "&amp;Milestones!$AB$24&amp;" "&amp;Milestones!$AC$24&amp;";  ","")&amp;IF(AND(EDATE($D154,Milestones!$AA$25)&lt;=AsOfDate,IF($R154=0,$X154,IF(AND($T154&lt;&gt;"",EDATE($D154,Milestones!$AA$25)&gt;=$T154),$W154,IF(AND($S154&lt;&gt;"",EDATE($D154,Milestones!$AA$25)&gt;=$S154),$V154,$U154)))=Milestones!$AB$25),UPPER(TEXT(EDATE($D154,Milestones!$AA$25),"dd mmm yy"))&amp;" "&amp;Milestones!$AB$25&amp;" "&amp;Milestones!$AC$25&amp;";  ","")&amp;IF(AND(EDATE($D154,Milestones!$AA$26)&lt;=AsOfDate,IF($R154=0,$X154,IF(AND($T154&lt;&gt;"",EDATE($D154,Milestones!$AA$26)&gt;=$T154),$W154,IF(AND($S154&lt;&gt;"",EDATE($D154,Milestones!$AA$26)&gt;=$S154),$V154,$U154)))=Milestones!$AB$26),UPPER(TEXT(EDATE($D154,Milestones!$AA$26),"dd mmm yy"))&amp;" "&amp;Milestones!$AB$26&amp;" "&amp;Milestones!$AC$26&amp;";  ","")&amp;IF(AND(EDATE($D154,Milestones!$AA$27)&lt;=AsOfDate,IF($R154=0,$X154,IF(AND($T154&lt;&gt;"",EDATE($D154,Milestones!$AA$27)&gt;=$T154),$W154,IF(AND($S154&lt;&gt;"",EDATE($D154,Milestones!$AA$27)&gt;=$S154),$V154,$U154)))=Milestones!$AB$27),UPPER(TEXT(EDATE($D154,Milestones!$AA$27),"dd mmm yy"))&amp;" "&amp;Milestones!$AB$27&amp;" "&amp;Milestones!$AC$27&amp;";  ","")&amp;IF(AND(EDATE($D154,Milestones!$AA$28)&lt;=AsOfDate,IF($R154=0,$X154,IF(AND($T154&lt;&gt;"",EDATE($D154,Milestones!$AA$28)&gt;=$T154),$W154,IF(AND($S154&lt;&gt;"",EDATE($D154,Milestones!$AA$28)&gt;=$S154),$V154,$U154)))=Milestones!$AB$28),UPPER(TEXT(EDATE($D154,Milestones!$AA$28),"dd mmm yy"))&amp;" "&amp;Milestones!$AB$28&amp;" "&amp;Milestones!$AC$28&amp;";  ","")&amp;IF(AND(EDATE($D154,Milestones!$AA$29)&lt;=AsOfDate,IF($R154=0,$X154,IF(AND($T154&lt;&gt;"",EDATE($D154,Milestones!$AA$29)&gt;=$T154),$W154,IF(AND($S154&lt;&gt;"",EDATE($D154,Milestones!$AA$29)&gt;=$S154),$V154,$U154)))=Milestones!$AB$29),UPPER(TEXT(EDATE($D154,Milestones!$AA$29),"dd mmm yy"))&amp;" "&amp;Milestones!$AB$29&amp;" "&amp;Milestones!$AC$29&amp;";  ","")&amp;IF(AND(EDATE($D154,Milestones!$AA$30)&lt;=AsOfDate,IF($R154=0,$X154,IF(AND($T154&lt;&gt;"",EDATE($D154,Milestones!$AA$30)&gt;=$T154),$W154,IF(AND($S154&lt;&gt;"",EDATE($D154,Milestones!$AA$30)&gt;=$S154),$V154,$U154)))=Milestones!$AB$30),UPPER(TEXT(EDATE($D154,Milestones!$AA$30),"dd mmm yy"))&amp;" "&amp;Milestones!$AB$30&amp;" "&amp;Milestones!$AC$30&amp;";  ","")&amp;IF(AND(EDATE($D154,Milestones!$AA$31)&lt;=AsOfDate,IF($R154=0,$X154,IF(AND($T154&lt;&gt;"",EDATE($D154,Milestones!$AA$31)&gt;=$T154),$W154,IF(AND($S154&lt;&gt;"",EDATE($D154,Milestones!$AA$31)&gt;=$S154),$V154,$U154)))=Milestones!$AB$31),UPPER(TEXT(EDATE($D154,Milestones!$AA$31),"dd mmm yy"))&amp;" "&amp;Milestones!$AB$31&amp;" "&amp;Milestones!$AC$31&amp;";  ","")&amp;IF(AND(EDATE($D154,Milestones!$AA$32)&lt;=AsOfDate,IF($R154=0,$X154,IF(AND($T154&lt;&gt;"",EDATE($D154,Milestones!$AA$32)&gt;=$T154),$W154,IF(AND($S154&lt;&gt;"",EDATE($D154,Milestones!$AA$32)&gt;=$S154),$V154,$U154)))=Milestones!$AB$32),UPPER(TEXT(EDATE($D154,Milestones!$AA$32),"dd mmm yy"))&amp;" "&amp;Milestones!$AB$32&amp;" "&amp;Milestones!$AC$32&amp;";  ","")&amp;IF(AND(EDATE($D154,Milestones!$AA$33)&lt;=AsOfDate,IF($R154=0,$X154,IF(AND($T154&lt;&gt;"",EDATE($D154,Milestones!$AA$33)&gt;=$T154),$W154,IF(AND($S154&lt;&gt;"",EDATE($D154,Milestones!$AA$33)&gt;=$S154),$V154,$U154)))=Milestones!$AB$33),UPPER(TEXT(EDATE($D154,Milestones!$AA$33),"dd mmm yy"))&amp;" "&amp;Milestones!$AB$33&amp;" "&amp;Milestones!$AC$33&amp;";  ","")&amp;IF(AND(EDATE($D154,Milestones!$AA$34)&lt;=AsOfDate,IF($R154=0,$X154,IF(AND($T154&lt;&gt;"",EDATE($D154,Milestones!$AA$34)&gt;=$T154),$W154,IF(AND($S154&lt;&gt;"",EDATE($D154,Milestones!$AA$34)&gt;=$S154),$V154,$U154)))=Milestones!$AB$34),UPPER(TEXT(EDATE($D154,Milestones!$AA$34),"dd mmm yy"))&amp;" "&amp;Milestones!$AB$34&amp;" "&amp;Milestones!$AC$34&amp;";  ","")&amp;IF(AND(EDATE($D154,Milestones!$AA$35)&lt;=AsOfDate,IF($R154=0,$X154,IF(AND($T154&lt;&gt;"",EDATE($D154,Milestones!$AA$35)&gt;=$T154),$W154,IF(AND($S154&lt;&gt;"",EDATE($D154,Milestones!$AA$35)&gt;=$S154),$V154,$U154)))=Milestones!$AB$35),UPPER(TEXT(EDATE($D154,Milestones!$AA$35),"dd mmm yy"))&amp;" "&amp;Milestones!$AB$35&amp;" "&amp;Milestones!$AC$35&amp;";  ","")&amp;IF(AND(EDATE($D154,Milestones!$AA$36)&lt;=AsOfDate,IF($R154=0,$X154,IF(AND($T154&lt;&gt;"",EDATE($D154,Milestones!$AA$36)&gt;=$T154),$W154,IF(AND($S154&lt;&gt;"",EDATE($D154,Milestones!$AA$36)&gt;=$S154),$V154,$U154)))=Milestones!$AB$36),UPPER(TEXT(EDATE($D154,Milestones!$AA$36),"dd mmm yy"))&amp;" "&amp;Milestones!$AB$36&amp;" "&amp;Milestones!$AC$36&amp;";  ","")&amp;IF(AND(EDATE($D154,Milestones!$AA$37)&lt;=AsOfDate,IF($R154=0,$X154,IF(AND($T154&lt;&gt;"",EDATE($D154,Milestones!$AA$37)&gt;=$T154),$W154,IF(AND($S154&lt;&gt;"",EDATE($D154,Milestones!$AA$37)&gt;=$S154),$V154,$U154)))=Milestones!$AB$37),UPPER(TEXT(EDATE($D154,Milestones!$AA$37),"dd mmm yy"))&amp;" "&amp;Milestones!$AB$37&amp;" "&amp;Milestones!$AC$37&amp;";  ","")&amp;IF(AND(EDATE($D154,Milestones!$AA$38)&lt;=AsOfDate,IF($R154=0,$X154,IF(AND($T154&lt;&gt;"",EDATE($D154,Milestones!$AA$38)&gt;=$T154),$W154,IF(AND($S154&lt;&gt;"",EDATE($D154,Milestones!$AA$38)&gt;=$S154),$V154,$U154)))=Milestones!$AB$38),UPPER(TEXT(EDATE($D154,Milestones!$AA$38),"dd mmm yy"))&amp;" "&amp;Milestones!$AB$38&amp;" "&amp;Milestones!$AC$38&amp;";  ","")&amp;IF(AND(EDATE($D154,Milestones!$AA$39)&lt;=AsOfDate,IF($R154=0,$X154,IF(AND($T154&lt;&gt;"",EDATE($D154,Milestones!$AA$39)&gt;=$T154),$W154,IF(AND($S154&lt;&gt;"",EDATE($D154,Milestones!$AA$39)&gt;=$S154),$V154,$U154)))=Milestones!$AB$39),UPPER(TEXT(EDATE($D154,Milestones!$AA$39),"dd mmm yy"))&amp;" "&amp;Milestones!$AB$39&amp;" "&amp;Milestones!$AC$39&amp;";  ",""))</f>
        <v/>
      </c>
      <c r="J154" s="0" t="str">
        <f aca="false">IF(OR($A154="",$D154=""),"",IF(AND(EDATE($D154,Milestones!$AA$40)&lt;=AsOfDate,IF($R154=0,$X154,IF(AND($T154&lt;&gt;"",EDATE($D154,Milestones!$AA$40)&gt;=$T154),$W154,IF(AND($S154&lt;&gt;"",EDATE($D154,Milestones!$AA$40)&gt;=$S154),$V154,$U154)))=Milestones!$AB$40),UPPER(TEXT(EDATE($D154,Milestones!$AA$40),"dd mmm yy"))&amp;" "&amp;Milestones!$AB$40&amp;" "&amp;Milestones!$AC$40&amp;";  ","")&amp;IF(AND(EDATE($D154,Milestones!$AA$41)&lt;=AsOfDate,IF($R154=0,$X154,IF(AND($T154&lt;&gt;"",EDATE($D154,Milestones!$AA$41)&gt;=$T154),$W154,IF(AND($S154&lt;&gt;"",EDATE($D154,Milestones!$AA$41)&gt;=$S154),$V154,$U154)))=Milestones!$AB$41),UPPER(TEXT(EDATE($D154,Milestones!$AA$41),"dd mmm yy"))&amp;" "&amp;Milestones!$AB$41&amp;" "&amp;Milestones!$AC$41&amp;";  ","")&amp;IF(AND(EDATE($D154,Milestones!$AA$42)&lt;=AsOfDate,IF($R154=0,$X154,IF(AND($T154&lt;&gt;"",EDATE($D154,Milestones!$AA$42)&gt;=$T154),$W154,IF(AND($S154&lt;&gt;"",EDATE($D154,Milestones!$AA$42)&gt;=$S154),$V154,$U154)))=Milestones!$AB$42),UPPER(TEXT(EDATE($D154,Milestones!$AA$42),"dd mmm yy"))&amp;" "&amp;Milestones!$AB$42&amp;" "&amp;Milestones!$AC$42&amp;";  ","")&amp;IF(AND(EDATE($D154,Milestones!$AA$43)&lt;=AsOfDate,IF($R154=0,$X154,IF(AND($T154&lt;&gt;"",EDATE($D154,Milestones!$AA$43)&gt;=$T154),$W154,IF(AND($S154&lt;&gt;"",EDATE($D154,Milestones!$AA$43)&gt;=$S154),$V154,$U154)))=Milestones!$AB$43),UPPER(TEXT(EDATE($D154,Milestones!$AA$43),"dd mmm yy"))&amp;" "&amp;Milestones!$AB$43&amp;" "&amp;Milestones!$AC$43&amp;";  ","")&amp;IF(AND(EDATE($D154,Milestones!$AA$44)&lt;=AsOfDate,IF($R154=0,$X154,IF(AND($T154&lt;&gt;"",EDATE($D154,Milestones!$AA$44)&gt;=$T154),$W154,IF(AND($S154&lt;&gt;"",EDATE($D154,Milestones!$AA$44)&gt;=$S154),$V154,$U154)))=Milestones!$AB$44),UPPER(TEXT(EDATE($D154,Milestones!$AA$44),"dd mmm yy"))&amp;" "&amp;Milestones!$AB$44&amp;" "&amp;Milestones!$AC$44&amp;";  ","")&amp;IF(AND(EDATE($D154,Milestones!$AA$45)&lt;=AsOfDate,IF($R154=0,$X154,IF(AND($T154&lt;&gt;"",EDATE($D154,Milestones!$AA$45)&gt;=$T154),$W154,IF(AND($S154&lt;&gt;"",EDATE($D154,Milestones!$AA$45)&gt;=$S154),$V154,$U154)))=Milestones!$AB$45),UPPER(TEXT(EDATE($D154,Milestones!$AA$45),"dd mmm yy"))&amp;" "&amp;Milestones!$AB$45&amp;" "&amp;Milestones!$AC$45&amp;";  ","")&amp;IF(AND(EDATE($D154,Milestones!$AA$46)&lt;=AsOfDate,IF($R154=0,$X154,IF(AND($T154&lt;&gt;"",EDATE($D154,Milestones!$AA$46)&gt;=$T154),$W154,IF(AND($S154&lt;&gt;"",EDATE($D154,Milestones!$AA$46)&gt;=$S154),$V154,$U154)))=Milestones!$AB$46),UPPER(TEXT(EDATE($D154,Milestones!$AA$46),"dd mmm yy"))&amp;" "&amp;Milestones!$AB$46&amp;" "&amp;Milestones!$AC$46&amp;";  ","")&amp;IF(AND(EDATE($D154,Milestones!$AA$47)&lt;=AsOfDate,IF($R154=0,$X154,IF(AND($T154&lt;&gt;"",EDATE($D154,Milestones!$AA$47)&gt;=$T154),$W154,IF(AND($S154&lt;&gt;"",EDATE($D154,Milestones!$AA$47)&gt;=$S154),$V154,$U154)))=Milestones!$AB$47),UPPER(TEXT(EDATE($D154,Milestones!$AA$47),"dd mmm yy"))&amp;" "&amp;Milestones!$AB$47&amp;" "&amp;Milestones!$AC$47&amp;";  ","")&amp;IF(AND(EDATE($D154,Milestones!$AA$48)&lt;=AsOfDate,IF($R154=0,$X154,IF(AND($T154&lt;&gt;"",EDATE($D154,Milestones!$AA$48)&gt;=$T154),$W154,IF(AND($S154&lt;&gt;"",EDATE($D154,Milestones!$AA$48)&gt;=$S154),$V154,$U154)))=Milestones!$AB$48),UPPER(TEXT(EDATE($D154,Milestones!$AA$48),"dd mmm yy"))&amp;" "&amp;Milestones!$AB$48&amp;" "&amp;Milestones!$AC$48&amp;";  ","")&amp;IF(AND(EDATE($D154,Milestones!$AA$49)&lt;=AsOfDate,IF($R154=0,$X154,IF(AND($T154&lt;&gt;"",EDATE($D154,Milestones!$AA$49)&gt;=$T154),$W154,IF(AND($S154&lt;&gt;"",EDATE($D154,Milestones!$AA$49)&gt;=$S154),$V154,$U154)))=Milestones!$AB$49),UPPER(TEXT(EDATE($D154,Milestones!$AA$49),"dd mmm yy"))&amp;" "&amp;Milestones!$AB$49&amp;" "&amp;Milestones!$AC$49&amp;";  ","")&amp;IF(AND(EDATE($D154,Milestones!$AA$50)&lt;=AsOfDate,IF($R154=0,$X154,IF(AND($T154&lt;&gt;"",EDATE($D154,Milestones!$AA$50)&gt;=$T154),$W154,IF(AND($S154&lt;&gt;"",EDATE($D154,Milestones!$AA$50)&gt;=$S154),$V154,$U154)))=Milestones!$AB$50),UPPER(TEXT(EDATE($D154,Milestones!$AA$50),"dd mmm yy"))&amp;" "&amp;Milestones!$AB$50&amp;" "&amp;Milestones!$AC$50&amp;";  ","")&amp;IF(AND(EDATE($D154,Milestones!$AA$51)&lt;=AsOfDate,IF($R154=0,$X154,IF(AND($T154&lt;&gt;"",EDATE($D154,Milestones!$AA$51)&gt;=$T154),$W154,IF(AND($S154&lt;&gt;"",EDATE($D154,Milestones!$AA$51)&gt;=$S154),$V154,$U154)))=Milestones!$AB$51),UPPER(TEXT(EDATE($D154,Milestones!$AA$51),"dd mmm yy"))&amp;" "&amp;Milestones!$AB$51&amp;" "&amp;Milestones!$AC$51&amp;";  ","")&amp;IF(AND(EDATE($D154,Milestones!$AA$52)&lt;=AsOfDate,IF($R154=0,$X154,IF(AND($T154&lt;&gt;"",EDATE($D154,Milestones!$AA$52)&gt;=$T154),$W154,IF(AND($S154&lt;&gt;"",EDATE($D154,Milestones!$AA$52)&gt;=$S154),$V154,$U154)))=Milestones!$AB$52),UPPER(TEXT(EDATE($D154,Milestones!$AA$52),"dd mmm yy"))&amp;" "&amp;Milestones!$AB$52&amp;" "&amp;Milestones!$AC$52&amp;";  ","")&amp;IF(AND(EDATE($D154,Milestones!$AA$53)&lt;=AsOfDate,IF($R154=0,$X154,IF(AND($T154&lt;&gt;"",EDATE($D154,Milestones!$AA$53)&gt;=$T154),$W154,IF(AND($S154&lt;&gt;"",EDATE($D154,Milestones!$AA$53)&gt;=$S154),$V154,$U154)))=Milestones!$AB$53),UPPER(TEXT(EDATE($D154,Milestones!$AA$53),"dd mmm yy"))&amp;" "&amp;Milestones!$AB$53&amp;" "&amp;Milestones!$AC$53&amp;";  ","")&amp;IF(AND(EDATE($D154,Milestones!$AA$54)&lt;=AsOfDate,IF($R154=0,$X154,IF(AND($T154&lt;&gt;"",EDATE($D154,Milestones!$AA$54)&gt;=$T154),$W154,IF(AND($S154&lt;&gt;"",EDATE($D154,Milestones!$AA$54)&gt;=$S154),$V154,$U154)))=Milestones!$AB$54),UPPER(TEXT(EDATE($D154,Milestones!$AA$54),"dd mmm yy"))&amp;" "&amp;Milestones!$AB$54&amp;" "&amp;Milestones!$AC$54&amp;";  ","")&amp;IF(AND(EDATE($D154,Milestones!$AA$55)&lt;=AsOfDate,IF($R154=0,$X154,IF(AND($T154&lt;&gt;"",EDATE($D154,Milestones!$AA$55)&gt;=$T154),$W154,IF(AND($S154&lt;&gt;"",EDATE($D154,Milestones!$AA$55)&gt;=$S154),$V154,$U154)))=Milestones!$AB$55),UPPER(TEXT(EDATE($D154,Milestones!$AA$55),"dd mmm yy"))&amp;" "&amp;Milestones!$AB$55&amp;" "&amp;Milestones!$AC$55&amp;";  ","")&amp;IF(AND(EDATE($D154,Milestones!$AA$56)&lt;=AsOfDate,IF($R154=0,$X154,IF(AND($T154&lt;&gt;"",EDATE($D154,Milestones!$AA$56)&gt;=$T154),$W154,IF(AND($S154&lt;&gt;"",EDATE($D154,Milestones!$AA$56)&gt;=$S154),$V154,$U154)))=Milestones!$AB$56),UPPER(TEXT(EDATE($D154,Milestones!$AA$56),"dd mmm yy"))&amp;" "&amp;Milestones!$AB$56&amp;" "&amp;Milestones!$AC$56&amp;";  ","")&amp;IF(AND(EDATE($D154,Milestones!$AA$57)&lt;=AsOfDate,IF($R154=0,$X154,IF(AND($T154&lt;&gt;"",EDATE($D154,Milestones!$AA$57)&gt;=$T154),$W154,IF(AND($S154&lt;&gt;"",EDATE($D154,Milestones!$AA$57)&gt;=$S154),$V154,$U154)))=Milestones!$AB$57),UPPER(TEXT(EDATE($D154,Milestones!$AA$57),"dd mmm yy"))&amp;" "&amp;Milestones!$AB$57&amp;" "&amp;Milestones!$AC$57&amp;";  ","")&amp;IF(AND(EDATE($D154,Milestones!$AA$58)&lt;=AsOfDate,IF($R154=0,$X154,IF(AND($T154&lt;&gt;"",EDATE($D154,Milestones!$AA$58)&gt;=$T154),$W154,IF(AND($S154&lt;&gt;"",EDATE($D154,Milestones!$AA$58)&gt;=$S154),$V154,$U154)))=Milestones!$AB$58),UPPER(TEXT(EDATE($D154,Milestones!$AA$58),"dd mmm yy"))&amp;" "&amp;Milestones!$AB$58&amp;" "&amp;Milestones!$AC$58&amp;";  ","")&amp;IF(AND(EDATE($D154,Milestones!$AA$59)&lt;=AsOfDate,IF($R154=0,$X154,IF(AND($T154&lt;&gt;"",EDATE($D154,Milestones!$AA$59)&gt;=$T154),$W154,IF(AND($S154&lt;&gt;"",EDATE($D154,Milestones!$AA$59)&gt;=$S154),$V154,$U154)))=Milestones!$AB$59),UPPER(TEXT(EDATE($D154,Milestones!$AA$59),"dd mmm yy"))&amp;" "&amp;Milestones!$AB$59&amp;" "&amp;Milestones!$AC$59&amp;";  ",""))</f>
        <v/>
      </c>
      <c r="K154" s="0" t="str">
        <f aca="false">IF(OR($A154="",$D154=""),"",IF(AND(EDATE($D154,Milestones!$AA$60)&lt;=AsOfDate,IF($R154=0,$X154,IF(AND($T154&lt;&gt;"",EDATE($D154,Milestones!$AA$60)&gt;=$T154),$W154,IF(AND($S154&lt;&gt;"",EDATE($D154,Milestones!$AA$60)&gt;=$S154),$V154,$U154)))=Milestones!$AB$60),UPPER(TEXT(EDATE($D154,Milestones!$AA$60),"dd mmm yy"))&amp;" "&amp;Milestones!$AB$60&amp;" "&amp;Milestones!$AC$60&amp;";  ","")&amp;IF(AND(EDATE($D154,Milestones!$AA$61)&lt;=AsOfDate,IF($R154=0,$X154,IF(AND($T154&lt;&gt;"",EDATE($D154,Milestones!$AA$61)&gt;=$T154),$W154,IF(AND($S154&lt;&gt;"",EDATE($D154,Milestones!$AA$61)&gt;=$S154),$V154,$U154)))=Milestones!$AB$61),UPPER(TEXT(EDATE($D154,Milestones!$AA$61),"dd mmm yy"))&amp;" "&amp;Milestones!$AB$61&amp;" "&amp;Milestones!$AC$61&amp;";  ","")&amp;IF(AND(EDATE($D154,Milestones!$AA$62)&lt;=AsOfDate,IF($R154=0,$X154,IF(AND($T154&lt;&gt;"",EDATE($D154,Milestones!$AA$62)&gt;=$T154),$W154,IF(AND($S154&lt;&gt;"",EDATE($D154,Milestones!$AA$62)&gt;=$S154),$V154,$U154)))=Milestones!$AB$62),UPPER(TEXT(EDATE($D154,Milestones!$AA$62),"dd mmm yy"))&amp;" "&amp;Milestones!$AB$62&amp;" "&amp;Milestones!$AC$62&amp;";  ","")&amp;IF(AND(EDATE($D154,Milestones!$AA$63)&lt;=AsOfDate,IF($R154=0,$X154,IF(AND($T154&lt;&gt;"",EDATE($D154,Milestones!$AA$63)&gt;=$T154),$W154,IF(AND($S154&lt;&gt;"",EDATE($D154,Milestones!$AA$63)&gt;=$S154),$V154,$U154)))=Milestones!$AB$63),UPPER(TEXT(EDATE($D154,Milestones!$AA$63),"dd mmm yy"))&amp;" "&amp;Milestones!$AB$63&amp;" "&amp;Milestones!$AC$63&amp;";  ","")&amp;IF(AND(EDATE($D154,Milestones!$AA$64)&lt;=AsOfDate,IF($R154=0,$X154,IF(AND($T154&lt;&gt;"",EDATE($D154,Milestones!$AA$64)&gt;=$T154),$W154,IF(AND($S154&lt;&gt;"",EDATE($D154,Milestones!$AA$64)&gt;=$S154),$V154,$U154)))=Milestones!$AB$64),UPPER(TEXT(EDATE($D154,Milestones!$AA$64),"dd mmm yy"))&amp;" "&amp;Milestones!$AB$64&amp;" "&amp;Milestones!$AC$64&amp;";  ","")&amp;IF(AND(EDATE($D154,Milestones!$AA$65)&lt;=AsOfDate,IF($R154=0,$X154,IF(AND($T154&lt;&gt;"",EDATE($D154,Milestones!$AA$65)&gt;=$T154),$W154,IF(AND($S154&lt;&gt;"",EDATE($D154,Milestones!$AA$65)&gt;=$S154),$V154,$U154)))=Milestones!$AB$65),UPPER(TEXT(EDATE($D154,Milestones!$AA$65),"dd mmm yy"))&amp;" "&amp;Milestones!$AB$65&amp;" "&amp;Milestones!$AC$65&amp;";  ","")&amp;IF(AND(EDATE($D154,Milestones!$AA$66)&lt;=AsOfDate,IF($R154=0,$X154,IF(AND($T154&lt;&gt;"",EDATE($D154,Milestones!$AA$66)&gt;=$T154),$W154,IF(AND($S154&lt;&gt;"",EDATE($D154,Milestones!$AA$66)&gt;=$S154),$V154,$U154)))=Milestones!$AB$66),UPPER(TEXT(EDATE($D154,Milestones!$AA$66),"dd mmm yy"))&amp;" "&amp;Milestones!$AB$66&amp;" "&amp;Milestones!$AC$66&amp;";  ","")&amp;IF(AND(EDATE($D154,Milestones!$AA$67)&lt;=AsOfDate,IF($R154=0,$X154,IF(AND($T154&lt;&gt;"",EDATE($D154,Milestones!$AA$67)&gt;=$T154),$W154,IF(AND($S154&lt;&gt;"",EDATE($D154,Milestones!$AA$67)&gt;=$S154),$V154,$U154)))=Milestones!$AB$67),UPPER(TEXT(EDATE($D154,Milestones!$AA$67),"dd mmm yy"))&amp;" "&amp;Milestones!$AB$67&amp;" "&amp;Milestones!$AC$67&amp;";  ","")&amp;IF(AND(EDATE($D154,Milestones!$AA$68)&lt;=AsOfDate,IF($R154=0,$X154,IF(AND($T154&lt;&gt;"",EDATE($D154,Milestones!$AA$68)&gt;=$T154),$W154,IF(AND($S154&lt;&gt;"",EDATE($D154,Milestones!$AA$68)&gt;=$S154),$V154,$U154)))=Milestones!$AB$68),UPPER(TEXT(EDATE($D154,Milestones!$AA$68),"dd mmm yy"))&amp;" "&amp;Milestones!$AB$68&amp;" "&amp;Milestones!$AC$68&amp;";  ","")&amp;IF(AND(EDATE($D154,Milestones!$AA$69)&lt;=AsOfDate,IF($R154=0,$X154,IF(AND($T154&lt;&gt;"",EDATE($D154,Milestones!$AA$69)&gt;=$T154),$W154,IF(AND($S154&lt;&gt;"",EDATE($D154,Milestones!$AA$69)&gt;=$S154),$V154,$U154)))=Milestones!$AB$69),UPPER(TEXT(EDATE($D154,Milestones!$AA$69),"dd mmm yy"))&amp;" "&amp;Milestones!$AB$69&amp;" "&amp;Milestones!$AC$69&amp;";  ","")&amp;IF(AND(EDATE($D154,Milestones!$AA$70)&lt;=AsOfDate,IF($R154=0,$X154,IF(AND($T154&lt;&gt;"",EDATE($D154,Milestones!$AA$70)&gt;=$T154),$W154,IF(AND($S154&lt;&gt;"",EDATE($D154,Milestones!$AA$70)&gt;=$S154),$V154,$U154)))=Milestones!$AB$70),UPPER(TEXT(EDATE($D154,Milestones!$AA$70),"dd mmm yy"))&amp;" "&amp;Milestones!$AB$70&amp;" "&amp;Milestones!$AC$70&amp;";  ","")&amp;IF(AND(EDATE($D154,Milestones!$AA$71)&lt;=AsOfDate,IF($R154=0,$X154,IF(AND($T154&lt;&gt;"",EDATE($D154,Milestones!$AA$71)&gt;=$T154),$W154,IF(AND($S154&lt;&gt;"",EDATE($D154,Milestones!$AA$71)&gt;=$S154),$V154,$U154)))=Milestones!$AB$71),UPPER(TEXT(EDATE($D154,Milestones!$AA$71),"dd mmm yy"))&amp;" "&amp;Milestones!$AB$71&amp;" "&amp;Milestones!$AC$71&amp;";  ","")&amp;IF(AND(EDATE($D154,Milestones!$AA$72)&lt;=AsOfDate,IF($R154=0,$X154,IF(AND($T154&lt;&gt;"",EDATE($D154,Milestones!$AA$72)&gt;=$T154),$W154,IF(AND($S154&lt;&gt;"",EDATE($D154,Milestones!$AA$72)&gt;=$S154),$V154,$U154)))=Milestones!$AB$72),UPPER(TEXT(EDATE($D154,Milestones!$AA$72),"dd mmm yy"))&amp;" "&amp;Milestones!$AB$72&amp;" "&amp;Milestones!$AC$72&amp;";  ","")&amp;IF(AND(EDATE($D154,Milestones!$AA$73)&lt;=AsOfDate,IF($R154=0,$X154,IF(AND($T154&lt;&gt;"",EDATE($D154,Milestones!$AA$73)&gt;=$T154),$W154,IF(AND($S154&lt;&gt;"",EDATE($D154,Milestones!$AA$73)&gt;=$S154),$V154,$U154)))=Milestones!$AB$73),UPPER(TEXT(EDATE($D154,Milestones!$AA$73),"dd mmm yy"))&amp;" "&amp;Milestones!$AB$73&amp;" "&amp;Milestones!$AC$73&amp;";  ","")&amp;IF(AND(EDATE($D154,Milestones!$AA$74)&lt;=AsOfDate,IF($R154=0,$X154,IF(AND($T154&lt;&gt;"",EDATE($D154,Milestones!$AA$74)&gt;=$T154),$W154,IF(AND($S154&lt;&gt;"",EDATE($D154,Milestones!$AA$74)&gt;=$S154),$V154,$U154)))=Milestones!$AB$74),UPPER(TEXT(EDATE($D154,Milestones!$AA$74),"dd mmm yy"))&amp;" "&amp;Milestones!$AB$74&amp;" "&amp;Milestones!$AC$74&amp;";  ","")&amp;IF(AND(EDATE($D154,Milestones!$AA$75)&lt;=AsOfDate,IF($R154=0,$X154,IF(AND($T154&lt;&gt;"",EDATE($D154,Milestones!$AA$75)&gt;=$T154),$W154,IF(AND($S154&lt;&gt;"",EDATE($D154,Milestones!$AA$75)&gt;=$S154),$V154,$U154)))=Milestones!$AB$75),UPPER(TEXT(EDATE($D154,Milestones!$AA$75),"dd mmm yy"))&amp;" "&amp;Milestones!$AB$75&amp;" "&amp;Milestones!$AC$75&amp;";  ","")&amp;IF(AND(EDATE($D154,Milestones!$AA$76)&lt;=AsOfDate,IF($R154=0,$X154,IF(AND($T154&lt;&gt;"",EDATE($D154,Milestones!$AA$76)&gt;=$T154),$W154,IF(AND($S154&lt;&gt;"",EDATE($D154,Milestones!$AA$76)&gt;=$S154),$V154,$U154)))=Milestones!$AB$76),UPPER(TEXT(EDATE($D154,Milestones!$AA$76),"dd mmm yy"))&amp;" "&amp;Milestones!$AB$76&amp;" "&amp;Milestones!$AC$76&amp;";  ","")&amp;IF(AND(EDATE($D154,Milestones!$AA$77)&lt;=AsOfDate,IF($R154=0,$X154,IF(AND($T154&lt;&gt;"",EDATE($D154,Milestones!$AA$77)&gt;=$T154),$W154,IF(AND($S154&lt;&gt;"",EDATE($D154,Milestones!$AA$77)&gt;=$S154),$V154,$U154)))=Milestones!$AB$77),UPPER(TEXT(EDATE($D154,Milestones!$AA$77),"dd mmm yy"))&amp;" "&amp;Milestones!$AB$77&amp;" "&amp;Milestones!$AC$77&amp;";  ","")&amp;IF(AND(EDATE($D154,Milestones!$AA$78)&lt;=AsOfDate,IF($R154=0,$X154,IF(AND($T154&lt;&gt;"",EDATE($D154,Milestones!$AA$78)&gt;=$T154),$W154,IF(AND($S154&lt;&gt;"",EDATE($D154,Milestones!$AA$78)&gt;=$S154),$V154,$U154)))=Milestones!$AB$78),UPPER(TEXT(EDATE($D154,Milestones!$AA$78),"dd mmm yy"))&amp;" "&amp;Milestones!$AB$78&amp;" "&amp;Milestones!$AC$78&amp;";  ","")&amp;IF(AND(EDATE($D154,Milestones!$AA$79)&lt;=AsOfDate,IF($R154=0,$X154,IF(AND($T154&lt;&gt;"",EDATE($D154,Milestones!$AA$79)&gt;=$T154),$W154,IF(AND($S154&lt;&gt;"",EDATE($D154,Milestones!$AA$79)&gt;=$S154),$V154,$U154)))=Milestones!$AB$79),UPPER(TEXT(EDATE($D154,Milestones!$AA$79),"dd mmm yy"))&amp;" "&amp;Milestones!$AB$79&amp;" "&amp;Milestones!$AC$79&amp;";  ",""))</f>
        <v/>
      </c>
      <c r="L154" s="0" t="str">
        <f aca="false">IF(OR($A154="",$D154=""),"",IF(AND(EDATE($D154,Milestones!$AA$80)&lt;=AsOfDate,IF($R154=0,$X154,IF(AND($T154&lt;&gt;"",EDATE($D154,Milestones!$AA$80)&gt;=$T154),$W154,IF(AND($S154&lt;&gt;"",EDATE($D154,Milestones!$AA$80)&gt;=$S154),$V154,$U154)))=Milestones!$AB$80),UPPER(TEXT(EDATE($D154,Milestones!$AA$80),"dd mmm yy"))&amp;" "&amp;Milestones!$AB$80&amp;" "&amp;Milestones!$AC$80&amp;";  ","")&amp;IF(AND(EDATE($D154,Milestones!$AA$81)&lt;=AsOfDate,IF($R154=0,$X154,IF(AND($T154&lt;&gt;"",EDATE($D154,Milestones!$AA$81)&gt;=$T154),$W154,IF(AND($S154&lt;&gt;"",EDATE($D154,Milestones!$AA$81)&gt;=$S154),$V154,$U154)))=Milestones!$AB$81),UPPER(TEXT(EDATE($D154,Milestones!$AA$81),"dd mmm yy"))&amp;" "&amp;Milestones!$AB$81&amp;" "&amp;Milestones!$AC$81&amp;";  ","")&amp;IF(AND(EDATE($D154,Milestones!$AA$82)&lt;=AsOfDate,IF($R154=0,$X154,IF(AND($T154&lt;&gt;"",EDATE($D154,Milestones!$AA$82)&gt;=$T154),$W154,IF(AND($S154&lt;&gt;"",EDATE($D154,Milestones!$AA$82)&gt;=$S154),$V154,$U154)))=Milestones!$AB$82),UPPER(TEXT(EDATE($D154,Milestones!$AA$82),"dd mmm yy"))&amp;" "&amp;Milestones!$AB$82&amp;" "&amp;Milestones!$AC$82&amp;";  ","")&amp;IF(AND(EDATE($D154,Milestones!$AA$83)&lt;=AsOfDate,IF($R154=0,$X154,IF(AND($T154&lt;&gt;"",EDATE($D154,Milestones!$AA$83)&gt;=$T154),$W154,IF(AND($S154&lt;&gt;"",EDATE($D154,Milestones!$AA$83)&gt;=$S154),$V154,$U154)))=Milestones!$AB$83),UPPER(TEXT(EDATE($D154,Milestones!$AA$83),"dd mmm yy"))&amp;" "&amp;Milestones!$AB$83&amp;" "&amp;Milestones!$AC$83&amp;";  ","")&amp;IF(AND(EDATE($D154,Milestones!$AA$84)&lt;=AsOfDate,IF($R154=0,$X154,IF(AND($T154&lt;&gt;"",EDATE($D154,Milestones!$AA$84)&gt;=$T154),$W154,IF(AND($S154&lt;&gt;"",EDATE($D154,Milestones!$AA$84)&gt;=$S154),$V154,$U154)))=Milestones!$AB$84),UPPER(TEXT(EDATE($D154,Milestones!$AA$84),"dd mmm yy"))&amp;" "&amp;Milestones!$AB$84&amp;" "&amp;Milestones!$AC$84&amp;";  ","")&amp;IF(AND(EDATE($D154,Milestones!$AA$85)&lt;=AsOfDate,IF($R154=0,$X154,IF(AND($T154&lt;&gt;"",EDATE($D154,Milestones!$AA$85)&gt;=$T154),$W154,IF(AND($S154&lt;&gt;"",EDATE($D154,Milestones!$AA$85)&gt;=$S154),$V154,$U154)))=Milestones!$AB$85),UPPER(TEXT(EDATE($D154,Milestones!$AA$85),"dd mmm yy"))&amp;" "&amp;Milestones!$AB$85&amp;" "&amp;Milestones!$AC$85&amp;";  ","")&amp;IF(AND(EDATE($D154,Milestones!$AA$86)&lt;=AsOfDate,IF($R154=0,$X154,IF(AND($T154&lt;&gt;"",EDATE($D154,Milestones!$AA$86)&gt;=$T154),$W154,IF(AND($S154&lt;&gt;"",EDATE($D154,Milestones!$AA$86)&gt;=$S154),$V154,$U154)))=Milestones!$AB$86),UPPER(TEXT(EDATE($D154,Milestones!$AA$86),"dd mmm yy"))&amp;" "&amp;Milestones!$AB$86&amp;" "&amp;Milestones!$AC$86&amp;";  ","")&amp;IF(AND(EDATE($D154,Milestones!$AA$87)&lt;=AsOfDate,IF($R154=0,$X154,IF(AND($T154&lt;&gt;"",EDATE($D154,Milestones!$AA$87)&gt;=$T154),$W154,IF(AND($S154&lt;&gt;"",EDATE($D154,Milestones!$AA$87)&gt;=$S154),$V154,$U154)))=Milestones!$AB$87),UPPER(TEXT(EDATE($D154,Milestones!$AA$87),"dd mmm yy"))&amp;" "&amp;Milestones!$AB$87&amp;" "&amp;Milestones!$AC$87&amp;";  ","")&amp;IF(AND(EDATE($D154,Milestones!$AA$88)&lt;=AsOfDate,IF($R154=0,$X154,IF(AND($T154&lt;&gt;"",EDATE($D154,Milestones!$AA$88)&gt;=$T154),$W154,IF(AND($S154&lt;&gt;"",EDATE($D154,Milestones!$AA$88)&gt;=$S154),$V154,$U154)))=Milestones!$AB$88),UPPER(TEXT(EDATE($D154,Milestones!$AA$88),"dd mmm yy"))&amp;" "&amp;Milestones!$AB$88&amp;" "&amp;Milestones!$AC$88&amp;";  ","")&amp;IF(AND(EDATE($D154,Milestones!$AA$89)&lt;=AsOfDate,IF($R154=0,$X154,IF(AND($T154&lt;&gt;"",EDATE($D154,Milestones!$AA$89)&gt;=$T154),$W154,IF(AND($S154&lt;&gt;"",EDATE($D154,Milestones!$AA$89)&gt;=$S154),$V154,$U154)))=Milestones!$AB$89),UPPER(TEXT(EDATE($D154,Milestones!$AA$89),"dd mmm yy"))&amp;" "&amp;Milestones!$AB$89&amp;" "&amp;Milestones!$AC$89&amp;";  ","")&amp;IF(AND(EDATE($D154,Milestones!$AA$90)&lt;=AsOfDate,IF($R154=0,$X154,IF(AND($T154&lt;&gt;"",EDATE($D154,Milestones!$AA$90)&gt;=$T154),$W154,IF(AND($S154&lt;&gt;"",EDATE($D154,Milestones!$AA$90)&gt;=$S154),$V154,$U154)))=Milestones!$AB$90),UPPER(TEXT(EDATE($D154,Milestones!$AA$90),"dd mmm yy"))&amp;" "&amp;Milestones!$AB$90&amp;" "&amp;Milestones!$AC$90&amp;";  ","")&amp;IF(AND(EDATE($D154,Milestones!$AA$91)&lt;=AsOfDate,IF($R154=0,$X154,IF(AND($T154&lt;&gt;"",EDATE($D154,Milestones!$AA$91)&gt;=$T154),$W154,IF(AND($S154&lt;&gt;"",EDATE($D154,Milestones!$AA$91)&gt;=$S154),$V154,$U154)))=Milestones!$AB$91),UPPER(TEXT(EDATE($D154,Milestones!$AA$91),"dd mmm yy"))&amp;" "&amp;Milestones!$AB$91&amp;" "&amp;Milestones!$AC$91&amp;";  ","")&amp;IF(AND(EDATE($D154,Milestones!$AA$92)&lt;=AsOfDate,IF($R154=0,$X154,IF(AND($T154&lt;&gt;"",EDATE($D154,Milestones!$AA$92)&gt;=$T154),$W154,IF(AND($S154&lt;&gt;"",EDATE($D154,Milestones!$AA$92)&gt;=$S154),$V154,$U154)))=Milestones!$AB$92),UPPER(TEXT(EDATE($D154,Milestones!$AA$92),"dd mmm yy"))&amp;" "&amp;Milestones!$AB$92&amp;" "&amp;Milestones!$AC$92&amp;";  ","")&amp;IF(AND(EDATE($D154,Milestones!$AA$93)&lt;=AsOfDate,IF($R154=0,$X154,IF(AND($T154&lt;&gt;"",EDATE($D154,Milestones!$AA$93)&gt;=$T154),$W154,IF(AND($S154&lt;&gt;"",EDATE($D154,Milestones!$AA$93)&gt;=$S154),$V154,$U154)))=Milestones!$AB$93),UPPER(TEXT(EDATE($D154,Milestones!$AA$93),"dd mmm yy"))&amp;" "&amp;Milestones!$AB$93&amp;" "&amp;Milestones!$AC$93&amp;";  ","")&amp;IF(AND(EDATE($D154,Milestones!$AA$94)&lt;=AsOfDate,IF($R154=0,$X154,IF(AND($T154&lt;&gt;"",EDATE($D154,Milestones!$AA$94)&gt;=$T154),$W154,IF(AND($S154&lt;&gt;"",EDATE($D154,Milestones!$AA$94)&gt;=$S154),$V154,$U154)))=Milestones!$AB$94),UPPER(TEXT(EDATE($D154,Milestones!$AA$94),"dd mmm yy"))&amp;" "&amp;Milestones!$AB$94&amp;" "&amp;Milestones!$AC$94&amp;";  ","")&amp;IF(AND(EDATE($D154,Milestones!$AA$95)&lt;=AsOfDate,IF($R154=0,$X154,IF(AND($T154&lt;&gt;"",EDATE($D154,Milestones!$AA$95)&gt;=$T154),$W154,IF(AND($S154&lt;&gt;"",EDATE($D154,Milestones!$AA$95)&gt;=$S154),$V154,$U154)))=Milestones!$AB$95),UPPER(TEXT(EDATE($D154,Milestones!$AA$95),"dd mmm yy"))&amp;" "&amp;Milestones!$AB$95&amp;" "&amp;Milestones!$AC$95&amp;";  ","")&amp;IF(AND(EDATE($D154,Milestones!$AA$96)&lt;=AsOfDate,IF($R154=0,$X154,IF(AND($T154&lt;&gt;"",EDATE($D154,Milestones!$AA$96)&gt;=$T154),$W154,IF(AND($S154&lt;&gt;"",EDATE($D154,Milestones!$AA$96)&gt;=$S154),$V154,$U154)))=Milestones!$AB$96),UPPER(TEXT(EDATE($D154,Milestones!$AA$96),"dd mmm yy"))&amp;" "&amp;Milestones!$AB$96&amp;" "&amp;Milestones!$AC$96&amp;";  ","")&amp;IF(AND(EDATE($D154,Milestones!$AA$97)&lt;=AsOfDate,IF($R154=0,$X154,IF(AND($T154&lt;&gt;"",EDATE($D154,Milestones!$AA$97)&gt;=$T154),$W154,IF(AND($S154&lt;&gt;"",EDATE($D154,Milestones!$AA$97)&gt;=$S154),$V154,$U154)))=Milestones!$AB$97),UPPER(TEXT(EDATE($D154,Milestones!$AA$97),"dd mmm yy"))&amp;" "&amp;Milestones!$AB$97&amp;" "&amp;Milestones!$AC$97&amp;";  ","")&amp;IF(AND(EDATE($D154,Milestones!$AA$98)&lt;=AsOfDate,IF($R154=0,$X154,IF(AND($T154&lt;&gt;"",EDATE($D154,Milestones!$AA$98)&gt;=$T154),$W154,IF(AND($S154&lt;&gt;"",EDATE($D154,Milestones!$AA$98)&gt;=$S154),$V154,$U154)))=Milestones!$AB$98),UPPER(TEXT(EDATE($D154,Milestones!$AA$98),"dd mmm yy"))&amp;" "&amp;Milestones!$AB$98&amp;" "&amp;Milestones!$AC$98&amp;";  ","")&amp;IF(AND(EDATE($D154,Milestones!$AA$99)&lt;=AsOfDate,IF($R154=0,$X154,IF(AND($T154&lt;&gt;"",EDATE($D154,Milestones!$AA$99)&gt;=$T154),$W154,IF(AND($S154&lt;&gt;"",EDATE($D154,Milestones!$AA$99)&gt;=$S154),$V154,$U154)))=Milestones!$AB$99),UPPER(TEXT(EDATE($D154,Milestones!$AA$99),"dd mmm yy"))&amp;" "&amp;Milestones!$AB$99&amp;" "&amp;Milestones!$AC$99&amp;";  ",""))</f>
        <v/>
      </c>
      <c r="M154" s="0" t="str">
        <f aca="false">IF(OR($A154="",$D154=""),"",IF(AND(EDATE($D154,Milestones!$AA$100)&lt;=AsOfDate,IF($R154=0,$X154,IF(AND($T154&lt;&gt;"",EDATE($D154,Milestones!$AA$100)&gt;=$T154),$W154,IF(AND($S154&lt;&gt;"",EDATE($D154,Milestones!$AA$100)&gt;=$S154),$V154,$U154)))=Milestones!$AB$100),UPPER(TEXT(EDATE($D154,Milestones!$AA$100),"dd mmm yy"))&amp;" "&amp;Milestones!$AB$100&amp;" "&amp;Milestones!$AC$100&amp;";  ","")&amp;IF(AND(EDATE($D154,Milestones!$AA$101)&lt;=AsOfDate,IF($R154=0,$X154,IF(AND($T154&lt;&gt;"",EDATE($D154,Milestones!$AA$101)&gt;=$T154),$W154,IF(AND($S154&lt;&gt;"",EDATE($D154,Milestones!$AA$101)&gt;=$S154),$V154,$U154)))=Milestones!$AB$101),UPPER(TEXT(EDATE($D154,Milestones!$AA$101),"dd mmm yy"))&amp;" "&amp;Milestones!$AB$101&amp;" "&amp;Milestones!$AC$101&amp;";  ","")&amp;IF(AND(EDATE($D154,Milestones!$AA$102)&lt;=AsOfDate,IF($R154=0,$X154,IF(AND($T154&lt;&gt;"",EDATE($D154,Milestones!$AA$102)&gt;=$T154),$W154,IF(AND($S154&lt;&gt;"",EDATE($D154,Milestones!$AA$102)&gt;=$S154),$V154,$U154)))=Milestones!$AB$102),UPPER(TEXT(EDATE($D154,Milestones!$AA$102),"dd mmm yy"))&amp;" "&amp;Milestones!$AB$102&amp;" "&amp;Milestones!$AC$102&amp;";  ","")&amp;IF(AND(EDATE($D154,Milestones!$AA$103)&lt;=AsOfDate,IF($R154=0,$X154,IF(AND($T154&lt;&gt;"",EDATE($D154,Milestones!$AA$103)&gt;=$T154),$W154,IF(AND($S154&lt;&gt;"",EDATE($D154,Milestones!$AA$103)&gt;=$S154),$V154,$U154)))=Milestones!$AB$103),UPPER(TEXT(EDATE($D154,Milestones!$AA$103),"dd mmm yy"))&amp;" "&amp;Milestones!$AB$103&amp;" "&amp;Milestones!$AC$103&amp;";  ","")&amp;IF(AND(EDATE($D154,Milestones!$AA$104)&lt;=AsOfDate,IF($R154=0,$X154,IF(AND($T154&lt;&gt;"",EDATE($D154,Milestones!$AA$104)&gt;=$T154),$W154,IF(AND($S154&lt;&gt;"",EDATE($D154,Milestones!$AA$104)&gt;=$S154),$V154,$U154)))=Milestones!$AB$104),UPPER(TEXT(EDATE($D154,Milestones!$AA$104),"dd mmm yy"))&amp;" "&amp;Milestones!$AB$104&amp;" "&amp;Milestones!$AC$104&amp;";  ","")&amp;IF(AND(EDATE($D154,Milestones!$AA$105)&lt;=AsOfDate,IF($R154=0,$X154,IF(AND($T154&lt;&gt;"",EDATE($D154,Milestones!$AA$105)&gt;=$T154),$W154,IF(AND($S154&lt;&gt;"",EDATE($D154,Milestones!$AA$105)&gt;=$S154),$V154,$U154)))=Milestones!$AB$105),UPPER(TEXT(EDATE($D154,Milestones!$AA$105),"dd mmm yy"))&amp;" "&amp;Milestones!$AB$105&amp;" "&amp;Milestones!$AC$105&amp;";  ","")&amp;IF(AND(EDATE($D154,Milestones!$AA$106)&lt;=AsOfDate,IF($R154=0,$X154,IF(AND($T154&lt;&gt;"",EDATE($D154,Milestones!$AA$106)&gt;=$T154),$W154,IF(AND($S154&lt;&gt;"",EDATE($D154,Milestones!$AA$106)&gt;=$S154),$V154,$U154)))=Milestones!$AB$106),UPPER(TEXT(EDATE($D154,Milestones!$AA$106),"dd mmm yy"))&amp;" "&amp;Milestones!$AB$106&amp;" "&amp;Milestones!$AC$106&amp;";  ","")&amp;IF(AND(EDATE($D154,Milestones!$AA$107)&lt;=AsOfDate,IF($R154=0,$X154,IF(AND($T154&lt;&gt;"",EDATE($D154,Milestones!$AA$107)&gt;=$T154),$W154,IF(AND($S154&lt;&gt;"",EDATE($D154,Milestones!$AA$107)&gt;=$S154),$V154,$U154)))=Milestones!$AB$107),UPPER(TEXT(EDATE($D154,Milestones!$AA$107),"dd mmm yy"))&amp;" "&amp;Milestones!$AB$107&amp;" "&amp;Milestones!$AC$107&amp;";  ","")&amp;IF(AND(EDATE($D154,Milestones!$AA$108)&lt;=AsOfDate,IF($R154=0,$X154,IF(AND($T154&lt;&gt;"",EDATE($D154,Milestones!$AA$108)&gt;=$T154),$W154,IF(AND($S154&lt;&gt;"",EDATE($D154,Milestones!$AA$108)&gt;=$S154),$V154,$U154)))=Milestones!$AB$108),UPPER(TEXT(EDATE($D154,Milestones!$AA$108),"dd mmm yy"))&amp;" "&amp;Milestones!$AB$108&amp;" "&amp;Milestones!$AC$108&amp;";  ","")&amp;IF(AND(EDATE($D154,Milestones!$AA$109)&lt;=AsOfDate,IF($R154=0,$X154,IF(AND($T154&lt;&gt;"",EDATE($D154,Milestones!$AA$109)&gt;=$T154),$W154,IF(AND($S154&lt;&gt;"",EDATE($D154,Milestones!$AA$109)&gt;=$S154),$V154,$U154)))=Milestones!$AB$109),UPPER(TEXT(EDATE($D154,Milestones!$AA$109),"dd mmm yy"))&amp;" "&amp;Milestones!$AB$109&amp;" "&amp;Milestones!$AC$109&amp;";  ","")&amp;IF(AND(EDATE($D154,Milestones!$AA$110)&lt;=AsOfDate,IF($R154=0,$X154,IF(AND($T154&lt;&gt;"",EDATE($D154,Milestones!$AA$110)&gt;=$T154),$W154,IF(AND($S154&lt;&gt;"",EDATE($D154,Milestones!$AA$110)&gt;=$S154),$V154,$U154)))=Milestones!$AB$110),UPPER(TEXT(EDATE($D154,Milestones!$AA$110),"dd mmm yy"))&amp;" "&amp;Milestones!$AB$110&amp;" "&amp;Milestones!$AC$110&amp;";  ","")&amp;IF(AND(EDATE($D154,Milestones!$AA$111)&lt;=AsOfDate,IF($R154=0,$X154,IF(AND($T154&lt;&gt;"",EDATE($D154,Milestones!$AA$111)&gt;=$T154),$W154,IF(AND($S154&lt;&gt;"",EDATE($D154,Milestones!$AA$111)&gt;=$S154),$V154,$U154)))=Milestones!$AB$111),UPPER(TEXT(EDATE($D154,Milestones!$AA$111),"dd mmm yy"))&amp;" "&amp;Milestones!$AB$111&amp;" "&amp;Milestones!$AC$111&amp;";  ","")&amp;IF(AND(EDATE($D154,Milestones!$AA$112)&lt;=AsOfDate,IF($R154=0,$X154,IF(AND($T154&lt;&gt;"",EDATE($D154,Milestones!$AA$112)&gt;=$T154),$W154,IF(AND($S154&lt;&gt;"",EDATE($D154,Milestones!$AA$112)&gt;=$S154),$V154,$U154)))=Milestones!$AB$112),UPPER(TEXT(EDATE($D154,Milestones!$AA$112),"dd mmm yy"))&amp;" "&amp;Milestones!$AB$112&amp;" "&amp;Milestones!$AC$112&amp;";  ","")&amp;IF(AND(EDATE($D154,Milestones!$AA$113)&lt;=AsOfDate,IF($R154=0,$X154,IF(AND($T154&lt;&gt;"",EDATE($D154,Milestones!$AA$113)&gt;=$T154),$W154,IF(AND($S154&lt;&gt;"",EDATE($D154,Milestones!$AA$113)&gt;=$S154),$V154,$U154)))=Milestones!$AB$113),UPPER(TEXT(EDATE($D154,Milestones!$AA$113),"dd mmm yy"))&amp;" "&amp;Milestones!$AB$113&amp;" "&amp;Milestones!$AC$113&amp;";  ","")&amp;IF(AND(EDATE($D154,Milestones!$AA$114)&lt;=AsOfDate,IF($R154=0,$X154,IF(AND($T154&lt;&gt;"",EDATE($D154,Milestones!$AA$114)&gt;=$T154),$W154,IF(AND($S154&lt;&gt;"",EDATE($D154,Milestones!$AA$114)&gt;=$S154),$V154,$U154)))=Milestones!$AB$114),UPPER(TEXT(EDATE($D154,Milestones!$AA$114),"dd mmm yy"))&amp;" "&amp;Milestones!$AB$114&amp;" "&amp;Milestones!$AC$114&amp;";  ","")&amp;IF(AND(EDATE($D154,Milestones!$AA$115)&lt;=AsOfDate,IF($R154=0,$X154,IF(AND($T154&lt;&gt;"",EDATE($D154,Milestones!$AA$115)&gt;=$T154),$W154,IF(AND($S154&lt;&gt;"",EDATE($D154,Milestones!$AA$115)&gt;=$S154),$V154,$U154)))=Milestones!$AB$115),UPPER(TEXT(EDATE($D154,Milestones!$AA$115),"dd mmm yy"))&amp;" "&amp;Milestones!$AB$115&amp;" "&amp;Milestones!$AC$115&amp;";  ","")&amp;IF(AND(EDATE($D154,Milestones!$AA$116)&lt;=AsOfDate,IF($R154=0,$X154,IF(AND($T154&lt;&gt;"",EDATE($D154,Milestones!$AA$116)&gt;=$T154),$W154,IF(AND($S154&lt;&gt;"",EDATE($D154,Milestones!$AA$116)&gt;=$S154),$V154,$U154)))=Milestones!$AB$116),UPPER(TEXT(EDATE($D154,Milestones!$AA$116),"dd mmm yy"))&amp;" "&amp;Milestones!$AB$116&amp;" "&amp;Milestones!$AC$116&amp;";  ","")&amp;IF(AND(EDATE($D154,Milestones!$AA$117)&lt;=AsOfDate,IF($R154=0,$X154,IF(AND($T154&lt;&gt;"",EDATE($D154,Milestones!$AA$117)&gt;=$T154),$W154,IF(AND($S154&lt;&gt;"",EDATE($D154,Milestones!$AA$117)&gt;=$S154),$V154,$U154)))=Milestones!$AB$117),UPPER(TEXT(EDATE($D154,Milestones!$AA$117),"dd mmm yy"))&amp;" "&amp;Milestones!$AB$117&amp;" "&amp;Milestones!$AC$117&amp;";  ","")&amp;IF(AND(EDATE($D154,Milestones!$AA$118)&lt;=AsOfDate,IF($R154=0,$X154,IF(AND($T154&lt;&gt;"",EDATE($D154,Milestones!$AA$118)&gt;=$T154),$W154,IF(AND($S154&lt;&gt;"",EDATE($D154,Milestones!$AA$118)&gt;=$S154),$V154,$U154)))=Milestones!$AB$118),UPPER(TEXT(EDATE($D154,Milestones!$AA$118),"dd mmm yy"))&amp;" "&amp;Milestones!$AB$118&amp;" "&amp;Milestones!$AC$118&amp;";  ","")&amp;IF(AND(EDATE($D154,Milestones!$AA$119)&lt;=AsOfDate,IF($R154=0,$X154,IF(AND($T154&lt;&gt;"",EDATE($D154,Milestones!$AA$119)&gt;=$T154),$W154,IF(AND($S154&lt;&gt;"",EDATE($D154,Milestones!$AA$119)&gt;=$S154),$V154,$U154)))=Milestones!$AB$119),UPPER(TEXT(EDATE($D154,Milestones!$AA$119),"dd mmm yy"))&amp;" "&amp;Milestones!$AB$119&amp;" "&amp;Milestones!$AC$119&amp;";  ",""))</f>
        <v/>
      </c>
      <c r="N154" s="0" t="str">
        <f aca="false">IF(OR($A154="",$D154=""),"",IF(AND(EDATE($D154,Milestones!$AA$120)&lt;=AsOfDate,IF($R154=0,$X154,IF(AND($T154&lt;&gt;"",EDATE($D154,Milestones!$AA$120)&gt;=$T154),$W154,IF(AND($S154&lt;&gt;"",EDATE($D154,Milestones!$AA$120)&gt;=$S154),$V154,$U154)))=Milestones!$AB$120),UPPER(TEXT(EDATE($D154,Milestones!$AA$120),"dd mmm yy"))&amp;" "&amp;Milestones!$AB$120&amp;" "&amp;Milestones!$AC$120&amp;";  ","")&amp;IF(AND(EDATE($D154,Milestones!$AA$121)&lt;=AsOfDate,IF($R154=0,$X154,IF(AND($T154&lt;&gt;"",EDATE($D154,Milestones!$AA$121)&gt;=$T154),$W154,IF(AND($S154&lt;&gt;"",EDATE($D154,Milestones!$AA$121)&gt;=$S154),$V154,$U154)))=Milestones!$AB$121),UPPER(TEXT(EDATE($D154,Milestones!$AA$121),"dd mmm yy"))&amp;" "&amp;Milestones!$AB$121&amp;" "&amp;Milestones!$AC$121&amp;";  ","")&amp;IF(AND(EDATE($D154,Milestones!$AA$122)&lt;=AsOfDate,IF($R154=0,$X154,IF(AND($T154&lt;&gt;"",EDATE($D154,Milestones!$AA$122)&gt;=$T154),$W154,IF(AND($S154&lt;&gt;"",EDATE($D154,Milestones!$AA$122)&gt;=$S154),$V154,$U154)))=Milestones!$AB$122),UPPER(TEXT(EDATE($D154,Milestones!$AA$122),"dd mmm yy"))&amp;" "&amp;Milestones!$AB$122&amp;" "&amp;Milestones!$AC$122&amp;";  ","")&amp;IF(AND(EDATE($D154,Milestones!$AA$123)&lt;=AsOfDate,IF($R154=0,$X154,IF(AND($T154&lt;&gt;"",EDATE($D154,Milestones!$AA$123)&gt;=$T154),$W154,IF(AND($S154&lt;&gt;"",EDATE($D154,Milestones!$AA$123)&gt;=$S154),$V154,$U154)))=Milestones!$AB$123),UPPER(TEXT(EDATE($D154,Milestones!$AA$123),"dd mmm yy"))&amp;" "&amp;Milestones!$AB$123&amp;" "&amp;Milestones!$AC$123&amp;";  ","")&amp;IF(AND(EDATE($D154,Milestones!$AA$124)&lt;=AsOfDate,IF($R154=0,$X154,IF(AND($T154&lt;&gt;"",EDATE($D154,Milestones!$AA$124)&gt;=$T154),$W154,IF(AND($S154&lt;&gt;"",EDATE($D154,Milestones!$AA$124)&gt;=$S154),$V154,$U154)))=Milestones!$AB$124),UPPER(TEXT(EDATE($D154,Milestones!$AA$124),"dd mmm yy"))&amp;" "&amp;Milestones!$AB$124&amp;" "&amp;Milestones!$AC$124&amp;";  ","")&amp;IF(AND(EDATE($D154,Milestones!$AA$125)&lt;=AsOfDate,IF($R154=0,$X154,IF(AND($T154&lt;&gt;"",EDATE($D154,Milestones!$AA$125)&gt;=$T154),$W154,IF(AND($S154&lt;&gt;"",EDATE($D154,Milestones!$AA$125)&gt;=$S154),$V154,$U154)))=Milestones!$AB$125),UPPER(TEXT(EDATE($D154,Milestones!$AA$125),"dd mmm yy"))&amp;" "&amp;Milestones!$AB$125&amp;" "&amp;Milestones!$AC$125&amp;";  ","")&amp;IF(AND(EDATE($D154,Milestones!$AA$126)&lt;=AsOfDate,IF($R154=0,$X154,IF(AND($T154&lt;&gt;"",EDATE($D154,Milestones!$AA$126)&gt;=$T154),$W154,IF(AND($S154&lt;&gt;"",EDATE($D154,Milestones!$AA$126)&gt;=$S154),$V154,$U154)))=Milestones!$AB$126),UPPER(TEXT(EDATE($D154,Milestones!$AA$126),"dd mmm yy"))&amp;" "&amp;Milestones!$AB$126&amp;" "&amp;Milestones!$AC$126&amp;";  ","")&amp;IF(AND(EDATE($D154,Milestones!$AA$127)&lt;=AsOfDate,IF($R154=0,$X154,IF(AND($T154&lt;&gt;"",EDATE($D154,Milestones!$AA$127)&gt;=$T154),$W154,IF(AND($S154&lt;&gt;"",EDATE($D154,Milestones!$AA$127)&gt;=$S154),$V154,$U154)))=Milestones!$AB$127),UPPER(TEXT(EDATE($D154,Milestones!$AA$127),"dd mmm yy"))&amp;" "&amp;Milestones!$AB$127&amp;" "&amp;Milestones!$AC$127&amp;";  ","")&amp;IF(AND(EDATE($D154,Milestones!$AA$128)&lt;=AsOfDate,IF($R154=0,$X154,IF(AND($T154&lt;&gt;"",EDATE($D154,Milestones!$AA$128)&gt;=$T154),$W154,IF(AND($S154&lt;&gt;"",EDATE($D154,Milestones!$AA$128)&gt;=$S154),$V154,$U154)))=Milestones!$AB$128),UPPER(TEXT(EDATE($D154,Milestones!$AA$128),"dd mmm yy"))&amp;" "&amp;Milestones!$AB$128&amp;" "&amp;Milestones!$AC$128&amp;";  ","")&amp;IF(AND(EDATE($D154,Milestones!$AA$129)&lt;=AsOfDate,IF($R154=0,$X154,IF(AND($T154&lt;&gt;"",EDATE($D154,Milestones!$AA$129)&gt;=$T154),$W154,IF(AND($S154&lt;&gt;"",EDATE($D154,Milestones!$AA$129)&gt;=$S154),$V154,$U154)))=Milestones!$AB$129),UPPER(TEXT(EDATE($D154,Milestones!$AA$129),"dd mmm yy"))&amp;" "&amp;Milestones!$AB$129&amp;" "&amp;Milestones!$AC$129&amp;";  ","")&amp;IF(AND(EDATE($D154,Milestones!$AA$130)&lt;=AsOfDate,IF($R154=0,$X154,IF(AND($T154&lt;&gt;"",EDATE($D154,Milestones!$AA$130)&gt;=$T154),$W154,IF(AND($S154&lt;&gt;"",EDATE($D154,Milestones!$AA$130)&gt;=$S154),$V154,$U154)))=Milestones!$AB$130),UPPER(TEXT(EDATE($D154,Milestones!$AA$130),"dd mmm yy"))&amp;" "&amp;Milestones!$AB$130&amp;" "&amp;Milestones!$AC$130&amp;";  ","")&amp;IF(AND(EDATE($D154,Milestones!$AA$131)&lt;=AsOfDate,IF($R154=0,$X154,IF(AND($T154&lt;&gt;"",EDATE($D154,Milestones!$AA$131)&gt;=$T154),$W154,IF(AND($S154&lt;&gt;"",EDATE($D154,Milestones!$AA$131)&gt;=$S154),$V154,$U154)))=Milestones!$AB$131),UPPER(TEXT(EDATE($D154,Milestones!$AA$131),"dd mmm yy"))&amp;" "&amp;Milestones!$AB$131&amp;" "&amp;Milestones!$AC$131&amp;";  ","")&amp;IF(AND(EDATE($D154,Milestones!$AA$132)&lt;=AsOfDate,IF($R154=0,$X154,IF(AND($T154&lt;&gt;"",EDATE($D154,Milestones!$AA$132)&gt;=$T154),$W154,IF(AND($S154&lt;&gt;"",EDATE($D154,Milestones!$AA$132)&gt;=$S154),$V154,$U154)))=Milestones!$AB$132),UPPER(TEXT(EDATE($D154,Milestones!$AA$132),"dd mmm yy"))&amp;" "&amp;Milestones!$AB$132&amp;" "&amp;Milestones!$AC$132&amp;";  ","")&amp;IF(AND(EDATE($D154,Milestones!$AA$133)&lt;=AsOfDate,IF($R154=0,$X154,IF(AND($T154&lt;&gt;"",EDATE($D154,Milestones!$AA$133)&gt;=$T154),$W154,IF(AND($S154&lt;&gt;"",EDATE($D154,Milestones!$AA$133)&gt;=$S154),$V154,$U154)))=Milestones!$AB$133),UPPER(TEXT(EDATE($D154,Milestones!$AA$133),"dd mmm yy"))&amp;" "&amp;Milestones!$AB$133&amp;" "&amp;Milestones!$AC$133&amp;";  ","")&amp;IF(AND(EDATE($D154,Milestones!$AA$134)&lt;=AsOfDate,IF($R154=0,$X154,IF(AND($T154&lt;&gt;"",EDATE($D154,Milestones!$AA$134)&gt;=$T154),$W154,IF(AND($S154&lt;&gt;"",EDATE($D154,Milestones!$AA$134)&gt;=$S154),$V154,$U154)))=Milestones!$AB$134),UPPER(TEXT(EDATE($D154,Milestones!$AA$134),"dd mmm yy"))&amp;" "&amp;Milestones!$AB$134&amp;" "&amp;Milestones!$AC$134&amp;";  ","")&amp;IF(AND(EDATE($D154,Milestones!$AA$135)&lt;=AsOfDate,IF($R154=0,$X154,IF(AND($T154&lt;&gt;"",EDATE($D154,Milestones!$AA$135)&gt;=$T154),$W154,IF(AND($S154&lt;&gt;"",EDATE($D154,Milestones!$AA$135)&gt;=$S154),$V154,$U154)))=Milestones!$AB$135),UPPER(TEXT(EDATE($D154,Milestones!$AA$135),"dd mmm yy"))&amp;" "&amp;Milestones!$AB$135&amp;" "&amp;Milestones!$AC$135&amp;";  ","")&amp;IF(AND(EDATE($D154,Milestones!$AA$136)&lt;=AsOfDate,IF($R154=0,$X154,IF(AND($T154&lt;&gt;"",EDATE($D154,Milestones!$AA$136)&gt;=$T154),$W154,IF(AND($S154&lt;&gt;"",EDATE($D154,Milestones!$AA$136)&gt;=$S154),$V154,$U154)))=Milestones!$AB$136),UPPER(TEXT(EDATE($D154,Milestones!$AA$136),"dd mmm yy"))&amp;" "&amp;Milestones!$AB$136&amp;" "&amp;Milestones!$AC$136&amp;";  ","")&amp;IF(AND(EDATE($D154,Milestones!$AA$137)&lt;=AsOfDate,IF($R154=0,$X154,IF(AND($T154&lt;&gt;"",EDATE($D154,Milestones!$AA$137)&gt;=$T154),$W154,IF(AND($S154&lt;&gt;"",EDATE($D154,Milestones!$AA$137)&gt;=$S154),$V154,$U154)))=Milestones!$AB$137),UPPER(TEXT(EDATE($D154,Milestones!$AA$137),"dd mmm yy"))&amp;" "&amp;Milestones!$AB$137&amp;" "&amp;Milestones!$AC$137&amp;";  ","")&amp;IF(AND(EDATE($D154,Milestones!$AA$138)&lt;=AsOfDate,IF($R154=0,$X154,IF(AND($T154&lt;&gt;"",EDATE($D154,Milestones!$AA$138)&gt;=$T154),$W154,IF(AND($S154&lt;&gt;"",EDATE($D154,Milestones!$AA$138)&gt;=$S154),$V154,$U154)))=Milestones!$AB$138),UPPER(TEXT(EDATE($D154,Milestones!$AA$138),"dd mmm yy"))&amp;" "&amp;Milestones!$AB$138&amp;" "&amp;Milestones!$AC$138&amp;";  ","")&amp;IF(AND(EDATE($D154,Milestones!$AA$139)&lt;=AsOfDate,IF($R154=0,$X154,IF(AND($T154&lt;&gt;"",EDATE($D154,Milestones!$AA$139)&gt;=$T154),$W154,IF(AND($S154&lt;&gt;"",EDATE($D154,Milestones!$AA$139)&gt;=$S154),$V154,$U154)))=Milestones!$AB$139),UPPER(TEXT(EDATE($D154,Milestones!$AA$139),"dd mmm yy"))&amp;" "&amp;Milestones!$AB$139&amp;" "&amp;Milestones!$AC$139&amp;";  ",""))</f>
        <v/>
      </c>
      <c r="O154" s="0" t="str">
        <f aca="false">IF(OR($A154="",$D154=""),"",IF(AND(EDATE($D154,Milestones!$AA$140)&lt;=AsOfDate,IF($R154=0,$X154,IF(AND($T154&lt;&gt;"",EDATE($D154,Milestones!$AA$140)&gt;=$T154),$W154,IF(AND($S154&lt;&gt;"",EDATE($D154,Milestones!$AA$140)&gt;=$S154),$V154,$U154)))=Milestones!$AB$140),UPPER(TEXT(EDATE($D154,Milestones!$AA$140),"dd mmm yy"))&amp;" "&amp;Milestones!$AB$140&amp;" "&amp;Milestones!$AC$140&amp;";  ","")&amp;IF(AND(EDATE($D154,Milestones!$AA$141)&lt;=AsOfDate,IF($R154=0,$X154,IF(AND($T154&lt;&gt;"",EDATE($D154,Milestones!$AA$141)&gt;=$T154),$W154,IF(AND($S154&lt;&gt;"",EDATE($D154,Milestones!$AA$141)&gt;=$S154),$V154,$U154)))=Milestones!$AB$141),UPPER(TEXT(EDATE($D154,Milestones!$AA$141),"dd mmm yy"))&amp;" "&amp;Milestones!$AB$141&amp;" "&amp;Milestones!$AC$141&amp;";  ","")&amp;IF(AND(EDATE($D154,Milestones!$AA$142)&lt;=AsOfDate,IF($R154=0,$X154,IF(AND($T154&lt;&gt;"",EDATE($D154,Milestones!$AA$142)&gt;=$T154),$W154,IF(AND($S154&lt;&gt;"",EDATE($D154,Milestones!$AA$142)&gt;=$S154),$V154,$U154)))=Milestones!$AB$142),UPPER(TEXT(EDATE($D154,Milestones!$AA$142),"dd mmm yy"))&amp;" "&amp;Milestones!$AB$142&amp;" "&amp;Milestones!$AC$142&amp;";  ","")&amp;IF(AND(EDATE($D154,Milestones!$AA$143)&lt;=AsOfDate,IF($R154=0,$X154,IF(AND($T154&lt;&gt;"",EDATE($D154,Milestones!$AA$143)&gt;=$T154),$W154,IF(AND($S154&lt;&gt;"",EDATE($D154,Milestones!$AA$143)&gt;=$S154),$V154,$U154)))=Milestones!$AB$143),UPPER(TEXT(EDATE($D154,Milestones!$AA$143),"dd mmm yy"))&amp;" "&amp;Milestones!$AB$143&amp;" "&amp;Milestones!$AC$143&amp;";  ","")&amp;IF(AND(EDATE($D154,Milestones!$AA$144)&lt;=AsOfDate,IF($R154=0,$X154,IF(AND($T154&lt;&gt;"",EDATE($D154,Milestones!$AA$144)&gt;=$T154),$W154,IF(AND($S154&lt;&gt;"",EDATE($D154,Milestones!$AA$144)&gt;=$S154),$V154,$U154)))=Milestones!$AB$144),UPPER(TEXT(EDATE($D154,Milestones!$AA$144),"dd mmm yy"))&amp;" "&amp;Milestones!$AB$144&amp;" "&amp;Milestones!$AC$144&amp;";  ","")&amp;IF(AND(EDATE($D154,Milestones!$AA$145)&lt;=AsOfDate,IF($R154=0,$X154,IF(AND($T154&lt;&gt;"",EDATE($D154,Milestones!$AA$145)&gt;=$T154),$W154,IF(AND($S154&lt;&gt;"",EDATE($D154,Milestones!$AA$145)&gt;=$S154),$V154,$U154)))=Milestones!$AB$145),UPPER(TEXT(EDATE($D154,Milestones!$AA$145),"dd mmm yy"))&amp;" "&amp;Milestones!$AB$145&amp;" "&amp;Milestones!$AC$145&amp;";  ","")&amp;IF(AND(EDATE($D154,Milestones!$AA$146)&lt;=AsOfDate,IF($R154=0,$X154,IF(AND($T154&lt;&gt;"",EDATE($D154,Milestones!$AA$146)&gt;=$T154),$W154,IF(AND($S154&lt;&gt;"",EDATE($D154,Milestones!$AA$146)&gt;=$S154),$V154,$U154)))=Milestones!$AB$146),UPPER(TEXT(EDATE($D154,Milestones!$AA$146),"dd mmm yy"))&amp;" "&amp;Milestones!$AB$146&amp;" "&amp;Milestones!$AC$146&amp;";  ","")&amp;IF(AND(EDATE($D154,Milestones!$AA$147)&lt;=AsOfDate,IF($R154=0,$X154,IF(AND($T154&lt;&gt;"",EDATE($D154,Milestones!$AA$147)&gt;=$T154),$W154,IF(AND($S154&lt;&gt;"",EDATE($D154,Milestones!$AA$147)&gt;=$S154),$V154,$U154)))=Milestones!$AB$147),UPPER(TEXT(EDATE($D154,Milestones!$AA$147),"dd mmm yy"))&amp;" "&amp;Milestones!$AB$147&amp;" "&amp;Milestones!$AC$147&amp;";  ","")&amp;IF(AND(EDATE($D154,Milestones!$AA$148)&lt;=AsOfDate,IF($R154=0,$X154,IF(AND($T154&lt;&gt;"",EDATE($D154,Milestones!$AA$148)&gt;=$T154),$W154,IF(AND($S154&lt;&gt;"",EDATE($D154,Milestones!$AA$148)&gt;=$S154),$V154,$U154)))=Milestones!$AB$148),UPPER(TEXT(EDATE($D154,Milestones!$AA$148),"dd mmm yy"))&amp;" "&amp;Milestones!$AB$148&amp;" "&amp;Milestones!$AC$148&amp;";  ","")&amp;IF(AND(EDATE($D154,Milestones!$AA$149)&lt;=AsOfDate,IF($R154=0,$X154,IF(AND($T154&lt;&gt;"",EDATE($D154,Milestones!$AA$149)&gt;=$T154),$W154,IF(AND($S154&lt;&gt;"",EDATE($D154,Milestones!$AA$149)&gt;=$S154),$V154,$U154)))=Milestones!$AB$149),UPPER(TEXT(EDATE($D154,Milestones!$AA$149),"dd mmm yy"))&amp;" "&amp;Milestones!$AB$149&amp;" "&amp;Milestones!$AC$149&amp;";  ","")&amp;IF(AND(EDATE($D154,Milestones!$AA$150)&lt;=AsOfDate,IF($R154=0,$X154,IF(AND($T154&lt;&gt;"",EDATE($D154,Milestones!$AA$150)&gt;=$T154),$W154,IF(AND($S154&lt;&gt;"",EDATE($D154,Milestones!$AA$150)&gt;=$S154),$V154,$U154)))=Milestones!$AB$150),UPPER(TEXT(EDATE($D154,Milestones!$AA$150),"dd mmm yy"))&amp;" "&amp;Milestones!$AB$150&amp;" "&amp;Milestones!$AC$150&amp;";  ","")&amp;IF(AND(EDATE($D154,Milestones!$AA$151)&lt;=AsOfDate,IF($R154=0,$X154,IF(AND($T154&lt;&gt;"",EDATE($D154,Milestones!$AA$151)&gt;=$T154),$W154,IF(AND($S154&lt;&gt;"",EDATE($D154,Milestones!$AA$151)&gt;=$S154),$V154,$U154)))=Milestones!$AB$151),UPPER(TEXT(EDATE($D154,Milestones!$AA$151),"dd mmm yy"))&amp;" "&amp;Milestones!$AB$151&amp;" "&amp;Milestones!$AC$151&amp;";  ","")&amp;IF(AND(EDATE($D154,Milestones!$AA$152)&lt;=AsOfDate,IF($R154=0,$X154,IF(AND($T154&lt;&gt;"",EDATE($D154,Milestones!$AA$152)&gt;=$T154),$W154,IF(AND($S154&lt;&gt;"",EDATE($D154,Milestones!$AA$152)&gt;=$S154),$V154,$U154)))=Milestones!$AB$152),UPPER(TEXT(EDATE($D154,Milestones!$AA$152),"dd mmm yy"))&amp;" "&amp;Milestones!$AB$152&amp;" "&amp;Milestones!$AC$152&amp;";  ","")&amp;IF(AND(EDATE($D154,Milestones!$AA$153)&lt;=AsOfDate,IF($R154=0,$X154,IF(AND($T154&lt;&gt;"",EDATE($D154,Milestones!$AA$153)&gt;=$T154),$W154,IF(AND($S154&lt;&gt;"",EDATE($D154,Milestones!$AA$153)&gt;=$S154),$V154,$U154)))=Milestones!$AB$153),UPPER(TEXT(EDATE($D154,Milestones!$AA$153),"dd mmm yy"))&amp;" "&amp;Milestones!$AB$153&amp;" "&amp;Milestones!$AC$153&amp;";  ","")&amp;IF(AND(EDATE($D154,Milestones!$AA$154)&lt;=AsOfDate,IF($R154=0,$X154,IF(AND($T154&lt;&gt;"",EDATE($D154,Milestones!$AA$154)&gt;=$T154),$W154,IF(AND($S154&lt;&gt;"",EDATE($D154,Milestones!$AA$154)&gt;=$S154),$V154,$U154)))=Milestones!$AB$154),UPPER(TEXT(EDATE($D154,Milestones!$AA$154),"dd mmm yy"))&amp;" "&amp;Milestones!$AB$154&amp;" "&amp;Milestones!$AC$154&amp;";  ","")&amp;IF(AND(EDATE($D154,Milestones!$AA$155)&lt;=AsOfDate,IF($R154=0,$X154,IF(AND($T154&lt;&gt;"",EDATE($D154,Milestones!$AA$155)&gt;=$T154),$W154,IF(AND($S154&lt;&gt;"",EDATE($D154,Milestones!$AA$155)&gt;=$S154),$V154,$U154)))=Milestones!$AB$155),UPPER(TEXT(EDATE($D154,Milestones!$AA$155),"dd mmm yy"))&amp;" "&amp;Milestones!$AB$155&amp;" "&amp;Milestones!$AC$155&amp;";  ","")&amp;IF(AND(EDATE($D154,Milestones!$AA$156)&lt;=AsOfDate,IF($R154=0,$X154,IF(AND($T154&lt;&gt;"",EDATE($D154,Milestones!$AA$156)&gt;=$T154),$W154,IF(AND($S154&lt;&gt;"",EDATE($D154,Milestones!$AA$156)&gt;=$S154),$V154,$U154)))=Milestones!$AB$156),UPPER(TEXT(EDATE($D154,Milestones!$AA$156),"dd mmm yy"))&amp;" "&amp;Milestones!$AB$156&amp;" "&amp;Milestones!$AC$156&amp;";  ","")&amp;IF(AND(EDATE($D154,Milestones!$AA$157)&lt;=AsOfDate,IF($R154=0,$X154,IF(AND($T154&lt;&gt;"",EDATE($D154,Milestones!$AA$157)&gt;=$T154),$W154,IF(AND($S154&lt;&gt;"",EDATE($D154,Milestones!$AA$157)&gt;=$S154),$V154,$U154)))=Milestones!$AB$157),UPPER(TEXT(EDATE($D154,Milestones!$AA$157),"dd mmm yy"))&amp;" "&amp;Milestones!$AB$157&amp;" "&amp;Milestones!$AC$157&amp;";  ","")&amp;IF(AND(EDATE($D154,Milestones!$AA$158)&lt;=AsOfDate,IF($R154=0,$X154,IF(AND($T154&lt;&gt;"",EDATE($D154,Milestones!$AA$158)&gt;=$T154),$W154,IF(AND($S154&lt;&gt;"",EDATE($D154,Milestones!$AA$158)&gt;=$S154),$V154,$U154)))=Milestones!$AB$158),UPPER(TEXT(EDATE($D154,Milestones!$AA$158),"dd mmm yy"))&amp;" "&amp;Milestones!$AB$158&amp;" "&amp;Milestones!$AC$158&amp;";  ","")&amp;IF(AND(EDATE($D154,Milestones!$AA$159)&lt;=AsOfDate,IF($R154=0,$X154,IF(AND($T154&lt;&gt;"",EDATE($D154,Milestones!$AA$159)&gt;=$T154),$W154,IF(AND($S154&lt;&gt;"",EDATE($D154,Milestones!$AA$159)&gt;=$S154),$V154,$U154)))=Milestones!$AB$159),UPPER(TEXT(EDATE($D154,Milestones!$AA$159),"dd mmm yy"))&amp;" "&amp;Milestones!$AB$159&amp;" "&amp;Milestones!$AC$159&amp;";  ",""))</f>
        <v/>
      </c>
      <c r="P154" s="0" t="str">
        <f aca="false">IF(OR($A154="",$D154=""),"",IF(AND(EDATE($D154,Milestones!$AA$160)&lt;=AsOfDate,IF($R154=0,$X154,IF(AND($T154&lt;&gt;"",EDATE($D154,Milestones!$AA$160)&gt;=$T154),$W154,IF(AND($S154&lt;&gt;"",EDATE($D154,Milestones!$AA$160)&gt;=$S154),$V154,$U154)))=Milestones!$AB$160),UPPER(TEXT(EDATE($D154,Milestones!$AA$160),"dd mmm yy"))&amp;" "&amp;Milestones!$AB$160&amp;" "&amp;Milestones!$AC$160&amp;";  ","")&amp;IF(AND(EDATE($D154,Milestones!$AA$161)&lt;=AsOfDate,IF($R154=0,$X154,IF(AND($T154&lt;&gt;"",EDATE($D154,Milestones!$AA$161)&gt;=$T154),$W154,IF(AND($S154&lt;&gt;"",EDATE($D154,Milestones!$AA$161)&gt;=$S154),$V154,$U154)))=Milestones!$AB$161),UPPER(TEXT(EDATE($D154,Milestones!$AA$161),"dd mmm yy"))&amp;" "&amp;Milestones!$AB$161&amp;" "&amp;Milestones!$AC$161&amp;";  ","")&amp;IF(AND(EDATE($D154,Milestones!$AA$162)&lt;=AsOfDate,IF($R154=0,$X154,IF(AND($T154&lt;&gt;"",EDATE($D154,Milestones!$AA$162)&gt;=$T154),$W154,IF(AND($S154&lt;&gt;"",EDATE($D154,Milestones!$AA$162)&gt;=$S154),$V154,$U154)))=Milestones!$AB$162),UPPER(TEXT(EDATE($D154,Milestones!$AA$162),"dd mmm yy"))&amp;" "&amp;Milestones!$AB$162&amp;" "&amp;Milestones!$AC$162&amp;";  ","")&amp;IF(AND(EDATE($D154,Milestones!$AA$163)&lt;=AsOfDate,IF($R154=0,$X154,IF(AND($T154&lt;&gt;"",EDATE($D154,Milestones!$AA$163)&gt;=$T154),$W154,IF(AND($S154&lt;&gt;"",EDATE($D154,Milestones!$AA$163)&gt;=$S154),$V154,$U154)))=Milestones!$AB$163),UPPER(TEXT(EDATE($D154,Milestones!$AA$163),"dd mmm yy"))&amp;" "&amp;Milestones!$AB$163&amp;" "&amp;Milestones!$AC$163&amp;";  ","")&amp;IF(AND(EDATE($D154,Milestones!$AA$164)&lt;=AsOfDate,IF($R154=0,$X154,IF(AND($T154&lt;&gt;"",EDATE($D154,Milestones!$AA$164)&gt;=$T154),$W154,IF(AND($S154&lt;&gt;"",EDATE($D154,Milestones!$AA$164)&gt;=$S154),$V154,$U154)))=Milestones!$AB$164),UPPER(TEXT(EDATE($D154,Milestones!$AA$164),"dd mmm yy"))&amp;" "&amp;Milestones!$AB$164&amp;" "&amp;Milestones!$AC$164&amp;";  ","")&amp;IF(AND(EDATE($D154,Milestones!$AA$165)&lt;=AsOfDate,IF($R154=0,$X154,IF(AND($T154&lt;&gt;"",EDATE($D154,Milestones!$AA$165)&gt;=$T154),$W154,IF(AND($S154&lt;&gt;"",EDATE($D154,Milestones!$AA$165)&gt;=$S154),$V154,$U154)))=Milestones!$AB$165),UPPER(TEXT(EDATE($D154,Milestones!$AA$165),"dd mmm yy"))&amp;" "&amp;Milestones!$AB$165&amp;" "&amp;Milestones!$AC$165&amp;";  ","")&amp;IF(AND(EDATE($D154,Milestones!$AA$166)&lt;=AsOfDate,IF($R154=0,$X154,IF(AND($T154&lt;&gt;"",EDATE($D154,Milestones!$AA$166)&gt;=$T154),$W154,IF(AND($S154&lt;&gt;"",EDATE($D154,Milestones!$AA$166)&gt;=$S154),$V154,$U154)))=Milestones!$AB$166),UPPER(TEXT(EDATE($D154,Milestones!$AA$166),"dd mmm yy"))&amp;" "&amp;Milestones!$AB$166&amp;" "&amp;Milestones!$AC$166&amp;";  ","")&amp;IF(AND(EDATE($D154,Milestones!$AA$167)&lt;=AsOfDate,IF($R154=0,$X154,IF(AND($T154&lt;&gt;"",EDATE($D154,Milestones!$AA$167)&gt;=$T154),$W154,IF(AND($S154&lt;&gt;"",EDATE($D154,Milestones!$AA$167)&gt;=$S154),$V154,$U154)))=Milestones!$AB$167),UPPER(TEXT(EDATE($D154,Milestones!$AA$167),"dd mmm yy"))&amp;" "&amp;Milestones!$AB$167&amp;" "&amp;Milestones!$AC$167&amp;";  ","")&amp;IF(AND(EDATE($D154,Milestones!$AA$168)&lt;=AsOfDate,IF($R154=0,$X154,IF(AND($T154&lt;&gt;"",EDATE($D154,Milestones!$AA$168)&gt;=$T154),$W154,IF(AND($S154&lt;&gt;"",EDATE($D154,Milestones!$AA$168)&gt;=$S154),$V154,$U154)))=Milestones!$AB$168),UPPER(TEXT(EDATE($D154,Milestones!$AA$168),"dd mmm yy"))&amp;" "&amp;Milestones!$AB$168&amp;" "&amp;Milestones!$AC$168&amp;";  ","")&amp;IF(AND(EDATE($D154,Milestones!$AA$169)&lt;=AsOfDate,IF($R154=0,$X154,IF(AND($T154&lt;&gt;"",EDATE($D154,Milestones!$AA$169)&gt;=$T154),$W154,IF(AND($S154&lt;&gt;"",EDATE($D154,Milestones!$AA$169)&gt;=$S154),$V154,$U154)))=Milestones!$AB$169),UPPER(TEXT(EDATE($D154,Milestones!$AA$169),"dd mmm yy"))&amp;" "&amp;Milestones!$AB$169&amp;" "&amp;Milestones!$AC$169&amp;";  ","")&amp;IF(AND(EDATE($D154,Milestones!$AA$170)&lt;=AsOfDate,IF($R154=0,$X154,IF(AND($T154&lt;&gt;"",EDATE($D154,Milestones!$AA$170)&gt;=$T154),$W154,IF(AND($S154&lt;&gt;"",EDATE($D154,Milestones!$AA$170)&gt;=$S154),$V154,$U154)))=Milestones!$AB$170),UPPER(TEXT(EDATE($D154,Milestones!$AA$170),"dd mmm yy"))&amp;" "&amp;Milestones!$AB$170&amp;" "&amp;Milestones!$AC$170&amp;";  ","")&amp;IF(AND(EDATE($D154,Milestones!$AA$171)&lt;=AsOfDate,IF($R154=0,$X154,IF(AND($T154&lt;&gt;"",EDATE($D154,Milestones!$AA$171)&gt;=$T154),$W154,IF(AND($S154&lt;&gt;"",EDATE($D154,Milestones!$AA$171)&gt;=$S154),$V154,$U154)))=Milestones!$AB$171),UPPER(TEXT(EDATE($D154,Milestones!$AA$171),"dd mmm yy"))&amp;" "&amp;Milestones!$AB$171&amp;" "&amp;Milestones!$AC$171&amp;";  ","")&amp;IF(AND(EDATE($D154,Milestones!$AA$172)&lt;=AsOfDate,IF($R154=0,$X154,IF(AND($T154&lt;&gt;"",EDATE($D154,Milestones!$AA$172)&gt;=$T154),$W154,IF(AND($S154&lt;&gt;"",EDATE($D154,Milestones!$AA$172)&gt;=$S154),$V154,$U154)))=Milestones!$AB$172),UPPER(TEXT(EDATE($D154,Milestones!$AA$172),"dd mmm yy"))&amp;" "&amp;Milestones!$AB$172&amp;" "&amp;Milestones!$AC$172&amp;";  ","")&amp;IF(AND(EDATE($D154,Milestones!$AA$173)&lt;=AsOfDate,IF($R154=0,$X154,IF(AND($T154&lt;&gt;"",EDATE($D154,Milestones!$AA$173)&gt;=$T154),$W154,IF(AND($S154&lt;&gt;"",EDATE($D154,Milestones!$AA$173)&gt;=$S154),$V154,$U154)))=Milestones!$AB$173),UPPER(TEXT(EDATE($D154,Milestones!$AA$173),"dd mmm yy"))&amp;" "&amp;Milestones!$AB$173&amp;" "&amp;Milestones!$AC$173&amp;";  ","")&amp;IF(AND(EDATE($D154,Milestones!$AA$174)&lt;=AsOfDate,IF($R154=0,$X154,IF(AND($T154&lt;&gt;"",EDATE($D154,Milestones!$AA$174)&gt;=$T154),$W154,IF(AND($S154&lt;&gt;"",EDATE($D154,Milestones!$AA$174)&gt;=$S154),$V154,$U154)))=Milestones!$AB$174),UPPER(TEXT(EDATE($D154,Milestones!$AA$174),"dd mmm yy"))&amp;" "&amp;Milestones!$AB$174&amp;" "&amp;Milestones!$AC$174&amp;";  ","")&amp;IF(AND(EDATE($D154,Milestones!$AA$175)&lt;=AsOfDate,IF($R154=0,$X154,IF(AND($T154&lt;&gt;"",EDATE($D154,Milestones!$AA$175)&gt;=$T154),$W154,IF(AND($S154&lt;&gt;"",EDATE($D154,Milestones!$AA$175)&gt;=$S154),$V154,$U154)))=Milestones!$AB$175),UPPER(TEXT(EDATE($D154,Milestones!$AA$175),"dd mmm yy"))&amp;" "&amp;Milestones!$AB$175&amp;" "&amp;Milestones!$AC$175&amp;";  ","")&amp;IF(AND(EDATE($D154,Milestones!$AA$176)&lt;=AsOfDate,IF($R154=0,$X154,IF(AND($T154&lt;&gt;"",EDATE($D154,Milestones!$AA$176)&gt;=$T154),$W154,IF(AND($S154&lt;&gt;"",EDATE($D154,Milestones!$AA$176)&gt;=$S154),$V154,$U154)))=Milestones!$AB$176),UPPER(TEXT(EDATE($D154,Milestones!$AA$176),"dd mmm yy"))&amp;" "&amp;Milestones!$AB$176&amp;" "&amp;Milestones!$AC$176&amp;";  ","")&amp;IF(AND(EDATE($D154,Milestones!$AA$177)&lt;=AsOfDate,IF($R154=0,$X154,IF(AND($T154&lt;&gt;"",EDATE($D154,Milestones!$AA$177)&gt;=$T154),$W154,IF(AND($S154&lt;&gt;"",EDATE($D154,Milestones!$AA$177)&gt;=$S154),$V154,$U154)))=Milestones!$AB$177),UPPER(TEXT(EDATE($D154,Milestones!$AA$177),"dd mmm yy"))&amp;" "&amp;Milestones!$AB$177&amp;" "&amp;Milestones!$AC$177&amp;";  ","")&amp;IF(AND(EDATE($D154,Milestones!$AA$178)&lt;=AsOfDate,IF($R154=0,$X154,IF(AND($T154&lt;&gt;"",EDATE($D154,Milestones!$AA$178)&gt;=$T154),$W154,IF(AND($S154&lt;&gt;"",EDATE($D154,Milestones!$AA$178)&gt;=$S154),$V154,$U154)))=Milestones!$AB$178),UPPER(TEXT(EDATE($D154,Milestones!$AA$178),"dd mmm yy"))&amp;" "&amp;Milestones!$AB$178&amp;" "&amp;Milestones!$AC$178&amp;";  ","")&amp;IF(AND(EDATE($D154,Milestones!$AA$179)&lt;=AsOfDate,IF($R154=0,$X154,IF(AND($T154&lt;&gt;"",EDATE($D154,Milestones!$AA$179)&gt;=$T154),$W154,IF(AND($S154&lt;&gt;"",EDATE($D154,Milestones!$AA$179)&gt;=$S154),$V154,$U154)))=Milestones!$AB$179),UPPER(TEXT(EDATE($D154,Milestones!$AA$179),"dd mmm yy"))&amp;" "&amp;Milestones!$AB$179&amp;" "&amp;Milestones!$AC$179&amp;";  ",""))</f>
        <v/>
      </c>
      <c r="Q154" s="0" t="str">
        <f aca="false">IF(OR($A154="",$D154=""),"",IF(AND(EDATE($D154,Milestones!$AA$180)&lt;=AsOfDate,IF($R154=0,$X154,IF(AND($T154&lt;&gt;"",EDATE($D154,Milestones!$AA$180)&gt;=$T154),$W154,IF(AND($S154&lt;&gt;"",EDATE($D154,Milestones!$AA$180)&gt;=$S154),$V154,$U154)))=Milestones!$AB$180),UPPER(TEXT(EDATE($D154,Milestones!$AA$180),"dd mmm yy"))&amp;" "&amp;Milestones!$AB$180&amp;" "&amp;Milestones!$AC$180&amp;";  ","")&amp;IF(AND(EDATE($D154,Milestones!$AA$181)&lt;=AsOfDate,IF($R154=0,$X154,IF(AND($T154&lt;&gt;"",EDATE($D154,Milestones!$AA$181)&gt;=$T154),$W154,IF(AND($S154&lt;&gt;"",EDATE($D154,Milestones!$AA$181)&gt;=$S154),$V154,$U154)))=Milestones!$AB$181),UPPER(TEXT(EDATE($D154,Milestones!$AA$181),"dd mmm yy"))&amp;" "&amp;Milestones!$AB$181&amp;" "&amp;Milestones!$AC$181&amp;";  ","")&amp;IF(AND(EDATE($D154,Milestones!$AA$182)&lt;=AsOfDate,IF($R154=0,$X154,IF(AND($T154&lt;&gt;"",EDATE($D154,Milestones!$AA$182)&gt;=$T154),$W154,IF(AND($S154&lt;&gt;"",EDATE($D154,Milestones!$AA$182)&gt;=$S154),$V154,$U154)))=Milestones!$AB$182),UPPER(TEXT(EDATE($D154,Milestones!$AA$182),"dd mmm yy"))&amp;" "&amp;Milestones!$AB$182&amp;" "&amp;Milestones!$AC$182&amp;";  ","")&amp;IF(AND(EDATE($D154,Milestones!$AA$183)&lt;=AsOfDate,IF($R154=0,$X154,IF(AND($T154&lt;&gt;"",EDATE($D154,Milestones!$AA$183)&gt;=$T154),$W154,IF(AND($S154&lt;&gt;"",EDATE($D154,Milestones!$AA$183)&gt;=$S154),$V154,$U154)))=Milestones!$AB$183),UPPER(TEXT(EDATE($D154,Milestones!$AA$183),"dd mmm yy"))&amp;" "&amp;Milestones!$AB$183&amp;" "&amp;Milestones!$AC$183&amp;";  ","")&amp;IF(AND(EDATE($D154,Milestones!$AA$184)&lt;=AsOfDate,IF($R154=0,$X154,IF(AND($T154&lt;&gt;"",EDATE($D154,Milestones!$AA$184)&gt;=$T154),$W154,IF(AND($S154&lt;&gt;"",EDATE($D154,Milestones!$AA$184)&gt;=$S154),$V154,$U154)))=Milestones!$AB$184),UPPER(TEXT(EDATE($D154,Milestones!$AA$184),"dd mmm yy"))&amp;" "&amp;Milestones!$AB$184&amp;" "&amp;Milestones!$AC$184&amp;";  ","")&amp;IF(AND(EDATE($D154,Milestones!$AA$185)&lt;=AsOfDate,IF($R154=0,$X154,IF(AND($T154&lt;&gt;"",EDATE($D154,Milestones!$AA$185)&gt;=$T154),$W154,IF(AND($S154&lt;&gt;"",EDATE($D154,Milestones!$AA$185)&gt;=$S154),$V154,$U154)))=Milestones!$AB$185),UPPER(TEXT(EDATE($D154,Milestones!$AA$185),"dd mmm yy"))&amp;" "&amp;Milestones!$AB$185&amp;" "&amp;Milestones!$AC$185&amp;";  ","")&amp;IF(AND(EDATE($D154,Milestones!$AA$186)&lt;=AsOfDate,IF($R154=0,$X154,IF(AND($T154&lt;&gt;"",EDATE($D154,Milestones!$AA$186)&gt;=$T154),$W154,IF(AND($S154&lt;&gt;"",EDATE($D154,Milestones!$AA$186)&gt;=$S154),$V154,$U154)))=Milestones!$AB$186),UPPER(TEXT(EDATE($D154,Milestones!$AA$186),"dd mmm yy"))&amp;" "&amp;Milestones!$AB$186&amp;" "&amp;Milestones!$AC$186&amp;";  ","")&amp;IF(AND(EDATE($D154,Milestones!$AA$187)&lt;=AsOfDate,IF($R154=0,$X154,IF(AND($T154&lt;&gt;"",EDATE($D154,Milestones!$AA$187)&gt;=$T154),$W154,IF(AND($S154&lt;&gt;"",EDATE($D154,Milestones!$AA$187)&gt;=$S154),$V154,$U154)))=Milestones!$AB$187),UPPER(TEXT(EDATE($D154,Milestones!$AA$187),"dd mmm yy"))&amp;" "&amp;Milestones!$AB$187&amp;" "&amp;Milestones!$AC$187&amp;";  ","")&amp;IF(AND(EDATE($D154,Milestones!$AA$188)&lt;=AsOfDate,IF($R154=0,$X154,IF(AND($T154&lt;&gt;"",EDATE($D154,Milestones!$AA$188)&gt;=$T154),$W154,IF(AND($S154&lt;&gt;"",EDATE($D154,Milestones!$AA$188)&gt;=$S154),$V154,$U154)))=Milestones!$AB$188),UPPER(TEXT(EDATE($D154,Milestones!$AA$188),"dd mmm yy"))&amp;" "&amp;Milestones!$AB$188&amp;" "&amp;Milestones!$AC$188&amp;";  ","")&amp;IF(AND(EDATE($D154,Milestones!$AA$189)&lt;=AsOfDate,IF($R154=0,$X154,IF(AND($T154&lt;&gt;"",EDATE($D154,Milestones!$AA$189)&gt;=$T154),$W154,IF(AND($S154&lt;&gt;"",EDATE($D154,Milestones!$AA$189)&gt;=$S154),$V154,$U154)))=Milestones!$AB$189),UPPER(TEXT(EDATE($D154,Milestones!$AA$189),"dd mmm yy"))&amp;" "&amp;Milestones!$AB$189&amp;" "&amp;Milestones!$AC$189&amp;";  ","")&amp;IF(AND(EDATE($D154,Milestones!$AA$190)&lt;=AsOfDate,IF($R154=0,$X154,IF(AND($T154&lt;&gt;"",EDATE($D154,Milestones!$AA$190)&gt;=$T154),$W154,IF(AND($S154&lt;&gt;"",EDATE($D154,Milestones!$AA$190)&gt;=$S154),$V154,$U154)))=Milestones!$AB$190),UPPER(TEXT(EDATE($D154,Milestones!$AA$190),"dd mmm yy"))&amp;" "&amp;Milestones!$AB$190&amp;" "&amp;Milestones!$AC$190&amp;";  ","")&amp;IF(AND(EDATE($D154,Milestones!$AA$191)&lt;=AsOfDate,IF($R154=0,$X154,IF(AND($T154&lt;&gt;"",EDATE($D154,Milestones!$AA$191)&gt;=$T154),$W154,IF(AND($S154&lt;&gt;"",EDATE($D154,Milestones!$AA$191)&gt;=$S154),$V154,$U154)))=Milestones!$AB$191),UPPER(TEXT(EDATE($D154,Milestones!$AA$191),"dd mmm yy"))&amp;" "&amp;Milestones!$AB$191&amp;" "&amp;Milestones!$AC$191&amp;";  ","")&amp;IF(AND(EDATE($D154,Milestones!$AA$192)&lt;=AsOfDate,IF($R154=0,$X154,IF(AND($T154&lt;&gt;"",EDATE($D154,Milestones!$AA$192)&gt;=$T154),$W154,IF(AND($S154&lt;&gt;"",EDATE($D154,Milestones!$AA$192)&gt;=$S154),$V154,$U154)))=Milestones!$AB$192),UPPER(TEXT(EDATE($D154,Milestones!$AA$192),"dd mmm yy"))&amp;" "&amp;Milestones!$AB$192&amp;" "&amp;Milestones!$AC$192&amp;";  ","")&amp;IF(AND(EDATE($D154,Milestones!$AA$193)&lt;=AsOfDate,IF($R154=0,$X154,IF(AND($T154&lt;&gt;"",EDATE($D154,Milestones!$AA$193)&gt;=$T154),$W154,IF(AND($S154&lt;&gt;"",EDATE($D154,Milestones!$AA$193)&gt;=$S154),$V154,$U154)))=Milestones!$AB$193),UPPER(TEXT(EDATE($D154,Milestones!$AA$193),"dd mmm yy"))&amp;" "&amp;Milestones!$AB$193&amp;" "&amp;Milestones!$AC$193&amp;";  ","")&amp;IF(AND(EDATE($D154,Milestones!$AA$194)&lt;=AsOfDate,IF($R154=0,$X154,IF(AND($T154&lt;&gt;"",EDATE($D154,Milestones!$AA$194)&gt;=$T154),$W154,IF(AND($S154&lt;&gt;"",EDATE($D154,Milestones!$AA$194)&gt;=$S154),$V154,$U154)))=Milestones!$AB$194),UPPER(TEXT(EDATE($D154,Milestones!$AA$194),"dd mmm yy"))&amp;" "&amp;Milestones!$AB$194&amp;" "&amp;Milestones!$AC$194&amp;";  ","")&amp;IF(AND(EDATE($D154,Milestones!$AA$195)&lt;=AsOfDate,IF($R154=0,$X154,IF(AND($T154&lt;&gt;"",EDATE($D154,Milestones!$AA$195)&gt;=$T154),$W154,IF(AND($S154&lt;&gt;"",EDATE($D154,Milestones!$AA$195)&gt;=$S154),$V154,$U154)))=Milestones!$AB$195),UPPER(TEXT(EDATE($D154,Milestones!$AA$195),"dd mmm yy"))&amp;" "&amp;Milestones!$AB$195&amp;" "&amp;Milestones!$AC$195&amp;";  ","")&amp;IF(AND(EDATE($D154,Milestones!$AA$196)&lt;=AsOfDate,IF($R154=0,$X154,IF(AND($T154&lt;&gt;"",EDATE($D154,Milestones!$AA$196)&gt;=$T154),$W154,IF(AND($S154&lt;&gt;"",EDATE($D154,Milestones!$AA$196)&gt;=$S154),$V154,$U154)))=Milestones!$AB$196),UPPER(TEXT(EDATE($D154,Milestones!$AA$196),"dd mmm yy"))&amp;" "&amp;Milestones!$AB$196&amp;" "&amp;Milestones!$AC$196&amp;";  ","")&amp;IF(AND(EDATE($D154,Milestones!$AA$197)&lt;=AsOfDate,IF($R154=0,$X154,IF(AND($T154&lt;&gt;"",EDATE($D154,Milestones!$AA$197)&gt;=$T154),$W154,IF(AND($S154&lt;&gt;"",EDATE($D154,Milestones!$AA$197)&gt;=$S154),$V154,$U154)))=Milestones!$AB$197),UPPER(TEXT(EDATE($D154,Milestones!$AA$197),"dd mmm yy"))&amp;" "&amp;Milestones!$AB$197&amp;" "&amp;Milestones!$AC$197&amp;";  ","")&amp;IF(AND(EDATE($D154,Milestones!$AA$198)&lt;=AsOfDate,IF($R154=0,$X154,IF(AND($T154&lt;&gt;"",EDATE($D154,Milestones!$AA$198)&gt;=$T154),$W154,IF(AND($S154&lt;&gt;"",EDATE($D154,Milestones!$AA$198)&gt;=$S154),$V154,$U154)))=Milestones!$AB$198),UPPER(TEXT(EDATE($D154,Milestones!$AA$198),"dd mmm yy"))&amp;" "&amp;Milestones!$AB$198&amp;" "&amp;Milestones!$AC$198&amp;";  ","")&amp;IF(AND(EDATE($D154,Milestones!$AA$199)&lt;=AsOfDate,IF($R154=0,$X154,IF(AND($T154&lt;&gt;"",EDATE($D154,Milestones!$AA$199)&gt;=$T154),$W154,IF(AND($S154&lt;&gt;"",EDATE($D154,Milestones!$AA$199)&gt;=$S154),$V154,$U154)))=Milestones!$AB$199),UPPER(TEXT(EDATE($D154,Milestones!$AA$199),"dd mmm yy"))&amp;" "&amp;Milestones!$AB$199&amp;" "&amp;Milestones!$AC$199&amp;";  ",""))</f>
        <v/>
      </c>
      <c r="R154" s="0" t="str">
        <f aca="false">IF(Staff!$A154="","",Staff!$AI154)</f>
        <v/>
      </c>
      <c r="S154" s="0" t="str">
        <f aca="false">IF(Staff!$A154="","",Staff!$AK154)</f>
        <v/>
      </c>
      <c r="T154" s="0" t="str">
        <f aca="false">IF(Staff!$A154="","",Staff!$AL154)</f>
        <v/>
      </c>
      <c r="U154" s="0" t="str">
        <f aca="false">IF(Staff!$A154="","",Staff!$AP154)</f>
        <v/>
      </c>
      <c r="V154" s="0" t="str">
        <f aca="false">IF(Staff!$A154="","",Staff!$AQ154)</f>
        <v/>
      </c>
      <c r="W154" s="0" t="str">
        <f aca="false">IF(Staff!$A154="","",Staff!$AR154)</f>
        <v/>
      </c>
      <c r="X154" s="0" t="str">
        <f aca="false">IF(Staff!$A154="","",Staff!$AS154)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142</v>
      </c>
    </row>
    <row r="2" customFormat="false" ht="15" hidden="false" customHeight="false" outlineLevel="0" collapsed="false">
      <c r="A2" s="2" t="s">
        <v>143</v>
      </c>
    </row>
    <row r="3" customFormat="false" ht="15" hidden="false" customHeight="false" outlineLevel="0" collapsed="false">
      <c r="A3" s="3" t="s">
        <v>144</v>
      </c>
      <c r="B3" s="27" t="n">
        <f aca="false">EOMONTH(AsOfDate,-1)</f>
        <v>46295</v>
      </c>
      <c r="C3" s="2" t="s">
        <v>145</v>
      </c>
    </row>
    <row r="4" customFormat="false" ht="15" hidden="false" customHeight="false" outlineLevel="0" collapsed="false">
      <c r="A4" s="3" t="s">
        <v>146</v>
      </c>
      <c r="B4" s="28" t="str">
        <f aca="false">IF(B7="","",SUMIFS(B8:B207,$BS8:$BS207,"&lt;="&amp;$B$3))</f>
        <v/>
      </c>
      <c r="C4" s="28" t="str">
        <f aca="false">IF(C7="","",SUMIFS(C8:C207,$BS8:$BS207,"&lt;="&amp;$B$3))</f>
        <v/>
      </c>
      <c r="D4" s="28" t="str">
        <f aca="false">IF(D7="","",SUMIFS(D8:D207,$BS8:$BS207,"&lt;="&amp;$B$3))</f>
        <v/>
      </c>
      <c r="E4" s="28" t="str">
        <f aca="false">IF(E7="","",SUMIFS(E8:E207,$BS8:$BS207,"&lt;="&amp;$B$3))</f>
        <v/>
      </c>
      <c r="F4" s="28" t="str">
        <f aca="false">IF(F7="","",SUMIFS(F8:F207,$BS8:$BS207,"&lt;="&amp;$B$3))</f>
        <v/>
      </c>
      <c r="G4" s="28" t="str">
        <f aca="false">IF(G7="","",SUMIFS(G8:G207,$BS8:$BS207,"&lt;="&amp;$B$3))</f>
        <v/>
      </c>
      <c r="H4" s="28" t="str">
        <f aca="false">IF(H7="","",SUMIFS(H8:H207,$BS8:$BS207,"&lt;="&amp;$B$3))</f>
        <v/>
      </c>
      <c r="I4" s="28" t="str">
        <f aca="false">IF(I7="","",SUMIFS(I8:I207,$BS8:$BS207,"&lt;="&amp;$B$3))</f>
        <v/>
      </c>
      <c r="J4" s="28" t="str">
        <f aca="false">IF(J7="","",SUMIFS(J8:J207,$BS8:$BS207,"&lt;="&amp;$B$3))</f>
        <v/>
      </c>
      <c r="K4" s="28" t="str">
        <f aca="false">IF(K7="","",SUMIFS(K8:K207,$BS8:$BS207,"&lt;="&amp;$B$3))</f>
        <v/>
      </c>
      <c r="L4" s="28" t="str">
        <f aca="false">IF(L7="","",SUMIFS(L8:L207,$BS8:$BS207,"&lt;="&amp;$B$3))</f>
        <v/>
      </c>
      <c r="M4" s="28" t="str">
        <f aca="false">IF(M7="","",SUMIFS(M8:M207,$BS8:$BS207,"&lt;="&amp;$B$3))</f>
        <v/>
      </c>
      <c r="N4" s="28" t="str">
        <f aca="false">IF(N7="","",SUMIFS(N8:N207,$BS8:$BS207,"&lt;="&amp;$B$3))</f>
        <v/>
      </c>
      <c r="O4" s="28" t="str">
        <f aca="false">IF(O7="","",SUMIFS(O8:O207,$BS8:$BS207,"&lt;="&amp;$B$3))</f>
        <v/>
      </c>
      <c r="P4" s="28" t="str">
        <f aca="false">IF(P7="","",SUMIFS(P8:P207,$BS8:$BS207,"&lt;="&amp;$B$3))</f>
        <v/>
      </c>
      <c r="Q4" s="28" t="str">
        <f aca="false">IF(Q7="","",SUMIFS(Q8:Q207,$BS8:$BS207,"&lt;="&amp;$B$3))</f>
        <v/>
      </c>
      <c r="R4" s="28" t="str">
        <f aca="false">IF(R7="","",SUMIFS(R8:R207,$BS8:$BS207,"&lt;="&amp;$B$3))</f>
        <v/>
      </c>
      <c r="S4" s="28" t="str">
        <f aca="false">IF(S7="","",SUMIFS(S8:S207,$BS8:$BS207,"&lt;="&amp;$B$3))</f>
        <v/>
      </c>
      <c r="T4" s="28" t="str">
        <f aca="false">IF(T7="","",SUMIFS(T8:T207,$BS8:$BS207,"&lt;="&amp;$B$3))</f>
        <v/>
      </c>
      <c r="U4" s="28" t="str">
        <f aca="false">IF(U7="","",SUMIFS(U8:U207,$BS8:$BS207,"&lt;="&amp;$B$3))</f>
        <v/>
      </c>
    </row>
    <row r="5" customFormat="false" ht="15" hidden="false" customHeight="false" outlineLevel="0" collapsed="false">
      <c r="A5" s="3" t="s">
        <v>147</v>
      </c>
      <c r="B5" s="28" t="str">
        <f aca="false">IF(B7="","",IF('Tally Helper'!$B$3&lt;&gt;TRUE(),"not on Staff",SUMIFS(X8:X207,$BS8:$BS207,"&lt;="&amp;$B$3)))</f>
        <v/>
      </c>
      <c r="C5" s="28" t="str">
        <f aca="false">IF(C7="","",IF('Tally Helper'!$B$6&lt;&gt;TRUE(),"not on Staff",SUMIFS(Y8:Y207,$BS8:$BS207,"&lt;="&amp;$B$3)))</f>
        <v/>
      </c>
      <c r="D5" s="28" t="str">
        <f aca="false">IF(D7="","",IF('Tally Helper'!$B$9&lt;&gt;TRUE(),"not on Staff",SUMIFS(Z8:Z207,$BS8:$BS207,"&lt;="&amp;$B$3)))</f>
        <v/>
      </c>
      <c r="E5" s="28" t="str">
        <f aca="false">IF(E7="","",IF('Tally Helper'!$B$12&lt;&gt;TRUE(),"not on Staff",SUMIFS(AA8:AA207,$BS8:$BS207,"&lt;="&amp;$B$3)))</f>
        <v/>
      </c>
      <c r="F5" s="28" t="str">
        <f aca="false">IF(F7="","",IF('Tally Helper'!$B$15&lt;&gt;TRUE(),"not on Staff",SUMIFS(AB8:AB207,$BS8:$BS207,"&lt;="&amp;$B$3)))</f>
        <v/>
      </c>
      <c r="G5" s="28" t="str">
        <f aca="false">IF(G7="","",IF('Tally Helper'!$B$18&lt;&gt;TRUE(),"not on Staff",SUMIFS(AC8:AC207,$BS8:$BS207,"&lt;="&amp;$B$3)))</f>
        <v/>
      </c>
      <c r="H5" s="28" t="str">
        <f aca="false">IF(H7="","",IF('Tally Helper'!$B$21&lt;&gt;TRUE(),"not on Staff",SUMIFS(AD8:AD207,$BS8:$BS207,"&lt;="&amp;$B$3)))</f>
        <v/>
      </c>
      <c r="I5" s="28" t="str">
        <f aca="false">IF(I7="","",IF('Tally Helper'!$B$24&lt;&gt;TRUE(),"not on Staff",SUMIFS(AE8:AE207,$BS8:$BS207,"&lt;="&amp;$B$3)))</f>
        <v/>
      </c>
      <c r="J5" s="28" t="str">
        <f aca="false">IF(J7="","",IF('Tally Helper'!$B$27&lt;&gt;TRUE(),"not on Staff",SUMIFS(AF8:AF207,$BS8:$BS207,"&lt;="&amp;$B$3)))</f>
        <v/>
      </c>
      <c r="K5" s="28" t="str">
        <f aca="false">IF(K7="","",IF('Tally Helper'!$B$30&lt;&gt;TRUE(),"not on Staff",SUMIFS(AG8:AG207,$BS8:$BS207,"&lt;="&amp;$B$3)))</f>
        <v/>
      </c>
      <c r="L5" s="28" t="str">
        <f aca="false">IF(L7="","",IF('Tally Helper'!$B$33&lt;&gt;TRUE(),"not on Staff",SUMIFS(AH8:AH207,$BS8:$BS207,"&lt;="&amp;$B$3)))</f>
        <v/>
      </c>
      <c r="M5" s="28" t="str">
        <f aca="false">IF(M7="","",IF('Tally Helper'!$B$36&lt;&gt;TRUE(),"not on Staff",SUMIFS(AI8:AI207,$BS8:$BS207,"&lt;="&amp;$B$3)))</f>
        <v/>
      </c>
      <c r="N5" s="28" t="str">
        <f aca="false">IF(N7="","",IF('Tally Helper'!$B$39&lt;&gt;TRUE(),"not on Staff",SUMIFS(AJ8:AJ207,$BS8:$BS207,"&lt;="&amp;$B$3)))</f>
        <v/>
      </c>
      <c r="O5" s="28" t="str">
        <f aca="false">IF(O7="","",IF('Tally Helper'!$B$42&lt;&gt;TRUE(),"not on Staff",SUMIFS(AK8:AK207,$BS8:$BS207,"&lt;="&amp;$B$3)))</f>
        <v/>
      </c>
      <c r="P5" s="28" t="str">
        <f aca="false">IF(P7="","",IF('Tally Helper'!$B$45&lt;&gt;TRUE(),"not on Staff",SUMIFS(AL8:AL207,$BS8:$BS207,"&lt;="&amp;$B$3)))</f>
        <v/>
      </c>
      <c r="Q5" s="28" t="str">
        <f aca="false">IF(Q7="","",IF('Tally Helper'!$B$48&lt;&gt;TRUE(),"not on Staff",SUMIFS(AM8:AM207,$BS8:$BS207,"&lt;="&amp;$B$3)))</f>
        <v/>
      </c>
      <c r="R5" s="28" t="str">
        <f aca="false">IF(R7="","",IF('Tally Helper'!$B$51&lt;&gt;TRUE(),"not on Staff",SUMIFS(AN8:AN207,$BS8:$BS207,"&lt;="&amp;$B$3)))</f>
        <v/>
      </c>
      <c r="S5" s="28" t="str">
        <f aca="false">IF(S7="","",IF('Tally Helper'!$B$54&lt;&gt;TRUE(),"not on Staff",SUMIFS(AO8:AO207,$BS8:$BS207,"&lt;="&amp;$B$3)))</f>
        <v/>
      </c>
      <c r="T5" s="28" t="str">
        <f aca="false">IF(T7="","",IF('Tally Helper'!$B$57&lt;&gt;TRUE(),"not on Staff",SUMIFS(AP8:AP207,$BS8:$BS207,"&lt;="&amp;$B$3)))</f>
        <v/>
      </c>
      <c r="U5" s="28" t="str">
        <f aca="false">IF(U7="","",IF('Tally Helper'!$B$60&lt;&gt;TRUE(),"not on Staff",SUMIFS(AQ8:AQ207,$BS8:$BS207,"&lt;="&amp;$B$3)))</f>
        <v/>
      </c>
    </row>
    <row r="6" customFormat="false" ht="15" hidden="false" customHeight="false" outlineLevel="0" collapsed="false">
      <c r="A6" s="3" t="s">
        <v>148</v>
      </c>
      <c r="B6" s="28" t="str">
        <f aca="false">IF(OR(B5="",NOT(ISNUMBER(B5))),"",B5-N(B4))</f>
        <v/>
      </c>
      <c r="C6" s="28" t="str">
        <f aca="false">IF(OR(C5="",NOT(ISNUMBER(C5))),"",C5-N(C4))</f>
        <v/>
      </c>
      <c r="D6" s="28" t="str">
        <f aca="false">IF(OR(D5="",NOT(ISNUMBER(D5))),"",D5-N(D4))</f>
        <v/>
      </c>
      <c r="E6" s="28" t="str">
        <f aca="false">IF(OR(E5="",NOT(ISNUMBER(E5))),"",E5-N(E4))</f>
        <v/>
      </c>
      <c r="F6" s="28" t="str">
        <f aca="false">IF(OR(F5="",NOT(ISNUMBER(F5))),"",F5-N(F4))</f>
        <v/>
      </c>
      <c r="G6" s="28" t="str">
        <f aca="false">IF(OR(G5="",NOT(ISNUMBER(G5))),"",G5-N(G4))</f>
        <v/>
      </c>
      <c r="H6" s="28" t="str">
        <f aca="false">IF(OR(H5="",NOT(ISNUMBER(H5))),"",H5-N(H4))</f>
        <v/>
      </c>
      <c r="I6" s="28" t="str">
        <f aca="false">IF(OR(I5="",NOT(ISNUMBER(I5))),"",I5-N(I4))</f>
        <v/>
      </c>
      <c r="J6" s="28" t="str">
        <f aca="false">IF(OR(J5="",NOT(ISNUMBER(J5))),"",J5-N(J4))</f>
        <v/>
      </c>
      <c r="K6" s="28" t="str">
        <f aca="false">IF(OR(K5="",NOT(ISNUMBER(K5))),"",K5-N(K4))</f>
        <v/>
      </c>
      <c r="L6" s="28" t="str">
        <f aca="false">IF(OR(L5="",NOT(ISNUMBER(L5))),"",L5-N(L4))</f>
        <v/>
      </c>
      <c r="M6" s="28" t="str">
        <f aca="false">IF(OR(M5="",NOT(ISNUMBER(M5))),"",M5-N(M4))</f>
        <v/>
      </c>
      <c r="N6" s="28" t="str">
        <f aca="false">IF(OR(N5="",NOT(ISNUMBER(N5))),"",N5-N(N4))</f>
        <v/>
      </c>
      <c r="O6" s="28" t="str">
        <f aca="false">IF(OR(O5="",NOT(ISNUMBER(O5))),"",O5-N(O4))</f>
        <v/>
      </c>
      <c r="P6" s="28" t="str">
        <f aca="false">IF(OR(P5="",NOT(ISNUMBER(P5))),"",P5-N(P4))</f>
        <v/>
      </c>
      <c r="Q6" s="28" t="str">
        <f aca="false">IF(OR(Q5="",NOT(ISNUMBER(Q5))),"",Q5-N(Q4))</f>
        <v/>
      </c>
      <c r="R6" s="28" t="str">
        <f aca="false">IF(OR(R5="",NOT(ISNUMBER(R5))),"",R5-N(R4))</f>
        <v/>
      </c>
      <c r="S6" s="28" t="str">
        <f aca="false">IF(OR(S5="",NOT(ISNUMBER(S5))),"",S5-N(S4))</f>
        <v/>
      </c>
      <c r="T6" s="28" t="str">
        <f aca="false">IF(OR(T5="",NOT(ISNUMBER(T5))),"",T5-N(T4))</f>
        <v/>
      </c>
      <c r="U6" s="28" t="str">
        <f aca="false">IF(OR(U5="",NOT(ISNUMBER(U5))),"",U5-N(U4))</f>
        <v/>
      </c>
    </row>
    <row r="7" customFormat="false" ht="15" hidden="false" customHeight="false" outlineLevel="0" collapsed="false">
      <c r="A7" s="29" t="s">
        <v>149</v>
      </c>
      <c r="B7" s="30"/>
      <c r="C7" s="30"/>
      <c r="D7" s="30"/>
      <c r="E7" s="30"/>
      <c r="F7" s="30"/>
      <c r="G7" s="30"/>
      <c r="H7" s="30"/>
      <c r="I7" s="30"/>
      <c r="J7" s="30"/>
      <c r="K7" s="30"/>
      <c r="L7" s="30"/>
      <c r="M7" s="30"/>
      <c r="N7" s="30"/>
      <c r="O7" s="30"/>
      <c r="P7" s="30"/>
      <c r="Q7" s="30"/>
      <c r="R7" s="30"/>
      <c r="S7" s="30"/>
      <c r="T7" s="30"/>
      <c r="U7" s="30"/>
      <c r="W7" s="3" t="s">
        <v>150</v>
      </c>
      <c r="X7" s="6" t="str">
        <f aca="false">IF(B7="","",B7)</f>
        <v/>
      </c>
      <c r="Y7" s="6" t="str">
        <f aca="false">IF(C7="","",C7)</f>
        <v/>
      </c>
      <c r="Z7" s="6" t="str">
        <f aca="false">IF(D7="","",D7)</f>
        <v/>
      </c>
      <c r="AA7" s="6" t="str">
        <f aca="false">IF(E7="","",E7)</f>
        <v/>
      </c>
      <c r="AB7" s="6" t="str">
        <f aca="false">IF(F7="","",F7)</f>
        <v/>
      </c>
      <c r="AC7" s="6" t="str">
        <f aca="false">IF(G7="","",G7)</f>
        <v/>
      </c>
      <c r="AD7" s="6" t="str">
        <f aca="false">IF(H7="","",H7)</f>
        <v/>
      </c>
      <c r="AE7" s="6" t="str">
        <f aca="false">IF(I7="","",I7)</f>
        <v/>
      </c>
      <c r="AF7" s="6" t="str">
        <f aca="false">IF(J7="","",J7)</f>
        <v/>
      </c>
      <c r="AG7" s="6" t="str">
        <f aca="false">IF(K7="","",K7)</f>
        <v/>
      </c>
      <c r="AH7" s="6" t="str">
        <f aca="false">IF(L7="","",L7)</f>
        <v/>
      </c>
      <c r="AI7" s="6" t="str">
        <f aca="false">IF(M7="","",M7)</f>
        <v/>
      </c>
      <c r="AJ7" s="6" t="str">
        <f aca="false">IF(N7="","",N7)</f>
        <v/>
      </c>
      <c r="AK7" s="6" t="str">
        <f aca="false">IF(O7="","",O7)</f>
        <v/>
      </c>
      <c r="AL7" s="6" t="str">
        <f aca="false">IF(P7="","",P7)</f>
        <v/>
      </c>
      <c r="AM7" s="6" t="str">
        <f aca="false">IF(Q7="","",Q7)</f>
        <v/>
      </c>
      <c r="AN7" s="6" t="str">
        <f aca="false">IF(R7="","",R7)</f>
        <v/>
      </c>
      <c r="AO7" s="6" t="str">
        <f aca="false">IF(S7="","",S7)</f>
        <v/>
      </c>
      <c r="AP7" s="6" t="str">
        <f aca="false">IF(T7="","",T7)</f>
        <v/>
      </c>
      <c r="AQ7" s="6" t="str">
        <f aca="false">IF(U7="","",U7)</f>
        <v/>
      </c>
      <c r="AS7" s="3" t="s">
        <v>151</v>
      </c>
      <c r="AT7" s="6" t="str">
        <f aca="false">IF(B7="","",B7)</f>
        <v/>
      </c>
      <c r="AU7" s="6" t="str">
        <f aca="false">IF(C7="","",C7)</f>
        <v/>
      </c>
      <c r="AV7" s="6" t="str">
        <f aca="false">IF(D7="","",D7)</f>
        <v/>
      </c>
      <c r="AW7" s="6" t="str">
        <f aca="false">IF(E7="","",E7)</f>
        <v/>
      </c>
      <c r="AX7" s="6" t="str">
        <f aca="false">IF(F7="","",F7)</f>
        <v/>
      </c>
      <c r="AY7" s="6" t="str">
        <f aca="false">IF(G7="","",G7)</f>
        <v/>
      </c>
      <c r="AZ7" s="6" t="str">
        <f aca="false">IF(H7="","",H7)</f>
        <v/>
      </c>
      <c r="BA7" s="6" t="str">
        <f aca="false">IF(I7="","",I7)</f>
        <v/>
      </c>
      <c r="BB7" s="6" t="str">
        <f aca="false">IF(J7="","",J7)</f>
        <v/>
      </c>
      <c r="BC7" s="6" t="str">
        <f aca="false">IF(K7="","",K7)</f>
        <v/>
      </c>
      <c r="BD7" s="6" t="str">
        <f aca="false">IF(L7="","",L7)</f>
        <v/>
      </c>
      <c r="BE7" s="6" t="str">
        <f aca="false">IF(M7="","",M7)</f>
        <v/>
      </c>
      <c r="BF7" s="6" t="str">
        <f aca="false">IF(N7="","",N7)</f>
        <v/>
      </c>
      <c r="BG7" s="6" t="str">
        <f aca="false">IF(O7="","",O7)</f>
        <v/>
      </c>
      <c r="BH7" s="6" t="str">
        <f aca="false">IF(P7="","",P7)</f>
        <v/>
      </c>
      <c r="BI7" s="6" t="str">
        <f aca="false">IF(Q7="","",Q7)</f>
        <v/>
      </c>
      <c r="BJ7" s="6" t="str">
        <f aca="false">IF(R7="","",R7)</f>
        <v/>
      </c>
      <c r="BK7" s="6" t="str">
        <f aca="false">IF(S7="","",S7)</f>
        <v/>
      </c>
      <c r="BL7" s="6" t="str">
        <f aca="false">IF(T7="","",T7)</f>
        <v/>
      </c>
      <c r="BM7" s="6" t="str">
        <f aca="false">IF(U7="","",U7)</f>
        <v/>
      </c>
      <c r="BR7" s="31" t="s">
        <v>152</v>
      </c>
      <c r="BS7" s="31" t="s">
        <v>153</v>
      </c>
    </row>
    <row r="8" customFormat="false" ht="15" hidden="false" customHeight="false" outlineLevel="0" collapsed="false">
      <c r="B8" s="19"/>
      <c r="C8" s="19"/>
      <c r="D8" s="19"/>
      <c r="E8" s="19"/>
      <c r="F8" s="19"/>
      <c r="G8" s="19"/>
      <c r="H8" s="19"/>
      <c r="I8" s="19"/>
      <c r="J8" s="19"/>
      <c r="K8" s="19"/>
      <c r="L8" s="19"/>
      <c r="M8" s="19"/>
      <c r="N8" s="19"/>
      <c r="O8" s="19"/>
      <c r="P8" s="19"/>
      <c r="Q8" s="19"/>
      <c r="R8" s="19"/>
      <c r="S8" s="19"/>
      <c r="T8" s="19"/>
      <c r="U8" s="19"/>
      <c r="X8" s="15" t="str">
        <f aca="false">IF(OR(B$7="",$BR8=""),"",IF('Tally Helper'!$B$3&lt;&gt;TRUE(),"not on Staff",SUMIFS('Tally Helper'!$L$5:$GI$5,'Tally Helper'!$L$3:$GI$3,"&gt;="&amp;$BR8,'Tally Helper'!$L$3:$GI$3,"&lt;="&amp;$BS8)))</f>
        <v/>
      </c>
      <c r="Y8" s="15" t="str">
        <f aca="false">IF(OR(C$7="",$BR8=""),"",IF('Tally Helper'!$B$6&lt;&gt;TRUE(),"not on Staff",SUMIFS('Tally Helper'!$L$8:$GI$8,'Tally Helper'!$L$6:$GI$6,"&gt;="&amp;$BR8,'Tally Helper'!$L$6:$GI$6,"&lt;="&amp;$BS8)))</f>
        <v/>
      </c>
      <c r="Z8" s="15" t="str">
        <f aca="false">IF(OR(D$7="",$BR8=""),"",IF('Tally Helper'!$B$9&lt;&gt;TRUE(),"not on Staff",SUMIFS('Tally Helper'!$L$11:$GI$11,'Tally Helper'!$L$9:$GI$9,"&gt;="&amp;$BR8,'Tally Helper'!$L$9:$GI$9,"&lt;="&amp;$BS8)))</f>
        <v/>
      </c>
      <c r="AA8" s="15" t="str">
        <f aca="false">IF(OR(E$7="",$BR8=""),"",IF('Tally Helper'!$B$12&lt;&gt;TRUE(),"not on Staff",SUMIFS('Tally Helper'!$L$14:$GI$14,'Tally Helper'!$L$12:$GI$12,"&gt;="&amp;$BR8,'Tally Helper'!$L$12:$GI$12,"&lt;="&amp;$BS8)))</f>
        <v/>
      </c>
      <c r="AB8" s="15" t="str">
        <f aca="false">IF(OR(F$7="",$BR8=""),"",IF('Tally Helper'!$B$15&lt;&gt;TRUE(),"not on Staff",SUMIFS('Tally Helper'!$L$17:$GI$17,'Tally Helper'!$L$15:$GI$15,"&gt;="&amp;$BR8,'Tally Helper'!$L$15:$GI$15,"&lt;="&amp;$BS8)))</f>
        <v/>
      </c>
      <c r="AC8" s="15" t="str">
        <f aca="false">IF(OR(G$7="",$BR8=""),"",IF('Tally Helper'!$B$18&lt;&gt;TRUE(),"not on Staff",SUMIFS('Tally Helper'!$L$20:$GI$20,'Tally Helper'!$L$18:$GI$18,"&gt;="&amp;$BR8,'Tally Helper'!$L$18:$GI$18,"&lt;="&amp;$BS8)))</f>
        <v/>
      </c>
      <c r="AD8" s="15" t="str">
        <f aca="false">IF(OR(H$7="",$BR8=""),"",IF('Tally Helper'!$B$21&lt;&gt;TRUE(),"not on Staff",SUMIFS('Tally Helper'!$L$23:$GI$23,'Tally Helper'!$L$21:$GI$21,"&gt;="&amp;$BR8,'Tally Helper'!$L$21:$GI$21,"&lt;="&amp;$BS8)))</f>
        <v/>
      </c>
      <c r="AE8" s="15" t="str">
        <f aca="false">IF(OR(I$7="",$BR8=""),"",IF('Tally Helper'!$B$24&lt;&gt;TRUE(),"not on Staff",SUMIFS('Tally Helper'!$L$26:$GI$26,'Tally Helper'!$L$24:$GI$24,"&gt;="&amp;$BR8,'Tally Helper'!$L$24:$GI$24,"&lt;="&amp;$BS8)))</f>
        <v/>
      </c>
      <c r="AF8" s="15" t="str">
        <f aca="false">IF(OR(J$7="",$BR8=""),"",IF('Tally Helper'!$B$27&lt;&gt;TRUE(),"not on Staff",SUMIFS('Tally Helper'!$L$29:$GI$29,'Tally Helper'!$L$27:$GI$27,"&gt;="&amp;$BR8,'Tally Helper'!$L$27:$GI$27,"&lt;="&amp;$BS8)))</f>
        <v/>
      </c>
      <c r="AG8" s="15" t="str">
        <f aca="false">IF(OR(K$7="",$BR8=""),"",IF('Tally Helper'!$B$30&lt;&gt;TRUE(),"not on Staff",SUMIFS('Tally Helper'!$L$32:$GI$32,'Tally Helper'!$L$30:$GI$30,"&gt;="&amp;$BR8,'Tally Helper'!$L$30:$GI$30,"&lt;="&amp;$BS8)))</f>
        <v/>
      </c>
      <c r="AH8" s="15" t="str">
        <f aca="false">IF(OR(L$7="",$BR8=""),"",IF('Tally Helper'!$B$33&lt;&gt;TRUE(),"not on Staff",SUMIFS('Tally Helper'!$L$35:$GI$35,'Tally Helper'!$L$33:$GI$33,"&gt;="&amp;$BR8,'Tally Helper'!$L$33:$GI$33,"&lt;="&amp;$BS8)))</f>
        <v/>
      </c>
      <c r="AI8" s="15" t="str">
        <f aca="false">IF(OR(M$7="",$BR8=""),"",IF('Tally Helper'!$B$36&lt;&gt;TRUE(),"not on Staff",SUMIFS('Tally Helper'!$L$38:$GI$38,'Tally Helper'!$L$36:$GI$36,"&gt;="&amp;$BR8,'Tally Helper'!$L$36:$GI$36,"&lt;="&amp;$BS8)))</f>
        <v/>
      </c>
      <c r="AJ8" s="15" t="str">
        <f aca="false">IF(OR(N$7="",$BR8=""),"",IF('Tally Helper'!$B$39&lt;&gt;TRUE(),"not on Staff",SUMIFS('Tally Helper'!$L$41:$GI$41,'Tally Helper'!$L$39:$GI$39,"&gt;="&amp;$BR8,'Tally Helper'!$L$39:$GI$39,"&lt;="&amp;$BS8)))</f>
        <v/>
      </c>
      <c r="AK8" s="15" t="str">
        <f aca="false">IF(OR(O$7="",$BR8=""),"",IF('Tally Helper'!$B$42&lt;&gt;TRUE(),"not on Staff",SUMIFS('Tally Helper'!$L$44:$GI$44,'Tally Helper'!$L$42:$GI$42,"&gt;="&amp;$BR8,'Tally Helper'!$L$42:$GI$42,"&lt;="&amp;$BS8)))</f>
        <v/>
      </c>
      <c r="AL8" s="15" t="str">
        <f aca="false">IF(OR(P$7="",$BR8=""),"",IF('Tally Helper'!$B$45&lt;&gt;TRUE(),"not on Staff",SUMIFS('Tally Helper'!$L$47:$GI$47,'Tally Helper'!$L$45:$GI$45,"&gt;="&amp;$BR8,'Tally Helper'!$L$45:$GI$45,"&lt;="&amp;$BS8)))</f>
        <v/>
      </c>
      <c r="AM8" s="15" t="str">
        <f aca="false">IF(OR(Q$7="",$BR8=""),"",IF('Tally Helper'!$B$48&lt;&gt;TRUE(),"not on Staff",SUMIFS('Tally Helper'!$L$50:$GI$50,'Tally Helper'!$L$48:$GI$48,"&gt;="&amp;$BR8,'Tally Helper'!$L$48:$GI$48,"&lt;="&amp;$BS8)))</f>
        <v/>
      </c>
      <c r="AN8" s="15" t="str">
        <f aca="false">IF(OR(R$7="",$BR8=""),"",IF('Tally Helper'!$B$51&lt;&gt;TRUE(),"not on Staff",SUMIFS('Tally Helper'!$L$53:$GI$53,'Tally Helper'!$L$51:$GI$51,"&gt;="&amp;$BR8,'Tally Helper'!$L$51:$GI$51,"&lt;="&amp;$BS8)))</f>
        <v/>
      </c>
      <c r="AO8" s="15" t="str">
        <f aca="false">IF(OR(S$7="",$BR8=""),"",IF('Tally Helper'!$B$54&lt;&gt;TRUE(),"not on Staff",SUMIFS('Tally Helper'!$L$56:$GI$56,'Tally Helper'!$L$54:$GI$54,"&gt;="&amp;$BR8,'Tally Helper'!$L$54:$GI$54,"&lt;="&amp;$BS8)))</f>
        <v/>
      </c>
      <c r="AP8" s="15" t="str">
        <f aca="false">IF(OR(T$7="",$BR8=""),"",IF('Tally Helper'!$B$57&lt;&gt;TRUE(),"not on Staff",SUMIFS('Tally Helper'!$L$59:$GI$59,'Tally Helper'!$L$57:$GI$57,"&gt;="&amp;$BR8,'Tally Helper'!$L$57:$GI$57,"&lt;="&amp;$BS8)))</f>
        <v/>
      </c>
      <c r="AQ8" s="15" t="str">
        <f aca="false">IF(OR(U$7="",$BR8=""),"",IF('Tally Helper'!$B$60&lt;&gt;TRUE(),"not on Staff",SUMIFS('Tally Helper'!$L$62:$GI$62,'Tally Helper'!$L$60:$GI$60,"&gt;="&amp;$BR8,'Tally Helper'!$L$60:$GI$60,"&lt;="&amp;$BS8)))</f>
        <v/>
      </c>
      <c r="AT8" s="15" t="str">
        <f aca="false">IF(OR(X8="",NOT(ISNUMBER(X8))),"",X8-N(B8))</f>
        <v/>
      </c>
      <c r="AU8" s="15" t="str">
        <f aca="false">IF(OR(Y8="",NOT(ISNUMBER(Y8))),"",Y8-N(C8))</f>
        <v/>
      </c>
      <c r="AV8" s="15" t="str">
        <f aca="false">IF(OR(Z8="",NOT(ISNUMBER(Z8))),"",Z8-N(D8))</f>
        <v/>
      </c>
      <c r="AW8" s="15" t="str">
        <f aca="false">IF(OR(AA8="",NOT(ISNUMBER(AA8))),"",AA8-N(E8))</f>
        <v/>
      </c>
      <c r="AX8" s="15" t="str">
        <f aca="false">IF(OR(AB8="",NOT(ISNUMBER(AB8))),"",AB8-N(F8))</f>
        <v/>
      </c>
      <c r="AY8" s="15" t="str">
        <f aca="false">IF(OR(AC8="",NOT(ISNUMBER(AC8))),"",AC8-N(G8))</f>
        <v/>
      </c>
      <c r="AZ8" s="15" t="str">
        <f aca="false">IF(OR(AD8="",NOT(ISNUMBER(AD8))),"",AD8-N(H8))</f>
        <v/>
      </c>
      <c r="BA8" s="15" t="str">
        <f aca="false">IF(OR(AE8="",NOT(ISNUMBER(AE8))),"",AE8-N(I8))</f>
        <v/>
      </c>
      <c r="BB8" s="15" t="str">
        <f aca="false">IF(OR(AF8="",NOT(ISNUMBER(AF8))),"",AF8-N(J8))</f>
        <v/>
      </c>
      <c r="BC8" s="15" t="str">
        <f aca="false">IF(OR(AG8="",NOT(ISNUMBER(AG8))),"",AG8-N(K8))</f>
        <v/>
      </c>
      <c r="BD8" s="15" t="str">
        <f aca="false">IF(OR(AH8="",NOT(ISNUMBER(AH8))),"",AH8-N(L8))</f>
        <v/>
      </c>
      <c r="BE8" s="15" t="str">
        <f aca="false">IF(OR(AI8="",NOT(ISNUMBER(AI8))),"",AI8-N(M8))</f>
        <v/>
      </c>
      <c r="BF8" s="15" t="str">
        <f aca="false">IF(OR(AJ8="",NOT(ISNUMBER(AJ8))),"",AJ8-N(N8))</f>
        <v/>
      </c>
      <c r="BG8" s="15" t="str">
        <f aca="false">IF(OR(AK8="",NOT(ISNUMBER(AK8))),"",AK8-N(O8))</f>
        <v/>
      </c>
      <c r="BH8" s="15" t="str">
        <f aca="false">IF(OR(AL8="",NOT(ISNUMBER(AL8))),"",AL8-N(P8))</f>
        <v/>
      </c>
      <c r="BI8" s="15" t="str">
        <f aca="false">IF(OR(AM8="",NOT(ISNUMBER(AM8))),"",AM8-N(Q8))</f>
        <v/>
      </c>
      <c r="BJ8" s="15" t="str">
        <f aca="false">IF(OR(AN8="",NOT(ISNUMBER(AN8))),"",AN8-N(R8))</f>
        <v/>
      </c>
      <c r="BK8" s="15" t="str">
        <f aca="false">IF(OR(AO8="",NOT(ISNUMBER(AO8))),"",AO8-N(S8))</f>
        <v/>
      </c>
      <c r="BL8" s="15" t="str">
        <f aca="false">IF(OR(AP8="",NOT(ISNUMBER(AP8))),"",AP8-N(T8))</f>
        <v/>
      </c>
      <c r="BM8" s="15" t="str">
        <f aca="false">IF(OR(AQ8="",NOT(ISNUMBER(AQ8))),"",AQ8-N(U8))</f>
        <v/>
      </c>
      <c r="BR8" s="18" t="str">
        <f aca="false">IF($A8="","",IF(ISNUMBER($A8),DATE(YEAR($A8),MONTH($A8),1),IFERROR(DATE(2000+VALUE(RIGHT(TRIM($A8),2)),MATCH(UPPER(LEFT(TRIM($A8),3)),{"JAN","FEB","MAR","APR","MAY","JUN","JUL","AUG","SEP","OCT","NOV","DEC"},0),1),"")))</f>
        <v/>
      </c>
      <c r="BS8" s="18" t="str">
        <f aca="false">IF(BR8="","",EOMONTH(BR8,0))</f>
        <v/>
      </c>
    </row>
    <row r="9" customFormat="false" ht="15" hidden="false" customHeight="false" outlineLevel="0" collapsed="false">
      <c r="B9" s="19"/>
      <c r="C9" s="19"/>
      <c r="D9" s="19"/>
      <c r="E9" s="19"/>
      <c r="F9" s="19"/>
      <c r="G9" s="19"/>
      <c r="H9" s="19"/>
      <c r="I9" s="19"/>
      <c r="J9" s="19"/>
      <c r="K9" s="19"/>
      <c r="L9" s="19"/>
      <c r="M9" s="19"/>
      <c r="N9" s="19"/>
      <c r="O9" s="19"/>
      <c r="P9" s="19"/>
      <c r="Q9" s="19"/>
      <c r="R9" s="19"/>
      <c r="S9" s="19"/>
      <c r="T9" s="19"/>
      <c r="U9" s="19"/>
      <c r="X9" s="15" t="str">
        <f aca="false">IF(OR(B$7="",$BR9=""),"",IF('Tally Helper'!$B$3&lt;&gt;TRUE(),"not on Staff",SUMIFS('Tally Helper'!$L$5:$GI$5,'Tally Helper'!$L$3:$GI$3,"&gt;="&amp;$BR9,'Tally Helper'!$L$3:$GI$3,"&lt;="&amp;$BS9)))</f>
        <v/>
      </c>
      <c r="Y9" s="15" t="str">
        <f aca="false">IF(OR(C$7="",$BR9=""),"",IF('Tally Helper'!$B$6&lt;&gt;TRUE(),"not on Staff",SUMIFS('Tally Helper'!$L$8:$GI$8,'Tally Helper'!$L$6:$GI$6,"&gt;="&amp;$BR9,'Tally Helper'!$L$6:$GI$6,"&lt;="&amp;$BS9)))</f>
        <v/>
      </c>
      <c r="Z9" s="15" t="str">
        <f aca="false">IF(OR(D$7="",$BR9=""),"",IF('Tally Helper'!$B$9&lt;&gt;TRUE(),"not on Staff",SUMIFS('Tally Helper'!$L$11:$GI$11,'Tally Helper'!$L$9:$GI$9,"&gt;="&amp;$BR9,'Tally Helper'!$L$9:$GI$9,"&lt;="&amp;$BS9)))</f>
        <v/>
      </c>
      <c r="AA9" s="15" t="str">
        <f aca="false">IF(OR(E$7="",$BR9=""),"",IF('Tally Helper'!$B$12&lt;&gt;TRUE(),"not on Staff",SUMIFS('Tally Helper'!$L$14:$GI$14,'Tally Helper'!$L$12:$GI$12,"&gt;="&amp;$BR9,'Tally Helper'!$L$12:$GI$12,"&lt;="&amp;$BS9)))</f>
        <v/>
      </c>
      <c r="AB9" s="15" t="str">
        <f aca="false">IF(OR(F$7="",$BR9=""),"",IF('Tally Helper'!$B$15&lt;&gt;TRUE(),"not on Staff",SUMIFS('Tally Helper'!$L$17:$GI$17,'Tally Helper'!$L$15:$GI$15,"&gt;="&amp;$BR9,'Tally Helper'!$L$15:$GI$15,"&lt;="&amp;$BS9)))</f>
        <v/>
      </c>
      <c r="AC9" s="15" t="str">
        <f aca="false">IF(OR(G$7="",$BR9=""),"",IF('Tally Helper'!$B$18&lt;&gt;TRUE(),"not on Staff",SUMIFS('Tally Helper'!$L$20:$GI$20,'Tally Helper'!$L$18:$GI$18,"&gt;="&amp;$BR9,'Tally Helper'!$L$18:$GI$18,"&lt;="&amp;$BS9)))</f>
        <v/>
      </c>
      <c r="AD9" s="15" t="str">
        <f aca="false">IF(OR(H$7="",$BR9=""),"",IF('Tally Helper'!$B$21&lt;&gt;TRUE(),"not on Staff",SUMIFS('Tally Helper'!$L$23:$GI$23,'Tally Helper'!$L$21:$GI$21,"&gt;="&amp;$BR9,'Tally Helper'!$L$21:$GI$21,"&lt;="&amp;$BS9)))</f>
        <v/>
      </c>
      <c r="AE9" s="15" t="str">
        <f aca="false">IF(OR(I$7="",$BR9=""),"",IF('Tally Helper'!$B$24&lt;&gt;TRUE(),"not on Staff",SUMIFS('Tally Helper'!$L$26:$GI$26,'Tally Helper'!$L$24:$GI$24,"&gt;="&amp;$BR9,'Tally Helper'!$L$24:$GI$24,"&lt;="&amp;$BS9)))</f>
        <v/>
      </c>
      <c r="AF9" s="15" t="str">
        <f aca="false">IF(OR(J$7="",$BR9=""),"",IF('Tally Helper'!$B$27&lt;&gt;TRUE(),"not on Staff",SUMIFS('Tally Helper'!$L$29:$GI$29,'Tally Helper'!$L$27:$GI$27,"&gt;="&amp;$BR9,'Tally Helper'!$L$27:$GI$27,"&lt;="&amp;$BS9)))</f>
        <v/>
      </c>
      <c r="AG9" s="15" t="str">
        <f aca="false">IF(OR(K$7="",$BR9=""),"",IF('Tally Helper'!$B$30&lt;&gt;TRUE(),"not on Staff",SUMIFS('Tally Helper'!$L$32:$GI$32,'Tally Helper'!$L$30:$GI$30,"&gt;="&amp;$BR9,'Tally Helper'!$L$30:$GI$30,"&lt;="&amp;$BS9)))</f>
        <v/>
      </c>
      <c r="AH9" s="15" t="str">
        <f aca="false">IF(OR(L$7="",$BR9=""),"",IF('Tally Helper'!$B$33&lt;&gt;TRUE(),"not on Staff",SUMIFS('Tally Helper'!$L$35:$GI$35,'Tally Helper'!$L$33:$GI$33,"&gt;="&amp;$BR9,'Tally Helper'!$L$33:$GI$33,"&lt;="&amp;$BS9)))</f>
        <v/>
      </c>
      <c r="AI9" s="15" t="str">
        <f aca="false">IF(OR(M$7="",$BR9=""),"",IF('Tally Helper'!$B$36&lt;&gt;TRUE(),"not on Staff",SUMIFS('Tally Helper'!$L$38:$GI$38,'Tally Helper'!$L$36:$GI$36,"&gt;="&amp;$BR9,'Tally Helper'!$L$36:$GI$36,"&lt;="&amp;$BS9)))</f>
        <v/>
      </c>
      <c r="AJ9" s="15" t="str">
        <f aca="false">IF(OR(N$7="",$BR9=""),"",IF('Tally Helper'!$B$39&lt;&gt;TRUE(),"not on Staff",SUMIFS('Tally Helper'!$L$41:$GI$41,'Tally Helper'!$L$39:$GI$39,"&gt;="&amp;$BR9,'Tally Helper'!$L$39:$GI$39,"&lt;="&amp;$BS9)))</f>
        <v/>
      </c>
      <c r="AK9" s="15" t="str">
        <f aca="false">IF(OR(O$7="",$BR9=""),"",IF('Tally Helper'!$B$42&lt;&gt;TRUE(),"not on Staff",SUMIFS('Tally Helper'!$L$44:$GI$44,'Tally Helper'!$L$42:$GI$42,"&gt;="&amp;$BR9,'Tally Helper'!$L$42:$GI$42,"&lt;="&amp;$BS9)))</f>
        <v/>
      </c>
      <c r="AL9" s="15" t="str">
        <f aca="false">IF(OR(P$7="",$BR9=""),"",IF('Tally Helper'!$B$45&lt;&gt;TRUE(),"not on Staff",SUMIFS('Tally Helper'!$L$47:$GI$47,'Tally Helper'!$L$45:$GI$45,"&gt;="&amp;$BR9,'Tally Helper'!$L$45:$GI$45,"&lt;="&amp;$BS9)))</f>
        <v/>
      </c>
      <c r="AM9" s="15" t="str">
        <f aca="false">IF(OR(Q$7="",$BR9=""),"",IF('Tally Helper'!$B$48&lt;&gt;TRUE(),"not on Staff",SUMIFS('Tally Helper'!$L$50:$GI$50,'Tally Helper'!$L$48:$GI$48,"&gt;="&amp;$BR9,'Tally Helper'!$L$48:$GI$48,"&lt;="&amp;$BS9)))</f>
        <v/>
      </c>
      <c r="AN9" s="15" t="str">
        <f aca="false">IF(OR(R$7="",$BR9=""),"",IF('Tally Helper'!$B$51&lt;&gt;TRUE(),"not on Staff",SUMIFS('Tally Helper'!$L$53:$GI$53,'Tally Helper'!$L$51:$GI$51,"&gt;="&amp;$BR9,'Tally Helper'!$L$51:$GI$51,"&lt;="&amp;$BS9)))</f>
        <v/>
      </c>
      <c r="AO9" s="15" t="str">
        <f aca="false">IF(OR(S$7="",$BR9=""),"",IF('Tally Helper'!$B$54&lt;&gt;TRUE(),"not on Staff",SUMIFS('Tally Helper'!$L$56:$GI$56,'Tally Helper'!$L$54:$GI$54,"&gt;="&amp;$BR9,'Tally Helper'!$L$54:$GI$54,"&lt;="&amp;$BS9)))</f>
        <v/>
      </c>
      <c r="AP9" s="15" t="str">
        <f aca="false">IF(OR(T$7="",$BR9=""),"",IF('Tally Helper'!$B$57&lt;&gt;TRUE(),"not on Staff",SUMIFS('Tally Helper'!$L$59:$GI$59,'Tally Helper'!$L$57:$GI$57,"&gt;="&amp;$BR9,'Tally Helper'!$L$57:$GI$57,"&lt;="&amp;$BS9)))</f>
        <v/>
      </c>
      <c r="AQ9" s="15" t="str">
        <f aca="false">IF(OR(U$7="",$BR9=""),"",IF('Tally Helper'!$B$60&lt;&gt;TRUE(),"not on Staff",SUMIFS('Tally Helper'!$L$62:$GI$62,'Tally Helper'!$L$60:$GI$60,"&gt;="&amp;$BR9,'Tally Helper'!$L$60:$GI$60,"&lt;="&amp;$BS9)))</f>
        <v/>
      </c>
      <c r="AT9" s="15" t="str">
        <f aca="false">IF(OR(X9="",NOT(ISNUMBER(X9))),"",X9-N(B9))</f>
        <v/>
      </c>
      <c r="AU9" s="15" t="str">
        <f aca="false">IF(OR(Y9="",NOT(ISNUMBER(Y9))),"",Y9-N(C9))</f>
        <v/>
      </c>
      <c r="AV9" s="15" t="str">
        <f aca="false">IF(OR(Z9="",NOT(ISNUMBER(Z9))),"",Z9-N(D9))</f>
        <v/>
      </c>
      <c r="AW9" s="15" t="str">
        <f aca="false">IF(OR(AA9="",NOT(ISNUMBER(AA9))),"",AA9-N(E9))</f>
        <v/>
      </c>
      <c r="AX9" s="15" t="str">
        <f aca="false">IF(OR(AB9="",NOT(ISNUMBER(AB9))),"",AB9-N(F9))</f>
        <v/>
      </c>
      <c r="AY9" s="15" t="str">
        <f aca="false">IF(OR(AC9="",NOT(ISNUMBER(AC9))),"",AC9-N(G9))</f>
        <v/>
      </c>
      <c r="AZ9" s="15" t="str">
        <f aca="false">IF(OR(AD9="",NOT(ISNUMBER(AD9))),"",AD9-N(H9))</f>
        <v/>
      </c>
      <c r="BA9" s="15" t="str">
        <f aca="false">IF(OR(AE9="",NOT(ISNUMBER(AE9))),"",AE9-N(I9))</f>
        <v/>
      </c>
      <c r="BB9" s="15" t="str">
        <f aca="false">IF(OR(AF9="",NOT(ISNUMBER(AF9))),"",AF9-N(J9))</f>
        <v/>
      </c>
      <c r="BC9" s="15" t="str">
        <f aca="false">IF(OR(AG9="",NOT(ISNUMBER(AG9))),"",AG9-N(K9))</f>
        <v/>
      </c>
      <c r="BD9" s="15" t="str">
        <f aca="false">IF(OR(AH9="",NOT(ISNUMBER(AH9))),"",AH9-N(L9))</f>
        <v/>
      </c>
      <c r="BE9" s="15" t="str">
        <f aca="false">IF(OR(AI9="",NOT(ISNUMBER(AI9))),"",AI9-N(M9))</f>
        <v/>
      </c>
      <c r="BF9" s="15" t="str">
        <f aca="false">IF(OR(AJ9="",NOT(ISNUMBER(AJ9))),"",AJ9-N(N9))</f>
        <v/>
      </c>
      <c r="BG9" s="15" t="str">
        <f aca="false">IF(OR(AK9="",NOT(ISNUMBER(AK9))),"",AK9-N(O9))</f>
        <v/>
      </c>
      <c r="BH9" s="15" t="str">
        <f aca="false">IF(OR(AL9="",NOT(ISNUMBER(AL9))),"",AL9-N(P9))</f>
        <v/>
      </c>
      <c r="BI9" s="15" t="str">
        <f aca="false">IF(OR(AM9="",NOT(ISNUMBER(AM9))),"",AM9-N(Q9))</f>
        <v/>
      </c>
      <c r="BJ9" s="15" t="str">
        <f aca="false">IF(OR(AN9="",NOT(ISNUMBER(AN9))),"",AN9-N(R9))</f>
        <v/>
      </c>
      <c r="BK9" s="15" t="str">
        <f aca="false">IF(OR(AO9="",NOT(ISNUMBER(AO9))),"",AO9-N(S9))</f>
        <v/>
      </c>
      <c r="BL9" s="15" t="str">
        <f aca="false">IF(OR(AP9="",NOT(ISNUMBER(AP9))),"",AP9-N(T9))</f>
        <v/>
      </c>
      <c r="BM9" s="15" t="str">
        <f aca="false">IF(OR(AQ9="",NOT(ISNUMBER(AQ9))),"",AQ9-N(U9))</f>
        <v/>
      </c>
      <c r="BR9" s="18" t="str">
        <f aca="false">IF($A9="","",IF(ISNUMBER($A9),DATE(YEAR($A9),MONTH($A9),1),IFERROR(DATE(2000+VALUE(RIGHT(TRIM($A9),2)),MATCH(UPPER(LEFT(TRIM($A9),3)),{"JAN","FEB","MAR","APR","MAY","JUN","JUL","AUG","SEP","OCT","NOV","DEC"},0),1),"")))</f>
        <v/>
      </c>
      <c r="BS9" s="18" t="str">
        <f aca="false">IF(BR9="","",EOMONTH(BR9,0))</f>
        <v/>
      </c>
    </row>
    <row r="10" customFormat="false" ht="15" hidden="false" customHeight="false" outlineLevel="0" collapsed="false">
      <c r="B10" s="19"/>
      <c r="C10" s="19"/>
      <c r="D10" s="19"/>
      <c r="E10" s="19"/>
      <c r="F10" s="19"/>
      <c r="G10" s="19"/>
      <c r="H10" s="19"/>
      <c r="I10" s="19"/>
      <c r="J10" s="19"/>
      <c r="K10" s="19"/>
      <c r="L10" s="19"/>
      <c r="M10" s="19"/>
      <c r="N10" s="19"/>
      <c r="O10" s="19"/>
      <c r="P10" s="19"/>
      <c r="Q10" s="19"/>
      <c r="R10" s="19"/>
      <c r="S10" s="19"/>
      <c r="T10" s="19"/>
      <c r="U10" s="19"/>
      <c r="X10" s="15" t="str">
        <f aca="false">IF(OR(B$7="",$BR10=""),"",IF('Tally Helper'!$B$3&lt;&gt;TRUE(),"not on Staff",SUMIFS('Tally Helper'!$L$5:$GI$5,'Tally Helper'!$L$3:$GI$3,"&gt;="&amp;$BR10,'Tally Helper'!$L$3:$GI$3,"&lt;="&amp;$BS10)))</f>
        <v/>
      </c>
      <c r="Y10" s="15" t="str">
        <f aca="false">IF(OR(C$7="",$BR10=""),"",IF('Tally Helper'!$B$6&lt;&gt;TRUE(),"not on Staff",SUMIFS('Tally Helper'!$L$8:$GI$8,'Tally Helper'!$L$6:$GI$6,"&gt;="&amp;$BR10,'Tally Helper'!$L$6:$GI$6,"&lt;="&amp;$BS10)))</f>
        <v/>
      </c>
      <c r="Z10" s="15" t="str">
        <f aca="false">IF(OR(D$7="",$BR10=""),"",IF('Tally Helper'!$B$9&lt;&gt;TRUE(),"not on Staff",SUMIFS('Tally Helper'!$L$11:$GI$11,'Tally Helper'!$L$9:$GI$9,"&gt;="&amp;$BR10,'Tally Helper'!$L$9:$GI$9,"&lt;="&amp;$BS10)))</f>
        <v/>
      </c>
      <c r="AA10" s="15" t="str">
        <f aca="false">IF(OR(E$7="",$BR10=""),"",IF('Tally Helper'!$B$12&lt;&gt;TRUE(),"not on Staff",SUMIFS('Tally Helper'!$L$14:$GI$14,'Tally Helper'!$L$12:$GI$12,"&gt;="&amp;$BR10,'Tally Helper'!$L$12:$GI$12,"&lt;="&amp;$BS10)))</f>
        <v/>
      </c>
      <c r="AB10" s="15" t="str">
        <f aca="false">IF(OR(F$7="",$BR10=""),"",IF('Tally Helper'!$B$15&lt;&gt;TRUE(),"not on Staff",SUMIFS('Tally Helper'!$L$17:$GI$17,'Tally Helper'!$L$15:$GI$15,"&gt;="&amp;$BR10,'Tally Helper'!$L$15:$GI$15,"&lt;="&amp;$BS10)))</f>
        <v/>
      </c>
      <c r="AC10" s="15" t="str">
        <f aca="false">IF(OR(G$7="",$BR10=""),"",IF('Tally Helper'!$B$18&lt;&gt;TRUE(),"not on Staff",SUMIFS('Tally Helper'!$L$20:$GI$20,'Tally Helper'!$L$18:$GI$18,"&gt;="&amp;$BR10,'Tally Helper'!$L$18:$GI$18,"&lt;="&amp;$BS10)))</f>
        <v/>
      </c>
      <c r="AD10" s="15" t="str">
        <f aca="false">IF(OR(H$7="",$BR10=""),"",IF('Tally Helper'!$B$21&lt;&gt;TRUE(),"not on Staff",SUMIFS('Tally Helper'!$L$23:$GI$23,'Tally Helper'!$L$21:$GI$21,"&gt;="&amp;$BR10,'Tally Helper'!$L$21:$GI$21,"&lt;="&amp;$BS10)))</f>
        <v/>
      </c>
      <c r="AE10" s="15" t="str">
        <f aca="false">IF(OR(I$7="",$BR10=""),"",IF('Tally Helper'!$B$24&lt;&gt;TRUE(),"not on Staff",SUMIFS('Tally Helper'!$L$26:$GI$26,'Tally Helper'!$L$24:$GI$24,"&gt;="&amp;$BR10,'Tally Helper'!$L$24:$GI$24,"&lt;="&amp;$BS10)))</f>
        <v/>
      </c>
      <c r="AF10" s="15" t="str">
        <f aca="false">IF(OR(J$7="",$BR10=""),"",IF('Tally Helper'!$B$27&lt;&gt;TRUE(),"not on Staff",SUMIFS('Tally Helper'!$L$29:$GI$29,'Tally Helper'!$L$27:$GI$27,"&gt;="&amp;$BR10,'Tally Helper'!$L$27:$GI$27,"&lt;="&amp;$BS10)))</f>
        <v/>
      </c>
      <c r="AG10" s="15" t="str">
        <f aca="false">IF(OR(K$7="",$BR10=""),"",IF('Tally Helper'!$B$30&lt;&gt;TRUE(),"not on Staff",SUMIFS('Tally Helper'!$L$32:$GI$32,'Tally Helper'!$L$30:$GI$30,"&gt;="&amp;$BR10,'Tally Helper'!$L$30:$GI$30,"&lt;="&amp;$BS10)))</f>
        <v/>
      </c>
      <c r="AH10" s="15" t="str">
        <f aca="false">IF(OR(L$7="",$BR10=""),"",IF('Tally Helper'!$B$33&lt;&gt;TRUE(),"not on Staff",SUMIFS('Tally Helper'!$L$35:$GI$35,'Tally Helper'!$L$33:$GI$33,"&gt;="&amp;$BR10,'Tally Helper'!$L$33:$GI$33,"&lt;="&amp;$BS10)))</f>
        <v/>
      </c>
      <c r="AI10" s="15" t="str">
        <f aca="false">IF(OR(M$7="",$BR10=""),"",IF('Tally Helper'!$B$36&lt;&gt;TRUE(),"not on Staff",SUMIFS('Tally Helper'!$L$38:$GI$38,'Tally Helper'!$L$36:$GI$36,"&gt;="&amp;$BR10,'Tally Helper'!$L$36:$GI$36,"&lt;="&amp;$BS10)))</f>
        <v/>
      </c>
      <c r="AJ10" s="15" t="str">
        <f aca="false">IF(OR(N$7="",$BR10=""),"",IF('Tally Helper'!$B$39&lt;&gt;TRUE(),"not on Staff",SUMIFS('Tally Helper'!$L$41:$GI$41,'Tally Helper'!$L$39:$GI$39,"&gt;="&amp;$BR10,'Tally Helper'!$L$39:$GI$39,"&lt;="&amp;$BS10)))</f>
        <v/>
      </c>
      <c r="AK10" s="15" t="str">
        <f aca="false">IF(OR(O$7="",$BR10=""),"",IF('Tally Helper'!$B$42&lt;&gt;TRUE(),"not on Staff",SUMIFS('Tally Helper'!$L$44:$GI$44,'Tally Helper'!$L$42:$GI$42,"&gt;="&amp;$BR10,'Tally Helper'!$L$42:$GI$42,"&lt;="&amp;$BS10)))</f>
        <v/>
      </c>
      <c r="AL10" s="15" t="str">
        <f aca="false">IF(OR(P$7="",$BR10=""),"",IF('Tally Helper'!$B$45&lt;&gt;TRUE(),"not on Staff",SUMIFS('Tally Helper'!$L$47:$GI$47,'Tally Helper'!$L$45:$GI$45,"&gt;="&amp;$BR10,'Tally Helper'!$L$45:$GI$45,"&lt;="&amp;$BS10)))</f>
        <v/>
      </c>
      <c r="AM10" s="15" t="str">
        <f aca="false">IF(OR(Q$7="",$BR10=""),"",IF('Tally Helper'!$B$48&lt;&gt;TRUE(),"not on Staff",SUMIFS('Tally Helper'!$L$50:$GI$50,'Tally Helper'!$L$48:$GI$48,"&gt;="&amp;$BR10,'Tally Helper'!$L$48:$GI$48,"&lt;="&amp;$BS10)))</f>
        <v/>
      </c>
      <c r="AN10" s="15" t="str">
        <f aca="false">IF(OR(R$7="",$BR10=""),"",IF('Tally Helper'!$B$51&lt;&gt;TRUE(),"not on Staff",SUMIFS('Tally Helper'!$L$53:$GI$53,'Tally Helper'!$L$51:$GI$51,"&gt;="&amp;$BR10,'Tally Helper'!$L$51:$GI$51,"&lt;="&amp;$BS10)))</f>
        <v/>
      </c>
      <c r="AO10" s="15" t="str">
        <f aca="false">IF(OR(S$7="",$BR10=""),"",IF('Tally Helper'!$B$54&lt;&gt;TRUE(),"not on Staff",SUMIFS('Tally Helper'!$L$56:$GI$56,'Tally Helper'!$L$54:$GI$54,"&gt;="&amp;$BR10,'Tally Helper'!$L$54:$GI$54,"&lt;="&amp;$BS10)))</f>
        <v/>
      </c>
      <c r="AP10" s="15" t="str">
        <f aca="false">IF(OR(T$7="",$BR10=""),"",IF('Tally Helper'!$B$57&lt;&gt;TRUE(),"not on Staff",SUMIFS('Tally Helper'!$L$59:$GI$59,'Tally Helper'!$L$57:$GI$57,"&gt;="&amp;$BR10,'Tally Helper'!$L$57:$GI$57,"&lt;="&amp;$BS10)))</f>
        <v/>
      </c>
      <c r="AQ10" s="15" t="str">
        <f aca="false">IF(OR(U$7="",$BR10=""),"",IF('Tally Helper'!$B$60&lt;&gt;TRUE(),"not on Staff",SUMIFS('Tally Helper'!$L$62:$GI$62,'Tally Helper'!$L$60:$GI$60,"&gt;="&amp;$BR10,'Tally Helper'!$L$60:$GI$60,"&lt;="&amp;$BS10)))</f>
        <v/>
      </c>
      <c r="AT10" s="15" t="str">
        <f aca="false">IF(OR(X10="",NOT(ISNUMBER(X10))),"",X10-N(B10))</f>
        <v/>
      </c>
      <c r="AU10" s="15" t="str">
        <f aca="false">IF(OR(Y10="",NOT(ISNUMBER(Y10))),"",Y10-N(C10))</f>
        <v/>
      </c>
      <c r="AV10" s="15" t="str">
        <f aca="false">IF(OR(Z10="",NOT(ISNUMBER(Z10))),"",Z10-N(D10))</f>
        <v/>
      </c>
      <c r="AW10" s="15" t="str">
        <f aca="false">IF(OR(AA10="",NOT(ISNUMBER(AA10))),"",AA10-N(E10))</f>
        <v/>
      </c>
      <c r="AX10" s="15" t="str">
        <f aca="false">IF(OR(AB10="",NOT(ISNUMBER(AB10))),"",AB10-N(F10))</f>
        <v/>
      </c>
      <c r="AY10" s="15" t="str">
        <f aca="false">IF(OR(AC10="",NOT(ISNUMBER(AC10))),"",AC10-N(G10))</f>
        <v/>
      </c>
      <c r="AZ10" s="15" t="str">
        <f aca="false">IF(OR(AD10="",NOT(ISNUMBER(AD10))),"",AD10-N(H10))</f>
        <v/>
      </c>
      <c r="BA10" s="15" t="str">
        <f aca="false">IF(OR(AE10="",NOT(ISNUMBER(AE10))),"",AE10-N(I10))</f>
        <v/>
      </c>
      <c r="BB10" s="15" t="str">
        <f aca="false">IF(OR(AF10="",NOT(ISNUMBER(AF10))),"",AF10-N(J10))</f>
        <v/>
      </c>
      <c r="BC10" s="15" t="str">
        <f aca="false">IF(OR(AG10="",NOT(ISNUMBER(AG10))),"",AG10-N(K10))</f>
        <v/>
      </c>
      <c r="BD10" s="15" t="str">
        <f aca="false">IF(OR(AH10="",NOT(ISNUMBER(AH10))),"",AH10-N(L10))</f>
        <v/>
      </c>
      <c r="BE10" s="15" t="str">
        <f aca="false">IF(OR(AI10="",NOT(ISNUMBER(AI10))),"",AI10-N(M10))</f>
        <v/>
      </c>
      <c r="BF10" s="15" t="str">
        <f aca="false">IF(OR(AJ10="",NOT(ISNUMBER(AJ10))),"",AJ10-N(N10))</f>
        <v/>
      </c>
      <c r="BG10" s="15" t="str">
        <f aca="false">IF(OR(AK10="",NOT(ISNUMBER(AK10))),"",AK10-N(O10))</f>
        <v/>
      </c>
      <c r="BH10" s="15" t="str">
        <f aca="false">IF(OR(AL10="",NOT(ISNUMBER(AL10))),"",AL10-N(P10))</f>
        <v/>
      </c>
      <c r="BI10" s="15" t="str">
        <f aca="false">IF(OR(AM10="",NOT(ISNUMBER(AM10))),"",AM10-N(Q10))</f>
        <v/>
      </c>
      <c r="BJ10" s="15" t="str">
        <f aca="false">IF(OR(AN10="",NOT(ISNUMBER(AN10))),"",AN10-N(R10))</f>
        <v/>
      </c>
      <c r="BK10" s="15" t="str">
        <f aca="false">IF(OR(AO10="",NOT(ISNUMBER(AO10))),"",AO10-N(S10))</f>
        <v/>
      </c>
      <c r="BL10" s="15" t="str">
        <f aca="false">IF(OR(AP10="",NOT(ISNUMBER(AP10))),"",AP10-N(T10))</f>
        <v/>
      </c>
      <c r="BM10" s="15" t="str">
        <f aca="false">IF(OR(AQ10="",NOT(ISNUMBER(AQ10))),"",AQ10-N(U10))</f>
        <v/>
      </c>
      <c r="BR10" s="18" t="str">
        <f aca="false">IF($A10="","",IF(ISNUMBER($A10),DATE(YEAR($A10),MONTH($A10),1),IFERROR(DATE(2000+VALUE(RIGHT(TRIM($A10),2)),MATCH(UPPER(LEFT(TRIM($A10),3)),{"JAN","FEB","MAR","APR","MAY","JUN","JUL","AUG","SEP","OCT","NOV","DEC"},0),1),"")))</f>
        <v/>
      </c>
      <c r="BS10" s="18" t="str">
        <f aca="false">IF(BR10="","",EOMONTH(BR10,0))</f>
        <v/>
      </c>
    </row>
    <row r="11" customFormat="false" ht="15" hidden="false" customHeight="false" outlineLevel="0" collapsed="false">
      <c r="B11" s="19"/>
      <c r="C11" s="19"/>
      <c r="D11" s="19"/>
      <c r="E11" s="19"/>
      <c r="F11" s="19"/>
      <c r="G11" s="19"/>
      <c r="H11" s="19"/>
      <c r="I11" s="19"/>
      <c r="J11" s="19"/>
      <c r="K11" s="19"/>
      <c r="L11" s="19"/>
      <c r="M11" s="19"/>
      <c r="N11" s="19"/>
      <c r="O11" s="19"/>
      <c r="P11" s="19"/>
      <c r="Q11" s="19"/>
      <c r="R11" s="19"/>
      <c r="S11" s="19"/>
      <c r="T11" s="19"/>
      <c r="U11" s="19"/>
      <c r="X11" s="15" t="str">
        <f aca="false">IF(OR(B$7="",$BR11=""),"",IF('Tally Helper'!$B$3&lt;&gt;TRUE(),"not on Staff",SUMIFS('Tally Helper'!$L$5:$GI$5,'Tally Helper'!$L$3:$GI$3,"&gt;="&amp;$BR11,'Tally Helper'!$L$3:$GI$3,"&lt;="&amp;$BS11)))</f>
        <v/>
      </c>
      <c r="Y11" s="15" t="str">
        <f aca="false">IF(OR(C$7="",$BR11=""),"",IF('Tally Helper'!$B$6&lt;&gt;TRUE(),"not on Staff",SUMIFS('Tally Helper'!$L$8:$GI$8,'Tally Helper'!$L$6:$GI$6,"&gt;="&amp;$BR11,'Tally Helper'!$L$6:$GI$6,"&lt;="&amp;$BS11)))</f>
        <v/>
      </c>
      <c r="Z11" s="15" t="str">
        <f aca="false">IF(OR(D$7="",$BR11=""),"",IF('Tally Helper'!$B$9&lt;&gt;TRUE(),"not on Staff",SUMIFS('Tally Helper'!$L$11:$GI$11,'Tally Helper'!$L$9:$GI$9,"&gt;="&amp;$BR11,'Tally Helper'!$L$9:$GI$9,"&lt;="&amp;$BS11)))</f>
        <v/>
      </c>
      <c r="AA11" s="15" t="str">
        <f aca="false">IF(OR(E$7="",$BR11=""),"",IF('Tally Helper'!$B$12&lt;&gt;TRUE(),"not on Staff",SUMIFS('Tally Helper'!$L$14:$GI$14,'Tally Helper'!$L$12:$GI$12,"&gt;="&amp;$BR11,'Tally Helper'!$L$12:$GI$12,"&lt;="&amp;$BS11)))</f>
        <v/>
      </c>
      <c r="AB11" s="15" t="str">
        <f aca="false">IF(OR(F$7="",$BR11=""),"",IF('Tally Helper'!$B$15&lt;&gt;TRUE(),"not on Staff",SUMIFS('Tally Helper'!$L$17:$GI$17,'Tally Helper'!$L$15:$GI$15,"&gt;="&amp;$BR11,'Tally Helper'!$L$15:$GI$15,"&lt;="&amp;$BS11)))</f>
        <v/>
      </c>
      <c r="AC11" s="15" t="str">
        <f aca="false">IF(OR(G$7="",$BR11=""),"",IF('Tally Helper'!$B$18&lt;&gt;TRUE(),"not on Staff",SUMIFS('Tally Helper'!$L$20:$GI$20,'Tally Helper'!$L$18:$GI$18,"&gt;="&amp;$BR11,'Tally Helper'!$L$18:$GI$18,"&lt;="&amp;$BS11)))</f>
        <v/>
      </c>
      <c r="AD11" s="15" t="str">
        <f aca="false">IF(OR(H$7="",$BR11=""),"",IF('Tally Helper'!$B$21&lt;&gt;TRUE(),"not on Staff",SUMIFS('Tally Helper'!$L$23:$GI$23,'Tally Helper'!$L$21:$GI$21,"&gt;="&amp;$BR11,'Tally Helper'!$L$21:$GI$21,"&lt;="&amp;$BS11)))</f>
        <v/>
      </c>
      <c r="AE11" s="15" t="str">
        <f aca="false">IF(OR(I$7="",$BR11=""),"",IF('Tally Helper'!$B$24&lt;&gt;TRUE(),"not on Staff",SUMIFS('Tally Helper'!$L$26:$GI$26,'Tally Helper'!$L$24:$GI$24,"&gt;="&amp;$BR11,'Tally Helper'!$L$24:$GI$24,"&lt;="&amp;$BS11)))</f>
        <v/>
      </c>
      <c r="AF11" s="15" t="str">
        <f aca="false">IF(OR(J$7="",$BR11=""),"",IF('Tally Helper'!$B$27&lt;&gt;TRUE(),"not on Staff",SUMIFS('Tally Helper'!$L$29:$GI$29,'Tally Helper'!$L$27:$GI$27,"&gt;="&amp;$BR11,'Tally Helper'!$L$27:$GI$27,"&lt;="&amp;$BS11)))</f>
        <v/>
      </c>
      <c r="AG11" s="15" t="str">
        <f aca="false">IF(OR(K$7="",$BR11=""),"",IF('Tally Helper'!$B$30&lt;&gt;TRUE(),"not on Staff",SUMIFS('Tally Helper'!$L$32:$GI$32,'Tally Helper'!$L$30:$GI$30,"&gt;="&amp;$BR11,'Tally Helper'!$L$30:$GI$30,"&lt;="&amp;$BS11)))</f>
        <v/>
      </c>
      <c r="AH11" s="15" t="str">
        <f aca="false">IF(OR(L$7="",$BR11=""),"",IF('Tally Helper'!$B$33&lt;&gt;TRUE(),"not on Staff",SUMIFS('Tally Helper'!$L$35:$GI$35,'Tally Helper'!$L$33:$GI$33,"&gt;="&amp;$BR11,'Tally Helper'!$L$33:$GI$33,"&lt;="&amp;$BS11)))</f>
        <v/>
      </c>
      <c r="AI11" s="15" t="str">
        <f aca="false">IF(OR(M$7="",$BR11=""),"",IF('Tally Helper'!$B$36&lt;&gt;TRUE(),"not on Staff",SUMIFS('Tally Helper'!$L$38:$GI$38,'Tally Helper'!$L$36:$GI$36,"&gt;="&amp;$BR11,'Tally Helper'!$L$36:$GI$36,"&lt;="&amp;$BS11)))</f>
        <v/>
      </c>
      <c r="AJ11" s="15" t="str">
        <f aca="false">IF(OR(N$7="",$BR11=""),"",IF('Tally Helper'!$B$39&lt;&gt;TRUE(),"not on Staff",SUMIFS('Tally Helper'!$L$41:$GI$41,'Tally Helper'!$L$39:$GI$39,"&gt;="&amp;$BR11,'Tally Helper'!$L$39:$GI$39,"&lt;="&amp;$BS11)))</f>
        <v/>
      </c>
      <c r="AK11" s="15" t="str">
        <f aca="false">IF(OR(O$7="",$BR11=""),"",IF('Tally Helper'!$B$42&lt;&gt;TRUE(),"not on Staff",SUMIFS('Tally Helper'!$L$44:$GI$44,'Tally Helper'!$L$42:$GI$42,"&gt;="&amp;$BR11,'Tally Helper'!$L$42:$GI$42,"&lt;="&amp;$BS11)))</f>
        <v/>
      </c>
      <c r="AL11" s="15" t="str">
        <f aca="false">IF(OR(P$7="",$BR11=""),"",IF('Tally Helper'!$B$45&lt;&gt;TRUE(),"not on Staff",SUMIFS('Tally Helper'!$L$47:$GI$47,'Tally Helper'!$L$45:$GI$45,"&gt;="&amp;$BR11,'Tally Helper'!$L$45:$GI$45,"&lt;="&amp;$BS11)))</f>
        <v/>
      </c>
      <c r="AM11" s="15" t="str">
        <f aca="false">IF(OR(Q$7="",$BR11=""),"",IF('Tally Helper'!$B$48&lt;&gt;TRUE(),"not on Staff",SUMIFS('Tally Helper'!$L$50:$GI$50,'Tally Helper'!$L$48:$GI$48,"&gt;="&amp;$BR11,'Tally Helper'!$L$48:$GI$48,"&lt;="&amp;$BS11)))</f>
        <v/>
      </c>
      <c r="AN11" s="15" t="str">
        <f aca="false">IF(OR(R$7="",$BR11=""),"",IF('Tally Helper'!$B$51&lt;&gt;TRUE(),"not on Staff",SUMIFS('Tally Helper'!$L$53:$GI$53,'Tally Helper'!$L$51:$GI$51,"&gt;="&amp;$BR11,'Tally Helper'!$L$51:$GI$51,"&lt;="&amp;$BS11)))</f>
        <v/>
      </c>
      <c r="AO11" s="15" t="str">
        <f aca="false">IF(OR(S$7="",$BR11=""),"",IF('Tally Helper'!$B$54&lt;&gt;TRUE(),"not on Staff",SUMIFS('Tally Helper'!$L$56:$GI$56,'Tally Helper'!$L$54:$GI$54,"&gt;="&amp;$BR11,'Tally Helper'!$L$54:$GI$54,"&lt;="&amp;$BS11)))</f>
        <v/>
      </c>
      <c r="AP11" s="15" t="str">
        <f aca="false">IF(OR(T$7="",$BR11=""),"",IF('Tally Helper'!$B$57&lt;&gt;TRUE(),"not on Staff",SUMIFS('Tally Helper'!$L$59:$GI$59,'Tally Helper'!$L$57:$GI$57,"&gt;="&amp;$BR11,'Tally Helper'!$L$57:$GI$57,"&lt;="&amp;$BS11)))</f>
        <v/>
      </c>
      <c r="AQ11" s="15" t="str">
        <f aca="false">IF(OR(U$7="",$BR11=""),"",IF('Tally Helper'!$B$60&lt;&gt;TRUE(),"not on Staff",SUMIFS('Tally Helper'!$L$62:$GI$62,'Tally Helper'!$L$60:$GI$60,"&gt;="&amp;$BR11,'Tally Helper'!$L$60:$GI$60,"&lt;="&amp;$BS11)))</f>
        <v/>
      </c>
      <c r="AT11" s="15" t="str">
        <f aca="false">IF(OR(X11="",NOT(ISNUMBER(X11))),"",X11-N(B11))</f>
        <v/>
      </c>
      <c r="AU11" s="15" t="str">
        <f aca="false">IF(OR(Y11="",NOT(ISNUMBER(Y11))),"",Y11-N(C11))</f>
        <v/>
      </c>
      <c r="AV11" s="15" t="str">
        <f aca="false">IF(OR(Z11="",NOT(ISNUMBER(Z11))),"",Z11-N(D11))</f>
        <v/>
      </c>
      <c r="AW11" s="15" t="str">
        <f aca="false">IF(OR(AA11="",NOT(ISNUMBER(AA11))),"",AA11-N(E11))</f>
        <v/>
      </c>
      <c r="AX11" s="15" t="str">
        <f aca="false">IF(OR(AB11="",NOT(ISNUMBER(AB11))),"",AB11-N(F11))</f>
        <v/>
      </c>
      <c r="AY11" s="15" t="str">
        <f aca="false">IF(OR(AC11="",NOT(ISNUMBER(AC11))),"",AC11-N(G11))</f>
        <v/>
      </c>
      <c r="AZ11" s="15" t="str">
        <f aca="false">IF(OR(AD11="",NOT(ISNUMBER(AD11))),"",AD11-N(H11))</f>
        <v/>
      </c>
      <c r="BA11" s="15" t="str">
        <f aca="false">IF(OR(AE11="",NOT(ISNUMBER(AE11))),"",AE11-N(I11))</f>
        <v/>
      </c>
      <c r="BB11" s="15" t="str">
        <f aca="false">IF(OR(AF11="",NOT(ISNUMBER(AF11))),"",AF11-N(J11))</f>
        <v/>
      </c>
      <c r="BC11" s="15" t="str">
        <f aca="false">IF(OR(AG11="",NOT(ISNUMBER(AG11))),"",AG11-N(K11))</f>
        <v/>
      </c>
      <c r="BD11" s="15" t="str">
        <f aca="false">IF(OR(AH11="",NOT(ISNUMBER(AH11))),"",AH11-N(L11))</f>
        <v/>
      </c>
      <c r="BE11" s="15" t="str">
        <f aca="false">IF(OR(AI11="",NOT(ISNUMBER(AI11))),"",AI11-N(M11))</f>
        <v/>
      </c>
      <c r="BF11" s="15" t="str">
        <f aca="false">IF(OR(AJ11="",NOT(ISNUMBER(AJ11))),"",AJ11-N(N11))</f>
        <v/>
      </c>
      <c r="BG11" s="15" t="str">
        <f aca="false">IF(OR(AK11="",NOT(ISNUMBER(AK11))),"",AK11-N(O11))</f>
        <v/>
      </c>
      <c r="BH11" s="15" t="str">
        <f aca="false">IF(OR(AL11="",NOT(ISNUMBER(AL11))),"",AL11-N(P11))</f>
        <v/>
      </c>
      <c r="BI11" s="15" t="str">
        <f aca="false">IF(OR(AM11="",NOT(ISNUMBER(AM11))),"",AM11-N(Q11))</f>
        <v/>
      </c>
      <c r="BJ11" s="15" t="str">
        <f aca="false">IF(OR(AN11="",NOT(ISNUMBER(AN11))),"",AN11-N(R11))</f>
        <v/>
      </c>
      <c r="BK11" s="15" t="str">
        <f aca="false">IF(OR(AO11="",NOT(ISNUMBER(AO11))),"",AO11-N(S11))</f>
        <v/>
      </c>
      <c r="BL11" s="15" t="str">
        <f aca="false">IF(OR(AP11="",NOT(ISNUMBER(AP11))),"",AP11-N(T11))</f>
        <v/>
      </c>
      <c r="BM11" s="15" t="str">
        <f aca="false">IF(OR(AQ11="",NOT(ISNUMBER(AQ11))),"",AQ11-N(U11))</f>
        <v/>
      </c>
      <c r="BR11" s="18" t="str">
        <f aca="false">IF($A11="","",IF(ISNUMBER($A11),DATE(YEAR($A11),MONTH($A11),1),IFERROR(DATE(2000+VALUE(RIGHT(TRIM($A11),2)),MATCH(UPPER(LEFT(TRIM($A11),3)),{"JAN","FEB","MAR","APR","MAY","JUN","JUL","AUG","SEP","OCT","NOV","DEC"},0),1),"")))</f>
        <v/>
      </c>
      <c r="BS11" s="18" t="str">
        <f aca="false">IF(BR11="","",EOMONTH(BR11,0))</f>
        <v/>
      </c>
    </row>
    <row r="12" customFormat="false" ht="15" hidden="false" customHeight="false" outlineLevel="0" collapsed="false">
      <c r="B12" s="19"/>
      <c r="C12" s="19"/>
      <c r="D12" s="19"/>
      <c r="E12" s="19"/>
      <c r="F12" s="19"/>
      <c r="G12" s="19"/>
      <c r="H12" s="19"/>
      <c r="I12" s="19"/>
      <c r="J12" s="19"/>
      <c r="K12" s="19"/>
      <c r="L12" s="19"/>
      <c r="M12" s="19"/>
      <c r="N12" s="19"/>
      <c r="O12" s="19"/>
      <c r="P12" s="19"/>
      <c r="Q12" s="19"/>
      <c r="R12" s="19"/>
      <c r="S12" s="19"/>
      <c r="T12" s="19"/>
      <c r="U12" s="19"/>
      <c r="X12" s="15" t="str">
        <f aca="false">IF(OR(B$7="",$BR12=""),"",IF('Tally Helper'!$B$3&lt;&gt;TRUE(),"not on Staff",SUMIFS('Tally Helper'!$L$5:$GI$5,'Tally Helper'!$L$3:$GI$3,"&gt;="&amp;$BR12,'Tally Helper'!$L$3:$GI$3,"&lt;="&amp;$BS12)))</f>
        <v/>
      </c>
      <c r="Y12" s="15" t="str">
        <f aca="false">IF(OR(C$7="",$BR12=""),"",IF('Tally Helper'!$B$6&lt;&gt;TRUE(),"not on Staff",SUMIFS('Tally Helper'!$L$8:$GI$8,'Tally Helper'!$L$6:$GI$6,"&gt;="&amp;$BR12,'Tally Helper'!$L$6:$GI$6,"&lt;="&amp;$BS12)))</f>
        <v/>
      </c>
      <c r="Z12" s="15" t="str">
        <f aca="false">IF(OR(D$7="",$BR12=""),"",IF('Tally Helper'!$B$9&lt;&gt;TRUE(),"not on Staff",SUMIFS('Tally Helper'!$L$11:$GI$11,'Tally Helper'!$L$9:$GI$9,"&gt;="&amp;$BR12,'Tally Helper'!$L$9:$GI$9,"&lt;="&amp;$BS12)))</f>
        <v/>
      </c>
      <c r="AA12" s="15" t="str">
        <f aca="false">IF(OR(E$7="",$BR12=""),"",IF('Tally Helper'!$B$12&lt;&gt;TRUE(),"not on Staff",SUMIFS('Tally Helper'!$L$14:$GI$14,'Tally Helper'!$L$12:$GI$12,"&gt;="&amp;$BR12,'Tally Helper'!$L$12:$GI$12,"&lt;="&amp;$BS12)))</f>
        <v/>
      </c>
      <c r="AB12" s="15" t="str">
        <f aca="false">IF(OR(F$7="",$BR12=""),"",IF('Tally Helper'!$B$15&lt;&gt;TRUE(),"not on Staff",SUMIFS('Tally Helper'!$L$17:$GI$17,'Tally Helper'!$L$15:$GI$15,"&gt;="&amp;$BR12,'Tally Helper'!$L$15:$GI$15,"&lt;="&amp;$BS12)))</f>
        <v/>
      </c>
      <c r="AC12" s="15" t="str">
        <f aca="false">IF(OR(G$7="",$BR12=""),"",IF('Tally Helper'!$B$18&lt;&gt;TRUE(),"not on Staff",SUMIFS('Tally Helper'!$L$20:$GI$20,'Tally Helper'!$L$18:$GI$18,"&gt;="&amp;$BR12,'Tally Helper'!$L$18:$GI$18,"&lt;="&amp;$BS12)))</f>
        <v/>
      </c>
      <c r="AD12" s="15" t="str">
        <f aca="false">IF(OR(H$7="",$BR12=""),"",IF('Tally Helper'!$B$21&lt;&gt;TRUE(),"not on Staff",SUMIFS('Tally Helper'!$L$23:$GI$23,'Tally Helper'!$L$21:$GI$21,"&gt;="&amp;$BR12,'Tally Helper'!$L$21:$GI$21,"&lt;="&amp;$BS12)))</f>
        <v/>
      </c>
      <c r="AE12" s="15" t="str">
        <f aca="false">IF(OR(I$7="",$BR12=""),"",IF('Tally Helper'!$B$24&lt;&gt;TRUE(),"not on Staff",SUMIFS('Tally Helper'!$L$26:$GI$26,'Tally Helper'!$L$24:$GI$24,"&gt;="&amp;$BR12,'Tally Helper'!$L$24:$GI$24,"&lt;="&amp;$BS12)))</f>
        <v/>
      </c>
      <c r="AF12" s="15" t="str">
        <f aca="false">IF(OR(J$7="",$BR12=""),"",IF('Tally Helper'!$B$27&lt;&gt;TRUE(),"not on Staff",SUMIFS('Tally Helper'!$L$29:$GI$29,'Tally Helper'!$L$27:$GI$27,"&gt;="&amp;$BR12,'Tally Helper'!$L$27:$GI$27,"&lt;="&amp;$BS12)))</f>
        <v/>
      </c>
      <c r="AG12" s="15" t="str">
        <f aca="false">IF(OR(K$7="",$BR12=""),"",IF('Tally Helper'!$B$30&lt;&gt;TRUE(),"not on Staff",SUMIFS('Tally Helper'!$L$32:$GI$32,'Tally Helper'!$L$30:$GI$30,"&gt;="&amp;$BR12,'Tally Helper'!$L$30:$GI$30,"&lt;="&amp;$BS12)))</f>
        <v/>
      </c>
      <c r="AH12" s="15" t="str">
        <f aca="false">IF(OR(L$7="",$BR12=""),"",IF('Tally Helper'!$B$33&lt;&gt;TRUE(),"not on Staff",SUMIFS('Tally Helper'!$L$35:$GI$35,'Tally Helper'!$L$33:$GI$33,"&gt;="&amp;$BR12,'Tally Helper'!$L$33:$GI$33,"&lt;="&amp;$BS12)))</f>
        <v/>
      </c>
      <c r="AI12" s="15" t="str">
        <f aca="false">IF(OR(M$7="",$BR12=""),"",IF('Tally Helper'!$B$36&lt;&gt;TRUE(),"not on Staff",SUMIFS('Tally Helper'!$L$38:$GI$38,'Tally Helper'!$L$36:$GI$36,"&gt;="&amp;$BR12,'Tally Helper'!$L$36:$GI$36,"&lt;="&amp;$BS12)))</f>
        <v/>
      </c>
      <c r="AJ12" s="15" t="str">
        <f aca="false">IF(OR(N$7="",$BR12=""),"",IF('Tally Helper'!$B$39&lt;&gt;TRUE(),"not on Staff",SUMIFS('Tally Helper'!$L$41:$GI$41,'Tally Helper'!$L$39:$GI$39,"&gt;="&amp;$BR12,'Tally Helper'!$L$39:$GI$39,"&lt;="&amp;$BS12)))</f>
        <v/>
      </c>
      <c r="AK12" s="15" t="str">
        <f aca="false">IF(OR(O$7="",$BR12=""),"",IF('Tally Helper'!$B$42&lt;&gt;TRUE(),"not on Staff",SUMIFS('Tally Helper'!$L$44:$GI$44,'Tally Helper'!$L$42:$GI$42,"&gt;="&amp;$BR12,'Tally Helper'!$L$42:$GI$42,"&lt;="&amp;$BS12)))</f>
        <v/>
      </c>
      <c r="AL12" s="15" t="str">
        <f aca="false">IF(OR(P$7="",$BR12=""),"",IF('Tally Helper'!$B$45&lt;&gt;TRUE(),"not on Staff",SUMIFS('Tally Helper'!$L$47:$GI$47,'Tally Helper'!$L$45:$GI$45,"&gt;="&amp;$BR12,'Tally Helper'!$L$45:$GI$45,"&lt;="&amp;$BS12)))</f>
        <v/>
      </c>
      <c r="AM12" s="15" t="str">
        <f aca="false">IF(OR(Q$7="",$BR12=""),"",IF('Tally Helper'!$B$48&lt;&gt;TRUE(),"not on Staff",SUMIFS('Tally Helper'!$L$50:$GI$50,'Tally Helper'!$L$48:$GI$48,"&gt;="&amp;$BR12,'Tally Helper'!$L$48:$GI$48,"&lt;="&amp;$BS12)))</f>
        <v/>
      </c>
      <c r="AN12" s="15" t="str">
        <f aca="false">IF(OR(R$7="",$BR12=""),"",IF('Tally Helper'!$B$51&lt;&gt;TRUE(),"not on Staff",SUMIFS('Tally Helper'!$L$53:$GI$53,'Tally Helper'!$L$51:$GI$51,"&gt;="&amp;$BR12,'Tally Helper'!$L$51:$GI$51,"&lt;="&amp;$BS12)))</f>
        <v/>
      </c>
      <c r="AO12" s="15" t="str">
        <f aca="false">IF(OR(S$7="",$BR12=""),"",IF('Tally Helper'!$B$54&lt;&gt;TRUE(),"not on Staff",SUMIFS('Tally Helper'!$L$56:$GI$56,'Tally Helper'!$L$54:$GI$54,"&gt;="&amp;$BR12,'Tally Helper'!$L$54:$GI$54,"&lt;="&amp;$BS12)))</f>
        <v/>
      </c>
      <c r="AP12" s="15" t="str">
        <f aca="false">IF(OR(T$7="",$BR12=""),"",IF('Tally Helper'!$B$57&lt;&gt;TRUE(),"not on Staff",SUMIFS('Tally Helper'!$L$59:$GI$59,'Tally Helper'!$L$57:$GI$57,"&gt;="&amp;$BR12,'Tally Helper'!$L$57:$GI$57,"&lt;="&amp;$BS12)))</f>
        <v/>
      </c>
      <c r="AQ12" s="15" t="str">
        <f aca="false">IF(OR(U$7="",$BR12=""),"",IF('Tally Helper'!$B$60&lt;&gt;TRUE(),"not on Staff",SUMIFS('Tally Helper'!$L$62:$GI$62,'Tally Helper'!$L$60:$GI$60,"&gt;="&amp;$BR12,'Tally Helper'!$L$60:$GI$60,"&lt;="&amp;$BS12)))</f>
        <v/>
      </c>
      <c r="AT12" s="15" t="str">
        <f aca="false">IF(OR(X12="",NOT(ISNUMBER(X12))),"",X12-N(B12))</f>
        <v/>
      </c>
      <c r="AU12" s="15" t="str">
        <f aca="false">IF(OR(Y12="",NOT(ISNUMBER(Y12))),"",Y12-N(C12))</f>
        <v/>
      </c>
      <c r="AV12" s="15" t="str">
        <f aca="false">IF(OR(Z12="",NOT(ISNUMBER(Z12))),"",Z12-N(D12))</f>
        <v/>
      </c>
      <c r="AW12" s="15" t="str">
        <f aca="false">IF(OR(AA12="",NOT(ISNUMBER(AA12))),"",AA12-N(E12))</f>
        <v/>
      </c>
      <c r="AX12" s="15" t="str">
        <f aca="false">IF(OR(AB12="",NOT(ISNUMBER(AB12))),"",AB12-N(F12))</f>
        <v/>
      </c>
      <c r="AY12" s="15" t="str">
        <f aca="false">IF(OR(AC12="",NOT(ISNUMBER(AC12))),"",AC12-N(G12))</f>
        <v/>
      </c>
      <c r="AZ12" s="15" t="str">
        <f aca="false">IF(OR(AD12="",NOT(ISNUMBER(AD12))),"",AD12-N(H12))</f>
        <v/>
      </c>
      <c r="BA12" s="15" t="str">
        <f aca="false">IF(OR(AE12="",NOT(ISNUMBER(AE12))),"",AE12-N(I12))</f>
        <v/>
      </c>
      <c r="BB12" s="15" t="str">
        <f aca="false">IF(OR(AF12="",NOT(ISNUMBER(AF12))),"",AF12-N(J12))</f>
        <v/>
      </c>
      <c r="BC12" s="15" t="str">
        <f aca="false">IF(OR(AG12="",NOT(ISNUMBER(AG12))),"",AG12-N(K12))</f>
        <v/>
      </c>
      <c r="BD12" s="15" t="str">
        <f aca="false">IF(OR(AH12="",NOT(ISNUMBER(AH12))),"",AH12-N(L12))</f>
        <v/>
      </c>
      <c r="BE12" s="15" t="str">
        <f aca="false">IF(OR(AI12="",NOT(ISNUMBER(AI12))),"",AI12-N(M12))</f>
        <v/>
      </c>
      <c r="BF12" s="15" t="str">
        <f aca="false">IF(OR(AJ12="",NOT(ISNUMBER(AJ12))),"",AJ12-N(N12))</f>
        <v/>
      </c>
      <c r="BG12" s="15" t="str">
        <f aca="false">IF(OR(AK12="",NOT(ISNUMBER(AK12))),"",AK12-N(O12))</f>
        <v/>
      </c>
      <c r="BH12" s="15" t="str">
        <f aca="false">IF(OR(AL12="",NOT(ISNUMBER(AL12))),"",AL12-N(P12))</f>
        <v/>
      </c>
      <c r="BI12" s="15" t="str">
        <f aca="false">IF(OR(AM12="",NOT(ISNUMBER(AM12))),"",AM12-N(Q12))</f>
        <v/>
      </c>
      <c r="BJ12" s="15" t="str">
        <f aca="false">IF(OR(AN12="",NOT(ISNUMBER(AN12))),"",AN12-N(R12))</f>
        <v/>
      </c>
      <c r="BK12" s="15" t="str">
        <f aca="false">IF(OR(AO12="",NOT(ISNUMBER(AO12))),"",AO12-N(S12))</f>
        <v/>
      </c>
      <c r="BL12" s="15" t="str">
        <f aca="false">IF(OR(AP12="",NOT(ISNUMBER(AP12))),"",AP12-N(T12))</f>
        <v/>
      </c>
      <c r="BM12" s="15" t="str">
        <f aca="false">IF(OR(AQ12="",NOT(ISNUMBER(AQ12))),"",AQ12-N(U12))</f>
        <v/>
      </c>
      <c r="BR12" s="18" t="str">
        <f aca="false">IF($A12="","",IF(ISNUMBER($A12),DATE(YEAR($A12),MONTH($A12),1),IFERROR(DATE(2000+VALUE(RIGHT(TRIM($A12),2)),MATCH(UPPER(LEFT(TRIM($A12),3)),{"JAN","FEB","MAR","APR","MAY","JUN","JUL","AUG","SEP","OCT","NOV","DEC"},0),1),"")))</f>
        <v/>
      </c>
      <c r="BS12" s="18" t="str">
        <f aca="false">IF(BR12="","",EOMONTH(BR12,0))</f>
        <v/>
      </c>
    </row>
    <row r="13" customFormat="false" ht="15" hidden="false" customHeight="false" outlineLevel="0" collapsed="false">
      <c r="B13" s="19"/>
      <c r="C13" s="19"/>
      <c r="D13" s="19"/>
      <c r="E13" s="19"/>
      <c r="F13" s="19"/>
      <c r="G13" s="19"/>
      <c r="H13" s="19"/>
      <c r="I13" s="19"/>
      <c r="J13" s="19"/>
      <c r="K13" s="19"/>
      <c r="L13" s="19"/>
      <c r="M13" s="19"/>
      <c r="N13" s="19"/>
      <c r="O13" s="19"/>
      <c r="P13" s="19"/>
      <c r="Q13" s="19"/>
      <c r="R13" s="19"/>
      <c r="S13" s="19"/>
      <c r="T13" s="19"/>
      <c r="U13" s="19"/>
      <c r="X13" s="15" t="str">
        <f aca="false">IF(OR(B$7="",$BR13=""),"",IF('Tally Helper'!$B$3&lt;&gt;TRUE(),"not on Staff",SUMIFS('Tally Helper'!$L$5:$GI$5,'Tally Helper'!$L$3:$GI$3,"&gt;="&amp;$BR13,'Tally Helper'!$L$3:$GI$3,"&lt;="&amp;$BS13)))</f>
        <v/>
      </c>
      <c r="Y13" s="15" t="str">
        <f aca="false">IF(OR(C$7="",$BR13=""),"",IF('Tally Helper'!$B$6&lt;&gt;TRUE(),"not on Staff",SUMIFS('Tally Helper'!$L$8:$GI$8,'Tally Helper'!$L$6:$GI$6,"&gt;="&amp;$BR13,'Tally Helper'!$L$6:$GI$6,"&lt;="&amp;$BS13)))</f>
        <v/>
      </c>
      <c r="Z13" s="15" t="str">
        <f aca="false">IF(OR(D$7="",$BR13=""),"",IF('Tally Helper'!$B$9&lt;&gt;TRUE(),"not on Staff",SUMIFS('Tally Helper'!$L$11:$GI$11,'Tally Helper'!$L$9:$GI$9,"&gt;="&amp;$BR13,'Tally Helper'!$L$9:$GI$9,"&lt;="&amp;$BS13)))</f>
        <v/>
      </c>
      <c r="AA13" s="15" t="str">
        <f aca="false">IF(OR(E$7="",$BR13=""),"",IF('Tally Helper'!$B$12&lt;&gt;TRUE(),"not on Staff",SUMIFS('Tally Helper'!$L$14:$GI$14,'Tally Helper'!$L$12:$GI$12,"&gt;="&amp;$BR13,'Tally Helper'!$L$12:$GI$12,"&lt;="&amp;$BS13)))</f>
        <v/>
      </c>
      <c r="AB13" s="15" t="str">
        <f aca="false">IF(OR(F$7="",$BR13=""),"",IF('Tally Helper'!$B$15&lt;&gt;TRUE(),"not on Staff",SUMIFS('Tally Helper'!$L$17:$GI$17,'Tally Helper'!$L$15:$GI$15,"&gt;="&amp;$BR13,'Tally Helper'!$L$15:$GI$15,"&lt;="&amp;$BS13)))</f>
        <v/>
      </c>
      <c r="AC13" s="15" t="str">
        <f aca="false">IF(OR(G$7="",$BR13=""),"",IF('Tally Helper'!$B$18&lt;&gt;TRUE(),"not on Staff",SUMIFS('Tally Helper'!$L$20:$GI$20,'Tally Helper'!$L$18:$GI$18,"&gt;="&amp;$BR13,'Tally Helper'!$L$18:$GI$18,"&lt;="&amp;$BS13)))</f>
        <v/>
      </c>
      <c r="AD13" s="15" t="str">
        <f aca="false">IF(OR(H$7="",$BR13=""),"",IF('Tally Helper'!$B$21&lt;&gt;TRUE(),"not on Staff",SUMIFS('Tally Helper'!$L$23:$GI$23,'Tally Helper'!$L$21:$GI$21,"&gt;="&amp;$BR13,'Tally Helper'!$L$21:$GI$21,"&lt;="&amp;$BS13)))</f>
        <v/>
      </c>
      <c r="AE13" s="15" t="str">
        <f aca="false">IF(OR(I$7="",$BR13=""),"",IF('Tally Helper'!$B$24&lt;&gt;TRUE(),"not on Staff",SUMIFS('Tally Helper'!$L$26:$GI$26,'Tally Helper'!$L$24:$GI$24,"&gt;="&amp;$BR13,'Tally Helper'!$L$24:$GI$24,"&lt;="&amp;$BS13)))</f>
        <v/>
      </c>
      <c r="AF13" s="15" t="str">
        <f aca="false">IF(OR(J$7="",$BR13=""),"",IF('Tally Helper'!$B$27&lt;&gt;TRUE(),"not on Staff",SUMIFS('Tally Helper'!$L$29:$GI$29,'Tally Helper'!$L$27:$GI$27,"&gt;="&amp;$BR13,'Tally Helper'!$L$27:$GI$27,"&lt;="&amp;$BS13)))</f>
        <v/>
      </c>
      <c r="AG13" s="15" t="str">
        <f aca="false">IF(OR(K$7="",$BR13=""),"",IF('Tally Helper'!$B$30&lt;&gt;TRUE(),"not on Staff",SUMIFS('Tally Helper'!$L$32:$GI$32,'Tally Helper'!$L$30:$GI$30,"&gt;="&amp;$BR13,'Tally Helper'!$L$30:$GI$30,"&lt;="&amp;$BS13)))</f>
        <v/>
      </c>
      <c r="AH13" s="15" t="str">
        <f aca="false">IF(OR(L$7="",$BR13=""),"",IF('Tally Helper'!$B$33&lt;&gt;TRUE(),"not on Staff",SUMIFS('Tally Helper'!$L$35:$GI$35,'Tally Helper'!$L$33:$GI$33,"&gt;="&amp;$BR13,'Tally Helper'!$L$33:$GI$33,"&lt;="&amp;$BS13)))</f>
        <v/>
      </c>
      <c r="AI13" s="15" t="str">
        <f aca="false">IF(OR(M$7="",$BR13=""),"",IF('Tally Helper'!$B$36&lt;&gt;TRUE(),"not on Staff",SUMIFS('Tally Helper'!$L$38:$GI$38,'Tally Helper'!$L$36:$GI$36,"&gt;="&amp;$BR13,'Tally Helper'!$L$36:$GI$36,"&lt;="&amp;$BS13)))</f>
        <v/>
      </c>
      <c r="AJ13" s="15" t="str">
        <f aca="false">IF(OR(N$7="",$BR13=""),"",IF('Tally Helper'!$B$39&lt;&gt;TRUE(),"not on Staff",SUMIFS('Tally Helper'!$L$41:$GI$41,'Tally Helper'!$L$39:$GI$39,"&gt;="&amp;$BR13,'Tally Helper'!$L$39:$GI$39,"&lt;="&amp;$BS13)))</f>
        <v/>
      </c>
      <c r="AK13" s="15" t="str">
        <f aca="false">IF(OR(O$7="",$BR13=""),"",IF('Tally Helper'!$B$42&lt;&gt;TRUE(),"not on Staff",SUMIFS('Tally Helper'!$L$44:$GI$44,'Tally Helper'!$L$42:$GI$42,"&gt;="&amp;$BR13,'Tally Helper'!$L$42:$GI$42,"&lt;="&amp;$BS13)))</f>
        <v/>
      </c>
      <c r="AL13" s="15" t="str">
        <f aca="false">IF(OR(P$7="",$BR13=""),"",IF('Tally Helper'!$B$45&lt;&gt;TRUE(),"not on Staff",SUMIFS('Tally Helper'!$L$47:$GI$47,'Tally Helper'!$L$45:$GI$45,"&gt;="&amp;$BR13,'Tally Helper'!$L$45:$GI$45,"&lt;="&amp;$BS13)))</f>
        <v/>
      </c>
      <c r="AM13" s="15" t="str">
        <f aca="false">IF(OR(Q$7="",$BR13=""),"",IF('Tally Helper'!$B$48&lt;&gt;TRUE(),"not on Staff",SUMIFS('Tally Helper'!$L$50:$GI$50,'Tally Helper'!$L$48:$GI$48,"&gt;="&amp;$BR13,'Tally Helper'!$L$48:$GI$48,"&lt;="&amp;$BS13)))</f>
        <v/>
      </c>
      <c r="AN13" s="15" t="str">
        <f aca="false">IF(OR(R$7="",$BR13=""),"",IF('Tally Helper'!$B$51&lt;&gt;TRUE(),"not on Staff",SUMIFS('Tally Helper'!$L$53:$GI$53,'Tally Helper'!$L$51:$GI$51,"&gt;="&amp;$BR13,'Tally Helper'!$L$51:$GI$51,"&lt;="&amp;$BS13)))</f>
        <v/>
      </c>
      <c r="AO13" s="15" t="str">
        <f aca="false">IF(OR(S$7="",$BR13=""),"",IF('Tally Helper'!$B$54&lt;&gt;TRUE(),"not on Staff",SUMIFS('Tally Helper'!$L$56:$GI$56,'Tally Helper'!$L$54:$GI$54,"&gt;="&amp;$BR13,'Tally Helper'!$L$54:$GI$54,"&lt;="&amp;$BS13)))</f>
        <v/>
      </c>
      <c r="AP13" s="15" t="str">
        <f aca="false">IF(OR(T$7="",$BR13=""),"",IF('Tally Helper'!$B$57&lt;&gt;TRUE(),"not on Staff",SUMIFS('Tally Helper'!$L$59:$GI$59,'Tally Helper'!$L$57:$GI$57,"&gt;="&amp;$BR13,'Tally Helper'!$L$57:$GI$57,"&lt;="&amp;$BS13)))</f>
        <v/>
      </c>
      <c r="AQ13" s="15" t="str">
        <f aca="false">IF(OR(U$7="",$BR13=""),"",IF('Tally Helper'!$B$60&lt;&gt;TRUE(),"not on Staff",SUMIFS('Tally Helper'!$L$62:$GI$62,'Tally Helper'!$L$60:$GI$60,"&gt;="&amp;$BR13,'Tally Helper'!$L$60:$GI$60,"&lt;="&amp;$BS13)))</f>
        <v/>
      </c>
      <c r="AT13" s="15" t="str">
        <f aca="false">IF(OR(X13="",NOT(ISNUMBER(X13))),"",X13-N(B13))</f>
        <v/>
      </c>
      <c r="AU13" s="15" t="str">
        <f aca="false">IF(OR(Y13="",NOT(ISNUMBER(Y13))),"",Y13-N(C13))</f>
        <v/>
      </c>
      <c r="AV13" s="15" t="str">
        <f aca="false">IF(OR(Z13="",NOT(ISNUMBER(Z13))),"",Z13-N(D13))</f>
        <v/>
      </c>
      <c r="AW13" s="15" t="str">
        <f aca="false">IF(OR(AA13="",NOT(ISNUMBER(AA13))),"",AA13-N(E13))</f>
        <v/>
      </c>
      <c r="AX13" s="15" t="str">
        <f aca="false">IF(OR(AB13="",NOT(ISNUMBER(AB13))),"",AB13-N(F13))</f>
        <v/>
      </c>
      <c r="AY13" s="15" t="str">
        <f aca="false">IF(OR(AC13="",NOT(ISNUMBER(AC13))),"",AC13-N(G13))</f>
        <v/>
      </c>
      <c r="AZ13" s="15" t="str">
        <f aca="false">IF(OR(AD13="",NOT(ISNUMBER(AD13))),"",AD13-N(H13))</f>
        <v/>
      </c>
      <c r="BA13" s="15" t="str">
        <f aca="false">IF(OR(AE13="",NOT(ISNUMBER(AE13))),"",AE13-N(I13))</f>
        <v/>
      </c>
      <c r="BB13" s="15" t="str">
        <f aca="false">IF(OR(AF13="",NOT(ISNUMBER(AF13))),"",AF13-N(J13))</f>
        <v/>
      </c>
      <c r="BC13" s="15" t="str">
        <f aca="false">IF(OR(AG13="",NOT(ISNUMBER(AG13))),"",AG13-N(K13))</f>
        <v/>
      </c>
      <c r="BD13" s="15" t="str">
        <f aca="false">IF(OR(AH13="",NOT(ISNUMBER(AH13))),"",AH13-N(L13))</f>
        <v/>
      </c>
      <c r="BE13" s="15" t="str">
        <f aca="false">IF(OR(AI13="",NOT(ISNUMBER(AI13))),"",AI13-N(M13))</f>
        <v/>
      </c>
      <c r="BF13" s="15" t="str">
        <f aca="false">IF(OR(AJ13="",NOT(ISNUMBER(AJ13))),"",AJ13-N(N13))</f>
        <v/>
      </c>
      <c r="BG13" s="15" t="str">
        <f aca="false">IF(OR(AK13="",NOT(ISNUMBER(AK13))),"",AK13-N(O13))</f>
        <v/>
      </c>
      <c r="BH13" s="15" t="str">
        <f aca="false">IF(OR(AL13="",NOT(ISNUMBER(AL13))),"",AL13-N(P13))</f>
        <v/>
      </c>
      <c r="BI13" s="15" t="str">
        <f aca="false">IF(OR(AM13="",NOT(ISNUMBER(AM13))),"",AM13-N(Q13))</f>
        <v/>
      </c>
      <c r="BJ13" s="15" t="str">
        <f aca="false">IF(OR(AN13="",NOT(ISNUMBER(AN13))),"",AN13-N(R13))</f>
        <v/>
      </c>
      <c r="BK13" s="15" t="str">
        <f aca="false">IF(OR(AO13="",NOT(ISNUMBER(AO13))),"",AO13-N(S13))</f>
        <v/>
      </c>
      <c r="BL13" s="15" t="str">
        <f aca="false">IF(OR(AP13="",NOT(ISNUMBER(AP13))),"",AP13-N(T13))</f>
        <v/>
      </c>
      <c r="BM13" s="15" t="str">
        <f aca="false">IF(OR(AQ13="",NOT(ISNUMBER(AQ13))),"",AQ13-N(U13))</f>
        <v/>
      </c>
      <c r="BR13" s="18" t="str">
        <f aca="false">IF($A13="","",IF(ISNUMBER($A13),DATE(YEAR($A13),MONTH($A13),1),IFERROR(DATE(2000+VALUE(RIGHT(TRIM($A13),2)),MATCH(UPPER(LEFT(TRIM($A13),3)),{"JAN","FEB","MAR","APR","MAY","JUN","JUL","AUG","SEP","OCT","NOV","DEC"},0),1),"")))</f>
        <v/>
      </c>
      <c r="BS13" s="18" t="str">
        <f aca="false">IF(BR13="","",EOMONTH(BR13,0))</f>
        <v/>
      </c>
    </row>
    <row r="14" customFormat="false" ht="15" hidden="false" customHeight="false" outlineLevel="0" collapsed="false">
      <c r="B14" s="19"/>
      <c r="C14" s="19"/>
      <c r="D14" s="19"/>
      <c r="E14" s="19"/>
      <c r="F14" s="19"/>
      <c r="G14" s="19"/>
      <c r="H14" s="19"/>
      <c r="I14" s="19"/>
      <c r="J14" s="19"/>
      <c r="K14" s="19"/>
      <c r="L14" s="19"/>
      <c r="M14" s="19"/>
      <c r="N14" s="19"/>
      <c r="O14" s="19"/>
      <c r="P14" s="19"/>
      <c r="Q14" s="19"/>
      <c r="R14" s="19"/>
      <c r="S14" s="19"/>
      <c r="T14" s="19"/>
      <c r="U14" s="19"/>
      <c r="X14" s="15" t="str">
        <f aca="false">IF(OR(B$7="",$BR14=""),"",IF('Tally Helper'!$B$3&lt;&gt;TRUE(),"not on Staff",SUMIFS('Tally Helper'!$L$5:$GI$5,'Tally Helper'!$L$3:$GI$3,"&gt;="&amp;$BR14,'Tally Helper'!$L$3:$GI$3,"&lt;="&amp;$BS14)))</f>
        <v/>
      </c>
      <c r="Y14" s="15" t="str">
        <f aca="false">IF(OR(C$7="",$BR14=""),"",IF('Tally Helper'!$B$6&lt;&gt;TRUE(),"not on Staff",SUMIFS('Tally Helper'!$L$8:$GI$8,'Tally Helper'!$L$6:$GI$6,"&gt;="&amp;$BR14,'Tally Helper'!$L$6:$GI$6,"&lt;="&amp;$BS14)))</f>
        <v/>
      </c>
      <c r="Z14" s="15" t="str">
        <f aca="false">IF(OR(D$7="",$BR14=""),"",IF('Tally Helper'!$B$9&lt;&gt;TRUE(),"not on Staff",SUMIFS('Tally Helper'!$L$11:$GI$11,'Tally Helper'!$L$9:$GI$9,"&gt;="&amp;$BR14,'Tally Helper'!$L$9:$GI$9,"&lt;="&amp;$BS14)))</f>
        <v/>
      </c>
      <c r="AA14" s="15" t="str">
        <f aca="false">IF(OR(E$7="",$BR14=""),"",IF('Tally Helper'!$B$12&lt;&gt;TRUE(),"not on Staff",SUMIFS('Tally Helper'!$L$14:$GI$14,'Tally Helper'!$L$12:$GI$12,"&gt;="&amp;$BR14,'Tally Helper'!$L$12:$GI$12,"&lt;="&amp;$BS14)))</f>
        <v/>
      </c>
      <c r="AB14" s="15" t="str">
        <f aca="false">IF(OR(F$7="",$BR14=""),"",IF('Tally Helper'!$B$15&lt;&gt;TRUE(),"not on Staff",SUMIFS('Tally Helper'!$L$17:$GI$17,'Tally Helper'!$L$15:$GI$15,"&gt;="&amp;$BR14,'Tally Helper'!$L$15:$GI$15,"&lt;="&amp;$BS14)))</f>
        <v/>
      </c>
      <c r="AC14" s="15" t="str">
        <f aca="false">IF(OR(G$7="",$BR14=""),"",IF('Tally Helper'!$B$18&lt;&gt;TRUE(),"not on Staff",SUMIFS('Tally Helper'!$L$20:$GI$20,'Tally Helper'!$L$18:$GI$18,"&gt;="&amp;$BR14,'Tally Helper'!$L$18:$GI$18,"&lt;="&amp;$BS14)))</f>
        <v/>
      </c>
      <c r="AD14" s="15" t="str">
        <f aca="false">IF(OR(H$7="",$BR14=""),"",IF('Tally Helper'!$B$21&lt;&gt;TRUE(),"not on Staff",SUMIFS('Tally Helper'!$L$23:$GI$23,'Tally Helper'!$L$21:$GI$21,"&gt;="&amp;$BR14,'Tally Helper'!$L$21:$GI$21,"&lt;="&amp;$BS14)))</f>
        <v/>
      </c>
      <c r="AE14" s="15" t="str">
        <f aca="false">IF(OR(I$7="",$BR14=""),"",IF('Tally Helper'!$B$24&lt;&gt;TRUE(),"not on Staff",SUMIFS('Tally Helper'!$L$26:$GI$26,'Tally Helper'!$L$24:$GI$24,"&gt;="&amp;$BR14,'Tally Helper'!$L$24:$GI$24,"&lt;="&amp;$BS14)))</f>
        <v/>
      </c>
      <c r="AF14" s="15" t="str">
        <f aca="false">IF(OR(J$7="",$BR14=""),"",IF('Tally Helper'!$B$27&lt;&gt;TRUE(),"not on Staff",SUMIFS('Tally Helper'!$L$29:$GI$29,'Tally Helper'!$L$27:$GI$27,"&gt;="&amp;$BR14,'Tally Helper'!$L$27:$GI$27,"&lt;="&amp;$BS14)))</f>
        <v/>
      </c>
      <c r="AG14" s="15" t="str">
        <f aca="false">IF(OR(K$7="",$BR14=""),"",IF('Tally Helper'!$B$30&lt;&gt;TRUE(),"not on Staff",SUMIFS('Tally Helper'!$L$32:$GI$32,'Tally Helper'!$L$30:$GI$30,"&gt;="&amp;$BR14,'Tally Helper'!$L$30:$GI$30,"&lt;="&amp;$BS14)))</f>
        <v/>
      </c>
      <c r="AH14" s="15" t="str">
        <f aca="false">IF(OR(L$7="",$BR14=""),"",IF('Tally Helper'!$B$33&lt;&gt;TRUE(),"not on Staff",SUMIFS('Tally Helper'!$L$35:$GI$35,'Tally Helper'!$L$33:$GI$33,"&gt;="&amp;$BR14,'Tally Helper'!$L$33:$GI$33,"&lt;="&amp;$BS14)))</f>
        <v/>
      </c>
      <c r="AI14" s="15" t="str">
        <f aca="false">IF(OR(M$7="",$BR14=""),"",IF('Tally Helper'!$B$36&lt;&gt;TRUE(),"not on Staff",SUMIFS('Tally Helper'!$L$38:$GI$38,'Tally Helper'!$L$36:$GI$36,"&gt;="&amp;$BR14,'Tally Helper'!$L$36:$GI$36,"&lt;="&amp;$BS14)))</f>
        <v/>
      </c>
      <c r="AJ14" s="15" t="str">
        <f aca="false">IF(OR(N$7="",$BR14=""),"",IF('Tally Helper'!$B$39&lt;&gt;TRUE(),"not on Staff",SUMIFS('Tally Helper'!$L$41:$GI$41,'Tally Helper'!$L$39:$GI$39,"&gt;="&amp;$BR14,'Tally Helper'!$L$39:$GI$39,"&lt;="&amp;$BS14)))</f>
        <v/>
      </c>
      <c r="AK14" s="15" t="str">
        <f aca="false">IF(OR(O$7="",$BR14=""),"",IF('Tally Helper'!$B$42&lt;&gt;TRUE(),"not on Staff",SUMIFS('Tally Helper'!$L$44:$GI$44,'Tally Helper'!$L$42:$GI$42,"&gt;="&amp;$BR14,'Tally Helper'!$L$42:$GI$42,"&lt;="&amp;$BS14)))</f>
        <v/>
      </c>
      <c r="AL14" s="15" t="str">
        <f aca="false">IF(OR(P$7="",$BR14=""),"",IF('Tally Helper'!$B$45&lt;&gt;TRUE(),"not on Staff",SUMIFS('Tally Helper'!$L$47:$GI$47,'Tally Helper'!$L$45:$GI$45,"&gt;="&amp;$BR14,'Tally Helper'!$L$45:$GI$45,"&lt;="&amp;$BS14)))</f>
        <v/>
      </c>
      <c r="AM14" s="15" t="str">
        <f aca="false">IF(OR(Q$7="",$BR14=""),"",IF('Tally Helper'!$B$48&lt;&gt;TRUE(),"not on Staff",SUMIFS('Tally Helper'!$L$50:$GI$50,'Tally Helper'!$L$48:$GI$48,"&gt;="&amp;$BR14,'Tally Helper'!$L$48:$GI$48,"&lt;="&amp;$BS14)))</f>
        <v/>
      </c>
      <c r="AN14" s="15" t="str">
        <f aca="false">IF(OR(R$7="",$BR14=""),"",IF('Tally Helper'!$B$51&lt;&gt;TRUE(),"not on Staff",SUMIFS('Tally Helper'!$L$53:$GI$53,'Tally Helper'!$L$51:$GI$51,"&gt;="&amp;$BR14,'Tally Helper'!$L$51:$GI$51,"&lt;="&amp;$BS14)))</f>
        <v/>
      </c>
      <c r="AO14" s="15" t="str">
        <f aca="false">IF(OR(S$7="",$BR14=""),"",IF('Tally Helper'!$B$54&lt;&gt;TRUE(),"not on Staff",SUMIFS('Tally Helper'!$L$56:$GI$56,'Tally Helper'!$L$54:$GI$54,"&gt;="&amp;$BR14,'Tally Helper'!$L$54:$GI$54,"&lt;="&amp;$BS14)))</f>
        <v/>
      </c>
      <c r="AP14" s="15" t="str">
        <f aca="false">IF(OR(T$7="",$BR14=""),"",IF('Tally Helper'!$B$57&lt;&gt;TRUE(),"not on Staff",SUMIFS('Tally Helper'!$L$59:$GI$59,'Tally Helper'!$L$57:$GI$57,"&gt;="&amp;$BR14,'Tally Helper'!$L$57:$GI$57,"&lt;="&amp;$BS14)))</f>
        <v/>
      </c>
      <c r="AQ14" s="15" t="str">
        <f aca="false">IF(OR(U$7="",$BR14=""),"",IF('Tally Helper'!$B$60&lt;&gt;TRUE(),"not on Staff",SUMIFS('Tally Helper'!$L$62:$GI$62,'Tally Helper'!$L$60:$GI$60,"&gt;="&amp;$BR14,'Tally Helper'!$L$60:$GI$60,"&lt;="&amp;$BS14)))</f>
        <v/>
      </c>
      <c r="AT14" s="15" t="str">
        <f aca="false">IF(OR(X14="",NOT(ISNUMBER(X14))),"",X14-N(B14))</f>
        <v/>
      </c>
      <c r="AU14" s="15" t="str">
        <f aca="false">IF(OR(Y14="",NOT(ISNUMBER(Y14))),"",Y14-N(C14))</f>
        <v/>
      </c>
      <c r="AV14" s="15" t="str">
        <f aca="false">IF(OR(Z14="",NOT(ISNUMBER(Z14))),"",Z14-N(D14))</f>
        <v/>
      </c>
      <c r="AW14" s="15" t="str">
        <f aca="false">IF(OR(AA14="",NOT(ISNUMBER(AA14))),"",AA14-N(E14))</f>
        <v/>
      </c>
      <c r="AX14" s="15" t="str">
        <f aca="false">IF(OR(AB14="",NOT(ISNUMBER(AB14))),"",AB14-N(F14))</f>
        <v/>
      </c>
      <c r="AY14" s="15" t="str">
        <f aca="false">IF(OR(AC14="",NOT(ISNUMBER(AC14))),"",AC14-N(G14))</f>
        <v/>
      </c>
      <c r="AZ14" s="15" t="str">
        <f aca="false">IF(OR(AD14="",NOT(ISNUMBER(AD14))),"",AD14-N(H14))</f>
        <v/>
      </c>
      <c r="BA14" s="15" t="str">
        <f aca="false">IF(OR(AE14="",NOT(ISNUMBER(AE14))),"",AE14-N(I14))</f>
        <v/>
      </c>
      <c r="BB14" s="15" t="str">
        <f aca="false">IF(OR(AF14="",NOT(ISNUMBER(AF14))),"",AF14-N(J14))</f>
        <v/>
      </c>
      <c r="BC14" s="15" t="str">
        <f aca="false">IF(OR(AG14="",NOT(ISNUMBER(AG14))),"",AG14-N(K14))</f>
        <v/>
      </c>
      <c r="BD14" s="15" t="str">
        <f aca="false">IF(OR(AH14="",NOT(ISNUMBER(AH14))),"",AH14-N(L14))</f>
        <v/>
      </c>
      <c r="BE14" s="15" t="str">
        <f aca="false">IF(OR(AI14="",NOT(ISNUMBER(AI14))),"",AI14-N(M14))</f>
        <v/>
      </c>
      <c r="BF14" s="15" t="str">
        <f aca="false">IF(OR(AJ14="",NOT(ISNUMBER(AJ14))),"",AJ14-N(N14))</f>
        <v/>
      </c>
      <c r="BG14" s="15" t="str">
        <f aca="false">IF(OR(AK14="",NOT(ISNUMBER(AK14))),"",AK14-N(O14))</f>
        <v/>
      </c>
      <c r="BH14" s="15" t="str">
        <f aca="false">IF(OR(AL14="",NOT(ISNUMBER(AL14))),"",AL14-N(P14))</f>
        <v/>
      </c>
      <c r="BI14" s="15" t="str">
        <f aca="false">IF(OR(AM14="",NOT(ISNUMBER(AM14))),"",AM14-N(Q14))</f>
        <v/>
      </c>
      <c r="BJ14" s="15" t="str">
        <f aca="false">IF(OR(AN14="",NOT(ISNUMBER(AN14))),"",AN14-N(R14))</f>
        <v/>
      </c>
      <c r="BK14" s="15" t="str">
        <f aca="false">IF(OR(AO14="",NOT(ISNUMBER(AO14))),"",AO14-N(S14))</f>
        <v/>
      </c>
      <c r="BL14" s="15" t="str">
        <f aca="false">IF(OR(AP14="",NOT(ISNUMBER(AP14))),"",AP14-N(T14))</f>
        <v/>
      </c>
      <c r="BM14" s="15" t="str">
        <f aca="false">IF(OR(AQ14="",NOT(ISNUMBER(AQ14))),"",AQ14-N(U14))</f>
        <v/>
      </c>
      <c r="BR14" s="18" t="str">
        <f aca="false">IF($A14="","",IF(ISNUMBER($A14),DATE(YEAR($A14),MONTH($A14),1),IFERROR(DATE(2000+VALUE(RIGHT(TRIM($A14),2)),MATCH(UPPER(LEFT(TRIM($A14),3)),{"JAN","FEB","MAR","APR","MAY","JUN","JUL","AUG","SEP","OCT","NOV","DEC"},0),1),"")))</f>
        <v/>
      </c>
      <c r="BS14" s="18" t="str">
        <f aca="false">IF(BR14="","",EOMONTH(BR14,0))</f>
        <v/>
      </c>
    </row>
    <row r="15" customFormat="false" ht="15" hidden="false" customHeight="false" outlineLevel="0" collapsed="false">
      <c r="B15" s="19"/>
      <c r="C15" s="19"/>
      <c r="D15" s="19"/>
      <c r="E15" s="19"/>
      <c r="F15" s="19"/>
      <c r="G15" s="19"/>
      <c r="H15" s="19"/>
      <c r="I15" s="19"/>
      <c r="J15" s="19"/>
      <c r="K15" s="19"/>
      <c r="L15" s="19"/>
      <c r="M15" s="19"/>
      <c r="N15" s="19"/>
      <c r="O15" s="19"/>
      <c r="P15" s="19"/>
      <c r="Q15" s="19"/>
      <c r="R15" s="19"/>
      <c r="S15" s="19"/>
      <c r="T15" s="19"/>
      <c r="U15" s="19"/>
      <c r="X15" s="15" t="str">
        <f aca="false">IF(OR(B$7="",$BR15=""),"",IF('Tally Helper'!$B$3&lt;&gt;TRUE(),"not on Staff",SUMIFS('Tally Helper'!$L$5:$GI$5,'Tally Helper'!$L$3:$GI$3,"&gt;="&amp;$BR15,'Tally Helper'!$L$3:$GI$3,"&lt;="&amp;$BS15)))</f>
        <v/>
      </c>
      <c r="Y15" s="15" t="str">
        <f aca="false">IF(OR(C$7="",$BR15=""),"",IF('Tally Helper'!$B$6&lt;&gt;TRUE(),"not on Staff",SUMIFS('Tally Helper'!$L$8:$GI$8,'Tally Helper'!$L$6:$GI$6,"&gt;="&amp;$BR15,'Tally Helper'!$L$6:$GI$6,"&lt;="&amp;$BS15)))</f>
        <v/>
      </c>
      <c r="Z15" s="15" t="str">
        <f aca="false">IF(OR(D$7="",$BR15=""),"",IF('Tally Helper'!$B$9&lt;&gt;TRUE(),"not on Staff",SUMIFS('Tally Helper'!$L$11:$GI$11,'Tally Helper'!$L$9:$GI$9,"&gt;="&amp;$BR15,'Tally Helper'!$L$9:$GI$9,"&lt;="&amp;$BS15)))</f>
        <v/>
      </c>
      <c r="AA15" s="15" t="str">
        <f aca="false">IF(OR(E$7="",$BR15=""),"",IF('Tally Helper'!$B$12&lt;&gt;TRUE(),"not on Staff",SUMIFS('Tally Helper'!$L$14:$GI$14,'Tally Helper'!$L$12:$GI$12,"&gt;="&amp;$BR15,'Tally Helper'!$L$12:$GI$12,"&lt;="&amp;$BS15)))</f>
        <v/>
      </c>
      <c r="AB15" s="15" t="str">
        <f aca="false">IF(OR(F$7="",$BR15=""),"",IF('Tally Helper'!$B$15&lt;&gt;TRUE(),"not on Staff",SUMIFS('Tally Helper'!$L$17:$GI$17,'Tally Helper'!$L$15:$GI$15,"&gt;="&amp;$BR15,'Tally Helper'!$L$15:$GI$15,"&lt;="&amp;$BS15)))</f>
        <v/>
      </c>
      <c r="AC15" s="15" t="str">
        <f aca="false">IF(OR(G$7="",$BR15=""),"",IF('Tally Helper'!$B$18&lt;&gt;TRUE(),"not on Staff",SUMIFS('Tally Helper'!$L$20:$GI$20,'Tally Helper'!$L$18:$GI$18,"&gt;="&amp;$BR15,'Tally Helper'!$L$18:$GI$18,"&lt;="&amp;$BS15)))</f>
        <v/>
      </c>
      <c r="AD15" s="15" t="str">
        <f aca="false">IF(OR(H$7="",$BR15=""),"",IF('Tally Helper'!$B$21&lt;&gt;TRUE(),"not on Staff",SUMIFS('Tally Helper'!$L$23:$GI$23,'Tally Helper'!$L$21:$GI$21,"&gt;="&amp;$BR15,'Tally Helper'!$L$21:$GI$21,"&lt;="&amp;$BS15)))</f>
        <v/>
      </c>
      <c r="AE15" s="15" t="str">
        <f aca="false">IF(OR(I$7="",$BR15=""),"",IF('Tally Helper'!$B$24&lt;&gt;TRUE(),"not on Staff",SUMIFS('Tally Helper'!$L$26:$GI$26,'Tally Helper'!$L$24:$GI$24,"&gt;="&amp;$BR15,'Tally Helper'!$L$24:$GI$24,"&lt;="&amp;$BS15)))</f>
        <v/>
      </c>
      <c r="AF15" s="15" t="str">
        <f aca="false">IF(OR(J$7="",$BR15=""),"",IF('Tally Helper'!$B$27&lt;&gt;TRUE(),"not on Staff",SUMIFS('Tally Helper'!$L$29:$GI$29,'Tally Helper'!$L$27:$GI$27,"&gt;="&amp;$BR15,'Tally Helper'!$L$27:$GI$27,"&lt;="&amp;$BS15)))</f>
        <v/>
      </c>
      <c r="AG15" s="15" t="str">
        <f aca="false">IF(OR(K$7="",$BR15=""),"",IF('Tally Helper'!$B$30&lt;&gt;TRUE(),"not on Staff",SUMIFS('Tally Helper'!$L$32:$GI$32,'Tally Helper'!$L$30:$GI$30,"&gt;="&amp;$BR15,'Tally Helper'!$L$30:$GI$30,"&lt;="&amp;$BS15)))</f>
        <v/>
      </c>
      <c r="AH15" s="15" t="str">
        <f aca="false">IF(OR(L$7="",$BR15=""),"",IF('Tally Helper'!$B$33&lt;&gt;TRUE(),"not on Staff",SUMIFS('Tally Helper'!$L$35:$GI$35,'Tally Helper'!$L$33:$GI$33,"&gt;="&amp;$BR15,'Tally Helper'!$L$33:$GI$33,"&lt;="&amp;$BS15)))</f>
        <v/>
      </c>
      <c r="AI15" s="15" t="str">
        <f aca="false">IF(OR(M$7="",$BR15=""),"",IF('Tally Helper'!$B$36&lt;&gt;TRUE(),"not on Staff",SUMIFS('Tally Helper'!$L$38:$GI$38,'Tally Helper'!$L$36:$GI$36,"&gt;="&amp;$BR15,'Tally Helper'!$L$36:$GI$36,"&lt;="&amp;$BS15)))</f>
        <v/>
      </c>
      <c r="AJ15" s="15" t="str">
        <f aca="false">IF(OR(N$7="",$BR15=""),"",IF('Tally Helper'!$B$39&lt;&gt;TRUE(),"not on Staff",SUMIFS('Tally Helper'!$L$41:$GI$41,'Tally Helper'!$L$39:$GI$39,"&gt;="&amp;$BR15,'Tally Helper'!$L$39:$GI$39,"&lt;="&amp;$BS15)))</f>
        <v/>
      </c>
      <c r="AK15" s="15" t="str">
        <f aca="false">IF(OR(O$7="",$BR15=""),"",IF('Tally Helper'!$B$42&lt;&gt;TRUE(),"not on Staff",SUMIFS('Tally Helper'!$L$44:$GI$44,'Tally Helper'!$L$42:$GI$42,"&gt;="&amp;$BR15,'Tally Helper'!$L$42:$GI$42,"&lt;="&amp;$BS15)))</f>
        <v/>
      </c>
      <c r="AL15" s="15" t="str">
        <f aca="false">IF(OR(P$7="",$BR15=""),"",IF('Tally Helper'!$B$45&lt;&gt;TRUE(),"not on Staff",SUMIFS('Tally Helper'!$L$47:$GI$47,'Tally Helper'!$L$45:$GI$45,"&gt;="&amp;$BR15,'Tally Helper'!$L$45:$GI$45,"&lt;="&amp;$BS15)))</f>
        <v/>
      </c>
      <c r="AM15" s="15" t="str">
        <f aca="false">IF(OR(Q$7="",$BR15=""),"",IF('Tally Helper'!$B$48&lt;&gt;TRUE(),"not on Staff",SUMIFS('Tally Helper'!$L$50:$GI$50,'Tally Helper'!$L$48:$GI$48,"&gt;="&amp;$BR15,'Tally Helper'!$L$48:$GI$48,"&lt;="&amp;$BS15)))</f>
        <v/>
      </c>
      <c r="AN15" s="15" t="str">
        <f aca="false">IF(OR(R$7="",$BR15=""),"",IF('Tally Helper'!$B$51&lt;&gt;TRUE(),"not on Staff",SUMIFS('Tally Helper'!$L$53:$GI$53,'Tally Helper'!$L$51:$GI$51,"&gt;="&amp;$BR15,'Tally Helper'!$L$51:$GI$51,"&lt;="&amp;$BS15)))</f>
        <v/>
      </c>
      <c r="AO15" s="15" t="str">
        <f aca="false">IF(OR(S$7="",$BR15=""),"",IF('Tally Helper'!$B$54&lt;&gt;TRUE(),"not on Staff",SUMIFS('Tally Helper'!$L$56:$GI$56,'Tally Helper'!$L$54:$GI$54,"&gt;="&amp;$BR15,'Tally Helper'!$L$54:$GI$54,"&lt;="&amp;$BS15)))</f>
        <v/>
      </c>
      <c r="AP15" s="15" t="str">
        <f aca="false">IF(OR(T$7="",$BR15=""),"",IF('Tally Helper'!$B$57&lt;&gt;TRUE(),"not on Staff",SUMIFS('Tally Helper'!$L$59:$GI$59,'Tally Helper'!$L$57:$GI$57,"&gt;="&amp;$BR15,'Tally Helper'!$L$57:$GI$57,"&lt;="&amp;$BS15)))</f>
        <v/>
      </c>
      <c r="AQ15" s="15" t="str">
        <f aca="false">IF(OR(U$7="",$BR15=""),"",IF('Tally Helper'!$B$60&lt;&gt;TRUE(),"not on Staff",SUMIFS('Tally Helper'!$L$62:$GI$62,'Tally Helper'!$L$60:$GI$60,"&gt;="&amp;$BR15,'Tally Helper'!$L$60:$GI$60,"&lt;="&amp;$BS15)))</f>
        <v/>
      </c>
      <c r="AT15" s="15" t="str">
        <f aca="false">IF(OR(X15="",NOT(ISNUMBER(X15))),"",X15-N(B15))</f>
        <v/>
      </c>
      <c r="AU15" s="15" t="str">
        <f aca="false">IF(OR(Y15="",NOT(ISNUMBER(Y15))),"",Y15-N(C15))</f>
        <v/>
      </c>
      <c r="AV15" s="15" t="str">
        <f aca="false">IF(OR(Z15="",NOT(ISNUMBER(Z15))),"",Z15-N(D15))</f>
        <v/>
      </c>
      <c r="AW15" s="15" t="str">
        <f aca="false">IF(OR(AA15="",NOT(ISNUMBER(AA15))),"",AA15-N(E15))</f>
        <v/>
      </c>
      <c r="AX15" s="15" t="str">
        <f aca="false">IF(OR(AB15="",NOT(ISNUMBER(AB15))),"",AB15-N(F15))</f>
        <v/>
      </c>
      <c r="AY15" s="15" t="str">
        <f aca="false">IF(OR(AC15="",NOT(ISNUMBER(AC15))),"",AC15-N(G15))</f>
        <v/>
      </c>
      <c r="AZ15" s="15" t="str">
        <f aca="false">IF(OR(AD15="",NOT(ISNUMBER(AD15))),"",AD15-N(H15))</f>
        <v/>
      </c>
      <c r="BA15" s="15" t="str">
        <f aca="false">IF(OR(AE15="",NOT(ISNUMBER(AE15))),"",AE15-N(I15))</f>
        <v/>
      </c>
      <c r="BB15" s="15" t="str">
        <f aca="false">IF(OR(AF15="",NOT(ISNUMBER(AF15))),"",AF15-N(J15))</f>
        <v/>
      </c>
      <c r="BC15" s="15" t="str">
        <f aca="false">IF(OR(AG15="",NOT(ISNUMBER(AG15))),"",AG15-N(K15))</f>
        <v/>
      </c>
      <c r="BD15" s="15" t="str">
        <f aca="false">IF(OR(AH15="",NOT(ISNUMBER(AH15))),"",AH15-N(L15))</f>
        <v/>
      </c>
      <c r="BE15" s="15" t="str">
        <f aca="false">IF(OR(AI15="",NOT(ISNUMBER(AI15))),"",AI15-N(M15))</f>
        <v/>
      </c>
      <c r="BF15" s="15" t="str">
        <f aca="false">IF(OR(AJ15="",NOT(ISNUMBER(AJ15))),"",AJ15-N(N15))</f>
        <v/>
      </c>
      <c r="BG15" s="15" t="str">
        <f aca="false">IF(OR(AK15="",NOT(ISNUMBER(AK15))),"",AK15-N(O15))</f>
        <v/>
      </c>
      <c r="BH15" s="15" t="str">
        <f aca="false">IF(OR(AL15="",NOT(ISNUMBER(AL15))),"",AL15-N(P15))</f>
        <v/>
      </c>
      <c r="BI15" s="15" t="str">
        <f aca="false">IF(OR(AM15="",NOT(ISNUMBER(AM15))),"",AM15-N(Q15))</f>
        <v/>
      </c>
      <c r="BJ15" s="15" t="str">
        <f aca="false">IF(OR(AN15="",NOT(ISNUMBER(AN15))),"",AN15-N(R15))</f>
        <v/>
      </c>
      <c r="BK15" s="15" t="str">
        <f aca="false">IF(OR(AO15="",NOT(ISNUMBER(AO15))),"",AO15-N(S15))</f>
        <v/>
      </c>
      <c r="BL15" s="15" t="str">
        <f aca="false">IF(OR(AP15="",NOT(ISNUMBER(AP15))),"",AP15-N(T15))</f>
        <v/>
      </c>
      <c r="BM15" s="15" t="str">
        <f aca="false">IF(OR(AQ15="",NOT(ISNUMBER(AQ15))),"",AQ15-N(U15))</f>
        <v/>
      </c>
      <c r="BR15" s="18" t="str">
        <f aca="false">IF($A15="","",IF(ISNUMBER($A15),DATE(YEAR($A15),MONTH($A15),1),IFERROR(DATE(2000+VALUE(RIGHT(TRIM($A15),2)),MATCH(UPPER(LEFT(TRIM($A15),3)),{"JAN","FEB","MAR","APR","MAY","JUN","JUL","AUG","SEP","OCT","NOV","DEC"},0),1),"")))</f>
        <v/>
      </c>
      <c r="BS15" s="18" t="str">
        <f aca="false">IF(BR15="","",EOMONTH(BR15,0))</f>
        <v/>
      </c>
    </row>
    <row r="16" customFormat="false" ht="15" hidden="false" customHeight="false" outlineLevel="0" collapsed="false">
      <c r="B16" s="19"/>
      <c r="C16" s="19"/>
      <c r="D16" s="19"/>
      <c r="E16" s="19"/>
      <c r="F16" s="19"/>
      <c r="G16" s="19"/>
      <c r="H16" s="19"/>
      <c r="I16" s="19"/>
      <c r="J16" s="19"/>
      <c r="K16" s="19"/>
      <c r="L16" s="19"/>
      <c r="M16" s="19"/>
      <c r="N16" s="19"/>
      <c r="O16" s="19"/>
      <c r="P16" s="19"/>
      <c r="Q16" s="19"/>
      <c r="R16" s="19"/>
      <c r="S16" s="19"/>
      <c r="T16" s="19"/>
      <c r="U16" s="19"/>
      <c r="X16" s="15" t="str">
        <f aca="false">IF(OR(B$7="",$BR16=""),"",IF('Tally Helper'!$B$3&lt;&gt;TRUE(),"not on Staff",SUMIFS('Tally Helper'!$L$5:$GI$5,'Tally Helper'!$L$3:$GI$3,"&gt;="&amp;$BR16,'Tally Helper'!$L$3:$GI$3,"&lt;="&amp;$BS16)))</f>
        <v/>
      </c>
      <c r="Y16" s="15" t="str">
        <f aca="false">IF(OR(C$7="",$BR16=""),"",IF('Tally Helper'!$B$6&lt;&gt;TRUE(),"not on Staff",SUMIFS('Tally Helper'!$L$8:$GI$8,'Tally Helper'!$L$6:$GI$6,"&gt;="&amp;$BR16,'Tally Helper'!$L$6:$GI$6,"&lt;="&amp;$BS16)))</f>
        <v/>
      </c>
      <c r="Z16" s="15" t="str">
        <f aca="false">IF(OR(D$7="",$BR16=""),"",IF('Tally Helper'!$B$9&lt;&gt;TRUE(),"not on Staff",SUMIFS('Tally Helper'!$L$11:$GI$11,'Tally Helper'!$L$9:$GI$9,"&gt;="&amp;$BR16,'Tally Helper'!$L$9:$GI$9,"&lt;="&amp;$BS16)))</f>
        <v/>
      </c>
      <c r="AA16" s="15" t="str">
        <f aca="false">IF(OR(E$7="",$BR16=""),"",IF('Tally Helper'!$B$12&lt;&gt;TRUE(),"not on Staff",SUMIFS('Tally Helper'!$L$14:$GI$14,'Tally Helper'!$L$12:$GI$12,"&gt;="&amp;$BR16,'Tally Helper'!$L$12:$GI$12,"&lt;="&amp;$BS16)))</f>
        <v/>
      </c>
      <c r="AB16" s="15" t="str">
        <f aca="false">IF(OR(F$7="",$BR16=""),"",IF('Tally Helper'!$B$15&lt;&gt;TRUE(),"not on Staff",SUMIFS('Tally Helper'!$L$17:$GI$17,'Tally Helper'!$L$15:$GI$15,"&gt;="&amp;$BR16,'Tally Helper'!$L$15:$GI$15,"&lt;="&amp;$BS16)))</f>
        <v/>
      </c>
      <c r="AC16" s="15" t="str">
        <f aca="false">IF(OR(G$7="",$BR16=""),"",IF('Tally Helper'!$B$18&lt;&gt;TRUE(),"not on Staff",SUMIFS('Tally Helper'!$L$20:$GI$20,'Tally Helper'!$L$18:$GI$18,"&gt;="&amp;$BR16,'Tally Helper'!$L$18:$GI$18,"&lt;="&amp;$BS16)))</f>
        <v/>
      </c>
      <c r="AD16" s="15" t="str">
        <f aca="false">IF(OR(H$7="",$BR16=""),"",IF('Tally Helper'!$B$21&lt;&gt;TRUE(),"not on Staff",SUMIFS('Tally Helper'!$L$23:$GI$23,'Tally Helper'!$L$21:$GI$21,"&gt;="&amp;$BR16,'Tally Helper'!$L$21:$GI$21,"&lt;="&amp;$BS16)))</f>
        <v/>
      </c>
      <c r="AE16" s="15" t="str">
        <f aca="false">IF(OR(I$7="",$BR16=""),"",IF('Tally Helper'!$B$24&lt;&gt;TRUE(),"not on Staff",SUMIFS('Tally Helper'!$L$26:$GI$26,'Tally Helper'!$L$24:$GI$24,"&gt;="&amp;$BR16,'Tally Helper'!$L$24:$GI$24,"&lt;="&amp;$BS16)))</f>
        <v/>
      </c>
      <c r="AF16" s="15" t="str">
        <f aca="false">IF(OR(J$7="",$BR16=""),"",IF('Tally Helper'!$B$27&lt;&gt;TRUE(),"not on Staff",SUMIFS('Tally Helper'!$L$29:$GI$29,'Tally Helper'!$L$27:$GI$27,"&gt;="&amp;$BR16,'Tally Helper'!$L$27:$GI$27,"&lt;="&amp;$BS16)))</f>
        <v/>
      </c>
      <c r="AG16" s="15" t="str">
        <f aca="false">IF(OR(K$7="",$BR16=""),"",IF('Tally Helper'!$B$30&lt;&gt;TRUE(),"not on Staff",SUMIFS('Tally Helper'!$L$32:$GI$32,'Tally Helper'!$L$30:$GI$30,"&gt;="&amp;$BR16,'Tally Helper'!$L$30:$GI$30,"&lt;="&amp;$BS16)))</f>
        <v/>
      </c>
      <c r="AH16" s="15" t="str">
        <f aca="false">IF(OR(L$7="",$BR16=""),"",IF('Tally Helper'!$B$33&lt;&gt;TRUE(),"not on Staff",SUMIFS('Tally Helper'!$L$35:$GI$35,'Tally Helper'!$L$33:$GI$33,"&gt;="&amp;$BR16,'Tally Helper'!$L$33:$GI$33,"&lt;="&amp;$BS16)))</f>
        <v/>
      </c>
      <c r="AI16" s="15" t="str">
        <f aca="false">IF(OR(M$7="",$BR16=""),"",IF('Tally Helper'!$B$36&lt;&gt;TRUE(),"not on Staff",SUMIFS('Tally Helper'!$L$38:$GI$38,'Tally Helper'!$L$36:$GI$36,"&gt;="&amp;$BR16,'Tally Helper'!$L$36:$GI$36,"&lt;="&amp;$BS16)))</f>
        <v/>
      </c>
      <c r="AJ16" s="15" t="str">
        <f aca="false">IF(OR(N$7="",$BR16=""),"",IF('Tally Helper'!$B$39&lt;&gt;TRUE(),"not on Staff",SUMIFS('Tally Helper'!$L$41:$GI$41,'Tally Helper'!$L$39:$GI$39,"&gt;="&amp;$BR16,'Tally Helper'!$L$39:$GI$39,"&lt;="&amp;$BS16)))</f>
        <v/>
      </c>
      <c r="AK16" s="15" t="str">
        <f aca="false">IF(OR(O$7="",$BR16=""),"",IF('Tally Helper'!$B$42&lt;&gt;TRUE(),"not on Staff",SUMIFS('Tally Helper'!$L$44:$GI$44,'Tally Helper'!$L$42:$GI$42,"&gt;="&amp;$BR16,'Tally Helper'!$L$42:$GI$42,"&lt;="&amp;$BS16)))</f>
        <v/>
      </c>
      <c r="AL16" s="15" t="str">
        <f aca="false">IF(OR(P$7="",$BR16=""),"",IF('Tally Helper'!$B$45&lt;&gt;TRUE(),"not on Staff",SUMIFS('Tally Helper'!$L$47:$GI$47,'Tally Helper'!$L$45:$GI$45,"&gt;="&amp;$BR16,'Tally Helper'!$L$45:$GI$45,"&lt;="&amp;$BS16)))</f>
        <v/>
      </c>
      <c r="AM16" s="15" t="str">
        <f aca="false">IF(OR(Q$7="",$BR16=""),"",IF('Tally Helper'!$B$48&lt;&gt;TRUE(),"not on Staff",SUMIFS('Tally Helper'!$L$50:$GI$50,'Tally Helper'!$L$48:$GI$48,"&gt;="&amp;$BR16,'Tally Helper'!$L$48:$GI$48,"&lt;="&amp;$BS16)))</f>
        <v/>
      </c>
      <c r="AN16" s="15" t="str">
        <f aca="false">IF(OR(R$7="",$BR16=""),"",IF('Tally Helper'!$B$51&lt;&gt;TRUE(),"not on Staff",SUMIFS('Tally Helper'!$L$53:$GI$53,'Tally Helper'!$L$51:$GI$51,"&gt;="&amp;$BR16,'Tally Helper'!$L$51:$GI$51,"&lt;="&amp;$BS16)))</f>
        <v/>
      </c>
      <c r="AO16" s="15" t="str">
        <f aca="false">IF(OR(S$7="",$BR16=""),"",IF('Tally Helper'!$B$54&lt;&gt;TRUE(),"not on Staff",SUMIFS('Tally Helper'!$L$56:$GI$56,'Tally Helper'!$L$54:$GI$54,"&gt;="&amp;$BR16,'Tally Helper'!$L$54:$GI$54,"&lt;="&amp;$BS16)))</f>
        <v/>
      </c>
      <c r="AP16" s="15" t="str">
        <f aca="false">IF(OR(T$7="",$BR16=""),"",IF('Tally Helper'!$B$57&lt;&gt;TRUE(),"not on Staff",SUMIFS('Tally Helper'!$L$59:$GI$59,'Tally Helper'!$L$57:$GI$57,"&gt;="&amp;$BR16,'Tally Helper'!$L$57:$GI$57,"&lt;="&amp;$BS16)))</f>
        <v/>
      </c>
      <c r="AQ16" s="15" t="str">
        <f aca="false">IF(OR(U$7="",$BR16=""),"",IF('Tally Helper'!$B$60&lt;&gt;TRUE(),"not on Staff",SUMIFS('Tally Helper'!$L$62:$GI$62,'Tally Helper'!$L$60:$GI$60,"&gt;="&amp;$BR16,'Tally Helper'!$L$60:$GI$60,"&lt;="&amp;$BS16)))</f>
        <v/>
      </c>
      <c r="AT16" s="15" t="str">
        <f aca="false">IF(OR(X16="",NOT(ISNUMBER(X16))),"",X16-N(B16))</f>
        <v/>
      </c>
      <c r="AU16" s="15" t="str">
        <f aca="false">IF(OR(Y16="",NOT(ISNUMBER(Y16))),"",Y16-N(C16))</f>
        <v/>
      </c>
      <c r="AV16" s="15" t="str">
        <f aca="false">IF(OR(Z16="",NOT(ISNUMBER(Z16))),"",Z16-N(D16))</f>
        <v/>
      </c>
      <c r="AW16" s="15" t="str">
        <f aca="false">IF(OR(AA16="",NOT(ISNUMBER(AA16))),"",AA16-N(E16))</f>
        <v/>
      </c>
      <c r="AX16" s="15" t="str">
        <f aca="false">IF(OR(AB16="",NOT(ISNUMBER(AB16))),"",AB16-N(F16))</f>
        <v/>
      </c>
      <c r="AY16" s="15" t="str">
        <f aca="false">IF(OR(AC16="",NOT(ISNUMBER(AC16))),"",AC16-N(G16))</f>
        <v/>
      </c>
      <c r="AZ16" s="15" t="str">
        <f aca="false">IF(OR(AD16="",NOT(ISNUMBER(AD16))),"",AD16-N(H16))</f>
        <v/>
      </c>
      <c r="BA16" s="15" t="str">
        <f aca="false">IF(OR(AE16="",NOT(ISNUMBER(AE16))),"",AE16-N(I16))</f>
        <v/>
      </c>
      <c r="BB16" s="15" t="str">
        <f aca="false">IF(OR(AF16="",NOT(ISNUMBER(AF16))),"",AF16-N(J16))</f>
        <v/>
      </c>
      <c r="BC16" s="15" t="str">
        <f aca="false">IF(OR(AG16="",NOT(ISNUMBER(AG16))),"",AG16-N(K16))</f>
        <v/>
      </c>
      <c r="BD16" s="15" t="str">
        <f aca="false">IF(OR(AH16="",NOT(ISNUMBER(AH16))),"",AH16-N(L16))</f>
        <v/>
      </c>
      <c r="BE16" s="15" t="str">
        <f aca="false">IF(OR(AI16="",NOT(ISNUMBER(AI16))),"",AI16-N(M16))</f>
        <v/>
      </c>
      <c r="BF16" s="15" t="str">
        <f aca="false">IF(OR(AJ16="",NOT(ISNUMBER(AJ16))),"",AJ16-N(N16))</f>
        <v/>
      </c>
      <c r="BG16" s="15" t="str">
        <f aca="false">IF(OR(AK16="",NOT(ISNUMBER(AK16))),"",AK16-N(O16))</f>
        <v/>
      </c>
      <c r="BH16" s="15" t="str">
        <f aca="false">IF(OR(AL16="",NOT(ISNUMBER(AL16))),"",AL16-N(P16))</f>
        <v/>
      </c>
      <c r="BI16" s="15" t="str">
        <f aca="false">IF(OR(AM16="",NOT(ISNUMBER(AM16))),"",AM16-N(Q16))</f>
        <v/>
      </c>
      <c r="BJ16" s="15" t="str">
        <f aca="false">IF(OR(AN16="",NOT(ISNUMBER(AN16))),"",AN16-N(R16))</f>
        <v/>
      </c>
      <c r="BK16" s="15" t="str">
        <f aca="false">IF(OR(AO16="",NOT(ISNUMBER(AO16))),"",AO16-N(S16))</f>
        <v/>
      </c>
      <c r="BL16" s="15" t="str">
        <f aca="false">IF(OR(AP16="",NOT(ISNUMBER(AP16))),"",AP16-N(T16))</f>
        <v/>
      </c>
      <c r="BM16" s="15" t="str">
        <f aca="false">IF(OR(AQ16="",NOT(ISNUMBER(AQ16))),"",AQ16-N(U16))</f>
        <v/>
      </c>
      <c r="BR16" s="18" t="str">
        <f aca="false">IF($A16="","",IF(ISNUMBER($A16),DATE(YEAR($A16),MONTH($A16),1),IFERROR(DATE(2000+VALUE(RIGHT(TRIM($A16),2)),MATCH(UPPER(LEFT(TRIM($A16),3)),{"JAN","FEB","MAR","APR","MAY","JUN","JUL","AUG","SEP","OCT","NOV","DEC"},0),1),"")))</f>
        <v/>
      </c>
      <c r="BS16" s="18" t="str">
        <f aca="false">IF(BR16="","",EOMONTH(BR16,0))</f>
        <v/>
      </c>
    </row>
    <row r="17" customFormat="false" ht="15" hidden="false" customHeight="false" outlineLevel="0" collapsed="false">
      <c r="B17" s="19"/>
      <c r="C17" s="19"/>
      <c r="D17" s="19"/>
      <c r="E17" s="19"/>
      <c r="F17" s="19"/>
      <c r="G17" s="19"/>
      <c r="H17" s="19"/>
      <c r="I17" s="19"/>
      <c r="J17" s="19"/>
      <c r="K17" s="19"/>
      <c r="L17" s="19"/>
      <c r="M17" s="19"/>
      <c r="N17" s="19"/>
      <c r="O17" s="19"/>
      <c r="P17" s="19"/>
      <c r="Q17" s="19"/>
      <c r="R17" s="19"/>
      <c r="S17" s="19"/>
      <c r="T17" s="19"/>
      <c r="U17" s="19"/>
      <c r="X17" s="15" t="str">
        <f aca="false">IF(OR(B$7="",$BR17=""),"",IF('Tally Helper'!$B$3&lt;&gt;TRUE(),"not on Staff",SUMIFS('Tally Helper'!$L$5:$GI$5,'Tally Helper'!$L$3:$GI$3,"&gt;="&amp;$BR17,'Tally Helper'!$L$3:$GI$3,"&lt;="&amp;$BS17)))</f>
        <v/>
      </c>
      <c r="Y17" s="15" t="str">
        <f aca="false">IF(OR(C$7="",$BR17=""),"",IF('Tally Helper'!$B$6&lt;&gt;TRUE(),"not on Staff",SUMIFS('Tally Helper'!$L$8:$GI$8,'Tally Helper'!$L$6:$GI$6,"&gt;="&amp;$BR17,'Tally Helper'!$L$6:$GI$6,"&lt;="&amp;$BS17)))</f>
        <v/>
      </c>
      <c r="Z17" s="15" t="str">
        <f aca="false">IF(OR(D$7="",$BR17=""),"",IF('Tally Helper'!$B$9&lt;&gt;TRUE(),"not on Staff",SUMIFS('Tally Helper'!$L$11:$GI$11,'Tally Helper'!$L$9:$GI$9,"&gt;="&amp;$BR17,'Tally Helper'!$L$9:$GI$9,"&lt;="&amp;$BS17)))</f>
        <v/>
      </c>
      <c r="AA17" s="15" t="str">
        <f aca="false">IF(OR(E$7="",$BR17=""),"",IF('Tally Helper'!$B$12&lt;&gt;TRUE(),"not on Staff",SUMIFS('Tally Helper'!$L$14:$GI$14,'Tally Helper'!$L$12:$GI$12,"&gt;="&amp;$BR17,'Tally Helper'!$L$12:$GI$12,"&lt;="&amp;$BS17)))</f>
        <v/>
      </c>
      <c r="AB17" s="15" t="str">
        <f aca="false">IF(OR(F$7="",$BR17=""),"",IF('Tally Helper'!$B$15&lt;&gt;TRUE(),"not on Staff",SUMIFS('Tally Helper'!$L$17:$GI$17,'Tally Helper'!$L$15:$GI$15,"&gt;="&amp;$BR17,'Tally Helper'!$L$15:$GI$15,"&lt;="&amp;$BS17)))</f>
        <v/>
      </c>
      <c r="AC17" s="15" t="str">
        <f aca="false">IF(OR(G$7="",$BR17=""),"",IF('Tally Helper'!$B$18&lt;&gt;TRUE(),"not on Staff",SUMIFS('Tally Helper'!$L$20:$GI$20,'Tally Helper'!$L$18:$GI$18,"&gt;="&amp;$BR17,'Tally Helper'!$L$18:$GI$18,"&lt;="&amp;$BS17)))</f>
        <v/>
      </c>
      <c r="AD17" s="15" t="str">
        <f aca="false">IF(OR(H$7="",$BR17=""),"",IF('Tally Helper'!$B$21&lt;&gt;TRUE(),"not on Staff",SUMIFS('Tally Helper'!$L$23:$GI$23,'Tally Helper'!$L$21:$GI$21,"&gt;="&amp;$BR17,'Tally Helper'!$L$21:$GI$21,"&lt;="&amp;$BS17)))</f>
        <v/>
      </c>
      <c r="AE17" s="15" t="str">
        <f aca="false">IF(OR(I$7="",$BR17=""),"",IF('Tally Helper'!$B$24&lt;&gt;TRUE(),"not on Staff",SUMIFS('Tally Helper'!$L$26:$GI$26,'Tally Helper'!$L$24:$GI$24,"&gt;="&amp;$BR17,'Tally Helper'!$L$24:$GI$24,"&lt;="&amp;$BS17)))</f>
        <v/>
      </c>
      <c r="AF17" s="15" t="str">
        <f aca="false">IF(OR(J$7="",$BR17=""),"",IF('Tally Helper'!$B$27&lt;&gt;TRUE(),"not on Staff",SUMIFS('Tally Helper'!$L$29:$GI$29,'Tally Helper'!$L$27:$GI$27,"&gt;="&amp;$BR17,'Tally Helper'!$L$27:$GI$27,"&lt;="&amp;$BS17)))</f>
        <v/>
      </c>
      <c r="AG17" s="15" t="str">
        <f aca="false">IF(OR(K$7="",$BR17=""),"",IF('Tally Helper'!$B$30&lt;&gt;TRUE(),"not on Staff",SUMIFS('Tally Helper'!$L$32:$GI$32,'Tally Helper'!$L$30:$GI$30,"&gt;="&amp;$BR17,'Tally Helper'!$L$30:$GI$30,"&lt;="&amp;$BS17)))</f>
        <v/>
      </c>
      <c r="AH17" s="15" t="str">
        <f aca="false">IF(OR(L$7="",$BR17=""),"",IF('Tally Helper'!$B$33&lt;&gt;TRUE(),"not on Staff",SUMIFS('Tally Helper'!$L$35:$GI$35,'Tally Helper'!$L$33:$GI$33,"&gt;="&amp;$BR17,'Tally Helper'!$L$33:$GI$33,"&lt;="&amp;$BS17)))</f>
        <v/>
      </c>
      <c r="AI17" s="15" t="str">
        <f aca="false">IF(OR(M$7="",$BR17=""),"",IF('Tally Helper'!$B$36&lt;&gt;TRUE(),"not on Staff",SUMIFS('Tally Helper'!$L$38:$GI$38,'Tally Helper'!$L$36:$GI$36,"&gt;="&amp;$BR17,'Tally Helper'!$L$36:$GI$36,"&lt;="&amp;$BS17)))</f>
        <v/>
      </c>
      <c r="AJ17" s="15" t="str">
        <f aca="false">IF(OR(N$7="",$BR17=""),"",IF('Tally Helper'!$B$39&lt;&gt;TRUE(),"not on Staff",SUMIFS('Tally Helper'!$L$41:$GI$41,'Tally Helper'!$L$39:$GI$39,"&gt;="&amp;$BR17,'Tally Helper'!$L$39:$GI$39,"&lt;="&amp;$BS17)))</f>
        <v/>
      </c>
      <c r="AK17" s="15" t="str">
        <f aca="false">IF(OR(O$7="",$BR17=""),"",IF('Tally Helper'!$B$42&lt;&gt;TRUE(),"not on Staff",SUMIFS('Tally Helper'!$L$44:$GI$44,'Tally Helper'!$L$42:$GI$42,"&gt;="&amp;$BR17,'Tally Helper'!$L$42:$GI$42,"&lt;="&amp;$BS17)))</f>
        <v/>
      </c>
      <c r="AL17" s="15" t="str">
        <f aca="false">IF(OR(P$7="",$BR17=""),"",IF('Tally Helper'!$B$45&lt;&gt;TRUE(),"not on Staff",SUMIFS('Tally Helper'!$L$47:$GI$47,'Tally Helper'!$L$45:$GI$45,"&gt;="&amp;$BR17,'Tally Helper'!$L$45:$GI$45,"&lt;="&amp;$BS17)))</f>
        <v/>
      </c>
      <c r="AM17" s="15" t="str">
        <f aca="false">IF(OR(Q$7="",$BR17=""),"",IF('Tally Helper'!$B$48&lt;&gt;TRUE(),"not on Staff",SUMIFS('Tally Helper'!$L$50:$GI$50,'Tally Helper'!$L$48:$GI$48,"&gt;="&amp;$BR17,'Tally Helper'!$L$48:$GI$48,"&lt;="&amp;$BS17)))</f>
        <v/>
      </c>
      <c r="AN17" s="15" t="str">
        <f aca="false">IF(OR(R$7="",$BR17=""),"",IF('Tally Helper'!$B$51&lt;&gt;TRUE(),"not on Staff",SUMIFS('Tally Helper'!$L$53:$GI$53,'Tally Helper'!$L$51:$GI$51,"&gt;="&amp;$BR17,'Tally Helper'!$L$51:$GI$51,"&lt;="&amp;$BS17)))</f>
        <v/>
      </c>
      <c r="AO17" s="15" t="str">
        <f aca="false">IF(OR(S$7="",$BR17=""),"",IF('Tally Helper'!$B$54&lt;&gt;TRUE(),"not on Staff",SUMIFS('Tally Helper'!$L$56:$GI$56,'Tally Helper'!$L$54:$GI$54,"&gt;="&amp;$BR17,'Tally Helper'!$L$54:$GI$54,"&lt;="&amp;$BS17)))</f>
        <v/>
      </c>
      <c r="AP17" s="15" t="str">
        <f aca="false">IF(OR(T$7="",$BR17=""),"",IF('Tally Helper'!$B$57&lt;&gt;TRUE(),"not on Staff",SUMIFS('Tally Helper'!$L$59:$GI$59,'Tally Helper'!$L$57:$GI$57,"&gt;="&amp;$BR17,'Tally Helper'!$L$57:$GI$57,"&lt;="&amp;$BS17)))</f>
        <v/>
      </c>
      <c r="AQ17" s="15" t="str">
        <f aca="false">IF(OR(U$7="",$BR17=""),"",IF('Tally Helper'!$B$60&lt;&gt;TRUE(),"not on Staff",SUMIFS('Tally Helper'!$L$62:$GI$62,'Tally Helper'!$L$60:$GI$60,"&gt;="&amp;$BR17,'Tally Helper'!$L$60:$GI$60,"&lt;="&amp;$BS17)))</f>
        <v/>
      </c>
      <c r="AT17" s="15" t="str">
        <f aca="false">IF(OR(X17="",NOT(ISNUMBER(X17))),"",X17-N(B17))</f>
        <v/>
      </c>
      <c r="AU17" s="15" t="str">
        <f aca="false">IF(OR(Y17="",NOT(ISNUMBER(Y17))),"",Y17-N(C17))</f>
        <v/>
      </c>
      <c r="AV17" s="15" t="str">
        <f aca="false">IF(OR(Z17="",NOT(ISNUMBER(Z17))),"",Z17-N(D17))</f>
        <v/>
      </c>
      <c r="AW17" s="15" t="str">
        <f aca="false">IF(OR(AA17="",NOT(ISNUMBER(AA17))),"",AA17-N(E17))</f>
        <v/>
      </c>
      <c r="AX17" s="15" t="str">
        <f aca="false">IF(OR(AB17="",NOT(ISNUMBER(AB17))),"",AB17-N(F17))</f>
        <v/>
      </c>
      <c r="AY17" s="15" t="str">
        <f aca="false">IF(OR(AC17="",NOT(ISNUMBER(AC17))),"",AC17-N(G17))</f>
        <v/>
      </c>
      <c r="AZ17" s="15" t="str">
        <f aca="false">IF(OR(AD17="",NOT(ISNUMBER(AD17))),"",AD17-N(H17))</f>
        <v/>
      </c>
      <c r="BA17" s="15" t="str">
        <f aca="false">IF(OR(AE17="",NOT(ISNUMBER(AE17))),"",AE17-N(I17))</f>
        <v/>
      </c>
      <c r="BB17" s="15" t="str">
        <f aca="false">IF(OR(AF17="",NOT(ISNUMBER(AF17))),"",AF17-N(J17))</f>
        <v/>
      </c>
      <c r="BC17" s="15" t="str">
        <f aca="false">IF(OR(AG17="",NOT(ISNUMBER(AG17))),"",AG17-N(K17))</f>
        <v/>
      </c>
      <c r="BD17" s="15" t="str">
        <f aca="false">IF(OR(AH17="",NOT(ISNUMBER(AH17))),"",AH17-N(L17))</f>
        <v/>
      </c>
      <c r="BE17" s="15" t="str">
        <f aca="false">IF(OR(AI17="",NOT(ISNUMBER(AI17))),"",AI17-N(M17))</f>
        <v/>
      </c>
      <c r="BF17" s="15" t="str">
        <f aca="false">IF(OR(AJ17="",NOT(ISNUMBER(AJ17))),"",AJ17-N(N17))</f>
        <v/>
      </c>
      <c r="BG17" s="15" t="str">
        <f aca="false">IF(OR(AK17="",NOT(ISNUMBER(AK17))),"",AK17-N(O17))</f>
        <v/>
      </c>
      <c r="BH17" s="15" t="str">
        <f aca="false">IF(OR(AL17="",NOT(ISNUMBER(AL17))),"",AL17-N(P17))</f>
        <v/>
      </c>
      <c r="BI17" s="15" t="str">
        <f aca="false">IF(OR(AM17="",NOT(ISNUMBER(AM17))),"",AM17-N(Q17))</f>
        <v/>
      </c>
      <c r="BJ17" s="15" t="str">
        <f aca="false">IF(OR(AN17="",NOT(ISNUMBER(AN17))),"",AN17-N(R17))</f>
        <v/>
      </c>
      <c r="BK17" s="15" t="str">
        <f aca="false">IF(OR(AO17="",NOT(ISNUMBER(AO17))),"",AO17-N(S17))</f>
        <v/>
      </c>
      <c r="BL17" s="15" t="str">
        <f aca="false">IF(OR(AP17="",NOT(ISNUMBER(AP17))),"",AP17-N(T17))</f>
        <v/>
      </c>
      <c r="BM17" s="15" t="str">
        <f aca="false">IF(OR(AQ17="",NOT(ISNUMBER(AQ17))),"",AQ17-N(U17))</f>
        <v/>
      </c>
      <c r="BR17" s="18" t="str">
        <f aca="false">IF($A17="","",IF(ISNUMBER($A17),DATE(YEAR($A17),MONTH($A17),1),IFERROR(DATE(2000+VALUE(RIGHT(TRIM($A17),2)),MATCH(UPPER(LEFT(TRIM($A17),3)),{"JAN","FEB","MAR","APR","MAY","JUN","JUL","AUG","SEP","OCT","NOV","DEC"},0),1),"")))</f>
        <v/>
      </c>
      <c r="BS17" s="18" t="str">
        <f aca="false">IF(BR17="","",EOMONTH(BR17,0))</f>
        <v/>
      </c>
    </row>
    <row r="18" customFormat="false" ht="15" hidden="false" customHeight="false" outlineLevel="0" collapsed="false">
      <c r="B18" s="19"/>
      <c r="C18" s="19"/>
      <c r="D18" s="19"/>
      <c r="E18" s="19"/>
      <c r="F18" s="19"/>
      <c r="G18" s="19"/>
      <c r="H18" s="19"/>
      <c r="I18" s="19"/>
      <c r="J18" s="19"/>
      <c r="K18" s="19"/>
      <c r="L18" s="19"/>
      <c r="M18" s="19"/>
      <c r="N18" s="19"/>
      <c r="O18" s="19"/>
      <c r="P18" s="19"/>
      <c r="Q18" s="19"/>
      <c r="R18" s="19"/>
      <c r="S18" s="19"/>
      <c r="T18" s="19"/>
      <c r="U18" s="19"/>
      <c r="X18" s="15" t="str">
        <f aca="false">IF(OR(B$7="",$BR18=""),"",IF('Tally Helper'!$B$3&lt;&gt;TRUE(),"not on Staff",SUMIFS('Tally Helper'!$L$5:$GI$5,'Tally Helper'!$L$3:$GI$3,"&gt;="&amp;$BR18,'Tally Helper'!$L$3:$GI$3,"&lt;="&amp;$BS18)))</f>
        <v/>
      </c>
      <c r="Y18" s="15" t="str">
        <f aca="false">IF(OR(C$7="",$BR18=""),"",IF('Tally Helper'!$B$6&lt;&gt;TRUE(),"not on Staff",SUMIFS('Tally Helper'!$L$8:$GI$8,'Tally Helper'!$L$6:$GI$6,"&gt;="&amp;$BR18,'Tally Helper'!$L$6:$GI$6,"&lt;="&amp;$BS18)))</f>
        <v/>
      </c>
      <c r="Z18" s="15" t="str">
        <f aca="false">IF(OR(D$7="",$BR18=""),"",IF('Tally Helper'!$B$9&lt;&gt;TRUE(),"not on Staff",SUMIFS('Tally Helper'!$L$11:$GI$11,'Tally Helper'!$L$9:$GI$9,"&gt;="&amp;$BR18,'Tally Helper'!$L$9:$GI$9,"&lt;="&amp;$BS18)))</f>
        <v/>
      </c>
      <c r="AA18" s="15" t="str">
        <f aca="false">IF(OR(E$7="",$BR18=""),"",IF('Tally Helper'!$B$12&lt;&gt;TRUE(),"not on Staff",SUMIFS('Tally Helper'!$L$14:$GI$14,'Tally Helper'!$L$12:$GI$12,"&gt;="&amp;$BR18,'Tally Helper'!$L$12:$GI$12,"&lt;="&amp;$BS18)))</f>
        <v/>
      </c>
      <c r="AB18" s="15" t="str">
        <f aca="false">IF(OR(F$7="",$BR18=""),"",IF('Tally Helper'!$B$15&lt;&gt;TRUE(),"not on Staff",SUMIFS('Tally Helper'!$L$17:$GI$17,'Tally Helper'!$L$15:$GI$15,"&gt;="&amp;$BR18,'Tally Helper'!$L$15:$GI$15,"&lt;="&amp;$BS18)))</f>
        <v/>
      </c>
      <c r="AC18" s="15" t="str">
        <f aca="false">IF(OR(G$7="",$BR18=""),"",IF('Tally Helper'!$B$18&lt;&gt;TRUE(),"not on Staff",SUMIFS('Tally Helper'!$L$20:$GI$20,'Tally Helper'!$L$18:$GI$18,"&gt;="&amp;$BR18,'Tally Helper'!$L$18:$GI$18,"&lt;="&amp;$BS18)))</f>
        <v/>
      </c>
      <c r="AD18" s="15" t="str">
        <f aca="false">IF(OR(H$7="",$BR18=""),"",IF('Tally Helper'!$B$21&lt;&gt;TRUE(),"not on Staff",SUMIFS('Tally Helper'!$L$23:$GI$23,'Tally Helper'!$L$21:$GI$21,"&gt;="&amp;$BR18,'Tally Helper'!$L$21:$GI$21,"&lt;="&amp;$BS18)))</f>
        <v/>
      </c>
      <c r="AE18" s="15" t="str">
        <f aca="false">IF(OR(I$7="",$BR18=""),"",IF('Tally Helper'!$B$24&lt;&gt;TRUE(),"not on Staff",SUMIFS('Tally Helper'!$L$26:$GI$26,'Tally Helper'!$L$24:$GI$24,"&gt;="&amp;$BR18,'Tally Helper'!$L$24:$GI$24,"&lt;="&amp;$BS18)))</f>
        <v/>
      </c>
      <c r="AF18" s="15" t="str">
        <f aca="false">IF(OR(J$7="",$BR18=""),"",IF('Tally Helper'!$B$27&lt;&gt;TRUE(),"not on Staff",SUMIFS('Tally Helper'!$L$29:$GI$29,'Tally Helper'!$L$27:$GI$27,"&gt;="&amp;$BR18,'Tally Helper'!$L$27:$GI$27,"&lt;="&amp;$BS18)))</f>
        <v/>
      </c>
      <c r="AG18" s="15" t="str">
        <f aca="false">IF(OR(K$7="",$BR18=""),"",IF('Tally Helper'!$B$30&lt;&gt;TRUE(),"not on Staff",SUMIFS('Tally Helper'!$L$32:$GI$32,'Tally Helper'!$L$30:$GI$30,"&gt;="&amp;$BR18,'Tally Helper'!$L$30:$GI$30,"&lt;="&amp;$BS18)))</f>
        <v/>
      </c>
      <c r="AH18" s="15" t="str">
        <f aca="false">IF(OR(L$7="",$BR18=""),"",IF('Tally Helper'!$B$33&lt;&gt;TRUE(),"not on Staff",SUMIFS('Tally Helper'!$L$35:$GI$35,'Tally Helper'!$L$33:$GI$33,"&gt;="&amp;$BR18,'Tally Helper'!$L$33:$GI$33,"&lt;="&amp;$BS18)))</f>
        <v/>
      </c>
      <c r="AI18" s="15" t="str">
        <f aca="false">IF(OR(M$7="",$BR18=""),"",IF('Tally Helper'!$B$36&lt;&gt;TRUE(),"not on Staff",SUMIFS('Tally Helper'!$L$38:$GI$38,'Tally Helper'!$L$36:$GI$36,"&gt;="&amp;$BR18,'Tally Helper'!$L$36:$GI$36,"&lt;="&amp;$BS18)))</f>
        <v/>
      </c>
      <c r="AJ18" s="15" t="str">
        <f aca="false">IF(OR(N$7="",$BR18=""),"",IF('Tally Helper'!$B$39&lt;&gt;TRUE(),"not on Staff",SUMIFS('Tally Helper'!$L$41:$GI$41,'Tally Helper'!$L$39:$GI$39,"&gt;="&amp;$BR18,'Tally Helper'!$L$39:$GI$39,"&lt;="&amp;$BS18)))</f>
        <v/>
      </c>
      <c r="AK18" s="15" t="str">
        <f aca="false">IF(OR(O$7="",$BR18=""),"",IF('Tally Helper'!$B$42&lt;&gt;TRUE(),"not on Staff",SUMIFS('Tally Helper'!$L$44:$GI$44,'Tally Helper'!$L$42:$GI$42,"&gt;="&amp;$BR18,'Tally Helper'!$L$42:$GI$42,"&lt;="&amp;$BS18)))</f>
        <v/>
      </c>
      <c r="AL18" s="15" t="str">
        <f aca="false">IF(OR(P$7="",$BR18=""),"",IF('Tally Helper'!$B$45&lt;&gt;TRUE(),"not on Staff",SUMIFS('Tally Helper'!$L$47:$GI$47,'Tally Helper'!$L$45:$GI$45,"&gt;="&amp;$BR18,'Tally Helper'!$L$45:$GI$45,"&lt;="&amp;$BS18)))</f>
        <v/>
      </c>
      <c r="AM18" s="15" t="str">
        <f aca="false">IF(OR(Q$7="",$BR18=""),"",IF('Tally Helper'!$B$48&lt;&gt;TRUE(),"not on Staff",SUMIFS('Tally Helper'!$L$50:$GI$50,'Tally Helper'!$L$48:$GI$48,"&gt;="&amp;$BR18,'Tally Helper'!$L$48:$GI$48,"&lt;="&amp;$BS18)))</f>
        <v/>
      </c>
      <c r="AN18" s="15" t="str">
        <f aca="false">IF(OR(R$7="",$BR18=""),"",IF('Tally Helper'!$B$51&lt;&gt;TRUE(),"not on Staff",SUMIFS('Tally Helper'!$L$53:$GI$53,'Tally Helper'!$L$51:$GI$51,"&gt;="&amp;$BR18,'Tally Helper'!$L$51:$GI$51,"&lt;="&amp;$BS18)))</f>
        <v/>
      </c>
      <c r="AO18" s="15" t="str">
        <f aca="false">IF(OR(S$7="",$BR18=""),"",IF('Tally Helper'!$B$54&lt;&gt;TRUE(),"not on Staff",SUMIFS('Tally Helper'!$L$56:$GI$56,'Tally Helper'!$L$54:$GI$54,"&gt;="&amp;$BR18,'Tally Helper'!$L$54:$GI$54,"&lt;="&amp;$BS18)))</f>
        <v/>
      </c>
      <c r="AP18" s="15" t="str">
        <f aca="false">IF(OR(T$7="",$BR18=""),"",IF('Tally Helper'!$B$57&lt;&gt;TRUE(),"not on Staff",SUMIFS('Tally Helper'!$L$59:$GI$59,'Tally Helper'!$L$57:$GI$57,"&gt;="&amp;$BR18,'Tally Helper'!$L$57:$GI$57,"&lt;="&amp;$BS18)))</f>
        <v/>
      </c>
      <c r="AQ18" s="15" t="str">
        <f aca="false">IF(OR(U$7="",$BR18=""),"",IF('Tally Helper'!$B$60&lt;&gt;TRUE(),"not on Staff",SUMIFS('Tally Helper'!$L$62:$GI$62,'Tally Helper'!$L$60:$GI$60,"&gt;="&amp;$BR18,'Tally Helper'!$L$60:$GI$60,"&lt;="&amp;$BS18)))</f>
        <v/>
      </c>
      <c r="AT18" s="15" t="str">
        <f aca="false">IF(OR(X18="",NOT(ISNUMBER(X18))),"",X18-N(B18))</f>
        <v/>
      </c>
      <c r="AU18" s="15" t="str">
        <f aca="false">IF(OR(Y18="",NOT(ISNUMBER(Y18))),"",Y18-N(C18))</f>
        <v/>
      </c>
      <c r="AV18" s="15" t="str">
        <f aca="false">IF(OR(Z18="",NOT(ISNUMBER(Z18))),"",Z18-N(D18))</f>
        <v/>
      </c>
      <c r="AW18" s="15" t="str">
        <f aca="false">IF(OR(AA18="",NOT(ISNUMBER(AA18))),"",AA18-N(E18))</f>
        <v/>
      </c>
      <c r="AX18" s="15" t="str">
        <f aca="false">IF(OR(AB18="",NOT(ISNUMBER(AB18))),"",AB18-N(F18))</f>
        <v/>
      </c>
      <c r="AY18" s="15" t="str">
        <f aca="false">IF(OR(AC18="",NOT(ISNUMBER(AC18))),"",AC18-N(G18))</f>
        <v/>
      </c>
      <c r="AZ18" s="15" t="str">
        <f aca="false">IF(OR(AD18="",NOT(ISNUMBER(AD18))),"",AD18-N(H18))</f>
        <v/>
      </c>
      <c r="BA18" s="15" t="str">
        <f aca="false">IF(OR(AE18="",NOT(ISNUMBER(AE18))),"",AE18-N(I18))</f>
        <v/>
      </c>
      <c r="BB18" s="15" t="str">
        <f aca="false">IF(OR(AF18="",NOT(ISNUMBER(AF18))),"",AF18-N(J18))</f>
        <v/>
      </c>
      <c r="BC18" s="15" t="str">
        <f aca="false">IF(OR(AG18="",NOT(ISNUMBER(AG18))),"",AG18-N(K18))</f>
        <v/>
      </c>
      <c r="BD18" s="15" t="str">
        <f aca="false">IF(OR(AH18="",NOT(ISNUMBER(AH18))),"",AH18-N(L18))</f>
        <v/>
      </c>
      <c r="BE18" s="15" t="str">
        <f aca="false">IF(OR(AI18="",NOT(ISNUMBER(AI18))),"",AI18-N(M18))</f>
        <v/>
      </c>
      <c r="BF18" s="15" t="str">
        <f aca="false">IF(OR(AJ18="",NOT(ISNUMBER(AJ18))),"",AJ18-N(N18))</f>
        <v/>
      </c>
      <c r="BG18" s="15" t="str">
        <f aca="false">IF(OR(AK18="",NOT(ISNUMBER(AK18))),"",AK18-N(O18))</f>
        <v/>
      </c>
      <c r="BH18" s="15" t="str">
        <f aca="false">IF(OR(AL18="",NOT(ISNUMBER(AL18))),"",AL18-N(P18))</f>
        <v/>
      </c>
      <c r="BI18" s="15" t="str">
        <f aca="false">IF(OR(AM18="",NOT(ISNUMBER(AM18))),"",AM18-N(Q18))</f>
        <v/>
      </c>
      <c r="BJ18" s="15" t="str">
        <f aca="false">IF(OR(AN18="",NOT(ISNUMBER(AN18))),"",AN18-N(R18))</f>
        <v/>
      </c>
      <c r="BK18" s="15" t="str">
        <f aca="false">IF(OR(AO18="",NOT(ISNUMBER(AO18))),"",AO18-N(S18))</f>
        <v/>
      </c>
      <c r="BL18" s="15" t="str">
        <f aca="false">IF(OR(AP18="",NOT(ISNUMBER(AP18))),"",AP18-N(T18))</f>
        <v/>
      </c>
      <c r="BM18" s="15" t="str">
        <f aca="false">IF(OR(AQ18="",NOT(ISNUMBER(AQ18))),"",AQ18-N(U18))</f>
        <v/>
      </c>
      <c r="BR18" s="18" t="str">
        <f aca="false">IF($A18="","",IF(ISNUMBER($A18),DATE(YEAR($A18),MONTH($A18),1),IFERROR(DATE(2000+VALUE(RIGHT(TRIM($A18),2)),MATCH(UPPER(LEFT(TRIM($A18),3)),{"JAN","FEB","MAR","APR","MAY","JUN","JUL","AUG","SEP","OCT","NOV","DEC"},0),1),"")))</f>
        <v/>
      </c>
      <c r="BS18" s="18" t="str">
        <f aca="false">IF(BR18="","",EOMONTH(BR18,0))</f>
        <v/>
      </c>
    </row>
    <row r="19" customFormat="false" ht="15" hidden="false" customHeight="false" outlineLevel="0" collapsed="false">
      <c r="B19" s="19"/>
      <c r="C19" s="19"/>
      <c r="D19" s="19"/>
      <c r="E19" s="19"/>
      <c r="F19" s="19"/>
      <c r="G19" s="19"/>
      <c r="H19" s="19"/>
      <c r="I19" s="19"/>
      <c r="J19" s="19"/>
      <c r="K19" s="19"/>
      <c r="L19" s="19"/>
      <c r="M19" s="19"/>
      <c r="N19" s="19"/>
      <c r="O19" s="19"/>
      <c r="P19" s="19"/>
      <c r="Q19" s="19"/>
      <c r="R19" s="19"/>
      <c r="S19" s="19"/>
      <c r="T19" s="19"/>
      <c r="U19" s="19"/>
      <c r="X19" s="15" t="str">
        <f aca="false">IF(OR(B$7="",$BR19=""),"",IF('Tally Helper'!$B$3&lt;&gt;TRUE(),"not on Staff",SUMIFS('Tally Helper'!$L$5:$GI$5,'Tally Helper'!$L$3:$GI$3,"&gt;="&amp;$BR19,'Tally Helper'!$L$3:$GI$3,"&lt;="&amp;$BS19)))</f>
        <v/>
      </c>
      <c r="Y19" s="15" t="str">
        <f aca="false">IF(OR(C$7="",$BR19=""),"",IF('Tally Helper'!$B$6&lt;&gt;TRUE(),"not on Staff",SUMIFS('Tally Helper'!$L$8:$GI$8,'Tally Helper'!$L$6:$GI$6,"&gt;="&amp;$BR19,'Tally Helper'!$L$6:$GI$6,"&lt;="&amp;$BS19)))</f>
        <v/>
      </c>
      <c r="Z19" s="15" t="str">
        <f aca="false">IF(OR(D$7="",$BR19=""),"",IF('Tally Helper'!$B$9&lt;&gt;TRUE(),"not on Staff",SUMIFS('Tally Helper'!$L$11:$GI$11,'Tally Helper'!$L$9:$GI$9,"&gt;="&amp;$BR19,'Tally Helper'!$L$9:$GI$9,"&lt;="&amp;$BS19)))</f>
        <v/>
      </c>
      <c r="AA19" s="15" t="str">
        <f aca="false">IF(OR(E$7="",$BR19=""),"",IF('Tally Helper'!$B$12&lt;&gt;TRUE(),"not on Staff",SUMIFS('Tally Helper'!$L$14:$GI$14,'Tally Helper'!$L$12:$GI$12,"&gt;="&amp;$BR19,'Tally Helper'!$L$12:$GI$12,"&lt;="&amp;$BS19)))</f>
        <v/>
      </c>
      <c r="AB19" s="15" t="str">
        <f aca="false">IF(OR(F$7="",$BR19=""),"",IF('Tally Helper'!$B$15&lt;&gt;TRUE(),"not on Staff",SUMIFS('Tally Helper'!$L$17:$GI$17,'Tally Helper'!$L$15:$GI$15,"&gt;="&amp;$BR19,'Tally Helper'!$L$15:$GI$15,"&lt;="&amp;$BS19)))</f>
        <v/>
      </c>
      <c r="AC19" s="15" t="str">
        <f aca="false">IF(OR(G$7="",$BR19=""),"",IF('Tally Helper'!$B$18&lt;&gt;TRUE(),"not on Staff",SUMIFS('Tally Helper'!$L$20:$GI$20,'Tally Helper'!$L$18:$GI$18,"&gt;="&amp;$BR19,'Tally Helper'!$L$18:$GI$18,"&lt;="&amp;$BS19)))</f>
        <v/>
      </c>
      <c r="AD19" s="15" t="str">
        <f aca="false">IF(OR(H$7="",$BR19=""),"",IF('Tally Helper'!$B$21&lt;&gt;TRUE(),"not on Staff",SUMIFS('Tally Helper'!$L$23:$GI$23,'Tally Helper'!$L$21:$GI$21,"&gt;="&amp;$BR19,'Tally Helper'!$L$21:$GI$21,"&lt;="&amp;$BS19)))</f>
        <v/>
      </c>
      <c r="AE19" s="15" t="str">
        <f aca="false">IF(OR(I$7="",$BR19=""),"",IF('Tally Helper'!$B$24&lt;&gt;TRUE(),"not on Staff",SUMIFS('Tally Helper'!$L$26:$GI$26,'Tally Helper'!$L$24:$GI$24,"&gt;="&amp;$BR19,'Tally Helper'!$L$24:$GI$24,"&lt;="&amp;$BS19)))</f>
        <v/>
      </c>
      <c r="AF19" s="15" t="str">
        <f aca="false">IF(OR(J$7="",$BR19=""),"",IF('Tally Helper'!$B$27&lt;&gt;TRUE(),"not on Staff",SUMIFS('Tally Helper'!$L$29:$GI$29,'Tally Helper'!$L$27:$GI$27,"&gt;="&amp;$BR19,'Tally Helper'!$L$27:$GI$27,"&lt;="&amp;$BS19)))</f>
        <v/>
      </c>
      <c r="AG19" s="15" t="str">
        <f aca="false">IF(OR(K$7="",$BR19=""),"",IF('Tally Helper'!$B$30&lt;&gt;TRUE(),"not on Staff",SUMIFS('Tally Helper'!$L$32:$GI$32,'Tally Helper'!$L$30:$GI$30,"&gt;="&amp;$BR19,'Tally Helper'!$L$30:$GI$30,"&lt;="&amp;$BS19)))</f>
        <v/>
      </c>
      <c r="AH19" s="15" t="str">
        <f aca="false">IF(OR(L$7="",$BR19=""),"",IF('Tally Helper'!$B$33&lt;&gt;TRUE(),"not on Staff",SUMIFS('Tally Helper'!$L$35:$GI$35,'Tally Helper'!$L$33:$GI$33,"&gt;="&amp;$BR19,'Tally Helper'!$L$33:$GI$33,"&lt;="&amp;$BS19)))</f>
        <v/>
      </c>
      <c r="AI19" s="15" t="str">
        <f aca="false">IF(OR(M$7="",$BR19=""),"",IF('Tally Helper'!$B$36&lt;&gt;TRUE(),"not on Staff",SUMIFS('Tally Helper'!$L$38:$GI$38,'Tally Helper'!$L$36:$GI$36,"&gt;="&amp;$BR19,'Tally Helper'!$L$36:$GI$36,"&lt;="&amp;$BS19)))</f>
        <v/>
      </c>
      <c r="AJ19" s="15" t="str">
        <f aca="false">IF(OR(N$7="",$BR19=""),"",IF('Tally Helper'!$B$39&lt;&gt;TRUE(),"not on Staff",SUMIFS('Tally Helper'!$L$41:$GI$41,'Tally Helper'!$L$39:$GI$39,"&gt;="&amp;$BR19,'Tally Helper'!$L$39:$GI$39,"&lt;="&amp;$BS19)))</f>
        <v/>
      </c>
      <c r="AK19" s="15" t="str">
        <f aca="false">IF(OR(O$7="",$BR19=""),"",IF('Tally Helper'!$B$42&lt;&gt;TRUE(),"not on Staff",SUMIFS('Tally Helper'!$L$44:$GI$44,'Tally Helper'!$L$42:$GI$42,"&gt;="&amp;$BR19,'Tally Helper'!$L$42:$GI$42,"&lt;="&amp;$BS19)))</f>
        <v/>
      </c>
      <c r="AL19" s="15" t="str">
        <f aca="false">IF(OR(P$7="",$BR19=""),"",IF('Tally Helper'!$B$45&lt;&gt;TRUE(),"not on Staff",SUMIFS('Tally Helper'!$L$47:$GI$47,'Tally Helper'!$L$45:$GI$45,"&gt;="&amp;$BR19,'Tally Helper'!$L$45:$GI$45,"&lt;="&amp;$BS19)))</f>
        <v/>
      </c>
      <c r="AM19" s="15" t="str">
        <f aca="false">IF(OR(Q$7="",$BR19=""),"",IF('Tally Helper'!$B$48&lt;&gt;TRUE(),"not on Staff",SUMIFS('Tally Helper'!$L$50:$GI$50,'Tally Helper'!$L$48:$GI$48,"&gt;="&amp;$BR19,'Tally Helper'!$L$48:$GI$48,"&lt;="&amp;$BS19)))</f>
        <v/>
      </c>
      <c r="AN19" s="15" t="str">
        <f aca="false">IF(OR(R$7="",$BR19=""),"",IF('Tally Helper'!$B$51&lt;&gt;TRUE(),"not on Staff",SUMIFS('Tally Helper'!$L$53:$GI$53,'Tally Helper'!$L$51:$GI$51,"&gt;="&amp;$BR19,'Tally Helper'!$L$51:$GI$51,"&lt;="&amp;$BS19)))</f>
        <v/>
      </c>
      <c r="AO19" s="15" t="str">
        <f aca="false">IF(OR(S$7="",$BR19=""),"",IF('Tally Helper'!$B$54&lt;&gt;TRUE(),"not on Staff",SUMIFS('Tally Helper'!$L$56:$GI$56,'Tally Helper'!$L$54:$GI$54,"&gt;="&amp;$BR19,'Tally Helper'!$L$54:$GI$54,"&lt;="&amp;$BS19)))</f>
        <v/>
      </c>
      <c r="AP19" s="15" t="str">
        <f aca="false">IF(OR(T$7="",$BR19=""),"",IF('Tally Helper'!$B$57&lt;&gt;TRUE(),"not on Staff",SUMIFS('Tally Helper'!$L$59:$GI$59,'Tally Helper'!$L$57:$GI$57,"&gt;="&amp;$BR19,'Tally Helper'!$L$57:$GI$57,"&lt;="&amp;$BS19)))</f>
        <v/>
      </c>
      <c r="AQ19" s="15" t="str">
        <f aca="false">IF(OR(U$7="",$BR19=""),"",IF('Tally Helper'!$B$60&lt;&gt;TRUE(),"not on Staff",SUMIFS('Tally Helper'!$L$62:$GI$62,'Tally Helper'!$L$60:$GI$60,"&gt;="&amp;$BR19,'Tally Helper'!$L$60:$GI$60,"&lt;="&amp;$BS19)))</f>
        <v/>
      </c>
      <c r="AT19" s="15" t="str">
        <f aca="false">IF(OR(X19="",NOT(ISNUMBER(X19))),"",X19-N(B19))</f>
        <v/>
      </c>
      <c r="AU19" s="15" t="str">
        <f aca="false">IF(OR(Y19="",NOT(ISNUMBER(Y19))),"",Y19-N(C19))</f>
        <v/>
      </c>
      <c r="AV19" s="15" t="str">
        <f aca="false">IF(OR(Z19="",NOT(ISNUMBER(Z19))),"",Z19-N(D19))</f>
        <v/>
      </c>
      <c r="AW19" s="15" t="str">
        <f aca="false">IF(OR(AA19="",NOT(ISNUMBER(AA19))),"",AA19-N(E19))</f>
        <v/>
      </c>
      <c r="AX19" s="15" t="str">
        <f aca="false">IF(OR(AB19="",NOT(ISNUMBER(AB19))),"",AB19-N(F19))</f>
        <v/>
      </c>
      <c r="AY19" s="15" t="str">
        <f aca="false">IF(OR(AC19="",NOT(ISNUMBER(AC19))),"",AC19-N(G19))</f>
        <v/>
      </c>
      <c r="AZ19" s="15" t="str">
        <f aca="false">IF(OR(AD19="",NOT(ISNUMBER(AD19))),"",AD19-N(H19))</f>
        <v/>
      </c>
      <c r="BA19" s="15" t="str">
        <f aca="false">IF(OR(AE19="",NOT(ISNUMBER(AE19))),"",AE19-N(I19))</f>
        <v/>
      </c>
      <c r="BB19" s="15" t="str">
        <f aca="false">IF(OR(AF19="",NOT(ISNUMBER(AF19))),"",AF19-N(J19))</f>
        <v/>
      </c>
      <c r="BC19" s="15" t="str">
        <f aca="false">IF(OR(AG19="",NOT(ISNUMBER(AG19))),"",AG19-N(K19))</f>
        <v/>
      </c>
      <c r="BD19" s="15" t="str">
        <f aca="false">IF(OR(AH19="",NOT(ISNUMBER(AH19))),"",AH19-N(L19))</f>
        <v/>
      </c>
      <c r="BE19" s="15" t="str">
        <f aca="false">IF(OR(AI19="",NOT(ISNUMBER(AI19))),"",AI19-N(M19))</f>
        <v/>
      </c>
      <c r="BF19" s="15" t="str">
        <f aca="false">IF(OR(AJ19="",NOT(ISNUMBER(AJ19))),"",AJ19-N(N19))</f>
        <v/>
      </c>
      <c r="BG19" s="15" t="str">
        <f aca="false">IF(OR(AK19="",NOT(ISNUMBER(AK19))),"",AK19-N(O19))</f>
        <v/>
      </c>
      <c r="BH19" s="15" t="str">
        <f aca="false">IF(OR(AL19="",NOT(ISNUMBER(AL19))),"",AL19-N(P19))</f>
        <v/>
      </c>
      <c r="BI19" s="15" t="str">
        <f aca="false">IF(OR(AM19="",NOT(ISNUMBER(AM19))),"",AM19-N(Q19))</f>
        <v/>
      </c>
      <c r="BJ19" s="15" t="str">
        <f aca="false">IF(OR(AN19="",NOT(ISNUMBER(AN19))),"",AN19-N(R19))</f>
        <v/>
      </c>
      <c r="BK19" s="15" t="str">
        <f aca="false">IF(OR(AO19="",NOT(ISNUMBER(AO19))),"",AO19-N(S19))</f>
        <v/>
      </c>
      <c r="BL19" s="15" t="str">
        <f aca="false">IF(OR(AP19="",NOT(ISNUMBER(AP19))),"",AP19-N(T19))</f>
        <v/>
      </c>
      <c r="BM19" s="15" t="str">
        <f aca="false">IF(OR(AQ19="",NOT(ISNUMBER(AQ19))),"",AQ19-N(U19))</f>
        <v/>
      </c>
      <c r="BR19" s="18" t="str">
        <f aca="false">IF($A19="","",IF(ISNUMBER($A19),DATE(YEAR($A19),MONTH($A19),1),IFERROR(DATE(2000+VALUE(RIGHT(TRIM($A19),2)),MATCH(UPPER(LEFT(TRIM($A19),3)),{"JAN","FEB","MAR","APR","MAY","JUN","JUL","AUG","SEP","OCT","NOV","DEC"},0),1),"")))</f>
        <v/>
      </c>
      <c r="BS19" s="18" t="str">
        <f aca="false">IF(BR19="","",EOMONTH(BR19,0))</f>
        <v/>
      </c>
    </row>
    <row r="20" customFormat="false" ht="15" hidden="false" customHeight="false" outlineLevel="0" collapsed="false">
      <c r="B20" s="19"/>
      <c r="C20" s="19"/>
      <c r="D20" s="19"/>
      <c r="E20" s="19"/>
      <c r="F20" s="19"/>
      <c r="G20" s="19"/>
      <c r="H20" s="19"/>
      <c r="I20" s="19"/>
      <c r="J20" s="19"/>
      <c r="K20" s="19"/>
      <c r="L20" s="19"/>
      <c r="M20" s="19"/>
      <c r="N20" s="19"/>
      <c r="O20" s="19"/>
      <c r="P20" s="19"/>
      <c r="Q20" s="19"/>
      <c r="R20" s="19"/>
      <c r="S20" s="19"/>
      <c r="T20" s="19"/>
      <c r="U20" s="19"/>
      <c r="X20" s="15" t="str">
        <f aca="false">IF(OR(B$7="",$BR20=""),"",IF('Tally Helper'!$B$3&lt;&gt;TRUE(),"not on Staff",SUMIFS('Tally Helper'!$L$5:$GI$5,'Tally Helper'!$L$3:$GI$3,"&gt;="&amp;$BR20,'Tally Helper'!$L$3:$GI$3,"&lt;="&amp;$BS20)))</f>
        <v/>
      </c>
      <c r="Y20" s="15" t="str">
        <f aca="false">IF(OR(C$7="",$BR20=""),"",IF('Tally Helper'!$B$6&lt;&gt;TRUE(),"not on Staff",SUMIFS('Tally Helper'!$L$8:$GI$8,'Tally Helper'!$L$6:$GI$6,"&gt;="&amp;$BR20,'Tally Helper'!$L$6:$GI$6,"&lt;="&amp;$BS20)))</f>
        <v/>
      </c>
      <c r="Z20" s="15" t="str">
        <f aca="false">IF(OR(D$7="",$BR20=""),"",IF('Tally Helper'!$B$9&lt;&gt;TRUE(),"not on Staff",SUMIFS('Tally Helper'!$L$11:$GI$11,'Tally Helper'!$L$9:$GI$9,"&gt;="&amp;$BR20,'Tally Helper'!$L$9:$GI$9,"&lt;="&amp;$BS20)))</f>
        <v/>
      </c>
      <c r="AA20" s="15" t="str">
        <f aca="false">IF(OR(E$7="",$BR20=""),"",IF('Tally Helper'!$B$12&lt;&gt;TRUE(),"not on Staff",SUMIFS('Tally Helper'!$L$14:$GI$14,'Tally Helper'!$L$12:$GI$12,"&gt;="&amp;$BR20,'Tally Helper'!$L$12:$GI$12,"&lt;="&amp;$BS20)))</f>
        <v/>
      </c>
      <c r="AB20" s="15" t="str">
        <f aca="false">IF(OR(F$7="",$BR20=""),"",IF('Tally Helper'!$B$15&lt;&gt;TRUE(),"not on Staff",SUMIFS('Tally Helper'!$L$17:$GI$17,'Tally Helper'!$L$15:$GI$15,"&gt;="&amp;$BR20,'Tally Helper'!$L$15:$GI$15,"&lt;="&amp;$BS20)))</f>
        <v/>
      </c>
      <c r="AC20" s="15" t="str">
        <f aca="false">IF(OR(G$7="",$BR20=""),"",IF('Tally Helper'!$B$18&lt;&gt;TRUE(),"not on Staff",SUMIFS('Tally Helper'!$L$20:$GI$20,'Tally Helper'!$L$18:$GI$18,"&gt;="&amp;$BR20,'Tally Helper'!$L$18:$GI$18,"&lt;="&amp;$BS20)))</f>
        <v/>
      </c>
      <c r="AD20" s="15" t="str">
        <f aca="false">IF(OR(H$7="",$BR20=""),"",IF('Tally Helper'!$B$21&lt;&gt;TRUE(),"not on Staff",SUMIFS('Tally Helper'!$L$23:$GI$23,'Tally Helper'!$L$21:$GI$21,"&gt;="&amp;$BR20,'Tally Helper'!$L$21:$GI$21,"&lt;="&amp;$BS20)))</f>
        <v/>
      </c>
      <c r="AE20" s="15" t="str">
        <f aca="false">IF(OR(I$7="",$BR20=""),"",IF('Tally Helper'!$B$24&lt;&gt;TRUE(),"not on Staff",SUMIFS('Tally Helper'!$L$26:$GI$26,'Tally Helper'!$L$24:$GI$24,"&gt;="&amp;$BR20,'Tally Helper'!$L$24:$GI$24,"&lt;="&amp;$BS20)))</f>
        <v/>
      </c>
      <c r="AF20" s="15" t="str">
        <f aca="false">IF(OR(J$7="",$BR20=""),"",IF('Tally Helper'!$B$27&lt;&gt;TRUE(),"not on Staff",SUMIFS('Tally Helper'!$L$29:$GI$29,'Tally Helper'!$L$27:$GI$27,"&gt;="&amp;$BR20,'Tally Helper'!$L$27:$GI$27,"&lt;="&amp;$BS20)))</f>
        <v/>
      </c>
      <c r="AG20" s="15" t="str">
        <f aca="false">IF(OR(K$7="",$BR20=""),"",IF('Tally Helper'!$B$30&lt;&gt;TRUE(),"not on Staff",SUMIFS('Tally Helper'!$L$32:$GI$32,'Tally Helper'!$L$30:$GI$30,"&gt;="&amp;$BR20,'Tally Helper'!$L$30:$GI$30,"&lt;="&amp;$BS20)))</f>
        <v/>
      </c>
      <c r="AH20" s="15" t="str">
        <f aca="false">IF(OR(L$7="",$BR20=""),"",IF('Tally Helper'!$B$33&lt;&gt;TRUE(),"not on Staff",SUMIFS('Tally Helper'!$L$35:$GI$35,'Tally Helper'!$L$33:$GI$33,"&gt;="&amp;$BR20,'Tally Helper'!$L$33:$GI$33,"&lt;="&amp;$BS20)))</f>
        <v/>
      </c>
      <c r="AI20" s="15" t="str">
        <f aca="false">IF(OR(M$7="",$BR20=""),"",IF('Tally Helper'!$B$36&lt;&gt;TRUE(),"not on Staff",SUMIFS('Tally Helper'!$L$38:$GI$38,'Tally Helper'!$L$36:$GI$36,"&gt;="&amp;$BR20,'Tally Helper'!$L$36:$GI$36,"&lt;="&amp;$BS20)))</f>
        <v/>
      </c>
      <c r="AJ20" s="15" t="str">
        <f aca="false">IF(OR(N$7="",$BR20=""),"",IF('Tally Helper'!$B$39&lt;&gt;TRUE(),"not on Staff",SUMIFS('Tally Helper'!$L$41:$GI$41,'Tally Helper'!$L$39:$GI$39,"&gt;="&amp;$BR20,'Tally Helper'!$L$39:$GI$39,"&lt;="&amp;$BS20)))</f>
        <v/>
      </c>
      <c r="AK20" s="15" t="str">
        <f aca="false">IF(OR(O$7="",$BR20=""),"",IF('Tally Helper'!$B$42&lt;&gt;TRUE(),"not on Staff",SUMIFS('Tally Helper'!$L$44:$GI$44,'Tally Helper'!$L$42:$GI$42,"&gt;="&amp;$BR20,'Tally Helper'!$L$42:$GI$42,"&lt;="&amp;$BS20)))</f>
        <v/>
      </c>
      <c r="AL20" s="15" t="str">
        <f aca="false">IF(OR(P$7="",$BR20=""),"",IF('Tally Helper'!$B$45&lt;&gt;TRUE(),"not on Staff",SUMIFS('Tally Helper'!$L$47:$GI$47,'Tally Helper'!$L$45:$GI$45,"&gt;="&amp;$BR20,'Tally Helper'!$L$45:$GI$45,"&lt;="&amp;$BS20)))</f>
        <v/>
      </c>
      <c r="AM20" s="15" t="str">
        <f aca="false">IF(OR(Q$7="",$BR20=""),"",IF('Tally Helper'!$B$48&lt;&gt;TRUE(),"not on Staff",SUMIFS('Tally Helper'!$L$50:$GI$50,'Tally Helper'!$L$48:$GI$48,"&gt;="&amp;$BR20,'Tally Helper'!$L$48:$GI$48,"&lt;="&amp;$BS20)))</f>
        <v/>
      </c>
      <c r="AN20" s="15" t="str">
        <f aca="false">IF(OR(R$7="",$BR20=""),"",IF('Tally Helper'!$B$51&lt;&gt;TRUE(),"not on Staff",SUMIFS('Tally Helper'!$L$53:$GI$53,'Tally Helper'!$L$51:$GI$51,"&gt;="&amp;$BR20,'Tally Helper'!$L$51:$GI$51,"&lt;="&amp;$BS20)))</f>
        <v/>
      </c>
      <c r="AO20" s="15" t="str">
        <f aca="false">IF(OR(S$7="",$BR20=""),"",IF('Tally Helper'!$B$54&lt;&gt;TRUE(),"not on Staff",SUMIFS('Tally Helper'!$L$56:$GI$56,'Tally Helper'!$L$54:$GI$54,"&gt;="&amp;$BR20,'Tally Helper'!$L$54:$GI$54,"&lt;="&amp;$BS20)))</f>
        <v/>
      </c>
      <c r="AP20" s="15" t="str">
        <f aca="false">IF(OR(T$7="",$BR20=""),"",IF('Tally Helper'!$B$57&lt;&gt;TRUE(),"not on Staff",SUMIFS('Tally Helper'!$L$59:$GI$59,'Tally Helper'!$L$57:$GI$57,"&gt;="&amp;$BR20,'Tally Helper'!$L$57:$GI$57,"&lt;="&amp;$BS20)))</f>
        <v/>
      </c>
      <c r="AQ20" s="15" t="str">
        <f aca="false">IF(OR(U$7="",$BR20=""),"",IF('Tally Helper'!$B$60&lt;&gt;TRUE(),"not on Staff",SUMIFS('Tally Helper'!$L$62:$GI$62,'Tally Helper'!$L$60:$GI$60,"&gt;="&amp;$BR20,'Tally Helper'!$L$60:$GI$60,"&lt;="&amp;$BS20)))</f>
        <v/>
      </c>
      <c r="AT20" s="15" t="str">
        <f aca="false">IF(OR(X20="",NOT(ISNUMBER(X20))),"",X20-N(B20))</f>
        <v/>
      </c>
      <c r="AU20" s="15" t="str">
        <f aca="false">IF(OR(Y20="",NOT(ISNUMBER(Y20))),"",Y20-N(C20))</f>
        <v/>
      </c>
      <c r="AV20" s="15" t="str">
        <f aca="false">IF(OR(Z20="",NOT(ISNUMBER(Z20))),"",Z20-N(D20))</f>
        <v/>
      </c>
      <c r="AW20" s="15" t="str">
        <f aca="false">IF(OR(AA20="",NOT(ISNUMBER(AA20))),"",AA20-N(E20))</f>
        <v/>
      </c>
      <c r="AX20" s="15" t="str">
        <f aca="false">IF(OR(AB20="",NOT(ISNUMBER(AB20))),"",AB20-N(F20))</f>
        <v/>
      </c>
      <c r="AY20" s="15" t="str">
        <f aca="false">IF(OR(AC20="",NOT(ISNUMBER(AC20))),"",AC20-N(G20))</f>
        <v/>
      </c>
      <c r="AZ20" s="15" t="str">
        <f aca="false">IF(OR(AD20="",NOT(ISNUMBER(AD20))),"",AD20-N(H20))</f>
        <v/>
      </c>
      <c r="BA20" s="15" t="str">
        <f aca="false">IF(OR(AE20="",NOT(ISNUMBER(AE20))),"",AE20-N(I20))</f>
        <v/>
      </c>
      <c r="BB20" s="15" t="str">
        <f aca="false">IF(OR(AF20="",NOT(ISNUMBER(AF20))),"",AF20-N(J20))</f>
        <v/>
      </c>
      <c r="BC20" s="15" t="str">
        <f aca="false">IF(OR(AG20="",NOT(ISNUMBER(AG20))),"",AG20-N(K20))</f>
        <v/>
      </c>
      <c r="BD20" s="15" t="str">
        <f aca="false">IF(OR(AH20="",NOT(ISNUMBER(AH20))),"",AH20-N(L20))</f>
        <v/>
      </c>
      <c r="BE20" s="15" t="str">
        <f aca="false">IF(OR(AI20="",NOT(ISNUMBER(AI20))),"",AI20-N(M20))</f>
        <v/>
      </c>
      <c r="BF20" s="15" t="str">
        <f aca="false">IF(OR(AJ20="",NOT(ISNUMBER(AJ20))),"",AJ20-N(N20))</f>
        <v/>
      </c>
      <c r="BG20" s="15" t="str">
        <f aca="false">IF(OR(AK20="",NOT(ISNUMBER(AK20))),"",AK20-N(O20))</f>
        <v/>
      </c>
      <c r="BH20" s="15" t="str">
        <f aca="false">IF(OR(AL20="",NOT(ISNUMBER(AL20))),"",AL20-N(P20))</f>
        <v/>
      </c>
      <c r="BI20" s="15" t="str">
        <f aca="false">IF(OR(AM20="",NOT(ISNUMBER(AM20))),"",AM20-N(Q20))</f>
        <v/>
      </c>
      <c r="BJ20" s="15" t="str">
        <f aca="false">IF(OR(AN20="",NOT(ISNUMBER(AN20))),"",AN20-N(R20))</f>
        <v/>
      </c>
      <c r="BK20" s="15" t="str">
        <f aca="false">IF(OR(AO20="",NOT(ISNUMBER(AO20))),"",AO20-N(S20))</f>
        <v/>
      </c>
      <c r="BL20" s="15" t="str">
        <f aca="false">IF(OR(AP20="",NOT(ISNUMBER(AP20))),"",AP20-N(T20))</f>
        <v/>
      </c>
      <c r="BM20" s="15" t="str">
        <f aca="false">IF(OR(AQ20="",NOT(ISNUMBER(AQ20))),"",AQ20-N(U20))</f>
        <v/>
      </c>
      <c r="BR20" s="18" t="str">
        <f aca="false">IF($A20="","",IF(ISNUMBER($A20),DATE(YEAR($A20),MONTH($A20),1),IFERROR(DATE(2000+VALUE(RIGHT(TRIM($A20),2)),MATCH(UPPER(LEFT(TRIM($A20),3)),{"JAN","FEB","MAR","APR","MAY","JUN","JUL","AUG","SEP","OCT","NOV","DEC"},0),1),"")))</f>
        <v/>
      </c>
      <c r="BS20" s="18" t="str">
        <f aca="false">IF(BR20="","",EOMONTH(BR20,0))</f>
        <v/>
      </c>
    </row>
    <row r="21" customFormat="false" ht="15" hidden="false" customHeight="false" outlineLevel="0" collapsed="false">
      <c r="B21" s="19"/>
      <c r="C21" s="19"/>
      <c r="D21" s="19"/>
      <c r="E21" s="19"/>
      <c r="F21" s="19"/>
      <c r="G21" s="19"/>
      <c r="H21" s="19"/>
      <c r="I21" s="19"/>
      <c r="J21" s="19"/>
      <c r="K21" s="19"/>
      <c r="L21" s="19"/>
      <c r="M21" s="19"/>
      <c r="N21" s="19"/>
      <c r="O21" s="19"/>
      <c r="P21" s="19"/>
      <c r="Q21" s="19"/>
      <c r="R21" s="19"/>
      <c r="S21" s="19"/>
      <c r="T21" s="19"/>
      <c r="U21" s="19"/>
      <c r="X21" s="15" t="str">
        <f aca="false">IF(OR(B$7="",$BR21=""),"",IF('Tally Helper'!$B$3&lt;&gt;TRUE(),"not on Staff",SUMIFS('Tally Helper'!$L$5:$GI$5,'Tally Helper'!$L$3:$GI$3,"&gt;="&amp;$BR21,'Tally Helper'!$L$3:$GI$3,"&lt;="&amp;$BS21)))</f>
        <v/>
      </c>
      <c r="Y21" s="15" t="str">
        <f aca="false">IF(OR(C$7="",$BR21=""),"",IF('Tally Helper'!$B$6&lt;&gt;TRUE(),"not on Staff",SUMIFS('Tally Helper'!$L$8:$GI$8,'Tally Helper'!$L$6:$GI$6,"&gt;="&amp;$BR21,'Tally Helper'!$L$6:$GI$6,"&lt;="&amp;$BS21)))</f>
        <v/>
      </c>
      <c r="Z21" s="15" t="str">
        <f aca="false">IF(OR(D$7="",$BR21=""),"",IF('Tally Helper'!$B$9&lt;&gt;TRUE(),"not on Staff",SUMIFS('Tally Helper'!$L$11:$GI$11,'Tally Helper'!$L$9:$GI$9,"&gt;="&amp;$BR21,'Tally Helper'!$L$9:$GI$9,"&lt;="&amp;$BS21)))</f>
        <v/>
      </c>
      <c r="AA21" s="15" t="str">
        <f aca="false">IF(OR(E$7="",$BR21=""),"",IF('Tally Helper'!$B$12&lt;&gt;TRUE(),"not on Staff",SUMIFS('Tally Helper'!$L$14:$GI$14,'Tally Helper'!$L$12:$GI$12,"&gt;="&amp;$BR21,'Tally Helper'!$L$12:$GI$12,"&lt;="&amp;$BS21)))</f>
        <v/>
      </c>
      <c r="AB21" s="15" t="str">
        <f aca="false">IF(OR(F$7="",$BR21=""),"",IF('Tally Helper'!$B$15&lt;&gt;TRUE(),"not on Staff",SUMIFS('Tally Helper'!$L$17:$GI$17,'Tally Helper'!$L$15:$GI$15,"&gt;="&amp;$BR21,'Tally Helper'!$L$15:$GI$15,"&lt;="&amp;$BS21)))</f>
        <v/>
      </c>
      <c r="AC21" s="15" t="str">
        <f aca="false">IF(OR(G$7="",$BR21=""),"",IF('Tally Helper'!$B$18&lt;&gt;TRUE(),"not on Staff",SUMIFS('Tally Helper'!$L$20:$GI$20,'Tally Helper'!$L$18:$GI$18,"&gt;="&amp;$BR21,'Tally Helper'!$L$18:$GI$18,"&lt;="&amp;$BS21)))</f>
        <v/>
      </c>
      <c r="AD21" s="15" t="str">
        <f aca="false">IF(OR(H$7="",$BR21=""),"",IF('Tally Helper'!$B$21&lt;&gt;TRUE(),"not on Staff",SUMIFS('Tally Helper'!$L$23:$GI$23,'Tally Helper'!$L$21:$GI$21,"&gt;="&amp;$BR21,'Tally Helper'!$L$21:$GI$21,"&lt;="&amp;$BS21)))</f>
        <v/>
      </c>
      <c r="AE21" s="15" t="str">
        <f aca="false">IF(OR(I$7="",$BR21=""),"",IF('Tally Helper'!$B$24&lt;&gt;TRUE(),"not on Staff",SUMIFS('Tally Helper'!$L$26:$GI$26,'Tally Helper'!$L$24:$GI$24,"&gt;="&amp;$BR21,'Tally Helper'!$L$24:$GI$24,"&lt;="&amp;$BS21)))</f>
        <v/>
      </c>
      <c r="AF21" s="15" t="str">
        <f aca="false">IF(OR(J$7="",$BR21=""),"",IF('Tally Helper'!$B$27&lt;&gt;TRUE(),"not on Staff",SUMIFS('Tally Helper'!$L$29:$GI$29,'Tally Helper'!$L$27:$GI$27,"&gt;="&amp;$BR21,'Tally Helper'!$L$27:$GI$27,"&lt;="&amp;$BS21)))</f>
        <v/>
      </c>
      <c r="AG21" s="15" t="str">
        <f aca="false">IF(OR(K$7="",$BR21=""),"",IF('Tally Helper'!$B$30&lt;&gt;TRUE(),"not on Staff",SUMIFS('Tally Helper'!$L$32:$GI$32,'Tally Helper'!$L$30:$GI$30,"&gt;="&amp;$BR21,'Tally Helper'!$L$30:$GI$30,"&lt;="&amp;$BS21)))</f>
        <v/>
      </c>
      <c r="AH21" s="15" t="str">
        <f aca="false">IF(OR(L$7="",$BR21=""),"",IF('Tally Helper'!$B$33&lt;&gt;TRUE(),"not on Staff",SUMIFS('Tally Helper'!$L$35:$GI$35,'Tally Helper'!$L$33:$GI$33,"&gt;="&amp;$BR21,'Tally Helper'!$L$33:$GI$33,"&lt;="&amp;$BS21)))</f>
        <v/>
      </c>
      <c r="AI21" s="15" t="str">
        <f aca="false">IF(OR(M$7="",$BR21=""),"",IF('Tally Helper'!$B$36&lt;&gt;TRUE(),"not on Staff",SUMIFS('Tally Helper'!$L$38:$GI$38,'Tally Helper'!$L$36:$GI$36,"&gt;="&amp;$BR21,'Tally Helper'!$L$36:$GI$36,"&lt;="&amp;$BS21)))</f>
        <v/>
      </c>
      <c r="AJ21" s="15" t="str">
        <f aca="false">IF(OR(N$7="",$BR21=""),"",IF('Tally Helper'!$B$39&lt;&gt;TRUE(),"not on Staff",SUMIFS('Tally Helper'!$L$41:$GI$41,'Tally Helper'!$L$39:$GI$39,"&gt;="&amp;$BR21,'Tally Helper'!$L$39:$GI$39,"&lt;="&amp;$BS21)))</f>
        <v/>
      </c>
      <c r="AK21" s="15" t="str">
        <f aca="false">IF(OR(O$7="",$BR21=""),"",IF('Tally Helper'!$B$42&lt;&gt;TRUE(),"not on Staff",SUMIFS('Tally Helper'!$L$44:$GI$44,'Tally Helper'!$L$42:$GI$42,"&gt;="&amp;$BR21,'Tally Helper'!$L$42:$GI$42,"&lt;="&amp;$BS21)))</f>
        <v/>
      </c>
      <c r="AL21" s="15" t="str">
        <f aca="false">IF(OR(P$7="",$BR21=""),"",IF('Tally Helper'!$B$45&lt;&gt;TRUE(),"not on Staff",SUMIFS('Tally Helper'!$L$47:$GI$47,'Tally Helper'!$L$45:$GI$45,"&gt;="&amp;$BR21,'Tally Helper'!$L$45:$GI$45,"&lt;="&amp;$BS21)))</f>
        <v/>
      </c>
      <c r="AM21" s="15" t="str">
        <f aca="false">IF(OR(Q$7="",$BR21=""),"",IF('Tally Helper'!$B$48&lt;&gt;TRUE(),"not on Staff",SUMIFS('Tally Helper'!$L$50:$GI$50,'Tally Helper'!$L$48:$GI$48,"&gt;="&amp;$BR21,'Tally Helper'!$L$48:$GI$48,"&lt;="&amp;$BS21)))</f>
        <v/>
      </c>
      <c r="AN21" s="15" t="str">
        <f aca="false">IF(OR(R$7="",$BR21=""),"",IF('Tally Helper'!$B$51&lt;&gt;TRUE(),"not on Staff",SUMIFS('Tally Helper'!$L$53:$GI$53,'Tally Helper'!$L$51:$GI$51,"&gt;="&amp;$BR21,'Tally Helper'!$L$51:$GI$51,"&lt;="&amp;$BS21)))</f>
        <v/>
      </c>
      <c r="AO21" s="15" t="str">
        <f aca="false">IF(OR(S$7="",$BR21=""),"",IF('Tally Helper'!$B$54&lt;&gt;TRUE(),"not on Staff",SUMIFS('Tally Helper'!$L$56:$GI$56,'Tally Helper'!$L$54:$GI$54,"&gt;="&amp;$BR21,'Tally Helper'!$L$54:$GI$54,"&lt;="&amp;$BS21)))</f>
        <v/>
      </c>
      <c r="AP21" s="15" t="str">
        <f aca="false">IF(OR(T$7="",$BR21=""),"",IF('Tally Helper'!$B$57&lt;&gt;TRUE(),"not on Staff",SUMIFS('Tally Helper'!$L$59:$GI$59,'Tally Helper'!$L$57:$GI$57,"&gt;="&amp;$BR21,'Tally Helper'!$L$57:$GI$57,"&lt;="&amp;$BS21)))</f>
        <v/>
      </c>
      <c r="AQ21" s="15" t="str">
        <f aca="false">IF(OR(U$7="",$BR21=""),"",IF('Tally Helper'!$B$60&lt;&gt;TRUE(),"not on Staff",SUMIFS('Tally Helper'!$L$62:$GI$62,'Tally Helper'!$L$60:$GI$60,"&gt;="&amp;$BR21,'Tally Helper'!$L$60:$GI$60,"&lt;="&amp;$BS21)))</f>
        <v/>
      </c>
      <c r="AT21" s="15" t="str">
        <f aca="false">IF(OR(X21="",NOT(ISNUMBER(X21))),"",X21-N(B21))</f>
        <v/>
      </c>
      <c r="AU21" s="15" t="str">
        <f aca="false">IF(OR(Y21="",NOT(ISNUMBER(Y21))),"",Y21-N(C21))</f>
        <v/>
      </c>
      <c r="AV21" s="15" t="str">
        <f aca="false">IF(OR(Z21="",NOT(ISNUMBER(Z21))),"",Z21-N(D21))</f>
        <v/>
      </c>
      <c r="AW21" s="15" t="str">
        <f aca="false">IF(OR(AA21="",NOT(ISNUMBER(AA21))),"",AA21-N(E21))</f>
        <v/>
      </c>
      <c r="AX21" s="15" t="str">
        <f aca="false">IF(OR(AB21="",NOT(ISNUMBER(AB21))),"",AB21-N(F21))</f>
        <v/>
      </c>
      <c r="AY21" s="15" t="str">
        <f aca="false">IF(OR(AC21="",NOT(ISNUMBER(AC21))),"",AC21-N(G21))</f>
        <v/>
      </c>
      <c r="AZ21" s="15" t="str">
        <f aca="false">IF(OR(AD21="",NOT(ISNUMBER(AD21))),"",AD21-N(H21))</f>
        <v/>
      </c>
      <c r="BA21" s="15" t="str">
        <f aca="false">IF(OR(AE21="",NOT(ISNUMBER(AE21))),"",AE21-N(I21))</f>
        <v/>
      </c>
      <c r="BB21" s="15" t="str">
        <f aca="false">IF(OR(AF21="",NOT(ISNUMBER(AF21))),"",AF21-N(J21))</f>
        <v/>
      </c>
      <c r="BC21" s="15" t="str">
        <f aca="false">IF(OR(AG21="",NOT(ISNUMBER(AG21))),"",AG21-N(K21))</f>
        <v/>
      </c>
      <c r="BD21" s="15" t="str">
        <f aca="false">IF(OR(AH21="",NOT(ISNUMBER(AH21))),"",AH21-N(L21))</f>
        <v/>
      </c>
      <c r="BE21" s="15" t="str">
        <f aca="false">IF(OR(AI21="",NOT(ISNUMBER(AI21))),"",AI21-N(M21))</f>
        <v/>
      </c>
      <c r="BF21" s="15" t="str">
        <f aca="false">IF(OR(AJ21="",NOT(ISNUMBER(AJ21))),"",AJ21-N(N21))</f>
        <v/>
      </c>
      <c r="BG21" s="15" t="str">
        <f aca="false">IF(OR(AK21="",NOT(ISNUMBER(AK21))),"",AK21-N(O21))</f>
        <v/>
      </c>
      <c r="BH21" s="15" t="str">
        <f aca="false">IF(OR(AL21="",NOT(ISNUMBER(AL21))),"",AL21-N(P21))</f>
        <v/>
      </c>
      <c r="BI21" s="15" t="str">
        <f aca="false">IF(OR(AM21="",NOT(ISNUMBER(AM21))),"",AM21-N(Q21))</f>
        <v/>
      </c>
      <c r="BJ21" s="15" t="str">
        <f aca="false">IF(OR(AN21="",NOT(ISNUMBER(AN21))),"",AN21-N(R21))</f>
        <v/>
      </c>
      <c r="BK21" s="15" t="str">
        <f aca="false">IF(OR(AO21="",NOT(ISNUMBER(AO21))),"",AO21-N(S21))</f>
        <v/>
      </c>
      <c r="BL21" s="15" t="str">
        <f aca="false">IF(OR(AP21="",NOT(ISNUMBER(AP21))),"",AP21-N(T21))</f>
        <v/>
      </c>
      <c r="BM21" s="15" t="str">
        <f aca="false">IF(OR(AQ21="",NOT(ISNUMBER(AQ21))),"",AQ21-N(U21))</f>
        <v/>
      </c>
      <c r="BR21" s="18" t="str">
        <f aca="false">IF($A21="","",IF(ISNUMBER($A21),DATE(YEAR($A21),MONTH($A21),1),IFERROR(DATE(2000+VALUE(RIGHT(TRIM($A21),2)),MATCH(UPPER(LEFT(TRIM($A21),3)),{"JAN","FEB","MAR","APR","MAY","JUN","JUL","AUG","SEP","OCT","NOV","DEC"},0),1),"")))</f>
        <v/>
      </c>
      <c r="BS21" s="18" t="str">
        <f aca="false">IF(BR21="","",EOMONTH(BR21,0))</f>
        <v/>
      </c>
    </row>
    <row r="22" customFormat="false" ht="15" hidden="false" customHeight="false" outlineLevel="0" collapsed="false">
      <c r="B22" s="19"/>
      <c r="C22" s="19"/>
      <c r="D22" s="19"/>
      <c r="E22" s="19"/>
      <c r="F22" s="19"/>
      <c r="G22" s="19"/>
      <c r="H22" s="19"/>
      <c r="I22" s="19"/>
      <c r="J22" s="19"/>
      <c r="K22" s="19"/>
      <c r="L22" s="19"/>
      <c r="M22" s="19"/>
      <c r="N22" s="19"/>
      <c r="O22" s="19"/>
      <c r="P22" s="19"/>
      <c r="Q22" s="19"/>
      <c r="R22" s="19"/>
      <c r="S22" s="19"/>
      <c r="T22" s="19"/>
      <c r="U22" s="19"/>
      <c r="X22" s="15" t="str">
        <f aca="false">IF(OR(B$7="",$BR22=""),"",IF('Tally Helper'!$B$3&lt;&gt;TRUE(),"not on Staff",SUMIFS('Tally Helper'!$L$5:$GI$5,'Tally Helper'!$L$3:$GI$3,"&gt;="&amp;$BR22,'Tally Helper'!$L$3:$GI$3,"&lt;="&amp;$BS22)))</f>
        <v/>
      </c>
      <c r="Y22" s="15" t="str">
        <f aca="false">IF(OR(C$7="",$BR22=""),"",IF('Tally Helper'!$B$6&lt;&gt;TRUE(),"not on Staff",SUMIFS('Tally Helper'!$L$8:$GI$8,'Tally Helper'!$L$6:$GI$6,"&gt;="&amp;$BR22,'Tally Helper'!$L$6:$GI$6,"&lt;="&amp;$BS22)))</f>
        <v/>
      </c>
      <c r="Z22" s="15" t="str">
        <f aca="false">IF(OR(D$7="",$BR22=""),"",IF('Tally Helper'!$B$9&lt;&gt;TRUE(),"not on Staff",SUMIFS('Tally Helper'!$L$11:$GI$11,'Tally Helper'!$L$9:$GI$9,"&gt;="&amp;$BR22,'Tally Helper'!$L$9:$GI$9,"&lt;="&amp;$BS22)))</f>
        <v/>
      </c>
      <c r="AA22" s="15" t="str">
        <f aca="false">IF(OR(E$7="",$BR22=""),"",IF('Tally Helper'!$B$12&lt;&gt;TRUE(),"not on Staff",SUMIFS('Tally Helper'!$L$14:$GI$14,'Tally Helper'!$L$12:$GI$12,"&gt;="&amp;$BR22,'Tally Helper'!$L$12:$GI$12,"&lt;="&amp;$BS22)))</f>
        <v/>
      </c>
      <c r="AB22" s="15" t="str">
        <f aca="false">IF(OR(F$7="",$BR22=""),"",IF('Tally Helper'!$B$15&lt;&gt;TRUE(),"not on Staff",SUMIFS('Tally Helper'!$L$17:$GI$17,'Tally Helper'!$L$15:$GI$15,"&gt;="&amp;$BR22,'Tally Helper'!$L$15:$GI$15,"&lt;="&amp;$BS22)))</f>
        <v/>
      </c>
      <c r="AC22" s="15" t="str">
        <f aca="false">IF(OR(G$7="",$BR22=""),"",IF('Tally Helper'!$B$18&lt;&gt;TRUE(),"not on Staff",SUMIFS('Tally Helper'!$L$20:$GI$20,'Tally Helper'!$L$18:$GI$18,"&gt;="&amp;$BR22,'Tally Helper'!$L$18:$GI$18,"&lt;="&amp;$BS22)))</f>
        <v/>
      </c>
      <c r="AD22" s="15" t="str">
        <f aca="false">IF(OR(H$7="",$BR22=""),"",IF('Tally Helper'!$B$21&lt;&gt;TRUE(),"not on Staff",SUMIFS('Tally Helper'!$L$23:$GI$23,'Tally Helper'!$L$21:$GI$21,"&gt;="&amp;$BR22,'Tally Helper'!$L$21:$GI$21,"&lt;="&amp;$BS22)))</f>
        <v/>
      </c>
      <c r="AE22" s="15" t="str">
        <f aca="false">IF(OR(I$7="",$BR22=""),"",IF('Tally Helper'!$B$24&lt;&gt;TRUE(),"not on Staff",SUMIFS('Tally Helper'!$L$26:$GI$26,'Tally Helper'!$L$24:$GI$24,"&gt;="&amp;$BR22,'Tally Helper'!$L$24:$GI$24,"&lt;="&amp;$BS22)))</f>
        <v/>
      </c>
      <c r="AF22" s="15" t="str">
        <f aca="false">IF(OR(J$7="",$BR22=""),"",IF('Tally Helper'!$B$27&lt;&gt;TRUE(),"not on Staff",SUMIFS('Tally Helper'!$L$29:$GI$29,'Tally Helper'!$L$27:$GI$27,"&gt;="&amp;$BR22,'Tally Helper'!$L$27:$GI$27,"&lt;="&amp;$BS22)))</f>
        <v/>
      </c>
      <c r="AG22" s="15" t="str">
        <f aca="false">IF(OR(K$7="",$BR22=""),"",IF('Tally Helper'!$B$30&lt;&gt;TRUE(),"not on Staff",SUMIFS('Tally Helper'!$L$32:$GI$32,'Tally Helper'!$L$30:$GI$30,"&gt;="&amp;$BR22,'Tally Helper'!$L$30:$GI$30,"&lt;="&amp;$BS22)))</f>
        <v/>
      </c>
      <c r="AH22" s="15" t="str">
        <f aca="false">IF(OR(L$7="",$BR22=""),"",IF('Tally Helper'!$B$33&lt;&gt;TRUE(),"not on Staff",SUMIFS('Tally Helper'!$L$35:$GI$35,'Tally Helper'!$L$33:$GI$33,"&gt;="&amp;$BR22,'Tally Helper'!$L$33:$GI$33,"&lt;="&amp;$BS22)))</f>
        <v/>
      </c>
      <c r="AI22" s="15" t="str">
        <f aca="false">IF(OR(M$7="",$BR22=""),"",IF('Tally Helper'!$B$36&lt;&gt;TRUE(),"not on Staff",SUMIFS('Tally Helper'!$L$38:$GI$38,'Tally Helper'!$L$36:$GI$36,"&gt;="&amp;$BR22,'Tally Helper'!$L$36:$GI$36,"&lt;="&amp;$BS22)))</f>
        <v/>
      </c>
      <c r="AJ22" s="15" t="str">
        <f aca="false">IF(OR(N$7="",$BR22=""),"",IF('Tally Helper'!$B$39&lt;&gt;TRUE(),"not on Staff",SUMIFS('Tally Helper'!$L$41:$GI$41,'Tally Helper'!$L$39:$GI$39,"&gt;="&amp;$BR22,'Tally Helper'!$L$39:$GI$39,"&lt;="&amp;$BS22)))</f>
        <v/>
      </c>
      <c r="AK22" s="15" t="str">
        <f aca="false">IF(OR(O$7="",$BR22=""),"",IF('Tally Helper'!$B$42&lt;&gt;TRUE(),"not on Staff",SUMIFS('Tally Helper'!$L$44:$GI$44,'Tally Helper'!$L$42:$GI$42,"&gt;="&amp;$BR22,'Tally Helper'!$L$42:$GI$42,"&lt;="&amp;$BS22)))</f>
        <v/>
      </c>
      <c r="AL22" s="15" t="str">
        <f aca="false">IF(OR(P$7="",$BR22=""),"",IF('Tally Helper'!$B$45&lt;&gt;TRUE(),"not on Staff",SUMIFS('Tally Helper'!$L$47:$GI$47,'Tally Helper'!$L$45:$GI$45,"&gt;="&amp;$BR22,'Tally Helper'!$L$45:$GI$45,"&lt;="&amp;$BS22)))</f>
        <v/>
      </c>
      <c r="AM22" s="15" t="str">
        <f aca="false">IF(OR(Q$7="",$BR22=""),"",IF('Tally Helper'!$B$48&lt;&gt;TRUE(),"not on Staff",SUMIFS('Tally Helper'!$L$50:$GI$50,'Tally Helper'!$L$48:$GI$48,"&gt;="&amp;$BR22,'Tally Helper'!$L$48:$GI$48,"&lt;="&amp;$BS22)))</f>
        <v/>
      </c>
      <c r="AN22" s="15" t="str">
        <f aca="false">IF(OR(R$7="",$BR22=""),"",IF('Tally Helper'!$B$51&lt;&gt;TRUE(),"not on Staff",SUMIFS('Tally Helper'!$L$53:$GI$53,'Tally Helper'!$L$51:$GI$51,"&gt;="&amp;$BR22,'Tally Helper'!$L$51:$GI$51,"&lt;="&amp;$BS22)))</f>
        <v/>
      </c>
      <c r="AO22" s="15" t="str">
        <f aca="false">IF(OR(S$7="",$BR22=""),"",IF('Tally Helper'!$B$54&lt;&gt;TRUE(),"not on Staff",SUMIFS('Tally Helper'!$L$56:$GI$56,'Tally Helper'!$L$54:$GI$54,"&gt;="&amp;$BR22,'Tally Helper'!$L$54:$GI$54,"&lt;="&amp;$BS22)))</f>
        <v/>
      </c>
      <c r="AP22" s="15" t="str">
        <f aca="false">IF(OR(T$7="",$BR22=""),"",IF('Tally Helper'!$B$57&lt;&gt;TRUE(),"not on Staff",SUMIFS('Tally Helper'!$L$59:$GI$59,'Tally Helper'!$L$57:$GI$57,"&gt;="&amp;$BR22,'Tally Helper'!$L$57:$GI$57,"&lt;="&amp;$BS22)))</f>
        <v/>
      </c>
      <c r="AQ22" s="15" t="str">
        <f aca="false">IF(OR(U$7="",$BR22=""),"",IF('Tally Helper'!$B$60&lt;&gt;TRUE(),"not on Staff",SUMIFS('Tally Helper'!$L$62:$GI$62,'Tally Helper'!$L$60:$GI$60,"&gt;="&amp;$BR22,'Tally Helper'!$L$60:$GI$60,"&lt;="&amp;$BS22)))</f>
        <v/>
      </c>
      <c r="AT22" s="15" t="str">
        <f aca="false">IF(OR(X22="",NOT(ISNUMBER(X22))),"",X22-N(B22))</f>
        <v/>
      </c>
      <c r="AU22" s="15" t="str">
        <f aca="false">IF(OR(Y22="",NOT(ISNUMBER(Y22))),"",Y22-N(C22))</f>
        <v/>
      </c>
      <c r="AV22" s="15" t="str">
        <f aca="false">IF(OR(Z22="",NOT(ISNUMBER(Z22))),"",Z22-N(D22))</f>
        <v/>
      </c>
      <c r="AW22" s="15" t="str">
        <f aca="false">IF(OR(AA22="",NOT(ISNUMBER(AA22))),"",AA22-N(E22))</f>
        <v/>
      </c>
      <c r="AX22" s="15" t="str">
        <f aca="false">IF(OR(AB22="",NOT(ISNUMBER(AB22))),"",AB22-N(F22))</f>
        <v/>
      </c>
      <c r="AY22" s="15" t="str">
        <f aca="false">IF(OR(AC22="",NOT(ISNUMBER(AC22))),"",AC22-N(G22))</f>
        <v/>
      </c>
      <c r="AZ22" s="15" t="str">
        <f aca="false">IF(OR(AD22="",NOT(ISNUMBER(AD22))),"",AD22-N(H22))</f>
        <v/>
      </c>
      <c r="BA22" s="15" t="str">
        <f aca="false">IF(OR(AE22="",NOT(ISNUMBER(AE22))),"",AE22-N(I22))</f>
        <v/>
      </c>
      <c r="BB22" s="15" t="str">
        <f aca="false">IF(OR(AF22="",NOT(ISNUMBER(AF22))),"",AF22-N(J22))</f>
        <v/>
      </c>
      <c r="BC22" s="15" t="str">
        <f aca="false">IF(OR(AG22="",NOT(ISNUMBER(AG22))),"",AG22-N(K22))</f>
        <v/>
      </c>
      <c r="BD22" s="15" t="str">
        <f aca="false">IF(OR(AH22="",NOT(ISNUMBER(AH22))),"",AH22-N(L22))</f>
        <v/>
      </c>
      <c r="BE22" s="15" t="str">
        <f aca="false">IF(OR(AI22="",NOT(ISNUMBER(AI22))),"",AI22-N(M22))</f>
        <v/>
      </c>
      <c r="BF22" s="15" t="str">
        <f aca="false">IF(OR(AJ22="",NOT(ISNUMBER(AJ22))),"",AJ22-N(N22))</f>
        <v/>
      </c>
      <c r="BG22" s="15" t="str">
        <f aca="false">IF(OR(AK22="",NOT(ISNUMBER(AK22))),"",AK22-N(O22))</f>
        <v/>
      </c>
      <c r="BH22" s="15" t="str">
        <f aca="false">IF(OR(AL22="",NOT(ISNUMBER(AL22))),"",AL22-N(P22))</f>
        <v/>
      </c>
      <c r="BI22" s="15" t="str">
        <f aca="false">IF(OR(AM22="",NOT(ISNUMBER(AM22))),"",AM22-N(Q22))</f>
        <v/>
      </c>
      <c r="BJ22" s="15" t="str">
        <f aca="false">IF(OR(AN22="",NOT(ISNUMBER(AN22))),"",AN22-N(R22))</f>
        <v/>
      </c>
      <c r="BK22" s="15" t="str">
        <f aca="false">IF(OR(AO22="",NOT(ISNUMBER(AO22))),"",AO22-N(S22))</f>
        <v/>
      </c>
      <c r="BL22" s="15" t="str">
        <f aca="false">IF(OR(AP22="",NOT(ISNUMBER(AP22))),"",AP22-N(T22))</f>
        <v/>
      </c>
      <c r="BM22" s="15" t="str">
        <f aca="false">IF(OR(AQ22="",NOT(ISNUMBER(AQ22))),"",AQ22-N(U22))</f>
        <v/>
      </c>
      <c r="BR22" s="18" t="str">
        <f aca="false">IF($A22="","",IF(ISNUMBER($A22),DATE(YEAR($A22),MONTH($A22),1),IFERROR(DATE(2000+VALUE(RIGHT(TRIM($A22),2)),MATCH(UPPER(LEFT(TRIM($A22),3)),{"JAN","FEB","MAR","APR","MAY","JUN","JUL","AUG","SEP","OCT","NOV","DEC"},0),1),"")))</f>
        <v/>
      </c>
      <c r="BS22" s="18" t="str">
        <f aca="false">IF(BR22="","",EOMONTH(BR22,0))</f>
        <v/>
      </c>
    </row>
    <row r="23" customFormat="false" ht="15" hidden="false" customHeight="false" outlineLevel="0" collapsed="false">
      <c r="B23" s="19"/>
      <c r="C23" s="19"/>
      <c r="D23" s="19"/>
      <c r="E23" s="19"/>
      <c r="F23" s="19"/>
      <c r="G23" s="19"/>
      <c r="H23" s="19"/>
      <c r="I23" s="19"/>
      <c r="J23" s="19"/>
      <c r="K23" s="19"/>
      <c r="L23" s="19"/>
      <c r="M23" s="19"/>
      <c r="N23" s="19"/>
      <c r="O23" s="19"/>
      <c r="P23" s="19"/>
      <c r="Q23" s="19"/>
      <c r="R23" s="19"/>
      <c r="S23" s="19"/>
      <c r="T23" s="19"/>
      <c r="U23" s="19"/>
      <c r="X23" s="15" t="str">
        <f aca="false">IF(OR(B$7="",$BR23=""),"",IF('Tally Helper'!$B$3&lt;&gt;TRUE(),"not on Staff",SUMIFS('Tally Helper'!$L$5:$GI$5,'Tally Helper'!$L$3:$GI$3,"&gt;="&amp;$BR23,'Tally Helper'!$L$3:$GI$3,"&lt;="&amp;$BS23)))</f>
        <v/>
      </c>
      <c r="Y23" s="15" t="str">
        <f aca="false">IF(OR(C$7="",$BR23=""),"",IF('Tally Helper'!$B$6&lt;&gt;TRUE(),"not on Staff",SUMIFS('Tally Helper'!$L$8:$GI$8,'Tally Helper'!$L$6:$GI$6,"&gt;="&amp;$BR23,'Tally Helper'!$L$6:$GI$6,"&lt;="&amp;$BS23)))</f>
        <v/>
      </c>
      <c r="Z23" s="15" t="str">
        <f aca="false">IF(OR(D$7="",$BR23=""),"",IF('Tally Helper'!$B$9&lt;&gt;TRUE(),"not on Staff",SUMIFS('Tally Helper'!$L$11:$GI$11,'Tally Helper'!$L$9:$GI$9,"&gt;="&amp;$BR23,'Tally Helper'!$L$9:$GI$9,"&lt;="&amp;$BS23)))</f>
        <v/>
      </c>
      <c r="AA23" s="15" t="str">
        <f aca="false">IF(OR(E$7="",$BR23=""),"",IF('Tally Helper'!$B$12&lt;&gt;TRUE(),"not on Staff",SUMIFS('Tally Helper'!$L$14:$GI$14,'Tally Helper'!$L$12:$GI$12,"&gt;="&amp;$BR23,'Tally Helper'!$L$12:$GI$12,"&lt;="&amp;$BS23)))</f>
        <v/>
      </c>
      <c r="AB23" s="15" t="str">
        <f aca="false">IF(OR(F$7="",$BR23=""),"",IF('Tally Helper'!$B$15&lt;&gt;TRUE(),"not on Staff",SUMIFS('Tally Helper'!$L$17:$GI$17,'Tally Helper'!$L$15:$GI$15,"&gt;="&amp;$BR23,'Tally Helper'!$L$15:$GI$15,"&lt;="&amp;$BS23)))</f>
        <v/>
      </c>
      <c r="AC23" s="15" t="str">
        <f aca="false">IF(OR(G$7="",$BR23=""),"",IF('Tally Helper'!$B$18&lt;&gt;TRUE(),"not on Staff",SUMIFS('Tally Helper'!$L$20:$GI$20,'Tally Helper'!$L$18:$GI$18,"&gt;="&amp;$BR23,'Tally Helper'!$L$18:$GI$18,"&lt;="&amp;$BS23)))</f>
        <v/>
      </c>
      <c r="AD23" s="15" t="str">
        <f aca="false">IF(OR(H$7="",$BR23=""),"",IF('Tally Helper'!$B$21&lt;&gt;TRUE(),"not on Staff",SUMIFS('Tally Helper'!$L$23:$GI$23,'Tally Helper'!$L$21:$GI$21,"&gt;="&amp;$BR23,'Tally Helper'!$L$21:$GI$21,"&lt;="&amp;$BS23)))</f>
        <v/>
      </c>
      <c r="AE23" s="15" t="str">
        <f aca="false">IF(OR(I$7="",$BR23=""),"",IF('Tally Helper'!$B$24&lt;&gt;TRUE(),"not on Staff",SUMIFS('Tally Helper'!$L$26:$GI$26,'Tally Helper'!$L$24:$GI$24,"&gt;="&amp;$BR23,'Tally Helper'!$L$24:$GI$24,"&lt;="&amp;$BS23)))</f>
        <v/>
      </c>
      <c r="AF23" s="15" t="str">
        <f aca="false">IF(OR(J$7="",$BR23=""),"",IF('Tally Helper'!$B$27&lt;&gt;TRUE(),"not on Staff",SUMIFS('Tally Helper'!$L$29:$GI$29,'Tally Helper'!$L$27:$GI$27,"&gt;="&amp;$BR23,'Tally Helper'!$L$27:$GI$27,"&lt;="&amp;$BS23)))</f>
        <v/>
      </c>
      <c r="AG23" s="15" t="str">
        <f aca="false">IF(OR(K$7="",$BR23=""),"",IF('Tally Helper'!$B$30&lt;&gt;TRUE(),"not on Staff",SUMIFS('Tally Helper'!$L$32:$GI$32,'Tally Helper'!$L$30:$GI$30,"&gt;="&amp;$BR23,'Tally Helper'!$L$30:$GI$30,"&lt;="&amp;$BS23)))</f>
        <v/>
      </c>
      <c r="AH23" s="15" t="str">
        <f aca="false">IF(OR(L$7="",$BR23=""),"",IF('Tally Helper'!$B$33&lt;&gt;TRUE(),"not on Staff",SUMIFS('Tally Helper'!$L$35:$GI$35,'Tally Helper'!$L$33:$GI$33,"&gt;="&amp;$BR23,'Tally Helper'!$L$33:$GI$33,"&lt;="&amp;$BS23)))</f>
        <v/>
      </c>
      <c r="AI23" s="15" t="str">
        <f aca="false">IF(OR(M$7="",$BR23=""),"",IF('Tally Helper'!$B$36&lt;&gt;TRUE(),"not on Staff",SUMIFS('Tally Helper'!$L$38:$GI$38,'Tally Helper'!$L$36:$GI$36,"&gt;="&amp;$BR23,'Tally Helper'!$L$36:$GI$36,"&lt;="&amp;$BS23)))</f>
        <v/>
      </c>
      <c r="AJ23" s="15" t="str">
        <f aca="false">IF(OR(N$7="",$BR23=""),"",IF('Tally Helper'!$B$39&lt;&gt;TRUE(),"not on Staff",SUMIFS('Tally Helper'!$L$41:$GI$41,'Tally Helper'!$L$39:$GI$39,"&gt;="&amp;$BR23,'Tally Helper'!$L$39:$GI$39,"&lt;="&amp;$BS23)))</f>
        <v/>
      </c>
      <c r="AK23" s="15" t="str">
        <f aca="false">IF(OR(O$7="",$BR23=""),"",IF('Tally Helper'!$B$42&lt;&gt;TRUE(),"not on Staff",SUMIFS('Tally Helper'!$L$44:$GI$44,'Tally Helper'!$L$42:$GI$42,"&gt;="&amp;$BR23,'Tally Helper'!$L$42:$GI$42,"&lt;="&amp;$BS23)))</f>
        <v/>
      </c>
      <c r="AL23" s="15" t="str">
        <f aca="false">IF(OR(P$7="",$BR23=""),"",IF('Tally Helper'!$B$45&lt;&gt;TRUE(),"not on Staff",SUMIFS('Tally Helper'!$L$47:$GI$47,'Tally Helper'!$L$45:$GI$45,"&gt;="&amp;$BR23,'Tally Helper'!$L$45:$GI$45,"&lt;="&amp;$BS23)))</f>
        <v/>
      </c>
      <c r="AM23" s="15" t="str">
        <f aca="false">IF(OR(Q$7="",$BR23=""),"",IF('Tally Helper'!$B$48&lt;&gt;TRUE(),"not on Staff",SUMIFS('Tally Helper'!$L$50:$GI$50,'Tally Helper'!$L$48:$GI$48,"&gt;="&amp;$BR23,'Tally Helper'!$L$48:$GI$48,"&lt;="&amp;$BS23)))</f>
        <v/>
      </c>
      <c r="AN23" s="15" t="str">
        <f aca="false">IF(OR(R$7="",$BR23=""),"",IF('Tally Helper'!$B$51&lt;&gt;TRUE(),"not on Staff",SUMIFS('Tally Helper'!$L$53:$GI$53,'Tally Helper'!$L$51:$GI$51,"&gt;="&amp;$BR23,'Tally Helper'!$L$51:$GI$51,"&lt;="&amp;$BS23)))</f>
        <v/>
      </c>
      <c r="AO23" s="15" t="str">
        <f aca="false">IF(OR(S$7="",$BR23=""),"",IF('Tally Helper'!$B$54&lt;&gt;TRUE(),"not on Staff",SUMIFS('Tally Helper'!$L$56:$GI$56,'Tally Helper'!$L$54:$GI$54,"&gt;="&amp;$BR23,'Tally Helper'!$L$54:$GI$54,"&lt;="&amp;$BS23)))</f>
        <v/>
      </c>
      <c r="AP23" s="15" t="str">
        <f aca="false">IF(OR(T$7="",$BR23=""),"",IF('Tally Helper'!$B$57&lt;&gt;TRUE(),"not on Staff",SUMIFS('Tally Helper'!$L$59:$GI$59,'Tally Helper'!$L$57:$GI$57,"&gt;="&amp;$BR23,'Tally Helper'!$L$57:$GI$57,"&lt;="&amp;$BS23)))</f>
        <v/>
      </c>
      <c r="AQ23" s="15" t="str">
        <f aca="false">IF(OR(U$7="",$BR23=""),"",IF('Tally Helper'!$B$60&lt;&gt;TRUE(),"not on Staff",SUMIFS('Tally Helper'!$L$62:$GI$62,'Tally Helper'!$L$60:$GI$60,"&gt;="&amp;$BR23,'Tally Helper'!$L$60:$GI$60,"&lt;="&amp;$BS23)))</f>
        <v/>
      </c>
      <c r="AT23" s="15" t="str">
        <f aca="false">IF(OR(X23="",NOT(ISNUMBER(X23))),"",X23-N(B23))</f>
        <v/>
      </c>
      <c r="AU23" s="15" t="str">
        <f aca="false">IF(OR(Y23="",NOT(ISNUMBER(Y23))),"",Y23-N(C23))</f>
        <v/>
      </c>
      <c r="AV23" s="15" t="str">
        <f aca="false">IF(OR(Z23="",NOT(ISNUMBER(Z23))),"",Z23-N(D23))</f>
        <v/>
      </c>
      <c r="AW23" s="15" t="str">
        <f aca="false">IF(OR(AA23="",NOT(ISNUMBER(AA23))),"",AA23-N(E23))</f>
        <v/>
      </c>
      <c r="AX23" s="15" t="str">
        <f aca="false">IF(OR(AB23="",NOT(ISNUMBER(AB23))),"",AB23-N(F23))</f>
        <v/>
      </c>
      <c r="AY23" s="15" t="str">
        <f aca="false">IF(OR(AC23="",NOT(ISNUMBER(AC23))),"",AC23-N(G23))</f>
        <v/>
      </c>
      <c r="AZ23" s="15" t="str">
        <f aca="false">IF(OR(AD23="",NOT(ISNUMBER(AD23))),"",AD23-N(H23))</f>
        <v/>
      </c>
      <c r="BA23" s="15" t="str">
        <f aca="false">IF(OR(AE23="",NOT(ISNUMBER(AE23))),"",AE23-N(I23))</f>
        <v/>
      </c>
      <c r="BB23" s="15" t="str">
        <f aca="false">IF(OR(AF23="",NOT(ISNUMBER(AF23))),"",AF23-N(J23))</f>
        <v/>
      </c>
      <c r="BC23" s="15" t="str">
        <f aca="false">IF(OR(AG23="",NOT(ISNUMBER(AG23))),"",AG23-N(K23))</f>
        <v/>
      </c>
      <c r="BD23" s="15" t="str">
        <f aca="false">IF(OR(AH23="",NOT(ISNUMBER(AH23))),"",AH23-N(L23))</f>
        <v/>
      </c>
      <c r="BE23" s="15" t="str">
        <f aca="false">IF(OR(AI23="",NOT(ISNUMBER(AI23))),"",AI23-N(M23))</f>
        <v/>
      </c>
      <c r="BF23" s="15" t="str">
        <f aca="false">IF(OR(AJ23="",NOT(ISNUMBER(AJ23))),"",AJ23-N(N23))</f>
        <v/>
      </c>
      <c r="BG23" s="15" t="str">
        <f aca="false">IF(OR(AK23="",NOT(ISNUMBER(AK23))),"",AK23-N(O23))</f>
        <v/>
      </c>
      <c r="BH23" s="15" t="str">
        <f aca="false">IF(OR(AL23="",NOT(ISNUMBER(AL23))),"",AL23-N(P23))</f>
        <v/>
      </c>
      <c r="BI23" s="15" t="str">
        <f aca="false">IF(OR(AM23="",NOT(ISNUMBER(AM23))),"",AM23-N(Q23))</f>
        <v/>
      </c>
      <c r="BJ23" s="15" t="str">
        <f aca="false">IF(OR(AN23="",NOT(ISNUMBER(AN23))),"",AN23-N(R23))</f>
        <v/>
      </c>
      <c r="BK23" s="15" t="str">
        <f aca="false">IF(OR(AO23="",NOT(ISNUMBER(AO23))),"",AO23-N(S23))</f>
        <v/>
      </c>
      <c r="BL23" s="15" t="str">
        <f aca="false">IF(OR(AP23="",NOT(ISNUMBER(AP23))),"",AP23-N(T23))</f>
        <v/>
      </c>
      <c r="BM23" s="15" t="str">
        <f aca="false">IF(OR(AQ23="",NOT(ISNUMBER(AQ23))),"",AQ23-N(U23))</f>
        <v/>
      </c>
      <c r="BR23" s="18" t="str">
        <f aca="false">IF($A23="","",IF(ISNUMBER($A23),DATE(YEAR($A23),MONTH($A23),1),IFERROR(DATE(2000+VALUE(RIGHT(TRIM($A23),2)),MATCH(UPPER(LEFT(TRIM($A23),3)),{"JAN","FEB","MAR","APR","MAY","JUN","JUL","AUG","SEP","OCT","NOV","DEC"},0),1),"")))</f>
        <v/>
      </c>
      <c r="BS23" s="18" t="str">
        <f aca="false">IF(BR23="","",EOMONTH(BR23,0))</f>
        <v/>
      </c>
    </row>
    <row r="24" customFormat="false" ht="15" hidden="false" customHeight="false" outlineLevel="0" collapsed="false">
      <c r="B24" s="19"/>
      <c r="C24" s="19"/>
      <c r="D24" s="19"/>
      <c r="E24" s="19"/>
      <c r="F24" s="19"/>
      <c r="G24" s="19"/>
      <c r="H24" s="19"/>
      <c r="I24" s="19"/>
      <c r="J24" s="19"/>
      <c r="K24" s="19"/>
      <c r="L24" s="19"/>
      <c r="M24" s="19"/>
      <c r="N24" s="19"/>
      <c r="O24" s="19"/>
      <c r="P24" s="19"/>
      <c r="Q24" s="19"/>
      <c r="R24" s="19"/>
      <c r="S24" s="19"/>
      <c r="T24" s="19"/>
      <c r="U24" s="19"/>
      <c r="X24" s="15" t="str">
        <f aca="false">IF(OR(B$7="",$BR24=""),"",IF('Tally Helper'!$B$3&lt;&gt;TRUE(),"not on Staff",SUMIFS('Tally Helper'!$L$5:$GI$5,'Tally Helper'!$L$3:$GI$3,"&gt;="&amp;$BR24,'Tally Helper'!$L$3:$GI$3,"&lt;="&amp;$BS24)))</f>
        <v/>
      </c>
      <c r="Y24" s="15" t="str">
        <f aca="false">IF(OR(C$7="",$BR24=""),"",IF('Tally Helper'!$B$6&lt;&gt;TRUE(),"not on Staff",SUMIFS('Tally Helper'!$L$8:$GI$8,'Tally Helper'!$L$6:$GI$6,"&gt;="&amp;$BR24,'Tally Helper'!$L$6:$GI$6,"&lt;="&amp;$BS24)))</f>
        <v/>
      </c>
      <c r="Z24" s="15" t="str">
        <f aca="false">IF(OR(D$7="",$BR24=""),"",IF('Tally Helper'!$B$9&lt;&gt;TRUE(),"not on Staff",SUMIFS('Tally Helper'!$L$11:$GI$11,'Tally Helper'!$L$9:$GI$9,"&gt;="&amp;$BR24,'Tally Helper'!$L$9:$GI$9,"&lt;="&amp;$BS24)))</f>
        <v/>
      </c>
      <c r="AA24" s="15" t="str">
        <f aca="false">IF(OR(E$7="",$BR24=""),"",IF('Tally Helper'!$B$12&lt;&gt;TRUE(),"not on Staff",SUMIFS('Tally Helper'!$L$14:$GI$14,'Tally Helper'!$L$12:$GI$12,"&gt;="&amp;$BR24,'Tally Helper'!$L$12:$GI$12,"&lt;="&amp;$BS24)))</f>
        <v/>
      </c>
      <c r="AB24" s="15" t="str">
        <f aca="false">IF(OR(F$7="",$BR24=""),"",IF('Tally Helper'!$B$15&lt;&gt;TRUE(),"not on Staff",SUMIFS('Tally Helper'!$L$17:$GI$17,'Tally Helper'!$L$15:$GI$15,"&gt;="&amp;$BR24,'Tally Helper'!$L$15:$GI$15,"&lt;="&amp;$BS24)))</f>
        <v/>
      </c>
      <c r="AC24" s="15" t="str">
        <f aca="false">IF(OR(G$7="",$BR24=""),"",IF('Tally Helper'!$B$18&lt;&gt;TRUE(),"not on Staff",SUMIFS('Tally Helper'!$L$20:$GI$20,'Tally Helper'!$L$18:$GI$18,"&gt;="&amp;$BR24,'Tally Helper'!$L$18:$GI$18,"&lt;="&amp;$BS24)))</f>
        <v/>
      </c>
      <c r="AD24" s="15" t="str">
        <f aca="false">IF(OR(H$7="",$BR24=""),"",IF('Tally Helper'!$B$21&lt;&gt;TRUE(),"not on Staff",SUMIFS('Tally Helper'!$L$23:$GI$23,'Tally Helper'!$L$21:$GI$21,"&gt;="&amp;$BR24,'Tally Helper'!$L$21:$GI$21,"&lt;="&amp;$BS24)))</f>
        <v/>
      </c>
      <c r="AE24" s="15" t="str">
        <f aca="false">IF(OR(I$7="",$BR24=""),"",IF('Tally Helper'!$B$24&lt;&gt;TRUE(),"not on Staff",SUMIFS('Tally Helper'!$L$26:$GI$26,'Tally Helper'!$L$24:$GI$24,"&gt;="&amp;$BR24,'Tally Helper'!$L$24:$GI$24,"&lt;="&amp;$BS24)))</f>
        <v/>
      </c>
      <c r="AF24" s="15" t="str">
        <f aca="false">IF(OR(J$7="",$BR24=""),"",IF('Tally Helper'!$B$27&lt;&gt;TRUE(),"not on Staff",SUMIFS('Tally Helper'!$L$29:$GI$29,'Tally Helper'!$L$27:$GI$27,"&gt;="&amp;$BR24,'Tally Helper'!$L$27:$GI$27,"&lt;="&amp;$BS24)))</f>
        <v/>
      </c>
      <c r="AG24" s="15" t="str">
        <f aca="false">IF(OR(K$7="",$BR24=""),"",IF('Tally Helper'!$B$30&lt;&gt;TRUE(),"not on Staff",SUMIFS('Tally Helper'!$L$32:$GI$32,'Tally Helper'!$L$30:$GI$30,"&gt;="&amp;$BR24,'Tally Helper'!$L$30:$GI$30,"&lt;="&amp;$BS24)))</f>
        <v/>
      </c>
      <c r="AH24" s="15" t="str">
        <f aca="false">IF(OR(L$7="",$BR24=""),"",IF('Tally Helper'!$B$33&lt;&gt;TRUE(),"not on Staff",SUMIFS('Tally Helper'!$L$35:$GI$35,'Tally Helper'!$L$33:$GI$33,"&gt;="&amp;$BR24,'Tally Helper'!$L$33:$GI$33,"&lt;="&amp;$BS24)))</f>
        <v/>
      </c>
      <c r="AI24" s="15" t="str">
        <f aca="false">IF(OR(M$7="",$BR24=""),"",IF('Tally Helper'!$B$36&lt;&gt;TRUE(),"not on Staff",SUMIFS('Tally Helper'!$L$38:$GI$38,'Tally Helper'!$L$36:$GI$36,"&gt;="&amp;$BR24,'Tally Helper'!$L$36:$GI$36,"&lt;="&amp;$BS24)))</f>
        <v/>
      </c>
      <c r="AJ24" s="15" t="str">
        <f aca="false">IF(OR(N$7="",$BR24=""),"",IF('Tally Helper'!$B$39&lt;&gt;TRUE(),"not on Staff",SUMIFS('Tally Helper'!$L$41:$GI$41,'Tally Helper'!$L$39:$GI$39,"&gt;="&amp;$BR24,'Tally Helper'!$L$39:$GI$39,"&lt;="&amp;$BS24)))</f>
        <v/>
      </c>
      <c r="AK24" s="15" t="str">
        <f aca="false">IF(OR(O$7="",$BR24=""),"",IF('Tally Helper'!$B$42&lt;&gt;TRUE(),"not on Staff",SUMIFS('Tally Helper'!$L$44:$GI$44,'Tally Helper'!$L$42:$GI$42,"&gt;="&amp;$BR24,'Tally Helper'!$L$42:$GI$42,"&lt;="&amp;$BS24)))</f>
        <v/>
      </c>
      <c r="AL24" s="15" t="str">
        <f aca="false">IF(OR(P$7="",$BR24=""),"",IF('Tally Helper'!$B$45&lt;&gt;TRUE(),"not on Staff",SUMIFS('Tally Helper'!$L$47:$GI$47,'Tally Helper'!$L$45:$GI$45,"&gt;="&amp;$BR24,'Tally Helper'!$L$45:$GI$45,"&lt;="&amp;$BS24)))</f>
        <v/>
      </c>
      <c r="AM24" s="15" t="str">
        <f aca="false">IF(OR(Q$7="",$BR24=""),"",IF('Tally Helper'!$B$48&lt;&gt;TRUE(),"not on Staff",SUMIFS('Tally Helper'!$L$50:$GI$50,'Tally Helper'!$L$48:$GI$48,"&gt;="&amp;$BR24,'Tally Helper'!$L$48:$GI$48,"&lt;="&amp;$BS24)))</f>
        <v/>
      </c>
      <c r="AN24" s="15" t="str">
        <f aca="false">IF(OR(R$7="",$BR24=""),"",IF('Tally Helper'!$B$51&lt;&gt;TRUE(),"not on Staff",SUMIFS('Tally Helper'!$L$53:$GI$53,'Tally Helper'!$L$51:$GI$51,"&gt;="&amp;$BR24,'Tally Helper'!$L$51:$GI$51,"&lt;="&amp;$BS24)))</f>
        <v/>
      </c>
      <c r="AO24" s="15" t="str">
        <f aca="false">IF(OR(S$7="",$BR24=""),"",IF('Tally Helper'!$B$54&lt;&gt;TRUE(),"not on Staff",SUMIFS('Tally Helper'!$L$56:$GI$56,'Tally Helper'!$L$54:$GI$54,"&gt;="&amp;$BR24,'Tally Helper'!$L$54:$GI$54,"&lt;="&amp;$BS24)))</f>
        <v/>
      </c>
      <c r="AP24" s="15" t="str">
        <f aca="false">IF(OR(T$7="",$BR24=""),"",IF('Tally Helper'!$B$57&lt;&gt;TRUE(),"not on Staff",SUMIFS('Tally Helper'!$L$59:$GI$59,'Tally Helper'!$L$57:$GI$57,"&gt;="&amp;$BR24,'Tally Helper'!$L$57:$GI$57,"&lt;="&amp;$BS24)))</f>
        <v/>
      </c>
      <c r="AQ24" s="15" t="str">
        <f aca="false">IF(OR(U$7="",$BR24=""),"",IF('Tally Helper'!$B$60&lt;&gt;TRUE(),"not on Staff",SUMIFS('Tally Helper'!$L$62:$GI$62,'Tally Helper'!$L$60:$GI$60,"&gt;="&amp;$BR24,'Tally Helper'!$L$60:$GI$60,"&lt;="&amp;$BS24)))</f>
        <v/>
      </c>
      <c r="AT24" s="15" t="str">
        <f aca="false">IF(OR(X24="",NOT(ISNUMBER(X24))),"",X24-N(B24))</f>
        <v/>
      </c>
      <c r="AU24" s="15" t="str">
        <f aca="false">IF(OR(Y24="",NOT(ISNUMBER(Y24))),"",Y24-N(C24))</f>
        <v/>
      </c>
      <c r="AV24" s="15" t="str">
        <f aca="false">IF(OR(Z24="",NOT(ISNUMBER(Z24))),"",Z24-N(D24))</f>
        <v/>
      </c>
      <c r="AW24" s="15" t="str">
        <f aca="false">IF(OR(AA24="",NOT(ISNUMBER(AA24))),"",AA24-N(E24))</f>
        <v/>
      </c>
      <c r="AX24" s="15" t="str">
        <f aca="false">IF(OR(AB24="",NOT(ISNUMBER(AB24))),"",AB24-N(F24))</f>
        <v/>
      </c>
      <c r="AY24" s="15" t="str">
        <f aca="false">IF(OR(AC24="",NOT(ISNUMBER(AC24))),"",AC24-N(G24))</f>
        <v/>
      </c>
      <c r="AZ24" s="15" t="str">
        <f aca="false">IF(OR(AD24="",NOT(ISNUMBER(AD24))),"",AD24-N(H24))</f>
        <v/>
      </c>
      <c r="BA24" s="15" t="str">
        <f aca="false">IF(OR(AE24="",NOT(ISNUMBER(AE24))),"",AE24-N(I24))</f>
        <v/>
      </c>
      <c r="BB24" s="15" t="str">
        <f aca="false">IF(OR(AF24="",NOT(ISNUMBER(AF24))),"",AF24-N(J24))</f>
        <v/>
      </c>
      <c r="BC24" s="15" t="str">
        <f aca="false">IF(OR(AG24="",NOT(ISNUMBER(AG24))),"",AG24-N(K24))</f>
        <v/>
      </c>
      <c r="BD24" s="15" t="str">
        <f aca="false">IF(OR(AH24="",NOT(ISNUMBER(AH24))),"",AH24-N(L24))</f>
        <v/>
      </c>
      <c r="BE24" s="15" t="str">
        <f aca="false">IF(OR(AI24="",NOT(ISNUMBER(AI24))),"",AI24-N(M24))</f>
        <v/>
      </c>
      <c r="BF24" s="15" t="str">
        <f aca="false">IF(OR(AJ24="",NOT(ISNUMBER(AJ24))),"",AJ24-N(N24))</f>
        <v/>
      </c>
      <c r="BG24" s="15" t="str">
        <f aca="false">IF(OR(AK24="",NOT(ISNUMBER(AK24))),"",AK24-N(O24))</f>
        <v/>
      </c>
      <c r="BH24" s="15" t="str">
        <f aca="false">IF(OR(AL24="",NOT(ISNUMBER(AL24))),"",AL24-N(P24))</f>
        <v/>
      </c>
      <c r="BI24" s="15" t="str">
        <f aca="false">IF(OR(AM24="",NOT(ISNUMBER(AM24))),"",AM24-N(Q24))</f>
        <v/>
      </c>
      <c r="BJ24" s="15" t="str">
        <f aca="false">IF(OR(AN24="",NOT(ISNUMBER(AN24))),"",AN24-N(R24))</f>
        <v/>
      </c>
      <c r="BK24" s="15" t="str">
        <f aca="false">IF(OR(AO24="",NOT(ISNUMBER(AO24))),"",AO24-N(S24))</f>
        <v/>
      </c>
      <c r="BL24" s="15" t="str">
        <f aca="false">IF(OR(AP24="",NOT(ISNUMBER(AP24))),"",AP24-N(T24))</f>
        <v/>
      </c>
      <c r="BM24" s="15" t="str">
        <f aca="false">IF(OR(AQ24="",NOT(ISNUMBER(AQ24))),"",AQ24-N(U24))</f>
        <v/>
      </c>
      <c r="BR24" s="18" t="str">
        <f aca="false">IF($A24="","",IF(ISNUMBER($A24),DATE(YEAR($A24),MONTH($A24),1),IFERROR(DATE(2000+VALUE(RIGHT(TRIM($A24),2)),MATCH(UPPER(LEFT(TRIM($A24),3)),{"JAN","FEB","MAR","APR","MAY","JUN","JUL","AUG","SEP","OCT","NOV","DEC"},0),1),"")))</f>
        <v/>
      </c>
      <c r="BS24" s="18" t="str">
        <f aca="false">IF(BR24="","",EOMONTH(BR24,0))</f>
        <v/>
      </c>
    </row>
    <row r="25" customFormat="false" ht="15" hidden="false" customHeight="false" outlineLevel="0" collapsed="false">
      <c r="B25" s="19"/>
      <c r="C25" s="19"/>
      <c r="D25" s="19"/>
      <c r="E25" s="19"/>
      <c r="F25" s="19"/>
      <c r="G25" s="19"/>
      <c r="H25" s="19"/>
      <c r="I25" s="19"/>
      <c r="J25" s="19"/>
      <c r="K25" s="19"/>
      <c r="L25" s="19"/>
      <c r="M25" s="19"/>
      <c r="N25" s="19"/>
      <c r="O25" s="19"/>
      <c r="P25" s="19"/>
      <c r="Q25" s="19"/>
      <c r="R25" s="19"/>
      <c r="S25" s="19"/>
      <c r="T25" s="19"/>
      <c r="U25" s="19"/>
      <c r="X25" s="15" t="str">
        <f aca="false">IF(OR(B$7="",$BR25=""),"",IF('Tally Helper'!$B$3&lt;&gt;TRUE(),"not on Staff",SUMIFS('Tally Helper'!$L$5:$GI$5,'Tally Helper'!$L$3:$GI$3,"&gt;="&amp;$BR25,'Tally Helper'!$L$3:$GI$3,"&lt;="&amp;$BS25)))</f>
        <v/>
      </c>
      <c r="Y25" s="15" t="str">
        <f aca="false">IF(OR(C$7="",$BR25=""),"",IF('Tally Helper'!$B$6&lt;&gt;TRUE(),"not on Staff",SUMIFS('Tally Helper'!$L$8:$GI$8,'Tally Helper'!$L$6:$GI$6,"&gt;="&amp;$BR25,'Tally Helper'!$L$6:$GI$6,"&lt;="&amp;$BS25)))</f>
        <v/>
      </c>
      <c r="Z25" s="15" t="str">
        <f aca="false">IF(OR(D$7="",$BR25=""),"",IF('Tally Helper'!$B$9&lt;&gt;TRUE(),"not on Staff",SUMIFS('Tally Helper'!$L$11:$GI$11,'Tally Helper'!$L$9:$GI$9,"&gt;="&amp;$BR25,'Tally Helper'!$L$9:$GI$9,"&lt;="&amp;$BS25)))</f>
        <v/>
      </c>
      <c r="AA25" s="15" t="str">
        <f aca="false">IF(OR(E$7="",$BR25=""),"",IF('Tally Helper'!$B$12&lt;&gt;TRUE(),"not on Staff",SUMIFS('Tally Helper'!$L$14:$GI$14,'Tally Helper'!$L$12:$GI$12,"&gt;="&amp;$BR25,'Tally Helper'!$L$12:$GI$12,"&lt;="&amp;$BS25)))</f>
        <v/>
      </c>
      <c r="AB25" s="15" t="str">
        <f aca="false">IF(OR(F$7="",$BR25=""),"",IF('Tally Helper'!$B$15&lt;&gt;TRUE(),"not on Staff",SUMIFS('Tally Helper'!$L$17:$GI$17,'Tally Helper'!$L$15:$GI$15,"&gt;="&amp;$BR25,'Tally Helper'!$L$15:$GI$15,"&lt;="&amp;$BS25)))</f>
        <v/>
      </c>
      <c r="AC25" s="15" t="str">
        <f aca="false">IF(OR(G$7="",$BR25=""),"",IF('Tally Helper'!$B$18&lt;&gt;TRUE(),"not on Staff",SUMIFS('Tally Helper'!$L$20:$GI$20,'Tally Helper'!$L$18:$GI$18,"&gt;="&amp;$BR25,'Tally Helper'!$L$18:$GI$18,"&lt;="&amp;$BS25)))</f>
        <v/>
      </c>
      <c r="AD25" s="15" t="str">
        <f aca="false">IF(OR(H$7="",$BR25=""),"",IF('Tally Helper'!$B$21&lt;&gt;TRUE(),"not on Staff",SUMIFS('Tally Helper'!$L$23:$GI$23,'Tally Helper'!$L$21:$GI$21,"&gt;="&amp;$BR25,'Tally Helper'!$L$21:$GI$21,"&lt;="&amp;$BS25)))</f>
        <v/>
      </c>
      <c r="AE25" s="15" t="str">
        <f aca="false">IF(OR(I$7="",$BR25=""),"",IF('Tally Helper'!$B$24&lt;&gt;TRUE(),"not on Staff",SUMIFS('Tally Helper'!$L$26:$GI$26,'Tally Helper'!$L$24:$GI$24,"&gt;="&amp;$BR25,'Tally Helper'!$L$24:$GI$24,"&lt;="&amp;$BS25)))</f>
        <v/>
      </c>
      <c r="AF25" s="15" t="str">
        <f aca="false">IF(OR(J$7="",$BR25=""),"",IF('Tally Helper'!$B$27&lt;&gt;TRUE(),"not on Staff",SUMIFS('Tally Helper'!$L$29:$GI$29,'Tally Helper'!$L$27:$GI$27,"&gt;="&amp;$BR25,'Tally Helper'!$L$27:$GI$27,"&lt;="&amp;$BS25)))</f>
        <v/>
      </c>
      <c r="AG25" s="15" t="str">
        <f aca="false">IF(OR(K$7="",$BR25=""),"",IF('Tally Helper'!$B$30&lt;&gt;TRUE(),"not on Staff",SUMIFS('Tally Helper'!$L$32:$GI$32,'Tally Helper'!$L$30:$GI$30,"&gt;="&amp;$BR25,'Tally Helper'!$L$30:$GI$30,"&lt;="&amp;$BS25)))</f>
        <v/>
      </c>
      <c r="AH25" s="15" t="str">
        <f aca="false">IF(OR(L$7="",$BR25=""),"",IF('Tally Helper'!$B$33&lt;&gt;TRUE(),"not on Staff",SUMIFS('Tally Helper'!$L$35:$GI$35,'Tally Helper'!$L$33:$GI$33,"&gt;="&amp;$BR25,'Tally Helper'!$L$33:$GI$33,"&lt;="&amp;$BS25)))</f>
        <v/>
      </c>
      <c r="AI25" s="15" t="str">
        <f aca="false">IF(OR(M$7="",$BR25=""),"",IF('Tally Helper'!$B$36&lt;&gt;TRUE(),"not on Staff",SUMIFS('Tally Helper'!$L$38:$GI$38,'Tally Helper'!$L$36:$GI$36,"&gt;="&amp;$BR25,'Tally Helper'!$L$36:$GI$36,"&lt;="&amp;$BS25)))</f>
        <v/>
      </c>
      <c r="AJ25" s="15" t="str">
        <f aca="false">IF(OR(N$7="",$BR25=""),"",IF('Tally Helper'!$B$39&lt;&gt;TRUE(),"not on Staff",SUMIFS('Tally Helper'!$L$41:$GI$41,'Tally Helper'!$L$39:$GI$39,"&gt;="&amp;$BR25,'Tally Helper'!$L$39:$GI$39,"&lt;="&amp;$BS25)))</f>
        <v/>
      </c>
      <c r="AK25" s="15" t="str">
        <f aca="false">IF(OR(O$7="",$BR25=""),"",IF('Tally Helper'!$B$42&lt;&gt;TRUE(),"not on Staff",SUMIFS('Tally Helper'!$L$44:$GI$44,'Tally Helper'!$L$42:$GI$42,"&gt;="&amp;$BR25,'Tally Helper'!$L$42:$GI$42,"&lt;="&amp;$BS25)))</f>
        <v/>
      </c>
      <c r="AL25" s="15" t="str">
        <f aca="false">IF(OR(P$7="",$BR25=""),"",IF('Tally Helper'!$B$45&lt;&gt;TRUE(),"not on Staff",SUMIFS('Tally Helper'!$L$47:$GI$47,'Tally Helper'!$L$45:$GI$45,"&gt;="&amp;$BR25,'Tally Helper'!$L$45:$GI$45,"&lt;="&amp;$BS25)))</f>
        <v/>
      </c>
      <c r="AM25" s="15" t="str">
        <f aca="false">IF(OR(Q$7="",$BR25=""),"",IF('Tally Helper'!$B$48&lt;&gt;TRUE(),"not on Staff",SUMIFS('Tally Helper'!$L$50:$GI$50,'Tally Helper'!$L$48:$GI$48,"&gt;="&amp;$BR25,'Tally Helper'!$L$48:$GI$48,"&lt;="&amp;$BS25)))</f>
        <v/>
      </c>
      <c r="AN25" s="15" t="str">
        <f aca="false">IF(OR(R$7="",$BR25=""),"",IF('Tally Helper'!$B$51&lt;&gt;TRUE(),"not on Staff",SUMIFS('Tally Helper'!$L$53:$GI$53,'Tally Helper'!$L$51:$GI$51,"&gt;="&amp;$BR25,'Tally Helper'!$L$51:$GI$51,"&lt;="&amp;$BS25)))</f>
        <v/>
      </c>
      <c r="AO25" s="15" t="str">
        <f aca="false">IF(OR(S$7="",$BR25=""),"",IF('Tally Helper'!$B$54&lt;&gt;TRUE(),"not on Staff",SUMIFS('Tally Helper'!$L$56:$GI$56,'Tally Helper'!$L$54:$GI$54,"&gt;="&amp;$BR25,'Tally Helper'!$L$54:$GI$54,"&lt;="&amp;$BS25)))</f>
        <v/>
      </c>
      <c r="AP25" s="15" t="str">
        <f aca="false">IF(OR(T$7="",$BR25=""),"",IF('Tally Helper'!$B$57&lt;&gt;TRUE(),"not on Staff",SUMIFS('Tally Helper'!$L$59:$GI$59,'Tally Helper'!$L$57:$GI$57,"&gt;="&amp;$BR25,'Tally Helper'!$L$57:$GI$57,"&lt;="&amp;$BS25)))</f>
        <v/>
      </c>
      <c r="AQ25" s="15" t="str">
        <f aca="false">IF(OR(U$7="",$BR25=""),"",IF('Tally Helper'!$B$60&lt;&gt;TRUE(),"not on Staff",SUMIFS('Tally Helper'!$L$62:$GI$62,'Tally Helper'!$L$60:$GI$60,"&gt;="&amp;$BR25,'Tally Helper'!$L$60:$GI$60,"&lt;="&amp;$BS25)))</f>
        <v/>
      </c>
      <c r="AT25" s="15" t="str">
        <f aca="false">IF(OR(X25="",NOT(ISNUMBER(X25))),"",X25-N(B25))</f>
        <v/>
      </c>
      <c r="AU25" s="15" t="str">
        <f aca="false">IF(OR(Y25="",NOT(ISNUMBER(Y25))),"",Y25-N(C25))</f>
        <v/>
      </c>
      <c r="AV25" s="15" t="str">
        <f aca="false">IF(OR(Z25="",NOT(ISNUMBER(Z25))),"",Z25-N(D25))</f>
        <v/>
      </c>
      <c r="AW25" s="15" t="str">
        <f aca="false">IF(OR(AA25="",NOT(ISNUMBER(AA25))),"",AA25-N(E25))</f>
        <v/>
      </c>
      <c r="AX25" s="15" t="str">
        <f aca="false">IF(OR(AB25="",NOT(ISNUMBER(AB25))),"",AB25-N(F25))</f>
        <v/>
      </c>
      <c r="AY25" s="15" t="str">
        <f aca="false">IF(OR(AC25="",NOT(ISNUMBER(AC25))),"",AC25-N(G25))</f>
        <v/>
      </c>
      <c r="AZ25" s="15" t="str">
        <f aca="false">IF(OR(AD25="",NOT(ISNUMBER(AD25))),"",AD25-N(H25))</f>
        <v/>
      </c>
      <c r="BA25" s="15" t="str">
        <f aca="false">IF(OR(AE25="",NOT(ISNUMBER(AE25))),"",AE25-N(I25))</f>
        <v/>
      </c>
      <c r="BB25" s="15" t="str">
        <f aca="false">IF(OR(AF25="",NOT(ISNUMBER(AF25))),"",AF25-N(J25))</f>
        <v/>
      </c>
      <c r="BC25" s="15" t="str">
        <f aca="false">IF(OR(AG25="",NOT(ISNUMBER(AG25))),"",AG25-N(K25))</f>
        <v/>
      </c>
      <c r="BD25" s="15" t="str">
        <f aca="false">IF(OR(AH25="",NOT(ISNUMBER(AH25))),"",AH25-N(L25))</f>
        <v/>
      </c>
      <c r="BE25" s="15" t="str">
        <f aca="false">IF(OR(AI25="",NOT(ISNUMBER(AI25))),"",AI25-N(M25))</f>
        <v/>
      </c>
      <c r="BF25" s="15" t="str">
        <f aca="false">IF(OR(AJ25="",NOT(ISNUMBER(AJ25))),"",AJ25-N(N25))</f>
        <v/>
      </c>
      <c r="BG25" s="15" t="str">
        <f aca="false">IF(OR(AK25="",NOT(ISNUMBER(AK25))),"",AK25-N(O25))</f>
        <v/>
      </c>
      <c r="BH25" s="15" t="str">
        <f aca="false">IF(OR(AL25="",NOT(ISNUMBER(AL25))),"",AL25-N(P25))</f>
        <v/>
      </c>
      <c r="BI25" s="15" t="str">
        <f aca="false">IF(OR(AM25="",NOT(ISNUMBER(AM25))),"",AM25-N(Q25))</f>
        <v/>
      </c>
      <c r="BJ25" s="15" t="str">
        <f aca="false">IF(OR(AN25="",NOT(ISNUMBER(AN25))),"",AN25-N(R25))</f>
        <v/>
      </c>
      <c r="BK25" s="15" t="str">
        <f aca="false">IF(OR(AO25="",NOT(ISNUMBER(AO25))),"",AO25-N(S25))</f>
        <v/>
      </c>
      <c r="BL25" s="15" t="str">
        <f aca="false">IF(OR(AP25="",NOT(ISNUMBER(AP25))),"",AP25-N(T25))</f>
        <v/>
      </c>
      <c r="BM25" s="15" t="str">
        <f aca="false">IF(OR(AQ25="",NOT(ISNUMBER(AQ25))),"",AQ25-N(U25))</f>
        <v/>
      </c>
      <c r="BR25" s="18" t="str">
        <f aca="false">IF($A25="","",IF(ISNUMBER($A25),DATE(YEAR($A25),MONTH($A25),1),IFERROR(DATE(2000+VALUE(RIGHT(TRIM($A25),2)),MATCH(UPPER(LEFT(TRIM($A25),3)),{"JAN","FEB","MAR","APR","MAY","JUN","JUL","AUG","SEP","OCT","NOV","DEC"},0),1),"")))</f>
        <v/>
      </c>
      <c r="BS25" s="18" t="str">
        <f aca="false">IF(BR25="","",EOMONTH(BR25,0))</f>
        <v/>
      </c>
    </row>
    <row r="26" customFormat="false" ht="15" hidden="false" customHeight="false" outlineLevel="0" collapsed="false">
      <c r="B26" s="19"/>
      <c r="C26" s="19"/>
      <c r="D26" s="19"/>
      <c r="E26" s="19"/>
      <c r="F26" s="19"/>
      <c r="G26" s="19"/>
      <c r="H26" s="19"/>
      <c r="I26" s="19"/>
      <c r="J26" s="19"/>
      <c r="K26" s="19"/>
      <c r="L26" s="19"/>
      <c r="M26" s="19"/>
      <c r="N26" s="19"/>
      <c r="O26" s="19"/>
      <c r="P26" s="19"/>
      <c r="Q26" s="19"/>
      <c r="R26" s="19"/>
      <c r="S26" s="19"/>
      <c r="T26" s="19"/>
      <c r="U26" s="19"/>
      <c r="X26" s="15" t="str">
        <f aca="false">IF(OR(B$7="",$BR26=""),"",IF('Tally Helper'!$B$3&lt;&gt;TRUE(),"not on Staff",SUMIFS('Tally Helper'!$L$5:$GI$5,'Tally Helper'!$L$3:$GI$3,"&gt;="&amp;$BR26,'Tally Helper'!$L$3:$GI$3,"&lt;="&amp;$BS26)))</f>
        <v/>
      </c>
      <c r="Y26" s="15" t="str">
        <f aca="false">IF(OR(C$7="",$BR26=""),"",IF('Tally Helper'!$B$6&lt;&gt;TRUE(),"not on Staff",SUMIFS('Tally Helper'!$L$8:$GI$8,'Tally Helper'!$L$6:$GI$6,"&gt;="&amp;$BR26,'Tally Helper'!$L$6:$GI$6,"&lt;="&amp;$BS26)))</f>
        <v/>
      </c>
      <c r="Z26" s="15" t="str">
        <f aca="false">IF(OR(D$7="",$BR26=""),"",IF('Tally Helper'!$B$9&lt;&gt;TRUE(),"not on Staff",SUMIFS('Tally Helper'!$L$11:$GI$11,'Tally Helper'!$L$9:$GI$9,"&gt;="&amp;$BR26,'Tally Helper'!$L$9:$GI$9,"&lt;="&amp;$BS26)))</f>
        <v/>
      </c>
      <c r="AA26" s="15" t="str">
        <f aca="false">IF(OR(E$7="",$BR26=""),"",IF('Tally Helper'!$B$12&lt;&gt;TRUE(),"not on Staff",SUMIFS('Tally Helper'!$L$14:$GI$14,'Tally Helper'!$L$12:$GI$12,"&gt;="&amp;$BR26,'Tally Helper'!$L$12:$GI$12,"&lt;="&amp;$BS26)))</f>
        <v/>
      </c>
      <c r="AB26" s="15" t="str">
        <f aca="false">IF(OR(F$7="",$BR26=""),"",IF('Tally Helper'!$B$15&lt;&gt;TRUE(),"not on Staff",SUMIFS('Tally Helper'!$L$17:$GI$17,'Tally Helper'!$L$15:$GI$15,"&gt;="&amp;$BR26,'Tally Helper'!$L$15:$GI$15,"&lt;="&amp;$BS26)))</f>
        <v/>
      </c>
      <c r="AC26" s="15" t="str">
        <f aca="false">IF(OR(G$7="",$BR26=""),"",IF('Tally Helper'!$B$18&lt;&gt;TRUE(),"not on Staff",SUMIFS('Tally Helper'!$L$20:$GI$20,'Tally Helper'!$L$18:$GI$18,"&gt;="&amp;$BR26,'Tally Helper'!$L$18:$GI$18,"&lt;="&amp;$BS26)))</f>
        <v/>
      </c>
      <c r="AD26" s="15" t="str">
        <f aca="false">IF(OR(H$7="",$BR26=""),"",IF('Tally Helper'!$B$21&lt;&gt;TRUE(),"not on Staff",SUMIFS('Tally Helper'!$L$23:$GI$23,'Tally Helper'!$L$21:$GI$21,"&gt;="&amp;$BR26,'Tally Helper'!$L$21:$GI$21,"&lt;="&amp;$BS26)))</f>
        <v/>
      </c>
      <c r="AE26" s="15" t="str">
        <f aca="false">IF(OR(I$7="",$BR26=""),"",IF('Tally Helper'!$B$24&lt;&gt;TRUE(),"not on Staff",SUMIFS('Tally Helper'!$L$26:$GI$26,'Tally Helper'!$L$24:$GI$24,"&gt;="&amp;$BR26,'Tally Helper'!$L$24:$GI$24,"&lt;="&amp;$BS26)))</f>
        <v/>
      </c>
      <c r="AF26" s="15" t="str">
        <f aca="false">IF(OR(J$7="",$BR26=""),"",IF('Tally Helper'!$B$27&lt;&gt;TRUE(),"not on Staff",SUMIFS('Tally Helper'!$L$29:$GI$29,'Tally Helper'!$L$27:$GI$27,"&gt;="&amp;$BR26,'Tally Helper'!$L$27:$GI$27,"&lt;="&amp;$BS26)))</f>
        <v/>
      </c>
      <c r="AG26" s="15" t="str">
        <f aca="false">IF(OR(K$7="",$BR26=""),"",IF('Tally Helper'!$B$30&lt;&gt;TRUE(),"not on Staff",SUMIFS('Tally Helper'!$L$32:$GI$32,'Tally Helper'!$L$30:$GI$30,"&gt;="&amp;$BR26,'Tally Helper'!$L$30:$GI$30,"&lt;="&amp;$BS26)))</f>
        <v/>
      </c>
      <c r="AH26" s="15" t="str">
        <f aca="false">IF(OR(L$7="",$BR26=""),"",IF('Tally Helper'!$B$33&lt;&gt;TRUE(),"not on Staff",SUMIFS('Tally Helper'!$L$35:$GI$35,'Tally Helper'!$L$33:$GI$33,"&gt;="&amp;$BR26,'Tally Helper'!$L$33:$GI$33,"&lt;="&amp;$BS26)))</f>
        <v/>
      </c>
      <c r="AI26" s="15" t="str">
        <f aca="false">IF(OR(M$7="",$BR26=""),"",IF('Tally Helper'!$B$36&lt;&gt;TRUE(),"not on Staff",SUMIFS('Tally Helper'!$L$38:$GI$38,'Tally Helper'!$L$36:$GI$36,"&gt;="&amp;$BR26,'Tally Helper'!$L$36:$GI$36,"&lt;="&amp;$BS26)))</f>
        <v/>
      </c>
      <c r="AJ26" s="15" t="str">
        <f aca="false">IF(OR(N$7="",$BR26=""),"",IF('Tally Helper'!$B$39&lt;&gt;TRUE(),"not on Staff",SUMIFS('Tally Helper'!$L$41:$GI$41,'Tally Helper'!$L$39:$GI$39,"&gt;="&amp;$BR26,'Tally Helper'!$L$39:$GI$39,"&lt;="&amp;$BS26)))</f>
        <v/>
      </c>
      <c r="AK26" s="15" t="str">
        <f aca="false">IF(OR(O$7="",$BR26=""),"",IF('Tally Helper'!$B$42&lt;&gt;TRUE(),"not on Staff",SUMIFS('Tally Helper'!$L$44:$GI$44,'Tally Helper'!$L$42:$GI$42,"&gt;="&amp;$BR26,'Tally Helper'!$L$42:$GI$42,"&lt;="&amp;$BS26)))</f>
        <v/>
      </c>
      <c r="AL26" s="15" t="str">
        <f aca="false">IF(OR(P$7="",$BR26=""),"",IF('Tally Helper'!$B$45&lt;&gt;TRUE(),"not on Staff",SUMIFS('Tally Helper'!$L$47:$GI$47,'Tally Helper'!$L$45:$GI$45,"&gt;="&amp;$BR26,'Tally Helper'!$L$45:$GI$45,"&lt;="&amp;$BS26)))</f>
        <v/>
      </c>
      <c r="AM26" s="15" t="str">
        <f aca="false">IF(OR(Q$7="",$BR26=""),"",IF('Tally Helper'!$B$48&lt;&gt;TRUE(),"not on Staff",SUMIFS('Tally Helper'!$L$50:$GI$50,'Tally Helper'!$L$48:$GI$48,"&gt;="&amp;$BR26,'Tally Helper'!$L$48:$GI$48,"&lt;="&amp;$BS26)))</f>
        <v/>
      </c>
      <c r="AN26" s="15" t="str">
        <f aca="false">IF(OR(R$7="",$BR26=""),"",IF('Tally Helper'!$B$51&lt;&gt;TRUE(),"not on Staff",SUMIFS('Tally Helper'!$L$53:$GI$53,'Tally Helper'!$L$51:$GI$51,"&gt;="&amp;$BR26,'Tally Helper'!$L$51:$GI$51,"&lt;="&amp;$BS26)))</f>
        <v/>
      </c>
      <c r="AO26" s="15" t="str">
        <f aca="false">IF(OR(S$7="",$BR26=""),"",IF('Tally Helper'!$B$54&lt;&gt;TRUE(),"not on Staff",SUMIFS('Tally Helper'!$L$56:$GI$56,'Tally Helper'!$L$54:$GI$54,"&gt;="&amp;$BR26,'Tally Helper'!$L$54:$GI$54,"&lt;="&amp;$BS26)))</f>
        <v/>
      </c>
      <c r="AP26" s="15" t="str">
        <f aca="false">IF(OR(T$7="",$BR26=""),"",IF('Tally Helper'!$B$57&lt;&gt;TRUE(),"not on Staff",SUMIFS('Tally Helper'!$L$59:$GI$59,'Tally Helper'!$L$57:$GI$57,"&gt;="&amp;$BR26,'Tally Helper'!$L$57:$GI$57,"&lt;="&amp;$BS26)))</f>
        <v/>
      </c>
      <c r="AQ26" s="15" t="str">
        <f aca="false">IF(OR(U$7="",$BR26=""),"",IF('Tally Helper'!$B$60&lt;&gt;TRUE(),"not on Staff",SUMIFS('Tally Helper'!$L$62:$GI$62,'Tally Helper'!$L$60:$GI$60,"&gt;="&amp;$BR26,'Tally Helper'!$L$60:$GI$60,"&lt;="&amp;$BS26)))</f>
        <v/>
      </c>
      <c r="AT26" s="15" t="str">
        <f aca="false">IF(OR(X26="",NOT(ISNUMBER(X26))),"",X26-N(B26))</f>
        <v/>
      </c>
      <c r="AU26" s="15" t="str">
        <f aca="false">IF(OR(Y26="",NOT(ISNUMBER(Y26))),"",Y26-N(C26))</f>
        <v/>
      </c>
      <c r="AV26" s="15" t="str">
        <f aca="false">IF(OR(Z26="",NOT(ISNUMBER(Z26))),"",Z26-N(D26))</f>
        <v/>
      </c>
      <c r="AW26" s="15" t="str">
        <f aca="false">IF(OR(AA26="",NOT(ISNUMBER(AA26))),"",AA26-N(E26))</f>
        <v/>
      </c>
      <c r="AX26" s="15" t="str">
        <f aca="false">IF(OR(AB26="",NOT(ISNUMBER(AB26))),"",AB26-N(F26))</f>
        <v/>
      </c>
      <c r="AY26" s="15" t="str">
        <f aca="false">IF(OR(AC26="",NOT(ISNUMBER(AC26))),"",AC26-N(G26))</f>
        <v/>
      </c>
      <c r="AZ26" s="15" t="str">
        <f aca="false">IF(OR(AD26="",NOT(ISNUMBER(AD26))),"",AD26-N(H26))</f>
        <v/>
      </c>
      <c r="BA26" s="15" t="str">
        <f aca="false">IF(OR(AE26="",NOT(ISNUMBER(AE26))),"",AE26-N(I26))</f>
        <v/>
      </c>
      <c r="BB26" s="15" t="str">
        <f aca="false">IF(OR(AF26="",NOT(ISNUMBER(AF26))),"",AF26-N(J26))</f>
        <v/>
      </c>
      <c r="BC26" s="15" t="str">
        <f aca="false">IF(OR(AG26="",NOT(ISNUMBER(AG26))),"",AG26-N(K26))</f>
        <v/>
      </c>
      <c r="BD26" s="15" t="str">
        <f aca="false">IF(OR(AH26="",NOT(ISNUMBER(AH26))),"",AH26-N(L26))</f>
        <v/>
      </c>
      <c r="BE26" s="15" t="str">
        <f aca="false">IF(OR(AI26="",NOT(ISNUMBER(AI26))),"",AI26-N(M26))</f>
        <v/>
      </c>
      <c r="BF26" s="15" t="str">
        <f aca="false">IF(OR(AJ26="",NOT(ISNUMBER(AJ26))),"",AJ26-N(N26))</f>
        <v/>
      </c>
      <c r="BG26" s="15" t="str">
        <f aca="false">IF(OR(AK26="",NOT(ISNUMBER(AK26))),"",AK26-N(O26))</f>
        <v/>
      </c>
      <c r="BH26" s="15" t="str">
        <f aca="false">IF(OR(AL26="",NOT(ISNUMBER(AL26))),"",AL26-N(P26))</f>
        <v/>
      </c>
      <c r="BI26" s="15" t="str">
        <f aca="false">IF(OR(AM26="",NOT(ISNUMBER(AM26))),"",AM26-N(Q26))</f>
        <v/>
      </c>
      <c r="BJ26" s="15" t="str">
        <f aca="false">IF(OR(AN26="",NOT(ISNUMBER(AN26))),"",AN26-N(R26))</f>
        <v/>
      </c>
      <c r="BK26" s="15" t="str">
        <f aca="false">IF(OR(AO26="",NOT(ISNUMBER(AO26))),"",AO26-N(S26))</f>
        <v/>
      </c>
      <c r="BL26" s="15" t="str">
        <f aca="false">IF(OR(AP26="",NOT(ISNUMBER(AP26))),"",AP26-N(T26))</f>
        <v/>
      </c>
      <c r="BM26" s="15" t="str">
        <f aca="false">IF(OR(AQ26="",NOT(ISNUMBER(AQ26))),"",AQ26-N(U26))</f>
        <v/>
      </c>
      <c r="BR26" s="18" t="str">
        <f aca="false">IF($A26="","",IF(ISNUMBER($A26),DATE(YEAR($A26),MONTH($A26),1),IFERROR(DATE(2000+VALUE(RIGHT(TRIM($A26),2)),MATCH(UPPER(LEFT(TRIM($A26),3)),{"JAN","FEB","MAR","APR","MAY","JUN","JUL","AUG","SEP","OCT","NOV","DEC"},0),1),"")))</f>
        <v/>
      </c>
      <c r="BS26" s="18" t="str">
        <f aca="false">IF(BR26="","",EOMONTH(BR26,0))</f>
        <v/>
      </c>
    </row>
    <row r="27" customFormat="false" ht="15" hidden="false" customHeight="false" outlineLevel="0" collapsed="false">
      <c r="B27" s="19"/>
      <c r="C27" s="19"/>
      <c r="D27" s="19"/>
      <c r="E27" s="19"/>
      <c r="F27" s="19"/>
      <c r="G27" s="19"/>
      <c r="H27" s="19"/>
      <c r="I27" s="19"/>
      <c r="J27" s="19"/>
      <c r="K27" s="19"/>
      <c r="L27" s="19"/>
      <c r="M27" s="19"/>
      <c r="N27" s="19"/>
      <c r="O27" s="19"/>
      <c r="P27" s="19"/>
      <c r="Q27" s="19"/>
      <c r="R27" s="19"/>
      <c r="S27" s="19"/>
      <c r="T27" s="19"/>
      <c r="U27" s="19"/>
      <c r="X27" s="15" t="str">
        <f aca="false">IF(OR(B$7="",$BR27=""),"",IF('Tally Helper'!$B$3&lt;&gt;TRUE(),"not on Staff",SUMIFS('Tally Helper'!$L$5:$GI$5,'Tally Helper'!$L$3:$GI$3,"&gt;="&amp;$BR27,'Tally Helper'!$L$3:$GI$3,"&lt;="&amp;$BS27)))</f>
        <v/>
      </c>
      <c r="Y27" s="15" t="str">
        <f aca="false">IF(OR(C$7="",$BR27=""),"",IF('Tally Helper'!$B$6&lt;&gt;TRUE(),"not on Staff",SUMIFS('Tally Helper'!$L$8:$GI$8,'Tally Helper'!$L$6:$GI$6,"&gt;="&amp;$BR27,'Tally Helper'!$L$6:$GI$6,"&lt;="&amp;$BS27)))</f>
        <v/>
      </c>
      <c r="Z27" s="15" t="str">
        <f aca="false">IF(OR(D$7="",$BR27=""),"",IF('Tally Helper'!$B$9&lt;&gt;TRUE(),"not on Staff",SUMIFS('Tally Helper'!$L$11:$GI$11,'Tally Helper'!$L$9:$GI$9,"&gt;="&amp;$BR27,'Tally Helper'!$L$9:$GI$9,"&lt;="&amp;$BS27)))</f>
        <v/>
      </c>
      <c r="AA27" s="15" t="str">
        <f aca="false">IF(OR(E$7="",$BR27=""),"",IF('Tally Helper'!$B$12&lt;&gt;TRUE(),"not on Staff",SUMIFS('Tally Helper'!$L$14:$GI$14,'Tally Helper'!$L$12:$GI$12,"&gt;="&amp;$BR27,'Tally Helper'!$L$12:$GI$12,"&lt;="&amp;$BS27)))</f>
        <v/>
      </c>
      <c r="AB27" s="15" t="str">
        <f aca="false">IF(OR(F$7="",$BR27=""),"",IF('Tally Helper'!$B$15&lt;&gt;TRUE(),"not on Staff",SUMIFS('Tally Helper'!$L$17:$GI$17,'Tally Helper'!$L$15:$GI$15,"&gt;="&amp;$BR27,'Tally Helper'!$L$15:$GI$15,"&lt;="&amp;$BS27)))</f>
        <v/>
      </c>
      <c r="AC27" s="15" t="str">
        <f aca="false">IF(OR(G$7="",$BR27=""),"",IF('Tally Helper'!$B$18&lt;&gt;TRUE(),"not on Staff",SUMIFS('Tally Helper'!$L$20:$GI$20,'Tally Helper'!$L$18:$GI$18,"&gt;="&amp;$BR27,'Tally Helper'!$L$18:$GI$18,"&lt;="&amp;$BS27)))</f>
        <v/>
      </c>
      <c r="AD27" s="15" t="str">
        <f aca="false">IF(OR(H$7="",$BR27=""),"",IF('Tally Helper'!$B$21&lt;&gt;TRUE(),"not on Staff",SUMIFS('Tally Helper'!$L$23:$GI$23,'Tally Helper'!$L$21:$GI$21,"&gt;="&amp;$BR27,'Tally Helper'!$L$21:$GI$21,"&lt;="&amp;$BS27)))</f>
        <v/>
      </c>
      <c r="AE27" s="15" t="str">
        <f aca="false">IF(OR(I$7="",$BR27=""),"",IF('Tally Helper'!$B$24&lt;&gt;TRUE(),"not on Staff",SUMIFS('Tally Helper'!$L$26:$GI$26,'Tally Helper'!$L$24:$GI$24,"&gt;="&amp;$BR27,'Tally Helper'!$L$24:$GI$24,"&lt;="&amp;$BS27)))</f>
        <v/>
      </c>
      <c r="AF27" s="15" t="str">
        <f aca="false">IF(OR(J$7="",$BR27=""),"",IF('Tally Helper'!$B$27&lt;&gt;TRUE(),"not on Staff",SUMIFS('Tally Helper'!$L$29:$GI$29,'Tally Helper'!$L$27:$GI$27,"&gt;="&amp;$BR27,'Tally Helper'!$L$27:$GI$27,"&lt;="&amp;$BS27)))</f>
        <v/>
      </c>
      <c r="AG27" s="15" t="str">
        <f aca="false">IF(OR(K$7="",$BR27=""),"",IF('Tally Helper'!$B$30&lt;&gt;TRUE(),"not on Staff",SUMIFS('Tally Helper'!$L$32:$GI$32,'Tally Helper'!$L$30:$GI$30,"&gt;="&amp;$BR27,'Tally Helper'!$L$30:$GI$30,"&lt;="&amp;$BS27)))</f>
        <v/>
      </c>
      <c r="AH27" s="15" t="str">
        <f aca="false">IF(OR(L$7="",$BR27=""),"",IF('Tally Helper'!$B$33&lt;&gt;TRUE(),"not on Staff",SUMIFS('Tally Helper'!$L$35:$GI$35,'Tally Helper'!$L$33:$GI$33,"&gt;="&amp;$BR27,'Tally Helper'!$L$33:$GI$33,"&lt;="&amp;$BS27)))</f>
        <v/>
      </c>
      <c r="AI27" s="15" t="str">
        <f aca="false">IF(OR(M$7="",$BR27=""),"",IF('Tally Helper'!$B$36&lt;&gt;TRUE(),"not on Staff",SUMIFS('Tally Helper'!$L$38:$GI$38,'Tally Helper'!$L$36:$GI$36,"&gt;="&amp;$BR27,'Tally Helper'!$L$36:$GI$36,"&lt;="&amp;$BS27)))</f>
        <v/>
      </c>
      <c r="AJ27" s="15" t="str">
        <f aca="false">IF(OR(N$7="",$BR27=""),"",IF('Tally Helper'!$B$39&lt;&gt;TRUE(),"not on Staff",SUMIFS('Tally Helper'!$L$41:$GI$41,'Tally Helper'!$L$39:$GI$39,"&gt;="&amp;$BR27,'Tally Helper'!$L$39:$GI$39,"&lt;="&amp;$BS27)))</f>
        <v/>
      </c>
      <c r="AK27" s="15" t="str">
        <f aca="false">IF(OR(O$7="",$BR27=""),"",IF('Tally Helper'!$B$42&lt;&gt;TRUE(),"not on Staff",SUMIFS('Tally Helper'!$L$44:$GI$44,'Tally Helper'!$L$42:$GI$42,"&gt;="&amp;$BR27,'Tally Helper'!$L$42:$GI$42,"&lt;="&amp;$BS27)))</f>
        <v/>
      </c>
      <c r="AL27" s="15" t="str">
        <f aca="false">IF(OR(P$7="",$BR27=""),"",IF('Tally Helper'!$B$45&lt;&gt;TRUE(),"not on Staff",SUMIFS('Tally Helper'!$L$47:$GI$47,'Tally Helper'!$L$45:$GI$45,"&gt;="&amp;$BR27,'Tally Helper'!$L$45:$GI$45,"&lt;="&amp;$BS27)))</f>
        <v/>
      </c>
      <c r="AM27" s="15" t="str">
        <f aca="false">IF(OR(Q$7="",$BR27=""),"",IF('Tally Helper'!$B$48&lt;&gt;TRUE(),"not on Staff",SUMIFS('Tally Helper'!$L$50:$GI$50,'Tally Helper'!$L$48:$GI$48,"&gt;="&amp;$BR27,'Tally Helper'!$L$48:$GI$48,"&lt;="&amp;$BS27)))</f>
        <v/>
      </c>
      <c r="AN27" s="15" t="str">
        <f aca="false">IF(OR(R$7="",$BR27=""),"",IF('Tally Helper'!$B$51&lt;&gt;TRUE(),"not on Staff",SUMIFS('Tally Helper'!$L$53:$GI$53,'Tally Helper'!$L$51:$GI$51,"&gt;="&amp;$BR27,'Tally Helper'!$L$51:$GI$51,"&lt;="&amp;$BS27)))</f>
        <v/>
      </c>
      <c r="AO27" s="15" t="str">
        <f aca="false">IF(OR(S$7="",$BR27=""),"",IF('Tally Helper'!$B$54&lt;&gt;TRUE(),"not on Staff",SUMIFS('Tally Helper'!$L$56:$GI$56,'Tally Helper'!$L$54:$GI$54,"&gt;="&amp;$BR27,'Tally Helper'!$L$54:$GI$54,"&lt;="&amp;$BS27)))</f>
        <v/>
      </c>
      <c r="AP27" s="15" t="str">
        <f aca="false">IF(OR(T$7="",$BR27=""),"",IF('Tally Helper'!$B$57&lt;&gt;TRUE(),"not on Staff",SUMIFS('Tally Helper'!$L$59:$GI$59,'Tally Helper'!$L$57:$GI$57,"&gt;="&amp;$BR27,'Tally Helper'!$L$57:$GI$57,"&lt;="&amp;$BS27)))</f>
        <v/>
      </c>
      <c r="AQ27" s="15" t="str">
        <f aca="false">IF(OR(U$7="",$BR27=""),"",IF('Tally Helper'!$B$60&lt;&gt;TRUE(),"not on Staff",SUMIFS('Tally Helper'!$L$62:$GI$62,'Tally Helper'!$L$60:$GI$60,"&gt;="&amp;$BR27,'Tally Helper'!$L$60:$GI$60,"&lt;="&amp;$BS27)))</f>
        <v/>
      </c>
      <c r="AT27" s="15" t="str">
        <f aca="false">IF(OR(X27="",NOT(ISNUMBER(X27))),"",X27-N(B27))</f>
        <v/>
      </c>
      <c r="AU27" s="15" t="str">
        <f aca="false">IF(OR(Y27="",NOT(ISNUMBER(Y27))),"",Y27-N(C27))</f>
        <v/>
      </c>
      <c r="AV27" s="15" t="str">
        <f aca="false">IF(OR(Z27="",NOT(ISNUMBER(Z27))),"",Z27-N(D27))</f>
        <v/>
      </c>
      <c r="AW27" s="15" t="str">
        <f aca="false">IF(OR(AA27="",NOT(ISNUMBER(AA27))),"",AA27-N(E27))</f>
        <v/>
      </c>
      <c r="AX27" s="15" t="str">
        <f aca="false">IF(OR(AB27="",NOT(ISNUMBER(AB27))),"",AB27-N(F27))</f>
        <v/>
      </c>
      <c r="AY27" s="15" t="str">
        <f aca="false">IF(OR(AC27="",NOT(ISNUMBER(AC27))),"",AC27-N(G27))</f>
        <v/>
      </c>
      <c r="AZ27" s="15" t="str">
        <f aca="false">IF(OR(AD27="",NOT(ISNUMBER(AD27))),"",AD27-N(H27))</f>
        <v/>
      </c>
      <c r="BA27" s="15" t="str">
        <f aca="false">IF(OR(AE27="",NOT(ISNUMBER(AE27))),"",AE27-N(I27))</f>
        <v/>
      </c>
      <c r="BB27" s="15" t="str">
        <f aca="false">IF(OR(AF27="",NOT(ISNUMBER(AF27))),"",AF27-N(J27))</f>
        <v/>
      </c>
      <c r="BC27" s="15" t="str">
        <f aca="false">IF(OR(AG27="",NOT(ISNUMBER(AG27))),"",AG27-N(K27))</f>
        <v/>
      </c>
      <c r="BD27" s="15" t="str">
        <f aca="false">IF(OR(AH27="",NOT(ISNUMBER(AH27))),"",AH27-N(L27))</f>
        <v/>
      </c>
      <c r="BE27" s="15" t="str">
        <f aca="false">IF(OR(AI27="",NOT(ISNUMBER(AI27))),"",AI27-N(M27))</f>
        <v/>
      </c>
      <c r="BF27" s="15" t="str">
        <f aca="false">IF(OR(AJ27="",NOT(ISNUMBER(AJ27))),"",AJ27-N(N27))</f>
        <v/>
      </c>
      <c r="BG27" s="15" t="str">
        <f aca="false">IF(OR(AK27="",NOT(ISNUMBER(AK27))),"",AK27-N(O27))</f>
        <v/>
      </c>
      <c r="BH27" s="15" t="str">
        <f aca="false">IF(OR(AL27="",NOT(ISNUMBER(AL27))),"",AL27-N(P27))</f>
        <v/>
      </c>
      <c r="BI27" s="15" t="str">
        <f aca="false">IF(OR(AM27="",NOT(ISNUMBER(AM27))),"",AM27-N(Q27))</f>
        <v/>
      </c>
      <c r="BJ27" s="15" t="str">
        <f aca="false">IF(OR(AN27="",NOT(ISNUMBER(AN27))),"",AN27-N(R27))</f>
        <v/>
      </c>
      <c r="BK27" s="15" t="str">
        <f aca="false">IF(OR(AO27="",NOT(ISNUMBER(AO27))),"",AO27-N(S27))</f>
        <v/>
      </c>
      <c r="BL27" s="15" t="str">
        <f aca="false">IF(OR(AP27="",NOT(ISNUMBER(AP27))),"",AP27-N(T27))</f>
        <v/>
      </c>
      <c r="BM27" s="15" t="str">
        <f aca="false">IF(OR(AQ27="",NOT(ISNUMBER(AQ27))),"",AQ27-N(U27))</f>
        <v/>
      </c>
      <c r="BR27" s="18" t="str">
        <f aca="false">IF($A27="","",IF(ISNUMBER($A27),DATE(YEAR($A27),MONTH($A27),1),IFERROR(DATE(2000+VALUE(RIGHT(TRIM($A27),2)),MATCH(UPPER(LEFT(TRIM($A27),3)),{"JAN","FEB","MAR","APR","MAY","JUN","JUL","AUG","SEP","OCT","NOV","DEC"},0),1),"")))</f>
        <v/>
      </c>
      <c r="BS27" s="18" t="str">
        <f aca="false">IF(BR27="","",EOMONTH(BR27,0))</f>
        <v/>
      </c>
    </row>
    <row r="28" customFormat="false" ht="15" hidden="false" customHeight="false" outlineLevel="0" collapsed="false">
      <c r="B28" s="19"/>
      <c r="C28" s="19"/>
      <c r="D28" s="19"/>
      <c r="E28" s="19"/>
      <c r="F28" s="19"/>
      <c r="G28" s="19"/>
      <c r="H28" s="19"/>
      <c r="I28" s="19"/>
      <c r="J28" s="19"/>
      <c r="K28" s="19"/>
      <c r="L28" s="19"/>
      <c r="M28" s="19"/>
      <c r="N28" s="19"/>
      <c r="O28" s="19"/>
      <c r="P28" s="19"/>
      <c r="Q28" s="19"/>
      <c r="R28" s="19"/>
      <c r="S28" s="19"/>
      <c r="T28" s="19"/>
      <c r="U28" s="19"/>
      <c r="X28" s="15" t="str">
        <f aca="false">IF(OR(B$7="",$BR28=""),"",IF('Tally Helper'!$B$3&lt;&gt;TRUE(),"not on Staff",SUMIFS('Tally Helper'!$L$5:$GI$5,'Tally Helper'!$L$3:$GI$3,"&gt;="&amp;$BR28,'Tally Helper'!$L$3:$GI$3,"&lt;="&amp;$BS28)))</f>
        <v/>
      </c>
      <c r="Y28" s="15" t="str">
        <f aca="false">IF(OR(C$7="",$BR28=""),"",IF('Tally Helper'!$B$6&lt;&gt;TRUE(),"not on Staff",SUMIFS('Tally Helper'!$L$8:$GI$8,'Tally Helper'!$L$6:$GI$6,"&gt;="&amp;$BR28,'Tally Helper'!$L$6:$GI$6,"&lt;="&amp;$BS28)))</f>
        <v/>
      </c>
      <c r="Z28" s="15" t="str">
        <f aca="false">IF(OR(D$7="",$BR28=""),"",IF('Tally Helper'!$B$9&lt;&gt;TRUE(),"not on Staff",SUMIFS('Tally Helper'!$L$11:$GI$11,'Tally Helper'!$L$9:$GI$9,"&gt;="&amp;$BR28,'Tally Helper'!$L$9:$GI$9,"&lt;="&amp;$BS28)))</f>
        <v/>
      </c>
      <c r="AA28" s="15" t="str">
        <f aca="false">IF(OR(E$7="",$BR28=""),"",IF('Tally Helper'!$B$12&lt;&gt;TRUE(),"not on Staff",SUMIFS('Tally Helper'!$L$14:$GI$14,'Tally Helper'!$L$12:$GI$12,"&gt;="&amp;$BR28,'Tally Helper'!$L$12:$GI$12,"&lt;="&amp;$BS28)))</f>
        <v/>
      </c>
      <c r="AB28" s="15" t="str">
        <f aca="false">IF(OR(F$7="",$BR28=""),"",IF('Tally Helper'!$B$15&lt;&gt;TRUE(),"not on Staff",SUMIFS('Tally Helper'!$L$17:$GI$17,'Tally Helper'!$L$15:$GI$15,"&gt;="&amp;$BR28,'Tally Helper'!$L$15:$GI$15,"&lt;="&amp;$BS28)))</f>
        <v/>
      </c>
      <c r="AC28" s="15" t="str">
        <f aca="false">IF(OR(G$7="",$BR28=""),"",IF('Tally Helper'!$B$18&lt;&gt;TRUE(),"not on Staff",SUMIFS('Tally Helper'!$L$20:$GI$20,'Tally Helper'!$L$18:$GI$18,"&gt;="&amp;$BR28,'Tally Helper'!$L$18:$GI$18,"&lt;="&amp;$BS28)))</f>
        <v/>
      </c>
      <c r="AD28" s="15" t="str">
        <f aca="false">IF(OR(H$7="",$BR28=""),"",IF('Tally Helper'!$B$21&lt;&gt;TRUE(),"not on Staff",SUMIFS('Tally Helper'!$L$23:$GI$23,'Tally Helper'!$L$21:$GI$21,"&gt;="&amp;$BR28,'Tally Helper'!$L$21:$GI$21,"&lt;="&amp;$BS28)))</f>
        <v/>
      </c>
      <c r="AE28" s="15" t="str">
        <f aca="false">IF(OR(I$7="",$BR28=""),"",IF('Tally Helper'!$B$24&lt;&gt;TRUE(),"not on Staff",SUMIFS('Tally Helper'!$L$26:$GI$26,'Tally Helper'!$L$24:$GI$24,"&gt;="&amp;$BR28,'Tally Helper'!$L$24:$GI$24,"&lt;="&amp;$BS28)))</f>
        <v/>
      </c>
      <c r="AF28" s="15" t="str">
        <f aca="false">IF(OR(J$7="",$BR28=""),"",IF('Tally Helper'!$B$27&lt;&gt;TRUE(),"not on Staff",SUMIFS('Tally Helper'!$L$29:$GI$29,'Tally Helper'!$L$27:$GI$27,"&gt;="&amp;$BR28,'Tally Helper'!$L$27:$GI$27,"&lt;="&amp;$BS28)))</f>
        <v/>
      </c>
      <c r="AG28" s="15" t="str">
        <f aca="false">IF(OR(K$7="",$BR28=""),"",IF('Tally Helper'!$B$30&lt;&gt;TRUE(),"not on Staff",SUMIFS('Tally Helper'!$L$32:$GI$32,'Tally Helper'!$L$30:$GI$30,"&gt;="&amp;$BR28,'Tally Helper'!$L$30:$GI$30,"&lt;="&amp;$BS28)))</f>
        <v/>
      </c>
      <c r="AH28" s="15" t="str">
        <f aca="false">IF(OR(L$7="",$BR28=""),"",IF('Tally Helper'!$B$33&lt;&gt;TRUE(),"not on Staff",SUMIFS('Tally Helper'!$L$35:$GI$35,'Tally Helper'!$L$33:$GI$33,"&gt;="&amp;$BR28,'Tally Helper'!$L$33:$GI$33,"&lt;="&amp;$BS28)))</f>
        <v/>
      </c>
      <c r="AI28" s="15" t="str">
        <f aca="false">IF(OR(M$7="",$BR28=""),"",IF('Tally Helper'!$B$36&lt;&gt;TRUE(),"not on Staff",SUMIFS('Tally Helper'!$L$38:$GI$38,'Tally Helper'!$L$36:$GI$36,"&gt;="&amp;$BR28,'Tally Helper'!$L$36:$GI$36,"&lt;="&amp;$BS28)))</f>
        <v/>
      </c>
      <c r="AJ28" s="15" t="str">
        <f aca="false">IF(OR(N$7="",$BR28=""),"",IF('Tally Helper'!$B$39&lt;&gt;TRUE(),"not on Staff",SUMIFS('Tally Helper'!$L$41:$GI$41,'Tally Helper'!$L$39:$GI$39,"&gt;="&amp;$BR28,'Tally Helper'!$L$39:$GI$39,"&lt;="&amp;$BS28)))</f>
        <v/>
      </c>
      <c r="AK28" s="15" t="str">
        <f aca="false">IF(OR(O$7="",$BR28=""),"",IF('Tally Helper'!$B$42&lt;&gt;TRUE(),"not on Staff",SUMIFS('Tally Helper'!$L$44:$GI$44,'Tally Helper'!$L$42:$GI$42,"&gt;="&amp;$BR28,'Tally Helper'!$L$42:$GI$42,"&lt;="&amp;$BS28)))</f>
        <v/>
      </c>
      <c r="AL28" s="15" t="str">
        <f aca="false">IF(OR(P$7="",$BR28=""),"",IF('Tally Helper'!$B$45&lt;&gt;TRUE(),"not on Staff",SUMIFS('Tally Helper'!$L$47:$GI$47,'Tally Helper'!$L$45:$GI$45,"&gt;="&amp;$BR28,'Tally Helper'!$L$45:$GI$45,"&lt;="&amp;$BS28)))</f>
        <v/>
      </c>
      <c r="AM28" s="15" t="str">
        <f aca="false">IF(OR(Q$7="",$BR28=""),"",IF('Tally Helper'!$B$48&lt;&gt;TRUE(),"not on Staff",SUMIFS('Tally Helper'!$L$50:$GI$50,'Tally Helper'!$L$48:$GI$48,"&gt;="&amp;$BR28,'Tally Helper'!$L$48:$GI$48,"&lt;="&amp;$BS28)))</f>
        <v/>
      </c>
      <c r="AN28" s="15" t="str">
        <f aca="false">IF(OR(R$7="",$BR28=""),"",IF('Tally Helper'!$B$51&lt;&gt;TRUE(),"not on Staff",SUMIFS('Tally Helper'!$L$53:$GI$53,'Tally Helper'!$L$51:$GI$51,"&gt;="&amp;$BR28,'Tally Helper'!$L$51:$GI$51,"&lt;="&amp;$BS28)))</f>
        <v/>
      </c>
      <c r="AO28" s="15" t="str">
        <f aca="false">IF(OR(S$7="",$BR28=""),"",IF('Tally Helper'!$B$54&lt;&gt;TRUE(),"not on Staff",SUMIFS('Tally Helper'!$L$56:$GI$56,'Tally Helper'!$L$54:$GI$54,"&gt;="&amp;$BR28,'Tally Helper'!$L$54:$GI$54,"&lt;="&amp;$BS28)))</f>
        <v/>
      </c>
      <c r="AP28" s="15" t="str">
        <f aca="false">IF(OR(T$7="",$BR28=""),"",IF('Tally Helper'!$B$57&lt;&gt;TRUE(),"not on Staff",SUMIFS('Tally Helper'!$L$59:$GI$59,'Tally Helper'!$L$57:$GI$57,"&gt;="&amp;$BR28,'Tally Helper'!$L$57:$GI$57,"&lt;="&amp;$BS28)))</f>
        <v/>
      </c>
      <c r="AQ28" s="15" t="str">
        <f aca="false">IF(OR(U$7="",$BR28=""),"",IF('Tally Helper'!$B$60&lt;&gt;TRUE(),"not on Staff",SUMIFS('Tally Helper'!$L$62:$GI$62,'Tally Helper'!$L$60:$GI$60,"&gt;="&amp;$BR28,'Tally Helper'!$L$60:$GI$60,"&lt;="&amp;$BS28)))</f>
        <v/>
      </c>
      <c r="AT28" s="15" t="str">
        <f aca="false">IF(OR(X28="",NOT(ISNUMBER(X28))),"",X28-N(B28))</f>
        <v/>
      </c>
      <c r="AU28" s="15" t="str">
        <f aca="false">IF(OR(Y28="",NOT(ISNUMBER(Y28))),"",Y28-N(C28))</f>
        <v/>
      </c>
      <c r="AV28" s="15" t="str">
        <f aca="false">IF(OR(Z28="",NOT(ISNUMBER(Z28))),"",Z28-N(D28))</f>
        <v/>
      </c>
      <c r="AW28" s="15" t="str">
        <f aca="false">IF(OR(AA28="",NOT(ISNUMBER(AA28))),"",AA28-N(E28))</f>
        <v/>
      </c>
      <c r="AX28" s="15" t="str">
        <f aca="false">IF(OR(AB28="",NOT(ISNUMBER(AB28))),"",AB28-N(F28))</f>
        <v/>
      </c>
      <c r="AY28" s="15" t="str">
        <f aca="false">IF(OR(AC28="",NOT(ISNUMBER(AC28))),"",AC28-N(G28))</f>
        <v/>
      </c>
      <c r="AZ28" s="15" t="str">
        <f aca="false">IF(OR(AD28="",NOT(ISNUMBER(AD28))),"",AD28-N(H28))</f>
        <v/>
      </c>
      <c r="BA28" s="15" t="str">
        <f aca="false">IF(OR(AE28="",NOT(ISNUMBER(AE28))),"",AE28-N(I28))</f>
        <v/>
      </c>
      <c r="BB28" s="15" t="str">
        <f aca="false">IF(OR(AF28="",NOT(ISNUMBER(AF28))),"",AF28-N(J28))</f>
        <v/>
      </c>
      <c r="BC28" s="15" t="str">
        <f aca="false">IF(OR(AG28="",NOT(ISNUMBER(AG28))),"",AG28-N(K28))</f>
        <v/>
      </c>
      <c r="BD28" s="15" t="str">
        <f aca="false">IF(OR(AH28="",NOT(ISNUMBER(AH28))),"",AH28-N(L28))</f>
        <v/>
      </c>
      <c r="BE28" s="15" t="str">
        <f aca="false">IF(OR(AI28="",NOT(ISNUMBER(AI28))),"",AI28-N(M28))</f>
        <v/>
      </c>
      <c r="BF28" s="15" t="str">
        <f aca="false">IF(OR(AJ28="",NOT(ISNUMBER(AJ28))),"",AJ28-N(N28))</f>
        <v/>
      </c>
      <c r="BG28" s="15" t="str">
        <f aca="false">IF(OR(AK28="",NOT(ISNUMBER(AK28))),"",AK28-N(O28))</f>
        <v/>
      </c>
      <c r="BH28" s="15" t="str">
        <f aca="false">IF(OR(AL28="",NOT(ISNUMBER(AL28))),"",AL28-N(P28))</f>
        <v/>
      </c>
      <c r="BI28" s="15" t="str">
        <f aca="false">IF(OR(AM28="",NOT(ISNUMBER(AM28))),"",AM28-N(Q28))</f>
        <v/>
      </c>
      <c r="BJ28" s="15" t="str">
        <f aca="false">IF(OR(AN28="",NOT(ISNUMBER(AN28))),"",AN28-N(R28))</f>
        <v/>
      </c>
      <c r="BK28" s="15" t="str">
        <f aca="false">IF(OR(AO28="",NOT(ISNUMBER(AO28))),"",AO28-N(S28))</f>
        <v/>
      </c>
      <c r="BL28" s="15" t="str">
        <f aca="false">IF(OR(AP28="",NOT(ISNUMBER(AP28))),"",AP28-N(T28))</f>
        <v/>
      </c>
      <c r="BM28" s="15" t="str">
        <f aca="false">IF(OR(AQ28="",NOT(ISNUMBER(AQ28))),"",AQ28-N(U28))</f>
        <v/>
      </c>
      <c r="BR28" s="18" t="str">
        <f aca="false">IF($A28="","",IF(ISNUMBER($A28),DATE(YEAR($A28),MONTH($A28),1),IFERROR(DATE(2000+VALUE(RIGHT(TRIM($A28),2)),MATCH(UPPER(LEFT(TRIM($A28),3)),{"JAN","FEB","MAR","APR","MAY","JUN","JUL","AUG","SEP","OCT","NOV","DEC"},0),1),"")))</f>
        <v/>
      </c>
      <c r="BS28" s="18" t="str">
        <f aca="false">IF(BR28="","",EOMONTH(BR28,0))</f>
        <v/>
      </c>
    </row>
    <row r="29" customFormat="false" ht="15" hidden="false" customHeight="false" outlineLevel="0" collapsed="false">
      <c r="B29" s="19"/>
      <c r="C29" s="19"/>
      <c r="D29" s="19"/>
      <c r="E29" s="19"/>
      <c r="F29" s="19"/>
      <c r="G29" s="19"/>
      <c r="H29" s="19"/>
      <c r="I29" s="19"/>
      <c r="J29" s="19"/>
      <c r="K29" s="19"/>
      <c r="L29" s="19"/>
      <c r="M29" s="19"/>
      <c r="N29" s="19"/>
      <c r="O29" s="19"/>
      <c r="P29" s="19"/>
      <c r="Q29" s="19"/>
      <c r="R29" s="19"/>
      <c r="S29" s="19"/>
      <c r="T29" s="19"/>
      <c r="U29" s="19"/>
      <c r="X29" s="15" t="str">
        <f aca="false">IF(OR(B$7="",$BR29=""),"",IF('Tally Helper'!$B$3&lt;&gt;TRUE(),"not on Staff",SUMIFS('Tally Helper'!$L$5:$GI$5,'Tally Helper'!$L$3:$GI$3,"&gt;="&amp;$BR29,'Tally Helper'!$L$3:$GI$3,"&lt;="&amp;$BS29)))</f>
        <v/>
      </c>
      <c r="Y29" s="15" t="str">
        <f aca="false">IF(OR(C$7="",$BR29=""),"",IF('Tally Helper'!$B$6&lt;&gt;TRUE(),"not on Staff",SUMIFS('Tally Helper'!$L$8:$GI$8,'Tally Helper'!$L$6:$GI$6,"&gt;="&amp;$BR29,'Tally Helper'!$L$6:$GI$6,"&lt;="&amp;$BS29)))</f>
        <v/>
      </c>
      <c r="Z29" s="15" t="str">
        <f aca="false">IF(OR(D$7="",$BR29=""),"",IF('Tally Helper'!$B$9&lt;&gt;TRUE(),"not on Staff",SUMIFS('Tally Helper'!$L$11:$GI$11,'Tally Helper'!$L$9:$GI$9,"&gt;="&amp;$BR29,'Tally Helper'!$L$9:$GI$9,"&lt;="&amp;$BS29)))</f>
        <v/>
      </c>
      <c r="AA29" s="15" t="str">
        <f aca="false">IF(OR(E$7="",$BR29=""),"",IF('Tally Helper'!$B$12&lt;&gt;TRUE(),"not on Staff",SUMIFS('Tally Helper'!$L$14:$GI$14,'Tally Helper'!$L$12:$GI$12,"&gt;="&amp;$BR29,'Tally Helper'!$L$12:$GI$12,"&lt;="&amp;$BS29)))</f>
        <v/>
      </c>
      <c r="AB29" s="15" t="str">
        <f aca="false">IF(OR(F$7="",$BR29=""),"",IF('Tally Helper'!$B$15&lt;&gt;TRUE(),"not on Staff",SUMIFS('Tally Helper'!$L$17:$GI$17,'Tally Helper'!$L$15:$GI$15,"&gt;="&amp;$BR29,'Tally Helper'!$L$15:$GI$15,"&lt;="&amp;$BS29)))</f>
        <v/>
      </c>
      <c r="AC29" s="15" t="str">
        <f aca="false">IF(OR(G$7="",$BR29=""),"",IF('Tally Helper'!$B$18&lt;&gt;TRUE(),"not on Staff",SUMIFS('Tally Helper'!$L$20:$GI$20,'Tally Helper'!$L$18:$GI$18,"&gt;="&amp;$BR29,'Tally Helper'!$L$18:$GI$18,"&lt;="&amp;$BS29)))</f>
        <v/>
      </c>
      <c r="AD29" s="15" t="str">
        <f aca="false">IF(OR(H$7="",$BR29=""),"",IF('Tally Helper'!$B$21&lt;&gt;TRUE(),"not on Staff",SUMIFS('Tally Helper'!$L$23:$GI$23,'Tally Helper'!$L$21:$GI$21,"&gt;="&amp;$BR29,'Tally Helper'!$L$21:$GI$21,"&lt;="&amp;$BS29)))</f>
        <v/>
      </c>
      <c r="AE29" s="15" t="str">
        <f aca="false">IF(OR(I$7="",$BR29=""),"",IF('Tally Helper'!$B$24&lt;&gt;TRUE(),"not on Staff",SUMIFS('Tally Helper'!$L$26:$GI$26,'Tally Helper'!$L$24:$GI$24,"&gt;="&amp;$BR29,'Tally Helper'!$L$24:$GI$24,"&lt;="&amp;$BS29)))</f>
        <v/>
      </c>
      <c r="AF29" s="15" t="str">
        <f aca="false">IF(OR(J$7="",$BR29=""),"",IF('Tally Helper'!$B$27&lt;&gt;TRUE(),"not on Staff",SUMIFS('Tally Helper'!$L$29:$GI$29,'Tally Helper'!$L$27:$GI$27,"&gt;="&amp;$BR29,'Tally Helper'!$L$27:$GI$27,"&lt;="&amp;$BS29)))</f>
        <v/>
      </c>
      <c r="AG29" s="15" t="str">
        <f aca="false">IF(OR(K$7="",$BR29=""),"",IF('Tally Helper'!$B$30&lt;&gt;TRUE(),"not on Staff",SUMIFS('Tally Helper'!$L$32:$GI$32,'Tally Helper'!$L$30:$GI$30,"&gt;="&amp;$BR29,'Tally Helper'!$L$30:$GI$30,"&lt;="&amp;$BS29)))</f>
        <v/>
      </c>
      <c r="AH29" s="15" t="str">
        <f aca="false">IF(OR(L$7="",$BR29=""),"",IF('Tally Helper'!$B$33&lt;&gt;TRUE(),"not on Staff",SUMIFS('Tally Helper'!$L$35:$GI$35,'Tally Helper'!$L$33:$GI$33,"&gt;="&amp;$BR29,'Tally Helper'!$L$33:$GI$33,"&lt;="&amp;$BS29)))</f>
        <v/>
      </c>
      <c r="AI29" s="15" t="str">
        <f aca="false">IF(OR(M$7="",$BR29=""),"",IF('Tally Helper'!$B$36&lt;&gt;TRUE(),"not on Staff",SUMIFS('Tally Helper'!$L$38:$GI$38,'Tally Helper'!$L$36:$GI$36,"&gt;="&amp;$BR29,'Tally Helper'!$L$36:$GI$36,"&lt;="&amp;$BS29)))</f>
        <v/>
      </c>
      <c r="AJ29" s="15" t="str">
        <f aca="false">IF(OR(N$7="",$BR29=""),"",IF('Tally Helper'!$B$39&lt;&gt;TRUE(),"not on Staff",SUMIFS('Tally Helper'!$L$41:$GI$41,'Tally Helper'!$L$39:$GI$39,"&gt;="&amp;$BR29,'Tally Helper'!$L$39:$GI$39,"&lt;="&amp;$BS29)))</f>
        <v/>
      </c>
      <c r="AK29" s="15" t="str">
        <f aca="false">IF(OR(O$7="",$BR29=""),"",IF('Tally Helper'!$B$42&lt;&gt;TRUE(),"not on Staff",SUMIFS('Tally Helper'!$L$44:$GI$44,'Tally Helper'!$L$42:$GI$42,"&gt;="&amp;$BR29,'Tally Helper'!$L$42:$GI$42,"&lt;="&amp;$BS29)))</f>
        <v/>
      </c>
      <c r="AL29" s="15" t="str">
        <f aca="false">IF(OR(P$7="",$BR29=""),"",IF('Tally Helper'!$B$45&lt;&gt;TRUE(),"not on Staff",SUMIFS('Tally Helper'!$L$47:$GI$47,'Tally Helper'!$L$45:$GI$45,"&gt;="&amp;$BR29,'Tally Helper'!$L$45:$GI$45,"&lt;="&amp;$BS29)))</f>
        <v/>
      </c>
      <c r="AM29" s="15" t="str">
        <f aca="false">IF(OR(Q$7="",$BR29=""),"",IF('Tally Helper'!$B$48&lt;&gt;TRUE(),"not on Staff",SUMIFS('Tally Helper'!$L$50:$GI$50,'Tally Helper'!$L$48:$GI$48,"&gt;="&amp;$BR29,'Tally Helper'!$L$48:$GI$48,"&lt;="&amp;$BS29)))</f>
        <v/>
      </c>
      <c r="AN29" s="15" t="str">
        <f aca="false">IF(OR(R$7="",$BR29=""),"",IF('Tally Helper'!$B$51&lt;&gt;TRUE(),"not on Staff",SUMIFS('Tally Helper'!$L$53:$GI$53,'Tally Helper'!$L$51:$GI$51,"&gt;="&amp;$BR29,'Tally Helper'!$L$51:$GI$51,"&lt;="&amp;$BS29)))</f>
        <v/>
      </c>
      <c r="AO29" s="15" t="str">
        <f aca="false">IF(OR(S$7="",$BR29=""),"",IF('Tally Helper'!$B$54&lt;&gt;TRUE(),"not on Staff",SUMIFS('Tally Helper'!$L$56:$GI$56,'Tally Helper'!$L$54:$GI$54,"&gt;="&amp;$BR29,'Tally Helper'!$L$54:$GI$54,"&lt;="&amp;$BS29)))</f>
        <v/>
      </c>
      <c r="AP29" s="15" t="str">
        <f aca="false">IF(OR(T$7="",$BR29=""),"",IF('Tally Helper'!$B$57&lt;&gt;TRUE(),"not on Staff",SUMIFS('Tally Helper'!$L$59:$GI$59,'Tally Helper'!$L$57:$GI$57,"&gt;="&amp;$BR29,'Tally Helper'!$L$57:$GI$57,"&lt;="&amp;$BS29)))</f>
        <v/>
      </c>
      <c r="AQ29" s="15" t="str">
        <f aca="false">IF(OR(U$7="",$BR29=""),"",IF('Tally Helper'!$B$60&lt;&gt;TRUE(),"not on Staff",SUMIFS('Tally Helper'!$L$62:$GI$62,'Tally Helper'!$L$60:$GI$60,"&gt;="&amp;$BR29,'Tally Helper'!$L$60:$GI$60,"&lt;="&amp;$BS29)))</f>
        <v/>
      </c>
      <c r="AT29" s="15" t="str">
        <f aca="false">IF(OR(X29="",NOT(ISNUMBER(X29))),"",X29-N(B29))</f>
        <v/>
      </c>
      <c r="AU29" s="15" t="str">
        <f aca="false">IF(OR(Y29="",NOT(ISNUMBER(Y29))),"",Y29-N(C29))</f>
        <v/>
      </c>
      <c r="AV29" s="15" t="str">
        <f aca="false">IF(OR(Z29="",NOT(ISNUMBER(Z29))),"",Z29-N(D29))</f>
        <v/>
      </c>
      <c r="AW29" s="15" t="str">
        <f aca="false">IF(OR(AA29="",NOT(ISNUMBER(AA29))),"",AA29-N(E29))</f>
        <v/>
      </c>
      <c r="AX29" s="15" t="str">
        <f aca="false">IF(OR(AB29="",NOT(ISNUMBER(AB29))),"",AB29-N(F29))</f>
        <v/>
      </c>
      <c r="AY29" s="15" t="str">
        <f aca="false">IF(OR(AC29="",NOT(ISNUMBER(AC29))),"",AC29-N(G29))</f>
        <v/>
      </c>
      <c r="AZ29" s="15" t="str">
        <f aca="false">IF(OR(AD29="",NOT(ISNUMBER(AD29))),"",AD29-N(H29))</f>
        <v/>
      </c>
      <c r="BA29" s="15" t="str">
        <f aca="false">IF(OR(AE29="",NOT(ISNUMBER(AE29))),"",AE29-N(I29))</f>
        <v/>
      </c>
      <c r="BB29" s="15" t="str">
        <f aca="false">IF(OR(AF29="",NOT(ISNUMBER(AF29))),"",AF29-N(J29))</f>
        <v/>
      </c>
      <c r="BC29" s="15" t="str">
        <f aca="false">IF(OR(AG29="",NOT(ISNUMBER(AG29))),"",AG29-N(K29))</f>
        <v/>
      </c>
      <c r="BD29" s="15" t="str">
        <f aca="false">IF(OR(AH29="",NOT(ISNUMBER(AH29))),"",AH29-N(L29))</f>
        <v/>
      </c>
      <c r="BE29" s="15" t="str">
        <f aca="false">IF(OR(AI29="",NOT(ISNUMBER(AI29))),"",AI29-N(M29))</f>
        <v/>
      </c>
      <c r="BF29" s="15" t="str">
        <f aca="false">IF(OR(AJ29="",NOT(ISNUMBER(AJ29))),"",AJ29-N(N29))</f>
        <v/>
      </c>
      <c r="BG29" s="15" t="str">
        <f aca="false">IF(OR(AK29="",NOT(ISNUMBER(AK29))),"",AK29-N(O29))</f>
        <v/>
      </c>
      <c r="BH29" s="15" t="str">
        <f aca="false">IF(OR(AL29="",NOT(ISNUMBER(AL29))),"",AL29-N(P29))</f>
        <v/>
      </c>
      <c r="BI29" s="15" t="str">
        <f aca="false">IF(OR(AM29="",NOT(ISNUMBER(AM29))),"",AM29-N(Q29))</f>
        <v/>
      </c>
      <c r="BJ29" s="15" t="str">
        <f aca="false">IF(OR(AN29="",NOT(ISNUMBER(AN29))),"",AN29-N(R29))</f>
        <v/>
      </c>
      <c r="BK29" s="15" t="str">
        <f aca="false">IF(OR(AO29="",NOT(ISNUMBER(AO29))),"",AO29-N(S29))</f>
        <v/>
      </c>
      <c r="BL29" s="15" t="str">
        <f aca="false">IF(OR(AP29="",NOT(ISNUMBER(AP29))),"",AP29-N(T29))</f>
        <v/>
      </c>
      <c r="BM29" s="15" t="str">
        <f aca="false">IF(OR(AQ29="",NOT(ISNUMBER(AQ29))),"",AQ29-N(U29))</f>
        <v/>
      </c>
      <c r="BR29" s="18" t="str">
        <f aca="false">IF($A29="","",IF(ISNUMBER($A29),DATE(YEAR($A29),MONTH($A29),1),IFERROR(DATE(2000+VALUE(RIGHT(TRIM($A29),2)),MATCH(UPPER(LEFT(TRIM($A29),3)),{"JAN","FEB","MAR","APR","MAY","JUN","JUL","AUG","SEP","OCT","NOV","DEC"},0),1),"")))</f>
        <v/>
      </c>
      <c r="BS29" s="18" t="str">
        <f aca="false">IF(BR29="","",EOMONTH(BR29,0))</f>
        <v/>
      </c>
    </row>
    <row r="30" customFormat="false" ht="15" hidden="false" customHeight="false" outlineLevel="0" collapsed="false">
      <c r="B30" s="19"/>
      <c r="C30" s="19"/>
      <c r="D30" s="19"/>
      <c r="E30" s="19"/>
      <c r="F30" s="19"/>
      <c r="G30" s="19"/>
      <c r="H30" s="19"/>
      <c r="I30" s="19"/>
      <c r="J30" s="19"/>
      <c r="K30" s="19"/>
      <c r="L30" s="19"/>
      <c r="M30" s="19"/>
      <c r="N30" s="19"/>
      <c r="O30" s="19"/>
      <c r="P30" s="19"/>
      <c r="Q30" s="19"/>
      <c r="R30" s="19"/>
      <c r="S30" s="19"/>
      <c r="T30" s="19"/>
      <c r="U30" s="19"/>
      <c r="X30" s="15" t="str">
        <f aca="false">IF(OR(B$7="",$BR30=""),"",IF('Tally Helper'!$B$3&lt;&gt;TRUE(),"not on Staff",SUMIFS('Tally Helper'!$L$5:$GI$5,'Tally Helper'!$L$3:$GI$3,"&gt;="&amp;$BR30,'Tally Helper'!$L$3:$GI$3,"&lt;="&amp;$BS30)))</f>
        <v/>
      </c>
      <c r="Y30" s="15" t="str">
        <f aca="false">IF(OR(C$7="",$BR30=""),"",IF('Tally Helper'!$B$6&lt;&gt;TRUE(),"not on Staff",SUMIFS('Tally Helper'!$L$8:$GI$8,'Tally Helper'!$L$6:$GI$6,"&gt;="&amp;$BR30,'Tally Helper'!$L$6:$GI$6,"&lt;="&amp;$BS30)))</f>
        <v/>
      </c>
      <c r="Z30" s="15" t="str">
        <f aca="false">IF(OR(D$7="",$BR30=""),"",IF('Tally Helper'!$B$9&lt;&gt;TRUE(),"not on Staff",SUMIFS('Tally Helper'!$L$11:$GI$11,'Tally Helper'!$L$9:$GI$9,"&gt;="&amp;$BR30,'Tally Helper'!$L$9:$GI$9,"&lt;="&amp;$BS30)))</f>
        <v/>
      </c>
      <c r="AA30" s="15" t="str">
        <f aca="false">IF(OR(E$7="",$BR30=""),"",IF('Tally Helper'!$B$12&lt;&gt;TRUE(),"not on Staff",SUMIFS('Tally Helper'!$L$14:$GI$14,'Tally Helper'!$L$12:$GI$12,"&gt;="&amp;$BR30,'Tally Helper'!$L$12:$GI$12,"&lt;="&amp;$BS30)))</f>
        <v/>
      </c>
      <c r="AB30" s="15" t="str">
        <f aca="false">IF(OR(F$7="",$BR30=""),"",IF('Tally Helper'!$B$15&lt;&gt;TRUE(),"not on Staff",SUMIFS('Tally Helper'!$L$17:$GI$17,'Tally Helper'!$L$15:$GI$15,"&gt;="&amp;$BR30,'Tally Helper'!$L$15:$GI$15,"&lt;="&amp;$BS30)))</f>
        <v/>
      </c>
      <c r="AC30" s="15" t="str">
        <f aca="false">IF(OR(G$7="",$BR30=""),"",IF('Tally Helper'!$B$18&lt;&gt;TRUE(),"not on Staff",SUMIFS('Tally Helper'!$L$20:$GI$20,'Tally Helper'!$L$18:$GI$18,"&gt;="&amp;$BR30,'Tally Helper'!$L$18:$GI$18,"&lt;="&amp;$BS30)))</f>
        <v/>
      </c>
      <c r="AD30" s="15" t="str">
        <f aca="false">IF(OR(H$7="",$BR30=""),"",IF('Tally Helper'!$B$21&lt;&gt;TRUE(),"not on Staff",SUMIFS('Tally Helper'!$L$23:$GI$23,'Tally Helper'!$L$21:$GI$21,"&gt;="&amp;$BR30,'Tally Helper'!$L$21:$GI$21,"&lt;="&amp;$BS30)))</f>
        <v/>
      </c>
      <c r="AE30" s="15" t="str">
        <f aca="false">IF(OR(I$7="",$BR30=""),"",IF('Tally Helper'!$B$24&lt;&gt;TRUE(),"not on Staff",SUMIFS('Tally Helper'!$L$26:$GI$26,'Tally Helper'!$L$24:$GI$24,"&gt;="&amp;$BR30,'Tally Helper'!$L$24:$GI$24,"&lt;="&amp;$BS30)))</f>
        <v/>
      </c>
      <c r="AF30" s="15" t="str">
        <f aca="false">IF(OR(J$7="",$BR30=""),"",IF('Tally Helper'!$B$27&lt;&gt;TRUE(),"not on Staff",SUMIFS('Tally Helper'!$L$29:$GI$29,'Tally Helper'!$L$27:$GI$27,"&gt;="&amp;$BR30,'Tally Helper'!$L$27:$GI$27,"&lt;="&amp;$BS30)))</f>
        <v/>
      </c>
      <c r="AG30" s="15" t="str">
        <f aca="false">IF(OR(K$7="",$BR30=""),"",IF('Tally Helper'!$B$30&lt;&gt;TRUE(),"not on Staff",SUMIFS('Tally Helper'!$L$32:$GI$32,'Tally Helper'!$L$30:$GI$30,"&gt;="&amp;$BR30,'Tally Helper'!$L$30:$GI$30,"&lt;="&amp;$BS30)))</f>
        <v/>
      </c>
      <c r="AH30" s="15" t="str">
        <f aca="false">IF(OR(L$7="",$BR30=""),"",IF('Tally Helper'!$B$33&lt;&gt;TRUE(),"not on Staff",SUMIFS('Tally Helper'!$L$35:$GI$35,'Tally Helper'!$L$33:$GI$33,"&gt;="&amp;$BR30,'Tally Helper'!$L$33:$GI$33,"&lt;="&amp;$BS30)))</f>
        <v/>
      </c>
      <c r="AI30" s="15" t="str">
        <f aca="false">IF(OR(M$7="",$BR30=""),"",IF('Tally Helper'!$B$36&lt;&gt;TRUE(),"not on Staff",SUMIFS('Tally Helper'!$L$38:$GI$38,'Tally Helper'!$L$36:$GI$36,"&gt;="&amp;$BR30,'Tally Helper'!$L$36:$GI$36,"&lt;="&amp;$BS30)))</f>
        <v/>
      </c>
      <c r="AJ30" s="15" t="str">
        <f aca="false">IF(OR(N$7="",$BR30=""),"",IF('Tally Helper'!$B$39&lt;&gt;TRUE(),"not on Staff",SUMIFS('Tally Helper'!$L$41:$GI$41,'Tally Helper'!$L$39:$GI$39,"&gt;="&amp;$BR30,'Tally Helper'!$L$39:$GI$39,"&lt;="&amp;$BS30)))</f>
        <v/>
      </c>
      <c r="AK30" s="15" t="str">
        <f aca="false">IF(OR(O$7="",$BR30=""),"",IF('Tally Helper'!$B$42&lt;&gt;TRUE(),"not on Staff",SUMIFS('Tally Helper'!$L$44:$GI$44,'Tally Helper'!$L$42:$GI$42,"&gt;="&amp;$BR30,'Tally Helper'!$L$42:$GI$42,"&lt;="&amp;$BS30)))</f>
        <v/>
      </c>
      <c r="AL30" s="15" t="str">
        <f aca="false">IF(OR(P$7="",$BR30=""),"",IF('Tally Helper'!$B$45&lt;&gt;TRUE(),"not on Staff",SUMIFS('Tally Helper'!$L$47:$GI$47,'Tally Helper'!$L$45:$GI$45,"&gt;="&amp;$BR30,'Tally Helper'!$L$45:$GI$45,"&lt;="&amp;$BS30)))</f>
        <v/>
      </c>
      <c r="AM30" s="15" t="str">
        <f aca="false">IF(OR(Q$7="",$BR30=""),"",IF('Tally Helper'!$B$48&lt;&gt;TRUE(),"not on Staff",SUMIFS('Tally Helper'!$L$50:$GI$50,'Tally Helper'!$L$48:$GI$48,"&gt;="&amp;$BR30,'Tally Helper'!$L$48:$GI$48,"&lt;="&amp;$BS30)))</f>
        <v/>
      </c>
      <c r="AN30" s="15" t="str">
        <f aca="false">IF(OR(R$7="",$BR30=""),"",IF('Tally Helper'!$B$51&lt;&gt;TRUE(),"not on Staff",SUMIFS('Tally Helper'!$L$53:$GI$53,'Tally Helper'!$L$51:$GI$51,"&gt;="&amp;$BR30,'Tally Helper'!$L$51:$GI$51,"&lt;="&amp;$BS30)))</f>
        <v/>
      </c>
      <c r="AO30" s="15" t="str">
        <f aca="false">IF(OR(S$7="",$BR30=""),"",IF('Tally Helper'!$B$54&lt;&gt;TRUE(),"not on Staff",SUMIFS('Tally Helper'!$L$56:$GI$56,'Tally Helper'!$L$54:$GI$54,"&gt;="&amp;$BR30,'Tally Helper'!$L$54:$GI$54,"&lt;="&amp;$BS30)))</f>
        <v/>
      </c>
      <c r="AP30" s="15" t="str">
        <f aca="false">IF(OR(T$7="",$BR30=""),"",IF('Tally Helper'!$B$57&lt;&gt;TRUE(),"not on Staff",SUMIFS('Tally Helper'!$L$59:$GI$59,'Tally Helper'!$L$57:$GI$57,"&gt;="&amp;$BR30,'Tally Helper'!$L$57:$GI$57,"&lt;="&amp;$BS30)))</f>
        <v/>
      </c>
      <c r="AQ30" s="15" t="str">
        <f aca="false">IF(OR(U$7="",$BR30=""),"",IF('Tally Helper'!$B$60&lt;&gt;TRUE(),"not on Staff",SUMIFS('Tally Helper'!$L$62:$GI$62,'Tally Helper'!$L$60:$GI$60,"&gt;="&amp;$BR30,'Tally Helper'!$L$60:$GI$60,"&lt;="&amp;$BS30)))</f>
        <v/>
      </c>
      <c r="AT30" s="15" t="str">
        <f aca="false">IF(OR(X30="",NOT(ISNUMBER(X30))),"",X30-N(B30))</f>
        <v/>
      </c>
      <c r="AU30" s="15" t="str">
        <f aca="false">IF(OR(Y30="",NOT(ISNUMBER(Y30))),"",Y30-N(C30))</f>
        <v/>
      </c>
      <c r="AV30" s="15" t="str">
        <f aca="false">IF(OR(Z30="",NOT(ISNUMBER(Z30))),"",Z30-N(D30))</f>
        <v/>
      </c>
      <c r="AW30" s="15" t="str">
        <f aca="false">IF(OR(AA30="",NOT(ISNUMBER(AA30))),"",AA30-N(E30))</f>
        <v/>
      </c>
      <c r="AX30" s="15" t="str">
        <f aca="false">IF(OR(AB30="",NOT(ISNUMBER(AB30))),"",AB30-N(F30))</f>
        <v/>
      </c>
      <c r="AY30" s="15" t="str">
        <f aca="false">IF(OR(AC30="",NOT(ISNUMBER(AC30))),"",AC30-N(G30))</f>
        <v/>
      </c>
      <c r="AZ30" s="15" t="str">
        <f aca="false">IF(OR(AD30="",NOT(ISNUMBER(AD30))),"",AD30-N(H30))</f>
        <v/>
      </c>
      <c r="BA30" s="15" t="str">
        <f aca="false">IF(OR(AE30="",NOT(ISNUMBER(AE30))),"",AE30-N(I30))</f>
        <v/>
      </c>
      <c r="BB30" s="15" t="str">
        <f aca="false">IF(OR(AF30="",NOT(ISNUMBER(AF30))),"",AF30-N(J30))</f>
        <v/>
      </c>
      <c r="BC30" s="15" t="str">
        <f aca="false">IF(OR(AG30="",NOT(ISNUMBER(AG30))),"",AG30-N(K30))</f>
        <v/>
      </c>
      <c r="BD30" s="15" t="str">
        <f aca="false">IF(OR(AH30="",NOT(ISNUMBER(AH30))),"",AH30-N(L30))</f>
        <v/>
      </c>
      <c r="BE30" s="15" t="str">
        <f aca="false">IF(OR(AI30="",NOT(ISNUMBER(AI30))),"",AI30-N(M30))</f>
        <v/>
      </c>
      <c r="BF30" s="15" t="str">
        <f aca="false">IF(OR(AJ30="",NOT(ISNUMBER(AJ30))),"",AJ30-N(N30))</f>
        <v/>
      </c>
      <c r="BG30" s="15" t="str">
        <f aca="false">IF(OR(AK30="",NOT(ISNUMBER(AK30))),"",AK30-N(O30))</f>
        <v/>
      </c>
      <c r="BH30" s="15" t="str">
        <f aca="false">IF(OR(AL30="",NOT(ISNUMBER(AL30))),"",AL30-N(P30))</f>
        <v/>
      </c>
      <c r="BI30" s="15" t="str">
        <f aca="false">IF(OR(AM30="",NOT(ISNUMBER(AM30))),"",AM30-N(Q30))</f>
        <v/>
      </c>
      <c r="BJ30" s="15" t="str">
        <f aca="false">IF(OR(AN30="",NOT(ISNUMBER(AN30))),"",AN30-N(R30))</f>
        <v/>
      </c>
      <c r="BK30" s="15" t="str">
        <f aca="false">IF(OR(AO30="",NOT(ISNUMBER(AO30))),"",AO30-N(S30))</f>
        <v/>
      </c>
      <c r="BL30" s="15" t="str">
        <f aca="false">IF(OR(AP30="",NOT(ISNUMBER(AP30))),"",AP30-N(T30))</f>
        <v/>
      </c>
      <c r="BM30" s="15" t="str">
        <f aca="false">IF(OR(AQ30="",NOT(ISNUMBER(AQ30))),"",AQ30-N(U30))</f>
        <v/>
      </c>
      <c r="BR30" s="18" t="str">
        <f aca="false">IF($A30="","",IF(ISNUMBER($A30),DATE(YEAR($A30),MONTH($A30),1),IFERROR(DATE(2000+VALUE(RIGHT(TRIM($A30),2)),MATCH(UPPER(LEFT(TRIM($A30),3)),{"JAN","FEB","MAR","APR","MAY","JUN","JUL","AUG","SEP","OCT","NOV","DEC"},0),1),"")))</f>
        <v/>
      </c>
      <c r="BS30" s="18" t="str">
        <f aca="false">IF(BR30="","",EOMONTH(BR30,0))</f>
        <v/>
      </c>
    </row>
    <row r="31" customFormat="false" ht="15" hidden="false" customHeight="false" outlineLevel="0" collapsed="false">
      <c r="B31" s="19"/>
      <c r="C31" s="19"/>
      <c r="D31" s="19"/>
      <c r="E31" s="19"/>
      <c r="F31" s="19"/>
      <c r="G31" s="19"/>
      <c r="H31" s="19"/>
      <c r="I31" s="19"/>
      <c r="J31" s="19"/>
      <c r="K31" s="19"/>
      <c r="L31" s="19"/>
      <c r="M31" s="19"/>
      <c r="N31" s="19"/>
      <c r="O31" s="19"/>
      <c r="P31" s="19"/>
      <c r="Q31" s="19"/>
      <c r="R31" s="19"/>
      <c r="S31" s="19"/>
      <c r="T31" s="19"/>
      <c r="U31" s="19"/>
      <c r="X31" s="15" t="str">
        <f aca="false">IF(OR(B$7="",$BR31=""),"",IF('Tally Helper'!$B$3&lt;&gt;TRUE(),"not on Staff",SUMIFS('Tally Helper'!$L$5:$GI$5,'Tally Helper'!$L$3:$GI$3,"&gt;="&amp;$BR31,'Tally Helper'!$L$3:$GI$3,"&lt;="&amp;$BS31)))</f>
        <v/>
      </c>
      <c r="Y31" s="15" t="str">
        <f aca="false">IF(OR(C$7="",$BR31=""),"",IF('Tally Helper'!$B$6&lt;&gt;TRUE(),"not on Staff",SUMIFS('Tally Helper'!$L$8:$GI$8,'Tally Helper'!$L$6:$GI$6,"&gt;="&amp;$BR31,'Tally Helper'!$L$6:$GI$6,"&lt;="&amp;$BS31)))</f>
        <v/>
      </c>
      <c r="Z31" s="15" t="str">
        <f aca="false">IF(OR(D$7="",$BR31=""),"",IF('Tally Helper'!$B$9&lt;&gt;TRUE(),"not on Staff",SUMIFS('Tally Helper'!$L$11:$GI$11,'Tally Helper'!$L$9:$GI$9,"&gt;="&amp;$BR31,'Tally Helper'!$L$9:$GI$9,"&lt;="&amp;$BS31)))</f>
        <v/>
      </c>
      <c r="AA31" s="15" t="str">
        <f aca="false">IF(OR(E$7="",$BR31=""),"",IF('Tally Helper'!$B$12&lt;&gt;TRUE(),"not on Staff",SUMIFS('Tally Helper'!$L$14:$GI$14,'Tally Helper'!$L$12:$GI$12,"&gt;="&amp;$BR31,'Tally Helper'!$L$12:$GI$12,"&lt;="&amp;$BS31)))</f>
        <v/>
      </c>
      <c r="AB31" s="15" t="str">
        <f aca="false">IF(OR(F$7="",$BR31=""),"",IF('Tally Helper'!$B$15&lt;&gt;TRUE(),"not on Staff",SUMIFS('Tally Helper'!$L$17:$GI$17,'Tally Helper'!$L$15:$GI$15,"&gt;="&amp;$BR31,'Tally Helper'!$L$15:$GI$15,"&lt;="&amp;$BS31)))</f>
        <v/>
      </c>
      <c r="AC31" s="15" t="str">
        <f aca="false">IF(OR(G$7="",$BR31=""),"",IF('Tally Helper'!$B$18&lt;&gt;TRUE(),"not on Staff",SUMIFS('Tally Helper'!$L$20:$GI$20,'Tally Helper'!$L$18:$GI$18,"&gt;="&amp;$BR31,'Tally Helper'!$L$18:$GI$18,"&lt;="&amp;$BS31)))</f>
        <v/>
      </c>
      <c r="AD31" s="15" t="str">
        <f aca="false">IF(OR(H$7="",$BR31=""),"",IF('Tally Helper'!$B$21&lt;&gt;TRUE(),"not on Staff",SUMIFS('Tally Helper'!$L$23:$GI$23,'Tally Helper'!$L$21:$GI$21,"&gt;="&amp;$BR31,'Tally Helper'!$L$21:$GI$21,"&lt;="&amp;$BS31)))</f>
        <v/>
      </c>
      <c r="AE31" s="15" t="str">
        <f aca="false">IF(OR(I$7="",$BR31=""),"",IF('Tally Helper'!$B$24&lt;&gt;TRUE(),"not on Staff",SUMIFS('Tally Helper'!$L$26:$GI$26,'Tally Helper'!$L$24:$GI$24,"&gt;="&amp;$BR31,'Tally Helper'!$L$24:$GI$24,"&lt;="&amp;$BS31)))</f>
        <v/>
      </c>
      <c r="AF31" s="15" t="str">
        <f aca="false">IF(OR(J$7="",$BR31=""),"",IF('Tally Helper'!$B$27&lt;&gt;TRUE(),"not on Staff",SUMIFS('Tally Helper'!$L$29:$GI$29,'Tally Helper'!$L$27:$GI$27,"&gt;="&amp;$BR31,'Tally Helper'!$L$27:$GI$27,"&lt;="&amp;$BS31)))</f>
        <v/>
      </c>
      <c r="AG31" s="15" t="str">
        <f aca="false">IF(OR(K$7="",$BR31=""),"",IF('Tally Helper'!$B$30&lt;&gt;TRUE(),"not on Staff",SUMIFS('Tally Helper'!$L$32:$GI$32,'Tally Helper'!$L$30:$GI$30,"&gt;="&amp;$BR31,'Tally Helper'!$L$30:$GI$30,"&lt;="&amp;$BS31)))</f>
        <v/>
      </c>
      <c r="AH31" s="15" t="str">
        <f aca="false">IF(OR(L$7="",$BR31=""),"",IF('Tally Helper'!$B$33&lt;&gt;TRUE(),"not on Staff",SUMIFS('Tally Helper'!$L$35:$GI$35,'Tally Helper'!$L$33:$GI$33,"&gt;="&amp;$BR31,'Tally Helper'!$L$33:$GI$33,"&lt;="&amp;$BS31)))</f>
        <v/>
      </c>
      <c r="AI31" s="15" t="str">
        <f aca="false">IF(OR(M$7="",$BR31=""),"",IF('Tally Helper'!$B$36&lt;&gt;TRUE(),"not on Staff",SUMIFS('Tally Helper'!$L$38:$GI$38,'Tally Helper'!$L$36:$GI$36,"&gt;="&amp;$BR31,'Tally Helper'!$L$36:$GI$36,"&lt;="&amp;$BS31)))</f>
        <v/>
      </c>
      <c r="AJ31" s="15" t="str">
        <f aca="false">IF(OR(N$7="",$BR31=""),"",IF('Tally Helper'!$B$39&lt;&gt;TRUE(),"not on Staff",SUMIFS('Tally Helper'!$L$41:$GI$41,'Tally Helper'!$L$39:$GI$39,"&gt;="&amp;$BR31,'Tally Helper'!$L$39:$GI$39,"&lt;="&amp;$BS31)))</f>
        <v/>
      </c>
      <c r="AK31" s="15" t="str">
        <f aca="false">IF(OR(O$7="",$BR31=""),"",IF('Tally Helper'!$B$42&lt;&gt;TRUE(),"not on Staff",SUMIFS('Tally Helper'!$L$44:$GI$44,'Tally Helper'!$L$42:$GI$42,"&gt;="&amp;$BR31,'Tally Helper'!$L$42:$GI$42,"&lt;="&amp;$BS31)))</f>
        <v/>
      </c>
      <c r="AL31" s="15" t="str">
        <f aca="false">IF(OR(P$7="",$BR31=""),"",IF('Tally Helper'!$B$45&lt;&gt;TRUE(),"not on Staff",SUMIFS('Tally Helper'!$L$47:$GI$47,'Tally Helper'!$L$45:$GI$45,"&gt;="&amp;$BR31,'Tally Helper'!$L$45:$GI$45,"&lt;="&amp;$BS31)))</f>
        <v/>
      </c>
      <c r="AM31" s="15" t="str">
        <f aca="false">IF(OR(Q$7="",$BR31=""),"",IF('Tally Helper'!$B$48&lt;&gt;TRUE(),"not on Staff",SUMIFS('Tally Helper'!$L$50:$GI$50,'Tally Helper'!$L$48:$GI$48,"&gt;="&amp;$BR31,'Tally Helper'!$L$48:$GI$48,"&lt;="&amp;$BS31)))</f>
        <v/>
      </c>
      <c r="AN31" s="15" t="str">
        <f aca="false">IF(OR(R$7="",$BR31=""),"",IF('Tally Helper'!$B$51&lt;&gt;TRUE(),"not on Staff",SUMIFS('Tally Helper'!$L$53:$GI$53,'Tally Helper'!$L$51:$GI$51,"&gt;="&amp;$BR31,'Tally Helper'!$L$51:$GI$51,"&lt;="&amp;$BS31)))</f>
        <v/>
      </c>
      <c r="AO31" s="15" t="str">
        <f aca="false">IF(OR(S$7="",$BR31=""),"",IF('Tally Helper'!$B$54&lt;&gt;TRUE(),"not on Staff",SUMIFS('Tally Helper'!$L$56:$GI$56,'Tally Helper'!$L$54:$GI$54,"&gt;="&amp;$BR31,'Tally Helper'!$L$54:$GI$54,"&lt;="&amp;$BS31)))</f>
        <v/>
      </c>
      <c r="AP31" s="15" t="str">
        <f aca="false">IF(OR(T$7="",$BR31=""),"",IF('Tally Helper'!$B$57&lt;&gt;TRUE(),"not on Staff",SUMIFS('Tally Helper'!$L$59:$GI$59,'Tally Helper'!$L$57:$GI$57,"&gt;="&amp;$BR31,'Tally Helper'!$L$57:$GI$57,"&lt;="&amp;$BS31)))</f>
        <v/>
      </c>
      <c r="AQ31" s="15" t="str">
        <f aca="false">IF(OR(U$7="",$BR31=""),"",IF('Tally Helper'!$B$60&lt;&gt;TRUE(),"not on Staff",SUMIFS('Tally Helper'!$L$62:$GI$62,'Tally Helper'!$L$60:$GI$60,"&gt;="&amp;$BR31,'Tally Helper'!$L$60:$GI$60,"&lt;="&amp;$BS31)))</f>
        <v/>
      </c>
      <c r="AT31" s="15" t="str">
        <f aca="false">IF(OR(X31="",NOT(ISNUMBER(X31))),"",X31-N(B31))</f>
        <v/>
      </c>
      <c r="AU31" s="15" t="str">
        <f aca="false">IF(OR(Y31="",NOT(ISNUMBER(Y31))),"",Y31-N(C31))</f>
        <v/>
      </c>
      <c r="AV31" s="15" t="str">
        <f aca="false">IF(OR(Z31="",NOT(ISNUMBER(Z31))),"",Z31-N(D31))</f>
        <v/>
      </c>
      <c r="AW31" s="15" t="str">
        <f aca="false">IF(OR(AA31="",NOT(ISNUMBER(AA31))),"",AA31-N(E31))</f>
        <v/>
      </c>
      <c r="AX31" s="15" t="str">
        <f aca="false">IF(OR(AB31="",NOT(ISNUMBER(AB31))),"",AB31-N(F31))</f>
        <v/>
      </c>
      <c r="AY31" s="15" t="str">
        <f aca="false">IF(OR(AC31="",NOT(ISNUMBER(AC31))),"",AC31-N(G31))</f>
        <v/>
      </c>
      <c r="AZ31" s="15" t="str">
        <f aca="false">IF(OR(AD31="",NOT(ISNUMBER(AD31))),"",AD31-N(H31))</f>
        <v/>
      </c>
      <c r="BA31" s="15" t="str">
        <f aca="false">IF(OR(AE31="",NOT(ISNUMBER(AE31))),"",AE31-N(I31))</f>
        <v/>
      </c>
      <c r="BB31" s="15" t="str">
        <f aca="false">IF(OR(AF31="",NOT(ISNUMBER(AF31))),"",AF31-N(J31))</f>
        <v/>
      </c>
      <c r="BC31" s="15" t="str">
        <f aca="false">IF(OR(AG31="",NOT(ISNUMBER(AG31))),"",AG31-N(K31))</f>
        <v/>
      </c>
      <c r="BD31" s="15" t="str">
        <f aca="false">IF(OR(AH31="",NOT(ISNUMBER(AH31))),"",AH31-N(L31))</f>
        <v/>
      </c>
      <c r="BE31" s="15" t="str">
        <f aca="false">IF(OR(AI31="",NOT(ISNUMBER(AI31))),"",AI31-N(M31))</f>
        <v/>
      </c>
      <c r="BF31" s="15" t="str">
        <f aca="false">IF(OR(AJ31="",NOT(ISNUMBER(AJ31))),"",AJ31-N(N31))</f>
        <v/>
      </c>
      <c r="BG31" s="15" t="str">
        <f aca="false">IF(OR(AK31="",NOT(ISNUMBER(AK31))),"",AK31-N(O31))</f>
        <v/>
      </c>
      <c r="BH31" s="15" t="str">
        <f aca="false">IF(OR(AL31="",NOT(ISNUMBER(AL31))),"",AL31-N(P31))</f>
        <v/>
      </c>
      <c r="BI31" s="15" t="str">
        <f aca="false">IF(OR(AM31="",NOT(ISNUMBER(AM31))),"",AM31-N(Q31))</f>
        <v/>
      </c>
      <c r="BJ31" s="15" t="str">
        <f aca="false">IF(OR(AN31="",NOT(ISNUMBER(AN31))),"",AN31-N(R31))</f>
        <v/>
      </c>
      <c r="BK31" s="15" t="str">
        <f aca="false">IF(OR(AO31="",NOT(ISNUMBER(AO31))),"",AO31-N(S31))</f>
        <v/>
      </c>
      <c r="BL31" s="15" t="str">
        <f aca="false">IF(OR(AP31="",NOT(ISNUMBER(AP31))),"",AP31-N(T31))</f>
        <v/>
      </c>
      <c r="BM31" s="15" t="str">
        <f aca="false">IF(OR(AQ31="",NOT(ISNUMBER(AQ31))),"",AQ31-N(U31))</f>
        <v/>
      </c>
      <c r="BR31" s="18" t="str">
        <f aca="false">IF($A31="","",IF(ISNUMBER($A31),DATE(YEAR($A31),MONTH($A31),1),IFERROR(DATE(2000+VALUE(RIGHT(TRIM($A31),2)),MATCH(UPPER(LEFT(TRIM($A31),3)),{"JAN","FEB","MAR","APR","MAY","JUN","JUL","AUG","SEP","OCT","NOV","DEC"},0),1),"")))</f>
        <v/>
      </c>
      <c r="BS31" s="18" t="str">
        <f aca="false">IF(BR31="","",EOMONTH(BR31,0))</f>
        <v/>
      </c>
    </row>
    <row r="32" customFormat="false" ht="15" hidden="false" customHeight="false" outlineLevel="0" collapsed="false">
      <c r="B32" s="19"/>
      <c r="C32" s="19"/>
      <c r="D32" s="19"/>
      <c r="E32" s="19"/>
      <c r="F32" s="19"/>
      <c r="G32" s="19"/>
      <c r="H32" s="19"/>
      <c r="I32" s="19"/>
      <c r="J32" s="19"/>
      <c r="K32" s="19"/>
      <c r="L32" s="19"/>
      <c r="M32" s="19"/>
      <c r="N32" s="19"/>
      <c r="O32" s="19"/>
      <c r="P32" s="19"/>
      <c r="Q32" s="19"/>
      <c r="R32" s="19"/>
      <c r="S32" s="19"/>
      <c r="T32" s="19"/>
      <c r="U32" s="19"/>
      <c r="X32" s="15" t="str">
        <f aca="false">IF(OR(B$7="",$BR32=""),"",IF('Tally Helper'!$B$3&lt;&gt;TRUE(),"not on Staff",SUMIFS('Tally Helper'!$L$5:$GI$5,'Tally Helper'!$L$3:$GI$3,"&gt;="&amp;$BR32,'Tally Helper'!$L$3:$GI$3,"&lt;="&amp;$BS32)))</f>
        <v/>
      </c>
      <c r="Y32" s="15" t="str">
        <f aca="false">IF(OR(C$7="",$BR32=""),"",IF('Tally Helper'!$B$6&lt;&gt;TRUE(),"not on Staff",SUMIFS('Tally Helper'!$L$8:$GI$8,'Tally Helper'!$L$6:$GI$6,"&gt;="&amp;$BR32,'Tally Helper'!$L$6:$GI$6,"&lt;="&amp;$BS32)))</f>
        <v/>
      </c>
      <c r="Z32" s="15" t="str">
        <f aca="false">IF(OR(D$7="",$BR32=""),"",IF('Tally Helper'!$B$9&lt;&gt;TRUE(),"not on Staff",SUMIFS('Tally Helper'!$L$11:$GI$11,'Tally Helper'!$L$9:$GI$9,"&gt;="&amp;$BR32,'Tally Helper'!$L$9:$GI$9,"&lt;="&amp;$BS32)))</f>
        <v/>
      </c>
      <c r="AA32" s="15" t="str">
        <f aca="false">IF(OR(E$7="",$BR32=""),"",IF('Tally Helper'!$B$12&lt;&gt;TRUE(),"not on Staff",SUMIFS('Tally Helper'!$L$14:$GI$14,'Tally Helper'!$L$12:$GI$12,"&gt;="&amp;$BR32,'Tally Helper'!$L$12:$GI$12,"&lt;="&amp;$BS32)))</f>
        <v/>
      </c>
      <c r="AB32" s="15" t="str">
        <f aca="false">IF(OR(F$7="",$BR32=""),"",IF('Tally Helper'!$B$15&lt;&gt;TRUE(),"not on Staff",SUMIFS('Tally Helper'!$L$17:$GI$17,'Tally Helper'!$L$15:$GI$15,"&gt;="&amp;$BR32,'Tally Helper'!$L$15:$GI$15,"&lt;="&amp;$BS32)))</f>
        <v/>
      </c>
      <c r="AC32" s="15" t="str">
        <f aca="false">IF(OR(G$7="",$BR32=""),"",IF('Tally Helper'!$B$18&lt;&gt;TRUE(),"not on Staff",SUMIFS('Tally Helper'!$L$20:$GI$20,'Tally Helper'!$L$18:$GI$18,"&gt;="&amp;$BR32,'Tally Helper'!$L$18:$GI$18,"&lt;="&amp;$BS32)))</f>
        <v/>
      </c>
      <c r="AD32" s="15" t="str">
        <f aca="false">IF(OR(H$7="",$BR32=""),"",IF('Tally Helper'!$B$21&lt;&gt;TRUE(),"not on Staff",SUMIFS('Tally Helper'!$L$23:$GI$23,'Tally Helper'!$L$21:$GI$21,"&gt;="&amp;$BR32,'Tally Helper'!$L$21:$GI$21,"&lt;="&amp;$BS32)))</f>
        <v/>
      </c>
      <c r="AE32" s="15" t="str">
        <f aca="false">IF(OR(I$7="",$BR32=""),"",IF('Tally Helper'!$B$24&lt;&gt;TRUE(),"not on Staff",SUMIFS('Tally Helper'!$L$26:$GI$26,'Tally Helper'!$L$24:$GI$24,"&gt;="&amp;$BR32,'Tally Helper'!$L$24:$GI$24,"&lt;="&amp;$BS32)))</f>
        <v/>
      </c>
      <c r="AF32" s="15" t="str">
        <f aca="false">IF(OR(J$7="",$BR32=""),"",IF('Tally Helper'!$B$27&lt;&gt;TRUE(),"not on Staff",SUMIFS('Tally Helper'!$L$29:$GI$29,'Tally Helper'!$L$27:$GI$27,"&gt;="&amp;$BR32,'Tally Helper'!$L$27:$GI$27,"&lt;="&amp;$BS32)))</f>
        <v/>
      </c>
      <c r="AG32" s="15" t="str">
        <f aca="false">IF(OR(K$7="",$BR32=""),"",IF('Tally Helper'!$B$30&lt;&gt;TRUE(),"not on Staff",SUMIFS('Tally Helper'!$L$32:$GI$32,'Tally Helper'!$L$30:$GI$30,"&gt;="&amp;$BR32,'Tally Helper'!$L$30:$GI$30,"&lt;="&amp;$BS32)))</f>
        <v/>
      </c>
      <c r="AH32" s="15" t="str">
        <f aca="false">IF(OR(L$7="",$BR32=""),"",IF('Tally Helper'!$B$33&lt;&gt;TRUE(),"not on Staff",SUMIFS('Tally Helper'!$L$35:$GI$35,'Tally Helper'!$L$33:$GI$33,"&gt;="&amp;$BR32,'Tally Helper'!$L$33:$GI$33,"&lt;="&amp;$BS32)))</f>
        <v/>
      </c>
      <c r="AI32" s="15" t="str">
        <f aca="false">IF(OR(M$7="",$BR32=""),"",IF('Tally Helper'!$B$36&lt;&gt;TRUE(),"not on Staff",SUMIFS('Tally Helper'!$L$38:$GI$38,'Tally Helper'!$L$36:$GI$36,"&gt;="&amp;$BR32,'Tally Helper'!$L$36:$GI$36,"&lt;="&amp;$BS32)))</f>
        <v/>
      </c>
      <c r="AJ32" s="15" t="str">
        <f aca="false">IF(OR(N$7="",$BR32=""),"",IF('Tally Helper'!$B$39&lt;&gt;TRUE(),"not on Staff",SUMIFS('Tally Helper'!$L$41:$GI$41,'Tally Helper'!$L$39:$GI$39,"&gt;="&amp;$BR32,'Tally Helper'!$L$39:$GI$39,"&lt;="&amp;$BS32)))</f>
        <v/>
      </c>
      <c r="AK32" s="15" t="str">
        <f aca="false">IF(OR(O$7="",$BR32=""),"",IF('Tally Helper'!$B$42&lt;&gt;TRUE(),"not on Staff",SUMIFS('Tally Helper'!$L$44:$GI$44,'Tally Helper'!$L$42:$GI$42,"&gt;="&amp;$BR32,'Tally Helper'!$L$42:$GI$42,"&lt;="&amp;$BS32)))</f>
        <v/>
      </c>
      <c r="AL32" s="15" t="str">
        <f aca="false">IF(OR(P$7="",$BR32=""),"",IF('Tally Helper'!$B$45&lt;&gt;TRUE(),"not on Staff",SUMIFS('Tally Helper'!$L$47:$GI$47,'Tally Helper'!$L$45:$GI$45,"&gt;="&amp;$BR32,'Tally Helper'!$L$45:$GI$45,"&lt;="&amp;$BS32)))</f>
        <v/>
      </c>
      <c r="AM32" s="15" t="str">
        <f aca="false">IF(OR(Q$7="",$BR32=""),"",IF('Tally Helper'!$B$48&lt;&gt;TRUE(),"not on Staff",SUMIFS('Tally Helper'!$L$50:$GI$50,'Tally Helper'!$L$48:$GI$48,"&gt;="&amp;$BR32,'Tally Helper'!$L$48:$GI$48,"&lt;="&amp;$BS32)))</f>
        <v/>
      </c>
      <c r="AN32" s="15" t="str">
        <f aca="false">IF(OR(R$7="",$BR32=""),"",IF('Tally Helper'!$B$51&lt;&gt;TRUE(),"not on Staff",SUMIFS('Tally Helper'!$L$53:$GI$53,'Tally Helper'!$L$51:$GI$51,"&gt;="&amp;$BR32,'Tally Helper'!$L$51:$GI$51,"&lt;="&amp;$BS32)))</f>
        <v/>
      </c>
      <c r="AO32" s="15" t="str">
        <f aca="false">IF(OR(S$7="",$BR32=""),"",IF('Tally Helper'!$B$54&lt;&gt;TRUE(),"not on Staff",SUMIFS('Tally Helper'!$L$56:$GI$56,'Tally Helper'!$L$54:$GI$54,"&gt;="&amp;$BR32,'Tally Helper'!$L$54:$GI$54,"&lt;="&amp;$BS32)))</f>
        <v/>
      </c>
      <c r="AP32" s="15" t="str">
        <f aca="false">IF(OR(T$7="",$BR32=""),"",IF('Tally Helper'!$B$57&lt;&gt;TRUE(),"not on Staff",SUMIFS('Tally Helper'!$L$59:$GI$59,'Tally Helper'!$L$57:$GI$57,"&gt;="&amp;$BR32,'Tally Helper'!$L$57:$GI$57,"&lt;="&amp;$BS32)))</f>
        <v/>
      </c>
      <c r="AQ32" s="15" t="str">
        <f aca="false">IF(OR(U$7="",$BR32=""),"",IF('Tally Helper'!$B$60&lt;&gt;TRUE(),"not on Staff",SUMIFS('Tally Helper'!$L$62:$GI$62,'Tally Helper'!$L$60:$GI$60,"&gt;="&amp;$BR32,'Tally Helper'!$L$60:$GI$60,"&lt;="&amp;$BS32)))</f>
        <v/>
      </c>
      <c r="AT32" s="15" t="str">
        <f aca="false">IF(OR(X32="",NOT(ISNUMBER(X32))),"",X32-N(B32))</f>
        <v/>
      </c>
      <c r="AU32" s="15" t="str">
        <f aca="false">IF(OR(Y32="",NOT(ISNUMBER(Y32))),"",Y32-N(C32))</f>
        <v/>
      </c>
      <c r="AV32" s="15" t="str">
        <f aca="false">IF(OR(Z32="",NOT(ISNUMBER(Z32))),"",Z32-N(D32))</f>
        <v/>
      </c>
      <c r="AW32" s="15" t="str">
        <f aca="false">IF(OR(AA32="",NOT(ISNUMBER(AA32))),"",AA32-N(E32))</f>
        <v/>
      </c>
      <c r="AX32" s="15" t="str">
        <f aca="false">IF(OR(AB32="",NOT(ISNUMBER(AB32))),"",AB32-N(F32))</f>
        <v/>
      </c>
      <c r="AY32" s="15" t="str">
        <f aca="false">IF(OR(AC32="",NOT(ISNUMBER(AC32))),"",AC32-N(G32))</f>
        <v/>
      </c>
      <c r="AZ32" s="15" t="str">
        <f aca="false">IF(OR(AD32="",NOT(ISNUMBER(AD32))),"",AD32-N(H32))</f>
        <v/>
      </c>
      <c r="BA32" s="15" t="str">
        <f aca="false">IF(OR(AE32="",NOT(ISNUMBER(AE32))),"",AE32-N(I32))</f>
        <v/>
      </c>
      <c r="BB32" s="15" t="str">
        <f aca="false">IF(OR(AF32="",NOT(ISNUMBER(AF32))),"",AF32-N(J32))</f>
        <v/>
      </c>
      <c r="BC32" s="15" t="str">
        <f aca="false">IF(OR(AG32="",NOT(ISNUMBER(AG32))),"",AG32-N(K32))</f>
        <v/>
      </c>
      <c r="BD32" s="15" t="str">
        <f aca="false">IF(OR(AH32="",NOT(ISNUMBER(AH32))),"",AH32-N(L32))</f>
        <v/>
      </c>
      <c r="BE32" s="15" t="str">
        <f aca="false">IF(OR(AI32="",NOT(ISNUMBER(AI32))),"",AI32-N(M32))</f>
        <v/>
      </c>
      <c r="BF32" s="15" t="str">
        <f aca="false">IF(OR(AJ32="",NOT(ISNUMBER(AJ32))),"",AJ32-N(N32))</f>
        <v/>
      </c>
      <c r="BG32" s="15" t="str">
        <f aca="false">IF(OR(AK32="",NOT(ISNUMBER(AK32))),"",AK32-N(O32))</f>
        <v/>
      </c>
      <c r="BH32" s="15" t="str">
        <f aca="false">IF(OR(AL32="",NOT(ISNUMBER(AL32))),"",AL32-N(P32))</f>
        <v/>
      </c>
      <c r="BI32" s="15" t="str">
        <f aca="false">IF(OR(AM32="",NOT(ISNUMBER(AM32))),"",AM32-N(Q32))</f>
        <v/>
      </c>
      <c r="BJ32" s="15" t="str">
        <f aca="false">IF(OR(AN32="",NOT(ISNUMBER(AN32))),"",AN32-N(R32))</f>
        <v/>
      </c>
      <c r="BK32" s="15" t="str">
        <f aca="false">IF(OR(AO32="",NOT(ISNUMBER(AO32))),"",AO32-N(S32))</f>
        <v/>
      </c>
      <c r="BL32" s="15" t="str">
        <f aca="false">IF(OR(AP32="",NOT(ISNUMBER(AP32))),"",AP32-N(T32))</f>
        <v/>
      </c>
      <c r="BM32" s="15" t="str">
        <f aca="false">IF(OR(AQ32="",NOT(ISNUMBER(AQ32))),"",AQ32-N(U32))</f>
        <v/>
      </c>
      <c r="BR32" s="18" t="str">
        <f aca="false">IF($A32="","",IF(ISNUMBER($A32),DATE(YEAR($A32),MONTH($A32),1),IFERROR(DATE(2000+VALUE(RIGHT(TRIM($A32),2)),MATCH(UPPER(LEFT(TRIM($A32),3)),{"JAN","FEB","MAR","APR","MAY","JUN","JUL","AUG","SEP","OCT","NOV","DEC"},0),1),"")))</f>
        <v/>
      </c>
      <c r="BS32" s="18" t="str">
        <f aca="false">IF(BR32="","",EOMONTH(BR32,0))</f>
        <v/>
      </c>
    </row>
    <row r="33" customFormat="false" ht="15" hidden="false" customHeight="false" outlineLevel="0" collapsed="false">
      <c r="B33" s="19"/>
      <c r="C33" s="19"/>
      <c r="D33" s="19"/>
      <c r="E33" s="19"/>
      <c r="F33" s="19"/>
      <c r="G33" s="19"/>
      <c r="H33" s="19"/>
      <c r="I33" s="19"/>
      <c r="J33" s="19"/>
      <c r="K33" s="19"/>
      <c r="L33" s="19"/>
      <c r="M33" s="19"/>
      <c r="N33" s="19"/>
      <c r="O33" s="19"/>
      <c r="P33" s="19"/>
      <c r="Q33" s="19"/>
      <c r="R33" s="19"/>
      <c r="S33" s="19"/>
      <c r="T33" s="19"/>
      <c r="U33" s="19"/>
      <c r="X33" s="15" t="str">
        <f aca="false">IF(OR(B$7="",$BR33=""),"",IF('Tally Helper'!$B$3&lt;&gt;TRUE(),"not on Staff",SUMIFS('Tally Helper'!$L$5:$GI$5,'Tally Helper'!$L$3:$GI$3,"&gt;="&amp;$BR33,'Tally Helper'!$L$3:$GI$3,"&lt;="&amp;$BS33)))</f>
        <v/>
      </c>
      <c r="Y33" s="15" t="str">
        <f aca="false">IF(OR(C$7="",$BR33=""),"",IF('Tally Helper'!$B$6&lt;&gt;TRUE(),"not on Staff",SUMIFS('Tally Helper'!$L$8:$GI$8,'Tally Helper'!$L$6:$GI$6,"&gt;="&amp;$BR33,'Tally Helper'!$L$6:$GI$6,"&lt;="&amp;$BS33)))</f>
        <v/>
      </c>
      <c r="Z33" s="15" t="str">
        <f aca="false">IF(OR(D$7="",$BR33=""),"",IF('Tally Helper'!$B$9&lt;&gt;TRUE(),"not on Staff",SUMIFS('Tally Helper'!$L$11:$GI$11,'Tally Helper'!$L$9:$GI$9,"&gt;="&amp;$BR33,'Tally Helper'!$L$9:$GI$9,"&lt;="&amp;$BS33)))</f>
        <v/>
      </c>
      <c r="AA33" s="15" t="str">
        <f aca="false">IF(OR(E$7="",$BR33=""),"",IF('Tally Helper'!$B$12&lt;&gt;TRUE(),"not on Staff",SUMIFS('Tally Helper'!$L$14:$GI$14,'Tally Helper'!$L$12:$GI$12,"&gt;="&amp;$BR33,'Tally Helper'!$L$12:$GI$12,"&lt;="&amp;$BS33)))</f>
        <v/>
      </c>
      <c r="AB33" s="15" t="str">
        <f aca="false">IF(OR(F$7="",$BR33=""),"",IF('Tally Helper'!$B$15&lt;&gt;TRUE(),"not on Staff",SUMIFS('Tally Helper'!$L$17:$GI$17,'Tally Helper'!$L$15:$GI$15,"&gt;="&amp;$BR33,'Tally Helper'!$L$15:$GI$15,"&lt;="&amp;$BS33)))</f>
        <v/>
      </c>
      <c r="AC33" s="15" t="str">
        <f aca="false">IF(OR(G$7="",$BR33=""),"",IF('Tally Helper'!$B$18&lt;&gt;TRUE(),"not on Staff",SUMIFS('Tally Helper'!$L$20:$GI$20,'Tally Helper'!$L$18:$GI$18,"&gt;="&amp;$BR33,'Tally Helper'!$L$18:$GI$18,"&lt;="&amp;$BS33)))</f>
        <v/>
      </c>
      <c r="AD33" s="15" t="str">
        <f aca="false">IF(OR(H$7="",$BR33=""),"",IF('Tally Helper'!$B$21&lt;&gt;TRUE(),"not on Staff",SUMIFS('Tally Helper'!$L$23:$GI$23,'Tally Helper'!$L$21:$GI$21,"&gt;="&amp;$BR33,'Tally Helper'!$L$21:$GI$21,"&lt;="&amp;$BS33)))</f>
        <v/>
      </c>
      <c r="AE33" s="15" t="str">
        <f aca="false">IF(OR(I$7="",$BR33=""),"",IF('Tally Helper'!$B$24&lt;&gt;TRUE(),"not on Staff",SUMIFS('Tally Helper'!$L$26:$GI$26,'Tally Helper'!$L$24:$GI$24,"&gt;="&amp;$BR33,'Tally Helper'!$L$24:$GI$24,"&lt;="&amp;$BS33)))</f>
        <v/>
      </c>
      <c r="AF33" s="15" t="str">
        <f aca="false">IF(OR(J$7="",$BR33=""),"",IF('Tally Helper'!$B$27&lt;&gt;TRUE(),"not on Staff",SUMIFS('Tally Helper'!$L$29:$GI$29,'Tally Helper'!$L$27:$GI$27,"&gt;="&amp;$BR33,'Tally Helper'!$L$27:$GI$27,"&lt;="&amp;$BS33)))</f>
        <v/>
      </c>
      <c r="AG33" s="15" t="str">
        <f aca="false">IF(OR(K$7="",$BR33=""),"",IF('Tally Helper'!$B$30&lt;&gt;TRUE(),"not on Staff",SUMIFS('Tally Helper'!$L$32:$GI$32,'Tally Helper'!$L$30:$GI$30,"&gt;="&amp;$BR33,'Tally Helper'!$L$30:$GI$30,"&lt;="&amp;$BS33)))</f>
        <v/>
      </c>
      <c r="AH33" s="15" t="str">
        <f aca="false">IF(OR(L$7="",$BR33=""),"",IF('Tally Helper'!$B$33&lt;&gt;TRUE(),"not on Staff",SUMIFS('Tally Helper'!$L$35:$GI$35,'Tally Helper'!$L$33:$GI$33,"&gt;="&amp;$BR33,'Tally Helper'!$L$33:$GI$33,"&lt;="&amp;$BS33)))</f>
        <v/>
      </c>
      <c r="AI33" s="15" t="str">
        <f aca="false">IF(OR(M$7="",$BR33=""),"",IF('Tally Helper'!$B$36&lt;&gt;TRUE(),"not on Staff",SUMIFS('Tally Helper'!$L$38:$GI$38,'Tally Helper'!$L$36:$GI$36,"&gt;="&amp;$BR33,'Tally Helper'!$L$36:$GI$36,"&lt;="&amp;$BS33)))</f>
        <v/>
      </c>
      <c r="AJ33" s="15" t="str">
        <f aca="false">IF(OR(N$7="",$BR33=""),"",IF('Tally Helper'!$B$39&lt;&gt;TRUE(),"not on Staff",SUMIFS('Tally Helper'!$L$41:$GI$41,'Tally Helper'!$L$39:$GI$39,"&gt;="&amp;$BR33,'Tally Helper'!$L$39:$GI$39,"&lt;="&amp;$BS33)))</f>
        <v/>
      </c>
      <c r="AK33" s="15" t="str">
        <f aca="false">IF(OR(O$7="",$BR33=""),"",IF('Tally Helper'!$B$42&lt;&gt;TRUE(),"not on Staff",SUMIFS('Tally Helper'!$L$44:$GI$44,'Tally Helper'!$L$42:$GI$42,"&gt;="&amp;$BR33,'Tally Helper'!$L$42:$GI$42,"&lt;="&amp;$BS33)))</f>
        <v/>
      </c>
      <c r="AL33" s="15" t="str">
        <f aca="false">IF(OR(P$7="",$BR33=""),"",IF('Tally Helper'!$B$45&lt;&gt;TRUE(),"not on Staff",SUMIFS('Tally Helper'!$L$47:$GI$47,'Tally Helper'!$L$45:$GI$45,"&gt;="&amp;$BR33,'Tally Helper'!$L$45:$GI$45,"&lt;="&amp;$BS33)))</f>
        <v/>
      </c>
      <c r="AM33" s="15" t="str">
        <f aca="false">IF(OR(Q$7="",$BR33=""),"",IF('Tally Helper'!$B$48&lt;&gt;TRUE(),"not on Staff",SUMIFS('Tally Helper'!$L$50:$GI$50,'Tally Helper'!$L$48:$GI$48,"&gt;="&amp;$BR33,'Tally Helper'!$L$48:$GI$48,"&lt;="&amp;$BS33)))</f>
        <v/>
      </c>
      <c r="AN33" s="15" t="str">
        <f aca="false">IF(OR(R$7="",$BR33=""),"",IF('Tally Helper'!$B$51&lt;&gt;TRUE(),"not on Staff",SUMIFS('Tally Helper'!$L$53:$GI$53,'Tally Helper'!$L$51:$GI$51,"&gt;="&amp;$BR33,'Tally Helper'!$L$51:$GI$51,"&lt;="&amp;$BS33)))</f>
        <v/>
      </c>
      <c r="AO33" s="15" t="str">
        <f aca="false">IF(OR(S$7="",$BR33=""),"",IF('Tally Helper'!$B$54&lt;&gt;TRUE(),"not on Staff",SUMIFS('Tally Helper'!$L$56:$GI$56,'Tally Helper'!$L$54:$GI$54,"&gt;="&amp;$BR33,'Tally Helper'!$L$54:$GI$54,"&lt;="&amp;$BS33)))</f>
        <v/>
      </c>
      <c r="AP33" s="15" t="str">
        <f aca="false">IF(OR(T$7="",$BR33=""),"",IF('Tally Helper'!$B$57&lt;&gt;TRUE(),"not on Staff",SUMIFS('Tally Helper'!$L$59:$GI$59,'Tally Helper'!$L$57:$GI$57,"&gt;="&amp;$BR33,'Tally Helper'!$L$57:$GI$57,"&lt;="&amp;$BS33)))</f>
        <v/>
      </c>
      <c r="AQ33" s="15" t="str">
        <f aca="false">IF(OR(U$7="",$BR33=""),"",IF('Tally Helper'!$B$60&lt;&gt;TRUE(),"not on Staff",SUMIFS('Tally Helper'!$L$62:$GI$62,'Tally Helper'!$L$60:$GI$60,"&gt;="&amp;$BR33,'Tally Helper'!$L$60:$GI$60,"&lt;="&amp;$BS33)))</f>
        <v/>
      </c>
      <c r="AT33" s="15" t="str">
        <f aca="false">IF(OR(X33="",NOT(ISNUMBER(X33))),"",X33-N(B33))</f>
        <v/>
      </c>
      <c r="AU33" s="15" t="str">
        <f aca="false">IF(OR(Y33="",NOT(ISNUMBER(Y33))),"",Y33-N(C33))</f>
        <v/>
      </c>
      <c r="AV33" s="15" t="str">
        <f aca="false">IF(OR(Z33="",NOT(ISNUMBER(Z33))),"",Z33-N(D33))</f>
        <v/>
      </c>
      <c r="AW33" s="15" t="str">
        <f aca="false">IF(OR(AA33="",NOT(ISNUMBER(AA33))),"",AA33-N(E33))</f>
        <v/>
      </c>
      <c r="AX33" s="15" t="str">
        <f aca="false">IF(OR(AB33="",NOT(ISNUMBER(AB33))),"",AB33-N(F33))</f>
        <v/>
      </c>
      <c r="AY33" s="15" t="str">
        <f aca="false">IF(OR(AC33="",NOT(ISNUMBER(AC33))),"",AC33-N(G33))</f>
        <v/>
      </c>
      <c r="AZ33" s="15" t="str">
        <f aca="false">IF(OR(AD33="",NOT(ISNUMBER(AD33))),"",AD33-N(H33))</f>
        <v/>
      </c>
      <c r="BA33" s="15" t="str">
        <f aca="false">IF(OR(AE33="",NOT(ISNUMBER(AE33))),"",AE33-N(I33))</f>
        <v/>
      </c>
      <c r="BB33" s="15" t="str">
        <f aca="false">IF(OR(AF33="",NOT(ISNUMBER(AF33))),"",AF33-N(J33))</f>
        <v/>
      </c>
      <c r="BC33" s="15" t="str">
        <f aca="false">IF(OR(AG33="",NOT(ISNUMBER(AG33))),"",AG33-N(K33))</f>
        <v/>
      </c>
      <c r="BD33" s="15" t="str">
        <f aca="false">IF(OR(AH33="",NOT(ISNUMBER(AH33))),"",AH33-N(L33))</f>
        <v/>
      </c>
      <c r="BE33" s="15" t="str">
        <f aca="false">IF(OR(AI33="",NOT(ISNUMBER(AI33))),"",AI33-N(M33))</f>
        <v/>
      </c>
      <c r="BF33" s="15" t="str">
        <f aca="false">IF(OR(AJ33="",NOT(ISNUMBER(AJ33))),"",AJ33-N(N33))</f>
        <v/>
      </c>
      <c r="BG33" s="15" t="str">
        <f aca="false">IF(OR(AK33="",NOT(ISNUMBER(AK33))),"",AK33-N(O33))</f>
        <v/>
      </c>
      <c r="BH33" s="15" t="str">
        <f aca="false">IF(OR(AL33="",NOT(ISNUMBER(AL33))),"",AL33-N(P33))</f>
        <v/>
      </c>
      <c r="BI33" s="15" t="str">
        <f aca="false">IF(OR(AM33="",NOT(ISNUMBER(AM33))),"",AM33-N(Q33))</f>
        <v/>
      </c>
      <c r="BJ33" s="15" t="str">
        <f aca="false">IF(OR(AN33="",NOT(ISNUMBER(AN33))),"",AN33-N(R33))</f>
        <v/>
      </c>
      <c r="BK33" s="15" t="str">
        <f aca="false">IF(OR(AO33="",NOT(ISNUMBER(AO33))),"",AO33-N(S33))</f>
        <v/>
      </c>
      <c r="BL33" s="15" t="str">
        <f aca="false">IF(OR(AP33="",NOT(ISNUMBER(AP33))),"",AP33-N(T33))</f>
        <v/>
      </c>
      <c r="BM33" s="15" t="str">
        <f aca="false">IF(OR(AQ33="",NOT(ISNUMBER(AQ33))),"",AQ33-N(U33))</f>
        <v/>
      </c>
      <c r="BR33" s="18" t="str">
        <f aca="false">IF($A33="","",IF(ISNUMBER($A33),DATE(YEAR($A33),MONTH($A33),1),IFERROR(DATE(2000+VALUE(RIGHT(TRIM($A33),2)),MATCH(UPPER(LEFT(TRIM($A33),3)),{"JAN","FEB","MAR","APR","MAY","JUN","JUL","AUG","SEP","OCT","NOV","DEC"},0),1),"")))</f>
        <v/>
      </c>
      <c r="BS33" s="18" t="str">
        <f aca="false">IF(BR33="","",EOMONTH(BR33,0))</f>
        <v/>
      </c>
    </row>
    <row r="34" customFormat="false" ht="15" hidden="false" customHeight="false" outlineLevel="0" collapsed="false">
      <c r="B34" s="19"/>
      <c r="C34" s="19"/>
      <c r="D34" s="19"/>
      <c r="E34" s="19"/>
      <c r="F34" s="19"/>
      <c r="G34" s="19"/>
      <c r="H34" s="19"/>
      <c r="I34" s="19"/>
      <c r="J34" s="19"/>
      <c r="K34" s="19"/>
      <c r="L34" s="19"/>
      <c r="M34" s="19"/>
      <c r="N34" s="19"/>
      <c r="O34" s="19"/>
      <c r="P34" s="19"/>
      <c r="Q34" s="19"/>
      <c r="R34" s="19"/>
      <c r="S34" s="19"/>
      <c r="T34" s="19"/>
      <c r="U34" s="19"/>
      <c r="X34" s="15" t="str">
        <f aca="false">IF(OR(B$7="",$BR34=""),"",IF('Tally Helper'!$B$3&lt;&gt;TRUE(),"not on Staff",SUMIFS('Tally Helper'!$L$5:$GI$5,'Tally Helper'!$L$3:$GI$3,"&gt;="&amp;$BR34,'Tally Helper'!$L$3:$GI$3,"&lt;="&amp;$BS34)))</f>
        <v/>
      </c>
      <c r="Y34" s="15" t="str">
        <f aca="false">IF(OR(C$7="",$BR34=""),"",IF('Tally Helper'!$B$6&lt;&gt;TRUE(),"not on Staff",SUMIFS('Tally Helper'!$L$8:$GI$8,'Tally Helper'!$L$6:$GI$6,"&gt;="&amp;$BR34,'Tally Helper'!$L$6:$GI$6,"&lt;="&amp;$BS34)))</f>
        <v/>
      </c>
      <c r="Z34" s="15" t="str">
        <f aca="false">IF(OR(D$7="",$BR34=""),"",IF('Tally Helper'!$B$9&lt;&gt;TRUE(),"not on Staff",SUMIFS('Tally Helper'!$L$11:$GI$11,'Tally Helper'!$L$9:$GI$9,"&gt;="&amp;$BR34,'Tally Helper'!$L$9:$GI$9,"&lt;="&amp;$BS34)))</f>
        <v/>
      </c>
      <c r="AA34" s="15" t="str">
        <f aca="false">IF(OR(E$7="",$BR34=""),"",IF('Tally Helper'!$B$12&lt;&gt;TRUE(),"not on Staff",SUMIFS('Tally Helper'!$L$14:$GI$14,'Tally Helper'!$L$12:$GI$12,"&gt;="&amp;$BR34,'Tally Helper'!$L$12:$GI$12,"&lt;="&amp;$BS34)))</f>
        <v/>
      </c>
      <c r="AB34" s="15" t="str">
        <f aca="false">IF(OR(F$7="",$BR34=""),"",IF('Tally Helper'!$B$15&lt;&gt;TRUE(),"not on Staff",SUMIFS('Tally Helper'!$L$17:$GI$17,'Tally Helper'!$L$15:$GI$15,"&gt;="&amp;$BR34,'Tally Helper'!$L$15:$GI$15,"&lt;="&amp;$BS34)))</f>
        <v/>
      </c>
      <c r="AC34" s="15" t="str">
        <f aca="false">IF(OR(G$7="",$BR34=""),"",IF('Tally Helper'!$B$18&lt;&gt;TRUE(),"not on Staff",SUMIFS('Tally Helper'!$L$20:$GI$20,'Tally Helper'!$L$18:$GI$18,"&gt;="&amp;$BR34,'Tally Helper'!$L$18:$GI$18,"&lt;="&amp;$BS34)))</f>
        <v/>
      </c>
      <c r="AD34" s="15" t="str">
        <f aca="false">IF(OR(H$7="",$BR34=""),"",IF('Tally Helper'!$B$21&lt;&gt;TRUE(),"not on Staff",SUMIFS('Tally Helper'!$L$23:$GI$23,'Tally Helper'!$L$21:$GI$21,"&gt;="&amp;$BR34,'Tally Helper'!$L$21:$GI$21,"&lt;="&amp;$BS34)))</f>
        <v/>
      </c>
      <c r="AE34" s="15" t="str">
        <f aca="false">IF(OR(I$7="",$BR34=""),"",IF('Tally Helper'!$B$24&lt;&gt;TRUE(),"not on Staff",SUMIFS('Tally Helper'!$L$26:$GI$26,'Tally Helper'!$L$24:$GI$24,"&gt;="&amp;$BR34,'Tally Helper'!$L$24:$GI$24,"&lt;="&amp;$BS34)))</f>
        <v/>
      </c>
      <c r="AF34" s="15" t="str">
        <f aca="false">IF(OR(J$7="",$BR34=""),"",IF('Tally Helper'!$B$27&lt;&gt;TRUE(),"not on Staff",SUMIFS('Tally Helper'!$L$29:$GI$29,'Tally Helper'!$L$27:$GI$27,"&gt;="&amp;$BR34,'Tally Helper'!$L$27:$GI$27,"&lt;="&amp;$BS34)))</f>
        <v/>
      </c>
      <c r="AG34" s="15" t="str">
        <f aca="false">IF(OR(K$7="",$BR34=""),"",IF('Tally Helper'!$B$30&lt;&gt;TRUE(),"not on Staff",SUMIFS('Tally Helper'!$L$32:$GI$32,'Tally Helper'!$L$30:$GI$30,"&gt;="&amp;$BR34,'Tally Helper'!$L$30:$GI$30,"&lt;="&amp;$BS34)))</f>
        <v/>
      </c>
      <c r="AH34" s="15" t="str">
        <f aca="false">IF(OR(L$7="",$BR34=""),"",IF('Tally Helper'!$B$33&lt;&gt;TRUE(),"not on Staff",SUMIFS('Tally Helper'!$L$35:$GI$35,'Tally Helper'!$L$33:$GI$33,"&gt;="&amp;$BR34,'Tally Helper'!$L$33:$GI$33,"&lt;="&amp;$BS34)))</f>
        <v/>
      </c>
      <c r="AI34" s="15" t="str">
        <f aca="false">IF(OR(M$7="",$BR34=""),"",IF('Tally Helper'!$B$36&lt;&gt;TRUE(),"not on Staff",SUMIFS('Tally Helper'!$L$38:$GI$38,'Tally Helper'!$L$36:$GI$36,"&gt;="&amp;$BR34,'Tally Helper'!$L$36:$GI$36,"&lt;="&amp;$BS34)))</f>
        <v/>
      </c>
      <c r="AJ34" s="15" t="str">
        <f aca="false">IF(OR(N$7="",$BR34=""),"",IF('Tally Helper'!$B$39&lt;&gt;TRUE(),"not on Staff",SUMIFS('Tally Helper'!$L$41:$GI$41,'Tally Helper'!$L$39:$GI$39,"&gt;="&amp;$BR34,'Tally Helper'!$L$39:$GI$39,"&lt;="&amp;$BS34)))</f>
        <v/>
      </c>
      <c r="AK34" s="15" t="str">
        <f aca="false">IF(OR(O$7="",$BR34=""),"",IF('Tally Helper'!$B$42&lt;&gt;TRUE(),"not on Staff",SUMIFS('Tally Helper'!$L$44:$GI$44,'Tally Helper'!$L$42:$GI$42,"&gt;="&amp;$BR34,'Tally Helper'!$L$42:$GI$42,"&lt;="&amp;$BS34)))</f>
        <v/>
      </c>
      <c r="AL34" s="15" t="str">
        <f aca="false">IF(OR(P$7="",$BR34=""),"",IF('Tally Helper'!$B$45&lt;&gt;TRUE(),"not on Staff",SUMIFS('Tally Helper'!$L$47:$GI$47,'Tally Helper'!$L$45:$GI$45,"&gt;="&amp;$BR34,'Tally Helper'!$L$45:$GI$45,"&lt;="&amp;$BS34)))</f>
        <v/>
      </c>
      <c r="AM34" s="15" t="str">
        <f aca="false">IF(OR(Q$7="",$BR34=""),"",IF('Tally Helper'!$B$48&lt;&gt;TRUE(),"not on Staff",SUMIFS('Tally Helper'!$L$50:$GI$50,'Tally Helper'!$L$48:$GI$48,"&gt;="&amp;$BR34,'Tally Helper'!$L$48:$GI$48,"&lt;="&amp;$BS34)))</f>
        <v/>
      </c>
      <c r="AN34" s="15" t="str">
        <f aca="false">IF(OR(R$7="",$BR34=""),"",IF('Tally Helper'!$B$51&lt;&gt;TRUE(),"not on Staff",SUMIFS('Tally Helper'!$L$53:$GI$53,'Tally Helper'!$L$51:$GI$51,"&gt;="&amp;$BR34,'Tally Helper'!$L$51:$GI$51,"&lt;="&amp;$BS34)))</f>
        <v/>
      </c>
      <c r="AO34" s="15" t="str">
        <f aca="false">IF(OR(S$7="",$BR34=""),"",IF('Tally Helper'!$B$54&lt;&gt;TRUE(),"not on Staff",SUMIFS('Tally Helper'!$L$56:$GI$56,'Tally Helper'!$L$54:$GI$54,"&gt;="&amp;$BR34,'Tally Helper'!$L$54:$GI$54,"&lt;="&amp;$BS34)))</f>
        <v/>
      </c>
      <c r="AP34" s="15" t="str">
        <f aca="false">IF(OR(T$7="",$BR34=""),"",IF('Tally Helper'!$B$57&lt;&gt;TRUE(),"not on Staff",SUMIFS('Tally Helper'!$L$59:$GI$59,'Tally Helper'!$L$57:$GI$57,"&gt;="&amp;$BR34,'Tally Helper'!$L$57:$GI$57,"&lt;="&amp;$BS34)))</f>
        <v/>
      </c>
      <c r="AQ34" s="15" t="str">
        <f aca="false">IF(OR(U$7="",$BR34=""),"",IF('Tally Helper'!$B$60&lt;&gt;TRUE(),"not on Staff",SUMIFS('Tally Helper'!$L$62:$GI$62,'Tally Helper'!$L$60:$GI$60,"&gt;="&amp;$BR34,'Tally Helper'!$L$60:$GI$60,"&lt;="&amp;$BS34)))</f>
        <v/>
      </c>
      <c r="AT34" s="15" t="str">
        <f aca="false">IF(OR(X34="",NOT(ISNUMBER(X34))),"",X34-N(B34))</f>
        <v/>
      </c>
      <c r="AU34" s="15" t="str">
        <f aca="false">IF(OR(Y34="",NOT(ISNUMBER(Y34))),"",Y34-N(C34))</f>
        <v/>
      </c>
      <c r="AV34" s="15" t="str">
        <f aca="false">IF(OR(Z34="",NOT(ISNUMBER(Z34))),"",Z34-N(D34))</f>
        <v/>
      </c>
      <c r="AW34" s="15" t="str">
        <f aca="false">IF(OR(AA34="",NOT(ISNUMBER(AA34))),"",AA34-N(E34))</f>
        <v/>
      </c>
      <c r="AX34" s="15" t="str">
        <f aca="false">IF(OR(AB34="",NOT(ISNUMBER(AB34))),"",AB34-N(F34))</f>
        <v/>
      </c>
      <c r="AY34" s="15" t="str">
        <f aca="false">IF(OR(AC34="",NOT(ISNUMBER(AC34))),"",AC34-N(G34))</f>
        <v/>
      </c>
      <c r="AZ34" s="15" t="str">
        <f aca="false">IF(OR(AD34="",NOT(ISNUMBER(AD34))),"",AD34-N(H34))</f>
        <v/>
      </c>
      <c r="BA34" s="15" t="str">
        <f aca="false">IF(OR(AE34="",NOT(ISNUMBER(AE34))),"",AE34-N(I34))</f>
        <v/>
      </c>
      <c r="BB34" s="15" t="str">
        <f aca="false">IF(OR(AF34="",NOT(ISNUMBER(AF34))),"",AF34-N(J34))</f>
        <v/>
      </c>
      <c r="BC34" s="15" t="str">
        <f aca="false">IF(OR(AG34="",NOT(ISNUMBER(AG34))),"",AG34-N(K34))</f>
        <v/>
      </c>
      <c r="BD34" s="15" t="str">
        <f aca="false">IF(OR(AH34="",NOT(ISNUMBER(AH34))),"",AH34-N(L34))</f>
        <v/>
      </c>
      <c r="BE34" s="15" t="str">
        <f aca="false">IF(OR(AI34="",NOT(ISNUMBER(AI34))),"",AI34-N(M34))</f>
        <v/>
      </c>
      <c r="BF34" s="15" t="str">
        <f aca="false">IF(OR(AJ34="",NOT(ISNUMBER(AJ34))),"",AJ34-N(N34))</f>
        <v/>
      </c>
      <c r="BG34" s="15" t="str">
        <f aca="false">IF(OR(AK34="",NOT(ISNUMBER(AK34))),"",AK34-N(O34))</f>
        <v/>
      </c>
      <c r="BH34" s="15" t="str">
        <f aca="false">IF(OR(AL34="",NOT(ISNUMBER(AL34))),"",AL34-N(P34))</f>
        <v/>
      </c>
      <c r="BI34" s="15" t="str">
        <f aca="false">IF(OR(AM34="",NOT(ISNUMBER(AM34))),"",AM34-N(Q34))</f>
        <v/>
      </c>
      <c r="BJ34" s="15" t="str">
        <f aca="false">IF(OR(AN34="",NOT(ISNUMBER(AN34))),"",AN34-N(R34))</f>
        <v/>
      </c>
      <c r="BK34" s="15" t="str">
        <f aca="false">IF(OR(AO34="",NOT(ISNUMBER(AO34))),"",AO34-N(S34))</f>
        <v/>
      </c>
      <c r="BL34" s="15" t="str">
        <f aca="false">IF(OR(AP34="",NOT(ISNUMBER(AP34))),"",AP34-N(T34))</f>
        <v/>
      </c>
      <c r="BM34" s="15" t="str">
        <f aca="false">IF(OR(AQ34="",NOT(ISNUMBER(AQ34))),"",AQ34-N(U34))</f>
        <v/>
      </c>
      <c r="BR34" s="18" t="str">
        <f aca="false">IF($A34="","",IF(ISNUMBER($A34),DATE(YEAR($A34),MONTH($A34),1),IFERROR(DATE(2000+VALUE(RIGHT(TRIM($A34),2)),MATCH(UPPER(LEFT(TRIM($A34),3)),{"JAN","FEB","MAR","APR","MAY","JUN","JUL","AUG","SEP","OCT","NOV","DEC"},0),1),"")))</f>
        <v/>
      </c>
      <c r="BS34" s="18" t="str">
        <f aca="false">IF(BR34="","",EOMONTH(BR34,0))</f>
        <v/>
      </c>
    </row>
    <row r="35" customFormat="false" ht="15" hidden="false" customHeight="false" outlineLevel="0" collapsed="false">
      <c r="B35" s="19"/>
      <c r="C35" s="19"/>
      <c r="D35" s="19"/>
      <c r="E35" s="19"/>
      <c r="F35" s="19"/>
      <c r="G35" s="19"/>
      <c r="H35" s="19"/>
      <c r="I35" s="19"/>
      <c r="J35" s="19"/>
      <c r="K35" s="19"/>
      <c r="L35" s="19"/>
      <c r="M35" s="19"/>
      <c r="N35" s="19"/>
      <c r="O35" s="19"/>
      <c r="P35" s="19"/>
      <c r="Q35" s="19"/>
      <c r="R35" s="19"/>
      <c r="S35" s="19"/>
      <c r="T35" s="19"/>
      <c r="U35" s="19"/>
      <c r="X35" s="15" t="str">
        <f aca="false">IF(OR(B$7="",$BR35=""),"",IF('Tally Helper'!$B$3&lt;&gt;TRUE(),"not on Staff",SUMIFS('Tally Helper'!$L$5:$GI$5,'Tally Helper'!$L$3:$GI$3,"&gt;="&amp;$BR35,'Tally Helper'!$L$3:$GI$3,"&lt;="&amp;$BS35)))</f>
        <v/>
      </c>
      <c r="Y35" s="15" t="str">
        <f aca="false">IF(OR(C$7="",$BR35=""),"",IF('Tally Helper'!$B$6&lt;&gt;TRUE(),"not on Staff",SUMIFS('Tally Helper'!$L$8:$GI$8,'Tally Helper'!$L$6:$GI$6,"&gt;="&amp;$BR35,'Tally Helper'!$L$6:$GI$6,"&lt;="&amp;$BS35)))</f>
        <v/>
      </c>
      <c r="Z35" s="15" t="str">
        <f aca="false">IF(OR(D$7="",$BR35=""),"",IF('Tally Helper'!$B$9&lt;&gt;TRUE(),"not on Staff",SUMIFS('Tally Helper'!$L$11:$GI$11,'Tally Helper'!$L$9:$GI$9,"&gt;="&amp;$BR35,'Tally Helper'!$L$9:$GI$9,"&lt;="&amp;$BS35)))</f>
        <v/>
      </c>
      <c r="AA35" s="15" t="str">
        <f aca="false">IF(OR(E$7="",$BR35=""),"",IF('Tally Helper'!$B$12&lt;&gt;TRUE(),"not on Staff",SUMIFS('Tally Helper'!$L$14:$GI$14,'Tally Helper'!$L$12:$GI$12,"&gt;="&amp;$BR35,'Tally Helper'!$L$12:$GI$12,"&lt;="&amp;$BS35)))</f>
        <v/>
      </c>
      <c r="AB35" s="15" t="str">
        <f aca="false">IF(OR(F$7="",$BR35=""),"",IF('Tally Helper'!$B$15&lt;&gt;TRUE(),"not on Staff",SUMIFS('Tally Helper'!$L$17:$GI$17,'Tally Helper'!$L$15:$GI$15,"&gt;="&amp;$BR35,'Tally Helper'!$L$15:$GI$15,"&lt;="&amp;$BS35)))</f>
        <v/>
      </c>
      <c r="AC35" s="15" t="str">
        <f aca="false">IF(OR(G$7="",$BR35=""),"",IF('Tally Helper'!$B$18&lt;&gt;TRUE(),"not on Staff",SUMIFS('Tally Helper'!$L$20:$GI$20,'Tally Helper'!$L$18:$GI$18,"&gt;="&amp;$BR35,'Tally Helper'!$L$18:$GI$18,"&lt;="&amp;$BS35)))</f>
        <v/>
      </c>
      <c r="AD35" s="15" t="str">
        <f aca="false">IF(OR(H$7="",$BR35=""),"",IF('Tally Helper'!$B$21&lt;&gt;TRUE(),"not on Staff",SUMIFS('Tally Helper'!$L$23:$GI$23,'Tally Helper'!$L$21:$GI$21,"&gt;="&amp;$BR35,'Tally Helper'!$L$21:$GI$21,"&lt;="&amp;$BS35)))</f>
        <v/>
      </c>
      <c r="AE35" s="15" t="str">
        <f aca="false">IF(OR(I$7="",$BR35=""),"",IF('Tally Helper'!$B$24&lt;&gt;TRUE(),"not on Staff",SUMIFS('Tally Helper'!$L$26:$GI$26,'Tally Helper'!$L$24:$GI$24,"&gt;="&amp;$BR35,'Tally Helper'!$L$24:$GI$24,"&lt;="&amp;$BS35)))</f>
        <v/>
      </c>
      <c r="AF35" s="15" t="str">
        <f aca="false">IF(OR(J$7="",$BR35=""),"",IF('Tally Helper'!$B$27&lt;&gt;TRUE(),"not on Staff",SUMIFS('Tally Helper'!$L$29:$GI$29,'Tally Helper'!$L$27:$GI$27,"&gt;="&amp;$BR35,'Tally Helper'!$L$27:$GI$27,"&lt;="&amp;$BS35)))</f>
        <v/>
      </c>
      <c r="AG35" s="15" t="str">
        <f aca="false">IF(OR(K$7="",$BR35=""),"",IF('Tally Helper'!$B$30&lt;&gt;TRUE(),"not on Staff",SUMIFS('Tally Helper'!$L$32:$GI$32,'Tally Helper'!$L$30:$GI$30,"&gt;="&amp;$BR35,'Tally Helper'!$L$30:$GI$30,"&lt;="&amp;$BS35)))</f>
        <v/>
      </c>
      <c r="AH35" s="15" t="str">
        <f aca="false">IF(OR(L$7="",$BR35=""),"",IF('Tally Helper'!$B$33&lt;&gt;TRUE(),"not on Staff",SUMIFS('Tally Helper'!$L$35:$GI$35,'Tally Helper'!$L$33:$GI$33,"&gt;="&amp;$BR35,'Tally Helper'!$L$33:$GI$33,"&lt;="&amp;$BS35)))</f>
        <v/>
      </c>
      <c r="AI35" s="15" t="str">
        <f aca="false">IF(OR(M$7="",$BR35=""),"",IF('Tally Helper'!$B$36&lt;&gt;TRUE(),"not on Staff",SUMIFS('Tally Helper'!$L$38:$GI$38,'Tally Helper'!$L$36:$GI$36,"&gt;="&amp;$BR35,'Tally Helper'!$L$36:$GI$36,"&lt;="&amp;$BS35)))</f>
        <v/>
      </c>
      <c r="AJ35" s="15" t="str">
        <f aca="false">IF(OR(N$7="",$BR35=""),"",IF('Tally Helper'!$B$39&lt;&gt;TRUE(),"not on Staff",SUMIFS('Tally Helper'!$L$41:$GI$41,'Tally Helper'!$L$39:$GI$39,"&gt;="&amp;$BR35,'Tally Helper'!$L$39:$GI$39,"&lt;="&amp;$BS35)))</f>
        <v/>
      </c>
      <c r="AK35" s="15" t="str">
        <f aca="false">IF(OR(O$7="",$BR35=""),"",IF('Tally Helper'!$B$42&lt;&gt;TRUE(),"not on Staff",SUMIFS('Tally Helper'!$L$44:$GI$44,'Tally Helper'!$L$42:$GI$42,"&gt;="&amp;$BR35,'Tally Helper'!$L$42:$GI$42,"&lt;="&amp;$BS35)))</f>
        <v/>
      </c>
      <c r="AL35" s="15" t="str">
        <f aca="false">IF(OR(P$7="",$BR35=""),"",IF('Tally Helper'!$B$45&lt;&gt;TRUE(),"not on Staff",SUMIFS('Tally Helper'!$L$47:$GI$47,'Tally Helper'!$L$45:$GI$45,"&gt;="&amp;$BR35,'Tally Helper'!$L$45:$GI$45,"&lt;="&amp;$BS35)))</f>
        <v/>
      </c>
      <c r="AM35" s="15" t="str">
        <f aca="false">IF(OR(Q$7="",$BR35=""),"",IF('Tally Helper'!$B$48&lt;&gt;TRUE(),"not on Staff",SUMIFS('Tally Helper'!$L$50:$GI$50,'Tally Helper'!$L$48:$GI$48,"&gt;="&amp;$BR35,'Tally Helper'!$L$48:$GI$48,"&lt;="&amp;$BS35)))</f>
        <v/>
      </c>
      <c r="AN35" s="15" t="str">
        <f aca="false">IF(OR(R$7="",$BR35=""),"",IF('Tally Helper'!$B$51&lt;&gt;TRUE(),"not on Staff",SUMIFS('Tally Helper'!$L$53:$GI$53,'Tally Helper'!$L$51:$GI$51,"&gt;="&amp;$BR35,'Tally Helper'!$L$51:$GI$51,"&lt;="&amp;$BS35)))</f>
        <v/>
      </c>
      <c r="AO35" s="15" t="str">
        <f aca="false">IF(OR(S$7="",$BR35=""),"",IF('Tally Helper'!$B$54&lt;&gt;TRUE(),"not on Staff",SUMIFS('Tally Helper'!$L$56:$GI$56,'Tally Helper'!$L$54:$GI$54,"&gt;="&amp;$BR35,'Tally Helper'!$L$54:$GI$54,"&lt;="&amp;$BS35)))</f>
        <v/>
      </c>
      <c r="AP35" s="15" t="str">
        <f aca="false">IF(OR(T$7="",$BR35=""),"",IF('Tally Helper'!$B$57&lt;&gt;TRUE(),"not on Staff",SUMIFS('Tally Helper'!$L$59:$GI$59,'Tally Helper'!$L$57:$GI$57,"&gt;="&amp;$BR35,'Tally Helper'!$L$57:$GI$57,"&lt;="&amp;$BS35)))</f>
        <v/>
      </c>
      <c r="AQ35" s="15" t="str">
        <f aca="false">IF(OR(U$7="",$BR35=""),"",IF('Tally Helper'!$B$60&lt;&gt;TRUE(),"not on Staff",SUMIFS('Tally Helper'!$L$62:$GI$62,'Tally Helper'!$L$60:$GI$60,"&gt;="&amp;$BR35,'Tally Helper'!$L$60:$GI$60,"&lt;="&amp;$BS35)))</f>
        <v/>
      </c>
      <c r="AT35" s="15" t="str">
        <f aca="false">IF(OR(X35="",NOT(ISNUMBER(X35))),"",X35-N(B35))</f>
        <v/>
      </c>
      <c r="AU35" s="15" t="str">
        <f aca="false">IF(OR(Y35="",NOT(ISNUMBER(Y35))),"",Y35-N(C35))</f>
        <v/>
      </c>
      <c r="AV35" s="15" t="str">
        <f aca="false">IF(OR(Z35="",NOT(ISNUMBER(Z35))),"",Z35-N(D35))</f>
        <v/>
      </c>
      <c r="AW35" s="15" t="str">
        <f aca="false">IF(OR(AA35="",NOT(ISNUMBER(AA35))),"",AA35-N(E35))</f>
        <v/>
      </c>
      <c r="AX35" s="15" t="str">
        <f aca="false">IF(OR(AB35="",NOT(ISNUMBER(AB35))),"",AB35-N(F35))</f>
        <v/>
      </c>
      <c r="AY35" s="15" t="str">
        <f aca="false">IF(OR(AC35="",NOT(ISNUMBER(AC35))),"",AC35-N(G35))</f>
        <v/>
      </c>
      <c r="AZ35" s="15" t="str">
        <f aca="false">IF(OR(AD35="",NOT(ISNUMBER(AD35))),"",AD35-N(H35))</f>
        <v/>
      </c>
      <c r="BA35" s="15" t="str">
        <f aca="false">IF(OR(AE35="",NOT(ISNUMBER(AE35))),"",AE35-N(I35))</f>
        <v/>
      </c>
      <c r="BB35" s="15" t="str">
        <f aca="false">IF(OR(AF35="",NOT(ISNUMBER(AF35))),"",AF35-N(J35))</f>
        <v/>
      </c>
      <c r="BC35" s="15" t="str">
        <f aca="false">IF(OR(AG35="",NOT(ISNUMBER(AG35))),"",AG35-N(K35))</f>
        <v/>
      </c>
      <c r="BD35" s="15" t="str">
        <f aca="false">IF(OR(AH35="",NOT(ISNUMBER(AH35))),"",AH35-N(L35))</f>
        <v/>
      </c>
      <c r="BE35" s="15" t="str">
        <f aca="false">IF(OR(AI35="",NOT(ISNUMBER(AI35))),"",AI35-N(M35))</f>
        <v/>
      </c>
      <c r="BF35" s="15" t="str">
        <f aca="false">IF(OR(AJ35="",NOT(ISNUMBER(AJ35))),"",AJ35-N(N35))</f>
        <v/>
      </c>
      <c r="BG35" s="15" t="str">
        <f aca="false">IF(OR(AK35="",NOT(ISNUMBER(AK35))),"",AK35-N(O35))</f>
        <v/>
      </c>
      <c r="BH35" s="15" t="str">
        <f aca="false">IF(OR(AL35="",NOT(ISNUMBER(AL35))),"",AL35-N(P35))</f>
        <v/>
      </c>
      <c r="BI35" s="15" t="str">
        <f aca="false">IF(OR(AM35="",NOT(ISNUMBER(AM35))),"",AM35-N(Q35))</f>
        <v/>
      </c>
      <c r="BJ35" s="15" t="str">
        <f aca="false">IF(OR(AN35="",NOT(ISNUMBER(AN35))),"",AN35-N(R35))</f>
        <v/>
      </c>
      <c r="BK35" s="15" t="str">
        <f aca="false">IF(OR(AO35="",NOT(ISNUMBER(AO35))),"",AO35-N(S35))</f>
        <v/>
      </c>
      <c r="BL35" s="15" t="str">
        <f aca="false">IF(OR(AP35="",NOT(ISNUMBER(AP35))),"",AP35-N(T35))</f>
        <v/>
      </c>
      <c r="BM35" s="15" t="str">
        <f aca="false">IF(OR(AQ35="",NOT(ISNUMBER(AQ35))),"",AQ35-N(U35))</f>
        <v/>
      </c>
      <c r="BR35" s="18" t="str">
        <f aca="false">IF($A35="","",IF(ISNUMBER($A35),DATE(YEAR($A35),MONTH($A35),1),IFERROR(DATE(2000+VALUE(RIGHT(TRIM($A35),2)),MATCH(UPPER(LEFT(TRIM($A35),3)),{"JAN","FEB","MAR","APR","MAY","JUN","JUL","AUG","SEP","OCT","NOV","DEC"},0),1),"")))</f>
        <v/>
      </c>
      <c r="BS35" s="18" t="str">
        <f aca="false">IF(BR35="","",EOMONTH(BR35,0))</f>
        <v/>
      </c>
    </row>
    <row r="36" customFormat="false" ht="15" hidden="false" customHeight="false" outlineLevel="0" collapsed="false">
      <c r="B36" s="19"/>
      <c r="C36" s="19"/>
      <c r="D36" s="19"/>
      <c r="E36" s="19"/>
      <c r="F36" s="19"/>
      <c r="G36" s="19"/>
      <c r="H36" s="19"/>
      <c r="I36" s="19"/>
      <c r="J36" s="19"/>
      <c r="K36" s="19"/>
      <c r="L36" s="19"/>
      <c r="M36" s="19"/>
      <c r="N36" s="19"/>
      <c r="O36" s="19"/>
      <c r="P36" s="19"/>
      <c r="Q36" s="19"/>
      <c r="R36" s="19"/>
      <c r="S36" s="19"/>
      <c r="T36" s="19"/>
      <c r="U36" s="19"/>
      <c r="X36" s="15" t="str">
        <f aca="false">IF(OR(B$7="",$BR36=""),"",IF('Tally Helper'!$B$3&lt;&gt;TRUE(),"not on Staff",SUMIFS('Tally Helper'!$L$5:$GI$5,'Tally Helper'!$L$3:$GI$3,"&gt;="&amp;$BR36,'Tally Helper'!$L$3:$GI$3,"&lt;="&amp;$BS36)))</f>
        <v/>
      </c>
      <c r="Y36" s="15" t="str">
        <f aca="false">IF(OR(C$7="",$BR36=""),"",IF('Tally Helper'!$B$6&lt;&gt;TRUE(),"not on Staff",SUMIFS('Tally Helper'!$L$8:$GI$8,'Tally Helper'!$L$6:$GI$6,"&gt;="&amp;$BR36,'Tally Helper'!$L$6:$GI$6,"&lt;="&amp;$BS36)))</f>
        <v/>
      </c>
      <c r="Z36" s="15" t="str">
        <f aca="false">IF(OR(D$7="",$BR36=""),"",IF('Tally Helper'!$B$9&lt;&gt;TRUE(),"not on Staff",SUMIFS('Tally Helper'!$L$11:$GI$11,'Tally Helper'!$L$9:$GI$9,"&gt;="&amp;$BR36,'Tally Helper'!$L$9:$GI$9,"&lt;="&amp;$BS36)))</f>
        <v/>
      </c>
      <c r="AA36" s="15" t="str">
        <f aca="false">IF(OR(E$7="",$BR36=""),"",IF('Tally Helper'!$B$12&lt;&gt;TRUE(),"not on Staff",SUMIFS('Tally Helper'!$L$14:$GI$14,'Tally Helper'!$L$12:$GI$12,"&gt;="&amp;$BR36,'Tally Helper'!$L$12:$GI$12,"&lt;="&amp;$BS36)))</f>
        <v/>
      </c>
      <c r="AB36" s="15" t="str">
        <f aca="false">IF(OR(F$7="",$BR36=""),"",IF('Tally Helper'!$B$15&lt;&gt;TRUE(),"not on Staff",SUMIFS('Tally Helper'!$L$17:$GI$17,'Tally Helper'!$L$15:$GI$15,"&gt;="&amp;$BR36,'Tally Helper'!$L$15:$GI$15,"&lt;="&amp;$BS36)))</f>
        <v/>
      </c>
      <c r="AC36" s="15" t="str">
        <f aca="false">IF(OR(G$7="",$BR36=""),"",IF('Tally Helper'!$B$18&lt;&gt;TRUE(),"not on Staff",SUMIFS('Tally Helper'!$L$20:$GI$20,'Tally Helper'!$L$18:$GI$18,"&gt;="&amp;$BR36,'Tally Helper'!$L$18:$GI$18,"&lt;="&amp;$BS36)))</f>
        <v/>
      </c>
      <c r="AD36" s="15" t="str">
        <f aca="false">IF(OR(H$7="",$BR36=""),"",IF('Tally Helper'!$B$21&lt;&gt;TRUE(),"not on Staff",SUMIFS('Tally Helper'!$L$23:$GI$23,'Tally Helper'!$L$21:$GI$21,"&gt;="&amp;$BR36,'Tally Helper'!$L$21:$GI$21,"&lt;="&amp;$BS36)))</f>
        <v/>
      </c>
      <c r="AE36" s="15" t="str">
        <f aca="false">IF(OR(I$7="",$BR36=""),"",IF('Tally Helper'!$B$24&lt;&gt;TRUE(),"not on Staff",SUMIFS('Tally Helper'!$L$26:$GI$26,'Tally Helper'!$L$24:$GI$24,"&gt;="&amp;$BR36,'Tally Helper'!$L$24:$GI$24,"&lt;="&amp;$BS36)))</f>
        <v/>
      </c>
      <c r="AF36" s="15" t="str">
        <f aca="false">IF(OR(J$7="",$BR36=""),"",IF('Tally Helper'!$B$27&lt;&gt;TRUE(),"not on Staff",SUMIFS('Tally Helper'!$L$29:$GI$29,'Tally Helper'!$L$27:$GI$27,"&gt;="&amp;$BR36,'Tally Helper'!$L$27:$GI$27,"&lt;="&amp;$BS36)))</f>
        <v/>
      </c>
      <c r="AG36" s="15" t="str">
        <f aca="false">IF(OR(K$7="",$BR36=""),"",IF('Tally Helper'!$B$30&lt;&gt;TRUE(),"not on Staff",SUMIFS('Tally Helper'!$L$32:$GI$32,'Tally Helper'!$L$30:$GI$30,"&gt;="&amp;$BR36,'Tally Helper'!$L$30:$GI$30,"&lt;="&amp;$BS36)))</f>
        <v/>
      </c>
      <c r="AH36" s="15" t="str">
        <f aca="false">IF(OR(L$7="",$BR36=""),"",IF('Tally Helper'!$B$33&lt;&gt;TRUE(),"not on Staff",SUMIFS('Tally Helper'!$L$35:$GI$35,'Tally Helper'!$L$33:$GI$33,"&gt;="&amp;$BR36,'Tally Helper'!$L$33:$GI$33,"&lt;="&amp;$BS36)))</f>
        <v/>
      </c>
      <c r="AI36" s="15" t="str">
        <f aca="false">IF(OR(M$7="",$BR36=""),"",IF('Tally Helper'!$B$36&lt;&gt;TRUE(),"not on Staff",SUMIFS('Tally Helper'!$L$38:$GI$38,'Tally Helper'!$L$36:$GI$36,"&gt;="&amp;$BR36,'Tally Helper'!$L$36:$GI$36,"&lt;="&amp;$BS36)))</f>
        <v/>
      </c>
      <c r="AJ36" s="15" t="str">
        <f aca="false">IF(OR(N$7="",$BR36=""),"",IF('Tally Helper'!$B$39&lt;&gt;TRUE(),"not on Staff",SUMIFS('Tally Helper'!$L$41:$GI$41,'Tally Helper'!$L$39:$GI$39,"&gt;="&amp;$BR36,'Tally Helper'!$L$39:$GI$39,"&lt;="&amp;$BS36)))</f>
        <v/>
      </c>
      <c r="AK36" s="15" t="str">
        <f aca="false">IF(OR(O$7="",$BR36=""),"",IF('Tally Helper'!$B$42&lt;&gt;TRUE(),"not on Staff",SUMIFS('Tally Helper'!$L$44:$GI$44,'Tally Helper'!$L$42:$GI$42,"&gt;="&amp;$BR36,'Tally Helper'!$L$42:$GI$42,"&lt;="&amp;$BS36)))</f>
        <v/>
      </c>
      <c r="AL36" s="15" t="str">
        <f aca="false">IF(OR(P$7="",$BR36=""),"",IF('Tally Helper'!$B$45&lt;&gt;TRUE(),"not on Staff",SUMIFS('Tally Helper'!$L$47:$GI$47,'Tally Helper'!$L$45:$GI$45,"&gt;="&amp;$BR36,'Tally Helper'!$L$45:$GI$45,"&lt;="&amp;$BS36)))</f>
        <v/>
      </c>
      <c r="AM36" s="15" t="str">
        <f aca="false">IF(OR(Q$7="",$BR36=""),"",IF('Tally Helper'!$B$48&lt;&gt;TRUE(),"not on Staff",SUMIFS('Tally Helper'!$L$50:$GI$50,'Tally Helper'!$L$48:$GI$48,"&gt;="&amp;$BR36,'Tally Helper'!$L$48:$GI$48,"&lt;="&amp;$BS36)))</f>
        <v/>
      </c>
      <c r="AN36" s="15" t="str">
        <f aca="false">IF(OR(R$7="",$BR36=""),"",IF('Tally Helper'!$B$51&lt;&gt;TRUE(),"not on Staff",SUMIFS('Tally Helper'!$L$53:$GI$53,'Tally Helper'!$L$51:$GI$51,"&gt;="&amp;$BR36,'Tally Helper'!$L$51:$GI$51,"&lt;="&amp;$BS36)))</f>
        <v/>
      </c>
      <c r="AO36" s="15" t="str">
        <f aca="false">IF(OR(S$7="",$BR36=""),"",IF('Tally Helper'!$B$54&lt;&gt;TRUE(),"not on Staff",SUMIFS('Tally Helper'!$L$56:$GI$56,'Tally Helper'!$L$54:$GI$54,"&gt;="&amp;$BR36,'Tally Helper'!$L$54:$GI$54,"&lt;="&amp;$BS36)))</f>
        <v/>
      </c>
      <c r="AP36" s="15" t="str">
        <f aca="false">IF(OR(T$7="",$BR36=""),"",IF('Tally Helper'!$B$57&lt;&gt;TRUE(),"not on Staff",SUMIFS('Tally Helper'!$L$59:$GI$59,'Tally Helper'!$L$57:$GI$57,"&gt;="&amp;$BR36,'Tally Helper'!$L$57:$GI$57,"&lt;="&amp;$BS36)))</f>
        <v/>
      </c>
      <c r="AQ36" s="15" t="str">
        <f aca="false">IF(OR(U$7="",$BR36=""),"",IF('Tally Helper'!$B$60&lt;&gt;TRUE(),"not on Staff",SUMIFS('Tally Helper'!$L$62:$GI$62,'Tally Helper'!$L$60:$GI$60,"&gt;="&amp;$BR36,'Tally Helper'!$L$60:$GI$60,"&lt;="&amp;$BS36)))</f>
        <v/>
      </c>
      <c r="AT36" s="15" t="str">
        <f aca="false">IF(OR(X36="",NOT(ISNUMBER(X36))),"",X36-N(B36))</f>
        <v/>
      </c>
      <c r="AU36" s="15" t="str">
        <f aca="false">IF(OR(Y36="",NOT(ISNUMBER(Y36))),"",Y36-N(C36))</f>
        <v/>
      </c>
      <c r="AV36" s="15" t="str">
        <f aca="false">IF(OR(Z36="",NOT(ISNUMBER(Z36))),"",Z36-N(D36))</f>
        <v/>
      </c>
      <c r="AW36" s="15" t="str">
        <f aca="false">IF(OR(AA36="",NOT(ISNUMBER(AA36))),"",AA36-N(E36))</f>
        <v/>
      </c>
      <c r="AX36" s="15" t="str">
        <f aca="false">IF(OR(AB36="",NOT(ISNUMBER(AB36))),"",AB36-N(F36))</f>
        <v/>
      </c>
      <c r="AY36" s="15" t="str">
        <f aca="false">IF(OR(AC36="",NOT(ISNUMBER(AC36))),"",AC36-N(G36))</f>
        <v/>
      </c>
      <c r="AZ36" s="15" t="str">
        <f aca="false">IF(OR(AD36="",NOT(ISNUMBER(AD36))),"",AD36-N(H36))</f>
        <v/>
      </c>
      <c r="BA36" s="15" t="str">
        <f aca="false">IF(OR(AE36="",NOT(ISNUMBER(AE36))),"",AE36-N(I36))</f>
        <v/>
      </c>
      <c r="BB36" s="15" t="str">
        <f aca="false">IF(OR(AF36="",NOT(ISNUMBER(AF36))),"",AF36-N(J36))</f>
        <v/>
      </c>
      <c r="BC36" s="15" t="str">
        <f aca="false">IF(OR(AG36="",NOT(ISNUMBER(AG36))),"",AG36-N(K36))</f>
        <v/>
      </c>
      <c r="BD36" s="15" t="str">
        <f aca="false">IF(OR(AH36="",NOT(ISNUMBER(AH36))),"",AH36-N(L36))</f>
        <v/>
      </c>
      <c r="BE36" s="15" t="str">
        <f aca="false">IF(OR(AI36="",NOT(ISNUMBER(AI36))),"",AI36-N(M36))</f>
        <v/>
      </c>
      <c r="BF36" s="15" t="str">
        <f aca="false">IF(OR(AJ36="",NOT(ISNUMBER(AJ36))),"",AJ36-N(N36))</f>
        <v/>
      </c>
      <c r="BG36" s="15" t="str">
        <f aca="false">IF(OR(AK36="",NOT(ISNUMBER(AK36))),"",AK36-N(O36))</f>
        <v/>
      </c>
      <c r="BH36" s="15" t="str">
        <f aca="false">IF(OR(AL36="",NOT(ISNUMBER(AL36))),"",AL36-N(P36))</f>
        <v/>
      </c>
      <c r="BI36" s="15" t="str">
        <f aca="false">IF(OR(AM36="",NOT(ISNUMBER(AM36))),"",AM36-N(Q36))</f>
        <v/>
      </c>
      <c r="BJ36" s="15" t="str">
        <f aca="false">IF(OR(AN36="",NOT(ISNUMBER(AN36))),"",AN36-N(R36))</f>
        <v/>
      </c>
      <c r="BK36" s="15" t="str">
        <f aca="false">IF(OR(AO36="",NOT(ISNUMBER(AO36))),"",AO36-N(S36))</f>
        <v/>
      </c>
      <c r="BL36" s="15" t="str">
        <f aca="false">IF(OR(AP36="",NOT(ISNUMBER(AP36))),"",AP36-N(T36))</f>
        <v/>
      </c>
      <c r="BM36" s="15" t="str">
        <f aca="false">IF(OR(AQ36="",NOT(ISNUMBER(AQ36))),"",AQ36-N(U36))</f>
        <v/>
      </c>
      <c r="BR36" s="18" t="str">
        <f aca="false">IF($A36="","",IF(ISNUMBER($A36),DATE(YEAR($A36),MONTH($A36),1),IFERROR(DATE(2000+VALUE(RIGHT(TRIM($A36),2)),MATCH(UPPER(LEFT(TRIM($A36),3)),{"JAN","FEB","MAR","APR","MAY","JUN","JUL","AUG","SEP","OCT","NOV","DEC"},0),1),"")))</f>
        <v/>
      </c>
      <c r="BS36" s="18" t="str">
        <f aca="false">IF(BR36="","",EOMONTH(BR36,0))</f>
        <v/>
      </c>
    </row>
    <row r="37" customFormat="false" ht="15" hidden="false" customHeight="false" outlineLevel="0" collapsed="false">
      <c r="B37" s="19"/>
      <c r="C37" s="19"/>
      <c r="D37" s="19"/>
      <c r="E37" s="19"/>
      <c r="F37" s="19"/>
      <c r="G37" s="19"/>
      <c r="H37" s="19"/>
      <c r="I37" s="19"/>
      <c r="J37" s="19"/>
      <c r="K37" s="19"/>
      <c r="L37" s="19"/>
      <c r="M37" s="19"/>
      <c r="N37" s="19"/>
      <c r="O37" s="19"/>
      <c r="P37" s="19"/>
      <c r="Q37" s="19"/>
      <c r="R37" s="19"/>
      <c r="S37" s="19"/>
      <c r="T37" s="19"/>
      <c r="U37" s="19"/>
      <c r="X37" s="15" t="str">
        <f aca="false">IF(OR(B$7="",$BR37=""),"",IF('Tally Helper'!$B$3&lt;&gt;TRUE(),"not on Staff",SUMIFS('Tally Helper'!$L$5:$GI$5,'Tally Helper'!$L$3:$GI$3,"&gt;="&amp;$BR37,'Tally Helper'!$L$3:$GI$3,"&lt;="&amp;$BS37)))</f>
        <v/>
      </c>
      <c r="Y37" s="15" t="str">
        <f aca="false">IF(OR(C$7="",$BR37=""),"",IF('Tally Helper'!$B$6&lt;&gt;TRUE(),"not on Staff",SUMIFS('Tally Helper'!$L$8:$GI$8,'Tally Helper'!$L$6:$GI$6,"&gt;="&amp;$BR37,'Tally Helper'!$L$6:$GI$6,"&lt;="&amp;$BS37)))</f>
        <v/>
      </c>
      <c r="Z37" s="15" t="str">
        <f aca="false">IF(OR(D$7="",$BR37=""),"",IF('Tally Helper'!$B$9&lt;&gt;TRUE(),"not on Staff",SUMIFS('Tally Helper'!$L$11:$GI$11,'Tally Helper'!$L$9:$GI$9,"&gt;="&amp;$BR37,'Tally Helper'!$L$9:$GI$9,"&lt;="&amp;$BS37)))</f>
        <v/>
      </c>
      <c r="AA37" s="15" t="str">
        <f aca="false">IF(OR(E$7="",$BR37=""),"",IF('Tally Helper'!$B$12&lt;&gt;TRUE(),"not on Staff",SUMIFS('Tally Helper'!$L$14:$GI$14,'Tally Helper'!$L$12:$GI$12,"&gt;="&amp;$BR37,'Tally Helper'!$L$12:$GI$12,"&lt;="&amp;$BS37)))</f>
        <v/>
      </c>
      <c r="AB37" s="15" t="str">
        <f aca="false">IF(OR(F$7="",$BR37=""),"",IF('Tally Helper'!$B$15&lt;&gt;TRUE(),"not on Staff",SUMIFS('Tally Helper'!$L$17:$GI$17,'Tally Helper'!$L$15:$GI$15,"&gt;="&amp;$BR37,'Tally Helper'!$L$15:$GI$15,"&lt;="&amp;$BS37)))</f>
        <v/>
      </c>
      <c r="AC37" s="15" t="str">
        <f aca="false">IF(OR(G$7="",$BR37=""),"",IF('Tally Helper'!$B$18&lt;&gt;TRUE(),"not on Staff",SUMIFS('Tally Helper'!$L$20:$GI$20,'Tally Helper'!$L$18:$GI$18,"&gt;="&amp;$BR37,'Tally Helper'!$L$18:$GI$18,"&lt;="&amp;$BS37)))</f>
        <v/>
      </c>
      <c r="AD37" s="15" t="str">
        <f aca="false">IF(OR(H$7="",$BR37=""),"",IF('Tally Helper'!$B$21&lt;&gt;TRUE(),"not on Staff",SUMIFS('Tally Helper'!$L$23:$GI$23,'Tally Helper'!$L$21:$GI$21,"&gt;="&amp;$BR37,'Tally Helper'!$L$21:$GI$21,"&lt;="&amp;$BS37)))</f>
        <v/>
      </c>
      <c r="AE37" s="15" t="str">
        <f aca="false">IF(OR(I$7="",$BR37=""),"",IF('Tally Helper'!$B$24&lt;&gt;TRUE(),"not on Staff",SUMIFS('Tally Helper'!$L$26:$GI$26,'Tally Helper'!$L$24:$GI$24,"&gt;="&amp;$BR37,'Tally Helper'!$L$24:$GI$24,"&lt;="&amp;$BS37)))</f>
        <v/>
      </c>
      <c r="AF37" s="15" t="str">
        <f aca="false">IF(OR(J$7="",$BR37=""),"",IF('Tally Helper'!$B$27&lt;&gt;TRUE(),"not on Staff",SUMIFS('Tally Helper'!$L$29:$GI$29,'Tally Helper'!$L$27:$GI$27,"&gt;="&amp;$BR37,'Tally Helper'!$L$27:$GI$27,"&lt;="&amp;$BS37)))</f>
        <v/>
      </c>
      <c r="AG37" s="15" t="str">
        <f aca="false">IF(OR(K$7="",$BR37=""),"",IF('Tally Helper'!$B$30&lt;&gt;TRUE(),"not on Staff",SUMIFS('Tally Helper'!$L$32:$GI$32,'Tally Helper'!$L$30:$GI$30,"&gt;="&amp;$BR37,'Tally Helper'!$L$30:$GI$30,"&lt;="&amp;$BS37)))</f>
        <v/>
      </c>
      <c r="AH37" s="15" t="str">
        <f aca="false">IF(OR(L$7="",$BR37=""),"",IF('Tally Helper'!$B$33&lt;&gt;TRUE(),"not on Staff",SUMIFS('Tally Helper'!$L$35:$GI$35,'Tally Helper'!$L$33:$GI$33,"&gt;="&amp;$BR37,'Tally Helper'!$L$33:$GI$33,"&lt;="&amp;$BS37)))</f>
        <v/>
      </c>
      <c r="AI37" s="15" t="str">
        <f aca="false">IF(OR(M$7="",$BR37=""),"",IF('Tally Helper'!$B$36&lt;&gt;TRUE(),"not on Staff",SUMIFS('Tally Helper'!$L$38:$GI$38,'Tally Helper'!$L$36:$GI$36,"&gt;="&amp;$BR37,'Tally Helper'!$L$36:$GI$36,"&lt;="&amp;$BS37)))</f>
        <v/>
      </c>
      <c r="AJ37" s="15" t="str">
        <f aca="false">IF(OR(N$7="",$BR37=""),"",IF('Tally Helper'!$B$39&lt;&gt;TRUE(),"not on Staff",SUMIFS('Tally Helper'!$L$41:$GI$41,'Tally Helper'!$L$39:$GI$39,"&gt;="&amp;$BR37,'Tally Helper'!$L$39:$GI$39,"&lt;="&amp;$BS37)))</f>
        <v/>
      </c>
      <c r="AK37" s="15" t="str">
        <f aca="false">IF(OR(O$7="",$BR37=""),"",IF('Tally Helper'!$B$42&lt;&gt;TRUE(),"not on Staff",SUMIFS('Tally Helper'!$L$44:$GI$44,'Tally Helper'!$L$42:$GI$42,"&gt;="&amp;$BR37,'Tally Helper'!$L$42:$GI$42,"&lt;="&amp;$BS37)))</f>
        <v/>
      </c>
      <c r="AL37" s="15" t="str">
        <f aca="false">IF(OR(P$7="",$BR37=""),"",IF('Tally Helper'!$B$45&lt;&gt;TRUE(),"not on Staff",SUMIFS('Tally Helper'!$L$47:$GI$47,'Tally Helper'!$L$45:$GI$45,"&gt;="&amp;$BR37,'Tally Helper'!$L$45:$GI$45,"&lt;="&amp;$BS37)))</f>
        <v/>
      </c>
      <c r="AM37" s="15" t="str">
        <f aca="false">IF(OR(Q$7="",$BR37=""),"",IF('Tally Helper'!$B$48&lt;&gt;TRUE(),"not on Staff",SUMIFS('Tally Helper'!$L$50:$GI$50,'Tally Helper'!$L$48:$GI$48,"&gt;="&amp;$BR37,'Tally Helper'!$L$48:$GI$48,"&lt;="&amp;$BS37)))</f>
        <v/>
      </c>
      <c r="AN37" s="15" t="str">
        <f aca="false">IF(OR(R$7="",$BR37=""),"",IF('Tally Helper'!$B$51&lt;&gt;TRUE(),"not on Staff",SUMIFS('Tally Helper'!$L$53:$GI$53,'Tally Helper'!$L$51:$GI$51,"&gt;="&amp;$BR37,'Tally Helper'!$L$51:$GI$51,"&lt;="&amp;$BS37)))</f>
        <v/>
      </c>
      <c r="AO37" s="15" t="str">
        <f aca="false">IF(OR(S$7="",$BR37=""),"",IF('Tally Helper'!$B$54&lt;&gt;TRUE(),"not on Staff",SUMIFS('Tally Helper'!$L$56:$GI$56,'Tally Helper'!$L$54:$GI$54,"&gt;="&amp;$BR37,'Tally Helper'!$L$54:$GI$54,"&lt;="&amp;$BS37)))</f>
        <v/>
      </c>
      <c r="AP37" s="15" t="str">
        <f aca="false">IF(OR(T$7="",$BR37=""),"",IF('Tally Helper'!$B$57&lt;&gt;TRUE(),"not on Staff",SUMIFS('Tally Helper'!$L$59:$GI$59,'Tally Helper'!$L$57:$GI$57,"&gt;="&amp;$BR37,'Tally Helper'!$L$57:$GI$57,"&lt;="&amp;$BS37)))</f>
        <v/>
      </c>
      <c r="AQ37" s="15" t="str">
        <f aca="false">IF(OR(U$7="",$BR37=""),"",IF('Tally Helper'!$B$60&lt;&gt;TRUE(),"not on Staff",SUMIFS('Tally Helper'!$L$62:$GI$62,'Tally Helper'!$L$60:$GI$60,"&gt;="&amp;$BR37,'Tally Helper'!$L$60:$GI$60,"&lt;="&amp;$BS37)))</f>
        <v/>
      </c>
      <c r="AT37" s="15" t="str">
        <f aca="false">IF(OR(X37="",NOT(ISNUMBER(X37))),"",X37-N(B37))</f>
        <v/>
      </c>
      <c r="AU37" s="15" t="str">
        <f aca="false">IF(OR(Y37="",NOT(ISNUMBER(Y37))),"",Y37-N(C37))</f>
        <v/>
      </c>
      <c r="AV37" s="15" t="str">
        <f aca="false">IF(OR(Z37="",NOT(ISNUMBER(Z37))),"",Z37-N(D37))</f>
        <v/>
      </c>
      <c r="AW37" s="15" t="str">
        <f aca="false">IF(OR(AA37="",NOT(ISNUMBER(AA37))),"",AA37-N(E37))</f>
        <v/>
      </c>
      <c r="AX37" s="15" t="str">
        <f aca="false">IF(OR(AB37="",NOT(ISNUMBER(AB37))),"",AB37-N(F37))</f>
        <v/>
      </c>
      <c r="AY37" s="15" t="str">
        <f aca="false">IF(OR(AC37="",NOT(ISNUMBER(AC37))),"",AC37-N(G37))</f>
        <v/>
      </c>
      <c r="AZ37" s="15" t="str">
        <f aca="false">IF(OR(AD37="",NOT(ISNUMBER(AD37))),"",AD37-N(H37))</f>
        <v/>
      </c>
      <c r="BA37" s="15" t="str">
        <f aca="false">IF(OR(AE37="",NOT(ISNUMBER(AE37))),"",AE37-N(I37))</f>
        <v/>
      </c>
      <c r="BB37" s="15" t="str">
        <f aca="false">IF(OR(AF37="",NOT(ISNUMBER(AF37))),"",AF37-N(J37))</f>
        <v/>
      </c>
      <c r="BC37" s="15" t="str">
        <f aca="false">IF(OR(AG37="",NOT(ISNUMBER(AG37))),"",AG37-N(K37))</f>
        <v/>
      </c>
      <c r="BD37" s="15" t="str">
        <f aca="false">IF(OR(AH37="",NOT(ISNUMBER(AH37))),"",AH37-N(L37))</f>
        <v/>
      </c>
      <c r="BE37" s="15" t="str">
        <f aca="false">IF(OR(AI37="",NOT(ISNUMBER(AI37))),"",AI37-N(M37))</f>
        <v/>
      </c>
      <c r="BF37" s="15" t="str">
        <f aca="false">IF(OR(AJ37="",NOT(ISNUMBER(AJ37))),"",AJ37-N(N37))</f>
        <v/>
      </c>
      <c r="BG37" s="15" t="str">
        <f aca="false">IF(OR(AK37="",NOT(ISNUMBER(AK37))),"",AK37-N(O37))</f>
        <v/>
      </c>
      <c r="BH37" s="15" t="str">
        <f aca="false">IF(OR(AL37="",NOT(ISNUMBER(AL37))),"",AL37-N(P37))</f>
        <v/>
      </c>
      <c r="BI37" s="15" t="str">
        <f aca="false">IF(OR(AM37="",NOT(ISNUMBER(AM37))),"",AM37-N(Q37))</f>
        <v/>
      </c>
      <c r="BJ37" s="15" t="str">
        <f aca="false">IF(OR(AN37="",NOT(ISNUMBER(AN37))),"",AN37-N(R37))</f>
        <v/>
      </c>
      <c r="BK37" s="15" t="str">
        <f aca="false">IF(OR(AO37="",NOT(ISNUMBER(AO37))),"",AO37-N(S37))</f>
        <v/>
      </c>
      <c r="BL37" s="15" t="str">
        <f aca="false">IF(OR(AP37="",NOT(ISNUMBER(AP37))),"",AP37-N(T37))</f>
        <v/>
      </c>
      <c r="BM37" s="15" t="str">
        <f aca="false">IF(OR(AQ37="",NOT(ISNUMBER(AQ37))),"",AQ37-N(U37))</f>
        <v/>
      </c>
      <c r="BR37" s="18" t="str">
        <f aca="false">IF($A37="","",IF(ISNUMBER($A37),DATE(YEAR($A37),MONTH($A37),1),IFERROR(DATE(2000+VALUE(RIGHT(TRIM($A37),2)),MATCH(UPPER(LEFT(TRIM($A37),3)),{"JAN","FEB","MAR","APR","MAY","JUN","JUL","AUG","SEP","OCT","NOV","DEC"},0),1),"")))</f>
        <v/>
      </c>
      <c r="BS37" s="18" t="str">
        <f aca="false">IF(BR37="","",EOMONTH(BR37,0))</f>
        <v/>
      </c>
    </row>
    <row r="38" customFormat="false" ht="15" hidden="false" customHeight="false" outlineLevel="0" collapsed="false">
      <c r="B38" s="19"/>
      <c r="C38" s="19"/>
      <c r="D38" s="19"/>
      <c r="E38" s="19"/>
      <c r="F38" s="19"/>
      <c r="G38" s="19"/>
      <c r="H38" s="19"/>
      <c r="I38" s="19"/>
      <c r="J38" s="19"/>
      <c r="K38" s="19"/>
      <c r="L38" s="19"/>
      <c r="M38" s="19"/>
      <c r="N38" s="19"/>
      <c r="O38" s="19"/>
      <c r="P38" s="19"/>
      <c r="Q38" s="19"/>
      <c r="R38" s="19"/>
      <c r="S38" s="19"/>
      <c r="T38" s="19"/>
      <c r="U38" s="19"/>
      <c r="X38" s="15" t="str">
        <f aca="false">IF(OR(B$7="",$BR38=""),"",IF('Tally Helper'!$B$3&lt;&gt;TRUE(),"not on Staff",SUMIFS('Tally Helper'!$L$5:$GI$5,'Tally Helper'!$L$3:$GI$3,"&gt;="&amp;$BR38,'Tally Helper'!$L$3:$GI$3,"&lt;="&amp;$BS38)))</f>
        <v/>
      </c>
      <c r="Y38" s="15" t="str">
        <f aca="false">IF(OR(C$7="",$BR38=""),"",IF('Tally Helper'!$B$6&lt;&gt;TRUE(),"not on Staff",SUMIFS('Tally Helper'!$L$8:$GI$8,'Tally Helper'!$L$6:$GI$6,"&gt;="&amp;$BR38,'Tally Helper'!$L$6:$GI$6,"&lt;="&amp;$BS38)))</f>
        <v/>
      </c>
      <c r="Z38" s="15" t="str">
        <f aca="false">IF(OR(D$7="",$BR38=""),"",IF('Tally Helper'!$B$9&lt;&gt;TRUE(),"not on Staff",SUMIFS('Tally Helper'!$L$11:$GI$11,'Tally Helper'!$L$9:$GI$9,"&gt;="&amp;$BR38,'Tally Helper'!$L$9:$GI$9,"&lt;="&amp;$BS38)))</f>
        <v/>
      </c>
      <c r="AA38" s="15" t="str">
        <f aca="false">IF(OR(E$7="",$BR38=""),"",IF('Tally Helper'!$B$12&lt;&gt;TRUE(),"not on Staff",SUMIFS('Tally Helper'!$L$14:$GI$14,'Tally Helper'!$L$12:$GI$12,"&gt;="&amp;$BR38,'Tally Helper'!$L$12:$GI$12,"&lt;="&amp;$BS38)))</f>
        <v/>
      </c>
      <c r="AB38" s="15" t="str">
        <f aca="false">IF(OR(F$7="",$BR38=""),"",IF('Tally Helper'!$B$15&lt;&gt;TRUE(),"not on Staff",SUMIFS('Tally Helper'!$L$17:$GI$17,'Tally Helper'!$L$15:$GI$15,"&gt;="&amp;$BR38,'Tally Helper'!$L$15:$GI$15,"&lt;="&amp;$BS38)))</f>
        <v/>
      </c>
      <c r="AC38" s="15" t="str">
        <f aca="false">IF(OR(G$7="",$BR38=""),"",IF('Tally Helper'!$B$18&lt;&gt;TRUE(),"not on Staff",SUMIFS('Tally Helper'!$L$20:$GI$20,'Tally Helper'!$L$18:$GI$18,"&gt;="&amp;$BR38,'Tally Helper'!$L$18:$GI$18,"&lt;="&amp;$BS38)))</f>
        <v/>
      </c>
      <c r="AD38" s="15" t="str">
        <f aca="false">IF(OR(H$7="",$BR38=""),"",IF('Tally Helper'!$B$21&lt;&gt;TRUE(),"not on Staff",SUMIFS('Tally Helper'!$L$23:$GI$23,'Tally Helper'!$L$21:$GI$21,"&gt;="&amp;$BR38,'Tally Helper'!$L$21:$GI$21,"&lt;="&amp;$BS38)))</f>
        <v/>
      </c>
      <c r="AE38" s="15" t="str">
        <f aca="false">IF(OR(I$7="",$BR38=""),"",IF('Tally Helper'!$B$24&lt;&gt;TRUE(),"not on Staff",SUMIFS('Tally Helper'!$L$26:$GI$26,'Tally Helper'!$L$24:$GI$24,"&gt;="&amp;$BR38,'Tally Helper'!$L$24:$GI$24,"&lt;="&amp;$BS38)))</f>
        <v/>
      </c>
      <c r="AF38" s="15" t="str">
        <f aca="false">IF(OR(J$7="",$BR38=""),"",IF('Tally Helper'!$B$27&lt;&gt;TRUE(),"not on Staff",SUMIFS('Tally Helper'!$L$29:$GI$29,'Tally Helper'!$L$27:$GI$27,"&gt;="&amp;$BR38,'Tally Helper'!$L$27:$GI$27,"&lt;="&amp;$BS38)))</f>
        <v/>
      </c>
      <c r="AG38" s="15" t="str">
        <f aca="false">IF(OR(K$7="",$BR38=""),"",IF('Tally Helper'!$B$30&lt;&gt;TRUE(),"not on Staff",SUMIFS('Tally Helper'!$L$32:$GI$32,'Tally Helper'!$L$30:$GI$30,"&gt;="&amp;$BR38,'Tally Helper'!$L$30:$GI$30,"&lt;="&amp;$BS38)))</f>
        <v/>
      </c>
      <c r="AH38" s="15" t="str">
        <f aca="false">IF(OR(L$7="",$BR38=""),"",IF('Tally Helper'!$B$33&lt;&gt;TRUE(),"not on Staff",SUMIFS('Tally Helper'!$L$35:$GI$35,'Tally Helper'!$L$33:$GI$33,"&gt;="&amp;$BR38,'Tally Helper'!$L$33:$GI$33,"&lt;="&amp;$BS38)))</f>
        <v/>
      </c>
      <c r="AI38" s="15" t="str">
        <f aca="false">IF(OR(M$7="",$BR38=""),"",IF('Tally Helper'!$B$36&lt;&gt;TRUE(),"not on Staff",SUMIFS('Tally Helper'!$L$38:$GI$38,'Tally Helper'!$L$36:$GI$36,"&gt;="&amp;$BR38,'Tally Helper'!$L$36:$GI$36,"&lt;="&amp;$BS38)))</f>
        <v/>
      </c>
      <c r="AJ38" s="15" t="str">
        <f aca="false">IF(OR(N$7="",$BR38=""),"",IF('Tally Helper'!$B$39&lt;&gt;TRUE(),"not on Staff",SUMIFS('Tally Helper'!$L$41:$GI$41,'Tally Helper'!$L$39:$GI$39,"&gt;="&amp;$BR38,'Tally Helper'!$L$39:$GI$39,"&lt;="&amp;$BS38)))</f>
        <v/>
      </c>
      <c r="AK38" s="15" t="str">
        <f aca="false">IF(OR(O$7="",$BR38=""),"",IF('Tally Helper'!$B$42&lt;&gt;TRUE(),"not on Staff",SUMIFS('Tally Helper'!$L$44:$GI$44,'Tally Helper'!$L$42:$GI$42,"&gt;="&amp;$BR38,'Tally Helper'!$L$42:$GI$42,"&lt;="&amp;$BS38)))</f>
        <v/>
      </c>
      <c r="AL38" s="15" t="str">
        <f aca="false">IF(OR(P$7="",$BR38=""),"",IF('Tally Helper'!$B$45&lt;&gt;TRUE(),"not on Staff",SUMIFS('Tally Helper'!$L$47:$GI$47,'Tally Helper'!$L$45:$GI$45,"&gt;="&amp;$BR38,'Tally Helper'!$L$45:$GI$45,"&lt;="&amp;$BS38)))</f>
        <v/>
      </c>
      <c r="AM38" s="15" t="str">
        <f aca="false">IF(OR(Q$7="",$BR38=""),"",IF('Tally Helper'!$B$48&lt;&gt;TRUE(),"not on Staff",SUMIFS('Tally Helper'!$L$50:$GI$50,'Tally Helper'!$L$48:$GI$48,"&gt;="&amp;$BR38,'Tally Helper'!$L$48:$GI$48,"&lt;="&amp;$BS38)))</f>
        <v/>
      </c>
      <c r="AN38" s="15" t="str">
        <f aca="false">IF(OR(R$7="",$BR38=""),"",IF('Tally Helper'!$B$51&lt;&gt;TRUE(),"not on Staff",SUMIFS('Tally Helper'!$L$53:$GI$53,'Tally Helper'!$L$51:$GI$51,"&gt;="&amp;$BR38,'Tally Helper'!$L$51:$GI$51,"&lt;="&amp;$BS38)))</f>
        <v/>
      </c>
      <c r="AO38" s="15" t="str">
        <f aca="false">IF(OR(S$7="",$BR38=""),"",IF('Tally Helper'!$B$54&lt;&gt;TRUE(),"not on Staff",SUMIFS('Tally Helper'!$L$56:$GI$56,'Tally Helper'!$L$54:$GI$54,"&gt;="&amp;$BR38,'Tally Helper'!$L$54:$GI$54,"&lt;="&amp;$BS38)))</f>
        <v/>
      </c>
      <c r="AP38" s="15" t="str">
        <f aca="false">IF(OR(T$7="",$BR38=""),"",IF('Tally Helper'!$B$57&lt;&gt;TRUE(),"not on Staff",SUMIFS('Tally Helper'!$L$59:$GI$59,'Tally Helper'!$L$57:$GI$57,"&gt;="&amp;$BR38,'Tally Helper'!$L$57:$GI$57,"&lt;="&amp;$BS38)))</f>
        <v/>
      </c>
      <c r="AQ38" s="15" t="str">
        <f aca="false">IF(OR(U$7="",$BR38=""),"",IF('Tally Helper'!$B$60&lt;&gt;TRUE(),"not on Staff",SUMIFS('Tally Helper'!$L$62:$GI$62,'Tally Helper'!$L$60:$GI$60,"&gt;="&amp;$BR38,'Tally Helper'!$L$60:$GI$60,"&lt;="&amp;$BS38)))</f>
        <v/>
      </c>
      <c r="AT38" s="15" t="str">
        <f aca="false">IF(OR(X38="",NOT(ISNUMBER(X38))),"",X38-N(B38))</f>
        <v/>
      </c>
      <c r="AU38" s="15" t="str">
        <f aca="false">IF(OR(Y38="",NOT(ISNUMBER(Y38))),"",Y38-N(C38))</f>
        <v/>
      </c>
      <c r="AV38" s="15" t="str">
        <f aca="false">IF(OR(Z38="",NOT(ISNUMBER(Z38))),"",Z38-N(D38))</f>
        <v/>
      </c>
      <c r="AW38" s="15" t="str">
        <f aca="false">IF(OR(AA38="",NOT(ISNUMBER(AA38))),"",AA38-N(E38))</f>
        <v/>
      </c>
      <c r="AX38" s="15" t="str">
        <f aca="false">IF(OR(AB38="",NOT(ISNUMBER(AB38))),"",AB38-N(F38))</f>
        <v/>
      </c>
      <c r="AY38" s="15" t="str">
        <f aca="false">IF(OR(AC38="",NOT(ISNUMBER(AC38))),"",AC38-N(G38))</f>
        <v/>
      </c>
      <c r="AZ38" s="15" t="str">
        <f aca="false">IF(OR(AD38="",NOT(ISNUMBER(AD38))),"",AD38-N(H38))</f>
        <v/>
      </c>
      <c r="BA38" s="15" t="str">
        <f aca="false">IF(OR(AE38="",NOT(ISNUMBER(AE38))),"",AE38-N(I38))</f>
        <v/>
      </c>
      <c r="BB38" s="15" t="str">
        <f aca="false">IF(OR(AF38="",NOT(ISNUMBER(AF38))),"",AF38-N(J38))</f>
        <v/>
      </c>
      <c r="BC38" s="15" t="str">
        <f aca="false">IF(OR(AG38="",NOT(ISNUMBER(AG38))),"",AG38-N(K38))</f>
        <v/>
      </c>
      <c r="BD38" s="15" t="str">
        <f aca="false">IF(OR(AH38="",NOT(ISNUMBER(AH38))),"",AH38-N(L38))</f>
        <v/>
      </c>
      <c r="BE38" s="15" t="str">
        <f aca="false">IF(OR(AI38="",NOT(ISNUMBER(AI38))),"",AI38-N(M38))</f>
        <v/>
      </c>
      <c r="BF38" s="15" t="str">
        <f aca="false">IF(OR(AJ38="",NOT(ISNUMBER(AJ38))),"",AJ38-N(N38))</f>
        <v/>
      </c>
      <c r="BG38" s="15" t="str">
        <f aca="false">IF(OR(AK38="",NOT(ISNUMBER(AK38))),"",AK38-N(O38))</f>
        <v/>
      </c>
      <c r="BH38" s="15" t="str">
        <f aca="false">IF(OR(AL38="",NOT(ISNUMBER(AL38))),"",AL38-N(P38))</f>
        <v/>
      </c>
      <c r="BI38" s="15" t="str">
        <f aca="false">IF(OR(AM38="",NOT(ISNUMBER(AM38))),"",AM38-N(Q38))</f>
        <v/>
      </c>
      <c r="BJ38" s="15" t="str">
        <f aca="false">IF(OR(AN38="",NOT(ISNUMBER(AN38))),"",AN38-N(R38))</f>
        <v/>
      </c>
      <c r="BK38" s="15" t="str">
        <f aca="false">IF(OR(AO38="",NOT(ISNUMBER(AO38))),"",AO38-N(S38))</f>
        <v/>
      </c>
      <c r="BL38" s="15" t="str">
        <f aca="false">IF(OR(AP38="",NOT(ISNUMBER(AP38))),"",AP38-N(T38))</f>
        <v/>
      </c>
      <c r="BM38" s="15" t="str">
        <f aca="false">IF(OR(AQ38="",NOT(ISNUMBER(AQ38))),"",AQ38-N(U38))</f>
        <v/>
      </c>
      <c r="BR38" s="18" t="str">
        <f aca="false">IF($A38="","",IF(ISNUMBER($A38),DATE(YEAR($A38),MONTH($A38),1),IFERROR(DATE(2000+VALUE(RIGHT(TRIM($A38),2)),MATCH(UPPER(LEFT(TRIM($A38),3)),{"JAN","FEB","MAR","APR","MAY","JUN","JUL","AUG","SEP","OCT","NOV","DEC"},0),1),"")))</f>
        <v/>
      </c>
      <c r="BS38" s="18" t="str">
        <f aca="false">IF(BR38="","",EOMONTH(BR38,0))</f>
        <v/>
      </c>
    </row>
    <row r="39" customFormat="false" ht="15" hidden="false" customHeight="false" outlineLevel="0" collapsed="false">
      <c r="B39" s="19"/>
      <c r="C39" s="19"/>
      <c r="D39" s="19"/>
      <c r="E39" s="19"/>
      <c r="F39" s="19"/>
      <c r="G39" s="19"/>
      <c r="H39" s="19"/>
      <c r="I39" s="19"/>
      <c r="J39" s="19"/>
      <c r="K39" s="19"/>
      <c r="L39" s="19"/>
      <c r="M39" s="19"/>
      <c r="N39" s="19"/>
      <c r="O39" s="19"/>
      <c r="P39" s="19"/>
      <c r="Q39" s="19"/>
      <c r="R39" s="19"/>
      <c r="S39" s="19"/>
      <c r="T39" s="19"/>
      <c r="U39" s="19"/>
      <c r="X39" s="15" t="str">
        <f aca="false">IF(OR(B$7="",$BR39=""),"",IF('Tally Helper'!$B$3&lt;&gt;TRUE(),"not on Staff",SUMIFS('Tally Helper'!$L$5:$GI$5,'Tally Helper'!$L$3:$GI$3,"&gt;="&amp;$BR39,'Tally Helper'!$L$3:$GI$3,"&lt;="&amp;$BS39)))</f>
        <v/>
      </c>
      <c r="Y39" s="15" t="str">
        <f aca="false">IF(OR(C$7="",$BR39=""),"",IF('Tally Helper'!$B$6&lt;&gt;TRUE(),"not on Staff",SUMIFS('Tally Helper'!$L$8:$GI$8,'Tally Helper'!$L$6:$GI$6,"&gt;="&amp;$BR39,'Tally Helper'!$L$6:$GI$6,"&lt;="&amp;$BS39)))</f>
        <v/>
      </c>
      <c r="Z39" s="15" t="str">
        <f aca="false">IF(OR(D$7="",$BR39=""),"",IF('Tally Helper'!$B$9&lt;&gt;TRUE(),"not on Staff",SUMIFS('Tally Helper'!$L$11:$GI$11,'Tally Helper'!$L$9:$GI$9,"&gt;="&amp;$BR39,'Tally Helper'!$L$9:$GI$9,"&lt;="&amp;$BS39)))</f>
        <v/>
      </c>
      <c r="AA39" s="15" t="str">
        <f aca="false">IF(OR(E$7="",$BR39=""),"",IF('Tally Helper'!$B$12&lt;&gt;TRUE(),"not on Staff",SUMIFS('Tally Helper'!$L$14:$GI$14,'Tally Helper'!$L$12:$GI$12,"&gt;="&amp;$BR39,'Tally Helper'!$L$12:$GI$12,"&lt;="&amp;$BS39)))</f>
        <v/>
      </c>
      <c r="AB39" s="15" t="str">
        <f aca="false">IF(OR(F$7="",$BR39=""),"",IF('Tally Helper'!$B$15&lt;&gt;TRUE(),"not on Staff",SUMIFS('Tally Helper'!$L$17:$GI$17,'Tally Helper'!$L$15:$GI$15,"&gt;="&amp;$BR39,'Tally Helper'!$L$15:$GI$15,"&lt;="&amp;$BS39)))</f>
        <v/>
      </c>
      <c r="AC39" s="15" t="str">
        <f aca="false">IF(OR(G$7="",$BR39=""),"",IF('Tally Helper'!$B$18&lt;&gt;TRUE(),"not on Staff",SUMIFS('Tally Helper'!$L$20:$GI$20,'Tally Helper'!$L$18:$GI$18,"&gt;="&amp;$BR39,'Tally Helper'!$L$18:$GI$18,"&lt;="&amp;$BS39)))</f>
        <v/>
      </c>
      <c r="AD39" s="15" t="str">
        <f aca="false">IF(OR(H$7="",$BR39=""),"",IF('Tally Helper'!$B$21&lt;&gt;TRUE(),"not on Staff",SUMIFS('Tally Helper'!$L$23:$GI$23,'Tally Helper'!$L$21:$GI$21,"&gt;="&amp;$BR39,'Tally Helper'!$L$21:$GI$21,"&lt;="&amp;$BS39)))</f>
        <v/>
      </c>
      <c r="AE39" s="15" t="str">
        <f aca="false">IF(OR(I$7="",$BR39=""),"",IF('Tally Helper'!$B$24&lt;&gt;TRUE(),"not on Staff",SUMIFS('Tally Helper'!$L$26:$GI$26,'Tally Helper'!$L$24:$GI$24,"&gt;="&amp;$BR39,'Tally Helper'!$L$24:$GI$24,"&lt;="&amp;$BS39)))</f>
        <v/>
      </c>
      <c r="AF39" s="15" t="str">
        <f aca="false">IF(OR(J$7="",$BR39=""),"",IF('Tally Helper'!$B$27&lt;&gt;TRUE(),"not on Staff",SUMIFS('Tally Helper'!$L$29:$GI$29,'Tally Helper'!$L$27:$GI$27,"&gt;="&amp;$BR39,'Tally Helper'!$L$27:$GI$27,"&lt;="&amp;$BS39)))</f>
        <v/>
      </c>
      <c r="AG39" s="15" t="str">
        <f aca="false">IF(OR(K$7="",$BR39=""),"",IF('Tally Helper'!$B$30&lt;&gt;TRUE(),"not on Staff",SUMIFS('Tally Helper'!$L$32:$GI$32,'Tally Helper'!$L$30:$GI$30,"&gt;="&amp;$BR39,'Tally Helper'!$L$30:$GI$30,"&lt;="&amp;$BS39)))</f>
        <v/>
      </c>
      <c r="AH39" s="15" t="str">
        <f aca="false">IF(OR(L$7="",$BR39=""),"",IF('Tally Helper'!$B$33&lt;&gt;TRUE(),"not on Staff",SUMIFS('Tally Helper'!$L$35:$GI$35,'Tally Helper'!$L$33:$GI$33,"&gt;="&amp;$BR39,'Tally Helper'!$L$33:$GI$33,"&lt;="&amp;$BS39)))</f>
        <v/>
      </c>
      <c r="AI39" s="15" t="str">
        <f aca="false">IF(OR(M$7="",$BR39=""),"",IF('Tally Helper'!$B$36&lt;&gt;TRUE(),"not on Staff",SUMIFS('Tally Helper'!$L$38:$GI$38,'Tally Helper'!$L$36:$GI$36,"&gt;="&amp;$BR39,'Tally Helper'!$L$36:$GI$36,"&lt;="&amp;$BS39)))</f>
        <v/>
      </c>
      <c r="AJ39" s="15" t="str">
        <f aca="false">IF(OR(N$7="",$BR39=""),"",IF('Tally Helper'!$B$39&lt;&gt;TRUE(),"not on Staff",SUMIFS('Tally Helper'!$L$41:$GI$41,'Tally Helper'!$L$39:$GI$39,"&gt;="&amp;$BR39,'Tally Helper'!$L$39:$GI$39,"&lt;="&amp;$BS39)))</f>
        <v/>
      </c>
      <c r="AK39" s="15" t="str">
        <f aca="false">IF(OR(O$7="",$BR39=""),"",IF('Tally Helper'!$B$42&lt;&gt;TRUE(),"not on Staff",SUMIFS('Tally Helper'!$L$44:$GI$44,'Tally Helper'!$L$42:$GI$42,"&gt;="&amp;$BR39,'Tally Helper'!$L$42:$GI$42,"&lt;="&amp;$BS39)))</f>
        <v/>
      </c>
      <c r="AL39" s="15" t="str">
        <f aca="false">IF(OR(P$7="",$BR39=""),"",IF('Tally Helper'!$B$45&lt;&gt;TRUE(),"not on Staff",SUMIFS('Tally Helper'!$L$47:$GI$47,'Tally Helper'!$L$45:$GI$45,"&gt;="&amp;$BR39,'Tally Helper'!$L$45:$GI$45,"&lt;="&amp;$BS39)))</f>
        <v/>
      </c>
      <c r="AM39" s="15" t="str">
        <f aca="false">IF(OR(Q$7="",$BR39=""),"",IF('Tally Helper'!$B$48&lt;&gt;TRUE(),"not on Staff",SUMIFS('Tally Helper'!$L$50:$GI$50,'Tally Helper'!$L$48:$GI$48,"&gt;="&amp;$BR39,'Tally Helper'!$L$48:$GI$48,"&lt;="&amp;$BS39)))</f>
        <v/>
      </c>
      <c r="AN39" s="15" t="str">
        <f aca="false">IF(OR(R$7="",$BR39=""),"",IF('Tally Helper'!$B$51&lt;&gt;TRUE(),"not on Staff",SUMIFS('Tally Helper'!$L$53:$GI$53,'Tally Helper'!$L$51:$GI$51,"&gt;="&amp;$BR39,'Tally Helper'!$L$51:$GI$51,"&lt;="&amp;$BS39)))</f>
        <v/>
      </c>
      <c r="AO39" s="15" t="str">
        <f aca="false">IF(OR(S$7="",$BR39=""),"",IF('Tally Helper'!$B$54&lt;&gt;TRUE(),"not on Staff",SUMIFS('Tally Helper'!$L$56:$GI$56,'Tally Helper'!$L$54:$GI$54,"&gt;="&amp;$BR39,'Tally Helper'!$L$54:$GI$54,"&lt;="&amp;$BS39)))</f>
        <v/>
      </c>
      <c r="AP39" s="15" t="str">
        <f aca="false">IF(OR(T$7="",$BR39=""),"",IF('Tally Helper'!$B$57&lt;&gt;TRUE(),"not on Staff",SUMIFS('Tally Helper'!$L$59:$GI$59,'Tally Helper'!$L$57:$GI$57,"&gt;="&amp;$BR39,'Tally Helper'!$L$57:$GI$57,"&lt;="&amp;$BS39)))</f>
        <v/>
      </c>
      <c r="AQ39" s="15" t="str">
        <f aca="false">IF(OR(U$7="",$BR39=""),"",IF('Tally Helper'!$B$60&lt;&gt;TRUE(),"not on Staff",SUMIFS('Tally Helper'!$L$62:$GI$62,'Tally Helper'!$L$60:$GI$60,"&gt;="&amp;$BR39,'Tally Helper'!$L$60:$GI$60,"&lt;="&amp;$BS39)))</f>
        <v/>
      </c>
      <c r="AT39" s="15" t="str">
        <f aca="false">IF(OR(X39="",NOT(ISNUMBER(X39))),"",X39-N(B39))</f>
        <v/>
      </c>
      <c r="AU39" s="15" t="str">
        <f aca="false">IF(OR(Y39="",NOT(ISNUMBER(Y39))),"",Y39-N(C39))</f>
        <v/>
      </c>
      <c r="AV39" s="15" t="str">
        <f aca="false">IF(OR(Z39="",NOT(ISNUMBER(Z39))),"",Z39-N(D39))</f>
        <v/>
      </c>
      <c r="AW39" s="15" t="str">
        <f aca="false">IF(OR(AA39="",NOT(ISNUMBER(AA39))),"",AA39-N(E39))</f>
        <v/>
      </c>
      <c r="AX39" s="15" t="str">
        <f aca="false">IF(OR(AB39="",NOT(ISNUMBER(AB39))),"",AB39-N(F39))</f>
        <v/>
      </c>
      <c r="AY39" s="15" t="str">
        <f aca="false">IF(OR(AC39="",NOT(ISNUMBER(AC39))),"",AC39-N(G39))</f>
        <v/>
      </c>
      <c r="AZ39" s="15" t="str">
        <f aca="false">IF(OR(AD39="",NOT(ISNUMBER(AD39))),"",AD39-N(H39))</f>
        <v/>
      </c>
      <c r="BA39" s="15" t="str">
        <f aca="false">IF(OR(AE39="",NOT(ISNUMBER(AE39))),"",AE39-N(I39))</f>
        <v/>
      </c>
      <c r="BB39" s="15" t="str">
        <f aca="false">IF(OR(AF39="",NOT(ISNUMBER(AF39))),"",AF39-N(J39))</f>
        <v/>
      </c>
      <c r="BC39" s="15" t="str">
        <f aca="false">IF(OR(AG39="",NOT(ISNUMBER(AG39))),"",AG39-N(K39))</f>
        <v/>
      </c>
      <c r="BD39" s="15" t="str">
        <f aca="false">IF(OR(AH39="",NOT(ISNUMBER(AH39))),"",AH39-N(L39))</f>
        <v/>
      </c>
      <c r="BE39" s="15" t="str">
        <f aca="false">IF(OR(AI39="",NOT(ISNUMBER(AI39))),"",AI39-N(M39))</f>
        <v/>
      </c>
      <c r="BF39" s="15" t="str">
        <f aca="false">IF(OR(AJ39="",NOT(ISNUMBER(AJ39))),"",AJ39-N(N39))</f>
        <v/>
      </c>
      <c r="BG39" s="15" t="str">
        <f aca="false">IF(OR(AK39="",NOT(ISNUMBER(AK39))),"",AK39-N(O39))</f>
        <v/>
      </c>
      <c r="BH39" s="15" t="str">
        <f aca="false">IF(OR(AL39="",NOT(ISNUMBER(AL39))),"",AL39-N(P39))</f>
        <v/>
      </c>
      <c r="BI39" s="15" t="str">
        <f aca="false">IF(OR(AM39="",NOT(ISNUMBER(AM39))),"",AM39-N(Q39))</f>
        <v/>
      </c>
      <c r="BJ39" s="15" t="str">
        <f aca="false">IF(OR(AN39="",NOT(ISNUMBER(AN39))),"",AN39-N(R39))</f>
        <v/>
      </c>
      <c r="BK39" s="15" t="str">
        <f aca="false">IF(OR(AO39="",NOT(ISNUMBER(AO39))),"",AO39-N(S39))</f>
        <v/>
      </c>
      <c r="BL39" s="15" t="str">
        <f aca="false">IF(OR(AP39="",NOT(ISNUMBER(AP39))),"",AP39-N(T39))</f>
        <v/>
      </c>
      <c r="BM39" s="15" t="str">
        <f aca="false">IF(OR(AQ39="",NOT(ISNUMBER(AQ39))),"",AQ39-N(U39))</f>
        <v/>
      </c>
      <c r="BR39" s="18" t="str">
        <f aca="false">IF($A39="","",IF(ISNUMBER($A39),DATE(YEAR($A39),MONTH($A39),1),IFERROR(DATE(2000+VALUE(RIGHT(TRIM($A39),2)),MATCH(UPPER(LEFT(TRIM($A39),3)),{"JAN","FEB","MAR","APR","MAY","JUN","JUL","AUG","SEP","OCT","NOV","DEC"},0),1),"")))</f>
        <v/>
      </c>
      <c r="BS39" s="18" t="str">
        <f aca="false">IF(BR39="","",EOMONTH(BR39,0))</f>
        <v/>
      </c>
    </row>
    <row r="40" customFormat="false" ht="15" hidden="false" customHeight="false" outlineLevel="0" collapsed="false">
      <c r="B40" s="19"/>
      <c r="C40" s="19"/>
      <c r="D40" s="19"/>
      <c r="E40" s="19"/>
      <c r="F40" s="19"/>
      <c r="G40" s="19"/>
      <c r="H40" s="19"/>
      <c r="I40" s="19"/>
      <c r="J40" s="19"/>
      <c r="K40" s="19"/>
      <c r="L40" s="19"/>
      <c r="M40" s="19"/>
      <c r="N40" s="19"/>
      <c r="O40" s="19"/>
      <c r="P40" s="19"/>
      <c r="Q40" s="19"/>
      <c r="R40" s="19"/>
      <c r="S40" s="19"/>
      <c r="T40" s="19"/>
      <c r="U40" s="19"/>
      <c r="X40" s="15" t="str">
        <f aca="false">IF(OR(B$7="",$BR40=""),"",IF('Tally Helper'!$B$3&lt;&gt;TRUE(),"not on Staff",SUMIFS('Tally Helper'!$L$5:$GI$5,'Tally Helper'!$L$3:$GI$3,"&gt;="&amp;$BR40,'Tally Helper'!$L$3:$GI$3,"&lt;="&amp;$BS40)))</f>
        <v/>
      </c>
      <c r="Y40" s="15" t="str">
        <f aca="false">IF(OR(C$7="",$BR40=""),"",IF('Tally Helper'!$B$6&lt;&gt;TRUE(),"not on Staff",SUMIFS('Tally Helper'!$L$8:$GI$8,'Tally Helper'!$L$6:$GI$6,"&gt;="&amp;$BR40,'Tally Helper'!$L$6:$GI$6,"&lt;="&amp;$BS40)))</f>
        <v/>
      </c>
      <c r="Z40" s="15" t="str">
        <f aca="false">IF(OR(D$7="",$BR40=""),"",IF('Tally Helper'!$B$9&lt;&gt;TRUE(),"not on Staff",SUMIFS('Tally Helper'!$L$11:$GI$11,'Tally Helper'!$L$9:$GI$9,"&gt;="&amp;$BR40,'Tally Helper'!$L$9:$GI$9,"&lt;="&amp;$BS40)))</f>
        <v/>
      </c>
      <c r="AA40" s="15" t="str">
        <f aca="false">IF(OR(E$7="",$BR40=""),"",IF('Tally Helper'!$B$12&lt;&gt;TRUE(),"not on Staff",SUMIFS('Tally Helper'!$L$14:$GI$14,'Tally Helper'!$L$12:$GI$12,"&gt;="&amp;$BR40,'Tally Helper'!$L$12:$GI$12,"&lt;="&amp;$BS40)))</f>
        <v/>
      </c>
      <c r="AB40" s="15" t="str">
        <f aca="false">IF(OR(F$7="",$BR40=""),"",IF('Tally Helper'!$B$15&lt;&gt;TRUE(),"not on Staff",SUMIFS('Tally Helper'!$L$17:$GI$17,'Tally Helper'!$L$15:$GI$15,"&gt;="&amp;$BR40,'Tally Helper'!$L$15:$GI$15,"&lt;="&amp;$BS40)))</f>
        <v/>
      </c>
      <c r="AC40" s="15" t="str">
        <f aca="false">IF(OR(G$7="",$BR40=""),"",IF('Tally Helper'!$B$18&lt;&gt;TRUE(),"not on Staff",SUMIFS('Tally Helper'!$L$20:$GI$20,'Tally Helper'!$L$18:$GI$18,"&gt;="&amp;$BR40,'Tally Helper'!$L$18:$GI$18,"&lt;="&amp;$BS40)))</f>
        <v/>
      </c>
      <c r="AD40" s="15" t="str">
        <f aca="false">IF(OR(H$7="",$BR40=""),"",IF('Tally Helper'!$B$21&lt;&gt;TRUE(),"not on Staff",SUMIFS('Tally Helper'!$L$23:$GI$23,'Tally Helper'!$L$21:$GI$21,"&gt;="&amp;$BR40,'Tally Helper'!$L$21:$GI$21,"&lt;="&amp;$BS40)))</f>
        <v/>
      </c>
      <c r="AE40" s="15" t="str">
        <f aca="false">IF(OR(I$7="",$BR40=""),"",IF('Tally Helper'!$B$24&lt;&gt;TRUE(),"not on Staff",SUMIFS('Tally Helper'!$L$26:$GI$26,'Tally Helper'!$L$24:$GI$24,"&gt;="&amp;$BR40,'Tally Helper'!$L$24:$GI$24,"&lt;="&amp;$BS40)))</f>
        <v/>
      </c>
      <c r="AF40" s="15" t="str">
        <f aca="false">IF(OR(J$7="",$BR40=""),"",IF('Tally Helper'!$B$27&lt;&gt;TRUE(),"not on Staff",SUMIFS('Tally Helper'!$L$29:$GI$29,'Tally Helper'!$L$27:$GI$27,"&gt;="&amp;$BR40,'Tally Helper'!$L$27:$GI$27,"&lt;="&amp;$BS40)))</f>
        <v/>
      </c>
      <c r="AG40" s="15" t="str">
        <f aca="false">IF(OR(K$7="",$BR40=""),"",IF('Tally Helper'!$B$30&lt;&gt;TRUE(),"not on Staff",SUMIFS('Tally Helper'!$L$32:$GI$32,'Tally Helper'!$L$30:$GI$30,"&gt;="&amp;$BR40,'Tally Helper'!$L$30:$GI$30,"&lt;="&amp;$BS40)))</f>
        <v/>
      </c>
      <c r="AH40" s="15" t="str">
        <f aca="false">IF(OR(L$7="",$BR40=""),"",IF('Tally Helper'!$B$33&lt;&gt;TRUE(),"not on Staff",SUMIFS('Tally Helper'!$L$35:$GI$35,'Tally Helper'!$L$33:$GI$33,"&gt;="&amp;$BR40,'Tally Helper'!$L$33:$GI$33,"&lt;="&amp;$BS40)))</f>
        <v/>
      </c>
      <c r="AI40" s="15" t="str">
        <f aca="false">IF(OR(M$7="",$BR40=""),"",IF('Tally Helper'!$B$36&lt;&gt;TRUE(),"not on Staff",SUMIFS('Tally Helper'!$L$38:$GI$38,'Tally Helper'!$L$36:$GI$36,"&gt;="&amp;$BR40,'Tally Helper'!$L$36:$GI$36,"&lt;="&amp;$BS40)))</f>
        <v/>
      </c>
      <c r="AJ40" s="15" t="str">
        <f aca="false">IF(OR(N$7="",$BR40=""),"",IF('Tally Helper'!$B$39&lt;&gt;TRUE(),"not on Staff",SUMIFS('Tally Helper'!$L$41:$GI$41,'Tally Helper'!$L$39:$GI$39,"&gt;="&amp;$BR40,'Tally Helper'!$L$39:$GI$39,"&lt;="&amp;$BS40)))</f>
        <v/>
      </c>
      <c r="AK40" s="15" t="str">
        <f aca="false">IF(OR(O$7="",$BR40=""),"",IF('Tally Helper'!$B$42&lt;&gt;TRUE(),"not on Staff",SUMIFS('Tally Helper'!$L$44:$GI$44,'Tally Helper'!$L$42:$GI$42,"&gt;="&amp;$BR40,'Tally Helper'!$L$42:$GI$42,"&lt;="&amp;$BS40)))</f>
        <v/>
      </c>
      <c r="AL40" s="15" t="str">
        <f aca="false">IF(OR(P$7="",$BR40=""),"",IF('Tally Helper'!$B$45&lt;&gt;TRUE(),"not on Staff",SUMIFS('Tally Helper'!$L$47:$GI$47,'Tally Helper'!$L$45:$GI$45,"&gt;="&amp;$BR40,'Tally Helper'!$L$45:$GI$45,"&lt;="&amp;$BS40)))</f>
        <v/>
      </c>
      <c r="AM40" s="15" t="str">
        <f aca="false">IF(OR(Q$7="",$BR40=""),"",IF('Tally Helper'!$B$48&lt;&gt;TRUE(),"not on Staff",SUMIFS('Tally Helper'!$L$50:$GI$50,'Tally Helper'!$L$48:$GI$48,"&gt;="&amp;$BR40,'Tally Helper'!$L$48:$GI$48,"&lt;="&amp;$BS40)))</f>
        <v/>
      </c>
      <c r="AN40" s="15" t="str">
        <f aca="false">IF(OR(R$7="",$BR40=""),"",IF('Tally Helper'!$B$51&lt;&gt;TRUE(),"not on Staff",SUMIFS('Tally Helper'!$L$53:$GI$53,'Tally Helper'!$L$51:$GI$51,"&gt;="&amp;$BR40,'Tally Helper'!$L$51:$GI$51,"&lt;="&amp;$BS40)))</f>
        <v/>
      </c>
      <c r="AO40" s="15" t="str">
        <f aca="false">IF(OR(S$7="",$BR40=""),"",IF('Tally Helper'!$B$54&lt;&gt;TRUE(),"not on Staff",SUMIFS('Tally Helper'!$L$56:$GI$56,'Tally Helper'!$L$54:$GI$54,"&gt;="&amp;$BR40,'Tally Helper'!$L$54:$GI$54,"&lt;="&amp;$BS40)))</f>
        <v/>
      </c>
      <c r="AP40" s="15" t="str">
        <f aca="false">IF(OR(T$7="",$BR40=""),"",IF('Tally Helper'!$B$57&lt;&gt;TRUE(),"not on Staff",SUMIFS('Tally Helper'!$L$59:$GI$59,'Tally Helper'!$L$57:$GI$57,"&gt;="&amp;$BR40,'Tally Helper'!$L$57:$GI$57,"&lt;="&amp;$BS40)))</f>
        <v/>
      </c>
      <c r="AQ40" s="15" t="str">
        <f aca="false">IF(OR(U$7="",$BR40=""),"",IF('Tally Helper'!$B$60&lt;&gt;TRUE(),"not on Staff",SUMIFS('Tally Helper'!$L$62:$GI$62,'Tally Helper'!$L$60:$GI$60,"&gt;="&amp;$BR40,'Tally Helper'!$L$60:$GI$60,"&lt;="&amp;$BS40)))</f>
        <v/>
      </c>
      <c r="AT40" s="15" t="str">
        <f aca="false">IF(OR(X40="",NOT(ISNUMBER(X40))),"",X40-N(B40))</f>
        <v/>
      </c>
      <c r="AU40" s="15" t="str">
        <f aca="false">IF(OR(Y40="",NOT(ISNUMBER(Y40))),"",Y40-N(C40))</f>
        <v/>
      </c>
      <c r="AV40" s="15" t="str">
        <f aca="false">IF(OR(Z40="",NOT(ISNUMBER(Z40))),"",Z40-N(D40))</f>
        <v/>
      </c>
      <c r="AW40" s="15" t="str">
        <f aca="false">IF(OR(AA40="",NOT(ISNUMBER(AA40))),"",AA40-N(E40))</f>
        <v/>
      </c>
      <c r="AX40" s="15" t="str">
        <f aca="false">IF(OR(AB40="",NOT(ISNUMBER(AB40))),"",AB40-N(F40))</f>
        <v/>
      </c>
      <c r="AY40" s="15" t="str">
        <f aca="false">IF(OR(AC40="",NOT(ISNUMBER(AC40))),"",AC40-N(G40))</f>
        <v/>
      </c>
      <c r="AZ40" s="15" t="str">
        <f aca="false">IF(OR(AD40="",NOT(ISNUMBER(AD40))),"",AD40-N(H40))</f>
        <v/>
      </c>
      <c r="BA40" s="15" t="str">
        <f aca="false">IF(OR(AE40="",NOT(ISNUMBER(AE40))),"",AE40-N(I40))</f>
        <v/>
      </c>
      <c r="BB40" s="15" t="str">
        <f aca="false">IF(OR(AF40="",NOT(ISNUMBER(AF40))),"",AF40-N(J40))</f>
        <v/>
      </c>
      <c r="BC40" s="15" t="str">
        <f aca="false">IF(OR(AG40="",NOT(ISNUMBER(AG40))),"",AG40-N(K40))</f>
        <v/>
      </c>
      <c r="BD40" s="15" t="str">
        <f aca="false">IF(OR(AH40="",NOT(ISNUMBER(AH40))),"",AH40-N(L40))</f>
        <v/>
      </c>
      <c r="BE40" s="15" t="str">
        <f aca="false">IF(OR(AI40="",NOT(ISNUMBER(AI40))),"",AI40-N(M40))</f>
        <v/>
      </c>
      <c r="BF40" s="15" t="str">
        <f aca="false">IF(OR(AJ40="",NOT(ISNUMBER(AJ40))),"",AJ40-N(N40))</f>
        <v/>
      </c>
      <c r="BG40" s="15" t="str">
        <f aca="false">IF(OR(AK40="",NOT(ISNUMBER(AK40))),"",AK40-N(O40))</f>
        <v/>
      </c>
      <c r="BH40" s="15" t="str">
        <f aca="false">IF(OR(AL40="",NOT(ISNUMBER(AL40))),"",AL40-N(P40))</f>
        <v/>
      </c>
      <c r="BI40" s="15" t="str">
        <f aca="false">IF(OR(AM40="",NOT(ISNUMBER(AM40))),"",AM40-N(Q40))</f>
        <v/>
      </c>
      <c r="BJ40" s="15" t="str">
        <f aca="false">IF(OR(AN40="",NOT(ISNUMBER(AN40))),"",AN40-N(R40))</f>
        <v/>
      </c>
      <c r="BK40" s="15" t="str">
        <f aca="false">IF(OR(AO40="",NOT(ISNUMBER(AO40))),"",AO40-N(S40))</f>
        <v/>
      </c>
      <c r="BL40" s="15" t="str">
        <f aca="false">IF(OR(AP40="",NOT(ISNUMBER(AP40))),"",AP40-N(T40))</f>
        <v/>
      </c>
      <c r="BM40" s="15" t="str">
        <f aca="false">IF(OR(AQ40="",NOT(ISNUMBER(AQ40))),"",AQ40-N(U40))</f>
        <v/>
      </c>
      <c r="BR40" s="18" t="str">
        <f aca="false">IF($A40="","",IF(ISNUMBER($A40),DATE(YEAR($A40),MONTH($A40),1),IFERROR(DATE(2000+VALUE(RIGHT(TRIM($A40),2)),MATCH(UPPER(LEFT(TRIM($A40),3)),{"JAN","FEB","MAR","APR","MAY","JUN","JUL","AUG","SEP","OCT","NOV","DEC"},0),1),"")))</f>
        <v/>
      </c>
      <c r="BS40" s="18" t="str">
        <f aca="false">IF(BR40="","",EOMONTH(BR40,0))</f>
        <v/>
      </c>
    </row>
    <row r="41" customFormat="false" ht="15" hidden="false" customHeight="false" outlineLevel="0" collapsed="false">
      <c r="B41" s="19"/>
      <c r="C41" s="19"/>
      <c r="D41" s="19"/>
      <c r="E41" s="19"/>
      <c r="F41" s="19"/>
      <c r="G41" s="19"/>
      <c r="H41" s="19"/>
      <c r="I41" s="19"/>
      <c r="J41" s="19"/>
      <c r="K41" s="19"/>
      <c r="L41" s="19"/>
      <c r="M41" s="19"/>
      <c r="N41" s="19"/>
      <c r="O41" s="19"/>
      <c r="P41" s="19"/>
      <c r="Q41" s="19"/>
      <c r="R41" s="19"/>
      <c r="S41" s="19"/>
      <c r="T41" s="19"/>
      <c r="U41" s="19"/>
      <c r="X41" s="15" t="str">
        <f aca="false">IF(OR(B$7="",$BR41=""),"",IF('Tally Helper'!$B$3&lt;&gt;TRUE(),"not on Staff",SUMIFS('Tally Helper'!$L$5:$GI$5,'Tally Helper'!$L$3:$GI$3,"&gt;="&amp;$BR41,'Tally Helper'!$L$3:$GI$3,"&lt;="&amp;$BS41)))</f>
        <v/>
      </c>
      <c r="Y41" s="15" t="str">
        <f aca="false">IF(OR(C$7="",$BR41=""),"",IF('Tally Helper'!$B$6&lt;&gt;TRUE(),"not on Staff",SUMIFS('Tally Helper'!$L$8:$GI$8,'Tally Helper'!$L$6:$GI$6,"&gt;="&amp;$BR41,'Tally Helper'!$L$6:$GI$6,"&lt;="&amp;$BS41)))</f>
        <v/>
      </c>
      <c r="Z41" s="15" t="str">
        <f aca="false">IF(OR(D$7="",$BR41=""),"",IF('Tally Helper'!$B$9&lt;&gt;TRUE(),"not on Staff",SUMIFS('Tally Helper'!$L$11:$GI$11,'Tally Helper'!$L$9:$GI$9,"&gt;="&amp;$BR41,'Tally Helper'!$L$9:$GI$9,"&lt;="&amp;$BS41)))</f>
        <v/>
      </c>
      <c r="AA41" s="15" t="str">
        <f aca="false">IF(OR(E$7="",$BR41=""),"",IF('Tally Helper'!$B$12&lt;&gt;TRUE(),"not on Staff",SUMIFS('Tally Helper'!$L$14:$GI$14,'Tally Helper'!$L$12:$GI$12,"&gt;="&amp;$BR41,'Tally Helper'!$L$12:$GI$12,"&lt;="&amp;$BS41)))</f>
        <v/>
      </c>
      <c r="AB41" s="15" t="str">
        <f aca="false">IF(OR(F$7="",$BR41=""),"",IF('Tally Helper'!$B$15&lt;&gt;TRUE(),"not on Staff",SUMIFS('Tally Helper'!$L$17:$GI$17,'Tally Helper'!$L$15:$GI$15,"&gt;="&amp;$BR41,'Tally Helper'!$L$15:$GI$15,"&lt;="&amp;$BS41)))</f>
        <v/>
      </c>
      <c r="AC41" s="15" t="str">
        <f aca="false">IF(OR(G$7="",$BR41=""),"",IF('Tally Helper'!$B$18&lt;&gt;TRUE(),"not on Staff",SUMIFS('Tally Helper'!$L$20:$GI$20,'Tally Helper'!$L$18:$GI$18,"&gt;="&amp;$BR41,'Tally Helper'!$L$18:$GI$18,"&lt;="&amp;$BS41)))</f>
        <v/>
      </c>
      <c r="AD41" s="15" t="str">
        <f aca="false">IF(OR(H$7="",$BR41=""),"",IF('Tally Helper'!$B$21&lt;&gt;TRUE(),"not on Staff",SUMIFS('Tally Helper'!$L$23:$GI$23,'Tally Helper'!$L$21:$GI$21,"&gt;="&amp;$BR41,'Tally Helper'!$L$21:$GI$21,"&lt;="&amp;$BS41)))</f>
        <v/>
      </c>
      <c r="AE41" s="15" t="str">
        <f aca="false">IF(OR(I$7="",$BR41=""),"",IF('Tally Helper'!$B$24&lt;&gt;TRUE(),"not on Staff",SUMIFS('Tally Helper'!$L$26:$GI$26,'Tally Helper'!$L$24:$GI$24,"&gt;="&amp;$BR41,'Tally Helper'!$L$24:$GI$24,"&lt;="&amp;$BS41)))</f>
        <v/>
      </c>
      <c r="AF41" s="15" t="str">
        <f aca="false">IF(OR(J$7="",$BR41=""),"",IF('Tally Helper'!$B$27&lt;&gt;TRUE(),"not on Staff",SUMIFS('Tally Helper'!$L$29:$GI$29,'Tally Helper'!$L$27:$GI$27,"&gt;="&amp;$BR41,'Tally Helper'!$L$27:$GI$27,"&lt;="&amp;$BS41)))</f>
        <v/>
      </c>
      <c r="AG41" s="15" t="str">
        <f aca="false">IF(OR(K$7="",$BR41=""),"",IF('Tally Helper'!$B$30&lt;&gt;TRUE(),"not on Staff",SUMIFS('Tally Helper'!$L$32:$GI$32,'Tally Helper'!$L$30:$GI$30,"&gt;="&amp;$BR41,'Tally Helper'!$L$30:$GI$30,"&lt;="&amp;$BS41)))</f>
        <v/>
      </c>
      <c r="AH41" s="15" t="str">
        <f aca="false">IF(OR(L$7="",$BR41=""),"",IF('Tally Helper'!$B$33&lt;&gt;TRUE(),"not on Staff",SUMIFS('Tally Helper'!$L$35:$GI$35,'Tally Helper'!$L$33:$GI$33,"&gt;="&amp;$BR41,'Tally Helper'!$L$33:$GI$33,"&lt;="&amp;$BS41)))</f>
        <v/>
      </c>
      <c r="AI41" s="15" t="str">
        <f aca="false">IF(OR(M$7="",$BR41=""),"",IF('Tally Helper'!$B$36&lt;&gt;TRUE(),"not on Staff",SUMIFS('Tally Helper'!$L$38:$GI$38,'Tally Helper'!$L$36:$GI$36,"&gt;="&amp;$BR41,'Tally Helper'!$L$36:$GI$36,"&lt;="&amp;$BS41)))</f>
        <v/>
      </c>
      <c r="AJ41" s="15" t="str">
        <f aca="false">IF(OR(N$7="",$BR41=""),"",IF('Tally Helper'!$B$39&lt;&gt;TRUE(),"not on Staff",SUMIFS('Tally Helper'!$L$41:$GI$41,'Tally Helper'!$L$39:$GI$39,"&gt;="&amp;$BR41,'Tally Helper'!$L$39:$GI$39,"&lt;="&amp;$BS41)))</f>
        <v/>
      </c>
      <c r="AK41" s="15" t="str">
        <f aca="false">IF(OR(O$7="",$BR41=""),"",IF('Tally Helper'!$B$42&lt;&gt;TRUE(),"not on Staff",SUMIFS('Tally Helper'!$L$44:$GI$44,'Tally Helper'!$L$42:$GI$42,"&gt;="&amp;$BR41,'Tally Helper'!$L$42:$GI$42,"&lt;="&amp;$BS41)))</f>
        <v/>
      </c>
      <c r="AL41" s="15" t="str">
        <f aca="false">IF(OR(P$7="",$BR41=""),"",IF('Tally Helper'!$B$45&lt;&gt;TRUE(),"not on Staff",SUMIFS('Tally Helper'!$L$47:$GI$47,'Tally Helper'!$L$45:$GI$45,"&gt;="&amp;$BR41,'Tally Helper'!$L$45:$GI$45,"&lt;="&amp;$BS41)))</f>
        <v/>
      </c>
      <c r="AM41" s="15" t="str">
        <f aca="false">IF(OR(Q$7="",$BR41=""),"",IF('Tally Helper'!$B$48&lt;&gt;TRUE(),"not on Staff",SUMIFS('Tally Helper'!$L$50:$GI$50,'Tally Helper'!$L$48:$GI$48,"&gt;="&amp;$BR41,'Tally Helper'!$L$48:$GI$48,"&lt;="&amp;$BS41)))</f>
        <v/>
      </c>
      <c r="AN41" s="15" t="str">
        <f aca="false">IF(OR(R$7="",$BR41=""),"",IF('Tally Helper'!$B$51&lt;&gt;TRUE(),"not on Staff",SUMIFS('Tally Helper'!$L$53:$GI$53,'Tally Helper'!$L$51:$GI$51,"&gt;="&amp;$BR41,'Tally Helper'!$L$51:$GI$51,"&lt;="&amp;$BS41)))</f>
        <v/>
      </c>
      <c r="AO41" s="15" t="str">
        <f aca="false">IF(OR(S$7="",$BR41=""),"",IF('Tally Helper'!$B$54&lt;&gt;TRUE(),"not on Staff",SUMIFS('Tally Helper'!$L$56:$GI$56,'Tally Helper'!$L$54:$GI$54,"&gt;="&amp;$BR41,'Tally Helper'!$L$54:$GI$54,"&lt;="&amp;$BS41)))</f>
        <v/>
      </c>
      <c r="AP41" s="15" t="str">
        <f aca="false">IF(OR(T$7="",$BR41=""),"",IF('Tally Helper'!$B$57&lt;&gt;TRUE(),"not on Staff",SUMIFS('Tally Helper'!$L$59:$GI$59,'Tally Helper'!$L$57:$GI$57,"&gt;="&amp;$BR41,'Tally Helper'!$L$57:$GI$57,"&lt;="&amp;$BS41)))</f>
        <v/>
      </c>
      <c r="AQ41" s="15" t="str">
        <f aca="false">IF(OR(U$7="",$BR41=""),"",IF('Tally Helper'!$B$60&lt;&gt;TRUE(),"not on Staff",SUMIFS('Tally Helper'!$L$62:$GI$62,'Tally Helper'!$L$60:$GI$60,"&gt;="&amp;$BR41,'Tally Helper'!$L$60:$GI$60,"&lt;="&amp;$BS41)))</f>
        <v/>
      </c>
      <c r="AT41" s="15" t="str">
        <f aca="false">IF(OR(X41="",NOT(ISNUMBER(X41))),"",X41-N(B41))</f>
        <v/>
      </c>
      <c r="AU41" s="15" t="str">
        <f aca="false">IF(OR(Y41="",NOT(ISNUMBER(Y41))),"",Y41-N(C41))</f>
        <v/>
      </c>
      <c r="AV41" s="15" t="str">
        <f aca="false">IF(OR(Z41="",NOT(ISNUMBER(Z41))),"",Z41-N(D41))</f>
        <v/>
      </c>
      <c r="AW41" s="15" t="str">
        <f aca="false">IF(OR(AA41="",NOT(ISNUMBER(AA41))),"",AA41-N(E41))</f>
        <v/>
      </c>
      <c r="AX41" s="15" t="str">
        <f aca="false">IF(OR(AB41="",NOT(ISNUMBER(AB41))),"",AB41-N(F41))</f>
        <v/>
      </c>
      <c r="AY41" s="15" t="str">
        <f aca="false">IF(OR(AC41="",NOT(ISNUMBER(AC41))),"",AC41-N(G41))</f>
        <v/>
      </c>
      <c r="AZ41" s="15" t="str">
        <f aca="false">IF(OR(AD41="",NOT(ISNUMBER(AD41))),"",AD41-N(H41))</f>
        <v/>
      </c>
      <c r="BA41" s="15" t="str">
        <f aca="false">IF(OR(AE41="",NOT(ISNUMBER(AE41))),"",AE41-N(I41))</f>
        <v/>
      </c>
      <c r="BB41" s="15" t="str">
        <f aca="false">IF(OR(AF41="",NOT(ISNUMBER(AF41))),"",AF41-N(J41))</f>
        <v/>
      </c>
      <c r="BC41" s="15" t="str">
        <f aca="false">IF(OR(AG41="",NOT(ISNUMBER(AG41))),"",AG41-N(K41))</f>
        <v/>
      </c>
      <c r="BD41" s="15" t="str">
        <f aca="false">IF(OR(AH41="",NOT(ISNUMBER(AH41))),"",AH41-N(L41))</f>
        <v/>
      </c>
      <c r="BE41" s="15" t="str">
        <f aca="false">IF(OR(AI41="",NOT(ISNUMBER(AI41))),"",AI41-N(M41))</f>
        <v/>
      </c>
      <c r="BF41" s="15" t="str">
        <f aca="false">IF(OR(AJ41="",NOT(ISNUMBER(AJ41))),"",AJ41-N(N41))</f>
        <v/>
      </c>
      <c r="BG41" s="15" t="str">
        <f aca="false">IF(OR(AK41="",NOT(ISNUMBER(AK41))),"",AK41-N(O41))</f>
        <v/>
      </c>
      <c r="BH41" s="15" t="str">
        <f aca="false">IF(OR(AL41="",NOT(ISNUMBER(AL41))),"",AL41-N(P41))</f>
        <v/>
      </c>
      <c r="BI41" s="15" t="str">
        <f aca="false">IF(OR(AM41="",NOT(ISNUMBER(AM41))),"",AM41-N(Q41))</f>
        <v/>
      </c>
      <c r="BJ41" s="15" t="str">
        <f aca="false">IF(OR(AN41="",NOT(ISNUMBER(AN41))),"",AN41-N(R41))</f>
        <v/>
      </c>
      <c r="BK41" s="15" t="str">
        <f aca="false">IF(OR(AO41="",NOT(ISNUMBER(AO41))),"",AO41-N(S41))</f>
        <v/>
      </c>
      <c r="BL41" s="15" t="str">
        <f aca="false">IF(OR(AP41="",NOT(ISNUMBER(AP41))),"",AP41-N(T41))</f>
        <v/>
      </c>
      <c r="BM41" s="15" t="str">
        <f aca="false">IF(OR(AQ41="",NOT(ISNUMBER(AQ41))),"",AQ41-N(U41))</f>
        <v/>
      </c>
      <c r="BR41" s="18" t="str">
        <f aca="false">IF($A41="","",IF(ISNUMBER($A41),DATE(YEAR($A41),MONTH($A41),1),IFERROR(DATE(2000+VALUE(RIGHT(TRIM($A41),2)),MATCH(UPPER(LEFT(TRIM($A41),3)),{"JAN","FEB","MAR","APR","MAY","JUN","JUL","AUG","SEP","OCT","NOV","DEC"},0),1),"")))</f>
        <v/>
      </c>
      <c r="BS41" s="18" t="str">
        <f aca="false">IF(BR41="","",EOMONTH(BR41,0))</f>
        <v/>
      </c>
    </row>
    <row r="42" customFormat="false" ht="15" hidden="false" customHeight="false" outlineLevel="0" collapsed="false">
      <c r="B42" s="19"/>
      <c r="C42" s="19"/>
      <c r="D42" s="19"/>
      <c r="E42" s="19"/>
      <c r="F42" s="19"/>
      <c r="G42" s="19"/>
      <c r="H42" s="19"/>
      <c r="I42" s="19"/>
      <c r="J42" s="19"/>
      <c r="K42" s="19"/>
      <c r="L42" s="19"/>
      <c r="M42" s="19"/>
      <c r="N42" s="19"/>
      <c r="O42" s="19"/>
      <c r="P42" s="19"/>
      <c r="Q42" s="19"/>
      <c r="R42" s="19"/>
      <c r="S42" s="19"/>
      <c r="T42" s="19"/>
      <c r="U42" s="19"/>
      <c r="X42" s="15" t="str">
        <f aca="false">IF(OR(B$7="",$BR42=""),"",IF('Tally Helper'!$B$3&lt;&gt;TRUE(),"not on Staff",SUMIFS('Tally Helper'!$L$5:$GI$5,'Tally Helper'!$L$3:$GI$3,"&gt;="&amp;$BR42,'Tally Helper'!$L$3:$GI$3,"&lt;="&amp;$BS42)))</f>
        <v/>
      </c>
      <c r="Y42" s="15" t="str">
        <f aca="false">IF(OR(C$7="",$BR42=""),"",IF('Tally Helper'!$B$6&lt;&gt;TRUE(),"not on Staff",SUMIFS('Tally Helper'!$L$8:$GI$8,'Tally Helper'!$L$6:$GI$6,"&gt;="&amp;$BR42,'Tally Helper'!$L$6:$GI$6,"&lt;="&amp;$BS42)))</f>
        <v/>
      </c>
      <c r="Z42" s="15" t="str">
        <f aca="false">IF(OR(D$7="",$BR42=""),"",IF('Tally Helper'!$B$9&lt;&gt;TRUE(),"not on Staff",SUMIFS('Tally Helper'!$L$11:$GI$11,'Tally Helper'!$L$9:$GI$9,"&gt;="&amp;$BR42,'Tally Helper'!$L$9:$GI$9,"&lt;="&amp;$BS42)))</f>
        <v/>
      </c>
      <c r="AA42" s="15" t="str">
        <f aca="false">IF(OR(E$7="",$BR42=""),"",IF('Tally Helper'!$B$12&lt;&gt;TRUE(),"not on Staff",SUMIFS('Tally Helper'!$L$14:$GI$14,'Tally Helper'!$L$12:$GI$12,"&gt;="&amp;$BR42,'Tally Helper'!$L$12:$GI$12,"&lt;="&amp;$BS42)))</f>
        <v/>
      </c>
      <c r="AB42" s="15" t="str">
        <f aca="false">IF(OR(F$7="",$BR42=""),"",IF('Tally Helper'!$B$15&lt;&gt;TRUE(),"not on Staff",SUMIFS('Tally Helper'!$L$17:$GI$17,'Tally Helper'!$L$15:$GI$15,"&gt;="&amp;$BR42,'Tally Helper'!$L$15:$GI$15,"&lt;="&amp;$BS42)))</f>
        <v/>
      </c>
      <c r="AC42" s="15" t="str">
        <f aca="false">IF(OR(G$7="",$BR42=""),"",IF('Tally Helper'!$B$18&lt;&gt;TRUE(),"not on Staff",SUMIFS('Tally Helper'!$L$20:$GI$20,'Tally Helper'!$L$18:$GI$18,"&gt;="&amp;$BR42,'Tally Helper'!$L$18:$GI$18,"&lt;="&amp;$BS42)))</f>
        <v/>
      </c>
      <c r="AD42" s="15" t="str">
        <f aca="false">IF(OR(H$7="",$BR42=""),"",IF('Tally Helper'!$B$21&lt;&gt;TRUE(),"not on Staff",SUMIFS('Tally Helper'!$L$23:$GI$23,'Tally Helper'!$L$21:$GI$21,"&gt;="&amp;$BR42,'Tally Helper'!$L$21:$GI$21,"&lt;="&amp;$BS42)))</f>
        <v/>
      </c>
      <c r="AE42" s="15" t="str">
        <f aca="false">IF(OR(I$7="",$BR42=""),"",IF('Tally Helper'!$B$24&lt;&gt;TRUE(),"not on Staff",SUMIFS('Tally Helper'!$L$26:$GI$26,'Tally Helper'!$L$24:$GI$24,"&gt;="&amp;$BR42,'Tally Helper'!$L$24:$GI$24,"&lt;="&amp;$BS42)))</f>
        <v/>
      </c>
      <c r="AF42" s="15" t="str">
        <f aca="false">IF(OR(J$7="",$BR42=""),"",IF('Tally Helper'!$B$27&lt;&gt;TRUE(),"not on Staff",SUMIFS('Tally Helper'!$L$29:$GI$29,'Tally Helper'!$L$27:$GI$27,"&gt;="&amp;$BR42,'Tally Helper'!$L$27:$GI$27,"&lt;="&amp;$BS42)))</f>
        <v/>
      </c>
      <c r="AG42" s="15" t="str">
        <f aca="false">IF(OR(K$7="",$BR42=""),"",IF('Tally Helper'!$B$30&lt;&gt;TRUE(),"not on Staff",SUMIFS('Tally Helper'!$L$32:$GI$32,'Tally Helper'!$L$30:$GI$30,"&gt;="&amp;$BR42,'Tally Helper'!$L$30:$GI$30,"&lt;="&amp;$BS42)))</f>
        <v/>
      </c>
      <c r="AH42" s="15" t="str">
        <f aca="false">IF(OR(L$7="",$BR42=""),"",IF('Tally Helper'!$B$33&lt;&gt;TRUE(),"not on Staff",SUMIFS('Tally Helper'!$L$35:$GI$35,'Tally Helper'!$L$33:$GI$33,"&gt;="&amp;$BR42,'Tally Helper'!$L$33:$GI$33,"&lt;="&amp;$BS42)))</f>
        <v/>
      </c>
      <c r="AI42" s="15" t="str">
        <f aca="false">IF(OR(M$7="",$BR42=""),"",IF('Tally Helper'!$B$36&lt;&gt;TRUE(),"not on Staff",SUMIFS('Tally Helper'!$L$38:$GI$38,'Tally Helper'!$L$36:$GI$36,"&gt;="&amp;$BR42,'Tally Helper'!$L$36:$GI$36,"&lt;="&amp;$BS42)))</f>
        <v/>
      </c>
      <c r="AJ42" s="15" t="str">
        <f aca="false">IF(OR(N$7="",$BR42=""),"",IF('Tally Helper'!$B$39&lt;&gt;TRUE(),"not on Staff",SUMIFS('Tally Helper'!$L$41:$GI$41,'Tally Helper'!$L$39:$GI$39,"&gt;="&amp;$BR42,'Tally Helper'!$L$39:$GI$39,"&lt;="&amp;$BS42)))</f>
        <v/>
      </c>
      <c r="AK42" s="15" t="str">
        <f aca="false">IF(OR(O$7="",$BR42=""),"",IF('Tally Helper'!$B$42&lt;&gt;TRUE(),"not on Staff",SUMIFS('Tally Helper'!$L$44:$GI$44,'Tally Helper'!$L$42:$GI$42,"&gt;="&amp;$BR42,'Tally Helper'!$L$42:$GI$42,"&lt;="&amp;$BS42)))</f>
        <v/>
      </c>
      <c r="AL42" s="15" t="str">
        <f aca="false">IF(OR(P$7="",$BR42=""),"",IF('Tally Helper'!$B$45&lt;&gt;TRUE(),"not on Staff",SUMIFS('Tally Helper'!$L$47:$GI$47,'Tally Helper'!$L$45:$GI$45,"&gt;="&amp;$BR42,'Tally Helper'!$L$45:$GI$45,"&lt;="&amp;$BS42)))</f>
        <v/>
      </c>
      <c r="AM42" s="15" t="str">
        <f aca="false">IF(OR(Q$7="",$BR42=""),"",IF('Tally Helper'!$B$48&lt;&gt;TRUE(),"not on Staff",SUMIFS('Tally Helper'!$L$50:$GI$50,'Tally Helper'!$L$48:$GI$48,"&gt;="&amp;$BR42,'Tally Helper'!$L$48:$GI$48,"&lt;="&amp;$BS42)))</f>
        <v/>
      </c>
      <c r="AN42" s="15" t="str">
        <f aca="false">IF(OR(R$7="",$BR42=""),"",IF('Tally Helper'!$B$51&lt;&gt;TRUE(),"not on Staff",SUMIFS('Tally Helper'!$L$53:$GI$53,'Tally Helper'!$L$51:$GI$51,"&gt;="&amp;$BR42,'Tally Helper'!$L$51:$GI$51,"&lt;="&amp;$BS42)))</f>
        <v/>
      </c>
      <c r="AO42" s="15" t="str">
        <f aca="false">IF(OR(S$7="",$BR42=""),"",IF('Tally Helper'!$B$54&lt;&gt;TRUE(),"not on Staff",SUMIFS('Tally Helper'!$L$56:$GI$56,'Tally Helper'!$L$54:$GI$54,"&gt;="&amp;$BR42,'Tally Helper'!$L$54:$GI$54,"&lt;="&amp;$BS42)))</f>
        <v/>
      </c>
      <c r="AP42" s="15" t="str">
        <f aca="false">IF(OR(T$7="",$BR42=""),"",IF('Tally Helper'!$B$57&lt;&gt;TRUE(),"not on Staff",SUMIFS('Tally Helper'!$L$59:$GI$59,'Tally Helper'!$L$57:$GI$57,"&gt;="&amp;$BR42,'Tally Helper'!$L$57:$GI$57,"&lt;="&amp;$BS42)))</f>
        <v/>
      </c>
      <c r="AQ42" s="15" t="str">
        <f aca="false">IF(OR(U$7="",$BR42=""),"",IF('Tally Helper'!$B$60&lt;&gt;TRUE(),"not on Staff",SUMIFS('Tally Helper'!$L$62:$GI$62,'Tally Helper'!$L$60:$GI$60,"&gt;="&amp;$BR42,'Tally Helper'!$L$60:$GI$60,"&lt;="&amp;$BS42)))</f>
        <v/>
      </c>
      <c r="AT42" s="15" t="str">
        <f aca="false">IF(OR(X42="",NOT(ISNUMBER(X42))),"",X42-N(B42))</f>
        <v/>
      </c>
      <c r="AU42" s="15" t="str">
        <f aca="false">IF(OR(Y42="",NOT(ISNUMBER(Y42))),"",Y42-N(C42))</f>
        <v/>
      </c>
      <c r="AV42" s="15" t="str">
        <f aca="false">IF(OR(Z42="",NOT(ISNUMBER(Z42))),"",Z42-N(D42))</f>
        <v/>
      </c>
      <c r="AW42" s="15" t="str">
        <f aca="false">IF(OR(AA42="",NOT(ISNUMBER(AA42))),"",AA42-N(E42))</f>
        <v/>
      </c>
      <c r="AX42" s="15" t="str">
        <f aca="false">IF(OR(AB42="",NOT(ISNUMBER(AB42))),"",AB42-N(F42))</f>
        <v/>
      </c>
      <c r="AY42" s="15" t="str">
        <f aca="false">IF(OR(AC42="",NOT(ISNUMBER(AC42))),"",AC42-N(G42))</f>
        <v/>
      </c>
      <c r="AZ42" s="15" t="str">
        <f aca="false">IF(OR(AD42="",NOT(ISNUMBER(AD42))),"",AD42-N(H42))</f>
        <v/>
      </c>
      <c r="BA42" s="15" t="str">
        <f aca="false">IF(OR(AE42="",NOT(ISNUMBER(AE42))),"",AE42-N(I42))</f>
        <v/>
      </c>
      <c r="BB42" s="15" t="str">
        <f aca="false">IF(OR(AF42="",NOT(ISNUMBER(AF42))),"",AF42-N(J42))</f>
        <v/>
      </c>
      <c r="BC42" s="15" t="str">
        <f aca="false">IF(OR(AG42="",NOT(ISNUMBER(AG42))),"",AG42-N(K42))</f>
        <v/>
      </c>
      <c r="BD42" s="15" t="str">
        <f aca="false">IF(OR(AH42="",NOT(ISNUMBER(AH42))),"",AH42-N(L42))</f>
        <v/>
      </c>
      <c r="BE42" s="15" t="str">
        <f aca="false">IF(OR(AI42="",NOT(ISNUMBER(AI42))),"",AI42-N(M42))</f>
        <v/>
      </c>
      <c r="BF42" s="15" t="str">
        <f aca="false">IF(OR(AJ42="",NOT(ISNUMBER(AJ42))),"",AJ42-N(N42))</f>
        <v/>
      </c>
      <c r="BG42" s="15" t="str">
        <f aca="false">IF(OR(AK42="",NOT(ISNUMBER(AK42))),"",AK42-N(O42))</f>
        <v/>
      </c>
      <c r="BH42" s="15" t="str">
        <f aca="false">IF(OR(AL42="",NOT(ISNUMBER(AL42))),"",AL42-N(P42))</f>
        <v/>
      </c>
      <c r="BI42" s="15" t="str">
        <f aca="false">IF(OR(AM42="",NOT(ISNUMBER(AM42))),"",AM42-N(Q42))</f>
        <v/>
      </c>
      <c r="BJ42" s="15" t="str">
        <f aca="false">IF(OR(AN42="",NOT(ISNUMBER(AN42))),"",AN42-N(R42))</f>
        <v/>
      </c>
      <c r="BK42" s="15" t="str">
        <f aca="false">IF(OR(AO42="",NOT(ISNUMBER(AO42))),"",AO42-N(S42))</f>
        <v/>
      </c>
      <c r="BL42" s="15" t="str">
        <f aca="false">IF(OR(AP42="",NOT(ISNUMBER(AP42))),"",AP42-N(T42))</f>
        <v/>
      </c>
      <c r="BM42" s="15" t="str">
        <f aca="false">IF(OR(AQ42="",NOT(ISNUMBER(AQ42))),"",AQ42-N(U42))</f>
        <v/>
      </c>
      <c r="BR42" s="18" t="str">
        <f aca="false">IF($A42="","",IF(ISNUMBER($A42),DATE(YEAR($A42),MONTH($A42),1),IFERROR(DATE(2000+VALUE(RIGHT(TRIM($A42),2)),MATCH(UPPER(LEFT(TRIM($A42),3)),{"JAN","FEB","MAR","APR","MAY","JUN","JUL","AUG","SEP","OCT","NOV","DEC"},0),1),"")))</f>
        <v/>
      </c>
      <c r="BS42" s="18" t="str">
        <f aca="false">IF(BR42="","",EOMONTH(BR42,0))</f>
        <v/>
      </c>
    </row>
    <row r="43" customFormat="false" ht="15" hidden="false" customHeight="false" outlineLevel="0" collapsed="false">
      <c r="B43" s="19"/>
      <c r="C43" s="19"/>
      <c r="D43" s="19"/>
      <c r="E43" s="19"/>
      <c r="F43" s="19"/>
      <c r="G43" s="19"/>
      <c r="H43" s="19"/>
      <c r="I43" s="19"/>
      <c r="J43" s="19"/>
      <c r="K43" s="19"/>
      <c r="L43" s="19"/>
      <c r="M43" s="19"/>
      <c r="N43" s="19"/>
      <c r="O43" s="19"/>
      <c r="P43" s="19"/>
      <c r="Q43" s="19"/>
      <c r="R43" s="19"/>
      <c r="S43" s="19"/>
      <c r="T43" s="19"/>
      <c r="U43" s="19"/>
      <c r="X43" s="15" t="str">
        <f aca="false">IF(OR(B$7="",$BR43=""),"",IF('Tally Helper'!$B$3&lt;&gt;TRUE(),"not on Staff",SUMIFS('Tally Helper'!$L$5:$GI$5,'Tally Helper'!$L$3:$GI$3,"&gt;="&amp;$BR43,'Tally Helper'!$L$3:$GI$3,"&lt;="&amp;$BS43)))</f>
        <v/>
      </c>
      <c r="Y43" s="15" t="str">
        <f aca="false">IF(OR(C$7="",$BR43=""),"",IF('Tally Helper'!$B$6&lt;&gt;TRUE(),"not on Staff",SUMIFS('Tally Helper'!$L$8:$GI$8,'Tally Helper'!$L$6:$GI$6,"&gt;="&amp;$BR43,'Tally Helper'!$L$6:$GI$6,"&lt;="&amp;$BS43)))</f>
        <v/>
      </c>
      <c r="Z43" s="15" t="str">
        <f aca="false">IF(OR(D$7="",$BR43=""),"",IF('Tally Helper'!$B$9&lt;&gt;TRUE(),"not on Staff",SUMIFS('Tally Helper'!$L$11:$GI$11,'Tally Helper'!$L$9:$GI$9,"&gt;="&amp;$BR43,'Tally Helper'!$L$9:$GI$9,"&lt;="&amp;$BS43)))</f>
        <v/>
      </c>
      <c r="AA43" s="15" t="str">
        <f aca="false">IF(OR(E$7="",$BR43=""),"",IF('Tally Helper'!$B$12&lt;&gt;TRUE(),"not on Staff",SUMIFS('Tally Helper'!$L$14:$GI$14,'Tally Helper'!$L$12:$GI$12,"&gt;="&amp;$BR43,'Tally Helper'!$L$12:$GI$12,"&lt;="&amp;$BS43)))</f>
        <v/>
      </c>
      <c r="AB43" s="15" t="str">
        <f aca="false">IF(OR(F$7="",$BR43=""),"",IF('Tally Helper'!$B$15&lt;&gt;TRUE(),"not on Staff",SUMIFS('Tally Helper'!$L$17:$GI$17,'Tally Helper'!$L$15:$GI$15,"&gt;="&amp;$BR43,'Tally Helper'!$L$15:$GI$15,"&lt;="&amp;$BS43)))</f>
        <v/>
      </c>
      <c r="AC43" s="15" t="str">
        <f aca="false">IF(OR(G$7="",$BR43=""),"",IF('Tally Helper'!$B$18&lt;&gt;TRUE(),"not on Staff",SUMIFS('Tally Helper'!$L$20:$GI$20,'Tally Helper'!$L$18:$GI$18,"&gt;="&amp;$BR43,'Tally Helper'!$L$18:$GI$18,"&lt;="&amp;$BS43)))</f>
        <v/>
      </c>
      <c r="AD43" s="15" t="str">
        <f aca="false">IF(OR(H$7="",$BR43=""),"",IF('Tally Helper'!$B$21&lt;&gt;TRUE(),"not on Staff",SUMIFS('Tally Helper'!$L$23:$GI$23,'Tally Helper'!$L$21:$GI$21,"&gt;="&amp;$BR43,'Tally Helper'!$L$21:$GI$21,"&lt;="&amp;$BS43)))</f>
        <v/>
      </c>
      <c r="AE43" s="15" t="str">
        <f aca="false">IF(OR(I$7="",$BR43=""),"",IF('Tally Helper'!$B$24&lt;&gt;TRUE(),"not on Staff",SUMIFS('Tally Helper'!$L$26:$GI$26,'Tally Helper'!$L$24:$GI$24,"&gt;="&amp;$BR43,'Tally Helper'!$L$24:$GI$24,"&lt;="&amp;$BS43)))</f>
        <v/>
      </c>
      <c r="AF43" s="15" t="str">
        <f aca="false">IF(OR(J$7="",$BR43=""),"",IF('Tally Helper'!$B$27&lt;&gt;TRUE(),"not on Staff",SUMIFS('Tally Helper'!$L$29:$GI$29,'Tally Helper'!$L$27:$GI$27,"&gt;="&amp;$BR43,'Tally Helper'!$L$27:$GI$27,"&lt;="&amp;$BS43)))</f>
        <v/>
      </c>
      <c r="AG43" s="15" t="str">
        <f aca="false">IF(OR(K$7="",$BR43=""),"",IF('Tally Helper'!$B$30&lt;&gt;TRUE(),"not on Staff",SUMIFS('Tally Helper'!$L$32:$GI$32,'Tally Helper'!$L$30:$GI$30,"&gt;="&amp;$BR43,'Tally Helper'!$L$30:$GI$30,"&lt;="&amp;$BS43)))</f>
        <v/>
      </c>
      <c r="AH43" s="15" t="str">
        <f aca="false">IF(OR(L$7="",$BR43=""),"",IF('Tally Helper'!$B$33&lt;&gt;TRUE(),"not on Staff",SUMIFS('Tally Helper'!$L$35:$GI$35,'Tally Helper'!$L$33:$GI$33,"&gt;="&amp;$BR43,'Tally Helper'!$L$33:$GI$33,"&lt;="&amp;$BS43)))</f>
        <v/>
      </c>
      <c r="AI43" s="15" t="str">
        <f aca="false">IF(OR(M$7="",$BR43=""),"",IF('Tally Helper'!$B$36&lt;&gt;TRUE(),"not on Staff",SUMIFS('Tally Helper'!$L$38:$GI$38,'Tally Helper'!$L$36:$GI$36,"&gt;="&amp;$BR43,'Tally Helper'!$L$36:$GI$36,"&lt;="&amp;$BS43)))</f>
        <v/>
      </c>
      <c r="AJ43" s="15" t="str">
        <f aca="false">IF(OR(N$7="",$BR43=""),"",IF('Tally Helper'!$B$39&lt;&gt;TRUE(),"not on Staff",SUMIFS('Tally Helper'!$L$41:$GI$41,'Tally Helper'!$L$39:$GI$39,"&gt;="&amp;$BR43,'Tally Helper'!$L$39:$GI$39,"&lt;="&amp;$BS43)))</f>
        <v/>
      </c>
      <c r="AK43" s="15" t="str">
        <f aca="false">IF(OR(O$7="",$BR43=""),"",IF('Tally Helper'!$B$42&lt;&gt;TRUE(),"not on Staff",SUMIFS('Tally Helper'!$L$44:$GI$44,'Tally Helper'!$L$42:$GI$42,"&gt;="&amp;$BR43,'Tally Helper'!$L$42:$GI$42,"&lt;="&amp;$BS43)))</f>
        <v/>
      </c>
      <c r="AL43" s="15" t="str">
        <f aca="false">IF(OR(P$7="",$BR43=""),"",IF('Tally Helper'!$B$45&lt;&gt;TRUE(),"not on Staff",SUMIFS('Tally Helper'!$L$47:$GI$47,'Tally Helper'!$L$45:$GI$45,"&gt;="&amp;$BR43,'Tally Helper'!$L$45:$GI$45,"&lt;="&amp;$BS43)))</f>
        <v/>
      </c>
      <c r="AM43" s="15" t="str">
        <f aca="false">IF(OR(Q$7="",$BR43=""),"",IF('Tally Helper'!$B$48&lt;&gt;TRUE(),"not on Staff",SUMIFS('Tally Helper'!$L$50:$GI$50,'Tally Helper'!$L$48:$GI$48,"&gt;="&amp;$BR43,'Tally Helper'!$L$48:$GI$48,"&lt;="&amp;$BS43)))</f>
        <v/>
      </c>
      <c r="AN43" s="15" t="str">
        <f aca="false">IF(OR(R$7="",$BR43=""),"",IF('Tally Helper'!$B$51&lt;&gt;TRUE(),"not on Staff",SUMIFS('Tally Helper'!$L$53:$GI$53,'Tally Helper'!$L$51:$GI$51,"&gt;="&amp;$BR43,'Tally Helper'!$L$51:$GI$51,"&lt;="&amp;$BS43)))</f>
        <v/>
      </c>
      <c r="AO43" s="15" t="str">
        <f aca="false">IF(OR(S$7="",$BR43=""),"",IF('Tally Helper'!$B$54&lt;&gt;TRUE(),"not on Staff",SUMIFS('Tally Helper'!$L$56:$GI$56,'Tally Helper'!$L$54:$GI$54,"&gt;="&amp;$BR43,'Tally Helper'!$L$54:$GI$54,"&lt;="&amp;$BS43)))</f>
        <v/>
      </c>
      <c r="AP43" s="15" t="str">
        <f aca="false">IF(OR(T$7="",$BR43=""),"",IF('Tally Helper'!$B$57&lt;&gt;TRUE(),"not on Staff",SUMIFS('Tally Helper'!$L$59:$GI$59,'Tally Helper'!$L$57:$GI$57,"&gt;="&amp;$BR43,'Tally Helper'!$L$57:$GI$57,"&lt;="&amp;$BS43)))</f>
        <v/>
      </c>
      <c r="AQ43" s="15" t="str">
        <f aca="false">IF(OR(U$7="",$BR43=""),"",IF('Tally Helper'!$B$60&lt;&gt;TRUE(),"not on Staff",SUMIFS('Tally Helper'!$L$62:$GI$62,'Tally Helper'!$L$60:$GI$60,"&gt;="&amp;$BR43,'Tally Helper'!$L$60:$GI$60,"&lt;="&amp;$BS43)))</f>
        <v/>
      </c>
      <c r="AT43" s="15" t="str">
        <f aca="false">IF(OR(X43="",NOT(ISNUMBER(X43))),"",X43-N(B43))</f>
        <v/>
      </c>
      <c r="AU43" s="15" t="str">
        <f aca="false">IF(OR(Y43="",NOT(ISNUMBER(Y43))),"",Y43-N(C43))</f>
        <v/>
      </c>
      <c r="AV43" s="15" t="str">
        <f aca="false">IF(OR(Z43="",NOT(ISNUMBER(Z43))),"",Z43-N(D43))</f>
        <v/>
      </c>
      <c r="AW43" s="15" t="str">
        <f aca="false">IF(OR(AA43="",NOT(ISNUMBER(AA43))),"",AA43-N(E43))</f>
        <v/>
      </c>
      <c r="AX43" s="15" t="str">
        <f aca="false">IF(OR(AB43="",NOT(ISNUMBER(AB43))),"",AB43-N(F43))</f>
        <v/>
      </c>
      <c r="AY43" s="15" t="str">
        <f aca="false">IF(OR(AC43="",NOT(ISNUMBER(AC43))),"",AC43-N(G43))</f>
        <v/>
      </c>
      <c r="AZ43" s="15" t="str">
        <f aca="false">IF(OR(AD43="",NOT(ISNUMBER(AD43))),"",AD43-N(H43))</f>
        <v/>
      </c>
      <c r="BA43" s="15" t="str">
        <f aca="false">IF(OR(AE43="",NOT(ISNUMBER(AE43))),"",AE43-N(I43))</f>
        <v/>
      </c>
      <c r="BB43" s="15" t="str">
        <f aca="false">IF(OR(AF43="",NOT(ISNUMBER(AF43))),"",AF43-N(J43))</f>
        <v/>
      </c>
      <c r="BC43" s="15" t="str">
        <f aca="false">IF(OR(AG43="",NOT(ISNUMBER(AG43))),"",AG43-N(K43))</f>
        <v/>
      </c>
      <c r="BD43" s="15" t="str">
        <f aca="false">IF(OR(AH43="",NOT(ISNUMBER(AH43))),"",AH43-N(L43))</f>
        <v/>
      </c>
      <c r="BE43" s="15" t="str">
        <f aca="false">IF(OR(AI43="",NOT(ISNUMBER(AI43))),"",AI43-N(M43))</f>
        <v/>
      </c>
      <c r="BF43" s="15" t="str">
        <f aca="false">IF(OR(AJ43="",NOT(ISNUMBER(AJ43))),"",AJ43-N(N43))</f>
        <v/>
      </c>
      <c r="BG43" s="15" t="str">
        <f aca="false">IF(OR(AK43="",NOT(ISNUMBER(AK43))),"",AK43-N(O43))</f>
        <v/>
      </c>
      <c r="BH43" s="15" t="str">
        <f aca="false">IF(OR(AL43="",NOT(ISNUMBER(AL43))),"",AL43-N(P43))</f>
        <v/>
      </c>
      <c r="BI43" s="15" t="str">
        <f aca="false">IF(OR(AM43="",NOT(ISNUMBER(AM43))),"",AM43-N(Q43))</f>
        <v/>
      </c>
      <c r="BJ43" s="15" t="str">
        <f aca="false">IF(OR(AN43="",NOT(ISNUMBER(AN43))),"",AN43-N(R43))</f>
        <v/>
      </c>
      <c r="BK43" s="15" t="str">
        <f aca="false">IF(OR(AO43="",NOT(ISNUMBER(AO43))),"",AO43-N(S43))</f>
        <v/>
      </c>
      <c r="BL43" s="15" t="str">
        <f aca="false">IF(OR(AP43="",NOT(ISNUMBER(AP43))),"",AP43-N(T43))</f>
        <v/>
      </c>
      <c r="BM43" s="15" t="str">
        <f aca="false">IF(OR(AQ43="",NOT(ISNUMBER(AQ43))),"",AQ43-N(U43))</f>
        <v/>
      </c>
      <c r="BR43" s="18" t="str">
        <f aca="false">IF($A43="","",IF(ISNUMBER($A43),DATE(YEAR($A43),MONTH($A43),1),IFERROR(DATE(2000+VALUE(RIGHT(TRIM($A43),2)),MATCH(UPPER(LEFT(TRIM($A43),3)),{"JAN","FEB","MAR","APR","MAY","JUN","JUL","AUG","SEP","OCT","NOV","DEC"},0),1),"")))</f>
        <v/>
      </c>
      <c r="BS43" s="18" t="str">
        <f aca="false">IF(BR43="","",EOMONTH(BR43,0))</f>
        <v/>
      </c>
    </row>
    <row r="44" customFormat="false" ht="15" hidden="false" customHeight="false" outlineLevel="0" collapsed="false">
      <c r="B44" s="19"/>
      <c r="C44" s="19"/>
      <c r="D44" s="19"/>
      <c r="E44" s="19"/>
      <c r="F44" s="19"/>
      <c r="G44" s="19"/>
      <c r="H44" s="19"/>
      <c r="I44" s="19"/>
      <c r="J44" s="19"/>
      <c r="K44" s="19"/>
      <c r="L44" s="19"/>
      <c r="M44" s="19"/>
      <c r="N44" s="19"/>
      <c r="O44" s="19"/>
      <c r="P44" s="19"/>
      <c r="Q44" s="19"/>
      <c r="R44" s="19"/>
      <c r="S44" s="19"/>
      <c r="T44" s="19"/>
      <c r="U44" s="19"/>
      <c r="X44" s="15" t="str">
        <f aca="false">IF(OR(B$7="",$BR44=""),"",IF('Tally Helper'!$B$3&lt;&gt;TRUE(),"not on Staff",SUMIFS('Tally Helper'!$L$5:$GI$5,'Tally Helper'!$L$3:$GI$3,"&gt;="&amp;$BR44,'Tally Helper'!$L$3:$GI$3,"&lt;="&amp;$BS44)))</f>
        <v/>
      </c>
      <c r="Y44" s="15" t="str">
        <f aca="false">IF(OR(C$7="",$BR44=""),"",IF('Tally Helper'!$B$6&lt;&gt;TRUE(),"not on Staff",SUMIFS('Tally Helper'!$L$8:$GI$8,'Tally Helper'!$L$6:$GI$6,"&gt;="&amp;$BR44,'Tally Helper'!$L$6:$GI$6,"&lt;="&amp;$BS44)))</f>
        <v/>
      </c>
      <c r="Z44" s="15" t="str">
        <f aca="false">IF(OR(D$7="",$BR44=""),"",IF('Tally Helper'!$B$9&lt;&gt;TRUE(),"not on Staff",SUMIFS('Tally Helper'!$L$11:$GI$11,'Tally Helper'!$L$9:$GI$9,"&gt;="&amp;$BR44,'Tally Helper'!$L$9:$GI$9,"&lt;="&amp;$BS44)))</f>
        <v/>
      </c>
      <c r="AA44" s="15" t="str">
        <f aca="false">IF(OR(E$7="",$BR44=""),"",IF('Tally Helper'!$B$12&lt;&gt;TRUE(),"not on Staff",SUMIFS('Tally Helper'!$L$14:$GI$14,'Tally Helper'!$L$12:$GI$12,"&gt;="&amp;$BR44,'Tally Helper'!$L$12:$GI$12,"&lt;="&amp;$BS44)))</f>
        <v/>
      </c>
      <c r="AB44" s="15" t="str">
        <f aca="false">IF(OR(F$7="",$BR44=""),"",IF('Tally Helper'!$B$15&lt;&gt;TRUE(),"not on Staff",SUMIFS('Tally Helper'!$L$17:$GI$17,'Tally Helper'!$L$15:$GI$15,"&gt;="&amp;$BR44,'Tally Helper'!$L$15:$GI$15,"&lt;="&amp;$BS44)))</f>
        <v/>
      </c>
      <c r="AC44" s="15" t="str">
        <f aca="false">IF(OR(G$7="",$BR44=""),"",IF('Tally Helper'!$B$18&lt;&gt;TRUE(),"not on Staff",SUMIFS('Tally Helper'!$L$20:$GI$20,'Tally Helper'!$L$18:$GI$18,"&gt;="&amp;$BR44,'Tally Helper'!$L$18:$GI$18,"&lt;="&amp;$BS44)))</f>
        <v/>
      </c>
      <c r="AD44" s="15" t="str">
        <f aca="false">IF(OR(H$7="",$BR44=""),"",IF('Tally Helper'!$B$21&lt;&gt;TRUE(),"not on Staff",SUMIFS('Tally Helper'!$L$23:$GI$23,'Tally Helper'!$L$21:$GI$21,"&gt;="&amp;$BR44,'Tally Helper'!$L$21:$GI$21,"&lt;="&amp;$BS44)))</f>
        <v/>
      </c>
      <c r="AE44" s="15" t="str">
        <f aca="false">IF(OR(I$7="",$BR44=""),"",IF('Tally Helper'!$B$24&lt;&gt;TRUE(),"not on Staff",SUMIFS('Tally Helper'!$L$26:$GI$26,'Tally Helper'!$L$24:$GI$24,"&gt;="&amp;$BR44,'Tally Helper'!$L$24:$GI$24,"&lt;="&amp;$BS44)))</f>
        <v/>
      </c>
      <c r="AF44" s="15" t="str">
        <f aca="false">IF(OR(J$7="",$BR44=""),"",IF('Tally Helper'!$B$27&lt;&gt;TRUE(),"not on Staff",SUMIFS('Tally Helper'!$L$29:$GI$29,'Tally Helper'!$L$27:$GI$27,"&gt;="&amp;$BR44,'Tally Helper'!$L$27:$GI$27,"&lt;="&amp;$BS44)))</f>
        <v/>
      </c>
      <c r="AG44" s="15" t="str">
        <f aca="false">IF(OR(K$7="",$BR44=""),"",IF('Tally Helper'!$B$30&lt;&gt;TRUE(),"not on Staff",SUMIFS('Tally Helper'!$L$32:$GI$32,'Tally Helper'!$L$30:$GI$30,"&gt;="&amp;$BR44,'Tally Helper'!$L$30:$GI$30,"&lt;="&amp;$BS44)))</f>
        <v/>
      </c>
      <c r="AH44" s="15" t="str">
        <f aca="false">IF(OR(L$7="",$BR44=""),"",IF('Tally Helper'!$B$33&lt;&gt;TRUE(),"not on Staff",SUMIFS('Tally Helper'!$L$35:$GI$35,'Tally Helper'!$L$33:$GI$33,"&gt;="&amp;$BR44,'Tally Helper'!$L$33:$GI$33,"&lt;="&amp;$BS44)))</f>
        <v/>
      </c>
      <c r="AI44" s="15" t="str">
        <f aca="false">IF(OR(M$7="",$BR44=""),"",IF('Tally Helper'!$B$36&lt;&gt;TRUE(),"not on Staff",SUMIFS('Tally Helper'!$L$38:$GI$38,'Tally Helper'!$L$36:$GI$36,"&gt;="&amp;$BR44,'Tally Helper'!$L$36:$GI$36,"&lt;="&amp;$BS44)))</f>
        <v/>
      </c>
      <c r="AJ44" s="15" t="str">
        <f aca="false">IF(OR(N$7="",$BR44=""),"",IF('Tally Helper'!$B$39&lt;&gt;TRUE(),"not on Staff",SUMIFS('Tally Helper'!$L$41:$GI$41,'Tally Helper'!$L$39:$GI$39,"&gt;="&amp;$BR44,'Tally Helper'!$L$39:$GI$39,"&lt;="&amp;$BS44)))</f>
        <v/>
      </c>
      <c r="AK44" s="15" t="str">
        <f aca="false">IF(OR(O$7="",$BR44=""),"",IF('Tally Helper'!$B$42&lt;&gt;TRUE(),"not on Staff",SUMIFS('Tally Helper'!$L$44:$GI$44,'Tally Helper'!$L$42:$GI$42,"&gt;="&amp;$BR44,'Tally Helper'!$L$42:$GI$42,"&lt;="&amp;$BS44)))</f>
        <v/>
      </c>
      <c r="AL44" s="15" t="str">
        <f aca="false">IF(OR(P$7="",$BR44=""),"",IF('Tally Helper'!$B$45&lt;&gt;TRUE(),"not on Staff",SUMIFS('Tally Helper'!$L$47:$GI$47,'Tally Helper'!$L$45:$GI$45,"&gt;="&amp;$BR44,'Tally Helper'!$L$45:$GI$45,"&lt;="&amp;$BS44)))</f>
        <v/>
      </c>
      <c r="AM44" s="15" t="str">
        <f aca="false">IF(OR(Q$7="",$BR44=""),"",IF('Tally Helper'!$B$48&lt;&gt;TRUE(),"not on Staff",SUMIFS('Tally Helper'!$L$50:$GI$50,'Tally Helper'!$L$48:$GI$48,"&gt;="&amp;$BR44,'Tally Helper'!$L$48:$GI$48,"&lt;="&amp;$BS44)))</f>
        <v/>
      </c>
      <c r="AN44" s="15" t="str">
        <f aca="false">IF(OR(R$7="",$BR44=""),"",IF('Tally Helper'!$B$51&lt;&gt;TRUE(),"not on Staff",SUMIFS('Tally Helper'!$L$53:$GI$53,'Tally Helper'!$L$51:$GI$51,"&gt;="&amp;$BR44,'Tally Helper'!$L$51:$GI$51,"&lt;="&amp;$BS44)))</f>
        <v/>
      </c>
      <c r="AO44" s="15" t="str">
        <f aca="false">IF(OR(S$7="",$BR44=""),"",IF('Tally Helper'!$B$54&lt;&gt;TRUE(),"not on Staff",SUMIFS('Tally Helper'!$L$56:$GI$56,'Tally Helper'!$L$54:$GI$54,"&gt;="&amp;$BR44,'Tally Helper'!$L$54:$GI$54,"&lt;="&amp;$BS44)))</f>
        <v/>
      </c>
      <c r="AP44" s="15" t="str">
        <f aca="false">IF(OR(T$7="",$BR44=""),"",IF('Tally Helper'!$B$57&lt;&gt;TRUE(),"not on Staff",SUMIFS('Tally Helper'!$L$59:$GI$59,'Tally Helper'!$L$57:$GI$57,"&gt;="&amp;$BR44,'Tally Helper'!$L$57:$GI$57,"&lt;="&amp;$BS44)))</f>
        <v/>
      </c>
      <c r="AQ44" s="15" t="str">
        <f aca="false">IF(OR(U$7="",$BR44=""),"",IF('Tally Helper'!$B$60&lt;&gt;TRUE(),"not on Staff",SUMIFS('Tally Helper'!$L$62:$GI$62,'Tally Helper'!$L$60:$GI$60,"&gt;="&amp;$BR44,'Tally Helper'!$L$60:$GI$60,"&lt;="&amp;$BS44)))</f>
        <v/>
      </c>
      <c r="AT44" s="15" t="str">
        <f aca="false">IF(OR(X44="",NOT(ISNUMBER(X44))),"",X44-N(B44))</f>
        <v/>
      </c>
      <c r="AU44" s="15" t="str">
        <f aca="false">IF(OR(Y44="",NOT(ISNUMBER(Y44))),"",Y44-N(C44))</f>
        <v/>
      </c>
      <c r="AV44" s="15" t="str">
        <f aca="false">IF(OR(Z44="",NOT(ISNUMBER(Z44))),"",Z44-N(D44))</f>
        <v/>
      </c>
      <c r="AW44" s="15" t="str">
        <f aca="false">IF(OR(AA44="",NOT(ISNUMBER(AA44))),"",AA44-N(E44))</f>
        <v/>
      </c>
      <c r="AX44" s="15" t="str">
        <f aca="false">IF(OR(AB44="",NOT(ISNUMBER(AB44))),"",AB44-N(F44))</f>
        <v/>
      </c>
      <c r="AY44" s="15" t="str">
        <f aca="false">IF(OR(AC44="",NOT(ISNUMBER(AC44))),"",AC44-N(G44))</f>
        <v/>
      </c>
      <c r="AZ44" s="15" t="str">
        <f aca="false">IF(OR(AD44="",NOT(ISNUMBER(AD44))),"",AD44-N(H44))</f>
        <v/>
      </c>
      <c r="BA44" s="15" t="str">
        <f aca="false">IF(OR(AE44="",NOT(ISNUMBER(AE44))),"",AE44-N(I44))</f>
        <v/>
      </c>
      <c r="BB44" s="15" t="str">
        <f aca="false">IF(OR(AF44="",NOT(ISNUMBER(AF44))),"",AF44-N(J44))</f>
        <v/>
      </c>
      <c r="BC44" s="15" t="str">
        <f aca="false">IF(OR(AG44="",NOT(ISNUMBER(AG44))),"",AG44-N(K44))</f>
        <v/>
      </c>
      <c r="BD44" s="15" t="str">
        <f aca="false">IF(OR(AH44="",NOT(ISNUMBER(AH44))),"",AH44-N(L44))</f>
        <v/>
      </c>
      <c r="BE44" s="15" t="str">
        <f aca="false">IF(OR(AI44="",NOT(ISNUMBER(AI44))),"",AI44-N(M44))</f>
        <v/>
      </c>
      <c r="BF44" s="15" t="str">
        <f aca="false">IF(OR(AJ44="",NOT(ISNUMBER(AJ44))),"",AJ44-N(N44))</f>
        <v/>
      </c>
      <c r="BG44" s="15" t="str">
        <f aca="false">IF(OR(AK44="",NOT(ISNUMBER(AK44))),"",AK44-N(O44))</f>
        <v/>
      </c>
      <c r="BH44" s="15" t="str">
        <f aca="false">IF(OR(AL44="",NOT(ISNUMBER(AL44))),"",AL44-N(P44))</f>
        <v/>
      </c>
      <c r="BI44" s="15" t="str">
        <f aca="false">IF(OR(AM44="",NOT(ISNUMBER(AM44))),"",AM44-N(Q44))</f>
        <v/>
      </c>
      <c r="BJ44" s="15" t="str">
        <f aca="false">IF(OR(AN44="",NOT(ISNUMBER(AN44))),"",AN44-N(R44))</f>
        <v/>
      </c>
      <c r="BK44" s="15" t="str">
        <f aca="false">IF(OR(AO44="",NOT(ISNUMBER(AO44))),"",AO44-N(S44))</f>
        <v/>
      </c>
      <c r="BL44" s="15" t="str">
        <f aca="false">IF(OR(AP44="",NOT(ISNUMBER(AP44))),"",AP44-N(T44))</f>
        <v/>
      </c>
      <c r="BM44" s="15" t="str">
        <f aca="false">IF(OR(AQ44="",NOT(ISNUMBER(AQ44))),"",AQ44-N(U44))</f>
        <v/>
      </c>
      <c r="BR44" s="18" t="str">
        <f aca="false">IF($A44="","",IF(ISNUMBER($A44),DATE(YEAR($A44),MONTH($A44),1),IFERROR(DATE(2000+VALUE(RIGHT(TRIM($A44),2)),MATCH(UPPER(LEFT(TRIM($A44),3)),{"JAN","FEB","MAR","APR","MAY","JUN","JUL","AUG","SEP","OCT","NOV","DEC"},0),1),"")))</f>
        <v/>
      </c>
      <c r="BS44" s="18" t="str">
        <f aca="false">IF(BR44="","",EOMONTH(BR44,0))</f>
        <v/>
      </c>
    </row>
    <row r="45" customFormat="false" ht="15" hidden="false" customHeight="false" outlineLevel="0" collapsed="false">
      <c r="B45" s="19"/>
      <c r="C45" s="19"/>
      <c r="D45" s="19"/>
      <c r="E45" s="19"/>
      <c r="F45" s="19"/>
      <c r="G45" s="19"/>
      <c r="H45" s="19"/>
      <c r="I45" s="19"/>
      <c r="J45" s="19"/>
      <c r="K45" s="19"/>
      <c r="L45" s="19"/>
      <c r="M45" s="19"/>
      <c r="N45" s="19"/>
      <c r="O45" s="19"/>
      <c r="P45" s="19"/>
      <c r="Q45" s="19"/>
      <c r="R45" s="19"/>
      <c r="S45" s="19"/>
      <c r="T45" s="19"/>
      <c r="U45" s="19"/>
      <c r="X45" s="15" t="str">
        <f aca="false">IF(OR(B$7="",$BR45=""),"",IF('Tally Helper'!$B$3&lt;&gt;TRUE(),"not on Staff",SUMIFS('Tally Helper'!$L$5:$GI$5,'Tally Helper'!$L$3:$GI$3,"&gt;="&amp;$BR45,'Tally Helper'!$L$3:$GI$3,"&lt;="&amp;$BS45)))</f>
        <v/>
      </c>
      <c r="Y45" s="15" t="str">
        <f aca="false">IF(OR(C$7="",$BR45=""),"",IF('Tally Helper'!$B$6&lt;&gt;TRUE(),"not on Staff",SUMIFS('Tally Helper'!$L$8:$GI$8,'Tally Helper'!$L$6:$GI$6,"&gt;="&amp;$BR45,'Tally Helper'!$L$6:$GI$6,"&lt;="&amp;$BS45)))</f>
        <v/>
      </c>
      <c r="Z45" s="15" t="str">
        <f aca="false">IF(OR(D$7="",$BR45=""),"",IF('Tally Helper'!$B$9&lt;&gt;TRUE(),"not on Staff",SUMIFS('Tally Helper'!$L$11:$GI$11,'Tally Helper'!$L$9:$GI$9,"&gt;="&amp;$BR45,'Tally Helper'!$L$9:$GI$9,"&lt;="&amp;$BS45)))</f>
        <v/>
      </c>
      <c r="AA45" s="15" t="str">
        <f aca="false">IF(OR(E$7="",$BR45=""),"",IF('Tally Helper'!$B$12&lt;&gt;TRUE(),"not on Staff",SUMIFS('Tally Helper'!$L$14:$GI$14,'Tally Helper'!$L$12:$GI$12,"&gt;="&amp;$BR45,'Tally Helper'!$L$12:$GI$12,"&lt;="&amp;$BS45)))</f>
        <v/>
      </c>
      <c r="AB45" s="15" t="str">
        <f aca="false">IF(OR(F$7="",$BR45=""),"",IF('Tally Helper'!$B$15&lt;&gt;TRUE(),"not on Staff",SUMIFS('Tally Helper'!$L$17:$GI$17,'Tally Helper'!$L$15:$GI$15,"&gt;="&amp;$BR45,'Tally Helper'!$L$15:$GI$15,"&lt;="&amp;$BS45)))</f>
        <v/>
      </c>
      <c r="AC45" s="15" t="str">
        <f aca="false">IF(OR(G$7="",$BR45=""),"",IF('Tally Helper'!$B$18&lt;&gt;TRUE(),"not on Staff",SUMIFS('Tally Helper'!$L$20:$GI$20,'Tally Helper'!$L$18:$GI$18,"&gt;="&amp;$BR45,'Tally Helper'!$L$18:$GI$18,"&lt;="&amp;$BS45)))</f>
        <v/>
      </c>
      <c r="AD45" s="15" t="str">
        <f aca="false">IF(OR(H$7="",$BR45=""),"",IF('Tally Helper'!$B$21&lt;&gt;TRUE(),"not on Staff",SUMIFS('Tally Helper'!$L$23:$GI$23,'Tally Helper'!$L$21:$GI$21,"&gt;="&amp;$BR45,'Tally Helper'!$L$21:$GI$21,"&lt;="&amp;$BS45)))</f>
        <v/>
      </c>
      <c r="AE45" s="15" t="str">
        <f aca="false">IF(OR(I$7="",$BR45=""),"",IF('Tally Helper'!$B$24&lt;&gt;TRUE(),"not on Staff",SUMIFS('Tally Helper'!$L$26:$GI$26,'Tally Helper'!$L$24:$GI$24,"&gt;="&amp;$BR45,'Tally Helper'!$L$24:$GI$24,"&lt;="&amp;$BS45)))</f>
        <v/>
      </c>
      <c r="AF45" s="15" t="str">
        <f aca="false">IF(OR(J$7="",$BR45=""),"",IF('Tally Helper'!$B$27&lt;&gt;TRUE(),"not on Staff",SUMIFS('Tally Helper'!$L$29:$GI$29,'Tally Helper'!$L$27:$GI$27,"&gt;="&amp;$BR45,'Tally Helper'!$L$27:$GI$27,"&lt;="&amp;$BS45)))</f>
        <v/>
      </c>
      <c r="AG45" s="15" t="str">
        <f aca="false">IF(OR(K$7="",$BR45=""),"",IF('Tally Helper'!$B$30&lt;&gt;TRUE(),"not on Staff",SUMIFS('Tally Helper'!$L$32:$GI$32,'Tally Helper'!$L$30:$GI$30,"&gt;="&amp;$BR45,'Tally Helper'!$L$30:$GI$30,"&lt;="&amp;$BS45)))</f>
        <v/>
      </c>
      <c r="AH45" s="15" t="str">
        <f aca="false">IF(OR(L$7="",$BR45=""),"",IF('Tally Helper'!$B$33&lt;&gt;TRUE(),"not on Staff",SUMIFS('Tally Helper'!$L$35:$GI$35,'Tally Helper'!$L$33:$GI$33,"&gt;="&amp;$BR45,'Tally Helper'!$L$33:$GI$33,"&lt;="&amp;$BS45)))</f>
        <v/>
      </c>
      <c r="AI45" s="15" t="str">
        <f aca="false">IF(OR(M$7="",$BR45=""),"",IF('Tally Helper'!$B$36&lt;&gt;TRUE(),"not on Staff",SUMIFS('Tally Helper'!$L$38:$GI$38,'Tally Helper'!$L$36:$GI$36,"&gt;="&amp;$BR45,'Tally Helper'!$L$36:$GI$36,"&lt;="&amp;$BS45)))</f>
        <v/>
      </c>
      <c r="AJ45" s="15" t="str">
        <f aca="false">IF(OR(N$7="",$BR45=""),"",IF('Tally Helper'!$B$39&lt;&gt;TRUE(),"not on Staff",SUMIFS('Tally Helper'!$L$41:$GI$41,'Tally Helper'!$L$39:$GI$39,"&gt;="&amp;$BR45,'Tally Helper'!$L$39:$GI$39,"&lt;="&amp;$BS45)))</f>
        <v/>
      </c>
      <c r="AK45" s="15" t="str">
        <f aca="false">IF(OR(O$7="",$BR45=""),"",IF('Tally Helper'!$B$42&lt;&gt;TRUE(),"not on Staff",SUMIFS('Tally Helper'!$L$44:$GI$44,'Tally Helper'!$L$42:$GI$42,"&gt;="&amp;$BR45,'Tally Helper'!$L$42:$GI$42,"&lt;="&amp;$BS45)))</f>
        <v/>
      </c>
      <c r="AL45" s="15" t="str">
        <f aca="false">IF(OR(P$7="",$BR45=""),"",IF('Tally Helper'!$B$45&lt;&gt;TRUE(),"not on Staff",SUMIFS('Tally Helper'!$L$47:$GI$47,'Tally Helper'!$L$45:$GI$45,"&gt;="&amp;$BR45,'Tally Helper'!$L$45:$GI$45,"&lt;="&amp;$BS45)))</f>
        <v/>
      </c>
      <c r="AM45" s="15" t="str">
        <f aca="false">IF(OR(Q$7="",$BR45=""),"",IF('Tally Helper'!$B$48&lt;&gt;TRUE(),"not on Staff",SUMIFS('Tally Helper'!$L$50:$GI$50,'Tally Helper'!$L$48:$GI$48,"&gt;="&amp;$BR45,'Tally Helper'!$L$48:$GI$48,"&lt;="&amp;$BS45)))</f>
        <v/>
      </c>
      <c r="AN45" s="15" t="str">
        <f aca="false">IF(OR(R$7="",$BR45=""),"",IF('Tally Helper'!$B$51&lt;&gt;TRUE(),"not on Staff",SUMIFS('Tally Helper'!$L$53:$GI$53,'Tally Helper'!$L$51:$GI$51,"&gt;="&amp;$BR45,'Tally Helper'!$L$51:$GI$51,"&lt;="&amp;$BS45)))</f>
        <v/>
      </c>
      <c r="AO45" s="15" t="str">
        <f aca="false">IF(OR(S$7="",$BR45=""),"",IF('Tally Helper'!$B$54&lt;&gt;TRUE(),"not on Staff",SUMIFS('Tally Helper'!$L$56:$GI$56,'Tally Helper'!$L$54:$GI$54,"&gt;="&amp;$BR45,'Tally Helper'!$L$54:$GI$54,"&lt;="&amp;$BS45)))</f>
        <v/>
      </c>
      <c r="AP45" s="15" t="str">
        <f aca="false">IF(OR(T$7="",$BR45=""),"",IF('Tally Helper'!$B$57&lt;&gt;TRUE(),"not on Staff",SUMIFS('Tally Helper'!$L$59:$GI$59,'Tally Helper'!$L$57:$GI$57,"&gt;="&amp;$BR45,'Tally Helper'!$L$57:$GI$57,"&lt;="&amp;$BS45)))</f>
        <v/>
      </c>
      <c r="AQ45" s="15" t="str">
        <f aca="false">IF(OR(U$7="",$BR45=""),"",IF('Tally Helper'!$B$60&lt;&gt;TRUE(),"not on Staff",SUMIFS('Tally Helper'!$L$62:$GI$62,'Tally Helper'!$L$60:$GI$60,"&gt;="&amp;$BR45,'Tally Helper'!$L$60:$GI$60,"&lt;="&amp;$BS45)))</f>
        <v/>
      </c>
      <c r="AT45" s="15" t="str">
        <f aca="false">IF(OR(X45="",NOT(ISNUMBER(X45))),"",X45-N(B45))</f>
        <v/>
      </c>
      <c r="AU45" s="15" t="str">
        <f aca="false">IF(OR(Y45="",NOT(ISNUMBER(Y45))),"",Y45-N(C45))</f>
        <v/>
      </c>
      <c r="AV45" s="15" t="str">
        <f aca="false">IF(OR(Z45="",NOT(ISNUMBER(Z45))),"",Z45-N(D45))</f>
        <v/>
      </c>
      <c r="AW45" s="15" t="str">
        <f aca="false">IF(OR(AA45="",NOT(ISNUMBER(AA45))),"",AA45-N(E45))</f>
        <v/>
      </c>
      <c r="AX45" s="15" t="str">
        <f aca="false">IF(OR(AB45="",NOT(ISNUMBER(AB45))),"",AB45-N(F45))</f>
        <v/>
      </c>
      <c r="AY45" s="15" t="str">
        <f aca="false">IF(OR(AC45="",NOT(ISNUMBER(AC45))),"",AC45-N(G45))</f>
        <v/>
      </c>
      <c r="AZ45" s="15" t="str">
        <f aca="false">IF(OR(AD45="",NOT(ISNUMBER(AD45))),"",AD45-N(H45))</f>
        <v/>
      </c>
      <c r="BA45" s="15" t="str">
        <f aca="false">IF(OR(AE45="",NOT(ISNUMBER(AE45))),"",AE45-N(I45))</f>
        <v/>
      </c>
      <c r="BB45" s="15" t="str">
        <f aca="false">IF(OR(AF45="",NOT(ISNUMBER(AF45))),"",AF45-N(J45))</f>
        <v/>
      </c>
      <c r="BC45" s="15" t="str">
        <f aca="false">IF(OR(AG45="",NOT(ISNUMBER(AG45))),"",AG45-N(K45))</f>
        <v/>
      </c>
      <c r="BD45" s="15" t="str">
        <f aca="false">IF(OR(AH45="",NOT(ISNUMBER(AH45))),"",AH45-N(L45))</f>
        <v/>
      </c>
      <c r="BE45" s="15" t="str">
        <f aca="false">IF(OR(AI45="",NOT(ISNUMBER(AI45))),"",AI45-N(M45))</f>
        <v/>
      </c>
      <c r="BF45" s="15" t="str">
        <f aca="false">IF(OR(AJ45="",NOT(ISNUMBER(AJ45))),"",AJ45-N(N45))</f>
        <v/>
      </c>
      <c r="BG45" s="15" t="str">
        <f aca="false">IF(OR(AK45="",NOT(ISNUMBER(AK45))),"",AK45-N(O45))</f>
        <v/>
      </c>
      <c r="BH45" s="15" t="str">
        <f aca="false">IF(OR(AL45="",NOT(ISNUMBER(AL45))),"",AL45-N(P45))</f>
        <v/>
      </c>
      <c r="BI45" s="15" t="str">
        <f aca="false">IF(OR(AM45="",NOT(ISNUMBER(AM45))),"",AM45-N(Q45))</f>
        <v/>
      </c>
      <c r="BJ45" s="15" t="str">
        <f aca="false">IF(OR(AN45="",NOT(ISNUMBER(AN45))),"",AN45-N(R45))</f>
        <v/>
      </c>
      <c r="BK45" s="15" t="str">
        <f aca="false">IF(OR(AO45="",NOT(ISNUMBER(AO45))),"",AO45-N(S45))</f>
        <v/>
      </c>
      <c r="BL45" s="15" t="str">
        <f aca="false">IF(OR(AP45="",NOT(ISNUMBER(AP45))),"",AP45-N(T45))</f>
        <v/>
      </c>
      <c r="BM45" s="15" t="str">
        <f aca="false">IF(OR(AQ45="",NOT(ISNUMBER(AQ45))),"",AQ45-N(U45))</f>
        <v/>
      </c>
      <c r="BR45" s="18" t="str">
        <f aca="false">IF($A45="","",IF(ISNUMBER($A45),DATE(YEAR($A45),MONTH($A45),1),IFERROR(DATE(2000+VALUE(RIGHT(TRIM($A45),2)),MATCH(UPPER(LEFT(TRIM($A45),3)),{"JAN","FEB","MAR","APR","MAY","JUN","JUL","AUG","SEP","OCT","NOV","DEC"},0),1),"")))</f>
        <v/>
      </c>
      <c r="BS45" s="18" t="str">
        <f aca="false">IF(BR45="","",EOMONTH(BR45,0))</f>
        <v/>
      </c>
    </row>
    <row r="46" customFormat="false" ht="15" hidden="false" customHeight="false" outlineLevel="0" collapsed="false">
      <c r="B46" s="19"/>
      <c r="C46" s="19"/>
      <c r="D46" s="19"/>
      <c r="E46" s="19"/>
      <c r="F46" s="19"/>
      <c r="G46" s="19"/>
      <c r="H46" s="19"/>
      <c r="I46" s="19"/>
      <c r="J46" s="19"/>
      <c r="K46" s="19"/>
      <c r="L46" s="19"/>
      <c r="M46" s="19"/>
      <c r="N46" s="19"/>
      <c r="O46" s="19"/>
      <c r="P46" s="19"/>
      <c r="Q46" s="19"/>
      <c r="R46" s="19"/>
      <c r="S46" s="19"/>
      <c r="T46" s="19"/>
      <c r="U46" s="19"/>
      <c r="X46" s="15" t="str">
        <f aca="false">IF(OR(B$7="",$BR46=""),"",IF('Tally Helper'!$B$3&lt;&gt;TRUE(),"not on Staff",SUMIFS('Tally Helper'!$L$5:$GI$5,'Tally Helper'!$L$3:$GI$3,"&gt;="&amp;$BR46,'Tally Helper'!$L$3:$GI$3,"&lt;="&amp;$BS46)))</f>
        <v/>
      </c>
      <c r="Y46" s="15" t="str">
        <f aca="false">IF(OR(C$7="",$BR46=""),"",IF('Tally Helper'!$B$6&lt;&gt;TRUE(),"not on Staff",SUMIFS('Tally Helper'!$L$8:$GI$8,'Tally Helper'!$L$6:$GI$6,"&gt;="&amp;$BR46,'Tally Helper'!$L$6:$GI$6,"&lt;="&amp;$BS46)))</f>
        <v/>
      </c>
      <c r="Z46" s="15" t="str">
        <f aca="false">IF(OR(D$7="",$BR46=""),"",IF('Tally Helper'!$B$9&lt;&gt;TRUE(),"not on Staff",SUMIFS('Tally Helper'!$L$11:$GI$11,'Tally Helper'!$L$9:$GI$9,"&gt;="&amp;$BR46,'Tally Helper'!$L$9:$GI$9,"&lt;="&amp;$BS46)))</f>
        <v/>
      </c>
      <c r="AA46" s="15" t="str">
        <f aca="false">IF(OR(E$7="",$BR46=""),"",IF('Tally Helper'!$B$12&lt;&gt;TRUE(),"not on Staff",SUMIFS('Tally Helper'!$L$14:$GI$14,'Tally Helper'!$L$12:$GI$12,"&gt;="&amp;$BR46,'Tally Helper'!$L$12:$GI$12,"&lt;="&amp;$BS46)))</f>
        <v/>
      </c>
      <c r="AB46" s="15" t="str">
        <f aca="false">IF(OR(F$7="",$BR46=""),"",IF('Tally Helper'!$B$15&lt;&gt;TRUE(),"not on Staff",SUMIFS('Tally Helper'!$L$17:$GI$17,'Tally Helper'!$L$15:$GI$15,"&gt;="&amp;$BR46,'Tally Helper'!$L$15:$GI$15,"&lt;="&amp;$BS46)))</f>
        <v/>
      </c>
      <c r="AC46" s="15" t="str">
        <f aca="false">IF(OR(G$7="",$BR46=""),"",IF('Tally Helper'!$B$18&lt;&gt;TRUE(),"not on Staff",SUMIFS('Tally Helper'!$L$20:$GI$20,'Tally Helper'!$L$18:$GI$18,"&gt;="&amp;$BR46,'Tally Helper'!$L$18:$GI$18,"&lt;="&amp;$BS46)))</f>
        <v/>
      </c>
      <c r="AD46" s="15" t="str">
        <f aca="false">IF(OR(H$7="",$BR46=""),"",IF('Tally Helper'!$B$21&lt;&gt;TRUE(),"not on Staff",SUMIFS('Tally Helper'!$L$23:$GI$23,'Tally Helper'!$L$21:$GI$21,"&gt;="&amp;$BR46,'Tally Helper'!$L$21:$GI$21,"&lt;="&amp;$BS46)))</f>
        <v/>
      </c>
      <c r="AE46" s="15" t="str">
        <f aca="false">IF(OR(I$7="",$BR46=""),"",IF('Tally Helper'!$B$24&lt;&gt;TRUE(),"not on Staff",SUMIFS('Tally Helper'!$L$26:$GI$26,'Tally Helper'!$L$24:$GI$24,"&gt;="&amp;$BR46,'Tally Helper'!$L$24:$GI$24,"&lt;="&amp;$BS46)))</f>
        <v/>
      </c>
      <c r="AF46" s="15" t="str">
        <f aca="false">IF(OR(J$7="",$BR46=""),"",IF('Tally Helper'!$B$27&lt;&gt;TRUE(),"not on Staff",SUMIFS('Tally Helper'!$L$29:$GI$29,'Tally Helper'!$L$27:$GI$27,"&gt;="&amp;$BR46,'Tally Helper'!$L$27:$GI$27,"&lt;="&amp;$BS46)))</f>
        <v/>
      </c>
      <c r="AG46" s="15" t="str">
        <f aca="false">IF(OR(K$7="",$BR46=""),"",IF('Tally Helper'!$B$30&lt;&gt;TRUE(),"not on Staff",SUMIFS('Tally Helper'!$L$32:$GI$32,'Tally Helper'!$L$30:$GI$30,"&gt;="&amp;$BR46,'Tally Helper'!$L$30:$GI$30,"&lt;="&amp;$BS46)))</f>
        <v/>
      </c>
      <c r="AH46" s="15" t="str">
        <f aca="false">IF(OR(L$7="",$BR46=""),"",IF('Tally Helper'!$B$33&lt;&gt;TRUE(),"not on Staff",SUMIFS('Tally Helper'!$L$35:$GI$35,'Tally Helper'!$L$33:$GI$33,"&gt;="&amp;$BR46,'Tally Helper'!$L$33:$GI$33,"&lt;="&amp;$BS46)))</f>
        <v/>
      </c>
      <c r="AI46" s="15" t="str">
        <f aca="false">IF(OR(M$7="",$BR46=""),"",IF('Tally Helper'!$B$36&lt;&gt;TRUE(),"not on Staff",SUMIFS('Tally Helper'!$L$38:$GI$38,'Tally Helper'!$L$36:$GI$36,"&gt;="&amp;$BR46,'Tally Helper'!$L$36:$GI$36,"&lt;="&amp;$BS46)))</f>
        <v/>
      </c>
      <c r="AJ46" s="15" t="str">
        <f aca="false">IF(OR(N$7="",$BR46=""),"",IF('Tally Helper'!$B$39&lt;&gt;TRUE(),"not on Staff",SUMIFS('Tally Helper'!$L$41:$GI$41,'Tally Helper'!$L$39:$GI$39,"&gt;="&amp;$BR46,'Tally Helper'!$L$39:$GI$39,"&lt;="&amp;$BS46)))</f>
        <v/>
      </c>
      <c r="AK46" s="15" t="str">
        <f aca="false">IF(OR(O$7="",$BR46=""),"",IF('Tally Helper'!$B$42&lt;&gt;TRUE(),"not on Staff",SUMIFS('Tally Helper'!$L$44:$GI$44,'Tally Helper'!$L$42:$GI$42,"&gt;="&amp;$BR46,'Tally Helper'!$L$42:$GI$42,"&lt;="&amp;$BS46)))</f>
        <v/>
      </c>
      <c r="AL46" s="15" t="str">
        <f aca="false">IF(OR(P$7="",$BR46=""),"",IF('Tally Helper'!$B$45&lt;&gt;TRUE(),"not on Staff",SUMIFS('Tally Helper'!$L$47:$GI$47,'Tally Helper'!$L$45:$GI$45,"&gt;="&amp;$BR46,'Tally Helper'!$L$45:$GI$45,"&lt;="&amp;$BS46)))</f>
        <v/>
      </c>
      <c r="AM46" s="15" t="str">
        <f aca="false">IF(OR(Q$7="",$BR46=""),"",IF('Tally Helper'!$B$48&lt;&gt;TRUE(),"not on Staff",SUMIFS('Tally Helper'!$L$50:$GI$50,'Tally Helper'!$L$48:$GI$48,"&gt;="&amp;$BR46,'Tally Helper'!$L$48:$GI$48,"&lt;="&amp;$BS46)))</f>
        <v/>
      </c>
      <c r="AN46" s="15" t="str">
        <f aca="false">IF(OR(R$7="",$BR46=""),"",IF('Tally Helper'!$B$51&lt;&gt;TRUE(),"not on Staff",SUMIFS('Tally Helper'!$L$53:$GI$53,'Tally Helper'!$L$51:$GI$51,"&gt;="&amp;$BR46,'Tally Helper'!$L$51:$GI$51,"&lt;="&amp;$BS46)))</f>
        <v/>
      </c>
      <c r="AO46" s="15" t="str">
        <f aca="false">IF(OR(S$7="",$BR46=""),"",IF('Tally Helper'!$B$54&lt;&gt;TRUE(),"not on Staff",SUMIFS('Tally Helper'!$L$56:$GI$56,'Tally Helper'!$L$54:$GI$54,"&gt;="&amp;$BR46,'Tally Helper'!$L$54:$GI$54,"&lt;="&amp;$BS46)))</f>
        <v/>
      </c>
      <c r="AP46" s="15" t="str">
        <f aca="false">IF(OR(T$7="",$BR46=""),"",IF('Tally Helper'!$B$57&lt;&gt;TRUE(),"not on Staff",SUMIFS('Tally Helper'!$L$59:$GI$59,'Tally Helper'!$L$57:$GI$57,"&gt;="&amp;$BR46,'Tally Helper'!$L$57:$GI$57,"&lt;="&amp;$BS46)))</f>
        <v/>
      </c>
      <c r="AQ46" s="15" t="str">
        <f aca="false">IF(OR(U$7="",$BR46=""),"",IF('Tally Helper'!$B$60&lt;&gt;TRUE(),"not on Staff",SUMIFS('Tally Helper'!$L$62:$GI$62,'Tally Helper'!$L$60:$GI$60,"&gt;="&amp;$BR46,'Tally Helper'!$L$60:$GI$60,"&lt;="&amp;$BS46)))</f>
        <v/>
      </c>
      <c r="AT46" s="15" t="str">
        <f aca="false">IF(OR(X46="",NOT(ISNUMBER(X46))),"",X46-N(B46))</f>
        <v/>
      </c>
      <c r="AU46" s="15" t="str">
        <f aca="false">IF(OR(Y46="",NOT(ISNUMBER(Y46))),"",Y46-N(C46))</f>
        <v/>
      </c>
      <c r="AV46" s="15" t="str">
        <f aca="false">IF(OR(Z46="",NOT(ISNUMBER(Z46))),"",Z46-N(D46))</f>
        <v/>
      </c>
      <c r="AW46" s="15" t="str">
        <f aca="false">IF(OR(AA46="",NOT(ISNUMBER(AA46))),"",AA46-N(E46))</f>
        <v/>
      </c>
      <c r="AX46" s="15" t="str">
        <f aca="false">IF(OR(AB46="",NOT(ISNUMBER(AB46))),"",AB46-N(F46))</f>
        <v/>
      </c>
      <c r="AY46" s="15" t="str">
        <f aca="false">IF(OR(AC46="",NOT(ISNUMBER(AC46))),"",AC46-N(G46))</f>
        <v/>
      </c>
      <c r="AZ46" s="15" t="str">
        <f aca="false">IF(OR(AD46="",NOT(ISNUMBER(AD46))),"",AD46-N(H46))</f>
        <v/>
      </c>
      <c r="BA46" s="15" t="str">
        <f aca="false">IF(OR(AE46="",NOT(ISNUMBER(AE46))),"",AE46-N(I46))</f>
        <v/>
      </c>
      <c r="BB46" s="15" t="str">
        <f aca="false">IF(OR(AF46="",NOT(ISNUMBER(AF46))),"",AF46-N(J46))</f>
        <v/>
      </c>
      <c r="BC46" s="15" t="str">
        <f aca="false">IF(OR(AG46="",NOT(ISNUMBER(AG46))),"",AG46-N(K46))</f>
        <v/>
      </c>
      <c r="BD46" s="15" t="str">
        <f aca="false">IF(OR(AH46="",NOT(ISNUMBER(AH46))),"",AH46-N(L46))</f>
        <v/>
      </c>
      <c r="BE46" s="15" t="str">
        <f aca="false">IF(OR(AI46="",NOT(ISNUMBER(AI46))),"",AI46-N(M46))</f>
        <v/>
      </c>
      <c r="BF46" s="15" t="str">
        <f aca="false">IF(OR(AJ46="",NOT(ISNUMBER(AJ46))),"",AJ46-N(N46))</f>
        <v/>
      </c>
      <c r="BG46" s="15" t="str">
        <f aca="false">IF(OR(AK46="",NOT(ISNUMBER(AK46))),"",AK46-N(O46))</f>
        <v/>
      </c>
      <c r="BH46" s="15" t="str">
        <f aca="false">IF(OR(AL46="",NOT(ISNUMBER(AL46))),"",AL46-N(P46))</f>
        <v/>
      </c>
      <c r="BI46" s="15" t="str">
        <f aca="false">IF(OR(AM46="",NOT(ISNUMBER(AM46))),"",AM46-N(Q46))</f>
        <v/>
      </c>
      <c r="BJ46" s="15" t="str">
        <f aca="false">IF(OR(AN46="",NOT(ISNUMBER(AN46))),"",AN46-N(R46))</f>
        <v/>
      </c>
      <c r="BK46" s="15" t="str">
        <f aca="false">IF(OR(AO46="",NOT(ISNUMBER(AO46))),"",AO46-N(S46))</f>
        <v/>
      </c>
      <c r="BL46" s="15" t="str">
        <f aca="false">IF(OR(AP46="",NOT(ISNUMBER(AP46))),"",AP46-N(T46))</f>
        <v/>
      </c>
      <c r="BM46" s="15" t="str">
        <f aca="false">IF(OR(AQ46="",NOT(ISNUMBER(AQ46))),"",AQ46-N(U46))</f>
        <v/>
      </c>
      <c r="BR46" s="18" t="str">
        <f aca="false">IF($A46="","",IF(ISNUMBER($A46),DATE(YEAR($A46),MONTH($A46),1),IFERROR(DATE(2000+VALUE(RIGHT(TRIM($A46),2)),MATCH(UPPER(LEFT(TRIM($A46),3)),{"JAN","FEB","MAR","APR","MAY","JUN","JUL","AUG","SEP","OCT","NOV","DEC"},0),1),"")))</f>
        <v/>
      </c>
      <c r="BS46" s="18" t="str">
        <f aca="false">IF(BR46="","",EOMONTH(BR46,0))</f>
        <v/>
      </c>
    </row>
    <row r="47" customFormat="false" ht="15" hidden="false" customHeight="false" outlineLevel="0" collapsed="false">
      <c r="B47" s="19"/>
      <c r="C47" s="19"/>
      <c r="D47" s="19"/>
      <c r="E47" s="19"/>
      <c r="F47" s="19"/>
      <c r="G47" s="19"/>
      <c r="H47" s="19"/>
      <c r="I47" s="19"/>
      <c r="J47" s="19"/>
      <c r="K47" s="19"/>
      <c r="L47" s="19"/>
      <c r="M47" s="19"/>
      <c r="N47" s="19"/>
      <c r="O47" s="19"/>
      <c r="P47" s="19"/>
      <c r="Q47" s="19"/>
      <c r="R47" s="19"/>
      <c r="S47" s="19"/>
      <c r="T47" s="19"/>
      <c r="U47" s="19"/>
      <c r="X47" s="15" t="str">
        <f aca="false">IF(OR(B$7="",$BR47=""),"",IF('Tally Helper'!$B$3&lt;&gt;TRUE(),"not on Staff",SUMIFS('Tally Helper'!$L$5:$GI$5,'Tally Helper'!$L$3:$GI$3,"&gt;="&amp;$BR47,'Tally Helper'!$L$3:$GI$3,"&lt;="&amp;$BS47)))</f>
        <v/>
      </c>
      <c r="Y47" s="15" t="str">
        <f aca="false">IF(OR(C$7="",$BR47=""),"",IF('Tally Helper'!$B$6&lt;&gt;TRUE(),"not on Staff",SUMIFS('Tally Helper'!$L$8:$GI$8,'Tally Helper'!$L$6:$GI$6,"&gt;="&amp;$BR47,'Tally Helper'!$L$6:$GI$6,"&lt;="&amp;$BS47)))</f>
        <v/>
      </c>
      <c r="Z47" s="15" t="str">
        <f aca="false">IF(OR(D$7="",$BR47=""),"",IF('Tally Helper'!$B$9&lt;&gt;TRUE(),"not on Staff",SUMIFS('Tally Helper'!$L$11:$GI$11,'Tally Helper'!$L$9:$GI$9,"&gt;="&amp;$BR47,'Tally Helper'!$L$9:$GI$9,"&lt;="&amp;$BS47)))</f>
        <v/>
      </c>
      <c r="AA47" s="15" t="str">
        <f aca="false">IF(OR(E$7="",$BR47=""),"",IF('Tally Helper'!$B$12&lt;&gt;TRUE(),"not on Staff",SUMIFS('Tally Helper'!$L$14:$GI$14,'Tally Helper'!$L$12:$GI$12,"&gt;="&amp;$BR47,'Tally Helper'!$L$12:$GI$12,"&lt;="&amp;$BS47)))</f>
        <v/>
      </c>
      <c r="AB47" s="15" t="str">
        <f aca="false">IF(OR(F$7="",$BR47=""),"",IF('Tally Helper'!$B$15&lt;&gt;TRUE(),"not on Staff",SUMIFS('Tally Helper'!$L$17:$GI$17,'Tally Helper'!$L$15:$GI$15,"&gt;="&amp;$BR47,'Tally Helper'!$L$15:$GI$15,"&lt;="&amp;$BS47)))</f>
        <v/>
      </c>
      <c r="AC47" s="15" t="str">
        <f aca="false">IF(OR(G$7="",$BR47=""),"",IF('Tally Helper'!$B$18&lt;&gt;TRUE(),"not on Staff",SUMIFS('Tally Helper'!$L$20:$GI$20,'Tally Helper'!$L$18:$GI$18,"&gt;="&amp;$BR47,'Tally Helper'!$L$18:$GI$18,"&lt;="&amp;$BS47)))</f>
        <v/>
      </c>
      <c r="AD47" s="15" t="str">
        <f aca="false">IF(OR(H$7="",$BR47=""),"",IF('Tally Helper'!$B$21&lt;&gt;TRUE(),"not on Staff",SUMIFS('Tally Helper'!$L$23:$GI$23,'Tally Helper'!$L$21:$GI$21,"&gt;="&amp;$BR47,'Tally Helper'!$L$21:$GI$21,"&lt;="&amp;$BS47)))</f>
        <v/>
      </c>
      <c r="AE47" s="15" t="str">
        <f aca="false">IF(OR(I$7="",$BR47=""),"",IF('Tally Helper'!$B$24&lt;&gt;TRUE(),"not on Staff",SUMIFS('Tally Helper'!$L$26:$GI$26,'Tally Helper'!$L$24:$GI$24,"&gt;="&amp;$BR47,'Tally Helper'!$L$24:$GI$24,"&lt;="&amp;$BS47)))</f>
        <v/>
      </c>
      <c r="AF47" s="15" t="str">
        <f aca="false">IF(OR(J$7="",$BR47=""),"",IF('Tally Helper'!$B$27&lt;&gt;TRUE(),"not on Staff",SUMIFS('Tally Helper'!$L$29:$GI$29,'Tally Helper'!$L$27:$GI$27,"&gt;="&amp;$BR47,'Tally Helper'!$L$27:$GI$27,"&lt;="&amp;$BS47)))</f>
        <v/>
      </c>
      <c r="AG47" s="15" t="str">
        <f aca="false">IF(OR(K$7="",$BR47=""),"",IF('Tally Helper'!$B$30&lt;&gt;TRUE(),"not on Staff",SUMIFS('Tally Helper'!$L$32:$GI$32,'Tally Helper'!$L$30:$GI$30,"&gt;="&amp;$BR47,'Tally Helper'!$L$30:$GI$30,"&lt;="&amp;$BS47)))</f>
        <v/>
      </c>
      <c r="AH47" s="15" t="str">
        <f aca="false">IF(OR(L$7="",$BR47=""),"",IF('Tally Helper'!$B$33&lt;&gt;TRUE(),"not on Staff",SUMIFS('Tally Helper'!$L$35:$GI$35,'Tally Helper'!$L$33:$GI$33,"&gt;="&amp;$BR47,'Tally Helper'!$L$33:$GI$33,"&lt;="&amp;$BS47)))</f>
        <v/>
      </c>
      <c r="AI47" s="15" t="str">
        <f aca="false">IF(OR(M$7="",$BR47=""),"",IF('Tally Helper'!$B$36&lt;&gt;TRUE(),"not on Staff",SUMIFS('Tally Helper'!$L$38:$GI$38,'Tally Helper'!$L$36:$GI$36,"&gt;="&amp;$BR47,'Tally Helper'!$L$36:$GI$36,"&lt;="&amp;$BS47)))</f>
        <v/>
      </c>
      <c r="AJ47" s="15" t="str">
        <f aca="false">IF(OR(N$7="",$BR47=""),"",IF('Tally Helper'!$B$39&lt;&gt;TRUE(),"not on Staff",SUMIFS('Tally Helper'!$L$41:$GI$41,'Tally Helper'!$L$39:$GI$39,"&gt;="&amp;$BR47,'Tally Helper'!$L$39:$GI$39,"&lt;="&amp;$BS47)))</f>
        <v/>
      </c>
      <c r="AK47" s="15" t="str">
        <f aca="false">IF(OR(O$7="",$BR47=""),"",IF('Tally Helper'!$B$42&lt;&gt;TRUE(),"not on Staff",SUMIFS('Tally Helper'!$L$44:$GI$44,'Tally Helper'!$L$42:$GI$42,"&gt;="&amp;$BR47,'Tally Helper'!$L$42:$GI$42,"&lt;="&amp;$BS47)))</f>
        <v/>
      </c>
      <c r="AL47" s="15" t="str">
        <f aca="false">IF(OR(P$7="",$BR47=""),"",IF('Tally Helper'!$B$45&lt;&gt;TRUE(),"not on Staff",SUMIFS('Tally Helper'!$L$47:$GI$47,'Tally Helper'!$L$45:$GI$45,"&gt;="&amp;$BR47,'Tally Helper'!$L$45:$GI$45,"&lt;="&amp;$BS47)))</f>
        <v/>
      </c>
      <c r="AM47" s="15" t="str">
        <f aca="false">IF(OR(Q$7="",$BR47=""),"",IF('Tally Helper'!$B$48&lt;&gt;TRUE(),"not on Staff",SUMIFS('Tally Helper'!$L$50:$GI$50,'Tally Helper'!$L$48:$GI$48,"&gt;="&amp;$BR47,'Tally Helper'!$L$48:$GI$48,"&lt;="&amp;$BS47)))</f>
        <v/>
      </c>
      <c r="AN47" s="15" t="str">
        <f aca="false">IF(OR(R$7="",$BR47=""),"",IF('Tally Helper'!$B$51&lt;&gt;TRUE(),"not on Staff",SUMIFS('Tally Helper'!$L$53:$GI$53,'Tally Helper'!$L$51:$GI$51,"&gt;="&amp;$BR47,'Tally Helper'!$L$51:$GI$51,"&lt;="&amp;$BS47)))</f>
        <v/>
      </c>
      <c r="AO47" s="15" t="str">
        <f aca="false">IF(OR(S$7="",$BR47=""),"",IF('Tally Helper'!$B$54&lt;&gt;TRUE(),"not on Staff",SUMIFS('Tally Helper'!$L$56:$GI$56,'Tally Helper'!$L$54:$GI$54,"&gt;="&amp;$BR47,'Tally Helper'!$L$54:$GI$54,"&lt;="&amp;$BS47)))</f>
        <v/>
      </c>
      <c r="AP47" s="15" t="str">
        <f aca="false">IF(OR(T$7="",$BR47=""),"",IF('Tally Helper'!$B$57&lt;&gt;TRUE(),"not on Staff",SUMIFS('Tally Helper'!$L$59:$GI$59,'Tally Helper'!$L$57:$GI$57,"&gt;="&amp;$BR47,'Tally Helper'!$L$57:$GI$57,"&lt;="&amp;$BS47)))</f>
        <v/>
      </c>
      <c r="AQ47" s="15" t="str">
        <f aca="false">IF(OR(U$7="",$BR47=""),"",IF('Tally Helper'!$B$60&lt;&gt;TRUE(),"not on Staff",SUMIFS('Tally Helper'!$L$62:$GI$62,'Tally Helper'!$L$60:$GI$60,"&gt;="&amp;$BR47,'Tally Helper'!$L$60:$GI$60,"&lt;="&amp;$BS47)))</f>
        <v/>
      </c>
      <c r="AT47" s="15" t="str">
        <f aca="false">IF(OR(X47="",NOT(ISNUMBER(X47))),"",X47-N(B47))</f>
        <v/>
      </c>
      <c r="AU47" s="15" t="str">
        <f aca="false">IF(OR(Y47="",NOT(ISNUMBER(Y47))),"",Y47-N(C47))</f>
        <v/>
      </c>
      <c r="AV47" s="15" t="str">
        <f aca="false">IF(OR(Z47="",NOT(ISNUMBER(Z47))),"",Z47-N(D47))</f>
        <v/>
      </c>
      <c r="AW47" s="15" t="str">
        <f aca="false">IF(OR(AA47="",NOT(ISNUMBER(AA47))),"",AA47-N(E47))</f>
        <v/>
      </c>
      <c r="AX47" s="15" t="str">
        <f aca="false">IF(OR(AB47="",NOT(ISNUMBER(AB47))),"",AB47-N(F47))</f>
        <v/>
      </c>
      <c r="AY47" s="15" t="str">
        <f aca="false">IF(OR(AC47="",NOT(ISNUMBER(AC47))),"",AC47-N(G47))</f>
        <v/>
      </c>
      <c r="AZ47" s="15" t="str">
        <f aca="false">IF(OR(AD47="",NOT(ISNUMBER(AD47))),"",AD47-N(H47))</f>
        <v/>
      </c>
      <c r="BA47" s="15" t="str">
        <f aca="false">IF(OR(AE47="",NOT(ISNUMBER(AE47))),"",AE47-N(I47))</f>
        <v/>
      </c>
      <c r="BB47" s="15" t="str">
        <f aca="false">IF(OR(AF47="",NOT(ISNUMBER(AF47))),"",AF47-N(J47))</f>
        <v/>
      </c>
      <c r="BC47" s="15" t="str">
        <f aca="false">IF(OR(AG47="",NOT(ISNUMBER(AG47))),"",AG47-N(K47))</f>
        <v/>
      </c>
      <c r="BD47" s="15" t="str">
        <f aca="false">IF(OR(AH47="",NOT(ISNUMBER(AH47))),"",AH47-N(L47))</f>
        <v/>
      </c>
      <c r="BE47" s="15" t="str">
        <f aca="false">IF(OR(AI47="",NOT(ISNUMBER(AI47))),"",AI47-N(M47))</f>
        <v/>
      </c>
      <c r="BF47" s="15" t="str">
        <f aca="false">IF(OR(AJ47="",NOT(ISNUMBER(AJ47))),"",AJ47-N(N47))</f>
        <v/>
      </c>
      <c r="BG47" s="15" t="str">
        <f aca="false">IF(OR(AK47="",NOT(ISNUMBER(AK47))),"",AK47-N(O47))</f>
        <v/>
      </c>
      <c r="BH47" s="15" t="str">
        <f aca="false">IF(OR(AL47="",NOT(ISNUMBER(AL47))),"",AL47-N(P47))</f>
        <v/>
      </c>
      <c r="BI47" s="15" t="str">
        <f aca="false">IF(OR(AM47="",NOT(ISNUMBER(AM47))),"",AM47-N(Q47))</f>
        <v/>
      </c>
      <c r="BJ47" s="15" t="str">
        <f aca="false">IF(OR(AN47="",NOT(ISNUMBER(AN47))),"",AN47-N(R47))</f>
        <v/>
      </c>
      <c r="BK47" s="15" t="str">
        <f aca="false">IF(OR(AO47="",NOT(ISNUMBER(AO47))),"",AO47-N(S47))</f>
        <v/>
      </c>
      <c r="BL47" s="15" t="str">
        <f aca="false">IF(OR(AP47="",NOT(ISNUMBER(AP47))),"",AP47-N(T47))</f>
        <v/>
      </c>
      <c r="BM47" s="15" t="str">
        <f aca="false">IF(OR(AQ47="",NOT(ISNUMBER(AQ47))),"",AQ47-N(U47))</f>
        <v/>
      </c>
      <c r="BR47" s="18" t="str">
        <f aca="false">IF($A47="","",IF(ISNUMBER($A47),DATE(YEAR($A47),MONTH($A47),1),IFERROR(DATE(2000+VALUE(RIGHT(TRIM($A47),2)),MATCH(UPPER(LEFT(TRIM($A47),3)),{"JAN","FEB","MAR","APR","MAY","JUN","JUL","AUG","SEP","OCT","NOV","DEC"},0),1),"")))</f>
        <v/>
      </c>
      <c r="BS47" s="18" t="str">
        <f aca="false">IF(BR47="","",EOMONTH(BR47,0))</f>
        <v/>
      </c>
    </row>
    <row r="48" customFormat="false" ht="15" hidden="false" customHeight="false" outlineLevel="0" collapsed="false">
      <c r="B48" s="19"/>
      <c r="C48" s="19"/>
      <c r="D48" s="19"/>
      <c r="E48" s="19"/>
      <c r="F48" s="19"/>
      <c r="G48" s="19"/>
      <c r="H48" s="19"/>
      <c r="I48" s="19"/>
      <c r="J48" s="19"/>
      <c r="K48" s="19"/>
      <c r="L48" s="19"/>
      <c r="M48" s="19"/>
      <c r="N48" s="19"/>
      <c r="O48" s="19"/>
      <c r="P48" s="19"/>
      <c r="Q48" s="19"/>
      <c r="R48" s="19"/>
      <c r="S48" s="19"/>
      <c r="T48" s="19"/>
      <c r="U48" s="19"/>
      <c r="X48" s="15" t="str">
        <f aca="false">IF(OR(B$7="",$BR48=""),"",IF('Tally Helper'!$B$3&lt;&gt;TRUE(),"not on Staff",SUMIFS('Tally Helper'!$L$5:$GI$5,'Tally Helper'!$L$3:$GI$3,"&gt;="&amp;$BR48,'Tally Helper'!$L$3:$GI$3,"&lt;="&amp;$BS48)))</f>
        <v/>
      </c>
      <c r="Y48" s="15" t="str">
        <f aca="false">IF(OR(C$7="",$BR48=""),"",IF('Tally Helper'!$B$6&lt;&gt;TRUE(),"not on Staff",SUMIFS('Tally Helper'!$L$8:$GI$8,'Tally Helper'!$L$6:$GI$6,"&gt;="&amp;$BR48,'Tally Helper'!$L$6:$GI$6,"&lt;="&amp;$BS48)))</f>
        <v/>
      </c>
      <c r="Z48" s="15" t="str">
        <f aca="false">IF(OR(D$7="",$BR48=""),"",IF('Tally Helper'!$B$9&lt;&gt;TRUE(),"not on Staff",SUMIFS('Tally Helper'!$L$11:$GI$11,'Tally Helper'!$L$9:$GI$9,"&gt;="&amp;$BR48,'Tally Helper'!$L$9:$GI$9,"&lt;="&amp;$BS48)))</f>
        <v/>
      </c>
      <c r="AA48" s="15" t="str">
        <f aca="false">IF(OR(E$7="",$BR48=""),"",IF('Tally Helper'!$B$12&lt;&gt;TRUE(),"not on Staff",SUMIFS('Tally Helper'!$L$14:$GI$14,'Tally Helper'!$L$12:$GI$12,"&gt;="&amp;$BR48,'Tally Helper'!$L$12:$GI$12,"&lt;="&amp;$BS48)))</f>
        <v/>
      </c>
      <c r="AB48" s="15" t="str">
        <f aca="false">IF(OR(F$7="",$BR48=""),"",IF('Tally Helper'!$B$15&lt;&gt;TRUE(),"not on Staff",SUMIFS('Tally Helper'!$L$17:$GI$17,'Tally Helper'!$L$15:$GI$15,"&gt;="&amp;$BR48,'Tally Helper'!$L$15:$GI$15,"&lt;="&amp;$BS48)))</f>
        <v/>
      </c>
      <c r="AC48" s="15" t="str">
        <f aca="false">IF(OR(G$7="",$BR48=""),"",IF('Tally Helper'!$B$18&lt;&gt;TRUE(),"not on Staff",SUMIFS('Tally Helper'!$L$20:$GI$20,'Tally Helper'!$L$18:$GI$18,"&gt;="&amp;$BR48,'Tally Helper'!$L$18:$GI$18,"&lt;="&amp;$BS48)))</f>
        <v/>
      </c>
      <c r="AD48" s="15" t="str">
        <f aca="false">IF(OR(H$7="",$BR48=""),"",IF('Tally Helper'!$B$21&lt;&gt;TRUE(),"not on Staff",SUMIFS('Tally Helper'!$L$23:$GI$23,'Tally Helper'!$L$21:$GI$21,"&gt;="&amp;$BR48,'Tally Helper'!$L$21:$GI$21,"&lt;="&amp;$BS48)))</f>
        <v/>
      </c>
      <c r="AE48" s="15" t="str">
        <f aca="false">IF(OR(I$7="",$BR48=""),"",IF('Tally Helper'!$B$24&lt;&gt;TRUE(),"not on Staff",SUMIFS('Tally Helper'!$L$26:$GI$26,'Tally Helper'!$L$24:$GI$24,"&gt;="&amp;$BR48,'Tally Helper'!$L$24:$GI$24,"&lt;="&amp;$BS48)))</f>
        <v/>
      </c>
      <c r="AF48" s="15" t="str">
        <f aca="false">IF(OR(J$7="",$BR48=""),"",IF('Tally Helper'!$B$27&lt;&gt;TRUE(),"not on Staff",SUMIFS('Tally Helper'!$L$29:$GI$29,'Tally Helper'!$L$27:$GI$27,"&gt;="&amp;$BR48,'Tally Helper'!$L$27:$GI$27,"&lt;="&amp;$BS48)))</f>
        <v/>
      </c>
      <c r="AG48" s="15" t="str">
        <f aca="false">IF(OR(K$7="",$BR48=""),"",IF('Tally Helper'!$B$30&lt;&gt;TRUE(),"not on Staff",SUMIFS('Tally Helper'!$L$32:$GI$32,'Tally Helper'!$L$30:$GI$30,"&gt;="&amp;$BR48,'Tally Helper'!$L$30:$GI$30,"&lt;="&amp;$BS48)))</f>
        <v/>
      </c>
      <c r="AH48" s="15" t="str">
        <f aca="false">IF(OR(L$7="",$BR48=""),"",IF('Tally Helper'!$B$33&lt;&gt;TRUE(),"not on Staff",SUMIFS('Tally Helper'!$L$35:$GI$35,'Tally Helper'!$L$33:$GI$33,"&gt;="&amp;$BR48,'Tally Helper'!$L$33:$GI$33,"&lt;="&amp;$BS48)))</f>
        <v/>
      </c>
      <c r="AI48" s="15" t="str">
        <f aca="false">IF(OR(M$7="",$BR48=""),"",IF('Tally Helper'!$B$36&lt;&gt;TRUE(),"not on Staff",SUMIFS('Tally Helper'!$L$38:$GI$38,'Tally Helper'!$L$36:$GI$36,"&gt;="&amp;$BR48,'Tally Helper'!$L$36:$GI$36,"&lt;="&amp;$BS48)))</f>
        <v/>
      </c>
      <c r="AJ48" s="15" t="str">
        <f aca="false">IF(OR(N$7="",$BR48=""),"",IF('Tally Helper'!$B$39&lt;&gt;TRUE(),"not on Staff",SUMIFS('Tally Helper'!$L$41:$GI$41,'Tally Helper'!$L$39:$GI$39,"&gt;="&amp;$BR48,'Tally Helper'!$L$39:$GI$39,"&lt;="&amp;$BS48)))</f>
        <v/>
      </c>
      <c r="AK48" s="15" t="str">
        <f aca="false">IF(OR(O$7="",$BR48=""),"",IF('Tally Helper'!$B$42&lt;&gt;TRUE(),"not on Staff",SUMIFS('Tally Helper'!$L$44:$GI$44,'Tally Helper'!$L$42:$GI$42,"&gt;="&amp;$BR48,'Tally Helper'!$L$42:$GI$42,"&lt;="&amp;$BS48)))</f>
        <v/>
      </c>
      <c r="AL48" s="15" t="str">
        <f aca="false">IF(OR(P$7="",$BR48=""),"",IF('Tally Helper'!$B$45&lt;&gt;TRUE(),"not on Staff",SUMIFS('Tally Helper'!$L$47:$GI$47,'Tally Helper'!$L$45:$GI$45,"&gt;="&amp;$BR48,'Tally Helper'!$L$45:$GI$45,"&lt;="&amp;$BS48)))</f>
        <v/>
      </c>
      <c r="AM48" s="15" t="str">
        <f aca="false">IF(OR(Q$7="",$BR48=""),"",IF('Tally Helper'!$B$48&lt;&gt;TRUE(),"not on Staff",SUMIFS('Tally Helper'!$L$50:$GI$50,'Tally Helper'!$L$48:$GI$48,"&gt;="&amp;$BR48,'Tally Helper'!$L$48:$GI$48,"&lt;="&amp;$BS48)))</f>
        <v/>
      </c>
      <c r="AN48" s="15" t="str">
        <f aca="false">IF(OR(R$7="",$BR48=""),"",IF('Tally Helper'!$B$51&lt;&gt;TRUE(),"not on Staff",SUMIFS('Tally Helper'!$L$53:$GI$53,'Tally Helper'!$L$51:$GI$51,"&gt;="&amp;$BR48,'Tally Helper'!$L$51:$GI$51,"&lt;="&amp;$BS48)))</f>
        <v/>
      </c>
      <c r="AO48" s="15" t="str">
        <f aca="false">IF(OR(S$7="",$BR48=""),"",IF('Tally Helper'!$B$54&lt;&gt;TRUE(),"not on Staff",SUMIFS('Tally Helper'!$L$56:$GI$56,'Tally Helper'!$L$54:$GI$54,"&gt;="&amp;$BR48,'Tally Helper'!$L$54:$GI$54,"&lt;="&amp;$BS48)))</f>
        <v/>
      </c>
      <c r="AP48" s="15" t="str">
        <f aca="false">IF(OR(T$7="",$BR48=""),"",IF('Tally Helper'!$B$57&lt;&gt;TRUE(),"not on Staff",SUMIFS('Tally Helper'!$L$59:$GI$59,'Tally Helper'!$L$57:$GI$57,"&gt;="&amp;$BR48,'Tally Helper'!$L$57:$GI$57,"&lt;="&amp;$BS48)))</f>
        <v/>
      </c>
      <c r="AQ48" s="15" t="str">
        <f aca="false">IF(OR(U$7="",$BR48=""),"",IF('Tally Helper'!$B$60&lt;&gt;TRUE(),"not on Staff",SUMIFS('Tally Helper'!$L$62:$GI$62,'Tally Helper'!$L$60:$GI$60,"&gt;="&amp;$BR48,'Tally Helper'!$L$60:$GI$60,"&lt;="&amp;$BS48)))</f>
        <v/>
      </c>
      <c r="AT48" s="15" t="str">
        <f aca="false">IF(OR(X48="",NOT(ISNUMBER(X48))),"",X48-N(B48))</f>
        <v/>
      </c>
      <c r="AU48" s="15" t="str">
        <f aca="false">IF(OR(Y48="",NOT(ISNUMBER(Y48))),"",Y48-N(C48))</f>
        <v/>
      </c>
      <c r="AV48" s="15" t="str">
        <f aca="false">IF(OR(Z48="",NOT(ISNUMBER(Z48))),"",Z48-N(D48))</f>
        <v/>
      </c>
      <c r="AW48" s="15" t="str">
        <f aca="false">IF(OR(AA48="",NOT(ISNUMBER(AA48))),"",AA48-N(E48))</f>
        <v/>
      </c>
      <c r="AX48" s="15" t="str">
        <f aca="false">IF(OR(AB48="",NOT(ISNUMBER(AB48))),"",AB48-N(F48))</f>
        <v/>
      </c>
      <c r="AY48" s="15" t="str">
        <f aca="false">IF(OR(AC48="",NOT(ISNUMBER(AC48))),"",AC48-N(G48))</f>
        <v/>
      </c>
      <c r="AZ48" s="15" t="str">
        <f aca="false">IF(OR(AD48="",NOT(ISNUMBER(AD48))),"",AD48-N(H48))</f>
        <v/>
      </c>
      <c r="BA48" s="15" t="str">
        <f aca="false">IF(OR(AE48="",NOT(ISNUMBER(AE48))),"",AE48-N(I48))</f>
        <v/>
      </c>
      <c r="BB48" s="15" t="str">
        <f aca="false">IF(OR(AF48="",NOT(ISNUMBER(AF48))),"",AF48-N(J48))</f>
        <v/>
      </c>
      <c r="BC48" s="15" t="str">
        <f aca="false">IF(OR(AG48="",NOT(ISNUMBER(AG48))),"",AG48-N(K48))</f>
        <v/>
      </c>
      <c r="BD48" s="15" t="str">
        <f aca="false">IF(OR(AH48="",NOT(ISNUMBER(AH48))),"",AH48-N(L48))</f>
        <v/>
      </c>
      <c r="BE48" s="15" t="str">
        <f aca="false">IF(OR(AI48="",NOT(ISNUMBER(AI48))),"",AI48-N(M48))</f>
        <v/>
      </c>
      <c r="BF48" s="15" t="str">
        <f aca="false">IF(OR(AJ48="",NOT(ISNUMBER(AJ48))),"",AJ48-N(N48))</f>
        <v/>
      </c>
      <c r="BG48" s="15" t="str">
        <f aca="false">IF(OR(AK48="",NOT(ISNUMBER(AK48))),"",AK48-N(O48))</f>
        <v/>
      </c>
      <c r="BH48" s="15" t="str">
        <f aca="false">IF(OR(AL48="",NOT(ISNUMBER(AL48))),"",AL48-N(P48))</f>
        <v/>
      </c>
      <c r="BI48" s="15" t="str">
        <f aca="false">IF(OR(AM48="",NOT(ISNUMBER(AM48))),"",AM48-N(Q48))</f>
        <v/>
      </c>
      <c r="BJ48" s="15" t="str">
        <f aca="false">IF(OR(AN48="",NOT(ISNUMBER(AN48))),"",AN48-N(R48))</f>
        <v/>
      </c>
      <c r="BK48" s="15" t="str">
        <f aca="false">IF(OR(AO48="",NOT(ISNUMBER(AO48))),"",AO48-N(S48))</f>
        <v/>
      </c>
      <c r="BL48" s="15" t="str">
        <f aca="false">IF(OR(AP48="",NOT(ISNUMBER(AP48))),"",AP48-N(T48))</f>
        <v/>
      </c>
      <c r="BM48" s="15" t="str">
        <f aca="false">IF(OR(AQ48="",NOT(ISNUMBER(AQ48))),"",AQ48-N(U48))</f>
        <v/>
      </c>
      <c r="BR48" s="18" t="str">
        <f aca="false">IF($A48="","",IF(ISNUMBER($A48),DATE(YEAR($A48),MONTH($A48),1),IFERROR(DATE(2000+VALUE(RIGHT(TRIM($A48),2)),MATCH(UPPER(LEFT(TRIM($A48),3)),{"JAN","FEB","MAR","APR","MAY","JUN","JUL","AUG","SEP","OCT","NOV","DEC"},0),1),"")))</f>
        <v/>
      </c>
      <c r="BS48" s="18" t="str">
        <f aca="false">IF(BR48="","",EOMONTH(BR48,0))</f>
        <v/>
      </c>
    </row>
    <row r="49" customFormat="false" ht="15" hidden="false" customHeight="false" outlineLevel="0" collapsed="false">
      <c r="B49" s="19"/>
      <c r="C49" s="19"/>
      <c r="D49" s="19"/>
      <c r="E49" s="19"/>
      <c r="F49" s="19"/>
      <c r="G49" s="19"/>
      <c r="H49" s="19"/>
      <c r="I49" s="19"/>
      <c r="J49" s="19"/>
      <c r="K49" s="19"/>
      <c r="L49" s="19"/>
      <c r="M49" s="19"/>
      <c r="N49" s="19"/>
      <c r="O49" s="19"/>
      <c r="P49" s="19"/>
      <c r="Q49" s="19"/>
      <c r="R49" s="19"/>
      <c r="S49" s="19"/>
      <c r="T49" s="19"/>
      <c r="U49" s="19"/>
      <c r="X49" s="15" t="str">
        <f aca="false">IF(OR(B$7="",$BR49=""),"",IF('Tally Helper'!$B$3&lt;&gt;TRUE(),"not on Staff",SUMIFS('Tally Helper'!$L$5:$GI$5,'Tally Helper'!$L$3:$GI$3,"&gt;="&amp;$BR49,'Tally Helper'!$L$3:$GI$3,"&lt;="&amp;$BS49)))</f>
        <v/>
      </c>
      <c r="Y49" s="15" t="str">
        <f aca="false">IF(OR(C$7="",$BR49=""),"",IF('Tally Helper'!$B$6&lt;&gt;TRUE(),"not on Staff",SUMIFS('Tally Helper'!$L$8:$GI$8,'Tally Helper'!$L$6:$GI$6,"&gt;="&amp;$BR49,'Tally Helper'!$L$6:$GI$6,"&lt;="&amp;$BS49)))</f>
        <v/>
      </c>
      <c r="Z49" s="15" t="str">
        <f aca="false">IF(OR(D$7="",$BR49=""),"",IF('Tally Helper'!$B$9&lt;&gt;TRUE(),"not on Staff",SUMIFS('Tally Helper'!$L$11:$GI$11,'Tally Helper'!$L$9:$GI$9,"&gt;="&amp;$BR49,'Tally Helper'!$L$9:$GI$9,"&lt;="&amp;$BS49)))</f>
        <v/>
      </c>
      <c r="AA49" s="15" t="str">
        <f aca="false">IF(OR(E$7="",$BR49=""),"",IF('Tally Helper'!$B$12&lt;&gt;TRUE(),"not on Staff",SUMIFS('Tally Helper'!$L$14:$GI$14,'Tally Helper'!$L$12:$GI$12,"&gt;="&amp;$BR49,'Tally Helper'!$L$12:$GI$12,"&lt;="&amp;$BS49)))</f>
        <v/>
      </c>
      <c r="AB49" s="15" t="str">
        <f aca="false">IF(OR(F$7="",$BR49=""),"",IF('Tally Helper'!$B$15&lt;&gt;TRUE(),"not on Staff",SUMIFS('Tally Helper'!$L$17:$GI$17,'Tally Helper'!$L$15:$GI$15,"&gt;="&amp;$BR49,'Tally Helper'!$L$15:$GI$15,"&lt;="&amp;$BS49)))</f>
        <v/>
      </c>
      <c r="AC49" s="15" t="str">
        <f aca="false">IF(OR(G$7="",$BR49=""),"",IF('Tally Helper'!$B$18&lt;&gt;TRUE(),"not on Staff",SUMIFS('Tally Helper'!$L$20:$GI$20,'Tally Helper'!$L$18:$GI$18,"&gt;="&amp;$BR49,'Tally Helper'!$L$18:$GI$18,"&lt;="&amp;$BS49)))</f>
        <v/>
      </c>
      <c r="AD49" s="15" t="str">
        <f aca="false">IF(OR(H$7="",$BR49=""),"",IF('Tally Helper'!$B$21&lt;&gt;TRUE(),"not on Staff",SUMIFS('Tally Helper'!$L$23:$GI$23,'Tally Helper'!$L$21:$GI$21,"&gt;="&amp;$BR49,'Tally Helper'!$L$21:$GI$21,"&lt;="&amp;$BS49)))</f>
        <v/>
      </c>
      <c r="AE49" s="15" t="str">
        <f aca="false">IF(OR(I$7="",$BR49=""),"",IF('Tally Helper'!$B$24&lt;&gt;TRUE(),"not on Staff",SUMIFS('Tally Helper'!$L$26:$GI$26,'Tally Helper'!$L$24:$GI$24,"&gt;="&amp;$BR49,'Tally Helper'!$L$24:$GI$24,"&lt;="&amp;$BS49)))</f>
        <v/>
      </c>
      <c r="AF49" s="15" t="str">
        <f aca="false">IF(OR(J$7="",$BR49=""),"",IF('Tally Helper'!$B$27&lt;&gt;TRUE(),"not on Staff",SUMIFS('Tally Helper'!$L$29:$GI$29,'Tally Helper'!$L$27:$GI$27,"&gt;="&amp;$BR49,'Tally Helper'!$L$27:$GI$27,"&lt;="&amp;$BS49)))</f>
        <v/>
      </c>
      <c r="AG49" s="15" t="str">
        <f aca="false">IF(OR(K$7="",$BR49=""),"",IF('Tally Helper'!$B$30&lt;&gt;TRUE(),"not on Staff",SUMIFS('Tally Helper'!$L$32:$GI$32,'Tally Helper'!$L$30:$GI$30,"&gt;="&amp;$BR49,'Tally Helper'!$L$30:$GI$30,"&lt;="&amp;$BS49)))</f>
        <v/>
      </c>
      <c r="AH49" s="15" t="str">
        <f aca="false">IF(OR(L$7="",$BR49=""),"",IF('Tally Helper'!$B$33&lt;&gt;TRUE(),"not on Staff",SUMIFS('Tally Helper'!$L$35:$GI$35,'Tally Helper'!$L$33:$GI$33,"&gt;="&amp;$BR49,'Tally Helper'!$L$33:$GI$33,"&lt;="&amp;$BS49)))</f>
        <v/>
      </c>
      <c r="AI49" s="15" t="str">
        <f aca="false">IF(OR(M$7="",$BR49=""),"",IF('Tally Helper'!$B$36&lt;&gt;TRUE(),"not on Staff",SUMIFS('Tally Helper'!$L$38:$GI$38,'Tally Helper'!$L$36:$GI$36,"&gt;="&amp;$BR49,'Tally Helper'!$L$36:$GI$36,"&lt;="&amp;$BS49)))</f>
        <v/>
      </c>
      <c r="AJ49" s="15" t="str">
        <f aca="false">IF(OR(N$7="",$BR49=""),"",IF('Tally Helper'!$B$39&lt;&gt;TRUE(),"not on Staff",SUMIFS('Tally Helper'!$L$41:$GI$41,'Tally Helper'!$L$39:$GI$39,"&gt;="&amp;$BR49,'Tally Helper'!$L$39:$GI$39,"&lt;="&amp;$BS49)))</f>
        <v/>
      </c>
      <c r="AK49" s="15" t="str">
        <f aca="false">IF(OR(O$7="",$BR49=""),"",IF('Tally Helper'!$B$42&lt;&gt;TRUE(),"not on Staff",SUMIFS('Tally Helper'!$L$44:$GI$44,'Tally Helper'!$L$42:$GI$42,"&gt;="&amp;$BR49,'Tally Helper'!$L$42:$GI$42,"&lt;="&amp;$BS49)))</f>
        <v/>
      </c>
      <c r="AL49" s="15" t="str">
        <f aca="false">IF(OR(P$7="",$BR49=""),"",IF('Tally Helper'!$B$45&lt;&gt;TRUE(),"not on Staff",SUMIFS('Tally Helper'!$L$47:$GI$47,'Tally Helper'!$L$45:$GI$45,"&gt;="&amp;$BR49,'Tally Helper'!$L$45:$GI$45,"&lt;="&amp;$BS49)))</f>
        <v/>
      </c>
      <c r="AM49" s="15" t="str">
        <f aca="false">IF(OR(Q$7="",$BR49=""),"",IF('Tally Helper'!$B$48&lt;&gt;TRUE(),"not on Staff",SUMIFS('Tally Helper'!$L$50:$GI$50,'Tally Helper'!$L$48:$GI$48,"&gt;="&amp;$BR49,'Tally Helper'!$L$48:$GI$48,"&lt;="&amp;$BS49)))</f>
        <v/>
      </c>
      <c r="AN49" s="15" t="str">
        <f aca="false">IF(OR(R$7="",$BR49=""),"",IF('Tally Helper'!$B$51&lt;&gt;TRUE(),"not on Staff",SUMIFS('Tally Helper'!$L$53:$GI$53,'Tally Helper'!$L$51:$GI$51,"&gt;="&amp;$BR49,'Tally Helper'!$L$51:$GI$51,"&lt;="&amp;$BS49)))</f>
        <v/>
      </c>
      <c r="AO49" s="15" t="str">
        <f aca="false">IF(OR(S$7="",$BR49=""),"",IF('Tally Helper'!$B$54&lt;&gt;TRUE(),"not on Staff",SUMIFS('Tally Helper'!$L$56:$GI$56,'Tally Helper'!$L$54:$GI$54,"&gt;="&amp;$BR49,'Tally Helper'!$L$54:$GI$54,"&lt;="&amp;$BS49)))</f>
        <v/>
      </c>
      <c r="AP49" s="15" t="str">
        <f aca="false">IF(OR(T$7="",$BR49=""),"",IF('Tally Helper'!$B$57&lt;&gt;TRUE(),"not on Staff",SUMIFS('Tally Helper'!$L$59:$GI$59,'Tally Helper'!$L$57:$GI$57,"&gt;="&amp;$BR49,'Tally Helper'!$L$57:$GI$57,"&lt;="&amp;$BS49)))</f>
        <v/>
      </c>
      <c r="AQ49" s="15" t="str">
        <f aca="false">IF(OR(U$7="",$BR49=""),"",IF('Tally Helper'!$B$60&lt;&gt;TRUE(),"not on Staff",SUMIFS('Tally Helper'!$L$62:$GI$62,'Tally Helper'!$L$60:$GI$60,"&gt;="&amp;$BR49,'Tally Helper'!$L$60:$GI$60,"&lt;="&amp;$BS49)))</f>
        <v/>
      </c>
      <c r="AT49" s="15" t="str">
        <f aca="false">IF(OR(X49="",NOT(ISNUMBER(X49))),"",X49-N(B49))</f>
        <v/>
      </c>
      <c r="AU49" s="15" t="str">
        <f aca="false">IF(OR(Y49="",NOT(ISNUMBER(Y49))),"",Y49-N(C49))</f>
        <v/>
      </c>
      <c r="AV49" s="15" t="str">
        <f aca="false">IF(OR(Z49="",NOT(ISNUMBER(Z49))),"",Z49-N(D49))</f>
        <v/>
      </c>
      <c r="AW49" s="15" t="str">
        <f aca="false">IF(OR(AA49="",NOT(ISNUMBER(AA49))),"",AA49-N(E49))</f>
        <v/>
      </c>
      <c r="AX49" s="15" t="str">
        <f aca="false">IF(OR(AB49="",NOT(ISNUMBER(AB49))),"",AB49-N(F49))</f>
        <v/>
      </c>
      <c r="AY49" s="15" t="str">
        <f aca="false">IF(OR(AC49="",NOT(ISNUMBER(AC49))),"",AC49-N(G49))</f>
        <v/>
      </c>
      <c r="AZ49" s="15" t="str">
        <f aca="false">IF(OR(AD49="",NOT(ISNUMBER(AD49))),"",AD49-N(H49))</f>
        <v/>
      </c>
      <c r="BA49" s="15" t="str">
        <f aca="false">IF(OR(AE49="",NOT(ISNUMBER(AE49))),"",AE49-N(I49))</f>
        <v/>
      </c>
      <c r="BB49" s="15" t="str">
        <f aca="false">IF(OR(AF49="",NOT(ISNUMBER(AF49))),"",AF49-N(J49))</f>
        <v/>
      </c>
      <c r="BC49" s="15" t="str">
        <f aca="false">IF(OR(AG49="",NOT(ISNUMBER(AG49))),"",AG49-N(K49))</f>
        <v/>
      </c>
      <c r="BD49" s="15" t="str">
        <f aca="false">IF(OR(AH49="",NOT(ISNUMBER(AH49))),"",AH49-N(L49))</f>
        <v/>
      </c>
      <c r="BE49" s="15" t="str">
        <f aca="false">IF(OR(AI49="",NOT(ISNUMBER(AI49))),"",AI49-N(M49))</f>
        <v/>
      </c>
      <c r="BF49" s="15" t="str">
        <f aca="false">IF(OR(AJ49="",NOT(ISNUMBER(AJ49))),"",AJ49-N(N49))</f>
        <v/>
      </c>
      <c r="BG49" s="15" t="str">
        <f aca="false">IF(OR(AK49="",NOT(ISNUMBER(AK49))),"",AK49-N(O49))</f>
        <v/>
      </c>
      <c r="BH49" s="15" t="str">
        <f aca="false">IF(OR(AL49="",NOT(ISNUMBER(AL49))),"",AL49-N(P49))</f>
        <v/>
      </c>
      <c r="BI49" s="15" t="str">
        <f aca="false">IF(OR(AM49="",NOT(ISNUMBER(AM49))),"",AM49-N(Q49))</f>
        <v/>
      </c>
      <c r="BJ49" s="15" t="str">
        <f aca="false">IF(OR(AN49="",NOT(ISNUMBER(AN49))),"",AN49-N(R49))</f>
        <v/>
      </c>
      <c r="BK49" s="15" t="str">
        <f aca="false">IF(OR(AO49="",NOT(ISNUMBER(AO49))),"",AO49-N(S49))</f>
        <v/>
      </c>
      <c r="BL49" s="15" t="str">
        <f aca="false">IF(OR(AP49="",NOT(ISNUMBER(AP49))),"",AP49-N(T49))</f>
        <v/>
      </c>
      <c r="BM49" s="15" t="str">
        <f aca="false">IF(OR(AQ49="",NOT(ISNUMBER(AQ49))),"",AQ49-N(U49))</f>
        <v/>
      </c>
      <c r="BR49" s="18" t="str">
        <f aca="false">IF($A49="","",IF(ISNUMBER($A49),DATE(YEAR($A49),MONTH($A49),1),IFERROR(DATE(2000+VALUE(RIGHT(TRIM($A49),2)),MATCH(UPPER(LEFT(TRIM($A49),3)),{"JAN","FEB","MAR","APR","MAY","JUN","JUL","AUG","SEP","OCT","NOV","DEC"},0),1),"")))</f>
        <v/>
      </c>
      <c r="BS49" s="18" t="str">
        <f aca="false">IF(BR49="","",EOMONTH(BR49,0))</f>
        <v/>
      </c>
    </row>
    <row r="50" customFormat="false" ht="15" hidden="false" customHeight="false" outlineLevel="0" collapsed="false">
      <c r="B50" s="19"/>
      <c r="C50" s="19"/>
      <c r="D50" s="19"/>
      <c r="E50" s="19"/>
      <c r="F50" s="19"/>
      <c r="G50" s="19"/>
      <c r="H50" s="19"/>
      <c r="I50" s="19"/>
      <c r="J50" s="19"/>
      <c r="K50" s="19"/>
      <c r="L50" s="19"/>
      <c r="M50" s="19"/>
      <c r="N50" s="19"/>
      <c r="O50" s="19"/>
      <c r="P50" s="19"/>
      <c r="Q50" s="19"/>
      <c r="R50" s="19"/>
      <c r="S50" s="19"/>
      <c r="T50" s="19"/>
      <c r="U50" s="19"/>
      <c r="X50" s="15" t="str">
        <f aca="false">IF(OR(B$7="",$BR50=""),"",IF('Tally Helper'!$B$3&lt;&gt;TRUE(),"not on Staff",SUMIFS('Tally Helper'!$L$5:$GI$5,'Tally Helper'!$L$3:$GI$3,"&gt;="&amp;$BR50,'Tally Helper'!$L$3:$GI$3,"&lt;="&amp;$BS50)))</f>
        <v/>
      </c>
      <c r="Y50" s="15" t="str">
        <f aca="false">IF(OR(C$7="",$BR50=""),"",IF('Tally Helper'!$B$6&lt;&gt;TRUE(),"not on Staff",SUMIFS('Tally Helper'!$L$8:$GI$8,'Tally Helper'!$L$6:$GI$6,"&gt;="&amp;$BR50,'Tally Helper'!$L$6:$GI$6,"&lt;="&amp;$BS50)))</f>
        <v/>
      </c>
      <c r="Z50" s="15" t="str">
        <f aca="false">IF(OR(D$7="",$BR50=""),"",IF('Tally Helper'!$B$9&lt;&gt;TRUE(),"not on Staff",SUMIFS('Tally Helper'!$L$11:$GI$11,'Tally Helper'!$L$9:$GI$9,"&gt;="&amp;$BR50,'Tally Helper'!$L$9:$GI$9,"&lt;="&amp;$BS50)))</f>
        <v/>
      </c>
      <c r="AA50" s="15" t="str">
        <f aca="false">IF(OR(E$7="",$BR50=""),"",IF('Tally Helper'!$B$12&lt;&gt;TRUE(),"not on Staff",SUMIFS('Tally Helper'!$L$14:$GI$14,'Tally Helper'!$L$12:$GI$12,"&gt;="&amp;$BR50,'Tally Helper'!$L$12:$GI$12,"&lt;="&amp;$BS50)))</f>
        <v/>
      </c>
      <c r="AB50" s="15" t="str">
        <f aca="false">IF(OR(F$7="",$BR50=""),"",IF('Tally Helper'!$B$15&lt;&gt;TRUE(),"not on Staff",SUMIFS('Tally Helper'!$L$17:$GI$17,'Tally Helper'!$L$15:$GI$15,"&gt;="&amp;$BR50,'Tally Helper'!$L$15:$GI$15,"&lt;="&amp;$BS50)))</f>
        <v/>
      </c>
      <c r="AC50" s="15" t="str">
        <f aca="false">IF(OR(G$7="",$BR50=""),"",IF('Tally Helper'!$B$18&lt;&gt;TRUE(),"not on Staff",SUMIFS('Tally Helper'!$L$20:$GI$20,'Tally Helper'!$L$18:$GI$18,"&gt;="&amp;$BR50,'Tally Helper'!$L$18:$GI$18,"&lt;="&amp;$BS50)))</f>
        <v/>
      </c>
      <c r="AD50" s="15" t="str">
        <f aca="false">IF(OR(H$7="",$BR50=""),"",IF('Tally Helper'!$B$21&lt;&gt;TRUE(),"not on Staff",SUMIFS('Tally Helper'!$L$23:$GI$23,'Tally Helper'!$L$21:$GI$21,"&gt;="&amp;$BR50,'Tally Helper'!$L$21:$GI$21,"&lt;="&amp;$BS50)))</f>
        <v/>
      </c>
      <c r="AE50" s="15" t="str">
        <f aca="false">IF(OR(I$7="",$BR50=""),"",IF('Tally Helper'!$B$24&lt;&gt;TRUE(),"not on Staff",SUMIFS('Tally Helper'!$L$26:$GI$26,'Tally Helper'!$L$24:$GI$24,"&gt;="&amp;$BR50,'Tally Helper'!$L$24:$GI$24,"&lt;="&amp;$BS50)))</f>
        <v/>
      </c>
      <c r="AF50" s="15" t="str">
        <f aca="false">IF(OR(J$7="",$BR50=""),"",IF('Tally Helper'!$B$27&lt;&gt;TRUE(),"not on Staff",SUMIFS('Tally Helper'!$L$29:$GI$29,'Tally Helper'!$L$27:$GI$27,"&gt;="&amp;$BR50,'Tally Helper'!$L$27:$GI$27,"&lt;="&amp;$BS50)))</f>
        <v/>
      </c>
      <c r="AG50" s="15" t="str">
        <f aca="false">IF(OR(K$7="",$BR50=""),"",IF('Tally Helper'!$B$30&lt;&gt;TRUE(),"not on Staff",SUMIFS('Tally Helper'!$L$32:$GI$32,'Tally Helper'!$L$30:$GI$30,"&gt;="&amp;$BR50,'Tally Helper'!$L$30:$GI$30,"&lt;="&amp;$BS50)))</f>
        <v/>
      </c>
      <c r="AH50" s="15" t="str">
        <f aca="false">IF(OR(L$7="",$BR50=""),"",IF('Tally Helper'!$B$33&lt;&gt;TRUE(),"not on Staff",SUMIFS('Tally Helper'!$L$35:$GI$35,'Tally Helper'!$L$33:$GI$33,"&gt;="&amp;$BR50,'Tally Helper'!$L$33:$GI$33,"&lt;="&amp;$BS50)))</f>
        <v/>
      </c>
      <c r="AI50" s="15" t="str">
        <f aca="false">IF(OR(M$7="",$BR50=""),"",IF('Tally Helper'!$B$36&lt;&gt;TRUE(),"not on Staff",SUMIFS('Tally Helper'!$L$38:$GI$38,'Tally Helper'!$L$36:$GI$36,"&gt;="&amp;$BR50,'Tally Helper'!$L$36:$GI$36,"&lt;="&amp;$BS50)))</f>
        <v/>
      </c>
      <c r="AJ50" s="15" t="str">
        <f aca="false">IF(OR(N$7="",$BR50=""),"",IF('Tally Helper'!$B$39&lt;&gt;TRUE(),"not on Staff",SUMIFS('Tally Helper'!$L$41:$GI$41,'Tally Helper'!$L$39:$GI$39,"&gt;="&amp;$BR50,'Tally Helper'!$L$39:$GI$39,"&lt;="&amp;$BS50)))</f>
        <v/>
      </c>
      <c r="AK50" s="15" t="str">
        <f aca="false">IF(OR(O$7="",$BR50=""),"",IF('Tally Helper'!$B$42&lt;&gt;TRUE(),"not on Staff",SUMIFS('Tally Helper'!$L$44:$GI$44,'Tally Helper'!$L$42:$GI$42,"&gt;="&amp;$BR50,'Tally Helper'!$L$42:$GI$42,"&lt;="&amp;$BS50)))</f>
        <v/>
      </c>
      <c r="AL50" s="15" t="str">
        <f aca="false">IF(OR(P$7="",$BR50=""),"",IF('Tally Helper'!$B$45&lt;&gt;TRUE(),"not on Staff",SUMIFS('Tally Helper'!$L$47:$GI$47,'Tally Helper'!$L$45:$GI$45,"&gt;="&amp;$BR50,'Tally Helper'!$L$45:$GI$45,"&lt;="&amp;$BS50)))</f>
        <v/>
      </c>
      <c r="AM50" s="15" t="str">
        <f aca="false">IF(OR(Q$7="",$BR50=""),"",IF('Tally Helper'!$B$48&lt;&gt;TRUE(),"not on Staff",SUMIFS('Tally Helper'!$L$50:$GI$50,'Tally Helper'!$L$48:$GI$48,"&gt;="&amp;$BR50,'Tally Helper'!$L$48:$GI$48,"&lt;="&amp;$BS50)))</f>
        <v/>
      </c>
      <c r="AN50" s="15" t="str">
        <f aca="false">IF(OR(R$7="",$BR50=""),"",IF('Tally Helper'!$B$51&lt;&gt;TRUE(),"not on Staff",SUMIFS('Tally Helper'!$L$53:$GI$53,'Tally Helper'!$L$51:$GI$51,"&gt;="&amp;$BR50,'Tally Helper'!$L$51:$GI$51,"&lt;="&amp;$BS50)))</f>
        <v/>
      </c>
      <c r="AO50" s="15" t="str">
        <f aca="false">IF(OR(S$7="",$BR50=""),"",IF('Tally Helper'!$B$54&lt;&gt;TRUE(),"not on Staff",SUMIFS('Tally Helper'!$L$56:$GI$56,'Tally Helper'!$L$54:$GI$54,"&gt;="&amp;$BR50,'Tally Helper'!$L$54:$GI$54,"&lt;="&amp;$BS50)))</f>
        <v/>
      </c>
      <c r="AP50" s="15" t="str">
        <f aca="false">IF(OR(T$7="",$BR50=""),"",IF('Tally Helper'!$B$57&lt;&gt;TRUE(),"not on Staff",SUMIFS('Tally Helper'!$L$59:$GI$59,'Tally Helper'!$L$57:$GI$57,"&gt;="&amp;$BR50,'Tally Helper'!$L$57:$GI$57,"&lt;="&amp;$BS50)))</f>
        <v/>
      </c>
      <c r="AQ50" s="15" t="str">
        <f aca="false">IF(OR(U$7="",$BR50=""),"",IF('Tally Helper'!$B$60&lt;&gt;TRUE(),"not on Staff",SUMIFS('Tally Helper'!$L$62:$GI$62,'Tally Helper'!$L$60:$GI$60,"&gt;="&amp;$BR50,'Tally Helper'!$L$60:$GI$60,"&lt;="&amp;$BS50)))</f>
        <v/>
      </c>
      <c r="AT50" s="15" t="str">
        <f aca="false">IF(OR(X50="",NOT(ISNUMBER(X50))),"",X50-N(B50))</f>
        <v/>
      </c>
      <c r="AU50" s="15" t="str">
        <f aca="false">IF(OR(Y50="",NOT(ISNUMBER(Y50))),"",Y50-N(C50))</f>
        <v/>
      </c>
      <c r="AV50" s="15" t="str">
        <f aca="false">IF(OR(Z50="",NOT(ISNUMBER(Z50))),"",Z50-N(D50))</f>
        <v/>
      </c>
      <c r="AW50" s="15" t="str">
        <f aca="false">IF(OR(AA50="",NOT(ISNUMBER(AA50))),"",AA50-N(E50))</f>
        <v/>
      </c>
      <c r="AX50" s="15" t="str">
        <f aca="false">IF(OR(AB50="",NOT(ISNUMBER(AB50))),"",AB50-N(F50))</f>
        <v/>
      </c>
      <c r="AY50" s="15" t="str">
        <f aca="false">IF(OR(AC50="",NOT(ISNUMBER(AC50))),"",AC50-N(G50))</f>
        <v/>
      </c>
      <c r="AZ50" s="15" t="str">
        <f aca="false">IF(OR(AD50="",NOT(ISNUMBER(AD50))),"",AD50-N(H50))</f>
        <v/>
      </c>
      <c r="BA50" s="15" t="str">
        <f aca="false">IF(OR(AE50="",NOT(ISNUMBER(AE50))),"",AE50-N(I50))</f>
        <v/>
      </c>
      <c r="BB50" s="15" t="str">
        <f aca="false">IF(OR(AF50="",NOT(ISNUMBER(AF50))),"",AF50-N(J50))</f>
        <v/>
      </c>
      <c r="BC50" s="15" t="str">
        <f aca="false">IF(OR(AG50="",NOT(ISNUMBER(AG50))),"",AG50-N(K50))</f>
        <v/>
      </c>
      <c r="BD50" s="15" t="str">
        <f aca="false">IF(OR(AH50="",NOT(ISNUMBER(AH50))),"",AH50-N(L50))</f>
        <v/>
      </c>
      <c r="BE50" s="15" t="str">
        <f aca="false">IF(OR(AI50="",NOT(ISNUMBER(AI50))),"",AI50-N(M50))</f>
        <v/>
      </c>
      <c r="BF50" s="15" t="str">
        <f aca="false">IF(OR(AJ50="",NOT(ISNUMBER(AJ50))),"",AJ50-N(N50))</f>
        <v/>
      </c>
      <c r="BG50" s="15" t="str">
        <f aca="false">IF(OR(AK50="",NOT(ISNUMBER(AK50))),"",AK50-N(O50))</f>
        <v/>
      </c>
      <c r="BH50" s="15" t="str">
        <f aca="false">IF(OR(AL50="",NOT(ISNUMBER(AL50))),"",AL50-N(P50))</f>
        <v/>
      </c>
      <c r="BI50" s="15" t="str">
        <f aca="false">IF(OR(AM50="",NOT(ISNUMBER(AM50))),"",AM50-N(Q50))</f>
        <v/>
      </c>
      <c r="BJ50" s="15" t="str">
        <f aca="false">IF(OR(AN50="",NOT(ISNUMBER(AN50))),"",AN50-N(R50))</f>
        <v/>
      </c>
      <c r="BK50" s="15" t="str">
        <f aca="false">IF(OR(AO50="",NOT(ISNUMBER(AO50))),"",AO50-N(S50))</f>
        <v/>
      </c>
      <c r="BL50" s="15" t="str">
        <f aca="false">IF(OR(AP50="",NOT(ISNUMBER(AP50))),"",AP50-N(T50))</f>
        <v/>
      </c>
      <c r="BM50" s="15" t="str">
        <f aca="false">IF(OR(AQ50="",NOT(ISNUMBER(AQ50))),"",AQ50-N(U50))</f>
        <v/>
      </c>
      <c r="BR50" s="18" t="str">
        <f aca="false">IF($A50="","",IF(ISNUMBER($A50),DATE(YEAR($A50),MONTH($A50),1),IFERROR(DATE(2000+VALUE(RIGHT(TRIM($A50),2)),MATCH(UPPER(LEFT(TRIM($A50),3)),{"JAN","FEB","MAR","APR","MAY","JUN","JUL","AUG","SEP","OCT","NOV","DEC"},0),1),"")))</f>
        <v/>
      </c>
      <c r="BS50" s="18" t="str">
        <f aca="false">IF(BR50="","",EOMONTH(BR50,0))</f>
        <v/>
      </c>
    </row>
    <row r="51" customFormat="false" ht="15" hidden="false" customHeight="false" outlineLevel="0" collapsed="false">
      <c r="B51" s="19"/>
      <c r="C51" s="19"/>
      <c r="D51" s="19"/>
      <c r="E51" s="19"/>
      <c r="F51" s="19"/>
      <c r="G51" s="19"/>
      <c r="H51" s="19"/>
      <c r="I51" s="19"/>
      <c r="J51" s="19"/>
      <c r="K51" s="19"/>
      <c r="L51" s="19"/>
      <c r="M51" s="19"/>
      <c r="N51" s="19"/>
      <c r="O51" s="19"/>
      <c r="P51" s="19"/>
      <c r="Q51" s="19"/>
      <c r="R51" s="19"/>
      <c r="S51" s="19"/>
      <c r="T51" s="19"/>
      <c r="U51" s="19"/>
      <c r="X51" s="15" t="str">
        <f aca="false">IF(OR(B$7="",$BR51=""),"",IF('Tally Helper'!$B$3&lt;&gt;TRUE(),"not on Staff",SUMIFS('Tally Helper'!$L$5:$GI$5,'Tally Helper'!$L$3:$GI$3,"&gt;="&amp;$BR51,'Tally Helper'!$L$3:$GI$3,"&lt;="&amp;$BS51)))</f>
        <v/>
      </c>
      <c r="Y51" s="15" t="str">
        <f aca="false">IF(OR(C$7="",$BR51=""),"",IF('Tally Helper'!$B$6&lt;&gt;TRUE(),"not on Staff",SUMIFS('Tally Helper'!$L$8:$GI$8,'Tally Helper'!$L$6:$GI$6,"&gt;="&amp;$BR51,'Tally Helper'!$L$6:$GI$6,"&lt;="&amp;$BS51)))</f>
        <v/>
      </c>
      <c r="Z51" s="15" t="str">
        <f aca="false">IF(OR(D$7="",$BR51=""),"",IF('Tally Helper'!$B$9&lt;&gt;TRUE(),"not on Staff",SUMIFS('Tally Helper'!$L$11:$GI$11,'Tally Helper'!$L$9:$GI$9,"&gt;="&amp;$BR51,'Tally Helper'!$L$9:$GI$9,"&lt;="&amp;$BS51)))</f>
        <v/>
      </c>
      <c r="AA51" s="15" t="str">
        <f aca="false">IF(OR(E$7="",$BR51=""),"",IF('Tally Helper'!$B$12&lt;&gt;TRUE(),"not on Staff",SUMIFS('Tally Helper'!$L$14:$GI$14,'Tally Helper'!$L$12:$GI$12,"&gt;="&amp;$BR51,'Tally Helper'!$L$12:$GI$12,"&lt;="&amp;$BS51)))</f>
        <v/>
      </c>
      <c r="AB51" s="15" t="str">
        <f aca="false">IF(OR(F$7="",$BR51=""),"",IF('Tally Helper'!$B$15&lt;&gt;TRUE(),"not on Staff",SUMIFS('Tally Helper'!$L$17:$GI$17,'Tally Helper'!$L$15:$GI$15,"&gt;="&amp;$BR51,'Tally Helper'!$L$15:$GI$15,"&lt;="&amp;$BS51)))</f>
        <v/>
      </c>
      <c r="AC51" s="15" t="str">
        <f aca="false">IF(OR(G$7="",$BR51=""),"",IF('Tally Helper'!$B$18&lt;&gt;TRUE(),"not on Staff",SUMIFS('Tally Helper'!$L$20:$GI$20,'Tally Helper'!$L$18:$GI$18,"&gt;="&amp;$BR51,'Tally Helper'!$L$18:$GI$18,"&lt;="&amp;$BS51)))</f>
        <v/>
      </c>
      <c r="AD51" s="15" t="str">
        <f aca="false">IF(OR(H$7="",$BR51=""),"",IF('Tally Helper'!$B$21&lt;&gt;TRUE(),"not on Staff",SUMIFS('Tally Helper'!$L$23:$GI$23,'Tally Helper'!$L$21:$GI$21,"&gt;="&amp;$BR51,'Tally Helper'!$L$21:$GI$21,"&lt;="&amp;$BS51)))</f>
        <v/>
      </c>
      <c r="AE51" s="15" t="str">
        <f aca="false">IF(OR(I$7="",$BR51=""),"",IF('Tally Helper'!$B$24&lt;&gt;TRUE(),"not on Staff",SUMIFS('Tally Helper'!$L$26:$GI$26,'Tally Helper'!$L$24:$GI$24,"&gt;="&amp;$BR51,'Tally Helper'!$L$24:$GI$24,"&lt;="&amp;$BS51)))</f>
        <v/>
      </c>
      <c r="AF51" s="15" t="str">
        <f aca="false">IF(OR(J$7="",$BR51=""),"",IF('Tally Helper'!$B$27&lt;&gt;TRUE(),"not on Staff",SUMIFS('Tally Helper'!$L$29:$GI$29,'Tally Helper'!$L$27:$GI$27,"&gt;="&amp;$BR51,'Tally Helper'!$L$27:$GI$27,"&lt;="&amp;$BS51)))</f>
        <v/>
      </c>
      <c r="AG51" s="15" t="str">
        <f aca="false">IF(OR(K$7="",$BR51=""),"",IF('Tally Helper'!$B$30&lt;&gt;TRUE(),"not on Staff",SUMIFS('Tally Helper'!$L$32:$GI$32,'Tally Helper'!$L$30:$GI$30,"&gt;="&amp;$BR51,'Tally Helper'!$L$30:$GI$30,"&lt;="&amp;$BS51)))</f>
        <v/>
      </c>
      <c r="AH51" s="15" t="str">
        <f aca="false">IF(OR(L$7="",$BR51=""),"",IF('Tally Helper'!$B$33&lt;&gt;TRUE(),"not on Staff",SUMIFS('Tally Helper'!$L$35:$GI$35,'Tally Helper'!$L$33:$GI$33,"&gt;="&amp;$BR51,'Tally Helper'!$L$33:$GI$33,"&lt;="&amp;$BS51)))</f>
        <v/>
      </c>
      <c r="AI51" s="15" t="str">
        <f aca="false">IF(OR(M$7="",$BR51=""),"",IF('Tally Helper'!$B$36&lt;&gt;TRUE(),"not on Staff",SUMIFS('Tally Helper'!$L$38:$GI$38,'Tally Helper'!$L$36:$GI$36,"&gt;="&amp;$BR51,'Tally Helper'!$L$36:$GI$36,"&lt;="&amp;$BS51)))</f>
        <v/>
      </c>
      <c r="AJ51" s="15" t="str">
        <f aca="false">IF(OR(N$7="",$BR51=""),"",IF('Tally Helper'!$B$39&lt;&gt;TRUE(),"not on Staff",SUMIFS('Tally Helper'!$L$41:$GI$41,'Tally Helper'!$L$39:$GI$39,"&gt;="&amp;$BR51,'Tally Helper'!$L$39:$GI$39,"&lt;="&amp;$BS51)))</f>
        <v/>
      </c>
      <c r="AK51" s="15" t="str">
        <f aca="false">IF(OR(O$7="",$BR51=""),"",IF('Tally Helper'!$B$42&lt;&gt;TRUE(),"not on Staff",SUMIFS('Tally Helper'!$L$44:$GI$44,'Tally Helper'!$L$42:$GI$42,"&gt;="&amp;$BR51,'Tally Helper'!$L$42:$GI$42,"&lt;="&amp;$BS51)))</f>
        <v/>
      </c>
      <c r="AL51" s="15" t="str">
        <f aca="false">IF(OR(P$7="",$BR51=""),"",IF('Tally Helper'!$B$45&lt;&gt;TRUE(),"not on Staff",SUMIFS('Tally Helper'!$L$47:$GI$47,'Tally Helper'!$L$45:$GI$45,"&gt;="&amp;$BR51,'Tally Helper'!$L$45:$GI$45,"&lt;="&amp;$BS51)))</f>
        <v/>
      </c>
      <c r="AM51" s="15" t="str">
        <f aca="false">IF(OR(Q$7="",$BR51=""),"",IF('Tally Helper'!$B$48&lt;&gt;TRUE(),"not on Staff",SUMIFS('Tally Helper'!$L$50:$GI$50,'Tally Helper'!$L$48:$GI$48,"&gt;="&amp;$BR51,'Tally Helper'!$L$48:$GI$48,"&lt;="&amp;$BS51)))</f>
        <v/>
      </c>
      <c r="AN51" s="15" t="str">
        <f aca="false">IF(OR(R$7="",$BR51=""),"",IF('Tally Helper'!$B$51&lt;&gt;TRUE(),"not on Staff",SUMIFS('Tally Helper'!$L$53:$GI$53,'Tally Helper'!$L$51:$GI$51,"&gt;="&amp;$BR51,'Tally Helper'!$L$51:$GI$51,"&lt;="&amp;$BS51)))</f>
        <v/>
      </c>
      <c r="AO51" s="15" t="str">
        <f aca="false">IF(OR(S$7="",$BR51=""),"",IF('Tally Helper'!$B$54&lt;&gt;TRUE(),"not on Staff",SUMIFS('Tally Helper'!$L$56:$GI$56,'Tally Helper'!$L$54:$GI$54,"&gt;="&amp;$BR51,'Tally Helper'!$L$54:$GI$54,"&lt;="&amp;$BS51)))</f>
        <v/>
      </c>
      <c r="AP51" s="15" t="str">
        <f aca="false">IF(OR(T$7="",$BR51=""),"",IF('Tally Helper'!$B$57&lt;&gt;TRUE(),"not on Staff",SUMIFS('Tally Helper'!$L$59:$GI$59,'Tally Helper'!$L$57:$GI$57,"&gt;="&amp;$BR51,'Tally Helper'!$L$57:$GI$57,"&lt;="&amp;$BS51)))</f>
        <v/>
      </c>
      <c r="AQ51" s="15" t="str">
        <f aca="false">IF(OR(U$7="",$BR51=""),"",IF('Tally Helper'!$B$60&lt;&gt;TRUE(),"not on Staff",SUMIFS('Tally Helper'!$L$62:$GI$62,'Tally Helper'!$L$60:$GI$60,"&gt;="&amp;$BR51,'Tally Helper'!$L$60:$GI$60,"&lt;="&amp;$BS51)))</f>
        <v/>
      </c>
      <c r="AT51" s="15" t="str">
        <f aca="false">IF(OR(X51="",NOT(ISNUMBER(X51))),"",X51-N(B51))</f>
        <v/>
      </c>
      <c r="AU51" s="15" t="str">
        <f aca="false">IF(OR(Y51="",NOT(ISNUMBER(Y51))),"",Y51-N(C51))</f>
        <v/>
      </c>
      <c r="AV51" s="15" t="str">
        <f aca="false">IF(OR(Z51="",NOT(ISNUMBER(Z51))),"",Z51-N(D51))</f>
        <v/>
      </c>
      <c r="AW51" s="15" t="str">
        <f aca="false">IF(OR(AA51="",NOT(ISNUMBER(AA51))),"",AA51-N(E51))</f>
        <v/>
      </c>
      <c r="AX51" s="15" t="str">
        <f aca="false">IF(OR(AB51="",NOT(ISNUMBER(AB51))),"",AB51-N(F51))</f>
        <v/>
      </c>
      <c r="AY51" s="15" t="str">
        <f aca="false">IF(OR(AC51="",NOT(ISNUMBER(AC51))),"",AC51-N(G51))</f>
        <v/>
      </c>
      <c r="AZ51" s="15" t="str">
        <f aca="false">IF(OR(AD51="",NOT(ISNUMBER(AD51))),"",AD51-N(H51))</f>
        <v/>
      </c>
      <c r="BA51" s="15" t="str">
        <f aca="false">IF(OR(AE51="",NOT(ISNUMBER(AE51))),"",AE51-N(I51))</f>
        <v/>
      </c>
      <c r="BB51" s="15" t="str">
        <f aca="false">IF(OR(AF51="",NOT(ISNUMBER(AF51))),"",AF51-N(J51))</f>
        <v/>
      </c>
      <c r="BC51" s="15" t="str">
        <f aca="false">IF(OR(AG51="",NOT(ISNUMBER(AG51))),"",AG51-N(K51))</f>
        <v/>
      </c>
      <c r="BD51" s="15" t="str">
        <f aca="false">IF(OR(AH51="",NOT(ISNUMBER(AH51))),"",AH51-N(L51))</f>
        <v/>
      </c>
      <c r="BE51" s="15" t="str">
        <f aca="false">IF(OR(AI51="",NOT(ISNUMBER(AI51))),"",AI51-N(M51))</f>
        <v/>
      </c>
      <c r="BF51" s="15" t="str">
        <f aca="false">IF(OR(AJ51="",NOT(ISNUMBER(AJ51))),"",AJ51-N(N51))</f>
        <v/>
      </c>
      <c r="BG51" s="15" t="str">
        <f aca="false">IF(OR(AK51="",NOT(ISNUMBER(AK51))),"",AK51-N(O51))</f>
        <v/>
      </c>
      <c r="BH51" s="15" t="str">
        <f aca="false">IF(OR(AL51="",NOT(ISNUMBER(AL51))),"",AL51-N(P51))</f>
        <v/>
      </c>
      <c r="BI51" s="15" t="str">
        <f aca="false">IF(OR(AM51="",NOT(ISNUMBER(AM51))),"",AM51-N(Q51))</f>
        <v/>
      </c>
      <c r="BJ51" s="15" t="str">
        <f aca="false">IF(OR(AN51="",NOT(ISNUMBER(AN51))),"",AN51-N(R51))</f>
        <v/>
      </c>
      <c r="BK51" s="15" t="str">
        <f aca="false">IF(OR(AO51="",NOT(ISNUMBER(AO51))),"",AO51-N(S51))</f>
        <v/>
      </c>
      <c r="BL51" s="15" t="str">
        <f aca="false">IF(OR(AP51="",NOT(ISNUMBER(AP51))),"",AP51-N(T51))</f>
        <v/>
      </c>
      <c r="BM51" s="15" t="str">
        <f aca="false">IF(OR(AQ51="",NOT(ISNUMBER(AQ51))),"",AQ51-N(U51))</f>
        <v/>
      </c>
      <c r="BR51" s="18" t="str">
        <f aca="false">IF($A51="","",IF(ISNUMBER($A51),DATE(YEAR($A51),MONTH($A51),1),IFERROR(DATE(2000+VALUE(RIGHT(TRIM($A51),2)),MATCH(UPPER(LEFT(TRIM($A51),3)),{"JAN","FEB","MAR","APR","MAY","JUN","JUL","AUG","SEP","OCT","NOV","DEC"},0),1),"")))</f>
        <v/>
      </c>
      <c r="BS51" s="18" t="str">
        <f aca="false">IF(BR51="","",EOMONTH(BR51,0))</f>
        <v/>
      </c>
    </row>
    <row r="52" customFormat="false" ht="15" hidden="false" customHeight="false" outlineLevel="0" collapsed="false">
      <c r="B52" s="19"/>
      <c r="C52" s="19"/>
      <c r="D52" s="19"/>
      <c r="E52" s="19"/>
      <c r="F52" s="19"/>
      <c r="G52" s="19"/>
      <c r="H52" s="19"/>
      <c r="I52" s="19"/>
      <c r="J52" s="19"/>
      <c r="K52" s="19"/>
      <c r="L52" s="19"/>
      <c r="M52" s="19"/>
      <c r="N52" s="19"/>
      <c r="O52" s="19"/>
      <c r="P52" s="19"/>
      <c r="Q52" s="19"/>
      <c r="R52" s="19"/>
      <c r="S52" s="19"/>
      <c r="T52" s="19"/>
      <c r="U52" s="19"/>
      <c r="X52" s="15" t="str">
        <f aca="false">IF(OR(B$7="",$BR52=""),"",IF('Tally Helper'!$B$3&lt;&gt;TRUE(),"not on Staff",SUMIFS('Tally Helper'!$L$5:$GI$5,'Tally Helper'!$L$3:$GI$3,"&gt;="&amp;$BR52,'Tally Helper'!$L$3:$GI$3,"&lt;="&amp;$BS52)))</f>
        <v/>
      </c>
      <c r="Y52" s="15" t="str">
        <f aca="false">IF(OR(C$7="",$BR52=""),"",IF('Tally Helper'!$B$6&lt;&gt;TRUE(),"not on Staff",SUMIFS('Tally Helper'!$L$8:$GI$8,'Tally Helper'!$L$6:$GI$6,"&gt;="&amp;$BR52,'Tally Helper'!$L$6:$GI$6,"&lt;="&amp;$BS52)))</f>
        <v/>
      </c>
      <c r="Z52" s="15" t="str">
        <f aca="false">IF(OR(D$7="",$BR52=""),"",IF('Tally Helper'!$B$9&lt;&gt;TRUE(),"not on Staff",SUMIFS('Tally Helper'!$L$11:$GI$11,'Tally Helper'!$L$9:$GI$9,"&gt;="&amp;$BR52,'Tally Helper'!$L$9:$GI$9,"&lt;="&amp;$BS52)))</f>
        <v/>
      </c>
      <c r="AA52" s="15" t="str">
        <f aca="false">IF(OR(E$7="",$BR52=""),"",IF('Tally Helper'!$B$12&lt;&gt;TRUE(),"not on Staff",SUMIFS('Tally Helper'!$L$14:$GI$14,'Tally Helper'!$L$12:$GI$12,"&gt;="&amp;$BR52,'Tally Helper'!$L$12:$GI$12,"&lt;="&amp;$BS52)))</f>
        <v/>
      </c>
      <c r="AB52" s="15" t="str">
        <f aca="false">IF(OR(F$7="",$BR52=""),"",IF('Tally Helper'!$B$15&lt;&gt;TRUE(),"not on Staff",SUMIFS('Tally Helper'!$L$17:$GI$17,'Tally Helper'!$L$15:$GI$15,"&gt;="&amp;$BR52,'Tally Helper'!$L$15:$GI$15,"&lt;="&amp;$BS52)))</f>
        <v/>
      </c>
      <c r="AC52" s="15" t="str">
        <f aca="false">IF(OR(G$7="",$BR52=""),"",IF('Tally Helper'!$B$18&lt;&gt;TRUE(),"not on Staff",SUMIFS('Tally Helper'!$L$20:$GI$20,'Tally Helper'!$L$18:$GI$18,"&gt;="&amp;$BR52,'Tally Helper'!$L$18:$GI$18,"&lt;="&amp;$BS52)))</f>
        <v/>
      </c>
      <c r="AD52" s="15" t="str">
        <f aca="false">IF(OR(H$7="",$BR52=""),"",IF('Tally Helper'!$B$21&lt;&gt;TRUE(),"not on Staff",SUMIFS('Tally Helper'!$L$23:$GI$23,'Tally Helper'!$L$21:$GI$21,"&gt;="&amp;$BR52,'Tally Helper'!$L$21:$GI$21,"&lt;="&amp;$BS52)))</f>
        <v/>
      </c>
      <c r="AE52" s="15" t="str">
        <f aca="false">IF(OR(I$7="",$BR52=""),"",IF('Tally Helper'!$B$24&lt;&gt;TRUE(),"not on Staff",SUMIFS('Tally Helper'!$L$26:$GI$26,'Tally Helper'!$L$24:$GI$24,"&gt;="&amp;$BR52,'Tally Helper'!$L$24:$GI$24,"&lt;="&amp;$BS52)))</f>
        <v/>
      </c>
      <c r="AF52" s="15" t="str">
        <f aca="false">IF(OR(J$7="",$BR52=""),"",IF('Tally Helper'!$B$27&lt;&gt;TRUE(),"not on Staff",SUMIFS('Tally Helper'!$L$29:$GI$29,'Tally Helper'!$L$27:$GI$27,"&gt;="&amp;$BR52,'Tally Helper'!$L$27:$GI$27,"&lt;="&amp;$BS52)))</f>
        <v/>
      </c>
      <c r="AG52" s="15" t="str">
        <f aca="false">IF(OR(K$7="",$BR52=""),"",IF('Tally Helper'!$B$30&lt;&gt;TRUE(),"not on Staff",SUMIFS('Tally Helper'!$L$32:$GI$32,'Tally Helper'!$L$30:$GI$30,"&gt;="&amp;$BR52,'Tally Helper'!$L$30:$GI$30,"&lt;="&amp;$BS52)))</f>
        <v/>
      </c>
      <c r="AH52" s="15" t="str">
        <f aca="false">IF(OR(L$7="",$BR52=""),"",IF('Tally Helper'!$B$33&lt;&gt;TRUE(),"not on Staff",SUMIFS('Tally Helper'!$L$35:$GI$35,'Tally Helper'!$L$33:$GI$33,"&gt;="&amp;$BR52,'Tally Helper'!$L$33:$GI$33,"&lt;="&amp;$BS52)))</f>
        <v/>
      </c>
      <c r="AI52" s="15" t="str">
        <f aca="false">IF(OR(M$7="",$BR52=""),"",IF('Tally Helper'!$B$36&lt;&gt;TRUE(),"not on Staff",SUMIFS('Tally Helper'!$L$38:$GI$38,'Tally Helper'!$L$36:$GI$36,"&gt;="&amp;$BR52,'Tally Helper'!$L$36:$GI$36,"&lt;="&amp;$BS52)))</f>
        <v/>
      </c>
      <c r="AJ52" s="15" t="str">
        <f aca="false">IF(OR(N$7="",$BR52=""),"",IF('Tally Helper'!$B$39&lt;&gt;TRUE(),"not on Staff",SUMIFS('Tally Helper'!$L$41:$GI$41,'Tally Helper'!$L$39:$GI$39,"&gt;="&amp;$BR52,'Tally Helper'!$L$39:$GI$39,"&lt;="&amp;$BS52)))</f>
        <v/>
      </c>
      <c r="AK52" s="15" t="str">
        <f aca="false">IF(OR(O$7="",$BR52=""),"",IF('Tally Helper'!$B$42&lt;&gt;TRUE(),"not on Staff",SUMIFS('Tally Helper'!$L$44:$GI$44,'Tally Helper'!$L$42:$GI$42,"&gt;="&amp;$BR52,'Tally Helper'!$L$42:$GI$42,"&lt;="&amp;$BS52)))</f>
        <v/>
      </c>
      <c r="AL52" s="15" t="str">
        <f aca="false">IF(OR(P$7="",$BR52=""),"",IF('Tally Helper'!$B$45&lt;&gt;TRUE(),"not on Staff",SUMIFS('Tally Helper'!$L$47:$GI$47,'Tally Helper'!$L$45:$GI$45,"&gt;="&amp;$BR52,'Tally Helper'!$L$45:$GI$45,"&lt;="&amp;$BS52)))</f>
        <v/>
      </c>
      <c r="AM52" s="15" t="str">
        <f aca="false">IF(OR(Q$7="",$BR52=""),"",IF('Tally Helper'!$B$48&lt;&gt;TRUE(),"not on Staff",SUMIFS('Tally Helper'!$L$50:$GI$50,'Tally Helper'!$L$48:$GI$48,"&gt;="&amp;$BR52,'Tally Helper'!$L$48:$GI$48,"&lt;="&amp;$BS52)))</f>
        <v/>
      </c>
      <c r="AN52" s="15" t="str">
        <f aca="false">IF(OR(R$7="",$BR52=""),"",IF('Tally Helper'!$B$51&lt;&gt;TRUE(),"not on Staff",SUMIFS('Tally Helper'!$L$53:$GI$53,'Tally Helper'!$L$51:$GI$51,"&gt;="&amp;$BR52,'Tally Helper'!$L$51:$GI$51,"&lt;="&amp;$BS52)))</f>
        <v/>
      </c>
      <c r="AO52" s="15" t="str">
        <f aca="false">IF(OR(S$7="",$BR52=""),"",IF('Tally Helper'!$B$54&lt;&gt;TRUE(),"not on Staff",SUMIFS('Tally Helper'!$L$56:$GI$56,'Tally Helper'!$L$54:$GI$54,"&gt;="&amp;$BR52,'Tally Helper'!$L$54:$GI$54,"&lt;="&amp;$BS52)))</f>
        <v/>
      </c>
      <c r="AP52" s="15" t="str">
        <f aca="false">IF(OR(T$7="",$BR52=""),"",IF('Tally Helper'!$B$57&lt;&gt;TRUE(),"not on Staff",SUMIFS('Tally Helper'!$L$59:$GI$59,'Tally Helper'!$L$57:$GI$57,"&gt;="&amp;$BR52,'Tally Helper'!$L$57:$GI$57,"&lt;="&amp;$BS52)))</f>
        <v/>
      </c>
      <c r="AQ52" s="15" t="str">
        <f aca="false">IF(OR(U$7="",$BR52=""),"",IF('Tally Helper'!$B$60&lt;&gt;TRUE(),"not on Staff",SUMIFS('Tally Helper'!$L$62:$GI$62,'Tally Helper'!$L$60:$GI$60,"&gt;="&amp;$BR52,'Tally Helper'!$L$60:$GI$60,"&lt;="&amp;$BS52)))</f>
        <v/>
      </c>
      <c r="AT52" s="15" t="str">
        <f aca="false">IF(OR(X52="",NOT(ISNUMBER(X52))),"",X52-N(B52))</f>
        <v/>
      </c>
      <c r="AU52" s="15" t="str">
        <f aca="false">IF(OR(Y52="",NOT(ISNUMBER(Y52))),"",Y52-N(C52))</f>
        <v/>
      </c>
      <c r="AV52" s="15" t="str">
        <f aca="false">IF(OR(Z52="",NOT(ISNUMBER(Z52))),"",Z52-N(D52))</f>
        <v/>
      </c>
      <c r="AW52" s="15" t="str">
        <f aca="false">IF(OR(AA52="",NOT(ISNUMBER(AA52))),"",AA52-N(E52))</f>
        <v/>
      </c>
      <c r="AX52" s="15" t="str">
        <f aca="false">IF(OR(AB52="",NOT(ISNUMBER(AB52))),"",AB52-N(F52))</f>
        <v/>
      </c>
      <c r="AY52" s="15" t="str">
        <f aca="false">IF(OR(AC52="",NOT(ISNUMBER(AC52))),"",AC52-N(G52))</f>
        <v/>
      </c>
      <c r="AZ52" s="15" t="str">
        <f aca="false">IF(OR(AD52="",NOT(ISNUMBER(AD52))),"",AD52-N(H52))</f>
        <v/>
      </c>
      <c r="BA52" s="15" t="str">
        <f aca="false">IF(OR(AE52="",NOT(ISNUMBER(AE52))),"",AE52-N(I52))</f>
        <v/>
      </c>
      <c r="BB52" s="15" t="str">
        <f aca="false">IF(OR(AF52="",NOT(ISNUMBER(AF52))),"",AF52-N(J52))</f>
        <v/>
      </c>
      <c r="BC52" s="15" t="str">
        <f aca="false">IF(OR(AG52="",NOT(ISNUMBER(AG52))),"",AG52-N(K52))</f>
        <v/>
      </c>
      <c r="BD52" s="15" t="str">
        <f aca="false">IF(OR(AH52="",NOT(ISNUMBER(AH52))),"",AH52-N(L52))</f>
        <v/>
      </c>
      <c r="BE52" s="15" t="str">
        <f aca="false">IF(OR(AI52="",NOT(ISNUMBER(AI52))),"",AI52-N(M52))</f>
        <v/>
      </c>
      <c r="BF52" s="15" t="str">
        <f aca="false">IF(OR(AJ52="",NOT(ISNUMBER(AJ52))),"",AJ52-N(N52))</f>
        <v/>
      </c>
      <c r="BG52" s="15" t="str">
        <f aca="false">IF(OR(AK52="",NOT(ISNUMBER(AK52))),"",AK52-N(O52))</f>
        <v/>
      </c>
      <c r="BH52" s="15" t="str">
        <f aca="false">IF(OR(AL52="",NOT(ISNUMBER(AL52))),"",AL52-N(P52))</f>
        <v/>
      </c>
      <c r="BI52" s="15" t="str">
        <f aca="false">IF(OR(AM52="",NOT(ISNUMBER(AM52))),"",AM52-N(Q52))</f>
        <v/>
      </c>
      <c r="BJ52" s="15" t="str">
        <f aca="false">IF(OR(AN52="",NOT(ISNUMBER(AN52))),"",AN52-N(R52))</f>
        <v/>
      </c>
      <c r="BK52" s="15" t="str">
        <f aca="false">IF(OR(AO52="",NOT(ISNUMBER(AO52))),"",AO52-N(S52))</f>
        <v/>
      </c>
      <c r="BL52" s="15" t="str">
        <f aca="false">IF(OR(AP52="",NOT(ISNUMBER(AP52))),"",AP52-N(T52))</f>
        <v/>
      </c>
      <c r="BM52" s="15" t="str">
        <f aca="false">IF(OR(AQ52="",NOT(ISNUMBER(AQ52))),"",AQ52-N(U52))</f>
        <v/>
      </c>
      <c r="BR52" s="18" t="str">
        <f aca="false">IF($A52="","",IF(ISNUMBER($A52),DATE(YEAR($A52),MONTH($A52),1),IFERROR(DATE(2000+VALUE(RIGHT(TRIM($A52),2)),MATCH(UPPER(LEFT(TRIM($A52),3)),{"JAN","FEB","MAR","APR","MAY","JUN","JUL","AUG","SEP","OCT","NOV","DEC"},0),1),"")))</f>
        <v/>
      </c>
      <c r="BS52" s="18" t="str">
        <f aca="false">IF(BR52="","",EOMONTH(BR52,0))</f>
        <v/>
      </c>
    </row>
    <row r="53" customFormat="false" ht="15" hidden="false" customHeight="false" outlineLevel="0" collapsed="false">
      <c r="B53" s="19"/>
      <c r="C53" s="19"/>
      <c r="D53" s="19"/>
      <c r="E53" s="19"/>
      <c r="F53" s="19"/>
      <c r="G53" s="19"/>
      <c r="H53" s="19"/>
      <c r="I53" s="19"/>
      <c r="J53" s="19"/>
      <c r="K53" s="19"/>
      <c r="L53" s="19"/>
      <c r="M53" s="19"/>
      <c r="N53" s="19"/>
      <c r="O53" s="19"/>
      <c r="P53" s="19"/>
      <c r="Q53" s="19"/>
      <c r="R53" s="19"/>
      <c r="S53" s="19"/>
      <c r="T53" s="19"/>
      <c r="U53" s="19"/>
      <c r="X53" s="15" t="str">
        <f aca="false">IF(OR(B$7="",$BR53=""),"",IF('Tally Helper'!$B$3&lt;&gt;TRUE(),"not on Staff",SUMIFS('Tally Helper'!$L$5:$GI$5,'Tally Helper'!$L$3:$GI$3,"&gt;="&amp;$BR53,'Tally Helper'!$L$3:$GI$3,"&lt;="&amp;$BS53)))</f>
        <v/>
      </c>
      <c r="Y53" s="15" t="str">
        <f aca="false">IF(OR(C$7="",$BR53=""),"",IF('Tally Helper'!$B$6&lt;&gt;TRUE(),"not on Staff",SUMIFS('Tally Helper'!$L$8:$GI$8,'Tally Helper'!$L$6:$GI$6,"&gt;="&amp;$BR53,'Tally Helper'!$L$6:$GI$6,"&lt;="&amp;$BS53)))</f>
        <v/>
      </c>
      <c r="Z53" s="15" t="str">
        <f aca="false">IF(OR(D$7="",$BR53=""),"",IF('Tally Helper'!$B$9&lt;&gt;TRUE(),"not on Staff",SUMIFS('Tally Helper'!$L$11:$GI$11,'Tally Helper'!$L$9:$GI$9,"&gt;="&amp;$BR53,'Tally Helper'!$L$9:$GI$9,"&lt;="&amp;$BS53)))</f>
        <v/>
      </c>
      <c r="AA53" s="15" t="str">
        <f aca="false">IF(OR(E$7="",$BR53=""),"",IF('Tally Helper'!$B$12&lt;&gt;TRUE(),"not on Staff",SUMIFS('Tally Helper'!$L$14:$GI$14,'Tally Helper'!$L$12:$GI$12,"&gt;="&amp;$BR53,'Tally Helper'!$L$12:$GI$12,"&lt;="&amp;$BS53)))</f>
        <v/>
      </c>
      <c r="AB53" s="15" t="str">
        <f aca="false">IF(OR(F$7="",$BR53=""),"",IF('Tally Helper'!$B$15&lt;&gt;TRUE(),"not on Staff",SUMIFS('Tally Helper'!$L$17:$GI$17,'Tally Helper'!$L$15:$GI$15,"&gt;="&amp;$BR53,'Tally Helper'!$L$15:$GI$15,"&lt;="&amp;$BS53)))</f>
        <v/>
      </c>
      <c r="AC53" s="15" t="str">
        <f aca="false">IF(OR(G$7="",$BR53=""),"",IF('Tally Helper'!$B$18&lt;&gt;TRUE(),"not on Staff",SUMIFS('Tally Helper'!$L$20:$GI$20,'Tally Helper'!$L$18:$GI$18,"&gt;="&amp;$BR53,'Tally Helper'!$L$18:$GI$18,"&lt;="&amp;$BS53)))</f>
        <v/>
      </c>
      <c r="AD53" s="15" t="str">
        <f aca="false">IF(OR(H$7="",$BR53=""),"",IF('Tally Helper'!$B$21&lt;&gt;TRUE(),"not on Staff",SUMIFS('Tally Helper'!$L$23:$GI$23,'Tally Helper'!$L$21:$GI$21,"&gt;="&amp;$BR53,'Tally Helper'!$L$21:$GI$21,"&lt;="&amp;$BS53)))</f>
        <v/>
      </c>
      <c r="AE53" s="15" t="str">
        <f aca="false">IF(OR(I$7="",$BR53=""),"",IF('Tally Helper'!$B$24&lt;&gt;TRUE(),"not on Staff",SUMIFS('Tally Helper'!$L$26:$GI$26,'Tally Helper'!$L$24:$GI$24,"&gt;="&amp;$BR53,'Tally Helper'!$L$24:$GI$24,"&lt;="&amp;$BS53)))</f>
        <v/>
      </c>
      <c r="AF53" s="15" t="str">
        <f aca="false">IF(OR(J$7="",$BR53=""),"",IF('Tally Helper'!$B$27&lt;&gt;TRUE(),"not on Staff",SUMIFS('Tally Helper'!$L$29:$GI$29,'Tally Helper'!$L$27:$GI$27,"&gt;="&amp;$BR53,'Tally Helper'!$L$27:$GI$27,"&lt;="&amp;$BS53)))</f>
        <v/>
      </c>
      <c r="AG53" s="15" t="str">
        <f aca="false">IF(OR(K$7="",$BR53=""),"",IF('Tally Helper'!$B$30&lt;&gt;TRUE(),"not on Staff",SUMIFS('Tally Helper'!$L$32:$GI$32,'Tally Helper'!$L$30:$GI$30,"&gt;="&amp;$BR53,'Tally Helper'!$L$30:$GI$30,"&lt;="&amp;$BS53)))</f>
        <v/>
      </c>
      <c r="AH53" s="15" t="str">
        <f aca="false">IF(OR(L$7="",$BR53=""),"",IF('Tally Helper'!$B$33&lt;&gt;TRUE(),"not on Staff",SUMIFS('Tally Helper'!$L$35:$GI$35,'Tally Helper'!$L$33:$GI$33,"&gt;="&amp;$BR53,'Tally Helper'!$L$33:$GI$33,"&lt;="&amp;$BS53)))</f>
        <v/>
      </c>
      <c r="AI53" s="15" t="str">
        <f aca="false">IF(OR(M$7="",$BR53=""),"",IF('Tally Helper'!$B$36&lt;&gt;TRUE(),"not on Staff",SUMIFS('Tally Helper'!$L$38:$GI$38,'Tally Helper'!$L$36:$GI$36,"&gt;="&amp;$BR53,'Tally Helper'!$L$36:$GI$36,"&lt;="&amp;$BS53)))</f>
        <v/>
      </c>
      <c r="AJ53" s="15" t="str">
        <f aca="false">IF(OR(N$7="",$BR53=""),"",IF('Tally Helper'!$B$39&lt;&gt;TRUE(),"not on Staff",SUMIFS('Tally Helper'!$L$41:$GI$41,'Tally Helper'!$L$39:$GI$39,"&gt;="&amp;$BR53,'Tally Helper'!$L$39:$GI$39,"&lt;="&amp;$BS53)))</f>
        <v/>
      </c>
      <c r="AK53" s="15" t="str">
        <f aca="false">IF(OR(O$7="",$BR53=""),"",IF('Tally Helper'!$B$42&lt;&gt;TRUE(),"not on Staff",SUMIFS('Tally Helper'!$L$44:$GI$44,'Tally Helper'!$L$42:$GI$42,"&gt;="&amp;$BR53,'Tally Helper'!$L$42:$GI$42,"&lt;="&amp;$BS53)))</f>
        <v/>
      </c>
      <c r="AL53" s="15" t="str">
        <f aca="false">IF(OR(P$7="",$BR53=""),"",IF('Tally Helper'!$B$45&lt;&gt;TRUE(),"not on Staff",SUMIFS('Tally Helper'!$L$47:$GI$47,'Tally Helper'!$L$45:$GI$45,"&gt;="&amp;$BR53,'Tally Helper'!$L$45:$GI$45,"&lt;="&amp;$BS53)))</f>
        <v/>
      </c>
      <c r="AM53" s="15" t="str">
        <f aca="false">IF(OR(Q$7="",$BR53=""),"",IF('Tally Helper'!$B$48&lt;&gt;TRUE(),"not on Staff",SUMIFS('Tally Helper'!$L$50:$GI$50,'Tally Helper'!$L$48:$GI$48,"&gt;="&amp;$BR53,'Tally Helper'!$L$48:$GI$48,"&lt;="&amp;$BS53)))</f>
        <v/>
      </c>
      <c r="AN53" s="15" t="str">
        <f aca="false">IF(OR(R$7="",$BR53=""),"",IF('Tally Helper'!$B$51&lt;&gt;TRUE(),"not on Staff",SUMIFS('Tally Helper'!$L$53:$GI$53,'Tally Helper'!$L$51:$GI$51,"&gt;="&amp;$BR53,'Tally Helper'!$L$51:$GI$51,"&lt;="&amp;$BS53)))</f>
        <v/>
      </c>
      <c r="AO53" s="15" t="str">
        <f aca="false">IF(OR(S$7="",$BR53=""),"",IF('Tally Helper'!$B$54&lt;&gt;TRUE(),"not on Staff",SUMIFS('Tally Helper'!$L$56:$GI$56,'Tally Helper'!$L$54:$GI$54,"&gt;="&amp;$BR53,'Tally Helper'!$L$54:$GI$54,"&lt;="&amp;$BS53)))</f>
        <v/>
      </c>
      <c r="AP53" s="15" t="str">
        <f aca="false">IF(OR(T$7="",$BR53=""),"",IF('Tally Helper'!$B$57&lt;&gt;TRUE(),"not on Staff",SUMIFS('Tally Helper'!$L$59:$GI$59,'Tally Helper'!$L$57:$GI$57,"&gt;="&amp;$BR53,'Tally Helper'!$L$57:$GI$57,"&lt;="&amp;$BS53)))</f>
        <v/>
      </c>
      <c r="AQ53" s="15" t="str">
        <f aca="false">IF(OR(U$7="",$BR53=""),"",IF('Tally Helper'!$B$60&lt;&gt;TRUE(),"not on Staff",SUMIFS('Tally Helper'!$L$62:$GI$62,'Tally Helper'!$L$60:$GI$60,"&gt;="&amp;$BR53,'Tally Helper'!$L$60:$GI$60,"&lt;="&amp;$BS53)))</f>
        <v/>
      </c>
      <c r="AT53" s="15" t="str">
        <f aca="false">IF(OR(X53="",NOT(ISNUMBER(X53))),"",X53-N(B53))</f>
        <v/>
      </c>
      <c r="AU53" s="15" t="str">
        <f aca="false">IF(OR(Y53="",NOT(ISNUMBER(Y53))),"",Y53-N(C53))</f>
        <v/>
      </c>
      <c r="AV53" s="15" t="str">
        <f aca="false">IF(OR(Z53="",NOT(ISNUMBER(Z53))),"",Z53-N(D53))</f>
        <v/>
      </c>
      <c r="AW53" s="15" t="str">
        <f aca="false">IF(OR(AA53="",NOT(ISNUMBER(AA53))),"",AA53-N(E53))</f>
        <v/>
      </c>
      <c r="AX53" s="15" t="str">
        <f aca="false">IF(OR(AB53="",NOT(ISNUMBER(AB53))),"",AB53-N(F53))</f>
        <v/>
      </c>
      <c r="AY53" s="15" t="str">
        <f aca="false">IF(OR(AC53="",NOT(ISNUMBER(AC53))),"",AC53-N(G53))</f>
        <v/>
      </c>
      <c r="AZ53" s="15" t="str">
        <f aca="false">IF(OR(AD53="",NOT(ISNUMBER(AD53))),"",AD53-N(H53))</f>
        <v/>
      </c>
      <c r="BA53" s="15" t="str">
        <f aca="false">IF(OR(AE53="",NOT(ISNUMBER(AE53))),"",AE53-N(I53))</f>
        <v/>
      </c>
      <c r="BB53" s="15" t="str">
        <f aca="false">IF(OR(AF53="",NOT(ISNUMBER(AF53))),"",AF53-N(J53))</f>
        <v/>
      </c>
      <c r="BC53" s="15" t="str">
        <f aca="false">IF(OR(AG53="",NOT(ISNUMBER(AG53))),"",AG53-N(K53))</f>
        <v/>
      </c>
      <c r="BD53" s="15" t="str">
        <f aca="false">IF(OR(AH53="",NOT(ISNUMBER(AH53))),"",AH53-N(L53))</f>
        <v/>
      </c>
      <c r="BE53" s="15" t="str">
        <f aca="false">IF(OR(AI53="",NOT(ISNUMBER(AI53))),"",AI53-N(M53))</f>
        <v/>
      </c>
      <c r="BF53" s="15" t="str">
        <f aca="false">IF(OR(AJ53="",NOT(ISNUMBER(AJ53))),"",AJ53-N(N53))</f>
        <v/>
      </c>
      <c r="BG53" s="15" t="str">
        <f aca="false">IF(OR(AK53="",NOT(ISNUMBER(AK53))),"",AK53-N(O53))</f>
        <v/>
      </c>
      <c r="BH53" s="15" t="str">
        <f aca="false">IF(OR(AL53="",NOT(ISNUMBER(AL53))),"",AL53-N(P53))</f>
        <v/>
      </c>
      <c r="BI53" s="15" t="str">
        <f aca="false">IF(OR(AM53="",NOT(ISNUMBER(AM53))),"",AM53-N(Q53))</f>
        <v/>
      </c>
      <c r="BJ53" s="15" t="str">
        <f aca="false">IF(OR(AN53="",NOT(ISNUMBER(AN53))),"",AN53-N(R53))</f>
        <v/>
      </c>
      <c r="BK53" s="15" t="str">
        <f aca="false">IF(OR(AO53="",NOT(ISNUMBER(AO53))),"",AO53-N(S53))</f>
        <v/>
      </c>
      <c r="BL53" s="15" t="str">
        <f aca="false">IF(OR(AP53="",NOT(ISNUMBER(AP53))),"",AP53-N(T53))</f>
        <v/>
      </c>
      <c r="BM53" s="15" t="str">
        <f aca="false">IF(OR(AQ53="",NOT(ISNUMBER(AQ53))),"",AQ53-N(U53))</f>
        <v/>
      </c>
      <c r="BR53" s="18" t="str">
        <f aca="false">IF($A53="","",IF(ISNUMBER($A53),DATE(YEAR($A53),MONTH($A53),1),IFERROR(DATE(2000+VALUE(RIGHT(TRIM($A53),2)),MATCH(UPPER(LEFT(TRIM($A53),3)),{"JAN","FEB","MAR","APR","MAY","JUN","JUL","AUG","SEP","OCT","NOV","DEC"},0),1),"")))</f>
        <v/>
      </c>
      <c r="BS53" s="18" t="str">
        <f aca="false">IF(BR53="","",EOMONTH(BR53,0))</f>
        <v/>
      </c>
    </row>
    <row r="54" customFormat="false" ht="15" hidden="false" customHeight="false" outlineLevel="0" collapsed="false">
      <c r="B54" s="19"/>
      <c r="C54" s="19"/>
      <c r="D54" s="19"/>
      <c r="E54" s="19"/>
      <c r="F54" s="19"/>
      <c r="G54" s="19"/>
      <c r="H54" s="19"/>
      <c r="I54" s="19"/>
      <c r="J54" s="19"/>
      <c r="K54" s="19"/>
      <c r="L54" s="19"/>
      <c r="M54" s="19"/>
      <c r="N54" s="19"/>
      <c r="O54" s="19"/>
      <c r="P54" s="19"/>
      <c r="Q54" s="19"/>
      <c r="R54" s="19"/>
      <c r="S54" s="19"/>
      <c r="T54" s="19"/>
      <c r="U54" s="19"/>
      <c r="X54" s="15" t="str">
        <f aca="false">IF(OR(B$7="",$BR54=""),"",IF('Tally Helper'!$B$3&lt;&gt;TRUE(),"not on Staff",SUMIFS('Tally Helper'!$L$5:$GI$5,'Tally Helper'!$L$3:$GI$3,"&gt;="&amp;$BR54,'Tally Helper'!$L$3:$GI$3,"&lt;="&amp;$BS54)))</f>
        <v/>
      </c>
      <c r="Y54" s="15" t="str">
        <f aca="false">IF(OR(C$7="",$BR54=""),"",IF('Tally Helper'!$B$6&lt;&gt;TRUE(),"not on Staff",SUMIFS('Tally Helper'!$L$8:$GI$8,'Tally Helper'!$L$6:$GI$6,"&gt;="&amp;$BR54,'Tally Helper'!$L$6:$GI$6,"&lt;="&amp;$BS54)))</f>
        <v/>
      </c>
      <c r="Z54" s="15" t="str">
        <f aca="false">IF(OR(D$7="",$BR54=""),"",IF('Tally Helper'!$B$9&lt;&gt;TRUE(),"not on Staff",SUMIFS('Tally Helper'!$L$11:$GI$11,'Tally Helper'!$L$9:$GI$9,"&gt;="&amp;$BR54,'Tally Helper'!$L$9:$GI$9,"&lt;="&amp;$BS54)))</f>
        <v/>
      </c>
      <c r="AA54" s="15" t="str">
        <f aca="false">IF(OR(E$7="",$BR54=""),"",IF('Tally Helper'!$B$12&lt;&gt;TRUE(),"not on Staff",SUMIFS('Tally Helper'!$L$14:$GI$14,'Tally Helper'!$L$12:$GI$12,"&gt;="&amp;$BR54,'Tally Helper'!$L$12:$GI$12,"&lt;="&amp;$BS54)))</f>
        <v/>
      </c>
      <c r="AB54" s="15" t="str">
        <f aca="false">IF(OR(F$7="",$BR54=""),"",IF('Tally Helper'!$B$15&lt;&gt;TRUE(),"not on Staff",SUMIFS('Tally Helper'!$L$17:$GI$17,'Tally Helper'!$L$15:$GI$15,"&gt;="&amp;$BR54,'Tally Helper'!$L$15:$GI$15,"&lt;="&amp;$BS54)))</f>
        <v/>
      </c>
      <c r="AC54" s="15" t="str">
        <f aca="false">IF(OR(G$7="",$BR54=""),"",IF('Tally Helper'!$B$18&lt;&gt;TRUE(),"not on Staff",SUMIFS('Tally Helper'!$L$20:$GI$20,'Tally Helper'!$L$18:$GI$18,"&gt;="&amp;$BR54,'Tally Helper'!$L$18:$GI$18,"&lt;="&amp;$BS54)))</f>
        <v/>
      </c>
      <c r="AD54" s="15" t="str">
        <f aca="false">IF(OR(H$7="",$BR54=""),"",IF('Tally Helper'!$B$21&lt;&gt;TRUE(),"not on Staff",SUMIFS('Tally Helper'!$L$23:$GI$23,'Tally Helper'!$L$21:$GI$21,"&gt;="&amp;$BR54,'Tally Helper'!$L$21:$GI$21,"&lt;="&amp;$BS54)))</f>
        <v/>
      </c>
      <c r="AE54" s="15" t="str">
        <f aca="false">IF(OR(I$7="",$BR54=""),"",IF('Tally Helper'!$B$24&lt;&gt;TRUE(),"not on Staff",SUMIFS('Tally Helper'!$L$26:$GI$26,'Tally Helper'!$L$24:$GI$24,"&gt;="&amp;$BR54,'Tally Helper'!$L$24:$GI$24,"&lt;="&amp;$BS54)))</f>
        <v/>
      </c>
      <c r="AF54" s="15" t="str">
        <f aca="false">IF(OR(J$7="",$BR54=""),"",IF('Tally Helper'!$B$27&lt;&gt;TRUE(),"not on Staff",SUMIFS('Tally Helper'!$L$29:$GI$29,'Tally Helper'!$L$27:$GI$27,"&gt;="&amp;$BR54,'Tally Helper'!$L$27:$GI$27,"&lt;="&amp;$BS54)))</f>
        <v/>
      </c>
      <c r="AG54" s="15" t="str">
        <f aca="false">IF(OR(K$7="",$BR54=""),"",IF('Tally Helper'!$B$30&lt;&gt;TRUE(),"not on Staff",SUMIFS('Tally Helper'!$L$32:$GI$32,'Tally Helper'!$L$30:$GI$30,"&gt;="&amp;$BR54,'Tally Helper'!$L$30:$GI$30,"&lt;="&amp;$BS54)))</f>
        <v/>
      </c>
      <c r="AH54" s="15" t="str">
        <f aca="false">IF(OR(L$7="",$BR54=""),"",IF('Tally Helper'!$B$33&lt;&gt;TRUE(),"not on Staff",SUMIFS('Tally Helper'!$L$35:$GI$35,'Tally Helper'!$L$33:$GI$33,"&gt;="&amp;$BR54,'Tally Helper'!$L$33:$GI$33,"&lt;="&amp;$BS54)))</f>
        <v/>
      </c>
      <c r="AI54" s="15" t="str">
        <f aca="false">IF(OR(M$7="",$BR54=""),"",IF('Tally Helper'!$B$36&lt;&gt;TRUE(),"not on Staff",SUMIFS('Tally Helper'!$L$38:$GI$38,'Tally Helper'!$L$36:$GI$36,"&gt;="&amp;$BR54,'Tally Helper'!$L$36:$GI$36,"&lt;="&amp;$BS54)))</f>
        <v/>
      </c>
      <c r="AJ54" s="15" t="str">
        <f aca="false">IF(OR(N$7="",$BR54=""),"",IF('Tally Helper'!$B$39&lt;&gt;TRUE(),"not on Staff",SUMIFS('Tally Helper'!$L$41:$GI$41,'Tally Helper'!$L$39:$GI$39,"&gt;="&amp;$BR54,'Tally Helper'!$L$39:$GI$39,"&lt;="&amp;$BS54)))</f>
        <v/>
      </c>
      <c r="AK54" s="15" t="str">
        <f aca="false">IF(OR(O$7="",$BR54=""),"",IF('Tally Helper'!$B$42&lt;&gt;TRUE(),"not on Staff",SUMIFS('Tally Helper'!$L$44:$GI$44,'Tally Helper'!$L$42:$GI$42,"&gt;="&amp;$BR54,'Tally Helper'!$L$42:$GI$42,"&lt;="&amp;$BS54)))</f>
        <v/>
      </c>
      <c r="AL54" s="15" t="str">
        <f aca="false">IF(OR(P$7="",$BR54=""),"",IF('Tally Helper'!$B$45&lt;&gt;TRUE(),"not on Staff",SUMIFS('Tally Helper'!$L$47:$GI$47,'Tally Helper'!$L$45:$GI$45,"&gt;="&amp;$BR54,'Tally Helper'!$L$45:$GI$45,"&lt;="&amp;$BS54)))</f>
        <v/>
      </c>
      <c r="AM54" s="15" t="str">
        <f aca="false">IF(OR(Q$7="",$BR54=""),"",IF('Tally Helper'!$B$48&lt;&gt;TRUE(),"not on Staff",SUMIFS('Tally Helper'!$L$50:$GI$50,'Tally Helper'!$L$48:$GI$48,"&gt;="&amp;$BR54,'Tally Helper'!$L$48:$GI$48,"&lt;="&amp;$BS54)))</f>
        <v/>
      </c>
      <c r="AN54" s="15" t="str">
        <f aca="false">IF(OR(R$7="",$BR54=""),"",IF('Tally Helper'!$B$51&lt;&gt;TRUE(),"not on Staff",SUMIFS('Tally Helper'!$L$53:$GI$53,'Tally Helper'!$L$51:$GI$51,"&gt;="&amp;$BR54,'Tally Helper'!$L$51:$GI$51,"&lt;="&amp;$BS54)))</f>
        <v/>
      </c>
      <c r="AO54" s="15" t="str">
        <f aca="false">IF(OR(S$7="",$BR54=""),"",IF('Tally Helper'!$B$54&lt;&gt;TRUE(),"not on Staff",SUMIFS('Tally Helper'!$L$56:$GI$56,'Tally Helper'!$L$54:$GI$54,"&gt;="&amp;$BR54,'Tally Helper'!$L$54:$GI$54,"&lt;="&amp;$BS54)))</f>
        <v/>
      </c>
      <c r="AP54" s="15" t="str">
        <f aca="false">IF(OR(T$7="",$BR54=""),"",IF('Tally Helper'!$B$57&lt;&gt;TRUE(),"not on Staff",SUMIFS('Tally Helper'!$L$59:$GI$59,'Tally Helper'!$L$57:$GI$57,"&gt;="&amp;$BR54,'Tally Helper'!$L$57:$GI$57,"&lt;="&amp;$BS54)))</f>
        <v/>
      </c>
      <c r="AQ54" s="15" t="str">
        <f aca="false">IF(OR(U$7="",$BR54=""),"",IF('Tally Helper'!$B$60&lt;&gt;TRUE(),"not on Staff",SUMIFS('Tally Helper'!$L$62:$GI$62,'Tally Helper'!$L$60:$GI$60,"&gt;="&amp;$BR54,'Tally Helper'!$L$60:$GI$60,"&lt;="&amp;$BS54)))</f>
        <v/>
      </c>
      <c r="AT54" s="15" t="str">
        <f aca="false">IF(OR(X54="",NOT(ISNUMBER(X54))),"",X54-N(B54))</f>
        <v/>
      </c>
      <c r="AU54" s="15" t="str">
        <f aca="false">IF(OR(Y54="",NOT(ISNUMBER(Y54))),"",Y54-N(C54))</f>
        <v/>
      </c>
      <c r="AV54" s="15" t="str">
        <f aca="false">IF(OR(Z54="",NOT(ISNUMBER(Z54))),"",Z54-N(D54))</f>
        <v/>
      </c>
      <c r="AW54" s="15" t="str">
        <f aca="false">IF(OR(AA54="",NOT(ISNUMBER(AA54))),"",AA54-N(E54))</f>
        <v/>
      </c>
      <c r="AX54" s="15" t="str">
        <f aca="false">IF(OR(AB54="",NOT(ISNUMBER(AB54))),"",AB54-N(F54))</f>
        <v/>
      </c>
      <c r="AY54" s="15" t="str">
        <f aca="false">IF(OR(AC54="",NOT(ISNUMBER(AC54))),"",AC54-N(G54))</f>
        <v/>
      </c>
      <c r="AZ54" s="15" t="str">
        <f aca="false">IF(OR(AD54="",NOT(ISNUMBER(AD54))),"",AD54-N(H54))</f>
        <v/>
      </c>
      <c r="BA54" s="15" t="str">
        <f aca="false">IF(OR(AE54="",NOT(ISNUMBER(AE54))),"",AE54-N(I54))</f>
        <v/>
      </c>
      <c r="BB54" s="15" t="str">
        <f aca="false">IF(OR(AF54="",NOT(ISNUMBER(AF54))),"",AF54-N(J54))</f>
        <v/>
      </c>
      <c r="BC54" s="15" t="str">
        <f aca="false">IF(OR(AG54="",NOT(ISNUMBER(AG54))),"",AG54-N(K54))</f>
        <v/>
      </c>
      <c r="BD54" s="15" t="str">
        <f aca="false">IF(OR(AH54="",NOT(ISNUMBER(AH54))),"",AH54-N(L54))</f>
        <v/>
      </c>
      <c r="BE54" s="15" t="str">
        <f aca="false">IF(OR(AI54="",NOT(ISNUMBER(AI54))),"",AI54-N(M54))</f>
        <v/>
      </c>
      <c r="BF54" s="15" t="str">
        <f aca="false">IF(OR(AJ54="",NOT(ISNUMBER(AJ54))),"",AJ54-N(N54))</f>
        <v/>
      </c>
      <c r="BG54" s="15" t="str">
        <f aca="false">IF(OR(AK54="",NOT(ISNUMBER(AK54))),"",AK54-N(O54))</f>
        <v/>
      </c>
      <c r="BH54" s="15" t="str">
        <f aca="false">IF(OR(AL54="",NOT(ISNUMBER(AL54))),"",AL54-N(P54))</f>
        <v/>
      </c>
      <c r="BI54" s="15" t="str">
        <f aca="false">IF(OR(AM54="",NOT(ISNUMBER(AM54))),"",AM54-N(Q54))</f>
        <v/>
      </c>
      <c r="BJ54" s="15" t="str">
        <f aca="false">IF(OR(AN54="",NOT(ISNUMBER(AN54))),"",AN54-N(R54))</f>
        <v/>
      </c>
      <c r="BK54" s="15" t="str">
        <f aca="false">IF(OR(AO54="",NOT(ISNUMBER(AO54))),"",AO54-N(S54))</f>
        <v/>
      </c>
      <c r="BL54" s="15" t="str">
        <f aca="false">IF(OR(AP54="",NOT(ISNUMBER(AP54))),"",AP54-N(T54))</f>
        <v/>
      </c>
      <c r="BM54" s="15" t="str">
        <f aca="false">IF(OR(AQ54="",NOT(ISNUMBER(AQ54))),"",AQ54-N(U54))</f>
        <v/>
      </c>
      <c r="BR54" s="18" t="str">
        <f aca="false">IF($A54="","",IF(ISNUMBER($A54),DATE(YEAR($A54),MONTH($A54),1),IFERROR(DATE(2000+VALUE(RIGHT(TRIM($A54),2)),MATCH(UPPER(LEFT(TRIM($A54),3)),{"JAN","FEB","MAR","APR","MAY","JUN","JUL","AUG","SEP","OCT","NOV","DEC"},0),1),"")))</f>
        <v/>
      </c>
      <c r="BS54" s="18" t="str">
        <f aca="false">IF(BR54="","",EOMONTH(BR54,0))</f>
        <v/>
      </c>
    </row>
    <row r="55" customFormat="false" ht="15" hidden="false" customHeight="false" outlineLevel="0" collapsed="false">
      <c r="B55" s="19"/>
      <c r="C55" s="19"/>
      <c r="D55" s="19"/>
      <c r="E55" s="19"/>
      <c r="F55" s="19"/>
      <c r="G55" s="19"/>
      <c r="H55" s="19"/>
      <c r="I55" s="19"/>
      <c r="J55" s="19"/>
      <c r="K55" s="19"/>
      <c r="L55" s="19"/>
      <c r="M55" s="19"/>
      <c r="N55" s="19"/>
      <c r="O55" s="19"/>
      <c r="P55" s="19"/>
      <c r="Q55" s="19"/>
      <c r="R55" s="19"/>
      <c r="S55" s="19"/>
      <c r="T55" s="19"/>
      <c r="U55" s="19"/>
      <c r="X55" s="15" t="str">
        <f aca="false">IF(OR(B$7="",$BR55=""),"",IF('Tally Helper'!$B$3&lt;&gt;TRUE(),"not on Staff",SUMIFS('Tally Helper'!$L$5:$GI$5,'Tally Helper'!$L$3:$GI$3,"&gt;="&amp;$BR55,'Tally Helper'!$L$3:$GI$3,"&lt;="&amp;$BS55)))</f>
        <v/>
      </c>
      <c r="Y55" s="15" t="str">
        <f aca="false">IF(OR(C$7="",$BR55=""),"",IF('Tally Helper'!$B$6&lt;&gt;TRUE(),"not on Staff",SUMIFS('Tally Helper'!$L$8:$GI$8,'Tally Helper'!$L$6:$GI$6,"&gt;="&amp;$BR55,'Tally Helper'!$L$6:$GI$6,"&lt;="&amp;$BS55)))</f>
        <v/>
      </c>
      <c r="Z55" s="15" t="str">
        <f aca="false">IF(OR(D$7="",$BR55=""),"",IF('Tally Helper'!$B$9&lt;&gt;TRUE(),"not on Staff",SUMIFS('Tally Helper'!$L$11:$GI$11,'Tally Helper'!$L$9:$GI$9,"&gt;="&amp;$BR55,'Tally Helper'!$L$9:$GI$9,"&lt;="&amp;$BS55)))</f>
        <v/>
      </c>
      <c r="AA55" s="15" t="str">
        <f aca="false">IF(OR(E$7="",$BR55=""),"",IF('Tally Helper'!$B$12&lt;&gt;TRUE(),"not on Staff",SUMIFS('Tally Helper'!$L$14:$GI$14,'Tally Helper'!$L$12:$GI$12,"&gt;="&amp;$BR55,'Tally Helper'!$L$12:$GI$12,"&lt;="&amp;$BS55)))</f>
        <v/>
      </c>
      <c r="AB55" s="15" t="str">
        <f aca="false">IF(OR(F$7="",$BR55=""),"",IF('Tally Helper'!$B$15&lt;&gt;TRUE(),"not on Staff",SUMIFS('Tally Helper'!$L$17:$GI$17,'Tally Helper'!$L$15:$GI$15,"&gt;="&amp;$BR55,'Tally Helper'!$L$15:$GI$15,"&lt;="&amp;$BS55)))</f>
        <v/>
      </c>
      <c r="AC55" s="15" t="str">
        <f aca="false">IF(OR(G$7="",$BR55=""),"",IF('Tally Helper'!$B$18&lt;&gt;TRUE(),"not on Staff",SUMIFS('Tally Helper'!$L$20:$GI$20,'Tally Helper'!$L$18:$GI$18,"&gt;="&amp;$BR55,'Tally Helper'!$L$18:$GI$18,"&lt;="&amp;$BS55)))</f>
        <v/>
      </c>
      <c r="AD55" s="15" t="str">
        <f aca="false">IF(OR(H$7="",$BR55=""),"",IF('Tally Helper'!$B$21&lt;&gt;TRUE(),"not on Staff",SUMIFS('Tally Helper'!$L$23:$GI$23,'Tally Helper'!$L$21:$GI$21,"&gt;="&amp;$BR55,'Tally Helper'!$L$21:$GI$21,"&lt;="&amp;$BS55)))</f>
        <v/>
      </c>
      <c r="AE55" s="15" t="str">
        <f aca="false">IF(OR(I$7="",$BR55=""),"",IF('Tally Helper'!$B$24&lt;&gt;TRUE(),"not on Staff",SUMIFS('Tally Helper'!$L$26:$GI$26,'Tally Helper'!$L$24:$GI$24,"&gt;="&amp;$BR55,'Tally Helper'!$L$24:$GI$24,"&lt;="&amp;$BS55)))</f>
        <v/>
      </c>
      <c r="AF55" s="15" t="str">
        <f aca="false">IF(OR(J$7="",$BR55=""),"",IF('Tally Helper'!$B$27&lt;&gt;TRUE(),"not on Staff",SUMIFS('Tally Helper'!$L$29:$GI$29,'Tally Helper'!$L$27:$GI$27,"&gt;="&amp;$BR55,'Tally Helper'!$L$27:$GI$27,"&lt;="&amp;$BS55)))</f>
        <v/>
      </c>
      <c r="AG55" s="15" t="str">
        <f aca="false">IF(OR(K$7="",$BR55=""),"",IF('Tally Helper'!$B$30&lt;&gt;TRUE(),"not on Staff",SUMIFS('Tally Helper'!$L$32:$GI$32,'Tally Helper'!$L$30:$GI$30,"&gt;="&amp;$BR55,'Tally Helper'!$L$30:$GI$30,"&lt;="&amp;$BS55)))</f>
        <v/>
      </c>
      <c r="AH55" s="15" t="str">
        <f aca="false">IF(OR(L$7="",$BR55=""),"",IF('Tally Helper'!$B$33&lt;&gt;TRUE(),"not on Staff",SUMIFS('Tally Helper'!$L$35:$GI$35,'Tally Helper'!$L$33:$GI$33,"&gt;="&amp;$BR55,'Tally Helper'!$L$33:$GI$33,"&lt;="&amp;$BS55)))</f>
        <v/>
      </c>
      <c r="AI55" s="15" t="str">
        <f aca="false">IF(OR(M$7="",$BR55=""),"",IF('Tally Helper'!$B$36&lt;&gt;TRUE(),"not on Staff",SUMIFS('Tally Helper'!$L$38:$GI$38,'Tally Helper'!$L$36:$GI$36,"&gt;="&amp;$BR55,'Tally Helper'!$L$36:$GI$36,"&lt;="&amp;$BS55)))</f>
        <v/>
      </c>
      <c r="AJ55" s="15" t="str">
        <f aca="false">IF(OR(N$7="",$BR55=""),"",IF('Tally Helper'!$B$39&lt;&gt;TRUE(),"not on Staff",SUMIFS('Tally Helper'!$L$41:$GI$41,'Tally Helper'!$L$39:$GI$39,"&gt;="&amp;$BR55,'Tally Helper'!$L$39:$GI$39,"&lt;="&amp;$BS55)))</f>
        <v/>
      </c>
      <c r="AK55" s="15" t="str">
        <f aca="false">IF(OR(O$7="",$BR55=""),"",IF('Tally Helper'!$B$42&lt;&gt;TRUE(),"not on Staff",SUMIFS('Tally Helper'!$L$44:$GI$44,'Tally Helper'!$L$42:$GI$42,"&gt;="&amp;$BR55,'Tally Helper'!$L$42:$GI$42,"&lt;="&amp;$BS55)))</f>
        <v/>
      </c>
      <c r="AL55" s="15" t="str">
        <f aca="false">IF(OR(P$7="",$BR55=""),"",IF('Tally Helper'!$B$45&lt;&gt;TRUE(),"not on Staff",SUMIFS('Tally Helper'!$L$47:$GI$47,'Tally Helper'!$L$45:$GI$45,"&gt;="&amp;$BR55,'Tally Helper'!$L$45:$GI$45,"&lt;="&amp;$BS55)))</f>
        <v/>
      </c>
      <c r="AM55" s="15" t="str">
        <f aca="false">IF(OR(Q$7="",$BR55=""),"",IF('Tally Helper'!$B$48&lt;&gt;TRUE(),"not on Staff",SUMIFS('Tally Helper'!$L$50:$GI$50,'Tally Helper'!$L$48:$GI$48,"&gt;="&amp;$BR55,'Tally Helper'!$L$48:$GI$48,"&lt;="&amp;$BS55)))</f>
        <v/>
      </c>
      <c r="AN55" s="15" t="str">
        <f aca="false">IF(OR(R$7="",$BR55=""),"",IF('Tally Helper'!$B$51&lt;&gt;TRUE(),"not on Staff",SUMIFS('Tally Helper'!$L$53:$GI$53,'Tally Helper'!$L$51:$GI$51,"&gt;="&amp;$BR55,'Tally Helper'!$L$51:$GI$51,"&lt;="&amp;$BS55)))</f>
        <v/>
      </c>
      <c r="AO55" s="15" t="str">
        <f aca="false">IF(OR(S$7="",$BR55=""),"",IF('Tally Helper'!$B$54&lt;&gt;TRUE(),"not on Staff",SUMIFS('Tally Helper'!$L$56:$GI$56,'Tally Helper'!$L$54:$GI$54,"&gt;="&amp;$BR55,'Tally Helper'!$L$54:$GI$54,"&lt;="&amp;$BS55)))</f>
        <v/>
      </c>
      <c r="AP55" s="15" t="str">
        <f aca="false">IF(OR(T$7="",$BR55=""),"",IF('Tally Helper'!$B$57&lt;&gt;TRUE(),"not on Staff",SUMIFS('Tally Helper'!$L$59:$GI$59,'Tally Helper'!$L$57:$GI$57,"&gt;="&amp;$BR55,'Tally Helper'!$L$57:$GI$57,"&lt;="&amp;$BS55)))</f>
        <v/>
      </c>
      <c r="AQ55" s="15" t="str">
        <f aca="false">IF(OR(U$7="",$BR55=""),"",IF('Tally Helper'!$B$60&lt;&gt;TRUE(),"not on Staff",SUMIFS('Tally Helper'!$L$62:$GI$62,'Tally Helper'!$L$60:$GI$60,"&gt;="&amp;$BR55,'Tally Helper'!$L$60:$GI$60,"&lt;="&amp;$BS55)))</f>
        <v/>
      </c>
      <c r="AT55" s="15" t="str">
        <f aca="false">IF(OR(X55="",NOT(ISNUMBER(X55))),"",X55-N(B55))</f>
        <v/>
      </c>
      <c r="AU55" s="15" t="str">
        <f aca="false">IF(OR(Y55="",NOT(ISNUMBER(Y55))),"",Y55-N(C55))</f>
        <v/>
      </c>
      <c r="AV55" s="15" t="str">
        <f aca="false">IF(OR(Z55="",NOT(ISNUMBER(Z55))),"",Z55-N(D55))</f>
        <v/>
      </c>
      <c r="AW55" s="15" t="str">
        <f aca="false">IF(OR(AA55="",NOT(ISNUMBER(AA55))),"",AA55-N(E55))</f>
        <v/>
      </c>
      <c r="AX55" s="15" t="str">
        <f aca="false">IF(OR(AB55="",NOT(ISNUMBER(AB55))),"",AB55-N(F55))</f>
        <v/>
      </c>
      <c r="AY55" s="15" t="str">
        <f aca="false">IF(OR(AC55="",NOT(ISNUMBER(AC55))),"",AC55-N(G55))</f>
        <v/>
      </c>
      <c r="AZ55" s="15" t="str">
        <f aca="false">IF(OR(AD55="",NOT(ISNUMBER(AD55))),"",AD55-N(H55))</f>
        <v/>
      </c>
      <c r="BA55" s="15" t="str">
        <f aca="false">IF(OR(AE55="",NOT(ISNUMBER(AE55))),"",AE55-N(I55))</f>
        <v/>
      </c>
      <c r="BB55" s="15" t="str">
        <f aca="false">IF(OR(AF55="",NOT(ISNUMBER(AF55))),"",AF55-N(J55))</f>
        <v/>
      </c>
      <c r="BC55" s="15" t="str">
        <f aca="false">IF(OR(AG55="",NOT(ISNUMBER(AG55))),"",AG55-N(K55))</f>
        <v/>
      </c>
      <c r="BD55" s="15" t="str">
        <f aca="false">IF(OR(AH55="",NOT(ISNUMBER(AH55))),"",AH55-N(L55))</f>
        <v/>
      </c>
      <c r="BE55" s="15" t="str">
        <f aca="false">IF(OR(AI55="",NOT(ISNUMBER(AI55))),"",AI55-N(M55))</f>
        <v/>
      </c>
      <c r="BF55" s="15" t="str">
        <f aca="false">IF(OR(AJ55="",NOT(ISNUMBER(AJ55))),"",AJ55-N(N55))</f>
        <v/>
      </c>
      <c r="BG55" s="15" t="str">
        <f aca="false">IF(OR(AK55="",NOT(ISNUMBER(AK55))),"",AK55-N(O55))</f>
        <v/>
      </c>
      <c r="BH55" s="15" t="str">
        <f aca="false">IF(OR(AL55="",NOT(ISNUMBER(AL55))),"",AL55-N(P55))</f>
        <v/>
      </c>
      <c r="BI55" s="15" t="str">
        <f aca="false">IF(OR(AM55="",NOT(ISNUMBER(AM55))),"",AM55-N(Q55))</f>
        <v/>
      </c>
      <c r="BJ55" s="15" t="str">
        <f aca="false">IF(OR(AN55="",NOT(ISNUMBER(AN55))),"",AN55-N(R55))</f>
        <v/>
      </c>
      <c r="BK55" s="15" t="str">
        <f aca="false">IF(OR(AO55="",NOT(ISNUMBER(AO55))),"",AO55-N(S55))</f>
        <v/>
      </c>
      <c r="BL55" s="15" t="str">
        <f aca="false">IF(OR(AP55="",NOT(ISNUMBER(AP55))),"",AP55-N(T55))</f>
        <v/>
      </c>
      <c r="BM55" s="15" t="str">
        <f aca="false">IF(OR(AQ55="",NOT(ISNUMBER(AQ55))),"",AQ55-N(U55))</f>
        <v/>
      </c>
      <c r="BR55" s="18" t="str">
        <f aca="false">IF($A55="","",IF(ISNUMBER($A55),DATE(YEAR($A55),MONTH($A55),1),IFERROR(DATE(2000+VALUE(RIGHT(TRIM($A55),2)),MATCH(UPPER(LEFT(TRIM($A55),3)),{"JAN","FEB","MAR","APR","MAY","JUN","JUL","AUG","SEP","OCT","NOV","DEC"},0),1),"")))</f>
        <v/>
      </c>
      <c r="BS55" s="18" t="str">
        <f aca="false">IF(BR55="","",EOMONTH(BR55,0))</f>
        <v/>
      </c>
    </row>
    <row r="56" customFormat="false" ht="15" hidden="false" customHeight="false" outlineLevel="0" collapsed="false">
      <c r="B56" s="19"/>
      <c r="C56" s="19"/>
      <c r="D56" s="19"/>
      <c r="E56" s="19"/>
      <c r="F56" s="19"/>
      <c r="G56" s="19"/>
      <c r="H56" s="19"/>
      <c r="I56" s="19"/>
      <c r="J56" s="19"/>
      <c r="K56" s="19"/>
      <c r="L56" s="19"/>
      <c r="M56" s="19"/>
      <c r="N56" s="19"/>
      <c r="O56" s="19"/>
      <c r="P56" s="19"/>
      <c r="Q56" s="19"/>
      <c r="R56" s="19"/>
      <c r="S56" s="19"/>
      <c r="T56" s="19"/>
      <c r="U56" s="19"/>
      <c r="X56" s="15" t="str">
        <f aca="false">IF(OR(B$7="",$BR56=""),"",IF('Tally Helper'!$B$3&lt;&gt;TRUE(),"not on Staff",SUMIFS('Tally Helper'!$L$5:$GI$5,'Tally Helper'!$L$3:$GI$3,"&gt;="&amp;$BR56,'Tally Helper'!$L$3:$GI$3,"&lt;="&amp;$BS56)))</f>
        <v/>
      </c>
      <c r="Y56" s="15" t="str">
        <f aca="false">IF(OR(C$7="",$BR56=""),"",IF('Tally Helper'!$B$6&lt;&gt;TRUE(),"not on Staff",SUMIFS('Tally Helper'!$L$8:$GI$8,'Tally Helper'!$L$6:$GI$6,"&gt;="&amp;$BR56,'Tally Helper'!$L$6:$GI$6,"&lt;="&amp;$BS56)))</f>
        <v/>
      </c>
      <c r="Z56" s="15" t="str">
        <f aca="false">IF(OR(D$7="",$BR56=""),"",IF('Tally Helper'!$B$9&lt;&gt;TRUE(),"not on Staff",SUMIFS('Tally Helper'!$L$11:$GI$11,'Tally Helper'!$L$9:$GI$9,"&gt;="&amp;$BR56,'Tally Helper'!$L$9:$GI$9,"&lt;="&amp;$BS56)))</f>
        <v/>
      </c>
      <c r="AA56" s="15" t="str">
        <f aca="false">IF(OR(E$7="",$BR56=""),"",IF('Tally Helper'!$B$12&lt;&gt;TRUE(),"not on Staff",SUMIFS('Tally Helper'!$L$14:$GI$14,'Tally Helper'!$L$12:$GI$12,"&gt;="&amp;$BR56,'Tally Helper'!$L$12:$GI$12,"&lt;="&amp;$BS56)))</f>
        <v/>
      </c>
      <c r="AB56" s="15" t="str">
        <f aca="false">IF(OR(F$7="",$BR56=""),"",IF('Tally Helper'!$B$15&lt;&gt;TRUE(),"not on Staff",SUMIFS('Tally Helper'!$L$17:$GI$17,'Tally Helper'!$L$15:$GI$15,"&gt;="&amp;$BR56,'Tally Helper'!$L$15:$GI$15,"&lt;="&amp;$BS56)))</f>
        <v/>
      </c>
      <c r="AC56" s="15" t="str">
        <f aca="false">IF(OR(G$7="",$BR56=""),"",IF('Tally Helper'!$B$18&lt;&gt;TRUE(),"not on Staff",SUMIFS('Tally Helper'!$L$20:$GI$20,'Tally Helper'!$L$18:$GI$18,"&gt;="&amp;$BR56,'Tally Helper'!$L$18:$GI$18,"&lt;="&amp;$BS56)))</f>
        <v/>
      </c>
      <c r="AD56" s="15" t="str">
        <f aca="false">IF(OR(H$7="",$BR56=""),"",IF('Tally Helper'!$B$21&lt;&gt;TRUE(),"not on Staff",SUMIFS('Tally Helper'!$L$23:$GI$23,'Tally Helper'!$L$21:$GI$21,"&gt;="&amp;$BR56,'Tally Helper'!$L$21:$GI$21,"&lt;="&amp;$BS56)))</f>
        <v/>
      </c>
      <c r="AE56" s="15" t="str">
        <f aca="false">IF(OR(I$7="",$BR56=""),"",IF('Tally Helper'!$B$24&lt;&gt;TRUE(),"not on Staff",SUMIFS('Tally Helper'!$L$26:$GI$26,'Tally Helper'!$L$24:$GI$24,"&gt;="&amp;$BR56,'Tally Helper'!$L$24:$GI$24,"&lt;="&amp;$BS56)))</f>
        <v/>
      </c>
      <c r="AF56" s="15" t="str">
        <f aca="false">IF(OR(J$7="",$BR56=""),"",IF('Tally Helper'!$B$27&lt;&gt;TRUE(),"not on Staff",SUMIFS('Tally Helper'!$L$29:$GI$29,'Tally Helper'!$L$27:$GI$27,"&gt;="&amp;$BR56,'Tally Helper'!$L$27:$GI$27,"&lt;="&amp;$BS56)))</f>
        <v/>
      </c>
      <c r="AG56" s="15" t="str">
        <f aca="false">IF(OR(K$7="",$BR56=""),"",IF('Tally Helper'!$B$30&lt;&gt;TRUE(),"not on Staff",SUMIFS('Tally Helper'!$L$32:$GI$32,'Tally Helper'!$L$30:$GI$30,"&gt;="&amp;$BR56,'Tally Helper'!$L$30:$GI$30,"&lt;="&amp;$BS56)))</f>
        <v/>
      </c>
      <c r="AH56" s="15" t="str">
        <f aca="false">IF(OR(L$7="",$BR56=""),"",IF('Tally Helper'!$B$33&lt;&gt;TRUE(),"not on Staff",SUMIFS('Tally Helper'!$L$35:$GI$35,'Tally Helper'!$L$33:$GI$33,"&gt;="&amp;$BR56,'Tally Helper'!$L$33:$GI$33,"&lt;="&amp;$BS56)))</f>
        <v/>
      </c>
      <c r="AI56" s="15" t="str">
        <f aca="false">IF(OR(M$7="",$BR56=""),"",IF('Tally Helper'!$B$36&lt;&gt;TRUE(),"not on Staff",SUMIFS('Tally Helper'!$L$38:$GI$38,'Tally Helper'!$L$36:$GI$36,"&gt;="&amp;$BR56,'Tally Helper'!$L$36:$GI$36,"&lt;="&amp;$BS56)))</f>
        <v/>
      </c>
      <c r="AJ56" s="15" t="str">
        <f aca="false">IF(OR(N$7="",$BR56=""),"",IF('Tally Helper'!$B$39&lt;&gt;TRUE(),"not on Staff",SUMIFS('Tally Helper'!$L$41:$GI$41,'Tally Helper'!$L$39:$GI$39,"&gt;="&amp;$BR56,'Tally Helper'!$L$39:$GI$39,"&lt;="&amp;$BS56)))</f>
        <v/>
      </c>
      <c r="AK56" s="15" t="str">
        <f aca="false">IF(OR(O$7="",$BR56=""),"",IF('Tally Helper'!$B$42&lt;&gt;TRUE(),"not on Staff",SUMIFS('Tally Helper'!$L$44:$GI$44,'Tally Helper'!$L$42:$GI$42,"&gt;="&amp;$BR56,'Tally Helper'!$L$42:$GI$42,"&lt;="&amp;$BS56)))</f>
        <v/>
      </c>
      <c r="AL56" s="15" t="str">
        <f aca="false">IF(OR(P$7="",$BR56=""),"",IF('Tally Helper'!$B$45&lt;&gt;TRUE(),"not on Staff",SUMIFS('Tally Helper'!$L$47:$GI$47,'Tally Helper'!$L$45:$GI$45,"&gt;="&amp;$BR56,'Tally Helper'!$L$45:$GI$45,"&lt;="&amp;$BS56)))</f>
        <v/>
      </c>
      <c r="AM56" s="15" t="str">
        <f aca="false">IF(OR(Q$7="",$BR56=""),"",IF('Tally Helper'!$B$48&lt;&gt;TRUE(),"not on Staff",SUMIFS('Tally Helper'!$L$50:$GI$50,'Tally Helper'!$L$48:$GI$48,"&gt;="&amp;$BR56,'Tally Helper'!$L$48:$GI$48,"&lt;="&amp;$BS56)))</f>
        <v/>
      </c>
      <c r="AN56" s="15" t="str">
        <f aca="false">IF(OR(R$7="",$BR56=""),"",IF('Tally Helper'!$B$51&lt;&gt;TRUE(),"not on Staff",SUMIFS('Tally Helper'!$L$53:$GI$53,'Tally Helper'!$L$51:$GI$51,"&gt;="&amp;$BR56,'Tally Helper'!$L$51:$GI$51,"&lt;="&amp;$BS56)))</f>
        <v/>
      </c>
      <c r="AO56" s="15" t="str">
        <f aca="false">IF(OR(S$7="",$BR56=""),"",IF('Tally Helper'!$B$54&lt;&gt;TRUE(),"not on Staff",SUMIFS('Tally Helper'!$L$56:$GI$56,'Tally Helper'!$L$54:$GI$54,"&gt;="&amp;$BR56,'Tally Helper'!$L$54:$GI$54,"&lt;="&amp;$BS56)))</f>
        <v/>
      </c>
      <c r="AP56" s="15" t="str">
        <f aca="false">IF(OR(T$7="",$BR56=""),"",IF('Tally Helper'!$B$57&lt;&gt;TRUE(),"not on Staff",SUMIFS('Tally Helper'!$L$59:$GI$59,'Tally Helper'!$L$57:$GI$57,"&gt;="&amp;$BR56,'Tally Helper'!$L$57:$GI$57,"&lt;="&amp;$BS56)))</f>
        <v/>
      </c>
      <c r="AQ56" s="15" t="str">
        <f aca="false">IF(OR(U$7="",$BR56=""),"",IF('Tally Helper'!$B$60&lt;&gt;TRUE(),"not on Staff",SUMIFS('Tally Helper'!$L$62:$GI$62,'Tally Helper'!$L$60:$GI$60,"&gt;="&amp;$BR56,'Tally Helper'!$L$60:$GI$60,"&lt;="&amp;$BS56)))</f>
        <v/>
      </c>
      <c r="AT56" s="15" t="str">
        <f aca="false">IF(OR(X56="",NOT(ISNUMBER(X56))),"",X56-N(B56))</f>
        <v/>
      </c>
      <c r="AU56" s="15" t="str">
        <f aca="false">IF(OR(Y56="",NOT(ISNUMBER(Y56))),"",Y56-N(C56))</f>
        <v/>
      </c>
      <c r="AV56" s="15" t="str">
        <f aca="false">IF(OR(Z56="",NOT(ISNUMBER(Z56))),"",Z56-N(D56))</f>
        <v/>
      </c>
      <c r="AW56" s="15" t="str">
        <f aca="false">IF(OR(AA56="",NOT(ISNUMBER(AA56))),"",AA56-N(E56))</f>
        <v/>
      </c>
      <c r="AX56" s="15" t="str">
        <f aca="false">IF(OR(AB56="",NOT(ISNUMBER(AB56))),"",AB56-N(F56))</f>
        <v/>
      </c>
      <c r="AY56" s="15" t="str">
        <f aca="false">IF(OR(AC56="",NOT(ISNUMBER(AC56))),"",AC56-N(G56))</f>
        <v/>
      </c>
      <c r="AZ56" s="15" t="str">
        <f aca="false">IF(OR(AD56="",NOT(ISNUMBER(AD56))),"",AD56-N(H56))</f>
        <v/>
      </c>
      <c r="BA56" s="15" t="str">
        <f aca="false">IF(OR(AE56="",NOT(ISNUMBER(AE56))),"",AE56-N(I56))</f>
        <v/>
      </c>
      <c r="BB56" s="15" t="str">
        <f aca="false">IF(OR(AF56="",NOT(ISNUMBER(AF56))),"",AF56-N(J56))</f>
        <v/>
      </c>
      <c r="BC56" s="15" t="str">
        <f aca="false">IF(OR(AG56="",NOT(ISNUMBER(AG56))),"",AG56-N(K56))</f>
        <v/>
      </c>
      <c r="BD56" s="15" t="str">
        <f aca="false">IF(OR(AH56="",NOT(ISNUMBER(AH56))),"",AH56-N(L56))</f>
        <v/>
      </c>
      <c r="BE56" s="15" t="str">
        <f aca="false">IF(OR(AI56="",NOT(ISNUMBER(AI56))),"",AI56-N(M56))</f>
        <v/>
      </c>
      <c r="BF56" s="15" t="str">
        <f aca="false">IF(OR(AJ56="",NOT(ISNUMBER(AJ56))),"",AJ56-N(N56))</f>
        <v/>
      </c>
      <c r="BG56" s="15" t="str">
        <f aca="false">IF(OR(AK56="",NOT(ISNUMBER(AK56))),"",AK56-N(O56))</f>
        <v/>
      </c>
      <c r="BH56" s="15" t="str">
        <f aca="false">IF(OR(AL56="",NOT(ISNUMBER(AL56))),"",AL56-N(P56))</f>
        <v/>
      </c>
      <c r="BI56" s="15" t="str">
        <f aca="false">IF(OR(AM56="",NOT(ISNUMBER(AM56))),"",AM56-N(Q56))</f>
        <v/>
      </c>
      <c r="BJ56" s="15" t="str">
        <f aca="false">IF(OR(AN56="",NOT(ISNUMBER(AN56))),"",AN56-N(R56))</f>
        <v/>
      </c>
      <c r="BK56" s="15" t="str">
        <f aca="false">IF(OR(AO56="",NOT(ISNUMBER(AO56))),"",AO56-N(S56))</f>
        <v/>
      </c>
      <c r="BL56" s="15" t="str">
        <f aca="false">IF(OR(AP56="",NOT(ISNUMBER(AP56))),"",AP56-N(T56))</f>
        <v/>
      </c>
      <c r="BM56" s="15" t="str">
        <f aca="false">IF(OR(AQ56="",NOT(ISNUMBER(AQ56))),"",AQ56-N(U56))</f>
        <v/>
      </c>
      <c r="BR56" s="18" t="str">
        <f aca="false">IF($A56="","",IF(ISNUMBER($A56),DATE(YEAR($A56),MONTH($A56),1),IFERROR(DATE(2000+VALUE(RIGHT(TRIM($A56),2)),MATCH(UPPER(LEFT(TRIM($A56),3)),{"JAN","FEB","MAR","APR","MAY","JUN","JUL","AUG","SEP","OCT","NOV","DEC"},0),1),"")))</f>
        <v/>
      </c>
      <c r="BS56" s="18" t="str">
        <f aca="false">IF(BR56="","",EOMONTH(BR56,0))</f>
        <v/>
      </c>
    </row>
    <row r="57" customFormat="false" ht="15" hidden="false" customHeight="false" outlineLevel="0" collapsed="false">
      <c r="B57" s="19"/>
      <c r="C57" s="19"/>
      <c r="D57" s="19"/>
      <c r="E57" s="19"/>
      <c r="F57" s="19"/>
      <c r="G57" s="19"/>
      <c r="H57" s="19"/>
      <c r="I57" s="19"/>
      <c r="J57" s="19"/>
      <c r="K57" s="19"/>
      <c r="L57" s="19"/>
      <c r="M57" s="19"/>
      <c r="N57" s="19"/>
      <c r="O57" s="19"/>
      <c r="P57" s="19"/>
      <c r="Q57" s="19"/>
      <c r="R57" s="19"/>
      <c r="S57" s="19"/>
      <c r="T57" s="19"/>
      <c r="U57" s="19"/>
      <c r="X57" s="15" t="str">
        <f aca="false">IF(OR(B$7="",$BR57=""),"",IF('Tally Helper'!$B$3&lt;&gt;TRUE(),"not on Staff",SUMIFS('Tally Helper'!$L$5:$GI$5,'Tally Helper'!$L$3:$GI$3,"&gt;="&amp;$BR57,'Tally Helper'!$L$3:$GI$3,"&lt;="&amp;$BS57)))</f>
        <v/>
      </c>
      <c r="Y57" s="15" t="str">
        <f aca="false">IF(OR(C$7="",$BR57=""),"",IF('Tally Helper'!$B$6&lt;&gt;TRUE(),"not on Staff",SUMIFS('Tally Helper'!$L$8:$GI$8,'Tally Helper'!$L$6:$GI$6,"&gt;="&amp;$BR57,'Tally Helper'!$L$6:$GI$6,"&lt;="&amp;$BS57)))</f>
        <v/>
      </c>
      <c r="Z57" s="15" t="str">
        <f aca="false">IF(OR(D$7="",$BR57=""),"",IF('Tally Helper'!$B$9&lt;&gt;TRUE(),"not on Staff",SUMIFS('Tally Helper'!$L$11:$GI$11,'Tally Helper'!$L$9:$GI$9,"&gt;="&amp;$BR57,'Tally Helper'!$L$9:$GI$9,"&lt;="&amp;$BS57)))</f>
        <v/>
      </c>
      <c r="AA57" s="15" t="str">
        <f aca="false">IF(OR(E$7="",$BR57=""),"",IF('Tally Helper'!$B$12&lt;&gt;TRUE(),"not on Staff",SUMIFS('Tally Helper'!$L$14:$GI$14,'Tally Helper'!$L$12:$GI$12,"&gt;="&amp;$BR57,'Tally Helper'!$L$12:$GI$12,"&lt;="&amp;$BS57)))</f>
        <v/>
      </c>
      <c r="AB57" s="15" t="str">
        <f aca="false">IF(OR(F$7="",$BR57=""),"",IF('Tally Helper'!$B$15&lt;&gt;TRUE(),"not on Staff",SUMIFS('Tally Helper'!$L$17:$GI$17,'Tally Helper'!$L$15:$GI$15,"&gt;="&amp;$BR57,'Tally Helper'!$L$15:$GI$15,"&lt;="&amp;$BS57)))</f>
        <v/>
      </c>
      <c r="AC57" s="15" t="str">
        <f aca="false">IF(OR(G$7="",$BR57=""),"",IF('Tally Helper'!$B$18&lt;&gt;TRUE(),"not on Staff",SUMIFS('Tally Helper'!$L$20:$GI$20,'Tally Helper'!$L$18:$GI$18,"&gt;="&amp;$BR57,'Tally Helper'!$L$18:$GI$18,"&lt;="&amp;$BS57)))</f>
        <v/>
      </c>
      <c r="AD57" s="15" t="str">
        <f aca="false">IF(OR(H$7="",$BR57=""),"",IF('Tally Helper'!$B$21&lt;&gt;TRUE(),"not on Staff",SUMIFS('Tally Helper'!$L$23:$GI$23,'Tally Helper'!$L$21:$GI$21,"&gt;="&amp;$BR57,'Tally Helper'!$L$21:$GI$21,"&lt;="&amp;$BS57)))</f>
        <v/>
      </c>
      <c r="AE57" s="15" t="str">
        <f aca="false">IF(OR(I$7="",$BR57=""),"",IF('Tally Helper'!$B$24&lt;&gt;TRUE(),"not on Staff",SUMIFS('Tally Helper'!$L$26:$GI$26,'Tally Helper'!$L$24:$GI$24,"&gt;="&amp;$BR57,'Tally Helper'!$L$24:$GI$24,"&lt;="&amp;$BS57)))</f>
        <v/>
      </c>
      <c r="AF57" s="15" t="str">
        <f aca="false">IF(OR(J$7="",$BR57=""),"",IF('Tally Helper'!$B$27&lt;&gt;TRUE(),"not on Staff",SUMIFS('Tally Helper'!$L$29:$GI$29,'Tally Helper'!$L$27:$GI$27,"&gt;="&amp;$BR57,'Tally Helper'!$L$27:$GI$27,"&lt;="&amp;$BS57)))</f>
        <v/>
      </c>
      <c r="AG57" s="15" t="str">
        <f aca="false">IF(OR(K$7="",$BR57=""),"",IF('Tally Helper'!$B$30&lt;&gt;TRUE(),"not on Staff",SUMIFS('Tally Helper'!$L$32:$GI$32,'Tally Helper'!$L$30:$GI$30,"&gt;="&amp;$BR57,'Tally Helper'!$L$30:$GI$30,"&lt;="&amp;$BS57)))</f>
        <v/>
      </c>
      <c r="AH57" s="15" t="str">
        <f aca="false">IF(OR(L$7="",$BR57=""),"",IF('Tally Helper'!$B$33&lt;&gt;TRUE(),"not on Staff",SUMIFS('Tally Helper'!$L$35:$GI$35,'Tally Helper'!$L$33:$GI$33,"&gt;="&amp;$BR57,'Tally Helper'!$L$33:$GI$33,"&lt;="&amp;$BS57)))</f>
        <v/>
      </c>
      <c r="AI57" s="15" t="str">
        <f aca="false">IF(OR(M$7="",$BR57=""),"",IF('Tally Helper'!$B$36&lt;&gt;TRUE(),"not on Staff",SUMIFS('Tally Helper'!$L$38:$GI$38,'Tally Helper'!$L$36:$GI$36,"&gt;="&amp;$BR57,'Tally Helper'!$L$36:$GI$36,"&lt;="&amp;$BS57)))</f>
        <v/>
      </c>
      <c r="AJ57" s="15" t="str">
        <f aca="false">IF(OR(N$7="",$BR57=""),"",IF('Tally Helper'!$B$39&lt;&gt;TRUE(),"not on Staff",SUMIFS('Tally Helper'!$L$41:$GI$41,'Tally Helper'!$L$39:$GI$39,"&gt;="&amp;$BR57,'Tally Helper'!$L$39:$GI$39,"&lt;="&amp;$BS57)))</f>
        <v/>
      </c>
      <c r="AK57" s="15" t="str">
        <f aca="false">IF(OR(O$7="",$BR57=""),"",IF('Tally Helper'!$B$42&lt;&gt;TRUE(),"not on Staff",SUMIFS('Tally Helper'!$L$44:$GI$44,'Tally Helper'!$L$42:$GI$42,"&gt;="&amp;$BR57,'Tally Helper'!$L$42:$GI$42,"&lt;="&amp;$BS57)))</f>
        <v/>
      </c>
      <c r="AL57" s="15" t="str">
        <f aca="false">IF(OR(P$7="",$BR57=""),"",IF('Tally Helper'!$B$45&lt;&gt;TRUE(),"not on Staff",SUMIFS('Tally Helper'!$L$47:$GI$47,'Tally Helper'!$L$45:$GI$45,"&gt;="&amp;$BR57,'Tally Helper'!$L$45:$GI$45,"&lt;="&amp;$BS57)))</f>
        <v/>
      </c>
      <c r="AM57" s="15" t="str">
        <f aca="false">IF(OR(Q$7="",$BR57=""),"",IF('Tally Helper'!$B$48&lt;&gt;TRUE(),"not on Staff",SUMIFS('Tally Helper'!$L$50:$GI$50,'Tally Helper'!$L$48:$GI$48,"&gt;="&amp;$BR57,'Tally Helper'!$L$48:$GI$48,"&lt;="&amp;$BS57)))</f>
        <v/>
      </c>
      <c r="AN57" s="15" t="str">
        <f aca="false">IF(OR(R$7="",$BR57=""),"",IF('Tally Helper'!$B$51&lt;&gt;TRUE(),"not on Staff",SUMIFS('Tally Helper'!$L$53:$GI$53,'Tally Helper'!$L$51:$GI$51,"&gt;="&amp;$BR57,'Tally Helper'!$L$51:$GI$51,"&lt;="&amp;$BS57)))</f>
        <v/>
      </c>
      <c r="AO57" s="15" t="str">
        <f aca="false">IF(OR(S$7="",$BR57=""),"",IF('Tally Helper'!$B$54&lt;&gt;TRUE(),"not on Staff",SUMIFS('Tally Helper'!$L$56:$GI$56,'Tally Helper'!$L$54:$GI$54,"&gt;="&amp;$BR57,'Tally Helper'!$L$54:$GI$54,"&lt;="&amp;$BS57)))</f>
        <v/>
      </c>
      <c r="AP57" s="15" t="str">
        <f aca="false">IF(OR(T$7="",$BR57=""),"",IF('Tally Helper'!$B$57&lt;&gt;TRUE(),"not on Staff",SUMIFS('Tally Helper'!$L$59:$GI$59,'Tally Helper'!$L$57:$GI$57,"&gt;="&amp;$BR57,'Tally Helper'!$L$57:$GI$57,"&lt;="&amp;$BS57)))</f>
        <v/>
      </c>
      <c r="AQ57" s="15" t="str">
        <f aca="false">IF(OR(U$7="",$BR57=""),"",IF('Tally Helper'!$B$60&lt;&gt;TRUE(),"not on Staff",SUMIFS('Tally Helper'!$L$62:$GI$62,'Tally Helper'!$L$60:$GI$60,"&gt;="&amp;$BR57,'Tally Helper'!$L$60:$GI$60,"&lt;="&amp;$BS57)))</f>
        <v/>
      </c>
      <c r="AT57" s="15" t="str">
        <f aca="false">IF(OR(X57="",NOT(ISNUMBER(X57))),"",X57-N(B57))</f>
        <v/>
      </c>
      <c r="AU57" s="15" t="str">
        <f aca="false">IF(OR(Y57="",NOT(ISNUMBER(Y57))),"",Y57-N(C57))</f>
        <v/>
      </c>
      <c r="AV57" s="15" t="str">
        <f aca="false">IF(OR(Z57="",NOT(ISNUMBER(Z57))),"",Z57-N(D57))</f>
        <v/>
      </c>
      <c r="AW57" s="15" t="str">
        <f aca="false">IF(OR(AA57="",NOT(ISNUMBER(AA57))),"",AA57-N(E57))</f>
        <v/>
      </c>
      <c r="AX57" s="15" t="str">
        <f aca="false">IF(OR(AB57="",NOT(ISNUMBER(AB57))),"",AB57-N(F57))</f>
        <v/>
      </c>
      <c r="AY57" s="15" t="str">
        <f aca="false">IF(OR(AC57="",NOT(ISNUMBER(AC57))),"",AC57-N(G57))</f>
        <v/>
      </c>
      <c r="AZ57" s="15" t="str">
        <f aca="false">IF(OR(AD57="",NOT(ISNUMBER(AD57))),"",AD57-N(H57))</f>
        <v/>
      </c>
      <c r="BA57" s="15" t="str">
        <f aca="false">IF(OR(AE57="",NOT(ISNUMBER(AE57))),"",AE57-N(I57))</f>
        <v/>
      </c>
      <c r="BB57" s="15" t="str">
        <f aca="false">IF(OR(AF57="",NOT(ISNUMBER(AF57))),"",AF57-N(J57))</f>
        <v/>
      </c>
      <c r="BC57" s="15" t="str">
        <f aca="false">IF(OR(AG57="",NOT(ISNUMBER(AG57))),"",AG57-N(K57))</f>
        <v/>
      </c>
      <c r="BD57" s="15" t="str">
        <f aca="false">IF(OR(AH57="",NOT(ISNUMBER(AH57))),"",AH57-N(L57))</f>
        <v/>
      </c>
      <c r="BE57" s="15" t="str">
        <f aca="false">IF(OR(AI57="",NOT(ISNUMBER(AI57))),"",AI57-N(M57))</f>
        <v/>
      </c>
      <c r="BF57" s="15" t="str">
        <f aca="false">IF(OR(AJ57="",NOT(ISNUMBER(AJ57))),"",AJ57-N(N57))</f>
        <v/>
      </c>
      <c r="BG57" s="15" t="str">
        <f aca="false">IF(OR(AK57="",NOT(ISNUMBER(AK57))),"",AK57-N(O57))</f>
        <v/>
      </c>
      <c r="BH57" s="15" t="str">
        <f aca="false">IF(OR(AL57="",NOT(ISNUMBER(AL57))),"",AL57-N(P57))</f>
        <v/>
      </c>
      <c r="BI57" s="15" t="str">
        <f aca="false">IF(OR(AM57="",NOT(ISNUMBER(AM57))),"",AM57-N(Q57))</f>
        <v/>
      </c>
      <c r="BJ57" s="15" t="str">
        <f aca="false">IF(OR(AN57="",NOT(ISNUMBER(AN57))),"",AN57-N(R57))</f>
        <v/>
      </c>
      <c r="BK57" s="15" t="str">
        <f aca="false">IF(OR(AO57="",NOT(ISNUMBER(AO57))),"",AO57-N(S57))</f>
        <v/>
      </c>
      <c r="BL57" s="15" t="str">
        <f aca="false">IF(OR(AP57="",NOT(ISNUMBER(AP57))),"",AP57-N(T57))</f>
        <v/>
      </c>
      <c r="BM57" s="15" t="str">
        <f aca="false">IF(OR(AQ57="",NOT(ISNUMBER(AQ57))),"",AQ57-N(U57))</f>
        <v/>
      </c>
      <c r="BR57" s="18" t="str">
        <f aca="false">IF($A57="","",IF(ISNUMBER($A57),DATE(YEAR($A57),MONTH($A57),1),IFERROR(DATE(2000+VALUE(RIGHT(TRIM($A57),2)),MATCH(UPPER(LEFT(TRIM($A57),3)),{"JAN","FEB","MAR","APR","MAY","JUN","JUL","AUG","SEP","OCT","NOV","DEC"},0),1),"")))</f>
        <v/>
      </c>
      <c r="BS57" s="18" t="str">
        <f aca="false">IF(BR57="","",EOMONTH(BR57,0))</f>
        <v/>
      </c>
    </row>
    <row r="58" customFormat="false" ht="15" hidden="false" customHeight="false" outlineLevel="0" collapsed="false">
      <c r="B58" s="19"/>
      <c r="C58" s="19"/>
      <c r="D58" s="19"/>
      <c r="E58" s="19"/>
      <c r="F58" s="19"/>
      <c r="G58" s="19"/>
      <c r="H58" s="19"/>
      <c r="I58" s="19"/>
      <c r="J58" s="19"/>
      <c r="K58" s="19"/>
      <c r="L58" s="19"/>
      <c r="M58" s="19"/>
      <c r="N58" s="19"/>
      <c r="O58" s="19"/>
      <c r="P58" s="19"/>
      <c r="Q58" s="19"/>
      <c r="R58" s="19"/>
      <c r="S58" s="19"/>
      <c r="T58" s="19"/>
      <c r="U58" s="19"/>
      <c r="X58" s="15" t="str">
        <f aca="false">IF(OR(B$7="",$BR58=""),"",IF('Tally Helper'!$B$3&lt;&gt;TRUE(),"not on Staff",SUMIFS('Tally Helper'!$L$5:$GI$5,'Tally Helper'!$L$3:$GI$3,"&gt;="&amp;$BR58,'Tally Helper'!$L$3:$GI$3,"&lt;="&amp;$BS58)))</f>
        <v/>
      </c>
      <c r="Y58" s="15" t="str">
        <f aca="false">IF(OR(C$7="",$BR58=""),"",IF('Tally Helper'!$B$6&lt;&gt;TRUE(),"not on Staff",SUMIFS('Tally Helper'!$L$8:$GI$8,'Tally Helper'!$L$6:$GI$6,"&gt;="&amp;$BR58,'Tally Helper'!$L$6:$GI$6,"&lt;="&amp;$BS58)))</f>
        <v/>
      </c>
      <c r="Z58" s="15" t="str">
        <f aca="false">IF(OR(D$7="",$BR58=""),"",IF('Tally Helper'!$B$9&lt;&gt;TRUE(),"not on Staff",SUMIFS('Tally Helper'!$L$11:$GI$11,'Tally Helper'!$L$9:$GI$9,"&gt;="&amp;$BR58,'Tally Helper'!$L$9:$GI$9,"&lt;="&amp;$BS58)))</f>
        <v/>
      </c>
      <c r="AA58" s="15" t="str">
        <f aca="false">IF(OR(E$7="",$BR58=""),"",IF('Tally Helper'!$B$12&lt;&gt;TRUE(),"not on Staff",SUMIFS('Tally Helper'!$L$14:$GI$14,'Tally Helper'!$L$12:$GI$12,"&gt;="&amp;$BR58,'Tally Helper'!$L$12:$GI$12,"&lt;="&amp;$BS58)))</f>
        <v/>
      </c>
      <c r="AB58" s="15" t="str">
        <f aca="false">IF(OR(F$7="",$BR58=""),"",IF('Tally Helper'!$B$15&lt;&gt;TRUE(),"not on Staff",SUMIFS('Tally Helper'!$L$17:$GI$17,'Tally Helper'!$L$15:$GI$15,"&gt;="&amp;$BR58,'Tally Helper'!$L$15:$GI$15,"&lt;="&amp;$BS58)))</f>
        <v/>
      </c>
      <c r="AC58" s="15" t="str">
        <f aca="false">IF(OR(G$7="",$BR58=""),"",IF('Tally Helper'!$B$18&lt;&gt;TRUE(),"not on Staff",SUMIFS('Tally Helper'!$L$20:$GI$20,'Tally Helper'!$L$18:$GI$18,"&gt;="&amp;$BR58,'Tally Helper'!$L$18:$GI$18,"&lt;="&amp;$BS58)))</f>
        <v/>
      </c>
      <c r="AD58" s="15" t="str">
        <f aca="false">IF(OR(H$7="",$BR58=""),"",IF('Tally Helper'!$B$21&lt;&gt;TRUE(),"not on Staff",SUMIFS('Tally Helper'!$L$23:$GI$23,'Tally Helper'!$L$21:$GI$21,"&gt;="&amp;$BR58,'Tally Helper'!$L$21:$GI$21,"&lt;="&amp;$BS58)))</f>
        <v/>
      </c>
      <c r="AE58" s="15" t="str">
        <f aca="false">IF(OR(I$7="",$BR58=""),"",IF('Tally Helper'!$B$24&lt;&gt;TRUE(),"not on Staff",SUMIFS('Tally Helper'!$L$26:$GI$26,'Tally Helper'!$L$24:$GI$24,"&gt;="&amp;$BR58,'Tally Helper'!$L$24:$GI$24,"&lt;="&amp;$BS58)))</f>
        <v/>
      </c>
      <c r="AF58" s="15" t="str">
        <f aca="false">IF(OR(J$7="",$BR58=""),"",IF('Tally Helper'!$B$27&lt;&gt;TRUE(),"not on Staff",SUMIFS('Tally Helper'!$L$29:$GI$29,'Tally Helper'!$L$27:$GI$27,"&gt;="&amp;$BR58,'Tally Helper'!$L$27:$GI$27,"&lt;="&amp;$BS58)))</f>
        <v/>
      </c>
      <c r="AG58" s="15" t="str">
        <f aca="false">IF(OR(K$7="",$BR58=""),"",IF('Tally Helper'!$B$30&lt;&gt;TRUE(),"not on Staff",SUMIFS('Tally Helper'!$L$32:$GI$32,'Tally Helper'!$L$30:$GI$30,"&gt;="&amp;$BR58,'Tally Helper'!$L$30:$GI$30,"&lt;="&amp;$BS58)))</f>
        <v/>
      </c>
      <c r="AH58" s="15" t="str">
        <f aca="false">IF(OR(L$7="",$BR58=""),"",IF('Tally Helper'!$B$33&lt;&gt;TRUE(),"not on Staff",SUMIFS('Tally Helper'!$L$35:$GI$35,'Tally Helper'!$L$33:$GI$33,"&gt;="&amp;$BR58,'Tally Helper'!$L$33:$GI$33,"&lt;="&amp;$BS58)))</f>
        <v/>
      </c>
      <c r="AI58" s="15" t="str">
        <f aca="false">IF(OR(M$7="",$BR58=""),"",IF('Tally Helper'!$B$36&lt;&gt;TRUE(),"not on Staff",SUMIFS('Tally Helper'!$L$38:$GI$38,'Tally Helper'!$L$36:$GI$36,"&gt;="&amp;$BR58,'Tally Helper'!$L$36:$GI$36,"&lt;="&amp;$BS58)))</f>
        <v/>
      </c>
      <c r="AJ58" s="15" t="str">
        <f aca="false">IF(OR(N$7="",$BR58=""),"",IF('Tally Helper'!$B$39&lt;&gt;TRUE(),"not on Staff",SUMIFS('Tally Helper'!$L$41:$GI$41,'Tally Helper'!$L$39:$GI$39,"&gt;="&amp;$BR58,'Tally Helper'!$L$39:$GI$39,"&lt;="&amp;$BS58)))</f>
        <v/>
      </c>
      <c r="AK58" s="15" t="str">
        <f aca="false">IF(OR(O$7="",$BR58=""),"",IF('Tally Helper'!$B$42&lt;&gt;TRUE(),"not on Staff",SUMIFS('Tally Helper'!$L$44:$GI$44,'Tally Helper'!$L$42:$GI$42,"&gt;="&amp;$BR58,'Tally Helper'!$L$42:$GI$42,"&lt;="&amp;$BS58)))</f>
        <v/>
      </c>
      <c r="AL58" s="15" t="str">
        <f aca="false">IF(OR(P$7="",$BR58=""),"",IF('Tally Helper'!$B$45&lt;&gt;TRUE(),"not on Staff",SUMIFS('Tally Helper'!$L$47:$GI$47,'Tally Helper'!$L$45:$GI$45,"&gt;="&amp;$BR58,'Tally Helper'!$L$45:$GI$45,"&lt;="&amp;$BS58)))</f>
        <v/>
      </c>
      <c r="AM58" s="15" t="str">
        <f aca="false">IF(OR(Q$7="",$BR58=""),"",IF('Tally Helper'!$B$48&lt;&gt;TRUE(),"not on Staff",SUMIFS('Tally Helper'!$L$50:$GI$50,'Tally Helper'!$L$48:$GI$48,"&gt;="&amp;$BR58,'Tally Helper'!$L$48:$GI$48,"&lt;="&amp;$BS58)))</f>
        <v/>
      </c>
      <c r="AN58" s="15" t="str">
        <f aca="false">IF(OR(R$7="",$BR58=""),"",IF('Tally Helper'!$B$51&lt;&gt;TRUE(),"not on Staff",SUMIFS('Tally Helper'!$L$53:$GI$53,'Tally Helper'!$L$51:$GI$51,"&gt;="&amp;$BR58,'Tally Helper'!$L$51:$GI$51,"&lt;="&amp;$BS58)))</f>
        <v/>
      </c>
      <c r="AO58" s="15" t="str">
        <f aca="false">IF(OR(S$7="",$BR58=""),"",IF('Tally Helper'!$B$54&lt;&gt;TRUE(),"not on Staff",SUMIFS('Tally Helper'!$L$56:$GI$56,'Tally Helper'!$L$54:$GI$54,"&gt;="&amp;$BR58,'Tally Helper'!$L$54:$GI$54,"&lt;="&amp;$BS58)))</f>
        <v/>
      </c>
      <c r="AP58" s="15" t="str">
        <f aca="false">IF(OR(T$7="",$BR58=""),"",IF('Tally Helper'!$B$57&lt;&gt;TRUE(),"not on Staff",SUMIFS('Tally Helper'!$L$59:$GI$59,'Tally Helper'!$L$57:$GI$57,"&gt;="&amp;$BR58,'Tally Helper'!$L$57:$GI$57,"&lt;="&amp;$BS58)))</f>
        <v/>
      </c>
      <c r="AQ58" s="15" t="str">
        <f aca="false">IF(OR(U$7="",$BR58=""),"",IF('Tally Helper'!$B$60&lt;&gt;TRUE(),"not on Staff",SUMIFS('Tally Helper'!$L$62:$GI$62,'Tally Helper'!$L$60:$GI$60,"&gt;="&amp;$BR58,'Tally Helper'!$L$60:$GI$60,"&lt;="&amp;$BS58)))</f>
        <v/>
      </c>
      <c r="AT58" s="15" t="str">
        <f aca="false">IF(OR(X58="",NOT(ISNUMBER(X58))),"",X58-N(B58))</f>
        <v/>
      </c>
      <c r="AU58" s="15" t="str">
        <f aca="false">IF(OR(Y58="",NOT(ISNUMBER(Y58))),"",Y58-N(C58))</f>
        <v/>
      </c>
      <c r="AV58" s="15" t="str">
        <f aca="false">IF(OR(Z58="",NOT(ISNUMBER(Z58))),"",Z58-N(D58))</f>
        <v/>
      </c>
      <c r="AW58" s="15" t="str">
        <f aca="false">IF(OR(AA58="",NOT(ISNUMBER(AA58))),"",AA58-N(E58))</f>
        <v/>
      </c>
      <c r="AX58" s="15" t="str">
        <f aca="false">IF(OR(AB58="",NOT(ISNUMBER(AB58))),"",AB58-N(F58))</f>
        <v/>
      </c>
      <c r="AY58" s="15" t="str">
        <f aca="false">IF(OR(AC58="",NOT(ISNUMBER(AC58))),"",AC58-N(G58))</f>
        <v/>
      </c>
      <c r="AZ58" s="15" t="str">
        <f aca="false">IF(OR(AD58="",NOT(ISNUMBER(AD58))),"",AD58-N(H58))</f>
        <v/>
      </c>
      <c r="BA58" s="15" t="str">
        <f aca="false">IF(OR(AE58="",NOT(ISNUMBER(AE58))),"",AE58-N(I58))</f>
        <v/>
      </c>
      <c r="BB58" s="15" t="str">
        <f aca="false">IF(OR(AF58="",NOT(ISNUMBER(AF58))),"",AF58-N(J58))</f>
        <v/>
      </c>
      <c r="BC58" s="15" t="str">
        <f aca="false">IF(OR(AG58="",NOT(ISNUMBER(AG58))),"",AG58-N(K58))</f>
        <v/>
      </c>
      <c r="BD58" s="15" t="str">
        <f aca="false">IF(OR(AH58="",NOT(ISNUMBER(AH58))),"",AH58-N(L58))</f>
        <v/>
      </c>
      <c r="BE58" s="15" t="str">
        <f aca="false">IF(OR(AI58="",NOT(ISNUMBER(AI58))),"",AI58-N(M58))</f>
        <v/>
      </c>
      <c r="BF58" s="15" t="str">
        <f aca="false">IF(OR(AJ58="",NOT(ISNUMBER(AJ58))),"",AJ58-N(N58))</f>
        <v/>
      </c>
      <c r="BG58" s="15" t="str">
        <f aca="false">IF(OR(AK58="",NOT(ISNUMBER(AK58))),"",AK58-N(O58))</f>
        <v/>
      </c>
      <c r="BH58" s="15" t="str">
        <f aca="false">IF(OR(AL58="",NOT(ISNUMBER(AL58))),"",AL58-N(P58))</f>
        <v/>
      </c>
      <c r="BI58" s="15" t="str">
        <f aca="false">IF(OR(AM58="",NOT(ISNUMBER(AM58))),"",AM58-N(Q58))</f>
        <v/>
      </c>
      <c r="BJ58" s="15" t="str">
        <f aca="false">IF(OR(AN58="",NOT(ISNUMBER(AN58))),"",AN58-N(R58))</f>
        <v/>
      </c>
      <c r="BK58" s="15" t="str">
        <f aca="false">IF(OR(AO58="",NOT(ISNUMBER(AO58))),"",AO58-N(S58))</f>
        <v/>
      </c>
      <c r="BL58" s="15" t="str">
        <f aca="false">IF(OR(AP58="",NOT(ISNUMBER(AP58))),"",AP58-N(T58))</f>
        <v/>
      </c>
      <c r="BM58" s="15" t="str">
        <f aca="false">IF(OR(AQ58="",NOT(ISNUMBER(AQ58))),"",AQ58-N(U58))</f>
        <v/>
      </c>
      <c r="BR58" s="18" t="str">
        <f aca="false">IF($A58="","",IF(ISNUMBER($A58),DATE(YEAR($A58),MONTH($A58),1),IFERROR(DATE(2000+VALUE(RIGHT(TRIM($A58),2)),MATCH(UPPER(LEFT(TRIM($A58),3)),{"JAN","FEB","MAR","APR","MAY","JUN","JUL","AUG","SEP","OCT","NOV","DEC"},0),1),"")))</f>
        <v/>
      </c>
      <c r="BS58" s="18" t="str">
        <f aca="false">IF(BR58="","",EOMONTH(BR58,0))</f>
        <v/>
      </c>
    </row>
    <row r="59" customFormat="false" ht="15" hidden="false" customHeight="false" outlineLevel="0" collapsed="false">
      <c r="B59" s="19"/>
      <c r="C59" s="19"/>
      <c r="D59" s="19"/>
      <c r="E59" s="19"/>
      <c r="F59" s="19"/>
      <c r="G59" s="19"/>
      <c r="H59" s="19"/>
      <c r="I59" s="19"/>
      <c r="J59" s="19"/>
      <c r="K59" s="19"/>
      <c r="L59" s="19"/>
      <c r="M59" s="19"/>
      <c r="N59" s="19"/>
      <c r="O59" s="19"/>
      <c r="P59" s="19"/>
      <c r="Q59" s="19"/>
      <c r="R59" s="19"/>
      <c r="S59" s="19"/>
      <c r="T59" s="19"/>
      <c r="U59" s="19"/>
      <c r="X59" s="15" t="str">
        <f aca="false">IF(OR(B$7="",$BR59=""),"",IF('Tally Helper'!$B$3&lt;&gt;TRUE(),"not on Staff",SUMIFS('Tally Helper'!$L$5:$GI$5,'Tally Helper'!$L$3:$GI$3,"&gt;="&amp;$BR59,'Tally Helper'!$L$3:$GI$3,"&lt;="&amp;$BS59)))</f>
        <v/>
      </c>
      <c r="Y59" s="15" t="str">
        <f aca="false">IF(OR(C$7="",$BR59=""),"",IF('Tally Helper'!$B$6&lt;&gt;TRUE(),"not on Staff",SUMIFS('Tally Helper'!$L$8:$GI$8,'Tally Helper'!$L$6:$GI$6,"&gt;="&amp;$BR59,'Tally Helper'!$L$6:$GI$6,"&lt;="&amp;$BS59)))</f>
        <v/>
      </c>
      <c r="Z59" s="15" t="str">
        <f aca="false">IF(OR(D$7="",$BR59=""),"",IF('Tally Helper'!$B$9&lt;&gt;TRUE(),"not on Staff",SUMIFS('Tally Helper'!$L$11:$GI$11,'Tally Helper'!$L$9:$GI$9,"&gt;="&amp;$BR59,'Tally Helper'!$L$9:$GI$9,"&lt;="&amp;$BS59)))</f>
        <v/>
      </c>
      <c r="AA59" s="15" t="str">
        <f aca="false">IF(OR(E$7="",$BR59=""),"",IF('Tally Helper'!$B$12&lt;&gt;TRUE(),"not on Staff",SUMIFS('Tally Helper'!$L$14:$GI$14,'Tally Helper'!$L$12:$GI$12,"&gt;="&amp;$BR59,'Tally Helper'!$L$12:$GI$12,"&lt;="&amp;$BS59)))</f>
        <v/>
      </c>
      <c r="AB59" s="15" t="str">
        <f aca="false">IF(OR(F$7="",$BR59=""),"",IF('Tally Helper'!$B$15&lt;&gt;TRUE(),"not on Staff",SUMIFS('Tally Helper'!$L$17:$GI$17,'Tally Helper'!$L$15:$GI$15,"&gt;="&amp;$BR59,'Tally Helper'!$L$15:$GI$15,"&lt;="&amp;$BS59)))</f>
        <v/>
      </c>
      <c r="AC59" s="15" t="str">
        <f aca="false">IF(OR(G$7="",$BR59=""),"",IF('Tally Helper'!$B$18&lt;&gt;TRUE(),"not on Staff",SUMIFS('Tally Helper'!$L$20:$GI$20,'Tally Helper'!$L$18:$GI$18,"&gt;="&amp;$BR59,'Tally Helper'!$L$18:$GI$18,"&lt;="&amp;$BS59)))</f>
        <v/>
      </c>
      <c r="AD59" s="15" t="str">
        <f aca="false">IF(OR(H$7="",$BR59=""),"",IF('Tally Helper'!$B$21&lt;&gt;TRUE(),"not on Staff",SUMIFS('Tally Helper'!$L$23:$GI$23,'Tally Helper'!$L$21:$GI$21,"&gt;="&amp;$BR59,'Tally Helper'!$L$21:$GI$21,"&lt;="&amp;$BS59)))</f>
        <v/>
      </c>
      <c r="AE59" s="15" t="str">
        <f aca="false">IF(OR(I$7="",$BR59=""),"",IF('Tally Helper'!$B$24&lt;&gt;TRUE(),"not on Staff",SUMIFS('Tally Helper'!$L$26:$GI$26,'Tally Helper'!$L$24:$GI$24,"&gt;="&amp;$BR59,'Tally Helper'!$L$24:$GI$24,"&lt;="&amp;$BS59)))</f>
        <v/>
      </c>
      <c r="AF59" s="15" t="str">
        <f aca="false">IF(OR(J$7="",$BR59=""),"",IF('Tally Helper'!$B$27&lt;&gt;TRUE(),"not on Staff",SUMIFS('Tally Helper'!$L$29:$GI$29,'Tally Helper'!$L$27:$GI$27,"&gt;="&amp;$BR59,'Tally Helper'!$L$27:$GI$27,"&lt;="&amp;$BS59)))</f>
        <v/>
      </c>
      <c r="AG59" s="15" t="str">
        <f aca="false">IF(OR(K$7="",$BR59=""),"",IF('Tally Helper'!$B$30&lt;&gt;TRUE(),"not on Staff",SUMIFS('Tally Helper'!$L$32:$GI$32,'Tally Helper'!$L$30:$GI$30,"&gt;="&amp;$BR59,'Tally Helper'!$L$30:$GI$30,"&lt;="&amp;$BS59)))</f>
        <v/>
      </c>
      <c r="AH59" s="15" t="str">
        <f aca="false">IF(OR(L$7="",$BR59=""),"",IF('Tally Helper'!$B$33&lt;&gt;TRUE(),"not on Staff",SUMIFS('Tally Helper'!$L$35:$GI$35,'Tally Helper'!$L$33:$GI$33,"&gt;="&amp;$BR59,'Tally Helper'!$L$33:$GI$33,"&lt;="&amp;$BS59)))</f>
        <v/>
      </c>
      <c r="AI59" s="15" t="str">
        <f aca="false">IF(OR(M$7="",$BR59=""),"",IF('Tally Helper'!$B$36&lt;&gt;TRUE(),"not on Staff",SUMIFS('Tally Helper'!$L$38:$GI$38,'Tally Helper'!$L$36:$GI$36,"&gt;="&amp;$BR59,'Tally Helper'!$L$36:$GI$36,"&lt;="&amp;$BS59)))</f>
        <v/>
      </c>
      <c r="AJ59" s="15" t="str">
        <f aca="false">IF(OR(N$7="",$BR59=""),"",IF('Tally Helper'!$B$39&lt;&gt;TRUE(),"not on Staff",SUMIFS('Tally Helper'!$L$41:$GI$41,'Tally Helper'!$L$39:$GI$39,"&gt;="&amp;$BR59,'Tally Helper'!$L$39:$GI$39,"&lt;="&amp;$BS59)))</f>
        <v/>
      </c>
      <c r="AK59" s="15" t="str">
        <f aca="false">IF(OR(O$7="",$BR59=""),"",IF('Tally Helper'!$B$42&lt;&gt;TRUE(),"not on Staff",SUMIFS('Tally Helper'!$L$44:$GI$44,'Tally Helper'!$L$42:$GI$42,"&gt;="&amp;$BR59,'Tally Helper'!$L$42:$GI$42,"&lt;="&amp;$BS59)))</f>
        <v/>
      </c>
      <c r="AL59" s="15" t="str">
        <f aca="false">IF(OR(P$7="",$BR59=""),"",IF('Tally Helper'!$B$45&lt;&gt;TRUE(),"not on Staff",SUMIFS('Tally Helper'!$L$47:$GI$47,'Tally Helper'!$L$45:$GI$45,"&gt;="&amp;$BR59,'Tally Helper'!$L$45:$GI$45,"&lt;="&amp;$BS59)))</f>
        <v/>
      </c>
      <c r="AM59" s="15" t="str">
        <f aca="false">IF(OR(Q$7="",$BR59=""),"",IF('Tally Helper'!$B$48&lt;&gt;TRUE(),"not on Staff",SUMIFS('Tally Helper'!$L$50:$GI$50,'Tally Helper'!$L$48:$GI$48,"&gt;="&amp;$BR59,'Tally Helper'!$L$48:$GI$48,"&lt;="&amp;$BS59)))</f>
        <v/>
      </c>
      <c r="AN59" s="15" t="str">
        <f aca="false">IF(OR(R$7="",$BR59=""),"",IF('Tally Helper'!$B$51&lt;&gt;TRUE(),"not on Staff",SUMIFS('Tally Helper'!$L$53:$GI$53,'Tally Helper'!$L$51:$GI$51,"&gt;="&amp;$BR59,'Tally Helper'!$L$51:$GI$51,"&lt;="&amp;$BS59)))</f>
        <v/>
      </c>
      <c r="AO59" s="15" t="str">
        <f aca="false">IF(OR(S$7="",$BR59=""),"",IF('Tally Helper'!$B$54&lt;&gt;TRUE(),"not on Staff",SUMIFS('Tally Helper'!$L$56:$GI$56,'Tally Helper'!$L$54:$GI$54,"&gt;="&amp;$BR59,'Tally Helper'!$L$54:$GI$54,"&lt;="&amp;$BS59)))</f>
        <v/>
      </c>
      <c r="AP59" s="15" t="str">
        <f aca="false">IF(OR(T$7="",$BR59=""),"",IF('Tally Helper'!$B$57&lt;&gt;TRUE(),"not on Staff",SUMIFS('Tally Helper'!$L$59:$GI$59,'Tally Helper'!$L$57:$GI$57,"&gt;="&amp;$BR59,'Tally Helper'!$L$57:$GI$57,"&lt;="&amp;$BS59)))</f>
        <v/>
      </c>
      <c r="AQ59" s="15" t="str">
        <f aca="false">IF(OR(U$7="",$BR59=""),"",IF('Tally Helper'!$B$60&lt;&gt;TRUE(),"not on Staff",SUMIFS('Tally Helper'!$L$62:$GI$62,'Tally Helper'!$L$60:$GI$60,"&gt;="&amp;$BR59,'Tally Helper'!$L$60:$GI$60,"&lt;="&amp;$BS59)))</f>
        <v/>
      </c>
      <c r="AT59" s="15" t="str">
        <f aca="false">IF(OR(X59="",NOT(ISNUMBER(X59))),"",X59-N(B59))</f>
        <v/>
      </c>
      <c r="AU59" s="15" t="str">
        <f aca="false">IF(OR(Y59="",NOT(ISNUMBER(Y59))),"",Y59-N(C59))</f>
        <v/>
      </c>
      <c r="AV59" s="15" t="str">
        <f aca="false">IF(OR(Z59="",NOT(ISNUMBER(Z59))),"",Z59-N(D59))</f>
        <v/>
      </c>
      <c r="AW59" s="15" t="str">
        <f aca="false">IF(OR(AA59="",NOT(ISNUMBER(AA59))),"",AA59-N(E59))</f>
        <v/>
      </c>
      <c r="AX59" s="15" t="str">
        <f aca="false">IF(OR(AB59="",NOT(ISNUMBER(AB59))),"",AB59-N(F59))</f>
        <v/>
      </c>
      <c r="AY59" s="15" t="str">
        <f aca="false">IF(OR(AC59="",NOT(ISNUMBER(AC59))),"",AC59-N(G59))</f>
        <v/>
      </c>
      <c r="AZ59" s="15" t="str">
        <f aca="false">IF(OR(AD59="",NOT(ISNUMBER(AD59))),"",AD59-N(H59))</f>
        <v/>
      </c>
      <c r="BA59" s="15" t="str">
        <f aca="false">IF(OR(AE59="",NOT(ISNUMBER(AE59))),"",AE59-N(I59))</f>
        <v/>
      </c>
      <c r="BB59" s="15" t="str">
        <f aca="false">IF(OR(AF59="",NOT(ISNUMBER(AF59))),"",AF59-N(J59))</f>
        <v/>
      </c>
      <c r="BC59" s="15" t="str">
        <f aca="false">IF(OR(AG59="",NOT(ISNUMBER(AG59))),"",AG59-N(K59))</f>
        <v/>
      </c>
      <c r="BD59" s="15" t="str">
        <f aca="false">IF(OR(AH59="",NOT(ISNUMBER(AH59))),"",AH59-N(L59))</f>
        <v/>
      </c>
      <c r="BE59" s="15" t="str">
        <f aca="false">IF(OR(AI59="",NOT(ISNUMBER(AI59))),"",AI59-N(M59))</f>
        <v/>
      </c>
      <c r="BF59" s="15" t="str">
        <f aca="false">IF(OR(AJ59="",NOT(ISNUMBER(AJ59))),"",AJ59-N(N59))</f>
        <v/>
      </c>
      <c r="BG59" s="15" t="str">
        <f aca="false">IF(OR(AK59="",NOT(ISNUMBER(AK59))),"",AK59-N(O59))</f>
        <v/>
      </c>
      <c r="BH59" s="15" t="str">
        <f aca="false">IF(OR(AL59="",NOT(ISNUMBER(AL59))),"",AL59-N(P59))</f>
        <v/>
      </c>
      <c r="BI59" s="15" t="str">
        <f aca="false">IF(OR(AM59="",NOT(ISNUMBER(AM59))),"",AM59-N(Q59))</f>
        <v/>
      </c>
      <c r="BJ59" s="15" t="str">
        <f aca="false">IF(OR(AN59="",NOT(ISNUMBER(AN59))),"",AN59-N(R59))</f>
        <v/>
      </c>
      <c r="BK59" s="15" t="str">
        <f aca="false">IF(OR(AO59="",NOT(ISNUMBER(AO59))),"",AO59-N(S59))</f>
        <v/>
      </c>
      <c r="BL59" s="15" t="str">
        <f aca="false">IF(OR(AP59="",NOT(ISNUMBER(AP59))),"",AP59-N(T59))</f>
        <v/>
      </c>
      <c r="BM59" s="15" t="str">
        <f aca="false">IF(OR(AQ59="",NOT(ISNUMBER(AQ59))),"",AQ59-N(U59))</f>
        <v/>
      </c>
      <c r="BR59" s="18" t="str">
        <f aca="false">IF($A59="","",IF(ISNUMBER($A59),DATE(YEAR($A59),MONTH($A59),1),IFERROR(DATE(2000+VALUE(RIGHT(TRIM($A59),2)),MATCH(UPPER(LEFT(TRIM($A59),3)),{"JAN","FEB","MAR","APR","MAY","JUN","JUL","AUG","SEP","OCT","NOV","DEC"},0),1),"")))</f>
        <v/>
      </c>
      <c r="BS59" s="18" t="str">
        <f aca="false">IF(BR59="","",EOMONTH(BR59,0))</f>
        <v/>
      </c>
    </row>
    <row r="60" customFormat="false" ht="15" hidden="false" customHeight="false" outlineLevel="0" collapsed="false">
      <c r="B60" s="19"/>
      <c r="C60" s="19"/>
      <c r="D60" s="19"/>
      <c r="E60" s="19"/>
      <c r="F60" s="19"/>
      <c r="G60" s="19"/>
      <c r="H60" s="19"/>
      <c r="I60" s="19"/>
      <c r="J60" s="19"/>
      <c r="K60" s="19"/>
      <c r="L60" s="19"/>
      <c r="M60" s="19"/>
      <c r="N60" s="19"/>
      <c r="O60" s="19"/>
      <c r="P60" s="19"/>
      <c r="Q60" s="19"/>
      <c r="R60" s="19"/>
      <c r="S60" s="19"/>
      <c r="T60" s="19"/>
      <c r="U60" s="19"/>
      <c r="X60" s="15" t="str">
        <f aca="false">IF(OR(B$7="",$BR60=""),"",IF('Tally Helper'!$B$3&lt;&gt;TRUE(),"not on Staff",SUMIFS('Tally Helper'!$L$5:$GI$5,'Tally Helper'!$L$3:$GI$3,"&gt;="&amp;$BR60,'Tally Helper'!$L$3:$GI$3,"&lt;="&amp;$BS60)))</f>
        <v/>
      </c>
      <c r="Y60" s="15" t="str">
        <f aca="false">IF(OR(C$7="",$BR60=""),"",IF('Tally Helper'!$B$6&lt;&gt;TRUE(),"not on Staff",SUMIFS('Tally Helper'!$L$8:$GI$8,'Tally Helper'!$L$6:$GI$6,"&gt;="&amp;$BR60,'Tally Helper'!$L$6:$GI$6,"&lt;="&amp;$BS60)))</f>
        <v/>
      </c>
      <c r="Z60" s="15" t="str">
        <f aca="false">IF(OR(D$7="",$BR60=""),"",IF('Tally Helper'!$B$9&lt;&gt;TRUE(),"not on Staff",SUMIFS('Tally Helper'!$L$11:$GI$11,'Tally Helper'!$L$9:$GI$9,"&gt;="&amp;$BR60,'Tally Helper'!$L$9:$GI$9,"&lt;="&amp;$BS60)))</f>
        <v/>
      </c>
      <c r="AA60" s="15" t="str">
        <f aca="false">IF(OR(E$7="",$BR60=""),"",IF('Tally Helper'!$B$12&lt;&gt;TRUE(),"not on Staff",SUMIFS('Tally Helper'!$L$14:$GI$14,'Tally Helper'!$L$12:$GI$12,"&gt;="&amp;$BR60,'Tally Helper'!$L$12:$GI$12,"&lt;="&amp;$BS60)))</f>
        <v/>
      </c>
      <c r="AB60" s="15" t="str">
        <f aca="false">IF(OR(F$7="",$BR60=""),"",IF('Tally Helper'!$B$15&lt;&gt;TRUE(),"not on Staff",SUMIFS('Tally Helper'!$L$17:$GI$17,'Tally Helper'!$L$15:$GI$15,"&gt;="&amp;$BR60,'Tally Helper'!$L$15:$GI$15,"&lt;="&amp;$BS60)))</f>
        <v/>
      </c>
      <c r="AC60" s="15" t="str">
        <f aca="false">IF(OR(G$7="",$BR60=""),"",IF('Tally Helper'!$B$18&lt;&gt;TRUE(),"not on Staff",SUMIFS('Tally Helper'!$L$20:$GI$20,'Tally Helper'!$L$18:$GI$18,"&gt;="&amp;$BR60,'Tally Helper'!$L$18:$GI$18,"&lt;="&amp;$BS60)))</f>
        <v/>
      </c>
      <c r="AD60" s="15" t="str">
        <f aca="false">IF(OR(H$7="",$BR60=""),"",IF('Tally Helper'!$B$21&lt;&gt;TRUE(),"not on Staff",SUMIFS('Tally Helper'!$L$23:$GI$23,'Tally Helper'!$L$21:$GI$21,"&gt;="&amp;$BR60,'Tally Helper'!$L$21:$GI$21,"&lt;="&amp;$BS60)))</f>
        <v/>
      </c>
      <c r="AE60" s="15" t="str">
        <f aca="false">IF(OR(I$7="",$BR60=""),"",IF('Tally Helper'!$B$24&lt;&gt;TRUE(),"not on Staff",SUMIFS('Tally Helper'!$L$26:$GI$26,'Tally Helper'!$L$24:$GI$24,"&gt;="&amp;$BR60,'Tally Helper'!$L$24:$GI$24,"&lt;="&amp;$BS60)))</f>
        <v/>
      </c>
      <c r="AF60" s="15" t="str">
        <f aca="false">IF(OR(J$7="",$BR60=""),"",IF('Tally Helper'!$B$27&lt;&gt;TRUE(),"not on Staff",SUMIFS('Tally Helper'!$L$29:$GI$29,'Tally Helper'!$L$27:$GI$27,"&gt;="&amp;$BR60,'Tally Helper'!$L$27:$GI$27,"&lt;="&amp;$BS60)))</f>
        <v/>
      </c>
      <c r="AG60" s="15" t="str">
        <f aca="false">IF(OR(K$7="",$BR60=""),"",IF('Tally Helper'!$B$30&lt;&gt;TRUE(),"not on Staff",SUMIFS('Tally Helper'!$L$32:$GI$32,'Tally Helper'!$L$30:$GI$30,"&gt;="&amp;$BR60,'Tally Helper'!$L$30:$GI$30,"&lt;="&amp;$BS60)))</f>
        <v/>
      </c>
      <c r="AH60" s="15" t="str">
        <f aca="false">IF(OR(L$7="",$BR60=""),"",IF('Tally Helper'!$B$33&lt;&gt;TRUE(),"not on Staff",SUMIFS('Tally Helper'!$L$35:$GI$35,'Tally Helper'!$L$33:$GI$33,"&gt;="&amp;$BR60,'Tally Helper'!$L$33:$GI$33,"&lt;="&amp;$BS60)))</f>
        <v/>
      </c>
      <c r="AI60" s="15" t="str">
        <f aca="false">IF(OR(M$7="",$BR60=""),"",IF('Tally Helper'!$B$36&lt;&gt;TRUE(),"not on Staff",SUMIFS('Tally Helper'!$L$38:$GI$38,'Tally Helper'!$L$36:$GI$36,"&gt;="&amp;$BR60,'Tally Helper'!$L$36:$GI$36,"&lt;="&amp;$BS60)))</f>
        <v/>
      </c>
      <c r="AJ60" s="15" t="str">
        <f aca="false">IF(OR(N$7="",$BR60=""),"",IF('Tally Helper'!$B$39&lt;&gt;TRUE(),"not on Staff",SUMIFS('Tally Helper'!$L$41:$GI$41,'Tally Helper'!$L$39:$GI$39,"&gt;="&amp;$BR60,'Tally Helper'!$L$39:$GI$39,"&lt;="&amp;$BS60)))</f>
        <v/>
      </c>
      <c r="AK60" s="15" t="str">
        <f aca="false">IF(OR(O$7="",$BR60=""),"",IF('Tally Helper'!$B$42&lt;&gt;TRUE(),"not on Staff",SUMIFS('Tally Helper'!$L$44:$GI$44,'Tally Helper'!$L$42:$GI$42,"&gt;="&amp;$BR60,'Tally Helper'!$L$42:$GI$42,"&lt;="&amp;$BS60)))</f>
        <v/>
      </c>
      <c r="AL60" s="15" t="str">
        <f aca="false">IF(OR(P$7="",$BR60=""),"",IF('Tally Helper'!$B$45&lt;&gt;TRUE(),"not on Staff",SUMIFS('Tally Helper'!$L$47:$GI$47,'Tally Helper'!$L$45:$GI$45,"&gt;="&amp;$BR60,'Tally Helper'!$L$45:$GI$45,"&lt;="&amp;$BS60)))</f>
        <v/>
      </c>
      <c r="AM60" s="15" t="str">
        <f aca="false">IF(OR(Q$7="",$BR60=""),"",IF('Tally Helper'!$B$48&lt;&gt;TRUE(),"not on Staff",SUMIFS('Tally Helper'!$L$50:$GI$50,'Tally Helper'!$L$48:$GI$48,"&gt;="&amp;$BR60,'Tally Helper'!$L$48:$GI$48,"&lt;="&amp;$BS60)))</f>
        <v/>
      </c>
      <c r="AN60" s="15" t="str">
        <f aca="false">IF(OR(R$7="",$BR60=""),"",IF('Tally Helper'!$B$51&lt;&gt;TRUE(),"not on Staff",SUMIFS('Tally Helper'!$L$53:$GI$53,'Tally Helper'!$L$51:$GI$51,"&gt;="&amp;$BR60,'Tally Helper'!$L$51:$GI$51,"&lt;="&amp;$BS60)))</f>
        <v/>
      </c>
      <c r="AO60" s="15" t="str">
        <f aca="false">IF(OR(S$7="",$BR60=""),"",IF('Tally Helper'!$B$54&lt;&gt;TRUE(),"not on Staff",SUMIFS('Tally Helper'!$L$56:$GI$56,'Tally Helper'!$L$54:$GI$54,"&gt;="&amp;$BR60,'Tally Helper'!$L$54:$GI$54,"&lt;="&amp;$BS60)))</f>
        <v/>
      </c>
      <c r="AP60" s="15" t="str">
        <f aca="false">IF(OR(T$7="",$BR60=""),"",IF('Tally Helper'!$B$57&lt;&gt;TRUE(),"not on Staff",SUMIFS('Tally Helper'!$L$59:$GI$59,'Tally Helper'!$L$57:$GI$57,"&gt;="&amp;$BR60,'Tally Helper'!$L$57:$GI$57,"&lt;="&amp;$BS60)))</f>
        <v/>
      </c>
      <c r="AQ60" s="15" t="str">
        <f aca="false">IF(OR(U$7="",$BR60=""),"",IF('Tally Helper'!$B$60&lt;&gt;TRUE(),"not on Staff",SUMIFS('Tally Helper'!$L$62:$GI$62,'Tally Helper'!$L$60:$GI$60,"&gt;="&amp;$BR60,'Tally Helper'!$L$60:$GI$60,"&lt;="&amp;$BS60)))</f>
        <v/>
      </c>
      <c r="AT60" s="15" t="str">
        <f aca="false">IF(OR(X60="",NOT(ISNUMBER(X60))),"",X60-N(B60))</f>
        <v/>
      </c>
      <c r="AU60" s="15" t="str">
        <f aca="false">IF(OR(Y60="",NOT(ISNUMBER(Y60))),"",Y60-N(C60))</f>
        <v/>
      </c>
      <c r="AV60" s="15" t="str">
        <f aca="false">IF(OR(Z60="",NOT(ISNUMBER(Z60))),"",Z60-N(D60))</f>
        <v/>
      </c>
      <c r="AW60" s="15" t="str">
        <f aca="false">IF(OR(AA60="",NOT(ISNUMBER(AA60))),"",AA60-N(E60))</f>
        <v/>
      </c>
      <c r="AX60" s="15" t="str">
        <f aca="false">IF(OR(AB60="",NOT(ISNUMBER(AB60))),"",AB60-N(F60))</f>
        <v/>
      </c>
      <c r="AY60" s="15" t="str">
        <f aca="false">IF(OR(AC60="",NOT(ISNUMBER(AC60))),"",AC60-N(G60))</f>
        <v/>
      </c>
      <c r="AZ60" s="15" t="str">
        <f aca="false">IF(OR(AD60="",NOT(ISNUMBER(AD60))),"",AD60-N(H60))</f>
        <v/>
      </c>
      <c r="BA60" s="15" t="str">
        <f aca="false">IF(OR(AE60="",NOT(ISNUMBER(AE60))),"",AE60-N(I60))</f>
        <v/>
      </c>
      <c r="BB60" s="15" t="str">
        <f aca="false">IF(OR(AF60="",NOT(ISNUMBER(AF60))),"",AF60-N(J60))</f>
        <v/>
      </c>
      <c r="BC60" s="15" t="str">
        <f aca="false">IF(OR(AG60="",NOT(ISNUMBER(AG60))),"",AG60-N(K60))</f>
        <v/>
      </c>
      <c r="BD60" s="15" t="str">
        <f aca="false">IF(OR(AH60="",NOT(ISNUMBER(AH60))),"",AH60-N(L60))</f>
        <v/>
      </c>
      <c r="BE60" s="15" t="str">
        <f aca="false">IF(OR(AI60="",NOT(ISNUMBER(AI60))),"",AI60-N(M60))</f>
        <v/>
      </c>
      <c r="BF60" s="15" t="str">
        <f aca="false">IF(OR(AJ60="",NOT(ISNUMBER(AJ60))),"",AJ60-N(N60))</f>
        <v/>
      </c>
      <c r="BG60" s="15" t="str">
        <f aca="false">IF(OR(AK60="",NOT(ISNUMBER(AK60))),"",AK60-N(O60))</f>
        <v/>
      </c>
      <c r="BH60" s="15" t="str">
        <f aca="false">IF(OR(AL60="",NOT(ISNUMBER(AL60))),"",AL60-N(P60))</f>
        <v/>
      </c>
      <c r="BI60" s="15" t="str">
        <f aca="false">IF(OR(AM60="",NOT(ISNUMBER(AM60))),"",AM60-N(Q60))</f>
        <v/>
      </c>
      <c r="BJ60" s="15" t="str">
        <f aca="false">IF(OR(AN60="",NOT(ISNUMBER(AN60))),"",AN60-N(R60))</f>
        <v/>
      </c>
      <c r="BK60" s="15" t="str">
        <f aca="false">IF(OR(AO60="",NOT(ISNUMBER(AO60))),"",AO60-N(S60))</f>
        <v/>
      </c>
      <c r="BL60" s="15" t="str">
        <f aca="false">IF(OR(AP60="",NOT(ISNUMBER(AP60))),"",AP60-N(T60))</f>
        <v/>
      </c>
      <c r="BM60" s="15" t="str">
        <f aca="false">IF(OR(AQ60="",NOT(ISNUMBER(AQ60))),"",AQ60-N(U60))</f>
        <v/>
      </c>
      <c r="BR60" s="18" t="str">
        <f aca="false">IF($A60="","",IF(ISNUMBER($A60),DATE(YEAR($A60),MONTH($A60),1),IFERROR(DATE(2000+VALUE(RIGHT(TRIM($A60),2)),MATCH(UPPER(LEFT(TRIM($A60),3)),{"JAN","FEB","MAR","APR","MAY","JUN","JUL","AUG","SEP","OCT","NOV","DEC"},0),1),"")))</f>
        <v/>
      </c>
      <c r="BS60" s="18" t="str">
        <f aca="false">IF(BR60="","",EOMONTH(BR60,0))</f>
        <v/>
      </c>
    </row>
    <row r="61" customFormat="false" ht="15" hidden="false" customHeight="false" outlineLevel="0" collapsed="false">
      <c r="B61" s="19"/>
      <c r="C61" s="19"/>
      <c r="D61" s="19"/>
      <c r="E61" s="19"/>
      <c r="F61" s="19"/>
      <c r="G61" s="19"/>
      <c r="H61" s="19"/>
      <c r="I61" s="19"/>
      <c r="J61" s="19"/>
      <c r="K61" s="19"/>
      <c r="L61" s="19"/>
      <c r="M61" s="19"/>
      <c r="N61" s="19"/>
      <c r="O61" s="19"/>
      <c r="P61" s="19"/>
      <c r="Q61" s="19"/>
      <c r="R61" s="19"/>
      <c r="S61" s="19"/>
      <c r="T61" s="19"/>
      <c r="U61" s="19"/>
      <c r="X61" s="15" t="str">
        <f aca="false">IF(OR(B$7="",$BR61=""),"",IF('Tally Helper'!$B$3&lt;&gt;TRUE(),"not on Staff",SUMIFS('Tally Helper'!$L$5:$GI$5,'Tally Helper'!$L$3:$GI$3,"&gt;="&amp;$BR61,'Tally Helper'!$L$3:$GI$3,"&lt;="&amp;$BS61)))</f>
        <v/>
      </c>
      <c r="Y61" s="15" t="str">
        <f aca="false">IF(OR(C$7="",$BR61=""),"",IF('Tally Helper'!$B$6&lt;&gt;TRUE(),"not on Staff",SUMIFS('Tally Helper'!$L$8:$GI$8,'Tally Helper'!$L$6:$GI$6,"&gt;="&amp;$BR61,'Tally Helper'!$L$6:$GI$6,"&lt;="&amp;$BS61)))</f>
        <v/>
      </c>
      <c r="Z61" s="15" t="str">
        <f aca="false">IF(OR(D$7="",$BR61=""),"",IF('Tally Helper'!$B$9&lt;&gt;TRUE(),"not on Staff",SUMIFS('Tally Helper'!$L$11:$GI$11,'Tally Helper'!$L$9:$GI$9,"&gt;="&amp;$BR61,'Tally Helper'!$L$9:$GI$9,"&lt;="&amp;$BS61)))</f>
        <v/>
      </c>
      <c r="AA61" s="15" t="str">
        <f aca="false">IF(OR(E$7="",$BR61=""),"",IF('Tally Helper'!$B$12&lt;&gt;TRUE(),"not on Staff",SUMIFS('Tally Helper'!$L$14:$GI$14,'Tally Helper'!$L$12:$GI$12,"&gt;="&amp;$BR61,'Tally Helper'!$L$12:$GI$12,"&lt;="&amp;$BS61)))</f>
        <v/>
      </c>
      <c r="AB61" s="15" t="str">
        <f aca="false">IF(OR(F$7="",$BR61=""),"",IF('Tally Helper'!$B$15&lt;&gt;TRUE(),"not on Staff",SUMIFS('Tally Helper'!$L$17:$GI$17,'Tally Helper'!$L$15:$GI$15,"&gt;="&amp;$BR61,'Tally Helper'!$L$15:$GI$15,"&lt;="&amp;$BS61)))</f>
        <v/>
      </c>
      <c r="AC61" s="15" t="str">
        <f aca="false">IF(OR(G$7="",$BR61=""),"",IF('Tally Helper'!$B$18&lt;&gt;TRUE(),"not on Staff",SUMIFS('Tally Helper'!$L$20:$GI$20,'Tally Helper'!$L$18:$GI$18,"&gt;="&amp;$BR61,'Tally Helper'!$L$18:$GI$18,"&lt;="&amp;$BS61)))</f>
        <v/>
      </c>
      <c r="AD61" s="15" t="str">
        <f aca="false">IF(OR(H$7="",$BR61=""),"",IF('Tally Helper'!$B$21&lt;&gt;TRUE(),"not on Staff",SUMIFS('Tally Helper'!$L$23:$GI$23,'Tally Helper'!$L$21:$GI$21,"&gt;="&amp;$BR61,'Tally Helper'!$L$21:$GI$21,"&lt;="&amp;$BS61)))</f>
        <v/>
      </c>
      <c r="AE61" s="15" t="str">
        <f aca="false">IF(OR(I$7="",$BR61=""),"",IF('Tally Helper'!$B$24&lt;&gt;TRUE(),"not on Staff",SUMIFS('Tally Helper'!$L$26:$GI$26,'Tally Helper'!$L$24:$GI$24,"&gt;="&amp;$BR61,'Tally Helper'!$L$24:$GI$24,"&lt;="&amp;$BS61)))</f>
        <v/>
      </c>
      <c r="AF61" s="15" t="str">
        <f aca="false">IF(OR(J$7="",$BR61=""),"",IF('Tally Helper'!$B$27&lt;&gt;TRUE(),"not on Staff",SUMIFS('Tally Helper'!$L$29:$GI$29,'Tally Helper'!$L$27:$GI$27,"&gt;="&amp;$BR61,'Tally Helper'!$L$27:$GI$27,"&lt;="&amp;$BS61)))</f>
        <v/>
      </c>
      <c r="AG61" s="15" t="str">
        <f aca="false">IF(OR(K$7="",$BR61=""),"",IF('Tally Helper'!$B$30&lt;&gt;TRUE(),"not on Staff",SUMIFS('Tally Helper'!$L$32:$GI$32,'Tally Helper'!$L$30:$GI$30,"&gt;="&amp;$BR61,'Tally Helper'!$L$30:$GI$30,"&lt;="&amp;$BS61)))</f>
        <v/>
      </c>
      <c r="AH61" s="15" t="str">
        <f aca="false">IF(OR(L$7="",$BR61=""),"",IF('Tally Helper'!$B$33&lt;&gt;TRUE(),"not on Staff",SUMIFS('Tally Helper'!$L$35:$GI$35,'Tally Helper'!$L$33:$GI$33,"&gt;="&amp;$BR61,'Tally Helper'!$L$33:$GI$33,"&lt;="&amp;$BS61)))</f>
        <v/>
      </c>
      <c r="AI61" s="15" t="str">
        <f aca="false">IF(OR(M$7="",$BR61=""),"",IF('Tally Helper'!$B$36&lt;&gt;TRUE(),"not on Staff",SUMIFS('Tally Helper'!$L$38:$GI$38,'Tally Helper'!$L$36:$GI$36,"&gt;="&amp;$BR61,'Tally Helper'!$L$36:$GI$36,"&lt;="&amp;$BS61)))</f>
        <v/>
      </c>
      <c r="AJ61" s="15" t="str">
        <f aca="false">IF(OR(N$7="",$BR61=""),"",IF('Tally Helper'!$B$39&lt;&gt;TRUE(),"not on Staff",SUMIFS('Tally Helper'!$L$41:$GI$41,'Tally Helper'!$L$39:$GI$39,"&gt;="&amp;$BR61,'Tally Helper'!$L$39:$GI$39,"&lt;="&amp;$BS61)))</f>
        <v/>
      </c>
      <c r="AK61" s="15" t="str">
        <f aca="false">IF(OR(O$7="",$BR61=""),"",IF('Tally Helper'!$B$42&lt;&gt;TRUE(),"not on Staff",SUMIFS('Tally Helper'!$L$44:$GI$44,'Tally Helper'!$L$42:$GI$42,"&gt;="&amp;$BR61,'Tally Helper'!$L$42:$GI$42,"&lt;="&amp;$BS61)))</f>
        <v/>
      </c>
      <c r="AL61" s="15" t="str">
        <f aca="false">IF(OR(P$7="",$BR61=""),"",IF('Tally Helper'!$B$45&lt;&gt;TRUE(),"not on Staff",SUMIFS('Tally Helper'!$L$47:$GI$47,'Tally Helper'!$L$45:$GI$45,"&gt;="&amp;$BR61,'Tally Helper'!$L$45:$GI$45,"&lt;="&amp;$BS61)))</f>
        <v/>
      </c>
      <c r="AM61" s="15" t="str">
        <f aca="false">IF(OR(Q$7="",$BR61=""),"",IF('Tally Helper'!$B$48&lt;&gt;TRUE(),"not on Staff",SUMIFS('Tally Helper'!$L$50:$GI$50,'Tally Helper'!$L$48:$GI$48,"&gt;="&amp;$BR61,'Tally Helper'!$L$48:$GI$48,"&lt;="&amp;$BS61)))</f>
        <v/>
      </c>
      <c r="AN61" s="15" t="str">
        <f aca="false">IF(OR(R$7="",$BR61=""),"",IF('Tally Helper'!$B$51&lt;&gt;TRUE(),"not on Staff",SUMIFS('Tally Helper'!$L$53:$GI$53,'Tally Helper'!$L$51:$GI$51,"&gt;="&amp;$BR61,'Tally Helper'!$L$51:$GI$51,"&lt;="&amp;$BS61)))</f>
        <v/>
      </c>
      <c r="AO61" s="15" t="str">
        <f aca="false">IF(OR(S$7="",$BR61=""),"",IF('Tally Helper'!$B$54&lt;&gt;TRUE(),"not on Staff",SUMIFS('Tally Helper'!$L$56:$GI$56,'Tally Helper'!$L$54:$GI$54,"&gt;="&amp;$BR61,'Tally Helper'!$L$54:$GI$54,"&lt;="&amp;$BS61)))</f>
        <v/>
      </c>
      <c r="AP61" s="15" t="str">
        <f aca="false">IF(OR(T$7="",$BR61=""),"",IF('Tally Helper'!$B$57&lt;&gt;TRUE(),"not on Staff",SUMIFS('Tally Helper'!$L$59:$GI$59,'Tally Helper'!$L$57:$GI$57,"&gt;="&amp;$BR61,'Tally Helper'!$L$57:$GI$57,"&lt;="&amp;$BS61)))</f>
        <v/>
      </c>
      <c r="AQ61" s="15" t="str">
        <f aca="false">IF(OR(U$7="",$BR61=""),"",IF('Tally Helper'!$B$60&lt;&gt;TRUE(),"not on Staff",SUMIFS('Tally Helper'!$L$62:$GI$62,'Tally Helper'!$L$60:$GI$60,"&gt;="&amp;$BR61,'Tally Helper'!$L$60:$GI$60,"&lt;="&amp;$BS61)))</f>
        <v/>
      </c>
      <c r="AT61" s="15" t="str">
        <f aca="false">IF(OR(X61="",NOT(ISNUMBER(X61))),"",X61-N(B61))</f>
        <v/>
      </c>
      <c r="AU61" s="15" t="str">
        <f aca="false">IF(OR(Y61="",NOT(ISNUMBER(Y61))),"",Y61-N(C61))</f>
        <v/>
      </c>
      <c r="AV61" s="15" t="str">
        <f aca="false">IF(OR(Z61="",NOT(ISNUMBER(Z61))),"",Z61-N(D61))</f>
        <v/>
      </c>
      <c r="AW61" s="15" t="str">
        <f aca="false">IF(OR(AA61="",NOT(ISNUMBER(AA61))),"",AA61-N(E61))</f>
        <v/>
      </c>
      <c r="AX61" s="15" t="str">
        <f aca="false">IF(OR(AB61="",NOT(ISNUMBER(AB61))),"",AB61-N(F61))</f>
        <v/>
      </c>
      <c r="AY61" s="15" t="str">
        <f aca="false">IF(OR(AC61="",NOT(ISNUMBER(AC61))),"",AC61-N(G61))</f>
        <v/>
      </c>
      <c r="AZ61" s="15" t="str">
        <f aca="false">IF(OR(AD61="",NOT(ISNUMBER(AD61))),"",AD61-N(H61))</f>
        <v/>
      </c>
      <c r="BA61" s="15" t="str">
        <f aca="false">IF(OR(AE61="",NOT(ISNUMBER(AE61))),"",AE61-N(I61))</f>
        <v/>
      </c>
      <c r="BB61" s="15" t="str">
        <f aca="false">IF(OR(AF61="",NOT(ISNUMBER(AF61))),"",AF61-N(J61))</f>
        <v/>
      </c>
      <c r="BC61" s="15" t="str">
        <f aca="false">IF(OR(AG61="",NOT(ISNUMBER(AG61))),"",AG61-N(K61))</f>
        <v/>
      </c>
      <c r="BD61" s="15" t="str">
        <f aca="false">IF(OR(AH61="",NOT(ISNUMBER(AH61))),"",AH61-N(L61))</f>
        <v/>
      </c>
      <c r="BE61" s="15" t="str">
        <f aca="false">IF(OR(AI61="",NOT(ISNUMBER(AI61))),"",AI61-N(M61))</f>
        <v/>
      </c>
      <c r="BF61" s="15" t="str">
        <f aca="false">IF(OR(AJ61="",NOT(ISNUMBER(AJ61))),"",AJ61-N(N61))</f>
        <v/>
      </c>
      <c r="BG61" s="15" t="str">
        <f aca="false">IF(OR(AK61="",NOT(ISNUMBER(AK61))),"",AK61-N(O61))</f>
        <v/>
      </c>
      <c r="BH61" s="15" t="str">
        <f aca="false">IF(OR(AL61="",NOT(ISNUMBER(AL61))),"",AL61-N(P61))</f>
        <v/>
      </c>
      <c r="BI61" s="15" t="str">
        <f aca="false">IF(OR(AM61="",NOT(ISNUMBER(AM61))),"",AM61-N(Q61))</f>
        <v/>
      </c>
      <c r="BJ61" s="15" t="str">
        <f aca="false">IF(OR(AN61="",NOT(ISNUMBER(AN61))),"",AN61-N(R61))</f>
        <v/>
      </c>
      <c r="BK61" s="15" t="str">
        <f aca="false">IF(OR(AO61="",NOT(ISNUMBER(AO61))),"",AO61-N(S61))</f>
        <v/>
      </c>
      <c r="BL61" s="15" t="str">
        <f aca="false">IF(OR(AP61="",NOT(ISNUMBER(AP61))),"",AP61-N(T61))</f>
        <v/>
      </c>
      <c r="BM61" s="15" t="str">
        <f aca="false">IF(OR(AQ61="",NOT(ISNUMBER(AQ61))),"",AQ61-N(U61))</f>
        <v/>
      </c>
      <c r="BR61" s="18" t="str">
        <f aca="false">IF($A61="","",IF(ISNUMBER($A61),DATE(YEAR($A61),MONTH($A61),1),IFERROR(DATE(2000+VALUE(RIGHT(TRIM($A61),2)),MATCH(UPPER(LEFT(TRIM($A61),3)),{"JAN","FEB","MAR","APR","MAY","JUN","JUL","AUG","SEP","OCT","NOV","DEC"},0),1),"")))</f>
        <v/>
      </c>
      <c r="BS61" s="18" t="str">
        <f aca="false">IF(BR61="","",EOMONTH(BR61,0))</f>
        <v/>
      </c>
    </row>
    <row r="62" customFormat="false" ht="15" hidden="false" customHeight="false" outlineLevel="0" collapsed="false">
      <c r="B62" s="19"/>
      <c r="C62" s="19"/>
      <c r="D62" s="19"/>
      <c r="E62" s="19"/>
      <c r="F62" s="19"/>
      <c r="G62" s="19"/>
      <c r="H62" s="19"/>
      <c r="I62" s="19"/>
      <c r="J62" s="19"/>
      <c r="K62" s="19"/>
      <c r="L62" s="19"/>
      <c r="M62" s="19"/>
      <c r="N62" s="19"/>
      <c r="O62" s="19"/>
      <c r="P62" s="19"/>
      <c r="Q62" s="19"/>
      <c r="R62" s="19"/>
      <c r="S62" s="19"/>
      <c r="T62" s="19"/>
      <c r="U62" s="19"/>
      <c r="X62" s="15" t="str">
        <f aca="false">IF(OR(B$7="",$BR62=""),"",IF('Tally Helper'!$B$3&lt;&gt;TRUE(),"not on Staff",SUMIFS('Tally Helper'!$L$5:$GI$5,'Tally Helper'!$L$3:$GI$3,"&gt;="&amp;$BR62,'Tally Helper'!$L$3:$GI$3,"&lt;="&amp;$BS62)))</f>
        <v/>
      </c>
      <c r="Y62" s="15" t="str">
        <f aca="false">IF(OR(C$7="",$BR62=""),"",IF('Tally Helper'!$B$6&lt;&gt;TRUE(),"not on Staff",SUMIFS('Tally Helper'!$L$8:$GI$8,'Tally Helper'!$L$6:$GI$6,"&gt;="&amp;$BR62,'Tally Helper'!$L$6:$GI$6,"&lt;="&amp;$BS62)))</f>
        <v/>
      </c>
      <c r="Z62" s="15" t="str">
        <f aca="false">IF(OR(D$7="",$BR62=""),"",IF('Tally Helper'!$B$9&lt;&gt;TRUE(),"not on Staff",SUMIFS('Tally Helper'!$L$11:$GI$11,'Tally Helper'!$L$9:$GI$9,"&gt;="&amp;$BR62,'Tally Helper'!$L$9:$GI$9,"&lt;="&amp;$BS62)))</f>
        <v/>
      </c>
      <c r="AA62" s="15" t="str">
        <f aca="false">IF(OR(E$7="",$BR62=""),"",IF('Tally Helper'!$B$12&lt;&gt;TRUE(),"not on Staff",SUMIFS('Tally Helper'!$L$14:$GI$14,'Tally Helper'!$L$12:$GI$12,"&gt;="&amp;$BR62,'Tally Helper'!$L$12:$GI$12,"&lt;="&amp;$BS62)))</f>
        <v/>
      </c>
      <c r="AB62" s="15" t="str">
        <f aca="false">IF(OR(F$7="",$BR62=""),"",IF('Tally Helper'!$B$15&lt;&gt;TRUE(),"not on Staff",SUMIFS('Tally Helper'!$L$17:$GI$17,'Tally Helper'!$L$15:$GI$15,"&gt;="&amp;$BR62,'Tally Helper'!$L$15:$GI$15,"&lt;="&amp;$BS62)))</f>
        <v/>
      </c>
      <c r="AC62" s="15" t="str">
        <f aca="false">IF(OR(G$7="",$BR62=""),"",IF('Tally Helper'!$B$18&lt;&gt;TRUE(),"not on Staff",SUMIFS('Tally Helper'!$L$20:$GI$20,'Tally Helper'!$L$18:$GI$18,"&gt;="&amp;$BR62,'Tally Helper'!$L$18:$GI$18,"&lt;="&amp;$BS62)))</f>
        <v/>
      </c>
      <c r="AD62" s="15" t="str">
        <f aca="false">IF(OR(H$7="",$BR62=""),"",IF('Tally Helper'!$B$21&lt;&gt;TRUE(),"not on Staff",SUMIFS('Tally Helper'!$L$23:$GI$23,'Tally Helper'!$L$21:$GI$21,"&gt;="&amp;$BR62,'Tally Helper'!$L$21:$GI$21,"&lt;="&amp;$BS62)))</f>
        <v/>
      </c>
      <c r="AE62" s="15" t="str">
        <f aca="false">IF(OR(I$7="",$BR62=""),"",IF('Tally Helper'!$B$24&lt;&gt;TRUE(),"not on Staff",SUMIFS('Tally Helper'!$L$26:$GI$26,'Tally Helper'!$L$24:$GI$24,"&gt;="&amp;$BR62,'Tally Helper'!$L$24:$GI$24,"&lt;="&amp;$BS62)))</f>
        <v/>
      </c>
      <c r="AF62" s="15" t="str">
        <f aca="false">IF(OR(J$7="",$BR62=""),"",IF('Tally Helper'!$B$27&lt;&gt;TRUE(),"not on Staff",SUMIFS('Tally Helper'!$L$29:$GI$29,'Tally Helper'!$L$27:$GI$27,"&gt;="&amp;$BR62,'Tally Helper'!$L$27:$GI$27,"&lt;="&amp;$BS62)))</f>
        <v/>
      </c>
      <c r="AG62" s="15" t="str">
        <f aca="false">IF(OR(K$7="",$BR62=""),"",IF('Tally Helper'!$B$30&lt;&gt;TRUE(),"not on Staff",SUMIFS('Tally Helper'!$L$32:$GI$32,'Tally Helper'!$L$30:$GI$30,"&gt;="&amp;$BR62,'Tally Helper'!$L$30:$GI$30,"&lt;="&amp;$BS62)))</f>
        <v/>
      </c>
      <c r="AH62" s="15" t="str">
        <f aca="false">IF(OR(L$7="",$BR62=""),"",IF('Tally Helper'!$B$33&lt;&gt;TRUE(),"not on Staff",SUMIFS('Tally Helper'!$L$35:$GI$35,'Tally Helper'!$L$33:$GI$33,"&gt;="&amp;$BR62,'Tally Helper'!$L$33:$GI$33,"&lt;="&amp;$BS62)))</f>
        <v/>
      </c>
      <c r="AI62" s="15" t="str">
        <f aca="false">IF(OR(M$7="",$BR62=""),"",IF('Tally Helper'!$B$36&lt;&gt;TRUE(),"not on Staff",SUMIFS('Tally Helper'!$L$38:$GI$38,'Tally Helper'!$L$36:$GI$36,"&gt;="&amp;$BR62,'Tally Helper'!$L$36:$GI$36,"&lt;="&amp;$BS62)))</f>
        <v/>
      </c>
      <c r="AJ62" s="15" t="str">
        <f aca="false">IF(OR(N$7="",$BR62=""),"",IF('Tally Helper'!$B$39&lt;&gt;TRUE(),"not on Staff",SUMIFS('Tally Helper'!$L$41:$GI$41,'Tally Helper'!$L$39:$GI$39,"&gt;="&amp;$BR62,'Tally Helper'!$L$39:$GI$39,"&lt;="&amp;$BS62)))</f>
        <v/>
      </c>
      <c r="AK62" s="15" t="str">
        <f aca="false">IF(OR(O$7="",$BR62=""),"",IF('Tally Helper'!$B$42&lt;&gt;TRUE(),"not on Staff",SUMIFS('Tally Helper'!$L$44:$GI$44,'Tally Helper'!$L$42:$GI$42,"&gt;="&amp;$BR62,'Tally Helper'!$L$42:$GI$42,"&lt;="&amp;$BS62)))</f>
        <v/>
      </c>
      <c r="AL62" s="15" t="str">
        <f aca="false">IF(OR(P$7="",$BR62=""),"",IF('Tally Helper'!$B$45&lt;&gt;TRUE(),"not on Staff",SUMIFS('Tally Helper'!$L$47:$GI$47,'Tally Helper'!$L$45:$GI$45,"&gt;="&amp;$BR62,'Tally Helper'!$L$45:$GI$45,"&lt;="&amp;$BS62)))</f>
        <v/>
      </c>
      <c r="AM62" s="15" t="str">
        <f aca="false">IF(OR(Q$7="",$BR62=""),"",IF('Tally Helper'!$B$48&lt;&gt;TRUE(),"not on Staff",SUMIFS('Tally Helper'!$L$50:$GI$50,'Tally Helper'!$L$48:$GI$48,"&gt;="&amp;$BR62,'Tally Helper'!$L$48:$GI$48,"&lt;="&amp;$BS62)))</f>
        <v/>
      </c>
      <c r="AN62" s="15" t="str">
        <f aca="false">IF(OR(R$7="",$BR62=""),"",IF('Tally Helper'!$B$51&lt;&gt;TRUE(),"not on Staff",SUMIFS('Tally Helper'!$L$53:$GI$53,'Tally Helper'!$L$51:$GI$51,"&gt;="&amp;$BR62,'Tally Helper'!$L$51:$GI$51,"&lt;="&amp;$BS62)))</f>
        <v/>
      </c>
      <c r="AO62" s="15" t="str">
        <f aca="false">IF(OR(S$7="",$BR62=""),"",IF('Tally Helper'!$B$54&lt;&gt;TRUE(),"not on Staff",SUMIFS('Tally Helper'!$L$56:$GI$56,'Tally Helper'!$L$54:$GI$54,"&gt;="&amp;$BR62,'Tally Helper'!$L$54:$GI$54,"&lt;="&amp;$BS62)))</f>
        <v/>
      </c>
      <c r="AP62" s="15" t="str">
        <f aca="false">IF(OR(T$7="",$BR62=""),"",IF('Tally Helper'!$B$57&lt;&gt;TRUE(),"not on Staff",SUMIFS('Tally Helper'!$L$59:$GI$59,'Tally Helper'!$L$57:$GI$57,"&gt;="&amp;$BR62,'Tally Helper'!$L$57:$GI$57,"&lt;="&amp;$BS62)))</f>
        <v/>
      </c>
      <c r="AQ62" s="15" t="str">
        <f aca="false">IF(OR(U$7="",$BR62=""),"",IF('Tally Helper'!$B$60&lt;&gt;TRUE(),"not on Staff",SUMIFS('Tally Helper'!$L$62:$GI$62,'Tally Helper'!$L$60:$GI$60,"&gt;="&amp;$BR62,'Tally Helper'!$L$60:$GI$60,"&lt;="&amp;$BS62)))</f>
        <v/>
      </c>
      <c r="AT62" s="15" t="str">
        <f aca="false">IF(OR(X62="",NOT(ISNUMBER(X62))),"",X62-N(B62))</f>
        <v/>
      </c>
      <c r="AU62" s="15" t="str">
        <f aca="false">IF(OR(Y62="",NOT(ISNUMBER(Y62))),"",Y62-N(C62))</f>
        <v/>
      </c>
      <c r="AV62" s="15" t="str">
        <f aca="false">IF(OR(Z62="",NOT(ISNUMBER(Z62))),"",Z62-N(D62))</f>
        <v/>
      </c>
      <c r="AW62" s="15" t="str">
        <f aca="false">IF(OR(AA62="",NOT(ISNUMBER(AA62))),"",AA62-N(E62))</f>
        <v/>
      </c>
      <c r="AX62" s="15" t="str">
        <f aca="false">IF(OR(AB62="",NOT(ISNUMBER(AB62))),"",AB62-N(F62))</f>
        <v/>
      </c>
      <c r="AY62" s="15" t="str">
        <f aca="false">IF(OR(AC62="",NOT(ISNUMBER(AC62))),"",AC62-N(G62))</f>
        <v/>
      </c>
      <c r="AZ62" s="15" t="str">
        <f aca="false">IF(OR(AD62="",NOT(ISNUMBER(AD62))),"",AD62-N(H62))</f>
        <v/>
      </c>
      <c r="BA62" s="15" t="str">
        <f aca="false">IF(OR(AE62="",NOT(ISNUMBER(AE62))),"",AE62-N(I62))</f>
        <v/>
      </c>
      <c r="BB62" s="15" t="str">
        <f aca="false">IF(OR(AF62="",NOT(ISNUMBER(AF62))),"",AF62-N(J62))</f>
        <v/>
      </c>
      <c r="BC62" s="15" t="str">
        <f aca="false">IF(OR(AG62="",NOT(ISNUMBER(AG62))),"",AG62-N(K62))</f>
        <v/>
      </c>
      <c r="BD62" s="15" t="str">
        <f aca="false">IF(OR(AH62="",NOT(ISNUMBER(AH62))),"",AH62-N(L62))</f>
        <v/>
      </c>
      <c r="BE62" s="15" t="str">
        <f aca="false">IF(OR(AI62="",NOT(ISNUMBER(AI62))),"",AI62-N(M62))</f>
        <v/>
      </c>
      <c r="BF62" s="15" t="str">
        <f aca="false">IF(OR(AJ62="",NOT(ISNUMBER(AJ62))),"",AJ62-N(N62))</f>
        <v/>
      </c>
      <c r="BG62" s="15" t="str">
        <f aca="false">IF(OR(AK62="",NOT(ISNUMBER(AK62))),"",AK62-N(O62))</f>
        <v/>
      </c>
      <c r="BH62" s="15" t="str">
        <f aca="false">IF(OR(AL62="",NOT(ISNUMBER(AL62))),"",AL62-N(P62))</f>
        <v/>
      </c>
      <c r="BI62" s="15" t="str">
        <f aca="false">IF(OR(AM62="",NOT(ISNUMBER(AM62))),"",AM62-N(Q62))</f>
        <v/>
      </c>
      <c r="BJ62" s="15" t="str">
        <f aca="false">IF(OR(AN62="",NOT(ISNUMBER(AN62))),"",AN62-N(R62))</f>
        <v/>
      </c>
      <c r="BK62" s="15" t="str">
        <f aca="false">IF(OR(AO62="",NOT(ISNUMBER(AO62))),"",AO62-N(S62))</f>
        <v/>
      </c>
      <c r="BL62" s="15" t="str">
        <f aca="false">IF(OR(AP62="",NOT(ISNUMBER(AP62))),"",AP62-N(T62))</f>
        <v/>
      </c>
      <c r="BM62" s="15" t="str">
        <f aca="false">IF(OR(AQ62="",NOT(ISNUMBER(AQ62))),"",AQ62-N(U62))</f>
        <v/>
      </c>
      <c r="BR62" s="18" t="str">
        <f aca="false">IF($A62="","",IF(ISNUMBER($A62),DATE(YEAR($A62),MONTH($A62),1),IFERROR(DATE(2000+VALUE(RIGHT(TRIM($A62),2)),MATCH(UPPER(LEFT(TRIM($A62),3)),{"JAN","FEB","MAR","APR","MAY","JUN","JUL","AUG","SEP","OCT","NOV","DEC"},0),1),"")))</f>
        <v/>
      </c>
      <c r="BS62" s="18" t="str">
        <f aca="false">IF(BR62="","",EOMONTH(BR62,0))</f>
        <v/>
      </c>
    </row>
    <row r="63" customFormat="false" ht="15" hidden="false" customHeight="false" outlineLevel="0" collapsed="false">
      <c r="B63" s="19"/>
      <c r="C63" s="19"/>
      <c r="D63" s="19"/>
      <c r="E63" s="19"/>
      <c r="F63" s="19"/>
      <c r="G63" s="19"/>
      <c r="H63" s="19"/>
      <c r="I63" s="19"/>
      <c r="J63" s="19"/>
      <c r="K63" s="19"/>
      <c r="L63" s="19"/>
      <c r="M63" s="19"/>
      <c r="N63" s="19"/>
      <c r="O63" s="19"/>
      <c r="P63" s="19"/>
      <c r="Q63" s="19"/>
      <c r="R63" s="19"/>
      <c r="S63" s="19"/>
      <c r="T63" s="19"/>
      <c r="U63" s="19"/>
      <c r="X63" s="15" t="str">
        <f aca="false">IF(OR(B$7="",$BR63=""),"",IF('Tally Helper'!$B$3&lt;&gt;TRUE(),"not on Staff",SUMIFS('Tally Helper'!$L$5:$GI$5,'Tally Helper'!$L$3:$GI$3,"&gt;="&amp;$BR63,'Tally Helper'!$L$3:$GI$3,"&lt;="&amp;$BS63)))</f>
        <v/>
      </c>
      <c r="Y63" s="15" t="str">
        <f aca="false">IF(OR(C$7="",$BR63=""),"",IF('Tally Helper'!$B$6&lt;&gt;TRUE(),"not on Staff",SUMIFS('Tally Helper'!$L$8:$GI$8,'Tally Helper'!$L$6:$GI$6,"&gt;="&amp;$BR63,'Tally Helper'!$L$6:$GI$6,"&lt;="&amp;$BS63)))</f>
        <v/>
      </c>
      <c r="Z63" s="15" t="str">
        <f aca="false">IF(OR(D$7="",$BR63=""),"",IF('Tally Helper'!$B$9&lt;&gt;TRUE(),"not on Staff",SUMIFS('Tally Helper'!$L$11:$GI$11,'Tally Helper'!$L$9:$GI$9,"&gt;="&amp;$BR63,'Tally Helper'!$L$9:$GI$9,"&lt;="&amp;$BS63)))</f>
        <v/>
      </c>
      <c r="AA63" s="15" t="str">
        <f aca="false">IF(OR(E$7="",$BR63=""),"",IF('Tally Helper'!$B$12&lt;&gt;TRUE(),"not on Staff",SUMIFS('Tally Helper'!$L$14:$GI$14,'Tally Helper'!$L$12:$GI$12,"&gt;="&amp;$BR63,'Tally Helper'!$L$12:$GI$12,"&lt;="&amp;$BS63)))</f>
        <v/>
      </c>
      <c r="AB63" s="15" t="str">
        <f aca="false">IF(OR(F$7="",$BR63=""),"",IF('Tally Helper'!$B$15&lt;&gt;TRUE(),"not on Staff",SUMIFS('Tally Helper'!$L$17:$GI$17,'Tally Helper'!$L$15:$GI$15,"&gt;="&amp;$BR63,'Tally Helper'!$L$15:$GI$15,"&lt;="&amp;$BS63)))</f>
        <v/>
      </c>
      <c r="AC63" s="15" t="str">
        <f aca="false">IF(OR(G$7="",$BR63=""),"",IF('Tally Helper'!$B$18&lt;&gt;TRUE(),"not on Staff",SUMIFS('Tally Helper'!$L$20:$GI$20,'Tally Helper'!$L$18:$GI$18,"&gt;="&amp;$BR63,'Tally Helper'!$L$18:$GI$18,"&lt;="&amp;$BS63)))</f>
        <v/>
      </c>
      <c r="AD63" s="15" t="str">
        <f aca="false">IF(OR(H$7="",$BR63=""),"",IF('Tally Helper'!$B$21&lt;&gt;TRUE(),"not on Staff",SUMIFS('Tally Helper'!$L$23:$GI$23,'Tally Helper'!$L$21:$GI$21,"&gt;="&amp;$BR63,'Tally Helper'!$L$21:$GI$21,"&lt;="&amp;$BS63)))</f>
        <v/>
      </c>
      <c r="AE63" s="15" t="str">
        <f aca="false">IF(OR(I$7="",$BR63=""),"",IF('Tally Helper'!$B$24&lt;&gt;TRUE(),"not on Staff",SUMIFS('Tally Helper'!$L$26:$GI$26,'Tally Helper'!$L$24:$GI$24,"&gt;="&amp;$BR63,'Tally Helper'!$L$24:$GI$24,"&lt;="&amp;$BS63)))</f>
        <v/>
      </c>
      <c r="AF63" s="15" t="str">
        <f aca="false">IF(OR(J$7="",$BR63=""),"",IF('Tally Helper'!$B$27&lt;&gt;TRUE(),"not on Staff",SUMIFS('Tally Helper'!$L$29:$GI$29,'Tally Helper'!$L$27:$GI$27,"&gt;="&amp;$BR63,'Tally Helper'!$L$27:$GI$27,"&lt;="&amp;$BS63)))</f>
        <v/>
      </c>
      <c r="AG63" s="15" t="str">
        <f aca="false">IF(OR(K$7="",$BR63=""),"",IF('Tally Helper'!$B$30&lt;&gt;TRUE(),"not on Staff",SUMIFS('Tally Helper'!$L$32:$GI$32,'Tally Helper'!$L$30:$GI$30,"&gt;="&amp;$BR63,'Tally Helper'!$L$30:$GI$30,"&lt;="&amp;$BS63)))</f>
        <v/>
      </c>
      <c r="AH63" s="15" t="str">
        <f aca="false">IF(OR(L$7="",$BR63=""),"",IF('Tally Helper'!$B$33&lt;&gt;TRUE(),"not on Staff",SUMIFS('Tally Helper'!$L$35:$GI$35,'Tally Helper'!$L$33:$GI$33,"&gt;="&amp;$BR63,'Tally Helper'!$L$33:$GI$33,"&lt;="&amp;$BS63)))</f>
        <v/>
      </c>
      <c r="AI63" s="15" t="str">
        <f aca="false">IF(OR(M$7="",$BR63=""),"",IF('Tally Helper'!$B$36&lt;&gt;TRUE(),"not on Staff",SUMIFS('Tally Helper'!$L$38:$GI$38,'Tally Helper'!$L$36:$GI$36,"&gt;="&amp;$BR63,'Tally Helper'!$L$36:$GI$36,"&lt;="&amp;$BS63)))</f>
        <v/>
      </c>
      <c r="AJ63" s="15" t="str">
        <f aca="false">IF(OR(N$7="",$BR63=""),"",IF('Tally Helper'!$B$39&lt;&gt;TRUE(),"not on Staff",SUMIFS('Tally Helper'!$L$41:$GI$41,'Tally Helper'!$L$39:$GI$39,"&gt;="&amp;$BR63,'Tally Helper'!$L$39:$GI$39,"&lt;="&amp;$BS63)))</f>
        <v/>
      </c>
      <c r="AK63" s="15" t="str">
        <f aca="false">IF(OR(O$7="",$BR63=""),"",IF('Tally Helper'!$B$42&lt;&gt;TRUE(),"not on Staff",SUMIFS('Tally Helper'!$L$44:$GI$44,'Tally Helper'!$L$42:$GI$42,"&gt;="&amp;$BR63,'Tally Helper'!$L$42:$GI$42,"&lt;="&amp;$BS63)))</f>
        <v/>
      </c>
      <c r="AL63" s="15" t="str">
        <f aca="false">IF(OR(P$7="",$BR63=""),"",IF('Tally Helper'!$B$45&lt;&gt;TRUE(),"not on Staff",SUMIFS('Tally Helper'!$L$47:$GI$47,'Tally Helper'!$L$45:$GI$45,"&gt;="&amp;$BR63,'Tally Helper'!$L$45:$GI$45,"&lt;="&amp;$BS63)))</f>
        <v/>
      </c>
      <c r="AM63" s="15" t="str">
        <f aca="false">IF(OR(Q$7="",$BR63=""),"",IF('Tally Helper'!$B$48&lt;&gt;TRUE(),"not on Staff",SUMIFS('Tally Helper'!$L$50:$GI$50,'Tally Helper'!$L$48:$GI$48,"&gt;="&amp;$BR63,'Tally Helper'!$L$48:$GI$48,"&lt;="&amp;$BS63)))</f>
        <v/>
      </c>
      <c r="AN63" s="15" t="str">
        <f aca="false">IF(OR(R$7="",$BR63=""),"",IF('Tally Helper'!$B$51&lt;&gt;TRUE(),"not on Staff",SUMIFS('Tally Helper'!$L$53:$GI$53,'Tally Helper'!$L$51:$GI$51,"&gt;="&amp;$BR63,'Tally Helper'!$L$51:$GI$51,"&lt;="&amp;$BS63)))</f>
        <v/>
      </c>
      <c r="AO63" s="15" t="str">
        <f aca="false">IF(OR(S$7="",$BR63=""),"",IF('Tally Helper'!$B$54&lt;&gt;TRUE(),"not on Staff",SUMIFS('Tally Helper'!$L$56:$GI$56,'Tally Helper'!$L$54:$GI$54,"&gt;="&amp;$BR63,'Tally Helper'!$L$54:$GI$54,"&lt;="&amp;$BS63)))</f>
        <v/>
      </c>
      <c r="AP63" s="15" t="str">
        <f aca="false">IF(OR(T$7="",$BR63=""),"",IF('Tally Helper'!$B$57&lt;&gt;TRUE(),"not on Staff",SUMIFS('Tally Helper'!$L$59:$GI$59,'Tally Helper'!$L$57:$GI$57,"&gt;="&amp;$BR63,'Tally Helper'!$L$57:$GI$57,"&lt;="&amp;$BS63)))</f>
        <v/>
      </c>
      <c r="AQ63" s="15" t="str">
        <f aca="false">IF(OR(U$7="",$BR63=""),"",IF('Tally Helper'!$B$60&lt;&gt;TRUE(),"not on Staff",SUMIFS('Tally Helper'!$L$62:$GI$62,'Tally Helper'!$L$60:$GI$60,"&gt;="&amp;$BR63,'Tally Helper'!$L$60:$GI$60,"&lt;="&amp;$BS63)))</f>
        <v/>
      </c>
      <c r="AT63" s="15" t="str">
        <f aca="false">IF(OR(X63="",NOT(ISNUMBER(X63))),"",X63-N(B63))</f>
        <v/>
      </c>
      <c r="AU63" s="15" t="str">
        <f aca="false">IF(OR(Y63="",NOT(ISNUMBER(Y63))),"",Y63-N(C63))</f>
        <v/>
      </c>
      <c r="AV63" s="15" t="str">
        <f aca="false">IF(OR(Z63="",NOT(ISNUMBER(Z63))),"",Z63-N(D63))</f>
        <v/>
      </c>
      <c r="AW63" s="15" t="str">
        <f aca="false">IF(OR(AA63="",NOT(ISNUMBER(AA63))),"",AA63-N(E63))</f>
        <v/>
      </c>
      <c r="AX63" s="15" t="str">
        <f aca="false">IF(OR(AB63="",NOT(ISNUMBER(AB63))),"",AB63-N(F63))</f>
        <v/>
      </c>
      <c r="AY63" s="15" t="str">
        <f aca="false">IF(OR(AC63="",NOT(ISNUMBER(AC63))),"",AC63-N(G63))</f>
        <v/>
      </c>
      <c r="AZ63" s="15" t="str">
        <f aca="false">IF(OR(AD63="",NOT(ISNUMBER(AD63))),"",AD63-N(H63))</f>
        <v/>
      </c>
      <c r="BA63" s="15" t="str">
        <f aca="false">IF(OR(AE63="",NOT(ISNUMBER(AE63))),"",AE63-N(I63))</f>
        <v/>
      </c>
      <c r="BB63" s="15" t="str">
        <f aca="false">IF(OR(AF63="",NOT(ISNUMBER(AF63))),"",AF63-N(J63))</f>
        <v/>
      </c>
      <c r="BC63" s="15" t="str">
        <f aca="false">IF(OR(AG63="",NOT(ISNUMBER(AG63))),"",AG63-N(K63))</f>
        <v/>
      </c>
      <c r="BD63" s="15" t="str">
        <f aca="false">IF(OR(AH63="",NOT(ISNUMBER(AH63))),"",AH63-N(L63))</f>
        <v/>
      </c>
      <c r="BE63" s="15" t="str">
        <f aca="false">IF(OR(AI63="",NOT(ISNUMBER(AI63))),"",AI63-N(M63))</f>
        <v/>
      </c>
      <c r="BF63" s="15" t="str">
        <f aca="false">IF(OR(AJ63="",NOT(ISNUMBER(AJ63))),"",AJ63-N(N63))</f>
        <v/>
      </c>
      <c r="BG63" s="15" t="str">
        <f aca="false">IF(OR(AK63="",NOT(ISNUMBER(AK63))),"",AK63-N(O63))</f>
        <v/>
      </c>
      <c r="BH63" s="15" t="str">
        <f aca="false">IF(OR(AL63="",NOT(ISNUMBER(AL63))),"",AL63-N(P63))</f>
        <v/>
      </c>
      <c r="BI63" s="15" t="str">
        <f aca="false">IF(OR(AM63="",NOT(ISNUMBER(AM63))),"",AM63-N(Q63))</f>
        <v/>
      </c>
      <c r="BJ63" s="15" t="str">
        <f aca="false">IF(OR(AN63="",NOT(ISNUMBER(AN63))),"",AN63-N(R63))</f>
        <v/>
      </c>
      <c r="BK63" s="15" t="str">
        <f aca="false">IF(OR(AO63="",NOT(ISNUMBER(AO63))),"",AO63-N(S63))</f>
        <v/>
      </c>
      <c r="BL63" s="15" t="str">
        <f aca="false">IF(OR(AP63="",NOT(ISNUMBER(AP63))),"",AP63-N(T63))</f>
        <v/>
      </c>
      <c r="BM63" s="15" t="str">
        <f aca="false">IF(OR(AQ63="",NOT(ISNUMBER(AQ63))),"",AQ63-N(U63))</f>
        <v/>
      </c>
      <c r="BR63" s="18" t="str">
        <f aca="false">IF($A63="","",IF(ISNUMBER($A63),DATE(YEAR($A63),MONTH($A63),1),IFERROR(DATE(2000+VALUE(RIGHT(TRIM($A63),2)),MATCH(UPPER(LEFT(TRIM($A63),3)),{"JAN","FEB","MAR","APR","MAY","JUN","JUL","AUG","SEP","OCT","NOV","DEC"},0),1),"")))</f>
        <v/>
      </c>
      <c r="BS63" s="18" t="str">
        <f aca="false">IF(BR63="","",EOMONTH(BR63,0))</f>
        <v/>
      </c>
    </row>
    <row r="64" customFormat="false" ht="15" hidden="false" customHeight="false" outlineLevel="0" collapsed="false">
      <c r="B64" s="19"/>
      <c r="C64" s="19"/>
      <c r="D64" s="19"/>
      <c r="E64" s="19"/>
      <c r="F64" s="19"/>
      <c r="G64" s="19"/>
      <c r="H64" s="19"/>
      <c r="I64" s="19"/>
      <c r="J64" s="19"/>
      <c r="K64" s="19"/>
      <c r="L64" s="19"/>
      <c r="M64" s="19"/>
      <c r="N64" s="19"/>
      <c r="O64" s="19"/>
      <c r="P64" s="19"/>
      <c r="Q64" s="19"/>
      <c r="R64" s="19"/>
      <c r="S64" s="19"/>
      <c r="T64" s="19"/>
      <c r="U64" s="19"/>
      <c r="X64" s="15" t="str">
        <f aca="false">IF(OR(B$7="",$BR64=""),"",IF('Tally Helper'!$B$3&lt;&gt;TRUE(),"not on Staff",SUMIFS('Tally Helper'!$L$5:$GI$5,'Tally Helper'!$L$3:$GI$3,"&gt;="&amp;$BR64,'Tally Helper'!$L$3:$GI$3,"&lt;="&amp;$BS64)))</f>
        <v/>
      </c>
      <c r="Y64" s="15" t="str">
        <f aca="false">IF(OR(C$7="",$BR64=""),"",IF('Tally Helper'!$B$6&lt;&gt;TRUE(),"not on Staff",SUMIFS('Tally Helper'!$L$8:$GI$8,'Tally Helper'!$L$6:$GI$6,"&gt;="&amp;$BR64,'Tally Helper'!$L$6:$GI$6,"&lt;="&amp;$BS64)))</f>
        <v/>
      </c>
      <c r="Z64" s="15" t="str">
        <f aca="false">IF(OR(D$7="",$BR64=""),"",IF('Tally Helper'!$B$9&lt;&gt;TRUE(),"not on Staff",SUMIFS('Tally Helper'!$L$11:$GI$11,'Tally Helper'!$L$9:$GI$9,"&gt;="&amp;$BR64,'Tally Helper'!$L$9:$GI$9,"&lt;="&amp;$BS64)))</f>
        <v/>
      </c>
      <c r="AA64" s="15" t="str">
        <f aca="false">IF(OR(E$7="",$BR64=""),"",IF('Tally Helper'!$B$12&lt;&gt;TRUE(),"not on Staff",SUMIFS('Tally Helper'!$L$14:$GI$14,'Tally Helper'!$L$12:$GI$12,"&gt;="&amp;$BR64,'Tally Helper'!$L$12:$GI$12,"&lt;="&amp;$BS64)))</f>
        <v/>
      </c>
      <c r="AB64" s="15" t="str">
        <f aca="false">IF(OR(F$7="",$BR64=""),"",IF('Tally Helper'!$B$15&lt;&gt;TRUE(),"not on Staff",SUMIFS('Tally Helper'!$L$17:$GI$17,'Tally Helper'!$L$15:$GI$15,"&gt;="&amp;$BR64,'Tally Helper'!$L$15:$GI$15,"&lt;="&amp;$BS64)))</f>
        <v/>
      </c>
      <c r="AC64" s="15" t="str">
        <f aca="false">IF(OR(G$7="",$BR64=""),"",IF('Tally Helper'!$B$18&lt;&gt;TRUE(),"not on Staff",SUMIFS('Tally Helper'!$L$20:$GI$20,'Tally Helper'!$L$18:$GI$18,"&gt;="&amp;$BR64,'Tally Helper'!$L$18:$GI$18,"&lt;="&amp;$BS64)))</f>
        <v/>
      </c>
      <c r="AD64" s="15" t="str">
        <f aca="false">IF(OR(H$7="",$BR64=""),"",IF('Tally Helper'!$B$21&lt;&gt;TRUE(),"not on Staff",SUMIFS('Tally Helper'!$L$23:$GI$23,'Tally Helper'!$L$21:$GI$21,"&gt;="&amp;$BR64,'Tally Helper'!$L$21:$GI$21,"&lt;="&amp;$BS64)))</f>
        <v/>
      </c>
      <c r="AE64" s="15" t="str">
        <f aca="false">IF(OR(I$7="",$BR64=""),"",IF('Tally Helper'!$B$24&lt;&gt;TRUE(),"not on Staff",SUMIFS('Tally Helper'!$L$26:$GI$26,'Tally Helper'!$L$24:$GI$24,"&gt;="&amp;$BR64,'Tally Helper'!$L$24:$GI$24,"&lt;="&amp;$BS64)))</f>
        <v/>
      </c>
      <c r="AF64" s="15" t="str">
        <f aca="false">IF(OR(J$7="",$BR64=""),"",IF('Tally Helper'!$B$27&lt;&gt;TRUE(),"not on Staff",SUMIFS('Tally Helper'!$L$29:$GI$29,'Tally Helper'!$L$27:$GI$27,"&gt;="&amp;$BR64,'Tally Helper'!$L$27:$GI$27,"&lt;="&amp;$BS64)))</f>
        <v/>
      </c>
      <c r="AG64" s="15" t="str">
        <f aca="false">IF(OR(K$7="",$BR64=""),"",IF('Tally Helper'!$B$30&lt;&gt;TRUE(),"not on Staff",SUMIFS('Tally Helper'!$L$32:$GI$32,'Tally Helper'!$L$30:$GI$30,"&gt;="&amp;$BR64,'Tally Helper'!$L$30:$GI$30,"&lt;="&amp;$BS64)))</f>
        <v/>
      </c>
      <c r="AH64" s="15" t="str">
        <f aca="false">IF(OR(L$7="",$BR64=""),"",IF('Tally Helper'!$B$33&lt;&gt;TRUE(),"not on Staff",SUMIFS('Tally Helper'!$L$35:$GI$35,'Tally Helper'!$L$33:$GI$33,"&gt;="&amp;$BR64,'Tally Helper'!$L$33:$GI$33,"&lt;="&amp;$BS64)))</f>
        <v/>
      </c>
      <c r="AI64" s="15" t="str">
        <f aca="false">IF(OR(M$7="",$BR64=""),"",IF('Tally Helper'!$B$36&lt;&gt;TRUE(),"not on Staff",SUMIFS('Tally Helper'!$L$38:$GI$38,'Tally Helper'!$L$36:$GI$36,"&gt;="&amp;$BR64,'Tally Helper'!$L$36:$GI$36,"&lt;="&amp;$BS64)))</f>
        <v/>
      </c>
      <c r="AJ64" s="15" t="str">
        <f aca="false">IF(OR(N$7="",$BR64=""),"",IF('Tally Helper'!$B$39&lt;&gt;TRUE(),"not on Staff",SUMIFS('Tally Helper'!$L$41:$GI$41,'Tally Helper'!$L$39:$GI$39,"&gt;="&amp;$BR64,'Tally Helper'!$L$39:$GI$39,"&lt;="&amp;$BS64)))</f>
        <v/>
      </c>
      <c r="AK64" s="15" t="str">
        <f aca="false">IF(OR(O$7="",$BR64=""),"",IF('Tally Helper'!$B$42&lt;&gt;TRUE(),"not on Staff",SUMIFS('Tally Helper'!$L$44:$GI$44,'Tally Helper'!$L$42:$GI$42,"&gt;="&amp;$BR64,'Tally Helper'!$L$42:$GI$42,"&lt;="&amp;$BS64)))</f>
        <v/>
      </c>
      <c r="AL64" s="15" t="str">
        <f aca="false">IF(OR(P$7="",$BR64=""),"",IF('Tally Helper'!$B$45&lt;&gt;TRUE(),"not on Staff",SUMIFS('Tally Helper'!$L$47:$GI$47,'Tally Helper'!$L$45:$GI$45,"&gt;="&amp;$BR64,'Tally Helper'!$L$45:$GI$45,"&lt;="&amp;$BS64)))</f>
        <v/>
      </c>
      <c r="AM64" s="15" t="str">
        <f aca="false">IF(OR(Q$7="",$BR64=""),"",IF('Tally Helper'!$B$48&lt;&gt;TRUE(),"not on Staff",SUMIFS('Tally Helper'!$L$50:$GI$50,'Tally Helper'!$L$48:$GI$48,"&gt;="&amp;$BR64,'Tally Helper'!$L$48:$GI$48,"&lt;="&amp;$BS64)))</f>
        <v/>
      </c>
      <c r="AN64" s="15" t="str">
        <f aca="false">IF(OR(R$7="",$BR64=""),"",IF('Tally Helper'!$B$51&lt;&gt;TRUE(),"not on Staff",SUMIFS('Tally Helper'!$L$53:$GI$53,'Tally Helper'!$L$51:$GI$51,"&gt;="&amp;$BR64,'Tally Helper'!$L$51:$GI$51,"&lt;="&amp;$BS64)))</f>
        <v/>
      </c>
      <c r="AO64" s="15" t="str">
        <f aca="false">IF(OR(S$7="",$BR64=""),"",IF('Tally Helper'!$B$54&lt;&gt;TRUE(),"not on Staff",SUMIFS('Tally Helper'!$L$56:$GI$56,'Tally Helper'!$L$54:$GI$54,"&gt;="&amp;$BR64,'Tally Helper'!$L$54:$GI$54,"&lt;="&amp;$BS64)))</f>
        <v/>
      </c>
      <c r="AP64" s="15" t="str">
        <f aca="false">IF(OR(T$7="",$BR64=""),"",IF('Tally Helper'!$B$57&lt;&gt;TRUE(),"not on Staff",SUMIFS('Tally Helper'!$L$59:$GI$59,'Tally Helper'!$L$57:$GI$57,"&gt;="&amp;$BR64,'Tally Helper'!$L$57:$GI$57,"&lt;="&amp;$BS64)))</f>
        <v/>
      </c>
      <c r="AQ64" s="15" t="str">
        <f aca="false">IF(OR(U$7="",$BR64=""),"",IF('Tally Helper'!$B$60&lt;&gt;TRUE(),"not on Staff",SUMIFS('Tally Helper'!$L$62:$GI$62,'Tally Helper'!$L$60:$GI$60,"&gt;="&amp;$BR64,'Tally Helper'!$L$60:$GI$60,"&lt;="&amp;$BS64)))</f>
        <v/>
      </c>
      <c r="AT64" s="15" t="str">
        <f aca="false">IF(OR(X64="",NOT(ISNUMBER(X64))),"",X64-N(B64))</f>
        <v/>
      </c>
      <c r="AU64" s="15" t="str">
        <f aca="false">IF(OR(Y64="",NOT(ISNUMBER(Y64))),"",Y64-N(C64))</f>
        <v/>
      </c>
      <c r="AV64" s="15" t="str">
        <f aca="false">IF(OR(Z64="",NOT(ISNUMBER(Z64))),"",Z64-N(D64))</f>
        <v/>
      </c>
      <c r="AW64" s="15" t="str">
        <f aca="false">IF(OR(AA64="",NOT(ISNUMBER(AA64))),"",AA64-N(E64))</f>
        <v/>
      </c>
      <c r="AX64" s="15" t="str">
        <f aca="false">IF(OR(AB64="",NOT(ISNUMBER(AB64))),"",AB64-N(F64))</f>
        <v/>
      </c>
      <c r="AY64" s="15" t="str">
        <f aca="false">IF(OR(AC64="",NOT(ISNUMBER(AC64))),"",AC64-N(G64))</f>
        <v/>
      </c>
      <c r="AZ64" s="15" t="str">
        <f aca="false">IF(OR(AD64="",NOT(ISNUMBER(AD64))),"",AD64-N(H64))</f>
        <v/>
      </c>
      <c r="BA64" s="15" t="str">
        <f aca="false">IF(OR(AE64="",NOT(ISNUMBER(AE64))),"",AE64-N(I64))</f>
        <v/>
      </c>
      <c r="BB64" s="15" t="str">
        <f aca="false">IF(OR(AF64="",NOT(ISNUMBER(AF64))),"",AF64-N(J64))</f>
        <v/>
      </c>
      <c r="BC64" s="15" t="str">
        <f aca="false">IF(OR(AG64="",NOT(ISNUMBER(AG64))),"",AG64-N(K64))</f>
        <v/>
      </c>
      <c r="BD64" s="15" t="str">
        <f aca="false">IF(OR(AH64="",NOT(ISNUMBER(AH64))),"",AH64-N(L64))</f>
        <v/>
      </c>
      <c r="BE64" s="15" t="str">
        <f aca="false">IF(OR(AI64="",NOT(ISNUMBER(AI64))),"",AI64-N(M64))</f>
        <v/>
      </c>
      <c r="BF64" s="15" t="str">
        <f aca="false">IF(OR(AJ64="",NOT(ISNUMBER(AJ64))),"",AJ64-N(N64))</f>
        <v/>
      </c>
      <c r="BG64" s="15" t="str">
        <f aca="false">IF(OR(AK64="",NOT(ISNUMBER(AK64))),"",AK64-N(O64))</f>
        <v/>
      </c>
      <c r="BH64" s="15" t="str">
        <f aca="false">IF(OR(AL64="",NOT(ISNUMBER(AL64))),"",AL64-N(P64))</f>
        <v/>
      </c>
      <c r="BI64" s="15" t="str">
        <f aca="false">IF(OR(AM64="",NOT(ISNUMBER(AM64))),"",AM64-N(Q64))</f>
        <v/>
      </c>
      <c r="BJ64" s="15" t="str">
        <f aca="false">IF(OR(AN64="",NOT(ISNUMBER(AN64))),"",AN64-N(R64))</f>
        <v/>
      </c>
      <c r="BK64" s="15" t="str">
        <f aca="false">IF(OR(AO64="",NOT(ISNUMBER(AO64))),"",AO64-N(S64))</f>
        <v/>
      </c>
      <c r="BL64" s="15" t="str">
        <f aca="false">IF(OR(AP64="",NOT(ISNUMBER(AP64))),"",AP64-N(T64))</f>
        <v/>
      </c>
      <c r="BM64" s="15" t="str">
        <f aca="false">IF(OR(AQ64="",NOT(ISNUMBER(AQ64))),"",AQ64-N(U64))</f>
        <v/>
      </c>
      <c r="BR64" s="18" t="str">
        <f aca="false">IF($A64="","",IF(ISNUMBER($A64),DATE(YEAR($A64),MONTH($A64),1),IFERROR(DATE(2000+VALUE(RIGHT(TRIM($A64),2)),MATCH(UPPER(LEFT(TRIM($A64),3)),{"JAN","FEB","MAR","APR","MAY","JUN","JUL","AUG","SEP","OCT","NOV","DEC"},0),1),"")))</f>
        <v/>
      </c>
      <c r="BS64" s="18" t="str">
        <f aca="false">IF(BR64="","",EOMONTH(BR64,0))</f>
        <v/>
      </c>
    </row>
    <row r="65" customFormat="false" ht="15" hidden="false" customHeight="false" outlineLevel="0" collapsed="false">
      <c r="B65" s="19"/>
      <c r="C65" s="19"/>
      <c r="D65" s="19"/>
      <c r="E65" s="19"/>
      <c r="F65" s="19"/>
      <c r="G65" s="19"/>
      <c r="H65" s="19"/>
      <c r="I65" s="19"/>
      <c r="J65" s="19"/>
      <c r="K65" s="19"/>
      <c r="L65" s="19"/>
      <c r="M65" s="19"/>
      <c r="N65" s="19"/>
      <c r="O65" s="19"/>
      <c r="P65" s="19"/>
      <c r="Q65" s="19"/>
      <c r="R65" s="19"/>
      <c r="S65" s="19"/>
      <c r="T65" s="19"/>
      <c r="U65" s="19"/>
      <c r="X65" s="15" t="str">
        <f aca="false">IF(OR(B$7="",$BR65=""),"",IF('Tally Helper'!$B$3&lt;&gt;TRUE(),"not on Staff",SUMIFS('Tally Helper'!$L$5:$GI$5,'Tally Helper'!$L$3:$GI$3,"&gt;="&amp;$BR65,'Tally Helper'!$L$3:$GI$3,"&lt;="&amp;$BS65)))</f>
        <v/>
      </c>
      <c r="Y65" s="15" t="str">
        <f aca="false">IF(OR(C$7="",$BR65=""),"",IF('Tally Helper'!$B$6&lt;&gt;TRUE(),"not on Staff",SUMIFS('Tally Helper'!$L$8:$GI$8,'Tally Helper'!$L$6:$GI$6,"&gt;="&amp;$BR65,'Tally Helper'!$L$6:$GI$6,"&lt;="&amp;$BS65)))</f>
        <v/>
      </c>
      <c r="Z65" s="15" t="str">
        <f aca="false">IF(OR(D$7="",$BR65=""),"",IF('Tally Helper'!$B$9&lt;&gt;TRUE(),"not on Staff",SUMIFS('Tally Helper'!$L$11:$GI$11,'Tally Helper'!$L$9:$GI$9,"&gt;="&amp;$BR65,'Tally Helper'!$L$9:$GI$9,"&lt;="&amp;$BS65)))</f>
        <v/>
      </c>
      <c r="AA65" s="15" t="str">
        <f aca="false">IF(OR(E$7="",$BR65=""),"",IF('Tally Helper'!$B$12&lt;&gt;TRUE(),"not on Staff",SUMIFS('Tally Helper'!$L$14:$GI$14,'Tally Helper'!$L$12:$GI$12,"&gt;="&amp;$BR65,'Tally Helper'!$L$12:$GI$12,"&lt;="&amp;$BS65)))</f>
        <v/>
      </c>
      <c r="AB65" s="15" t="str">
        <f aca="false">IF(OR(F$7="",$BR65=""),"",IF('Tally Helper'!$B$15&lt;&gt;TRUE(),"not on Staff",SUMIFS('Tally Helper'!$L$17:$GI$17,'Tally Helper'!$L$15:$GI$15,"&gt;="&amp;$BR65,'Tally Helper'!$L$15:$GI$15,"&lt;="&amp;$BS65)))</f>
        <v/>
      </c>
      <c r="AC65" s="15" t="str">
        <f aca="false">IF(OR(G$7="",$BR65=""),"",IF('Tally Helper'!$B$18&lt;&gt;TRUE(),"not on Staff",SUMIFS('Tally Helper'!$L$20:$GI$20,'Tally Helper'!$L$18:$GI$18,"&gt;="&amp;$BR65,'Tally Helper'!$L$18:$GI$18,"&lt;="&amp;$BS65)))</f>
        <v/>
      </c>
      <c r="AD65" s="15" t="str">
        <f aca="false">IF(OR(H$7="",$BR65=""),"",IF('Tally Helper'!$B$21&lt;&gt;TRUE(),"not on Staff",SUMIFS('Tally Helper'!$L$23:$GI$23,'Tally Helper'!$L$21:$GI$21,"&gt;="&amp;$BR65,'Tally Helper'!$L$21:$GI$21,"&lt;="&amp;$BS65)))</f>
        <v/>
      </c>
      <c r="AE65" s="15" t="str">
        <f aca="false">IF(OR(I$7="",$BR65=""),"",IF('Tally Helper'!$B$24&lt;&gt;TRUE(),"not on Staff",SUMIFS('Tally Helper'!$L$26:$GI$26,'Tally Helper'!$L$24:$GI$24,"&gt;="&amp;$BR65,'Tally Helper'!$L$24:$GI$24,"&lt;="&amp;$BS65)))</f>
        <v/>
      </c>
      <c r="AF65" s="15" t="str">
        <f aca="false">IF(OR(J$7="",$BR65=""),"",IF('Tally Helper'!$B$27&lt;&gt;TRUE(),"not on Staff",SUMIFS('Tally Helper'!$L$29:$GI$29,'Tally Helper'!$L$27:$GI$27,"&gt;="&amp;$BR65,'Tally Helper'!$L$27:$GI$27,"&lt;="&amp;$BS65)))</f>
        <v/>
      </c>
      <c r="AG65" s="15" t="str">
        <f aca="false">IF(OR(K$7="",$BR65=""),"",IF('Tally Helper'!$B$30&lt;&gt;TRUE(),"not on Staff",SUMIFS('Tally Helper'!$L$32:$GI$32,'Tally Helper'!$L$30:$GI$30,"&gt;="&amp;$BR65,'Tally Helper'!$L$30:$GI$30,"&lt;="&amp;$BS65)))</f>
        <v/>
      </c>
      <c r="AH65" s="15" t="str">
        <f aca="false">IF(OR(L$7="",$BR65=""),"",IF('Tally Helper'!$B$33&lt;&gt;TRUE(),"not on Staff",SUMIFS('Tally Helper'!$L$35:$GI$35,'Tally Helper'!$L$33:$GI$33,"&gt;="&amp;$BR65,'Tally Helper'!$L$33:$GI$33,"&lt;="&amp;$BS65)))</f>
        <v/>
      </c>
      <c r="AI65" s="15" t="str">
        <f aca="false">IF(OR(M$7="",$BR65=""),"",IF('Tally Helper'!$B$36&lt;&gt;TRUE(),"not on Staff",SUMIFS('Tally Helper'!$L$38:$GI$38,'Tally Helper'!$L$36:$GI$36,"&gt;="&amp;$BR65,'Tally Helper'!$L$36:$GI$36,"&lt;="&amp;$BS65)))</f>
        <v/>
      </c>
      <c r="AJ65" s="15" t="str">
        <f aca="false">IF(OR(N$7="",$BR65=""),"",IF('Tally Helper'!$B$39&lt;&gt;TRUE(),"not on Staff",SUMIFS('Tally Helper'!$L$41:$GI$41,'Tally Helper'!$L$39:$GI$39,"&gt;="&amp;$BR65,'Tally Helper'!$L$39:$GI$39,"&lt;="&amp;$BS65)))</f>
        <v/>
      </c>
      <c r="AK65" s="15" t="str">
        <f aca="false">IF(OR(O$7="",$BR65=""),"",IF('Tally Helper'!$B$42&lt;&gt;TRUE(),"not on Staff",SUMIFS('Tally Helper'!$L$44:$GI$44,'Tally Helper'!$L$42:$GI$42,"&gt;="&amp;$BR65,'Tally Helper'!$L$42:$GI$42,"&lt;="&amp;$BS65)))</f>
        <v/>
      </c>
      <c r="AL65" s="15" t="str">
        <f aca="false">IF(OR(P$7="",$BR65=""),"",IF('Tally Helper'!$B$45&lt;&gt;TRUE(),"not on Staff",SUMIFS('Tally Helper'!$L$47:$GI$47,'Tally Helper'!$L$45:$GI$45,"&gt;="&amp;$BR65,'Tally Helper'!$L$45:$GI$45,"&lt;="&amp;$BS65)))</f>
        <v/>
      </c>
      <c r="AM65" s="15" t="str">
        <f aca="false">IF(OR(Q$7="",$BR65=""),"",IF('Tally Helper'!$B$48&lt;&gt;TRUE(),"not on Staff",SUMIFS('Tally Helper'!$L$50:$GI$50,'Tally Helper'!$L$48:$GI$48,"&gt;="&amp;$BR65,'Tally Helper'!$L$48:$GI$48,"&lt;="&amp;$BS65)))</f>
        <v/>
      </c>
      <c r="AN65" s="15" t="str">
        <f aca="false">IF(OR(R$7="",$BR65=""),"",IF('Tally Helper'!$B$51&lt;&gt;TRUE(),"not on Staff",SUMIFS('Tally Helper'!$L$53:$GI$53,'Tally Helper'!$L$51:$GI$51,"&gt;="&amp;$BR65,'Tally Helper'!$L$51:$GI$51,"&lt;="&amp;$BS65)))</f>
        <v/>
      </c>
      <c r="AO65" s="15" t="str">
        <f aca="false">IF(OR(S$7="",$BR65=""),"",IF('Tally Helper'!$B$54&lt;&gt;TRUE(),"not on Staff",SUMIFS('Tally Helper'!$L$56:$GI$56,'Tally Helper'!$L$54:$GI$54,"&gt;="&amp;$BR65,'Tally Helper'!$L$54:$GI$54,"&lt;="&amp;$BS65)))</f>
        <v/>
      </c>
      <c r="AP65" s="15" t="str">
        <f aca="false">IF(OR(T$7="",$BR65=""),"",IF('Tally Helper'!$B$57&lt;&gt;TRUE(),"not on Staff",SUMIFS('Tally Helper'!$L$59:$GI$59,'Tally Helper'!$L$57:$GI$57,"&gt;="&amp;$BR65,'Tally Helper'!$L$57:$GI$57,"&lt;="&amp;$BS65)))</f>
        <v/>
      </c>
      <c r="AQ65" s="15" t="str">
        <f aca="false">IF(OR(U$7="",$BR65=""),"",IF('Tally Helper'!$B$60&lt;&gt;TRUE(),"not on Staff",SUMIFS('Tally Helper'!$L$62:$GI$62,'Tally Helper'!$L$60:$GI$60,"&gt;="&amp;$BR65,'Tally Helper'!$L$60:$GI$60,"&lt;="&amp;$BS65)))</f>
        <v/>
      </c>
      <c r="AT65" s="15" t="str">
        <f aca="false">IF(OR(X65="",NOT(ISNUMBER(X65))),"",X65-N(B65))</f>
        <v/>
      </c>
      <c r="AU65" s="15" t="str">
        <f aca="false">IF(OR(Y65="",NOT(ISNUMBER(Y65))),"",Y65-N(C65))</f>
        <v/>
      </c>
      <c r="AV65" s="15" t="str">
        <f aca="false">IF(OR(Z65="",NOT(ISNUMBER(Z65))),"",Z65-N(D65))</f>
        <v/>
      </c>
      <c r="AW65" s="15" t="str">
        <f aca="false">IF(OR(AA65="",NOT(ISNUMBER(AA65))),"",AA65-N(E65))</f>
        <v/>
      </c>
      <c r="AX65" s="15" t="str">
        <f aca="false">IF(OR(AB65="",NOT(ISNUMBER(AB65))),"",AB65-N(F65))</f>
        <v/>
      </c>
      <c r="AY65" s="15" t="str">
        <f aca="false">IF(OR(AC65="",NOT(ISNUMBER(AC65))),"",AC65-N(G65))</f>
        <v/>
      </c>
      <c r="AZ65" s="15" t="str">
        <f aca="false">IF(OR(AD65="",NOT(ISNUMBER(AD65))),"",AD65-N(H65))</f>
        <v/>
      </c>
      <c r="BA65" s="15" t="str">
        <f aca="false">IF(OR(AE65="",NOT(ISNUMBER(AE65))),"",AE65-N(I65))</f>
        <v/>
      </c>
      <c r="BB65" s="15" t="str">
        <f aca="false">IF(OR(AF65="",NOT(ISNUMBER(AF65))),"",AF65-N(J65))</f>
        <v/>
      </c>
      <c r="BC65" s="15" t="str">
        <f aca="false">IF(OR(AG65="",NOT(ISNUMBER(AG65))),"",AG65-N(K65))</f>
        <v/>
      </c>
      <c r="BD65" s="15" t="str">
        <f aca="false">IF(OR(AH65="",NOT(ISNUMBER(AH65))),"",AH65-N(L65))</f>
        <v/>
      </c>
      <c r="BE65" s="15" t="str">
        <f aca="false">IF(OR(AI65="",NOT(ISNUMBER(AI65))),"",AI65-N(M65))</f>
        <v/>
      </c>
      <c r="BF65" s="15" t="str">
        <f aca="false">IF(OR(AJ65="",NOT(ISNUMBER(AJ65))),"",AJ65-N(N65))</f>
        <v/>
      </c>
      <c r="BG65" s="15" t="str">
        <f aca="false">IF(OR(AK65="",NOT(ISNUMBER(AK65))),"",AK65-N(O65))</f>
        <v/>
      </c>
      <c r="BH65" s="15" t="str">
        <f aca="false">IF(OR(AL65="",NOT(ISNUMBER(AL65))),"",AL65-N(P65))</f>
        <v/>
      </c>
      <c r="BI65" s="15" t="str">
        <f aca="false">IF(OR(AM65="",NOT(ISNUMBER(AM65))),"",AM65-N(Q65))</f>
        <v/>
      </c>
      <c r="BJ65" s="15" t="str">
        <f aca="false">IF(OR(AN65="",NOT(ISNUMBER(AN65))),"",AN65-N(R65))</f>
        <v/>
      </c>
      <c r="BK65" s="15" t="str">
        <f aca="false">IF(OR(AO65="",NOT(ISNUMBER(AO65))),"",AO65-N(S65))</f>
        <v/>
      </c>
      <c r="BL65" s="15" t="str">
        <f aca="false">IF(OR(AP65="",NOT(ISNUMBER(AP65))),"",AP65-N(T65))</f>
        <v/>
      </c>
      <c r="BM65" s="15" t="str">
        <f aca="false">IF(OR(AQ65="",NOT(ISNUMBER(AQ65))),"",AQ65-N(U65))</f>
        <v/>
      </c>
      <c r="BR65" s="18" t="str">
        <f aca="false">IF($A65="","",IF(ISNUMBER($A65),DATE(YEAR($A65),MONTH($A65),1),IFERROR(DATE(2000+VALUE(RIGHT(TRIM($A65),2)),MATCH(UPPER(LEFT(TRIM($A65),3)),{"JAN","FEB","MAR","APR","MAY","JUN","JUL","AUG","SEP","OCT","NOV","DEC"},0),1),"")))</f>
        <v/>
      </c>
      <c r="BS65" s="18" t="str">
        <f aca="false">IF(BR65="","",EOMONTH(BR65,0))</f>
        <v/>
      </c>
    </row>
    <row r="66" customFormat="false" ht="15" hidden="false" customHeight="false" outlineLevel="0" collapsed="false">
      <c r="B66" s="19"/>
      <c r="C66" s="19"/>
      <c r="D66" s="19"/>
      <c r="E66" s="19"/>
      <c r="F66" s="19"/>
      <c r="G66" s="19"/>
      <c r="H66" s="19"/>
      <c r="I66" s="19"/>
      <c r="J66" s="19"/>
      <c r="K66" s="19"/>
      <c r="L66" s="19"/>
      <c r="M66" s="19"/>
      <c r="N66" s="19"/>
      <c r="O66" s="19"/>
      <c r="P66" s="19"/>
      <c r="Q66" s="19"/>
      <c r="R66" s="19"/>
      <c r="S66" s="19"/>
      <c r="T66" s="19"/>
      <c r="U66" s="19"/>
      <c r="X66" s="15" t="str">
        <f aca="false">IF(OR(B$7="",$BR66=""),"",IF('Tally Helper'!$B$3&lt;&gt;TRUE(),"not on Staff",SUMIFS('Tally Helper'!$L$5:$GI$5,'Tally Helper'!$L$3:$GI$3,"&gt;="&amp;$BR66,'Tally Helper'!$L$3:$GI$3,"&lt;="&amp;$BS66)))</f>
        <v/>
      </c>
      <c r="Y66" s="15" t="str">
        <f aca="false">IF(OR(C$7="",$BR66=""),"",IF('Tally Helper'!$B$6&lt;&gt;TRUE(),"not on Staff",SUMIFS('Tally Helper'!$L$8:$GI$8,'Tally Helper'!$L$6:$GI$6,"&gt;="&amp;$BR66,'Tally Helper'!$L$6:$GI$6,"&lt;="&amp;$BS66)))</f>
        <v/>
      </c>
      <c r="Z66" s="15" t="str">
        <f aca="false">IF(OR(D$7="",$BR66=""),"",IF('Tally Helper'!$B$9&lt;&gt;TRUE(),"not on Staff",SUMIFS('Tally Helper'!$L$11:$GI$11,'Tally Helper'!$L$9:$GI$9,"&gt;="&amp;$BR66,'Tally Helper'!$L$9:$GI$9,"&lt;="&amp;$BS66)))</f>
        <v/>
      </c>
      <c r="AA66" s="15" t="str">
        <f aca="false">IF(OR(E$7="",$BR66=""),"",IF('Tally Helper'!$B$12&lt;&gt;TRUE(),"not on Staff",SUMIFS('Tally Helper'!$L$14:$GI$14,'Tally Helper'!$L$12:$GI$12,"&gt;="&amp;$BR66,'Tally Helper'!$L$12:$GI$12,"&lt;="&amp;$BS66)))</f>
        <v/>
      </c>
      <c r="AB66" s="15" t="str">
        <f aca="false">IF(OR(F$7="",$BR66=""),"",IF('Tally Helper'!$B$15&lt;&gt;TRUE(),"not on Staff",SUMIFS('Tally Helper'!$L$17:$GI$17,'Tally Helper'!$L$15:$GI$15,"&gt;="&amp;$BR66,'Tally Helper'!$L$15:$GI$15,"&lt;="&amp;$BS66)))</f>
        <v/>
      </c>
      <c r="AC66" s="15" t="str">
        <f aca="false">IF(OR(G$7="",$BR66=""),"",IF('Tally Helper'!$B$18&lt;&gt;TRUE(),"not on Staff",SUMIFS('Tally Helper'!$L$20:$GI$20,'Tally Helper'!$L$18:$GI$18,"&gt;="&amp;$BR66,'Tally Helper'!$L$18:$GI$18,"&lt;="&amp;$BS66)))</f>
        <v/>
      </c>
      <c r="AD66" s="15" t="str">
        <f aca="false">IF(OR(H$7="",$BR66=""),"",IF('Tally Helper'!$B$21&lt;&gt;TRUE(),"not on Staff",SUMIFS('Tally Helper'!$L$23:$GI$23,'Tally Helper'!$L$21:$GI$21,"&gt;="&amp;$BR66,'Tally Helper'!$L$21:$GI$21,"&lt;="&amp;$BS66)))</f>
        <v/>
      </c>
      <c r="AE66" s="15" t="str">
        <f aca="false">IF(OR(I$7="",$BR66=""),"",IF('Tally Helper'!$B$24&lt;&gt;TRUE(),"not on Staff",SUMIFS('Tally Helper'!$L$26:$GI$26,'Tally Helper'!$L$24:$GI$24,"&gt;="&amp;$BR66,'Tally Helper'!$L$24:$GI$24,"&lt;="&amp;$BS66)))</f>
        <v/>
      </c>
      <c r="AF66" s="15" t="str">
        <f aca="false">IF(OR(J$7="",$BR66=""),"",IF('Tally Helper'!$B$27&lt;&gt;TRUE(),"not on Staff",SUMIFS('Tally Helper'!$L$29:$GI$29,'Tally Helper'!$L$27:$GI$27,"&gt;="&amp;$BR66,'Tally Helper'!$L$27:$GI$27,"&lt;="&amp;$BS66)))</f>
        <v/>
      </c>
      <c r="AG66" s="15" t="str">
        <f aca="false">IF(OR(K$7="",$BR66=""),"",IF('Tally Helper'!$B$30&lt;&gt;TRUE(),"not on Staff",SUMIFS('Tally Helper'!$L$32:$GI$32,'Tally Helper'!$L$30:$GI$30,"&gt;="&amp;$BR66,'Tally Helper'!$L$30:$GI$30,"&lt;="&amp;$BS66)))</f>
        <v/>
      </c>
      <c r="AH66" s="15" t="str">
        <f aca="false">IF(OR(L$7="",$BR66=""),"",IF('Tally Helper'!$B$33&lt;&gt;TRUE(),"not on Staff",SUMIFS('Tally Helper'!$L$35:$GI$35,'Tally Helper'!$L$33:$GI$33,"&gt;="&amp;$BR66,'Tally Helper'!$L$33:$GI$33,"&lt;="&amp;$BS66)))</f>
        <v/>
      </c>
      <c r="AI66" s="15" t="str">
        <f aca="false">IF(OR(M$7="",$BR66=""),"",IF('Tally Helper'!$B$36&lt;&gt;TRUE(),"not on Staff",SUMIFS('Tally Helper'!$L$38:$GI$38,'Tally Helper'!$L$36:$GI$36,"&gt;="&amp;$BR66,'Tally Helper'!$L$36:$GI$36,"&lt;="&amp;$BS66)))</f>
        <v/>
      </c>
      <c r="AJ66" s="15" t="str">
        <f aca="false">IF(OR(N$7="",$BR66=""),"",IF('Tally Helper'!$B$39&lt;&gt;TRUE(),"not on Staff",SUMIFS('Tally Helper'!$L$41:$GI$41,'Tally Helper'!$L$39:$GI$39,"&gt;="&amp;$BR66,'Tally Helper'!$L$39:$GI$39,"&lt;="&amp;$BS66)))</f>
        <v/>
      </c>
      <c r="AK66" s="15" t="str">
        <f aca="false">IF(OR(O$7="",$BR66=""),"",IF('Tally Helper'!$B$42&lt;&gt;TRUE(),"not on Staff",SUMIFS('Tally Helper'!$L$44:$GI$44,'Tally Helper'!$L$42:$GI$42,"&gt;="&amp;$BR66,'Tally Helper'!$L$42:$GI$42,"&lt;="&amp;$BS66)))</f>
        <v/>
      </c>
      <c r="AL66" s="15" t="str">
        <f aca="false">IF(OR(P$7="",$BR66=""),"",IF('Tally Helper'!$B$45&lt;&gt;TRUE(),"not on Staff",SUMIFS('Tally Helper'!$L$47:$GI$47,'Tally Helper'!$L$45:$GI$45,"&gt;="&amp;$BR66,'Tally Helper'!$L$45:$GI$45,"&lt;="&amp;$BS66)))</f>
        <v/>
      </c>
      <c r="AM66" s="15" t="str">
        <f aca="false">IF(OR(Q$7="",$BR66=""),"",IF('Tally Helper'!$B$48&lt;&gt;TRUE(),"not on Staff",SUMIFS('Tally Helper'!$L$50:$GI$50,'Tally Helper'!$L$48:$GI$48,"&gt;="&amp;$BR66,'Tally Helper'!$L$48:$GI$48,"&lt;="&amp;$BS66)))</f>
        <v/>
      </c>
      <c r="AN66" s="15" t="str">
        <f aca="false">IF(OR(R$7="",$BR66=""),"",IF('Tally Helper'!$B$51&lt;&gt;TRUE(),"not on Staff",SUMIFS('Tally Helper'!$L$53:$GI$53,'Tally Helper'!$L$51:$GI$51,"&gt;="&amp;$BR66,'Tally Helper'!$L$51:$GI$51,"&lt;="&amp;$BS66)))</f>
        <v/>
      </c>
      <c r="AO66" s="15" t="str">
        <f aca="false">IF(OR(S$7="",$BR66=""),"",IF('Tally Helper'!$B$54&lt;&gt;TRUE(),"not on Staff",SUMIFS('Tally Helper'!$L$56:$GI$56,'Tally Helper'!$L$54:$GI$54,"&gt;="&amp;$BR66,'Tally Helper'!$L$54:$GI$54,"&lt;="&amp;$BS66)))</f>
        <v/>
      </c>
      <c r="AP66" s="15" t="str">
        <f aca="false">IF(OR(T$7="",$BR66=""),"",IF('Tally Helper'!$B$57&lt;&gt;TRUE(),"not on Staff",SUMIFS('Tally Helper'!$L$59:$GI$59,'Tally Helper'!$L$57:$GI$57,"&gt;="&amp;$BR66,'Tally Helper'!$L$57:$GI$57,"&lt;="&amp;$BS66)))</f>
        <v/>
      </c>
      <c r="AQ66" s="15" t="str">
        <f aca="false">IF(OR(U$7="",$BR66=""),"",IF('Tally Helper'!$B$60&lt;&gt;TRUE(),"not on Staff",SUMIFS('Tally Helper'!$L$62:$GI$62,'Tally Helper'!$L$60:$GI$60,"&gt;="&amp;$BR66,'Tally Helper'!$L$60:$GI$60,"&lt;="&amp;$BS66)))</f>
        <v/>
      </c>
      <c r="AT66" s="15" t="str">
        <f aca="false">IF(OR(X66="",NOT(ISNUMBER(X66))),"",X66-N(B66))</f>
        <v/>
      </c>
      <c r="AU66" s="15" t="str">
        <f aca="false">IF(OR(Y66="",NOT(ISNUMBER(Y66))),"",Y66-N(C66))</f>
        <v/>
      </c>
      <c r="AV66" s="15" t="str">
        <f aca="false">IF(OR(Z66="",NOT(ISNUMBER(Z66))),"",Z66-N(D66))</f>
        <v/>
      </c>
      <c r="AW66" s="15" t="str">
        <f aca="false">IF(OR(AA66="",NOT(ISNUMBER(AA66))),"",AA66-N(E66))</f>
        <v/>
      </c>
      <c r="AX66" s="15" t="str">
        <f aca="false">IF(OR(AB66="",NOT(ISNUMBER(AB66))),"",AB66-N(F66))</f>
        <v/>
      </c>
      <c r="AY66" s="15" t="str">
        <f aca="false">IF(OR(AC66="",NOT(ISNUMBER(AC66))),"",AC66-N(G66))</f>
        <v/>
      </c>
      <c r="AZ66" s="15" t="str">
        <f aca="false">IF(OR(AD66="",NOT(ISNUMBER(AD66))),"",AD66-N(H66))</f>
        <v/>
      </c>
      <c r="BA66" s="15" t="str">
        <f aca="false">IF(OR(AE66="",NOT(ISNUMBER(AE66))),"",AE66-N(I66))</f>
        <v/>
      </c>
      <c r="BB66" s="15" t="str">
        <f aca="false">IF(OR(AF66="",NOT(ISNUMBER(AF66))),"",AF66-N(J66))</f>
        <v/>
      </c>
      <c r="BC66" s="15" t="str">
        <f aca="false">IF(OR(AG66="",NOT(ISNUMBER(AG66))),"",AG66-N(K66))</f>
        <v/>
      </c>
      <c r="BD66" s="15" t="str">
        <f aca="false">IF(OR(AH66="",NOT(ISNUMBER(AH66))),"",AH66-N(L66))</f>
        <v/>
      </c>
      <c r="BE66" s="15" t="str">
        <f aca="false">IF(OR(AI66="",NOT(ISNUMBER(AI66))),"",AI66-N(M66))</f>
        <v/>
      </c>
      <c r="BF66" s="15" t="str">
        <f aca="false">IF(OR(AJ66="",NOT(ISNUMBER(AJ66))),"",AJ66-N(N66))</f>
        <v/>
      </c>
      <c r="BG66" s="15" t="str">
        <f aca="false">IF(OR(AK66="",NOT(ISNUMBER(AK66))),"",AK66-N(O66))</f>
        <v/>
      </c>
      <c r="BH66" s="15" t="str">
        <f aca="false">IF(OR(AL66="",NOT(ISNUMBER(AL66))),"",AL66-N(P66))</f>
        <v/>
      </c>
      <c r="BI66" s="15" t="str">
        <f aca="false">IF(OR(AM66="",NOT(ISNUMBER(AM66))),"",AM66-N(Q66))</f>
        <v/>
      </c>
      <c r="BJ66" s="15" t="str">
        <f aca="false">IF(OR(AN66="",NOT(ISNUMBER(AN66))),"",AN66-N(R66))</f>
        <v/>
      </c>
      <c r="BK66" s="15" t="str">
        <f aca="false">IF(OR(AO66="",NOT(ISNUMBER(AO66))),"",AO66-N(S66))</f>
        <v/>
      </c>
      <c r="BL66" s="15" t="str">
        <f aca="false">IF(OR(AP66="",NOT(ISNUMBER(AP66))),"",AP66-N(T66))</f>
        <v/>
      </c>
      <c r="BM66" s="15" t="str">
        <f aca="false">IF(OR(AQ66="",NOT(ISNUMBER(AQ66))),"",AQ66-N(U66))</f>
        <v/>
      </c>
      <c r="BR66" s="18" t="str">
        <f aca="false">IF($A66="","",IF(ISNUMBER($A66),DATE(YEAR($A66),MONTH($A66),1),IFERROR(DATE(2000+VALUE(RIGHT(TRIM($A66),2)),MATCH(UPPER(LEFT(TRIM($A66),3)),{"JAN","FEB","MAR","APR","MAY","JUN","JUL","AUG","SEP","OCT","NOV","DEC"},0),1),"")))</f>
        <v/>
      </c>
      <c r="BS66" s="18" t="str">
        <f aca="false">IF(BR66="","",EOMONTH(BR66,0))</f>
        <v/>
      </c>
    </row>
    <row r="67" customFormat="false" ht="15" hidden="false" customHeight="false" outlineLevel="0" collapsed="false">
      <c r="B67" s="19"/>
      <c r="C67" s="19"/>
      <c r="D67" s="19"/>
      <c r="E67" s="19"/>
      <c r="F67" s="19"/>
      <c r="G67" s="19"/>
      <c r="H67" s="19"/>
      <c r="I67" s="19"/>
      <c r="J67" s="19"/>
      <c r="K67" s="19"/>
      <c r="L67" s="19"/>
      <c r="M67" s="19"/>
      <c r="N67" s="19"/>
      <c r="O67" s="19"/>
      <c r="P67" s="19"/>
      <c r="Q67" s="19"/>
      <c r="R67" s="19"/>
      <c r="S67" s="19"/>
      <c r="T67" s="19"/>
      <c r="U67" s="19"/>
      <c r="X67" s="15" t="str">
        <f aca="false">IF(OR(B$7="",$BR67=""),"",IF('Tally Helper'!$B$3&lt;&gt;TRUE(),"not on Staff",SUMIFS('Tally Helper'!$L$5:$GI$5,'Tally Helper'!$L$3:$GI$3,"&gt;="&amp;$BR67,'Tally Helper'!$L$3:$GI$3,"&lt;="&amp;$BS67)))</f>
        <v/>
      </c>
      <c r="Y67" s="15" t="str">
        <f aca="false">IF(OR(C$7="",$BR67=""),"",IF('Tally Helper'!$B$6&lt;&gt;TRUE(),"not on Staff",SUMIFS('Tally Helper'!$L$8:$GI$8,'Tally Helper'!$L$6:$GI$6,"&gt;="&amp;$BR67,'Tally Helper'!$L$6:$GI$6,"&lt;="&amp;$BS67)))</f>
        <v/>
      </c>
      <c r="Z67" s="15" t="str">
        <f aca="false">IF(OR(D$7="",$BR67=""),"",IF('Tally Helper'!$B$9&lt;&gt;TRUE(),"not on Staff",SUMIFS('Tally Helper'!$L$11:$GI$11,'Tally Helper'!$L$9:$GI$9,"&gt;="&amp;$BR67,'Tally Helper'!$L$9:$GI$9,"&lt;="&amp;$BS67)))</f>
        <v/>
      </c>
      <c r="AA67" s="15" t="str">
        <f aca="false">IF(OR(E$7="",$BR67=""),"",IF('Tally Helper'!$B$12&lt;&gt;TRUE(),"not on Staff",SUMIFS('Tally Helper'!$L$14:$GI$14,'Tally Helper'!$L$12:$GI$12,"&gt;="&amp;$BR67,'Tally Helper'!$L$12:$GI$12,"&lt;="&amp;$BS67)))</f>
        <v/>
      </c>
      <c r="AB67" s="15" t="str">
        <f aca="false">IF(OR(F$7="",$BR67=""),"",IF('Tally Helper'!$B$15&lt;&gt;TRUE(),"not on Staff",SUMIFS('Tally Helper'!$L$17:$GI$17,'Tally Helper'!$L$15:$GI$15,"&gt;="&amp;$BR67,'Tally Helper'!$L$15:$GI$15,"&lt;="&amp;$BS67)))</f>
        <v/>
      </c>
      <c r="AC67" s="15" t="str">
        <f aca="false">IF(OR(G$7="",$BR67=""),"",IF('Tally Helper'!$B$18&lt;&gt;TRUE(),"not on Staff",SUMIFS('Tally Helper'!$L$20:$GI$20,'Tally Helper'!$L$18:$GI$18,"&gt;="&amp;$BR67,'Tally Helper'!$L$18:$GI$18,"&lt;="&amp;$BS67)))</f>
        <v/>
      </c>
      <c r="AD67" s="15" t="str">
        <f aca="false">IF(OR(H$7="",$BR67=""),"",IF('Tally Helper'!$B$21&lt;&gt;TRUE(),"not on Staff",SUMIFS('Tally Helper'!$L$23:$GI$23,'Tally Helper'!$L$21:$GI$21,"&gt;="&amp;$BR67,'Tally Helper'!$L$21:$GI$21,"&lt;="&amp;$BS67)))</f>
        <v/>
      </c>
      <c r="AE67" s="15" t="str">
        <f aca="false">IF(OR(I$7="",$BR67=""),"",IF('Tally Helper'!$B$24&lt;&gt;TRUE(),"not on Staff",SUMIFS('Tally Helper'!$L$26:$GI$26,'Tally Helper'!$L$24:$GI$24,"&gt;="&amp;$BR67,'Tally Helper'!$L$24:$GI$24,"&lt;="&amp;$BS67)))</f>
        <v/>
      </c>
      <c r="AF67" s="15" t="str">
        <f aca="false">IF(OR(J$7="",$BR67=""),"",IF('Tally Helper'!$B$27&lt;&gt;TRUE(),"not on Staff",SUMIFS('Tally Helper'!$L$29:$GI$29,'Tally Helper'!$L$27:$GI$27,"&gt;="&amp;$BR67,'Tally Helper'!$L$27:$GI$27,"&lt;="&amp;$BS67)))</f>
        <v/>
      </c>
      <c r="AG67" s="15" t="str">
        <f aca="false">IF(OR(K$7="",$BR67=""),"",IF('Tally Helper'!$B$30&lt;&gt;TRUE(),"not on Staff",SUMIFS('Tally Helper'!$L$32:$GI$32,'Tally Helper'!$L$30:$GI$30,"&gt;="&amp;$BR67,'Tally Helper'!$L$30:$GI$30,"&lt;="&amp;$BS67)))</f>
        <v/>
      </c>
      <c r="AH67" s="15" t="str">
        <f aca="false">IF(OR(L$7="",$BR67=""),"",IF('Tally Helper'!$B$33&lt;&gt;TRUE(),"not on Staff",SUMIFS('Tally Helper'!$L$35:$GI$35,'Tally Helper'!$L$33:$GI$33,"&gt;="&amp;$BR67,'Tally Helper'!$L$33:$GI$33,"&lt;="&amp;$BS67)))</f>
        <v/>
      </c>
      <c r="AI67" s="15" t="str">
        <f aca="false">IF(OR(M$7="",$BR67=""),"",IF('Tally Helper'!$B$36&lt;&gt;TRUE(),"not on Staff",SUMIFS('Tally Helper'!$L$38:$GI$38,'Tally Helper'!$L$36:$GI$36,"&gt;="&amp;$BR67,'Tally Helper'!$L$36:$GI$36,"&lt;="&amp;$BS67)))</f>
        <v/>
      </c>
      <c r="AJ67" s="15" t="str">
        <f aca="false">IF(OR(N$7="",$BR67=""),"",IF('Tally Helper'!$B$39&lt;&gt;TRUE(),"not on Staff",SUMIFS('Tally Helper'!$L$41:$GI$41,'Tally Helper'!$L$39:$GI$39,"&gt;="&amp;$BR67,'Tally Helper'!$L$39:$GI$39,"&lt;="&amp;$BS67)))</f>
        <v/>
      </c>
      <c r="AK67" s="15" t="str">
        <f aca="false">IF(OR(O$7="",$BR67=""),"",IF('Tally Helper'!$B$42&lt;&gt;TRUE(),"not on Staff",SUMIFS('Tally Helper'!$L$44:$GI$44,'Tally Helper'!$L$42:$GI$42,"&gt;="&amp;$BR67,'Tally Helper'!$L$42:$GI$42,"&lt;="&amp;$BS67)))</f>
        <v/>
      </c>
      <c r="AL67" s="15" t="str">
        <f aca="false">IF(OR(P$7="",$BR67=""),"",IF('Tally Helper'!$B$45&lt;&gt;TRUE(),"not on Staff",SUMIFS('Tally Helper'!$L$47:$GI$47,'Tally Helper'!$L$45:$GI$45,"&gt;="&amp;$BR67,'Tally Helper'!$L$45:$GI$45,"&lt;="&amp;$BS67)))</f>
        <v/>
      </c>
      <c r="AM67" s="15" t="str">
        <f aca="false">IF(OR(Q$7="",$BR67=""),"",IF('Tally Helper'!$B$48&lt;&gt;TRUE(),"not on Staff",SUMIFS('Tally Helper'!$L$50:$GI$50,'Tally Helper'!$L$48:$GI$48,"&gt;="&amp;$BR67,'Tally Helper'!$L$48:$GI$48,"&lt;="&amp;$BS67)))</f>
        <v/>
      </c>
      <c r="AN67" s="15" t="str">
        <f aca="false">IF(OR(R$7="",$BR67=""),"",IF('Tally Helper'!$B$51&lt;&gt;TRUE(),"not on Staff",SUMIFS('Tally Helper'!$L$53:$GI$53,'Tally Helper'!$L$51:$GI$51,"&gt;="&amp;$BR67,'Tally Helper'!$L$51:$GI$51,"&lt;="&amp;$BS67)))</f>
        <v/>
      </c>
      <c r="AO67" s="15" t="str">
        <f aca="false">IF(OR(S$7="",$BR67=""),"",IF('Tally Helper'!$B$54&lt;&gt;TRUE(),"not on Staff",SUMIFS('Tally Helper'!$L$56:$GI$56,'Tally Helper'!$L$54:$GI$54,"&gt;="&amp;$BR67,'Tally Helper'!$L$54:$GI$54,"&lt;="&amp;$BS67)))</f>
        <v/>
      </c>
      <c r="AP67" s="15" t="str">
        <f aca="false">IF(OR(T$7="",$BR67=""),"",IF('Tally Helper'!$B$57&lt;&gt;TRUE(),"not on Staff",SUMIFS('Tally Helper'!$L$59:$GI$59,'Tally Helper'!$L$57:$GI$57,"&gt;="&amp;$BR67,'Tally Helper'!$L$57:$GI$57,"&lt;="&amp;$BS67)))</f>
        <v/>
      </c>
      <c r="AQ67" s="15" t="str">
        <f aca="false">IF(OR(U$7="",$BR67=""),"",IF('Tally Helper'!$B$60&lt;&gt;TRUE(),"not on Staff",SUMIFS('Tally Helper'!$L$62:$GI$62,'Tally Helper'!$L$60:$GI$60,"&gt;="&amp;$BR67,'Tally Helper'!$L$60:$GI$60,"&lt;="&amp;$BS67)))</f>
        <v/>
      </c>
      <c r="AT67" s="15" t="str">
        <f aca="false">IF(OR(X67="",NOT(ISNUMBER(X67))),"",X67-N(B67))</f>
        <v/>
      </c>
      <c r="AU67" s="15" t="str">
        <f aca="false">IF(OR(Y67="",NOT(ISNUMBER(Y67))),"",Y67-N(C67))</f>
        <v/>
      </c>
      <c r="AV67" s="15" t="str">
        <f aca="false">IF(OR(Z67="",NOT(ISNUMBER(Z67))),"",Z67-N(D67))</f>
        <v/>
      </c>
      <c r="AW67" s="15" t="str">
        <f aca="false">IF(OR(AA67="",NOT(ISNUMBER(AA67))),"",AA67-N(E67))</f>
        <v/>
      </c>
      <c r="AX67" s="15" t="str">
        <f aca="false">IF(OR(AB67="",NOT(ISNUMBER(AB67))),"",AB67-N(F67))</f>
        <v/>
      </c>
      <c r="AY67" s="15" t="str">
        <f aca="false">IF(OR(AC67="",NOT(ISNUMBER(AC67))),"",AC67-N(G67))</f>
        <v/>
      </c>
      <c r="AZ67" s="15" t="str">
        <f aca="false">IF(OR(AD67="",NOT(ISNUMBER(AD67))),"",AD67-N(H67))</f>
        <v/>
      </c>
      <c r="BA67" s="15" t="str">
        <f aca="false">IF(OR(AE67="",NOT(ISNUMBER(AE67))),"",AE67-N(I67))</f>
        <v/>
      </c>
      <c r="BB67" s="15" t="str">
        <f aca="false">IF(OR(AF67="",NOT(ISNUMBER(AF67))),"",AF67-N(J67))</f>
        <v/>
      </c>
      <c r="BC67" s="15" t="str">
        <f aca="false">IF(OR(AG67="",NOT(ISNUMBER(AG67))),"",AG67-N(K67))</f>
        <v/>
      </c>
      <c r="BD67" s="15" t="str">
        <f aca="false">IF(OR(AH67="",NOT(ISNUMBER(AH67))),"",AH67-N(L67))</f>
        <v/>
      </c>
      <c r="BE67" s="15" t="str">
        <f aca="false">IF(OR(AI67="",NOT(ISNUMBER(AI67))),"",AI67-N(M67))</f>
        <v/>
      </c>
      <c r="BF67" s="15" t="str">
        <f aca="false">IF(OR(AJ67="",NOT(ISNUMBER(AJ67))),"",AJ67-N(N67))</f>
        <v/>
      </c>
      <c r="BG67" s="15" t="str">
        <f aca="false">IF(OR(AK67="",NOT(ISNUMBER(AK67))),"",AK67-N(O67))</f>
        <v/>
      </c>
      <c r="BH67" s="15" t="str">
        <f aca="false">IF(OR(AL67="",NOT(ISNUMBER(AL67))),"",AL67-N(P67))</f>
        <v/>
      </c>
      <c r="BI67" s="15" t="str">
        <f aca="false">IF(OR(AM67="",NOT(ISNUMBER(AM67))),"",AM67-N(Q67))</f>
        <v/>
      </c>
      <c r="BJ67" s="15" t="str">
        <f aca="false">IF(OR(AN67="",NOT(ISNUMBER(AN67))),"",AN67-N(R67))</f>
        <v/>
      </c>
      <c r="BK67" s="15" t="str">
        <f aca="false">IF(OR(AO67="",NOT(ISNUMBER(AO67))),"",AO67-N(S67))</f>
        <v/>
      </c>
      <c r="BL67" s="15" t="str">
        <f aca="false">IF(OR(AP67="",NOT(ISNUMBER(AP67))),"",AP67-N(T67))</f>
        <v/>
      </c>
      <c r="BM67" s="15" t="str">
        <f aca="false">IF(OR(AQ67="",NOT(ISNUMBER(AQ67))),"",AQ67-N(U67))</f>
        <v/>
      </c>
      <c r="BR67" s="18" t="str">
        <f aca="false">IF($A67="","",IF(ISNUMBER($A67),DATE(YEAR($A67),MONTH($A67),1),IFERROR(DATE(2000+VALUE(RIGHT(TRIM($A67),2)),MATCH(UPPER(LEFT(TRIM($A67),3)),{"JAN","FEB","MAR","APR","MAY","JUN","JUL","AUG","SEP","OCT","NOV","DEC"},0),1),"")))</f>
        <v/>
      </c>
      <c r="BS67" s="18" t="str">
        <f aca="false">IF(BR67="","",EOMONTH(BR67,0))</f>
        <v/>
      </c>
    </row>
    <row r="68" customFormat="false" ht="15" hidden="false" customHeight="false" outlineLevel="0" collapsed="false">
      <c r="B68" s="19"/>
      <c r="C68" s="19"/>
      <c r="D68" s="19"/>
      <c r="E68" s="19"/>
      <c r="F68" s="19"/>
      <c r="G68" s="19"/>
      <c r="H68" s="19"/>
      <c r="I68" s="19"/>
      <c r="J68" s="19"/>
      <c r="K68" s="19"/>
      <c r="L68" s="19"/>
      <c r="M68" s="19"/>
      <c r="N68" s="19"/>
      <c r="O68" s="19"/>
      <c r="P68" s="19"/>
      <c r="Q68" s="19"/>
      <c r="R68" s="19"/>
      <c r="S68" s="19"/>
      <c r="T68" s="19"/>
      <c r="U68" s="19"/>
      <c r="X68" s="15" t="str">
        <f aca="false">IF(OR(B$7="",$BR68=""),"",IF('Tally Helper'!$B$3&lt;&gt;TRUE(),"not on Staff",SUMIFS('Tally Helper'!$L$5:$GI$5,'Tally Helper'!$L$3:$GI$3,"&gt;="&amp;$BR68,'Tally Helper'!$L$3:$GI$3,"&lt;="&amp;$BS68)))</f>
        <v/>
      </c>
      <c r="Y68" s="15" t="str">
        <f aca="false">IF(OR(C$7="",$BR68=""),"",IF('Tally Helper'!$B$6&lt;&gt;TRUE(),"not on Staff",SUMIFS('Tally Helper'!$L$8:$GI$8,'Tally Helper'!$L$6:$GI$6,"&gt;="&amp;$BR68,'Tally Helper'!$L$6:$GI$6,"&lt;="&amp;$BS68)))</f>
        <v/>
      </c>
      <c r="Z68" s="15" t="str">
        <f aca="false">IF(OR(D$7="",$BR68=""),"",IF('Tally Helper'!$B$9&lt;&gt;TRUE(),"not on Staff",SUMIFS('Tally Helper'!$L$11:$GI$11,'Tally Helper'!$L$9:$GI$9,"&gt;="&amp;$BR68,'Tally Helper'!$L$9:$GI$9,"&lt;="&amp;$BS68)))</f>
        <v/>
      </c>
      <c r="AA68" s="15" t="str">
        <f aca="false">IF(OR(E$7="",$BR68=""),"",IF('Tally Helper'!$B$12&lt;&gt;TRUE(),"not on Staff",SUMIFS('Tally Helper'!$L$14:$GI$14,'Tally Helper'!$L$12:$GI$12,"&gt;="&amp;$BR68,'Tally Helper'!$L$12:$GI$12,"&lt;="&amp;$BS68)))</f>
        <v/>
      </c>
      <c r="AB68" s="15" t="str">
        <f aca="false">IF(OR(F$7="",$BR68=""),"",IF('Tally Helper'!$B$15&lt;&gt;TRUE(),"not on Staff",SUMIFS('Tally Helper'!$L$17:$GI$17,'Tally Helper'!$L$15:$GI$15,"&gt;="&amp;$BR68,'Tally Helper'!$L$15:$GI$15,"&lt;="&amp;$BS68)))</f>
        <v/>
      </c>
      <c r="AC68" s="15" t="str">
        <f aca="false">IF(OR(G$7="",$BR68=""),"",IF('Tally Helper'!$B$18&lt;&gt;TRUE(),"not on Staff",SUMIFS('Tally Helper'!$L$20:$GI$20,'Tally Helper'!$L$18:$GI$18,"&gt;="&amp;$BR68,'Tally Helper'!$L$18:$GI$18,"&lt;="&amp;$BS68)))</f>
        <v/>
      </c>
      <c r="AD68" s="15" t="str">
        <f aca="false">IF(OR(H$7="",$BR68=""),"",IF('Tally Helper'!$B$21&lt;&gt;TRUE(),"not on Staff",SUMIFS('Tally Helper'!$L$23:$GI$23,'Tally Helper'!$L$21:$GI$21,"&gt;="&amp;$BR68,'Tally Helper'!$L$21:$GI$21,"&lt;="&amp;$BS68)))</f>
        <v/>
      </c>
      <c r="AE68" s="15" t="str">
        <f aca="false">IF(OR(I$7="",$BR68=""),"",IF('Tally Helper'!$B$24&lt;&gt;TRUE(),"not on Staff",SUMIFS('Tally Helper'!$L$26:$GI$26,'Tally Helper'!$L$24:$GI$24,"&gt;="&amp;$BR68,'Tally Helper'!$L$24:$GI$24,"&lt;="&amp;$BS68)))</f>
        <v/>
      </c>
      <c r="AF68" s="15" t="str">
        <f aca="false">IF(OR(J$7="",$BR68=""),"",IF('Tally Helper'!$B$27&lt;&gt;TRUE(),"not on Staff",SUMIFS('Tally Helper'!$L$29:$GI$29,'Tally Helper'!$L$27:$GI$27,"&gt;="&amp;$BR68,'Tally Helper'!$L$27:$GI$27,"&lt;="&amp;$BS68)))</f>
        <v/>
      </c>
      <c r="AG68" s="15" t="str">
        <f aca="false">IF(OR(K$7="",$BR68=""),"",IF('Tally Helper'!$B$30&lt;&gt;TRUE(),"not on Staff",SUMIFS('Tally Helper'!$L$32:$GI$32,'Tally Helper'!$L$30:$GI$30,"&gt;="&amp;$BR68,'Tally Helper'!$L$30:$GI$30,"&lt;="&amp;$BS68)))</f>
        <v/>
      </c>
      <c r="AH68" s="15" t="str">
        <f aca="false">IF(OR(L$7="",$BR68=""),"",IF('Tally Helper'!$B$33&lt;&gt;TRUE(),"not on Staff",SUMIFS('Tally Helper'!$L$35:$GI$35,'Tally Helper'!$L$33:$GI$33,"&gt;="&amp;$BR68,'Tally Helper'!$L$33:$GI$33,"&lt;="&amp;$BS68)))</f>
        <v/>
      </c>
      <c r="AI68" s="15" t="str">
        <f aca="false">IF(OR(M$7="",$BR68=""),"",IF('Tally Helper'!$B$36&lt;&gt;TRUE(),"not on Staff",SUMIFS('Tally Helper'!$L$38:$GI$38,'Tally Helper'!$L$36:$GI$36,"&gt;="&amp;$BR68,'Tally Helper'!$L$36:$GI$36,"&lt;="&amp;$BS68)))</f>
        <v/>
      </c>
      <c r="AJ68" s="15" t="str">
        <f aca="false">IF(OR(N$7="",$BR68=""),"",IF('Tally Helper'!$B$39&lt;&gt;TRUE(),"not on Staff",SUMIFS('Tally Helper'!$L$41:$GI$41,'Tally Helper'!$L$39:$GI$39,"&gt;="&amp;$BR68,'Tally Helper'!$L$39:$GI$39,"&lt;="&amp;$BS68)))</f>
        <v/>
      </c>
      <c r="AK68" s="15" t="str">
        <f aca="false">IF(OR(O$7="",$BR68=""),"",IF('Tally Helper'!$B$42&lt;&gt;TRUE(),"not on Staff",SUMIFS('Tally Helper'!$L$44:$GI$44,'Tally Helper'!$L$42:$GI$42,"&gt;="&amp;$BR68,'Tally Helper'!$L$42:$GI$42,"&lt;="&amp;$BS68)))</f>
        <v/>
      </c>
      <c r="AL68" s="15" t="str">
        <f aca="false">IF(OR(P$7="",$BR68=""),"",IF('Tally Helper'!$B$45&lt;&gt;TRUE(),"not on Staff",SUMIFS('Tally Helper'!$L$47:$GI$47,'Tally Helper'!$L$45:$GI$45,"&gt;="&amp;$BR68,'Tally Helper'!$L$45:$GI$45,"&lt;="&amp;$BS68)))</f>
        <v/>
      </c>
      <c r="AM68" s="15" t="str">
        <f aca="false">IF(OR(Q$7="",$BR68=""),"",IF('Tally Helper'!$B$48&lt;&gt;TRUE(),"not on Staff",SUMIFS('Tally Helper'!$L$50:$GI$50,'Tally Helper'!$L$48:$GI$48,"&gt;="&amp;$BR68,'Tally Helper'!$L$48:$GI$48,"&lt;="&amp;$BS68)))</f>
        <v/>
      </c>
      <c r="AN68" s="15" t="str">
        <f aca="false">IF(OR(R$7="",$BR68=""),"",IF('Tally Helper'!$B$51&lt;&gt;TRUE(),"not on Staff",SUMIFS('Tally Helper'!$L$53:$GI$53,'Tally Helper'!$L$51:$GI$51,"&gt;="&amp;$BR68,'Tally Helper'!$L$51:$GI$51,"&lt;="&amp;$BS68)))</f>
        <v/>
      </c>
      <c r="AO68" s="15" t="str">
        <f aca="false">IF(OR(S$7="",$BR68=""),"",IF('Tally Helper'!$B$54&lt;&gt;TRUE(),"not on Staff",SUMIFS('Tally Helper'!$L$56:$GI$56,'Tally Helper'!$L$54:$GI$54,"&gt;="&amp;$BR68,'Tally Helper'!$L$54:$GI$54,"&lt;="&amp;$BS68)))</f>
        <v/>
      </c>
      <c r="AP68" s="15" t="str">
        <f aca="false">IF(OR(T$7="",$BR68=""),"",IF('Tally Helper'!$B$57&lt;&gt;TRUE(),"not on Staff",SUMIFS('Tally Helper'!$L$59:$GI$59,'Tally Helper'!$L$57:$GI$57,"&gt;="&amp;$BR68,'Tally Helper'!$L$57:$GI$57,"&lt;="&amp;$BS68)))</f>
        <v/>
      </c>
      <c r="AQ68" s="15" t="str">
        <f aca="false">IF(OR(U$7="",$BR68=""),"",IF('Tally Helper'!$B$60&lt;&gt;TRUE(),"not on Staff",SUMIFS('Tally Helper'!$L$62:$GI$62,'Tally Helper'!$L$60:$GI$60,"&gt;="&amp;$BR68,'Tally Helper'!$L$60:$GI$60,"&lt;="&amp;$BS68)))</f>
        <v/>
      </c>
      <c r="AT68" s="15" t="str">
        <f aca="false">IF(OR(X68="",NOT(ISNUMBER(X68))),"",X68-N(B68))</f>
        <v/>
      </c>
      <c r="AU68" s="15" t="str">
        <f aca="false">IF(OR(Y68="",NOT(ISNUMBER(Y68))),"",Y68-N(C68))</f>
        <v/>
      </c>
      <c r="AV68" s="15" t="str">
        <f aca="false">IF(OR(Z68="",NOT(ISNUMBER(Z68))),"",Z68-N(D68))</f>
        <v/>
      </c>
      <c r="AW68" s="15" t="str">
        <f aca="false">IF(OR(AA68="",NOT(ISNUMBER(AA68))),"",AA68-N(E68))</f>
        <v/>
      </c>
      <c r="AX68" s="15" t="str">
        <f aca="false">IF(OR(AB68="",NOT(ISNUMBER(AB68))),"",AB68-N(F68))</f>
        <v/>
      </c>
      <c r="AY68" s="15" t="str">
        <f aca="false">IF(OR(AC68="",NOT(ISNUMBER(AC68))),"",AC68-N(G68))</f>
        <v/>
      </c>
      <c r="AZ68" s="15" t="str">
        <f aca="false">IF(OR(AD68="",NOT(ISNUMBER(AD68))),"",AD68-N(H68))</f>
        <v/>
      </c>
      <c r="BA68" s="15" t="str">
        <f aca="false">IF(OR(AE68="",NOT(ISNUMBER(AE68))),"",AE68-N(I68))</f>
        <v/>
      </c>
      <c r="BB68" s="15" t="str">
        <f aca="false">IF(OR(AF68="",NOT(ISNUMBER(AF68))),"",AF68-N(J68))</f>
        <v/>
      </c>
      <c r="BC68" s="15" t="str">
        <f aca="false">IF(OR(AG68="",NOT(ISNUMBER(AG68))),"",AG68-N(K68))</f>
        <v/>
      </c>
      <c r="BD68" s="15" t="str">
        <f aca="false">IF(OR(AH68="",NOT(ISNUMBER(AH68))),"",AH68-N(L68))</f>
        <v/>
      </c>
      <c r="BE68" s="15" t="str">
        <f aca="false">IF(OR(AI68="",NOT(ISNUMBER(AI68))),"",AI68-N(M68))</f>
        <v/>
      </c>
      <c r="BF68" s="15" t="str">
        <f aca="false">IF(OR(AJ68="",NOT(ISNUMBER(AJ68))),"",AJ68-N(N68))</f>
        <v/>
      </c>
      <c r="BG68" s="15" t="str">
        <f aca="false">IF(OR(AK68="",NOT(ISNUMBER(AK68))),"",AK68-N(O68))</f>
        <v/>
      </c>
      <c r="BH68" s="15" t="str">
        <f aca="false">IF(OR(AL68="",NOT(ISNUMBER(AL68))),"",AL68-N(P68))</f>
        <v/>
      </c>
      <c r="BI68" s="15" t="str">
        <f aca="false">IF(OR(AM68="",NOT(ISNUMBER(AM68))),"",AM68-N(Q68))</f>
        <v/>
      </c>
      <c r="BJ68" s="15" t="str">
        <f aca="false">IF(OR(AN68="",NOT(ISNUMBER(AN68))),"",AN68-N(R68))</f>
        <v/>
      </c>
      <c r="BK68" s="15" t="str">
        <f aca="false">IF(OR(AO68="",NOT(ISNUMBER(AO68))),"",AO68-N(S68))</f>
        <v/>
      </c>
      <c r="BL68" s="15" t="str">
        <f aca="false">IF(OR(AP68="",NOT(ISNUMBER(AP68))),"",AP68-N(T68))</f>
        <v/>
      </c>
      <c r="BM68" s="15" t="str">
        <f aca="false">IF(OR(AQ68="",NOT(ISNUMBER(AQ68))),"",AQ68-N(U68))</f>
        <v/>
      </c>
      <c r="BR68" s="18" t="str">
        <f aca="false">IF($A68="","",IF(ISNUMBER($A68),DATE(YEAR($A68),MONTH($A68),1),IFERROR(DATE(2000+VALUE(RIGHT(TRIM($A68),2)),MATCH(UPPER(LEFT(TRIM($A68),3)),{"JAN","FEB","MAR","APR","MAY","JUN","JUL","AUG","SEP","OCT","NOV","DEC"},0),1),"")))</f>
        <v/>
      </c>
      <c r="BS68" s="18" t="str">
        <f aca="false">IF(BR68="","",EOMONTH(BR68,0))</f>
        <v/>
      </c>
    </row>
    <row r="69" customFormat="false" ht="15" hidden="false" customHeight="false" outlineLevel="0" collapsed="false">
      <c r="B69" s="19"/>
      <c r="C69" s="19"/>
      <c r="D69" s="19"/>
      <c r="E69" s="19"/>
      <c r="F69" s="19"/>
      <c r="G69" s="19"/>
      <c r="H69" s="19"/>
      <c r="I69" s="19"/>
      <c r="J69" s="19"/>
      <c r="K69" s="19"/>
      <c r="L69" s="19"/>
      <c r="M69" s="19"/>
      <c r="N69" s="19"/>
      <c r="O69" s="19"/>
      <c r="P69" s="19"/>
      <c r="Q69" s="19"/>
      <c r="R69" s="19"/>
      <c r="S69" s="19"/>
      <c r="T69" s="19"/>
      <c r="U69" s="19"/>
      <c r="X69" s="15" t="str">
        <f aca="false">IF(OR(B$7="",$BR69=""),"",IF('Tally Helper'!$B$3&lt;&gt;TRUE(),"not on Staff",SUMIFS('Tally Helper'!$L$5:$GI$5,'Tally Helper'!$L$3:$GI$3,"&gt;="&amp;$BR69,'Tally Helper'!$L$3:$GI$3,"&lt;="&amp;$BS69)))</f>
        <v/>
      </c>
      <c r="Y69" s="15" t="str">
        <f aca="false">IF(OR(C$7="",$BR69=""),"",IF('Tally Helper'!$B$6&lt;&gt;TRUE(),"not on Staff",SUMIFS('Tally Helper'!$L$8:$GI$8,'Tally Helper'!$L$6:$GI$6,"&gt;="&amp;$BR69,'Tally Helper'!$L$6:$GI$6,"&lt;="&amp;$BS69)))</f>
        <v/>
      </c>
      <c r="Z69" s="15" t="str">
        <f aca="false">IF(OR(D$7="",$BR69=""),"",IF('Tally Helper'!$B$9&lt;&gt;TRUE(),"not on Staff",SUMIFS('Tally Helper'!$L$11:$GI$11,'Tally Helper'!$L$9:$GI$9,"&gt;="&amp;$BR69,'Tally Helper'!$L$9:$GI$9,"&lt;="&amp;$BS69)))</f>
        <v/>
      </c>
      <c r="AA69" s="15" t="str">
        <f aca="false">IF(OR(E$7="",$BR69=""),"",IF('Tally Helper'!$B$12&lt;&gt;TRUE(),"not on Staff",SUMIFS('Tally Helper'!$L$14:$GI$14,'Tally Helper'!$L$12:$GI$12,"&gt;="&amp;$BR69,'Tally Helper'!$L$12:$GI$12,"&lt;="&amp;$BS69)))</f>
        <v/>
      </c>
      <c r="AB69" s="15" t="str">
        <f aca="false">IF(OR(F$7="",$BR69=""),"",IF('Tally Helper'!$B$15&lt;&gt;TRUE(),"not on Staff",SUMIFS('Tally Helper'!$L$17:$GI$17,'Tally Helper'!$L$15:$GI$15,"&gt;="&amp;$BR69,'Tally Helper'!$L$15:$GI$15,"&lt;="&amp;$BS69)))</f>
        <v/>
      </c>
      <c r="AC69" s="15" t="str">
        <f aca="false">IF(OR(G$7="",$BR69=""),"",IF('Tally Helper'!$B$18&lt;&gt;TRUE(),"not on Staff",SUMIFS('Tally Helper'!$L$20:$GI$20,'Tally Helper'!$L$18:$GI$18,"&gt;="&amp;$BR69,'Tally Helper'!$L$18:$GI$18,"&lt;="&amp;$BS69)))</f>
        <v/>
      </c>
      <c r="AD69" s="15" t="str">
        <f aca="false">IF(OR(H$7="",$BR69=""),"",IF('Tally Helper'!$B$21&lt;&gt;TRUE(),"not on Staff",SUMIFS('Tally Helper'!$L$23:$GI$23,'Tally Helper'!$L$21:$GI$21,"&gt;="&amp;$BR69,'Tally Helper'!$L$21:$GI$21,"&lt;="&amp;$BS69)))</f>
        <v/>
      </c>
      <c r="AE69" s="15" t="str">
        <f aca="false">IF(OR(I$7="",$BR69=""),"",IF('Tally Helper'!$B$24&lt;&gt;TRUE(),"not on Staff",SUMIFS('Tally Helper'!$L$26:$GI$26,'Tally Helper'!$L$24:$GI$24,"&gt;="&amp;$BR69,'Tally Helper'!$L$24:$GI$24,"&lt;="&amp;$BS69)))</f>
        <v/>
      </c>
      <c r="AF69" s="15" t="str">
        <f aca="false">IF(OR(J$7="",$BR69=""),"",IF('Tally Helper'!$B$27&lt;&gt;TRUE(),"not on Staff",SUMIFS('Tally Helper'!$L$29:$GI$29,'Tally Helper'!$L$27:$GI$27,"&gt;="&amp;$BR69,'Tally Helper'!$L$27:$GI$27,"&lt;="&amp;$BS69)))</f>
        <v/>
      </c>
      <c r="AG69" s="15" t="str">
        <f aca="false">IF(OR(K$7="",$BR69=""),"",IF('Tally Helper'!$B$30&lt;&gt;TRUE(),"not on Staff",SUMIFS('Tally Helper'!$L$32:$GI$32,'Tally Helper'!$L$30:$GI$30,"&gt;="&amp;$BR69,'Tally Helper'!$L$30:$GI$30,"&lt;="&amp;$BS69)))</f>
        <v/>
      </c>
      <c r="AH69" s="15" t="str">
        <f aca="false">IF(OR(L$7="",$BR69=""),"",IF('Tally Helper'!$B$33&lt;&gt;TRUE(),"not on Staff",SUMIFS('Tally Helper'!$L$35:$GI$35,'Tally Helper'!$L$33:$GI$33,"&gt;="&amp;$BR69,'Tally Helper'!$L$33:$GI$33,"&lt;="&amp;$BS69)))</f>
        <v/>
      </c>
      <c r="AI69" s="15" t="str">
        <f aca="false">IF(OR(M$7="",$BR69=""),"",IF('Tally Helper'!$B$36&lt;&gt;TRUE(),"not on Staff",SUMIFS('Tally Helper'!$L$38:$GI$38,'Tally Helper'!$L$36:$GI$36,"&gt;="&amp;$BR69,'Tally Helper'!$L$36:$GI$36,"&lt;="&amp;$BS69)))</f>
        <v/>
      </c>
      <c r="AJ69" s="15" t="str">
        <f aca="false">IF(OR(N$7="",$BR69=""),"",IF('Tally Helper'!$B$39&lt;&gt;TRUE(),"not on Staff",SUMIFS('Tally Helper'!$L$41:$GI$41,'Tally Helper'!$L$39:$GI$39,"&gt;="&amp;$BR69,'Tally Helper'!$L$39:$GI$39,"&lt;="&amp;$BS69)))</f>
        <v/>
      </c>
      <c r="AK69" s="15" t="str">
        <f aca="false">IF(OR(O$7="",$BR69=""),"",IF('Tally Helper'!$B$42&lt;&gt;TRUE(),"not on Staff",SUMIFS('Tally Helper'!$L$44:$GI$44,'Tally Helper'!$L$42:$GI$42,"&gt;="&amp;$BR69,'Tally Helper'!$L$42:$GI$42,"&lt;="&amp;$BS69)))</f>
        <v/>
      </c>
      <c r="AL69" s="15" t="str">
        <f aca="false">IF(OR(P$7="",$BR69=""),"",IF('Tally Helper'!$B$45&lt;&gt;TRUE(),"not on Staff",SUMIFS('Tally Helper'!$L$47:$GI$47,'Tally Helper'!$L$45:$GI$45,"&gt;="&amp;$BR69,'Tally Helper'!$L$45:$GI$45,"&lt;="&amp;$BS69)))</f>
        <v/>
      </c>
      <c r="AM69" s="15" t="str">
        <f aca="false">IF(OR(Q$7="",$BR69=""),"",IF('Tally Helper'!$B$48&lt;&gt;TRUE(),"not on Staff",SUMIFS('Tally Helper'!$L$50:$GI$50,'Tally Helper'!$L$48:$GI$48,"&gt;="&amp;$BR69,'Tally Helper'!$L$48:$GI$48,"&lt;="&amp;$BS69)))</f>
        <v/>
      </c>
      <c r="AN69" s="15" t="str">
        <f aca="false">IF(OR(R$7="",$BR69=""),"",IF('Tally Helper'!$B$51&lt;&gt;TRUE(),"not on Staff",SUMIFS('Tally Helper'!$L$53:$GI$53,'Tally Helper'!$L$51:$GI$51,"&gt;="&amp;$BR69,'Tally Helper'!$L$51:$GI$51,"&lt;="&amp;$BS69)))</f>
        <v/>
      </c>
      <c r="AO69" s="15" t="str">
        <f aca="false">IF(OR(S$7="",$BR69=""),"",IF('Tally Helper'!$B$54&lt;&gt;TRUE(),"not on Staff",SUMIFS('Tally Helper'!$L$56:$GI$56,'Tally Helper'!$L$54:$GI$54,"&gt;="&amp;$BR69,'Tally Helper'!$L$54:$GI$54,"&lt;="&amp;$BS69)))</f>
        <v/>
      </c>
      <c r="AP69" s="15" t="str">
        <f aca="false">IF(OR(T$7="",$BR69=""),"",IF('Tally Helper'!$B$57&lt;&gt;TRUE(),"not on Staff",SUMIFS('Tally Helper'!$L$59:$GI$59,'Tally Helper'!$L$57:$GI$57,"&gt;="&amp;$BR69,'Tally Helper'!$L$57:$GI$57,"&lt;="&amp;$BS69)))</f>
        <v/>
      </c>
      <c r="AQ69" s="15" t="str">
        <f aca="false">IF(OR(U$7="",$BR69=""),"",IF('Tally Helper'!$B$60&lt;&gt;TRUE(),"not on Staff",SUMIFS('Tally Helper'!$L$62:$GI$62,'Tally Helper'!$L$60:$GI$60,"&gt;="&amp;$BR69,'Tally Helper'!$L$60:$GI$60,"&lt;="&amp;$BS69)))</f>
        <v/>
      </c>
      <c r="AT69" s="15" t="str">
        <f aca="false">IF(OR(X69="",NOT(ISNUMBER(X69))),"",X69-N(B69))</f>
        <v/>
      </c>
      <c r="AU69" s="15" t="str">
        <f aca="false">IF(OR(Y69="",NOT(ISNUMBER(Y69))),"",Y69-N(C69))</f>
        <v/>
      </c>
      <c r="AV69" s="15" t="str">
        <f aca="false">IF(OR(Z69="",NOT(ISNUMBER(Z69))),"",Z69-N(D69))</f>
        <v/>
      </c>
      <c r="AW69" s="15" t="str">
        <f aca="false">IF(OR(AA69="",NOT(ISNUMBER(AA69))),"",AA69-N(E69))</f>
        <v/>
      </c>
      <c r="AX69" s="15" t="str">
        <f aca="false">IF(OR(AB69="",NOT(ISNUMBER(AB69))),"",AB69-N(F69))</f>
        <v/>
      </c>
      <c r="AY69" s="15" t="str">
        <f aca="false">IF(OR(AC69="",NOT(ISNUMBER(AC69))),"",AC69-N(G69))</f>
        <v/>
      </c>
      <c r="AZ69" s="15" t="str">
        <f aca="false">IF(OR(AD69="",NOT(ISNUMBER(AD69))),"",AD69-N(H69))</f>
        <v/>
      </c>
      <c r="BA69" s="15" t="str">
        <f aca="false">IF(OR(AE69="",NOT(ISNUMBER(AE69))),"",AE69-N(I69))</f>
        <v/>
      </c>
      <c r="BB69" s="15" t="str">
        <f aca="false">IF(OR(AF69="",NOT(ISNUMBER(AF69))),"",AF69-N(J69))</f>
        <v/>
      </c>
      <c r="BC69" s="15" t="str">
        <f aca="false">IF(OR(AG69="",NOT(ISNUMBER(AG69))),"",AG69-N(K69))</f>
        <v/>
      </c>
      <c r="BD69" s="15" t="str">
        <f aca="false">IF(OR(AH69="",NOT(ISNUMBER(AH69))),"",AH69-N(L69))</f>
        <v/>
      </c>
      <c r="BE69" s="15" t="str">
        <f aca="false">IF(OR(AI69="",NOT(ISNUMBER(AI69))),"",AI69-N(M69))</f>
        <v/>
      </c>
      <c r="BF69" s="15" t="str">
        <f aca="false">IF(OR(AJ69="",NOT(ISNUMBER(AJ69))),"",AJ69-N(N69))</f>
        <v/>
      </c>
      <c r="BG69" s="15" t="str">
        <f aca="false">IF(OR(AK69="",NOT(ISNUMBER(AK69))),"",AK69-N(O69))</f>
        <v/>
      </c>
      <c r="BH69" s="15" t="str">
        <f aca="false">IF(OR(AL69="",NOT(ISNUMBER(AL69))),"",AL69-N(P69))</f>
        <v/>
      </c>
      <c r="BI69" s="15" t="str">
        <f aca="false">IF(OR(AM69="",NOT(ISNUMBER(AM69))),"",AM69-N(Q69))</f>
        <v/>
      </c>
      <c r="BJ69" s="15" t="str">
        <f aca="false">IF(OR(AN69="",NOT(ISNUMBER(AN69))),"",AN69-N(R69))</f>
        <v/>
      </c>
      <c r="BK69" s="15" t="str">
        <f aca="false">IF(OR(AO69="",NOT(ISNUMBER(AO69))),"",AO69-N(S69))</f>
        <v/>
      </c>
      <c r="BL69" s="15" t="str">
        <f aca="false">IF(OR(AP69="",NOT(ISNUMBER(AP69))),"",AP69-N(T69))</f>
        <v/>
      </c>
      <c r="BM69" s="15" t="str">
        <f aca="false">IF(OR(AQ69="",NOT(ISNUMBER(AQ69))),"",AQ69-N(U69))</f>
        <v/>
      </c>
      <c r="BR69" s="18" t="str">
        <f aca="false">IF($A69="","",IF(ISNUMBER($A69),DATE(YEAR($A69),MONTH($A69),1),IFERROR(DATE(2000+VALUE(RIGHT(TRIM($A69),2)),MATCH(UPPER(LEFT(TRIM($A69),3)),{"JAN","FEB","MAR","APR","MAY","JUN","JUL","AUG","SEP","OCT","NOV","DEC"},0),1),"")))</f>
        <v/>
      </c>
      <c r="BS69" s="18" t="str">
        <f aca="false">IF(BR69="","",EOMONTH(BR69,0))</f>
        <v/>
      </c>
    </row>
    <row r="70" customFormat="false" ht="15" hidden="false" customHeight="false" outlineLevel="0" collapsed="false">
      <c r="B70" s="19"/>
      <c r="C70" s="19"/>
      <c r="D70" s="19"/>
      <c r="E70" s="19"/>
      <c r="F70" s="19"/>
      <c r="G70" s="19"/>
      <c r="H70" s="19"/>
      <c r="I70" s="19"/>
      <c r="J70" s="19"/>
      <c r="K70" s="19"/>
      <c r="L70" s="19"/>
      <c r="M70" s="19"/>
      <c r="N70" s="19"/>
      <c r="O70" s="19"/>
      <c r="P70" s="19"/>
      <c r="Q70" s="19"/>
      <c r="R70" s="19"/>
      <c r="S70" s="19"/>
      <c r="T70" s="19"/>
      <c r="U70" s="19"/>
      <c r="X70" s="15" t="str">
        <f aca="false">IF(OR(B$7="",$BR70=""),"",IF('Tally Helper'!$B$3&lt;&gt;TRUE(),"not on Staff",SUMIFS('Tally Helper'!$L$5:$GI$5,'Tally Helper'!$L$3:$GI$3,"&gt;="&amp;$BR70,'Tally Helper'!$L$3:$GI$3,"&lt;="&amp;$BS70)))</f>
        <v/>
      </c>
      <c r="Y70" s="15" t="str">
        <f aca="false">IF(OR(C$7="",$BR70=""),"",IF('Tally Helper'!$B$6&lt;&gt;TRUE(),"not on Staff",SUMIFS('Tally Helper'!$L$8:$GI$8,'Tally Helper'!$L$6:$GI$6,"&gt;="&amp;$BR70,'Tally Helper'!$L$6:$GI$6,"&lt;="&amp;$BS70)))</f>
        <v/>
      </c>
      <c r="Z70" s="15" t="str">
        <f aca="false">IF(OR(D$7="",$BR70=""),"",IF('Tally Helper'!$B$9&lt;&gt;TRUE(),"not on Staff",SUMIFS('Tally Helper'!$L$11:$GI$11,'Tally Helper'!$L$9:$GI$9,"&gt;="&amp;$BR70,'Tally Helper'!$L$9:$GI$9,"&lt;="&amp;$BS70)))</f>
        <v/>
      </c>
      <c r="AA70" s="15" t="str">
        <f aca="false">IF(OR(E$7="",$BR70=""),"",IF('Tally Helper'!$B$12&lt;&gt;TRUE(),"not on Staff",SUMIFS('Tally Helper'!$L$14:$GI$14,'Tally Helper'!$L$12:$GI$12,"&gt;="&amp;$BR70,'Tally Helper'!$L$12:$GI$12,"&lt;="&amp;$BS70)))</f>
        <v/>
      </c>
      <c r="AB70" s="15" t="str">
        <f aca="false">IF(OR(F$7="",$BR70=""),"",IF('Tally Helper'!$B$15&lt;&gt;TRUE(),"not on Staff",SUMIFS('Tally Helper'!$L$17:$GI$17,'Tally Helper'!$L$15:$GI$15,"&gt;="&amp;$BR70,'Tally Helper'!$L$15:$GI$15,"&lt;="&amp;$BS70)))</f>
        <v/>
      </c>
      <c r="AC70" s="15" t="str">
        <f aca="false">IF(OR(G$7="",$BR70=""),"",IF('Tally Helper'!$B$18&lt;&gt;TRUE(),"not on Staff",SUMIFS('Tally Helper'!$L$20:$GI$20,'Tally Helper'!$L$18:$GI$18,"&gt;="&amp;$BR70,'Tally Helper'!$L$18:$GI$18,"&lt;="&amp;$BS70)))</f>
        <v/>
      </c>
      <c r="AD70" s="15" t="str">
        <f aca="false">IF(OR(H$7="",$BR70=""),"",IF('Tally Helper'!$B$21&lt;&gt;TRUE(),"not on Staff",SUMIFS('Tally Helper'!$L$23:$GI$23,'Tally Helper'!$L$21:$GI$21,"&gt;="&amp;$BR70,'Tally Helper'!$L$21:$GI$21,"&lt;="&amp;$BS70)))</f>
        <v/>
      </c>
      <c r="AE70" s="15" t="str">
        <f aca="false">IF(OR(I$7="",$BR70=""),"",IF('Tally Helper'!$B$24&lt;&gt;TRUE(),"not on Staff",SUMIFS('Tally Helper'!$L$26:$GI$26,'Tally Helper'!$L$24:$GI$24,"&gt;="&amp;$BR70,'Tally Helper'!$L$24:$GI$24,"&lt;="&amp;$BS70)))</f>
        <v/>
      </c>
      <c r="AF70" s="15" t="str">
        <f aca="false">IF(OR(J$7="",$BR70=""),"",IF('Tally Helper'!$B$27&lt;&gt;TRUE(),"not on Staff",SUMIFS('Tally Helper'!$L$29:$GI$29,'Tally Helper'!$L$27:$GI$27,"&gt;="&amp;$BR70,'Tally Helper'!$L$27:$GI$27,"&lt;="&amp;$BS70)))</f>
        <v/>
      </c>
      <c r="AG70" s="15" t="str">
        <f aca="false">IF(OR(K$7="",$BR70=""),"",IF('Tally Helper'!$B$30&lt;&gt;TRUE(),"not on Staff",SUMIFS('Tally Helper'!$L$32:$GI$32,'Tally Helper'!$L$30:$GI$30,"&gt;="&amp;$BR70,'Tally Helper'!$L$30:$GI$30,"&lt;="&amp;$BS70)))</f>
        <v/>
      </c>
      <c r="AH70" s="15" t="str">
        <f aca="false">IF(OR(L$7="",$BR70=""),"",IF('Tally Helper'!$B$33&lt;&gt;TRUE(),"not on Staff",SUMIFS('Tally Helper'!$L$35:$GI$35,'Tally Helper'!$L$33:$GI$33,"&gt;="&amp;$BR70,'Tally Helper'!$L$33:$GI$33,"&lt;="&amp;$BS70)))</f>
        <v/>
      </c>
      <c r="AI70" s="15" t="str">
        <f aca="false">IF(OR(M$7="",$BR70=""),"",IF('Tally Helper'!$B$36&lt;&gt;TRUE(),"not on Staff",SUMIFS('Tally Helper'!$L$38:$GI$38,'Tally Helper'!$L$36:$GI$36,"&gt;="&amp;$BR70,'Tally Helper'!$L$36:$GI$36,"&lt;="&amp;$BS70)))</f>
        <v/>
      </c>
      <c r="AJ70" s="15" t="str">
        <f aca="false">IF(OR(N$7="",$BR70=""),"",IF('Tally Helper'!$B$39&lt;&gt;TRUE(),"not on Staff",SUMIFS('Tally Helper'!$L$41:$GI$41,'Tally Helper'!$L$39:$GI$39,"&gt;="&amp;$BR70,'Tally Helper'!$L$39:$GI$39,"&lt;="&amp;$BS70)))</f>
        <v/>
      </c>
      <c r="AK70" s="15" t="str">
        <f aca="false">IF(OR(O$7="",$BR70=""),"",IF('Tally Helper'!$B$42&lt;&gt;TRUE(),"not on Staff",SUMIFS('Tally Helper'!$L$44:$GI$44,'Tally Helper'!$L$42:$GI$42,"&gt;="&amp;$BR70,'Tally Helper'!$L$42:$GI$42,"&lt;="&amp;$BS70)))</f>
        <v/>
      </c>
      <c r="AL70" s="15" t="str">
        <f aca="false">IF(OR(P$7="",$BR70=""),"",IF('Tally Helper'!$B$45&lt;&gt;TRUE(),"not on Staff",SUMIFS('Tally Helper'!$L$47:$GI$47,'Tally Helper'!$L$45:$GI$45,"&gt;="&amp;$BR70,'Tally Helper'!$L$45:$GI$45,"&lt;="&amp;$BS70)))</f>
        <v/>
      </c>
      <c r="AM70" s="15" t="str">
        <f aca="false">IF(OR(Q$7="",$BR70=""),"",IF('Tally Helper'!$B$48&lt;&gt;TRUE(),"not on Staff",SUMIFS('Tally Helper'!$L$50:$GI$50,'Tally Helper'!$L$48:$GI$48,"&gt;="&amp;$BR70,'Tally Helper'!$L$48:$GI$48,"&lt;="&amp;$BS70)))</f>
        <v/>
      </c>
      <c r="AN70" s="15" t="str">
        <f aca="false">IF(OR(R$7="",$BR70=""),"",IF('Tally Helper'!$B$51&lt;&gt;TRUE(),"not on Staff",SUMIFS('Tally Helper'!$L$53:$GI$53,'Tally Helper'!$L$51:$GI$51,"&gt;="&amp;$BR70,'Tally Helper'!$L$51:$GI$51,"&lt;="&amp;$BS70)))</f>
        <v/>
      </c>
      <c r="AO70" s="15" t="str">
        <f aca="false">IF(OR(S$7="",$BR70=""),"",IF('Tally Helper'!$B$54&lt;&gt;TRUE(),"not on Staff",SUMIFS('Tally Helper'!$L$56:$GI$56,'Tally Helper'!$L$54:$GI$54,"&gt;="&amp;$BR70,'Tally Helper'!$L$54:$GI$54,"&lt;="&amp;$BS70)))</f>
        <v/>
      </c>
      <c r="AP70" s="15" t="str">
        <f aca="false">IF(OR(T$7="",$BR70=""),"",IF('Tally Helper'!$B$57&lt;&gt;TRUE(),"not on Staff",SUMIFS('Tally Helper'!$L$59:$GI$59,'Tally Helper'!$L$57:$GI$57,"&gt;="&amp;$BR70,'Tally Helper'!$L$57:$GI$57,"&lt;="&amp;$BS70)))</f>
        <v/>
      </c>
      <c r="AQ70" s="15" t="str">
        <f aca="false">IF(OR(U$7="",$BR70=""),"",IF('Tally Helper'!$B$60&lt;&gt;TRUE(),"not on Staff",SUMIFS('Tally Helper'!$L$62:$GI$62,'Tally Helper'!$L$60:$GI$60,"&gt;="&amp;$BR70,'Tally Helper'!$L$60:$GI$60,"&lt;="&amp;$BS70)))</f>
        <v/>
      </c>
      <c r="AT70" s="15" t="str">
        <f aca="false">IF(OR(X70="",NOT(ISNUMBER(X70))),"",X70-N(B70))</f>
        <v/>
      </c>
      <c r="AU70" s="15" t="str">
        <f aca="false">IF(OR(Y70="",NOT(ISNUMBER(Y70))),"",Y70-N(C70))</f>
        <v/>
      </c>
      <c r="AV70" s="15" t="str">
        <f aca="false">IF(OR(Z70="",NOT(ISNUMBER(Z70))),"",Z70-N(D70))</f>
        <v/>
      </c>
      <c r="AW70" s="15" t="str">
        <f aca="false">IF(OR(AA70="",NOT(ISNUMBER(AA70))),"",AA70-N(E70))</f>
        <v/>
      </c>
      <c r="AX70" s="15" t="str">
        <f aca="false">IF(OR(AB70="",NOT(ISNUMBER(AB70))),"",AB70-N(F70))</f>
        <v/>
      </c>
      <c r="AY70" s="15" t="str">
        <f aca="false">IF(OR(AC70="",NOT(ISNUMBER(AC70))),"",AC70-N(G70))</f>
        <v/>
      </c>
      <c r="AZ70" s="15" t="str">
        <f aca="false">IF(OR(AD70="",NOT(ISNUMBER(AD70))),"",AD70-N(H70))</f>
        <v/>
      </c>
      <c r="BA70" s="15" t="str">
        <f aca="false">IF(OR(AE70="",NOT(ISNUMBER(AE70))),"",AE70-N(I70))</f>
        <v/>
      </c>
      <c r="BB70" s="15" t="str">
        <f aca="false">IF(OR(AF70="",NOT(ISNUMBER(AF70))),"",AF70-N(J70))</f>
        <v/>
      </c>
      <c r="BC70" s="15" t="str">
        <f aca="false">IF(OR(AG70="",NOT(ISNUMBER(AG70))),"",AG70-N(K70))</f>
        <v/>
      </c>
      <c r="BD70" s="15" t="str">
        <f aca="false">IF(OR(AH70="",NOT(ISNUMBER(AH70))),"",AH70-N(L70))</f>
        <v/>
      </c>
      <c r="BE70" s="15" t="str">
        <f aca="false">IF(OR(AI70="",NOT(ISNUMBER(AI70))),"",AI70-N(M70))</f>
        <v/>
      </c>
      <c r="BF70" s="15" t="str">
        <f aca="false">IF(OR(AJ70="",NOT(ISNUMBER(AJ70))),"",AJ70-N(N70))</f>
        <v/>
      </c>
      <c r="BG70" s="15" t="str">
        <f aca="false">IF(OR(AK70="",NOT(ISNUMBER(AK70))),"",AK70-N(O70))</f>
        <v/>
      </c>
      <c r="BH70" s="15" t="str">
        <f aca="false">IF(OR(AL70="",NOT(ISNUMBER(AL70))),"",AL70-N(P70))</f>
        <v/>
      </c>
      <c r="BI70" s="15" t="str">
        <f aca="false">IF(OR(AM70="",NOT(ISNUMBER(AM70))),"",AM70-N(Q70))</f>
        <v/>
      </c>
      <c r="BJ70" s="15" t="str">
        <f aca="false">IF(OR(AN70="",NOT(ISNUMBER(AN70))),"",AN70-N(R70))</f>
        <v/>
      </c>
      <c r="BK70" s="15" t="str">
        <f aca="false">IF(OR(AO70="",NOT(ISNUMBER(AO70))),"",AO70-N(S70))</f>
        <v/>
      </c>
      <c r="BL70" s="15" t="str">
        <f aca="false">IF(OR(AP70="",NOT(ISNUMBER(AP70))),"",AP70-N(T70))</f>
        <v/>
      </c>
      <c r="BM70" s="15" t="str">
        <f aca="false">IF(OR(AQ70="",NOT(ISNUMBER(AQ70))),"",AQ70-N(U70))</f>
        <v/>
      </c>
      <c r="BR70" s="18" t="str">
        <f aca="false">IF($A70="","",IF(ISNUMBER($A70),DATE(YEAR($A70),MONTH($A70),1),IFERROR(DATE(2000+VALUE(RIGHT(TRIM($A70),2)),MATCH(UPPER(LEFT(TRIM($A70),3)),{"JAN","FEB","MAR","APR","MAY","JUN","JUL","AUG","SEP","OCT","NOV","DEC"},0),1),"")))</f>
        <v/>
      </c>
      <c r="BS70" s="18" t="str">
        <f aca="false">IF(BR70="","",EOMONTH(BR70,0))</f>
        <v/>
      </c>
    </row>
    <row r="71" customFormat="false" ht="15" hidden="false" customHeight="false" outlineLevel="0" collapsed="false">
      <c r="B71" s="19"/>
      <c r="C71" s="19"/>
      <c r="D71" s="19"/>
      <c r="E71" s="19"/>
      <c r="F71" s="19"/>
      <c r="G71" s="19"/>
      <c r="H71" s="19"/>
      <c r="I71" s="19"/>
      <c r="J71" s="19"/>
      <c r="K71" s="19"/>
      <c r="L71" s="19"/>
      <c r="M71" s="19"/>
      <c r="N71" s="19"/>
      <c r="O71" s="19"/>
      <c r="P71" s="19"/>
      <c r="Q71" s="19"/>
      <c r="R71" s="19"/>
      <c r="S71" s="19"/>
      <c r="T71" s="19"/>
      <c r="U71" s="19"/>
      <c r="X71" s="15" t="str">
        <f aca="false">IF(OR(B$7="",$BR71=""),"",IF('Tally Helper'!$B$3&lt;&gt;TRUE(),"not on Staff",SUMIFS('Tally Helper'!$L$5:$GI$5,'Tally Helper'!$L$3:$GI$3,"&gt;="&amp;$BR71,'Tally Helper'!$L$3:$GI$3,"&lt;="&amp;$BS71)))</f>
        <v/>
      </c>
      <c r="Y71" s="15" t="str">
        <f aca="false">IF(OR(C$7="",$BR71=""),"",IF('Tally Helper'!$B$6&lt;&gt;TRUE(),"not on Staff",SUMIFS('Tally Helper'!$L$8:$GI$8,'Tally Helper'!$L$6:$GI$6,"&gt;="&amp;$BR71,'Tally Helper'!$L$6:$GI$6,"&lt;="&amp;$BS71)))</f>
        <v/>
      </c>
      <c r="Z71" s="15" t="str">
        <f aca="false">IF(OR(D$7="",$BR71=""),"",IF('Tally Helper'!$B$9&lt;&gt;TRUE(),"not on Staff",SUMIFS('Tally Helper'!$L$11:$GI$11,'Tally Helper'!$L$9:$GI$9,"&gt;="&amp;$BR71,'Tally Helper'!$L$9:$GI$9,"&lt;="&amp;$BS71)))</f>
        <v/>
      </c>
      <c r="AA71" s="15" t="str">
        <f aca="false">IF(OR(E$7="",$BR71=""),"",IF('Tally Helper'!$B$12&lt;&gt;TRUE(),"not on Staff",SUMIFS('Tally Helper'!$L$14:$GI$14,'Tally Helper'!$L$12:$GI$12,"&gt;="&amp;$BR71,'Tally Helper'!$L$12:$GI$12,"&lt;="&amp;$BS71)))</f>
        <v/>
      </c>
      <c r="AB71" s="15" t="str">
        <f aca="false">IF(OR(F$7="",$BR71=""),"",IF('Tally Helper'!$B$15&lt;&gt;TRUE(),"not on Staff",SUMIFS('Tally Helper'!$L$17:$GI$17,'Tally Helper'!$L$15:$GI$15,"&gt;="&amp;$BR71,'Tally Helper'!$L$15:$GI$15,"&lt;="&amp;$BS71)))</f>
        <v/>
      </c>
      <c r="AC71" s="15" t="str">
        <f aca="false">IF(OR(G$7="",$BR71=""),"",IF('Tally Helper'!$B$18&lt;&gt;TRUE(),"not on Staff",SUMIFS('Tally Helper'!$L$20:$GI$20,'Tally Helper'!$L$18:$GI$18,"&gt;="&amp;$BR71,'Tally Helper'!$L$18:$GI$18,"&lt;="&amp;$BS71)))</f>
        <v/>
      </c>
      <c r="AD71" s="15" t="str">
        <f aca="false">IF(OR(H$7="",$BR71=""),"",IF('Tally Helper'!$B$21&lt;&gt;TRUE(),"not on Staff",SUMIFS('Tally Helper'!$L$23:$GI$23,'Tally Helper'!$L$21:$GI$21,"&gt;="&amp;$BR71,'Tally Helper'!$L$21:$GI$21,"&lt;="&amp;$BS71)))</f>
        <v/>
      </c>
      <c r="AE71" s="15" t="str">
        <f aca="false">IF(OR(I$7="",$BR71=""),"",IF('Tally Helper'!$B$24&lt;&gt;TRUE(),"not on Staff",SUMIFS('Tally Helper'!$L$26:$GI$26,'Tally Helper'!$L$24:$GI$24,"&gt;="&amp;$BR71,'Tally Helper'!$L$24:$GI$24,"&lt;="&amp;$BS71)))</f>
        <v/>
      </c>
      <c r="AF71" s="15" t="str">
        <f aca="false">IF(OR(J$7="",$BR71=""),"",IF('Tally Helper'!$B$27&lt;&gt;TRUE(),"not on Staff",SUMIFS('Tally Helper'!$L$29:$GI$29,'Tally Helper'!$L$27:$GI$27,"&gt;="&amp;$BR71,'Tally Helper'!$L$27:$GI$27,"&lt;="&amp;$BS71)))</f>
        <v/>
      </c>
      <c r="AG71" s="15" t="str">
        <f aca="false">IF(OR(K$7="",$BR71=""),"",IF('Tally Helper'!$B$30&lt;&gt;TRUE(),"not on Staff",SUMIFS('Tally Helper'!$L$32:$GI$32,'Tally Helper'!$L$30:$GI$30,"&gt;="&amp;$BR71,'Tally Helper'!$L$30:$GI$30,"&lt;="&amp;$BS71)))</f>
        <v/>
      </c>
      <c r="AH71" s="15" t="str">
        <f aca="false">IF(OR(L$7="",$BR71=""),"",IF('Tally Helper'!$B$33&lt;&gt;TRUE(),"not on Staff",SUMIFS('Tally Helper'!$L$35:$GI$35,'Tally Helper'!$L$33:$GI$33,"&gt;="&amp;$BR71,'Tally Helper'!$L$33:$GI$33,"&lt;="&amp;$BS71)))</f>
        <v/>
      </c>
      <c r="AI71" s="15" t="str">
        <f aca="false">IF(OR(M$7="",$BR71=""),"",IF('Tally Helper'!$B$36&lt;&gt;TRUE(),"not on Staff",SUMIFS('Tally Helper'!$L$38:$GI$38,'Tally Helper'!$L$36:$GI$36,"&gt;="&amp;$BR71,'Tally Helper'!$L$36:$GI$36,"&lt;="&amp;$BS71)))</f>
        <v/>
      </c>
      <c r="AJ71" s="15" t="str">
        <f aca="false">IF(OR(N$7="",$BR71=""),"",IF('Tally Helper'!$B$39&lt;&gt;TRUE(),"not on Staff",SUMIFS('Tally Helper'!$L$41:$GI$41,'Tally Helper'!$L$39:$GI$39,"&gt;="&amp;$BR71,'Tally Helper'!$L$39:$GI$39,"&lt;="&amp;$BS71)))</f>
        <v/>
      </c>
      <c r="AK71" s="15" t="str">
        <f aca="false">IF(OR(O$7="",$BR71=""),"",IF('Tally Helper'!$B$42&lt;&gt;TRUE(),"not on Staff",SUMIFS('Tally Helper'!$L$44:$GI$44,'Tally Helper'!$L$42:$GI$42,"&gt;="&amp;$BR71,'Tally Helper'!$L$42:$GI$42,"&lt;="&amp;$BS71)))</f>
        <v/>
      </c>
      <c r="AL71" s="15" t="str">
        <f aca="false">IF(OR(P$7="",$BR71=""),"",IF('Tally Helper'!$B$45&lt;&gt;TRUE(),"not on Staff",SUMIFS('Tally Helper'!$L$47:$GI$47,'Tally Helper'!$L$45:$GI$45,"&gt;="&amp;$BR71,'Tally Helper'!$L$45:$GI$45,"&lt;="&amp;$BS71)))</f>
        <v/>
      </c>
      <c r="AM71" s="15" t="str">
        <f aca="false">IF(OR(Q$7="",$BR71=""),"",IF('Tally Helper'!$B$48&lt;&gt;TRUE(),"not on Staff",SUMIFS('Tally Helper'!$L$50:$GI$50,'Tally Helper'!$L$48:$GI$48,"&gt;="&amp;$BR71,'Tally Helper'!$L$48:$GI$48,"&lt;="&amp;$BS71)))</f>
        <v/>
      </c>
      <c r="AN71" s="15" t="str">
        <f aca="false">IF(OR(R$7="",$BR71=""),"",IF('Tally Helper'!$B$51&lt;&gt;TRUE(),"not on Staff",SUMIFS('Tally Helper'!$L$53:$GI$53,'Tally Helper'!$L$51:$GI$51,"&gt;="&amp;$BR71,'Tally Helper'!$L$51:$GI$51,"&lt;="&amp;$BS71)))</f>
        <v/>
      </c>
      <c r="AO71" s="15" t="str">
        <f aca="false">IF(OR(S$7="",$BR71=""),"",IF('Tally Helper'!$B$54&lt;&gt;TRUE(),"not on Staff",SUMIFS('Tally Helper'!$L$56:$GI$56,'Tally Helper'!$L$54:$GI$54,"&gt;="&amp;$BR71,'Tally Helper'!$L$54:$GI$54,"&lt;="&amp;$BS71)))</f>
        <v/>
      </c>
      <c r="AP71" s="15" t="str">
        <f aca="false">IF(OR(T$7="",$BR71=""),"",IF('Tally Helper'!$B$57&lt;&gt;TRUE(),"not on Staff",SUMIFS('Tally Helper'!$L$59:$GI$59,'Tally Helper'!$L$57:$GI$57,"&gt;="&amp;$BR71,'Tally Helper'!$L$57:$GI$57,"&lt;="&amp;$BS71)))</f>
        <v/>
      </c>
      <c r="AQ71" s="15" t="str">
        <f aca="false">IF(OR(U$7="",$BR71=""),"",IF('Tally Helper'!$B$60&lt;&gt;TRUE(),"not on Staff",SUMIFS('Tally Helper'!$L$62:$GI$62,'Tally Helper'!$L$60:$GI$60,"&gt;="&amp;$BR71,'Tally Helper'!$L$60:$GI$60,"&lt;="&amp;$BS71)))</f>
        <v/>
      </c>
      <c r="AT71" s="15" t="str">
        <f aca="false">IF(OR(X71="",NOT(ISNUMBER(X71))),"",X71-N(B71))</f>
        <v/>
      </c>
      <c r="AU71" s="15" t="str">
        <f aca="false">IF(OR(Y71="",NOT(ISNUMBER(Y71))),"",Y71-N(C71))</f>
        <v/>
      </c>
      <c r="AV71" s="15" t="str">
        <f aca="false">IF(OR(Z71="",NOT(ISNUMBER(Z71))),"",Z71-N(D71))</f>
        <v/>
      </c>
      <c r="AW71" s="15" t="str">
        <f aca="false">IF(OR(AA71="",NOT(ISNUMBER(AA71))),"",AA71-N(E71))</f>
        <v/>
      </c>
      <c r="AX71" s="15" t="str">
        <f aca="false">IF(OR(AB71="",NOT(ISNUMBER(AB71))),"",AB71-N(F71))</f>
        <v/>
      </c>
      <c r="AY71" s="15" t="str">
        <f aca="false">IF(OR(AC71="",NOT(ISNUMBER(AC71))),"",AC71-N(G71))</f>
        <v/>
      </c>
      <c r="AZ71" s="15" t="str">
        <f aca="false">IF(OR(AD71="",NOT(ISNUMBER(AD71))),"",AD71-N(H71))</f>
        <v/>
      </c>
      <c r="BA71" s="15" t="str">
        <f aca="false">IF(OR(AE71="",NOT(ISNUMBER(AE71))),"",AE71-N(I71))</f>
        <v/>
      </c>
      <c r="BB71" s="15" t="str">
        <f aca="false">IF(OR(AF71="",NOT(ISNUMBER(AF71))),"",AF71-N(J71))</f>
        <v/>
      </c>
      <c r="BC71" s="15" t="str">
        <f aca="false">IF(OR(AG71="",NOT(ISNUMBER(AG71))),"",AG71-N(K71))</f>
        <v/>
      </c>
      <c r="BD71" s="15" t="str">
        <f aca="false">IF(OR(AH71="",NOT(ISNUMBER(AH71))),"",AH71-N(L71))</f>
        <v/>
      </c>
      <c r="BE71" s="15" t="str">
        <f aca="false">IF(OR(AI71="",NOT(ISNUMBER(AI71))),"",AI71-N(M71))</f>
        <v/>
      </c>
      <c r="BF71" s="15" t="str">
        <f aca="false">IF(OR(AJ71="",NOT(ISNUMBER(AJ71))),"",AJ71-N(N71))</f>
        <v/>
      </c>
      <c r="BG71" s="15" t="str">
        <f aca="false">IF(OR(AK71="",NOT(ISNUMBER(AK71))),"",AK71-N(O71))</f>
        <v/>
      </c>
      <c r="BH71" s="15" t="str">
        <f aca="false">IF(OR(AL71="",NOT(ISNUMBER(AL71))),"",AL71-N(P71))</f>
        <v/>
      </c>
      <c r="BI71" s="15" t="str">
        <f aca="false">IF(OR(AM71="",NOT(ISNUMBER(AM71))),"",AM71-N(Q71))</f>
        <v/>
      </c>
      <c r="BJ71" s="15" t="str">
        <f aca="false">IF(OR(AN71="",NOT(ISNUMBER(AN71))),"",AN71-N(R71))</f>
        <v/>
      </c>
      <c r="BK71" s="15" t="str">
        <f aca="false">IF(OR(AO71="",NOT(ISNUMBER(AO71))),"",AO71-N(S71))</f>
        <v/>
      </c>
      <c r="BL71" s="15" t="str">
        <f aca="false">IF(OR(AP71="",NOT(ISNUMBER(AP71))),"",AP71-N(T71))</f>
        <v/>
      </c>
      <c r="BM71" s="15" t="str">
        <f aca="false">IF(OR(AQ71="",NOT(ISNUMBER(AQ71))),"",AQ71-N(U71))</f>
        <v/>
      </c>
      <c r="BR71" s="18" t="str">
        <f aca="false">IF($A71="","",IF(ISNUMBER($A71),DATE(YEAR($A71),MONTH($A71),1),IFERROR(DATE(2000+VALUE(RIGHT(TRIM($A71),2)),MATCH(UPPER(LEFT(TRIM($A71),3)),{"JAN","FEB","MAR","APR","MAY","JUN","JUL","AUG","SEP","OCT","NOV","DEC"},0),1),"")))</f>
        <v/>
      </c>
      <c r="BS71" s="18" t="str">
        <f aca="false">IF(BR71="","",EOMONTH(BR71,0))</f>
        <v/>
      </c>
    </row>
    <row r="72" customFormat="false" ht="15" hidden="false" customHeight="false" outlineLevel="0" collapsed="false">
      <c r="B72" s="19"/>
      <c r="C72" s="19"/>
      <c r="D72" s="19"/>
      <c r="E72" s="19"/>
      <c r="F72" s="19"/>
      <c r="G72" s="19"/>
      <c r="H72" s="19"/>
      <c r="I72" s="19"/>
      <c r="J72" s="19"/>
      <c r="K72" s="19"/>
      <c r="L72" s="19"/>
      <c r="M72" s="19"/>
      <c r="N72" s="19"/>
      <c r="O72" s="19"/>
      <c r="P72" s="19"/>
      <c r="Q72" s="19"/>
      <c r="R72" s="19"/>
      <c r="S72" s="19"/>
      <c r="T72" s="19"/>
      <c r="U72" s="19"/>
      <c r="X72" s="15" t="str">
        <f aca="false">IF(OR(B$7="",$BR72=""),"",IF('Tally Helper'!$B$3&lt;&gt;TRUE(),"not on Staff",SUMIFS('Tally Helper'!$L$5:$GI$5,'Tally Helper'!$L$3:$GI$3,"&gt;="&amp;$BR72,'Tally Helper'!$L$3:$GI$3,"&lt;="&amp;$BS72)))</f>
        <v/>
      </c>
      <c r="Y72" s="15" t="str">
        <f aca="false">IF(OR(C$7="",$BR72=""),"",IF('Tally Helper'!$B$6&lt;&gt;TRUE(),"not on Staff",SUMIFS('Tally Helper'!$L$8:$GI$8,'Tally Helper'!$L$6:$GI$6,"&gt;="&amp;$BR72,'Tally Helper'!$L$6:$GI$6,"&lt;="&amp;$BS72)))</f>
        <v/>
      </c>
      <c r="Z72" s="15" t="str">
        <f aca="false">IF(OR(D$7="",$BR72=""),"",IF('Tally Helper'!$B$9&lt;&gt;TRUE(),"not on Staff",SUMIFS('Tally Helper'!$L$11:$GI$11,'Tally Helper'!$L$9:$GI$9,"&gt;="&amp;$BR72,'Tally Helper'!$L$9:$GI$9,"&lt;="&amp;$BS72)))</f>
        <v/>
      </c>
      <c r="AA72" s="15" t="str">
        <f aca="false">IF(OR(E$7="",$BR72=""),"",IF('Tally Helper'!$B$12&lt;&gt;TRUE(),"not on Staff",SUMIFS('Tally Helper'!$L$14:$GI$14,'Tally Helper'!$L$12:$GI$12,"&gt;="&amp;$BR72,'Tally Helper'!$L$12:$GI$12,"&lt;="&amp;$BS72)))</f>
        <v/>
      </c>
      <c r="AB72" s="15" t="str">
        <f aca="false">IF(OR(F$7="",$BR72=""),"",IF('Tally Helper'!$B$15&lt;&gt;TRUE(),"not on Staff",SUMIFS('Tally Helper'!$L$17:$GI$17,'Tally Helper'!$L$15:$GI$15,"&gt;="&amp;$BR72,'Tally Helper'!$L$15:$GI$15,"&lt;="&amp;$BS72)))</f>
        <v/>
      </c>
      <c r="AC72" s="15" t="str">
        <f aca="false">IF(OR(G$7="",$BR72=""),"",IF('Tally Helper'!$B$18&lt;&gt;TRUE(),"not on Staff",SUMIFS('Tally Helper'!$L$20:$GI$20,'Tally Helper'!$L$18:$GI$18,"&gt;="&amp;$BR72,'Tally Helper'!$L$18:$GI$18,"&lt;="&amp;$BS72)))</f>
        <v/>
      </c>
      <c r="AD72" s="15" t="str">
        <f aca="false">IF(OR(H$7="",$BR72=""),"",IF('Tally Helper'!$B$21&lt;&gt;TRUE(),"not on Staff",SUMIFS('Tally Helper'!$L$23:$GI$23,'Tally Helper'!$L$21:$GI$21,"&gt;="&amp;$BR72,'Tally Helper'!$L$21:$GI$21,"&lt;="&amp;$BS72)))</f>
        <v/>
      </c>
      <c r="AE72" s="15" t="str">
        <f aca="false">IF(OR(I$7="",$BR72=""),"",IF('Tally Helper'!$B$24&lt;&gt;TRUE(),"not on Staff",SUMIFS('Tally Helper'!$L$26:$GI$26,'Tally Helper'!$L$24:$GI$24,"&gt;="&amp;$BR72,'Tally Helper'!$L$24:$GI$24,"&lt;="&amp;$BS72)))</f>
        <v/>
      </c>
      <c r="AF72" s="15" t="str">
        <f aca="false">IF(OR(J$7="",$BR72=""),"",IF('Tally Helper'!$B$27&lt;&gt;TRUE(),"not on Staff",SUMIFS('Tally Helper'!$L$29:$GI$29,'Tally Helper'!$L$27:$GI$27,"&gt;="&amp;$BR72,'Tally Helper'!$L$27:$GI$27,"&lt;="&amp;$BS72)))</f>
        <v/>
      </c>
      <c r="AG72" s="15" t="str">
        <f aca="false">IF(OR(K$7="",$BR72=""),"",IF('Tally Helper'!$B$30&lt;&gt;TRUE(),"not on Staff",SUMIFS('Tally Helper'!$L$32:$GI$32,'Tally Helper'!$L$30:$GI$30,"&gt;="&amp;$BR72,'Tally Helper'!$L$30:$GI$30,"&lt;="&amp;$BS72)))</f>
        <v/>
      </c>
      <c r="AH72" s="15" t="str">
        <f aca="false">IF(OR(L$7="",$BR72=""),"",IF('Tally Helper'!$B$33&lt;&gt;TRUE(),"not on Staff",SUMIFS('Tally Helper'!$L$35:$GI$35,'Tally Helper'!$L$33:$GI$33,"&gt;="&amp;$BR72,'Tally Helper'!$L$33:$GI$33,"&lt;="&amp;$BS72)))</f>
        <v/>
      </c>
      <c r="AI72" s="15" t="str">
        <f aca="false">IF(OR(M$7="",$BR72=""),"",IF('Tally Helper'!$B$36&lt;&gt;TRUE(),"not on Staff",SUMIFS('Tally Helper'!$L$38:$GI$38,'Tally Helper'!$L$36:$GI$36,"&gt;="&amp;$BR72,'Tally Helper'!$L$36:$GI$36,"&lt;="&amp;$BS72)))</f>
        <v/>
      </c>
      <c r="AJ72" s="15" t="str">
        <f aca="false">IF(OR(N$7="",$BR72=""),"",IF('Tally Helper'!$B$39&lt;&gt;TRUE(),"not on Staff",SUMIFS('Tally Helper'!$L$41:$GI$41,'Tally Helper'!$L$39:$GI$39,"&gt;="&amp;$BR72,'Tally Helper'!$L$39:$GI$39,"&lt;="&amp;$BS72)))</f>
        <v/>
      </c>
      <c r="AK72" s="15" t="str">
        <f aca="false">IF(OR(O$7="",$BR72=""),"",IF('Tally Helper'!$B$42&lt;&gt;TRUE(),"not on Staff",SUMIFS('Tally Helper'!$L$44:$GI$44,'Tally Helper'!$L$42:$GI$42,"&gt;="&amp;$BR72,'Tally Helper'!$L$42:$GI$42,"&lt;="&amp;$BS72)))</f>
        <v/>
      </c>
      <c r="AL72" s="15" t="str">
        <f aca="false">IF(OR(P$7="",$BR72=""),"",IF('Tally Helper'!$B$45&lt;&gt;TRUE(),"not on Staff",SUMIFS('Tally Helper'!$L$47:$GI$47,'Tally Helper'!$L$45:$GI$45,"&gt;="&amp;$BR72,'Tally Helper'!$L$45:$GI$45,"&lt;="&amp;$BS72)))</f>
        <v/>
      </c>
      <c r="AM72" s="15" t="str">
        <f aca="false">IF(OR(Q$7="",$BR72=""),"",IF('Tally Helper'!$B$48&lt;&gt;TRUE(),"not on Staff",SUMIFS('Tally Helper'!$L$50:$GI$50,'Tally Helper'!$L$48:$GI$48,"&gt;="&amp;$BR72,'Tally Helper'!$L$48:$GI$48,"&lt;="&amp;$BS72)))</f>
        <v/>
      </c>
      <c r="AN72" s="15" t="str">
        <f aca="false">IF(OR(R$7="",$BR72=""),"",IF('Tally Helper'!$B$51&lt;&gt;TRUE(),"not on Staff",SUMIFS('Tally Helper'!$L$53:$GI$53,'Tally Helper'!$L$51:$GI$51,"&gt;="&amp;$BR72,'Tally Helper'!$L$51:$GI$51,"&lt;="&amp;$BS72)))</f>
        <v/>
      </c>
      <c r="AO72" s="15" t="str">
        <f aca="false">IF(OR(S$7="",$BR72=""),"",IF('Tally Helper'!$B$54&lt;&gt;TRUE(),"not on Staff",SUMIFS('Tally Helper'!$L$56:$GI$56,'Tally Helper'!$L$54:$GI$54,"&gt;="&amp;$BR72,'Tally Helper'!$L$54:$GI$54,"&lt;="&amp;$BS72)))</f>
        <v/>
      </c>
      <c r="AP72" s="15" t="str">
        <f aca="false">IF(OR(T$7="",$BR72=""),"",IF('Tally Helper'!$B$57&lt;&gt;TRUE(),"not on Staff",SUMIFS('Tally Helper'!$L$59:$GI$59,'Tally Helper'!$L$57:$GI$57,"&gt;="&amp;$BR72,'Tally Helper'!$L$57:$GI$57,"&lt;="&amp;$BS72)))</f>
        <v/>
      </c>
      <c r="AQ72" s="15" t="str">
        <f aca="false">IF(OR(U$7="",$BR72=""),"",IF('Tally Helper'!$B$60&lt;&gt;TRUE(),"not on Staff",SUMIFS('Tally Helper'!$L$62:$GI$62,'Tally Helper'!$L$60:$GI$60,"&gt;="&amp;$BR72,'Tally Helper'!$L$60:$GI$60,"&lt;="&amp;$BS72)))</f>
        <v/>
      </c>
      <c r="AT72" s="15" t="str">
        <f aca="false">IF(OR(X72="",NOT(ISNUMBER(X72))),"",X72-N(B72))</f>
        <v/>
      </c>
      <c r="AU72" s="15" t="str">
        <f aca="false">IF(OR(Y72="",NOT(ISNUMBER(Y72))),"",Y72-N(C72))</f>
        <v/>
      </c>
      <c r="AV72" s="15" t="str">
        <f aca="false">IF(OR(Z72="",NOT(ISNUMBER(Z72))),"",Z72-N(D72))</f>
        <v/>
      </c>
      <c r="AW72" s="15" t="str">
        <f aca="false">IF(OR(AA72="",NOT(ISNUMBER(AA72))),"",AA72-N(E72))</f>
        <v/>
      </c>
      <c r="AX72" s="15" t="str">
        <f aca="false">IF(OR(AB72="",NOT(ISNUMBER(AB72))),"",AB72-N(F72))</f>
        <v/>
      </c>
      <c r="AY72" s="15" t="str">
        <f aca="false">IF(OR(AC72="",NOT(ISNUMBER(AC72))),"",AC72-N(G72))</f>
        <v/>
      </c>
      <c r="AZ72" s="15" t="str">
        <f aca="false">IF(OR(AD72="",NOT(ISNUMBER(AD72))),"",AD72-N(H72))</f>
        <v/>
      </c>
      <c r="BA72" s="15" t="str">
        <f aca="false">IF(OR(AE72="",NOT(ISNUMBER(AE72))),"",AE72-N(I72))</f>
        <v/>
      </c>
      <c r="BB72" s="15" t="str">
        <f aca="false">IF(OR(AF72="",NOT(ISNUMBER(AF72))),"",AF72-N(J72))</f>
        <v/>
      </c>
      <c r="BC72" s="15" t="str">
        <f aca="false">IF(OR(AG72="",NOT(ISNUMBER(AG72))),"",AG72-N(K72))</f>
        <v/>
      </c>
      <c r="BD72" s="15" t="str">
        <f aca="false">IF(OR(AH72="",NOT(ISNUMBER(AH72))),"",AH72-N(L72))</f>
        <v/>
      </c>
      <c r="BE72" s="15" t="str">
        <f aca="false">IF(OR(AI72="",NOT(ISNUMBER(AI72))),"",AI72-N(M72))</f>
        <v/>
      </c>
      <c r="BF72" s="15" t="str">
        <f aca="false">IF(OR(AJ72="",NOT(ISNUMBER(AJ72))),"",AJ72-N(N72))</f>
        <v/>
      </c>
      <c r="BG72" s="15" t="str">
        <f aca="false">IF(OR(AK72="",NOT(ISNUMBER(AK72))),"",AK72-N(O72))</f>
        <v/>
      </c>
      <c r="BH72" s="15" t="str">
        <f aca="false">IF(OR(AL72="",NOT(ISNUMBER(AL72))),"",AL72-N(P72))</f>
        <v/>
      </c>
      <c r="BI72" s="15" t="str">
        <f aca="false">IF(OR(AM72="",NOT(ISNUMBER(AM72))),"",AM72-N(Q72))</f>
        <v/>
      </c>
      <c r="BJ72" s="15" t="str">
        <f aca="false">IF(OR(AN72="",NOT(ISNUMBER(AN72))),"",AN72-N(R72))</f>
        <v/>
      </c>
      <c r="BK72" s="15" t="str">
        <f aca="false">IF(OR(AO72="",NOT(ISNUMBER(AO72))),"",AO72-N(S72))</f>
        <v/>
      </c>
      <c r="BL72" s="15" t="str">
        <f aca="false">IF(OR(AP72="",NOT(ISNUMBER(AP72))),"",AP72-N(T72))</f>
        <v/>
      </c>
      <c r="BM72" s="15" t="str">
        <f aca="false">IF(OR(AQ72="",NOT(ISNUMBER(AQ72))),"",AQ72-N(U72))</f>
        <v/>
      </c>
      <c r="BR72" s="18" t="str">
        <f aca="false">IF($A72="","",IF(ISNUMBER($A72),DATE(YEAR($A72),MONTH($A72),1),IFERROR(DATE(2000+VALUE(RIGHT(TRIM($A72),2)),MATCH(UPPER(LEFT(TRIM($A72),3)),{"JAN","FEB","MAR","APR","MAY","JUN","JUL","AUG","SEP","OCT","NOV","DEC"},0),1),"")))</f>
        <v/>
      </c>
      <c r="BS72" s="18" t="str">
        <f aca="false">IF(BR72="","",EOMONTH(BR72,0))</f>
        <v/>
      </c>
    </row>
    <row r="73" customFormat="false" ht="15" hidden="false" customHeight="false" outlineLevel="0" collapsed="false">
      <c r="B73" s="19"/>
      <c r="C73" s="19"/>
      <c r="D73" s="19"/>
      <c r="E73" s="19"/>
      <c r="F73" s="19"/>
      <c r="G73" s="19"/>
      <c r="H73" s="19"/>
      <c r="I73" s="19"/>
      <c r="J73" s="19"/>
      <c r="K73" s="19"/>
      <c r="L73" s="19"/>
      <c r="M73" s="19"/>
      <c r="N73" s="19"/>
      <c r="O73" s="19"/>
      <c r="P73" s="19"/>
      <c r="Q73" s="19"/>
      <c r="R73" s="19"/>
      <c r="S73" s="19"/>
      <c r="T73" s="19"/>
      <c r="U73" s="19"/>
      <c r="X73" s="15" t="str">
        <f aca="false">IF(OR(B$7="",$BR73=""),"",IF('Tally Helper'!$B$3&lt;&gt;TRUE(),"not on Staff",SUMIFS('Tally Helper'!$L$5:$GI$5,'Tally Helper'!$L$3:$GI$3,"&gt;="&amp;$BR73,'Tally Helper'!$L$3:$GI$3,"&lt;="&amp;$BS73)))</f>
        <v/>
      </c>
      <c r="Y73" s="15" t="str">
        <f aca="false">IF(OR(C$7="",$BR73=""),"",IF('Tally Helper'!$B$6&lt;&gt;TRUE(),"not on Staff",SUMIFS('Tally Helper'!$L$8:$GI$8,'Tally Helper'!$L$6:$GI$6,"&gt;="&amp;$BR73,'Tally Helper'!$L$6:$GI$6,"&lt;="&amp;$BS73)))</f>
        <v/>
      </c>
      <c r="Z73" s="15" t="str">
        <f aca="false">IF(OR(D$7="",$BR73=""),"",IF('Tally Helper'!$B$9&lt;&gt;TRUE(),"not on Staff",SUMIFS('Tally Helper'!$L$11:$GI$11,'Tally Helper'!$L$9:$GI$9,"&gt;="&amp;$BR73,'Tally Helper'!$L$9:$GI$9,"&lt;="&amp;$BS73)))</f>
        <v/>
      </c>
      <c r="AA73" s="15" t="str">
        <f aca="false">IF(OR(E$7="",$BR73=""),"",IF('Tally Helper'!$B$12&lt;&gt;TRUE(),"not on Staff",SUMIFS('Tally Helper'!$L$14:$GI$14,'Tally Helper'!$L$12:$GI$12,"&gt;="&amp;$BR73,'Tally Helper'!$L$12:$GI$12,"&lt;="&amp;$BS73)))</f>
        <v/>
      </c>
      <c r="AB73" s="15" t="str">
        <f aca="false">IF(OR(F$7="",$BR73=""),"",IF('Tally Helper'!$B$15&lt;&gt;TRUE(),"not on Staff",SUMIFS('Tally Helper'!$L$17:$GI$17,'Tally Helper'!$L$15:$GI$15,"&gt;="&amp;$BR73,'Tally Helper'!$L$15:$GI$15,"&lt;="&amp;$BS73)))</f>
        <v/>
      </c>
      <c r="AC73" s="15" t="str">
        <f aca="false">IF(OR(G$7="",$BR73=""),"",IF('Tally Helper'!$B$18&lt;&gt;TRUE(),"not on Staff",SUMIFS('Tally Helper'!$L$20:$GI$20,'Tally Helper'!$L$18:$GI$18,"&gt;="&amp;$BR73,'Tally Helper'!$L$18:$GI$18,"&lt;="&amp;$BS73)))</f>
        <v/>
      </c>
      <c r="AD73" s="15" t="str">
        <f aca="false">IF(OR(H$7="",$BR73=""),"",IF('Tally Helper'!$B$21&lt;&gt;TRUE(),"not on Staff",SUMIFS('Tally Helper'!$L$23:$GI$23,'Tally Helper'!$L$21:$GI$21,"&gt;="&amp;$BR73,'Tally Helper'!$L$21:$GI$21,"&lt;="&amp;$BS73)))</f>
        <v/>
      </c>
      <c r="AE73" s="15" t="str">
        <f aca="false">IF(OR(I$7="",$BR73=""),"",IF('Tally Helper'!$B$24&lt;&gt;TRUE(),"not on Staff",SUMIFS('Tally Helper'!$L$26:$GI$26,'Tally Helper'!$L$24:$GI$24,"&gt;="&amp;$BR73,'Tally Helper'!$L$24:$GI$24,"&lt;="&amp;$BS73)))</f>
        <v/>
      </c>
      <c r="AF73" s="15" t="str">
        <f aca="false">IF(OR(J$7="",$BR73=""),"",IF('Tally Helper'!$B$27&lt;&gt;TRUE(),"not on Staff",SUMIFS('Tally Helper'!$L$29:$GI$29,'Tally Helper'!$L$27:$GI$27,"&gt;="&amp;$BR73,'Tally Helper'!$L$27:$GI$27,"&lt;="&amp;$BS73)))</f>
        <v/>
      </c>
      <c r="AG73" s="15" t="str">
        <f aca="false">IF(OR(K$7="",$BR73=""),"",IF('Tally Helper'!$B$30&lt;&gt;TRUE(),"not on Staff",SUMIFS('Tally Helper'!$L$32:$GI$32,'Tally Helper'!$L$30:$GI$30,"&gt;="&amp;$BR73,'Tally Helper'!$L$30:$GI$30,"&lt;="&amp;$BS73)))</f>
        <v/>
      </c>
      <c r="AH73" s="15" t="str">
        <f aca="false">IF(OR(L$7="",$BR73=""),"",IF('Tally Helper'!$B$33&lt;&gt;TRUE(),"not on Staff",SUMIFS('Tally Helper'!$L$35:$GI$35,'Tally Helper'!$L$33:$GI$33,"&gt;="&amp;$BR73,'Tally Helper'!$L$33:$GI$33,"&lt;="&amp;$BS73)))</f>
        <v/>
      </c>
      <c r="AI73" s="15" t="str">
        <f aca="false">IF(OR(M$7="",$BR73=""),"",IF('Tally Helper'!$B$36&lt;&gt;TRUE(),"not on Staff",SUMIFS('Tally Helper'!$L$38:$GI$38,'Tally Helper'!$L$36:$GI$36,"&gt;="&amp;$BR73,'Tally Helper'!$L$36:$GI$36,"&lt;="&amp;$BS73)))</f>
        <v/>
      </c>
      <c r="AJ73" s="15" t="str">
        <f aca="false">IF(OR(N$7="",$BR73=""),"",IF('Tally Helper'!$B$39&lt;&gt;TRUE(),"not on Staff",SUMIFS('Tally Helper'!$L$41:$GI$41,'Tally Helper'!$L$39:$GI$39,"&gt;="&amp;$BR73,'Tally Helper'!$L$39:$GI$39,"&lt;="&amp;$BS73)))</f>
        <v/>
      </c>
      <c r="AK73" s="15" t="str">
        <f aca="false">IF(OR(O$7="",$BR73=""),"",IF('Tally Helper'!$B$42&lt;&gt;TRUE(),"not on Staff",SUMIFS('Tally Helper'!$L$44:$GI$44,'Tally Helper'!$L$42:$GI$42,"&gt;="&amp;$BR73,'Tally Helper'!$L$42:$GI$42,"&lt;="&amp;$BS73)))</f>
        <v/>
      </c>
      <c r="AL73" s="15" t="str">
        <f aca="false">IF(OR(P$7="",$BR73=""),"",IF('Tally Helper'!$B$45&lt;&gt;TRUE(),"not on Staff",SUMIFS('Tally Helper'!$L$47:$GI$47,'Tally Helper'!$L$45:$GI$45,"&gt;="&amp;$BR73,'Tally Helper'!$L$45:$GI$45,"&lt;="&amp;$BS73)))</f>
        <v/>
      </c>
      <c r="AM73" s="15" t="str">
        <f aca="false">IF(OR(Q$7="",$BR73=""),"",IF('Tally Helper'!$B$48&lt;&gt;TRUE(),"not on Staff",SUMIFS('Tally Helper'!$L$50:$GI$50,'Tally Helper'!$L$48:$GI$48,"&gt;="&amp;$BR73,'Tally Helper'!$L$48:$GI$48,"&lt;="&amp;$BS73)))</f>
        <v/>
      </c>
      <c r="AN73" s="15" t="str">
        <f aca="false">IF(OR(R$7="",$BR73=""),"",IF('Tally Helper'!$B$51&lt;&gt;TRUE(),"not on Staff",SUMIFS('Tally Helper'!$L$53:$GI$53,'Tally Helper'!$L$51:$GI$51,"&gt;="&amp;$BR73,'Tally Helper'!$L$51:$GI$51,"&lt;="&amp;$BS73)))</f>
        <v/>
      </c>
      <c r="AO73" s="15" t="str">
        <f aca="false">IF(OR(S$7="",$BR73=""),"",IF('Tally Helper'!$B$54&lt;&gt;TRUE(),"not on Staff",SUMIFS('Tally Helper'!$L$56:$GI$56,'Tally Helper'!$L$54:$GI$54,"&gt;="&amp;$BR73,'Tally Helper'!$L$54:$GI$54,"&lt;="&amp;$BS73)))</f>
        <v/>
      </c>
      <c r="AP73" s="15" t="str">
        <f aca="false">IF(OR(T$7="",$BR73=""),"",IF('Tally Helper'!$B$57&lt;&gt;TRUE(),"not on Staff",SUMIFS('Tally Helper'!$L$59:$GI$59,'Tally Helper'!$L$57:$GI$57,"&gt;="&amp;$BR73,'Tally Helper'!$L$57:$GI$57,"&lt;="&amp;$BS73)))</f>
        <v/>
      </c>
      <c r="AQ73" s="15" t="str">
        <f aca="false">IF(OR(U$7="",$BR73=""),"",IF('Tally Helper'!$B$60&lt;&gt;TRUE(),"not on Staff",SUMIFS('Tally Helper'!$L$62:$GI$62,'Tally Helper'!$L$60:$GI$60,"&gt;="&amp;$BR73,'Tally Helper'!$L$60:$GI$60,"&lt;="&amp;$BS73)))</f>
        <v/>
      </c>
      <c r="AT73" s="15" t="str">
        <f aca="false">IF(OR(X73="",NOT(ISNUMBER(X73))),"",X73-N(B73))</f>
        <v/>
      </c>
      <c r="AU73" s="15" t="str">
        <f aca="false">IF(OR(Y73="",NOT(ISNUMBER(Y73))),"",Y73-N(C73))</f>
        <v/>
      </c>
      <c r="AV73" s="15" t="str">
        <f aca="false">IF(OR(Z73="",NOT(ISNUMBER(Z73))),"",Z73-N(D73))</f>
        <v/>
      </c>
      <c r="AW73" s="15" t="str">
        <f aca="false">IF(OR(AA73="",NOT(ISNUMBER(AA73))),"",AA73-N(E73))</f>
        <v/>
      </c>
      <c r="AX73" s="15" t="str">
        <f aca="false">IF(OR(AB73="",NOT(ISNUMBER(AB73))),"",AB73-N(F73))</f>
        <v/>
      </c>
      <c r="AY73" s="15" t="str">
        <f aca="false">IF(OR(AC73="",NOT(ISNUMBER(AC73))),"",AC73-N(G73))</f>
        <v/>
      </c>
      <c r="AZ73" s="15" t="str">
        <f aca="false">IF(OR(AD73="",NOT(ISNUMBER(AD73))),"",AD73-N(H73))</f>
        <v/>
      </c>
      <c r="BA73" s="15" t="str">
        <f aca="false">IF(OR(AE73="",NOT(ISNUMBER(AE73))),"",AE73-N(I73))</f>
        <v/>
      </c>
      <c r="BB73" s="15" t="str">
        <f aca="false">IF(OR(AF73="",NOT(ISNUMBER(AF73))),"",AF73-N(J73))</f>
        <v/>
      </c>
      <c r="BC73" s="15" t="str">
        <f aca="false">IF(OR(AG73="",NOT(ISNUMBER(AG73))),"",AG73-N(K73))</f>
        <v/>
      </c>
      <c r="BD73" s="15" t="str">
        <f aca="false">IF(OR(AH73="",NOT(ISNUMBER(AH73))),"",AH73-N(L73))</f>
        <v/>
      </c>
      <c r="BE73" s="15" t="str">
        <f aca="false">IF(OR(AI73="",NOT(ISNUMBER(AI73))),"",AI73-N(M73))</f>
        <v/>
      </c>
      <c r="BF73" s="15" t="str">
        <f aca="false">IF(OR(AJ73="",NOT(ISNUMBER(AJ73))),"",AJ73-N(N73))</f>
        <v/>
      </c>
      <c r="BG73" s="15" t="str">
        <f aca="false">IF(OR(AK73="",NOT(ISNUMBER(AK73))),"",AK73-N(O73))</f>
        <v/>
      </c>
      <c r="BH73" s="15" t="str">
        <f aca="false">IF(OR(AL73="",NOT(ISNUMBER(AL73))),"",AL73-N(P73))</f>
        <v/>
      </c>
      <c r="BI73" s="15" t="str">
        <f aca="false">IF(OR(AM73="",NOT(ISNUMBER(AM73))),"",AM73-N(Q73))</f>
        <v/>
      </c>
      <c r="BJ73" s="15" t="str">
        <f aca="false">IF(OR(AN73="",NOT(ISNUMBER(AN73))),"",AN73-N(R73))</f>
        <v/>
      </c>
      <c r="BK73" s="15" t="str">
        <f aca="false">IF(OR(AO73="",NOT(ISNUMBER(AO73))),"",AO73-N(S73))</f>
        <v/>
      </c>
      <c r="BL73" s="15" t="str">
        <f aca="false">IF(OR(AP73="",NOT(ISNUMBER(AP73))),"",AP73-N(T73))</f>
        <v/>
      </c>
      <c r="BM73" s="15" t="str">
        <f aca="false">IF(OR(AQ73="",NOT(ISNUMBER(AQ73))),"",AQ73-N(U73))</f>
        <v/>
      </c>
      <c r="BR73" s="18" t="str">
        <f aca="false">IF($A73="","",IF(ISNUMBER($A73),DATE(YEAR($A73),MONTH($A73),1),IFERROR(DATE(2000+VALUE(RIGHT(TRIM($A73),2)),MATCH(UPPER(LEFT(TRIM($A73),3)),{"JAN","FEB","MAR","APR","MAY","JUN","JUL","AUG","SEP","OCT","NOV","DEC"},0),1),"")))</f>
        <v/>
      </c>
      <c r="BS73" s="18" t="str">
        <f aca="false">IF(BR73="","",EOMONTH(BR73,0))</f>
        <v/>
      </c>
    </row>
    <row r="74" customFormat="false" ht="15" hidden="false" customHeight="false" outlineLevel="0" collapsed="false">
      <c r="B74" s="19"/>
      <c r="C74" s="19"/>
      <c r="D74" s="19"/>
      <c r="E74" s="19"/>
      <c r="F74" s="19"/>
      <c r="G74" s="19"/>
      <c r="H74" s="19"/>
      <c r="I74" s="19"/>
      <c r="J74" s="19"/>
      <c r="K74" s="19"/>
      <c r="L74" s="19"/>
      <c r="M74" s="19"/>
      <c r="N74" s="19"/>
      <c r="O74" s="19"/>
      <c r="P74" s="19"/>
      <c r="Q74" s="19"/>
      <c r="R74" s="19"/>
      <c r="S74" s="19"/>
      <c r="T74" s="19"/>
      <c r="U74" s="19"/>
      <c r="X74" s="15" t="str">
        <f aca="false">IF(OR(B$7="",$BR74=""),"",IF('Tally Helper'!$B$3&lt;&gt;TRUE(),"not on Staff",SUMIFS('Tally Helper'!$L$5:$GI$5,'Tally Helper'!$L$3:$GI$3,"&gt;="&amp;$BR74,'Tally Helper'!$L$3:$GI$3,"&lt;="&amp;$BS74)))</f>
        <v/>
      </c>
      <c r="Y74" s="15" t="str">
        <f aca="false">IF(OR(C$7="",$BR74=""),"",IF('Tally Helper'!$B$6&lt;&gt;TRUE(),"not on Staff",SUMIFS('Tally Helper'!$L$8:$GI$8,'Tally Helper'!$L$6:$GI$6,"&gt;="&amp;$BR74,'Tally Helper'!$L$6:$GI$6,"&lt;="&amp;$BS74)))</f>
        <v/>
      </c>
      <c r="Z74" s="15" t="str">
        <f aca="false">IF(OR(D$7="",$BR74=""),"",IF('Tally Helper'!$B$9&lt;&gt;TRUE(),"not on Staff",SUMIFS('Tally Helper'!$L$11:$GI$11,'Tally Helper'!$L$9:$GI$9,"&gt;="&amp;$BR74,'Tally Helper'!$L$9:$GI$9,"&lt;="&amp;$BS74)))</f>
        <v/>
      </c>
      <c r="AA74" s="15" t="str">
        <f aca="false">IF(OR(E$7="",$BR74=""),"",IF('Tally Helper'!$B$12&lt;&gt;TRUE(),"not on Staff",SUMIFS('Tally Helper'!$L$14:$GI$14,'Tally Helper'!$L$12:$GI$12,"&gt;="&amp;$BR74,'Tally Helper'!$L$12:$GI$12,"&lt;="&amp;$BS74)))</f>
        <v/>
      </c>
      <c r="AB74" s="15" t="str">
        <f aca="false">IF(OR(F$7="",$BR74=""),"",IF('Tally Helper'!$B$15&lt;&gt;TRUE(),"not on Staff",SUMIFS('Tally Helper'!$L$17:$GI$17,'Tally Helper'!$L$15:$GI$15,"&gt;="&amp;$BR74,'Tally Helper'!$L$15:$GI$15,"&lt;="&amp;$BS74)))</f>
        <v/>
      </c>
      <c r="AC74" s="15" t="str">
        <f aca="false">IF(OR(G$7="",$BR74=""),"",IF('Tally Helper'!$B$18&lt;&gt;TRUE(),"not on Staff",SUMIFS('Tally Helper'!$L$20:$GI$20,'Tally Helper'!$L$18:$GI$18,"&gt;="&amp;$BR74,'Tally Helper'!$L$18:$GI$18,"&lt;="&amp;$BS74)))</f>
        <v/>
      </c>
      <c r="AD74" s="15" t="str">
        <f aca="false">IF(OR(H$7="",$BR74=""),"",IF('Tally Helper'!$B$21&lt;&gt;TRUE(),"not on Staff",SUMIFS('Tally Helper'!$L$23:$GI$23,'Tally Helper'!$L$21:$GI$21,"&gt;="&amp;$BR74,'Tally Helper'!$L$21:$GI$21,"&lt;="&amp;$BS74)))</f>
        <v/>
      </c>
      <c r="AE74" s="15" t="str">
        <f aca="false">IF(OR(I$7="",$BR74=""),"",IF('Tally Helper'!$B$24&lt;&gt;TRUE(),"not on Staff",SUMIFS('Tally Helper'!$L$26:$GI$26,'Tally Helper'!$L$24:$GI$24,"&gt;="&amp;$BR74,'Tally Helper'!$L$24:$GI$24,"&lt;="&amp;$BS74)))</f>
        <v/>
      </c>
      <c r="AF74" s="15" t="str">
        <f aca="false">IF(OR(J$7="",$BR74=""),"",IF('Tally Helper'!$B$27&lt;&gt;TRUE(),"not on Staff",SUMIFS('Tally Helper'!$L$29:$GI$29,'Tally Helper'!$L$27:$GI$27,"&gt;="&amp;$BR74,'Tally Helper'!$L$27:$GI$27,"&lt;="&amp;$BS74)))</f>
        <v/>
      </c>
      <c r="AG74" s="15" t="str">
        <f aca="false">IF(OR(K$7="",$BR74=""),"",IF('Tally Helper'!$B$30&lt;&gt;TRUE(),"not on Staff",SUMIFS('Tally Helper'!$L$32:$GI$32,'Tally Helper'!$L$30:$GI$30,"&gt;="&amp;$BR74,'Tally Helper'!$L$30:$GI$30,"&lt;="&amp;$BS74)))</f>
        <v/>
      </c>
      <c r="AH74" s="15" t="str">
        <f aca="false">IF(OR(L$7="",$BR74=""),"",IF('Tally Helper'!$B$33&lt;&gt;TRUE(),"not on Staff",SUMIFS('Tally Helper'!$L$35:$GI$35,'Tally Helper'!$L$33:$GI$33,"&gt;="&amp;$BR74,'Tally Helper'!$L$33:$GI$33,"&lt;="&amp;$BS74)))</f>
        <v/>
      </c>
      <c r="AI74" s="15" t="str">
        <f aca="false">IF(OR(M$7="",$BR74=""),"",IF('Tally Helper'!$B$36&lt;&gt;TRUE(),"not on Staff",SUMIFS('Tally Helper'!$L$38:$GI$38,'Tally Helper'!$L$36:$GI$36,"&gt;="&amp;$BR74,'Tally Helper'!$L$36:$GI$36,"&lt;="&amp;$BS74)))</f>
        <v/>
      </c>
      <c r="AJ74" s="15" t="str">
        <f aca="false">IF(OR(N$7="",$BR74=""),"",IF('Tally Helper'!$B$39&lt;&gt;TRUE(),"not on Staff",SUMIFS('Tally Helper'!$L$41:$GI$41,'Tally Helper'!$L$39:$GI$39,"&gt;="&amp;$BR74,'Tally Helper'!$L$39:$GI$39,"&lt;="&amp;$BS74)))</f>
        <v/>
      </c>
      <c r="AK74" s="15" t="str">
        <f aca="false">IF(OR(O$7="",$BR74=""),"",IF('Tally Helper'!$B$42&lt;&gt;TRUE(),"not on Staff",SUMIFS('Tally Helper'!$L$44:$GI$44,'Tally Helper'!$L$42:$GI$42,"&gt;="&amp;$BR74,'Tally Helper'!$L$42:$GI$42,"&lt;="&amp;$BS74)))</f>
        <v/>
      </c>
      <c r="AL74" s="15" t="str">
        <f aca="false">IF(OR(P$7="",$BR74=""),"",IF('Tally Helper'!$B$45&lt;&gt;TRUE(),"not on Staff",SUMIFS('Tally Helper'!$L$47:$GI$47,'Tally Helper'!$L$45:$GI$45,"&gt;="&amp;$BR74,'Tally Helper'!$L$45:$GI$45,"&lt;="&amp;$BS74)))</f>
        <v/>
      </c>
      <c r="AM74" s="15" t="str">
        <f aca="false">IF(OR(Q$7="",$BR74=""),"",IF('Tally Helper'!$B$48&lt;&gt;TRUE(),"not on Staff",SUMIFS('Tally Helper'!$L$50:$GI$50,'Tally Helper'!$L$48:$GI$48,"&gt;="&amp;$BR74,'Tally Helper'!$L$48:$GI$48,"&lt;="&amp;$BS74)))</f>
        <v/>
      </c>
      <c r="AN74" s="15" t="str">
        <f aca="false">IF(OR(R$7="",$BR74=""),"",IF('Tally Helper'!$B$51&lt;&gt;TRUE(),"not on Staff",SUMIFS('Tally Helper'!$L$53:$GI$53,'Tally Helper'!$L$51:$GI$51,"&gt;="&amp;$BR74,'Tally Helper'!$L$51:$GI$51,"&lt;="&amp;$BS74)))</f>
        <v/>
      </c>
      <c r="AO74" s="15" t="str">
        <f aca="false">IF(OR(S$7="",$BR74=""),"",IF('Tally Helper'!$B$54&lt;&gt;TRUE(),"not on Staff",SUMIFS('Tally Helper'!$L$56:$GI$56,'Tally Helper'!$L$54:$GI$54,"&gt;="&amp;$BR74,'Tally Helper'!$L$54:$GI$54,"&lt;="&amp;$BS74)))</f>
        <v/>
      </c>
      <c r="AP74" s="15" t="str">
        <f aca="false">IF(OR(T$7="",$BR74=""),"",IF('Tally Helper'!$B$57&lt;&gt;TRUE(),"not on Staff",SUMIFS('Tally Helper'!$L$59:$GI$59,'Tally Helper'!$L$57:$GI$57,"&gt;="&amp;$BR74,'Tally Helper'!$L$57:$GI$57,"&lt;="&amp;$BS74)))</f>
        <v/>
      </c>
      <c r="AQ74" s="15" t="str">
        <f aca="false">IF(OR(U$7="",$BR74=""),"",IF('Tally Helper'!$B$60&lt;&gt;TRUE(),"not on Staff",SUMIFS('Tally Helper'!$L$62:$GI$62,'Tally Helper'!$L$60:$GI$60,"&gt;="&amp;$BR74,'Tally Helper'!$L$60:$GI$60,"&lt;="&amp;$BS74)))</f>
        <v/>
      </c>
      <c r="AT74" s="15" t="str">
        <f aca="false">IF(OR(X74="",NOT(ISNUMBER(X74))),"",X74-N(B74))</f>
        <v/>
      </c>
      <c r="AU74" s="15" t="str">
        <f aca="false">IF(OR(Y74="",NOT(ISNUMBER(Y74))),"",Y74-N(C74))</f>
        <v/>
      </c>
      <c r="AV74" s="15" t="str">
        <f aca="false">IF(OR(Z74="",NOT(ISNUMBER(Z74))),"",Z74-N(D74))</f>
        <v/>
      </c>
      <c r="AW74" s="15" t="str">
        <f aca="false">IF(OR(AA74="",NOT(ISNUMBER(AA74))),"",AA74-N(E74))</f>
        <v/>
      </c>
      <c r="AX74" s="15" t="str">
        <f aca="false">IF(OR(AB74="",NOT(ISNUMBER(AB74))),"",AB74-N(F74))</f>
        <v/>
      </c>
      <c r="AY74" s="15" t="str">
        <f aca="false">IF(OR(AC74="",NOT(ISNUMBER(AC74))),"",AC74-N(G74))</f>
        <v/>
      </c>
      <c r="AZ74" s="15" t="str">
        <f aca="false">IF(OR(AD74="",NOT(ISNUMBER(AD74))),"",AD74-N(H74))</f>
        <v/>
      </c>
      <c r="BA74" s="15" t="str">
        <f aca="false">IF(OR(AE74="",NOT(ISNUMBER(AE74))),"",AE74-N(I74))</f>
        <v/>
      </c>
      <c r="BB74" s="15" t="str">
        <f aca="false">IF(OR(AF74="",NOT(ISNUMBER(AF74))),"",AF74-N(J74))</f>
        <v/>
      </c>
      <c r="BC74" s="15" t="str">
        <f aca="false">IF(OR(AG74="",NOT(ISNUMBER(AG74))),"",AG74-N(K74))</f>
        <v/>
      </c>
      <c r="BD74" s="15" t="str">
        <f aca="false">IF(OR(AH74="",NOT(ISNUMBER(AH74))),"",AH74-N(L74))</f>
        <v/>
      </c>
      <c r="BE74" s="15" t="str">
        <f aca="false">IF(OR(AI74="",NOT(ISNUMBER(AI74))),"",AI74-N(M74))</f>
        <v/>
      </c>
      <c r="BF74" s="15" t="str">
        <f aca="false">IF(OR(AJ74="",NOT(ISNUMBER(AJ74))),"",AJ74-N(N74))</f>
        <v/>
      </c>
      <c r="BG74" s="15" t="str">
        <f aca="false">IF(OR(AK74="",NOT(ISNUMBER(AK74))),"",AK74-N(O74))</f>
        <v/>
      </c>
      <c r="BH74" s="15" t="str">
        <f aca="false">IF(OR(AL74="",NOT(ISNUMBER(AL74))),"",AL74-N(P74))</f>
        <v/>
      </c>
      <c r="BI74" s="15" t="str">
        <f aca="false">IF(OR(AM74="",NOT(ISNUMBER(AM74))),"",AM74-N(Q74))</f>
        <v/>
      </c>
      <c r="BJ74" s="15" t="str">
        <f aca="false">IF(OR(AN74="",NOT(ISNUMBER(AN74))),"",AN74-N(R74))</f>
        <v/>
      </c>
      <c r="BK74" s="15" t="str">
        <f aca="false">IF(OR(AO74="",NOT(ISNUMBER(AO74))),"",AO74-N(S74))</f>
        <v/>
      </c>
      <c r="BL74" s="15" t="str">
        <f aca="false">IF(OR(AP74="",NOT(ISNUMBER(AP74))),"",AP74-N(T74))</f>
        <v/>
      </c>
      <c r="BM74" s="15" t="str">
        <f aca="false">IF(OR(AQ74="",NOT(ISNUMBER(AQ74))),"",AQ74-N(U74))</f>
        <v/>
      </c>
      <c r="BR74" s="18" t="str">
        <f aca="false">IF($A74="","",IF(ISNUMBER($A74),DATE(YEAR($A74),MONTH($A74),1),IFERROR(DATE(2000+VALUE(RIGHT(TRIM($A74),2)),MATCH(UPPER(LEFT(TRIM($A74),3)),{"JAN","FEB","MAR","APR","MAY","JUN","JUL","AUG","SEP","OCT","NOV","DEC"},0),1),"")))</f>
        <v/>
      </c>
      <c r="BS74" s="18" t="str">
        <f aca="false">IF(BR74="","",EOMONTH(BR74,0))</f>
        <v/>
      </c>
    </row>
    <row r="75" customFormat="false" ht="15" hidden="false" customHeight="false" outlineLevel="0" collapsed="false">
      <c r="B75" s="19"/>
      <c r="C75" s="19"/>
      <c r="D75" s="19"/>
      <c r="E75" s="19"/>
      <c r="F75" s="19"/>
      <c r="G75" s="19"/>
      <c r="H75" s="19"/>
      <c r="I75" s="19"/>
      <c r="J75" s="19"/>
      <c r="K75" s="19"/>
      <c r="L75" s="19"/>
      <c r="M75" s="19"/>
      <c r="N75" s="19"/>
      <c r="O75" s="19"/>
      <c r="P75" s="19"/>
      <c r="Q75" s="19"/>
      <c r="R75" s="19"/>
      <c r="S75" s="19"/>
      <c r="T75" s="19"/>
      <c r="U75" s="19"/>
      <c r="X75" s="15" t="str">
        <f aca="false">IF(OR(B$7="",$BR75=""),"",IF('Tally Helper'!$B$3&lt;&gt;TRUE(),"not on Staff",SUMIFS('Tally Helper'!$L$5:$GI$5,'Tally Helper'!$L$3:$GI$3,"&gt;="&amp;$BR75,'Tally Helper'!$L$3:$GI$3,"&lt;="&amp;$BS75)))</f>
        <v/>
      </c>
      <c r="Y75" s="15" t="str">
        <f aca="false">IF(OR(C$7="",$BR75=""),"",IF('Tally Helper'!$B$6&lt;&gt;TRUE(),"not on Staff",SUMIFS('Tally Helper'!$L$8:$GI$8,'Tally Helper'!$L$6:$GI$6,"&gt;="&amp;$BR75,'Tally Helper'!$L$6:$GI$6,"&lt;="&amp;$BS75)))</f>
        <v/>
      </c>
      <c r="Z75" s="15" t="str">
        <f aca="false">IF(OR(D$7="",$BR75=""),"",IF('Tally Helper'!$B$9&lt;&gt;TRUE(),"not on Staff",SUMIFS('Tally Helper'!$L$11:$GI$11,'Tally Helper'!$L$9:$GI$9,"&gt;="&amp;$BR75,'Tally Helper'!$L$9:$GI$9,"&lt;="&amp;$BS75)))</f>
        <v/>
      </c>
      <c r="AA75" s="15" t="str">
        <f aca="false">IF(OR(E$7="",$BR75=""),"",IF('Tally Helper'!$B$12&lt;&gt;TRUE(),"not on Staff",SUMIFS('Tally Helper'!$L$14:$GI$14,'Tally Helper'!$L$12:$GI$12,"&gt;="&amp;$BR75,'Tally Helper'!$L$12:$GI$12,"&lt;="&amp;$BS75)))</f>
        <v/>
      </c>
      <c r="AB75" s="15" t="str">
        <f aca="false">IF(OR(F$7="",$BR75=""),"",IF('Tally Helper'!$B$15&lt;&gt;TRUE(),"not on Staff",SUMIFS('Tally Helper'!$L$17:$GI$17,'Tally Helper'!$L$15:$GI$15,"&gt;="&amp;$BR75,'Tally Helper'!$L$15:$GI$15,"&lt;="&amp;$BS75)))</f>
        <v/>
      </c>
      <c r="AC75" s="15" t="str">
        <f aca="false">IF(OR(G$7="",$BR75=""),"",IF('Tally Helper'!$B$18&lt;&gt;TRUE(),"not on Staff",SUMIFS('Tally Helper'!$L$20:$GI$20,'Tally Helper'!$L$18:$GI$18,"&gt;="&amp;$BR75,'Tally Helper'!$L$18:$GI$18,"&lt;="&amp;$BS75)))</f>
        <v/>
      </c>
      <c r="AD75" s="15" t="str">
        <f aca="false">IF(OR(H$7="",$BR75=""),"",IF('Tally Helper'!$B$21&lt;&gt;TRUE(),"not on Staff",SUMIFS('Tally Helper'!$L$23:$GI$23,'Tally Helper'!$L$21:$GI$21,"&gt;="&amp;$BR75,'Tally Helper'!$L$21:$GI$21,"&lt;="&amp;$BS75)))</f>
        <v/>
      </c>
      <c r="AE75" s="15" t="str">
        <f aca="false">IF(OR(I$7="",$BR75=""),"",IF('Tally Helper'!$B$24&lt;&gt;TRUE(),"not on Staff",SUMIFS('Tally Helper'!$L$26:$GI$26,'Tally Helper'!$L$24:$GI$24,"&gt;="&amp;$BR75,'Tally Helper'!$L$24:$GI$24,"&lt;="&amp;$BS75)))</f>
        <v/>
      </c>
      <c r="AF75" s="15" t="str">
        <f aca="false">IF(OR(J$7="",$BR75=""),"",IF('Tally Helper'!$B$27&lt;&gt;TRUE(),"not on Staff",SUMIFS('Tally Helper'!$L$29:$GI$29,'Tally Helper'!$L$27:$GI$27,"&gt;="&amp;$BR75,'Tally Helper'!$L$27:$GI$27,"&lt;="&amp;$BS75)))</f>
        <v/>
      </c>
      <c r="AG75" s="15" t="str">
        <f aca="false">IF(OR(K$7="",$BR75=""),"",IF('Tally Helper'!$B$30&lt;&gt;TRUE(),"not on Staff",SUMIFS('Tally Helper'!$L$32:$GI$32,'Tally Helper'!$L$30:$GI$30,"&gt;="&amp;$BR75,'Tally Helper'!$L$30:$GI$30,"&lt;="&amp;$BS75)))</f>
        <v/>
      </c>
      <c r="AH75" s="15" t="str">
        <f aca="false">IF(OR(L$7="",$BR75=""),"",IF('Tally Helper'!$B$33&lt;&gt;TRUE(),"not on Staff",SUMIFS('Tally Helper'!$L$35:$GI$35,'Tally Helper'!$L$33:$GI$33,"&gt;="&amp;$BR75,'Tally Helper'!$L$33:$GI$33,"&lt;="&amp;$BS75)))</f>
        <v/>
      </c>
      <c r="AI75" s="15" t="str">
        <f aca="false">IF(OR(M$7="",$BR75=""),"",IF('Tally Helper'!$B$36&lt;&gt;TRUE(),"not on Staff",SUMIFS('Tally Helper'!$L$38:$GI$38,'Tally Helper'!$L$36:$GI$36,"&gt;="&amp;$BR75,'Tally Helper'!$L$36:$GI$36,"&lt;="&amp;$BS75)))</f>
        <v/>
      </c>
      <c r="AJ75" s="15" t="str">
        <f aca="false">IF(OR(N$7="",$BR75=""),"",IF('Tally Helper'!$B$39&lt;&gt;TRUE(),"not on Staff",SUMIFS('Tally Helper'!$L$41:$GI$41,'Tally Helper'!$L$39:$GI$39,"&gt;="&amp;$BR75,'Tally Helper'!$L$39:$GI$39,"&lt;="&amp;$BS75)))</f>
        <v/>
      </c>
      <c r="AK75" s="15" t="str">
        <f aca="false">IF(OR(O$7="",$BR75=""),"",IF('Tally Helper'!$B$42&lt;&gt;TRUE(),"not on Staff",SUMIFS('Tally Helper'!$L$44:$GI$44,'Tally Helper'!$L$42:$GI$42,"&gt;="&amp;$BR75,'Tally Helper'!$L$42:$GI$42,"&lt;="&amp;$BS75)))</f>
        <v/>
      </c>
      <c r="AL75" s="15" t="str">
        <f aca="false">IF(OR(P$7="",$BR75=""),"",IF('Tally Helper'!$B$45&lt;&gt;TRUE(),"not on Staff",SUMIFS('Tally Helper'!$L$47:$GI$47,'Tally Helper'!$L$45:$GI$45,"&gt;="&amp;$BR75,'Tally Helper'!$L$45:$GI$45,"&lt;="&amp;$BS75)))</f>
        <v/>
      </c>
      <c r="AM75" s="15" t="str">
        <f aca="false">IF(OR(Q$7="",$BR75=""),"",IF('Tally Helper'!$B$48&lt;&gt;TRUE(),"not on Staff",SUMIFS('Tally Helper'!$L$50:$GI$50,'Tally Helper'!$L$48:$GI$48,"&gt;="&amp;$BR75,'Tally Helper'!$L$48:$GI$48,"&lt;="&amp;$BS75)))</f>
        <v/>
      </c>
      <c r="AN75" s="15" t="str">
        <f aca="false">IF(OR(R$7="",$BR75=""),"",IF('Tally Helper'!$B$51&lt;&gt;TRUE(),"not on Staff",SUMIFS('Tally Helper'!$L$53:$GI$53,'Tally Helper'!$L$51:$GI$51,"&gt;="&amp;$BR75,'Tally Helper'!$L$51:$GI$51,"&lt;="&amp;$BS75)))</f>
        <v/>
      </c>
      <c r="AO75" s="15" t="str">
        <f aca="false">IF(OR(S$7="",$BR75=""),"",IF('Tally Helper'!$B$54&lt;&gt;TRUE(),"not on Staff",SUMIFS('Tally Helper'!$L$56:$GI$56,'Tally Helper'!$L$54:$GI$54,"&gt;="&amp;$BR75,'Tally Helper'!$L$54:$GI$54,"&lt;="&amp;$BS75)))</f>
        <v/>
      </c>
      <c r="AP75" s="15" t="str">
        <f aca="false">IF(OR(T$7="",$BR75=""),"",IF('Tally Helper'!$B$57&lt;&gt;TRUE(),"not on Staff",SUMIFS('Tally Helper'!$L$59:$GI$59,'Tally Helper'!$L$57:$GI$57,"&gt;="&amp;$BR75,'Tally Helper'!$L$57:$GI$57,"&lt;="&amp;$BS75)))</f>
        <v/>
      </c>
      <c r="AQ75" s="15" t="str">
        <f aca="false">IF(OR(U$7="",$BR75=""),"",IF('Tally Helper'!$B$60&lt;&gt;TRUE(),"not on Staff",SUMIFS('Tally Helper'!$L$62:$GI$62,'Tally Helper'!$L$60:$GI$60,"&gt;="&amp;$BR75,'Tally Helper'!$L$60:$GI$60,"&lt;="&amp;$BS75)))</f>
        <v/>
      </c>
      <c r="AT75" s="15" t="str">
        <f aca="false">IF(OR(X75="",NOT(ISNUMBER(X75))),"",X75-N(B75))</f>
        <v/>
      </c>
      <c r="AU75" s="15" t="str">
        <f aca="false">IF(OR(Y75="",NOT(ISNUMBER(Y75))),"",Y75-N(C75))</f>
        <v/>
      </c>
      <c r="AV75" s="15" t="str">
        <f aca="false">IF(OR(Z75="",NOT(ISNUMBER(Z75))),"",Z75-N(D75))</f>
        <v/>
      </c>
      <c r="AW75" s="15" t="str">
        <f aca="false">IF(OR(AA75="",NOT(ISNUMBER(AA75))),"",AA75-N(E75))</f>
        <v/>
      </c>
      <c r="AX75" s="15" t="str">
        <f aca="false">IF(OR(AB75="",NOT(ISNUMBER(AB75))),"",AB75-N(F75))</f>
        <v/>
      </c>
      <c r="AY75" s="15" t="str">
        <f aca="false">IF(OR(AC75="",NOT(ISNUMBER(AC75))),"",AC75-N(G75))</f>
        <v/>
      </c>
      <c r="AZ75" s="15" t="str">
        <f aca="false">IF(OR(AD75="",NOT(ISNUMBER(AD75))),"",AD75-N(H75))</f>
        <v/>
      </c>
      <c r="BA75" s="15" t="str">
        <f aca="false">IF(OR(AE75="",NOT(ISNUMBER(AE75))),"",AE75-N(I75))</f>
        <v/>
      </c>
      <c r="BB75" s="15" t="str">
        <f aca="false">IF(OR(AF75="",NOT(ISNUMBER(AF75))),"",AF75-N(J75))</f>
        <v/>
      </c>
      <c r="BC75" s="15" t="str">
        <f aca="false">IF(OR(AG75="",NOT(ISNUMBER(AG75))),"",AG75-N(K75))</f>
        <v/>
      </c>
      <c r="BD75" s="15" t="str">
        <f aca="false">IF(OR(AH75="",NOT(ISNUMBER(AH75))),"",AH75-N(L75))</f>
        <v/>
      </c>
      <c r="BE75" s="15" t="str">
        <f aca="false">IF(OR(AI75="",NOT(ISNUMBER(AI75))),"",AI75-N(M75))</f>
        <v/>
      </c>
      <c r="BF75" s="15" t="str">
        <f aca="false">IF(OR(AJ75="",NOT(ISNUMBER(AJ75))),"",AJ75-N(N75))</f>
        <v/>
      </c>
      <c r="BG75" s="15" t="str">
        <f aca="false">IF(OR(AK75="",NOT(ISNUMBER(AK75))),"",AK75-N(O75))</f>
        <v/>
      </c>
      <c r="BH75" s="15" t="str">
        <f aca="false">IF(OR(AL75="",NOT(ISNUMBER(AL75))),"",AL75-N(P75))</f>
        <v/>
      </c>
      <c r="BI75" s="15" t="str">
        <f aca="false">IF(OR(AM75="",NOT(ISNUMBER(AM75))),"",AM75-N(Q75))</f>
        <v/>
      </c>
      <c r="BJ75" s="15" t="str">
        <f aca="false">IF(OR(AN75="",NOT(ISNUMBER(AN75))),"",AN75-N(R75))</f>
        <v/>
      </c>
      <c r="BK75" s="15" t="str">
        <f aca="false">IF(OR(AO75="",NOT(ISNUMBER(AO75))),"",AO75-N(S75))</f>
        <v/>
      </c>
      <c r="BL75" s="15" t="str">
        <f aca="false">IF(OR(AP75="",NOT(ISNUMBER(AP75))),"",AP75-N(T75))</f>
        <v/>
      </c>
      <c r="BM75" s="15" t="str">
        <f aca="false">IF(OR(AQ75="",NOT(ISNUMBER(AQ75))),"",AQ75-N(U75))</f>
        <v/>
      </c>
      <c r="BR75" s="18" t="str">
        <f aca="false">IF($A75="","",IF(ISNUMBER($A75),DATE(YEAR($A75),MONTH($A75),1),IFERROR(DATE(2000+VALUE(RIGHT(TRIM($A75),2)),MATCH(UPPER(LEFT(TRIM($A75),3)),{"JAN","FEB","MAR","APR","MAY","JUN","JUL","AUG","SEP","OCT","NOV","DEC"},0),1),"")))</f>
        <v/>
      </c>
      <c r="BS75" s="18" t="str">
        <f aca="false">IF(BR75="","",EOMONTH(BR75,0))</f>
        <v/>
      </c>
    </row>
    <row r="76" customFormat="false" ht="15" hidden="false" customHeight="false" outlineLevel="0" collapsed="false">
      <c r="B76" s="19"/>
      <c r="C76" s="19"/>
      <c r="D76" s="19"/>
      <c r="E76" s="19"/>
      <c r="F76" s="19"/>
      <c r="G76" s="19"/>
      <c r="H76" s="19"/>
      <c r="I76" s="19"/>
      <c r="J76" s="19"/>
      <c r="K76" s="19"/>
      <c r="L76" s="19"/>
      <c r="M76" s="19"/>
      <c r="N76" s="19"/>
      <c r="O76" s="19"/>
      <c r="P76" s="19"/>
      <c r="Q76" s="19"/>
      <c r="R76" s="19"/>
      <c r="S76" s="19"/>
      <c r="T76" s="19"/>
      <c r="U76" s="19"/>
      <c r="X76" s="15" t="str">
        <f aca="false">IF(OR(B$7="",$BR76=""),"",IF('Tally Helper'!$B$3&lt;&gt;TRUE(),"not on Staff",SUMIFS('Tally Helper'!$L$5:$GI$5,'Tally Helper'!$L$3:$GI$3,"&gt;="&amp;$BR76,'Tally Helper'!$L$3:$GI$3,"&lt;="&amp;$BS76)))</f>
        <v/>
      </c>
      <c r="Y76" s="15" t="str">
        <f aca="false">IF(OR(C$7="",$BR76=""),"",IF('Tally Helper'!$B$6&lt;&gt;TRUE(),"not on Staff",SUMIFS('Tally Helper'!$L$8:$GI$8,'Tally Helper'!$L$6:$GI$6,"&gt;="&amp;$BR76,'Tally Helper'!$L$6:$GI$6,"&lt;="&amp;$BS76)))</f>
        <v/>
      </c>
      <c r="Z76" s="15" t="str">
        <f aca="false">IF(OR(D$7="",$BR76=""),"",IF('Tally Helper'!$B$9&lt;&gt;TRUE(),"not on Staff",SUMIFS('Tally Helper'!$L$11:$GI$11,'Tally Helper'!$L$9:$GI$9,"&gt;="&amp;$BR76,'Tally Helper'!$L$9:$GI$9,"&lt;="&amp;$BS76)))</f>
        <v/>
      </c>
      <c r="AA76" s="15" t="str">
        <f aca="false">IF(OR(E$7="",$BR76=""),"",IF('Tally Helper'!$B$12&lt;&gt;TRUE(),"not on Staff",SUMIFS('Tally Helper'!$L$14:$GI$14,'Tally Helper'!$L$12:$GI$12,"&gt;="&amp;$BR76,'Tally Helper'!$L$12:$GI$12,"&lt;="&amp;$BS76)))</f>
        <v/>
      </c>
      <c r="AB76" s="15" t="str">
        <f aca="false">IF(OR(F$7="",$BR76=""),"",IF('Tally Helper'!$B$15&lt;&gt;TRUE(),"not on Staff",SUMIFS('Tally Helper'!$L$17:$GI$17,'Tally Helper'!$L$15:$GI$15,"&gt;="&amp;$BR76,'Tally Helper'!$L$15:$GI$15,"&lt;="&amp;$BS76)))</f>
        <v/>
      </c>
      <c r="AC76" s="15" t="str">
        <f aca="false">IF(OR(G$7="",$BR76=""),"",IF('Tally Helper'!$B$18&lt;&gt;TRUE(),"not on Staff",SUMIFS('Tally Helper'!$L$20:$GI$20,'Tally Helper'!$L$18:$GI$18,"&gt;="&amp;$BR76,'Tally Helper'!$L$18:$GI$18,"&lt;="&amp;$BS76)))</f>
        <v/>
      </c>
      <c r="AD76" s="15" t="str">
        <f aca="false">IF(OR(H$7="",$BR76=""),"",IF('Tally Helper'!$B$21&lt;&gt;TRUE(),"not on Staff",SUMIFS('Tally Helper'!$L$23:$GI$23,'Tally Helper'!$L$21:$GI$21,"&gt;="&amp;$BR76,'Tally Helper'!$L$21:$GI$21,"&lt;="&amp;$BS76)))</f>
        <v/>
      </c>
      <c r="AE76" s="15" t="str">
        <f aca="false">IF(OR(I$7="",$BR76=""),"",IF('Tally Helper'!$B$24&lt;&gt;TRUE(),"not on Staff",SUMIFS('Tally Helper'!$L$26:$GI$26,'Tally Helper'!$L$24:$GI$24,"&gt;="&amp;$BR76,'Tally Helper'!$L$24:$GI$24,"&lt;="&amp;$BS76)))</f>
        <v/>
      </c>
      <c r="AF76" s="15" t="str">
        <f aca="false">IF(OR(J$7="",$BR76=""),"",IF('Tally Helper'!$B$27&lt;&gt;TRUE(),"not on Staff",SUMIFS('Tally Helper'!$L$29:$GI$29,'Tally Helper'!$L$27:$GI$27,"&gt;="&amp;$BR76,'Tally Helper'!$L$27:$GI$27,"&lt;="&amp;$BS76)))</f>
        <v/>
      </c>
      <c r="AG76" s="15" t="str">
        <f aca="false">IF(OR(K$7="",$BR76=""),"",IF('Tally Helper'!$B$30&lt;&gt;TRUE(),"not on Staff",SUMIFS('Tally Helper'!$L$32:$GI$32,'Tally Helper'!$L$30:$GI$30,"&gt;="&amp;$BR76,'Tally Helper'!$L$30:$GI$30,"&lt;="&amp;$BS76)))</f>
        <v/>
      </c>
      <c r="AH76" s="15" t="str">
        <f aca="false">IF(OR(L$7="",$BR76=""),"",IF('Tally Helper'!$B$33&lt;&gt;TRUE(),"not on Staff",SUMIFS('Tally Helper'!$L$35:$GI$35,'Tally Helper'!$L$33:$GI$33,"&gt;="&amp;$BR76,'Tally Helper'!$L$33:$GI$33,"&lt;="&amp;$BS76)))</f>
        <v/>
      </c>
      <c r="AI76" s="15" t="str">
        <f aca="false">IF(OR(M$7="",$BR76=""),"",IF('Tally Helper'!$B$36&lt;&gt;TRUE(),"not on Staff",SUMIFS('Tally Helper'!$L$38:$GI$38,'Tally Helper'!$L$36:$GI$36,"&gt;="&amp;$BR76,'Tally Helper'!$L$36:$GI$36,"&lt;="&amp;$BS76)))</f>
        <v/>
      </c>
      <c r="AJ76" s="15" t="str">
        <f aca="false">IF(OR(N$7="",$BR76=""),"",IF('Tally Helper'!$B$39&lt;&gt;TRUE(),"not on Staff",SUMIFS('Tally Helper'!$L$41:$GI$41,'Tally Helper'!$L$39:$GI$39,"&gt;="&amp;$BR76,'Tally Helper'!$L$39:$GI$39,"&lt;="&amp;$BS76)))</f>
        <v/>
      </c>
      <c r="AK76" s="15" t="str">
        <f aca="false">IF(OR(O$7="",$BR76=""),"",IF('Tally Helper'!$B$42&lt;&gt;TRUE(),"not on Staff",SUMIFS('Tally Helper'!$L$44:$GI$44,'Tally Helper'!$L$42:$GI$42,"&gt;="&amp;$BR76,'Tally Helper'!$L$42:$GI$42,"&lt;="&amp;$BS76)))</f>
        <v/>
      </c>
      <c r="AL76" s="15" t="str">
        <f aca="false">IF(OR(P$7="",$BR76=""),"",IF('Tally Helper'!$B$45&lt;&gt;TRUE(),"not on Staff",SUMIFS('Tally Helper'!$L$47:$GI$47,'Tally Helper'!$L$45:$GI$45,"&gt;="&amp;$BR76,'Tally Helper'!$L$45:$GI$45,"&lt;="&amp;$BS76)))</f>
        <v/>
      </c>
      <c r="AM76" s="15" t="str">
        <f aca="false">IF(OR(Q$7="",$BR76=""),"",IF('Tally Helper'!$B$48&lt;&gt;TRUE(),"not on Staff",SUMIFS('Tally Helper'!$L$50:$GI$50,'Tally Helper'!$L$48:$GI$48,"&gt;="&amp;$BR76,'Tally Helper'!$L$48:$GI$48,"&lt;="&amp;$BS76)))</f>
        <v/>
      </c>
      <c r="AN76" s="15" t="str">
        <f aca="false">IF(OR(R$7="",$BR76=""),"",IF('Tally Helper'!$B$51&lt;&gt;TRUE(),"not on Staff",SUMIFS('Tally Helper'!$L$53:$GI$53,'Tally Helper'!$L$51:$GI$51,"&gt;="&amp;$BR76,'Tally Helper'!$L$51:$GI$51,"&lt;="&amp;$BS76)))</f>
        <v/>
      </c>
      <c r="AO76" s="15" t="str">
        <f aca="false">IF(OR(S$7="",$BR76=""),"",IF('Tally Helper'!$B$54&lt;&gt;TRUE(),"not on Staff",SUMIFS('Tally Helper'!$L$56:$GI$56,'Tally Helper'!$L$54:$GI$54,"&gt;="&amp;$BR76,'Tally Helper'!$L$54:$GI$54,"&lt;="&amp;$BS76)))</f>
        <v/>
      </c>
      <c r="AP76" s="15" t="str">
        <f aca="false">IF(OR(T$7="",$BR76=""),"",IF('Tally Helper'!$B$57&lt;&gt;TRUE(),"not on Staff",SUMIFS('Tally Helper'!$L$59:$GI$59,'Tally Helper'!$L$57:$GI$57,"&gt;="&amp;$BR76,'Tally Helper'!$L$57:$GI$57,"&lt;="&amp;$BS76)))</f>
        <v/>
      </c>
      <c r="AQ76" s="15" t="str">
        <f aca="false">IF(OR(U$7="",$BR76=""),"",IF('Tally Helper'!$B$60&lt;&gt;TRUE(),"not on Staff",SUMIFS('Tally Helper'!$L$62:$GI$62,'Tally Helper'!$L$60:$GI$60,"&gt;="&amp;$BR76,'Tally Helper'!$L$60:$GI$60,"&lt;="&amp;$BS76)))</f>
        <v/>
      </c>
      <c r="AT76" s="15" t="str">
        <f aca="false">IF(OR(X76="",NOT(ISNUMBER(X76))),"",X76-N(B76))</f>
        <v/>
      </c>
      <c r="AU76" s="15" t="str">
        <f aca="false">IF(OR(Y76="",NOT(ISNUMBER(Y76))),"",Y76-N(C76))</f>
        <v/>
      </c>
      <c r="AV76" s="15" t="str">
        <f aca="false">IF(OR(Z76="",NOT(ISNUMBER(Z76))),"",Z76-N(D76))</f>
        <v/>
      </c>
      <c r="AW76" s="15" t="str">
        <f aca="false">IF(OR(AA76="",NOT(ISNUMBER(AA76))),"",AA76-N(E76))</f>
        <v/>
      </c>
      <c r="AX76" s="15" t="str">
        <f aca="false">IF(OR(AB76="",NOT(ISNUMBER(AB76))),"",AB76-N(F76))</f>
        <v/>
      </c>
      <c r="AY76" s="15" t="str">
        <f aca="false">IF(OR(AC76="",NOT(ISNUMBER(AC76))),"",AC76-N(G76))</f>
        <v/>
      </c>
      <c r="AZ76" s="15" t="str">
        <f aca="false">IF(OR(AD76="",NOT(ISNUMBER(AD76))),"",AD76-N(H76))</f>
        <v/>
      </c>
      <c r="BA76" s="15" t="str">
        <f aca="false">IF(OR(AE76="",NOT(ISNUMBER(AE76))),"",AE76-N(I76))</f>
        <v/>
      </c>
      <c r="BB76" s="15" t="str">
        <f aca="false">IF(OR(AF76="",NOT(ISNUMBER(AF76))),"",AF76-N(J76))</f>
        <v/>
      </c>
      <c r="BC76" s="15" t="str">
        <f aca="false">IF(OR(AG76="",NOT(ISNUMBER(AG76))),"",AG76-N(K76))</f>
        <v/>
      </c>
      <c r="BD76" s="15" t="str">
        <f aca="false">IF(OR(AH76="",NOT(ISNUMBER(AH76))),"",AH76-N(L76))</f>
        <v/>
      </c>
      <c r="BE76" s="15" t="str">
        <f aca="false">IF(OR(AI76="",NOT(ISNUMBER(AI76))),"",AI76-N(M76))</f>
        <v/>
      </c>
      <c r="BF76" s="15" t="str">
        <f aca="false">IF(OR(AJ76="",NOT(ISNUMBER(AJ76))),"",AJ76-N(N76))</f>
        <v/>
      </c>
      <c r="BG76" s="15" t="str">
        <f aca="false">IF(OR(AK76="",NOT(ISNUMBER(AK76))),"",AK76-N(O76))</f>
        <v/>
      </c>
      <c r="BH76" s="15" t="str">
        <f aca="false">IF(OR(AL76="",NOT(ISNUMBER(AL76))),"",AL76-N(P76))</f>
        <v/>
      </c>
      <c r="BI76" s="15" t="str">
        <f aca="false">IF(OR(AM76="",NOT(ISNUMBER(AM76))),"",AM76-N(Q76))</f>
        <v/>
      </c>
      <c r="BJ76" s="15" t="str">
        <f aca="false">IF(OR(AN76="",NOT(ISNUMBER(AN76))),"",AN76-N(R76))</f>
        <v/>
      </c>
      <c r="BK76" s="15" t="str">
        <f aca="false">IF(OR(AO76="",NOT(ISNUMBER(AO76))),"",AO76-N(S76))</f>
        <v/>
      </c>
      <c r="BL76" s="15" t="str">
        <f aca="false">IF(OR(AP76="",NOT(ISNUMBER(AP76))),"",AP76-N(T76))</f>
        <v/>
      </c>
      <c r="BM76" s="15" t="str">
        <f aca="false">IF(OR(AQ76="",NOT(ISNUMBER(AQ76))),"",AQ76-N(U76))</f>
        <v/>
      </c>
      <c r="BR76" s="18" t="str">
        <f aca="false">IF($A76="","",IF(ISNUMBER($A76),DATE(YEAR($A76),MONTH($A76),1),IFERROR(DATE(2000+VALUE(RIGHT(TRIM($A76),2)),MATCH(UPPER(LEFT(TRIM($A76),3)),{"JAN","FEB","MAR","APR","MAY","JUN","JUL","AUG","SEP","OCT","NOV","DEC"},0),1),"")))</f>
        <v/>
      </c>
      <c r="BS76" s="18" t="str">
        <f aca="false">IF(BR76="","",EOMONTH(BR76,0))</f>
        <v/>
      </c>
    </row>
    <row r="77" customFormat="false" ht="15" hidden="false" customHeight="false" outlineLevel="0" collapsed="false">
      <c r="B77" s="19"/>
      <c r="C77" s="19"/>
      <c r="D77" s="19"/>
      <c r="E77" s="19"/>
      <c r="F77" s="19"/>
      <c r="G77" s="19"/>
      <c r="H77" s="19"/>
      <c r="I77" s="19"/>
      <c r="J77" s="19"/>
      <c r="K77" s="19"/>
      <c r="L77" s="19"/>
      <c r="M77" s="19"/>
      <c r="N77" s="19"/>
      <c r="O77" s="19"/>
      <c r="P77" s="19"/>
      <c r="Q77" s="19"/>
      <c r="R77" s="19"/>
      <c r="S77" s="19"/>
      <c r="T77" s="19"/>
      <c r="U77" s="19"/>
      <c r="X77" s="15" t="str">
        <f aca="false">IF(OR(B$7="",$BR77=""),"",IF('Tally Helper'!$B$3&lt;&gt;TRUE(),"not on Staff",SUMIFS('Tally Helper'!$L$5:$GI$5,'Tally Helper'!$L$3:$GI$3,"&gt;="&amp;$BR77,'Tally Helper'!$L$3:$GI$3,"&lt;="&amp;$BS77)))</f>
        <v/>
      </c>
      <c r="Y77" s="15" t="str">
        <f aca="false">IF(OR(C$7="",$BR77=""),"",IF('Tally Helper'!$B$6&lt;&gt;TRUE(),"not on Staff",SUMIFS('Tally Helper'!$L$8:$GI$8,'Tally Helper'!$L$6:$GI$6,"&gt;="&amp;$BR77,'Tally Helper'!$L$6:$GI$6,"&lt;="&amp;$BS77)))</f>
        <v/>
      </c>
      <c r="Z77" s="15" t="str">
        <f aca="false">IF(OR(D$7="",$BR77=""),"",IF('Tally Helper'!$B$9&lt;&gt;TRUE(),"not on Staff",SUMIFS('Tally Helper'!$L$11:$GI$11,'Tally Helper'!$L$9:$GI$9,"&gt;="&amp;$BR77,'Tally Helper'!$L$9:$GI$9,"&lt;="&amp;$BS77)))</f>
        <v/>
      </c>
      <c r="AA77" s="15" t="str">
        <f aca="false">IF(OR(E$7="",$BR77=""),"",IF('Tally Helper'!$B$12&lt;&gt;TRUE(),"not on Staff",SUMIFS('Tally Helper'!$L$14:$GI$14,'Tally Helper'!$L$12:$GI$12,"&gt;="&amp;$BR77,'Tally Helper'!$L$12:$GI$12,"&lt;="&amp;$BS77)))</f>
        <v/>
      </c>
      <c r="AB77" s="15" t="str">
        <f aca="false">IF(OR(F$7="",$BR77=""),"",IF('Tally Helper'!$B$15&lt;&gt;TRUE(),"not on Staff",SUMIFS('Tally Helper'!$L$17:$GI$17,'Tally Helper'!$L$15:$GI$15,"&gt;="&amp;$BR77,'Tally Helper'!$L$15:$GI$15,"&lt;="&amp;$BS77)))</f>
        <v/>
      </c>
      <c r="AC77" s="15" t="str">
        <f aca="false">IF(OR(G$7="",$BR77=""),"",IF('Tally Helper'!$B$18&lt;&gt;TRUE(),"not on Staff",SUMIFS('Tally Helper'!$L$20:$GI$20,'Tally Helper'!$L$18:$GI$18,"&gt;="&amp;$BR77,'Tally Helper'!$L$18:$GI$18,"&lt;="&amp;$BS77)))</f>
        <v/>
      </c>
      <c r="AD77" s="15" t="str">
        <f aca="false">IF(OR(H$7="",$BR77=""),"",IF('Tally Helper'!$B$21&lt;&gt;TRUE(),"not on Staff",SUMIFS('Tally Helper'!$L$23:$GI$23,'Tally Helper'!$L$21:$GI$21,"&gt;="&amp;$BR77,'Tally Helper'!$L$21:$GI$21,"&lt;="&amp;$BS77)))</f>
        <v/>
      </c>
      <c r="AE77" s="15" t="str">
        <f aca="false">IF(OR(I$7="",$BR77=""),"",IF('Tally Helper'!$B$24&lt;&gt;TRUE(),"not on Staff",SUMIFS('Tally Helper'!$L$26:$GI$26,'Tally Helper'!$L$24:$GI$24,"&gt;="&amp;$BR77,'Tally Helper'!$L$24:$GI$24,"&lt;="&amp;$BS77)))</f>
        <v/>
      </c>
      <c r="AF77" s="15" t="str">
        <f aca="false">IF(OR(J$7="",$BR77=""),"",IF('Tally Helper'!$B$27&lt;&gt;TRUE(),"not on Staff",SUMIFS('Tally Helper'!$L$29:$GI$29,'Tally Helper'!$L$27:$GI$27,"&gt;="&amp;$BR77,'Tally Helper'!$L$27:$GI$27,"&lt;="&amp;$BS77)))</f>
        <v/>
      </c>
      <c r="AG77" s="15" t="str">
        <f aca="false">IF(OR(K$7="",$BR77=""),"",IF('Tally Helper'!$B$30&lt;&gt;TRUE(),"not on Staff",SUMIFS('Tally Helper'!$L$32:$GI$32,'Tally Helper'!$L$30:$GI$30,"&gt;="&amp;$BR77,'Tally Helper'!$L$30:$GI$30,"&lt;="&amp;$BS77)))</f>
        <v/>
      </c>
      <c r="AH77" s="15" t="str">
        <f aca="false">IF(OR(L$7="",$BR77=""),"",IF('Tally Helper'!$B$33&lt;&gt;TRUE(),"not on Staff",SUMIFS('Tally Helper'!$L$35:$GI$35,'Tally Helper'!$L$33:$GI$33,"&gt;="&amp;$BR77,'Tally Helper'!$L$33:$GI$33,"&lt;="&amp;$BS77)))</f>
        <v/>
      </c>
      <c r="AI77" s="15" t="str">
        <f aca="false">IF(OR(M$7="",$BR77=""),"",IF('Tally Helper'!$B$36&lt;&gt;TRUE(),"not on Staff",SUMIFS('Tally Helper'!$L$38:$GI$38,'Tally Helper'!$L$36:$GI$36,"&gt;="&amp;$BR77,'Tally Helper'!$L$36:$GI$36,"&lt;="&amp;$BS77)))</f>
        <v/>
      </c>
      <c r="AJ77" s="15" t="str">
        <f aca="false">IF(OR(N$7="",$BR77=""),"",IF('Tally Helper'!$B$39&lt;&gt;TRUE(),"not on Staff",SUMIFS('Tally Helper'!$L$41:$GI$41,'Tally Helper'!$L$39:$GI$39,"&gt;="&amp;$BR77,'Tally Helper'!$L$39:$GI$39,"&lt;="&amp;$BS77)))</f>
        <v/>
      </c>
      <c r="AK77" s="15" t="str">
        <f aca="false">IF(OR(O$7="",$BR77=""),"",IF('Tally Helper'!$B$42&lt;&gt;TRUE(),"not on Staff",SUMIFS('Tally Helper'!$L$44:$GI$44,'Tally Helper'!$L$42:$GI$42,"&gt;="&amp;$BR77,'Tally Helper'!$L$42:$GI$42,"&lt;="&amp;$BS77)))</f>
        <v/>
      </c>
      <c r="AL77" s="15" t="str">
        <f aca="false">IF(OR(P$7="",$BR77=""),"",IF('Tally Helper'!$B$45&lt;&gt;TRUE(),"not on Staff",SUMIFS('Tally Helper'!$L$47:$GI$47,'Tally Helper'!$L$45:$GI$45,"&gt;="&amp;$BR77,'Tally Helper'!$L$45:$GI$45,"&lt;="&amp;$BS77)))</f>
        <v/>
      </c>
      <c r="AM77" s="15" t="str">
        <f aca="false">IF(OR(Q$7="",$BR77=""),"",IF('Tally Helper'!$B$48&lt;&gt;TRUE(),"not on Staff",SUMIFS('Tally Helper'!$L$50:$GI$50,'Tally Helper'!$L$48:$GI$48,"&gt;="&amp;$BR77,'Tally Helper'!$L$48:$GI$48,"&lt;="&amp;$BS77)))</f>
        <v/>
      </c>
      <c r="AN77" s="15" t="str">
        <f aca="false">IF(OR(R$7="",$BR77=""),"",IF('Tally Helper'!$B$51&lt;&gt;TRUE(),"not on Staff",SUMIFS('Tally Helper'!$L$53:$GI$53,'Tally Helper'!$L$51:$GI$51,"&gt;="&amp;$BR77,'Tally Helper'!$L$51:$GI$51,"&lt;="&amp;$BS77)))</f>
        <v/>
      </c>
      <c r="AO77" s="15" t="str">
        <f aca="false">IF(OR(S$7="",$BR77=""),"",IF('Tally Helper'!$B$54&lt;&gt;TRUE(),"not on Staff",SUMIFS('Tally Helper'!$L$56:$GI$56,'Tally Helper'!$L$54:$GI$54,"&gt;="&amp;$BR77,'Tally Helper'!$L$54:$GI$54,"&lt;="&amp;$BS77)))</f>
        <v/>
      </c>
      <c r="AP77" s="15" t="str">
        <f aca="false">IF(OR(T$7="",$BR77=""),"",IF('Tally Helper'!$B$57&lt;&gt;TRUE(),"not on Staff",SUMIFS('Tally Helper'!$L$59:$GI$59,'Tally Helper'!$L$57:$GI$57,"&gt;="&amp;$BR77,'Tally Helper'!$L$57:$GI$57,"&lt;="&amp;$BS77)))</f>
        <v/>
      </c>
      <c r="AQ77" s="15" t="str">
        <f aca="false">IF(OR(U$7="",$BR77=""),"",IF('Tally Helper'!$B$60&lt;&gt;TRUE(),"not on Staff",SUMIFS('Tally Helper'!$L$62:$GI$62,'Tally Helper'!$L$60:$GI$60,"&gt;="&amp;$BR77,'Tally Helper'!$L$60:$GI$60,"&lt;="&amp;$BS77)))</f>
        <v/>
      </c>
      <c r="AT77" s="15" t="str">
        <f aca="false">IF(OR(X77="",NOT(ISNUMBER(X77))),"",X77-N(B77))</f>
        <v/>
      </c>
      <c r="AU77" s="15" t="str">
        <f aca="false">IF(OR(Y77="",NOT(ISNUMBER(Y77))),"",Y77-N(C77))</f>
        <v/>
      </c>
      <c r="AV77" s="15" t="str">
        <f aca="false">IF(OR(Z77="",NOT(ISNUMBER(Z77))),"",Z77-N(D77))</f>
        <v/>
      </c>
      <c r="AW77" s="15" t="str">
        <f aca="false">IF(OR(AA77="",NOT(ISNUMBER(AA77))),"",AA77-N(E77))</f>
        <v/>
      </c>
      <c r="AX77" s="15" t="str">
        <f aca="false">IF(OR(AB77="",NOT(ISNUMBER(AB77))),"",AB77-N(F77))</f>
        <v/>
      </c>
      <c r="AY77" s="15" t="str">
        <f aca="false">IF(OR(AC77="",NOT(ISNUMBER(AC77))),"",AC77-N(G77))</f>
        <v/>
      </c>
      <c r="AZ77" s="15" t="str">
        <f aca="false">IF(OR(AD77="",NOT(ISNUMBER(AD77))),"",AD77-N(H77))</f>
        <v/>
      </c>
      <c r="BA77" s="15" t="str">
        <f aca="false">IF(OR(AE77="",NOT(ISNUMBER(AE77))),"",AE77-N(I77))</f>
        <v/>
      </c>
      <c r="BB77" s="15" t="str">
        <f aca="false">IF(OR(AF77="",NOT(ISNUMBER(AF77))),"",AF77-N(J77))</f>
        <v/>
      </c>
      <c r="BC77" s="15" t="str">
        <f aca="false">IF(OR(AG77="",NOT(ISNUMBER(AG77))),"",AG77-N(K77))</f>
        <v/>
      </c>
      <c r="BD77" s="15" t="str">
        <f aca="false">IF(OR(AH77="",NOT(ISNUMBER(AH77))),"",AH77-N(L77))</f>
        <v/>
      </c>
      <c r="BE77" s="15" t="str">
        <f aca="false">IF(OR(AI77="",NOT(ISNUMBER(AI77))),"",AI77-N(M77))</f>
        <v/>
      </c>
      <c r="BF77" s="15" t="str">
        <f aca="false">IF(OR(AJ77="",NOT(ISNUMBER(AJ77))),"",AJ77-N(N77))</f>
        <v/>
      </c>
      <c r="BG77" s="15" t="str">
        <f aca="false">IF(OR(AK77="",NOT(ISNUMBER(AK77))),"",AK77-N(O77))</f>
        <v/>
      </c>
      <c r="BH77" s="15" t="str">
        <f aca="false">IF(OR(AL77="",NOT(ISNUMBER(AL77))),"",AL77-N(P77))</f>
        <v/>
      </c>
      <c r="BI77" s="15" t="str">
        <f aca="false">IF(OR(AM77="",NOT(ISNUMBER(AM77))),"",AM77-N(Q77))</f>
        <v/>
      </c>
      <c r="BJ77" s="15" t="str">
        <f aca="false">IF(OR(AN77="",NOT(ISNUMBER(AN77))),"",AN77-N(R77))</f>
        <v/>
      </c>
      <c r="BK77" s="15" t="str">
        <f aca="false">IF(OR(AO77="",NOT(ISNUMBER(AO77))),"",AO77-N(S77))</f>
        <v/>
      </c>
      <c r="BL77" s="15" t="str">
        <f aca="false">IF(OR(AP77="",NOT(ISNUMBER(AP77))),"",AP77-N(T77))</f>
        <v/>
      </c>
      <c r="BM77" s="15" t="str">
        <f aca="false">IF(OR(AQ77="",NOT(ISNUMBER(AQ77))),"",AQ77-N(U77))</f>
        <v/>
      </c>
      <c r="BR77" s="18" t="str">
        <f aca="false">IF($A77="","",IF(ISNUMBER($A77),DATE(YEAR($A77),MONTH($A77),1),IFERROR(DATE(2000+VALUE(RIGHT(TRIM($A77),2)),MATCH(UPPER(LEFT(TRIM($A77),3)),{"JAN","FEB","MAR","APR","MAY","JUN","JUL","AUG","SEP","OCT","NOV","DEC"},0),1),"")))</f>
        <v/>
      </c>
      <c r="BS77" s="18" t="str">
        <f aca="false">IF(BR77="","",EOMONTH(BR77,0))</f>
        <v/>
      </c>
    </row>
    <row r="78" customFormat="false" ht="15" hidden="false" customHeight="false" outlineLevel="0" collapsed="false">
      <c r="B78" s="19"/>
      <c r="C78" s="19"/>
      <c r="D78" s="19"/>
      <c r="E78" s="19"/>
      <c r="F78" s="19"/>
      <c r="G78" s="19"/>
      <c r="H78" s="19"/>
      <c r="I78" s="19"/>
      <c r="J78" s="19"/>
      <c r="K78" s="19"/>
      <c r="L78" s="19"/>
      <c r="M78" s="19"/>
      <c r="N78" s="19"/>
      <c r="O78" s="19"/>
      <c r="P78" s="19"/>
      <c r="Q78" s="19"/>
      <c r="R78" s="19"/>
      <c r="S78" s="19"/>
      <c r="T78" s="19"/>
      <c r="U78" s="19"/>
      <c r="X78" s="15" t="str">
        <f aca="false">IF(OR(B$7="",$BR78=""),"",IF('Tally Helper'!$B$3&lt;&gt;TRUE(),"not on Staff",SUMIFS('Tally Helper'!$L$5:$GI$5,'Tally Helper'!$L$3:$GI$3,"&gt;="&amp;$BR78,'Tally Helper'!$L$3:$GI$3,"&lt;="&amp;$BS78)))</f>
        <v/>
      </c>
      <c r="Y78" s="15" t="str">
        <f aca="false">IF(OR(C$7="",$BR78=""),"",IF('Tally Helper'!$B$6&lt;&gt;TRUE(),"not on Staff",SUMIFS('Tally Helper'!$L$8:$GI$8,'Tally Helper'!$L$6:$GI$6,"&gt;="&amp;$BR78,'Tally Helper'!$L$6:$GI$6,"&lt;="&amp;$BS78)))</f>
        <v/>
      </c>
      <c r="Z78" s="15" t="str">
        <f aca="false">IF(OR(D$7="",$BR78=""),"",IF('Tally Helper'!$B$9&lt;&gt;TRUE(),"not on Staff",SUMIFS('Tally Helper'!$L$11:$GI$11,'Tally Helper'!$L$9:$GI$9,"&gt;="&amp;$BR78,'Tally Helper'!$L$9:$GI$9,"&lt;="&amp;$BS78)))</f>
        <v/>
      </c>
      <c r="AA78" s="15" t="str">
        <f aca="false">IF(OR(E$7="",$BR78=""),"",IF('Tally Helper'!$B$12&lt;&gt;TRUE(),"not on Staff",SUMIFS('Tally Helper'!$L$14:$GI$14,'Tally Helper'!$L$12:$GI$12,"&gt;="&amp;$BR78,'Tally Helper'!$L$12:$GI$12,"&lt;="&amp;$BS78)))</f>
        <v/>
      </c>
      <c r="AB78" s="15" t="str">
        <f aca="false">IF(OR(F$7="",$BR78=""),"",IF('Tally Helper'!$B$15&lt;&gt;TRUE(),"not on Staff",SUMIFS('Tally Helper'!$L$17:$GI$17,'Tally Helper'!$L$15:$GI$15,"&gt;="&amp;$BR78,'Tally Helper'!$L$15:$GI$15,"&lt;="&amp;$BS78)))</f>
        <v/>
      </c>
      <c r="AC78" s="15" t="str">
        <f aca="false">IF(OR(G$7="",$BR78=""),"",IF('Tally Helper'!$B$18&lt;&gt;TRUE(),"not on Staff",SUMIFS('Tally Helper'!$L$20:$GI$20,'Tally Helper'!$L$18:$GI$18,"&gt;="&amp;$BR78,'Tally Helper'!$L$18:$GI$18,"&lt;="&amp;$BS78)))</f>
        <v/>
      </c>
      <c r="AD78" s="15" t="str">
        <f aca="false">IF(OR(H$7="",$BR78=""),"",IF('Tally Helper'!$B$21&lt;&gt;TRUE(),"not on Staff",SUMIFS('Tally Helper'!$L$23:$GI$23,'Tally Helper'!$L$21:$GI$21,"&gt;="&amp;$BR78,'Tally Helper'!$L$21:$GI$21,"&lt;="&amp;$BS78)))</f>
        <v/>
      </c>
      <c r="AE78" s="15" t="str">
        <f aca="false">IF(OR(I$7="",$BR78=""),"",IF('Tally Helper'!$B$24&lt;&gt;TRUE(),"not on Staff",SUMIFS('Tally Helper'!$L$26:$GI$26,'Tally Helper'!$L$24:$GI$24,"&gt;="&amp;$BR78,'Tally Helper'!$L$24:$GI$24,"&lt;="&amp;$BS78)))</f>
        <v/>
      </c>
      <c r="AF78" s="15" t="str">
        <f aca="false">IF(OR(J$7="",$BR78=""),"",IF('Tally Helper'!$B$27&lt;&gt;TRUE(),"not on Staff",SUMIFS('Tally Helper'!$L$29:$GI$29,'Tally Helper'!$L$27:$GI$27,"&gt;="&amp;$BR78,'Tally Helper'!$L$27:$GI$27,"&lt;="&amp;$BS78)))</f>
        <v/>
      </c>
      <c r="AG78" s="15" t="str">
        <f aca="false">IF(OR(K$7="",$BR78=""),"",IF('Tally Helper'!$B$30&lt;&gt;TRUE(),"not on Staff",SUMIFS('Tally Helper'!$L$32:$GI$32,'Tally Helper'!$L$30:$GI$30,"&gt;="&amp;$BR78,'Tally Helper'!$L$30:$GI$30,"&lt;="&amp;$BS78)))</f>
        <v/>
      </c>
      <c r="AH78" s="15" t="str">
        <f aca="false">IF(OR(L$7="",$BR78=""),"",IF('Tally Helper'!$B$33&lt;&gt;TRUE(),"not on Staff",SUMIFS('Tally Helper'!$L$35:$GI$35,'Tally Helper'!$L$33:$GI$33,"&gt;="&amp;$BR78,'Tally Helper'!$L$33:$GI$33,"&lt;="&amp;$BS78)))</f>
        <v/>
      </c>
      <c r="AI78" s="15" t="str">
        <f aca="false">IF(OR(M$7="",$BR78=""),"",IF('Tally Helper'!$B$36&lt;&gt;TRUE(),"not on Staff",SUMIFS('Tally Helper'!$L$38:$GI$38,'Tally Helper'!$L$36:$GI$36,"&gt;="&amp;$BR78,'Tally Helper'!$L$36:$GI$36,"&lt;="&amp;$BS78)))</f>
        <v/>
      </c>
      <c r="AJ78" s="15" t="str">
        <f aca="false">IF(OR(N$7="",$BR78=""),"",IF('Tally Helper'!$B$39&lt;&gt;TRUE(),"not on Staff",SUMIFS('Tally Helper'!$L$41:$GI$41,'Tally Helper'!$L$39:$GI$39,"&gt;="&amp;$BR78,'Tally Helper'!$L$39:$GI$39,"&lt;="&amp;$BS78)))</f>
        <v/>
      </c>
      <c r="AK78" s="15" t="str">
        <f aca="false">IF(OR(O$7="",$BR78=""),"",IF('Tally Helper'!$B$42&lt;&gt;TRUE(),"not on Staff",SUMIFS('Tally Helper'!$L$44:$GI$44,'Tally Helper'!$L$42:$GI$42,"&gt;="&amp;$BR78,'Tally Helper'!$L$42:$GI$42,"&lt;="&amp;$BS78)))</f>
        <v/>
      </c>
      <c r="AL78" s="15" t="str">
        <f aca="false">IF(OR(P$7="",$BR78=""),"",IF('Tally Helper'!$B$45&lt;&gt;TRUE(),"not on Staff",SUMIFS('Tally Helper'!$L$47:$GI$47,'Tally Helper'!$L$45:$GI$45,"&gt;="&amp;$BR78,'Tally Helper'!$L$45:$GI$45,"&lt;="&amp;$BS78)))</f>
        <v/>
      </c>
      <c r="AM78" s="15" t="str">
        <f aca="false">IF(OR(Q$7="",$BR78=""),"",IF('Tally Helper'!$B$48&lt;&gt;TRUE(),"not on Staff",SUMIFS('Tally Helper'!$L$50:$GI$50,'Tally Helper'!$L$48:$GI$48,"&gt;="&amp;$BR78,'Tally Helper'!$L$48:$GI$48,"&lt;="&amp;$BS78)))</f>
        <v/>
      </c>
      <c r="AN78" s="15" t="str">
        <f aca="false">IF(OR(R$7="",$BR78=""),"",IF('Tally Helper'!$B$51&lt;&gt;TRUE(),"not on Staff",SUMIFS('Tally Helper'!$L$53:$GI$53,'Tally Helper'!$L$51:$GI$51,"&gt;="&amp;$BR78,'Tally Helper'!$L$51:$GI$51,"&lt;="&amp;$BS78)))</f>
        <v/>
      </c>
      <c r="AO78" s="15" t="str">
        <f aca="false">IF(OR(S$7="",$BR78=""),"",IF('Tally Helper'!$B$54&lt;&gt;TRUE(),"not on Staff",SUMIFS('Tally Helper'!$L$56:$GI$56,'Tally Helper'!$L$54:$GI$54,"&gt;="&amp;$BR78,'Tally Helper'!$L$54:$GI$54,"&lt;="&amp;$BS78)))</f>
        <v/>
      </c>
      <c r="AP78" s="15" t="str">
        <f aca="false">IF(OR(T$7="",$BR78=""),"",IF('Tally Helper'!$B$57&lt;&gt;TRUE(),"not on Staff",SUMIFS('Tally Helper'!$L$59:$GI$59,'Tally Helper'!$L$57:$GI$57,"&gt;="&amp;$BR78,'Tally Helper'!$L$57:$GI$57,"&lt;="&amp;$BS78)))</f>
        <v/>
      </c>
      <c r="AQ78" s="15" t="str">
        <f aca="false">IF(OR(U$7="",$BR78=""),"",IF('Tally Helper'!$B$60&lt;&gt;TRUE(),"not on Staff",SUMIFS('Tally Helper'!$L$62:$GI$62,'Tally Helper'!$L$60:$GI$60,"&gt;="&amp;$BR78,'Tally Helper'!$L$60:$GI$60,"&lt;="&amp;$BS78)))</f>
        <v/>
      </c>
      <c r="AT78" s="15" t="str">
        <f aca="false">IF(OR(X78="",NOT(ISNUMBER(X78))),"",X78-N(B78))</f>
        <v/>
      </c>
      <c r="AU78" s="15" t="str">
        <f aca="false">IF(OR(Y78="",NOT(ISNUMBER(Y78))),"",Y78-N(C78))</f>
        <v/>
      </c>
      <c r="AV78" s="15" t="str">
        <f aca="false">IF(OR(Z78="",NOT(ISNUMBER(Z78))),"",Z78-N(D78))</f>
        <v/>
      </c>
      <c r="AW78" s="15" t="str">
        <f aca="false">IF(OR(AA78="",NOT(ISNUMBER(AA78))),"",AA78-N(E78))</f>
        <v/>
      </c>
      <c r="AX78" s="15" t="str">
        <f aca="false">IF(OR(AB78="",NOT(ISNUMBER(AB78))),"",AB78-N(F78))</f>
        <v/>
      </c>
      <c r="AY78" s="15" t="str">
        <f aca="false">IF(OR(AC78="",NOT(ISNUMBER(AC78))),"",AC78-N(G78))</f>
        <v/>
      </c>
      <c r="AZ78" s="15" t="str">
        <f aca="false">IF(OR(AD78="",NOT(ISNUMBER(AD78))),"",AD78-N(H78))</f>
        <v/>
      </c>
      <c r="BA78" s="15" t="str">
        <f aca="false">IF(OR(AE78="",NOT(ISNUMBER(AE78))),"",AE78-N(I78))</f>
        <v/>
      </c>
      <c r="BB78" s="15" t="str">
        <f aca="false">IF(OR(AF78="",NOT(ISNUMBER(AF78))),"",AF78-N(J78))</f>
        <v/>
      </c>
      <c r="BC78" s="15" t="str">
        <f aca="false">IF(OR(AG78="",NOT(ISNUMBER(AG78))),"",AG78-N(K78))</f>
        <v/>
      </c>
      <c r="BD78" s="15" t="str">
        <f aca="false">IF(OR(AH78="",NOT(ISNUMBER(AH78))),"",AH78-N(L78))</f>
        <v/>
      </c>
      <c r="BE78" s="15" t="str">
        <f aca="false">IF(OR(AI78="",NOT(ISNUMBER(AI78))),"",AI78-N(M78))</f>
        <v/>
      </c>
      <c r="BF78" s="15" t="str">
        <f aca="false">IF(OR(AJ78="",NOT(ISNUMBER(AJ78))),"",AJ78-N(N78))</f>
        <v/>
      </c>
      <c r="BG78" s="15" t="str">
        <f aca="false">IF(OR(AK78="",NOT(ISNUMBER(AK78))),"",AK78-N(O78))</f>
        <v/>
      </c>
      <c r="BH78" s="15" t="str">
        <f aca="false">IF(OR(AL78="",NOT(ISNUMBER(AL78))),"",AL78-N(P78))</f>
        <v/>
      </c>
      <c r="BI78" s="15" t="str">
        <f aca="false">IF(OR(AM78="",NOT(ISNUMBER(AM78))),"",AM78-N(Q78))</f>
        <v/>
      </c>
      <c r="BJ78" s="15" t="str">
        <f aca="false">IF(OR(AN78="",NOT(ISNUMBER(AN78))),"",AN78-N(R78))</f>
        <v/>
      </c>
      <c r="BK78" s="15" t="str">
        <f aca="false">IF(OR(AO78="",NOT(ISNUMBER(AO78))),"",AO78-N(S78))</f>
        <v/>
      </c>
      <c r="BL78" s="15" t="str">
        <f aca="false">IF(OR(AP78="",NOT(ISNUMBER(AP78))),"",AP78-N(T78))</f>
        <v/>
      </c>
      <c r="BM78" s="15" t="str">
        <f aca="false">IF(OR(AQ78="",NOT(ISNUMBER(AQ78))),"",AQ78-N(U78))</f>
        <v/>
      </c>
      <c r="BR78" s="18" t="str">
        <f aca="false">IF($A78="","",IF(ISNUMBER($A78),DATE(YEAR($A78),MONTH($A78),1),IFERROR(DATE(2000+VALUE(RIGHT(TRIM($A78),2)),MATCH(UPPER(LEFT(TRIM($A78),3)),{"JAN","FEB","MAR","APR","MAY","JUN","JUL","AUG","SEP","OCT","NOV","DEC"},0),1),"")))</f>
        <v/>
      </c>
      <c r="BS78" s="18" t="str">
        <f aca="false">IF(BR78="","",EOMONTH(BR78,0))</f>
        <v/>
      </c>
    </row>
    <row r="79" customFormat="false" ht="15" hidden="false" customHeight="false" outlineLevel="0" collapsed="false">
      <c r="B79" s="19"/>
      <c r="C79" s="19"/>
      <c r="D79" s="19"/>
      <c r="E79" s="19"/>
      <c r="F79" s="19"/>
      <c r="G79" s="19"/>
      <c r="H79" s="19"/>
      <c r="I79" s="19"/>
      <c r="J79" s="19"/>
      <c r="K79" s="19"/>
      <c r="L79" s="19"/>
      <c r="M79" s="19"/>
      <c r="N79" s="19"/>
      <c r="O79" s="19"/>
      <c r="P79" s="19"/>
      <c r="Q79" s="19"/>
      <c r="R79" s="19"/>
      <c r="S79" s="19"/>
      <c r="T79" s="19"/>
      <c r="U79" s="19"/>
      <c r="X79" s="15" t="str">
        <f aca="false">IF(OR(B$7="",$BR79=""),"",IF('Tally Helper'!$B$3&lt;&gt;TRUE(),"not on Staff",SUMIFS('Tally Helper'!$L$5:$GI$5,'Tally Helper'!$L$3:$GI$3,"&gt;="&amp;$BR79,'Tally Helper'!$L$3:$GI$3,"&lt;="&amp;$BS79)))</f>
        <v/>
      </c>
      <c r="Y79" s="15" t="str">
        <f aca="false">IF(OR(C$7="",$BR79=""),"",IF('Tally Helper'!$B$6&lt;&gt;TRUE(),"not on Staff",SUMIFS('Tally Helper'!$L$8:$GI$8,'Tally Helper'!$L$6:$GI$6,"&gt;="&amp;$BR79,'Tally Helper'!$L$6:$GI$6,"&lt;="&amp;$BS79)))</f>
        <v/>
      </c>
      <c r="Z79" s="15" t="str">
        <f aca="false">IF(OR(D$7="",$BR79=""),"",IF('Tally Helper'!$B$9&lt;&gt;TRUE(),"not on Staff",SUMIFS('Tally Helper'!$L$11:$GI$11,'Tally Helper'!$L$9:$GI$9,"&gt;="&amp;$BR79,'Tally Helper'!$L$9:$GI$9,"&lt;="&amp;$BS79)))</f>
        <v/>
      </c>
      <c r="AA79" s="15" t="str">
        <f aca="false">IF(OR(E$7="",$BR79=""),"",IF('Tally Helper'!$B$12&lt;&gt;TRUE(),"not on Staff",SUMIFS('Tally Helper'!$L$14:$GI$14,'Tally Helper'!$L$12:$GI$12,"&gt;="&amp;$BR79,'Tally Helper'!$L$12:$GI$12,"&lt;="&amp;$BS79)))</f>
        <v/>
      </c>
      <c r="AB79" s="15" t="str">
        <f aca="false">IF(OR(F$7="",$BR79=""),"",IF('Tally Helper'!$B$15&lt;&gt;TRUE(),"not on Staff",SUMIFS('Tally Helper'!$L$17:$GI$17,'Tally Helper'!$L$15:$GI$15,"&gt;="&amp;$BR79,'Tally Helper'!$L$15:$GI$15,"&lt;="&amp;$BS79)))</f>
        <v/>
      </c>
      <c r="AC79" s="15" t="str">
        <f aca="false">IF(OR(G$7="",$BR79=""),"",IF('Tally Helper'!$B$18&lt;&gt;TRUE(),"not on Staff",SUMIFS('Tally Helper'!$L$20:$GI$20,'Tally Helper'!$L$18:$GI$18,"&gt;="&amp;$BR79,'Tally Helper'!$L$18:$GI$18,"&lt;="&amp;$BS79)))</f>
        <v/>
      </c>
      <c r="AD79" s="15" t="str">
        <f aca="false">IF(OR(H$7="",$BR79=""),"",IF('Tally Helper'!$B$21&lt;&gt;TRUE(),"not on Staff",SUMIFS('Tally Helper'!$L$23:$GI$23,'Tally Helper'!$L$21:$GI$21,"&gt;="&amp;$BR79,'Tally Helper'!$L$21:$GI$21,"&lt;="&amp;$BS79)))</f>
        <v/>
      </c>
      <c r="AE79" s="15" t="str">
        <f aca="false">IF(OR(I$7="",$BR79=""),"",IF('Tally Helper'!$B$24&lt;&gt;TRUE(),"not on Staff",SUMIFS('Tally Helper'!$L$26:$GI$26,'Tally Helper'!$L$24:$GI$24,"&gt;="&amp;$BR79,'Tally Helper'!$L$24:$GI$24,"&lt;="&amp;$BS79)))</f>
        <v/>
      </c>
      <c r="AF79" s="15" t="str">
        <f aca="false">IF(OR(J$7="",$BR79=""),"",IF('Tally Helper'!$B$27&lt;&gt;TRUE(),"not on Staff",SUMIFS('Tally Helper'!$L$29:$GI$29,'Tally Helper'!$L$27:$GI$27,"&gt;="&amp;$BR79,'Tally Helper'!$L$27:$GI$27,"&lt;="&amp;$BS79)))</f>
        <v/>
      </c>
      <c r="AG79" s="15" t="str">
        <f aca="false">IF(OR(K$7="",$BR79=""),"",IF('Tally Helper'!$B$30&lt;&gt;TRUE(),"not on Staff",SUMIFS('Tally Helper'!$L$32:$GI$32,'Tally Helper'!$L$30:$GI$30,"&gt;="&amp;$BR79,'Tally Helper'!$L$30:$GI$30,"&lt;="&amp;$BS79)))</f>
        <v/>
      </c>
      <c r="AH79" s="15" t="str">
        <f aca="false">IF(OR(L$7="",$BR79=""),"",IF('Tally Helper'!$B$33&lt;&gt;TRUE(),"not on Staff",SUMIFS('Tally Helper'!$L$35:$GI$35,'Tally Helper'!$L$33:$GI$33,"&gt;="&amp;$BR79,'Tally Helper'!$L$33:$GI$33,"&lt;="&amp;$BS79)))</f>
        <v/>
      </c>
      <c r="AI79" s="15" t="str">
        <f aca="false">IF(OR(M$7="",$BR79=""),"",IF('Tally Helper'!$B$36&lt;&gt;TRUE(),"not on Staff",SUMIFS('Tally Helper'!$L$38:$GI$38,'Tally Helper'!$L$36:$GI$36,"&gt;="&amp;$BR79,'Tally Helper'!$L$36:$GI$36,"&lt;="&amp;$BS79)))</f>
        <v/>
      </c>
      <c r="AJ79" s="15" t="str">
        <f aca="false">IF(OR(N$7="",$BR79=""),"",IF('Tally Helper'!$B$39&lt;&gt;TRUE(),"not on Staff",SUMIFS('Tally Helper'!$L$41:$GI$41,'Tally Helper'!$L$39:$GI$39,"&gt;="&amp;$BR79,'Tally Helper'!$L$39:$GI$39,"&lt;="&amp;$BS79)))</f>
        <v/>
      </c>
      <c r="AK79" s="15" t="str">
        <f aca="false">IF(OR(O$7="",$BR79=""),"",IF('Tally Helper'!$B$42&lt;&gt;TRUE(),"not on Staff",SUMIFS('Tally Helper'!$L$44:$GI$44,'Tally Helper'!$L$42:$GI$42,"&gt;="&amp;$BR79,'Tally Helper'!$L$42:$GI$42,"&lt;="&amp;$BS79)))</f>
        <v/>
      </c>
      <c r="AL79" s="15" t="str">
        <f aca="false">IF(OR(P$7="",$BR79=""),"",IF('Tally Helper'!$B$45&lt;&gt;TRUE(),"not on Staff",SUMIFS('Tally Helper'!$L$47:$GI$47,'Tally Helper'!$L$45:$GI$45,"&gt;="&amp;$BR79,'Tally Helper'!$L$45:$GI$45,"&lt;="&amp;$BS79)))</f>
        <v/>
      </c>
      <c r="AM79" s="15" t="str">
        <f aca="false">IF(OR(Q$7="",$BR79=""),"",IF('Tally Helper'!$B$48&lt;&gt;TRUE(),"not on Staff",SUMIFS('Tally Helper'!$L$50:$GI$50,'Tally Helper'!$L$48:$GI$48,"&gt;="&amp;$BR79,'Tally Helper'!$L$48:$GI$48,"&lt;="&amp;$BS79)))</f>
        <v/>
      </c>
      <c r="AN79" s="15" t="str">
        <f aca="false">IF(OR(R$7="",$BR79=""),"",IF('Tally Helper'!$B$51&lt;&gt;TRUE(),"not on Staff",SUMIFS('Tally Helper'!$L$53:$GI$53,'Tally Helper'!$L$51:$GI$51,"&gt;="&amp;$BR79,'Tally Helper'!$L$51:$GI$51,"&lt;="&amp;$BS79)))</f>
        <v/>
      </c>
      <c r="AO79" s="15" t="str">
        <f aca="false">IF(OR(S$7="",$BR79=""),"",IF('Tally Helper'!$B$54&lt;&gt;TRUE(),"not on Staff",SUMIFS('Tally Helper'!$L$56:$GI$56,'Tally Helper'!$L$54:$GI$54,"&gt;="&amp;$BR79,'Tally Helper'!$L$54:$GI$54,"&lt;="&amp;$BS79)))</f>
        <v/>
      </c>
      <c r="AP79" s="15" t="str">
        <f aca="false">IF(OR(T$7="",$BR79=""),"",IF('Tally Helper'!$B$57&lt;&gt;TRUE(),"not on Staff",SUMIFS('Tally Helper'!$L$59:$GI$59,'Tally Helper'!$L$57:$GI$57,"&gt;="&amp;$BR79,'Tally Helper'!$L$57:$GI$57,"&lt;="&amp;$BS79)))</f>
        <v/>
      </c>
      <c r="AQ79" s="15" t="str">
        <f aca="false">IF(OR(U$7="",$BR79=""),"",IF('Tally Helper'!$B$60&lt;&gt;TRUE(),"not on Staff",SUMIFS('Tally Helper'!$L$62:$GI$62,'Tally Helper'!$L$60:$GI$60,"&gt;="&amp;$BR79,'Tally Helper'!$L$60:$GI$60,"&lt;="&amp;$BS79)))</f>
        <v/>
      </c>
      <c r="AT79" s="15" t="str">
        <f aca="false">IF(OR(X79="",NOT(ISNUMBER(X79))),"",X79-N(B79))</f>
        <v/>
      </c>
      <c r="AU79" s="15" t="str">
        <f aca="false">IF(OR(Y79="",NOT(ISNUMBER(Y79))),"",Y79-N(C79))</f>
        <v/>
      </c>
      <c r="AV79" s="15" t="str">
        <f aca="false">IF(OR(Z79="",NOT(ISNUMBER(Z79))),"",Z79-N(D79))</f>
        <v/>
      </c>
      <c r="AW79" s="15" t="str">
        <f aca="false">IF(OR(AA79="",NOT(ISNUMBER(AA79))),"",AA79-N(E79))</f>
        <v/>
      </c>
      <c r="AX79" s="15" t="str">
        <f aca="false">IF(OR(AB79="",NOT(ISNUMBER(AB79))),"",AB79-N(F79))</f>
        <v/>
      </c>
      <c r="AY79" s="15" t="str">
        <f aca="false">IF(OR(AC79="",NOT(ISNUMBER(AC79))),"",AC79-N(G79))</f>
        <v/>
      </c>
      <c r="AZ79" s="15" t="str">
        <f aca="false">IF(OR(AD79="",NOT(ISNUMBER(AD79))),"",AD79-N(H79))</f>
        <v/>
      </c>
      <c r="BA79" s="15" t="str">
        <f aca="false">IF(OR(AE79="",NOT(ISNUMBER(AE79))),"",AE79-N(I79))</f>
        <v/>
      </c>
      <c r="BB79" s="15" t="str">
        <f aca="false">IF(OR(AF79="",NOT(ISNUMBER(AF79))),"",AF79-N(J79))</f>
        <v/>
      </c>
      <c r="BC79" s="15" t="str">
        <f aca="false">IF(OR(AG79="",NOT(ISNUMBER(AG79))),"",AG79-N(K79))</f>
        <v/>
      </c>
      <c r="BD79" s="15" t="str">
        <f aca="false">IF(OR(AH79="",NOT(ISNUMBER(AH79))),"",AH79-N(L79))</f>
        <v/>
      </c>
      <c r="BE79" s="15" t="str">
        <f aca="false">IF(OR(AI79="",NOT(ISNUMBER(AI79))),"",AI79-N(M79))</f>
        <v/>
      </c>
      <c r="BF79" s="15" t="str">
        <f aca="false">IF(OR(AJ79="",NOT(ISNUMBER(AJ79))),"",AJ79-N(N79))</f>
        <v/>
      </c>
      <c r="BG79" s="15" t="str">
        <f aca="false">IF(OR(AK79="",NOT(ISNUMBER(AK79))),"",AK79-N(O79))</f>
        <v/>
      </c>
      <c r="BH79" s="15" t="str">
        <f aca="false">IF(OR(AL79="",NOT(ISNUMBER(AL79))),"",AL79-N(P79))</f>
        <v/>
      </c>
      <c r="BI79" s="15" t="str">
        <f aca="false">IF(OR(AM79="",NOT(ISNUMBER(AM79))),"",AM79-N(Q79))</f>
        <v/>
      </c>
      <c r="BJ79" s="15" t="str">
        <f aca="false">IF(OR(AN79="",NOT(ISNUMBER(AN79))),"",AN79-N(R79))</f>
        <v/>
      </c>
      <c r="BK79" s="15" t="str">
        <f aca="false">IF(OR(AO79="",NOT(ISNUMBER(AO79))),"",AO79-N(S79))</f>
        <v/>
      </c>
      <c r="BL79" s="15" t="str">
        <f aca="false">IF(OR(AP79="",NOT(ISNUMBER(AP79))),"",AP79-N(T79))</f>
        <v/>
      </c>
      <c r="BM79" s="15" t="str">
        <f aca="false">IF(OR(AQ79="",NOT(ISNUMBER(AQ79))),"",AQ79-N(U79))</f>
        <v/>
      </c>
      <c r="BR79" s="18" t="str">
        <f aca="false">IF($A79="","",IF(ISNUMBER($A79),DATE(YEAR($A79),MONTH($A79),1),IFERROR(DATE(2000+VALUE(RIGHT(TRIM($A79),2)),MATCH(UPPER(LEFT(TRIM($A79),3)),{"JAN","FEB","MAR","APR","MAY","JUN","JUL","AUG","SEP","OCT","NOV","DEC"},0),1),"")))</f>
        <v/>
      </c>
      <c r="BS79" s="18" t="str">
        <f aca="false">IF(BR79="","",EOMONTH(BR79,0))</f>
        <v/>
      </c>
    </row>
    <row r="80" customFormat="false" ht="15" hidden="false" customHeight="false" outlineLevel="0" collapsed="false">
      <c r="B80" s="19"/>
      <c r="C80" s="19"/>
      <c r="D80" s="19"/>
      <c r="E80" s="19"/>
      <c r="F80" s="19"/>
      <c r="G80" s="19"/>
      <c r="H80" s="19"/>
      <c r="I80" s="19"/>
      <c r="J80" s="19"/>
      <c r="K80" s="19"/>
      <c r="L80" s="19"/>
      <c r="M80" s="19"/>
      <c r="N80" s="19"/>
      <c r="O80" s="19"/>
      <c r="P80" s="19"/>
      <c r="Q80" s="19"/>
      <c r="R80" s="19"/>
      <c r="S80" s="19"/>
      <c r="T80" s="19"/>
      <c r="U80" s="19"/>
      <c r="X80" s="15" t="str">
        <f aca="false">IF(OR(B$7="",$BR80=""),"",IF('Tally Helper'!$B$3&lt;&gt;TRUE(),"not on Staff",SUMIFS('Tally Helper'!$L$5:$GI$5,'Tally Helper'!$L$3:$GI$3,"&gt;="&amp;$BR80,'Tally Helper'!$L$3:$GI$3,"&lt;="&amp;$BS80)))</f>
        <v/>
      </c>
      <c r="Y80" s="15" t="str">
        <f aca="false">IF(OR(C$7="",$BR80=""),"",IF('Tally Helper'!$B$6&lt;&gt;TRUE(),"not on Staff",SUMIFS('Tally Helper'!$L$8:$GI$8,'Tally Helper'!$L$6:$GI$6,"&gt;="&amp;$BR80,'Tally Helper'!$L$6:$GI$6,"&lt;="&amp;$BS80)))</f>
        <v/>
      </c>
      <c r="Z80" s="15" t="str">
        <f aca="false">IF(OR(D$7="",$BR80=""),"",IF('Tally Helper'!$B$9&lt;&gt;TRUE(),"not on Staff",SUMIFS('Tally Helper'!$L$11:$GI$11,'Tally Helper'!$L$9:$GI$9,"&gt;="&amp;$BR80,'Tally Helper'!$L$9:$GI$9,"&lt;="&amp;$BS80)))</f>
        <v/>
      </c>
      <c r="AA80" s="15" t="str">
        <f aca="false">IF(OR(E$7="",$BR80=""),"",IF('Tally Helper'!$B$12&lt;&gt;TRUE(),"not on Staff",SUMIFS('Tally Helper'!$L$14:$GI$14,'Tally Helper'!$L$12:$GI$12,"&gt;="&amp;$BR80,'Tally Helper'!$L$12:$GI$12,"&lt;="&amp;$BS80)))</f>
        <v/>
      </c>
      <c r="AB80" s="15" t="str">
        <f aca="false">IF(OR(F$7="",$BR80=""),"",IF('Tally Helper'!$B$15&lt;&gt;TRUE(),"not on Staff",SUMIFS('Tally Helper'!$L$17:$GI$17,'Tally Helper'!$L$15:$GI$15,"&gt;="&amp;$BR80,'Tally Helper'!$L$15:$GI$15,"&lt;="&amp;$BS80)))</f>
        <v/>
      </c>
      <c r="AC80" s="15" t="str">
        <f aca="false">IF(OR(G$7="",$BR80=""),"",IF('Tally Helper'!$B$18&lt;&gt;TRUE(),"not on Staff",SUMIFS('Tally Helper'!$L$20:$GI$20,'Tally Helper'!$L$18:$GI$18,"&gt;="&amp;$BR80,'Tally Helper'!$L$18:$GI$18,"&lt;="&amp;$BS80)))</f>
        <v/>
      </c>
      <c r="AD80" s="15" t="str">
        <f aca="false">IF(OR(H$7="",$BR80=""),"",IF('Tally Helper'!$B$21&lt;&gt;TRUE(),"not on Staff",SUMIFS('Tally Helper'!$L$23:$GI$23,'Tally Helper'!$L$21:$GI$21,"&gt;="&amp;$BR80,'Tally Helper'!$L$21:$GI$21,"&lt;="&amp;$BS80)))</f>
        <v/>
      </c>
      <c r="AE80" s="15" t="str">
        <f aca="false">IF(OR(I$7="",$BR80=""),"",IF('Tally Helper'!$B$24&lt;&gt;TRUE(),"not on Staff",SUMIFS('Tally Helper'!$L$26:$GI$26,'Tally Helper'!$L$24:$GI$24,"&gt;="&amp;$BR80,'Tally Helper'!$L$24:$GI$24,"&lt;="&amp;$BS80)))</f>
        <v/>
      </c>
      <c r="AF80" s="15" t="str">
        <f aca="false">IF(OR(J$7="",$BR80=""),"",IF('Tally Helper'!$B$27&lt;&gt;TRUE(),"not on Staff",SUMIFS('Tally Helper'!$L$29:$GI$29,'Tally Helper'!$L$27:$GI$27,"&gt;="&amp;$BR80,'Tally Helper'!$L$27:$GI$27,"&lt;="&amp;$BS80)))</f>
        <v/>
      </c>
      <c r="AG80" s="15" t="str">
        <f aca="false">IF(OR(K$7="",$BR80=""),"",IF('Tally Helper'!$B$30&lt;&gt;TRUE(),"not on Staff",SUMIFS('Tally Helper'!$L$32:$GI$32,'Tally Helper'!$L$30:$GI$30,"&gt;="&amp;$BR80,'Tally Helper'!$L$30:$GI$30,"&lt;="&amp;$BS80)))</f>
        <v/>
      </c>
      <c r="AH80" s="15" t="str">
        <f aca="false">IF(OR(L$7="",$BR80=""),"",IF('Tally Helper'!$B$33&lt;&gt;TRUE(),"not on Staff",SUMIFS('Tally Helper'!$L$35:$GI$35,'Tally Helper'!$L$33:$GI$33,"&gt;="&amp;$BR80,'Tally Helper'!$L$33:$GI$33,"&lt;="&amp;$BS80)))</f>
        <v/>
      </c>
      <c r="AI80" s="15" t="str">
        <f aca="false">IF(OR(M$7="",$BR80=""),"",IF('Tally Helper'!$B$36&lt;&gt;TRUE(),"not on Staff",SUMIFS('Tally Helper'!$L$38:$GI$38,'Tally Helper'!$L$36:$GI$36,"&gt;="&amp;$BR80,'Tally Helper'!$L$36:$GI$36,"&lt;="&amp;$BS80)))</f>
        <v/>
      </c>
      <c r="AJ80" s="15" t="str">
        <f aca="false">IF(OR(N$7="",$BR80=""),"",IF('Tally Helper'!$B$39&lt;&gt;TRUE(),"not on Staff",SUMIFS('Tally Helper'!$L$41:$GI$41,'Tally Helper'!$L$39:$GI$39,"&gt;="&amp;$BR80,'Tally Helper'!$L$39:$GI$39,"&lt;="&amp;$BS80)))</f>
        <v/>
      </c>
      <c r="AK80" s="15" t="str">
        <f aca="false">IF(OR(O$7="",$BR80=""),"",IF('Tally Helper'!$B$42&lt;&gt;TRUE(),"not on Staff",SUMIFS('Tally Helper'!$L$44:$GI$44,'Tally Helper'!$L$42:$GI$42,"&gt;="&amp;$BR80,'Tally Helper'!$L$42:$GI$42,"&lt;="&amp;$BS80)))</f>
        <v/>
      </c>
      <c r="AL80" s="15" t="str">
        <f aca="false">IF(OR(P$7="",$BR80=""),"",IF('Tally Helper'!$B$45&lt;&gt;TRUE(),"not on Staff",SUMIFS('Tally Helper'!$L$47:$GI$47,'Tally Helper'!$L$45:$GI$45,"&gt;="&amp;$BR80,'Tally Helper'!$L$45:$GI$45,"&lt;="&amp;$BS80)))</f>
        <v/>
      </c>
      <c r="AM80" s="15" t="str">
        <f aca="false">IF(OR(Q$7="",$BR80=""),"",IF('Tally Helper'!$B$48&lt;&gt;TRUE(),"not on Staff",SUMIFS('Tally Helper'!$L$50:$GI$50,'Tally Helper'!$L$48:$GI$48,"&gt;="&amp;$BR80,'Tally Helper'!$L$48:$GI$48,"&lt;="&amp;$BS80)))</f>
        <v/>
      </c>
      <c r="AN80" s="15" t="str">
        <f aca="false">IF(OR(R$7="",$BR80=""),"",IF('Tally Helper'!$B$51&lt;&gt;TRUE(),"not on Staff",SUMIFS('Tally Helper'!$L$53:$GI$53,'Tally Helper'!$L$51:$GI$51,"&gt;="&amp;$BR80,'Tally Helper'!$L$51:$GI$51,"&lt;="&amp;$BS80)))</f>
        <v/>
      </c>
      <c r="AO80" s="15" t="str">
        <f aca="false">IF(OR(S$7="",$BR80=""),"",IF('Tally Helper'!$B$54&lt;&gt;TRUE(),"not on Staff",SUMIFS('Tally Helper'!$L$56:$GI$56,'Tally Helper'!$L$54:$GI$54,"&gt;="&amp;$BR80,'Tally Helper'!$L$54:$GI$54,"&lt;="&amp;$BS80)))</f>
        <v/>
      </c>
      <c r="AP80" s="15" t="str">
        <f aca="false">IF(OR(T$7="",$BR80=""),"",IF('Tally Helper'!$B$57&lt;&gt;TRUE(),"not on Staff",SUMIFS('Tally Helper'!$L$59:$GI$59,'Tally Helper'!$L$57:$GI$57,"&gt;="&amp;$BR80,'Tally Helper'!$L$57:$GI$57,"&lt;="&amp;$BS80)))</f>
        <v/>
      </c>
      <c r="AQ80" s="15" t="str">
        <f aca="false">IF(OR(U$7="",$BR80=""),"",IF('Tally Helper'!$B$60&lt;&gt;TRUE(),"not on Staff",SUMIFS('Tally Helper'!$L$62:$GI$62,'Tally Helper'!$L$60:$GI$60,"&gt;="&amp;$BR80,'Tally Helper'!$L$60:$GI$60,"&lt;="&amp;$BS80)))</f>
        <v/>
      </c>
      <c r="AT80" s="15" t="str">
        <f aca="false">IF(OR(X80="",NOT(ISNUMBER(X80))),"",X80-N(B80))</f>
        <v/>
      </c>
      <c r="AU80" s="15" t="str">
        <f aca="false">IF(OR(Y80="",NOT(ISNUMBER(Y80))),"",Y80-N(C80))</f>
        <v/>
      </c>
      <c r="AV80" s="15" t="str">
        <f aca="false">IF(OR(Z80="",NOT(ISNUMBER(Z80))),"",Z80-N(D80))</f>
        <v/>
      </c>
      <c r="AW80" s="15" t="str">
        <f aca="false">IF(OR(AA80="",NOT(ISNUMBER(AA80))),"",AA80-N(E80))</f>
        <v/>
      </c>
      <c r="AX80" s="15" t="str">
        <f aca="false">IF(OR(AB80="",NOT(ISNUMBER(AB80))),"",AB80-N(F80))</f>
        <v/>
      </c>
      <c r="AY80" s="15" t="str">
        <f aca="false">IF(OR(AC80="",NOT(ISNUMBER(AC80))),"",AC80-N(G80))</f>
        <v/>
      </c>
      <c r="AZ80" s="15" t="str">
        <f aca="false">IF(OR(AD80="",NOT(ISNUMBER(AD80))),"",AD80-N(H80))</f>
        <v/>
      </c>
      <c r="BA80" s="15" t="str">
        <f aca="false">IF(OR(AE80="",NOT(ISNUMBER(AE80))),"",AE80-N(I80))</f>
        <v/>
      </c>
      <c r="BB80" s="15" t="str">
        <f aca="false">IF(OR(AF80="",NOT(ISNUMBER(AF80))),"",AF80-N(J80))</f>
        <v/>
      </c>
      <c r="BC80" s="15" t="str">
        <f aca="false">IF(OR(AG80="",NOT(ISNUMBER(AG80))),"",AG80-N(K80))</f>
        <v/>
      </c>
      <c r="BD80" s="15" t="str">
        <f aca="false">IF(OR(AH80="",NOT(ISNUMBER(AH80))),"",AH80-N(L80))</f>
        <v/>
      </c>
      <c r="BE80" s="15" t="str">
        <f aca="false">IF(OR(AI80="",NOT(ISNUMBER(AI80))),"",AI80-N(M80))</f>
        <v/>
      </c>
      <c r="BF80" s="15" t="str">
        <f aca="false">IF(OR(AJ80="",NOT(ISNUMBER(AJ80))),"",AJ80-N(N80))</f>
        <v/>
      </c>
      <c r="BG80" s="15" t="str">
        <f aca="false">IF(OR(AK80="",NOT(ISNUMBER(AK80))),"",AK80-N(O80))</f>
        <v/>
      </c>
      <c r="BH80" s="15" t="str">
        <f aca="false">IF(OR(AL80="",NOT(ISNUMBER(AL80))),"",AL80-N(P80))</f>
        <v/>
      </c>
      <c r="BI80" s="15" t="str">
        <f aca="false">IF(OR(AM80="",NOT(ISNUMBER(AM80))),"",AM80-N(Q80))</f>
        <v/>
      </c>
      <c r="BJ80" s="15" t="str">
        <f aca="false">IF(OR(AN80="",NOT(ISNUMBER(AN80))),"",AN80-N(R80))</f>
        <v/>
      </c>
      <c r="BK80" s="15" t="str">
        <f aca="false">IF(OR(AO80="",NOT(ISNUMBER(AO80))),"",AO80-N(S80))</f>
        <v/>
      </c>
      <c r="BL80" s="15" t="str">
        <f aca="false">IF(OR(AP80="",NOT(ISNUMBER(AP80))),"",AP80-N(T80))</f>
        <v/>
      </c>
      <c r="BM80" s="15" t="str">
        <f aca="false">IF(OR(AQ80="",NOT(ISNUMBER(AQ80))),"",AQ80-N(U80))</f>
        <v/>
      </c>
      <c r="BR80" s="18" t="str">
        <f aca="false">IF($A80="","",IF(ISNUMBER($A80),DATE(YEAR($A80),MONTH($A80),1),IFERROR(DATE(2000+VALUE(RIGHT(TRIM($A80),2)),MATCH(UPPER(LEFT(TRIM($A80),3)),{"JAN","FEB","MAR","APR","MAY","JUN","JUL","AUG","SEP","OCT","NOV","DEC"},0),1),"")))</f>
        <v/>
      </c>
      <c r="BS80" s="18" t="str">
        <f aca="false">IF(BR80="","",EOMONTH(BR80,0))</f>
        <v/>
      </c>
    </row>
    <row r="81" customFormat="false" ht="15" hidden="false" customHeight="false" outlineLevel="0" collapsed="false">
      <c r="B81" s="19"/>
      <c r="C81" s="19"/>
      <c r="D81" s="19"/>
      <c r="E81" s="19"/>
      <c r="F81" s="19"/>
      <c r="G81" s="19"/>
      <c r="H81" s="19"/>
      <c r="I81" s="19"/>
      <c r="J81" s="19"/>
      <c r="K81" s="19"/>
      <c r="L81" s="19"/>
      <c r="M81" s="19"/>
      <c r="N81" s="19"/>
      <c r="O81" s="19"/>
      <c r="P81" s="19"/>
      <c r="Q81" s="19"/>
      <c r="R81" s="19"/>
      <c r="S81" s="19"/>
      <c r="T81" s="19"/>
      <c r="U81" s="19"/>
      <c r="X81" s="15" t="str">
        <f aca="false">IF(OR(B$7="",$BR81=""),"",IF('Tally Helper'!$B$3&lt;&gt;TRUE(),"not on Staff",SUMIFS('Tally Helper'!$L$5:$GI$5,'Tally Helper'!$L$3:$GI$3,"&gt;="&amp;$BR81,'Tally Helper'!$L$3:$GI$3,"&lt;="&amp;$BS81)))</f>
        <v/>
      </c>
      <c r="Y81" s="15" t="str">
        <f aca="false">IF(OR(C$7="",$BR81=""),"",IF('Tally Helper'!$B$6&lt;&gt;TRUE(),"not on Staff",SUMIFS('Tally Helper'!$L$8:$GI$8,'Tally Helper'!$L$6:$GI$6,"&gt;="&amp;$BR81,'Tally Helper'!$L$6:$GI$6,"&lt;="&amp;$BS81)))</f>
        <v/>
      </c>
      <c r="Z81" s="15" t="str">
        <f aca="false">IF(OR(D$7="",$BR81=""),"",IF('Tally Helper'!$B$9&lt;&gt;TRUE(),"not on Staff",SUMIFS('Tally Helper'!$L$11:$GI$11,'Tally Helper'!$L$9:$GI$9,"&gt;="&amp;$BR81,'Tally Helper'!$L$9:$GI$9,"&lt;="&amp;$BS81)))</f>
        <v/>
      </c>
      <c r="AA81" s="15" t="str">
        <f aca="false">IF(OR(E$7="",$BR81=""),"",IF('Tally Helper'!$B$12&lt;&gt;TRUE(),"not on Staff",SUMIFS('Tally Helper'!$L$14:$GI$14,'Tally Helper'!$L$12:$GI$12,"&gt;="&amp;$BR81,'Tally Helper'!$L$12:$GI$12,"&lt;="&amp;$BS81)))</f>
        <v/>
      </c>
      <c r="AB81" s="15" t="str">
        <f aca="false">IF(OR(F$7="",$BR81=""),"",IF('Tally Helper'!$B$15&lt;&gt;TRUE(),"not on Staff",SUMIFS('Tally Helper'!$L$17:$GI$17,'Tally Helper'!$L$15:$GI$15,"&gt;="&amp;$BR81,'Tally Helper'!$L$15:$GI$15,"&lt;="&amp;$BS81)))</f>
        <v/>
      </c>
      <c r="AC81" s="15" t="str">
        <f aca="false">IF(OR(G$7="",$BR81=""),"",IF('Tally Helper'!$B$18&lt;&gt;TRUE(),"not on Staff",SUMIFS('Tally Helper'!$L$20:$GI$20,'Tally Helper'!$L$18:$GI$18,"&gt;="&amp;$BR81,'Tally Helper'!$L$18:$GI$18,"&lt;="&amp;$BS81)))</f>
        <v/>
      </c>
      <c r="AD81" s="15" t="str">
        <f aca="false">IF(OR(H$7="",$BR81=""),"",IF('Tally Helper'!$B$21&lt;&gt;TRUE(),"not on Staff",SUMIFS('Tally Helper'!$L$23:$GI$23,'Tally Helper'!$L$21:$GI$21,"&gt;="&amp;$BR81,'Tally Helper'!$L$21:$GI$21,"&lt;="&amp;$BS81)))</f>
        <v/>
      </c>
      <c r="AE81" s="15" t="str">
        <f aca="false">IF(OR(I$7="",$BR81=""),"",IF('Tally Helper'!$B$24&lt;&gt;TRUE(),"not on Staff",SUMIFS('Tally Helper'!$L$26:$GI$26,'Tally Helper'!$L$24:$GI$24,"&gt;="&amp;$BR81,'Tally Helper'!$L$24:$GI$24,"&lt;="&amp;$BS81)))</f>
        <v/>
      </c>
      <c r="AF81" s="15" t="str">
        <f aca="false">IF(OR(J$7="",$BR81=""),"",IF('Tally Helper'!$B$27&lt;&gt;TRUE(),"not on Staff",SUMIFS('Tally Helper'!$L$29:$GI$29,'Tally Helper'!$L$27:$GI$27,"&gt;="&amp;$BR81,'Tally Helper'!$L$27:$GI$27,"&lt;="&amp;$BS81)))</f>
        <v/>
      </c>
      <c r="AG81" s="15" t="str">
        <f aca="false">IF(OR(K$7="",$BR81=""),"",IF('Tally Helper'!$B$30&lt;&gt;TRUE(),"not on Staff",SUMIFS('Tally Helper'!$L$32:$GI$32,'Tally Helper'!$L$30:$GI$30,"&gt;="&amp;$BR81,'Tally Helper'!$L$30:$GI$30,"&lt;="&amp;$BS81)))</f>
        <v/>
      </c>
      <c r="AH81" s="15" t="str">
        <f aca="false">IF(OR(L$7="",$BR81=""),"",IF('Tally Helper'!$B$33&lt;&gt;TRUE(),"not on Staff",SUMIFS('Tally Helper'!$L$35:$GI$35,'Tally Helper'!$L$33:$GI$33,"&gt;="&amp;$BR81,'Tally Helper'!$L$33:$GI$33,"&lt;="&amp;$BS81)))</f>
        <v/>
      </c>
      <c r="AI81" s="15" t="str">
        <f aca="false">IF(OR(M$7="",$BR81=""),"",IF('Tally Helper'!$B$36&lt;&gt;TRUE(),"not on Staff",SUMIFS('Tally Helper'!$L$38:$GI$38,'Tally Helper'!$L$36:$GI$36,"&gt;="&amp;$BR81,'Tally Helper'!$L$36:$GI$36,"&lt;="&amp;$BS81)))</f>
        <v/>
      </c>
      <c r="AJ81" s="15" t="str">
        <f aca="false">IF(OR(N$7="",$BR81=""),"",IF('Tally Helper'!$B$39&lt;&gt;TRUE(),"not on Staff",SUMIFS('Tally Helper'!$L$41:$GI$41,'Tally Helper'!$L$39:$GI$39,"&gt;="&amp;$BR81,'Tally Helper'!$L$39:$GI$39,"&lt;="&amp;$BS81)))</f>
        <v/>
      </c>
      <c r="AK81" s="15" t="str">
        <f aca="false">IF(OR(O$7="",$BR81=""),"",IF('Tally Helper'!$B$42&lt;&gt;TRUE(),"not on Staff",SUMIFS('Tally Helper'!$L$44:$GI$44,'Tally Helper'!$L$42:$GI$42,"&gt;="&amp;$BR81,'Tally Helper'!$L$42:$GI$42,"&lt;="&amp;$BS81)))</f>
        <v/>
      </c>
      <c r="AL81" s="15" t="str">
        <f aca="false">IF(OR(P$7="",$BR81=""),"",IF('Tally Helper'!$B$45&lt;&gt;TRUE(),"not on Staff",SUMIFS('Tally Helper'!$L$47:$GI$47,'Tally Helper'!$L$45:$GI$45,"&gt;="&amp;$BR81,'Tally Helper'!$L$45:$GI$45,"&lt;="&amp;$BS81)))</f>
        <v/>
      </c>
      <c r="AM81" s="15" t="str">
        <f aca="false">IF(OR(Q$7="",$BR81=""),"",IF('Tally Helper'!$B$48&lt;&gt;TRUE(),"not on Staff",SUMIFS('Tally Helper'!$L$50:$GI$50,'Tally Helper'!$L$48:$GI$48,"&gt;="&amp;$BR81,'Tally Helper'!$L$48:$GI$48,"&lt;="&amp;$BS81)))</f>
        <v/>
      </c>
      <c r="AN81" s="15" t="str">
        <f aca="false">IF(OR(R$7="",$BR81=""),"",IF('Tally Helper'!$B$51&lt;&gt;TRUE(),"not on Staff",SUMIFS('Tally Helper'!$L$53:$GI$53,'Tally Helper'!$L$51:$GI$51,"&gt;="&amp;$BR81,'Tally Helper'!$L$51:$GI$51,"&lt;="&amp;$BS81)))</f>
        <v/>
      </c>
      <c r="AO81" s="15" t="str">
        <f aca="false">IF(OR(S$7="",$BR81=""),"",IF('Tally Helper'!$B$54&lt;&gt;TRUE(),"not on Staff",SUMIFS('Tally Helper'!$L$56:$GI$56,'Tally Helper'!$L$54:$GI$54,"&gt;="&amp;$BR81,'Tally Helper'!$L$54:$GI$54,"&lt;="&amp;$BS81)))</f>
        <v/>
      </c>
      <c r="AP81" s="15" t="str">
        <f aca="false">IF(OR(T$7="",$BR81=""),"",IF('Tally Helper'!$B$57&lt;&gt;TRUE(),"not on Staff",SUMIFS('Tally Helper'!$L$59:$GI$59,'Tally Helper'!$L$57:$GI$57,"&gt;="&amp;$BR81,'Tally Helper'!$L$57:$GI$57,"&lt;="&amp;$BS81)))</f>
        <v/>
      </c>
      <c r="AQ81" s="15" t="str">
        <f aca="false">IF(OR(U$7="",$BR81=""),"",IF('Tally Helper'!$B$60&lt;&gt;TRUE(),"not on Staff",SUMIFS('Tally Helper'!$L$62:$GI$62,'Tally Helper'!$L$60:$GI$60,"&gt;="&amp;$BR81,'Tally Helper'!$L$60:$GI$60,"&lt;="&amp;$BS81)))</f>
        <v/>
      </c>
      <c r="AT81" s="15" t="str">
        <f aca="false">IF(OR(X81="",NOT(ISNUMBER(X81))),"",X81-N(B81))</f>
        <v/>
      </c>
      <c r="AU81" s="15" t="str">
        <f aca="false">IF(OR(Y81="",NOT(ISNUMBER(Y81))),"",Y81-N(C81))</f>
        <v/>
      </c>
      <c r="AV81" s="15" t="str">
        <f aca="false">IF(OR(Z81="",NOT(ISNUMBER(Z81))),"",Z81-N(D81))</f>
        <v/>
      </c>
      <c r="AW81" s="15" t="str">
        <f aca="false">IF(OR(AA81="",NOT(ISNUMBER(AA81))),"",AA81-N(E81))</f>
        <v/>
      </c>
      <c r="AX81" s="15" t="str">
        <f aca="false">IF(OR(AB81="",NOT(ISNUMBER(AB81))),"",AB81-N(F81))</f>
        <v/>
      </c>
      <c r="AY81" s="15" t="str">
        <f aca="false">IF(OR(AC81="",NOT(ISNUMBER(AC81))),"",AC81-N(G81))</f>
        <v/>
      </c>
      <c r="AZ81" s="15" t="str">
        <f aca="false">IF(OR(AD81="",NOT(ISNUMBER(AD81))),"",AD81-N(H81))</f>
        <v/>
      </c>
      <c r="BA81" s="15" t="str">
        <f aca="false">IF(OR(AE81="",NOT(ISNUMBER(AE81))),"",AE81-N(I81))</f>
        <v/>
      </c>
      <c r="BB81" s="15" t="str">
        <f aca="false">IF(OR(AF81="",NOT(ISNUMBER(AF81))),"",AF81-N(J81))</f>
        <v/>
      </c>
      <c r="BC81" s="15" t="str">
        <f aca="false">IF(OR(AG81="",NOT(ISNUMBER(AG81))),"",AG81-N(K81))</f>
        <v/>
      </c>
      <c r="BD81" s="15" t="str">
        <f aca="false">IF(OR(AH81="",NOT(ISNUMBER(AH81))),"",AH81-N(L81))</f>
        <v/>
      </c>
      <c r="BE81" s="15" t="str">
        <f aca="false">IF(OR(AI81="",NOT(ISNUMBER(AI81))),"",AI81-N(M81))</f>
        <v/>
      </c>
      <c r="BF81" s="15" t="str">
        <f aca="false">IF(OR(AJ81="",NOT(ISNUMBER(AJ81))),"",AJ81-N(N81))</f>
        <v/>
      </c>
      <c r="BG81" s="15" t="str">
        <f aca="false">IF(OR(AK81="",NOT(ISNUMBER(AK81))),"",AK81-N(O81))</f>
        <v/>
      </c>
      <c r="BH81" s="15" t="str">
        <f aca="false">IF(OR(AL81="",NOT(ISNUMBER(AL81))),"",AL81-N(P81))</f>
        <v/>
      </c>
      <c r="BI81" s="15" t="str">
        <f aca="false">IF(OR(AM81="",NOT(ISNUMBER(AM81))),"",AM81-N(Q81))</f>
        <v/>
      </c>
      <c r="BJ81" s="15" t="str">
        <f aca="false">IF(OR(AN81="",NOT(ISNUMBER(AN81))),"",AN81-N(R81))</f>
        <v/>
      </c>
      <c r="BK81" s="15" t="str">
        <f aca="false">IF(OR(AO81="",NOT(ISNUMBER(AO81))),"",AO81-N(S81))</f>
        <v/>
      </c>
      <c r="BL81" s="15" t="str">
        <f aca="false">IF(OR(AP81="",NOT(ISNUMBER(AP81))),"",AP81-N(T81))</f>
        <v/>
      </c>
      <c r="BM81" s="15" t="str">
        <f aca="false">IF(OR(AQ81="",NOT(ISNUMBER(AQ81))),"",AQ81-N(U81))</f>
        <v/>
      </c>
      <c r="BR81" s="18" t="str">
        <f aca="false">IF($A81="","",IF(ISNUMBER($A81),DATE(YEAR($A81),MONTH($A81),1),IFERROR(DATE(2000+VALUE(RIGHT(TRIM($A81),2)),MATCH(UPPER(LEFT(TRIM($A81),3)),{"JAN","FEB","MAR","APR","MAY","JUN","JUL","AUG","SEP","OCT","NOV","DEC"},0),1),"")))</f>
        <v/>
      </c>
      <c r="BS81" s="18" t="str">
        <f aca="false">IF(BR81="","",EOMONTH(BR81,0))</f>
        <v/>
      </c>
    </row>
    <row r="82" customFormat="false" ht="15" hidden="false" customHeight="false" outlineLevel="0" collapsed="false">
      <c r="B82" s="19"/>
      <c r="C82" s="19"/>
      <c r="D82" s="19"/>
      <c r="E82" s="19"/>
      <c r="F82" s="19"/>
      <c r="G82" s="19"/>
      <c r="H82" s="19"/>
      <c r="I82" s="19"/>
      <c r="J82" s="19"/>
      <c r="K82" s="19"/>
      <c r="L82" s="19"/>
      <c r="M82" s="19"/>
      <c r="N82" s="19"/>
      <c r="O82" s="19"/>
      <c r="P82" s="19"/>
      <c r="Q82" s="19"/>
      <c r="R82" s="19"/>
      <c r="S82" s="19"/>
      <c r="T82" s="19"/>
      <c r="U82" s="19"/>
      <c r="X82" s="15" t="str">
        <f aca="false">IF(OR(B$7="",$BR82=""),"",IF('Tally Helper'!$B$3&lt;&gt;TRUE(),"not on Staff",SUMIFS('Tally Helper'!$L$5:$GI$5,'Tally Helper'!$L$3:$GI$3,"&gt;="&amp;$BR82,'Tally Helper'!$L$3:$GI$3,"&lt;="&amp;$BS82)))</f>
        <v/>
      </c>
      <c r="Y82" s="15" t="str">
        <f aca="false">IF(OR(C$7="",$BR82=""),"",IF('Tally Helper'!$B$6&lt;&gt;TRUE(),"not on Staff",SUMIFS('Tally Helper'!$L$8:$GI$8,'Tally Helper'!$L$6:$GI$6,"&gt;="&amp;$BR82,'Tally Helper'!$L$6:$GI$6,"&lt;="&amp;$BS82)))</f>
        <v/>
      </c>
      <c r="Z82" s="15" t="str">
        <f aca="false">IF(OR(D$7="",$BR82=""),"",IF('Tally Helper'!$B$9&lt;&gt;TRUE(),"not on Staff",SUMIFS('Tally Helper'!$L$11:$GI$11,'Tally Helper'!$L$9:$GI$9,"&gt;="&amp;$BR82,'Tally Helper'!$L$9:$GI$9,"&lt;="&amp;$BS82)))</f>
        <v/>
      </c>
      <c r="AA82" s="15" t="str">
        <f aca="false">IF(OR(E$7="",$BR82=""),"",IF('Tally Helper'!$B$12&lt;&gt;TRUE(),"not on Staff",SUMIFS('Tally Helper'!$L$14:$GI$14,'Tally Helper'!$L$12:$GI$12,"&gt;="&amp;$BR82,'Tally Helper'!$L$12:$GI$12,"&lt;="&amp;$BS82)))</f>
        <v/>
      </c>
      <c r="AB82" s="15" t="str">
        <f aca="false">IF(OR(F$7="",$BR82=""),"",IF('Tally Helper'!$B$15&lt;&gt;TRUE(),"not on Staff",SUMIFS('Tally Helper'!$L$17:$GI$17,'Tally Helper'!$L$15:$GI$15,"&gt;="&amp;$BR82,'Tally Helper'!$L$15:$GI$15,"&lt;="&amp;$BS82)))</f>
        <v/>
      </c>
      <c r="AC82" s="15" t="str">
        <f aca="false">IF(OR(G$7="",$BR82=""),"",IF('Tally Helper'!$B$18&lt;&gt;TRUE(),"not on Staff",SUMIFS('Tally Helper'!$L$20:$GI$20,'Tally Helper'!$L$18:$GI$18,"&gt;="&amp;$BR82,'Tally Helper'!$L$18:$GI$18,"&lt;="&amp;$BS82)))</f>
        <v/>
      </c>
      <c r="AD82" s="15" t="str">
        <f aca="false">IF(OR(H$7="",$BR82=""),"",IF('Tally Helper'!$B$21&lt;&gt;TRUE(),"not on Staff",SUMIFS('Tally Helper'!$L$23:$GI$23,'Tally Helper'!$L$21:$GI$21,"&gt;="&amp;$BR82,'Tally Helper'!$L$21:$GI$21,"&lt;="&amp;$BS82)))</f>
        <v/>
      </c>
      <c r="AE82" s="15" t="str">
        <f aca="false">IF(OR(I$7="",$BR82=""),"",IF('Tally Helper'!$B$24&lt;&gt;TRUE(),"not on Staff",SUMIFS('Tally Helper'!$L$26:$GI$26,'Tally Helper'!$L$24:$GI$24,"&gt;="&amp;$BR82,'Tally Helper'!$L$24:$GI$24,"&lt;="&amp;$BS82)))</f>
        <v/>
      </c>
      <c r="AF82" s="15" t="str">
        <f aca="false">IF(OR(J$7="",$BR82=""),"",IF('Tally Helper'!$B$27&lt;&gt;TRUE(),"not on Staff",SUMIFS('Tally Helper'!$L$29:$GI$29,'Tally Helper'!$L$27:$GI$27,"&gt;="&amp;$BR82,'Tally Helper'!$L$27:$GI$27,"&lt;="&amp;$BS82)))</f>
        <v/>
      </c>
      <c r="AG82" s="15" t="str">
        <f aca="false">IF(OR(K$7="",$BR82=""),"",IF('Tally Helper'!$B$30&lt;&gt;TRUE(),"not on Staff",SUMIFS('Tally Helper'!$L$32:$GI$32,'Tally Helper'!$L$30:$GI$30,"&gt;="&amp;$BR82,'Tally Helper'!$L$30:$GI$30,"&lt;="&amp;$BS82)))</f>
        <v/>
      </c>
      <c r="AH82" s="15" t="str">
        <f aca="false">IF(OR(L$7="",$BR82=""),"",IF('Tally Helper'!$B$33&lt;&gt;TRUE(),"not on Staff",SUMIFS('Tally Helper'!$L$35:$GI$35,'Tally Helper'!$L$33:$GI$33,"&gt;="&amp;$BR82,'Tally Helper'!$L$33:$GI$33,"&lt;="&amp;$BS82)))</f>
        <v/>
      </c>
      <c r="AI82" s="15" t="str">
        <f aca="false">IF(OR(M$7="",$BR82=""),"",IF('Tally Helper'!$B$36&lt;&gt;TRUE(),"not on Staff",SUMIFS('Tally Helper'!$L$38:$GI$38,'Tally Helper'!$L$36:$GI$36,"&gt;="&amp;$BR82,'Tally Helper'!$L$36:$GI$36,"&lt;="&amp;$BS82)))</f>
        <v/>
      </c>
      <c r="AJ82" s="15" t="str">
        <f aca="false">IF(OR(N$7="",$BR82=""),"",IF('Tally Helper'!$B$39&lt;&gt;TRUE(),"not on Staff",SUMIFS('Tally Helper'!$L$41:$GI$41,'Tally Helper'!$L$39:$GI$39,"&gt;="&amp;$BR82,'Tally Helper'!$L$39:$GI$39,"&lt;="&amp;$BS82)))</f>
        <v/>
      </c>
      <c r="AK82" s="15" t="str">
        <f aca="false">IF(OR(O$7="",$BR82=""),"",IF('Tally Helper'!$B$42&lt;&gt;TRUE(),"not on Staff",SUMIFS('Tally Helper'!$L$44:$GI$44,'Tally Helper'!$L$42:$GI$42,"&gt;="&amp;$BR82,'Tally Helper'!$L$42:$GI$42,"&lt;="&amp;$BS82)))</f>
        <v/>
      </c>
      <c r="AL82" s="15" t="str">
        <f aca="false">IF(OR(P$7="",$BR82=""),"",IF('Tally Helper'!$B$45&lt;&gt;TRUE(),"not on Staff",SUMIFS('Tally Helper'!$L$47:$GI$47,'Tally Helper'!$L$45:$GI$45,"&gt;="&amp;$BR82,'Tally Helper'!$L$45:$GI$45,"&lt;="&amp;$BS82)))</f>
        <v/>
      </c>
      <c r="AM82" s="15" t="str">
        <f aca="false">IF(OR(Q$7="",$BR82=""),"",IF('Tally Helper'!$B$48&lt;&gt;TRUE(),"not on Staff",SUMIFS('Tally Helper'!$L$50:$GI$50,'Tally Helper'!$L$48:$GI$48,"&gt;="&amp;$BR82,'Tally Helper'!$L$48:$GI$48,"&lt;="&amp;$BS82)))</f>
        <v/>
      </c>
      <c r="AN82" s="15" t="str">
        <f aca="false">IF(OR(R$7="",$BR82=""),"",IF('Tally Helper'!$B$51&lt;&gt;TRUE(),"not on Staff",SUMIFS('Tally Helper'!$L$53:$GI$53,'Tally Helper'!$L$51:$GI$51,"&gt;="&amp;$BR82,'Tally Helper'!$L$51:$GI$51,"&lt;="&amp;$BS82)))</f>
        <v/>
      </c>
      <c r="AO82" s="15" t="str">
        <f aca="false">IF(OR(S$7="",$BR82=""),"",IF('Tally Helper'!$B$54&lt;&gt;TRUE(),"not on Staff",SUMIFS('Tally Helper'!$L$56:$GI$56,'Tally Helper'!$L$54:$GI$54,"&gt;="&amp;$BR82,'Tally Helper'!$L$54:$GI$54,"&lt;="&amp;$BS82)))</f>
        <v/>
      </c>
      <c r="AP82" s="15" t="str">
        <f aca="false">IF(OR(T$7="",$BR82=""),"",IF('Tally Helper'!$B$57&lt;&gt;TRUE(),"not on Staff",SUMIFS('Tally Helper'!$L$59:$GI$59,'Tally Helper'!$L$57:$GI$57,"&gt;="&amp;$BR82,'Tally Helper'!$L$57:$GI$57,"&lt;="&amp;$BS82)))</f>
        <v/>
      </c>
      <c r="AQ82" s="15" t="str">
        <f aca="false">IF(OR(U$7="",$BR82=""),"",IF('Tally Helper'!$B$60&lt;&gt;TRUE(),"not on Staff",SUMIFS('Tally Helper'!$L$62:$GI$62,'Tally Helper'!$L$60:$GI$60,"&gt;="&amp;$BR82,'Tally Helper'!$L$60:$GI$60,"&lt;="&amp;$BS82)))</f>
        <v/>
      </c>
      <c r="AT82" s="15" t="str">
        <f aca="false">IF(OR(X82="",NOT(ISNUMBER(X82))),"",X82-N(B82))</f>
        <v/>
      </c>
      <c r="AU82" s="15" t="str">
        <f aca="false">IF(OR(Y82="",NOT(ISNUMBER(Y82))),"",Y82-N(C82))</f>
        <v/>
      </c>
      <c r="AV82" s="15" t="str">
        <f aca="false">IF(OR(Z82="",NOT(ISNUMBER(Z82))),"",Z82-N(D82))</f>
        <v/>
      </c>
      <c r="AW82" s="15" t="str">
        <f aca="false">IF(OR(AA82="",NOT(ISNUMBER(AA82))),"",AA82-N(E82))</f>
        <v/>
      </c>
      <c r="AX82" s="15" t="str">
        <f aca="false">IF(OR(AB82="",NOT(ISNUMBER(AB82))),"",AB82-N(F82))</f>
        <v/>
      </c>
      <c r="AY82" s="15" t="str">
        <f aca="false">IF(OR(AC82="",NOT(ISNUMBER(AC82))),"",AC82-N(G82))</f>
        <v/>
      </c>
      <c r="AZ82" s="15" t="str">
        <f aca="false">IF(OR(AD82="",NOT(ISNUMBER(AD82))),"",AD82-N(H82))</f>
        <v/>
      </c>
      <c r="BA82" s="15" t="str">
        <f aca="false">IF(OR(AE82="",NOT(ISNUMBER(AE82))),"",AE82-N(I82))</f>
        <v/>
      </c>
      <c r="BB82" s="15" t="str">
        <f aca="false">IF(OR(AF82="",NOT(ISNUMBER(AF82))),"",AF82-N(J82))</f>
        <v/>
      </c>
      <c r="BC82" s="15" t="str">
        <f aca="false">IF(OR(AG82="",NOT(ISNUMBER(AG82))),"",AG82-N(K82))</f>
        <v/>
      </c>
      <c r="BD82" s="15" t="str">
        <f aca="false">IF(OR(AH82="",NOT(ISNUMBER(AH82))),"",AH82-N(L82))</f>
        <v/>
      </c>
      <c r="BE82" s="15" t="str">
        <f aca="false">IF(OR(AI82="",NOT(ISNUMBER(AI82))),"",AI82-N(M82))</f>
        <v/>
      </c>
      <c r="BF82" s="15" t="str">
        <f aca="false">IF(OR(AJ82="",NOT(ISNUMBER(AJ82))),"",AJ82-N(N82))</f>
        <v/>
      </c>
      <c r="BG82" s="15" t="str">
        <f aca="false">IF(OR(AK82="",NOT(ISNUMBER(AK82))),"",AK82-N(O82))</f>
        <v/>
      </c>
      <c r="BH82" s="15" t="str">
        <f aca="false">IF(OR(AL82="",NOT(ISNUMBER(AL82))),"",AL82-N(P82))</f>
        <v/>
      </c>
      <c r="BI82" s="15" t="str">
        <f aca="false">IF(OR(AM82="",NOT(ISNUMBER(AM82))),"",AM82-N(Q82))</f>
        <v/>
      </c>
      <c r="BJ82" s="15" t="str">
        <f aca="false">IF(OR(AN82="",NOT(ISNUMBER(AN82))),"",AN82-N(R82))</f>
        <v/>
      </c>
      <c r="BK82" s="15" t="str">
        <f aca="false">IF(OR(AO82="",NOT(ISNUMBER(AO82))),"",AO82-N(S82))</f>
        <v/>
      </c>
      <c r="BL82" s="15" t="str">
        <f aca="false">IF(OR(AP82="",NOT(ISNUMBER(AP82))),"",AP82-N(T82))</f>
        <v/>
      </c>
      <c r="BM82" s="15" t="str">
        <f aca="false">IF(OR(AQ82="",NOT(ISNUMBER(AQ82))),"",AQ82-N(U82))</f>
        <v/>
      </c>
      <c r="BR82" s="18" t="str">
        <f aca="false">IF($A82="","",IF(ISNUMBER($A82),DATE(YEAR($A82),MONTH($A82),1),IFERROR(DATE(2000+VALUE(RIGHT(TRIM($A82),2)),MATCH(UPPER(LEFT(TRIM($A82),3)),{"JAN","FEB","MAR","APR","MAY","JUN","JUL","AUG","SEP","OCT","NOV","DEC"},0),1),"")))</f>
        <v/>
      </c>
      <c r="BS82" s="18" t="str">
        <f aca="false">IF(BR82="","",EOMONTH(BR82,0))</f>
        <v/>
      </c>
    </row>
    <row r="83" customFormat="false" ht="15" hidden="false" customHeight="false" outlineLevel="0" collapsed="false">
      <c r="B83" s="19"/>
      <c r="C83" s="19"/>
      <c r="D83" s="19"/>
      <c r="E83" s="19"/>
      <c r="F83" s="19"/>
      <c r="G83" s="19"/>
      <c r="H83" s="19"/>
      <c r="I83" s="19"/>
      <c r="J83" s="19"/>
      <c r="K83" s="19"/>
      <c r="L83" s="19"/>
      <c r="M83" s="19"/>
      <c r="N83" s="19"/>
      <c r="O83" s="19"/>
      <c r="P83" s="19"/>
      <c r="Q83" s="19"/>
      <c r="R83" s="19"/>
      <c r="S83" s="19"/>
      <c r="T83" s="19"/>
      <c r="U83" s="19"/>
      <c r="X83" s="15" t="str">
        <f aca="false">IF(OR(B$7="",$BR83=""),"",IF('Tally Helper'!$B$3&lt;&gt;TRUE(),"not on Staff",SUMIFS('Tally Helper'!$L$5:$GI$5,'Tally Helper'!$L$3:$GI$3,"&gt;="&amp;$BR83,'Tally Helper'!$L$3:$GI$3,"&lt;="&amp;$BS83)))</f>
        <v/>
      </c>
      <c r="Y83" s="15" t="str">
        <f aca="false">IF(OR(C$7="",$BR83=""),"",IF('Tally Helper'!$B$6&lt;&gt;TRUE(),"not on Staff",SUMIFS('Tally Helper'!$L$8:$GI$8,'Tally Helper'!$L$6:$GI$6,"&gt;="&amp;$BR83,'Tally Helper'!$L$6:$GI$6,"&lt;="&amp;$BS83)))</f>
        <v/>
      </c>
      <c r="Z83" s="15" t="str">
        <f aca="false">IF(OR(D$7="",$BR83=""),"",IF('Tally Helper'!$B$9&lt;&gt;TRUE(),"not on Staff",SUMIFS('Tally Helper'!$L$11:$GI$11,'Tally Helper'!$L$9:$GI$9,"&gt;="&amp;$BR83,'Tally Helper'!$L$9:$GI$9,"&lt;="&amp;$BS83)))</f>
        <v/>
      </c>
      <c r="AA83" s="15" t="str">
        <f aca="false">IF(OR(E$7="",$BR83=""),"",IF('Tally Helper'!$B$12&lt;&gt;TRUE(),"not on Staff",SUMIFS('Tally Helper'!$L$14:$GI$14,'Tally Helper'!$L$12:$GI$12,"&gt;="&amp;$BR83,'Tally Helper'!$L$12:$GI$12,"&lt;="&amp;$BS83)))</f>
        <v/>
      </c>
      <c r="AB83" s="15" t="str">
        <f aca="false">IF(OR(F$7="",$BR83=""),"",IF('Tally Helper'!$B$15&lt;&gt;TRUE(),"not on Staff",SUMIFS('Tally Helper'!$L$17:$GI$17,'Tally Helper'!$L$15:$GI$15,"&gt;="&amp;$BR83,'Tally Helper'!$L$15:$GI$15,"&lt;="&amp;$BS83)))</f>
        <v/>
      </c>
      <c r="AC83" s="15" t="str">
        <f aca="false">IF(OR(G$7="",$BR83=""),"",IF('Tally Helper'!$B$18&lt;&gt;TRUE(),"not on Staff",SUMIFS('Tally Helper'!$L$20:$GI$20,'Tally Helper'!$L$18:$GI$18,"&gt;="&amp;$BR83,'Tally Helper'!$L$18:$GI$18,"&lt;="&amp;$BS83)))</f>
        <v/>
      </c>
      <c r="AD83" s="15" t="str">
        <f aca="false">IF(OR(H$7="",$BR83=""),"",IF('Tally Helper'!$B$21&lt;&gt;TRUE(),"not on Staff",SUMIFS('Tally Helper'!$L$23:$GI$23,'Tally Helper'!$L$21:$GI$21,"&gt;="&amp;$BR83,'Tally Helper'!$L$21:$GI$21,"&lt;="&amp;$BS83)))</f>
        <v/>
      </c>
      <c r="AE83" s="15" t="str">
        <f aca="false">IF(OR(I$7="",$BR83=""),"",IF('Tally Helper'!$B$24&lt;&gt;TRUE(),"not on Staff",SUMIFS('Tally Helper'!$L$26:$GI$26,'Tally Helper'!$L$24:$GI$24,"&gt;="&amp;$BR83,'Tally Helper'!$L$24:$GI$24,"&lt;="&amp;$BS83)))</f>
        <v/>
      </c>
      <c r="AF83" s="15" t="str">
        <f aca="false">IF(OR(J$7="",$BR83=""),"",IF('Tally Helper'!$B$27&lt;&gt;TRUE(),"not on Staff",SUMIFS('Tally Helper'!$L$29:$GI$29,'Tally Helper'!$L$27:$GI$27,"&gt;="&amp;$BR83,'Tally Helper'!$L$27:$GI$27,"&lt;="&amp;$BS83)))</f>
        <v/>
      </c>
      <c r="AG83" s="15" t="str">
        <f aca="false">IF(OR(K$7="",$BR83=""),"",IF('Tally Helper'!$B$30&lt;&gt;TRUE(),"not on Staff",SUMIFS('Tally Helper'!$L$32:$GI$32,'Tally Helper'!$L$30:$GI$30,"&gt;="&amp;$BR83,'Tally Helper'!$L$30:$GI$30,"&lt;="&amp;$BS83)))</f>
        <v/>
      </c>
      <c r="AH83" s="15" t="str">
        <f aca="false">IF(OR(L$7="",$BR83=""),"",IF('Tally Helper'!$B$33&lt;&gt;TRUE(),"not on Staff",SUMIFS('Tally Helper'!$L$35:$GI$35,'Tally Helper'!$L$33:$GI$33,"&gt;="&amp;$BR83,'Tally Helper'!$L$33:$GI$33,"&lt;="&amp;$BS83)))</f>
        <v/>
      </c>
      <c r="AI83" s="15" t="str">
        <f aca="false">IF(OR(M$7="",$BR83=""),"",IF('Tally Helper'!$B$36&lt;&gt;TRUE(),"not on Staff",SUMIFS('Tally Helper'!$L$38:$GI$38,'Tally Helper'!$L$36:$GI$36,"&gt;="&amp;$BR83,'Tally Helper'!$L$36:$GI$36,"&lt;="&amp;$BS83)))</f>
        <v/>
      </c>
      <c r="AJ83" s="15" t="str">
        <f aca="false">IF(OR(N$7="",$BR83=""),"",IF('Tally Helper'!$B$39&lt;&gt;TRUE(),"not on Staff",SUMIFS('Tally Helper'!$L$41:$GI$41,'Tally Helper'!$L$39:$GI$39,"&gt;="&amp;$BR83,'Tally Helper'!$L$39:$GI$39,"&lt;="&amp;$BS83)))</f>
        <v/>
      </c>
      <c r="AK83" s="15" t="str">
        <f aca="false">IF(OR(O$7="",$BR83=""),"",IF('Tally Helper'!$B$42&lt;&gt;TRUE(),"not on Staff",SUMIFS('Tally Helper'!$L$44:$GI$44,'Tally Helper'!$L$42:$GI$42,"&gt;="&amp;$BR83,'Tally Helper'!$L$42:$GI$42,"&lt;="&amp;$BS83)))</f>
        <v/>
      </c>
      <c r="AL83" s="15" t="str">
        <f aca="false">IF(OR(P$7="",$BR83=""),"",IF('Tally Helper'!$B$45&lt;&gt;TRUE(),"not on Staff",SUMIFS('Tally Helper'!$L$47:$GI$47,'Tally Helper'!$L$45:$GI$45,"&gt;="&amp;$BR83,'Tally Helper'!$L$45:$GI$45,"&lt;="&amp;$BS83)))</f>
        <v/>
      </c>
      <c r="AM83" s="15" t="str">
        <f aca="false">IF(OR(Q$7="",$BR83=""),"",IF('Tally Helper'!$B$48&lt;&gt;TRUE(),"not on Staff",SUMIFS('Tally Helper'!$L$50:$GI$50,'Tally Helper'!$L$48:$GI$48,"&gt;="&amp;$BR83,'Tally Helper'!$L$48:$GI$48,"&lt;="&amp;$BS83)))</f>
        <v/>
      </c>
      <c r="AN83" s="15" t="str">
        <f aca="false">IF(OR(R$7="",$BR83=""),"",IF('Tally Helper'!$B$51&lt;&gt;TRUE(),"not on Staff",SUMIFS('Tally Helper'!$L$53:$GI$53,'Tally Helper'!$L$51:$GI$51,"&gt;="&amp;$BR83,'Tally Helper'!$L$51:$GI$51,"&lt;="&amp;$BS83)))</f>
        <v/>
      </c>
      <c r="AO83" s="15" t="str">
        <f aca="false">IF(OR(S$7="",$BR83=""),"",IF('Tally Helper'!$B$54&lt;&gt;TRUE(),"not on Staff",SUMIFS('Tally Helper'!$L$56:$GI$56,'Tally Helper'!$L$54:$GI$54,"&gt;="&amp;$BR83,'Tally Helper'!$L$54:$GI$54,"&lt;="&amp;$BS83)))</f>
        <v/>
      </c>
      <c r="AP83" s="15" t="str">
        <f aca="false">IF(OR(T$7="",$BR83=""),"",IF('Tally Helper'!$B$57&lt;&gt;TRUE(),"not on Staff",SUMIFS('Tally Helper'!$L$59:$GI$59,'Tally Helper'!$L$57:$GI$57,"&gt;="&amp;$BR83,'Tally Helper'!$L$57:$GI$57,"&lt;="&amp;$BS83)))</f>
        <v/>
      </c>
      <c r="AQ83" s="15" t="str">
        <f aca="false">IF(OR(U$7="",$BR83=""),"",IF('Tally Helper'!$B$60&lt;&gt;TRUE(),"not on Staff",SUMIFS('Tally Helper'!$L$62:$GI$62,'Tally Helper'!$L$60:$GI$60,"&gt;="&amp;$BR83,'Tally Helper'!$L$60:$GI$60,"&lt;="&amp;$BS83)))</f>
        <v/>
      </c>
      <c r="AT83" s="15" t="str">
        <f aca="false">IF(OR(X83="",NOT(ISNUMBER(X83))),"",X83-N(B83))</f>
        <v/>
      </c>
      <c r="AU83" s="15" t="str">
        <f aca="false">IF(OR(Y83="",NOT(ISNUMBER(Y83))),"",Y83-N(C83))</f>
        <v/>
      </c>
      <c r="AV83" s="15" t="str">
        <f aca="false">IF(OR(Z83="",NOT(ISNUMBER(Z83))),"",Z83-N(D83))</f>
        <v/>
      </c>
      <c r="AW83" s="15" t="str">
        <f aca="false">IF(OR(AA83="",NOT(ISNUMBER(AA83))),"",AA83-N(E83))</f>
        <v/>
      </c>
      <c r="AX83" s="15" t="str">
        <f aca="false">IF(OR(AB83="",NOT(ISNUMBER(AB83))),"",AB83-N(F83))</f>
        <v/>
      </c>
      <c r="AY83" s="15" t="str">
        <f aca="false">IF(OR(AC83="",NOT(ISNUMBER(AC83))),"",AC83-N(G83))</f>
        <v/>
      </c>
      <c r="AZ83" s="15" t="str">
        <f aca="false">IF(OR(AD83="",NOT(ISNUMBER(AD83))),"",AD83-N(H83))</f>
        <v/>
      </c>
      <c r="BA83" s="15" t="str">
        <f aca="false">IF(OR(AE83="",NOT(ISNUMBER(AE83))),"",AE83-N(I83))</f>
        <v/>
      </c>
      <c r="BB83" s="15" t="str">
        <f aca="false">IF(OR(AF83="",NOT(ISNUMBER(AF83))),"",AF83-N(J83))</f>
        <v/>
      </c>
      <c r="BC83" s="15" t="str">
        <f aca="false">IF(OR(AG83="",NOT(ISNUMBER(AG83))),"",AG83-N(K83))</f>
        <v/>
      </c>
      <c r="BD83" s="15" t="str">
        <f aca="false">IF(OR(AH83="",NOT(ISNUMBER(AH83))),"",AH83-N(L83))</f>
        <v/>
      </c>
      <c r="BE83" s="15" t="str">
        <f aca="false">IF(OR(AI83="",NOT(ISNUMBER(AI83))),"",AI83-N(M83))</f>
        <v/>
      </c>
      <c r="BF83" s="15" t="str">
        <f aca="false">IF(OR(AJ83="",NOT(ISNUMBER(AJ83))),"",AJ83-N(N83))</f>
        <v/>
      </c>
      <c r="BG83" s="15" t="str">
        <f aca="false">IF(OR(AK83="",NOT(ISNUMBER(AK83))),"",AK83-N(O83))</f>
        <v/>
      </c>
      <c r="BH83" s="15" t="str">
        <f aca="false">IF(OR(AL83="",NOT(ISNUMBER(AL83))),"",AL83-N(P83))</f>
        <v/>
      </c>
      <c r="BI83" s="15" t="str">
        <f aca="false">IF(OR(AM83="",NOT(ISNUMBER(AM83))),"",AM83-N(Q83))</f>
        <v/>
      </c>
      <c r="BJ83" s="15" t="str">
        <f aca="false">IF(OR(AN83="",NOT(ISNUMBER(AN83))),"",AN83-N(R83))</f>
        <v/>
      </c>
      <c r="BK83" s="15" t="str">
        <f aca="false">IF(OR(AO83="",NOT(ISNUMBER(AO83))),"",AO83-N(S83))</f>
        <v/>
      </c>
      <c r="BL83" s="15" t="str">
        <f aca="false">IF(OR(AP83="",NOT(ISNUMBER(AP83))),"",AP83-N(T83))</f>
        <v/>
      </c>
      <c r="BM83" s="15" t="str">
        <f aca="false">IF(OR(AQ83="",NOT(ISNUMBER(AQ83))),"",AQ83-N(U83))</f>
        <v/>
      </c>
      <c r="BR83" s="18" t="str">
        <f aca="false">IF($A83="","",IF(ISNUMBER($A83),DATE(YEAR($A83),MONTH($A83),1),IFERROR(DATE(2000+VALUE(RIGHT(TRIM($A83),2)),MATCH(UPPER(LEFT(TRIM($A83),3)),{"JAN","FEB","MAR","APR","MAY","JUN","JUL","AUG","SEP","OCT","NOV","DEC"},0),1),"")))</f>
        <v/>
      </c>
      <c r="BS83" s="18" t="str">
        <f aca="false">IF(BR83="","",EOMONTH(BR83,0))</f>
        <v/>
      </c>
    </row>
    <row r="84" customFormat="false" ht="15" hidden="false" customHeight="false" outlineLevel="0" collapsed="false">
      <c r="B84" s="19"/>
      <c r="C84" s="19"/>
      <c r="D84" s="19"/>
      <c r="E84" s="19"/>
      <c r="F84" s="19"/>
      <c r="G84" s="19"/>
      <c r="H84" s="19"/>
      <c r="I84" s="19"/>
      <c r="J84" s="19"/>
      <c r="K84" s="19"/>
      <c r="L84" s="19"/>
      <c r="M84" s="19"/>
      <c r="N84" s="19"/>
      <c r="O84" s="19"/>
      <c r="P84" s="19"/>
      <c r="Q84" s="19"/>
      <c r="R84" s="19"/>
      <c r="S84" s="19"/>
      <c r="T84" s="19"/>
      <c r="U84" s="19"/>
      <c r="X84" s="15" t="str">
        <f aca="false">IF(OR(B$7="",$BR84=""),"",IF('Tally Helper'!$B$3&lt;&gt;TRUE(),"not on Staff",SUMIFS('Tally Helper'!$L$5:$GI$5,'Tally Helper'!$L$3:$GI$3,"&gt;="&amp;$BR84,'Tally Helper'!$L$3:$GI$3,"&lt;="&amp;$BS84)))</f>
        <v/>
      </c>
      <c r="Y84" s="15" t="str">
        <f aca="false">IF(OR(C$7="",$BR84=""),"",IF('Tally Helper'!$B$6&lt;&gt;TRUE(),"not on Staff",SUMIFS('Tally Helper'!$L$8:$GI$8,'Tally Helper'!$L$6:$GI$6,"&gt;="&amp;$BR84,'Tally Helper'!$L$6:$GI$6,"&lt;="&amp;$BS84)))</f>
        <v/>
      </c>
      <c r="Z84" s="15" t="str">
        <f aca="false">IF(OR(D$7="",$BR84=""),"",IF('Tally Helper'!$B$9&lt;&gt;TRUE(),"not on Staff",SUMIFS('Tally Helper'!$L$11:$GI$11,'Tally Helper'!$L$9:$GI$9,"&gt;="&amp;$BR84,'Tally Helper'!$L$9:$GI$9,"&lt;="&amp;$BS84)))</f>
        <v/>
      </c>
      <c r="AA84" s="15" t="str">
        <f aca="false">IF(OR(E$7="",$BR84=""),"",IF('Tally Helper'!$B$12&lt;&gt;TRUE(),"not on Staff",SUMIFS('Tally Helper'!$L$14:$GI$14,'Tally Helper'!$L$12:$GI$12,"&gt;="&amp;$BR84,'Tally Helper'!$L$12:$GI$12,"&lt;="&amp;$BS84)))</f>
        <v/>
      </c>
      <c r="AB84" s="15" t="str">
        <f aca="false">IF(OR(F$7="",$BR84=""),"",IF('Tally Helper'!$B$15&lt;&gt;TRUE(),"not on Staff",SUMIFS('Tally Helper'!$L$17:$GI$17,'Tally Helper'!$L$15:$GI$15,"&gt;="&amp;$BR84,'Tally Helper'!$L$15:$GI$15,"&lt;="&amp;$BS84)))</f>
        <v/>
      </c>
      <c r="AC84" s="15" t="str">
        <f aca="false">IF(OR(G$7="",$BR84=""),"",IF('Tally Helper'!$B$18&lt;&gt;TRUE(),"not on Staff",SUMIFS('Tally Helper'!$L$20:$GI$20,'Tally Helper'!$L$18:$GI$18,"&gt;="&amp;$BR84,'Tally Helper'!$L$18:$GI$18,"&lt;="&amp;$BS84)))</f>
        <v/>
      </c>
      <c r="AD84" s="15" t="str">
        <f aca="false">IF(OR(H$7="",$BR84=""),"",IF('Tally Helper'!$B$21&lt;&gt;TRUE(),"not on Staff",SUMIFS('Tally Helper'!$L$23:$GI$23,'Tally Helper'!$L$21:$GI$21,"&gt;="&amp;$BR84,'Tally Helper'!$L$21:$GI$21,"&lt;="&amp;$BS84)))</f>
        <v/>
      </c>
      <c r="AE84" s="15" t="str">
        <f aca="false">IF(OR(I$7="",$BR84=""),"",IF('Tally Helper'!$B$24&lt;&gt;TRUE(),"not on Staff",SUMIFS('Tally Helper'!$L$26:$GI$26,'Tally Helper'!$L$24:$GI$24,"&gt;="&amp;$BR84,'Tally Helper'!$L$24:$GI$24,"&lt;="&amp;$BS84)))</f>
        <v/>
      </c>
      <c r="AF84" s="15" t="str">
        <f aca="false">IF(OR(J$7="",$BR84=""),"",IF('Tally Helper'!$B$27&lt;&gt;TRUE(),"not on Staff",SUMIFS('Tally Helper'!$L$29:$GI$29,'Tally Helper'!$L$27:$GI$27,"&gt;="&amp;$BR84,'Tally Helper'!$L$27:$GI$27,"&lt;="&amp;$BS84)))</f>
        <v/>
      </c>
      <c r="AG84" s="15" t="str">
        <f aca="false">IF(OR(K$7="",$BR84=""),"",IF('Tally Helper'!$B$30&lt;&gt;TRUE(),"not on Staff",SUMIFS('Tally Helper'!$L$32:$GI$32,'Tally Helper'!$L$30:$GI$30,"&gt;="&amp;$BR84,'Tally Helper'!$L$30:$GI$30,"&lt;="&amp;$BS84)))</f>
        <v/>
      </c>
      <c r="AH84" s="15" t="str">
        <f aca="false">IF(OR(L$7="",$BR84=""),"",IF('Tally Helper'!$B$33&lt;&gt;TRUE(),"not on Staff",SUMIFS('Tally Helper'!$L$35:$GI$35,'Tally Helper'!$L$33:$GI$33,"&gt;="&amp;$BR84,'Tally Helper'!$L$33:$GI$33,"&lt;="&amp;$BS84)))</f>
        <v/>
      </c>
      <c r="AI84" s="15" t="str">
        <f aca="false">IF(OR(M$7="",$BR84=""),"",IF('Tally Helper'!$B$36&lt;&gt;TRUE(),"not on Staff",SUMIFS('Tally Helper'!$L$38:$GI$38,'Tally Helper'!$L$36:$GI$36,"&gt;="&amp;$BR84,'Tally Helper'!$L$36:$GI$36,"&lt;="&amp;$BS84)))</f>
        <v/>
      </c>
      <c r="AJ84" s="15" t="str">
        <f aca="false">IF(OR(N$7="",$BR84=""),"",IF('Tally Helper'!$B$39&lt;&gt;TRUE(),"not on Staff",SUMIFS('Tally Helper'!$L$41:$GI$41,'Tally Helper'!$L$39:$GI$39,"&gt;="&amp;$BR84,'Tally Helper'!$L$39:$GI$39,"&lt;="&amp;$BS84)))</f>
        <v/>
      </c>
      <c r="AK84" s="15" t="str">
        <f aca="false">IF(OR(O$7="",$BR84=""),"",IF('Tally Helper'!$B$42&lt;&gt;TRUE(),"not on Staff",SUMIFS('Tally Helper'!$L$44:$GI$44,'Tally Helper'!$L$42:$GI$42,"&gt;="&amp;$BR84,'Tally Helper'!$L$42:$GI$42,"&lt;="&amp;$BS84)))</f>
        <v/>
      </c>
      <c r="AL84" s="15" t="str">
        <f aca="false">IF(OR(P$7="",$BR84=""),"",IF('Tally Helper'!$B$45&lt;&gt;TRUE(),"not on Staff",SUMIFS('Tally Helper'!$L$47:$GI$47,'Tally Helper'!$L$45:$GI$45,"&gt;="&amp;$BR84,'Tally Helper'!$L$45:$GI$45,"&lt;="&amp;$BS84)))</f>
        <v/>
      </c>
      <c r="AM84" s="15" t="str">
        <f aca="false">IF(OR(Q$7="",$BR84=""),"",IF('Tally Helper'!$B$48&lt;&gt;TRUE(),"not on Staff",SUMIFS('Tally Helper'!$L$50:$GI$50,'Tally Helper'!$L$48:$GI$48,"&gt;="&amp;$BR84,'Tally Helper'!$L$48:$GI$48,"&lt;="&amp;$BS84)))</f>
        <v/>
      </c>
      <c r="AN84" s="15" t="str">
        <f aca="false">IF(OR(R$7="",$BR84=""),"",IF('Tally Helper'!$B$51&lt;&gt;TRUE(),"not on Staff",SUMIFS('Tally Helper'!$L$53:$GI$53,'Tally Helper'!$L$51:$GI$51,"&gt;="&amp;$BR84,'Tally Helper'!$L$51:$GI$51,"&lt;="&amp;$BS84)))</f>
        <v/>
      </c>
      <c r="AO84" s="15" t="str">
        <f aca="false">IF(OR(S$7="",$BR84=""),"",IF('Tally Helper'!$B$54&lt;&gt;TRUE(),"not on Staff",SUMIFS('Tally Helper'!$L$56:$GI$56,'Tally Helper'!$L$54:$GI$54,"&gt;="&amp;$BR84,'Tally Helper'!$L$54:$GI$54,"&lt;="&amp;$BS84)))</f>
        <v/>
      </c>
      <c r="AP84" s="15" t="str">
        <f aca="false">IF(OR(T$7="",$BR84=""),"",IF('Tally Helper'!$B$57&lt;&gt;TRUE(),"not on Staff",SUMIFS('Tally Helper'!$L$59:$GI$59,'Tally Helper'!$L$57:$GI$57,"&gt;="&amp;$BR84,'Tally Helper'!$L$57:$GI$57,"&lt;="&amp;$BS84)))</f>
        <v/>
      </c>
      <c r="AQ84" s="15" t="str">
        <f aca="false">IF(OR(U$7="",$BR84=""),"",IF('Tally Helper'!$B$60&lt;&gt;TRUE(),"not on Staff",SUMIFS('Tally Helper'!$L$62:$GI$62,'Tally Helper'!$L$60:$GI$60,"&gt;="&amp;$BR84,'Tally Helper'!$L$60:$GI$60,"&lt;="&amp;$BS84)))</f>
        <v/>
      </c>
      <c r="AT84" s="15" t="str">
        <f aca="false">IF(OR(X84="",NOT(ISNUMBER(X84))),"",X84-N(B84))</f>
        <v/>
      </c>
      <c r="AU84" s="15" t="str">
        <f aca="false">IF(OR(Y84="",NOT(ISNUMBER(Y84))),"",Y84-N(C84))</f>
        <v/>
      </c>
      <c r="AV84" s="15" t="str">
        <f aca="false">IF(OR(Z84="",NOT(ISNUMBER(Z84))),"",Z84-N(D84))</f>
        <v/>
      </c>
      <c r="AW84" s="15" t="str">
        <f aca="false">IF(OR(AA84="",NOT(ISNUMBER(AA84))),"",AA84-N(E84))</f>
        <v/>
      </c>
      <c r="AX84" s="15" t="str">
        <f aca="false">IF(OR(AB84="",NOT(ISNUMBER(AB84))),"",AB84-N(F84))</f>
        <v/>
      </c>
      <c r="AY84" s="15" t="str">
        <f aca="false">IF(OR(AC84="",NOT(ISNUMBER(AC84))),"",AC84-N(G84))</f>
        <v/>
      </c>
      <c r="AZ84" s="15" t="str">
        <f aca="false">IF(OR(AD84="",NOT(ISNUMBER(AD84))),"",AD84-N(H84))</f>
        <v/>
      </c>
      <c r="BA84" s="15" t="str">
        <f aca="false">IF(OR(AE84="",NOT(ISNUMBER(AE84))),"",AE84-N(I84))</f>
        <v/>
      </c>
      <c r="BB84" s="15" t="str">
        <f aca="false">IF(OR(AF84="",NOT(ISNUMBER(AF84))),"",AF84-N(J84))</f>
        <v/>
      </c>
      <c r="BC84" s="15" t="str">
        <f aca="false">IF(OR(AG84="",NOT(ISNUMBER(AG84))),"",AG84-N(K84))</f>
        <v/>
      </c>
      <c r="BD84" s="15" t="str">
        <f aca="false">IF(OR(AH84="",NOT(ISNUMBER(AH84))),"",AH84-N(L84))</f>
        <v/>
      </c>
      <c r="BE84" s="15" t="str">
        <f aca="false">IF(OR(AI84="",NOT(ISNUMBER(AI84))),"",AI84-N(M84))</f>
        <v/>
      </c>
      <c r="BF84" s="15" t="str">
        <f aca="false">IF(OR(AJ84="",NOT(ISNUMBER(AJ84))),"",AJ84-N(N84))</f>
        <v/>
      </c>
      <c r="BG84" s="15" t="str">
        <f aca="false">IF(OR(AK84="",NOT(ISNUMBER(AK84))),"",AK84-N(O84))</f>
        <v/>
      </c>
      <c r="BH84" s="15" t="str">
        <f aca="false">IF(OR(AL84="",NOT(ISNUMBER(AL84))),"",AL84-N(P84))</f>
        <v/>
      </c>
      <c r="BI84" s="15" t="str">
        <f aca="false">IF(OR(AM84="",NOT(ISNUMBER(AM84))),"",AM84-N(Q84))</f>
        <v/>
      </c>
      <c r="BJ84" s="15" t="str">
        <f aca="false">IF(OR(AN84="",NOT(ISNUMBER(AN84))),"",AN84-N(R84))</f>
        <v/>
      </c>
      <c r="BK84" s="15" t="str">
        <f aca="false">IF(OR(AO84="",NOT(ISNUMBER(AO84))),"",AO84-N(S84))</f>
        <v/>
      </c>
      <c r="BL84" s="15" t="str">
        <f aca="false">IF(OR(AP84="",NOT(ISNUMBER(AP84))),"",AP84-N(T84))</f>
        <v/>
      </c>
      <c r="BM84" s="15" t="str">
        <f aca="false">IF(OR(AQ84="",NOT(ISNUMBER(AQ84))),"",AQ84-N(U84))</f>
        <v/>
      </c>
      <c r="BR84" s="18" t="str">
        <f aca="false">IF($A84="","",IF(ISNUMBER($A84),DATE(YEAR($A84),MONTH($A84),1),IFERROR(DATE(2000+VALUE(RIGHT(TRIM($A84),2)),MATCH(UPPER(LEFT(TRIM($A84),3)),{"JAN","FEB","MAR","APR","MAY","JUN","JUL","AUG","SEP","OCT","NOV","DEC"},0),1),"")))</f>
        <v/>
      </c>
      <c r="BS84" s="18" t="str">
        <f aca="false">IF(BR84="","",EOMONTH(BR84,0))</f>
        <v/>
      </c>
    </row>
    <row r="85" customFormat="false" ht="15" hidden="false" customHeight="false" outlineLevel="0" collapsed="false">
      <c r="B85" s="19"/>
      <c r="C85" s="19"/>
      <c r="D85" s="19"/>
      <c r="E85" s="19"/>
      <c r="F85" s="19"/>
      <c r="G85" s="19"/>
      <c r="H85" s="19"/>
      <c r="I85" s="19"/>
      <c r="J85" s="19"/>
      <c r="K85" s="19"/>
      <c r="L85" s="19"/>
      <c r="M85" s="19"/>
      <c r="N85" s="19"/>
      <c r="O85" s="19"/>
      <c r="P85" s="19"/>
      <c r="Q85" s="19"/>
      <c r="R85" s="19"/>
      <c r="S85" s="19"/>
      <c r="T85" s="19"/>
      <c r="U85" s="19"/>
      <c r="X85" s="15" t="str">
        <f aca="false">IF(OR(B$7="",$BR85=""),"",IF('Tally Helper'!$B$3&lt;&gt;TRUE(),"not on Staff",SUMIFS('Tally Helper'!$L$5:$GI$5,'Tally Helper'!$L$3:$GI$3,"&gt;="&amp;$BR85,'Tally Helper'!$L$3:$GI$3,"&lt;="&amp;$BS85)))</f>
        <v/>
      </c>
      <c r="Y85" s="15" t="str">
        <f aca="false">IF(OR(C$7="",$BR85=""),"",IF('Tally Helper'!$B$6&lt;&gt;TRUE(),"not on Staff",SUMIFS('Tally Helper'!$L$8:$GI$8,'Tally Helper'!$L$6:$GI$6,"&gt;="&amp;$BR85,'Tally Helper'!$L$6:$GI$6,"&lt;="&amp;$BS85)))</f>
        <v/>
      </c>
      <c r="Z85" s="15" t="str">
        <f aca="false">IF(OR(D$7="",$BR85=""),"",IF('Tally Helper'!$B$9&lt;&gt;TRUE(),"not on Staff",SUMIFS('Tally Helper'!$L$11:$GI$11,'Tally Helper'!$L$9:$GI$9,"&gt;="&amp;$BR85,'Tally Helper'!$L$9:$GI$9,"&lt;="&amp;$BS85)))</f>
        <v/>
      </c>
      <c r="AA85" s="15" t="str">
        <f aca="false">IF(OR(E$7="",$BR85=""),"",IF('Tally Helper'!$B$12&lt;&gt;TRUE(),"not on Staff",SUMIFS('Tally Helper'!$L$14:$GI$14,'Tally Helper'!$L$12:$GI$12,"&gt;="&amp;$BR85,'Tally Helper'!$L$12:$GI$12,"&lt;="&amp;$BS85)))</f>
        <v/>
      </c>
      <c r="AB85" s="15" t="str">
        <f aca="false">IF(OR(F$7="",$BR85=""),"",IF('Tally Helper'!$B$15&lt;&gt;TRUE(),"not on Staff",SUMIFS('Tally Helper'!$L$17:$GI$17,'Tally Helper'!$L$15:$GI$15,"&gt;="&amp;$BR85,'Tally Helper'!$L$15:$GI$15,"&lt;="&amp;$BS85)))</f>
        <v/>
      </c>
      <c r="AC85" s="15" t="str">
        <f aca="false">IF(OR(G$7="",$BR85=""),"",IF('Tally Helper'!$B$18&lt;&gt;TRUE(),"not on Staff",SUMIFS('Tally Helper'!$L$20:$GI$20,'Tally Helper'!$L$18:$GI$18,"&gt;="&amp;$BR85,'Tally Helper'!$L$18:$GI$18,"&lt;="&amp;$BS85)))</f>
        <v/>
      </c>
      <c r="AD85" s="15" t="str">
        <f aca="false">IF(OR(H$7="",$BR85=""),"",IF('Tally Helper'!$B$21&lt;&gt;TRUE(),"not on Staff",SUMIFS('Tally Helper'!$L$23:$GI$23,'Tally Helper'!$L$21:$GI$21,"&gt;="&amp;$BR85,'Tally Helper'!$L$21:$GI$21,"&lt;="&amp;$BS85)))</f>
        <v/>
      </c>
      <c r="AE85" s="15" t="str">
        <f aca="false">IF(OR(I$7="",$BR85=""),"",IF('Tally Helper'!$B$24&lt;&gt;TRUE(),"not on Staff",SUMIFS('Tally Helper'!$L$26:$GI$26,'Tally Helper'!$L$24:$GI$24,"&gt;="&amp;$BR85,'Tally Helper'!$L$24:$GI$24,"&lt;="&amp;$BS85)))</f>
        <v/>
      </c>
      <c r="AF85" s="15" t="str">
        <f aca="false">IF(OR(J$7="",$BR85=""),"",IF('Tally Helper'!$B$27&lt;&gt;TRUE(),"not on Staff",SUMIFS('Tally Helper'!$L$29:$GI$29,'Tally Helper'!$L$27:$GI$27,"&gt;="&amp;$BR85,'Tally Helper'!$L$27:$GI$27,"&lt;="&amp;$BS85)))</f>
        <v/>
      </c>
      <c r="AG85" s="15" t="str">
        <f aca="false">IF(OR(K$7="",$BR85=""),"",IF('Tally Helper'!$B$30&lt;&gt;TRUE(),"not on Staff",SUMIFS('Tally Helper'!$L$32:$GI$32,'Tally Helper'!$L$30:$GI$30,"&gt;="&amp;$BR85,'Tally Helper'!$L$30:$GI$30,"&lt;="&amp;$BS85)))</f>
        <v/>
      </c>
      <c r="AH85" s="15" t="str">
        <f aca="false">IF(OR(L$7="",$BR85=""),"",IF('Tally Helper'!$B$33&lt;&gt;TRUE(),"not on Staff",SUMIFS('Tally Helper'!$L$35:$GI$35,'Tally Helper'!$L$33:$GI$33,"&gt;="&amp;$BR85,'Tally Helper'!$L$33:$GI$33,"&lt;="&amp;$BS85)))</f>
        <v/>
      </c>
      <c r="AI85" s="15" t="str">
        <f aca="false">IF(OR(M$7="",$BR85=""),"",IF('Tally Helper'!$B$36&lt;&gt;TRUE(),"not on Staff",SUMIFS('Tally Helper'!$L$38:$GI$38,'Tally Helper'!$L$36:$GI$36,"&gt;="&amp;$BR85,'Tally Helper'!$L$36:$GI$36,"&lt;="&amp;$BS85)))</f>
        <v/>
      </c>
      <c r="AJ85" s="15" t="str">
        <f aca="false">IF(OR(N$7="",$BR85=""),"",IF('Tally Helper'!$B$39&lt;&gt;TRUE(),"not on Staff",SUMIFS('Tally Helper'!$L$41:$GI$41,'Tally Helper'!$L$39:$GI$39,"&gt;="&amp;$BR85,'Tally Helper'!$L$39:$GI$39,"&lt;="&amp;$BS85)))</f>
        <v/>
      </c>
      <c r="AK85" s="15" t="str">
        <f aca="false">IF(OR(O$7="",$BR85=""),"",IF('Tally Helper'!$B$42&lt;&gt;TRUE(),"not on Staff",SUMIFS('Tally Helper'!$L$44:$GI$44,'Tally Helper'!$L$42:$GI$42,"&gt;="&amp;$BR85,'Tally Helper'!$L$42:$GI$42,"&lt;="&amp;$BS85)))</f>
        <v/>
      </c>
      <c r="AL85" s="15" t="str">
        <f aca="false">IF(OR(P$7="",$BR85=""),"",IF('Tally Helper'!$B$45&lt;&gt;TRUE(),"not on Staff",SUMIFS('Tally Helper'!$L$47:$GI$47,'Tally Helper'!$L$45:$GI$45,"&gt;="&amp;$BR85,'Tally Helper'!$L$45:$GI$45,"&lt;="&amp;$BS85)))</f>
        <v/>
      </c>
      <c r="AM85" s="15" t="str">
        <f aca="false">IF(OR(Q$7="",$BR85=""),"",IF('Tally Helper'!$B$48&lt;&gt;TRUE(),"not on Staff",SUMIFS('Tally Helper'!$L$50:$GI$50,'Tally Helper'!$L$48:$GI$48,"&gt;="&amp;$BR85,'Tally Helper'!$L$48:$GI$48,"&lt;="&amp;$BS85)))</f>
        <v/>
      </c>
      <c r="AN85" s="15" t="str">
        <f aca="false">IF(OR(R$7="",$BR85=""),"",IF('Tally Helper'!$B$51&lt;&gt;TRUE(),"not on Staff",SUMIFS('Tally Helper'!$L$53:$GI$53,'Tally Helper'!$L$51:$GI$51,"&gt;="&amp;$BR85,'Tally Helper'!$L$51:$GI$51,"&lt;="&amp;$BS85)))</f>
        <v/>
      </c>
      <c r="AO85" s="15" t="str">
        <f aca="false">IF(OR(S$7="",$BR85=""),"",IF('Tally Helper'!$B$54&lt;&gt;TRUE(),"not on Staff",SUMIFS('Tally Helper'!$L$56:$GI$56,'Tally Helper'!$L$54:$GI$54,"&gt;="&amp;$BR85,'Tally Helper'!$L$54:$GI$54,"&lt;="&amp;$BS85)))</f>
        <v/>
      </c>
      <c r="AP85" s="15" t="str">
        <f aca="false">IF(OR(T$7="",$BR85=""),"",IF('Tally Helper'!$B$57&lt;&gt;TRUE(),"not on Staff",SUMIFS('Tally Helper'!$L$59:$GI$59,'Tally Helper'!$L$57:$GI$57,"&gt;="&amp;$BR85,'Tally Helper'!$L$57:$GI$57,"&lt;="&amp;$BS85)))</f>
        <v/>
      </c>
      <c r="AQ85" s="15" t="str">
        <f aca="false">IF(OR(U$7="",$BR85=""),"",IF('Tally Helper'!$B$60&lt;&gt;TRUE(),"not on Staff",SUMIFS('Tally Helper'!$L$62:$GI$62,'Tally Helper'!$L$60:$GI$60,"&gt;="&amp;$BR85,'Tally Helper'!$L$60:$GI$60,"&lt;="&amp;$BS85)))</f>
        <v/>
      </c>
      <c r="AT85" s="15" t="str">
        <f aca="false">IF(OR(X85="",NOT(ISNUMBER(X85))),"",X85-N(B85))</f>
        <v/>
      </c>
      <c r="AU85" s="15" t="str">
        <f aca="false">IF(OR(Y85="",NOT(ISNUMBER(Y85))),"",Y85-N(C85))</f>
        <v/>
      </c>
      <c r="AV85" s="15" t="str">
        <f aca="false">IF(OR(Z85="",NOT(ISNUMBER(Z85))),"",Z85-N(D85))</f>
        <v/>
      </c>
      <c r="AW85" s="15" t="str">
        <f aca="false">IF(OR(AA85="",NOT(ISNUMBER(AA85))),"",AA85-N(E85))</f>
        <v/>
      </c>
      <c r="AX85" s="15" t="str">
        <f aca="false">IF(OR(AB85="",NOT(ISNUMBER(AB85))),"",AB85-N(F85))</f>
        <v/>
      </c>
      <c r="AY85" s="15" t="str">
        <f aca="false">IF(OR(AC85="",NOT(ISNUMBER(AC85))),"",AC85-N(G85))</f>
        <v/>
      </c>
      <c r="AZ85" s="15" t="str">
        <f aca="false">IF(OR(AD85="",NOT(ISNUMBER(AD85))),"",AD85-N(H85))</f>
        <v/>
      </c>
      <c r="BA85" s="15" t="str">
        <f aca="false">IF(OR(AE85="",NOT(ISNUMBER(AE85))),"",AE85-N(I85))</f>
        <v/>
      </c>
      <c r="BB85" s="15" t="str">
        <f aca="false">IF(OR(AF85="",NOT(ISNUMBER(AF85))),"",AF85-N(J85))</f>
        <v/>
      </c>
      <c r="BC85" s="15" t="str">
        <f aca="false">IF(OR(AG85="",NOT(ISNUMBER(AG85))),"",AG85-N(K85))</f>
        <v/>
      </c>
      <c r="BD85" s="15" t="str">
        <f aca="false">IF(OR(AH85="",NOT(ISNUMBER(AH85))),"",AH85-N(L85))</f>
        <v/>
      </c>
      <c r="BE85" s="15" t="str">
        <f aca="false">IF(OR(AI85="",NOT(ISNUMBER(AI85))),"",AI85-N(M85))</f>
        <v/>
      </c>
      <c r="BF85" s="15" t="str">
        <f aca="false">IF(OR(AJ85="",NOT(ISNUMBER(AJ85))),"",AJ85-N(N85))</f>
        <v/>
      </c>
      <c r="BG85" s="15" t="str">
        <f aca="false">IF(OR(AK85="",NOT(ISNUMBER(AK85))),"",AK85-N(O85))</f>
        <v/>
      </c>
      <c r="BH85" s="15" t="str">
        <f aca="false">IF(OR(AL85="",NOT(ISNUMBER(AL85))),"",AL85-N(P85))</f>
        <v/>
      </c>
      <c r="BI85" s="15" t="str">
        <f aca="false">IF(OR(AM85="",NOT(ISNUMBER(AM85))),"",AM85-N(Q85))</f>
        <v/>
      </c>
      <c r="BJ85" s="15" t="str">
        <f aca="false">IF(OR(AN85="",NOT(ISNUMBER(AN85))),"",AN85-N(R85))</f>
        <v/>
      </c>
      <c r="BK85" s="15" t="str">
        <f aca="false">IF(OR(AO85="",NOT(ISNUMBER(AO85))),"",AO85-N(S85))</f>
        <v/>
      </c>
      <c r="BL85" s="15" t="str">
        <f aca="false">IF(OR(AP85="",NOT(ISNUMBER(AP85))),"",AP85-N(T85))</f>
        <v/>
      </c>
      <c r="BM85" s="15" t="str">
        <f aca="false">IF(OR(AQ85="",NOT(ISNUMBER(AQ85))),"",AQ85-N(U85))</f>
        <v/>
      </c>
      <c r="BR85" s="18" t="str">
        <f aca="false">IF($A85="","",IF(ISNUMBER($A85),DATE(YEAR($A85),MONTH($A85),1),IFERROR(DATE(2000+VALUE(RIGHT(TRIM($A85),2)),MATCH(UPPER(LEFT(TRIM($A85),3)),{"JAN","FEB","MAR","APR","MAY","JUN","JUL","AUG","SEP","OCT","NOV","DEC"},0),1),"")))</f>
        <v/>
      </c>
      <c r="BS85" s="18" t="str">
        <f aca="false">IF(BR85="","",EOMONTH(BR85,0))</f>
        <v/>
      </c>
    </row>
    <row r="86" customFormat="false" ht="15" hidden="false" customHeight="false" outlineLevel="0" collapsed="false">
      <c r="B86" s="19"/>
      <c r="C86" s="19"/>
      <c r="D86" s="19"/>
      <c r="E86" s="19"/>
      <c r="F86" s="19"/>
      <c r="G86" s="19"/>
      <c r="H86" s="19"/>
      <c r="I86" s="19"/>
      <c r="J86" s="19"/>
      <c r="K86" s="19"/>
      <c r="L86" s="19"/>
      <c r="M86" s="19"/>
      <c r="N86" s="19"/>
      <c r="O86" s="19"/>
      <c r="P86" s="19"/>
      <c r="Q86" s="19"/>
      <c r="R86" s="19"/>
      <c r="S86" s="19"/>
      <c r="T86" s="19"/>
      <c r="U86" s="19"/>
      <c r="X86" s="15" t="str">
        <f aca="false">IF(OR(B$7="",$BR86=""),"",IF('Tally Helper'!$B$3&lt;&gt;TRUE(),"not on Staff",SUMIFS('Tally Helper'!$L$5:$GI$5,'Tally Helper'!$L$3:$GI$3,"&gt;="&amp;$BR86,'Tally Helper'!$L$3:$GI$3,"&lt;="&amp;$BS86)))</f>
        <v/>
      </c>
      <c r="Y86" s="15" t="str">
        <f aca="false">IF(OR(C$7="",$BR86=""),"",IF('Tally Helper'!$B$6&lt;&gt;TRUE(),"not on Staff",SUMIFS('Tally Helper'!$L$8:$GI$8,'Tally Helper'!$L$6:$GI$6,"&gt;="&amp;$BR86,'Tally Helper'!$L$6:$GI$6,"&lt;="&amp;$BS86)))</f>
        <v/>
      </c>
      <c r="Z86" s="15" t="str">
        <f aca="false">IF(OR(D$7="",$BR86=""),"",IF('Tally Helper'!$B$9&lt;&gt;TRUE(),"not on Staff",SUMIFS('Tally Helper'!$L$11:$GI$11,'Tally Helper'!$L$9:$GI$9,"&gt;="&amp;$BR86,'Tally Helper'!$L$9:$GI$9,"&lt;="&amp;$BS86)))</f>
        <v/>
      </c>
      <c r="AA86" s="15" t="str">
        <f aca="false">IF(OR(E$7="",$BR86=""),"",IF('Tally Helper'!$B$12&lt;&gt;TRUE(),"not on Staff",SUMIFS('Tally Helper'!$L$14:$GI$14,'Tally Helper'!$L$12:$GI$12,"&gt;="&amp;$BR86,'Tally Helper'!$L$12:$GI$12,"&lt;="&amp;$BS86)))</f>
        <v/>
      </c>
      <c r="AB86" s="15" t="str">
        <f aca="false">IF(OR(F$7="",$BR86=""),"",IF('Tally Helper'!$B$15&lt;&gt;TRUE(),"not on Staff",SUMIFS('Tally Helper'!$L$17:$GI$17,'Tally Helper'!$L$15:$GI$15,"&gt;="&amp;$BR86,'Tally Helper'!$L$15:$GI$15,"&lt;="&amp;$BS86)))</f>
        <v/>
      </c>
      <c r="AC86" s="15" t="str">
        <f aca="false">IF(OR(G$7="",$BR86=""),"",IF('Tally Helper'!$B$18&lt;&gt;TRUE(),"not on Staff",SUMIFS('Tally Helper'!$L$20:$GI$20,'Tally Helper'!$L$18:$GI$18,"&gt;="&amp;$BR86,'Tally Helper'!$L$18:$GI$18,"&lt;="&amp;$BS86)))</f>
        <v/>
      </c>
      <c r="AD86" s="15" t="str">
        <f aca="false">IF(OR(H$7="",$BR86=""),"",IF('Tally Helper'!$B$21&lt;&gt;TRUE(),"not on Staff",SUMIFS('Tally Helper'!$L$23:$GI$23,'Tally Helper'!$L$21:$GI$21,"&gt;="&amp;$BR86,'Tally Helper'!$L$21:$GI$21,"&lt;="&amp;$BS86)))</f>
        <v/>
      </c>
      <c r="AE86" s="15" t="str">
        <f aca="false">IF(OR(I$7="",$BR86=""),"",IF('Tally Helper'!$B$24&lt;&gt;TRUE(),"not on Staff",SUMIFS('Tally Helper'!$L$26:$GI$26,'Tally Helper'!$L$24:$GI$24,"&gt;="&amp;$BR86,'Tally Helper'!$L$24:$GI$24,"&lt;="&amp;$BS86)))</f>
        <v/>
      </c>
      <c r="AF86" s="15" t="str">
        <f aca="false">IF(OR(J$7="",$BR86=""),"",IF('Tally Helper'!$B$27&lt;&gt;TRUE(),"not on Staff",SUMIFS('Tally Helper'!$L$29:$GI$29,'Tally Helper'!$L$27:$GI$27,"&gt;="&amp;$BR86,'Tally Helper'!$L$27:$GI$27,"&lt;="&amp;$BS86)))</f>
        <v/>
      </c>
      <c r="AG86" s="15" t="str">
        <f aca="false">IF(OR(K$7="",$BR86=""),"",IF('Tally Helper'!$B$30&lt;&gt;TRUE(),"not on Staff",SUMIFS('Tally Helper'!$L$32:$GI$32,'Tally Helper'!$L$30:$GI$30,"&gt;="&amp;$BR86,'Tally Helper'!$L$30:$GI$30,"&lt;="&amp;$BS86)))</f>
        <v/>
      </c>
      <c r="AH86" s="15" t="str">
        <f aca="false">IF(OR(L$7="",$BR86=""),"",IF('Tally Helper'!$B$33&lt;&gt;TRUE(),"not on Staff",SUMIFS('Tally Helper'!$L$35:$GI$35,'Tally Helper'!$L$33:$GI$33,"&gt;="&amp;$BR86,'Tally Helper'!$L$33:$GI$33,"&lt;="&amp;$BS86)))</f>
        <v/>
      </c>
      <c r="AI86" s="15" t="str">
        <f aca="false">IF(OR(M$7="",$BR86=""),"",IF('Tally Helper'!$B$36&lt;&gt;TRUE(),"not on Staff",SUMIFS('Tally Helper'!$L$38:$GI$38,'Tally Helper'!$L$36:$GI$36,"&gt;="&amp;$BR86,'Tally Helper'!$L$36:$GI$36,"&lt;="&amp;$BS86)))</f>
        <v/>
      </c>
      <c r="AJ86" s="15" t="str">
        <f aca="false">IF(OR(N$7="",$BR86=""),"",IF('Tally Helper'!$B$39&lt;&gt;TRUE(),"not on Staff",SUMIFS('Tally Helper'!$L$41:$GI$41,'Tally Helper'!$L$39:$GI$39,"&gt;="&amp;$BR86,'Tally Helper'!$L$39:$GI$39,"&lt;="&amp;$BS86)))</f>
        <v/>
      </c>
      <c r="AK86" s="15" t="str">
        <f aca="false">IF(OR(O$7="",$BR86=""),"",IF('Tally Helper'!$B$42&lt;&gt;TRUE(),"not on Staff",SUMIFS('Tally Helper'!$L$44:$GI$44,'Tally Helper'!$L$42:$GI$42,"&gt;="&amp;$BR86,'Tally Helper'!$L$42:$GI$42,"&lt;="&amp;$BS86)))</f>
        <v/>
      </c>
      <c r="AL86" s="15" t="str">
        <f aca="false">IF(OR(P$7="",$BR86=""),"",IF('Tally Helper'!$B$45&lt;&gt;TRUE(),"not on Staff",SUMIFS('Tally Helper'!$L$47:$GI$47,'Tally Helper'!$L$45:$GI$45,"&gt;="&amp;$BR86,'Tally Helper'!$L$45:$GI$45,"&lt;="&amp;$BS86)))</f>
        <v/>
      </c>
      <c r="AM86" s="15" t="str">
        <f aca="false">IF(OR(Q$7="",$BR86=""),"",IF('Tally Helper'!$B$48&lt;&gt;TRUE(),"not on Staff",SUMIFS('Tally Helper'!$L$50:$GI$50,'Tally Helper'!$L$48:$GI$48,"&gt;="&amp;$BR86,'Tally Helper'!$L$48:$GI$48,"&lt;="&amp;$BS86)))</f>
        <v/>
      </c>
      <c r="AN86" s="15" t="str">
        <f aca="false">IF(OR(R$7="",$BR86=""),"",IF('Tally Helper'!$B$51&lt;&gt;TRUE(),"not on Staff",SUMIFS('Tally Helper'!$L$53:$GI$53,'Tally Helper'!$L$51:$GI$51,"&gt;="&amp;$BR86,'Tally Helper'!$L$51:$GI$51,"&lt;="&amp;$BS86)))</f>
        <v/>
      </c>
      <c r="AO86" s="15" t="str">
        <f aca="false">IF(OR(S$7="",$BR86=""),"",IF('Tally Helper'!$B$54&lt;&gt;TRUE(),"not on Staff",SUMIFS('Tally Helper'!$L$56:$GI$56,'Tally Helper'!$L$54:$GI$54,"&gt;="&amp;$BR86,'Tally Helper'!$L$54:$GI$54,"&lt;="&amp;$BS86)))</f>
        <v/>
      </c>
      <c r="AP86" s="15" t="str">
        <f aca="false">IF(OR(T$7="",$BR86=""),"",IF('Tally Helper'!$B$57&lt;&gt;TRUE(),"not on Staff",SUMIFS('Tally Helper'!$L$59:$GI$59,'Tally Helper'!$L$57:$GI$57,"&gt;="&amp;$BR86,'Tally Helper'!$L$57:$GI$57,"&lt;="&amp;$BS86)))</f>
        <v/>
      </c>
      <c r="AQ86" s="15" t="str">
        <f aca="false">IF(OR(U$7="",$BR86=""),"",IF('Tally Helper'!$B$60&lt;&gt;TRUE(),"not on Staff",SUMIFS('Tally Helper'!$L$62:$GI$62,'Tally Helper'!$L$60:$GI$60,"&gt;="&amp;$BR86,'Tally Helper'!$L$60:$GI$60,"&lt;="&amp;$BS86)))</f>
        <v/>
      </c>
      <c r="AT86" s="15" t="str">
        <f aca="false">IF(OR(X86="",NOT(ISNUMBER(X86))),"",X86-N(B86))</f>
        <v/>
      </c>
      <c r="AU86" s="15" t="str">
        <f aca="false">IF(OR(Y86="",NOT(ISNUMBER(Y86))),"",Y86-N(C86))</f>
        <v/>
      </c>
      <c r="AV86" s="15" t="str">
        <f aca="false">IF(OR(Z86="",NOT(ISNUMBER(Z86))),"",Z86-N(D86))</f>
        <v/>
      </c>
      <c r="AW86" s="15" t="str">
        <f aca="false">IF(OR(AA86="",NOT(ISNUMBER(AA86))),"",AA86-N(E86))</f>
        <v/>
      </c>
      <c r="AX86" s="15" t="str">
        <f aca="false">IF(OR(AB86="",NOT(ISNUMBER(AB86))),"",AB86-N(F86))</f>
        <v/>
      </c>
      <c r="AY86" s="15" t="str">
        <f aca="false">IF(OR(AC86="",NOT(ISNUMBER(AC86))),"",AC86-N(G86))</f>
        <v/>
      </c>
      <c r="AZ86" s="15" t="str">
        <f aca="false">IF(OR(AD86="",NOT(ISNUMBER(AD86))),"",AD86-N(H86))</f>
        <v/>
      </c>
      <c r="BA86" s="15" t="str">
        <f aca="false">IF(OR(AE86="",NOT(ISNUMBER(AE86))),"",AE86-N(I86))</f>
        <v/>
      </c>
      <c r="BB86" s="15" t="str">
        <f aca="false">IF(OR(AF86="",NOT(ISNUMBER(AF86))),"",AF86-N(J86))</f>
        <v/>
      </c>
      <c r="BC86" s="15" t="str">
        <f aca="false">IF(OR(AG86="",NOT(ISNUMBER(AG86))),"",AG86-N(K86))</f>
        <v/>
      </c>
      <c r="BD86" s="15" t="str">
        <f aca="false">IF(OR(AH86="",NOT(ISNUMBER(AH86))),"",AH86-N(L86))</f>
        <v/>
      </c>
      <c r="BE86" s="15" t="str">
        <f aca="false">IF(OR(AI86="",NOT(ISNUMBER(AI86))),"",AI86-N(M86))</f>
        <v/>
      </c>
      <c r="BF86" s="15" t="str">
        <f aca="false">IF(OR(AJ86="",NOT(ISNUMBER(AJ86))),"",AJ86-N(N86))</f>
        <v/>
      </c>
      <c r="BG86" s="15" t="str">
        <f aca="false">IF(OR(AK86="",NOT(ISNUMBER(AK86))),"",AK86-N(O86))</f>
        <v/>
      </c>
      <c r="BH86" s="15" t="str">
        <f aca="false">IF(OR(AL86="",NOT(ISNUMBER(AL86))),"",AL86-N(P86))</f>
        <v/>
      </c>
      <c r="BI86" s="15" t="str">
        <f aca="false">IF(OR(AM86="",NOT(ISNUMBER(AM86))),"",AM86-N(Q86))</f>
        <v/>
      </c>
      <c r="BJ86" s="15" t="str">
        <f aca="false">IF(OR(AN86="",NOT(ISNUMBER(AN86))),"",AN86-N(R86))</f>
        <v/>
      </c>
      <c r="BK86" s="15" t="str">
        <f aca="false">IF(OR(AO86="",NOT(ISNUMBER(AO86))),"",AO86-N(S86))</f>
        <v/>
      </c>
      <c r="BL86" s="15" t="str">
        <f aca="false">IF(OR(AP86="",NOT(ISNUMBER(AP86))),"",AP86-N(T86))</f>
        <v/>
      </c>
      <c r="BM86" s="15" t="str">
        <f aca="false">IF(OR(AQ86="",NOT(ISNUMBER(AQ86))),"",AQ86-N(U86))</f>
        <v/>
      </c>
      <c r="BR86" s="18" t="str">
        <f aca="false">IF($A86="","",IF(ISNUMBER($A86),DATE(YEAR($A86),MONTH($A86),1),IFERROR(DATE(2000+VALUE(RIGHT(TRIM($A86),2)),MATCH(UPPER(LEFT(TRIM($A86),3)),{"JAN","FEB","MAR","APR","MAY","JUN","JUL","AUG","SEP","OCT","NOV","DEC"},0),1),"")))</f>
        <v/>
      </c>
      <c r="BS86" s="18" t="str">
        <f aca="false">IF(BR86="","",EOMONTH(BR86,0))</f>
        <v/>
      </c>
    </row>
    <row r="87" customFormat="false" ht="15" hidden="false" customHeight="false" outlineLevel="0" collapsed="false">
      <c r="B87" s="19"/>
      <c r="C87" s="19"/>
      <c r="D87" s="19"/>
      <c r="E87" s="19"/>
      <c r="F87" s="19"/>
      <c r="G87" s="19"/>
      <c r="H87" s="19"/>
      <c r="I87" s="19"/>
      <c r="J87" s="19"/>
      <c r="K87" s="19"/>
      <c r="L87" s="19"/>
      <c r="M87" s="19"/>
      <c r="N87" s="19"/>
      <c r="O87" s="19"/>
      <c r="P87" s="19"/>
      <c r="Q87" s="19"/>
      <c r="R87" s="19"/>
      <c r="S87" s="19"/>
      <c r="T87" s="19"/>
      <c r="U87" s="19"/>
      <c r="X87" s="15" t="str">
        <f aca="false">IF(OR(B$7="",$BR87=""),"",IF('Tally Helper'!$B$3&lt;&gt;TRUE(),"not on Staff",SUMIFS('Tally Helper'!$L$5:$GI$5,'Tally Helper'!$L$3:$GI$3,"&gt;="&amp;$BR87,'Tally Helper'!$L$3:$GI$3,"&lt;="&amp;$BS87)))</f>
        <v/>
      </c>
      <c r="Y87" s="15" t="str">
        <f aca="false">IF(OR(C$7="",$BR87=""),"",IF('Tally Helper'!$B$6&lt;&gt;TRUE(),"not on Staff",SUMIFS('Tally Helper'!$L$8:$GI$8,'Tally Helper'!$L$6:$GI$6,"&gt;="&amp;$BR87,'Tally Helper'!$L$6:$GI$6,"&lt;="&amp;$BS87)))</f>
        <v/>
      </c>
      <c r="Z87" s="15" t="str">
        <f aca="false">IF(OR(D$7="",$BR87=""),"",IF('Tally Helper'!$B$9&lt;&gt;TRUE(),"not on Staff",SUMIFS('Tally Helper'!$L$11:$GI$11,'Tally Helper'!$L$9:$GI$9,"&gt;="&amp;$BR87,'Tally Helper'!$L$9:$GI$9,"&lt;="&amp;$BS87)))</f>
        <v/>
      </c>
      <c r="AA87" s="15" t="str">
        <f aca="false">IF(OR(E$7="",$BR87=""),"",IF('Tally Helper'!$B$12&lt;&gt;TRUE(),"not on Staff",SUMIFS('Tally Helper'!$L$14:$GI$14,'Tally Helper'!$L$12:$GI$12,"&gt;="&amp;$BR87,'Tally Helper'!$L$12:$GI$12,"&lt;="&amp;$BS87)))</f>
        <v/>
      </c>
      <c r="AB87" s="15" t="str">
        <f aca="false">IF(OR(F$7="",$BR87=""),"",IF('Tally Helper'!$B$15&lt;&gt;TRUE(),"not on Staff",SUMIFS('Tally Helper'!$L$17:$GI$17,'Tally Helper'!$L$15:$GI$15,"&gt;="&amp;$BR87,'Tally Helper'!$L$15:$GI$15,"&lt;="&amp;$BS87)))</f>
        <v/>
      </c>
      <c r="AC87" s="15" t="str">
        <f aca="false">IF(OR(G$7="",$BR87=""),"",IF('Tally Helper'!$B$18&lt;&gt;TRUE(),"not on Staff",SUMIFS('Tally Helper'!$L$20:$GI$20,'Tally Helper'!$L$18:$GI$18,"&gt;="&amp;$BR87,'Tally Helper'!$L$18:$GI$18,"&lt;="&amp;$BS87)))</f>
        <v/>
      </c>
      <c r="AD87" s="15" t="str">
        <f aca="false">IF(OR(H$7="",$BR87=""),"",IF('Tally Helper'!$B$21&lt;&gt;TRUE(),"not on Staff",SUMIFS('Tally Helper'!$L$23:$GI$23,'Tally Helper'!$L$21:$GI$21,"&gt;="&amp;$BR87,'Tally Helper'!$L$21:$GI$21,"&lt;="&amp;$BS87)))</f>
        <v/>
      </c>
      <c r="AE87" s="15" t="str">
        <f aca="false">IF(OR(I$7="",$BR87=""),"",IF('Tally Helper'!$B$24&lt;&gt;TRUE(),"not on Staff",SUMIFS('Tally Helper'!$L$26:$GI$26,'Tally Helper'!$L$24:$GI$24,"&gt;="&amp;$BR87,'Tally Helper'!$L$24:$GI$24,"&lt;="&amp;$BS87)))</f>
        <v/>
      </c>
      <c r="AF87" s="15" t="str">
        <f aca="false">IF(OR(J$7="",$BR87=""),"",IF('Tally Helper'!$B$27&lt;&gt;TRUE(),"not on Staff",SUMIFS('Tally Helper'!$L$29:$GI$29,'Tally Helper'!$L$27:$GI$27,"&gt;="&amp;$BR87,'Tally Helper'!$L$27:$GI$27,"&lt;="&amp;$BS87)))</f>
        <v/>
      </c>
      <c r="AG87" s="15" t="str">
        <f aca="false">IF(OR(K$7="",$BR87=""),"",IF('Tally Helper'!$B$30&lt;&gt;TRUE(),"not on Staff",SUMIFS('Tally Helper'!$L$32:$GI$32,'Tally Helper'!$L$30:$GI$30,"&gt;="&amp;$BR87,'Tally Helper'!$L$30:$GI$30,"&lt;="&amp;$BS87)))</f>
        <v/>
      </c>
      <c r="AH87" s="15" t="str">
        <f aca="false">IF(OR(L$7="",$BR87=""),"",IF('Tally Helper'!$B$33&lt;&gt;TRUE(),"not on Staff",SUMIFS('Tally Helper'!$L$35:$GI$35,'Tally Helper'!$L$33:$GI$33,"&gt;="&amp;$BR87,'Tally Helper'!$L$33:$GI$33,"&lt;="&amp;$BS87)))</f>
        <v/>
      </c>
      <c r="AI87" s="15" t="str">
        <f aca="false">IF(OR(M$7="",$BR87=""),"",IF('Tally Helper'!$B$36&lt;&gt;TRUE(),"not on Staff",SUMIFS('Tally Helper'!$L$38:$GI$38,'Tally Helper'!$L$36:$GI$36,"&gt;="&amp;$BR87,'Tally Helper'!$L$36:$GI$36,"&lt;="&amp;$BS87)))</f>
        <v/>
      </c>
      <c r="AJ87" s="15" t="str">
        <f aca="false">IF(OR(N$7="",$BR87=""),"",IF('Tally Helper'!$B$39&lt;&gt;TRUE(),"not on Staff",SUMIFS('Tally Helper'!$L$41:$GI$41,'Tally Helper'!$L$39:$GI$39,"&gt;="&amp;$BR87,'Tally Helper'!$L$39:$GI$39,"&lt;="&amp;$BS87)))</f>
        <v/>
      </c>
      <c r="AK87" s="15" t="str">
        <f aca="false">IF(OR(O$7="",$BR87=""),"",IF('Tally Helper'!$B$42&lt;&gt;TRUE(),"not on Staff",SUMIFS('Tally Helper'!$L$44:$GI$44,'Tally Helper'!$L$42:$GI$42,"&gt;="&amp;$BR87,'Tally Helper'!$L$42:$GI$42,"&lt;="&amp;$BS87)))</f>
        <v/>
      </c>
      <c r="AL87" s="15" t="str">
        <f aca="false">IF(OR(P$7="",$BR87=""),"",IF('Tally Helper'!$B$45&lt;&gt;TRUE(),"not on Staff",SUMIFS('Tally Helper'!$L$47:$GI$47,'Tally Helper'!$L$45:$GI$45,"&gt;="&amp;$BR87,'Tally Helper'!$L$45:$GI$45,"&lt;="&amp;$BS87)))</f>
        <v/>
      </c>
      <c r="AM87" s="15" t="str">
        <f aca="false">IF(OR(Q$7="",$BR87=""),"",IF('Tally Helper'!$B$48&lt;&gt;TRUE(),"not on Staff",SUMIFS('Tally Helper'!$L$50:$GI$50,'Tally Helper'!$L$48:$GI$48,"&gt;="&amp;$BR87,'Tally Helper'!$L$48:$GI$48,"&lt;="&amp;$BS87)))</f>
        <v/>
      </c>
      <c r="AN87" s="15" t="str">
        <f aca="false">IF(OR(R$7="",$BR87=""),"",IF('Tally Helper'!$B$51&lt;&gt;TRUE(),"not on Staff",SUMIFS('Tally Helper'!$L$53:$GI$53,'Tally Helper'!$L$51:$GI$51,"&gt;="&amp;$BR87,'Tally Helper'!$L$51:$GI$51,"&lt;="&amp;$BS87)))</f>
        <v/>
      </c>
      <c r="AO87" s="15" t="str">
        <f aca="false">IF(OR(S$7="",$BR87=""),"",IF('Tally Helper'!$B$54&lt;&gt;TRUE(),"not on Staff",SUMIFS('Tally Helper'!$L$56:$GI$56,'Tally Helper'!$L$54:$GI$54,"&gt;="&amp;$BR87,'Tally Helper'!$L$54:$GI$54,"&lt;="&amp;$BS87)))</f>
        <v/>
      </c>
      <c r="AP87" s="15" t="str">
        <f aca="false">IF(OR(T$7="",$BR87=""),"",IF('Tally Helper'!$B$57&lt;&gt;TRUE(),"not on Staff",SUMIFS('Tally Helper'!$L$59:$GI$59,'Tally Helper'!$L$57:$GI$57,"&gt;="&amp;$BR87,'Tally Helper'!$L$57:$GI$57,"&lt;="&amp;$BS87)))</f>
        <v/>
      </c>
      <c r="AQ87" s="15" t="str">
        <f aca="false">IF(OR(U$7="",$BR87=""),"",IF('Tally Helper'!$B$60&lt;&gt;TRUE(),"not on Staff",SUMIFS('Tally Helper'!$L$62:$GI$62,'Tally Helper'!$L$60:$GI$60,"&gt;="&amp;$BR87,'Tally Helper'!$L$60:$GI$60,"&lt;="&amp;$BS87)))</f>
        <v/>
      </c>
      <c r="AT87" s="15" t="str">
        <f aca="false">IF(OR(X87="",NOT(ISNUMBER(X87))),"",X87-N(B87))</f>
        <v/>
      </c>
      <c r="AU87" s="15" t="str">
        <f aca="false">IF(OR(Y87="",NOT(ISNUMBER(Y87))),"",Y87-N(C87))</f>
        <v/>
      </c>
      <c r="AV87" s="15" t="str">
        <f aca="false">IF(OR(Z87="",NOT(ISNUMBER(Z87))),"",Z87-N(D87))</f>
        <v/>
      </c>
      <c r="AW87" s="15" t="str">
        <f aca="false">IF(OR(AA87="",NOT(ISNUMBER(AA87))),"",AA87-N(E87))</f>
        <v/>
      </c>
      <c r="AX87" s="15" t="str">
        <f aca="false">IF(OR(AB87="",NOT(ISNUMBER(AB87))),"",AB87-N(F87))</f>
        <v/>
      </c>
      <c r="AY87" s="15" t="str">
        <f aca="false">IF(OR(AC87="",NOT(ISNUMBER(AC87))),"",AC87-N(G87))</f>
        <v/>
      </c>
      <c r="AZ87" s="15" t="str">
        <f aca="false">IF(OR(AD87="",NOT(ISNUMBER(AD87))),"",AD87-N(H87))</f>
        <v/>
      </c>
      <c r="BA87" s="15" t="str">
        <f aca="false">IF(OR(AE87="",NOT(ISNUMBER(AE87))),"",AE87-N(I87))</f>
        <v/>
      </c>
      <c r="BB87" s="15" t="str">
        <f aca="false">IF(OR(AF87="",NOT(ISNUMBER(AF87))),"",AF87-N(J87))</f>
        <v/>
      </c>
      <c r="BC87" s="15" t="str">
        <f aca="false">IF(OR(AG87="",NOT(ISNUMBER(AG87))),"",AG87-N(K87))</f>
        <v/>
      </c>
      <c r="BD87" s="15" t="str">
        <f aca="false">IF(OR(AH87="",NOT(ISNUMBER(AH87))),"",AH87-N(L87))</f>
        <v/>
      </c>
      <c r="BE87" s="15" t="str">
        <f aca="false">IF(OR(AI87="",NOT(ISNUMBER(AI87))),"",AI87-N(M87))</f>
        <v/>
      </c>
      <c r="BF87" s="15" t="str">
        <f aca="false">IF(OR(AJ87="",NOT(ISNUMBER(AJ87))),"",AJ87-N(N87))</f>
        <v/>
      </c>
      <c r="BG87" s="15" t="str">
        <f aca="false">IF(OR(AK87="",NOT(ISNUMBER(AK87))),"",AK87-N(O87))</f>
        <v/>
      </c>
      <c r="BH87" s="15" t="str">
        <f aca="false">IF(OR(AL87="",NOT(ISNUMBER(AL87))),"",AL87-N(P87))</f>
        <v/>
      </c>
      <c r="BI87" s="15" t="str">
        <f aca="false">IF(OR(AM87="",NOT(ISNUMBER(AM87))),"",AM87-N(Q87))</f>
        <v/>
      </c>
      <c r="BJ87" s="15" t="str">
        <f aca="false">IF(OR(AN87="",NOT(ISNUMBER(AN87))),"",AN87-N(R87))</f>
        <v/>
      </c>
      <c r="BK87" s="15" t="str">
        <f aca="false">IF(OR(AO87="",NOT(ISNUMBER(AO87))),"",AO87-N(S87))</f>
        <v/>
      </c>
      <c r="BL87" s="15" t="str">
        <f aca="false">IF(OR(AP87="",NOT(ISNUMBER(AP87))),"",AP87-N(T87))</f>
        <v/>
      </c>
      <c r="BM87" s="15" t="str">
        <f aca="false">IF(OR(AQ87="",NOT(ISNUMBER(AQ87))),"",AQ87-N(U87))</f>
        <v/>
      </c>
      <c r="BR87" s="18" t="str">
        <f aca="false">IF($A87="","",IF(ISNUMBER($A87),DATE(YEAR($A87),MONTH($A87),1),IFERROR(DATE(2000+VALUE(RIGHT(TRIM($A87),2)),MATCH(UPPER(LEFT(TRIM($A87),3)),{"JAN","FEB","MAR","APR","MAY","JUN","JUL","AUG","SEP","OCT","NOV","DEC"},0),1),"")))</f>
        <v/>
      </c>
      <c r="BS87" s="18" t="str">
        <f aca="false">IF(BR87="","",EOMONTH(BR87,0))</f>
        <v/>
      </c>
    </row>
    <row r="88" customFormat="false" ht="15" hidden="false" customHeight="false" outlineLevel="0" collapsed="false">
      <c r="B88" s="19"/>
      <c r="C88" s="19"/>
      <c r="D88" s="19"/>
      <c r="E88" s="19"/>
      <c r="F88" s="19"/>
      <c r="G88" s="19"/>
      <c r="H88" s="19"/>
      <c r="I88" s="19"/>
      <c r="J88" s="19"/>
      <c r="K88" s="19"/>
      <c r="L88" s="19"/>
      <c r="M88" s="19"/>
      <c r="N88" s="19"/>
      <c r="O88" s="19"/>
      <c r="P88" s="19"/>
      <c r="Q88" s="19"/>
      <c r="R88" s="19"/>
      <c r="S88" s="19"/>
      <c r="T88" s="19"/>
      <c r="U88" s="19"/>
      <c r="X88" s="15" t="str">
        <f aca="false">IF(OR(B$7="",$BR88=""),"",IF('Tally Helper'!$B$3&lt;&gt;TRUE(),"not on Staff",SUMIFS('Tally Helper'!$L$5:$GI$5,'Tally Helper'!$L$3:$GI$3,"&gt;="&amp;$BR88,'Tally Helper'!$L$3:$GI$3,"&lt;="&amp;$BS88)))</f>
        <v/>
      </c>
      <c r="Y88" s="15" t="str">
        <f aca="false">IF(OR(C$7="",$BR88=""),"",IF('Tally Helper'!$B$6&lt;&gt;TRUE(),"not on Staff",SUMIFS('Tally Helper'!$L$8:$GI$8,'Tally Helper'!$L$6:$GI$6,"&gt;="&amp;$BR88,'Tally Helper'!$L$6:$GI$6,"&lt;="&amp;$BS88)))</f>
        <v/>
      </c>
      <c r="Z88" s="15" t="str">
        <f aca="false">IF(OR(D$7="",$BR88=""),"",IF('Tally Helper'!$B$9&lt;&gt;TRUE(),"not on Staff",SUMIFS('Tally Helper'!$L$11:$GI$11,'Tally Helper'!$L$9:$GI$9,"&gt;="&amp;$BR88,'Tally Helper'!$L$9:$GI$9,"&lt;="&amp;$BS88)))</f>
        <v/>
      </c>
      <c r="AA88" s="15" t="str">
        <f aca="false">IF(OR(E$7="",$BR88=""),"",IF('Tally Helper'!$B$12&lt;&gt;TRUE(),"not on Staff",SUMIFS('Tally Helper'!$L$14:$GI$14,'Tally Helper'!$L$12:$GI$12,"&gt;="&amp;$BR88,'Tally Helper'!$L$12:$GI$12,"&lt;="&amp;$BS88)))</f>
        <v/>
      </c>
      <c r="AB88" s="15" t="str">
        <f aca="false">IF(OR(F$7="",$BR88=""),"",IF('Tally Helper'!$B$15&lt;&gt;TRUE(),"not on Staff",SUMIFS('Tally Helper'!$L$17:$GI$17,'Tally Helper'!$L$15:$GI$15,"&gt;="&amp;$BR88,'Tally Helper'!$L$15:$GI$15,"&lt;="&amp;$BS88)))</f>
        <v/>
      </c>
      <c r="AC88" s="15" t="str">
        <f aca="false">IF(OR(G$7="",$BR88=""),"",IF('Tally Helper'!$B$18&lt;&gt;TRUE(),"not on Staff",SUMIFS('Tally Helper'!$L$20:$GI$20,'Tally Helper'!$L$18:$GI$18,"&gt;="&amp;$BR88,'Tally Helper'!$L$18:$GI$18,"&lt;="&amp;$BS88)))</f>
        <v/>
      </c>
      <c r="AD88" s="15" t="str">
        <f aca="false">IF(OR(H$7="",$BR88=""),"",IF('Tally Helper'!$B$21&lt;&gt;TRUE(),"not on Staff",SUMIFS('Tally Helper'!$L$23:$GI$23,'Tally Helper'!$L$21:$GI$21,"&gt;="&amp;$BR88,'Tally Helper'!$L$21:$GI$21,"&lt;="&amp;$BS88)))</f>
        <v/>
      </c>
      <c r="AE88" s="15" t="str">
        <f aca="false">IF(OR(I$7="",$BR88=""),"",IF('Tally Helper'!$B$24&lt;&gt;TRUE(),"not on Staff",SUMIFS('Tally Helper'!$L$26:$GI$26,'Tally Helper'!$L$24:$GI$24,"&gt;="&amp;$BR88,'Tally Helper'!$L$24:$GI$24,"&lt;="&amp;$BS88)))</f>
        <v/>
      </c>
      <c r="AF88" s="15" t="str">
        <f aca="false">IF(OR(J$7="",$BR88=""),"",IF('Tally Helper'!$B$27&lt;&gt;TRUE(),"not on Staff",SUMIFS('Tally Helper'!$L$29:$GI$29,'Tally Helper'!$L$27:$GI$27,"&gt;="&amp;$BR88,'Tally Helper'!$L$27:$GI$27,"&lt;="&amp;$BS88)))</f>
        <v/>
      </c>
      <c r="AG88" s="15" t="str">
        <f aca="false">IF(OR(K$7="",$BR88=""),"",IF('Tally Helper'!$B$30&lt;&gt;TRUE(),"not on Staff",SUMIFS('Tally Helper'!$L$32:$GI$32,'Tally Helper'!$L$30:$GI$30,"&gt;="&amp;$BR88,'Tally Helper'!$L$30:$GI$30,"&lt;="&amp;$BS88)))</f>
        <v/>
      </c>
      <c r="AH88" s="15" t="str">
        <f aca="false">IF(OR(L$7="",$BR88=""),"",IF('Tally Helper'!$B$33&lt;&gt;TRUE(),"not on Staff",SUMIFS('Tally Helper'!$L$35:$GI$35,'Tally Helper'!$L$33:$GI$33,"&gt;="&amp;$BR88,'Tally Helper'!$L$33:$GI$33,"&lt;="&amp;$BS88)))</f>
        <v/>
      </c>
      <c r="AI88" s="15" t="str">
        <f aca="false">IF(OR(M$7="",$BR88=""),"",IF('Tally Helper'!$B$36&lt;&gt;TRUE(),"not on Staff",SUMIFS('Tally Helper'!$L$38:$GI$38,'Tally Helper'!$L$36:$GI$36,"&gt;="&amp;$BR88,'Tally Helper'!$L$36:$GI$36,"&lt;="&amp;$BS88)))</f>
        <v/>
      </c>
      <c r="AJ88" s="15" t="str">
        <f aca="false">IF(OR(N$7="",$BR88=""),"",IF('Tally Helper'!$B$39&lt;&gt;TRUE(),"not on Staff",SUMIFS('Tally Helper'!$L$41:$GI$41,'Tally Helper'!$L$39:$GI$39,"&gt;="&amp;$BR88,'Tally Helper'!$L$39:$GI$39,"&lt;="&amp;$BS88)))</f>
        <v/>
      </c>
      <c r="AK88" s="15" t="str">
        <f aca="false">IF(OR(O$7="",$BR88=""),"",IF('Tally Helper'!$B$42&lt;&gt;TRUE(),"not on Staff",SUMIFS('Tally Helper'!$L$44:$GI$44,'Tally Helper'!$L$42:$GI$42,"&gt;="&amp;$BR88,'Tally Helper'!$L$42:$GI$42,"&lt;="&amp;$BS88)))</f>
        <v/>
      </c>
      <c r="AL88" s="15" t="str">
        <f aca="false">IF(OR(P$7="",$BR88=""),"",IF('Tally Helper'!$B$45&lt;&gt;TRUE(),"not on Staff",SUMIFS('Tally Helper'!$L$47:$GI$47,'Tally Helper'!$L$45:$GI$45,"&gt;="&amp;$BR88,'Tally Helper'!$L$45:$GI$45,"&lt;="&amp;$BS88)))</f>
        <v/>
      </c>
      <c r="AM88" s="15" t="str">
        <f aca="false">IF(OR(Q$7="",$BR88=""),"",IF('Tally Helper'!$B$48&lt;&gt;TRUE(),"not on Staff",SUMIFS('Tally Helper'!$L$50:$GI$50,'Tally Helper'!$L$48:$GI$48,"&gt;="&amp;$BR88,'Tally Helper'!$L$48:$GI$48,"&lt;="&amp;$BS88)))</f>
        <v/>
      </c>
      <c r="AN88" s="15" t="str">
        <f aca="false">IF(OR(R$7="",$BR88=""),"",IF('Tally Helper'!$B$51&lt;&gt;TRUE(),"not on Staff",SUMIFS('Tally Helper'!$L$53:$GI$53,'Tally Helper'!$L$51:$GI$51,"&gt;="&amp;$BR88,'Tally Helper'!$L$51:$GI$51,"&lt;="&amp;$BS88)))</f>
        <v/>
      </c>
      <c r="AO88" s="15" t="str">
        <f aca="false">IF(OR(S$7="",$BR88=""),"",IF('Tally Helper'!$B$54&lt;&gt;TRUE(),"not on Staff",SUMIFS('Tally Helper'!$L$56:$GI$56,'Tally Helper'!$L$54:$GI$54,"&gt;="&amp;$BR88,'Tally Helper'!$L$54:$GI$54,"&lt;="&amp;$BS88)))</f>
        <v/>
      </c>
      <c r="AP88" s="15" t="str">
        <f aca="false">IF(OR(T$7="",$BR88=""),"",IF('Tally Helper'!$B$57&lt;&gt;TRUE(),"not on Staff",SUMIFS('Tally Helper'!$L$59:$GI$59,'Tally Helper'!$L$57:$GI$57,"&gt;="&amp;$BR88,'Tally Helper'!$L$57:$GI$57,"&lt;="&amp;$BS88)))</f>
        <v/>
      </c>
      <c r="AQ88" s="15" t="str">
        <f aca="false">IF(OR(U$7="",$BR88=""),"",IF('Tally Helper'!$B$60&lt;&gt;TRUE(),"not on Staff",SUMIFS('Tally Helper'!$L$62:$GI$62,'Tally Helper'!$L$60:$GI$60,"&gt;="&amp;$BR88,'Tally Helper'!$L$60:$GI$60,"&lt;="&amp;$BS88)))</f>
        <v/>
      </c>
      <c r="AT88" s="15" t="str">
        <f aca="false">IF(OR(X88="",NOT(ISNUMBER(X88))),"",X88-N(B88))</f>
        <v/>
      </c>
      <c r="AU88" s="15" t="str">
        <f aca="false">IF(OR(Y88="",NOT(ISNUMBER(Y88))),"",Y88-N(C88))</f>
        <v/>
      </c>
      <c r="AV88" s="15" t="str">
        <f aca="false">IF(OR(Z88="",NOT(ISNUMBER(Z88))),"",Z88-N(D88))</f>
        <v/>
      </c>
      <c r="AW88" s="15" t="str">
        <f aca="false">IF(OR(AA88="",NOT(ISNUMBER(AA88))),"",AA88-N(E88))</f>
        <v/>
      </c>
      <c r="AX88" s="15" t="str">
        <f aca="false">IF(OR(AB88="",NOT(ISNUMBER(AB88))),"",AB88-N(F88))</f>
        <v/>
      </c>
      <c r="AY88" s="15" t="str">
        <f aca="false">IF(OR(AC88="",NOT(ISNUMBER(AC88))),"",AC88-N(G88))</f>
        <v/>
      </c>
      <c r="AZ88" s="15" t="str">
        <f aca="false">IF(OR(AD88="",NOT(ISNUMBER(AD88))),"",AD88-N(H88))</f>
        <v/>
      </c>
      <c r="BA88" s="15" t="str">
        <f aca="false">IF(OR(AE88="",NOT(ISNUMBER(AE88))),"",AE88-N(I88))</f>
        <v/>
      </c>
      <c r="BB88" s="15" t="str">
        <f aca="false">IF(OR(AF88="",NOT(ISNUMBER(AF88))),"",AF88-N(J88))</f>
        <v/>
      </c>
      <c r="BC88" s="15" t="str">
        <f aca="false">IF(OR(AG88="",NOT(ISNUMBER(AG88))),"",AG88-N(K88))</f>
        <v/>
      </c>
      <c r="BD88" s="15" t="str">
        <f aca="false">IF(OR(AH88="",NOT(ISNUMBER(AH88))),"",AH88-N(L88))</f>
        <v/>
      </c>
      <c r="BE88" s="15" t="str">
        <f aca="false">IF(OR(AI88="",NOT(ISNUMBER(AI88))),"",AI88-N(M88))</f>
        <v/>
      </c>
      <c r="BF88" s="15" t="str">
        <f aca="false">IF(OR(AJ88="",NOT(ISNUMBER(AJ88))),"",AJ88-N(N88))</f>
        <v/>
      </c>
      <c r="BG88" s="15" t="str">
        <f aca="false">IF(OR(AK88="",NOT(ISNUMBER(AK88))),"",AK88-N(O88))</f>
        <v/>
      </c>
      <c r="BH88" s="15" t="str">
        <f aca="false">IF(OR(AL88="",NOT(ISNUMBER(AL88))),"",AL88-N(P88))</f>
        <v/>
      </c>
      <c r="BI88" s="15" t="str">
        <f aca="false">IF(OR(AM88="",NOT(ISNUMBER(AM88))),"",AM88-N(Q88))</f>
        <v/>
      </c>
      <c r="BJ88" s="15" t="str">
        <f aca="false">IF(OR(AN88="",NOT(ISNUMBER(AN88))),"",AN88-N(R88))</f>
        <v/>
      </c>
      <c r="BK88" s="15" t="str">
        <f aca="false">IF(OR(AO88="",NOT(ISNUMBER(AO88))),"",AO88-N(S88))</f>
        <v/>
      </c>
      <c r="BL88" s="15" t="str">
        <f aca="false">IF(OR(AP88="",NOT(ISNUMBER(AP88))),"",AP88-N(T88))</f>
        <v/>
      </c>
      <c r="BM88" s="15" t="str">
        <f aca="false">IF(OR(AQ88="",NOT(ISNUMBER(AQ88))),"",AQ88-N(U88))</f>
        <v/>
      </c>
      <c r="BR88" s="18" t="str">
        <f aca="false">IF($A88="","",IF(ISNUMBER($A88),DATE(YEAR($A88),MONTH($A88),1),IFERROR(DATE(2000+VALUE(RIGHT(TRIM($A88),2)),MATCH(UPPER(LEFT(TRIM($A88),3)),{"JAN","FEB","MAR","APR","MAY","JUN","JUL","AUG","SEP","OCT","NOV","DEC"},0),1),"")))</f>
        <v/>
      </c>
      <c r="BS88" s="18" t="str">
        <f aca="false">IF(BR88="","",EOMONTH(BR88,0))</f>
        <v/>
      </c>
    </row>
    <row r="89" customFormat="false" ht="15" hidden="false" customHeight="false" outlineLevel="0" collapsed="false">
      <c r="B89" s="19"/>
      <c r="C89" s="19"/>
      <c r="D89" s="19"/>
      <c r="E89" s="19"/>
      <c r="F89" s="19"/>
      <c r="G89" s="19"/>
      <c r="H89" s="19"/>
      <c r="I89" s="19"/>
      <c r="J89" s="19"/>
      <c r="K89" s="19"/>
      <c r="L89" s="19"/>
      <c r="M89" s="19"/>
      <c r="N89" s="19"/>
      <c r="O89" s="19"/>
      <c r="P89" s="19"/>
      <c r="Q89" s="19"/>
      <c r="R89" s="19"/>
      <c r="S89" s="19"/>
      <c r="T89" s="19"/>
      <c r="U89" s="19"/>
      <c r="X89" s="15" t="str">
        <f aca="false">IF(OR(B$7="",$BR89=""),"",IF('Tally Helper'!$B$3&lt;&gt;TRUE(),"not on Staff",SUMIFS('Tally Helper'!$L$5:$GI$5,'Tally Helper'!$L$3:$GI$3,"&gt;="&amp;$BR89,'Tally Helper'!$L$3:$GI$3,"&lt;="&amp;$BS89)))</f>
        <v/>
      </c>
      <c r="Y89" s="15" t="str">
        <f aca="false">IF(OR(C$7="",$BR89=""),"",IF('Tally Helper'!$B$6&lt;&gt;TRUE(),"not on Staff",SUMIFS('Tally Helper'!$L$8:$GI$8,'Tally Helper'!$L$6:$GI$6,"&gt;="&amp;$BR89,'Tally Helper'!$L$6:$GI$6,"&lt;="&amp;$BS89)))</f>
        <v/>
      </c>
      <c r="Z89" s="15" t="str">
        <f aca="false">IF(OR(D$7="",$BR89=""),"",IF('Tally Helper'!$B$9&lt;&gt;TRUE(),"not on Staff",SUMIFS('Tally Helper'!$L$11:$GI$11,'Tally Helper'!$L$9:$GI$9,"&gt;="&amp;$BR89,'Tally Helper'!$L$9:$GI$9,"&lt;="&amp;$BS89)))</f>
        <v/>
      </c>
      <c r="AA89" s="15" t="str">
        <f aca="false">IF(OR(E$7="",$BR89=""),"",IF('Tally Helper'!$B$12&lt;&gt;TRUE(),"not on Staff",SUMIFS('Tally Helper'!$L$14:$GI$14,'Tally Helper'!$L$12:$GI$12,"&gt;="&amp;$BR89,'Tally Helper'!$L$12:$GI$12,"&lt;="&amp;$BS89)))</f>
        <v/>
      </c>
      <c r="AB89" s="15" t="str">
        <f aca="false">IF(OR(F$7="",$BR89=""),"",IF('Tally Helper'!$B$15&lt;&gt;TRUE(),"not on Staff",SUMIFS('Tally Helper'!$L$17:$GI$17,'Tally Helper'!$L$15:$GI$15,"&gt;="&amp;$BR89,'Tally Helper'!$L$15:$GI$15,"&lt;="&amp;$BS89)))</f>
        <v/>
      </c>
      <c r="AC89" s="15" t="str">
        <f aca="false">IF(OR(G$7="",$BR89=""),"",IF('Tally Helper'!$B$18&lt;&gt;TRUE(),"not on Staff",SUMIFS('Tally Helper'!$L$20:$GI$20,'Tally Helper'!$L$18:$GI$18,"&gt;="&amp;$BR89,'Tally Helper'!$L$18:$GI$18,"&lt;="&amp;$BS89)))</f>
        <v/>
      </c>
      <c r="AD89" s="15" t="str">
        <f aca="false">IF(OR(H$7="",$BR89=""),"",IF('Tally Helper'!$B$21&lt;&gt;TRUE(),"not on Staff",SUMIFS('Tally Helper'!$L$23:$GI$23,'Tally Helper'!$L$21:$GI$21,"&gt;="&amp;$BR89,'Tally Helper'!$L$21:$GI$21,"&lt;="&amp;$BS89)))</f>
        <v/>
      </c>
      <c r="AE89" s="15" t="str">
        <f aca="false">IF(OR(I$7="",$BR89=""),"",IF('Tally Helper'!$B$24&lt;&gt;TRUE(),"not on Staff",SUMIFS('Tally Helper'!$L$26:$GI$26,'Tally Helper'!$L$24:$GI$24,"&gt;="&amp;$BR89,'Tally Helper'!$L$24:$GI$24,"&lt;="&amp;$BS89)))</f>
        <v/>
      </c>
      <c r="AF89" s="15" t="str">
        <f aca="false">IF(OR(J$7="",$BR89=""),"",IF('Tally Helper'!$B$27&lt;&gt;TRUE(),"not on Staff",SUMIFS('Tally Helper'!$L$29:$GI$29,'Tally Helper'!$L$27:$GI$27,"&gt;="&amp;$BR89,'Tally Helper'!$L$27:$GI$27,"&lt;="&amp;$BS89)))</f>
        <v/>
      </c>
      <c r="AG89" s="15" t="str">
        <f aca="false">IF(OR(K$7="",$BR89=""),"",IF('Tally Helper'!$B$30&lt;&gt;TRUE(),"not on Staff",SUMIFS('Tally Helper'!$L$32:$GI$32,'Tally Helper'!$L$30:$GI$30,"&gt;="&amp;$BR89,'Tally Helper'!$L$30:$GI$30,"&lt;="&amp;$BS89)))</f>
        <v/>
      </c>
      <c r="AH89" s="15" t="str">
        <f aca="false">IF(OR(L$7="",$BR89=""),"",IF('Tally Helper'!$B$33&lt;&gt;TRUE(),"not on Staff",SUMIFS('Tally Helper'!$L$35:$GI$35,'Tally Helper'!$L$33:$GI$33,"&gt;="&amp;$BR89,'Tally Helper'!$L$33:$GI$33,"&lt;="&amp;$BS89)))</f>
        <v/>
      </c>
      <c r="AI89" s="15" t="str">
        <f aca="false">IF(OR(M$7="",$BR89=""),"",IF('Tally Helper'!$B$36&lt;&gt;TRUE(),"not on Staff",SUMIFS('Tally Helper'!$L$38:$GI$38,'Tally Helper'!$L$36:$GI$36,"&gt;="&amp;$BR89,'Tally Helper'!$L$36:$GI$36,"&lt;="&amp;$BS89)))</f>
        <v/>
      </c>
      <c r="AJ89" s="15" t="str">
        <f aca="false">IF(OR(N$7="",$BR89=""),"",IF('Tally Helper'!$B$39&lt;&gt;TRUE(),"not on Staff",SUMIFS('Tally Helper'!$L$41:$GI$41,'Tally Helper'!$L$39:$GI$39,"&gt;="&amp;$BR89,'Tally Helper'!$L$39:$GI$39,"&lt;="&amp;$BS89)))</f>
        <v/>
      </c>
      <c r="AK89" s="15" t="str">
        <f aca="false">IF(OR(O$7="",$BR89=""),"",IF('Tally Helper'!$B$42&lt;&gt;TRUE(),"not on Staff",SUMIFS('Tally Helper'!$L$44:$GI$44,'Tally Helper'!$L$42:$GI$42,"&gt;="&amp;$BR89,'Tally Helper'!$L$42:$GI$42,"&lt;="&amp;$BS89)))</f>
        <v/>
      </c>
      <c r="AL89" s="15" t="str">
        <f aca="false">IF(OR(P$7="",$BR89=""),"",IF('Tally Helper'!$B$45&lt;&gt;TRUE(),"not on Staff",SUMIFS('Tally Helper'!$L$47:$GI$47,'Tally Helper'!$L$45:$GI$45,"&gt;="&amp;$BR89,'Tally Helper'!$L$45:$GI$45,"&lt;="&amp;$BS89)))</f>
        <v/>
      </c>
      <c r="AM89" s="15" t="str">
        <f aca="false">IF(OR(Q$7="",$BR89=""),"",IF('Tally Helper'!$B$48&lt;&gt;TRUE(),"not on Staff",SUMIFS('Tally Helper'!$L$50:$GI$50,'Tally Helper'!$L$48:$GI$48,"&gt;="&amp;$BR89,'Tally Helper'!$L$48:$GI$48,"&lt;="&amp;$BS89)))</f>
        <v/>
      </c>
      <c r="AN89" s="15" t="str">
        <f aca="false">IF(OR(R$7="",$BR89=""),"",IF('Tally Helper'!$B$51&lt;&gt;TRUE(),"not on Staff",SUMIFS('Tally Helper'!$L$53:$GI$53,'Tally Helper'!$L$51:$GI$51,"&gt;="&amp;$BR89,'Tally Helper'!$L$51:$GI$51,"&lt;="&amp;$BS89)))</f>
        <v/>
      </c>
      <c r="AO89" s="15" t="str">
        <f aca="false">IF(OR(S$7="",$BR89=""),"",IF('Tally Helper'!$B$54&lt;&gt;TRUE(),"not on Staff",SUMIFS('Tally Helper'!$L$56:$GI$56,'Tally Helper'!$L$54:$GI$54,"&gt;="&amp;$BR89,'Tally Helper'!$L$54:$GI$54,"&lt;="&amp;$BS89)))</f>
        <v/>
      </c>
      <c r="AP89" s="15" t="str">
        <f aca="false">IF(OR(T$7="",$BR89=""),"",IF('Tally Helper'!$B$57&lt;&gt;TRUE(),"not on Staff",SUMIFS('Tally Helper'!$L$59:$GI$59,'Tally Helper'!$L$57:$GI$57,"&gt;="&amp;$BR89,'Tally Helper'!$L$57:$GI$57,"&lt;="&amp;$BS89)))</f>
        <v/>
      </c>
      <c r="AQ89" s="15" t="str">
        <f aca="false">IF(OR(U$7="",$BR89=""),"",IF('Tally Helper'!$B$60&lt;&gt;TRUE(),"not on Staff",SUMIFS('Tally Helper'!$L$62:$GI$62,'Tally Helper'!$L$60:$GI$60,"&gt;="&amp;$BR89,'Tally Helper'!$L$60:$GI$60,"&lt;="&amp;$BS89)))</f>
        <v/>
      </c>
      <c r="AT89" s="15" t="str">
        <f aca="false">IF(OR(X89="",NOT(ISNUMBER(X89))),"",X89-N(B89))</f>
        <v/>
      </c>
      <c r="AU89" s="15" t="str">
        <f aca="false">IF(OR(Y89="",NOT(ISNUMBER(Y89))),"",Y89-N(C89))</f>
        <v/>
      </c>
      <c r="AV89" s="15" t="str">
        <f aca="false">IF(OR(Z89="",NOT(ISNUMBER(Z89))),"",Z89-N(D89))</f>
        <v/>
      </c>
      <c r="AW89" s="15" t="str">
        <f aca="false">IF(OR(AA89="",NOT(ISNUMBER(AA89))),"",AA89-N(E89))</f>
        <v/>
      </c>
      <c r="AX89" s="15" t="str">
        <f aca="false">IF(OR(AB89="",NOT(ISNUMBER(AB89))),"",AB89-N(F89))</f>
        <v/>
      </c>
      <c r="AY89" s="15" t="str">
        <f aca="false">IF(OR(AC89="",NOT(ISNUMBER(AC89))),"",AC89-N(G89))</f>
        <v/>
      </c>
      <c r="AZ89" s="15" t="str">
        <f aca="false">IF(OR(AD89="",NOT(ISNUMBER(AD89))),"",AD89-N(H89))</f>
        <v/>
      </c>
      <c r="BA89" s="15" t="str">
        <f aca="false">IF(OR(AE89="",NOT(ISNUMBER(AE89))),"",AE89-N(I89))</f>
        <v/>
      </c>
      <c r="BB89" s="15" t="str">
        <f aca="false">IF(OR(AF89="",NOT(ISNUMBER(AF89))),"",AF89-N(J89))</f>
        <v/>
      </c>
      <c r="BC89" s="15" t="str">
        <f aca="false">IF(OR(AG89="",NOT(ISNUMBER(AG89))),"",AG89-N(K89))</f>
        <v/>
      </c>
      <c r="BD89" s="15" t="str">
        <f aca="false">IF(OR(AH89="",NOT(ISNUMBER(AH89))),"",AH89-N(L89))</f>
        <v/>
      </c>
      <c r="BE89" s="15" t="str">
        <f aca="false">IF(OR(AI89="",NOT(ISNUMBER(AI89))),"",AI89-N(M89))</f>
        <v/>
      </c>
      <c r="BF89" s="15" t="str">
        <f aca="false">IF(OR(AJ89="",NOT(ISNUMBER(AJ89))),"",AJ89-N(N89))</f>
        <v/>
      </c>
      <c r="BG89" s="15" t="str">
        <f aca="false">IF(OR(AK89="",NOT(ISNUMBER(AK89))),"",AK89-N(O89))</f>
        <v/>
      </c>
      <c r="BH89" s="15" t="str">
        <f aca="false">IF(OR(AL89="",NOT(ISNUMBER(AL89))),"",AL89-N(P89))</f>
        <v/>
      </c>
      <c r="BI89" s="15" t="str">
        <f aca="false">IF(OR(AM89="",NOT(ISNUMBER(AM89))),"",AM89-N(Q89))</f>
        <v/>
      </c>
      <c r="BJ89" s="15" t="str">
        <f aca="false">IF(OR(AN89="",NOT(ISNUMBER(AN89))),"",AN89-N(R89))</f>
        <v/>
      </c>
      <c r="BK89" s="15" t="str">
        <f aca="false">IF(OR(AO89="",NOT(ISNUMBER(AO89))),"",AO89-N(S89))</f>
        <v/>
      </c>
      <c r="BL89" s="15" t="str">
        <f aca="false">IF(OR(AP89="",NOT(ISNUMBER(AP89))),"",AP89-N(T89))</f>
        <v/>
      </c>
      <c r="BM89" s="15" t="str">
        <f aca="false">IF(OR(AQ89="",NOT(ISNUMBER(AQ89))),"",AQ89-N(U89))</f>
        <v/>
      </c>
      <c r="BR89" s="18" t="str">
        <f aca="false">IF($A89="","",IF(ISNUMBER($A89),DATE(YEAR($A89),MONTH($A89),1),IFERROR(DATE(2000+VALUE(RIGHT(TRIM($A89),2)),MATCH(UPPER(LEFT(TRIM($A89),3)),{"JAN","FEB","MAR","APR","MAY","JUN","JUL","AUG","SEP","OCT","NOV","DEC"},0),1),"")))</f>
        <v/>
      </c>
      <c r="BS89" s="18" t="str">
        <f aca="false">IF(BR89="","",EOMONTH(BR89,0))</f>
        <v/>
      </c>
    </row>
    <row r="90" customFormat="false" ht="15" hidden="false" customHeight="false" outlineLevel="0" collapsed="false">
      <c r="B90" s="19"/>
      <c r="C90" s="19"/>
      <c r="D90" s="19"/>
      <c r="E90" s="19"/>
      <c r="F90" s="19"/>
      <c r="G90" s="19"/>
      <c r="H90" s="19"/>
      <c r="I90" s="19"/>
      <c r="J90" s="19"/>
      <c r="K90" s="19"/>
      <c r="L90" s="19"/>
      <c r="M90" s="19"/>
      <c r="N90" s="19"/>
      <c r="O90" s="19"/>
      <c r="P90" s="19"/>
      <c r="Q90" s="19"/>
      <c r="R90" s="19"/>
      <c r="S90" s="19"/>
      <c r="T90" s="19"/>
      <c r="U90" s="19"/>
      <c r="X90" s="15" t="str">
        <f aca="false">IF(OR(B$7="",$BR90=""),"",IF('Tally Helper'!$B$3&lt;&gt;TRUE(),"not on Staff",SUMIFS('Tally Helper'!$L$5:$GI$5,'Tally Helper'!$L$3:$GI$3,"&gt;="&amp;$BR90,'Tally Helper'!$L$3:$GI$3,"&lt;="&amp;$BS90)))</f>
        <v/>
      </c>
      <c r="Y90" s="15" t="str">
        <f aca="false">IF(OR(C$7="",$BR90=""),"",IF('Tally Helper'!$B$6&lt;&gt;TRUE(),"not on Staff",SUMIFS('Tally Helper'!$L$8:$GI$8,'Tally Helper'!$L$6:$GI$6,"&gt;="&amp;$BR90,'Tally Helper'!$L$6:$GI$6,"&lt;="&amp;$BS90)))</f>
        <v/>
      </c>
      <c r="Z90" s="15" t="str">
        <f aca="false">IF(OR(D$7="",$BR90=""),"",IF('Tally Helper'!$B$9&lt;&gt;TRUE(),"not on Staff",SUMIFS('Tally Helper'!$L$11:$GI$11,'Tally Helper'!$L$9:$GI$9,"&gt;="&amp;$BR90,'Tally Helper'!$L$9:$GI$9,"&lt;="&amp;$BS90)))</f>
        <v/>
      </c>
      <c r="AA90" s="15" t="str">
        <f aca="false">IF(OR(E$7="",$BR90=""),"",IF('Tally Helper'!$B$12&lt;&gt;TRUE(),"not on Staff",SUMIFS('Tally Helper'!$L$14:$GI$14,'Tally Helper'!$L$12:$GI$12,"&gt;="&amp;$BR90,'Tally Helper'!$L$12:$GI$12,"&lt;="&amp;$BS90)))</f>
        <v/>
      </c>
      <c r="AB90" s="15" t="str">
        <f aca="false">IF(OR(F$7="",$BR90=""),"",IF('Tally Helper'!$B$15&lt;&gt;TRUE(),"not on Staff",SUMIFS('Tally Helper'!$L$17:$GI$17,'Tally Helper'!$L$15:$GI$15,"&gt;="&amp;$BR90,'Tally Helper'!$L$15:$GI$15,"&lt;="&amp;$BS90)))</f>
        <v/>
      </c>
      <c r="AC90" s="15" t="str">
        <f aca="false">IF(OR(G$7="",$BR90=""),"",IF('Tally Helper'!$B$18&lt;&gt;TRUE(),"not on Staff",SUMIFS('Tally Helper'!$L$20:$GI$20,'Tally Helper'!$L$18:$GI$18,"&gt;="&amp;$BR90,'Tally Helper'!$L$18:$GI$18,"&lt;="&amp;$BS90)))</f>
        <v/>
      </c>
      <c r="AD90" s="15" t="str">
        <f aca="false">IF(OR(H$7="",$BR90=""),"",IF('Tally Helper'!$B$21&lt;&gt;TRUE(),"not on Staff",SUMIFS('Tally Helper'!$L$23:$GI$23,'Tally Helper'!$L$21:$GI$21,"&gt;="&amp;$BR90,'Tally Helper'!$L$21:$GI$21,"&lt;="&amp;$BS90)))</f>
        <v/>
      </c>
      <c r="AE90" s="15" t="str">
        <f aca="false">IF(OR(I$7="",$BR90=""),"",IF('Tally Helper'!$B$24&lt;&gt;TRUE(),"not on Staff",SUMIFS('Tally Helper'!$L$26:$GI$26,'Tally Helper'!$L$24:$GI$24,"&gt;="&amp;$BR90,'Tally Helper'!$L$24:$GI$24,"&lt;="&amp;$BS90)))</f>
        <v/>
      </c>
      <c r="AF90" s="15" t="str">
        <f aca="false">IF(OR(J$7="",$BR90=""),"",IF('Tally Helper'!$B$27&lt;&gt;TRUE(),"not on Staff",SUMIFS('Tally Helper'!$L$29:$GI$29,'Tally Helper'!$L$27:$GI$27,"&gt;="&amp;$BR90,'Tally Helper'!$L$27:$GI$27,"&lt;="&amp;$BS90)))</f>
        <v/>
      </c>
      <c r="AG90" s="15" t="str">
        <f aca="false">IF(OR(K$7="",$BR90=""),"",IF('Tally Helper'!$B$30&lt;&gt;TRUE(),"not on Staff",SUMIFS('Tally Helper'!$L$32:$GI$32,'Tally Helper'!$L$30:$GI$30,"&gt;="&amp;$BR90,'Tally Helper'!$L$30:$GI$30,"&lt;="&amp;$BS90)))</f>
        <v/>
      </c>
      <c r="AH90" s="15" t="str">
        <f aca="false">IF(OR(L$7="",$BR90=""),"",IF('Tally Helper'!$B$33&lt;&gt;TRUE(),"not on Staff",SUMIFS('Tally Helper'!$L$35:$GI$35,'Tally Helper'!$L$33:$GI$33,"&gt;="&amp;$BR90,'Tally Helper'!$L$33:$GI$33,"&lt;="&amp;$BS90)))</f>
        <v/>
      </c>
      <c r="AI90" s="15" t="str">
        <f aca="false">IF(OR(M$7="",$BR90=""),"",IF('Tally Helper'!$B$36&lt;&gt;TRUE(),"not on Staff",SUMIFS('Tally Helper'!$L$38:$GI$38,'Tally Helper'!$L$36:$GI$36,"&gt;="&amp;$BR90,'Tally Helper'!$L$36:$GI$36,"&lt;="&amp;$BS90)))</f>
        <v/>
      </c>
      <c r="AJ90" s="15" t="str">
        <f aca="false">IF(OR(N$7="",$BR90=""),"",IF('Tally Helper'!$B$39&lt;&gt;TRUE(),"not on Staff",SUMIFS('Tally Helper'!$L$41:$GI$41,'Tally Helper'!$L$39:$GI$39,"&gt;="&amp;$BR90,'Tally Helper'!$L$39:$GI$39,"&lt;="&amp;$BS90)))</f>
        <v/>
      </c>
      <c r="AK90" s="15" t="str">
        <f aca="false">IF(OR(O$7="",$BR90=""),"",IF('Tally Helper'!$B$42&lt;&gt;TRUE(),"not on Staff",SUMIFS('Tally Helper'!$L$44:$GI$44,'Tally Helper'!$L$42:$GI$42,"&gt;="&amp;$BR90,'Tally Helper'!$L$42:$GI$42,"&lt;="&amp;$BS90)))</f>
        <v/>
      </c>
      <c r="AL90" s="15" t="str">
        <f aca="false">IF(OR(P$7="",$BR90=""),"",IF('Tally Helper'!$B$45&lt;&gt;TRUE(),"not on Staff",SUMIFS('Tally Helper'!$L$47:$GI$47,'Tally Helper'!$L$45:$GI$45,"&gt;="&amp;$BR90,'Tally Helper'!$L$45:$GI$45,"&lt;="&amp;$BS90)))</f>
        <v/>
      </c>
      <c r="AM90" s="15" t="str">
        <f aca="false">IF(OR(Q$7="",$BR90=""),"",IF('Tally Helper'!$B$48&lt;&gt;TRUE(),"not on Staff",SUMIFS('Tally Helper'!$L$50:$GI$50,'Tally Helper'!$L$48:$GI$48,"&gt;="&amp;$BR90,'Tally Helper'!$L$48:$GI$48,"&lt;="&amp;$BS90)))</f>
        <v/>
      </c>
      <c r="AN90" s="15" t="str">
        <f aca="false">IF(OR(R$7="",$BR90=""),"",IF('Tally Helper'!$B$51&lt;&gt;TRUE(),"not on Staff",SUMIFS('Tally Helper'!$L$53:$GI$53,'Tally Helper'!$L$51:$GI$51,"&gt;="&amp;$BR90,'Tally Helper'!$L$51:$GI$51,"&lt;="&amp;$BS90)))</f>
        <v/>
      </c>
      <c r="AO90" s="15" t="str">
        <f aca="false">IF(OR(S$7="",$BR90=""),"",IF('Tally Helper'!$B$54&lt;&gt;TRUE(),"not on Staff",SUMIFS('Tally Helper'!$L$56:$GI$56,'Tally Helper'!$L$54:$GI$54,"&gt;="&amp;$BR90,'Tally Helper'!$L$54:$GI$54,"&lt;="&amp;$BS90)))</f>
        <v/>
      </c>
      <c r="AP90" s="15" t="str">
        <f aca="false">IF(OR(T$7="",$BR90=""),"",IF('Tally Helper'!$B$57&lt;&gt;TRUE(),"not on Staff",SUMIFS('Tally Helper'!$L$59:$GI$59,'Tally Helper'!$L$57:$GI$57,"&gt;="&amp;$BR90,'Tally Helper'!$L$57:$GI$57,"&lt;="&amp;$BS90)))</f>
        <v/>
      </c>
      <c r="AQ90" s="15" t="str">
        <f aca="false">IF(OR(U$7="",$BR90=""),"",IF('Tally Helper'!$B$60&lt;&gt;TRUE(),"not on Staff",SUMIFS('Tally Helper'!$L$62:$GI$62,'Tally Helper'!$L$60:$GI$60,"&gt;="&amp;$BR90,'Tally Helper'!$L$60:$GI$60,"&lt;="&amp;$BS90)))</f>
        <v/>
      </c>
      <c r="AT90" s="15" t="str">
        <f aca="false">IF(OR(X90="",NOT(ISNUMBER(X90))),"",X90-N(B90))</f>
        <v/>
      </c>
      <c r="AU90" s="15" t="str">
        <f aca="false">IF(OR(Y90="",NOT(ISNUMBER(Y90))),"",Y90-N(C90))</f>
        <v/>
      </c>
      <c r="AV90" s="15" t="str">
        <f aca="false">IF(OR(Z90="",NOT(ISNUMBER(Z90))),"",Z90-N(D90))</f>
        <v/>
      </c>
      <c r="AW90" s="15" t="str">
        <f aca="false">IF(OR(AA90="",NOT(ISNUMBER(AA90))),"",AA90-N(E90))</f>
        <v/>
      </c>
      <c r="AX90" s="15" t="str">
        <f aca="false">IF(OR(AB90="",NOT(ISNUMBER(AB90))),"",AB90-N(F90))</f>
        <v/>
      </c>
      <c r="AY90" s="15" t="str">
        <f aca="false">IF(OR(AC90="",NOT(ISNUMBER(AC90))),"",AC90-N(G90))</f>
        <v/>
      </c>
      <c r="AZ90" s="15" t="str">
        <f aca="false">IF(OR(AD90="",NOT(ISNUMBER(AD90))),"",AD90-N(H90))</f>
        <v/>
      </c>
      <c r="BA90" s="15" t="str">
        <f aca="false">IF(OR(AE90="",NOT(ISNUMBER(AE90))),"",AE90-N(I90))</f>
        <v/>
      </c>
      <c r="BB90" s="15" t="str">
        <f aca="false">IF(OR(AF90="",NOT(ISNUMBER(AF90))),"",AF90-N(J90))</f>
        <v/>
      </c>
      <c r="BC90" s="15" t="str">
        <f aca="false">IF(OR(AG90="",NOT(ISNUMBER(AG90))),"",AG90-N(K90))</f>
        <v/>
      </c>
      <c r="BD90" s="15" t="str">
        <f aca="false">IF(OR(AH90="",NOT(ISNUMBER(AH90))),"",AH90-N(L90))</f>
        <v/>
      </c>
      <c r="BE90" s="15" t="str">
        <f aca="false">IF(OR(AI90="",NOT(ISNUMBER(AI90))),"",AI90-N(M90))</f>
        <v/>
      </c>
      <c r="BF90" s="15" t="str">
        <f aca="false">IF(OR(AJ90="",NOT(ISNUMBER(AJ90))),"",AJ90-N(N90))</f>
        <v/>
      </c>
      <c r="BG90" s="15" t="str">
        <f aca="false">IF(OR(AK90="",NOT(ISNUMBER(AK90))),"",AK90-N(O90))</f>
        <v/>
      </c>
      <c r="BH90" s="15" t="str">
        <f aca="false">IF(OR(AL90="",NOT(ISNUMBER(AL90))),"",AL90-N(P90))</f>
        <v/>
      </c>
      <c r="BI90" s="15" t="str">
        <f aca="false">IF(OR(AM90="",NOT(ISNUMBER(AM90))),"",AM90-N(Q90))</f>
        <v/>
      </c>
      <c r="BJ90" s="15" t="str">
        <f aca="false">IF(OR(AN90="",NOT(ISNUMBER(AN90))),"",AN90-N(R90))</f>
        <v/>
      </c>
      <c r="BK90" s="15" t="str">
        <f aca="false">IF(OR(AO90="",NOT(ISNUMBER(AO90))),"",AO90-N(S90))</f>
        <v/>
      </c>
      <c r="BL90" s="15" t="str">
        <f aca="false">IF(OR(AP90="",NOT(ISNUMBER(AP90))),"",AP90-N(T90))</f>
        <v/>
      </c>
      <c r="BM90" s="15" t="str">
        <f aca="false">IF(OR(AQ90="",NOT(ISNUMBER(AQ90))),"",AQ90-N(U90))</f>
        <v/>
      </c>
      <c r="BR90" s="18" t="str">
        <f aca="false">IF($A90="","",IF(ISNUMBER($A90),DATE(YEAR($A90),MONTH($A90),1),IFERROR(DATE(2000+VALUE(RIGHT(TRIM($A90),2)),MATCH(UPPER(LEFT(TRIM($A90),3)),{"JAN","FEB","MAR","APR","MAY","JUN","JUL","AUG","SEP","OCT","NOV","DEC"},0),1),"")))</f>
        <v/>
      </c>
      <c r="BS90" s="18" t="str">
        <f aca="false">IF(BR90="","",EOMONTH(BR90,0))</f>
        <v/>
      </c>
    </row>
    <row r="91" customFormat="false" ht="15" hidden="false" customHeight="false" outlineLevel="0" collapsed="false">
      <c r="B91" s="19"/>
      <c r="C91" s="19"/>
      <c r="D91" s="19"/>
      <c r="E91" s="19"/>
      <c r="F91" s="19"/>
      <c r="G91" s="19"/>
      <c r="H91" s="19"/>
      <c r="I91" s="19"/>
      <c r="J91" s="19"/>
      <c r="K91" s="19"/>
      <c r="L91" s="19"/>
      <c r="M91" s="19"/>
      <c r="N91" s="19"/>
      <c r="O91" s="19"/>
      <c r="P91" s="19"/>
      <c r="Q91" s="19"/>
      <c r="R91" s="19"/>
      <c r="S91" s="19"/>
      <c r="T91" s="19"/>
      <c r="U91" s="19"/>
      <c r="X91" s="15" t="str">
        <f aca="false">IF(OR(B$7="",$BR91=""),"",IF('Tally Helper'!$B$3&lt;&gt;TRUE(),"not on Staff",SUMIFS('Tally Helper'!$L$5:$GI$5,'Tally Helper'!$L$3:$GI$3,"&gt;="&amp;$BR91,'Tally Helper'!$L$3:$GI$3,"&lt;="&amp;$BS91)))</f>
        <v/>
      </c>
      <c r="Y91" s="15" t="str">
        <f aca="false">IF(OR(C$7="",$BR91=""),"",IF('Tally Helper'!$B$6&lt;&gt;TRUE(),"not on Staff",SUMIFS('Tally Helper'!$L$8:$GI$8,'Tally Helper'!$L$6:$GI$6,"&gt;="&amp;$BR91,'Tally Helper'!$L$6:$GI$6,"&lt;="&amp;$BS91)))</f>
        <v/>
      </c>
      <c r="Z91" s="15" t="str">
        <f aca="false">IF(OR(D$7="",$BR91=""),"",IF('Tally Helper'!$B$9&lt;&gt;TRUE(),"not on Staff",SUMIFS('Tally Helper'!$L$11:$GI$11,'Tally Helper'!$L$9:$GI$9,"&gt;="&amp;$BR91,'Tally Helper'!$L$9:$GI$9,"&lt;="&amp;$BS91)))</f>
        <v/>
      </c>
      <c r="AA91" s="15" t="str">
        <f aca="false">IF(OR(E$7="",$BR91=""),"",IF('Tally Helper'!$B$12&lt;&gt;TRUE(),"not on Staff",SUMIFS('Tally Helper'!$L$14:$GI$14,'Tally Helper'!$L$12:$GI$12,"&gt;="&amp;$BR91,'Tally Helper'!$L$12:$GI$12,"&lt;="&amp;$BS91)))</f>
        <v/>
      </c>
      <c r="AB91" s="15" t="str">
        <f aca="false">IF(OR(F$7="",$BR91=""),"",IF('Tally Helper'!$B$15&lt;&gt;TRUE(),"not on Staff",SUMIFS('Tally Helper'!$L$17:$GI$17,'Tally Helper'!$L$15:$GI$15,"&gt;="&amp;$BR91,'Tally Helper'!$L$15:$GI$15,"&lt;="&amp;$BS91)))</f>
        <v/>
      </c>
      <c r="AC91" s="15" t="str">
        <f aca="false">IF(OR(G$7="",$BR91=""),"",IF('Tally Helper'!$B$18&lt;&gt;TRUE(),"not on Staff",SUMIFS('Tally Helper'!$L$20:$GI$20,'Tally Helper'!$L$18:$GI$18,"&gt;="&amp;$BR91,'Tally Helper'!$L$18:$GI$18,"&lt;="&amp;$BS91)))</f>
        <v/>
      </c>
      <c r="AD91" s="15" t="str">
        <f aca="false">IF(OR(H$7="",$BR91=""),"",IF('Tally Helper'!$B$21&lt;&gt;TRUE(),"not on Staff",SUMIFS('Tally Helper'!$L$23:$GI$23,'Tally Helper'!$L$21:$GI$21,"&gt;="&amp;$BR91,'Tally Helper'!$L$21:$GI$21,"&lt;="&amp;$BS91)))</f>
        <v/>
      </c>
      <c r="AE91" s="15" t="str">
        <f aca="false">IF(OR(I$7="",$BR91=""),"",IF('Tally Helper'!$B$24&lt;&gt;TRUE(),"not on Staff",SUMIFS('Tally Helper'!$L$26:$GI$26,'Tally Helper'!$L$24:$GI$24,"&gt;="&amp;$BR91,'Tally Helper'!$L$24:$GI$24,"&lt;="&amp;$BS91)))</f>
        <v/>
      </c>
      <c r="AF91" s="15" t="str">
        <f aca="false">IF(OR(J$7="",$BR91=""),"",IF('Tally Helper'!$B$27&lt;&gt;TRUE(),"not on Staff",SUMIFS('Tally Helper'!$L$29:$GI$29,'Tally Helper'!$L$27:$GI$27,"&gt;="&amp;$BR91,'Tally Helper'!$L$27:$GI$27,"&lt;="&amp;$BS91)))</f>
        <v/>
      </c>
      <c r="AG91" s="15" t="str">
        <f aca="false">IF(OR(K$7="",$BR91=""),"",IF('Tally Helper'!$B$30&lt;&gt;TRUE(),"not on Staff",SUMIFS('Tally Helper'!$L$32:$GI$32,'Tally Helper'!$L$30:$GI$30,"&gt;="&amp;$BR91,'Tally Helper'!$L$30:$GI$30,"&lt;="&amp;$BS91)))</f>
        <v/>
      </c>
      <c r="AH91" s="15" t="str">
        <f aca="false">IF(OR(L$7="",$BR91=""),"",IF('Tally Helper'!$B$33&lt;&gt;TRUE(),"not on Staff",SUMIFS('Tally Helper'!$L$35:$GI$35,'Tally Helper'!$L$33:$GI$33,"&gt;="&amp;$BR91,'Tally Helper'!$L$33:$GI$33,"&lt;="&amp;$BS91)))</f>
        <v/>
      </c>
      <c r="AI91" s="15" t="str">
        <f aca="false">IF(OR(M$7="",$BR91=""),"",IF('Tally Helper'!$B$36&lt;&gt;TRUE(),"not on Staff",SUMIFS('Tally Helper'!$L$38:$GI$38,'Tally Helper'!$L$36:$GI$36,"&gt;="&amp;$BR91,'Tally Helper'!$L$36:$GI$36,"&lt;="&amp;$BS91)))</f>
        <v/>
      </c>
      <c r="AJ91" s="15" t="str">
        <f aca="false">IF(OR(N$7="",$BR91=""),"",IF('Tally Helper'!$B$39&lt;&gt;TRUE(),"not on Staff",SUMIFS('Tally Helper'!$L$41:$GI$41,'Tally Helper'!$L$39:$GI$39,"&gt;="&amp;$BR91,'Tally Helper'!$L$39:$GI$39,"&lt;="&amp;$BS91)))</f>
        <v/>
      </c>
      <c r="AK91" s="15" t="str">
        <f aca="false">IF(OR(O$7="",$BR91=""),"",IF('Tally Helper'!$B$42&lt;&gt;TRUE(),"not on Staff",SUMIFS('Tally Helper'!$L$44:$GI$44,'Tally Helper'!$L$42:$GI$42,"&gt;="&amp;$BR91,'Tally Helper'!$L$42:$GI$42,"&lt;="&amp;$BS91)))</f>
        <v/>
      </c>
      <c r="AL91" s="15" t="str">
        <f aca="false">IF(OR(P$7="",$BR91=""),"",IF('Tally Helper'!$B$45&lt;&gt;TRUE(),"not on Staff",SUMIFS('Tally Helper'!$L$47:$GI$47,'Tally Helper'!$L$45:$GI$45,"&gt;="&amp;$BR91,'Tally Helper'!$L$45:$GI$45,"&lt;="&amp;$BS91)))</f>
        <v/>
      </c>
      <c r="AM91" s="15" t="str">
        <f aca="false">IF(OR(Q$7="",$BR91=""),"",IF('Tally Helper'!$B$48&lt;&gt;TRUE(),"not on Staff",SUMIFS('Tally Helper'!$L$50:$GI$50,'Tally Helper'!$L$48:$GI$48,"&gt;="&amp;$BR91,'Tally Helper'!$L$48:$GI$48,"&lt;="&amp;$BS91)))</f>
        <v/>
      </c>
      <c r="AN91" s="15" t="str">
        <f aca="false">IF(OR(R$7="",$BR91=""),"",IF('Tally Helper'!$B$51&lt;&gt;TRUE(),"not on Staff",SUMIFS('Tally Helper'!$L$53:$GI$53,'Tally Helper'!$L$51:$GI$51,"&gt;="&amp;$BR91,'Tally Helper'!$L$51:$GI$51,"&lt;="&amp;$BS91)))</f>
        <v/>
      </c>
      <c r="AO91" s="15" t="str">
        <f aca="false">IF(OR(S$7="",$BR91=""),"",IF('Tally Helper'!$B$54&lt;&gt;TRUE(),"not on Staff",SUMIFS('Tally Helper'!$L$56:$GI$56,'Tally Helper'!$L$54:$GI$54,"&gt;="&amp;$BR91,'Tally Helper'!$L$54:$GI$54,"&lt;="&amp;$BS91)))</f>
        <v/>
      </c>
      <c r="AP91" s="15" t="str">
        <f aca="false">IF(OR(T$7="",$BR91=""),"",IF('Tally Helper'!$B$57&lt;&gt;TRUE(),"not on Staff",SUMIFS('Tally Helper'!$L$59:$GI$59,'Tally Helper'!$L$57:$GI$57,"&gt;="&amp;$BR91,'Tally Helper'!$L$57:$GI$57,"&lt;="&amp;$BS91)))</f>
        <v/>
      </c>
      <c r="AQ91" s="15" t="str">
        <f aca="false">IF(OR(U$7="",$BR91=""),"",IF('Tally Helper'!$B$60&lt;&gt;TRUE(),"not on Staff",SUMIFS('Tally Helper'!$L$62:$GI$62,'Tally Helper'!$L$60:$GI$60,"&gt;="&amp;$BR91,'Tally Helper'!$L$60:$GI$60,"&lt;="&amp;$BS91)))</f>
        <v/>
      </c>
      <c r="AT91" s="15" t="str">
        <f aca="false">IF(OR(X91="",NOT(ISNUMBER(X91))),"",X91-N(B91))</f>
        <v/>
      </c>
      <c r="AU91" s="15" t="str">
        <f aca="false">IF(OR(Y91="",NOT(ISNUMBER(Y91))),"",Y91-N(C91))</f>
        <v/>
      </c>
      <c r="AV91" s="15" t="str">
        <f aca="false">IF(OR(Z91="",NOT(ISNUMBER(Z91))),"",Z91-N(D91))</f>
        <v/>
      </c>
      <c r="AW91" s="15" t="str">
        <f aca="false">IF(OR(AA91="",NOT(ISNUMBER(AA91))),"",AA91-N(E91))</f>
        <v/>
      </c>
      <c r="AX91" s="15" t="str">
        <f aca="false">IF(OR(AB91="",NOT(ISNUMBER(AB91))),"",AB91-N(F91))</f>
        <v/>
      </c>
      <c r="AY91" s="15" t="str">
        <f aca="false">IF(OR(AC91="",NOT(ISNUMBER(AC91))),"",AC91-N(G91))</f>
        <v/>
      </c>
      <c r="AZ91" s="15" t="str">
        <f aca="false">IF(OR(AD91="",NOT(ISNUMBER(AD91))),"",AD91-N(H91))</f>
        <v/>
      </c>
      <c r="BA91" s="15" t="str">
        <f aca="false">IF(OR(AE91="",NOT(ISNUMBER(AE91))),"",AE91-N(I91))</f>
        <v/>
      </c>
      <c r="BB91" s="15" t="str">
        <f aca="false">IF(OR(AF91="",NOT(ISNUMBER(AF91))),"",AF91-N(J91))</f>
        <v/>
      </c>
      <c r="BC91" s="15" t="str">
        <f aca="false">IF(OR(AG91="",NOT(ISNUMBER(AG91))),"",AG91-N(K91))</f>
        <v/>
      </c>
      <c r="BD91" s="15" t="str">
        <f aca="false">IF(OR(AH91="",NOT(ISNUMBER(AH91))),"",AH91-N(L91))</f>
        <v/>
      </c>
      <c r="BE91" s="15" t="str">
        <f aca="false">IF(OR(AI91="",NOT(ISNUMBER(AI91))),"",AI91-N(M91))</f>
        <v/>
      </c>
      <c r="BF91" s="15" t="str">
        <f aca="false">IF(OR(AJ91="",NOT(ISNUMBER(AJ91))),"",AJ91-N(N91))</f>
        <v/>
      </c>
      <c r="BG91" s="15" t="str">
        <f aca="false">IF(OR(AK91="",NOT(ISNUMBER(AK91))),"",AK91-N(O91))</f>
        <v/>
      </c>
      <c r="BH91" s="15" t="str">
        <f aca="false">IF(OR(AL91="",NOT(ISNUMBER(AL91))),"",AL91-N(P91))</f>
        <v/>
      </c>
      <c r="BI91" s="15" t="str">
        <f aca="false">IF(OR(AM91="",NOT(ISNUMBER(AM91))),"",AM91-N(Q91))</f>
        <v/>
      </c>
      <c r="BJ91" s="15" t="str">
        <f aca="false">IF(OR(AN91="",NOT(ISNUMBER(AN91))),"",AN91-N(R91))</f>
        <v/>
      </c>
      <c r="BK91" s="15" t="str">
        <f aca="false">IF(OR(AO91="",NOT(ISNUMBER(AO91))),"",AO91-N(S91))</f>
        <v/>
      </c>
      <c r="BL91" s="15" t="str">
        <f aca="false">IF(OR(AP91="",NOT(ISNUMBER(AP91))),"",AP91-N(T91))</f>
        <v/>
      </c>
      <c r="BM91" s="15" t="str">
        <f aca="false">IF(OR(AQ91="",NOT(ISNUMBER(AQ91))),"",AQ91-N(U91))</f>
        <v/>
      </c>
      <c r="BR91" s="18" t="str">
        <f aca="false">IF($A91="","",IF(ISNUMBER($A91),DATE(YEAR($A91),MONTH($A91),1),IFERROR(DATE(2000+VALUE(RIGHT(TRIM($A91),2)),MATCH(UPPER(LEFT(TRIM($A91),3)),{"JAN","FEB","MAR","APR","MAY","JUN","JUL","AUG","SEP","OCT","NOV","DEC"},0),1),"")))</f>
        <v/>
      </c>
      <c r="BS91" s="18" t="str">
        <f aca="false">IF(BR91="","",EOMONTH(BR91,0))</f>
        <v/>
      </c>
    </row>
    <row r="92" customFormat="false" ht="15" hidden="false" customHeight="false" outlineLevel="0" collapsed="false">
      <c r="B92" s="19"/>
      <c r="C92" s="19"/>
      <c r="D92" s="19"/>
      <c r="E92" s="19"/>
      <c r="F92" s="19"/>
      <c r="G92" s="19"/>
      <c r="H92" s="19"/>
      <c r="I92" s="19"/>
      <c r="J92" s="19"/>
      <c r="K92" s="19"/>
      <c r="L92" s="19"/>
      <c r="M92" s="19"/>
      <c r="N92" s="19"/>
      <c r="O92" s="19"/>
      <c r="P92" s="19"/>
      <c r="Q92" s="19"/>
      <c r="R92" s="19"/>
      <c r="S92" s="19"/>
      <c r="T92" s="19"/>
      <c r="U92" s="19"/>
      <c r="X92" s="15" t="str">
        <f aca="false">IF(OR(B$7="",$BR92=""),"",IF('Tally Helper'!$B$3&lt;&gt;TRUE(),"not on Staff",SUMIFS('Tally Helper'!$L$5:$GI$5,'Tally Helper'!$L$3:$GI$3,"&gt;="&amp;$BR92,'Tally Helper'!$L$3:$GI$3,"&lt;="&amp;$BS92)))</f>
        <v/>
      </c>
      <c r="Y92" s="15" t="str">
        <f aca="false">IF(OR(C$7="",$BR92=""),"",IF('Tally Helper'!$B$6&lt;&gt;TRUE(),"not on Staff",SUMIFS('Tally Helper'!$L$8:$GI$8,'Tally Helper'!$L$6:$GI$6,"&gt;="&amp;$BR92,'Tally Helper'!$L$6:$GI$6,"&lt;="&amp;$BS92)))</f>
        <v/>
      </c>
      <c r="Z92" s="15" t="str">
        <f aca="false">IF(OR(D$7="",$BR92=""),"",IF('Tally Helper'!$B$9&lt;&gt;TRUE(),"not on Staff",SUMIFS('Tally Helper'!$L$11:$GI$11,'Tally Helper'!$L$9:$GI$9,"&gt;="&amp;$BR92,'Tally Helper'!$L$9:$GI$9,"&lt;="&amp;$BS92)))</f>
        <v/>
      </c>
      <c r="AA92" s="15" t="str">
        <f aca="false">IF(OR(E$7="",$BR92=""),"",IF('Tally Helper'!$B$12&lt;&gt;TRUE(),"not on Staff",SUMIFS('Tally Helper'!$L$14:$GI$14,'Tally Helper'!$L$12:$GI$12,"&gt;="&amp;$BR92,'Tally Helper'!$L$12:$GI$12,"&lt;="&amp;$BS92)))</f>
        <v/>
      </c>
      <c r="AB92" s="15" t="str">
        <f aca="false">IF(OR(F$7="",$BR92=""),"",IF('Tally Helper'!$B$15&lt;&gt;TRUE(),"not on Staff",SUMIFS('Tally Helper'!$L$17:$GI$17,'Tally Helper'!$L$15:$GI$15,"&gt;="&amp;$BR92,'Tally Helper'!$L$15:$GI$15,"&lt;="&amp;$BS92)))</f>
        <v/>
      </c>
      <c r="AC92" s="15" t="str">
        <f aca="false">IF(OR(G$7="",$BR92=""),"",IF('Tally Helper'!$B$18&lt;&gt;TRUE(),"not on Staff",SUMIFS('Tally Helper'!$L$20:$GI$20,'Tally Helper'!$L$18:$GI$18,"&gt;="&amp;$BR92,'Tally Helper'!$L$18:$GI$18,"&lt;="&amp;$BS92)))</f>
        <v/>
      </c>
      <c r="AD92" s="15" t="str">
        <f aca="false">IF(OR(H$7="",$BR92=""),"",IF('Tally Helper'!$B$21&lt;&gt;TRUE(),"not on Staff",SUMIFS('Tally Helper'!$L$23:$GI$23,'Tally Helper'!$L$21:$GI$21,"&gt;="&amp;$BR92,'Tally Helper'!$L$21:$GI$21,"&lt;="&amp;$BS92)))</f>
        <v/>
      </c>
      <c r="AE92" s="15" t="str">
        <f aca="false">IF(OR(I$7="",$BR92=""),"",IF('Tally Helper'!$B$24&lt;&gt;TRUE(),"not on Staff",SUMIFS('Tally Helper'!$L$26:$GI$26,'Tally Helper'!$L$24:$GI$24,"&gt;="&amp;$BR92,'Tally Helper'!$L$24:$GI$24,"&lt;="&amp;$BS92)))</f>
        <v/>
      </c>
      <c r="AF92" s="15" t="str">
        <f aca="false">IF(OR(J$7="",$BR92=""),"",IF('Tally Helper'!$B$27&lt;&gt;TRUE(),"not on Staff",SUMIFS('Tally Helper'!$L$29:$GI$29,'Tally Helper'!$L$27:$GI$27,"&gt;="&amp;$BR92,'Tally Helper'!$L$27:$GI$27,"&lt;="&amp;$BS92)))</f>
        <v/>
      </c>
      <c r="AG92" s="15" t="str">
        <f aca="false">IF(OR(K$7="",$BR92=""),"",IF('Tally Helper'!$B$30&lt;&gt;TRUE(),"not on Staff",SUMIFS('Tally Helper'!$L$32:$GI$32,'Tally Helper'!$L$30:$GI$30,"&gt;="&amp;$BR92,'Tally Helper'!$L$30:$GI$30,"&lt;="&amp;$BS92)))</f>
        <v/>
      </c>
      <c r="AH92" s="15" t="str">
        <f aca="false">IF(OR(L$7="",$BR92=""),"",IF('Tally Helper'!$B$33&lt;&gt;TRUE(),"not on Staff",SUMIFS('Tally Helper'!$L$35:$GI$35,'Tally Helper'!$L$33:$GI$33,"&gt;="&amp;$BR92,'Tally Helper'!$L$33:$GI$33,"&lt;="&amp;$BS92)))</f>
        <v/>
      </c>
      <c r="AI92" s="15" t="str">
        <f aca="false">IF(OR(M$7="",$BR92=""),"",IF('Tally Helper'!$B$36&lt;&gt;TRUE(),"not on Staff",SUMIFS('Tally Helper'!$L$38:$GI$38,'Tally Helper'!$L$36:$GI$36,"&gt;="&amp;$BR92,'Tally Helper'!$L$36:$GI$36,"&lt;="&amp;$BS92)))</f>
        <v/>
      </c>
      <c r="AJ92" s="15" t="str">
        <f aca="false">IF(OR(N$7="",$BR92=""),"",IF('Tally Helper'!$B$39&lt;&gt;TRUE(),"not on Staff",SUMIFS('Tally Helper'!$L$41:$GI$41,'Tally Helper'!$L$39:$GI$39,"&gt;="&amp;$BR92,'Tally Helper'!$L$39:$GI$39,"&lt;="&amp;$BS92)))</f>
        <v/>
      </c>
      <c r="AK92" s="15" t="str">
        <f aca="false">IF(OR(O$7="",$BR92=""),"",IF('Tally Helper'!$B$42&lt;&gt;TRUE(),"not on Staff",SUMIFS('Tally Helper'!$L$44:$GI$44,'Tally Helper'!$L$42:$GI$42,"&gt;="&amp;$BR92,'Tally Helper'!$L$42:$GI$42,"&lt;="&amp;$BS92)))</f>
        <v/>
      </c>
      <c r="AL92" s="15" t="str">
        <f aca="false">IF(OR(P$7="",$BR92=""),"",IF('Tally Helper'!$B$45&lt;&gt;TRUE(),"not on Staff",SUMIFS('Tally Helper'!$L$47:$GI$47,'Tally Helper'!$L$45:$GI$45,"&gt;="&amp;$BR92,'Tally Helper'!$L$45:$GI$45,"&lt;="&amp;$BS92)))</f>
        <v/>
      </c>
      <c r="AM92" s="15" t="str">
        <f aca="false">IF(OR(Q$7="",$BR92=""),"",IF('Tally Helper'!$B$48&lt;&gt;TRUE(),"not on Staff",SUMIFS('Tally Helper'!$L$50:$GI$50,'Tally Helper'!$L$48:$GI$48,"&gt;="&amp;$BR92,'Tally Helper'!$L$48:$GI$48,"&lt;="&amp;$BS92)))</f>
        <v/>
      </c>
      <c r="AN92" s="15" t="str">
        <f aca="false">IF(OR(R$7="",$BR92=""),"",IF('Tally Helper'!$B$51&lt;&gt;TRUE(),"not on Staff",SUMIFS('Tally Helper'!$L$53:$GI$53,'Tally Helper'!$L$51:$GI$51,"&gt;="&amp;$BR92,'Tally Helper'!$L$51:$GI$51,"&lt;="&amp;$BS92)))</f>
        <v/>
      </c>
      <c r="AO92" s="15" t="str">
        <f aca="false">IF(OR(S$7="",$BR92=""),"",IF('Tally Helper'!$B$54&lt;&gt;TRUE(),"not on Staff",SUMIFS('Tally Helper'!$L$56:$GI$56,'Tally Helper'!$L$54:$GI$54,"&gt;="&amp;$BR92,'Tally Helper'!$L$54:$GI$54,"&lt;="&amp;$BS92)))</f>
        <v/>
      </c>
      <c r="AP92" s="15" t="str">
        <f aca="false">IF(OR(T$7="",$BR92=""),"",IF('Tally Helper'!$B$57&lt;&gt;TRUE(),"not on Staff",SUMIFS('Tally Helper'!$L$59:$GI$59,'Tally Helper'!$L$57:$GI$57,"&gt;="&amp;$BR92,'Tally Helper'!$L$57:$GI$57,"&lt;="&amp;$BS92)))</f>
        <v/>
      </c>
      <c r="AQ92" s="15" t="str">
        <f aca="false">IF(OR(U$7="",$BR92=""),"",IF('Tally Helper'!$B$60&lt;&gt;TRUE(),"not on Staff",SUMIFS('Tally Helper'!$L$62:$GI$62,'Tally Helper'!$L$60:$GI$60,"&gt;="&amp;$BR92,'Tally Helper'!$L$60:$GI$60,"&lt;="&amp;$BS92)))</f>
        <v/>
      </c>
      <c r="AT92" s="15" t="str">
        <f aca="false">IF(OR(X92="",NOT(ISNUMBER(X92))),"",X92-N(B92))</f>
        <v/>
      </c>
      <c r="AU92" s="15" t="str">
        <f aca="false">IF(OR(Y92="",NOT(ISNUMBER(Y92))),"",Y92-N(C92))</f>
        <v/>
      </c>
      <c r="AV92" s="15" t="str">
        <f aca="false">IF(OR(Z92="",NOT(ISNUMBER(Z92))),"",Z92-N(D92))</f>
        <v/>
      </c>
      <c r="AW92" s="15" t="str">
        <f aca="false">IF(OR(AA92="",NOT(ISNUMBER(AA92))),"",AA92-N(E92))</f>
        <v/>
      </c>
      <c r="AX92" s="15" t="str">
        <f aca="false">IF(OR(AB92="",NOT(ISNUMBER(AB92))),"",AB92-N(F92))</f>
        <v/>
      </c>
      <c r="AY92" s="15" t="str">
        <f aca="false">IF(OR(AC92="",NOT(ISNUMBER(AC92))),"",AC92-N(G92))</f>
        <v/>
      </c>
      <c r="AZ92" s="15" t="str">
        <f aca="false">IF(OR(AD92="",NOT(ISNUMBER(AD92))),"",AD92-N(H92))</f>
        <v/>
      </c>
      <c r="BA92" s="15" t="str">
        <f aca="false">IF(OR(AE92="",NOT(ISNUMBER(AE92))),"",AE92-N(I92))</f>
        <v/>
      </c>
      <c r="BB92" s="15" t="str">
        <f aca="false">IF(OR(AF92="",NOT(ISNUMBER(AF92))),"",AF92-N(J92))</f>
        <v/>
      </c>
      <c r="BC92" s="15" t="str">
        <f aca="false">IF(OR(AG92="",NOT(ISNUMBER(AG92))),"",AG92-N(K92))</f>
        <v/>
      </c>
      <c r="BD92" s="15" t="str">
        <f aca="false">IF(OR(AH92="",NOT(ISNUMBER(AH92))),"",AH92-N(L92))</f>
        <v/>
      </c>
      <c r="BE92" s="15" t="str">
        <f aca="false">IF(OR(AI92="",NOT(ISNUMBER(AI92))),"",AI92-N(M92))</f>
        <v/>
      </c>
      <c r="BF92" s="15" t="str">
        <f aca="false">IF(OR(AJ92="",NOT(ISNUMBER(AJ92))),"",AJ92-N(N92))</f>
        <v/>
      </c>
      <c r="BG92" s="15" t="str">
        <f aca="false">IF(OR(AK92="",NOT(ISNUMBER(AK92))),"",AK92-N(O92))</f>
        <v/>
      </c>
      <c r="BH92" s="15" t="str">
        <f aca="false">IF(OR(AL92="",NOT(ISNUMBER(AL92))),"",AL92-N(P92))</f>
        <v/>
      </c>
      <c r="BI92" s="15" t="str">
        <f aca="false">IF(OR(AM92="",NOT(ISNUMBER(AM92))),"",AM92-N(Q92))</f>
        <v/>
      </c>
      <c r="BJ92" s="15" t="str">
        <f aca="false">IF(OR(AN92="",NOT(ISNUMBER(AN92))),"",AN92-N(R92))</f>
        <v/>
      </c>
      <c r="BK92" s="15" t="str">
        <f aca="false">IF(OR(AO92="",NOT(ISNUMBER(AO92))),"",AO92-N(S92))</f>
        <v/>
      </c>
      <c r="BL92" s="15" t="str">
        <f aca="false">IF(OR(AP92="",NOT(ISNUMBER(AP92))),"",AP92-N(T92))</f>
        <v/>
      </c>
      <c r="BM92" s="15" t="str">
        <f aca="false">IF(OR(AQ92="",NOT(ISNUMBER(AQ92))),"",AQ92-N(U92))</f>
        <v/>
      </c>
      <c r="BR92" s="18" t="str">
        <f aca="false">IF($A92="","",IF(ISNUMBER($A92),DATE(YEAR($A92),MONTH($A92),1),IFERROR(DATE(2000+VALUE(RIGHT(TRIM($A92),2)),MATCH(UPPER(LEFT(TRIM($A92),3)),{"JAN","FEB","MAR","APR","MAY","JUN","JUL","AUG","SEP","OCT","NOV","DEC"},0),1),"")))</f>
        <v/>
      </c>
      <c r="BS92" s="18" t="str">
        <f aca="false">IF(BR92="","",EOMONTH(BR92,0))</f>
        <v/>
      </c>
    </row>
    <row r="93" customFormat="false" ht="15" hidden="false" customHeight="false" outlineLevel="0" collapsed="false">
      <c r="B93" s="19"/>
      <c r="C93" s="19"/>
      <c r="D93" s="19"/>
      <c r="E93" s="19"/>
      <c r="F93" s="19"/>
      <c r="G93" s="19"/>
      <c r="H93" s="19"/>
      <c r="I93" s="19"/>
      <c r="J93" s="19"/>
      <c r="K93" s="19"/>
      <c r="L93" s="19"/>
      <c r="M93" s="19"/>
      <c r="N93" s="19"/>
      <c r="O93" s="19"/>
      <c r="P93" s="19"/>
      <c r="Q93" s="19"/>
      <c r="R93" s="19"/>
      <c r="S93" s="19"/>
      <c r="T93" s="19"/>
      <c r="U93" s="19"/>
      <c r="X93" s="15" t="str">
        <f aca="false">IF(OR(B$7="",$BR93=""),"",IF('Tally Helper'!$B$3&lt;&gt;TRUE(),"not on Staff",SUMIFS('Tally Helper'!$L$5:$GI$5,'Tally Helper'!$L$3:$GI$3,"&gt;="&amp;$BR93,'Tally Helper'!$L$3:$GI$3,"&lt;="&amp;$BS93)))</f>
        <v/>
      </c>
      <c r="Y93" s="15" t="str">
        <f aca="false">IF(OR(C$7="",$BR93=""),"",IF('Tally Helper'!$B$6&lt;&gt;TRUE(),"not on Staff",SUMIFS('Tally Helper'!$L$8:$GI$8,'Tally Helper'!$L$6:$GI$6,"&gt;="&amp;$BR93,'Tally Helper'!$L$6:$GI$6,"&lt;="&amp;$BS93)))</f>
        <v/>
      </c>
      <c r="Z93" s="15" t="str">
        <f aca="false">IF(OR(D$7="",$BR93=""),"",IF('Tally Helper'!$B$9&lt;&gt;TRUE(),"not on Staff",SUMIFS('Tally Helper'!$L$11:$GI$11,'Tally Helper'!$L$9:$GI$9,"&gt;="&amp;$BR93,'Tally Helper'!$L$9:$GI$9,"&lt;="&amp;$BS93)))</f>
        <v/>
      </c>
      <c r="AA93" s="15" t="str">
        <f aca="false">IF(OR(E$7="",$BR93=""),"",IF('Tally Helper'!$B$12&lt;&gt;TRUE(),"not on Staff",SUMIFS('Tally Helper'!$L$14:$GI$14,'Tally Helper'!$L$12:$GI$12,"&gt;="&amp;$BR93,'Tally Helper'!$L$12:$GI$12,"&lt;="&amp;$BS93)))</f>
        <v/>
      </c>
      <c r="AB93" s="15" t="str">
        <f aca="false">IF(OR(F$7="",$BR93=""),"",IF('Tally Helper'!$B$15&lt;&gt;TRUE(),"not on Staff",SUMIFS('Tally Helper'!$L$17:$GI$17,'Tally Helper'!$L$15:$GI$15,"&gt;="&amp;$BR93,'Tally Helper'!$L$15:$GI$15,"&lt;="&amp;$BS93)))</f>
        <v/>
      </c>
      <c r="AC93" s="15" t="str">
        <f aca="false">IF(OR(G$7="",$BR93=""),"",IF('Tally Helper'!$B$18&lt;&gt;TRUE(),"not on Staff",SUMIFS('Tally Helper'!$L$20:$GI$20,'Tally Helper'!$L$18:$GI$18,"&gt;="&amp;$BR93,'Tally Helper'!$L$18:$GI$18,"&lt;="&amp;$BS93)))</f>
        <v/>
      </c>
      <c r="AD93" s="15" t="str">
        <f aca="false">IF(OR(H$7="",$BR93=""),"",IF('Tally Helper'!$B$21&lt;&gt;TRUE(),"not on Staff",SUMIFS('Tally Helper'!$L$23:$GI$23,'Tally Helper'!$L$21:$GI$21,"&gt;="&amp;$BR93,'Tally Helper'!$L$21:$GI$21,"&lt;="&amp;$BS93)))</f>
        <v/>
      </c>
      <c r="AE93" s="15" t="str">
        <f aca="false">IF(OR(I$7="",$BR93=""),"",IF('Tally Helper'!$B$24&lt;&gt;TRUE(),"not on Staff",SUMIFS('Tally Helper'!$L$26:$GI$26,'Tally Helper'!$L$24:$GI$24,"&gt;="&amp;$BR93,'Tally Helper'!$L$24:$GI$24,"&lt;="&amp;$BS93)))</f>
        <v/>
      </c>
      <c r="AF93" s="15" t="str">
        <f aca="false">IF(OR(J$7="",$BR93=""),"",IF('Tally Helper'!$B$27&lt;&gt;TRUE(),"not on Staff",SUMIFS('Tally Helper'!$L$29:$GI$29,'Tally Helper'!$L$27:$GI$27,"&gt;="&amp;$BR93,'Tally Helper'!$L$27:$GI$27,"&lt;="&amp;$BS93)))</f>
        <v/>
      </c>
      <c r="AG93" s="15" t="str">
        <f aca="false">IF(OR(K$7="",$BR93=""),"",IF('Tally Helper'!$B$30&lt;&gt;TRUE(),"not on Staff",SUMIFS('Tally Helper'!$L$32:$GI$32,'Tally Helper'!$L$30:$GI$30,"&gt;="&amp;$BR93,'Tally Helper'!$L$30:$GI$30,"&lt;="&amp;$BS93)))</f>
        <v/>
      </c>
      <c r="AH93" s="15" t="str">
        <f aca="false">IF(OR(L$7="",$BR93=""),"",IF('Tally Helper'!$B$33&lt;&gt;TRUE(),"not on Staff",SUMIFS('Tally Helper'!$L$35:$GI$35,'Tally Helper'!$L$33:$GI$33,"&gt;="&amp;$BR93,'Tally Helper'!$L$33:$GI$33,"&lt;="&amp;$BS93)))</f>
        <v/>
      </c>
      <c r="AI93" s="15" t="str">
        <f aca="false">IF(OR(M$7="",$BR93=""),"",IF('Tally Helper'!$B$36&lt;&gt;TRUE(),"not on Staff",SUMIFS('Tally Helper'!$L$38:$GI$38,'Tally Helper'!$L$36:$GI$36,"&gt;="&amp;$BR93,'Tally Helper'!$L$36:$GI$36,"&lt;="&amp;$BS93)))</f>
        <v/>
      </c>
      <c r="AJ93" s="15" t="str">
        <f aca="false">IF(OR(N$7="",$BR93=""),"",IF('Tally Helper'!$B$39&lt;&gt;TRUE(),"not on Staff",SUMIFS('Tally Helper'!$L$41:$GI$41,'Tally Helper'!$L$39:$GI$39,"&gt;="&amp;$BR93,'Tally Helper'!$L$39:$GI$39,"&lt;="&amp;$BS93)))</f>
        <v/>
      </c>
      <c r="AK93" s="15" t="str">
        <f aca="false">IF(OR(O$7="",$BR93=""),"",IF('Tally Helper'!$B$42&lt;&gt;TRUE(),"not on Staff",SUMIFS('Tally Helper'!$L$44:$GI$44,'Tally Helper'!$L$42:$GI$42,"&gt;="&amp;$BR93,'Tally Helper'!$L$42:$GI$42,"&lt;="&amp;$BS93)))</f>
        <v/>
      </c>
      <c r="AL93" s="15" t="str">
        <f aca="false">IF(OR(P$7="",$BR93=""),"",IF('Tally Helper'!$B$45&lt;&gt;TRUE(),"not on Staff",SUMIFS('Tally Helper'!$L$47:$GI$47,'Tally Helper'!$L$45:$GI$45,"&gt;="&amp;$BR93,'Tally Helper'!$L$45:$GI$45,"&lt;="&amp;$BS93)))</f>
        <v/>
      </c>
      <c r="AM93" s="15" t="str">
        <f aca="false">IF(OR(Q$7="",$BR93=""),"",IF('Tally Helper'!$B$48&lt;&gt;TRUE(),"not on Staff",SUMIFS('Tally Helper'!$L$50:$GI$50,'Tally Helper'!$L$48:$GI$48,"&gt;="&amp;$BR93,'Tally Helper'!$L$48:$GI$48,"&lt;="&amp;$BS93)))</f>
        <v/>
      </c>
      <c r="AN93" s="15" t="str">
        <f aca="false">IF(OR(R$7="",$BR93=""),"",IF('Tally Helper'!$B$51&lt;&gt;TRUE(),"not on Staff",SUMIFS('Tally Helper'!$L$53:$GI$53,'Tally Helper'!$L$51:$GI$51,"&gt;="&amp;$BR93,'Tally Helper'!$L$51:$GI$51,"&lt;="&amp;$BS93)))</f>
        <v/>
      </c>
      <c r="AO93" s="15" t="str">
        <f aca="false">IF(OR(S$7="",$BR93=""),"",IF('Tally Helper'!$B$54&lt;&gt;TRUE(),"not on Staff",SUMIFS('Tally Helper'!$L$56:$GI$56,'Tally Helper'!$L$54:$GI$54,"&gt;="&amp;$BR93,'Tally Helper'!$L$54:$GI$54,"&lt;="&amp;$BS93)))</f>
        <v/>
      </c>
      <c r="AP93" s="15" t="str">
        <f aca="false">IF(OR(T$7="",$BR93=""),"",IF('Tally Helper'!$B$57&lt;&gt;TRUE(),"not on Staff",SUMIFS('Tally Helper'!$L$59:$GI$59,'Tally Helper'!$L$57:$GI$57,"&gt;="&amp;$BR93,'Tally Helper'!$L$57:$GI$57,"&lt;="&amp;$BS93)))</f>
        <v/>
      </c>
      <c r="AQ93" s="15" t="str">
        <f aca="false">IF(OR(U$7="",$BR93=""),"",IF('Tally Helper'!$B$60&lt;&gt;TRUE(),"not on Staff",SUMIFS('Tally Helper'!$L$62:$GI$62,'Tally Helper'!$L$60:$GI$60,"&gt;="&amp;$BR93,'Tally Helper'!$L$60:$GI$60,"&lt;="&amp;$BS93)))</f>
        <v/>
      </c>
      <c r="AT93" s="15" t="str">
        <f aca="false">IF(OR(X93="",NOT(ISNUMBER(X93))),"",X93-N(B93))</f>
        <v/>
      </c>
      <c r="AU93" s="15" t="str">
        <f aca="false">IF(OR(Y93="",NOT(ISNUMBER(Y93))),"",Y93-N(C93))</f>
        <v/>
      </c>
      <c r="AV93" s="15" t="str">
        <f aca="false">IF(OR(Z93="",NOT(ISNUMBER(Z93))),"",Z93-N(D93))</f>
        <v/>
      </c>
      <c r="AW93" s="15" t="str">
        <f aca="false">IF(OR(AA93="",NOT(ISNUMBER(AA93))),"",AA93-N(E93))</f>
        <v/>
      </c>
      <c r="AX93" s="15" t="str">
        <f aca="false">IF(OR(AB93="",NOT(ISNUMBER(AB93))),"",AB93-N(F93))</f>
        <v/>
      </c>
      <c r="AY93" s="15" t="str">
        <f aca="false">IF(OR(AC93="",NOT(ISNUMBER(AC93))),"",AC93-N(G93))</f>
        <v/>
      </c>
      <c r="AZ93" s="15" t="str">
        <f aca="false">IF(OR(AD93="",NOT(ISNUMBER(AD93))),"",AD93-N(H93))</f>
        <v/>
      </c>
      <c r="BA93" s="15" t="str">
        <f aca="false">IF(OR(AE93="",NOT(ISNUMBER(AE93))),"",AE93-N(I93))</f>
        <v/>
      </c>
      <c r="BB93" s="15" t="str">
        <f aca="false">IF(OR(AF93="",NOT(ISNUMBER(AF93))),"",AF93-N(J93))</f>
        <v/>
      </c>
      <c r="BC93" s="15" t="str">
        <f aca="false">IF(OR(AG93="",NOT(ISNUMBER(AG93))),"",AG93-N(K93))</f>
        <v/>
      </c>
      <c r="BD93" s="15" t="str">
        <f aca="false">IF(OR(AH93="",NOT(ISNUMBER(AH93))),"",AH93-N(L93))</f>
        <v/>
      </c>
      <c r="BE93" s="15" t="str">
        <f aca="false">IF(OR(AI93="",NOT(ISNUMBER(AI93))),"",AI93-N(M93))</f>
        <v/>
      </c>
      <c r="BF93" s="15" t="str">
        <f aca="false">IF(OR(AJ93="",NOT(ISNUMBER(AJ93))),"",AJ93-N(N93))</f>
        <v/>
      </c>
      <c r="BG93" s="15" t="str">
        <f aca="false">IF(OR(AK93="",NOT(ISNUMBER(AK93))),"",AK93-N(O93))</f>
        <v/>
      </c>
      <c r="BH93" s="15" t="str">
        <f aca="false">IF(OR(AL93="",NOT(ISNUMBER(AL93))),"",AL93-N(P93))</f>
        <v/>
      </c>
      <c r="BI93" s="15" t="str">
        <f aca="false">IF(OR(AM93="",NOT(ISNUMBER(AM93))),"",AM93-N(Q93))</f>
        <v/>
      </c>
      <c r="BJ93" s="15" t="str">
        <f aca="false">IF(OR(AN93="",NOT(ISNUMBER(AN93))),"",AN93-N(R93))</f>
        <v/>
      </c>
      <c r="BK93" s="15" t="str">
        <f aca="false">IF(OR(AO93="",NOT(ISNUMBER(AO93))),"",AO93-N(S93))</f>
        <v/>
      </c>
      <c r="BL93" s="15" t="str">
        <f aca="false">IF(OR(AP93="",NOT(ISNUMBER(AP93))),"",AP93-N(T93))</f>
        <v/>
      </c>
      <c r="BM93" s="15" t="str">
        <f aca="false">IF(OR(AQ93="",NOT(ISNUMBER(AQ93))),"",AQ93-N(U93))</f>
        <v/>
      </c>
      <c r="BR93" s="18" t="str">
        <f aca="false">IF($A93="","",IF(ISNUMBER($A93),DATE(YEAR($A93),MONTH($A93),1),IFERROR(DATE(2000+VALUE(RIGHT(TRIM($A93),2)),MATCH(UPPER(LEFT(TRIM($A93),3)),{"JAN","FEB","MAR","APR","MAY","JUN","JUL","AUG","SEP","OCT","NOV","DEC"},0),1),"")))</f>
        <v/>
      </c>
      <c r="BS93" s="18" t="str">
        <f aca="false">IF(BR93="","",EOMONTH(BR93,0))</f>
        <v/>
      </c>
    </row>
    <row r="94" customFormat="false" ht="15" hidden="false" customHeight="false" outlineLevel="0" collapsed="false">
      <c r="B94" s="19"/>
      <c r="C94" s="19"/>
      <c r="D94" s="19"/>
      <c r="E94" s="19"/>
      <c r="F94" s="19"/>
      <c r="G94" s="19"/>
      <c r="H94" s="19"/>
      <c r="I94" s="19"/>
      <c r="J94" s="19"/>
      <c r="K94" s="19"/>
      <c r="L94" s="19"/>
      <c r="M94" s="19"/>
      <c r="N94" s="19"/>
      <c r="O94" s="19"/>
      <c r="P94" s="19"/>
      <c r="Q94" s="19"/>
      <c r="R94" s="19"/>
      <c r="S94" s="19"/>
      <c r="T94" s="19"/>
      <c r="U94" s="19"/>
      <c r="X94" s="15" t="str">
        <f aca="false">IF(OR(B$7="",$BR94=""),"",IF('Tally Helper'!$B$3&lt;&gt;TRUE(),"not on Staff",SUMIFS('Tally Helper'!$L$5:$GI$5,'Tally Helper'!$L$3:$GI$3,"&gt;="&amp;$BR94,'Tally Helper'!$L$3:$GI$3,"&lt;="&amp;$BS94)))</f>
        <v/>
      </c>
      <c r="Y94" s="15" t="str">
        <f aca="false">IF(OR(C$7="",$BR94=""),"",IF('Tally Helper'!$B$6&lt;&gt;TRUE(),"not on Staff",SUMIFS('Tally Helper'!$L$8:$GI$8,'Tally Helper'!$L$6:$GI$6,"&gt;="&amp;$BR94,'Tally Helper'!$L$6:$GI$6,"&lt;="&amp;$BS94)))</f>
        <v/>
      </c>
      <c r="Z94" s="15" t="str">
        <f aca="false">IF(OR(D$7="",$BR94=""),"",IF('Tally Helper'!$B$9&lt;&gt;TRUE(),"not on Staff",SUMIFS('Tally Helper'!$L$11:$GI$11,'Tally Helper'!$L$9:$GI$9,"&gt;="&amp;$BR94,'Tally Helper'!$L$9:$GI$9,"&lt;="&amp;$BS94)))</f>
        <v/>
      </c>
      <c r="AA94" s="15" t="str">
        <f aca="false">IF(OR(E$7="",$BR94=""),"",IF('Tally Helper'!$B$12&lt;&gt;TRUE(),"not on Staff",SUMIFS('Tally Helper'!$L$14:$GI$14,'Tally Helper'!$L$12:$GI$12,"&gt;="&amp;$BR94,'Tally Helper'!$L$12:$GI$12,"&lt;="&amp;$BS94)))</f>
        <v/>
      </c>
      <c r="AB94" s="15" t="str">
        <f aca="false">IF(OR(F$7="",$BR94=""),"",IF('Tally Helper'!$B$15&lt;&gt;TRUE(),"not on Staff",SUMIFS('Tally Helper'!$L$17:$GI$17,'Tally Helper'!$L$15:$GI$15,"&gt;="&amp;$BR94,'Tally Helper'!$L$15:$GI$15,"&lt;="&amp;$BS94)))</f>
        <v/>
      </c>
      <c r="AC94" s="15" t="str">
        <f aca="false">IF(OR(G$7="",$BR94=""),"",IF('Tally Helper'!$B$18&lt;&gt;TRUE(),"not on Staff",SUMIFS('Tally Helper'!$L$20:$GI$20,'Tally Helper'!$L$18:$GI$18,"&gt;="&amp;$BR94,'Tally Helper'!$L$18:$GI$18,"&lt;="&amp;$BS94)))</f>
        <v/>
      </c>
      <c r="AD94" s="15" t="str">
        <f aca="false">IF(OR(H$7="",$BR94=""),"",IF('Tally Helper'!$B$21&lt;&gt;TRUE(),"not on Staff",SUMIFS('Tally Helper'!$L$23:$GI$23,'Tally Helper'!$L$21:$GI$21,"&gt;="&amp;$BR94,'Tally Helper'!$L$21:$GI$21,"&lt;="&amp;$BS94)))</f>
        <v/>
      </c>
      <c r="AE94" s="15" t="str">
        <f aca="false">IF(OR(I$7="",$BR94=""),"",IF('Tally Helper'!$B$24&lt;&gt;TRUE(),"not on Staff",SUMIFS('Tally Helper'!$L$26:$GI$26,'Tally Helper'!$L$24:$GI$24,"&gt;="&amp;$BR94,'Tally Helper'!$L$24:$GI$24,"&lt;="&amp;$BS94)))</f>
        <v/>
      </c>
      <c r="AF94" s="15" t="str">
        <f aca="false">IF(OR(J$7="",$BR94=""),"",IF('Tally Helper'!$B$27&lt;&gt;TRUE(),"not on Staff",SUMIFS('Tally Helper'!$L$29:$GI$29,'Tally Helper'!$L$27:$GI$27,"&gt;="&amp;$BR94,'Tally Helper'!$L$27:$GI$27,"&lt;="&amp;$BS94)))</f>
        <v/>
      </c>
      <c r="AG94" s="15" t="str">
        <f aca="false">IF(OR(K$7="",$BR94=""),"",IF('Tally Helper'!$B$30&lt;&gt;TRUE(),"not on Staff",SUMIFS('Tally Helper'!$L$32:$GI$32,'Tally Helper'!$L$30:$GI$30,"&gt;="&amp;$BR94,'Tally Helper'!$L$30:$GI$30,"&lt;="&amp;$BS94)))</f>
        <v/>
      </c>
      <c r="AH94" s="15" t="str">
        <f aca="false">IF(OR(L$7="",$BR94=""),"",IF('Tally Helper'!$B$33&lt;&gt;TRUE(),"not on Staff",SUMIFS('Tally Helper'!$L$35:$GI$35,'Tally Helper'!$L$33:$GI$33,"&gt;="&amp;$BR94,'Tally Helper'!$L$33:$GI$33,"&lt;="&amp;$BS94)))</f>
        <v/>
      </c>
      <c r="AI94" s="15" t="str">
        <f aca="false">IF(OR(M$7="",$BR94=""),"",IF('Tally Helper'!$B$36&lt;&gt;TRUE(),"not on Staff",SUMIFS('Tally Helper'!$L$38:$GI$38,'Tally Helper'!$L$36:$GI$36,"&gt;="&amp;$BR94,'Tally Helper'!$L$36:$GI$36,"&lt;="&amp;$BS94)))</f>
        <v/>
      </c>
      <c r="AJ94" s="15" t="str">
        <f aca="false">IF(OR(N$7="",$BR94=""),"",IF('Tally Helper'!$B$39&lt;&gt;TRUE(),"not on Staff",SUMIFS('Tally Helper'!$L$41:$GI$41,'Tally Helper'!$L$39:$GI$39,"&gt;="&amp;$BR94,'Tally Helper'!$L$39:$GI$39,"&lt;="&amp;$BS94)))</f>
        <v/>
      </c>
      <c r="AK94" s="15" t="str">
        <f aca="false">IF(OR(O$7="",$BR94=""),"",IF('Tally Helper'!$B$42&lt;&gt;TRUE(),"not on Staff",SUMIFS('Tally Helper'!$L$44:$GI$44,'Tally Helper'!$L$42:$GI$42,"&gt;="&amp;$BR94,'Tally Helper'!$L$42:$GI$42,"&lt;="&amp;$BS94)))</f>
        <v/>
      </c>
      <c r="AL94" s="15" t="str">
        <f aca="false">IF(OR(P$7="",$BR94=""),"",IF('Tally Helper'!$B$45&lt;&gt;TRUE(),"not on Staff",SUMIFS('Tally Helper'!$L$47:$GI$47,'Tally Helper'!$L$45:$GI$45,"&gt;="&amp;$BR94,'Tally Helper'!$L$45:$GI$45,"&lt;="&amp;$BS94)))</f>
        <v/>
      </c>
      <c r="AM94" s="15" t="str">
        <f aca="false">IF(OR(Q$7="",$BR94=""),"",IF('Tally Helper'!$B$48&lt;&gt;TRUE(),"not on Staff",SUMIFS('Tally Helper'!$L$50:$GI$50,'Tally Helper'!$L$48:$GI$48,"&gt;="&amp;$BR94,'Tally Helper'!$L$48:$GI$48,"&lt;="&amp;$BS94)))</f>
        <v/>
      </c>
      <c r="AN94" s="15" t="str">
        <f aca="false">IF(OR(R$7="",$BR94=""),"",IF('Tally Helper'!$B$51&lt;&gt;TRUE(),"not on Staff",SUMIFS('Tally Helper'!$L$53:$GI$53,'Tally Helper'!$L$51:$GI$51,"&gt;="&amp;$BR94,'Tally Helper'!$L$51:$GI$51,"&lt;="&amp;$BS94)))</f>
        <v/>
      </c>
      <c r="AO94" s="15" t="str">
        <f aca="false">IF(OR(S$7="",$BR94=""),"",IF('Tally Helper'!$B$54&lt;&gt;TRUE(),"not on Staff",SUMIFS('Tally Helper'!$L$56:$GI$56,'Tally Helper'!$L$54:$GI$54,"&gt;="&amp;$BR94,'Tally Helper'!$L$54:$GI$54,"&lt;="&amp;$BS94)))</f>
        <v/>
      </c>
      <c r="AP94" s="15" t="str">
        <f aca="false">IF(OR(T$7="",$BR94=""),"",IF('Tally Helper'!$B$57&lt;&gt;TRUE(),"not on Staff",SUMIFS('Tally Helper'!$L$59:$GI$59,'Tally Helper'!$L$57:$GI$57,"&gt;="&amp;$BR94,'Tally Helper'!$L$57:$GI$57,"&lt;="&amp;$BS94)))</f>
        <v/>
      </c>
      <c r="AQ94" s="15" t="str">
        <f aca="false">IF(OR(U$7="",$BR94=""),"",IF('Tally Helper'!$B$60&lt;&gt;TRUE(),"not on Staff",SUMIFS('Tally Helper'!$L$62:$GI$62,'Tally Helper'!$L$60:$GI$60,"&gt;="&amp;$BR94,'Tally Helper'!$L$60:$GI$60,"&lt;="&amp;$BS94)))</f>
        <v/>
      </c>
      <c r="AT94" s="15" t="str">
        <f aca="false">IF(OR(X94="",NOT(ISNUMBER(X94))),"",X94-N(B94))</f>
        <v/>
      </c>
      <c r="AU94" s="15" t="str">
        <f aca="false">IF(OR(Y94="",NOT(ISNUMBER(Y94))),"",Y94-N(C94))</f>
        <v/>
      </c>
      <c r="AV94" s="15" t="str">
        <f aca="false">IF(OR(Z94="",NOT(ISNUMBER(Z94))),"",Z94-N(D94))</f>
        <v/>
      </c>
      <c r="AW94" s="15" t="str">
        <f aca="false">IF(OR(AA94="",NOT(ISNUMBER(AA94))),"",AA94-N(E94))</f>
        <v/>
      </c>
      <c r="AX94" s="15" t="str">
        <f aca="false">IF(OR(AB94="",NOT(ISNUMBER(AB94))),"",AB94-N(F94))</f>
        <v/>
      </c>
      <c r="AY94" s="15" t="str">
        <f aca="false">IF(OR(AC94="",NOT(ISNUMBER(AC94))),"",AC94-N(G94))</f>
        <v/>
      </c>
      <c r="AZ94" s="15" t="str">
        <f aca="false">IF(OR(AD94="",NOT(ISNUMBER(AD94))),"",AD94-N(H94))</f>
        <v/>
      </c>
      <c r="BA94" s="15" t="str">
        <f aca="false">IF(OR(AE94="",NOT(ISNUMBER(AE94))),"",AE94-N(I94))</f>
        <v/>
      </c>
      <c r="BB94" s="15" t="str">
        <f aca="false">IF(OR(AF94="",NOT(ISNUMBER(AF94))),"",AF94-N(J94))</f>
        <v/>
      </c>
      <c r="BC94" s="15" t="str">
        <f aca="false">IF(OR(AG94="",NOT(ISNUMBER(AG94))),"",AG94-N(K94))</f>
        <v/>
      </c>
      <c r="BD94" s="15" t="str">
        <f aca="false">IF(OR(AH94="",NOT(ISNUMBER(AH94))),"",AH94-N(L94))</f>
        <v/>
      </c>
      <c r="BE94" s="15" t="str">
        <f aca="false">IF(OR(AI94="",NOT(ISNUMBER(AI94))),"",AI94-N(M94))</f>
        <v/>
      </c>
      <c r="BF94" s="15" t="str">
        <f aca="false">IF(OR(AJ94="",NOT(ISNUMBER(AJ94))),"",AJ94-N(N94))</f>
        <v/>
      </c>
      <c r="BG94" s="15" t="str">
        <f aca="false">IF(OR(AK94="",NOT(ISNUMBER(AK94))),"",AK94-N(O94))</f>
        <v/>
      </c>
      <c r="BH94" s="15" t="str">
        <f aca="false">IF(OR(AL94="",NOT(ISNUMBER(AL94))),"",AL94-N(P94))</f>
        <v/>
      </c>
      <c r="BI94" s="15" t="str">
        <f aca="false">IF(OR(AM94="",NOT(ISNUMBER(AM94))),"",AM94-N(Q94))</f>
        <v/>
      </c>
      <c r="BJ94" s="15" t="str">
        <f aca="false">IF(OR(AN94="",NOT(ISNUMBER(AN94))),"",AN94-N(R94))</f>
        <v/>
      </c>
      <c r="BK94" s="15" t="str">
        <f aca="false">IF(OR(AO94="",NOT(ISNUMBER(AO94))),"",AO94-N(S94))</f>
        <v/>
      </c>
      <c r="BL94" s="15" t="str">
        <f aca="false">IF(OR(AP94="",NOT(ISNUMBER(AP94))),"",AP94-N(T94))</f>
        <v/>
      </c>
      <c r="BM94" s="15" t="str">
        <f aca="false">IF(OR(AQ94="",NOT(ISNUMBER(AQ94))),"",AQ94-N(U94))</f>
        <v/>
      </c>
      <c r="BR94" s="18" t="str">
        <f aca="false">IF($A94="","",IF(ISNUMBER($A94),DATE(YEAR($A94),MONTH($A94),1),IFERROR(DATE(2000+VALUE(RIGHT(TRIM($A94),2)),MATCH(UPPER(LEFT(TRIM($A94),3)),{"JAN","FEB","MAR","APR","MAY","JUN","JUL","AUG","SEP","OCT","NOV","DEC"},0),1),"")))</f>
        <v/>
      </c>
      <c r="BS94" s="18" t="str">
        <f aca="false">IF(BR94="","",EOMONTH(BR94,0))</f>
        <v/>
      </c>
    </row>
    <row r="95" customFormat="false" ht="15" hidden="false" customHeight="false" outlineLevel="0" collapsed="false">
      <c r="B95" s="19"/>
      <c r="C95" s="19"/>
      <c r="D95" s="19"/>
      <c r="E95" s="19"/>
      <c r="F95" s="19"/>
      <c r="G95" s="19"/>
      <c r="H95" s="19"/>
      <c r="I95" s="19"/>
      <c r="J95" s="19"/>
      <c r="K95" s="19"/>
      <c r="L95" s="19"/>
      <c r="M95" s="19"/>
      <c r="N95" s="19"/>
      <c r="O95" s="19"/>
      <c r="P95" s="19"/>
      <c r="Q95" s="19"/>
      <c r="R95" s="19"/>
      <c r="S95" s="19"/>
      <c r="T95" s="19"/>
      <c r="U95" s="19"/>
      <c r="X95" s="15" t="str">
        <f aca="false">IF(OR(B$7="",$BR95=""),"",IF('Tally Helper'!$B$3&lt;&gt;TRUE(),"not on Staff",SUMIFS('Tally Helper'!$L$5:$GI$5,'Tally Helper'!$L$3:$GI$3,"&gt;="&amp;$BR95,'Tally Helper'!$L$3:$GI$3,"&lt;="&amp;$BS95)))</f>
        <v/>
      </c>
      <c r="Y95" s="15" t="str">
        <f aca="false">IF(OR(C$7="",$BR95=""),"",IF('Tally Helper'!$B$6&lt;&gt;TRUE(),"not on Staff",SUMIFS('Tally Helper'!$L$8:$GI$8,'Tally Helper'!$L$6:$GI$6,"&gt;="&amp;$BR95,'Tally Helper'!$L$6:$GI$6,"&lt;="&amp;$BS95)))</f>
        <v/>
      </c>
      <c r="Z95" s="15" t="str">
        <f aca="false">IF(OR(D$7="",$BR95=""),"",IF('Tally Helper'!$B$9&lt;&gt;TRUE(),"not on Staff",SUMIFS('Tally Helper'!$L$11:$GI$11,'Tally Helper'!$L$9:$GI$9,"&gt;="&amp;$BR95,'Tally Helper'!$L$9:$GI$9,"&lt;="&amp;$BS95)))</f>
        <v/>
      </c>
      <c r="AA95" s="15" t="str">
        <f aca="false">IF(OR(E$7="",$BR95=""),"",IF('Tally Helper'!$B$12&lt;&gt;TRUE(),"not on Staff",SUMIFS('Tally Helper'!$L$14:$GI$14,'Tally Helper'!$L$12:$GI$12,"&gt;="&amp;$BR95,'Tally Helper'!$L$12:$GI$12,"&lt;="&amp;$BS95)))</f>
        <v/>
      </c>
      <c r="AB95" s="15" t="str">
        <f aca="false">IF(OR(F$7="",$BR95=""),"",IF('Tally Helper'!$B$15&lt;&gt;TRUE(),"not on Staff",SUMIFS('Tally Helper'!$L$17:$GI$17,'Tally Helper'!$L$15:$GI$15,"&gt;="&amp;$BR95,'Tally Helper'!$L$15:$GI$15,"&lt;="&amp;$BS95)))</f>
        <v/>
      </c>
      <c r="AC95" s="15" t="str">
        <f aca="false">IF(OR(G$7="",$BR95=""),"",IF('Tally Helper'!$B$18&lt;&gt;TRUE(),"not on Staff",SUMIFS('Tally Helper'!$L$20:$GI$20,'Tally Helper'!$L$18:$GI$18,"&gt;="&amp;$BR95,'Tally Helper'!$L$18:$GI$18,"&lt;="&amp;$BS95)))</f>
        <v/>
      </c>
      <c r="AD95" s="15" t="str">
        <f aca="false">IF(OR(H$7="",$BR95=""),"",IF('Tally Helper'!$B$21&lt;&gt;TRUE(),"not on Staff",SUMIFS('Tally Helper'!$L$23:$GI$23,'Tally Helper'!$L$21:$GI$21,"&gt;="&amp;$BR95,'Tally Helper'!$L$21:$GI$21,"&lt;="&amp;$BS95)))</f>
        <v/>
      </c>
      <c r="AE95" s="15" t="str">
        <f aca="false">IF(OR(I$7="",$BR95=""),"",IF('Tally Helper'!$B$24&lt;&gt;TRUE(),"not on Staff",SUMIFS('Tally Helper'!$L$26:$GI$26,'Tally Helper'!$L$24:$GI$24,"&gt;="&amp;$BR95,'Tally Helper'!$L$24:$GI$24,"&lt;="&amp;$BS95)))</f>
        <v/>
      </c>
      <c r="AF95" s="15" t="str">
        <f aca="false">IF(OR(J$7="",$BR95=""),"",IF('Tally Helper'!$B$27&lt;&gt;TRUE(),"not on Staff",SUMIFS('Tally Helper'!$L$29:$GI$29,'Tally Helper'!$L$27:$GI$27,"&gt;="&amp;$BR95,'Tally Helper'!$L$27:$GI$27,"&lt;="&amp;$BS95)))</f>
        <v/>
      </c>
      <c r="AG95" s="15" t="str">
        <f aca="false">IF(OR(K$7="",$BR95=""),"",IF('Tally Helper'!$B$30&lt;&gt;TRUE(),"not on Staff",SUMIFS('Tally Helper'!$L$32:$GI$32,'Tally Helper'!$L$30:$GI$30,"&gt;="&amp;$BR95,'Tally Helper'!$L$30:$GI$30,"&lt;="&amp;$BS95)))</f>
        <v/>
      </c>
      <c r="AH95" s="15" t="str">
        <f aca="false">IF(OR(L$7="",$BR95=""),"",IF('Tally Helper'!$B$33&lt;&gt;TRUE(),"not on Staff",SUMIFS('Tally Helper'!$L$35:$GI$35,'Tally Helper'!$L$33:$GI$33,"&gt;="&amp;$BR95,'Tally Helper'!$L$33:$GI$33,"&lt;="&amp;$BS95)))</f>
        <v/>
      </c>
      <c r="AI95" s="15" t="str">
        <f aca="false">IF(OR(M$7="",$BR95=""),"",IF('Tally Helper'!$B$36&lt;&gt;TRUE(),"not on Staff",SUMIFS('Tally Helper'!$L$38:$GI$38,'Tally Helper'!$L$36:$GI$36,"&gt;="&amp;$BR95,'Tally Helper'!$L$36:$GI$36,"&lt;="&amp;$BS95)))</f>
        <v/>
      </c>
      <c r="AJ95" s="15" t="str">
        <f aca="false">IF(OR(N$7="",$BR95=""),"",IF('Tally Helper'!$B$39&lt;&gt;TRUE(),"not on Staff",SUMIFS('Tally Helper'!$L$41:$GI$41,'Tally Helper'!$L$39:$GI$39,"&gt;="&amp;$BR95,'Tally Helper'!$L$39:$GI$39,"&lt;="&amp;$BS95)))</f>
        <v/>
      </c>
      <c r="AK95" s="15" t="str">
        <f aca="false">IF(OR(O$7="",$BR95=""),"",IF('Tally Helper'!$B$42&lt;&gt;TRUE(),"not on Staff",SUMIFS('Tally Helper'!$L$44:$GI$44,'Tally Helper'!$L$42:$GI$42,"&gt;="&amp;$BR95,'Tally Helper'!$L$42:$GI$42,"&lt;="&amp;$BS95)))</f>
        <v/>
      </c>
      <c r="AL95" s="15" t="str">
        <f aca="false">IF(OR(P$7="",$BR95=""),"",IF('Tally Helper'!$B$45&lt;&gt;TRUE(),"not on Staff",SUMIFS('Tally Helper'!$L$47:$GI$47,'Tally Helper'!$L$45:$GI$45,"&gt;="&amp;$BR95,'Tally Helper'!$L$45:$GI$45,"&lt;="&amp;$BS95)))</f>
        <v/>
      </c>
      <c r="AM95" s="15" t="str">
        <f aca="false">IF(OR(Q$7="",$BR95=""),"",IF('Tally Helper'!$B$48&lt;&gt;TRUE(),"not on Staff",SUMIFS('Tally Helper'!$L$50:$GI$50,'Tally Helper'!$L$48:$GI$48,"&gt;="&amp;$BR95,'Tally Helper'!$L$48:$GI$48,"&lt;="&amp;$BS95)))</f>
        <v/>
      </c>
      <c r="AN95" s="15" t="str">
        <f aca="false">IF(OR(R$7="",$BR95=""),"",IF('Tally Helper'!$B$51&lt;&gt;TRUE(),"not on Staff",SUMIFS('Tally Helper'!$L$53:$GI$53,'Tally Helper'!$L$51:$GI$51,"&gt;="&amp;$BR95,'Tally Helper'!$L$51:$GI$51,"&lt;="&amp;$BS95)))</f>
        <v/>
      </c>
      <c r="AO95" s="15" t="str">
        <f aca="false">IF(OR(S$7="",$BR95=""),"",IF('Tally Helper'!$B$54&lt;&gt;TRUE(),"not on Staff",SUMIFS('Tally Helper'!$L$56:$GI$56,'Tally Helper'!$L$54:$GI$54,"&gt;="&amp;$BR95,'Tally Helper'!$L$54:$GI$54,"&lt;="&amp;$BS95)))</f>
        <v/>
      </c>
      <c r="AP95" s="15" t="str">
        <f aca="false">IF(OR(T$7="",$BR95=""),"",IF('Tally Helper'!$B$57&lt;&gt;TRUE(),"not on Staff",SUMIFS('Tally Helper'!$L$59:$GI$59,'Tally Helper'!$L$57:$GI$57,"&gt;="&amp;$BR95,'Tally Helper'!$L$57:$GI$57,"&lt;="&amp;$BS95)))</f>
        <v/>
      </c>
      <c r="AQ95" s="15" t="str">
        <f aca="false">IF(OR(U$7="",$BR95=""),"",IF('Tally Helper'!$B$60&lt;&gt;TRUE(),"not on Staff",SUMIFS('Tally Helper'!$L$62:$GI$62,'Tally Helper'!$L$60:$GI$60,"&gt;="&amp;$BR95,'Tally Helper'!$L$60:$GI$60,"&lt;="&amp;$BS95)))</f>
        <v/>
      </c>
      <c r="AT95" s="15" t="str">
        <f aca="false">IF(OR(X95="",NOT(ISNUMBER(X95))),"",X95-N(B95))</f>
        <v/>
      </c>
      <c r="AU95" s="15" t="str">
        <f aca="false">IF(OR(Y95="",NOT(ISNUMBER(Y95))),"",Y95-N(C95))</f>
        <v/>
      </c>
      <c r="AV95" s="15" t="str">
        <f aca="false">IF(OR(Z95="",NOT(ISNUMBER(Z95))),"",Z95-N(D95))</f>
        <v/>
      </c>
      <c r="AW95" s="15" t="str">
        <f aca="false">IF(OR(AA95="",NOT(ISNUMBER(AA95))),"",AA95-N(E95))</f>
        <v/>
      </c>
      <c r="AX95" s="15" t="str">
        <f aca="false">IF(OR(AB95="",NOT(ISNUMBER(AB95))),"",AB95-N(F95))</f>
        <v/>
      </c>
      <c r="AY95" s="15" t="str">
        <f aca="false">IF(OR(AC95="",NOT(ISNUMBER(AC95))),"",AC95-N(G95))</f>
        <v/>
      </c>
      <c r="AZ95" s="15" t="str">
        <f aca="false">IF(OR(AD95="",NOT(ISNUMBER(AD95))),"",AD95-N(H95))</f>
        <v/>
      </c>
      <c r="BA95" s="15" t="str">
        <f aca="false">IF(OR(AE95="",NOT(ISNUMBER(AE95))),"",AE95-N(I95))</f>
        <v/>
      </c>
      <c r="BB95" s="15" t="str">
        <f aca="false">IF(OR(AF95="",NOT(ISNUMBER(AF95))),"",AF95-N(J95))</f>
        <v/>
      </c>
      <c r="BC95" s="15" t="str">
        <f aca="false">IF(OR(AG95="",NOT(ISNUMBER(AG95))),"",AG95-N(K95))</f>
        <v/>
      </c>
      <c r="BD95" s="15" t="str">
        <f aca="false">IF(OR(AH95="",NOT(ISNUMBER(AH95))),"",AH95-N(L95))</f>
        <v/>
      </c>
      <c r="BE95" s="15" t="str">
        <f aca="false">IF(OR(AI95="",NOT(ISNUMBER(AI95))),"",AI95-N(M95))</f>
        <v/>
      </c>
      <c r="BF95" s="15" t="str">
        <f aca="false">IF(OR(AJ95="",NOT(ISNUMBER(AJ95))),"",AJ95-N(N95))</f>
        <v/>
      </c>
      <c r="BG95" s="15" t="str">
        <f aca="false">IF(OR(AK95="",NOT(ISNUMBER(AK95))),"",AK95-N(O95))</f>
        <v/>
      </c>
      <c r="BH95" s="15" t="str">
        <f aca="false">IF(OR(AL95="",NOT(ISNUMBER(AL95))),"",AL95-N(P95))</f>
        <v/>
      </c>
      <c r="BI95" s="15" t="str">
        <f aca="false">IF(OR(AM95="",NOT(ISNUMBER(AM95))),"",AM95-N(Q95))</f>
        <v/>
      </c>
      <c r="BJ95" s="15" t="str">
        <f aca="false">IF(OR(AN95="",NOT(ISNUMBER(AN95))),"",AN95-N(R95))</f>
        <v/>
      </c>
      <c r="BK95" s="15" t="str">
        <f aca="false">IF(OR(AO95="",NOT(ISNUMBER(AO95))),"",AO95-N(S95))</f>
        <v/>
      </c>
      <c r="BL95" s="15" t="str">
        <f aca="false">IF(OR(AP95="",NOT(ISNUMBER(AP95))),"",AP95-N(T95))</f>
        <v/>
      </c>
      <c r="BM95" s="15" t="str">
        <f aca="false">IF(OR(AQ95="",NOT(ISNUMBER(AQ95))),"",AQ95-N(U95))</f>
        <v/>
      </c>
      <c r="BR95" s="18" t="str">
        <f aca="false">IF($A95="","",IF(ISNUMBER($A95),DATE(YEAR($A95),MONTH($A95),1),IFERROR(DATE(2000+VALUE(RIGHT(TRIM($A95),2)),MATCH(UPPER(LEFT(TRIM($A95),3)),{"JAN","FEB","MAR","APR","MAY","JUN","JUL","AUG","SEP","OCT","NOV","DEC"},0),1),"")))</f>
        <v/>
      </c>
      <c r="BS95" s="18" t="str">
        <f aca="false">IF(BR95="","",EOMONTH(BR95,0))</f>
        <v/>
      </c>
    </row>
    <row r="96" customFormat="false" ht="15" hidden="false" customHeight="false" outlineLevel="0" collapsed="false">
      <c r="B96" s="19"/>
      <c r="C96" s="19"/>
      <c r="D96" s="19"/>
      <c r="E96" s="19"/>
      <c r="F96" s="19"/>
      <c r="G96" s="19"/>
      <c r="H96" s="19"/>
      <c r="I96" s="19"/>
      <c r="J96" s="19"/>
      <c r="K96" s="19"/>
      <c r="L96" s="19"/>
      <c r="M96" s="19"/>
      <c r="N96" s="19"/>
      <c r="O96" s="19"/>
      <c r="P96" s="19"/>
      <c r="Q96" s="19"/>
      <c r="R96" s="19"/>
      <c r="S96" s="19"/>
      <c r="T96" s="19"/>
      <c r="U96" s="19"/>
      <c r="X96" s="15" t="str">
        <f aca="false">IF(OR(B$7="",$BR96=""),"",IF('Tally Helper'!$B$3&lt;&gt;TRUE(),"not on Staff",SUMIFS('Tally Helper'!$L$5:$GI$5,'Tally Helper'!$L$3:$GI$3,"&gt;="&amp;$BR96,'Tally Helper'!$L$3:$GI$3,"&lt;="&amp;$BS96)))</f>
        <v/>
      </c>
      <c r="Y96" s="15" t="str">
        <f aca="false">IF(OR(C$7="",$BR96=""),"",IF('Tally Helper'!$B$6&lt;&gt;TRUE(),"not on Staff",SUMIFS('Tally Helper'!$L$8:$GI$8,'Tally Helper'!$L$6:$GI$6,"&gt;="&amp;$BR96,'Tally Helper'!$L$6:$GI$6,"&lt;="&amp;$BS96)))</f>
        <v/>
      </c>
      <c r="Z96" s="15" t="str">
        <f aca="false">IF(OR(D$7="",$BR96=""),"",IF('Tally Helper'!$B$9&lt;&gt;TRUE(),"not on Staff",SUMIFS('Tally Helper'!$L$11:$GI$11,'Tally Helper'!$L$9:$GI$9,"&gt;="&amp;$BR96,'Tally Helper'!$L$9:$GI$9,"&lt;="&amp;$BS96)))</f>
        <v/>
      </c>
      <c r="AA96" s="15" t="str">
        <f aca="false">IF(OR(E$7="",$BR96=""),"",IF('Tally Helper'!$B$12&lt;&gt;TRUE(),"not on Staff",SUMIFS('Tally Helper'!$L$14:$GI$14,'Tally Helper'!$L$12:$GI$12,"&gt;="&amp;$BR96,'Tally Helper'!$L$12:$GI$12,"&lt;="&amp;$BS96)))</f>
        <v/>
      </c>
      <c r="AB96" s="15" t="str">
        <f aca="false">IF(OR(F$7="",$BR96=""),"",IF('Tally Helper'!$B$15&lt;&gt;TRUE(),"not on Staff",SUMIFS('Tally Helper'!$L$17:$GI$17,'Tally Helper'!$L$15:$GI$15,"&gt;="&amp;$BR96,'Tally Helper'!$L$15:$GI$15,"&lt;="&amp;$BS96)))</f>
        <v/>
      </c>
      <c r="AC96" s="15" t="str">
        <f aca="false">IF(OR(G$7="",$BR96=""),"",IF('Tally Helper'!$B$18&lt;&gt;TRUE(),"not on Staff",SUMIFS('Tally Helper'!$L$20:$GI$20,'Tally Helper'!$L$18:$GI$18,"&gt;="&amp;$BR96,'Tally Helper'!$L$18:$GI$18,"&lt;="&amp;$BS96)))</f>
        <v/>
      </c>
      <c r="AD96" s="15" t="str">
        <f aca="false">IF(OR(H$7="",$BR96=""),"",IF('Tally Helper'!$B$21&lt;&gt;TRUE(),"not on Staff",SUMIFS('Tally Helper'!$L$23:$GI$23,'Tally Helper'!$L$21:$GI$21,"&gt;="&amp;$BR96,'Tally Helper'!$L$21:$GI$21,"&lt;="&amp;$BS96)))</f>
        <v/>
      </c>
      <c r="AE96" s="15" t="str">
        <f aca="false">IF(OR(I$7="",$BR96=""),"",IF('Tally Helper'!$B$24&lt;&gt;TRUE(),"not on Staff",SUMIFS('Tally Helper'!$L$26:$GI$26,'Tally Helper'!$L$24:$GI$24,"&gt;="&amp;$BR96,'Tally Helper'!$L$24:$GI$24,"&lt;="&amp;$BS96)))</f>
        <v/>
      </c>
      <c r="AF96" s="15" t="str">
        <f aca="false">IF(OR(J$7="",$BR96=""),"",IF('Tally Helper'!$B$27&lt;&gt;TRUE(),"not on Staff",SUMIFS('Tally Helper'!$L$29:$GI$29,'Tally Helper'!$L$27:$GI$27,"&gt;="&amp;$BR96,'Tally Helper'!$L$27:$GI$27,"&lt;="&amp;$BS96)))</f>
        <v/>
      </c>
      <c r="AG96" s="15" t="str">
        <f aca="false">IF(OR(K$7="",$BR96=""),"",IF('Tally Helper'!$B$30&lt;&gt;TRUE(),"not on Staff",SUMIFS('Tally Helper'!$L$32:$GI$32,'Tally Helper'!$L$30:$GI$30,"&gt;="&amp;$BR96,'Tally Helper'!$L$30:$GI$30,"&lt;="&amp;$BS96)))</f>
        <v/>
      </c>
      <c r="AH96" s="15" t="str">
        <f aca="false">IF(OR(L$7="",$BR96=""),"",IF('Tally Helper'!$B$33&lt;&gt;TRUE(),"not on Staff",SUMIFS('Tally Helper'!$L$35:$GI$35,'Tally Helper'!$L$33:$GI$33,"&gt;="&amp;$BR96,'Tally Helper'!$L$33:$GI$33,"&lt;="&amp;$BS96)))</f>
        <v/>
      </c>
      <c r="AI96" s="15" t="str">
        <f aca="false">IF(OR(M$7="",$BR96=""),"",IF('Tally Helper'!$B$36&lt;&gt;TRUE(),"not on Staff",SUMIFS('Tally Helper'!$L$38:$GI$38,'Tally Helper'!$L$36:$GI$36,"&gt;="&amp;$BR96,'Tally Helper'!$L$36:$GI$36,"&lt;="&amp;$BS96)))</f>
        <v/>
      </c>
      <c r="AJ96" s="15" t="str">
        <f aca="false">IF(OR(N$7="",$BR96=""),"",IF('Tally Helper'!$B$39&lt;&gt;TRUE(),"not on Staff",SUMIFS('Tally Helper'!$L$41:$GI$41,'Tally Helper'!$L$39:$GI$39,"&gt;="&amp;$BR96,'Tally Helper'!$L$39:$GI$39,"&lt;="&amp;$BS96)))</f>
        <v/>
      </c>
      <c r="AK96" s="15" t="str">
        <f aca="false">IF(OR(O$7="",$BR96=""),"",IF('Tally Helper'!$B$42&lt;&gt;TRUE(),"not on Staff",SUMIFS('Tally Helper'!$L$44:$GI$44,'Tally Helper'!$L$42:$GI$42,"&gt;="&amp;$BR96,'Tally Helper'!$L$42:$GI$42,"&lt;="&amp;$BS96)))</f>
        <v/>
      </c>
      <c r="AL96" s="15" t="str">
        <f aca="false">IF(OR(P$7="",$BR96=""),"",IF('Tally Helper'!$B$45&lt;&gt;TRUE(),"not on Staff",SUMIFS('Tally Helper'!$L$47:$GI$47,'Tally Helper'!$L$45:$GI$45,"&gt;="&amp;$BR96,'Tally Helper'!$L$45:$GI$45,"&lt;="&amp;$BS96)))</f>
        <v/>
      </c>
      <c r="AM96" s="15" t="str">
        <f aca="false">IF(OR(Q$7="",$BR96=""),"",IF('Tally Helper'!$B$48&lt;&gt;TRUE(),"not on Staff",SUMIFS('Tally Helper'!$L$50:$GI$50,'Tally Helper'!$L$48:$GI$48,"&gt;="&amp;$BR96,'Tally Helper'!$L$48:$GI$48,"&lt;="&amp;$BS96)))</f>
        <v/>
      </c>
      <c r="AN96" s="15" t="str">
        <f aca="false">IF(OR(R$7="",$BR96=""),"",IF('Tally Helper'!$B$51&lt;&gt;TRUE(),"not on Staff",SUMIFS('Tally Helper'!$L$53:$GI$53,'Tally Helper'!$L$51:$GI$51,"&gt;="&amp;$BR96,'Tally Helper'!$L$51:$GI$51,"&lt;="&amp;$BS96)))</f>
        <v/>
      </c>
      <c r="AO96" s="15" t="str">
        <f aca="false">IF(OR(S$7="",$BR96=""),"",IF('Tally Helper'!$B$54&lt;&gt;TRUE(),"not on Staff",SUMIFS('Tally Helper'!$L$56:$GI$56,'Tally Helper'!$L$54:$GI$54,"&gt;="&amp;$BR96,'Tally Helper'!$L$54:$GI$54,"&lt;="&amp;$BS96)))</f>
        <v/>
      </c>
      <c r="AP96" s="15" t="str">
        <f aca="false">IF(OR(T$7="",$BR96=""),"",IF('Tally Helper'!$B$57&lt;&gt;TRUE(),"not on Staff",SUMIFS('Tally Helper'!$L$59:$GI$59,'Tally Helper'!$L$57:$GI$57,"&gt;="&amp;$BR96,'Tally Helper'!$L$57:$GI$57,"&lt;="&amp;$BS96)))</f>
        <v/>
      </c>
      <c r="AQ96" s="15" t="str">
        <f aca="false">IF(OR(U$7="",$BR96=""),"",IF('Tally Helper'!$B$60&lt;&gt;TRUE(),"not on Staff",SUMIFS('Tally Helper'!$L$62:$GI$62,'Tally Helper'!$L$60:$GI$60,"&gt;="&amp;$BR96,'Tally Helper'!$L$60:$GI$60,"&lt;="&amp;$BS96)))</f>
        <v/>
      </c>
      <c r="AT96" s="15" t="str">
        <f aca="false">IF(OR(X96="",NOT(ISNUMBER(X96))),"",X96-N(B96))</f>
        <v/>
      </c>
      <c r="AU96" s="15" t="str">
        <f aca="false">IF(OR(Y96="",NOT(ISNUMBER(Y96))),"",Y96-N(C96))</f>
        <v/>
      </c>
      <c r="AV96" s="15" t="str">
        <f aca="false">IF(OR(Z96="",NOT(ISNUMBER(Z96))),"",Z96-N(D96))</f>
        <v/>
      </c>
      <c r="AW96" s="15" t="str">
        <f aca="false">IF(OR(AA96="",NOT(ISNUMBER(AA96))),"",AA96-N(E96))</f>
        <v/>
      </c>
      <c r="AX96" s="15" t="str">
        <f aca="false">IF(OR(AB96="",NOT(ISNUMBER(AB96))),"",AB96-N(F96))</f>
        <v/>
      </c>
      <c r="AY96" s="15" t="str">
        <f aca="false">IF(OR(AC96="",NOT(ISNUMBER(AC96))),"",AC96-N(G96))</f>
        <v/>
      </c>
      <c r="AZ96" s="15" t="str">
        <f aca="false">IF(OR(AD96="",NOT(ISNUMBER(AD96))),"",AD96-N(H96))</f>
        <v/>
      </c>
      <c r="BA96" s="15" t="str">
        <f aca="false">IF(OR(AE96="",NOT(ISNUMBER(AE96))),"",AE96-N(I96))</f>
        <v/>
      </c>
      <c r="BB96" s="15" t="str">
        <f aca="false">IF(OR(AF96="",NOT(ISNUMBER(AF96))),"",AF96-N(J96))</f>
        <v/>
      </c>
      <c r="BC96" s="15" t="str">
        <f aca="false">IF(OR(AG96="",NOT(ISNUMBER(AG96))),"",AG96-N(K96))</f>
        <v/>
      </c>
      <c r="BD96" s="15" t="str">
        <f aca="false">IF(OR(AH96="",NOT(ISNUMBER(AH96))),"",AH96-N(L96))</f>
        <v/>
      </c>
      <c r="BE96" s="15" t="str">
        <f aca="false">IF(OR(AI96="",NOT(ISNUMBER(AI96))),"",AI96-N(M96))</f>
        <v/>
      </c>
      <c r="BF96" s="15" t="str">
        <f aca="false">IF(OR(AJ96="",NOT(ISNUMBER(AJ96))),"",AJ96-N(N96))</f>
        <v/>
      </c>
      <c r="BG96" s="15" t="str">
        <f aca="false">IF(OR(AK96="",NOT(ISNUMBER(AK96))),"",AK96-N(O96))</f>
        <v/>
      </c>
      <c r="BH96" s="15" t="str">
        <f aca="false">IF(OR(AL96="",NOT(ISNUMBER(AL96))),"",AL96-N(P96))</f>
        <v/>
      </c>
      <c r="BI96" s="15" t="str">
        <f aca="false">IF(OR(AM96="",NOT(ISNUMBER(AM96))),"",AM96-N(Q96))</f>
        <v/>
      </c>
      <c r="BJ96" s="15" t="str">
        <f aca="false">IF(OR(AN96="",NOT(ISNUMBER(AN96))),"",AN96-N(R96))</f>
        <v/>
      </c>
      <c r="BK96" s="15" t="str">
        <f aca="false">IF(OR(AO96="",NOT(ISNUMBER(AO96))),"",AO96-N(S96))</f>
        <v/>
      </c>
      <c r="BL96" s="15" t="str">
        <f aca="false">IF(OR(AP96="",NOT(ISNUMBER(AP96))),"",AP96-N(T96))</f>
        <v/>
      </c>
      <c r="BM96" s="15" t="str">
        <f aca="false">IF(OR(AQ96="",NOT(ISNUMBER(AQ96))),"",AQ96-N(U96))</f>
        <v/>
      </c>
      <c r="BR96" s="18" t="str">
        <f aca="false">IF($A96="","",IF(ISNUMBER($A96),DATE(YEAR($A96),MONTH($A96),1),IFERROR(DATE(2000+VALUE(RIGHT(TRIM($A96),2)),MATCH(UPPER(LEFT(TRIM($A96),3)),{"JAN","FEB","MAR","APR","MAY","JUN","JUL","AUG","SEP","OCT","NOV","DEC"},0),1),"")))</f>
        <v/>
      </c>
      <c r="BS96" s="18" t="str">
        <f aca="false">IF(BR96="","",EOMONTH(BR96,0))</f>
        <v/>
      </c>
    </row>
    <row r="97" customFormat="false" ht="15" hidden="false" customHeight="false" outlineLevel="0" collapsed="false">
      <c r="B97" s="19"/>
      <c r="C97" s="19"/>
      <c r="D97" s="19"/>
      <c r="E97" s="19"/>
      <c r="F97" s="19"/>
      <c r="G97" s="19"/>
      <c r="H97" s="19"/>
      <c r="I97" s="19"/>
      <c r="J97" s="19"/>
      <c r="K97" s="19"/>
      <c r="L97" s="19"/>
      <c r="M97" s="19"/>
      <c r="N97" s="19"/>
      <c r="O97" s="19"/>
      <c r="P97" s="19"/>
      <c r="Q97" s="19"/>
      <c r="R97" s="19"/>
      <c r="S97" s="19"/>
      <c r="T97" s="19"/>
      <c r="U97" s="19"/>
      <c r="X97" s="15" t="str">
        <f aca="false">IF(OR(B$7="",$BR97=""),"",IF('Tally Helper'!$B$3&lt;&gt;TRUE(),"not on Staff",SUMIFS('Tally Helper'!$L$5:$GI$5,'Tally Helper'!$L$3:$GI$3,"&gt;="&amp;$BR97,'Tally Helper'!$L$3:$GI$3,"&lt;="&amp;$BS97)))</f>
        <v/>
      </c>
      <c r="Y97" s="15" t="str">
        <f aca="false">IF(OR(C$7="",$BR97=""),"",IF('Tally Helper'!$B$6&lt;&gt;TRUE(),"not on Staff",SUMIFS('Tally Helper'!$L$8:$GI$8,'Tally Helper'!$L$6:$GI$6,"&gt;="&amp;$BR97,'Tally Helper'!$L$6:$GI$6,"&lt;="&amp;$BS97)))</f>
        <v/>
      </c>
      <c r="Z97" s="15" t="str">
        <f aca="false">IF(OR(D$7="",$BR97=""),"",IF('Tally Helper'!$B$9&lt;&gt;TRUE(),"not on Staff",SUMIFS('Tally Helper'!$L$11:$GI$11,'Tally Helper'!$L$9:$GI$9,"&gt;="&amp;$BR97,'Tally Helper'!$L$9:$GI$9,"&lt;="&amp;$BS97)))</f>
        <v/>
      </c>
      <c r="AA97" s="15" t="str">
        <f aca="false">IF(OR(E$7="",$BR97=""),"",IF('Tally Helper'!$B$12&lt;&gt;TRUE(),"not on Staff",SUMIFS('Tally Helper'!$L$14:$GI$14,'Tally Helper'!$L$12:$GI$12,"&gt;="&amp;$BR97,'Tally Helper'!$L$12:$GI$12,"&lt;="&amp;$BS97)))</f>
        <v/>
      </c>
      <c r="AB97" s="15" t="str">
        <f aca="false">IF(OR(F$7="",$BR97=""),"",IF('Tally Helper'!$B$15&lt;&gt;TRUE(),"not on Staff",SUMIFS('Tally Helper'!$L$17:$GI$17,'Tally Helper'!$L$15:$GI$15,"&gt;="&amp;$BR97,'Tally Helper'!$L$15:$GI$15,"&lt;="&amp;$BS97)))</f>
        <v/>
      </c>
      <c r="AC97" s="15" t="str">
        <f aca="false">IF(OR(G$7="",$BR97=""),"",IF('Tally Helper'!$B$18&lt;&gt;TRUE(),"not on Staff",SUMIFS('Tally Helper'!$L$20:$GI$20,'Tally Helper'!$L$18:$GI$18,"&gt;="&amp;$BR97,'Tally Helper'!$L$18:$GI$18,"&lt;="&amp;$BS97)))</f>
        <v/>
      </c>
      <c r="AD97" s="15" t="str">
        <f aca="false">IF(OR(H$7="",$BR97=""),"",IF('Tally Helper'!$B$21&lt;&gt;TRUE(),"not on Staff",SUMIFS('Tally Helper'!$L$23:$GI$23,'Tally Helper'!$L$21:$GI$21,"&gt;="&amp;$BR97,'Tally Helper'!$L$21:$GI$21,"&lt;="&amp;$BS97)))</f>
        <v/>
      </c>
      <c r="AE97" s="15" t="str">
        <f aca="false">IF(OR(I$7="",$BR97=""),"",IF('Tally Helper'!$B$24&lt;&gt;TRUE(),"not on Staff",SUMIFS('Tally Helper'!$L$26:$GI$26,'Tally Helper'!$L$24:$GI$24,"&gt;="&amp;$BR97,'Tally Helper'!$L$24:$GI$24,"&lt;="&amp;$BS97)))</f>
        <v/>
      </c>
      <c r="AF97" s="15" t="str">
        <f aca="false">IF(OR(J$7="",$BR97=""),"",IF('Tally Helper'!$B$27&lt;&gt;TRUE(),"not on Staff",SUMIFS('Tally Helper'!$L$29:$GI$29,'Tally Helper'!$L$27:$GI$27,"&gt;="&amp;$BR97,'Tally Helper'!$L$27:$GI$27,"&lt;="&amp;$BS97)))</f>
        <v/>
      </c>
      <c r="AG97" s="15" t="str">
        <f aca="false">IF(OR(K$7="",$BR97=""),"",IF('Tally Helper'!$B$30&lt;&gt;TRUE(),"not on Staff",SUMIFS('Tally Helper'!$L$32:$GI$32,'Tally Helper'!$L$30:$GI$30,"&gt;="&amp;$BR97,'Tally Helper'!$L$30:$GI$30,"&lt;="&amp;$BS97)))</f>
        <v/>
      </c>
      <c r="AH97" s="15" t="str">
        <f aca="false">IF(OR(L$7="",$BR97=""),"",IF('Tally Helper'!$B$33&lt;&gt;TRUE(),"not on Staff",SUMIFS('Tally Helper'!$L$35:$GI$35,'Tally Helper'!$L$33:$GI$33,"&gt;="&amp;$BR97,'Tally Helper'!$L$33:$GI$33,"&lt;="&amp;$BS97)))</f>
        <v/>
      </c>
      <c r="AI97" s="15" t="str">
        <f aca="false">IF(OR(M$7="",$BR97=""),"",IF('Tally Helper'!$B$36&lt;&gt;TRUE(),"not on Staff",SUMIFS('Tally Helper'!$L$38:$GI$38,'Tally Helper'!$L$36:$GI$36,"&gt;="&amp;$BR97,'Tally Helper'!$L$36:$GI$36,"&lt;="&amp;$BS97)))</f>
        <v/>
      </c>
      <c r="AJ97" s="15" t="str">
        <f aca="false">IF(OR(N$7="",$BR97=""),"",IF('Tally Helper'!$B$39&lt;&gt;TRUE(),"not on Staff",SUMIFS('Tally Helper'!$L$41:$GI$41,'Tally Helper'!$L$39:$GI$39,"&gt;="&amp;$BR97,'Tally Helper'!$L$39:$GI$39,"&lt;="&amp;$BS97)))</f>
        <v/>
      </c>
      <c r="AK97" s="15" t="str">
        <f aca="false">IF(OR(O$7="",$BR97=""),"",IF('Tally Helper'!$B$42&lt;&gt;TRUE(),"not on Staff",SUMIFS('Tally Helper'!$L$44:$GI$44,'Tally Helper'!$L$42:$GI$42,"&gt;="&amp;$BR97,'Tally Helper'!$L$42:$GI$42,"&lt;="&amp;$BS97)))</f>
        <v/>
      </c>
      <c r="AL97" s="15" t="str">
        <f aca="false">IF(OR(P$7="",$BR97=""),"",IF('Tally Helper'!$B$45&lt;&gt;TRUE(),"not on Staff",SUMIFS('Tally Helper'!$L$47:$GI$47,'Tally Helper'!$L$45:$GI$45,"&gt;="&amp;$BR97,'Tally Helper'!$L$45:$GI$45,"&lt;="&amp;$BS97)))</f>
        <v/>
      </c>
      <c r="AM97" s="15" t="str">
        <f aca="false">IF(OR(Q$7="",$BR97=""),"",IF('Tally Helper'!$B$48&lt;&gt;TRUE(),"not on Staff",SUMIFS('Tally Helper'!$L$50:$GI$50,'Tally Helper'!$L$48:$GI$48,"&gt;="&amp;$BR97,'Tally Helper'!$L$48:$GI$48,"&lt;="&amp;$BS97)))</f>
        <v/>
      </c>
      <c r="AN97" s="15" t="str">
        <f aca="false">IF(OR(R$7="",$BR97=""),"",IF('Tally Helper'!$B$51&lt;&gt;TRUE(),"not on Staff",SUMIFS('Tally Helper'!$L$53:$GI$53,'Tally Helper'!$L$51:$GI$51,"&gt;="&amp;$BR97,'Tally Helper'!$L$51:$GI$51,"&lt;="&amp;$BS97)))</f>
        <v/>
      </c>
      <c r="AO97" s="15" t="str">
        <f aca="false">IF(OR(S$7="",$BR97=""),"",IF('Tally Helper'!$B$54&lt;&gt;TRUE(),"not on Staff",SUMIFS('Tally Helper'!$L$56:$GI$56,'Tally Helper'!$L$54:$GI$54,"&gt;="&amp;$BR97,'Tally Helper'!$L$54:$GI$54,"&lt;="&amp;$BS97)))</f>
        <v/>
      </c>
      <c r="AP97" s="15" t="str">
        <f aca="false">IF(OR(T$7="",$BR97=""),"",IF('Tally Helper'!$B$57&lt;&gt;TRUE(),"not on Staff",SUMIFS('Tally Helper'!$L$59:$GI$59,'Tally Helper'!$L$57:$GI$57,"&gt;="&amp;$BR97,'Tally Helper'!$L$57:$GI$57,"&lt;="&amp;$BS97)))</f>
        <v/>
      </c>
      <c r="AQ97" s="15" t="str">
        <f aca="false">IF(OR(U$7="",$BR97=""),"",IF('Tally Helper'!$B$60&lt;&gt;TRUE(),"not on Staff",SUMIFS('Tally Helper'!$L$62:$GI$62,'Tally Helper'!$L$60:$GI$60,"&gt;="&amp;$BR97,'Tally Helper'!$L$60:$GI$60,"&lt;="&amp;$BS97)))</f>
        <v/>
      </c>
      <c r="AT97" s="15" t="str">
        <f aca="false">IF(OR(X97="",NOT(ISNUMBER(X97))),"",X97-N(B97))</f>
        <v/>
      </c>
      <c r="AU97" s="15" t="str">
        <f aca="false">IF(OR(Y97="",NOT(ISNUMBER(Y97))),"",Y97-N(C97))</f>
        <v/>
      </c>
      <c r="AV97" s="15" t="str">
        <f aca="false">IF(OR(Z97="",NOT(ISNUMBER(Z97))),"",Z97-N(D97))</f>
        <v/>
      </c>
      <c r="AW97" s="15" t="str">
        <f aca="false">IF(OR(AA97="",NOT(ISNUMBER(AA97))),"",AA97-N(E97))</f>
        <v/>
      </c>
      <c r="AX97" s="15" t="str">
        <f aca="false">IF(OR(AB97="",NOT(ISNUMBER(AB97))),"",AB97-N(F97))</f>
        <v/>
      </c>
      <c r="AY97" s="15" t="str">
        <f aca="false">IF(OR(AC97="",NOT(ISNUMBER(AC97))),"",AC97-N(G97))</f>
        <v/>
      </c>
      <c r="AZ97" s="15" t="str">
        <f aca="false">IF(OR(AD97="",NOT(ISNUMBER(AD97))),"",AD97-N(H97))</f>
        <v/>
      </c>
      <c r="BA97" s="15" t="str">
        <f aca="false">IF(OR(AE97="",NOT(ISNUMBER(AE97))),"",AE97-N(I97))</f>
        <v/>
      </c>
      <c r="BB97" s="15" t="str">
        <f aca="false">IF(OR(AF97="",NOT(ISNUMBER(AF97))),"",AF97-N(J97))</f>
        <v/>
      </c>
      <c r="BC97" s="15" t="str">
        <f aca="false">IF(OR(AG97="",NOT(ISNUMBER(AG97))),"",AG97-N(K97))</f>
        <v/>
      </c>
      <c r="BD97" s="15" t="str">
        <f aca="false">IF(OR(AH97="",NOT(ISNUMBER(AH97))),"",AH97-N(L97))</f>
        <v/>
      </c>
      <c r="BE97" s="15" t="str">
        <f aca="false">IF(OR(AI97="",NOT(ISNUMBER(AI97))),"",AI97-N(M97))</f>
        <v/>
      </c>
      <c r="BF97" s="15" t="str">
        <f aca="false">IF(OR(AJ97="",NOT(ISNUMBER(AJ97))),"",AJ97-N(N97))</f>
        <v/>
      </c>
      <c r="BG97" s="15" t="str">
        <f aca="false">IF(OR(AK97="",NOT(ISNUMBER(AK97))),"",AK97-N(O97))</f>
        <v/>
      </c>
      <c r="BH97" s="15" t="str">
        <f aca="false">IF(OR(AL97="",NOT(ISNUMBER(AL97))),"",AL97-N(P97))</f>
        <v/>
      </c>
      <c r="BI97" s="15" t="str">
        <f aca="false">IF(OR(AM97="",NOT(ISNUMBER(AM97))),"",AM97-N(Q97))</f>
        <v/>
      </c>
      <c r="BJ97" s="15" t="str">
        <f aca="false">IF(OR(AN97="",NOT(ISNUMBER(AN97))),"",AN97-N(R97))</f>
        <v/>
      </c>
      <c r="BK97" s="15" t="str">
        <f aca="false">IF(OR(AO97="",NOT(ISNUMBER(AO97))),"",AO97-N(S97))</f>
        <v/>
      </c>
      <c r="BL97" s="15" t="str">
        <f aca="false">IF(OR(AP97="",NOT(ISNUMBER(AP97))),"",AP97-N(T97))</f>
        <v/>
      </c>
      <c r="BM97" s="15" t="str">
        <f aca="false">IF(OR(AQ97="",NOT(ISNUMBER(AQ97))),"",AQ97-N(U97))</f>
        <v/>
      </c>
      <c r="BR97" s="18" t="str">
        <f aca="false">IF($A97="","",IF(ISNUMBER($A97),DATE(YEAR($A97),MONTH($A97),1),IFERROR(DATE(2000+VALUE(RIGHT(TRIM($A97),2)),MATCH(UPPER(LEFT(TRIM($A97),3)),{"JAN","FEB","MAR","APR","MAY","JUN","JUL","AUG","SEP","OCT","NOV","DEC"},0),1),"")))</f>
        <v/>
      </c>
      <c r="BS97" s="18" t="str">
        <f aca="false">IF(BR97="","",EOMONTH(BR97,0))</f>
        <v/>
      </c>
    </row>
    <row r="98" customFormat="false" ht="15" hidden="false" customHeight="false" outlineLevel="0" collapsed="false">
      <c r="B98" s="19"/>
      <c r="C98" s="19"/>
      <c r="D98" s="19"/>
      <c r="E98" s="19"/>
      <c r="F98" s="19"/>
      <c r="G98" s="19"/>
      <c r="H98" s="19"/>
      <c r="I98" s="19"/>
      <c r="J98" s="19"/>
      <c r="K98" s="19"/>
      <c r="L98" s="19"/>
      <c r="M98" s="19"/>
      <c r="N98" s="19"/>
      <c r="O98" s="19"/>
      <c r="P98" s="19"/>
      <c r="Q98" s="19"/>
      <c r="R98" s="19"/>
      <c r="S98" s="19"/>
      <c r="T98" s="19"/>
      <c r="U98" s="19"/>
      <c r="X98" s="15" t="str">
        <f aca="false">IF(OR(B$7="",$BR98=""),"",IF('Tally Helper'!$B$3&lt;&gt;TRUE(),"not on Staff",SUMIFS('Tally Helper'!$L$5:$GI$5,'Tally Helper'!$L$3:$GI$3,"&gt;="&amp;$BR98,'Tally Helper'!$L$3:$GI$3,"&lt;="&amp;$BS98)))</f>
        <v/>
      </c>
      <c r="Y98" s="15" t="str">
        <f aca="false">IF(OR(C$7="",$BR98=""),"",IF('Tally Helper'!$B$6&lt;&gt;TRUE(),"not on Staff",SUMIFS('Tally Helper'!$L$8:$GI$8,'Tally Helper'!$L$6:$GI$6,"&gt;="&amp;$BR98,'Tally Helper'!$L$6:$GI$6,"&lt;="&amp;$BS98)))</f>
        <v/>
      </c>
      <c r="Z98" s="15" t="str">
        <f aca="false">IF(OR(D$7="",$BR98=""),"",IF('Tally Helper'!$B$9&lt;&gt;TRUE(),"not on Staff",SUMIFS('Tally Helper'!$L$11:$GI$11,'Tally Helper'!$L$9:$GI$9,"&gt;="&amp;$BR98,'Tally Helper'!$L$9:$GI$9,"&lt;="&amp;$BS98)))</f>
        <v/>
      </c>
      <c r="AA98" s="15" t="str">
        <f aca="false">IF(OR(E$7="",$BR98=""),"",IF('Tally Helper'!$B$12&lt;&gt;TRUE(),"not on Staff",SUMIFS('Tally Helper'!$L$14:$GI$14,'Tally Helper'!$L$12:$GI$12,"&gt;="&amp;$BR98,'Tally Helper'!$L$12:$GI$12,"&lt;="&amp;$BS98)))</f>
        <v/>
      </c>
      <c r="AB98" s="15" t="str">
        <f aca="false">IF(OR(F$7="",$BR98=""),"",IF('Tally Helper'!$B$15&lt;&gt;TRUE(),"not on Staff",SUMIFS('Tally Helper'!$L$17:$GI$17,'Tally Helper'!$L$15:$GI$15,"&gt;="&amp;$BR98,'Tally Helper'!$L$15:$GI$15,"&lt;="&amp;$BS98)))</f>
        <v/>
      </c>
      <c r="AC98" s="15" t="str">
        <f aca="false">IF(OR(G$7="",$BR98=""),"",IF('Tally Helper'!$B$18&lt;&gt;TRUE(),"not on Staff",SUMIFS('Tally Helper'!$L$20:$GI$20,'Tally Helper'!$L$18:$GI$18,"&gt;="&amp;$BR98,'Tally Helper'!$L$18:$GI$18,"&lt;="&amp;$BS98)))</f>
        <v/>
      </c>
      <c r="AD98" s="15" t="str">
        <f aca="false">IF(OR(H$7="",$BR98=""),"",IF('Tally Helper'!$B$21&lt;&gt;TRUE(),"not on Staff",SUMIFS('Tally Helper'!$L$23:$GI$23,'Tally Helper'!$L$21:$GI$21,"&gt;="&amp;$BR98,'Tally Helper'!$L$21:$GI$21,"&lt;="&amp;$BS98)))</f>
        <v/>
      </c>
      <c r="AE98" s="15" t="str">
        <f aca="false">IF(OR(I$7="",$BR98=""),"",IF('Tally Helper'!$B$24&lt;&gt;TRUE(),"not on Staff",SUMIFS('Tally Helper'!$L$26:$GI$26,'Tally Helper'!$L$24:$GI$24,"&gt;="&amp;$BR98,'Tally Helper'!$L$24:$GI$24,"&lt;="&amp;$BS98)))</f>
        <v/>
      </c>
      <c r="AF98" s="15" t="str">
        <f aca="false">IF(OR(J$7="",$BR98=""),"",IF('Tally Helper'!$B$27&lt;&gt;TRUE(),"not on Staff",SUMIFS('Tally Helper'!$L$29:$GI$29,'Tally Helper'!$L$27:$GI$27,"&gt;="&amp;$BR98,'Tally Helper'!$L$27:$GI$27,"&lt;="&amp;$BS98)))</f>
        <v/>
      </c>
      <c r="AG98" s="15" t="str">
        <f aca="false">IF(OR(K$7="",$BR98=""),"",IF('Tally Helper'!$B$30&lt;&gt;TRUE(),"not on Staff",SUMIFS('Tally Helper'!$L$32:$GI$32,'Tally Helper'!$L$30:$GI$30,"&gt;="&amp;$BR98,'Tally Helper'!$L$30:$GI$30,"&lt;="&amp;$BS98)))</f>
        <v/>
      </c>
      <c r="AH98" s="15" t="str">
        <f aca="false">IF(OR(L$7="",$BR98=""),"",IF('Tally Helper'!$B$33&lt;&gt;TRUE(),"not on Staff",SUMIFS('Tally Helper'!$L$35:$GI$35,'Tally Helper'!$L$33:$GI$33,"&gt;="&amp;$BR98,'Tally Helper'!$L$33:$GI$33,"&lt;="&amp;$BS98)))</f>
        <v/>
      </c>
      <c r="AI98" s="15" t="str">
        <f aca="false">IF(OR(M$7="",$BR98=""),"",IF('Tally Helper'!$B$36&lt;&gt;TRUE(),"not on Staff",SUMIFS('Tally Helper'!$L$38:$GI$38,'Tally Helper'!$L$36:$GI$36,"&gt;="&amp;$BR98,'Tally Helper'!$L$36:$GI$36,"&lt;="&amp;$BS98)))</f>
        <v/>
      </c>
      <c r="AJ98" s="15" t="str">
        <f aca="false">IF(OR(N$7="",$BR98=""),"",IF('Tally Helper'!$B$39&lt;&gt;TRUE(),"not on Staff",SUMIFS('Tally Helper'!$L$41:$GI$41,'Tally Helper'!$L$39:$GI$39,"&gt;="&amp;$BR98,'Tally Helper'!$L$39:$GI$39,"&lt;="&amp;$BS98)))</f>
        <v/>
      </c>
      <c r="AK98" s="15" t="str">
        <f aca="false">IF(OR(O$7="",$BR98=""),"",IF('Tally Helper'!$B$42&lt;&gt;TRUE(),"not on Staff",SUMIFS('Tally Helper'!$L$44:$GI$44,'Tally Helper'!$L$42:$GI$42,"&gt;="&amp;$BR98,'Tally Helper'!$L$42:$GI$42,"&lt;="&amp;$BS98)))</f>
        <v/>
      </c>
      <c r="AL98" s="15" t="str">
        <f aca="false">IF(OR(P$7="",$BR98=""),"",IF('Tally Helper'!$B$45&lt;&gt;TRUE(),"not on Staff",SUMIFS('Tally Helper'!$L$47:$GI$47,'Tally Helper'!$L$45:$GI$45,"&gt;="&amp;$BR98,'Tally Helper'!$L$45:$GI$45,"&lt;="&amp;$BS98)))</f>
        <v/>
      </c>
      <c r="AM98" s="15" t="str">
        <f aca="false">IF(OR(Q$7="",$BR98=""),"",IF('Tally Helper'!$B$48&lt;&gt;TRUE(),"not on Staff",SUMIFS('Tally Helper'!$L$50:$GI$50,'Tally Helper'!$L$48:$GI$48,"&gt;="&amp;$BR98,'Tally Helper'!$L$48:$GI$48,"&lt;="&amp;$BS98)))</f>
        <v/>
      </c>
      <c r="AN98" s="15" t="str">
        <f aca="false">IF(OR(R$7="",$BR98=""),"",IF('Tally Helper'!$B$51&lt;&gt;TRUE(),"not on Staff",SUMIFS('Tally Helper'!$L$53:$GI$53,'Tally Helper'!$L$51:$GI$51,"&gt;="&amp;$BR98,'Tally Helper'!$L$51:$GI$51,"&lt;="&amp;$BS98)))</f>
        <v/>
      </c>
      <c r="AO98" s="15" t="str">
        <f aca="false">IF(OR(S$7="",$BR98=""),"",IF('Tally Helper'!$B$54&lt;&gt;TRUE(),"not on Staff",SUMIFS('Tally Helper'!$L$56:$GI$56,'Tally Helper'!$L$54:$GI$54,"&gt;="&amp;$BR98,'Tally Helper'!$L$54:$GI$54,"&lt;="&amp;$BS98)))</f>
        <v/>
      </c>
      <c r="AP98" s="15" t="str">
        <f aca="false">IF(OR(T$7="",$BR98=""),"",IF('Tally Helper'!$B$57&lt;&gt;TRUE(),"not on Staff",SUMIFS('Tally Helper'!$L$59:$GI$59,'Tally Helper'!$L$57:$GI$57,"&gt;="&amp;$BR98,'Tally Helper'!$L$57:$GI$57,"&lt;="&amp;$BS98)))</f>
        <v/>
      </c>
      <c r="AQ98" s="15" t="str">
        <f aca="false">IF(OR(U$7="",$BR98=""),"",IF('Tally Helper'!$B$60&lt;&gt;TRUE(),"not on Staff",SUMIFS('Tally Helper'!$L$62:$GI$62,'Tally Helper'!$L$60:$GI$60,"&gt;="&amp;$BR98,'Tally Helper'!$L$60:$GI$60,"&lt;="&amp;$BS98)))</f>
        <v/>
      </c>
      <c r="AT98" s="15" t="str">
        <f aca="false">IF(OR(X98="",NOT(ISNUMBER(X98))),"",X98-N(B98))</f>
        <v/>
      </c>
      <c r="AU98" s="15" t="str">
        <f aca="false">IF(OR(Y98="",NOT(ISNUMBER(Y98))),"",Y98-N(C98))</f>
        <v/>
      </c>
      <c r="AV98" s="15" t="str">
        <f aca="false">IF(OR(Z98="",NOT(ISNUMBER(Z98))),"",Z98-N(D98))</f>
        <v/>
      </c>
      <c r="AW98" s="15" t="str">
        <f aca="false">IF(OR(AA98="",NOT(ISNUMBER(AA98))),"",AA98-N(E98))</f>
        <v/>
      </c>
      <c r="AX98" s="15" t="str">
        <f aca="false">IF(OR(AB98="",NOT(ISNUMBER(AB98))),"",AB98-N(F98))</f>
        <v/>
      </c>
      <c r="AY98" s="15" t="str">
        <f aca="false">IF(OR(AC98="",NOT(ISNUMBER(AC98))),"",AC98-N(G98))</f>
        <v/>
      </c>
      <c r="AZ98" s="15" t="str">
        <f aca="false">IF(OR(AD98="",NOT(ISNUMBER(AD98))),"",AD98-N(H98))</f>
        <v/>
      </c>
      <c r="BA98" s="15" t="str">
        <f aca="false">IF(OR(AE98="",NOT(ISNUMBER(AE98))),"",AE98-N(I98))</f>
        <v/>
      </c>
      <c r="BB98" s="15" t="str">
        <f aca="false">IF(OR(AF98="",NOT(ISNUMBER(AF98))),"",AF98-N(J98))</f>
        <v/>
      </c>
      <c r="BC98" s="15" t="str">
        <f aca="false">IF(OR(AG98="",NOT(ISNUMBER(AG98))),"",AG98-N(K98))</f>
        <v/>
      </c>
      <c r="BD98" s="15" t="str">
        <f aca="false">IF(OR(AH98="",NOT(ISNUMBER(AH98))),"",AH98-N(L98))</f>
        <v/>
      </c>
      <c r="BE98" s="15" t="str">
        <f aca="false">IF(OR(AI98="",NOT(ISNUMBER(AI98))),"",AI98-N(M98))</f>
        <v/>
      </c>
      <c r="BF98" s="15" t="str">
        <f aca="false">IF(OR(AJ98="",NOT(ISNUMBER(AJ98))),"",AJ98-N(N98))</f>
        <v/>
      </c>
      <c r="BG98" s="15" t="str">
        <f aca="false">IF(OR(AK98="",NOT(ISNUMBER(AK98))),"",AK98-N(O98))</f>
        <v/>
      </c>
      <c r="BH98" s="15" t="str">
        <f aca="false">IF(OR(AL98="",NOT(ISNUMBER(AL98))),"",AL98-N(P98))</f>
        <v/>
      </c>
      <c r="BI98" s="15" t="str">
        <f aca="false">IF(OR(AM98="",NOT(ISNUMBER(AM98))),"",AM98-N(Q98))</f>
        <v/>
      </c>
      <c r="BJ98" s="15" t="str">
        <f aca="false">IF(OR(AN98="",NOT(ISNUMBER(AN98))),"",AN98-N(R98))</f>
        <v/>
      </c>
      <c r="BK98" s="15" t="str">
        <f aca="false">IF(OR(AO98="",NOT(ISNUMBER(AO98))),"",AO98-N(S98))</f>
        <v/>
      </c>
      <c r="BL98" s="15" t="str">
        <f aca="false">IF(OR(AP98="",NOT(ISNUMBER(AP98))),"",AP98-N(T98))</f>
        <v/>
      </c>
      <c r="BM98" s="15" t="str">
        <f aca="false">IF(OR(AQ98="",NOT(ISNUMBER(AQ98))),"",AQ98-N(U98))</f>
        <v/>
      </c>
      <c r="BR98" s="18" t="str">
        <f aca="false">IF($A98="","",IF(ISNUMBER($A98),DATE(YEAR($A98),MONTH($A98),1),IFERROR(DATE(2000+VALUE(RIGHT(TRIM($A98),2)),MATCH(UPPER(LEFT(TRIM($A98),3)),{"JAN","FEB","MAR","APR","MAY","JUN","JUL","AUG","SEP","OCT","NOV","DEC"},0),1),"")))</f>
        <v/>
      </c>
      <c r="BS98" s="18" t="str">
        <f aca="false">IF(BR98="","",EOMONTH(BR98,0))</f>
        <v/>
      </c>
    </row>
    <row r="99" customFormat="false" ht="15" hidden="false" customHeight="false" outlineLevel="0" collapsed="false">
      <c r="B99" s="19"/>
      <c r="C99" s="19"/>
      <c r="D99" s="19"/>
      <c r="E99" s="19"/>
      <c r="F99" s="19"/>
      <c r="G99" s="19"/>
      <c r="H99" s="19"/>
      <c r="I99" s="19"/>
      <c r="J99" s="19"/>
      <c r="K99" s="19"/>
      <c r="L99" s="19"/>
      <c r="M99" s="19"/>
      <c r="N99" s="19"/>
      <c r="O99" s="19"/>
      <c r="P99" s="19"/>
      <c r="Q99" s="19"/>
      <c r="R99" s="19"/>
      <c r="S99" s="19"/>
      <c r="T99" s="19"/>
      <c r="U99" s="19"/>
      <c r="X99" s="15" t="str">
        <f aca="false">IF(OR(B$7="",$BR99=""),"",IF('Tally Helper'!$B$3&lt;&gt;TRUE(),"not on Staff",SUMIFS('Tally Helper'!$L$5:$GI$5,'Tally Helper'!$L$3:$GI$3,"&gt;="&amp;$BR99,'Tally Helper'!$L$3:$GI$3,"&lt;="&amp;$BS99)))</f>
        <v/>
      </c>
      <c r="Y99" s="15" t="str">
        <f aca="false">IF(OR(C$7="",$BR99=""),"",IF('Tally Helper'!$B$6&lt;&gt;TRUE(),"not on Staff",SUMIFS('Tally Helper'!$L$8:$GI$8,'Tally Helper'!$L$6:$GI$6,"&gt;="&amp;$BR99,'Tally Helper'!$L$6:$GI$6,"&lt;="&amp;$BS99)))</f>
        <v/>
      </c>
      <c r="Z99" s="15" t="str">
        <f aca="false">IF(OR(D$7="",$BR99=""),"",IF('Tally Helper'!$B$9&lt;&gt;TRUE(),"not on Staff",SUMIFS('Tally Helper'!$L$11:$GI$11,'Tally Helper'!$L$9:$GI$9,"&gt;="&amp;$BR99,'Tally Helper'!$L$9:$GI$9,"&lt;="&amp;$BS99)))</f>
        <v/>
      </c>
      <c r="AA99" s="15" t="str">
        <f aca="false">IF(OR(E$7="",$BR99=""),"",IF('Tally Helper'!$B$12&lt;&gt;TRUE(),"not on Staff",SUMIFS('Tally Helper'!$L$14:$GI$14,'Tally Helper'!$L$12:$GI$12,"&gt;="&amp;$BR99,'Tally Helper'!$L$12:$GI$12,"&lt;="&amp;$BS99)))</f>
        <v/>
      </c>
      <c r="AB99" s="15" t="str">
        <f aca="false">IF(OR(F$7="",$BR99=""),"",IF('Tally Helper'!$B$15&lt;&gt;TRUE(),"not on Staff",SUMIFS('Tally Helper'!$L$17:$GI$17,'Tally Helper'!$L$15:$GI$15,"&gt;="&amp;$BR99,'Tally Helper'!$L$15:$GI$15,"&lt;="&amp;$BS99)))</f>
        <v/>
      </c>
      <c r="AC99" s="15" t="str">
        <f aca="false">IF(OR(G$7="",$BR99=""),"",IF('Tally Helper'!$B$18&lt;&gt;TRUE(),"not on Staff",SUMIFS('Tally Helper'!$L$20:$GI$20,'Tally Helper'!$L$18:$GI$18,"&gt;="&amp;$BR99,'Tally Helper'!$L$18:$GI$18,"&lt;="&amp;$BS99)))</f>
        <v/>
      </c>
      <c r="AD99" s="15" t="str">
        <f aca="false">IF(OR(H$7="",$BR99=""),"",IF('Tally Helper'!$B$21&lt;&gt;TRUE(),"not on Staff",SUMIFS('Tally Helper'!$L$23:$GI$23,'Tally Helper'!$L$21:$GI$21,"&gt;="&amp;$BR99,'Tally Helper'!$L$21:$GI$21,"&lt;="&amp;$BS99)))</f>
        <v/>
      </c>
      <c r="AE99" s="15" t="str">
        <f aca="false">IF(OR(I$7="",$BR99=""),"",IF('Tally Helper'!$B$24&lt;&gt;TRUE(),"not on Staff",SUMIFS('Tally Helper'!$L$26:$GI$26,'Tally Helper'!$L$24:$GI$24,"&gt;="&amp;$BR99,'Tally Helper'!$L$24:$GI$24,"&lt;="&amp;$BS99)))</f>
        <v/>
      </c>
      <c r="AF99" s="15" t="str">
        <f aca="false">IF(OR(J$7="",$BR99=""),"",IF('Tally Helper'!$B$27&lt;&gt;TRUE(),"not on Staff",SUMIFS('Tally Helper'!$L$29:$GI$29,'Tally Helper'!$L$27:$GI$27,"&gt;="&amp;$BR99,'Tally Helper'!$L$27:$GI$27,"&lt;="&amp;$BS99)))</f>
        <v/>
      </c>
      <c r="AG99" s="15" t="str">
        <f aca="false">IF(OR(K$7="",$BR99=""),"",IF('Tally Helper'!$B$30&lt;&gt;TRUE(),"not on Staff",SUMIFS('Tally Helper'!$L$32:$GI$32,'Tally Helper'!$L$30:$GI$30,"&gt;="&amp;$BR99,'Tally Helper'!$L$30:$GI$30,"&lt;="&amp;$BS99)))</f>
        <v/>
      </c>
      <c r="AH99" s="15" t="str">
        <f aca="false">IF(OR(L$7="",$BR99=""),"",IF('Tally Helper'!$B$33&lt;&gt;TRUE(),"not on Staff",SUMIFS('Tally Helper'!$L$35:$GI$35,'Tally Helper'!$L$33:$GI$33,"&gt;="&amp;$BR99,'Tally Helper'!$L$33:$GI$33,"&lt;="&amp;$BS99)))</f>
        <v/>
      </c>
      <c r="AI99" s="15" t="str">
        <f aca="false">IF(OR(M$7="",$BR99=""),"",IF('Tally Helper'!$B$36&lt;&gt;TRUE(),"not on Staff",SUMIFS('Tally Helper'!$L$38:$GI$38,'Tally Helper'!$L$36:$GI$36,"&gt;="&amp;$BR99,'Tally Helper'!$L$36:$GI$36,"&lt;="&amp;$BS99)))</f>
        <v/>
      </c>
      <c r="AJ99" s="15" t="str">
        <f aca="false">IF(OR(N$7="",$BR99=""),"",IF('Tally Helper'!$B$39&lt;&gt;TRUE(),"not on Staff",SUMIFS('Tally Helper'!$L$41:$GI$41,'Tally Helper'!$L$39:$GI$39,"&gt;="&amp;$BR99,'Tally Helper'!$L$39:$GI$39,"&lt;="&amp;$BS99)))</f>
        <v/>
      </c>
      <c r="AK99" s="15" t="str">
        <f aca="false">IF(OR(O$7="",$BR99=""),"",IF('Tally Helper'!$B$42&lt;&gt;TRUE(),"not on Staff",SUMIFS('Tally Helper'!$L$44:$GI$44,'Tally Helper'!$L$42:$GI$42,"&gt;="&amp;$BR99,'Tally Helper'!$L$42:$GI$42,"&lt;="&amp;$BS99)))</f>
        <v/>
      </c>
      <c r="AL99" s="15" t="str">
        <f aca="false">IF(OR(P$7="",$BR99=""),"",IF('Tally Helper'!$B$45&lt;&gt;TRUE(),"not on Staff",SUMIFS('Tally Helper'!$L$47:$GI$47,'Tally Helper'!$L$45:$GI$45,"&gt;="&amp;$BR99,'Tally Helper'!$L$45:$GI$45,"&lt;="&amp;$BS99)))</f>
        <v/>
      </c>
      <c r="AM99" s="15" t="str">
        <f aca="false">IF(OR(Q$7="",$BR99=""),"",IF('Tally Helper'!$B$48&lt;&gt;TRUE(),"not on Staff",SUMIFS('Tally Helper'!$L$50:$GI$50,'Tally Helper'!$L$48:$GI$48,"&gt;="&amp;$BR99,'Tally Helper'!$L$48:$GI$48,"&lt;="&amp;$BS99)))</f>
        <v/>
      </c>
      <c r="AN99" s="15" t="str">
        <f aca="false">IF(OR(R$7="",$BR99=""),"",IF('Tally Helper'!$B$51&lt;&gt;TRUE(),"not on Staff",SUMIFS('Tally Helper'!$L$53:$GI$53,'Tally Helper'!$L$51:$GI$51,"&gt;="&amp;$BR99,'Tally Helper'!$L$51:$GI$51,"&lt;="&amp;$BS99)))</f>
        <v/>
      </c>
      <c r="AO99" s="15" t="str">
        <f aca="false">IF(OR(S$7="",$BR99=""),"",IF('Tally Helper'!$B$54&lt;&gt;TRUE(),"not on Staff",SUMIFS('Tally Helper'!$L$56:$GI$56,'Tally Helper'!$L$54:$GI$54,"&gt;="&amp;$BR99,'Tally Helper'!$L$54:$GI$54,"&lt;="&amp;$BS99)))</f>
        <v/>
      </c>
      <c r="AP99" s="15" t="str">
        <f aca="false">IF(OR(T$7="",$BR99=""),"",IF('Tally Helper'!$B$57&lt;&gt;TRUE(),"not on Staff",SUMIFS('Tally Helper'!$L$59:$GI$59,'Tally Helper'!$L$57:$GI$57,"&gt;="&amp;$BR99,'Tally Helper'!$L$57:$GI$57,"&lt;="&amp;$BS99)))</f>
        <v/>
      </c>
      <c r="AQ99" s="15" t="str">
        <f aca="false">IF(OR(U$7="",$BR99=""),"",IF('Tally Helper'!$B$60&lt;&gt;TRUE(),"not on Staff",SUMIFS('Tally Helper'!$L$62:$GI$62,'Tally Helper'!$L$60:$GI$60,"&gt;="&amp;$BR99,'Tally Helper'!$L$60:$GI$60,"&lt;="&amp;$BS99)))</f>
        <v/>
      </c>
      <c r="AT99" s="15" t="str">
        <f aca="false">IF(OR(X99="",NOT(ISNUMBER(X99))),"",X99-N(B99))</f>
        <v/>
      </c>
      <c r="AU99" s="15" t="str">
        <f aca="false">IF(OR(Y99="",NOT(ISNUMBER(Y99))),"",Y99-N(C99))</f>
        <v/>
      </c>
      <c r="AV99" s="15" t="str">
        <f aca="false">IF(OR(Z99="",NOT(ISNUMBER(Z99))),"",Z99-N(D99))</f>
        <v/>
      </c>
      <c r="AW99" s="15" t="str">
        <f aca="false">IF(OR(AA99="",NOT(ISNUMBER(AA99))),"",AA99-N(E99))</f>
        <v/>
      </c>
      <c r="AX99" s="15" t="str">
        <f aca="false">IF(OR(AB99="",NOT(ISNUMBER(AB99))),"",AB99-N(F99))</f>
        <v/>
      </c>
      <c r="AY99" s="15" t="str">
        <f aca="false">IF(OR(AC99="",NOT(ISNUMBER(AC99))),"",AC99-N(G99))</f>
        <v/>
      </c>
      <c r="AZ99" s="15" t="str">
        <f aca="false">IF(OR(AD99="",NOT(ISNUMBER(AD99))),"",AD99-N(H99))</f>
        <v/>
      </c>
      <c r="BA99" s="15" t="str">
        <f aca="false">IF(OR(AE99="",NOT(ISNUMBER(AE99))),"",AE99-N(I99))</f>
        <v/>
      </c>
      <c r="BB99" s="15" t="str">
        <f aca="false">IF(OR(AF99="",NOT(ISNUMBER(AF99))),"",AF99-N(J99))</f>
        <v/>
      </c>
      <c r="BC99" s="15" t="str">
        <f aca="false">IF(OR(AG99="",NOT(ISNUMBER(AG99))),"",AG99-N(K99))</f>
        <v/>
      </c>
      <c r="BD99" s="15" t="str">
        <f aca="false">IF(OR(AH99="",NOT(ISNUMBER(AH99))),"",AH99-N(L99))</f>
        <v/>
      </c>
      <c r="BE99" s="15" t="str">
        <f aca="false">IF(OR(AI99="",NOT(ISNUMBER(AI99))),"",AI99-N(M99))</f>
        <v/>
      </c>
      <c r="BF99" s="15" t="str">
        <f aca="false">IF(OR(AJ99="",NOT(ISNUMBER(AJ99))),"",AJ99-N(N99))</f>
        <v/>
      </c>
      <c r="BG99" s="15" t="str">
        <f aca="false">IF(OR(AK99="",NOT(ISNUMBER(AK99))),"",AK99-N(O99))</f>
        <v/>
      </c>
      <c r="BH99" s="15" t="str">
        <f aca="false">IF(OR(AL99="",NOT(ISNUMBER(AL99))),"",AL99-N(P99))</f>
        <v/>
      </c>
      <c r="BI99" s="15" t="str">
        <f aca="false">IF(OR(AM99="",NOT(ISNUMBER(AM99))),"",AM99-N(Q99))</f>
        <v/>
      </c>
      <c r="BJ99" s="15" t="str">
        <f aca="false">IF(OR(AN99="",NOT(ISNUMBER(AN99))),"",AN99-N(R99))</f>
        <v/>
      </c>
      <c r="BK99" s="15" t="str">
        <f aca="false">IF(OR(AO99="",NOT(ISNUMBER(AO99))),"",AO99-N(S99))</f>
        <v/>
      </c>
      <c r="BL99" s="15" t="str">
        <f aca="false">IF(OR(AP99="",NOT(ISNUMBER(AP99))),"",AP99-N(T99))</f>
        <v/>
      </c>
      <c r="BM99" s="15" t="str">
        <f aca="false">IF(OR(AQ99="",NOT(ISNUMBER(AQ99))),"",AQ99-N(U99))</f>
        <v/>
      </c>
      <c r="BR99" s="18" t="str">
        <f aca="false">IF($A99="","",IF(ISNUMBER($A99),DATE(YEAR($A99),MONTH($A99),1),IFERROR(DATE(2000+VALUE(RIGHT(TRIM($A99),2)),MATCH(UPPER(LEFT(TRIM($A99),3)),{"JAN","FEB","MAR","APR","MAY","JUN","JUL","AUG","SEP","OCT","NOV","DEC"},0),1),"")))</f>
        <v/>
      </c>
      <c r="BS99" s="18" t="str">
        <f aca="false">IF(BR99="","",EOMONTH(BR99,0))</f>
        <v/>
      </c>
    </row>
    <row r="100" customFormat="false" ht="15" hidden="false" customHeight="false" outlineLevel="0" collapsed="false">
      <c r="B100" s="19"/>
      <c r="C100" s="19"/>
      <c r="D100" s="19"/>
      <c r="E100" s="19"/>
      <c r="F100" s="19"/>
      <c r="G100" s="19"/>
      <c r="H100" s="19"/>
      <c r="I100" s="19"/>
      <c r="J100" s="19"/>
      <c r="K100" s="19"/>
      <c r="L100" s="19"/>
      <c r="M100" s="19"/>
      <c r="N100" s="19"/>
      <c r="O100" s="19"/>
      <c r="P100" s="19"/>
      <c r="Q100" s="19"/>
      <c r="R100" s="19"/>
      <c r="S100" s="19"/>
      <c r="T100" s="19"/>
      <c r="U100" s="19"/>
      <c r="X100" s="15" t="str">
        <f aca="false">IF(OR(B$7="",$BR100=""),"",IF('Tally Helper'!$B$3&lt;&gt;TRUE(),"not on Staff",SUMIFS('Tally Helper'!$L$5:$GI$5,'Tally Helper'!$L$3:$GI$3,"&gt;="&amp;$BR100,'Tally Helper'!$L$3:$GI$3,"&lt;="&amp;$BS100)))</f>
        <v/>
      </c>
      <c r="Y100" s="15" t="str">
        <f aca="false">IF(OR(C$7="",$BR100=""),"",IF('Tally Helper'!$B$6&lt;&gt;TRUE(),"not on Staff",SUMIFS('Tally Helper'!$L$8:$GI$8,'Tally Helper'!$L$6:$GI$6,"&gt;="&amp;$BR100,'Tally Helper'!$L$6:$GI$6,"&lt;="&amp;$BS100)))</f>
        <v/>
      </c>
      <c r="Z100" s="15" t="str">
        <f aca="false">IF(OR(D$7="",$BR100=""),"",IF('Tally Helper'!$B$9&lt;&gt;TRUE(),"not on Staff",SUMIFS('Tally Helper'!$L$11:$GI$11,'Tally Helper'!$L$9:$GI$9,"&gt;="&amp;$BR100,'Tally Helper'!$L$9:$GI$9,"&lt;="&amp;$BS100)))</f>
        <v/>
      </c>
      <c r="AA100" s="15" t="str">
        <f aca="false">IF(OR(E$7="",$BR100=""),"",IF('Tally Helper'!$B$12&lt;&gt;TRUE(),"not on Staff",SUMIFS('Tally Helper'!$L$14:$GI$14,'Tally Helper'!$L$12:$GI$12,"&gt;="&amp;$BR100,'Tally Helper'!$L$12:$GI$12,"&lt;="&amp;$BS100)))</f>
        <v/>
      </c>
      <c r="AB100" s="15" t="str">
        <f aca="false">IF(OR(F$7="",$BR100=""),"",IF('Tally Helper'!$B$15&lt;&gt;TRUE(),"not on Staff",SUMIFS('Tally Helper'!$L$17:$GI$17,'Tally Helper'!$L$15:$GI$15,"&gt;="&amp;$BR100,'Tally Helper'!$L$15:$GI$15,"&lt;="&amp;$BS100)))</f>
        <v/>
      </c>
      <c r="AC100" s="15" t="str">
        <f aca="false">IF(OR(G$7="",$BR100=""),"",IF('Tally Helper'!$B$18&lt;&gt;TRUE(),"not on Staff",SUMIFS('Tally Helper'!$L$20:$GI$20,'Tally Helper'!$L$18:$GI$18,"&gt;="&amp;$BR100,'Tally Helper'!$L$18:$GI$18,"&lt;="&amp;$BS100)))</f>
        <v/>
      </c>
      <c r="AD100" s="15" t="str">
        <f aca="false">IF(OR(H$7="",$BR100=""),"",IF('Tally Helper'!$B$21&lt;&gt;TRUE(),"not on Staff",SUMIFS('Tally Helper'!$L$23:$GI$23,'Tally Helper'!$L$21:$GI$21,"&gt;="&amp;$BR100,'Tally Helper'!$L$21:$GI$21,"&lt;="&amp;$BS100)))</f>
        <v/>
      </c>
      <c r="AE100" s="15" t="str">
        <f aca="false">IF(OR(I$7="",$BR100=""),"",IF('Tally Helper'!$B$24&lt;&gt;TRUE(),"not on Staff",SUMIFS('Tally Helper'!$L$26:$GI$26,'Tally Helper'!$L$24:$GI$24,"&gt;="&amp;$BR100,'Tally Helper'!$L$24:$GI$24,"&lt;="&amp;$BS100)))</f>
        <v/>
      </c>
      <c r="AF100" s="15" t="str">
        <f aca="false">IF(OR(J$7="",$BR100=""),"",IF('Tally Helper'!$B$27&lt;&gt;TRUE(),"not on Staff",SUMIFS('Tally Helper'!$L$29:$GI$29,'Tally Helper'!$L$27:$GI$27,"&gt;="&amp;$BR100,'Tally Helper'!$L$27:$GI$27,"&lt;="&amp;$BS100)))</f>
        <v/>
      </c>
      <c r="AG100" s="15" t="str">
        <f aca="false">IF(OR(K$7="",$BR100=""),"",IF('Tally Helper'!$B$30&lt;&gt;TRUE(),"not on Staff",SUMIFS('Tally Helper'!$L$32:$GI$32,'Tally Helper'!$L$30:$GI$30,"&gt;="&amp;$BR100,'Tally Helper'!$L$30:$GI$30,"&lt;="&amp;$BS100)))</f>
        <v/>
      </c>
      <c r="AH100" s="15" t="str">
        <f aca="false">IF(OR(L$7="",$BR100=""),"",IF('Tally Helper'!$B$33&lt;&gt;TRUE(),"not on Staff",SUMIFS('Tally Helper'!$L$35:$GI$35,'Tally Helper'!$L$33:$GI$33,"&gt;="&amp;$BR100,'Tally Helper'!$L$33:$GI$33,"&lt;="&amp;$BS100)))</f>
        <v/>
      </c>
      <c r="AI100" s="15" t="str">
        <f aca="false">IF(OR(M$7="",$BR100=""),"",IF('Tally Helper'!$B$36&lt;&gt;TRUE(),"not on Staff",SUMIFS('Tally Helper'!$L$38:$GI$38,'Tally Helper'!$L$36:$GI$36,"&gt;="&amp;$BR100,'Tally Helper'!$L$36:$GI$36,"&lt;="&amp;$BS100)))</f>
        <v/>
      </c>
      <c r="AJ100" s="15" t="str">
        <f aca="false">IF(OR(N$7="",$BR100=""),"",IF('Tally Helper'!$B$39&lt;&gt;TRUE(),"not on Staff",SUMIFS('Tally Helper'!$L$41:$GI$41,'Tally Helper'!$L$39:$GI$39,"&gt;="&amp;$BR100,'Tally Helper'!$L$39:$GI$39,"&lt;="&amp;$BS100)))</f>
        <v/>
      </c>
      <c r="AK100" s="15" t="str">
        <f aca="false">IF(OR(O$7="",$BR100=""),"",IF('Tally Helper'!$B$42&lt;&gt;TRUE(),"not on Staff",SUMIFS('Tally Helper'!$L$44:$GI$44,'Tally Helper'!$L$42:$GI$42,"&gt;="&amp;$BR100,'Tally Helper'!$L$42:$GI$42,"&lt;="&amp;$BS100)))</f>
        <v/>
      </c>
      <c r="AL100" s="15" t="str">
        <f aca="false">IF(OR(P$7="",$BR100=""),"",IF('Tally Helper'!$B$45&lt;&gt;TRUE(),"not on Staff",SUMIFS('Tally Helper'!$L$47:$GI$47,'Tally Helper'!$L$45:$GI$45,"&gt;="&amp;$BR100,'Tally Helper'!$L$45:$GI$45,"&lt;="&amp;$BS100)))</f>
        <v/>
      </c>
      <c r="AM100" s="15" t="str">
        <f aca="false">IF(OR(Q$7="",$BR100=""),"",IF('Tally Helper'!$B$48&lt;&gt;TRUE(),"not on Staff",SUMIFS('Tally Helper'!$L$50:$GI$50,'Tally Helper'!$L$48:$GI$48,"&gt;="&amp;$BR100,'Tally Helper'!$L$48:$GI$48,"&lt;="&amp;$BS100)))</f>
        <v/>
      </c>
      <c r="AN100" s="15" t="str">
        <f aca="false">IF(OR(R$7="",$BR100=""),"",IF('Tally Helper'!$B$51&lt;&gt;TRUE(),"not on Staff",SUMIFS('Tally Helper'!$L$53:$GI$53,'Tally Helper'!$L$51:$GI$51,"&gt;="&amp;$BR100,'Tally Helper'!$L$51:$GI$51,"&lt;="&amp;$BS100)))</f>
        <v/>
      </c>
      <c r="AO100" s="15" t="str">
        <f aca="false">IF(OR(S$7="",$BR100=""),"",IF('Tally Helper'!$B$54&lt;&gt;TRUE(),"not on Staff",SUMIFS('Tally Helper'!$L$56:$GI$56,'Tally Helper'!$L$54:$GI$54,"&gt;="&amp;$BR100,'Tally Helper'!$L$54:$GI$54,"&lt;="&amp;$BS100)))</f>
        <v/>
      </c>
      <c r="AP100" s="15" t="str">
        <f aca="false">IF(OR(T$7="",$BR100=""),"",IF('Tally Helper'!$B$57&lt;&gt;TRUE(),"not on Staff",SUMIFS('Tally Helper'!$L$59:$GI$59,'Tally Helper'!$L$57:$GI$57,"&gt;="&amp;$BR100,'Tally Helper'!$L$57:$GI$57,"&lt;="&amp;$BS100)))</f>
        <v/>
      </c>
      <c r="AQ100" s="15" t="str">
        <f aca="false">IF(OR(U$7="",$BR100=""),"",IF('Tally Helper'!$B$60&lt;&gt;TRUE(),"not on Staff",SUMIFS('Tally Helper'!$L$62:$GI$62,'Tally Helper'!$L$60:$GI$60,"&gt;="&amp;$BR100,'Tally Helper'!$L$60:$GI$60,"&lt;="&amp;$BS100)))</f>
        <v/>
      </c>
      <c r="AT100" s="15" t="str">
        <f aca="false">IF(OR(X100="",NOT(ISNUMBER(X100))),"",X100-N(B100))</f>
        <v/>
      </c>
      <c r="AU100" s="15" t="str">
        <f aca="false">IF(OR(Y100="",NOT(ISNUMBER(Y100))),"",Y100-N(C100))</f>
        <v/>
      </c>
      <c r="AV100" s="15" t="str">
        <f aca="false">IF(OR(Z100="",NOT(ISNUMBER(Z100))),"",Z100-N(D100))</f>
        <v/>
      </c>
      <c r="AW100" s="15" t="str">
        <f aca="false">IF(OR(AA100="",NOT(ISNUMBER(AA100))),"",AA100-N(E100))</f>
        <v/>
      </c>
      <c r="AX100" s="15" t="str">
        <f aca="false">IF(OR(AB100="",NOT(ISNUMBER(AB100))),"",AB100-N(F100))</f>
        <v/>
      </c>
      <c r="AY100" s="15" t="str">
        <f aca="false">IF(OR(AC100="",NOT(ISNUMBER(AC100))),"",AC100-N(G100))</f>
        <v/>
      </c>
      <c r="AZ100" s="15" t="str">
        <f aca="false">IF(OR(AD100="",NOT(ISNUMBER(AD100))),"",AD100-N(H100))</f>
        <v/>
      </c>
      <c r="BA100" s="15" t="str">
        <f aca="false">IF(OR(AE100="",NOT(ISNUMBER(AE100))),"",AE100-N(I100))</f>
        <v/>
      </c>
      <c r="BB100" s="15" t="str">
        <f aca="false">IF(OR(AF100="",NOT(ISNUMBER(AF100))),"",AF100-N(J100))</f>
        <v/>
      </c>
      <c r="BC100" s="15" t="str">
        <f aca="false">IF(OR(AG100="",NOT(ISNUMBER(AG100))),"",AG100-N(K100))</f>
        <v/>
      </c>
      <c r="BD100" s="15" t="str">
        <f aca="false">IF(OR(AH100="",NOT(ISNUMBER(AH100))),"",AH100-N(L100))</f>
        <v/>
      </c>
      <c r="BE100" s="15" t="str">
        <f aca="false">IF(OR(AI100="",NOT(ISNUMBER(AI100))),"",AI100-N(M100))</f>
        <v/>
      </c>
      <c r="BF100" s="15" t="str">
        <f aca="false">IF(OR(AJ100="",NOT(ISNUMBER(AJ100))),"",AJ100-N(N100))</f>
        <v/>
      </c>
      <c r="BG100" s="15" t="str">
        <f aca="false">IF(OR(AK100="",NOT(ISNUMBER(AK100))),"",AK100-N(O100))</f>
        <v/>
      </c>
      <c r="BH100" s="15" t="str">
        <f aca="false">IF(OR(AL100="",NOT(ISNUMBER(AL100))),"",AL100-N(P100))</f>
        <v/>
      </c>
      <c r="BI100" s="15" t="str">
        <f aca="false">IF(OR(AM100="",NOT(ISNUMBER(AM100))),"",AM100-N(Q100))</f>
        <v/>
      </c>
      <c r="BJ100" s="15" t="str">
        <f aca="false">IF(OR(AN100="",NOT(ISNUMBER(AN100))),"",AN100-N(R100))</f>
        <v/>
      </c>
      <c r="BK100" s="15" t="str">
        <f aca="false">IF(OR(AO100="",NOT(ISNUMBER(AO100))),"",AO100-N(S100))</f>
        <v/>
      </c>
      <c r="BL100" s="15" t="str">
        <f aca="false">IF(OR(AP100="",NOT(ISNUMBER(AP100))),"",AP100-N(T100))</f>
        <v/>
      </c>
      <c r="BM100" s="15" t="str">
        <f aca="false">IF(OR(AQ100="",NOT(ISNUMBER(AQ100))),"",AQ100-N(U100))</f>
        <v/>
      </c>
      <c r="BR100" s="18" t="str">
        <f aca="false">IF($A100="","",IF(ISNUMBER($A100),DATE(YEAR($A100),MONTH($A100),1),IFERROR(DATE(2000+VALUE(RIGHT(TRIM($A100),2)),MATCH(UPPER(LEFT(TRIM($A100),3)),{"JAN","FEB","MAR","APR","MAY","JUN","JUL","AUG","SEP","OCT","NOV","DEC"},0),1),"")))</f>
        <v/>
      </c>
      <c r="BS100" s="18" t="str">
        <f aca="false">IF(BR100="","",EOMONTH(BR100,0))</f>
        <v/>
      </c>
    </row>
    <row r="101" customFormat="false" ht="15" hidden="false" customHeight="false" outlineLevel="0" collapsed="false">
      <c r="B101" s="19"/>
      <c r="C101" s="19"/>
      <c r="D101" s="19"/>
      <c r="E101" s="19"/>
      <c r="F101" s="19"/>
      <c r="G101" s="19"/>
      <c r="H101" s="19"/>
      <c r="I101" s="19"/>
      <c r="J101" s="19"/>
      <c r="K101" s="19"/>
      <c r="L101" s="19"/>
      <c r="M101" s="19"/>
      <c r="N101" s="19"/>
      <c r="O101" s="19"/>
      <c r="P101" s="19"/>
      <c r="Q101" s="19"/>
      <c r="R101" s="19"/>
      <c r="S101" s="19"/>
      <c r="T101" s="19"/>
      <c r="U101" s="19"/>
      <c r="X101" s="15" t="str">
        <f aca="false">IF(OR(B$7="",$BR101=""),"",IF('Tally Helper'!$B$3&lt;&gt;TRUE(),"not on Staff",SUMIFS('Tally Helper'!$L$5:$GI$5,'Tally Helper'!$L$3:$GI$3,"&gt;="&amp;$BR101,'Tally Helper'!$L$3:$GI$3,"&lt;="&amp;$BS101)))</f>
        <v/>
      </c>
      <c r="Y101" s="15" t="str">
        <f aca="false">IF(OR(C$7="",$BR101=""),"",IF('Tally Helper'!$B$6&lt;&gt;TRUE(),"not on Staff",SUMIFS('Tally Helper'!$L$8:$GI$8,'Tally Helper'!$L$6:$GI$6,"&gt;="&amp;$BR101,'Tally Helper'!$L$6:$GI$6,"&lt;="&amp;$BS101)))</f>
        <v/>
      </c>
      <c r="Z101" s="15" t="str">
        <f aca="false">IF(OR(D$7="",$BR101=""),"",IF('Tally Helper'!$B$9&lt;&gt;TRUE(),"not on Staff",SUMIFS('Tally Helper'!$L$11:$GI$11,'Tally Helper'!$L$9:$GI$9,"&gt;="&amp;$BR101,'Tally Helper'!$L$9:$GI$9,"&lt;="&amp;$BS101)))</f>
        <v/>
      </c>
      <c r="AA101" s="15" t="str">
        <f aca="false">IF(OR(E$7="",$BR101=""),"",IF('Tally Helper'!$B$12&lt;&gt;TRUE(),"not on Staff",SUMIFS('Tally Helper'!$L$14:$GI$14,'Tally Helper'!$L$12:$GI$12,"&gt;="&amp;$BR101,'Tally Helper'!$L$12:$GI$12,"&lt;="&amp;$BS101)))</f>
        <v/>
      </c>
      <c r="AB101" s="15" t="str">
        <f aca="false">IF(OR(F$7="",$BR101=""),"",IF('Tally Helper'!$B$15&lt;&gt;TRUE(),"not on Staff",SUMIFS('Tally Helper'!$L$17:$GI$17,'Tally Helper'!$L$15:$GI$15,"&gt;="&amp;$BR101,'Tally Helper'!$L$15:$GI$15,"&lt;="&amp;$BS101)))</f>
        <v/>
      </c>
      <c r="AC101" s="15" t="str">
        <f aca="false">IF(OR(G$7="",$BR101=""),"",IF('Tally Helper'!$B$18&lt;&gt;TRUE(),"not on Staff",SUMIFS('Tally Helper'!$L$20:$GI$20,'Tally Helper'!$L$18:$GI$18,"&gt;="&amp;$BR101,'Tally Helper'!$L$18:$GI$18,"&lt;="&amp;$BS101)))</f>
        <v/>
      </c>
      <c r="AD101" s="15" t="str">
        <f aca="false">IF(OR(H$7="",$BR101=""),"",IF('Tally Helper'!$B$21&lt;&gt;TRUE(),"not on Staff",SUMIFS('Tally Helper'!$L$23:$GI$23,'Tally Helper'!$L$21:$GI$21,"&gt;="&amp;$BR101,'Tally Helper'!$L$21:$GI$21,"&lt;="&amp;$BS101)))</f>
        <v/>
      </c>
      <c r="AE101" s="15" t="str">
        <f aca="false">IF(OR(I$7="",$BR101=""),"",IF('Tally Helper'!$B$24&lt;&gt;TRUE(),"not on Staff",SUMIFS('Tally Helper'!$L$26:$GI$26,'Tally Helper'!$L$24:$GI$24,"&gt;="&amp;$BR101,'Tally Helper'!$L$24:$GI$24,"&lt;="&amp;$BS101)))</f>
        <v/>
      </c>
      <c r="AF101" s="15" t="str">
        <f aca="false">IF(OR(J$7="",$BR101=""),"",IF('Tally Helper'!$B$27&lt;&gt;TRUE(),"not on Staff",SUMIFS('Tally Helper'!$L$29:$GI$29,'Tally Helper'!$L$27:$GI$27,"&gt;="&amp;$BR101,'Tally Helper'!$L$27:$GI$27,"&lt;="&amp;$BS101)))</f>
        <v/>
      </c>
      <c r="AG101" s="15" t="str">
        <f aca="false">IF(OR(K$7="",$BR101=""),"",IF('Tally Helper'!$B$30&lt;&gt;TRUE(),"not on Staff",SUMIFS('Tally Helper'!$L$32:$GI$32,'Tally Helper'!$L$30:$GI$30,"&gt;="&amp;$BR101,'Tally Helper'!$L$30:$GI$30,"&lt;="&amp;$BS101)))</f>
        <v/>
      </c>
      <c r="AH101" s="15" t="str">
        <f aca="false">IF(OR(L$7="",$BR101=""),"",IF('Tally Helper'!$B$33&lt;&gt;TRUE(),"not on Staff",SUMIFS('Tally Helper'!$L$35:$GI$35,'Tally Helper'!$L$33:$GI$33,"&gt;="&amp;$BR101,'Tally Helper'!$L$33:$GI$33,"&lt;="&amp;$BS101)))</f>
        <v/>
      </c>
      <c r="AI101" s="15" t="str">
        <f aca="false">IF(OR(M$7="",$BR101=""),"",IF('Tally Helper'!$B$36&lt;&gt;TRUE(),"not on Staff",SUMIFS('Tally Helper'!$L$38:$GI$38,'Tally Helper'!$L$36:$GI$36,"&gt;="&amp;$BR101,'Tally Helper'!$L$36:$GI$36,"&lt;="&amp;$BS101)))</f>
        <v/>
      </c>
      <c r="AJ101" s="15" t="str">
        <f aca="false">IF(OR(N$7="",$BR101=""),"",IF('Tally Helper'!$B$39&lt;&gt;TRUE(),"not on Staff",SUMIFS('Tally Helper'!$L$41:$GI$41,'Tally Helper'!$L$39:$GI$39,"&gt;="&amp;$BR101,'Tally Helper'!$L$39:$GI$39,"&lt;="&amp;$BS101)))</f>
        <v/>
      </c>
      <c r="AK101" s="15" t="str">
        <f aca="false">IF(OR(O$7="",$BR101=""),"",IF('Tally Helper'!$B$42&lt;&gt;TRUE(),"not on Staff",SUMIFS('Tally Helper'!$L$44:$GI$44,'Tally Helper'!$L$42:$GI$42,"&gt;="&amp;$BR101,'Tally Helper'!$L$42:$GI$42,"&lt;="&amp;$BS101)))</f>
        <v/>
      </c>
      <c r="AL101" s="15" t="str">
        <f aca="false">IF(OR(P$7="",$BR101=""),"",IF('Tally Helper'!$B$45&lt;&gt;TRUE(),"not on Staff",SUMIFS('Tally Helper'!$L$47:$GI$47,'Tally Helper'!$L$45:$GI$45,"&gt;="&amp;$BR101,'Tally Helper'!$L$45:$GI$45,"&lt;="&amp;$BS101)))</f>
        <v/>
      </c>
      <c r="AM101" s="15" t="str">
        <f aca="false">IF(OR(Q$7="",$BR101=""),"",IF('Tally Helper'!$B$48&lt;&gt;TRUE(),"not on Staff",SUMIFS('Tally Helper'!$L$50:$GI$50,'Tally Helper'!$L$48:$GI$48,"&gt;="&amp;$BR101,'Tally Helper'!$L$48:$GI$48,"&lt;="&amp;$BS101)))</f>
        <v/>
      </c>
      <c r="AN101" s="15" t="str">
        <f aca="false">IF(OR(R$7="",$BR101=""),"",IF('Tally Helper'!$B$51&lt;&gt;TRUE(),"not on Staff",SUMIFS('Tally Helper'!$L$53:$GI$53,'Tally Helper'!$L$51:$GI$51,"&gt;="&amp;$BR101,'Tally Helper'!$L$51:$GI$51,"&lt;="&amp;$BS101)))</f>
        <v/>
      </c>
      <c r="AO101" s="15" t="str">
        <f aca="false">IF(OR(S$7="",$BR101=""),"",IF('Tally Helper'!$B$54&lt;&gt;TRUE(),"not on Staff",SUMIFS('Tally Helper'!$L$56:$GI$56,'Tally Helper'!$L$54:$GI$54,"&gt;="&amp;$BR101,'Tally Helper'!$L$54:$GI$54,"&lt;="&amp;$BS101)))</f>
        <v/>
      </c>
      <c r="AP101" s="15" t="str">
        <f aca="false">IF(OR(T$7="",$BR101=""),"",IF('Tally Helper'!$B$57&lt;&gt;TRUE(),"not on Staff",SUMIFS('Tally Helper'!$L$59:$GI$59,'Tally Helper'!$L$57:$GI$57,"&gt;="&amp;$BR101,'Tally Helper'!$L$57:$GI$57,"&lt;="&amp;$BS101)))</f>
        <v/>
      </c>
      <c r="AQ101" s="15" t="str">
        <f aca="false">IF(OR(U$7="",$BR101=""),"",IF('Tally Helper'!$B$60&lt;&gt;TRUE(),"not on Staff",SUMIFS('Tally Helper'!$L$62:$GI$62,'Tally Helper'!$L$60:$GI$60,"&gt;="&amp;$BR101,'Tally Helper'!$L$60:$GI$60,"&lt;="&amp;$BS101)))</f>
        <v/>
      </c>
      <c r="AT101" s="15" t="str">
        <f aca="false">IF(OR(X101="",NOT(ISNUMBER(X101))),"",X101-N(B101))</f>
        <v/>
      </c>
      <c r="AU101" s="15" t="str">
        <f aca="false">IF(OR(Y101="",NOT(ISNUMBER(Y101))),"",Y101-N(C101))</f>
        <v/>
      </c>
      <c r="AV101" s="15" t="str">
        <f aca="false">IF(OR(Z101="",NOT(ISNUMBER(Z101))),"",Z101-N(D101))</f>
        <v/>
      </c>
      <c r="AW101" s="15" t="str">
        <f aca="false">IF(OR(AA101="",NOT(ISNUMBER(AA101))),"",AA101-N(E101))</f>
        <v/>
      </c>
      <c r="AX101" s="15" t="str">
        <f aca="false">IF(OR(AB101="",NOT(ISNUMBER(AB101))),"",AB101-N(F101))</f>
        <v/>
      </c>
      <c r="AY101" s="15" t="str">
        <f aca="false">IF(OR(AC101="",NOT(ISNUMBER(AC101))),"",AC101-N(G101))</f>
        <v/>
      </c>
      <c r="AZ101" s="15" t="str">
        <f aca="false">IF(OR(AD101="",NOT(ISNUMBER(AD101))),"",AD101-N(H101))</f>
        <v/>
      </c>
      <c r="BA101" s="15" t="str">
        <f aca="false">IF(OR(AE101="",NOT(ISNUMBER(AE101))),"",AE101-N(I101))</f>
        <v/>
      </c>
      <c r="BB101" s="15" t="str">
        <f aca="false">IF(OR(AF101="",NOT(ISNUMBER(AF101))),"",AF101-N(J101))</f>
        <v/>
      </c>
      <c r="BC101" s="15" t="str">
        <f aca="false">IF(OR(AG101="",NOT(ISNUMBER(AG101))),"",AG101-N(K101))</f>
        <v/>
      </c>
      <c r="BD101" s="15" t="str">
        <f aca="false">IF(OR(AH101="",NOT(ISNUMBER(AH101))),"",AH101-N(L101))</f>
        <v/>
      </c>
      <c r="BE101" s="15" t="str">
        <f aca="false">IF(OR(AI101="",NOT(ISNUMBER(AI101))),"",AI101-N(M101))</f>
        <v/>
      </c>
      <c r="BF101" s="15" t="str">
        <f aca="false">IF(OR(AJ101="",NOT(ISNUMBER(AJ101))),"",AJ101-N(N101))</f>
        <v/>
      </c>
      <c r="BG101" s="15" t="str">
        <f aca="false">IF(OR(AK101="",NOT(ISNUMBER(AK101))),"",AK101-N(O101))</f>
        <v/>
      </c>
      <c r="BH101" s="15" t="str">
        <f aca="false">IF(OR(AL101="",NOT(ISNUMBER(AL101))),"",AL101-N(P101))</f>
        <v/>
      </c>
      <c r="BI101" s="15" t="str">
        <f aca="false">IF(OR(AM101="",NOT(ISNUMBER(AM101))),"",AM101-N(Q101))</f>
        <v/>
      </c>
      <c r="BJ101" s="15" t="str">
        <f aca="false">IF(OR(AN101="",NOT(ISNUMBER(AN101))),"",AN101-N(R101))</f>
        <v/>
      </c>
      <c r="BK101" s="15" t="str">
        <f aca="false">IF(OR(AO101="",NOT(ISNUMBER(AO101))),"",AO101-N(S101))</f>
        <v/>
      </c>
      <c r="BL101" s="15" t="str">
        <f aca="false">IF(OR(AP101="",NOT(ISNUMBER(AP101))),"",AP101-N(T101))</f>
        <v/>
      </c>
      <c r="BM101" s="15" t="str">
        <f aca="false">IF(OR(AQ101="",NOT(ISNUMBER(AQ101))),"",AQ101-N(U101))</f>
        <v/>
      </c>
      <c r="BR101" s="18" t="str">
        <f aca="false">IF($A101="","",IF(ISNUMBER($A101),DATE(YEAR($A101),MONTH($A101),1),IFERROR(DATE(2000+VALUE(RIGHT(TRIM($A101),2)),MATCH(UPPER(LEFT(TRIM($A101),3)),{"JAN","FEB","MAR","APR","MAY","JUN","JUL","AUG","SEP","OCT","NOV","DEC"},0),1),"")))</f>
        <v/>
      </c>
      <c r="BS101" s="18" t="str">
        <f aca="false">IF(BR101="","",EOMONTH(BR101,0))</f>
        <v/>
      </c>
    </row>
    <row r="102" customFormat="false" ht="15" hidden="false" customHeight="false" outlineLevel="0" collapsed="false">
      <c r="B102" s="19"/>
      <c r="C102" s="19"/>
      <c r="D102" s="19"/>
      <c r="E102" s="19"/>
      <c r="F102" s="19"/>
      <c r="G102" s="19"/>
      <c r="H102" s="19"/>
      <c r="I102" s="19"/>
      <c r="J102" s="19"/>
      <c r="K102" s="19"/>
      <c r="L102" s="19"/>
      <c r="M102" s="19"/>
      <c r="N102" s="19"/>
      <c r="O102" s="19"/>
      <c r="P102" s="19"/>
      <c r="Q102" s="19"/>
      <c r="R102" s="19"/>
      <c r="S102" s="19"/>
      <c r="T102" s="19"/>
      <c r="U102" s="19"/>
      <c r="X102" s="15" t="str">
        <f aca="false">IF(OR(B$7="",$BR102=""),"",IF('Tally Helper'!$B$3&lt;&gt;TRUE(),"not on Staff",SUMIFS('Tally Helper'!$L$5:$GI$5,'Tally Helper'!$L$3:$GI$3,"&gt;="&amp;$BR102,'Tally Helper'!$L$3:$GI$3,"&lt;="&amp;$BS102)))</f>
        <v/>
      </c>
      <c r="Y102" s="15" t="str">
        <f aca="false">IF(OR(C$7="",$BR102=""),"",IF('Tally Helper'!$B$6&lt;&gt;TRUE(),"not on Staff",SUMIFS('Tally Helper'!$L$8:$GI$8,'Tally Helper'!$L$6:$GI$6,"&gt;="&amp;$BR102,'Tally Helper'!$L$6:$GI$6,"&lt;="&amp;$BS102)))</f>
        <v/>
      </c>
      <c r="Z102" s="15" t="str">
        <f aca="false">IF(OR(D$7="",$BR102=""),"",IF('Tally Helper'!$B$9&lt;&gt;TRUE(),"not on Staff",SUMIFS('Tally Helper'!$L$11:$GI$11,'Tally Helper'!$L$9:$GI$9,"&gt;="&amp;$BR102,'Tally Helper'!$L$9:$GI$9,"&lt;="&amp;$BS102)))</f>
        <v/>
      </c>
      <c r="AA102" s="15" t="str">
        <f aca="false">IF(OR(E$7="",$BR102=""),"",IF('Tally Helper'!$B$12&lt;&gt;TRUE(),"not on Staff",SUMIFS('Tally Helper'!$L$14:$GI$14,'Tally Helper'!$L$12:$GI$12,"&gt;="&amp;$BR102,'Tally Helper'!$L$12:$GI$12,"&lt;="&amp;$BS102)))</f>
        <v/>
      </c>
      <c r="AB102" s="15" t="str">
        <f aca="false">IF(OR(F$7="",$BR102=""),"",IF('Tally Helper'!$B$15&lt;&gt;TRUE(),"not on Staff",SUMIFS('Tally Helper'!$L$17:$GI$17,'Tally Helper'!$L$15:$GI$15,"&gt;="&amp;$BR102,'Tally Helper'!$L$15:$GI$15,"&lt;="&amp;$BS102)))</f>
        <v/>
      </c>
      <c r="AC102" s="15" t="str">
        <f aca="false">IF(OR(G$7="",$BR102=""),"",IF('Tally Helper'!$B$18&lt;&gt;TRUE(),"not on Staff",SUMIFS('Tally Helper'!$L$20:$GI$20,'Tally Helper'!$L$18:$GI$18,"&gt;="&amp;$BR102,'Tally Helper'!$L$18:$GI$18,"&lt;="&amp;$BS102)))</f>
        <v/>
      </c>
      <c r="AD102" s="15" t="str">
        <f aca="false">IF(OR(H$7="",$BR102=""),"",IF('Tally Helper'!$B$21&lt;&gt;TRUE(),"not on Staff",SUMIFS('Tally Helper'!$L$23:$GI$23,'Tally Helper'!$L$21:$GI$21,"&gt;="&amp;$BR102,'Tally Helper'!$L$21:$GI$21,"&lt;="&amp;$BS102)))</f>
        <v/>
      </c>
      <c r="AE102" s="15" t="str">
        <f aca="false">IF(OR(I$7="",$BR102=""),"",IF('Tally Helper'!$B$24&lt;&gt;TRUE(),"not on Staff",SUMIFS('Tally Helper'!$L$26:$GI$26,'Tally Helper'!$L$24:$GI$24,"&gt;="&amp;$BR102,'Tally Helper'!$L$24:$GI$24,"&lt;="&amp;$BS102)))</f>
        <v/>
      </c>
      <c r="AF102" s="15" t="str">
        <f aca="false">IF(OR(J$7="",$BR102=""),"",IF('Tally Helper'!$B$27&lt;&gt;TRUE(),"not on Staff",SUMIFS('Tally Helper'!$L$29:$GI$29,'Tally Helper'!$L$27:$GI$27,"&gt;="&amp;$BR102,'Tally Helper'!$L$27:$GI$27,"&lt;="&amp;$BS102)))</f>
        <v/>
      </c>
      <c r="AG102" s="15" t="str">
        <f aca="false">IF(OR(K$7="",$BR102=""),"",IF('Tally Helper'!$B$30&lt;&gt;TRUE(),"not on Staff",SUMIFS('Tally Helper'!$L$32:$GI$32,'Tally Helper'!$L$30:$GI$30,"&gt;="&amp;$BR102,'Tally Helper'!$L$30:$GI$30,"&lt;="&amp;$BS102)))</f>
        <v/>
      </c>
      <c r="AH102" s="15" t="str">
        <f aca="false">IF(OR(L$7="",$BR102=""),"",IF('Tally Helper'!$B$33&lt;&gt;TRUE(),"not on Staff",SUMIFS('Tally Helper'!$L$35:$GI$35,'Tally Helper'!$L$33:$GI$33,"&gt;="&amp;$BR102,'Tally Helper'!$L$33:$GI$33,"&lt;="&amp;$BS102)))</f>
        <v/>
      </c>
      <c r="AI102" s="15" t="str">
        <f aca="false">IF(OR(M$7="",$BR102=""),"",IF('Tally Helper'!$B$36&lt;&gt;TRUE(),"not on Staff",SUMIFS('Tally Helper'!$L$38:$GI$38,'Tally Helper'!$L$36:$GI$36,"&gt;="&amp;$BR102,'Tally Helper'!$L$36:$GI$36,"&lt;="&amp;$BS102)))</f>
        <v/>
      </c>
      <c r="AJ102" s="15" t="str">
        <f aca="false">IF(OR(N$7="",$BR102=""),"",IF('Tally Helper'!$B$39&lt;&gt;TRUE(),"not on Staff",SUMIFS('Tally Helper'!$L$41:$GI$41,'Tally Helper'!$L$39:$GI$39,"&gt;="&amp;$BR102,'Tally Helper'!$L$39:$GI$39,"&lt;="&amp;$BS102)))</f>
        <v/>
      </c>
      <c r="AK102" s="15" t="str">
        <f aca="false">IF(OR(O$7="",$BR102=""),"",IF('Tally Helper'!$B$42&lt;&gt;TRUE(),"not on Staff",SUMIFS('Tally Helper'!$L$44:$GI$44,'Tally Helper'!$L$42:$GI$42,"&gt;="&amp;$BR102,'Tally Helper'!$L$42:$GI$42,"&lt;="&amp;$BS102)))</f>
        <v/>
      </c>
      <c r="AL102" s="15" t="str">
        <f aca="false">IF(OR(P$7="",$BR102=""),"",IF('Tally Helper'!$B$45&lt;&gt;TRUE(),"not on Staff",SUMIFS('Tally Helper'!$L$47:$GI$47,'Tally Helper'!$L$45:$GI$45,"&gt;="&amp;$BR102,'Tally Helper'!$L$45:$GI$45,"&lt;="&amp;$BS102)))</f>
        <v/>
      </c>
      <c r="AM102" s="15" t="str">
        <f aca="false">IF(OR(Q$7="",$BR102=""),"",IF('Tally Helper'!$B$48&lt;&gt;TRUE(),"not on Staff",SUMIFS('Tally Helper'!$L$50:$GI$50,'Tally Helper'!$L$48:$GI$48,"&gt;="&amp;$BR102,'Tally Helper'!$L$48:$GI$48,"&lt;="&amp;$BS102)))</f>
        <v/>
      </c>
      <c r="AN102" s="15" t="str">
        <f aca="false">IF(OR(R$7="",$BR102=""),"",IF('Tally Helper'!$B$51&lt;&gt;TRUE(),"not on Staff",SUMIFS('Tally Helper'!$L$53:$GI$53,'Tally Helper'!$L$51:$GI$51,"&gt;="&amp;$BR102,'Tally Helper'!$L$51:$GI$51,"&lt;="&amp;$BS102)))</f>
        <v/>
      </c>
      <c r="AO102" s="15" t="str">
        <f aca="false">IF(OR(S$7="",$BR102=""),"",IF('Tally Helper'!$B$54&lt;&gt;TRUE(),"not on Staff",SUMIFS('Tally Helper'!$L$56:$GI$56,'Tally Helper'!$L$54:$GI$54,"&gt;="&amp;$BR102,'Tally Helper'!$L$54:$GI$54,"&lt;="&amp;$BS102)))</f>
        <v/>
      </c>
      <c r="AP102" s="15" t="str">
        <f aca="false">IF(OR(T$7="",$BR102=""),"",IF('Tally Helper'!$B$57&lt;&gt;TRUE(),"not on Staff",SUMIFS('Tally Helper'!$L$59:$GI$59,'Tally Helper'!$L$57:$GI$57,"&gt;="&amp;$BR102,'Tally Helper'!$L$57:$GI$57,"&lt;="&amp;$BS102)))</f>
        <v/>
      </c>
      <c r="AQ102" s="15" t="str">
        <f aca="false">IF(OR(U$7="",$BR102=""),"",IF('Tally Helper'!$B$60&lt;&gt;TRUE(),"not on Staff",SUMIFS('Tally Helper'!$L$62:$GI$62,'Tally Helper'!$L$60:$GI$60,"&gt;="&amp;$BR102,'Tally Helper'!$L$60:$GI$60,"&lt;="&amp;$BS102)))</f>
        <v/>
      </c>
      <c r="AT102" s="15" t="str">
        <f aca="false">IF(OR(X102="",NOT(ISNUMBER(X102))),"",X102-N(B102))</f>
        <v/>
      </c>
      <c r="AU102" s="15" t="str">
        <f aca="false">IF(OR(Y102="",NOT(ISNUMBER(Y102))),"",Y102-N(C102))</f>
        <v/>
      </c>
      <c r="AV102" s="15" t="str">
        <f aca="false">IF(OR(Z102="",NOT(ISNUMBER(Z102))),"",Z102-N(D102))</f>
        <v/>
      </c>
      <c r="AW102" s="15" t="str">
        <f aca="false">IF(OR(AA102="",NOT(ISNUMBER(AA102))),"",AA102-N(E102))</f>
        <v/>
      </c>
      <c r="AX102" s="15" t="str">
        <f aca="false">IF(OR(AB102="",NOT(ISNUMBER(AB102))),"",AB102-N(F102))</f>
        <v/>
      </c>
      <c r="AY102" s="15" t="str">
        <f aca="false">IF(OR(AC102="",NOT(ISNUMBER(AC102))),"",AC102-N(G102))</f>
        <v/>
      </c>
      <c r="AZ102" s="15" t="str">
        <f aca="false">IF(OR(AD102="",NOT(ISNUMBER(AD102))),"",AD102-N(H102))</f>
        <v/>
      </c>
      <c r="BA102" s="15" t="str">
        <f aca="false">IF(OR(AE102="",NOT(ISNUMBER(AE102))),"",AE102-N(I102))</f>
        <v/>
      </c>
      <c r="BB102" s="15" t="str">
        <f aca="false">IF(OR(AF102="",NOT(ISNUMBER(AF102))),"",AF102-N(J102))</f>
        <v/>
      </c>
      <c r="BC102" s="15" t="str">
        <f aca="false">IF(OR(AG102="",NOT(ISNUMBER(AG102))),"",AG102-N(K102))</f>
        <v/>
      </c>
      <c r="BD102" s="15" t="str">
        <f aca="false">IF(OR(AH102="",NOT(ISNUMBER(AH102))),"",AH102-N(L102))</f>
        <v/>
      </c>
      <c r="BE102" s="15" t="str">
        <f aca="false">IF(OR(AI102="",NOT(ISNUMBER(AI102))),"",AI102-N(M102))</f>
        <v/>
      </c>
      <c r="BF102" s="15" t="str">
        <f aca="false">IF(OR(AJ102="",NOT(ISNUMBER(AJ102))),"",AJ102-N(N102))</f>
        <v/>
      </c>
      <c r="BG102" s="15" t="str">
        <f aca="false">IF(OR(AK102="",NOT(ISNUMBER(AK102))),"",AK102-N(O102))</f>
        <v/>
      </c>
      <c r="BH102" s="15" t="str">
        <f aca="false">IF(OR(AL102="",NOT(ISNUMBER(AL102))),"",AL102-N(P102))</f>
        <v/>
      </c>
      <c r="BI102" s="15" t="str">
        <f aca="false">IF(OR(AM102="",NOT(ISNUMBER(AM102))),"",AM102-N(Q102))</f>
        <v/>
      </c>
      <c r="BJ102" s="15" t="str">
        <f aca="false">IF(OR(AN102="",NOT(ISNUMBER(AN102))),"",AN102-N(R102))</f>
        <v/>
      </c>
      <c r="BK102" s="15" t="str">
        <f aca="false">IF(OR(AO102="",NOT(ISNUMBER(AO102))),"",AO102-N(S102))</f>
        <v/>
      </c>
      <c r="BL102" s="15" t="str">
        <f aca="false">IF(OR(AP102="",NOT(ISNUMBER(AP102))),"",AP102-N(T102))</f>
        <v/>
      </c>
      <c r="BM102" s="15" t="str">
        <f aca="false">IF(OR(AQ102="",NOT(ISNUMBER(AQ102))),"",AQ102-N(U102))</f>
        <v/>
      </c>
      <c r="BR102" s="18" t="str">
        <f aca="false">IF($A102="","",IF(ISNUMBER($A102),DATE(YEAR($A102),MONTH($A102),1),IFERROR(DATE(2000+VALUE(RIGHT(TRIM($A102),2)),MATCH(UPPER(LEFT(TRIM($A102),3)),{"JAN","FEB","MAR","APR","MAY","JUN","JUL","AUG","SEP","OCT","NOV","DEC"},0),1),"")))</f>
        <v/>
      </c>
      <c r="BS102" s="18" t="str">
        <f aca="false">IF(BR102="","",EOMONTH(BR102,0))</f>
        <v/>
      </c>
    </row>
    <row r="103" customFormat="false" ht="15" hidden="false" customHeight="false" outlineLevel="0" collapsed="false">
      <c r="B103" s="19"/>
      <c r="C103" s="19"/>
      <c r="D103" s="19"/>
      <c r="E103" s="19"/>
      <c r="F103" s="19"/>
      <c r="G103" s="19"/>
      <c r="H103" s="19"/>
      <c r="I103" s="19"/>
      <c r="J103" s="19"/>
      <c r="K103" s="19"/>
      <c r="L103" s="19"/>
      <c r="M103" s="19"/>
      <c r="N103" s="19"/>
      <c r="O103" s="19"/>
      <c r="P103" s="19"/>
      <c r="Q103" s="19"/>
      <c r="R103" s="19"/>
      <c r="S103" s="19"/>
      <c r="T103" s="19"/>
      <c r="U103" s="19"/>
      <c r="X103" s="15" t="str">
        <f aca="false">IF(OR(B$7="",$BR103=""),"",IF('Tally Helper'!$B$3&lt;&gt;TRUE(),"not on Staff",SUMIFS('Tally Helper'!$L$5:$GI$5,'Tally Helper'!$L$3:$GI$3,"&gt;="&amp;$BR103,'Tally Helper'!$L$3:$GI$3,"&lt;="&amp;$BS103)))</f>
        <v/>
      </c>
      <c r="Y103" s="15" t="str">
        <f aca="false">IF(OR(C$7="",$BR103=""),"",IF('Tally Helper'!$B$6&lt;&gt;TRUE(),"not on Staff",SUMIFS('Tally Helper'!$L$8:$GI$8,'Tally Helper'!$L$6:$GI$6,"&gt;="&amp;$BR103,'Tally Helper'!$L$6:$GI$6,"&lt;="&amp;$BS103)))</f>
        <v/>
      </c>
      <c r="Z103" s="15" t="str">
        <f aca="false">IF(OR(D$7="",$BR103=""),"",IF('Tally Helper'!$B$9&lt;&gt;TRUE(),"not on Staff",SUMIFS('Tally Helper'!$L$11:$GI$11,'Tally Helper'!$L$9:$GI$9,"&gt;="&amp;$BR103,'Tally Helper'!$L$9:$GI$9,"&lt;="&amp;$BS103)))</f>
        <v/>
      </c>
      <c r="AA103" s="15" t="str">
        <f aca="false">IF(OR(E$7="",$BR103=""),"",IF('Tally Helper'!$B$12&lt;&gt;TRUE(),"not on Staff",SUMIFS('Tally Helper'!$L$14:$GI$14,'Tally Helper'!$L$12:$GI$12,"&gt;="&amp;$BR103,'Tally Helper'!$L$12:$GI$12,"&lt;="&amp;$BS103)))</f>
        <v/>
      </c>
      <c r="AB103" s="15" t="str">
        <f aca="false">IF(OR(F$7="",$BR103=""),"",IF('Tally Helper'!$B$15&lt;&gt;TRUE(),"not on Staff",SUMIFS('Tally Helper'!$L$17:$GI$17,'Tally Helper'!$L$15:$GI$15,"&gt;="&amp;$BR103,'Tally Helper'!$L$15:$GI$15,"&lt;="&amp;$BS103)))</f>
        <v/>
      </c>
      <c r="AC103" s="15" t="str">
        <f aca="false">IF(OR(G$7="",$BR103=""),"",IF('Tally Helper'!$B$18&lt;&gt;TRUE(),"not on Staff",SUMIFS('Tally Helper'!$L$20:$GI$20,'Tally Helper'!$L$18:$GI$18,"&gt;="&amp;$BR103,'Tally Helper'!$L$18:$GI$18,"&lt;="&amp;$BS103)))</f>
        <v/>
      </c>
      <c r="AD103" s="15" t="str">
        <f aca="false">IF(OR(H$7="",$BR103=""),"",IF('Tally Helper'!$B$21&lt;&gt;TRUE(),"not on Staff",SUMIFS('Tally Helper'!$L$23:$GI$23,'Tally Helper'!$L$21:$GI$21,"&gt;="&amp;$BR103,'Tally Helper'!$L$21:$GI$21,"&lt;="&amp;$BS103)))</f>
        <v/>
      </c>
      <c r="AE103" s="15" t="str">
        <f aca="false">IF(OR(I$7="",$BR103=""),"",IF('Tally Helper'!$B$24&lt;&gt;TRUE(),"not on Staff",SUMIFS('Tally Helper'!$L$26:$GI$26,'Tally Helper'!$L$24:$GI$24,"&gt;="&amp;$BR103,'Tally Helper'!$L$24:$GI$24,"&lt;="&amp;$BS103)))</f>
        <v/>
      </c>
      <c r="AF103" s="15" t="str">
        <f aca="false">IF(OR(J$7="",$BR103=""),"",IF('Tally Helper'!$B$27&lt;&gt;TRUE(),"not on Staff",SUMIFS('Tally Helper'!$L$29:$GI$29,'Tally Helper'!$L$27:$GI$27,"&gt;="&amp;$BR103,'Tally Helper'!$L$27:$GI$27,"&lt;="&amp;$BS103)))</f>
        <v/>
      </c>
      <c r="AG103" s="15" t="str">
        <f aca="false">IF(OR(K$7="",$BR103=""),"",IF('Tally Helper'!$B$30&lt;&gt;TRUE(),"not on Staff",SUMIFS('Tally Helper'!$L$32:$GI$32,'Tally Helper'!$L$30:$GI$30,"&gt;="&amp;$BR103,'Tally Helper'!$L$30:$GI$30,"&lt;="&amp;$BS103)))</f>
        <v/>
      </c>
      <c r="AH103" s="15" t="str">
        <f aca="false">IF(OR(L$7="",$BR103=""),"",IF('Tally Helper'!$B$33&lt;&gt;TRUE(),"not on Staff",SUMIFS('Tally Helper'!$L$35:$GI$35,'Tally Helper'!$L$33:$GI$33,"&gt;="&amp;$BR103,'Tally Helper'!$L$33:$GI$33,"&lt;="&amp;$BS103)))</f>
        <v/>
      </c>
      <c r="AI103" s="15" t="str">
        <f aca="false">IF(OR(M$7="",$BR103=""),"",IF('Tally Helper'!$B$36&lt;&gt;TRUE(),"not on Staff",SUMIFS('Tally Helper'!$L$38:$GI$38,'Tally Helper'!$L$36:$GI$36,"&gt;="&amp;$BR103,'Tally Helper'!$L$36:$GI$36,"&lt;="&amp;$BS103)))</f>
        <v/>
      </c>
      <c r="AJ103" s="15" t="str">
        <f aca="false">IF(OR(N$7="",$BR103=""),"",IF('Tally Helper'!$B$39&lt;&gt;TRUE(),"not on Staff",SUMIFS('Tally Helper'!$L$41:$GI$41,'Tally Helper'!$L$39:$GI$39,"&gt;="&amp;$BR103,'Tally Helper'!$L$39:$GI$39,"&lt;="&amp;$BS103)))</f>
        <v/>
      </c>
      <c r="AK103" s="15" t="str">
        <f aca="false">IF(OR(O$7="",$BR103=""),"",IF('Tally Helper'!$B$42&lt;&gt;TRUE(),"not on Staff",SUMIFS('Tally Helper'!$L$44:$GI$44,'Tally Helper'!$L$42:$GI$42,"&gt;="&amp;$BR103,'Tally Helper'!$L$42:$GI$42,"&lt;="&amp;$BS103)))</f>
        <v/>
      </c>
      <c r="AL103" s="15" t="str">
        <f aca="false">IF(OR(P$7="",$BR103=""),"",IF('Tally Helper'!$B$45&lt;&gt;TRUE(),"not on Staff",SUMIFS('Tally Helper'!$L$47:$GI$47,'Tally Helper'!$L$45:$GI$45,"&gt;="&amp;$BR103,'Tally Helper'!$L$45:$GI$45,"&lt;="&amp;$BS103)))</f>
        <v/>
      </c>
      <c r="AM103" s="15" t="str">
        <f aca="false">IF(OR(Q$7="",$BR103=""),"",IF('Tally Helper'!$B$48&lt;&gt;TRUE(),"not on Staff",SUMIFS('Tally Helper'!$L$50:$GI$50,'Tally Helper'!$L$48:$GI$48,"&gt;="&amp;$BR103,'Tally Helper'!$L$48:$GI$48,"&lt;="&amp;$BS103)))</f>
        <v/>
      </c>
      <c r="AN103" s="15" t="str">
        <f aca="false">IF(OR(R$7="",$BR103=""),"",IF('Tally Helper'!$B$51&lt;&gt;TRUE(),"not on Staff",SUMIFS('Tally Helper'!$L$53:$GI$53,'Tally Helper'!$L$51:$GI$51,"&gt;="&amp;$BR103,'Tally Helper'!$L$51:$GI$51,"&lt;="&amp;$BS103)))</f>
        <v/>
      </c>
      <c r="AO103" s="15" t="str">
        <f aca="false">IF(OR(S$7="",$BR103=""),"",IF('Tally Helper'!$B$54&lt;&gt;TRUE(),"not on Staff",SUMIFS('Tally Helper'!$L$56:$GI$56,'Tally Helper'!$L$54:$GI$54,"&gt;="&amp;$BR103,'Tally Helper'!$L$54:$GI$54,"&lt;="&amp;$BS103)))</f>
        <v/>
      </c>
      <c r="AP103" s="15" t="str">
        <f aca="false">IF(OR(T$7="",$BR103=""),"",IF('Tally Helper'!$B$57&lt;&gt;TRUE(),"not on Staff",SUMIFS('Tally Helper'!$L$59:$GI$59,'Tally Helper'!$L$57:$GI$57,"&gt;="&amp;$BR103,'Tally Helper'!$L$57:$GI$57,"&lt;="&amp;$BS103)))</f>
        <v/>
      </c>
      <c r="AQ103" s="15" t="str">
        <f aca="false">IF(OR(U$7="",$BR103=""),"",IF('Tally Helper'!$B$60&lt;&gt;TRUE(),"not on Staff",SUMIFS('Tally Helper'!$L$62:$GI$62,'Tally Helper'!$L$60:$GI$60,"&gt;="&amp;$BR103,'Tally Helper'!$L$60:$GI$60,"&lt;="&amp;$BS103)))</f>
        <v/>
      </c>
      <c r="AT103" s="15" t="str">
        <f aca="false">IF(OR(X103="",NOT(ISNUMBER(X103))),"",X103-N(B103))</f>
        <v/>
      </c>
      <c r="AU103" s="15" t="str">
        <f aca="false">IF(OR(Y103="",NOT(ISNUMBER(Y103))),"",Y103-N(C103))</f>
        <v/>
      </c>
      <c r="AV103" s="15" t="str">
        <f aca="false">IF(OR(Z103="",NOT(ISNUMBER(Z103))),"",Z103-N(D103))</f>
        <v/>
      </c>
      <c r="AW103" s="15" t="str">
        <f aca="false">IF(OR(AA103="",NOT(ISNUMBER(AA103))),"",AA103-N(E103))</f>
        <v/>
      </c>
      <c r="AX103" s="15" t="str">
        <f aca="false">IF(OR(AB103="",NOT(ISNUMBER(AB103))),"",AB103-N(F103))</f>
        <v/>
      </c>
      <c r="AY103" s="15" t="str">
        <f aca="false">IF(OR(AC103="",NOT(ISNUMBER(AC103))),"",AC103-N(G103))</f>
        <v/>
      </c>
      <c r="AZ103" s="15" t="str">
        <f aca="false">IF(OR(AD103="",NOT(ISNUMBER(AD103))),"",AD103-N(H103))</f>
        <v/>
      </c>
      <c r="BA103" s="15" t="str">
        <f aca="false">IF(OR(AE103="",NOT(ISNUMBER(AE103))),"",AE103-N(I103))</f>
        <v/>
      </c>
      <c r="BB103" s="15" t="str">
        <f aca="false">IF(OR(AF103="",NOT(ISNUMBER(AF103))),"",AF103-N(J103))</f>
        <v/>
      </c>
      <c r="BC103" s="15" t="str">
        <f aca="false">IF(OR(AG103="",NOT(ISNUMBER(AG103))),"",AG103-N(K103))</f>
        <v/>
      </c>
      <c r="BD103" s="15" t="str">
        <f aca="false">IF(OR(AH103="",NOT(ISNUMBER(AH103))),"",AH103-N(L103))</f>
        <v/>
      </c>
      <c r="BE103" s="15" t="str">
        <f aca="false">IF(OR(AI103="",NOT(ISNUMBER(AI103))),"",AI103-N(M103))</f>
        <v/>
      </c>
      <c r="BF103" s="15" t="str">
        <f aca="false">IF(OR(AJ103="",NOT(ISNUMBER(AJ103))),"",AJ103-N(N103))</f>
        <v/>
      </c>
      <c r="BG103" s="15" t="str">
        <f aca="false">IF(OR(AK103="",NOT(ISNUMBER(AK103))),"",AK103-N(O103))</f>
        <v/>
      </c>
      <c r="BH103" s="15" t="str">
        <f aca="false">IF(OR(AL103="",NOT(ISNUMBER(AL103))),"",AL103-N(P103))</f>
        <v/>
      </c>
      <c r="BI103" s="15" t="str">
        <f aca="false">IF(OR(AM103="",NOT(ISNUMBER(AM103))),"",AM103-N(Q103))</f>
        <v/>
      </c>
      <c r="BJ103" s="15" t="str">
        <f aca="false">IF(OR(AN103="",NOT(ISNUMBER(AN103))),"",AN103-N(R103))</f>
        <v/>
      </c>
      <c r="BK103" s="15" t="str">
        <f aca="false">IF(OR(AO103="",NOT(ISNUMBER(AO103))),"",AO103-N(S103))</f>
        <v/>
      </c>
      <c r="BL103" s="15" t="str">
        <f aca="false">IF(OR(AP103="",NOT(ISNUMBER(AP103))),"",AP103-N(T103))</f>
        <v/>
      </c>
      <c r="BM103" s="15" t="str">
        <f aca="false">IF(OR(AQ103="",NOT(ISNUMBER(AQ103))),"",AQ103-N(U103))</f>
        <v/>
      </c>
      <c r="BR103" s="18" t="str">
        <f aca="false">IF($A103="","",IF(ISNUMBER($A103),DATE(YEAR($A103),MONTH($A103),1),IFERROR(DATE(2000+VALUE(RIGHT(TRIM($A103),2)),MATCH(UPPER(LEFT(TRIM($A103),3)),{"JAN","FEB","MAR","APR","MAY","JUN","JUL","AUG","SEP","OCT","NOV","DEC"},0),1),"")))</f>
        <v/>
      </c>
      <c r="BS103" s="18" t="str">
        <f aca="false">IF(BR103="","",EOMONTH(BR103,0))</f>
        <v/>
      </c>
    </row>
    <row r="104" customFormat="false" ht="15" hidden="false" customHeight="false" outlineLevel="0" collapsed="false">
      <c r="B104" s="19"/>
      <c r="C104" s="19"/>
      <c r="D104" s="19"/>
      <c r="E104" s="19"/>
      <c r="F104" s="19"/>
      <c r="G104" s="19"/>
      <c r="H104" s="19"/>
      <c r="I104" s="19"/>
      <c r="J104" s="19"/>
      <c r="K104" s="19"/>
      <c r="L104" s="19"/>
      <c r="M104" s="19"/>
      <c r="N104" s="19"/>
      <c r="O104" s="19"/>
      <c r="P104" s="19"/>
      <c r="Q104" s="19"/>
      <c r="R104" s="19"/>
      <c r="S104" s="19"/>
      <c r="T104" s="19"/>
      <c r="U104" s="19"/>
      <c r="X104" s="15" t="str">
        <f aca="false">IF(OR(B$7="",$BR104=""),"",IF('Tally Helper'!$B$3&lt;&gt;TRUE(),"not on Staff",SUMIFS('Tally Helper'!$L$5:$GI$5,'Tally Helper'!$L$3:$GI$3,"&gt;="&amp;$BR104,'Tally Helper'!$L$3:$GI$3,"&lt;="&amp;$BS104)))</f>
        <v/>
      </c>
      <c r="Y104" s="15" t="str">
        <f aca="false">IF(OR(C$7="",$BR104=""),"",IF('Tally Helper'!$B$6&lt;&gt;TRUE(),"not on Staff",SUMIFS('Tally Helper'!$L$8:$GI$8,'Tally Helper'!$L$6:$GI$6,"&gt;="&amp;$BR104,'Tally Helper'!$L$6:$GI$6,"&lt;="&amp;$BS104)))</f>
        <v/>
      </c>
      <c r="Z104" s="15" t="str">
        <f aca="false">IF(OR(D$7="",$BR104=""),"",IF('Tally Helper'!$B$9&lt;&gt;TRUE(),"not on Staff",SUMIFS('Tally Helper'!$L$11:$GI$11,'Tally Helper'!$L$9:$GI$9,"&gt;="&amp;$BR104,'Tally Helper'!$L$9:$GI$9,"&lt;="&amp;$BS104)))</f>
        <v/>
      </c>
      <c r="AA104" s="15" t="str">
        <f aca="false">IF(OR(E$7="",$BR104=""),"",IF('Tally Helper'!$B$12&lt;&gt;TRUE(),"not on Staff",SUMIFS('Tally Helper'!$L$14:$GI$14,'Tally Helper'!$L$12:$GI$12,"&gt;="&amp;$BR104,'Tally Helper'!$L$12:$GI$12,"&lt;="&amp;$BS104)))</f>
        <v/>
      </c>
      <c r="AB104" s="15" t="str">
        <f aca="false">IF(OR(F$7="",$BR104=""),"",IF('Tally Helper'!$B$15&lt;&gt;TRUE(),"not on Staff",SUMIFS('Tally Helper'!$L$17:$GI$17,'Tally Helper'!$L$15:$GI$15,"&gt;="&amp;$BR104,'Tally Helper'!$L$15:$GI$15,"&lt;="&amp;$BS104)))</f>
        <v/>
      </c>
      <c r="AC104" s="15" t="str">
        <f aca="false">IF(OR(G$7="",$BR104=""),"",IF('Tally Helper'!$B$18&lt;&gt;TRUE(),"not on Staff",SUMIFS('Tally Helper'!$L$20:$GI$20,'Tally Helper'!$L$18:$GI$18,"&gt;="&amp;$BR104,'Tally Helper'!$L$18:$GI$18,"&lt;="&amp;$BS104)))</f>
        <v/>
      </c>
      <c r="AD104" s="15" t="str">
        <f aca="false">IF(OR(H$7="",$BR104=""),"",IF('Tally Helper'!$B$21&lt;&gt;TRUE(),"not on Staff",SUMIFS('Tally Helper'!$L$23:$GI$23,'Tally Helper'!$L$21:$GI$21,"&gt;="&amp;$BR104,'Tally Helper'!$L$21:$GI$21,"&lt;="&amp;$BS104)))</f>
        <v/>
      </c>
      <c r="AE104" s="15" t="str">
        <f aca="false">IF(OR(I$7="",$BR104=""),"",IF('Tally Helper'!$B$24&lt;&gt;TRUE(),"not on Staff",SUMIFS('Tally Helper'!$L$26:$GI$26,'Tally Helper'!$L$24:$GI$24,"&gt;="&amp;$BR104,'Tally Helper'!$L$24:$GI$24,"&lt;="&amp;$BS104)))</f>
        <v/>
      </c>
      <c r="AF104" s="15" t="str">
        <f aca="false">IF(OR(J$7="",$BR104=""),"",IF('Tally Helper'!$B$27&lt;&gt;TRUE(),"not on Staff",SUMIFS('Tally Helper'!$L$29:$GI$29,'Tally Helper'!$L$27:$GI$27,"&gt;="&amp;$BR104,'Tally Helper'!$L$27:$GI$27,"&lt;="&amp;$BS104)))</f>
        <v/>
      </c>
      <c r="AG104" s="15" t="str">
        <f aca="false">IF(OR(K$7="",$BR104=""),"",IF('Tally Helper'!$B$30&lt;&gt;TRUE(),"not on Staff",SUMIFS('Tally Helper'!$L$32:$GI$32,'Tally Helper'!$L$30:$GI$30,"&gt;="&amp;$BR104,'Tally Helper'!$L$30:$GI$30,"&lt;="&amp;$BS104)))</f>
        <v/>
      </c>
      <c r="AH104" s="15" t="str">
        <f aca="false">IF(OR(L$7="",$BR104=""),"",IF('Tally Helper'!$B$33&lt;&gt;TRUE(),"not on Staff",SUMIFS('Tally Helper'!$L$35:$GI$35,'Tally Helper'!$L$33:$GI$33,"&gt;="&amp;$BR104,'Tally Helper'!$L$33:$GI$33,"&lt;="&amp;$BS104)))</f>
        <v/>
      </c>
      <c r="AI104" s="15" t="str">
        <f aca="false">IF(OR(M$7="",$BR104=""),"",IF('Tally Helper'!$B$36&lt;&gt;TRUE(),"not on Staff",SUMIFS('Tally Helper'!$L$38:$GI$38,'Tally Helper'!$L$36:$GI$36,"&gt;="&amp;$BR104,'Tally Helper'!$L$36:$GI$36,"&lt;="&amp;$BS104)))</f>
        <v/>
      </c>
      <c r="AJ104" s="15" t="str">
        <f aca="false">IF(OR(N$7="",$BR104=""),"",IF('Tally Helper'!$B$39&lt;&gt;TRUE(),"not on Staff",SUMIFS('Tally Helper'!$L$41:$GI$41,'Tally Helper'!$L$39:$GI$39,"&gt;="&amp;$BR104,'Tally Helper'!$L$39:$GI$39,"&lt;="&amp;$BS104)))</f>
        <v/>
      </c>
      <c r="AK104" s="15" t="str">
        <f aca="false">IF(OR(O$7="",$BR104=""),"",IF('Tally Helper'!$B$42&lt;&gt;TRUE(),"not on Staff",SUMIFS('Tally Helper'!$L$44:$GI$44,'Tally Helper'!$L$42:$GI$42,"&gt;="&amp;$BR104,'Tally Helper'!$L$42:$GI$42,"&lt;="&amp;$BS104)))</f>
        <v/>
      </c>
      <c r="AL104" s="15" t="str">
        <f aca="false">IF(OR(P$7="",$BR104=""),"",IF('Tally Helper'!$B$45&lt;&gt;TRUE(),"not on Staff",SUMIFS('Tally Helper'!$L$47:$GI$47,'Tally Helper'!$L$45:$GI$45,"&gt;="&amp;$BR104,'Tally Helper'!$L$45:$GI$45,"&lt;="&amp;$BS104)))</f>
        <v/>
      </c>
      <c r="AM104" s="15" t="str">
        <f aca="false">IF(OR(Q$7="",$BR104=""),"",IF('Tally Helper'!$B$48&lt;&gt;TRUE(),"not on Staff",SUMIFS('Tally Helper'!$L$50:$GI$50,'Tally Helper'!$L$48:$GI$48,"&gt;="&amp;$BR104,'Tally Helper'!$L$48:$GI$48,"&lt;="&amp;$BS104)))</f>
        <v/>
      </c>
      <c r="AN104" s="15" t="str">
        <f aca="false">IF(OR(R$7="",$BR104=""),"",IF('Tally Helper'!$B$51&lt;&gt;TRUE(),"not on Staff",SUMIFS('Tally Helper'!$L$53:$GI$53,'Tally Helper'!$L$51:$GI$51,"&gt;="&amp;$BR104,'Tally Helper'!$L$51:$GI$51,"&lt;="&amp;$BS104)))</f>
        <v/>
      </c>
      <c r="AO104" s="15" t="str">
        <f aca="false">IF(OR(S$7="",$BR104=""),"",IF('Tally Helper'!$B$54&lt;&gt;TRUE(),"not on Staff",SUMIFS('Tally Helper'!$L$56:$GI$56,'Tally Helper'!$L$54:$GI$54,"&gt;="&amp;$BR104,'Tally Helper'!$L$54:$GI$54,"&lt;="&amp;$BS104)))</f>
        <v/>
      </c>
      <c r="AP104" s="15" t="str">
        <f aca="false">IF(OR(T$7="",$BR104=""),"",IF('Tally Helper'!$B$57&lt;&gt;TRUE(),"not on Staff",SUMIFS('Tally Helper'!$L$59:$GI$59,'Tally Helper'!$L$57:$GI$57,"&gt;="&amp;$BR104,'Tally Helper'!$L$57:$GI$57,"&lt;="&amp;$BS104)))</f>
        <v/>
      </c>
      <c r="AQ104" s="15" t="str">
        <f aca="false">IF(OR(U$7="",$BR104=""),"",IF('Tally Helper'!$B$60&lt;&gt;TRUE(),"not on Staff",SUMIFS('Tally Helper'!$L$62:$GI$62,'Tally Helper'!$L$60:$GI$60,"&gt;="&amp;$BR104,'Tally Helper'!$L$60:$GI$60,"&lt;="&amp;$BS104)))</f>
        <v/>
      </c>
      <c r="AT104" s="15" t="str">
        <f aca="false">IF(OR(X104="",NOT(ISNUMBER(X104))),"",X104-N(B104))</f>
        <v/>
      </c>
      <c r="AU104" s="15" t="str">
        <f aca="false">IF(OR(Y104="",NOT(ISNUMBER(Y104))),"",Y104-N(C104))</f>
        <v/>
      </c>
      <c r="AV104" s="15" t="str">
        <f aca="false">IF(OR(Z104="",NOT(ISNUMBER(Z104))),"",Z104-N(D104))</f>
        <v/>
      </c>
      <c r="AW104" s="15" t="str">
        <f aca="false">IF(OR(AA104="",NOT(ISNUMBER(AA104))),"",AA104-N(E104))</f>
        <v/>
      </c>
      <c r="AX104" s="15" t="str">
        <f aca="false">IF(OR(AB104="",NOT(ISNUMBER(AB104))),"",AB104-N(F104))</f>
        <v/>
      </c>
      <c r="AY104" s="15" t="str">
        <f aca="false">IF(OR(AC104="",NOT(ISNUMBER(AC104))),"",AC104-N(G104))</f>
        <v/>
      </c>
      <c r="AZ104" s="15" t="str">
        <f aca="false">IF(OR(AD104="",NOT(ISNUMBER(AD104))),"",AD104-N(H104))</f>
        <v/>
      </c>
      <c r="BA104" s="15" t="str">
        <f aca="false">IF(OR(AE104="",NOT(ISNUMBER(AE104))),"",AE104-N(I104))</f>
        <v/>
      </c>
      <c r="BB104" s="15" t="str">
        <f aca="false">IF(OR(AF104="",NOT(ISNUMBER(AF104))),"",AF104-N(J104))</f>
        <v/>
      </c>
      <c r="BC104" s="15" t="str">
        <f aca="false">IF(OR(AG104="",NOT(ISNUMBER(AG104))),"",AG104-N(K104))</f>
        <v/>
      </c>
      <c r="BD104" s="15" t="str">
        <f aca="false">IF(OR(AH104="",NOT(ISNUMBER(AH104))),"",AH104-N(L104))</f>
        <v/>
      </c>
      <c r="BE104" s="15" t="str">
        <f aca="false">IF(OR(AI104="",NOT(ISNUMBER(AI104))),"",AI104-N(M104))</f>
        <v/>
      </c>
      <c r="BF104" s="15" t="str">
        <f aca="false">IF(OR(AJ104="",NOT(ISNUMBER(AJ104))),"",AJ104-N(N104))</f>
        <v/>
      </c>
      <c r="BG104" s="15" t="str">
        <f aca="false">IF(OR(AK104="",NOT(ISNUMBER(AK104))),"",AK104-N(O104))</f>
        <v/>
      </c>
      <c r="BH104" s="15" t="str">
        <f aca="false">IF(OR(AL104="",NOT(ISNUMBER(AL104))),"",AL104-N(P104))</f>
        <v/>
      </c>
      <c r="BI104" s="15" t="str">
        <f aca="false">IF(OR(AM104="",NOT(ISNUMBER(AM104))),"",AM104-N(Q104))</f>
        <v/>
      </c>
      <c r="BJ104" s="15" t="str">
        <f aca="false">IF(OR(AN104="",NOT(ISNUMBER(AN104))),"",AN104-N(R104))</f>
        <v/>
      </c>
      <c r="BK104" s="15" t="str">
        <f aca="false">IF(OR(AO104="",NOT(ISNUMBER(AO104))),"",AO104-N(S104))</f>
        <v/>
      </c>
      <c r="BL104" s="15" t="str">
        <f aca="false">IF(OR(AP104="",NOT(ISNUMBER(AP104))),"",AP104-N(T104))</f>
        <v/>
      </c>
      <c r="BM104" s="15" t="str">
        <f aca="false">IF(OR(AQ104="",NOT(ISNUMBER(AQ104))),"",AQ104-N(U104))</f>
        <v/>
      </c>
      <c r="BR104" s="18" t="str">
        <f aca="false">IF($A104="","",IF(ISNUMBER($A104),DATE(YEAR($A104),MONTH($A104),1),IFERROR(DATE(2000+VALUE(RIGHT(TRIM($A104),2)),MATCH(UPPER(LEFT(TRIM($A104),3)),{"JAN","FEB","MAR","APR","MAY","JUN","JUL","AUG","SEP","OCT","NOV","DEC"},0),1),"")))</f>
        <v/>
      </c>
      <c r="BS104" s="18" t="str">
        <f aca="false">IF(BR104="","",EOMONTH(BR104,0))</f>
        <v/>
      </c>
    </row>
    <row r="105" customFormat="false" ht="15" hidden="false" customHeight="false" outlineLevel="0" collapsed="false">
      <c r="B105" s="19"/>
      <c r="C105" s="19"/>
      <c r="D105" s="19"/>
      <c r="E105" s="19"/>
      <c r="F105" s="19"/>
      <c r="G105" s="19"/>
      <c r="H105" s="19"/>
      <c r="I105" s="19"/>
      <c r="J105" s="19"/>
      <c r="K105" s="19"/>
      <c r="L105" s="19"/>
      <c r="M105" s="19"/>
      <c r="N105" s="19"/>
      <c r="O105" s="19"/>
      <c r="P105" s="19"/>
      <c r="Q105" s="19"/>
      <c r="R105" s="19"/>
      <c r="S105" s="19"/>
      <c r="T105" s="19"/>
      <c r="U105" s="19"/>
      <c r="X105" s="15" t="str">
        <f aca="false">IF(OR(B$7="",$BR105=""),"",IF('Tally Helper'!$B$3&lt;&gt;TRUE(),"not on Staff",SUMIFS('Tally Helper'!$L$5:$GI$5,'Tally Helper'!$L$3:$GI$3,"&gt;="&amp;$BR105,'Tally Helper'!$L$3:$GI$3,"&lt;="&amp;$BS105)))</f>
        <v/>
      </c>
      <c r="Y105" s="15" t="str">
        <f aca="false">IF(OR(C$7="",$BR105=""),"",IF('Tally Helper'!$B$6&lt;&gt;TRUE(),"not on Staff",SUMIFS('Tally Helper'!$L$8:$GI$8,'Tally Helper'!$L$6:$GI$6,"&gt;="&amp;$BR105,'Tally Helper'!$L$6:$GI$6,"&lt;="&amp;$BS105)))</f>
        <v/>
      </c>
      <c r="Z105" s="15" t="str">
        <f aca="false">IF(OR(D$7="",$BR105=""),"",IF('Tally Helper'!$B$9&lt;&gt;TRUE(),"not on Staff",SUMIFS('Tally Helper'!$L$11:$GI$11,'Tally Helper'!$L$9:$GI$9,"&gt;="&amp;$BR105,'Tally Helper'!$L$9:$GI$9,"&lt;="&amp;$BS105)))</f>
        <v/>
      </c>
      <c r="AA105" s="15" t="str">
        <f aca="false">IF(OR(E$7="",$BR105=""),"",IF('Tally Helper'!$B$12&lt;&gt;TRUE(),"not on Staff",SUMIFS('Tally Helper'!$L$14:$GI$14,'Tally Helper'!$L$12:$GI$12,"&gt;="&amp;$BR105,'Tally Helper'!$L$12:$GI$12,"&lt;="&amp;$BS105)))</f>
        <v/>
      </c>
      <c r="AB105" s="15" t="str">
        <f aca="false">IF(OR(F$7="",$BR105=""),"",IF('Tally Helper'!$B$15&lt;&gt;TRUE(),"not on Staff",SUMIFS('Tally Helper'!$L$17:$GI$17,'Tally Helper'!$L$15:$GI$15,"&gt;="&amp;$BR105,'Tally Helper'!$L$15:$GI$15,"&lt;="&amp;$BS105)))</f>
        <v/>
      </c>
      <c r="AC105" s="15" t="str">
        <f aca="false">IF(OR(G$7="",$BR105=""),"",IF('Tally Helper'!$B$18&lt;&gt;TRUE(),"not on Staff",SUMIFS('Tally Helper'!$L$20:$GI$20,'Tally Helper'!$L$18:$GI$18,"&gt;="&amp;$BR105,'Tally Helper'!$L$18:$GI$18,"&lt;="&amp;$BS105)))</f>
        <v/>
      </c>
      <c r="AD105" s="15" t="str">
        <f aca="false">IF(OR(H$7="",$BR105=""),"",IF('Tally Helper'!$B$21&lt;&gt;TRUE(),"not on Staff",SUMIFS('Tally Helper'!$L$23:$GI$23,'Tally Helper'!$L$21:$GI$21,"&gt;="&amp;$BR105,'Tally Helper'!$L$21:$GI$21,"&lt;="&amp;$BS105)))</f>
        <v/>
      </c>
      <c r="AE105" s="15" t="str">
        <f aca="false">IF(OR(I$7="",$BR105=""),"",IF('Tally Helper'!$B$24&lt;&gt;TRUE(),"not on Staff",SUMIFS('Tally Helper'!$L$26:$GI$26,'Tally Helper'!$L$24:$GI$24,"&gt;="&amp;$BR105,'Tally Helper'!$L$24:$GI$24,"&lt;="&amp;$BS105)))</f>
        <v/>
      </c>
      <c r="AF105" s="15" t="str">
        <f aca="false">IF(OR(J$7="",$BR105=""),"",IF('Tally Helper'!$B$27&lt;&gt;TRUE(),"not on Staff",SUMIFS('Tally Helper'!$L$29:$GI$29,'Tally Helper'!$L$27:$GI$27,"&gt;="&amp;$BR105,'Tally Helper'!$L$27:$GI$27,"&lt;="&amp;$BS105)))</f>
        <v/>
      </c>
      <c r="AG105" s="15" t="str">
        <f aca="false">IF(OR(K$7="",$BR105=""),"",IF('Tally Helper'!$B$30&lt;&gt;TRUE(),"not on Staff",SUMIFS('Tally Helper'!$L$32:$GI$32,'Tally Helper'!$L$30:$GI$30,"&gt;="&amp;$BR105,'Tally Helper'!$L$30:$GI$30,"&lt;="&amp;$BS105)))</f>
        <v/>
      </c>
      <c r="AH105" s="15" t="str">
        <f aca="false">IF(OR(L$7="",$BR105=""),"",IF('Tally Helper'!$B$33&lt;&gt;TRUE(),"not on Staff",SUMIFS('Tally Helper'!$L$35:$GI$35,'Tally Helper'!$L$33:$GI$33,"&gt;="&amp;$BR105,'Tally Helper'!$L$33:$GI$33,"&lt;="&amp;$BS105)))</f>
        <v/>
      </c>
      <c r="AI105" s="15" t="str">
        <f aca="false">IF(OR(M$7="",$BR105=""),"",IF('Tally Helper'!$B$36&lt;&gt;TRUE(),"not on Staff",SUMIFS('Tally Helper'!$L$38:$GI$38,'Tally Helper'!$L$36:$GI$36,"&gt;="&amp;$BR105,'Tally Helper'!$L$36:$GI$36,"&lt;="&amp;$BS105)))</f>
        <v/>
      </c>
      <c r="AJ105" s="15" t="str">
        <f aca="false">IF(OR(N$7="",$BR105=""),"",IF('Tally Helper'!$B$39&lt;&gt;TRUE(),"not on Staff",SUMIFS('Tally Helper'!$L$41:$GI$41,'Tally Helper'!$L$39:$GI$39,"&gt;="&amp;$BR105,'Tally Helper'!$L$39:$GI$39,"&lt;="&amp;$BS105)))</f>
        <v/>
      </c>
      <c r="AK105" s="15" t="str">
        <f aca="false">IF(OR(O$7="",$BR105=""),"",IF('Tally Helper'!$B$42&lt;&gt;TRUE(),"not on Staff",SUMIFS('Tally Helper'!$L$44:$GI$44,'Tally Helper'!$L$42:$GI$42,"&gt;="&amp;$BR105,'Tally Helper'!$L$42:$GI$42,"&lt;="&amp;$BS105)))</f>
        <v/>
      </c>
      <c r="AL105" s="15" t="str">
        <f aca="false">IF(OR(P$7="",$BR105=""),"",IF('Tally Helper'!$B$45&lt;&gt;TRUE(),"not on Staff",SUMIFS('Tally Helper'!$L$47:$GI$47,'Tally Helper'!$L$45:$GI$45,"&gt;="&amp;$BR105,'Tally Helper'!$L$45:$GI$45,"&lt;="&amp;$BS105)))</f>
        <v/>
      </c>
      <c r="AM105" s="15" t="str">
        <f aca="false">IF(OR(Q$7="",$BR105=""),"",IF('Tally Helper'!$B$48&lt;&gt;TRUE(),"not on Staff",SUMIFS('Tally Helper'!$L$50:$GI$50,'Tally Helper'!$L$48:$GI$48,"&gt;="&amp;$BR105,'Tally Helper'!$L$48:$GI$48,"&lt;="&amp;$BS105)))</f>
        <v/>
      </c>
      <c r="AN105" s="15" t="str">
        <f aca="false">IF(OR(R$7="",$BR105=""),"",IF('Tally Helper'!$B$51&lt;&gt;TRUE(),"not on Staff",SUMIFS('Tally Helper'!$L$53:$GI$53,'Tally Helper'!$L$51:$GI$51,"&gt;="&amp;$BR105,'Tally Helper'!$L$51:$GI$51,"&lt;="&amp;$BS105)))</f>
        <v/>
      </c>
      <c r="AO105" s="15" t="str">
        <f aca="false">IF(OR(S$7="",$BR105=""),"",IF('Tally Helper'!$B$54&lt;&gt;TRUE(),"not on Staff",SUMIFS('Tally Helper'!$L$56:$GI$56,'Tally Helper'!$L$54:$GI$54,"&gt;="&amp;$BR105,'Tally Helper'!$L$54:$GI$54,"&lt;="&amp;$BS105)))</f>
        <v/>
      </c>
      <c r="AP105" s="15" t="str">
        <f aca="false">IF(OR(T$7="",$BR105=""),"",IF('Tally Helper'!$B$57&lt;&gt;TRUE(),"not on Staff",SUMIFS('Tally Helper'!$L$59:$GI$59,'Tally Helper'!$L$57:$GI$57,"&gt;="&amp;$BR105,'Tally Helper'!$L$57:$GI$57,"&lt;="&amp;$BS105)))</f>
        <v/>
      </c>
      <c r="AQ105" s="15" t="str">
        <f aca="false">IF(OR(U$7="",$BR105=""),"",IF('Tally Helper'!$B$60&lt;&gt;TRUE(),"not on Staff",SUMIFS('Tally Helper'!$L$62:$GI$62,'Tally Helper'!$L$60:$GI$60,"&gt;="&amp;$BR105,'Tally Helper'!$L$60:$GI$60,"&lt;="&amp;$BS105)))</f>
        <v/>
      </c>
      <c r="AT105" s="15" t="str">
        <f aca="false">IF(OR(X105="",NOT(ISNUMBER(X105))),"",X105-N(B105))</f>
        <v/>
      </c>
      <c r="AU105" s="15" t="str">
        <f aca="false">IF(OR(Y105="",NOT(ISNUMBER(Y105))),"",Y105-N(C105))</f>
        <v/>
      </c>
      <c r="AV105" s="15" t="str">
        <f aca="false">IF(OR(Z105="",NOT(ISNUMBER(Z105))),"",Z105-N(D105))</f>
        <v/>
      </c>
      <c r="AW105" s="15" t="str">
        <f aca="false">IF(OR(AA105="",NOT(ISNUMBER(AA105))),"",AA105-N(E105))</f>
        <v/>
      </c>
      <c r="AX105" s="15" t="str">
        <f aca="false">IF(OR(AB105="",NOT(ISNUMBER(AB105))),"",AB105-N(F105))</f>
        <v/>
      </c>
      <c r="AY105" s="15" t="str">
        <f aca="false">IF(OR(AC105="",NOT(ISNUMBER(AC105))),"",AC105-N(G105))</f>
        <v/>
      </c>
      <c r="AZ105" s="15" t="str">
        <f aca="false">IF(OR(AD105="",NOT(ISNUMBER(AD105))),"",AD105-N(H105))</f>
        <v/>
      </c>
      <c r="BA105" s="15" t="str">
        <f aca="false">IF(OR(AE105="",NOT(ISNUMBER(AE105))),"",AE105-N(I105))</f>
        <v/>
      </c>
      <c r="BB105" s="15" t="str">
        <f aca="false">IF(OR(AF105="",NOT(ISNUMBER(AF105))),"",AF105-N(J105))</f>
        <v/>
      </c>
      <c r="BC105" s="15" t="str">
        <f aca="false">IF(OR(AG105="",NOT(ISNUMBER(AG105))),"",AG105-N(K105))</f>
        <v/>
      </c>
      <c r="BD105" s="15" t="str">
        <f aca="false">IF(OR(AH105="",NOT(ISNUMBER(AH105))),"",AH105-N(L105))</f>
        <v/>
      </c>
      <c r="BE105" s="15" t="str">
        <f aca="false">IF(OR(AI105="",NOT(ISNUMBER(AI105))),"",AI105-N(M105))</f>
        <v/>
      </c>
      <c r="BF105" s="15" t="str">
        <f aca="false">IF(OR(AJ105="",NOT(ISNUMBER(AJ105))),"",AJ105-N(N105))</f>
        <v/>
      </c>
      <c r="BG105" s="15" t="str">
        <f aca="false">IF(OR(AK105="",NOT(ISNUMBER(AK105))),"",AK105-N(O105))</f>
        <v/>
      </c>
      <c r="BH105" s="15" t="str">
        <f aca="false">IF(OR(AL105="",NOT(ISNUMBER(AL105))),"",AL105-N(P105))</f>
        <v/>
      </c>
      <c r="BI105" s="15" t="str">
        <f aca="false">IF(OR(AM105="",NOT(ISNUMBER(AM105))),"",AM105-N(Q105))</f>
        <v/>
      </c>
      <c r="BJ105" s="15" t="str">
        <f aca="false">IF(OR(AN105="",NOT(ISNUMBER(AN105))),"",AN105-N(R105))</f>
        <v/>
      </c>
      <c r="BK105" s="15" t="str">
        <f aca="false">IF(OR(AO105="",NOT(ISNUMBER(AO105))),"",AO105-N(S105))</f>
        <v/>
      </c>
      <c r="BL105" s="15" t="str">
        <f aca="false">IF(OR(AP105="",NOT(ISNUMBER(AP105))),"",AP105-N(T105))</f>
        <v/>
      </c>
      <c r="BM105" s="15" t="str">
        <f aca="false">IF(OR(AQ105="",NOT(ISNUMBER(AQ105))),"",AQ105-N(U105))</f>
        <v/>
      </c>
      <c r="BR105" s="18" t="str">
        <f aca="false">IF($A105="","",IF(ISNUMBER($A105),DATE(YEAR($A105),MONTH($A105),1),IFERROR(DATE(2000+VALUE(RIGHT(TRIM($A105),2)),MATCH(UPPER(LEFT(TRIM($A105),3)),{"JAN","FEB","MAR","APR","MAY","JUN","JUL","AUG","SEP","OCT","NOV","DEC"},0),1),"")))</f>
        <v/>
      </c>
      <c r="BS105" s="18" t="str">
        <f aca="false">IF(BR105="","",EOMONTH(BR105,0))</f>
        <v/>
      </c>
    </row>
    <row r="106" customFormat="false" ht="15" hidden="false" customHeight="false" outlineLevel="0" collapsed="false">
      <c r="B106" s="19"/>
      <c r="C106" s="19"/>
      <c r="D106" s="19"/>
      <c r="E106" s="19"/>
      <c r="F106" s="19"/>
      <c r="G106" s="19"/>
      <c r="H106" s="19"/>
      <c r="I106" s="19"/>
      <c r="J106" s="19"/>
      <c r="K106" s="19"/>
      <c r="L106" s="19"/>
      <c r="M106" s="19"/>
      <c r="N106" s="19"/>
      <c r="O106" s="19"/>
      <c r="P106" s="19"/>
      <c r="Q106" s="19"/>
      <c r="R106" s="19"/>
      <c r="S106" s="19"/>
      <c r="T106" s="19"/>
      <c r="U106" s="19"/>
      <c r="X106" s="15" t="str">
        <f aca="false">IF(OR(B$7="",$BR106=""),"",IF('Tally Helper'!$B$3&lt;&gt;TRUE(),"not on Staff",SUMIFS('Tally Helper'!$L$5:$GI$5,'Tally Helper'!$L$3:$GI$3,"&gt;="&amp;$BR106,'Tally Helper'!$L$3:$GI$3,"&lt;="&amp;$BS106)))</f>
        <v/>
      </c>
      <c r="Y106" s="15" t="str">
        <f aca="false">IF(OR(C$7="",$BR106=""),"",IF('Tally Helper'!$B$6&lt;&gt;TRUE(),"not on Staff",SUMIFS('Tally Helper'!$L$8:$GI$8,'Tally Helper'!$L$6:$GI$6,"&gt;="&amp;$BR106,'Tally Helper'!$L$6:$GI$6,"&lt;="&amp;$BS106)))</f>
        <v/>
      </c>
      <c r="Z106" s="15" t="str">
        <f aca="false">IF(OR(D$7="",$BR106=""),"",IF('Tally Helper'!$B$9&lt;&gt;TRUE(),"not on Staff",SUMIFS('Tally Helper'!$L$11:$GI$11,'Tally Helper'!$L$9:$GI$9,"&gt;="&amp;$BR106,'Tally Helper'!$L$9:$GI$9,"&lt;="&amp;$BS106)))</f>
        <v/>
      </c>
      <c r="AA106" s="15" t="str">
        <f aca="false">IF(OR(E$7="",$BR106=""),"",IF('Tally Helper'!$B$12&lt;&gt;TRUE(),"not on Staff",SUMIFS('Tally Helper'!$L$14:$GI$14,'Tally Helper'!$L$12:$GI$12,"&gt;="&amp;$BR106,'Tally Helper'!$L$12:$GI$12,"&lt;="&amp;$BS106)))</f>
        <v/>
      </c>
      <c r="AB106" s="15" t="str">
        <f aca="false">IF(OR(F$7="",$BR106=""),"",IF('Tally Helper'!$B$15&lt;&gt;TRUE(),"not on Staff",SUMIFS('Tally Helper'!$L$17:$GI$17,'Tally Helper'!$L$15:$GI$15,"&gt;="&amp;$BR106,'Tally Helper'!$L$15:$GI$15,"&lt;="&amp;$BS106)))</f>
        <v/>
      </c>
      <c r="AC106" s="15" t="str">
        <f aca="false">IF(OR(G$7="",$BR106=""),"",IF('Tally Helper'!$B$18&lt;&gt;TRUE(),"not on Staff",SUMIFS('Tally Helper'!$L$20:$GI$20,'Tally Helper'!$L$18:$GI$18,"&gt;="&amp;$BR106,'Tally Helper'!$L$18:$GI$18,"&lt;="&amp;$BS106)))</f>
        <v/>
      </c>
      <c r="AD106" s="15" t="str">
        <f aca="false">IF(OR(H$7="",$BR106=""),"",IF('Tally Helper'!$B$21&lt;&gt;TRUE(),"not on Staff",SUMIFS('Tally Helper'!$L$23:$GI$23,'Tally Helper'!$L$21:$GI$21,"&gt;="&amp;$BR106,'Tally Helper'!$L$21:$GI$21,"&lt;="&amp;$BS106)))</f>
        <v/>
      </c>
      <c r="AE106" s="15" t="str">
        <f aca="false">IF(OR(I$7="",$BR106=""),"",IF('Tally Helper'!$B$24&lt;&gt;TRUE(),"not on Staff",SUMIFS('Tally Helper'!$L$26:$GI$26,'Tally Helper'!$L$24:$GI$24,"&gt;="&amp;$BR106,'Tally Helper'!$L$24:$GI$24,"&lt;="&amp;$BS106)))</f>
        <v/>
      </c>
      <c r="AF106" s="15" t="str">
        <f aca="false">IF(OR(J$7="",$BR106=""),"",IF('Tally Helper'!$B$27&lt;&gt;TRUE(),"not on Staff",SUMIFS('Tally Helper'!$L$29:$GI$29,'Tally Helper'!$L$27:$GI$27,"&gt;="&amp;$BR106,'Tally Helper'!$L$27:$GI$27,"&lt;="&amp;$BS106)))</f>
        <v/>
      </c>
      <c r="AG106" s="15" t="str">
        <f aca="false">IF(OR(K$7="",$BR106=""),"",IF('Tally Helper'!$B$30&lt;&gt;TRUE(),"not on Staff",SUMIFS('Tally Helper'!$L$32:$GI$32,'Tally Helper'!$L$30:$GI$30,"&gt;="&amp;$BR106,'Tally Helper'!$L$30:$GI$30,"&lt;="&amp;$BS106)))</f>
        <v/>
      </c>
      <c r="AH106" s="15" t="str">
        <f aca="false">IF(OR(L$7="",$BR106=""),"",IF('Tally Helper'!$B$33&lt;&gt;TRUE(),"not on Staff",SUMIFS('Tally Helper'!$L$35:$GI$35,'Tally Helper'!$L$33:$GI$33,"&gt;="&amp;$BR106,'Tally Helper'!$L$33:$GI$33,"&lt;="&amp;$BS106)))</f>
        <v/>
      </c>
      <c r="AI106" s="15" t="str">
        <f aca="false">IF(OR(M$7="",$BR106=""),"",IF('Tally Helper'!$B$36&lt;&gt;TRUE(),"not on Staff",SUMIFS('Tally Helper'!$L$38:$GI$38,'Tally Helper'!$L$36:$GI$36,"&gt;="&amp;$BR106,'Tally Helper'!$L$36:$GI$36,"&lt;="&amp;$BS106)))</f>
        <v/>
      </c>
      <c r="AJ106" s="15" t="str">
        <f aca="false">IF(OR(N$7="",$BR106=""),"",IF('Tally Helper'!$B$39&lt;&gt;TRUE(),"not on Staff",SUMIFS('Tally Helper'!$L$41:$GI$41,'Tally Helper'!$L$39:$GI$39,"&gt;="&amp;$BR106,'Tally Helper'!$L$39:$GI$39,"&lt;="&amp;$BS106)))</f>
        <v/>
      </c>
      <c r="AK106" s="15" t="str">
        <f aca="false">IF(OR(O$7="",$BR106=""),"",IF('Tally Helper'!$B$42&lt;&gt;TRUE(),"not on Staff",SUMIFS('Tally Helper'!$L$44:$GI$44,'Tally Helper'!$L$42:$GI$42,"&gt;="&amp;$BR106,'Tally Helper'!$L$42:$GI$42,"&lt;="&amp;$BS106)))</f>
        <v/>
      </c>
      <c r="AL106" s="15" t="str">
        <f aca="false">IF(OR(P$7="",$BR106=""),"",IF('Tally Helper'!$B$45&lt;&gt;TRUE(),"not on Staff",SUMIFS('Tally Helper'!$L$47:$GI$47,'Tally Helper'!$L$45:$GI$45,"&gt;="&amp;$BR106,'Tally Helper'!$L$45:$GI$45,"&lt;="&amp;$BS106)))</f>
        <v/>
      </c>
      <c r="AM106" s="15" t="str">
        <f aca="false">IF(OR(Q$7="",$BR106=""),"",IF('Tally Helper'!$B$48&lt;&gt;TRUE(),"not on Staff",SUMIFS('Tally Helper'!$L$50:$GI$50,'Tally Helper'!$L$48:$GI$48,"&gt;="&amp;$BR106,'Tally Helper'!$L$48:$GI$48,"&lt;="&amp;$BS106)))</f>
        <v/>
      </c>
      <c r="AN106" s="15" t="str">
        <f aca="false">IF(OR(R$7="",$BR106=""),"",IF('Tally Helper'!$B$51&lt;&gt;TRUE(),"not on Staff",SUMIFS('Tally Helper'!$L$53:$GI$53,'Tally Helper'!$L$51:$GI$51,"&gt;="&amp;$BR106,'Tally Helper'!$L$51:$GI$51,"&lt;="&amp;$BS106)))</f>
        <v/>
      </c>
      <c r="AO106" s="15" t="str">
        <f aca="false">IF(OR(S$7="",$BR106=""),"",IF('Tally Helper'!$B$54&lt;&gt;TRUE(),"not on Staff",SUMIFS('Tally Helper'!$L$56:$GI$56,'Tally Helper'!$L$54:$GI$54,"&gt;="&amp;$BR106,'Tally Helper'!$L$54:$GI$54,"&lt;="&amp;$BS106)))</f>
        <v/>
      </c>
      <c r="AP106" s="15" t="str">
        <f aca="false">IF(OR(T$7="",$BR106=""),"",IF('Tally Helper'!$B$57&lt;&gt;TRUE(),"not on Staff",SUMIFS('Tally Helper'!$L$59:$GI$59,'Tally Helper'!$L$57:$GI$57,"&gt;="&amp;$BR106,'Tally Helper'!$L$57:$GI$57,"&lt;="&amp;$BS106)))</f>
        <v/>
      </c>
      <c r="AQ106" s="15" t="str">
        <f aca="false">IF(OR(U$7="",$BR106=""),"",IF('Tally Helper'!$B$60&lt;&gt;TRUE(),"not on Staff",SUMIFS('Tally Helper'!$L$62:$GI$62,'Tally Helper'!$L$60:$GI$60,"&gt;="&amp;$BR106,'Tally Helper'!$L$60:$GI$60,"&lt;="&amp;$BS106)))</f>
        <v/>
      </c>
      <c r="AT106" s="15" t="str">
        <f aca="false">IF(OR(X106="",NOT(ISNUMBER(X106))),"",X106-N(B106))</f>
        <v/>
      </c>
      <c r="AU106" s="15" t="str">
        <f aca="false">IF(OR(Y106="",NOT(ISNUMBER(Y106))),"",Y106-N(C106))</f>
        <v/>
      </c>
      <c r="AV106" s="15" t="str">
        <f aca="false">IF(OR(Z106="",NOT(ISNUMBER(Z106))),"",Z106-N(D106))</f>
        <v/>
      </c>
      <c r="AW106" s="15" t="str">
        <f aca="false">IF(OR(AA106="",NOT(ISNUMBER(AA106))),"",AA106-N(E106))</f>
        <v/>
      </c>
      <c r="AX106" s="15" t="str">
        <f aca="false">IF(OR(AB106="",NOT(ISNUMBER(AB106))),"",AB106-N(F106))</f>
        <v/>
      </c>
      <c r="AY106" s="15" t="str">
        <f aca="false">IF(OR(AC106="",NOT(ISNUMBER(AC106))),"",AC106-N(G106))</f>
        <v/>
      </c>
      <c r="AZ106" s="15" t="str">
        <f aca="false">IF(OR(AD106="",NOT(ISNUMBER(AD106))),"",AD106-N(H106))</f>
        <v/>
      </c>
      <c r="BA106" s="15" t="str">
        <f aca="false">IF(OR(AE106="",NOT(ISNUMBER(AE106))),"",AE106-N(I106))</f>
        <v/>
      </c>
      <c r="BB106" s="15" t="str">
        <f aca="false">IF(OR(AF106="",NOT(ISNUMBER(AF106))),"",AF106-N(J106))</f>
        <v/>
      </c>
      <c r="BC106" s="15" t="str">
        <f aca="false">IF(OR(AG106="",NOT(ISNUMBER(AG106))),"",AG106-N(K106))</f>
        <v/>
      </c>
      <c r="BD106" s="15" t="str">
        <f aca="false">IF(OR(AH106="",NOT(ISNUMBER(AH106))),"",AH106-N(L106))</f>
        <v/>
      </c>
      <c r="BE106" s="15" t="str">
        <f aca="false">IF(OR(AI106="",NOT(ISNUMBER(AI106))),"",AI106-N(M106))</f>
        <v/>
      </c>
      <c r="BF106" s="15" t="str">
        <f aca="false">IF(OR(AJ106="",NOT(ISNUMBER(AJ106))),"",AJ106-N(N106))</f>
        <v/>
      </c>
      <c r="BG106" s="15" t="str">
        <f aca="false">IF(OR(AK106="",NOT(ISNUMBER(AK106))),"",AK106-N(O106))</f>
        <v/>
      </c>
      <c r="BH106" s="15" t="str">
        <f aca="false">IF(OR(AL106="",NOT(ISNUMBER(AL106))),"",AL106-N(P106))</f>
        <v/>
      </c>
      <c r="BI106" s="15" t="str">
        <f aca="false">IF(OR(AM106="",NOT(ISNUMBER(AM106))),"",AM106-N(Q106))</f>
        <v/>
      </c>
      <c r="BJ106" s="15" t="str">
        <f aca="false">IF(OR(AN106="",NOT(ISNUMBER(AN106))),"",AN106-N(R106))</f>
        <v/>
      </c>
      <c r="BK106" s="15" t="str">
        <f aca="false">IF(OR(AO106="",NOT(ISNUMBER(AO106))),"",AO106-N(S106))</f>
        <v/>
      </c>
      <c r="BL106" s="15" t="str">
        <f aca="false">IF(OR(AP106="",NOT(ISNUMBER(AP106))),"",AP106-N(T106))</f>
        <v/>
      </c>
      <c r="BM106" s="15" t="str">
        <f aca="false">IF(OR(AQ106="",NOT(ISNUMBER(AQ106))),"",AQ106-N(U106))</f>
        <v/>
      </c>
      <c r="BR106" s="18" t="str">
        <f aca="false">IF($A106="","",IF(ISNUMBER($A106),DATE(YEAR($A106),MONTH($A106),1),IFERROR(DATE(2000+VALUE(RIGHT(TRIM($A106),2)),MATCH(UPPER(LEFT(TRIM($A106),3)),{"JAN","FEB","MAR","APR","MAY","JUN","JUL","AUG","SEP","OCT","NOV","DEC"},0),1),"")))</f>
        <v/>
      </c>
      <c r="BS106" s="18" t="str">
        <f aca="false">IF(BR106="","",EOMONTH(BR106,0))</f>
        <v/>
      </c>
    </row>
    <row r="107" customFormat="false" ht="15" hidden="false" customHeight="false" outlineLevel="0" collapsed="false">
      <c r="B107" s="19"/>
      <c r="C107" s="19"/>
      <c r="D107" s="19"/>
      <c r="E107" s="19"/>
      <c r="F107" s="19"/>
      <c r="G107" s="19"/>
      <c r="H107" s="19"/>
      <c r="I107" s="19"/>
      <c r="J107" s="19"/>
      <c r="K107" s="19"/>
      <c r="L107" s="19"/>
      <c r="M107" s="19"/>
      <c r="N107" s="19"/>
      <c r="O107" s="19"/>
      <c r="P107" s="19"/>
      <c r="Q107" s="19"/>
      <c r="R107" s="19"/>
      <c r="S107" s="19"/>
      <c r="T107" s="19"/>
      <c r="U107" s="19"/>
      <c r="X107" s="15" t="str">
        <f aca="false">IF(OR(B$7="",$BR107=""),"",IF('Tally Helper'!$B$3&lt;&gt;TRUE(),"not on Staff",SUMIFS('Tally Helper'!$L$5:$GI$5,'Tally Helper'!$L$3:$GI$3,"&gt;="&amp;$BR107,'Tally Helper'!$L$3:$GI$3,"&lt;="&amp;$BS107)))</f>
        <v/>
      </c>
      <c r="Y107" s="15" t="str">
        <f aca="false">IF(OR(C$7="",$BR107=""),"",IF('Tally Helper'!$B$6&lt;&gt;TRUE(),"not on Staff",SUMIFS('Tally Helper'!$L$8:$GI$8,'Tally Helper'!$L$6:$GI$6,"&gt;="&amp;$BR107,'Tally Helper'!$L$6:$GI$6,"&lt;="&amp;$BS107)))</f>
        <v/>
      </c>
      <c r="Z107" s="15" t="str">
        <f aca="false">IF(OR(D$7="",$BR107=""),"",IF('Tally Helper'!$B$9&lt;&gt;TRUE(),"not on Staff",SUMIFS('Tally Helper'!$L$11:$GI$11,'Tally Helper'!$L$9:$GI$9,"&gt;="&amp;$BR107,'Tally Helper'!$L$9:$GI$9,"&lt;="&amp;$BS107)))</f>
        <v/>
      </c>
      <c r="AA107" s="15" t="str">
        <f aca="false">IF(OR(E$7="",$BR107=""),"",IF('Tally Helper'!$B$12&lt;&gt;TRUE(),"not on Staff",SUMIFS('Tally Helper'!$L$14:$GI$14,'Tally Helper'!$L$12:$GI$12,"&gt;="&amp;$BR107,'Tally Helper'!$L$12:$GI$12,"&lt;="&amp;$BS107)))</f>
        <v/>
      </c>
      <c r="AB107" s="15" t="str">
        <f aca="false">IF(OR(F$7="",$BR107=""),"",IF('Tally Helper'!$B$15&lt;&gt;TRUE(),"not on Staff",SUMIFS('Tally Helper'!$L$17:$GI$17,'Tally Helper'!$L$15:$GI$15,"&gt;="&amp;$BR107,'Tally Helper'!$L$15:$GI$15,"&lt;="&amp;$BS107)))</f>
        <v/>
      </c>
      <c r="AC107" s="15" t="str">
        <f aca="false">IF(OR(G$7="",$BR107=""),"",IF('Tally Helper'!$B$18&lt;&gt;TRUE(),"not on Staff",SUMIFS('Tally Helper'!$L$20:$GI$20,'Tally Helper'!$L$18:$GI$18,"&gt;="&amp;$BR107,'Tally Helper'!$L$18:$GI$18,"&lt;="&amp;$BS107)))</f>
        <v/>
      </c>
      <c r="AD107" s="15" t="str">
        <f aca="false">IF(OR(H$7="",$BR107=""),"",IF('Tally Helper'!$B$21&lt;&gt;TRUE(),"not on Staff",SUMIFS('Tally Helper'!$L$23:$GI$23,'Tally Helper'!$L$21:$GI$21,"&gt;="&amp;$BR107,'Tally Helper'!$L$21:$GI$21,"&lt;="&amp;$BS107)))</f>
        <v/>
      </c>
      <c r="AE107" s="15" t="str">
        <f aca="false">IF(OR(I$7="",$BR107=""),"",IF('Tally Helper'!$B$24&lt;&gt;TRUE(),"not on Staff",SUMIFS('Tally Helper'!$L$26:$GI$26,'Tally Helper'!$L$24:$GI$24,"&gt;="&amp;$BR107,'Tally Helper'!$L$24:$GI$24,"&lt;="&amp;$BS107)))</f>
        <v/>
      </c>
      <c r="AF107" s="15" t="str">
        <f aca="false">IF(OR(J$7="",$BR107=""),"",IF('Tally Helper'!$B$27&lt;&gt;TRUE(),"not on Staff",SUMIFS('Tally Helper'!$L$29:$GI$29,'Tally Helper'!$L$27:$GI$27,"&gt;="&amp;$BR107,'Tally Helper'!$L$27:$GI$27,"&lt;="&amp;$BS107)))</f>
        <v/>
      </c>
      <c r="AG107" s="15" t="str">
        <f aca="false">IF(OR(K$7="",$BR107=""),"",IF('Tally Helper'!$B$30&lt;&gt;TRUE(),"not on Staff",SUMIFS('Tally Helper'!$L$32:$GI$32,'Tally Helper'!$L$30:$GI$30,"&gt;="&amp;$BR107,'Tally Helper'!$L$30:$GI$30,"&lt;="&amp;$BS107)))</f>
        <v/>
      </c>
      <c r="AH107" s="15" t="str">
        <f aca="false">IF(OR(L$7="",$BR107=""),"",IF('Tally Helper'!$B$33&lt;&gt;TRUE(),"not on Staff",SUMIFS('Tally Helper'!$L$35:$GI$35,'Tally Helper'!$L$33:$GI$33,"&gt;="&amp;$BR107,'Tally Helper'!$L$33:$GI$33,"&lt;="&amp;$BS107)))</f>
        <v/>
      </c>
      <c r="AI107" s="15" t="str">
        <f aca="false">IF(OR(M$7="",$BR107=""),"",IF('Tally Helper'!$B$36&lt;&gt;TRUE(),"not on Staff",SUMIFS('Tally Helper'!$L$38:$GI$38,'Tally Helper'!$L$36:$GI$36,"&gt;="&amp;$BR107,'Tally Helper'!$L$36:$GI$36,"&lt;="&amp;$BS107)))</f>
        <v/>
      </c>
      <c r="AJ107" s="15" t="str">
        <f aca="false">IF(OR(N$7="",$BR107=""),"",IF('Tally Helper'!$B$39&lt;&gt;TRUE(),"not on Staff",SUMIFS('Tally Helper'!$L$41:$GI$41,'Tally Helper'!$L$39:$GI$39,"&gt;="&amp;$BR107,'Tally Helper'!$L$39:$GI$39,"&lt;="&amp;$BS107)))</f>
        <v/>
      </c>
      <c r="AK107" s="15" t="str">
        <f aca="false">IF(OR(O$7="",$BR107=""),"",IF('Tally Helper'!$B$42&lt;&gt;TRUE(),"not on Staff",SUMIFS('Tally Helper'!$L$44:$GI$44,'Tally Helper'!$L$42:$GI$42,"&gt;="&amp;$BR107,'Tally Helper'!$L$42:$GI$42,"&lt;="&amp;$BS107)))</f>
        <v/>
      </c>
      <c r="AL107" s="15" t="str">
        <f aca="false">IF(OR(P$7="",$BR107=""),"",IF('Tally Helper'!$B$45&lt;&gt;TRUE(),"not on Staff",SUMIFS('Tally Helper'!$L$47:$GI$47,'Tally Helper'!$L$45:$GI$45,"&gt;="&amp;$BR107,'Tally Helper'!$L$45:$GI$45,"&lt;="&amp;$BS107)))</f>
        <v/>
      </c>
      <c r="AM107" s="15" t="str">
        <f aca="false">IF(OR(Q$7="",$BR107=""),"",IF('Tally Helper'!$B$48&lt;&gt;TRUE(),"not on Staff",SUMIFS('Tally Helper'!$L$50:$GI$50,'Tally Helper'!$L$48:$GI$48,"&gt;="&amp;$BR107,'Tally Helper'!$L$48:$GI$48,"&lt;="&amp;$BS107)))</f>
        <v/>
      </c>
      <c r="AN107" s="15" t="str">
        <f aca="false">IF(OR(R$7="",$BR107=""),"",IF('Tally Helper'!$B$51&lt;&gt;TRUE(),"not on Staff",SUMIFS('Tally Helper'!$L$53:$GI$53,'Tally Helper'!$L$51:$GI$51,"&gt;="&amp;$BR107,'Tally Helper'!$L$51:$GI$51,"&lt;="&amp;$BS107)))</f>
        <v/>
      </c>
      <c r="AO107" s="15" t="str">
        <f aca="false">IF(OR(S$7="",$BR107=""),"",IF('Tally Helper'!$B$54&lt;&gt;TRUE(),"not on Staff",SUMIFS('Tally Helper'!$L$56:$GI$56,'Tally Helper'!$L$54:$GI$54,"&gt;="&amp;$BR107,'Tally Helper'!$L$54:$GI$54,"&lt;="&amp;$BS107)))</f>
        <v/>
      </c>
      <c r="AP107" s="15" t="str">
        <f aca="false">IF(OR(T$7="",$BR107=""),"",IF('Tally Helper'!$B$57&lt;&gt;TRUE(),"not on Staff",SUMIFS('Tally Helper'!$L$59:$GI$59,'Tally Helper'!$L$57:$GI$57,"&gt;="&amp;$BR107,'Tally Helper'!$L$57:$GI$57,"&lt;="&amp;$BS107)))</f>
        <v/>
      </c>
      <c r="AQ107" s="15" t="str">
        <f aca="false">IF(OR(U$7="",$BR107=""),"",IF('Tally Helper'!$B$60&lt;&gt;TRUE(),"not on Staff",SUMIFS('Tally Helper'!$L$62:$GI$62,'Tally Helper'!$L$60:$GI$60,"&gt;="&amp;$BR107,'Tally Helper'!$L$60:$GI$60,"&lt;="&amp;$BS107)))</f>
        <v/>
      </c>
      <c r="AT107" s="15" t="str">
        <f aca="false">IF(OR(X107="",NOT(ISNUMBER(X107))),"",X107-N(B107))</f>
        <v/>
      </c>
      <c r="AU107" s="15" t="str">
        <f aca="false">IF(OR(Y107="",NOT(ISNUMBER(Y107))),"",Y107-N(C107))</f>
        <v/>
      </c>
      <c r="AV107" s="15" t="str">
        <f aca="false">IF(OR(Z107="",NOT(ISNUMBER(Z107))),"",Z107-N(D107))</f>
        <v/>
      </c>
      <c r="AW107" s="15" t="str">
        <f aca="false">IF(OR(AA107="",NOT(ISNUMBER(AA107))),"",AA107-N(E107))</f>
        <v/>
      </c>
      <c r="AX107" s="15" t="str">
        <f aca="false">IF(OR(AB107="",NOT(ISNUMBER(AB107))),"",AB107-N(F107))</f>
        <v/>
      </c>
      <c r="AY107" s="15" t="str">
        <f aca="false">IF(OR(AC107="",NOT(ISNUMBER(AC107))),"",AC107-N(G107))</f>
        <v/>
      </c>
      <c r="AZ107" s="15" t="str">
        <f aca="false">IF(OR(AD107="",NOT(ISNUMBER(AD107))),"",AD107-N(H107))</f>
        <v/>
      </c>
      <c r="BA107" s="15" t="str">
        <f aca="false">IF(OR(AE107="",NOT(ISNUMBER(AE107))),"",AE107-N(I107))</f>
        <v/>
      </c>
      <c r="BB107" s="15" t="str">
        <f aca="false">IF(OR(AF107="",NOT(ISNUMBER(AF107))),"",AF107-N(J107))</f>
        <v/>
      </c>
      <c r="BC107" s="15" t="str">
        <f aca="false">IF(OR(AG107="",NOT(ISNUMBER(AG107))),"",AG107-N(K107))</f>
        <v/>
      </c>
      <c r="BD107" s="15" t="str">
        <f aca="false">IF(OR(AH107="",NOT(ISNUMBER(AH107))),"",AH107-N(L107))</f>
        <v/>
      </c>
      <c r="BE107" s="15" t="str">
        <f aca="false">IF(OR(AI107="",NOT(ISNUMBER(AI107))),"",AI107-N(M107))</f>
        <v/>
      </c>
      <c r="BF107" s="15" t="str">
        <f aca="false">IF(OR(AJ107="",NOT(ISNUMBER(AJ107))),"",AJ107-N(N107))</f>
        <v/>
      </c>
      <c r="BG107" s="15" t="str">
        <f aca="false">IF(OR(AK107="",NOT(ISNUMBER(AK107))),"",AK107-N(O107))</f>
        <v/>
      </c>
      <c r="BH107" s="15" t="str">
        <f aca="false">IF(OR(AL107="",NOT(ISNUMBER(AL107))),"",AL107-N(P107))</f>
        <v/>
      </c>
      <c r="BI107" s="15" t="str">
        <f aca="false">IF(OR(AM107="",NOT(ISNUMBER(AM107))),"",AM107-N(Q107))</f>
        <v/>
      </c>
      <c r="BJ107" s="15" t="str">
        <f aca="false">IF(OR(AN107="",NOT(ISNUMBER(AN107))),"",AN107-N(R107))</f>
        <v/>
      </c>
      <c r="BK107" s="15" t="str">
        <f aca="false">IF(OR(AO107="",NOT(ISNUMBER(AO107))),"",AO107-N(S107))</f>
        <v/>
      </c>
      <c r="BL107" s="15" t="str">
        <f aca="false">IF(OR(AP107="",NOT(ISNUMBER(AP107))),"",AP107-N(T107))</f>
        <v/>
      </c>
      <c r="BM107" s="15" t="str">
        <f aca="false">IF(OR(AQ107="",NOT(ISNUMBER(AQ107))),"",AQ107-N(U107))</f>
        <v/>
      </c>
      <c r="BR107" s="18" t="str">
        <f aca="false">IF($A107="","",IF(ISNUMBER($A107),DATE(YEAR($A107),MONTH($A107),1),IFERROR(DATE(2000+VALUE(RIGHT(TRIM($A107),2)),MATCH(UPPER(LEFT(TRIM($A107),3)),{"JAN","FEB","MAR","APR","MAY","JUN","JUL","AUG","SEP","OCT","NOV","DEC"},0),1),"")))</f>
        <v/>
      </c>
      <c r="BS107" s="18" t="str">
        <f aca="false">IF(BR107="","",EOMONTH(BR107,0))</f>
        <v/>
      </c>
    </row>
    <row r="108" customFormat="false" ht="15" hidden="false" customHeight="false" outlineLevel="0" collapsed="false">
      <c r="B108" s="19"/>
      <c r="C108" s="19"/>
      <c r="D108" s="19"/>
      <c r="E108" s="19"/>
      <c r="F108" s="19"/>
      <c r="G108" s="19"/>
      <c r="H108" s="19"/>
      <c r="I108" s="19"/>
      <c r="J108" s="19"/>
      <c r="K108" s="19"/>
      <c r="L108" s="19"/>
      <c r="M108" s="19"/>
      <c r="N108" s="19"/>
      <c r="O108" s="19"/>
      <c r="P108" s="19"/>
      <c r="Q108" s="19"/>
      <c r="R108" s="19"/>
      <c r="S108" s="19"/>
      <c r="T108" s="19"/>
      <c r="U108" s="19"/>
      <c r="X108" s="15" t="str">
        <f aca="false">IF(OR(B$7="",$BR108=""),"",IF('Tally Helper'!$B$3&lt;&gt;TRUE(),"not on Staff",SUMIFS('Tally Helper'!$L$5:$GI$5,'Tally Helper'!$L$3:$GI$3,"&gt;="&amp;$BR108,'Tally Helper'!$L$3:$GI$3,"&lt;="&amp;$BS108)))</f>
        <v/>
      </c>
      <c r="Y108" s="15" t="str">
        <f aca="false">IF(OR(C$7="",$BR108=""),"",IF('Tally Helper'!$B$6&lt;&gt;TRUE(),"not on Staff",SUMIFS('Tally Helper'!$L$8:$GI$8,'Tally Helper'!$L$6:$GI$6,"&gt;="&amp;$BR108,'Tally Helper'!$L$6:$GI$6,"&lt;="&amp;$BS108)))</f>
        <v/>
      </c>
      <c r="Z108" s="15" t="str">
        <f aca="false">IF(OR(D$7="",$BR108=""),"",IF('Tally Helper'!$B$9&lt;&gt;TRUE(),"not on Staff",SUMIFS('Tally Helper'!$L$11:$GI$11,'Tally Helper'!$L$9:$GI$9,"&gt;="&amp;$BR108,'Tally Helper'!$L$9:$GI$9,"&lt;="&amp;$BS108)))</f>
        <v/>
      </c>
      <c r="AA108" s="15" t="str">
        <f aca="false">IF(OR(E$7="",$BR108=""),"",IF('Tally Helper'!$B$12&lt;&gt;TRUE(),"not on Staff",SUMIFS('Tally Helper'!$L$14:$GI$14,'Tally Helper'!$L$12:$GI$12,"&gt;="&amp;$BR108,'Tally Helper'!$L$12:$GI$12,"&lt;="&amp;$BS108)))</f>
        <v/>
      </c>
      <c r="AB108" s="15" t="str">
        <f aca="false">IF(OR(F$7="",$BR108=""),"",IF('Tally Helper'!$B$15&lt;&gt;TRUE(),"not on Staff",SUMIFS('Tally Helper'!$L$17:$GI$17,'Tally Helper'!$L$15:$GI$15,"&gt;="&amp;$BR108,'Tally Helper'!$L$15:$GI$15,"&lt;="&amp;$BS108)))</f>
        <v/>
      </c>
      <c r="AC108" s="15" t="str">
        <f aca="false">IF(OR(G$7="",$BR108=""),"",IF('Tally Helper'!$B$18&lt;&gt;TRUE(),"not on Staff",SUMIFS('Tally Helper'!$L$20:$GI$20,'Tally Helper'!$L$18:$GI$18,"&gt;="&amp;$BR108,'Tally Helper'!$L$18:$GI$18,"&lt;="&amp;$BS108)))</f>
        <v/>
      </c>
      <c r="AD108" s="15" t="str">
        <f aca="false">IF(OR(H$7="",$BR108=""),"",IF('Tally Helper'!$B$21&lt;&gt;TRUE(),"not on Staff",SUMIFS('Tally Helper'!$L$23:$GI$23,'Tally Helper'!$L$21:$GI$21,"&gt;="&amp;$BR108,'Tally Helper'!$L$21:$GI$21,"&lt;="&amp;$BS108)))</f>
        <v/>
      </c>
      <c r="AE108" s="15" t="str">
        <f aca="false">IF(OR(I$7="",$BR108=""),"",IF('Tally Helper'!$B$24&lt;&gt;TRUE(),"not on Staff",SUMIFS('Tally Helper'!$L$26:$GI$26,'Tally Helper'!$L$24:$GI$24,"&gt;="&amp;$BR108,'Tally Helper'!$L$24:$GI$24,"&lt;="&amp;$BS108)))</f>
        <v/>
      </c>
      <c r="AF108" s="15" t="str">
        <f aca="false">IF(OR(J$7="",$BR108=""),"",IF('Tally Helper'!$B$27&lt;&gt;TRUE(),"not on Staff",SUMIFS('Tally Helper'!$L$29:$GI$29,'Tally Helper'!$L$27:$GI$27,"&gt;="&amp;$BR108,'Tally Helper'!$L$27:$GI$27,"&lt;="&amp;$BS108)))</f>
        <v/>
      </c>
      <c r="AG108" s="15" t="str">
        <f aca="false">IF(OR(K$7="",$BR108=""),"",IF('Tally Helper'!$B$30&lt;&gt;TRUE(),"not on Staff",SUMIFS('Tally Helper'!$L$32:$GI$32,'Tally Helper'!$L$30:$GI$30,"&gt;="&amp;$BR108,'Tally Helper'!$L$30:$GI$30,"&lt;="&amp;$BS108)))</f>
        <v/>
      </c>
      <c r="AH108" s="15" t="str">
        <f aca="false">IF(OR(L$7="",$BR108=""),"",IF('Tally Helper'!$B$33&lt;&gt;TRUE(),"not on Staff",SUMIFS('Tally Helper'!$L$35:$GI$35,'Tally Helper'!$L$33:$GI$33,"&gt;="&amp;$BR108,'Tally Helper'!$L$33:$GI$33,"&lt;="&amp;$BS108)))</f>
        <v/>
      </c>
      <c r="AI108" s="15" t="str">
        <f aca="false">IF(OR(M$7="",$BR108=""),"",IF('Tally Helper'!$B$36&lt;&gt;TRUE(),"not on Staff",SUMIFS('Tally Helper'!$L$38:$GI$38,'Tally Helper'!$L$36:$GI$36,"&gt;="&amp;$BR108,'Tally Helper'!$L$36:$GI$36,"&lt;="&amp;$BS108)))</f>
        <v/>
      </c>
      <c r="AJ108" s="15" t="str">
        <f aca="false">IF(OR(N$7="",$BR108=""),"",IF('Tally Helper'!$B$39&lt;&gt;TRUE(),"not on Staff",SUMIFS('Tally Helper'!$L$41:$GI$41,'Tally Helper'!$L$39:$GI$39,"&gt;="&amp;$BR108,'Tally Helper'!$L$39:$GI$39,"&lt;="&amp;$BS108)))</f>
        <v/>
      </c>
      <c r="AK108" s="15" t="str">
        <f aca="false">IF(OR(O$7="",$BR108=""),"",IF('Tally Helper'!$B$42&lt;&gt;TRUE(),"not on Staff",SUMIFS('Tally Helper'!$L$44:$GI$44,'Tally Helper'!$L$42:$GI$42,"&gt;="&amp;$BR108,'Tally Helper'!$L$42:$GI$42,"&lt;="&amp;$BS108)))</f>
        <v/>
      </c>
      <c r="AL108" s="15" t="str">
        <f aca="false">IF(OR(P$7="",$BR108=""),"",IF('Tally Helper'!$B$45&lt;&gt;TRUE(),"not on Staff",SUMIFS('Tally Helper'!$L$47:$GI$47,'Tally Helper'!$L$45:$GI$45,"&gt;="&amp;$BR108,'Tally Helper'!$L$45:$GI$45,"&lt;="&amp;$BS108)))</f>
        <v/>
      </c>
      <c r="AM108" s="15" t="str">
        <f aca="false">IF(OR(Q$7="",$BR108=""),"",IF('Tally Helper'!$B$48&lt;&gt;TRUE(),"not on Staff",SUMIFS('Tally Helper'!$L$50:$GI$50,'Tally Helper'!$L$48:$GI$48,"&gt;="&amp;$BR108,'Tally Helper'!$L$48:$GI$48,"&lt;="&amp;$BS108)))</f>
        <v/>
      </c>
      <c r="AN108" s="15" t="str">
        <f aca="false">IF(OR(R$7="",$BR108=""),"",IF('Tally Helper'!$B$51&lt;&gt;TRUE(),"not on Staff",SUMIFS('Tally Helper'!$L$53:$GI$53,'Tally Helper'!$L$51:$GI$51,"&gt;="&amp;$BR108,'Tally Helper'!$L$51:$GI$51,"&lt;="&amp;$BS108)))</f>
        <v/>
      </c>
      <c r="AO108" s="15" t="str">
        <f aca="false">IF(OR(S$7="",$BR108=""),"",IF('Tally Helper'!$B$54&lt;&gt;TRUE(),"not on Staff",SUMIFS('Tally Helper'!$L$56:$GI$56,'Tally Helper'!$L$54:$GI$54,"&gt;="&amp;$BR108,'Tally Helper'!$L$54:$GI$54,"&lt;="&amp;$BS108)))</f>
        <v/>
      </c>
      <c r="AP108" s="15" t="str">
        <f aca="false">IF(OR(T$7="",$BR108=""),"",IF('Tally Helper'!$B$57&lt;&gt;TRUE(),"not on Staff",SUMIFS('Tally Helper'!$L$59:$GI$59,'Tally Helper'!$L$57:$GI$57,"&gt;="&amp;$BR108,'Tally Helper'!$L$57:$GI$57,"&lt;="&amp;$BS108)))</f>
        <v/>
      </c>
      <c r="AQ108" s="15" t="str">
        <f aca="false">IF(OR(U$7="",$BR108=""),"",IF('Tally Helper'!$B$60&lt;&gt;TRUE(),"not on Staff",SUMIFS('Tally Helper'!$L$62:$GI$62,'Tally Helper'!$L$60:$GI$60,"&gt;="&amp;$BR108,'Tally Helper'!$L$60:$GI$60,"&lt;="&amp;$BS108)))</f>
        <v/>
      </c>
      <c r="AT108" s="15" t="str">
        <f aca="false">IF(OR(X108="",NOT(ISNUMBER(X108))),"",X108-N(B108))</f>
        <v/>
      </c>
      <c r="AU108" s="15" t="str">
        <f aca="false">IF(OR(Y108="",NOT(ISNUMBER(Y108))),"",Y108-N(C108))</f>
        <v/>
      </c>
      <c r="AV108" s="15" t="str">
        <f aca="false">IF(OR(Z108="",NOT(ISNUMBER(Z108))),"",Z108-N(D108))</f>
        <v/>
      </c>
      <c r="AW108" s="15" t="str">
        <f aca="false">IF(OR(AA108="",NOT(ISNUMBER(AA108))),"",AA108-N(E108))</f>
        <v/>
      </c>
      <c r="AX108" s="15" t="str">
        <f aca="false">IF(OR(AB108="",NOT(ISNUMBER(AB108))),"",AB108-N(F108))</f>
        <v/>
      </c>
      <c r="AY108" s="15" t="str">
        <f aca="false">IF(OR(AC108="",NOT(ISNUMBER(AC108))),"",AC108-N(G108))</f>
        <v/>
      </c>
      <c r="AZ108" s="15" t="str">
        <f aca="false">IF(OR(AD108="",NOT(ISNUMBER(AD108))),"",AD108-N(H108))</f>
        <v/>
      </c>
      <c r="BA108" s="15" t="str">
        <f aca="false">IF(OR(AE108="",NOT(ISNUMBER(AE108))),"",AE108-N(I108))</f>
        <v/>
      </c>
      <c r="BB108" s="15" t="str">
        <f aca="false">IF(OR(AF108="",NOT(ISNUMBER(AF108))),"",AF108-N(J108))</f>
        <v/>
      </c>
      <c r="BC108" s="15" t="str">
        <f aca="false">IF(OR(AG108="",NOT(ISNUMBER(AG108))),"",AG108-N(K108))</f>
        <v/>
      </c>
      <c r="BD108" s="15" t="str">
        <f aca="false">IF(OR(AH108="",NOT(ISNUMBER(AH108))),"",AH108-N(L108))</f>
        <v/>
      </c>
      <c r="BE108" s="15" t="str">
        <f aca="false">IF(OR(AI108="",NOT(ISNUMBER(AI108))),"",AI108-N(M108))</f>
        <v/>
      </c>
      <c r="BF108" s="15" t="str">
        <f aca="false">IF(OR(AJ108="",NOT(ISNUMBER(AJ108))),"",AJ108-N(N108))</f>
        <v/>
      </c>
      <c r="BG108" s="15" t="str">
        <f aca="false">IF(OR(AK108="",NOT(ISNUMBER(AK108))),"",AK108-N(O108))</f>
        <v/>
      </c>
      <c r="BH108" s="15" t="str">
        <f aca="false">IF(OR(AL108="",NOT(ISNUMBER(AL108))),"",AL108-N(P108))</f>
        <v/>
      </c>
      <c r="BI108" s="15" t="str">
        <f aca="false">IF(OR(AM108="",NOT(ISNUMBER(AM108))),"",AM108-N(Q108))</f>
        <v/>
      </c>
      <c r="BJ108" s="15" t="str">
        <f aca="false">IF(OR(AN108="",NOT(ISNUMBER(AN108))),"",AN108-N(R108))</f>
        <v/>
      </c>
      <c r="BK108" s="15" t="str">
        <f aca="false">IF(OR(AO108="",NOT(ISNUMBER(AO108))),"",AO108-N(S108))</f>
        <v/>
      </c>
      <c r="BL108" s="15" t="str">
        <f aca="false">IF(OR(AP108="",NOT(ISNUMBER(AP108))),"",AP108-N(T108))</f>
        <v/>
      </c>
      <c r="BM108" s="15" t="str">
        <f aca="false">IF(OR(AQ108="",NOT(ISNUMBER(AQ108))),"",AQ108-N(U108))</f>
        <v/>
      </c>
      <c r="BR108" s="18" t="str">
        <f aca="false">IF($A108="","",IF(ISNUMBER($A108),DATE(YEAR($A108),MONTH($A108),1),IFERROR(DATE(2000+VALUE(RIGHT(TRIM($A108),2)),MATCH(UPPER(LEFT(TRIM($A108),3)),{"JAN","FEB","MAR","APR","MAY","JUN","JUL","AUG","SEP","OCT","NOV","DEC"},0),1),"")))</f>
        <v/>
      </c>
      <c r="BS108" s="18" t="str">
        <f aca="false">IF(BR108="","",EOMONTH(BR108,0))</f>
        <v/>
      </c>
    </row>
    <row r="109" customFormat="false" ht="15" hidden="false" customHeight="false" outlineLevel="0" collapsed="false">
      <c r="B109" s="19"/>
      <c r="C109" s="19"/>
      <c r="D109" s="19"/>
      <c r="E109" s="19"/>
      <c r="F109" s="19"/>
      <c r="G109" s="19"/>
      <c r="H109" s="19"/>
      <c r="I109" s="19"/>
      <c r="J109" s="19"/>
      <c r="K109" s="19"/>
      <c r="L109" s="19"/>
      <c r="M109" s="19"/>
      <c r="N109" s="19"/>
      <c r="O109" s="19"/>
      <c r="P109" s="19"/>
      <c r="Q109" s="19"/>
      <c r="R109" s="19"/>
      <c r="S109" s="19"/>
      <c r="T109" s="19"/>
      <c r="U109" s="19"/>
      <c r="X109" s="15" t="str">
        <f aca="false">IF(OR(B$7="",$BR109=""),"",IF('Tally Helper'!$B$3&lt;&gt;TRUE(),"not on Staff",SUMIFS('Tally Helper'!$L$5:$GI$5,'Tally Helper'!$L$3:$GI$3,"&gt;="&amp;$BR109,'Tally Helper'!$L$3:$GI$3,"&lt;="&amp;$BS109)))</f>
        <v/>
      </c>
      <c r="Y109" s="15" t="str">
        <f aca="false">IF(OR(C$7="",$BR109=""),"",IF('Tally Helper'!$B$6&lt;&gt;TRUE(),"not on Staff",SUMIFS('Tally Helper'!$L$8:$GI$8,'Tally Helper'!$L$6:$GI$6,"&gt;="&amp;$BR109,'Tally Helper'!$L$6:$GI$6,"&lt;="&amp;$BS109)))</f>
        <v/>
      </c>
      <c r="Z109" s="15" t="str">
        <f aca="false">IF(OR(D$7="",$BR109=""),"",IF('Tally Helper'!$B$9&lt;&gt;TRUE(),"not on Staff",SUMIFS('Tally Helper'!$L$11:$GI$11,'Tally Helper'!$L$9:$GI$9,"&gt;="&amp;$BR109,'Tally Helper'!$L$9:$GI$9,"&lt;="&amp;$BS109)))</f>
        <v/>
      </c>
      <c r="AA109" s="15" t="str">
        <f aca="false">IF(OR(E$7="",$BR109=""),"",IF('Tally Helper'!$B$12&lt;&gt;TRUE(),"not on Staff",SUMIFS('Tally Helper'!$L$14:$GI$14,'Tally Helper'!$L$12:$GI$12,"&gt;="&amp;$BR109,'Tally Helper'!$L$12:$GI$12,"&lt;="&amp;$BS109)))</f>
        <v/>
      </c>
      <c r="AB109" s="15" t="str">
        <f aca="false">IF(OR(F$7="",$BR109=""),"",IF('Tally Helper'!$B$15&lt;&gt;TRUE(),"not on Staff",SUMIFS('Tally Helper'!$L$17:$GI$17,'Tally Helper'!$L$15:$GI$15,"&gt;="&amp;$BR109,'Tally Helper'!$L$15:$GI$15,"&lt;="&amp;$BS109)))</f>
        <v/>
      </c>
      <c r="AC109" s="15" t="str">
        <f aca="false">IF(OR(G$7="",$BR109=""),"",IF('Tally Helper'!$B$18&lt;&gt;TRUE(),"not on Staff",SUMIFS('Tally Helper'!$L$20:$GI$20,'Tally Helper'!$L$18:$GI$18,"&gt;="&amp;$BR109,'Tally Helper'!$L$18:$GI$18,"&lt;="&amp;$BS109)))</f>
        <v/>
      </c>
      <c r="AD109" s="15" t="str">
        <f aca="false">IF(OR(H$7="",$BR109=""),"",IF('Tally Helper'!$B$21&lt;&gt;TRUE(),"not on Staff",SUMIFS('Tally Helper'!$L$23:$GI$23,'Tally Helper'!$L$21:$GI$21,"&gt;="&amp;$BR109,'Tally Helper'!$L$21:$GI$21,"&lt;="&amp;$BS109)))</f>
        <v/>
      </c>
      <c r="AE109" s="15" t="str">
        <f aca="false">IF(OR(I$7="",$BR109=""),"",IF('Tally Helper'!$B$24&lt;&gt;TRUE(),"not on Staff",SUMIFS('Tally Helper'!$L$26:$GI$26,'Tally Helper'!$L$24:$GI$24,"&gt;="&amp;$BR109,'Tally Helper'!$L$24:$GI$24,"&lt;="&amp;$BS109)))</f>
        <v/>
      </c>
      <c r="AF109" s="15" t="str">
        <f aca="false">IF(OR(J$7="",$BR109=""),"",IF('Tally Helper'!$B$27&lt;&gt;TRUE(),"not on Staff",SUMIFS('Tally Helper'!$L$29:$GI$29,'Tally Helper'!$L$27:$GI$27,"&gt;="&amp;$BR109,'Tally Helper'!$L$27:$GI$27,"&lt;="&amp;$BS109)))</f>
        <v/>
      </c>
      <c r="AG109" s="15" t="str">
        <f aca="false">IF(OR(K$7="",$BR109=""),"",IF('Tally Helper'!$B$30&lt;&gt;TRUE(),"not on Staff",SUMIFS('Tally Helper'!$L$32:$GI$32,'Tally Helper'!$L$30:$GI$30,"&gt;="&amp;$BR109,'Tally Helper'!$L$30:$GI$30,"&lt;="&amp;$BS109)))</f>
        <v/>
      </c>
      <c r="AH109" s="15" t="str">
        <f aca="false">IF(OR(L$7="",$BR109=""),"",IF('Tally Helper'!$B$33&lt;&gt;TRUE(),"not on Staff",SUMIFS('Tally Helper'!$L$35:$GI$35,'Tally Helper'!$L$33:$GI$33,"&gt;="&amp;$BR109,'Tally Helper'!$L$33:$GI$33,"&lt;="&amp;$BS109)))</f>
        <v/>
      </c>
      <c r="AI109" s="15" t="str">
        <f aca="false">IF(OR(M$7="",$BR109=""),"",IF('Tally Helper'!$B$36&lt;&gt;TRUE(),"not on Staff",SUMIFS('Tally Helper'!$L$38:$GI$38,'Tally Helper'!$L$36:$GI$36,"&gt;="&amp;$BR109,'Tally Helper'!$L$36:$GI$36,"&lt;="&amp;$BS109)))</f>
        <v/>
      </c>
      <c r="AJ109" s="15" t="str">
        <f aca="false">IF(OR(N$7="",$BR109=""),"",IF('Tally Helper'!$B$39&lt;&gt;TRUE(),"not on Staff",SUMIFS('Tally Helper'!$L$41:$GI$41,'Tally Helper'!$L$39:$GI$39,"&gt;="&amp;$BR109,'Tally Helper'!$L$39:$GI$39,"&lt;="&amp;$BS109)))</f>
        <v/>
      </c>
      <c r="AK109" s="15" t="str">
        <f aca="false">IF(OR(O$7="",$BR109=""),"",IF('Tally Helper'!$B$42&lt;&gt;TRUE(),"not on Staff",SUMIFS('Tally Helper'!$L$44:$GI$44,'Tally Helper'!$L$42:$GI$42,"&gt;="&amp;$BR109,'Tally Helper'!$L$42:$GI$42,"&lt;="&amp;$BS109)))</f>
        <v/>
      </c>
      <c r="AL109" s="15" t="str">
        <f aca="false">IF(OR(P$7="",$BR109=""),"",IF('Tally Helper'!$B$45&lt;&gt;TRUE(),"not on Staff",SUMIFS('Tally Helper'!$L$47:$GI$47,'Tally Helper'!$L$45:$GI$45,"&gt;="&amp;$BR109,'Tally Helper'!$L$45:$GI$45,"&lt;="&amp;$BS109)))</f>
        <v/>
      </c>
      <c r="AM109" s="15" t="str">
        <f aca="false">IF(OR(Q$7="",$BR109=""),"",IF('Tally Helper'!$B$48&lt;&gt;TRUE(),"not on Staff",SUMIFS('Tally Helper'!$L$50:$GI$50,'Tally Helper'!$L$48:$GI$48,"&gt;="&amp;$BR109,'Tally Helper'!$L$48:$GI$48,"&lt;="&amp;$BS109)))</f>
        <v/>
      </c>
      <c r="AN109" s="15" t="str">
        <f aca="false">IF(OR(R$7="",$BR109=""),"",IF('Tally Helper'!$B$51&lt;&gt;TRUE(),"not on Staff",SUMIFS('Tally Helper'!$L$53:$GI$53,'Tally Helper'!$L$51:$GI$51,"&gt;="&amp;$BR109,'Tally Helper'!$L$51:$GI$51,"&lt;="&amp;$BS109)))</f>
        <v/>
      </c>
      <c r="AO109" s="15" t="str">
        <f aca="false">IF(OR(S$7="",$BR109=""),"",IF('Tally Helper'!$B$54&lt;&gt;TRUE(),"not on Staff",SUMIFS('Tally Helper'!$L$56:$GI$56,'Tally Helper'!$L$54:$GI$54,"&gt;="&amp;$BR109,'Tally Helper'!$L$54:$GI$54,"&lt;="&amp;$BS109)))</f>
        <v/>
      </c>
      <c r="AP109" s="15" t="str">
        <f aca="false">IF(OR(T$7="",$BR109=""),"",IF('Tally Helper'!$B$57&lt;&gt;TRUE(),"not on Staff",SUMIFS('Tally Helper'!$L$59:$GI$59,'Tally Helper'!$L$57:$GI$57,"&gt;="&amp;$BR109,'Tally Helper'!$L$57:$GI$57,"&lt;="&amp;$BS109)))</f>
        <v/>
      </c>
      <c r="AQ109" s="15" t="str">
        <f aca="false">IF(OR(U$7="",$BR109=""),"",IF('Tally Helper'!$B$60&lt;&gt;TRUE(),"not on Staff",SUMIFS('Tally Helper'!$L$62:$GI$62,'Tally Helper'!$L$60:$GI$60,"&gt;="&amp;$BR109,'Tally Helper'!$L$60:$GI$60,"&lt;="&amp;$BS109)))</f>
        <v/>
      </c>
      <c r="AT109" s="15" t="str">
        <f aca="false">IF(OR(X109="",NOT(ISNUMBER(X109))),"",X109-N(B109))</f>
        <v/>
      </c>
      <c r="AU109" s="15" t="str">
        <f aca="false">IF(OR(Y109="",NOT(ISNUMBER(Y109))),"",Y109-N(C109))</f>
        <v/>
      </c>
      <c r="AV109" s="15" t="str">
        <f aca="false">IF(OR(Z109="",NOT(ISNUMBER(Z109))),"",Z109-N(D109))</f>
        <v/>
      </c>
      <c r="AW109" s="15" t="str">
        <f aca="false">IF(OR(AA109="",NOT(ISNUMBER(AA109))),"",AA109-N(E109))</f>
        <v/>
      </c>
      <c r="AX109" s="15" t="str">
        <f aca="false">IF(OR(AB109="",NOT(ISNUMBER(AB109))),"",AB109-N(F109))</f>
        <v/>
      </c>
      <c r="AY109" s="15" t="str">
        <f aca="false">IF(OR(AC109="",NOT(ISNUMBER(AC109))),"",AC109-N(G109))</f>
        <v/>
      </c>
      <c r="AZ109" s="15" t="str">
        <f aca="false">IF(OR(AD109="",NOT(ISNUMBER(AD109))),"",AD109-N(H109))</f>
        <v/>
      </c>
      <c r="BA109" s="15" t="str">
        <f aca="false">IF(OR(AE109="",NOT(ISNUMBER(AE109))),"",AE109-N(I109))</f>
        <v/>
      </c>
      <c r="BB109" s="15" t="str">
        <f aca="false">IF(OR(AF109="",NOT(ISNUMBER(AF109))),"",AF109-N(J109))</f>
        <v/>
      </c>
      <c r="BC109" s="15" t="str">
        <f aca="false">IF(OR(AG109="",NOT(ISNUMBER(AG109))),"",AG109-N(K109))</f>
        <v/>
      </c>
      <c r="BD109" s="15" t="str">
        <f aca="false">IF(OR(AH109="",NOT(ISNUMBER(AH109))),"",AH109-N(L109))</f>
        <v/>
      </c>
      <c r="BE109" s="15" t="str">
        <f aca="false">IF(OR(AI109="",NOT(ISNUMBER(AI109))),"",AI109-N(M109))</f>
        <v/>
      </c>
      <c r="BF109" s="15" t="str">
        <f aca="false">IF(OR(AJ109="",NOT(ISNUMBER(AJ109))),"",AJ109-N(N109))</f>
        <v/>
      </c>
      <c r="BG109" s="15" t="str">
        <f aca="false">IF(OR(AK109="",NOT(ISNUMBER(AK109))),"",AK109-N(O109))</f>
        <v/>
      </c>
      <c r="BH109" s="15" t="str">
        <f aca="false">IF(OR(AL109="",NOT(ISNUMBER(AL109))),"",AL109-N(P109))</f>
        <v/>
      </c>
      <c r="BI109" s="15" t="str">
        <f aca="false">IF(OR(AM109="",NOT(ISNUMBER(AM109))),"",AM109-N(Q109))</f>
        <v/>
      </c>
      <c r="BJ109" s="15" t="str">
        <f aca="false">IF(OR(AN109="",NOT(ISNUMBER(AN109))),"",AN109-N(R109))</f>
        <v/>
      </c>
      <c r="BK109" s="15" t="str">
        <f aca="false">IF(OR(AO109="",NOT(ISNUMBER(AO109))),"",AO109-N(S109))</f>
        <v/>
      </c>
      <c r="BL109" s="15" t="str">
        <f aca="false">IF(OR(AP109="",NOT(ISNUMBER(AP109))),"",AP109-N(T109))</f>
        <v/>
      </c>
      <c r="BM109" s="15" t="str">
        <f aca="false">IF(OR(AQ109="",NOT(ISNUMBER(AQ109))),"",AQ109-N(U109))</f>
        <v/>
      </c>
      <c r="BR109" s="18" t="str">
        <f aca="false">IF($A109="","",IF(ISNUMBER($A109),DATE(YEAR($A109),MONTH($A109),1),IFERROR(DATE(2000+VALUE(RIGHT(TRIM($A109),2)),MATCH(UPPER(LEFT(TRIM($A109),3)),{"JAN","FEB","MAR","APR","MAY","JUN","JUL","AUG","SEP","OCT","NOV","DEC"},0),1),"")))</f>
        <v/>
      </c>
      <c r="BS109" s="18" t="str">
        <f aca="false">IF(BR109="","",EOMONTH(BR109,0))</f>
        <v/>
      </c>
    </row>
    <row r="110" customFormat="false" ht="15" hidden="false" customHeight="false" outlineLevel="0" collapsed="false">
      <c r="B110" s="19"/>
      <c r="C110" s="19"/>
      <c r="D110" s="19"/>
      <c r="E110" s="19"/>
      <c r="F110" s="19"/>
      <c r="G110" s="19"/>
      <c r="H110" s="19"/>
      <c r="I110" s="19"/>
      <c r="J110" s="19"/>
      <c r="K110" s="19"/>
      <c r="L110" s="19"/>
      <c r="M110" s="19"/>
      <c r="N110" s="19"/>
      <c r="O110" s="19"/>
      <c r="P110" s="19"/>
      <c r="Q110" s="19"/>
      <c r="R110" s="19"/>
      <c r="S110" s="19"/>
      <c r="T110" s="19"/>
      <c r="U110" s="19"/>
      <c r="X110" s="15" t="str">
        <f aca="false">IF(OR(B$7="",$BR110=""),"",IF('Tally Helper'!$B$3&lt;&gt;TRUE(),"not on Staff",SUMIFS('Tally Helper'!$L$5:$GI$5,'Tally Helper'!$L$3:$GI$3,"&gt;="&amp;$BR110,'Tally Helper'!$L$3:$GI$3,"&lt;="&amp;$BS110)))</f>
        <v/>
      </c>
      <c r="Y110" s="15" t="str">
        <f aca="false">IF(OR(C$7="",$BR110=""),"",IF('Tally Helper'!$B$6&lt;&gt;TRUE(),"not on Staff",SUMIFS('Tally Helper'!$L$8:$GI$8,'Tally Helper'!$L$6:$GI$6,"&gt;="&amp;$BR110,'Tally Helper'!$L$6:$GI$6,"&lt;="&amp;$BS110)))</f>
        <v/>
      </c>
      <c r="Z110" s="15" t="str">
        <f aca="false">IF(OR(D$7="",$BR110=""),"",IF('Tally Helper'!$B$9&lt;&gt;TRUE(),"not on Staff",SUMIFS('Tally Helper'!$L$11:$GI$11,'Tally Helper'!$L$9:$GI$9,"&gt;="&amp;$BR110,'Tally Helper'!$L$9:$GI$9,"&lt;="&amp;$BS110)))</f>
        <v/>
      </c>
      <c r="AA110" s="15" t="str">
        <f aca="false">IF(OR(E$7="",$BR110=""),"",IF('Tally Helper'!$B$12&lt;&gt;TRUE(),"not on Staff",SUMIFS('Tally Helper'!$L$14:$GI$14,'Tally Helper'!$L$12:$GI$12,"&gt;="&amp;$BR110,'Tally Helper'!$L$12:$GI$12,"&lt;="&amp;$BS110)))</f>
        <v/>
      </c>
      <c r="AB110" s="15" t="str">
        <f aca="false">IF(OR(F$7="",$BR110=""),"",IF('Tally Helper'!$B$15&lt;&gt;TRUE(),"not on Staff",SUMIFS('Tally Helper'!$L$17:$GI$17,'Tally Helper'!$L$15:$GI$15,"&gt;="&amp;$BR110,'Tally Helper'!$L$15:$GI$15,"&lt;="&amp;$BS110)))</f>
        <v/>
      </c>
      <c r="AC110" s="15" t="str">
        <f aca="false">IF(OR(G$7="",$BR110=""),"",IF('Tally Helper'!$B$18&lt;&gt;TRUE(),"not on Staff",SUMIFS('Tally Helper'!$L$20:$GI$20,'Tally Helper'!$L$18:$GI$18,"&gt;="&amp;$BR110,'Tally Helper'!$L$18:$GI$18,"&lt;="&amp;$BS110)))</f>
        <v/>
      </c>
      <c r="AD110" s="15" t="str">
        <f aca="false">IF(OR(H$7="",$BR110=""),"",IF('Tally Helper'!$B$21&lt;&gt;TRUE(),"not on Staff",SUMIFS('Tally Helper'!$L$23:$GI$23,'Tally Helper'!$L$21:$GI$21,"&gt;="&amp;$BR110,'Tally Helper'!$L$21:$GI$21,"&lt;="&amp;$BS110)))</f>
        <v/>
      </c>
      <c r="AE110" s="15" t="str">
        <f aca="false">IF(OR(I$7="",$BR110=""),"",IF('Tally Helper'!$B$24&lt;&gt;TRUE(),"not on Staff",SUMIFS('Tally Helper'!$L$26:$GI$26,'Tally Helper'!$L$24:$GI$24,"&gt;="&amp;$BR110,'Tally Helper'!$L$24:$GI$24,"&lt;="&amp;$BS110)))</f>
        <v/>
      </c>
      <c r="AF110" s="15" t="str">
        <f aca="false">IF(OR(J$7="",$BR110=""),"",IF('Tally Helper'!$B$27&lt;&gt;TRUE(),"not on Staff",SUMIFS('Tally Helper'!$L$29:$GI$29,'Tally Helper'!$L$27:$GI$27,"&gt;="&amp;$BR110,'Tally Helper'!$L$27:$GI$27,"&lt;="&amp;$BS110)))</f>
        <v/>
      </c>
      <c r="AG110" s="15" t="str">
        <f aca="false">IF(OR(K$7="",$BR110=""),"",IF('Tally Helper'!$B$30&lt;&gt;TRUE(),"not on Staff",SUMIFS('Tally Helper'!$L$32:$GI$32,'Tally Helper'!$L$30:$GI$30,"&gt;="&amp;$BR110,'Tally Helper'!$L$30:$GI$30,"&lt;="&amp;$BS110)))</f>
        <v/>
      </c>
      <c r="AH110" s="15" t="str">
        <f aca="false">IF(OR(L$7="",$BR110=""),"",IF('Tally Helper'!$B$33&lt;&gt;TRUE(),"not on Staff",SUMIFS('Tally Helper'!$L$35:$GI$35,'Tally Helper'!$L$33:$GI$33,"&gt;="&amp;$BR110,'Tally Helper'!$L$33:$GI$33,"&lt;="&amp;$BS110)))</f>
        <v/>
      </c>
      <c r="AI110" s="15" t="str">
        <f aca="false">IF(OR(M$7="",$BR110=""),"",IF('Tally Helper'!$B$36&lt;&gt;TRUE(),"not on Staff",SUMIFS('Tally Helper'!$L$38:$GI$38,'Tally Helper'!$L$36:$GI$36,"&gt;="&amp;$BR110,'Tally Helper'!$L$36:$GI$36,"&lt;="&amp;$BS110)))</f>
        <v/>
      </c>
      <c r="AJ110" s="15" t="str">
        <f aca="false">IF(OR(N$7="",$BR110=""),"",IF('Tally Helper'!$B$39&lt;&gt;TRUE(),"not on Staff",SUMIFS('Tally Helper'!$L$41:$GI$41,'Tally Helper'!$L$39:$GI$39,"&gt;="&amp;$BR110,'Tally Helper'!$L$39:$GI$39,"&lt;="&amp;$BS110)))</f>
        <v/>
      </c>
      <c r="AK110" s="15" t="str">
        <f aca="false">IF(OR(O$7="",$BR110=""),"",IF('Tally Helper'!$B$42&lt;&gt;TRUE(),"not on Staff",SUMIFS('Tally Helper'!$L$44:$GI$44,'Tally Helper'!$L$42:$GI$42,"&gt;="&amp;$BR110,'Tally Helper'!$L$42:$GI$42,"&lt;="&amp;$BS110)))</f>
        <v/>
      </c>
      <c r="AL110" s="15" t="str">
        <f aca="false">IF(OR(P$7="",$BR110=""),"",IF('Tally Helper'!$B$45&lt;&gt;TRUE(),"not on Staff",SUMIFS('Tally Helper'!$L$47:$GI$47,'Tally Helper'!$L$45:$GI$45,"&gt;="&amp;$BR110,'Tally Helper'!$L$45:$GI$45,"&lt;="&amp;$BS110)))</f>
        <v/>
      </c>
      <c r="AM110" s="15" t="str">
        <f aca="false">IF(OR(Q$7="",$BR110=""),"",IF('Tally Helper'!$B$48&lt;&gt;TRUE(),"not on Staff",SUMIFS('Tally Helper'!$L$50:$GI$50,'Tally Helper'!$L$48:$GI$48,"&gt;="&amp;$BR110,'Tally Helper'!$L$48:$GI$48,"&lt;="&amp;$BS110)))</f>
        <v/>
      </c>
      <c r="AN110" s="15" t="str">
        <f aca="false">IF(OR(R$7="",$BR110=""),"",IF('Tally Helper'!$B$51&lt;&gt;TRUE(),"not on Staff",SUMIFS('Tally Helper'!$L$53:$GI$53,'Tally Helper'!$L$51:$GI$51,"&gt;="&amp;$BR110,'Tally Helper'!$L$51:$GI$51,"&lt;="&amp;$BS110)))</f>
        <v/>
      </c>
      <c r="AO110" s="15" t="str">
        <f aca="false">IF(OR(S$7="",$BR110=""),"",IF('Tally Helper'!$B$54&lt;&gt;TRUE(),"not on Staff",SUMIFS('Tally Helper'!$L$56:$GI$56,'Tally Helper'!$L$54:$GI$54,"&gt;="&amp;$BR110,'Tally Helper'!$L$54:$GI$54,"&lt;="&amp;$BS110)))</f>
        <v/>
      </c>
      <c r="AP110" s="15" t="str">
        <f aca="false">IF(OR(T$7="",$BR110=""),"",IF('Tally Helper'!$B$57&lt;&gt;TRUE(),"not on Staff",SUMIFS('Tally Helper'!$L$59:$GI$59,'Tally Helper'!$L$57:$GI$57,"&gt;="&amp;$BR110,'Tally Helper'!$L$57:$GI$57,"&lt;="&amp;$BS110)))</f>
        <v/>
      </c>
      <c r="AQ110" s="15" t="str">
        <f aca="false">IF(OR(U$7="",$BR110=""),"",IF('Tally Helper'!$B$60&lt;&gt;TRUE(),"not on Staff",SUMIFS('Tally Helper'!$L$62:$GI$62,'Tally Helper'!$L$60:$GI$60,"&gt;="&amp;$BR110,'Tally Helper'!$L$60:$GI$60,"&lt;="&amp;$BS110)))</f>
        <v/>
      </c>
      <c r="AT110" s="15" t="str">
        <f aca="false">IF(OR(X110="",NOT(ISNUMBER(X110))),"",X110-N(B110))</f>
        <v/>
      </c>
      <c r="AU110" s="15" t="str">
        <f aca="false">IF(OR(Y110="",NOT(ISNUMBER(Y110))),"",Y110-N(C110))</f>
        <v/>
      </c>
      <c r="AV110" s="15" t="str">
        <f aca="false">IF(OR(Z110="",NOT(ISNUMBER(Z110))),"",Z110-N(D110))</f>
        <v/>
      </c>
      <c r="AW110" s="15" t="str">
        <f aca="false">IF(OR(AA110="",NOT(ISNUMBER(AA110))),"",AA110-N(E110))</f>
        <v/>
      </c>
      <c r="AX110" s="15" t="str">
        <f aca="false">IF(OR(AB110="",NOT(ISNUMBER(AB110))),"",AB110-N(F110))</f>
        <v/>
      </c>
      <c r="AY110" s="15" t="str">
        <f aca="false">IF(OR(AC110="",NOT(ISNUMBER(AC110))),"",AC110-N(G110))</f>
        <v/>
      </c>
      <c r="AZ110" s="15" t="str">
        <f aca="false">IF(OR(AD110="",NOT(ISNUMBER(AD110))),"",AD110-N(H110))</f>
        <v/>
      </c>
      <c r="BA110" s="15" t="str">
        <f aca="false">IF(OR(AE110="",NOT(ISNUMBER(AE110))),"",AE110-N(I110))</f>
        <v/>
      </c>
      <c r="BB110" s="15" t="str">
        <f aca="false">IF(OR(AF110="",NOT(ISNUMBER(AF110))),"",AF110-N(J110))</f>
        <v/>
      </c>
      <c r="BC110" s="15" t="str">
        <f aca="false">IF(OR(AG110="",NOT(ISNUMBER(AG110))),"",AG110-N(K110))</f>
        <v/>
      </c>
      <c r="BD110" s="15" t="str">
        <f aca="false">IF(OR(AH110="",NOT(ISNUMBER(AH110))),"",AH110-N(L110))</f>
        <v/>
      </c>
      <c r="BE110" s="15" t="str">
        <f aca="false">IF(OR(AI110="",NOT(ISNUMBER(AI110))),"",AI110-N(M110))</f>
        <v/>
      </c>
      <c r="BF110" s="15" t="str">
        <f aca="false">IF(OR(AJ110="",NOT(ISNUMBER(AJ110))),"",AJ110-N(N110))</f>
        <v/>
      </c>
      <c r="BG110" s="15" t="str">
        <f aca="false">IF(OR(AK110="",NOT(ISNUMBER(AK110))),"",AK110-N(O110))</f>
        <v/>
      </c>
      <c r="BH110" s="15" t="str">
        <f aca="false">IF(OR(AL110="",NOT(ISNUMBER(AL110))),"",AL110-N(P110))</f>
        <v/>
      </c>
      <c r="BI110" s="15" t="str">
        <f aca="false">IF(OR(AM110="",NOT(ISNUMBER(AM110))),"",AM110-N(Q110))</f>
        <v/>
      </c>
      <c r="BJ110" s="15" t="str">
        <f aca="false">IF(OR(AN110="",NOT(ISNUMBER(AN110))),"",AN110-N(R110))</f>
        <v/>
      </c>
      <c r="BK110" s="15" t="str">
        <f aca="false">IF(OR(AO110="",NOT(ISNUMBER(AO110))),"",AO110-N(S110))</f>
        <v/>
      </c>
      <c r="BL110" s="15" t="str">
        <f aca="false">IF(OR(AP110="",NOT(ISNUMBER(AP110))),"",AP110-N(T110))</f>
        <v/>
      </c>
      <c r="BM110" s="15" t="str">
        <f aca="false">IF(OR(AQ110="",NOT(ISNUMBER(AQ110))),"",AQ110-N(U110))</f>
        <v/>
      </c>
      <c r="BR110" s="18" t="str">
        <f aca="false">IF($A110="","",IF(ISNUMBER($A110),DATE(YEAR($A110),MONTH($A110),1),IFERROR(DATE(2000+VALUE(RIGHT(TRIM($A110),2)),MATCH(UPPER(LEFT(TRIM($A110),3)),{"JAN","FEB","MAR","APR","MAY","JUN","JUL","AUG","SEP","OCT","NOV","DEC"},0),1),"")))</f>
        <v/>
      </c>
      <c r="BS110" s="18" t="str">
        <f aca="false">IF(BR110="","",EOMONTH(BR110,0))</f>
        <v/>
      </c>
    </row>
    <row r="111" customFormat="false" ht="15" hidden="false" customHeight="false" outlineLevel="0" collapsed="false">
      <c r="B111" s="19"/>
      <c r="C111" s="19"/>
      <c r="D111" s="19"/>
      <c r="E111" s="19"/>
      <c r="F111" s="19"/>
      <c r="G111" s="19"/>
      <c r="H111" s="19"/>
      <c r="I111" s="19"/>
      <c r="J111" s="19"/>
      <c r="K111" s="19"/>
      <c r="L111" s="19"/>
      <c r="M111" s="19"/>
      <c r="N111" s="19"/>
      <c r="O111" s="19"/>
      <c r="P111" s="19"/>
      <c r="Q111" s="19"/>
      <c r="R111" s="19"/>
      <c r="S111" s="19"/>
      <c r="T111" s="19"/>
      <c r="U111" s="19"/>
      <c r="X111" s="15" t="str">
        <f aca="false">IF(OR(B$7="",$BR111=""),"",IF('Tally Helper'!$B$3&lt;&gt;TRUE(),"not on Staff",SUMIFS('Tally Helper'!$L$5:$GI$5,'Tally Helper'!$L$3:$GI$3,"&gt;="&amp;$BR111,'Tally Helper'!$L$3:$GI$3,"&lt;="&amp;$BS111)))</f>
        <v/>
      </c>
      <c r="Y111" s="15" t="str">
        <f aca="false">IF(OR(C$7="",$BR111=""),"",IF('Tally Helper'!$B$6&lt;&gt;TRUE(),"not on Staff",SUMIFS('Tally Helper'!$L$8:$GI$8,'Tally Helper'!$L$6:$GI$6,"&gt;="&amp;$BR111,'Tally Helper'!$L$6:$GI$6,"&lt;="&amp;$BS111)))</f>
        <v/>
      </c>
      <c r="Z111" s="15" t="str">
        <f aca="false">IF(OR(D$7="",$BR111=""),"",IF('Tally Helper'!$B$9&lt;&gt;TRUE(),"not on Staff",SUMIFS('Tally Helper'!$L$11:$GI$11,'Tally Helper'!$L$9:$GI$9,"&gt;="&amp;$BR111,'Tally Helper'!$L$9:$GI$9,"&lt;="&amp;$BS111)))</f>
        <v/>
      </c>
      <c r="AA111" s="15" t="str">
        <f aca="false">IF(OR(E$7="",$BR111=""),"",IF('Tally Helper'!$B$12&lt;&gt;TRUE(),"not on Staff",SUMIFS('Tally Helper'!$L$14:$GI$14,'Tally Helper'!$L$12:$GI$12,"&gt;="&amp;$BR111,'Tally Helper'!$L$12:$GI$12,"&lt;="&amp;$BS111)))</f>
        <v/>
      </c>
      <c r="AB111" s="15" t="str">
        <f aca="false">IF(OR(F$7="",$BR111=""),"",IF('Tally Helper'!$B$15&lt;&gt;TRUE(),"not on Staff",SUMIFS('Tally Helper'!$L$17:$GI$17,'Tally Helper'!$L$15:$GI$15,"&gt;="&amp;$BR111,'Tally Helper'!$L$15:$GI$15,"&lt;="&amp;$BS111)))</f>
        <v/>
      </c>
      <c r="AC111" s="15" t="str">
        <f aca="false">IF(OR(G$7="",$BR111=""),"",IF('Tally Helper'!$B$18&lt;&gt;TRUE(),"not on Staff",SUMIFS('Tally Helper'!$L$20:$GI$20,'Tally Helper'!$L$18:$GI$18,"&gt;="&amp;$BR111,'Tally Helper'!$L$18:$GI$18,"&lt;="&amp;$BS111)))</f>
        <v/>
      </c>
      <c r="AD111" s="15" t="str">
        <f aca="false">IF(OR(H$7="",$BR111=""),"",IF('Tally Helper'!$B$21&lt;&gt;TRUE(),"not on Staff",SUMIFS('Tally Helper'!$L$23:$GI$23,'Tally Helper'!$L$21:$GI$21,"&gt;="&amp;$BR111,'Tally Helper'!$L$21:$GI$21,"&lt;="&amp;$BS111)))</f>
        <v/>
      </c>
      <c r="AE111" s="15" t="str">
        <f aca="false">IF(OR(I$7="",$BR111=""),"",IF('Tally Helper'!$B$24&lt;&gt;TRUE(),"not on Staff",SUMIFS('Tally Helper'!$L$26:$GI$26,'Tally Helper'!$L$24:$GI$24,"&gt;="&amp;$BR111,'Tally Helper'!$L$24:$GI$24,"&lt;="&amp;$BS111)))</f>
        <v/>
      </c>
      <c r="AF111" s="15" t="str">
        <f aca="false">IF(OR(J$7="",$BR111=""),"",IF('Tally Helper'!$B$27&lt;&gt;TRUE(),"not on Staff",SUMIFS('Tally Helper'!$L$29:$GI$29,'Tally Helper'!$L$27:$GI$27,"&gt;="&amp;$BR111,'Tally Helper'!$L$27:$GI$27,"&lt;="&amp;$BS111)))</f>
        <v/>
      </c>
      <c r="AG111" s="15" t="str">
        <f aca="false">IF(OR(K$7="",$BR111=""),"",IF('Tally Helper'!$B$30&lt;&gt;TRUE(),"not on Staff",SUMIFS('Tally Helper'!$L$32:$GI$32,'Tally Helper'!$L$30:$GI$30,"&gt;="&amp;$BR111,'Tally Helper'!$L$30:$GI$30,"&lt;="&amp;$BS111)))</f>
        <v/>
      </c>
      <c r="AH111" s="15" t="str">
        <f aca="false">IF(OR(L$7="",$BR111=""),"",IF('Tally Helper'!$B$33&lt;&gt;TRUE(),"not on Staff",SUMIFS('Tally Helper'!$L$35:$GI$35,'Tally Helper'!$L$33:$GI$33,"&gt;="&amp;$BR111,'Tally Helper'!$L$33:$GI$33,"&lt;="&amp;$BS111)))</f>
        <v/>
      </c>
      <c r="AI111" s="15" t="str">
        <f aca="false">IF(OR(M$7="",$BR111=""),"",IF('Tally Helper'!$B$36&lt;&gt;TRUE(),"not on Staff",SUMIFS('Tally Helper'!$L$38:$GI$38,'Tally Helper'!$L$36:$GI$36,"&gt;="&amp;$BR111,'Tally Helper'!$L$36:$GI$36,"&lt;="&amp;$BS111)))</f>
        <v/>
      </c>
      <c r="AJ111" s="15" t="str">
        <f aca="false">IF(OR(N$7="",$BR111=""),"",IF('Tally Helper'!$B$39&lt;&gt;TRUE(),"not on Staff",SUMIFS('Tally Helper'!$L$41:$GI$41,'Tally Helper'!$L$39:$GI$39,"&gt;="&amp;$BR111,'Tally Helper'!$L$39:$GI$39,"&lt;="&amp;$BS111)))</f>
        <v/>
      </c>
      <c r="AK111" s="15" t="str">
        <f aca="false">IF(OR(O$7="",$BR111=""),"",IF('Tally Helper'!$B$42&lt;&gt;TRUE(),"not on Staff",SUMIFS('Tally Helper'!$L$44:$GI$44,'Tally Helper'!$L$42:$GI$42,"&gt;="&amp;$BR111,'Tally Helper'!$L$42:$GI$42,"&lt;="&amp;$BS111)))</f>
        <v/>
      </c>
      <c r="AL111" s="15" t="str">
        <f aca="false">IF(OR(P$7="",$BR111=""),"",IF('Tally Helper'!$B$45&lt;&gt;TRUE(),"not on Staff",SUMIFS('Tally Helper'!$L$47:$GI$47,'Tally Helper'!$L$45:$GI$45,"&gt;="&amp;$BR111,'Tally Helper'!$L$45:$GI$45,"&lt;="&amp;$BS111)))</f>
        <v/>
      </c>
      <c r="AM111" s="15" t="str">
        <f aca="false">IF(OR(Q$7="",$BR111=""),"",IF('Tally Helper'!$B$48&lt;&gt;TRUE(),"not on Staff",SUMIFS('Tally Helper'!$L$50:$GI$50,'Tally Helper'!$L$48:$GI$48,"&gt;="&amp;$BR111,'Tally Helper'!$L$48:$GI$48,"&lt;="&amp;$BS111)))</f>
        <v/>
      </c>
      <c r="AN111" s="15" t="str">
        <f aca="false">IF(OR(R$7="",$BR111=""),"",IF('Tally Helper'!$B$51&lt;&gt;TRUE(),"not on Staff",SUMIFS('Tally Helper'!$L$53:$GI$53,'Tally Helper'!$L$51:$GI$51,"&gt;="&amp;$BR111,'Tally Helper'!$L$51:$GI$51,"&lt;="&amp;$BS111)))</f>
        <v/>
      </c>
      <c r="AO111" s="15" t="str">
        <f aca="false">IF(OR(S$7="",$BR111=""),"",IF('Tally Helper'!$B$54&lt;&gt;TRUE(),"not on Staff",SUMIFS('Tally Helper'!$L$56:$GI$56,'Tally Helper'!$L$54:$GI$54,"&gt;="&amp;$BR111,'Tally Helper'!$L$54:$GI$54,"&lt;="&amp;$BS111)))</f>
        <v/>
      </c>
      <c r="AP111" s="15" t="str">
        <f aca="false">IF(OR(T$7="",$BR111=""),"",IF('Tally Helper'!$B$57&lt;&gt;TRUE(),"not on Staff",SUMIFS('Tally Helper'!$L$59:$GI$59,'Tally Helper'!$L$57:$GI$57,"&gt;="&amp;$BR111,'Tally Helper'!$L$57:$GI$57,"&lt;="&amp;$BS111)))</f>
        <v/>
      </c>
      <c r="AQ111" s="15" t="str">
        <f aca="false">IF(OR(U$7="",$BR111=""),"",IF('Tally Helper'!$B$60&lt;&gt;TRUE(),"not on Staff",SUMIFS('Tally Helper'!$L$62:$GI$62,'Tally Helper'!$L$60:$GI$60,"&gt;="&amp;$BR111,'Tally Helper'!$L$60:$GI$60,"&lt;="&amp;$BS111)))</f>
        <v/>
      </c>
      <c r="AT111" s="15" t="str">
        <f aca="false">IF(OR(X111="",NOT(ISNUMBER(X111))),"",X111-N(B111))</f>
        <v/>
      </c>
      <c r="AU111" s="15" t="str">
        <f aca="false">IF(OR(Y111="",NOT(ISNUMBER(Y111))),"",Y111-N(C111))</f>
        <v/>
      </c>
      <c r="AV111" s="15" t="str">
        <f aca="false">IF(OR(Z111="",NOT(ISNUMBER(Z111))),"",Z111-N(D111))</f>
        <v/>
      </c>
      <c r="AW111" s="15" t="str">
        <f aca="false">IF(OR(AA111="",NOT(ISNUMBER(AA111))),"",AA111-N(E111))</f>
        <v/>
      </c>
      <c r="AX111" s="15" t="str">
        <f aca="false">IF(OR(AB111="",NOT(ISNUMBER(AB111))),"",AB111-N(F111))</f>
        <v/>
      </c>
      <c r="AY111" s="15" t="str">
        <f aca="false">IF(OR(AC111="",NOT(ISNUMBER(AC111))),"",AC111-N(G111))</f>
        <v/>
      </c>
      <c r="AZ111" s="15" t="str">
        <f aca="false">IF(OR(AD111="",NOT(ISNUMBER(AD111))),"",AD111-N(H111))</f>
        <v/>
      </c>
      <c r="BA111" s="15" t="str">
        <f aca="false">IF(OR(AE111="",NOT(ISNUMBER(AE111))),"",AE111-N(I111))</f>
        <v/>
      </c>
      <c r="BB111" s="15" t="str">
        <f aca="false">IF(OR(AF111="",NOT(ISNUMBER(AF111))),"",AF111-N(J111))</f>
        <v/>
      </c>
      <c r="BC111" s="15" t="str">
        <f aca="false">IF(OR(AG111="",NOT(ISNUMBER(AG111))),"",AG111-N(K111))</f>
        <v/>
      </c>
      <c r="BD111" s="15" t="str">
        <f aca="false">IF(OR(AH111="",NOT(ISNUMBER(AH111))),"",AH111-N(L111))</f>
        <v/>
      </c>
      <c r="BE111" s="15" t="str">
        <f aca="false">IF(OR(AI111="",NOT(ISNUMBER(AI111))),"",AI111-N(M111))</f>
        <v/>
      </c>
      <c r="BF111" s="15" t="str">
        <f aca="false">IF(OR(AJ111="",NOT(ISNUMBER(AJ111))),"",AJ111-N(N111))</f>
        <v/>
      </c>
      <c r="BG111" s="15" t="str">
        <f aca="false">IF(OR(AK111="",NOT(ISNUMBER(AK111))),"",AK111-N(O111))</f>
        <v/>
      </c>
      <c r="BH111" s="15" t="str">
        <f aca="false">IF(OR(AL111="",NOT(ISNUMBER(AL111))),"",AL111-N(P111))</f>
        <v/>
      </c>
      <c r="BI111" s="15" t="str">
        <f aca="false">IF(OR(AM111="",NOT(ISNUMBER(AM111))),"",AM111-N(Q111))</f>
        <v/>
      </c>
      <c r="BJ111" s="15" t="str">
        <f aca="false">IF(OR(AN111="",NOT(ISNUMBER(AN111))),"",AN111-N(R111))</f>
        <v/>
      </c>
      <c r="BK111" s="15" t="str">
        <f aca="false">IF(OR(AO111="",NOT(ISNUMBER(AO111))),"",AO111-N(S111))</f>
        <v/>
      </c>
      <c r="BL111" s="15" t="str">
        <f aca="false">IF(OR(AP111="",NOT(ISNUMBER(AP111))),"",AP111-N(T111))</f>
        <v/>
      </c>
      <c r="BM111" s="15" t="str">
        <f aca="false">IF(OR(AQ111="",NOT(ISNUMBER(AQ111))),"",AQ111-N(U111))</f>
        <v/>
      </c>
      <c r="BR111" s="18" t="str">
        <f aca="false">IF($A111="","",IF(ISNUMBER($A111),DATE(YEAR($A111),MONTH($A111),1),IFERROR(DATE(2000+VALUE(RIGHT(TRIM($A111),2)),MATCH(UPPER(LEFT(TRIM($A111),3)),{"JAN","FEB","MAR","APR","MAY","JUN","JUL","AUG","SEP","OCT","NOV","DEC"},0),1),"")))</f>
        <v/>
      </c>
      <c r="BS111" s="18" t="str">
        <f aca="false">IF(BR111="","",EOMONTH(BR111,0))</f>
        <v/>
      </c>
    </row>
    <row r="112" customFormat="false" ht="15" hidden="false" customHeight="false" outlineLevel="0" collapsed="false">
      <c r="B112" s="19"/>
      <c r="C112" s="19"/>
      <c r="D112" s="19"/>
      <c r="E112" s="19"/>
      <c r="F112" s="19"/>
      <c r="G112" s="19"/>
      <c r="H112" s="19"/>
      <c r="I112" s="19"/>
      <c r="J112" s="19"/>
      <c r="K112" s="19"/>
      <c r="L112" s="19"/>
      <c r="M112" s="19"/>
      <c r="N112" s="19"/>
      <c r="O112" s="19"/>
      <c r="P112" s="19"/>
      <c r="Q112" s="19"/>
      <c r="R112" s="19"/>
      <c r="S112" s="19"/>
      <c r="T112" s="19"/>
      <c r="U112" s="19"/>
      <c r="X112" s="15" t="str">
        <f aca="false">IF(OR(B$7="",$BR112=""),"",IF('Tally Helper'!$B$3&lt;&gt;TRUE(),"not on Staff",SUMIFS('Tally Helper'!$L$5:$GI$5,'Tally Helper'!$L$3:$GI$3,"&gt;="&amp;$BR112,'Tally Helper'!$L$3:$GI$3,"&lt;="&amp;$BS112)))</f>
        <v/>
      </c>
      <c r="Y112" s="15" t="str">
        <f aca="false">IF(OR(C$7="",$BR112=""),"",IF('Tally Helper'!$B$6&lt;&gt;TRUE(),"not on Staff",SUMIFS('Tally Helper'!$L$8:$GI$8,'Tally Helper'!$L$6:$GI$6,"&gt;="&amp;$BR112,'Tally Helper'!$L$6:$GI$6,"&lt;="&amp;$BS112)))</f>
        <v/>
      </c>
      <c r="Z112" s="15" t="str">
        <f aca="false">IF(OR(D$7="",$BR112=""),"",IF('Tally Helper'!$B$9&lt;&gt;TRUE(),"not on Staff",SUMIFS('Tally Helper'!$L$11:$GI$11,'Tally Helper'!$L$9:$GI$9,"&gt;="&amp;$BR112,'Tally Helper'!$L$9:$GI$9,"&lt;="&amp;$BS112)))</f>
        <v/>
      </c>
      <c r="AA112" s="15" t="str">
        <f aca="false">IF(OR(E$7="",$BR112=""),"",IF('Tally Helper'!$B$12&lt;&gt;TRUE(),"not on Staff",SUMIFS('Tally Helper'!$L$14:$GI$14,'Tally Helper'!$L$12:$GI$12,"&gt;="&amp;$BR112,'Tally Helper'!$L$12:$GI$12,"&lt;="&amp;$BS112)))</f>
        <v/>
      </c>
      <c r="AB112" s="15" t="str">
        <f aca="false">IF(OR(F$7="",$BR112=""),"",IF('Tally Helper'!$B$15&lt;&gt;TRUE(),"not on Staff",SUMIFS('Tally Helper'!$L$17:$GI$17,'Tally Helper'!$L$15:$GI$15,"&gt;="&amp;$BR112,'Tally Helper'!$L$15:$GI$15,"&lt;="&amp;$BS112)))</f>
        <v/>
      </c>
      <c r="AC112" s="15" t="str">
        <f aca="false">IF(OR(G$7="",$BR112=""),"",IF('Tally Helper'!$B$18&lt;&gt;TRUE(),"not on Staff",SUMIFS('Tally Helper'!$L$20:$GI$20,'Tally Helper'!$L$18:$GI$18,"&gt;="&amp;$BR112,'Tally Helper'!$L$18:$GI$18,"&lt;="&amp;$BS112)))</f>
        <v/>
      </c>
      <c r="AD112" s="15" t="str">
        <f aca="false">IF(OR(H$7="",$BR112=""),"",IF('Tally Helper'!$B$21&lt;&gt;TRUE(),"not on Staff",SUMIFS('Tally Helper'!$L$23:$GI$23,'Tally Helper'!$L$21:$GI$21,"&gt;="&amp;$BR112,'Tally Helper'!$L$21:$GI$21,"&lt;="&amp;$BS112)))</f>
        <v/>
      </c>
      <c r="AE112" s="15" t="str">
        <f aca="false">IF(OR(I$7="",$BR112=""),"",IF('Tally Helper'!$B$24&lt;&gt;TRUE(),"not on Staff",SUMIFS('Tally Helper'!$L$26:$GI$26,'Tally Helper'!$L$24:$GI$24,"&gt;="&amp;$BR112,'Tally Helper'!$L$24:$GI$24,"&lt;="&amp;$BS112)))</f>
        <v/>
      </c>
      <c r="AF112" s="15" t="str">
        <f aca="false">IF(OR(J$7="",$BR112=""),"",IF('Tally Helper'!$B$27&lt;&gt;TRUE(),"not on Staff",SUMIFS('Tally Helper'!$L$29:$GI$29,'Tally Helper'!$L$27:$GI$27,"&gt;="&amp;$BR112,'Tally Helper'!$L$27:$GI$27,"&lt;="&amp;$BS112)))</f>
        <v/>
      </c>
      <c r="AG112" s="15" t="str">
        <f aca="false">IF(OR(K$7="",$BR112=""),"",IF('Tally Helper'!$B$30&lt;&gt;TRUE(),"not on Staff",SUMIFS('Tally Helper'!$L$32:$GI$32,'Tally Helper'!$L$30:$GI$30,"&gt;="&amp;$BR112,'Tally Helper'!$L$30:$GI$30,"&lt;="&amp;$BS112)))</f>
        <v/>
      </c>
      <c r="AH112" s="15" t="str">
        <f aca="false">IF(OR(L$7="",$BR112=""),"",IF('Tally Helper'!$B$33&lt;&gt;TRUE(),"not on Staff",SUMIFS('Tally Helper'!$L$35:$GI$35,'Tally Helper'!$L$33:$GI$33,"&gt;="&amp;$BR112,'Tally Helper'!$L$33:$GI$33,"&lt;="&amp;$BS112)))</f>
        <v/>
      </c>
      <c r="AI112" s="15" t="str">
        <f aca="false">IF(OR(M$7="",$BR112=""),"",IF('Tally Helper'!$B$36&lt;&gt;TRUE(),"not on Staff",SUMIFS('Tally Helper'!$L$38:$GI$38,'Tally Helper'!$L$36:$GI$36,"&gt;="&amp;$BR112,'Tally Helper'!$L$36:$GI$36,"&lt;="&amp;$BS112)))</f>
        <v/>
      </c>
      <c r="AJ112" s="15" t="str">
        <f aca="false">IF(OR(N$7="",$BR112=""),"",IF('Tally Helper'!$B$39&lt;&gt;TRUE(),"not on Staff",SUMIFS('Tally Helper'!$L$41:$GI$41,'Tally Helper'!$L$39:$GI$39,"&gt;="&amp;$BR112,'Tally Helper'!$L$39:$GI$39,"&lt;="&amp;$BS112)))</f>
        <v/>
      </c>
      <c r="AK112" s="15" t="str">
        <f aca="false">IF(OR(O$7="",$BR112=""),"",IF('Tally Helper'!$B$42&lt;&gt;TRUE(),"not on Staff",SUMIFS('Tally Helper'!$L$44:$GI$44,'Tally Helper'!$L$42:$GI$42,"&gt;="&amp;$BR112,'Tally Helper'!$L$42:$GI$42,"&lt;="&amp;$BS112)))</f>
        <v/>
      </c>
      <c r="AL112" s="15" t="str">
        <f aca="false">IF(OR(P$7="",$BR112=""),"",IF('Tally Helper'!$B$45&lt;&gt;TRUE(),"not on Staff",SUMIFS('Tally Helper'!$L$47:$GI$47,'Tally Helper'!$L$45:$GI$45,"&gt;="&amp;$BR112,'Tally Helper'!$L$45:$GI$45,"&lt;="&amp;$BS112)))</f>
        <v/>
      </c>
      <c r="AM112" s="15" t="str">
        <f aca="false">IF(OR(Q$7="",$BR112=""),"",IF('Tally Helper'!$B$48&lt;&gt;TRUE(),"not on Staff",SUMIFS('Tally Helper'!$L$50:$GI$50,'Tally Helper'!$L$48:$GI$48,"&gt;="&amp;$BR112,'Tally Helper'!$L$48:$GI$48,"&lt;="&amp;$BS112)))</f>
        <v/>
      </c>
      <c r="AN112" s="15" t="str">
        <f aca="false">IF(OR(R$7="",$BR112=""),"",IF('Tally Helper'!$B$51&lt;&gt;TRUE(),"not on Staff",SUMIFS('Tally Helper'!$L$53:$GI$53,'Tally Helper'!$L$51:$GI$51,"&gt;="&amp;$BR112,'Tally Helper'!$L$51:$GI$51,"&lt;="&amp;$BS112)))</f>
        <v/>
      </c>
      <c r="AO112" s="15" t="str">
        <f aca="false">IF(OR(S$7="",$BR112=""),"",IF('Tally Helper'!$B$54&lt;&gt;TRUE(),"not on Staff",SUMIFS('Tally Helper'!$L$56:$GI$56,'Tally Helper'!$L$54:$GI$54,"&gt;="&amp;$BR112,'Tally Helper'!$L$54:$GI$54,"&lt;="&amp;$BS112)))</f>
        <v/>
      </c>
      <c r="AP112" s="15" t="str">
        <f aca="false">IF(OR(T$7="",$BR112=""),"",IF('Tally Helper'!$B$57&lt;&gt;TRUE(),"not on Staff",SUMIFS('Tally Helper'!$L$59:$GI$59,'Tally Helper'!$L$57:$GI$57,"&gt;="&amp;$BR112,'Tally Helper'!$L$57:$GI$57,"&lt;="&amp;$BS112)))</f>
        <v/>
      </c>
      <c r="AQ112" s="15" t="str">
        <f aca="false">IF(OR(U$7="",$BR112=""),"",IF('Tally Helper'!$B$60&lt;&gt;TRUE(),"not on Staff",SUMIFS('Tally Helper'!$L$62:$GI$62,'Tally Helper'!$L$60:$GI$60,"&gt;="&amp;$BR112,'Tally Helper'!$L$60:$GI$60,"&lt;="&amp;$BS112)))</f>
        <v/>
      </c>
      <c r="AT112" s="15" t="str">
        <f aca="false">IF(OR(X112="",NOT(ISNUMBER(X112))),"",X112-N(B112))</f>
        <v/>
      </c>
      <c r="AU112" s="15" t="str">
        <f aca="false">IF(OR(Y112="",NOT(ISNUMBER(Y112))),"",Y112-N(C112))</f>
        <v/>
      </c>
      <c r="AV112" s="15" t="str">
        <f aca="false">IF(OR(Z112="",NOT(ISNUMBER(Z112))),"",Z112-N(D112))</f>
        <v/>
      </c>
      <c r="AW112" s="15" t="str">
        <f aca="false">IF(OR(AA112="",NOT(ISNUMBER(AA112))),"",AA112-N(E112))</f>
        <v/>
      </c>
      <c r="AX112" s="15" t="str">
        <f aca="false">IF(OR(AB112="",NOT(ISNUMBER(AB112))),"",AB112-N(F112))</f>
        <v/>
      </c>
      <c r="AY112" s="15" t="str">
        <f aca="false">IF(OR(AC112="",NOT(ISNUMBER(AC112))),"",AC112-N(G112))</f>
        <v/>
      </c>
      <c r="AZ112" s="15" t="str">
        <f aca="false">IF(OR(AD112="",NOT(ISNUMBER(AD112))),"",AD112-N(H112))</f>
        <v/>
      </c>
      <c r="BA112" s="15" t="str">
        <f aca="false">IF(OR(AE112="",NOT(ISNUMBER(AE112))),"",AE112-N(I112))</f>
        <v/>
      </c>
      <c r="BB112" s="15" t="str">
        <f aca="false">IF(OR(AF112="",NOT(ISNUMBER(AF112))),"",AF112-N(J112))</f>
        <v/>
      </c>
      <c r="BC112" s="15" t="str">
        <f aca="false">IF(OR(AG112="",NOT(ISNUMBER(AG112))),"",AG112-N(K112))</f>
        <v/>
      </c>
      <c r="BD112" s="15" t="str">
        <f aca="false">IF(OR(AH112="",NOT(ISNUMBER(AH112))),"",AH112-N(L112))</f>
        <v/>
      </c>
      <c r="BE112" s="15" t="str">
        <f aca="false">IF(OR(AI112="",NOT(ISNUMBER(AI112))),"",AI112-N(M112))</f>
        <v/>
      </c>
      <c r="BF112" s="15" t="str">
        <f aca="false">IF(OR(AJ112="",NOT(ISNUMBER(AJ112))),"",AJ112-N(N112))</f>
        <v/>
      </c>
      <c r="BG112" s="15" t="str">
        <f aca="false">IF(OR(AK112="",NOT(ISNUMBER(AK112))),"",AK112-N(O112))</f>
        <v/>
      </c>
      <c r="BH112" s="15" t="str">
        <f aca="false">IF(OR(AL112="",NOT(ISNUMBER(AL112))),"",AL112-N(P112))</f>
        <v/>
      </c>
      <c r="BI112" s="15" t="str">
        <f aca="false">IF(OR(AM112="",NOT(ISNUMBER(AM112))),"",AM112-N(Q112))</f>
        <v/>
      </c>
      <c r="BJ112" s="15" t="str">
        <f aca="false">IF(OR(AN112="",NOT(ISNUMBER(AN112))),"",AN112-N(R112))</f>
        <v/>
      </c>
      <c r="BK112" s="15" t="str">
        <f aca="false">IF(OR(AO112="",NOT(ISNUMBER(AO112))),"",AO112-N(S112))</f>
        <v/>
      </c>
      <c r="BL112" s="15" t="str">
        <f aca="false">IF(OR(AP112="",NOT(ISNUMBER(AP112))),"",AP112-N(T112))</f>
        <v/>
      </c>
      <c r="BM112" s="15" t="str">
        <f aca="false">IF(OR(AQ112="",NOT(ISNUMBER(AQ112))),"",AQ112-N(U112))</f>
        <v/>
      </c>
      <c r="BR112" s="18" t="str">
        <f aca="false">IF($A112="","",IF(ISNUMBER($A112),DATE(YEAR($A112),MONTH($A112),1),IFERROR(DATE(2000+VALUE(RIGHT(TRIM($A112),2)),MATCH(UPPER(LEFT(TRIM($A112),3)),{"JAN","FEB","MAR","APR","MAY","JUN","JUL","AUG","SEP","OCT","NOV","DEC"},0),1),"")))</f>
        <v/>
      </c>
      <c r="BS112" s="18" t="str">
        <f aca="false">IF(BR112="","",EOMONTH(BR112,0))</f>
        <v/>
      </c>
    </row>
    <row r="113" customFormat="false" ht="15" hidden="false" customHeight="false" outlineLevel="0" collapsed="false">
      <c r="B113" s="19"/>
      <c r="C113" s="19"/>
      <c r="D113" s="19"/>
      <c r="E113" s="19"/>
      <c r="F113" s="19"/>
      <c r="G113" s="19"/>
      <c r="H113" s="19"/>
      <c r="I113" s="19"/>
      <c r="J113" s="19"/>
      <c r="K113" s="19"/>
      <c r="L113" s="19"/>
      <c r="M113" s="19"/>
      <c r="N113" s="19"/>
      <c r="O113" s="19"/>
      <c r="P113" s="19"/>
      <c r="Q113" s="19"/>
      <c r="R113" s="19"/>
      <c r="S113" s="19"/>
      <c r="T113" s="19"/>
      <c r="U113" s="19"/>
      <c r="X113" s="15" t="str">
        <f aca="false">IF(OR(B$7="",$BR113=""),"",IF('Tally Helper'!$B$3&lt;&gt;TRUE(),"not on Staff",SUMIFS('Tally Helper'!$L$5:$GI$5,'Tally Helper'!$L$3:$GI$3,"&gt;="&amp;$BR113,'Tally Helper'!$L$3:$GI$3,"&lt;="&amp;$BS113)))</f>
        <v/>
      </c>
      <c r="Y113" s="15" t="str">
        <f aca="false">IF(OR(C$7="",$BR113=""),"",IF('Tally Helper'!$B$6&lt;&gt;TRUE(),"not on Staff",SUMIFS('Tally Helper'!$L$8:$GI$8,'Tally Helper'!$L$6:$GI$6,"&gt;="&amp;$BR113,'Tally Helper'!$L$6:$GI$6,"&lt;="&amp;$BS113)))</f>
        <v/>
      </c>
      <c r="Z113" s="15" t="str">
        <f aca="false">IF(OR(D$7="",$BR113=""),"",IF('Tally Helper'!$B$9&lt;&gt;TRUE(),"not on Staff",SUMIFS('Tally Helper'!$L$11:$GI$11,'Tally Helper'!$L$9:$GI$9,"&gt;="&amp;$BR113,'Tally Helper'!$L$9:$GI$9,"&lt;="&amp;$BS113)))</f>
        <v/>
      </c>
      <c r="AA113" s="15" t="str">
        <f aca="false">IF(OR(E$7="",$BR113=""),"",IF('Tally Helper'!$B$12&lt;&gt;TRUE(),"not on Staff",SUMIFS('Tally Helper'!$L$14:$GI$14,'Tally Helper'!$L$12:$GI$12,"&gt;="&amp;$BR113,'Tally Helper'!$L$12:$GI$12,"&lt;="&amp;$BS113)))</f>
        <v/>
      </c>
      <c r="AB113" s="15" t="str">
        <f aca="false">IF(OR(F$7="",$BR113=""),"",IF('Tally Helper'!$B$15&lt;&gt;TRUE(),"not on Staff",SUMIFS('Tally Helper'!$L$17:$GI$17,'Tally Helper'!$L$15:$GI$15,"&gt;="&amp;$BR113,'Tally Helper'!$L$15:$GI$15,"&lt;="&amp;$BS113)))</f>
        <v/>
      </c>
      <c r="AC113" s="15" t="str">
        <f aca="false">IF(OR(G$7="",$BR113=""),"",IF('Tally Helper'!$B$18&lt;&gt;TRUE(),"not on Staff",SUMIFS('Tally Helper'!$L$20:$GI$20,'Tally Helper'!$L$18:$GI$18,"&gt;="&amp;$BR113,'Tally Helper'!$L$18:$GI$18,"&lt;="&amp;$BS113)))</f>
        <v/>
      </c>
      <c r="AD113" s="15" t="str">
        <f aca="false">IF(OR(H$7="",$BR113=""),"",IF('Tally Helper'!$B$21&lt;&gt;TRUE(),"not on Staff",SUMIFS('Tally Helper'!$L$23:$GI$23,'Tally Helper'!$L$21:$GI$21,"&gt;="&amp;$BR113,'Tally Helper'!$L$21:$GI$21,"&lt;="&amp;$BS113)))</f>
        <v/>
      </c>
      <c r="AE113" s="15" t="str">
        <f aca="false">IF(OR(I$7="",$BR113=""),"",IF('Tally Helper'!$B$24&lt;&gt;TRUE(),"not on Staff",SUMIFS('Tally Helper'!$L$26:$GI$26,'Tally Helper'!$L$24:$GI$24,"&gt;="&amp;$BR113,'Tally Helper'!$L$24:$GI$24,"&lt;="&amp;$BS113)))</f>
        <v/>
      </c>
      <c r="AF113" s="15" t="str">
        <f aca="false">IF(OR(J$7="",$BR113=""),"",IF('Tally Helper'!$B$27&lt;&gt;TRUE(),"not on Staff",SUMIFS('Tally Helper'!$L$29:$GI$29,'Tally Helper'!$L$27:$GI$27,"&gt;="&amp;$BR113,'Tally Helper'!$L$27:$GI$27,"&lt;="&amp;$BS113)))</f>
        <v/>
      </c>
      <c r="AG113" s="15" t="str">
        <f aca="false">IF(OR(K$7="",$BR113=""),"",IF('Tally Helper'!$B$30&lt;&gt;TRUE(),"not on Staff",SUMIFS('Tally Helper'!$L$32:$GI$32,'Tally Helper'!$L$30:$GI$30,"&gt;="&amp;$BR113,'Tally Helper'!$L$30:$GI$30,"&lt;="&amp;$BS113)))</f>
        <v/>
      </c>
      <c r="AH113" s="15" t="str">
        <f aca="false">IF(OR(L$7="",$BR113=""),"",IF('Tally Helper'!$B$33&lt;&gt;TRUE(),"not on Staff",SUMIFS('Tally Helper'!$L$35:$GI$35,'Tally Helper'!$L$33:$GI$33,"&gt;="&amp;$BR113,'Tally Helper'!$L$33:$GI$33,"&lt;="&amp;$BS113)))</f>
        <v/>
      </c>
      <c r="AI113" s="15" t="str">
        <f aca="false">IF(OR(M$7="",$BR113=""),"",IF('Tally Helper'!$B$36&lt;&gt;TRUE(),"not on Staff",SUMIFS('Tally Helper'!$L$38:$GI$38,'Tally Helper'!$L$36:$GI$36,"&gt;="&amp;$BR113,'Tally Helper'!$L$36:$GI$36,"&lt;="&amp;$BS113)))</f>
        <v/>
      </c>
      <c r="AJ113" s="15" t="str">
        <f aca="false">IF(OR(N$7="",$BR113=""),"",IF('Tally Helper'!$B$39&lt;&gt;TRUE(),"not on Staff",SUMIFS('Tally Helper'!$L$41:$GI$41,'Tally Helper'!$L$39:$GI$39,"&gt;="&amp;$BR113,'Tally Helper'!$L$39:$GI$39,"&lt;="&amp;$BS113)))</f>
        <v/>
      </c>
      <c r="AK113" s="15" t="str">
        <f aca="false">IF(OR(O$7="",$BR113=""),"",IF('Tally Helper'!$B$42&lt;&gt;TRUE(),"not on Staff",SUMIFS('Tally Helper'!$L$44:$GI$44,'Tally Helper'!$L$42:$GI$42,"&gt;="&amp;$BR113,'Tally Helper'!$L$42:$GI$42,"&lt;="&amp;$BS113)))</f>
        <v/>
      </c>
      <c r="AL113" s="15" t="str">
        <f aca="false">IF(OR(P$7="",$BR113=""),"",IF('Tally Helper'!$B$45&lt;&gt;TRUE(),"not on Staff",SUMIFS('Tally Helper'!$L$47:$GI$47,'Tally Helper'!$L$45:$GI$45,"&gt;="&amp;$BR113,'Tally Helper'!$L$45:$GI$45,"&lt;="&amp;$BS113)))</f>
        <v/>
      </c>
      <c r="AM113" s="15" t="str">
        <f aca="false">IF(OR(Q$7="",$BR113=""),"",IF('Tally Helper'!$B$48&lt;&gt;TRUE(),"not on Staff",SUMIFS('Tally Helper'!$L$50:$GI$50,'Tally Helper'!$L$48:$GI$48,"&gt;="&amp;$BR113,'Tally Helper'!$L$48:$GI$48,"&lt;="&amp;$BS113)))</f>
        <v/>
      </c>
      <c r="AN113" s="15" t="str">
        <f aca="false">IF(OR(R$7="",$BR113=""),"",IF('Tally Helper'!$B$51&lt;&gt;TRUE(),"not on Staff",SUMIFS('Tally Helper'!$L$53:$GI$53,'Tally Helper'!$L$51:$GI$51,"&gt;="&amp;$BR113,'Tally Helper'!$L$51:$GI$51,"&lt;="&amp;$BS113)))</f>
        <v/>
      </c>
      <c r="AO113" s="15" t="str">
        <f aca="false">IF(OR(S$7="",$BR113=""),"",IF('Tally Helper'!$B$54&lt;&gt;TRUE(),"not on Staff",SUMIFS('Tally Helper'!$L$56:$GI$56,'Tally Helper'!$L$54:$GI$54,"&gt;="&amp;$BR113,'Tally Helper'!$L$54:$GI$54,"&lt;="&amp;$BS113)))</f>
        <v/>
      </c>
      <c r="AP113" s="15" t="str">
        <f aca="false">IF(OR(T$7="",$BR113=""),"",IF('Tally Helper'!$B$57&lt;&gt;TRUE(),"not on Staff",SUMIFS('Tally Helper'!$L$59:$GI$59,'Tally Helper'!$L$57:$GI$57,"&gt;="&amp;$BR113,'Tally Helper'!$L$57:$GI$57,"&lt;="&amp;$BS113)))</f>
        <v/>
      </c>
      <c r="AQ113" s="15" t="str">
        <f aca="false">IF(OR(U$7="",$BR113=""),"",IF('Tally Helper'!$B$60&lt;&gt;TRUE(),"not on Staff",SUMIFS('Tally Helper'!$L$62:$GI$62,'Tally Helper'!$L$60:$GI$60,"&gt;="&amp;$BR113,'Tally Helper'!$L$60:$GI$60,"&lt;="&amp;$BS113)))</f>
        <v/>
      </c>
      <c r="AT113" s="15" t="str">
        <f aca="false">IF(OR(X113="",NOT(ISNUMBER(X113))),"",X113-N(B113))</f>
        <v/>
      </c>
      <c r="AU113" s="15" t="str">
        <f aca="false">IF(OR(Y113="",NOT(ISNUMBER(Y113))),"",Y113-N(C113))</f>
        <v/>
      </c>
      <c r="AV113" s="15" t="str">
        <f aca="false">IF(OR(Z113="",NOT(ISNUMBER(Z113))),"",Z113-N(D113))</f>
        <v/>
      </c>
      <c r="AW113" s="15" t="str">
        <f aca="false">IF(OR(AA113="",NOT(ISNUMBER(AA113))),"",AA113-N(E113))</f>
        <v/>
      </c>
      <c r="AX113" s="15" t="str">
        <f aca="false">IF(OR(AB113="",NOT(ISNUMBER(AB113))),"",AB113-N(F113))</f>
        <v/>
      </c>
      <c r="AY113" s="15" t="str">
        <f aca="false">IF(OR(AC113="",NOT(ISNUMBER(AC113))),"",AC113-N(G113))</f>
        <v/>
      </c>
      <c r="AZ113" s="15" t="str">
        <f aca="false">IF(OR(AD113="",NOT(ISNUMBER(AD113))),"",AD113-N(H113))</f>
        <v/>
      </c>
      <c r="BA113" s="15" t="str">
        <f aca="false">IF(OR(AE113="",NOT(ISNUMBER(AE113))),"",AE113-N(I113))</f>
        <v/>
      </c>
      <c r="BB113" s="15" t="str">
        <f aca="false">IF(OR(AF113="",NOT(ISNUMBER(AF113))),"",AF113-N(J113))</f>
        <v/>
      </c>
      <c r="BC113" s="15" t="str">
        <f aca="false">IF(OR(AG113="",NOT(ISNUMBER(AG113))),"",AG113-N(K113))</f>
        <v/>
      </c>
      <c r="BD113" s="15" t="str">
        <f aca="false">IF(OR(AH113="",NOT(ISNUMBER(AH113))),"",AH113-N(L113))</f>
        <v/>
      </c>
      <c r="BE113" s="15" t="str">
        <f aca="false">IF(OR(AI113="",NOT(ISNUMBER(AI113))),"",AI113-N(M113))</f>
        <v/>
      </c>
      <c r="BF113" s="15" t="str">
        <f aca="false">IF(OR(AJ113="",NOT(ISNUMBER(AJ113))),"",AJ113-N(N113))</f>
        <v/>
      </c>
      <c r="BG113" s="15" t="str">
        <f aca="false">IF(OR(AK113="",NOT(ISNUMBER(AK113))),"",AK113-N(O113))</f>
        <v/>
      </c>
      <c r="BH113" s="15" t="str">
        <f aca="false">IF(OR(AL113="",NOT(ISNUMBER(AL113))),"",AL113-N(P113))</f>
        <v/>
      </c>
      <c r="BI113" s="15" t="str">
        <f aca="false">IF(OR(AM113="",NOT(ISNUMBER(AM113))),"",AM113-N(Q113))</f>
        <v/>
      </c>
      <c r="BJ113" s="15" t="str">
        <f aca="false">IF(OR(AN113="",NOT(ISNUMBER(AN113))),"",AN113-N(R113))</f>
        <v/>
      </c>
      <c r="BK113" s="15" t="str">
        <f aca="false">IF(OR(AO113="",NOT(ISNUMBER(AO113))),"",AO113-N(S113))</f>
        <v/>
      </c>
      <c r="BL113" s="15" t="str">
        <f aca="false">IF(OR(AP113="",NOT(ISNUMBER(AP113))),"",AP113-N(T113))</f>
        <v/>
      </c>
      <c r="BM113" s="15" t="str">
        <f aca="false">IF(OR(AQ113="",NOT(ISNUMBER(AQ113))),"",AQ113-N(U113))</f>
        <v/>
      </c>
      <c r="BR113" s="18" t="str">
        <f aca="false">IF($A113="","",IF(ISNUMBER($A113),DATE(YEAR($A113),MONTH($A113),1),IFERROR(DATE(2000+VALUE(RIGHT(TRIM($A113),2)),MATCH(UPPER(LEFT(TRIM($A113),3)),{"JAN","FEB","MAR","APR","MAY","JUN","JUL","AUG","SEP","OCT","NOV","DEC"},0),1),"")))</f>
        <v/>
      </c>
      <c r="BS113" s="18" t="str">
        <f aca="false">IF(BR113="","",EOMONTH(BR113,0))</f>
        <v/>
      </c>
    </row>
    <row r="114" customFormat="false" ht="15" hidden="false" customHeight="false" outlineLevel="0" collapsed="false">
      <c r="B114" s="19"/>
      <c r="C114" s="19"/>
      <c r="D114" s="19"/>
      <c r="E114" s="19"/>
      <c r="F114" s="19"/>
      <c r="G114" s="19"/>
      <c r="H114" s="19"/>
      <c r="I114" s="19"/>
      <c r="J114" s="19"/>
      <c r="K114" s="19"/>
      <c r="L114" s="19"/>
      <c r="M114" s="19"/>
      <c r="N114" s="19"/>
      <c r="O114" s="19"/>
      <c r="P114" s="19"/>
      <c r="Q114" s="19"/>
      <c r="R114" s="19"/>
      <c r="S114" s="19"/>
      <c r="T114" s="19"/>
      <c r="U114" s="19"/>
      <c r="X114" s="15" t="str">
        <f aca="false">IF(OR(B$7="",$BR114=""),"",IF('Tally Helper'!$B$3&lt;&gt;TRUE(),"not on Staff",SUMIFS('Tally Helper'!$L$5:$GI$5,'Tally Helper'!$L$3:$GI$3,"&gt;="&amp;$BR114,'Tally Helper'!$L$3:$GI$3,"&lt;="&amp;$BS114)))</f>
        <v/>
      </c>
      <c r="Y114" s="15" t="str">
        <f aca="false">IF(OR(C$7="",$BR114=""),"",IF('Tally Helper'!$B$6&lt;&gt;TRUE(),"not on Staff",SUMIFS('Tally Helper'!$L$8:$GI$8,'Tally Helper'!$L$6:$GI$6,"&gt;="&amp;$BR114,'Tally Helper'!$L$6:$GI$6,"&lt;="&amp;$BS114)))</f>
        <v/>
      </c>
      <c r="Z114" s="15" t="str">
        <f aca="false">IF(OR(D$7="",$BR114=""),"",IF('Tally Helper'!$B$9&lt;&gt;TRUE(),"not on Staff",SUMIFS('Tally Helper'!$L$11:$GI$11,'Tally Helper'!$L$9:$GI$9,"&gt;="&amp;$BR114,'Tally Helper'!$L$9:$GI$9,"&lt;="&amp;$BS114)))</f>
        <v/>
      </c>
      <c r="AA114" s="15" t="str">
        <f aca="false">IF(OR(E$7="",$BR114=""),"",IF('Tally Helper'!$B$12&lt;&gt;TRUE(),"not on Staff",SUMIFS('Tally Helper'!$L$14:$GI$14,'Tally Helper'!$L$12:$GI$12,"&gt;="&amp;$BR114,'Tally Helper'!$L$12:$GI$12,"&lt;="&amp;$BS114)))</f>
        <v/>
      </c>
      <c r="AB114" s="15" t="str">
        <f aca="false">IF(OR(F$7="",$BR114=""),"",IF('Tally Helper'!$B$15&lt;&gt;TRUE(),"not on Staff",SUMIFS('Tally Helper'!$L$17:$GI$17,'Tally Helper'!$L$15:$GI$15,"&gt;="&amp;$BR114,'Tally Helper'!$L$15:$GI$15,"&lt;="&amp;$BS114)))</f>
        <v/>
      </c>
      <c r="AC114" s="15" t="str">
        <f aca="false">IF(OR(G$7="",$BR114=""),"",IF('Tally Helper'!$B$18&lt;&gt;TRUE(),"not on Staff",SUMIFS('Tally Helper'!$L$20:$GI$20,'Tally Helper'!$L$18:$GI$18,"&gt;="&amp;$BR114,'Tally Helper'!$L$18:$GI$18,"&lt;="&amp;$BS114)))</f>
        <v/>
      </c>
      <c r="AD114" s="15" t="str">
        <f aca="false">IF(OR(H$7="",$BR114=""),"",IF('Tally Helper'!$B$21&lt;&gt;TRUE(),"not on Staff",SUMIFS('Tally Helper'!$L$23:$GI$23,'Tally Helper'!$L$21:$GI$21,"&gt;="&amp;$BR114,'Tally Helper'!$L$21:$GI$21,"&lt;="&amp;$BS114)))</f>
        <v/>
      </c>
      <c r="AE114" s="15" t="str">
        <f aca="false">IF(OR(I$7="",$BR114=""),"",IF('Tally Helper'!$B$24&lt;&gt;TRUE(),"not on Staff",SUMIFS('Tally Helper'!$L$26:$GI$26,'Tally Helper'!$L$24:$GI$24,"&gt;="&amp;$BR114,'Tally Helper'!$L$24:$GI$24,"&lt;="&amp;$BS114)))</f>
        <v/>
      </c>
      <c r="AF114" s="15" t="str">
        <f aca="false">IF(OR(J$7="",$BR114=""),"",IF('Tally Helper'!$B$27&lt;&gt;TRUE(),"not on Staff",SUMIFS('Tally Helper'!$L$29:$GI$29,'Tally Helper'!$L$27:$GI$27,"&gt;="&amp;$BR114,'Tally Helper'!$L$27:$GI$27,"&lt;="&amp;$BS114)))</f>
        <v/>
      </c>
      <c r="AG114" s="15" t="str">
        <f aca="false">IF(OR(K$7="",$BR114=""),"",IF('Tally Helper'!$B$30&lt;&gt;TRUE(),"not on Staff",SUMIFS('Tally Helper'!$L$32:$GI$32,'Tally Helper'!$L$30:$GI$30,"&gt;="&amp;$BR114,'Tally Helper'!$L$30:$GI$30,"&lt;="&amp;$BS114)))</f>
        <v/>
      </c>
      <c r="AH114" s="15" t="str">
        <f aca="false">IF(OR(L$7="",$BR114=""),"",IF('Tally Helper'!$B$33&lt;&gt;TRUE(),"not on Staff",SUMIFS('Tally Helper'!$L$35:$GI$35,'Tally Helper'!$L$33:$GI$33,"&gt;="&amp;$BR114,'Tally Helper'!$L$33:$GI$33,"&lt;="&amp;$BS114)))</f>
        <v/>
      </c>
      <c r="AI114" s="15" t="str">
        <f aca="false">IF(OR(M$7="",$BR114=""),"",IF('Tally Helper'!$B$36&lt;&gt;TRUE(),"not on Staff",SUMIFS('Tally Helper'!$L$38:$GI$38,'Tally Helper'!$L$36:$GI$36,"&gt;="&amp;$BR114,'Tally Helper'!$L$36:$GI$36,"&lt;="&amp;$BS114)))</f>
        <v/>
      </c>
      <c r="AJ114" s="15" t="str">
        <f aca="false">IF(OR(N$7="",$BR114=""),"",IF('Tally Helper'!$B$39&lt;&gt;TRUE(),"not on Staff",SUMIFS('Tally Helper'!$L$41:$GI$41,'Tally Helper'!$L$39:$GI$39,"&gt;="&amp;$BR114,'Tally Helper'!$L$39:$GI$39,"&lt;="&amp;$BS114)))</f>
        <v/>
      </c>
      <c r="AK114" s="15" t="str">
        <f aca="false">IF(OR(O$7="",$BR114=""),"",IF('Tally Helper'!$B$42&lt;&gt;TRUE(),"not on Staff",SUMIFS('Tally Helper'!$L$44:$GI$44,'Tally Helper'!$L$42:$GI$42,"&gt;="&amp;$BR114,'Tally Helper'!$L$42:$GI$42,"&lt;="&amp;$BS114)))</f>
        <v/>
      </c>
      <c r="AL114" s="15" t="str">
        <f aca="false">IF(OR(P$7="",$BR114=""),"",IF('Tally Helper'!$B$45&lt;&gt;TRUE(),"not on Staff",SUMIFS('Tally Helper'!$L$47:$GI$47,'Tally Helper'!$L$45:$GI$45,"&gt;="&amp;$BR114,'Tally Helper'!$L$45:$GI$45,"&lt;="&amp;$BS114)))</f>
        <v/>
      </c>
      <c r="AM114" s="15" t="str">
        <f aca="false">IF(OR(Q$7="",$BR114=""),"",IF('Tally Helper'!$B$48&lt;&gt;TRUE(),"not on Staff",SUMIFS('Tally Helper'!$L$50:$GI$50,'Tally Helper'!$L$48:$GI$48,"&gt;="&amp;$BR114,'Tally Helper'!$L$48:$GI$48,"&lt;="&amp;$BS114)))</f>
        <v/>
      </c>
      <c r="AN114" s="15" t="str">
        <f aca="false">IF(OR(R$7="",$BR114=""),"",IF('Tally Helper'!$B$51&lt;&gt;TRUE(),"not on Staff",SUMIFS('Tally Helper'!$L$53:$GI$53,'Tally Helper'!$L$51:$GI$51,"&gt;="&amp;$BR114,'Tally Helper'!$L$51:$GI$51,"&lt;="&amp;$BS114)))</f>
        <v/>
      </c>
      <c r="AO114" s="15" t="str">
        <f aca="false">IF(OR(S$7="",$BR114=""),"",IF('Tally Helper'!$B$54&lt;&gt;TRUE(),"not on Staff",SUMIFS('Tally Helper'!$L$56:$GI$56,'Tally Helper'!$L$54:$GI$54,"&gt;="&amp;$BR114,'Tally Helper'!$L$54:$GI$54,"&lt;="&amp;$BS114)))</f>
        <v/>
      </c>
      <c r="AP114" s="15" t="str">
        <f aca="false">IF(OR(T$7="",$BR114=""),"",IF('Tally Helper'!$B$57&lt;&gt;TRUE(),"not on Staff",SUMIFS('Tally Helper'!$L$59:$GI$59,'Tally Helper'!$L$57:$GI$57,"&gt;="&amp;$BR114,'Tally Helper'!$L$57:$GI$57,"&lt;="&amp;$BS114)))</f>
        <v/>
      </c>
      <c r="AQ114" s="15" t="str">
        <f aca="false">IF(OR(U$7="",$BR114=""),"",IF('Tally Helper'!$B$60&lt;&gt;TRUE(),"not on Staff",SUMIFS('Tally Helper'!$L$62:$GI$62,'Tally Helper'!$L$60:$GI$60,"&gt;="&amp;$BR114,'Tally Helper'!$L$60:$GI$60,"&lt;="&amp;$BS114)))</f>
        <v/>
      </c>
      <c r="AT114" s="15" t="str">
        <f aca="false">IF(OR(X114="",NOT(ISNUMBER(X114))),"",X114-N(B114))</f>
        <v/>
      </c>
      <c r="AU114" s="15" t="str">
        <f aca="false">IF(OR(Y114="",NOT(ISNUMBER(Y114))),"",Y114-N(C114))</f>
        <v/>
      </c>
      <c r="AV114" s="15" t="str">
        <f aca="false">IF(OR(Z114="",NOT(ISNUMBER(Z114))),"",Z114-N(D114))</f>
        <v/>
      </c>
      <c r="AW114" s="15" t="str">
        <f aca="false">IF(OR(AA114="",NOT(ISNUMBER(AA114))),"",AA114-N(E114))</f>
        <v/>
      </c>
      <c r="AX114" s="15" t="str">
        <f aca="false">IF(OR(AB114="",NOT(ISNUMBER(AB114))),"",AB114-N(F114))</f>
        <v/>
      </c>
      <c r="AY114" s="15" t="str">
        <f aca="false">IF(OR(AC114="",NOT(ISNUMBER(AC114))),"",AC114-N(G114))</f>
        <v/>
      </c>
      <c r="AZ114" s="15" t="str">
        <f aca="false">IF(OR(AD114="",NOT(ISNUMBER(AD114))),"",AD114-N(H114))</f>
        <v/>
      </c>
      <c r="BA114" s="15" t="str">
        <f aca="false">IF(OR(AE114="",NOT(ISNUMBER(AE114))),"",AE114-N(I114))</f>
        <v/>
      </c>
      <c r="BB114" s="15" t="str">
        <f aca="false">IF(OR(AF114="",NOT(ISNUMBER(AF114))),"",AF114-N(J114))</f>
        <v/>
      </c>
      <c r="BC114" s="15" t="str">
        <f aca="false">IF(OR(AG114="",NOT(ISNUMBER(AG114))),"",AG114-N(K114))</f>
        <v/>
      </c>
      <c r="BD114" s="15" t="str">
        <f aca="false">IF(OR(AH114="",NOT(ISNUMBER(AH114))),"",AH114-N(L114))</f>
        <v/>
      </c>
      <c r="BE114" s="15" t="str">
        <f aca="false">IF(OR(AI114="",NOT(ISNUMBER(AI114))),"",AI114-N(M114))</f>
        <v/>
      </c>
      <c r="BF114" s="15" t="str">
        <f aca="false">IF(OR(AJ114="",NOT(ISNUMBER(AJ114))),"",AJ114-N(N114))</f>
        <v/>
      </c>
      <c r="BG114" s="15" t="str">
        <f aca="false">IF(OR(AK114="",NOT(ISNUMBER(AK114))),"",AK114-N(O114))</f>
        <v/>
      </c>
      <c r="BH114" s="15" t="str">
        <f aca="false">IF(OR(AL114="",NOT(ISNUMBER(AL114))),"",AL114-N(P114))</f>
        <v/>
      </c>
      <c r="BI114" s="15" t="str">
        <f aca="false">IF(OR(AM114="",NOT(ISNUMBER(AM114))),"",AM114-N(Q114))</f>
        <v/>
      </c>
      <c r="BJ114" s="15" t="str">
        <f aca="false">IF(OR(AN114="",NOT(ISNUMBER(AN114))),"",AN114-N(R114))</f>
        <v/>
      </c>
      <c r="BK114" s="15" t="str">
        <f aca="false">IF(OR(AO114="",NOT(ISNUMBER(AO114))),"",AO114-N(S114))</f>
        <v/>
      </c>
      <c r="BL114" s="15" t="str">
        <f aca="false">IF(OR(AP114="",NOT(ISNUMBER(AP114))),"",AP114-N(T114))</f>
        <v/>
      </c>
      <c r="BM114" s="15" t="str">
        <f aca="false">IF(OR(AQ114="",NOT(ISNUMBER(AQ114))),"",AQ114-N(U114))</f>
        <v/>
      </c>
      <c r="BR114" s="18" t="str">
        <f aca="false">IF($A114="","",IF(ISNUMBER($A114),DATE(YEAR($A114),MONTH($A114),1),IFERROR(DATE(2000+VALUE(RIGHT(TRIM($A114),2)),MATCH(UPPER(LEFT(TRIM($A114),3)),{"JAN","FEB","MAR","APR","MAY","JUN","JUL","AUG","SEP","OCT","NOV","DEC"},0),1),"")))</f>
        <v/>
      </c>
      <c r="BS114" s="18" t="str">
        <f aca="false">IF(BR114="","",EOMONTH(BR114,0))</f>
        <v/>
      </c>
    </row>
    <row r="115" customFormat="false" ht="15" hidden="false" customHeight="false" outlineLevel="0" collapsed="false">
      <c r="B115" s="19"/>
      <c r="C115" s="19"/>
      <c r="D115" s="19"/>
      <c r="E115" s="19"/>
      <c r="F115" s="19"/>
      <c r="G115" s="19"/>
      <c r="H115" s="19"/>
      <c r="I115" s="19"/>
      <c r="J115" s="19"/>
      <c r="K115" s="19"/>
      <c r="L115" s="19"/>
      <c r="M115" s="19"/>
      <c r="N115" s="19"/>
      <c r="O115" s="19"/>
      <c r="P115" s="19"/>
      <c r="Q115" s="19"/>
      <c r="R115" s="19"/>
      <c r="S115" s="19"/>
      <c r="T115" s="19"/>
      <c r="U115" s="19"/>
      <c r="X115" s="15" t="str">
        <f aca="false">IF(OR(B$7="",$BR115=""),"",IF('Tally Helper'!$B$3&lt;&gt;TRUE(),"not on Staff",SUMIFS('Tally Helper'!$L$5:$GI$5,'Tally Helper'!$L$3:$GI$3,"&gt;="&amp;$BR115,'Tally Helper'!$L$3:$GI$3,"&lt;="&amp;$BS115)))</f>
        <v/>
      </c>
      <c r="Y115" s="15" t="str">
        <f aca="false">IF(OR(C$7="",$BR115=""),"",IF('Tally Helper'!$B$6&lt;&gt;TRUE(),"not on Staff",SUMIFS('Tally Helper'!$L$8:$GI$8,'Tally Helper'!$L$6:$GI$6,"&gt;="&amp;$BR115,'Tally Helper'!$L$6:$GI$6,"&lt;="&amp;$BS115)))</f>
        <v/>
      </c>
      <c r="Z115" s="15" t="str">
        <f aca="false">IF(OR(D$7="",$BR115=""),"",IF('Tally Helper'!$B$9&lt;&gt;TRUE(),"not on Staff",SUMIFS('Tally Helper'!$L$11:$GI$11,'Tally Helper'!$L$9:$GI$9,"&gt;="&amp;$BR115,'Tally Helper'!$L$9:$GI$9,"&lt;="&amp;$BS115)))</f>
        <v/>
      </c>
      <c r="AA115" s="15" t="str">
        <f aca="false">IF(OR(E$7="",$BR115=""),"",IF('Tally Helper'!$B$12&lt;&gt;TRUE(),"not on Staff",SUMIFS('Tally Helper'!$L$14:$GI$14,'Tally Helper'!$L$12:$GI$12,"&gt;="&amp;$BR115,'Tally Helper'!$L$12:$GI$12,"&lt;="&amp;$BS115)))</f>
        <v/>
      </c>
      <c r="AB115" s="15" t="str">
        <f aca="false">IF(OR(F$7="",$BR115=""),"",IF('Tally Helper'!$B$15&lt;&gt;TRUE(),"not on Staff",SUMIFS('Tally Helper'!$L$17:$GI$17,'Tally Helper'!$L$15:$GI$15,"&gt;="&amp;$BR115,'Tally Helper'!$L$15:$GI$15,"&lt;="&amp;$BS115)))</f>
        <v/>
      </c>
      <c r="AC115" s="15" t="str">
        <f aca="false">IF(OR(G$7="",$BR115=""),"",IF('Tally Helper'!$B$18&lt;&gt;TRUE(),"not on Staff",SUMIFS('Tally Helper'!$L$20:$GI$20,'Tally Helper'!$L$18:$GI$18,"&gt;="&amp;$BR115,'Tally Helper'!$L$18:$GI$18,"&lt;="&amp;$BS115)))</f>
        <v/>
      </c>
      <c r="AD115" s="15" t="str">
        <f aca="false">IF(OR(H$7="",$BR115=""),"",IF('Tally Helper'!$B$21&lt;&gt;TRUE(),"not on Staff",SUMIFS('Tally Helper'!$L$23:$GI$23,'Tally Helper'!$L$21:$GI$21,"&gt;="&amp;$BR115,'Tally Helper'!$L$21:$GI$21,"&lt;="&amp;$BS115)))</f>
        <v/>
      </c>
      <c r="AE115" s="15" t="str">
        <f aca="false">IF(OR(I$7="",$BR115=""),"",IF('Tally Helper'!$B$24&lt;&gt;TRUE(),"not on Staff",SUMIFS('Tally Helper'!$L$26:$GI$26,'Tally Helper'!$L$24:$GI$24,"&gt;="&amp;$BR115,'Tally Helper'!$L$24:$GI$24,"&lt;="&amp;$BS115)))</f>
        <v/>
      </c>
      <c r="AF115" s="15" t="str">
        <f aca="false">IF(OR(J$7="",$BR115=""),"",IF('Tally Helper'!$B$27&lt;&gt;TRUE(),"not on Staff",SUMIFS('Tally Helper'!$L$29:$GI$29,'Tally Helper'!$L$27:$GI$27,"&gt;="&amp;$BR115,'Tally Helper'!$L$27:$GI$27,"&lt;="&amp;$BS115)))</f>
        <v/>
      </c>
      <c r="AG115" s="15" t="str">
        <f aca="false">IF(OR(K$7="",$BR115=""),"",IF('Tally Helper'!$B$30&lt;&gt;TRUE(),"not on Staff",SUMIFS('Tally Helper'!$L$32:$GI$32,'Tally Helper'!$L$30:$GI$30,"&gt;="&amp;$BR115,'Tally Helper'!$L$30:$GI$30,"&lt;="&amp;$BS115)))</f>
        <v/>
      </c>
      <c r="AH115" s="15" t="str">
        <f aca="false">IF(OR(L$7="",$BR115=""),"",IF('Tally Helper'!$B$33&lt;&gt;TRUE(),"not on Staff",SUMIFS('Tally Helper'!$L$35:$GI$35,'Tally Helper'!$L$33:$GI$33,"&gt;="&amp;$BR115,'Tally Helper'!$L$33:$GI$33,"&lt;="&amp;$BS115)))</f>
        <v/>
      </c>
      <c r="AI115" s="15" t="str">
        <f aca="false">IF(OR(M$7="",$BR115=""),"",IF('Tally Helper'!$B$36&lt;&gt;TRUE(),"not on Staff",SUMIFS('Tally Helper'!$L$38:$GI$38,'Tally Helper'!$L$36:$GI$36,"&gt;="&amp;$BR115,'Tally Helper'!$L$36:$GI$36,"&lt;="&amp;$BS115)))</f>
        <v/>
      </c>
      <c r="AJ115" s="15" t="str">
        <f aca="false">IF(OR(N$7="",$BR115=""),"",IF('Tally Helper'!$B$39&lt;&gt;TRUE(),"not on Staff",SUMIFS('Tally Helper'!$L$41:$GI$41,'Tally Helper'!$L$39:$GI$39,"&gt;="&amp;$BR115,'Tally Helper'!$L$39:$GI$39,"&lt;="&amp;$BS115)))</f>
        <v/>
      </c>
      <c r="AK115" s="15" t="str">
        <f aca="false">IF(OR(O$7="",$BR115=""),"",IF('Tally Helper'!$B$42&lt;&gt;TRUE(),"not on Staff",SUMIFS('Tally Helper'!$L$44:$GI$44,'Tally Helper'!$L$42:$GI$42,"&gt;="&amp;$BR115,'Tally Helper'!$L$42:$GI$42,"&lt;="&amp;$BS115)))</f>
        <v/>
      </c>
      <c r="AL115" s="15" t="str">
        <f aca="false">IF(OR(P$7="",$BR115=""),"",IF('Tally Helper'!$B$45&lt;&gt;TRUE(),"not on Staff",SUMIFS('Tally Helper'!$L$47:$GI$47,'Tally Helper'!$L$45:$GI$45,"&gt;="&amp;$BR115,'Tally Helper'!$L$45:$GI$45,"&lt;="&amp;$BS115)))</f>
        <v/>
      </c>
      <c r="AM115" s="15" t="str">
        <f aca="false">IF(OR(Q$7="",$BR115=""),"",IF('Tally Helper'!$B$48&lt;&gt;TRUE(),"not on Staff",SUMIFS('Tally Helper'!$L$50:$GI$50,'Tally Helper'!$L$48:$GI$48,"&gt;="&amp;$BR115,'Tally Helper'!$L$48:$GI$48,"&lt;="&amp;$BS115)))</f>
        <v/>
      </c>
      <c r="AN115" s="15" t="str">
        <f aca="false">IF(OR(R$7="",$BR115=""),"",IF('Tally Helper'!$B$51&lt;&gt;TRUE(),"not on Staff",SUMIFS('Tally Helper'!$L$53:$GI$53,'Tally Helper'!$L$51:$GI$51,"&gt;="&amp;$BR115,'Tally Helper'!$L$51:$GI$51,"&lt;="&amp;$BS115)))</f>
        <v/>
      </c>
      <c r="AO115" s="15" t="str">
        <f aca="false">IF(OR(S$7="",$BR115=""),"",IF('Tally Helper'!$B$54&lt;&gt;TRUE(),"not on Staff",SUMIFS('Tally Helper'!$L$56:$GI$56,'Tally Helper'!$L$54:$GI$54,"&gt;="&amp;$BR115,'Tally Helper'!$L$54:$GI$54,"&lt;="&amp;$BS115)))</f>
        <v/>
      </c>
      <c r="AP115" s="15" t="str">
        <f aca="false">IF(OR(T$7="",$BR115=""),"",IF('Tally Helper'!$B$57&lt;&gt;TRUE(),"not on Staff",SUMIFS('Tally Helper'!$L$59:$GI$59,'Tally Helper'!$L$57:$GI$57,"&gt;="&amp;$BR115,'Tally Helper'!$L$57:$GI$57,"&lt;="&amp;$BS115)))</f>
        <v/>
      </c>
      <c r="AQ115" s="15" t="str">
        <f aca="false">IF(OR(U$7="",$BR115=""),"",IF('Tally Helper'!$B$60&lt;&gt;TRUE(),"not on Staff",SUMIFS('Tally Helper'!$L$62:$GI$62,'Tally Helper'!$L$60:$GI$60,"&gt;="&amp;$BR115,'Tally Helper'!$L$60:$GI$60,"&lt;="&amp;$BS115)))</f>
        <v/>
      </c>
      <c r="AT115" s="15" t="str">
        <f aca="false">IF(OR(X115="",NOT(ISNUMBER(X115))),"",X115-N(B115))</f>
        <v/>
      </c>
      <c r="AU115" s="15" t="str">
        <f aca="false">IF(OR(Y115="",NOT(ISNUMBER(Y115))),"",Y115-N(C115))</f>
        <v/>
      </c>
      <c r="AV115" s="15" t="str">
        <f aca="false">IF(OR(Z115="",NOT(ISNUMBER(Z115))),"",Z115-N(D115))</f>
        <v/>
      </c>
      <c r="AW115" s="15" t="str">
        <f aca="false">IF(OR(AA115="",NOT(ISNUMBER(AA115))),"",AA115-N(E115))</f>
        <v/>
      </c>
      <c r="AX115" s="15" t="str">
        <f aca="false">IF(OR(AB115="",NOT(ISNUMBER(AB115))),"",AB115-N(F115))</f>
        <v/>
      </c>
      <c r="AY115" s="15" t="str">
        <f aca="false">IF(OR(AC115="",NOT(ISNUMBER(AC115))),"",AC115-N(G115))</f>
        <v/>
      </c>
      <c r="AZ115" s="15" t="str">
        <f aca="false">IF(OR(AD115="",NOT(ISNUMBER(AD115))),"",AD115-N(H115))</f>
        <v/>
      </c>
      <c r="BA115" s="15" t="str">
        <f aca="false">IF(OR(AE115="",NOT(ISNUMBER(AE115))),"",AE115-N(I115))</f>
        <v/>
      </c>
      <c r="BB115" s="15" t="str">
        <f aca="false">IF(OR(AF115="",NOT(ISNUMBER(AF115))),"",AF115-N(J115))</f>
        <v/>
      </c>
      <c r="BC115" s="15" t="str">
        <f aca="false">IF(OR(AG115="",NOT(ISNUMBER(AG115))),"",AG115-N(K115))</f>
        <v/>
      </c>
      <c r="BD115" s="15" t="str">
        <f aca="false">IF(OR(AH115="",NOT(ISNUMBER(AH115))),"",AH115-N(L115))</f>
        <v/>
      </c>
      <c r="BE115" s="15" t="str">
        <f aca="false">IF(OR(AI115="",NOT(ISNUMBER(AI115))),"",AI115-N(M115))</f>
        <v/>
      </c>
      <c r="BF115" s="15" t="str">
        <f aca="false">IF(OR(AJ115="",NOT(ISNUMBER(AJ115))),"",AJ115-N(N115))</f>
        <v/>
      </c>
      <c r="BG115" s="15" t="str">
        <f aca="false">IF(OR(AK115="",NOT(ISNUMBER(AK115))),"",AK115-N(O115))</f>
        <v/>
      </c>
      <c r="BH115" s="15" t="str">
        <f aca="false">IF(OR(AL115="",NOT(ISNUMBER(AL115))),"",AL115-N(P115))</f>
        <v/>
      </c>
      <c r="BI115" s="15" t="str">
        <f aca="false">IF(OR(AM115="",NOT(ISNUMBER(AM115))),"",AM115-N(Q115))</f>
        <v/>
      </c>
      <c r="BJ115" s="15" t="str">
        <f aca="false">IF(OR(AN115="",NOT(ISNUMBER(AN115))),"",AN115-N(R115))</f>
        <v/>
      </c>
      <c r="BK115" s="15" t="str">
        <f aca="false">IF(OR(AO115="",NOT(ISNUMBER(AO115))),"",AO115-N(S115))</f>
        <v/>
      </c>
      <c r="BL115" s="15" t="str">
        <f aca="false">IF(OR(AP115="",NOT(ISNUMBER(AP115))),"",AP115-N(T115))</f>
        <v/>
      </c>
      <c r="BM115" s="15" t="str">
        <f aca="false">IF(OR(AQ115="",NOT(ISNUMBER(AQ115))),"",AQ115-N(U115))</f>
        <v/>
      </c>
      <c r="BR115" s="18" t="str">
        <f aca="false">IF($A115="","",IF(ISNUMBER($A115),DATE(YEAR($A115),MONTH($A115),1),IFERROR(DATE(2000+VALUE(RIGHT(TRIM($A115),2)),MATCH(UPPER(LEFT(TRIM($A115),3)),{"JAN","FEB","MAR","APR","MAY","JUN","JUL","AUG","SEP","OCT","NOV","DEC"},0),1),"")))</f>
        <v/>
      </c>
      <c r="BS115" s="18" t="str">
        <f aca="false">IF(BR115="","",EOMONTH(BR115,0))</f>
        <v/>
      </c>
    </row>
    <row r="116" customFormat="false" ht="15" hidden="false" customHeight="false" outlineLevel="0" collapsed="false">
      <c r="B116" s="19"/>
      <c r="C116" s="19"/>
      <c r="D116" s="19"/>
      <c r="E116" s="19"/>
      <c r="F116" s="19"/>
      <c r="G116" s="19"/>
      <c r="H116" s="19"/>
      <c r="I116" s="19"/>
      <c r="J116" s="19"/>
      <c r="K116" s="19"/>
      <c r="L116" s="19"/>
      <c r="M116" s="19"/>
      <c r="N116" s="19"/>
      <c r="O116" s="19"/>
      <c r="P116" s="19"/>
      <c r="Q116" s="19"/>
      <c r="R116" s="19"/>
      <c r="S116" s="19"/>
      <c r="T116" s="19"/>
      <c r="U116" s="19"/>
      <c r="X116" s="15" t="str">
        <f aca="false">IF(OR(B$7="",$BR116=""),"",IF('Tally Helper'!$B$3&lt;&gt;TRUE(),"not on Staff",SUMIFS('Tally Helper'!$L$5:$GI$5,'Tally Helper'!$L$3:$GI$3,"&gt;="&amp;$BR116,'Tally Helper'!$L$3:$GI$3,"&lt;="&amp;$BS116)))</f>
        <v/>
      </c>
      <c r="Y116" s="15" t="str">
        <f aca="false">IF(OR(C$7="",$BR116=""),"",IF('Tally Helper'!$B$6&lt;&gt;TRUE(),"not on Staff",SUMIFS('Tally Helper'!$L$8:$GI$8,'Tally Helper'!$L$6:$GI$6,"&gt;="&amp;$BR116,'Tally Helper'!$L$6:$GI$6,"&lt;="&amp;$BS116)))</f>
        <v/>
      </c>
      <c r="Z116" s="15" t="str">
        <f aca="false">IF(OR(D$7="",$BR116=""),"",IF('Tally Helper'!$B$9&lt;&gt;TRUE(),"not on Staff",SUMIFS('Tally Helper'!$L$11:$GI$11,'Tally Helper'!$L$9:$GI$9,"&gt;="&amp;$BR116,'Tally Helper'!$L$9:$GI$9,"&lt;="&amp;$BS116)))</f>
        <v/>
      </c>
      <c r="AA116" s="15" t="str">
        <f aca="false">IF(OR(E$7="",$BR116=""),"",IF('Tally Helper'!$B$12&lt;&gt;TRUE(),"not on Staff",SUMIFS('Tally Helper'!$L$14:$GI$14,'Tally Helper'!$L$12:$GI$12,"&gt;="&amp;$BR116,'Tally Helper'!$L$12:$GI$12,"&lt;="&amp;$BS116)))</f>
        <v/>
      </c>
      <c r="AB116" s="15" t="str">
        <f aca="false">IF(OR(F$7="",$BR116=""),"",IF('Tally Helper'!$B$15&lt;&gt;TRUE(),"not on Staff",SUMIFS('Tally Helper'!$L$17:$GI$17,'Tally Helper'!$L$15:$GI$15,"&gt;="&amp;$BR116,'Tally Helper'!$L$15:$GI$15,"&lt;="&amp;$BS116)))</f>
        <v/>
      </c>
      <c r="AC116" s="15" t="str">
        <f aca="false">IF(OR(G$7="",$BR116=""),"",IF('Tally Helper'!$B$18&lt;&gt;TRUE(),"not on Staff",SUMIFS('Tally Helper'!$L$20:$GI$20,'Tally Helper'!$L$18:$GI$18,"&gt;="&amp;$BR116,'Tally Helper'!$L$18:$GI$18,"&lt;="&amp;$BS116)))</f>
        <v/>
      </c>
      <c r="AD116" s="15" t="str">
        <f aca="false">IF(OR(H$7="",$BR116=""),"",IF('Tally Helper'!$B$21&lt;&gt;TRUE(),"not on Staff",SUMIFS('Tally Helper'!$L$23:$GI$23,'Tally Helper'!$L$21:$GI$21,"&gt;="&amp;$BR116,'Tally Helper'!$L$21:$GI$21,"&lt;="&amp;$BS116)))</f>
        <v/>
      </c>
      <c r="AE116" s="15" t="str">
        <f aca="false">IF(OR(I$7="",$BR116=""),"",IF('Tally Helper'!$B$24&lt;&gt;TRUE(),"not on Staff",SUMIFS('Tally Helper'!$L$26:$GI$26,'Tally Helper'!$L$24:$GI$24,"&gt;="&amp;$BR116,'Tally Helper'!$L$24:$GI$24,"&lt;="&amp;$BS116)))</f>
        <v/>
      </c>
      <c r="AF116" s="15" t="str">
        <f aca="false">IF(OR(J$7="",$BR116=""),"",IF('Tally Helper'!$B$27&lt;&gt;TRUE(),"not on Staff",SUMIFS('Tally Helper'!$L$29:$GI$29,'Tally Helper'!$L$27:$GI$27,"&gt;="&amp;$BR116,'Tally Helper'!$L$27:$GI$27,"&lt;="&amp;$BS116)))</f>
        <v/>
      </c>
      <c r="AG116" s="15" t="str">
        <f aca="false">IF(OR(K$7="",$BR116=""),"",IF('Tally Helper'!$B$30&lt;&gt;TRUE(),"not on Staff",SUMIFS('Tally Helper'!$L$32:$GI$32,'Tally Helper'!$L$30:$GI$30,"&gt;="&amp;$BR116,'Tally Helper'!$L$30:$GI$30,"&lt;="&amp;$BS116)))</f>
        <v/>
      </c>
      <c r="AH116" s="15" t="str">
        <f aca="false">IF(OR(L$7="",$BR116=""),"",IF('Tally Helper'!$B$33&lt;&gt;TRUE(),"not on Staff",SUMIFS('Tally Helper'!$L$35:$GI$35,'Tally Helper'!$L$33:$GI$33,"&gt;="&amp;$BR116,'Tally Helper'!$L$33:$GI$33,"&lt;="&amp;$BS116)))</f>
        <v/>
      </c>
      <c r="AI116" s="15" t="str">
        <f aca="false">IF(OR(M$7="",$BR116=""),"",IF('Tally Helper'!$B$36&lt;&gt;TRUE(),"not on Staff",SUMIFS('Tally Helper'!$L$38:$GI$38,'Tally Helper'!$L$36:$GI$36,"&gt;="&amp;$BR116,'Tally Helper'!$L$36:$GI$36,"&lt;="&amp;$BS116)))</f>
        <v/>
      </c>
      <c r="AJ116" s="15" t="str">
        <f aca="false">IF(OR(N$7="",$BR116=""),"",IF('Tally Helper'!$B$39&lt;&gt;TRUE(),"not on Staff",SUMIFS('Tally Helper'!$L$41:$GI$41,'Tally Helper'!$L$39:$GI$39,"&gt;="&amp;$BR116,'Tally Helper'!$L$39:$GI$39,"&lt;="&amp;$BS116)))</f>
        <v/>
      </c>
      <c r="AK116" s="15" t="str">
        <f aca="false">IF(OR(O$7="",$BR116=""),"",IF('Tally Helper'!$B$42&lt;&gt;TRUE(),"not on Staff",SUMIFS('Tally Helper'!$L$44:$GI$44,'Tally Helper'!$L$42:$GI$42,"&gt;="&amp;$BR116,'Tally Helper'!$L$42:$GI$42,"&lt;="&amp;$BS116)))</f>
        <v/>
      </c>
      <c r="AL116" s="15" t="str">
        <f aca="false">IF(OR(P$7="",$BR116=""),"",IF('Tally Helper'!$B$45&lt;&gt;TRUE(),"not on Staff",SUMIFS('Tally Helper'!$L$47:$GI$47,'Tally Helper'!$L$45:$GI$45,"&gt;="&amp;$BR116,'Tally Helper'!$L$45:$GI$45,"&lt;="&amp;$BS116)))</f>
        <v/>
      </c>
      <c r="AM116" s="15" t="str">
        <f aca="false">IF(OR(Q$7="",$BR116=""),"",IF('Tally Helper'!$B$48&lt;&gt;TRUE(),"not on Staff",SUMIFS('Tally Helper'!$L$50:$GI$50,'Tally Helper'!$L$48:$GI$48,"&gt;="&amp;$BR116,'Tally Helper'!$L$48:$GI$48,"&lt;="&amp;$BS116)))</f>
        <v/>
      </c>
      <c r="AN116" s="15" t="str">
        <f aca="false">IF(OR(R$7="",$BR116=""),"",IF('Tally Helper'!$B$51&lt;&gt;TRUE(),"not on Staff",SUMIFS('Tally Helper'!$L$53:$GI$53,'Tally Helper'!$L$51:$GI$51,"&gt;="&amp;$BR116,'Tally Helper'!$L$51:$GI$51,"&lt;="&amp;$BS116)))</f>
        <v/>
      </c>
      <c r="AO116" s="15" t="str">
        <f aca="false">IF(OR(S$7="",$BR116=""),"",IF('Tally Helper'!$B$54&lt;&gt;TRUE(),"not on Staff",SUMIFS('Tally Helper'!$L$56:$GI$56,'Tally Helper'!$L$54:$GI$54,"&gt;="&amp;$BR116,'Tally Helper'!$L$54:$GI$54,"&lt;="&amp;$BS116)))</f>
        <v/>
      </c>
      <c r="AP116" s="15" t="str">
        <f aca="false">IF(OR(T$7="",$BR116=""),"",IF('Tally Helper'!$B$57&lt;&gt;TRUE(),"not on Staff",SUMIFS('Tally Helper'!$L$59:$GI$59,'Tally Helper'!$L$57:$GI$57,"&gt;="&amp;$BR116,'Tally Helper'!$L$57:$GI$57,"&lt;="&amp;$BS116)))</f>
        <v/>
      </c>
      <c r="AQ116" s="15" t="str">
        <f aca="false">IF(OR(U$7="",$BR116=""),"",IF('Tally Helper'!$B$60&lt;&gt;TRUE(),"not on Staff",SUMIFS('Tally Helper'!$L$62:$GI$62,'Tally Helper'!$L$60:$GI$60,"&gt;="&amp;$BR116,'Tally Helper'!$L$60:$GI$60,"&lt;="&amp;$BS116)))</f>
        <v/>
      </c>
      <c r="AT116" s="15" t="str">
        <f aca="false">IF(OR(X116="",NOT(ISNUMBER(X116))),"",X116-N(B116))</f>
        <v/>
      </c>
      <c r="AU116" s="15" t="str">
        <f aca="false">IF(OR(Y116="",NOT(ISNUMBER(Y116))),"",Y116-N(C116))</f>
        <v/>
      </c>
      <c r="AV116" s="15" t="str">
        <f aca="false">IF(OR(Z116="",NOT(ISNUMBER(Z116))),"",Z116-N(D116))</f>
        <v/>
      </c>
      <c r="AW116" s="15" t="str">
        <f aca="false">IF(OR(AA116="",NOT(ISNUMBER(AA116))),"",AA116-N(E116))</f>
        <v/>
      </c>
      <c r="AX116" s="15" t="str">
        <f aca="false">IF(OR(AB116="",NOT(ISNUMBER(AB116))),"",AB116-N(F116))</f>
        <v/>
      </c>
      <c r="AY116" s="15" t="str">
        <f aca="false">IF(OR(AC116="",NOT(ISNUMBER(AC116))),"",AC116-N(G116))</f>
        <v/>
      </c>
      <c r="AZ116" s="15" t="str">
        <f aca="false">IF(OR(AD116="",NOT(ISNUMBER(AD116))),"",AD116-N(H116))</f>
        <v/>
      </c>
      <c r="BA116" s="15" t="str">
        <f aca="false">IF(OR(AE116="",NOT(ISNUMBER(AE116))),"",AE116-N(I116))</f>
        <v/>
      </c>
      <c r="BB116" s="15" t="str">
        <f aca="false">IF(OR(AF116="",NOT(ISNUMBER(AF116))),"",AF116-N(J116))</f>
        <v/>
      </c>
      <c r="BC116" s="15" t="str">
        <f aca="false">IF(OR(AG116="",NOT(ISNUMBER(AG116))),"",AG116-N(K116))</f>
        <v/>
      </c>
      <c r="BD116" s="15" t="str">
        <f aca="false">IF(OR(AH116="",NOT(ISNUMBER(AH116))),"",AH116-N(L116))</f>
        <v/>
      </c>
      <c r="BE116" s="15" t="str">
        <f aca="false">IF(OR(AI116="",NOT(ISNUMBER(AI116))),"",AI116-N(M116))</f>
        <v/>
      </c>
      <c r="BF116" s="15" t="str">
        <f aca="false">IF(OR(AJ116="",NOT(ISNUMBER(AJ116))),"",AJ116-N(N116))</f>
        <v/>
      </c>
      <c r="BG116" s="15" t="str">
        <f aca="false">IF(OR(AK116="",NOT(ISNUMBER(AK116))),"",AK116-N(O116))</f>
        <v/>
      </c>
      <c r="BH116" s="15" t="str">
        <f aca="false">IF(OR(AL116="",NOT(ISNUMBER(AL116))),"",AL116-N(P116))</f>
        <v/>
      </c>
      <c r="BI116" s="15" t="str">
        <f aca="false">IF(OR(AM116="",NOT(ISNUMBER(AM116))),"",AM116-N(Q116))</f>
        <v/>
      </c>
      <c r="BJ116" s="15" t="str">
        <f aca="false">IF(OR(AN116="",NOT(ISNUMBER(AN116))),"",AN116-N(R116))</f>
        <v/>
      </c>
      <c r="BK116" s="15" t="str">
        <f aca="false">IF(OR(AO116="",NOT(ISNUMBER(AO116))),"",AO116-N(S116))</f>
        <v/>
      </c>
      <c r="BL116" s="15" t="str">
        <f aca="false">IF(OR(AP116="",NOT(ISNUMBER(AP116))),"",AP116-N(T116))</f>
        <v/>
      </c>
      <c r="BM116" s="15" t="str">
        <f aca="false">IF(OR(AQ116="",NOT(ISNUMBER(AQ116))),"",AQ116-N(U116))</f>
        <v/>
      </c>
      <c r="BR116" s="18" t="str">
        <f aca="false">IF($A116="","",IF(ISNUMBER($A116),DATE(YEAR($A116),MONTH($A116),1),IFERROR(DATE(2000+VALUE(RIGHT(TRIM($A116),2)),MATCH(UPPER(LEFT(TRIM($A116),3)),{"JAN","FEB","MAR","APR","MAY","JUN","JUL","AUG","SEP","OCT","NOV","DEC"},0),1),"")))</f>
        <v/>
      </c>
      <c r="BS116" s="18" t="str">
        <f aca="false">IF(BR116="","",EOMONTH(BR116,0))</f>
        <v/>
      </c>
    </row>
    <row r="117" customFormat="false" ht="15" hidden="false" customHeight="false" outlineLevel="0" collapsed="false">
      <c r="B117" s="19"/>
      <c r="C117" s="19"/>
      <c r="D117" s="19"/>
      <c r="E117" s="19"/>
      <c r="F117" s="19"/>
      <c r="G117" s="19"/>
      <c r="H117" s="19"/>
      <c r="I117" s="19"/>
      <c r="J117" s="19"/>
      <c r="K117" s="19"/>
      <c r="L117" s="19"/>
      <c r="M117" s="19"/>
      <c r="N117" s="19"/>
      <c r="O117" s="19"/>
      <c r="P117" s="19"/>
      <c r="Q117" s="19"/>
      <c r="R117" s="19"/>
      <c r="S117" s="19"/>
      <c r="T117" s="19"/>
      <c r="U117" s="19"/>
      <c r="X117" s="15" t="str">
        <f aca="false">IF(OR(B$7="",$BR117=""),"",IF('Tally Helper'!$B$3&lt;&gt;TRUE(),"not on Staff",SUMIFS('Tally Helper'!$L$5:$GI$5,'Tally Helper'!$L$3:$GI$3,"&gt;="&amp;$BR117,'Tally Helper'!$L$3:$GI$3,"&lt;="&amp;$BS117)))</f>
        <v/>
      </c>
      <c r="Y117" s="15" t="str">
        <f aca="false">IF(OR(C$7="",$BR117=""),"",IF('Tally Helper'!$B$6&lt;&gt;TRUE(),"not on Staff",SUMIFS('Tally Helper'!$L$8:$GI$8,'Tally Helper'!$L$6:$GI$6,"&gt;="&amp;$BR117,'Tally Helper'!$L$6:$GI$6,"&lt;="&amp;$BS117)))</f>
        <v/>
      </c>
      <c r="Z117" s="15" t="str">
        <f aca="false">IF(OR(D$7="",$BR117=""),"",IF('Tally Helper'!$B$9&lt;&gt;TRUE(),"not on Staff",SUMIFS('Tally Helper'!$L$11:$GI$11,'Tally Helper'!$L$9:$GI$9,"&gt;="&amp;$BR117,'Tally Helper'!$L$9:$GI$9,"&lt;="&amp;$BS117)))</f>
        <v/>
      </c>
      <c r="AA117" s="15" t="str">
        <f aca="false">IF(OR(E$7="",$BR117=""),"",IF('Tally Helper'!$B$12&lt;&gt;TRUE(),"not on Staff",SUMIFS('Tally Helper'!$L$14:$GI$14,'Tally Helper'!$L$12:$GI$12,"&gt;="&amp;$BR117,'Tally Helper'!$L$12:$GI$12,"&lt;="&amp;$BS117)))</f>
        <v/>
      </c>
      <c r="AB117" s="15" t="str">
        <f aca="false">IF(OR(F$7="",$BR117=""),"",IF('Tally Helper'!$B$15&lt;&gt;TRUE(),"not on Staff",SUMIFS('Tally Helper'!$L$17:$GI$17,'Tally Helper'!$L$15:$GI$15,"&gt;="&amp;$BR117,'Tally Helper'!$L$15:$GI$15,"&lt;="&amp;$BS117)))</f>
        <v/>
      </c>
      <c r="AC117" s="15" t="str">
        <f aca="false">IF(OR(G$7="",$BR117=""),"",IF('Tally Helper'!$B$18&lt;&gt;TRUE(),"not on Staff",SUMIFS('Tally Helper'!$L$20:$GI$20,'Tally Helper'!$L$18:$GI$18,"&gt;="&amp;$BR117,'Tally Helper'!$L$18:$GI$18,"&lt;="&amp;$BS117)))</f>
        <v/>
      </c>
      <c r="AD117" s="15" t="str">
        <f aca="false">IF(OR(H$7="",$BR117=""),"",IF('Tally Helper'!$B$21&lt;&gt;TRUE(),"not on Staff",SUMIFS('Tally Helper'!$L$23:$GI$23,'Tally Helper'!$L$21:$GI$21,"&gt;="&amp;$BR117,'Tally Helper'!$L$21:$GI$21,"&lt;="&amp;$BS117)))</f>
        <v/>
      </c>
      <c r="AE117" s="15" t="str">
        <f aca="false">IF(OR(I$7="",$BR117=""),"",IF('Tally Helper'!$B$24&lt;&gt;TRUE(),"not on Staff",SUMIFS('Tally Helper'!$L$26:$GI$26,'Tally Helper'!$L$24:$GI$24,"&gt;="&amp;$BR117,'Tally Helper'!$L$24:$GI$24,"&lt;="&amp;$BS117)))</f>
        <v/>
      </c>
      <c r="AF117" s="15" t="str">
        <f aca="false">IF(OR(J$7="",$BR117=""),"",IF('Tally Helper'!$B$27&lt;&gt;TRUE(),"not on Staff",SUMIFS('Tally Helper'!$L$29:$GI$29,'Tally Helper'!$L$27:$GI$27,"&gt;="&amp;$BR117,'Tally Helper'!$L$27:$GI$27,"&lt;="&amp;$BS117)))</f>
        <v/>
      </c>
      <c r="AG117" s="15" t="str">
        <f aca="false">IF(OR(K$7="",$BR117=""),"",IF('Tally Helper'!$B$30&lt;&gt;TRUE(),"not on Staff",SUMIFS('Tally Helper'!$L$32:$GI$32,'Tally Helper'!$L$30:$GI$30,"&gt;="&amp;$BR117,'Tally Helper'!$L$30:$GI$30,"&lt;="&amp;$BS117)))</f>
        <v/>
      </c>
      <c r="AH117" s="15" t="str">
        <f aca="false">IF(OR(L$7="",$BR117=""),"",IF('Tally Helper'!$B$33&lt;&gt;TRUE(),"not on Staff",SUMIFS('Tally Helper'!$L$35:$GI$35,'Tally Helper'!$L$33:$GI$33,"&gt;="&amp;$BR117,'Tally Helper'!$L$33:$GI$33,"&lt;="&amp;$BS117)))</f>
        <v/>
      </c>
      <c r="AI117" s="15" t="str">
        <f aca="false">IF(OR(M$7="",$BR117=""),"",IF('Tally Helper'!$B$36&lt;&gt;TRUE(),"not on Staff",SUMIFS('Tally Helper'!$L$38:$GI$38,'Tally Helper'!$L$36:$GI$36,"&gt;="&amp;$BR117,'Tally Helper'!$L$36:$GI$36,"&lt;="&amp;$BS117)))</f>
        <v/>
      </c>
      <c r="AJ117" s="15" t="str">
        <f aca="false">IF(OR(N$7="",$BR117=""),"",IF('Tally Helper'!$B$39&lt;&gt;TRUE(),"not on Staff",SUMIFS('Tally Helper'!$L$41:$GI$41,'Tally Helper'!$L$39:$GI$39,"&gt;="&amp;$BR117,'Tally Helper'!$L$39:$GI$39,"&lt;="&amp;$BS117)))</f>
        <v/>
      </c>
      <c r="AK117" s="15" t="str">
        <f aca="false">IF(OR(O$7="",$BR117=""),"",IF('Tally Helper'!$B$42&lt;&gt;TRUE(),"not on Staff",SUMIFS('Tally Helper'!$L$44:$GI$44,'Tally Helper'!$L$42:$GI$42,"&gt;="&amp;$BR117,'Tally Helper'!$L$42:$GI$42,"&lt;="&amp;$BS117)))</f>
        <v/>
      </c>
      <c r="AL117" s="15" t="str">
        <f aca="false">IF(OR(P$7="",$BR117=""),"",IF('Tally Helper'!$B$45&lt;&gt;TRUE(),"not on Staff",SUMIFS('Tally Helper'!$L$47:$GI$47,'Tally Helper'!$L$45:$GI$45,"&gt;="&amp;$BR117,'Tally Helper'!$L$45:$GI$45,"&lt;="&amp;$BS117)))</f>
        <v/>
      </c>
      <c r="AM117" s="15" t="str">
        <f aca="false">IF(OR(Q$7="",$BR117=""),"",IF('Tally Helper'!$B$48&lt;&gt;TRUE(),"not on Staff",SUMIFS('Tally Helper'!$L$50:$GI$50,'Tally Helper'!$L$48:$GI$48,"&gt;="&amp;$BR117,'Tally Helper'!$L$48:$GI$48,"&lt;="&amp;$BS117)))</f>
        <v/>
      </c>
      <c r="AN117" s="15" t="str">
        <f aca="false">IF(OR(R$7="",$BR117=""),"",IF('Tally Helper'!$B$51&lt;&gt;TRUE(),"not on Staff",SUMIFS('Tally Helper'!$L$53:$GI$53,'Tally Helper'!$L$51:$GI$51,"&gt;="&amp;$BR117,'Tally Helper'!$L$51:$GI$51,"&lt;="&amp;$BS117)))</f>
        <v/>
      </c>
      <c r="AO117" s="15" t="str">
        <f aca="false">IF(OR(S$7="",$BR117=""),"",IF('Tally Helper'!$B$54&lt;&gt;TRUE(),"not on Staff",SUMIFS('Tally Helper'!$L$56:$GI$56,'Tally Helper'!$L$54:$GI$54,"&gt;="&amp;$BR117,'Tally Helper'!$L$54:$GI$54,"&lt;="&amp;$BS117)))</f>
        <v/>
      </c>
      <c r="AP117" s="15" t="str">
        <f aca="false">IF(OR(T$7="",$BR117=""),"",IF('Tally Helper'!$B$57&lt;&gt;TRUE(),"not on Staff",SUMIFS('Tally Helper'!$L$59:$GI$59,'Tally Helper'!$L$57:$GI$57,"&gt;="&amp;$BR117,'Tally Helper'!$L$57:$GI$57,"&lt;="&amp;$BS117)))</f>
        <v/>
      </c>
      <c r="AQ117" s="15" t="str">
        <f aca="false">IF(OR(U$7="",$BR117=""),"",IF('Tally Helper'!$B$60&lt;&gt;TRUE(),"not on Staff",SUMIFS('Tally Helper'!$L$62:$GI$62,'Tally Helper'!$L$60:$GI$60,"&gt;="&amp;$BR117,'Tally Helper'!$L$60:$GI$60,"&lt;="&amp;$BS117)))</f>
        <v/>
      </c>
      <c r="AT117" s="15" t="str">
        <f aca="false">IF(OR(X117="",NOT(ISNUMBER(X117))),"",X117-N(B117))</f>
        <v/>
      </c>
      <c r="AU117" s="15" t="str">
        <f aca="false">IF(OR(Y117="",NOT(ISNUMBER(Y117))),"",Y117-N(C117))</f>
        <v/>
      </c>
      <c r="AV117" s="15" t="str">
        <f aca="false">IF(OR(Z117="",NOT(ISNUMBER(Z117))),"",Z117-N(D117))</f>
        <v/>
      </c>
      <c r="AW117" s="15" t="str">
        <f aca="false">IF(OR(AA117="",NOT(ISNUMBER(AA117))),"",AA117-N(E117))</f>
        <v/>
      </c>
      <c r="AX117" s="15" t="str">
        <f aca="false">IF(OR(AB117="",NOT(ISNUMBER(AB117))),"",AB117-N(F117))</f>
        <v/>
      </c>
      <c r="AY117" s="15" t="str">
        <f aca="false">IF(OR(AC117="",NOT(ISNUMBER(AC117))),"",AC117-N(G117))</f>
        <v/>
      </c>
      <c r="AZ117" s="15" t="str">
        <f aca="false">IF(OR(AD117="",NOT(ISNUMBER(AD117))),"",AD117-N(H117))</f>
        <v/>
      </c>
      <c r="BA117" s="15" t="str">
        <f aca="false">IF(OR(AE117="",NOT(ISNUMBER(AE117))),"",AE117-N(I117))</f>
        <v/>
      </c>
      <c r="BB117" s="15" t="str">
        <f aca="false">IF(OR(AF117="",NOT(ISNUMBER(AF117))),"",AF117-N(J117))</f>
        <v/>
      </c>
      <c r="BC117" s="15" t="str">
        <f aca="false">IF(OR(AG117="",NOT(ISNUMBER(AG117))),"",AG117-N(K117))</f>
        <v/>
      </c>
      <c r="BD117" s="15" t="str">
        <f aca="false">IF(OR(AH117="",NOT(ISNUMBER(AH117))),"",AH117-N(L117))</f>
        <v/>
      </c>
      <c r="BE117" s="15" t="str">
        <f aca="false">IF(OR(AI117="",NOT(ISNUMBER(AI117))),"",AI117-N(M117))</f>
        <v/>
      </c>
      <c r="BF117" s="15" t="str">
        <f aca="false">IF(OR(AJ117="",NOT(ISNUMBER(AJ117))),"",AJ117-N(N117))</f>
        <v/>
      </c>
      <c r="BG117" s="15" t="str">
        <f aca="false">IF(OR(AK117="",NOT(ISNUMBER(AK117))),"",AK117-N(O117))</f>
        <v/>
      </c>
      <c r="BH117" s="15" t="str">
        <f aca="false">IF(OR(AL117="",NOT(ISNUMBER(AL117))),"",AL117-N(P117))</f>
        <v/>
      </c>
      <c r="BI117" s="15" t="str">
        <f aca="false">IF(OR(AM117="",NOT(ISNUMBER(AM117))),"",AM117-N(Q117))</f>
        <v/>
      </c>
      <c r="BJ117" s="15" t="str">
        <f aca="false">IF(OR(AN117="",NOT(ISNUMBER(AN117))),"",AN117-N(R117))</f>
        <v/>
      </c>
      <c r="BK117" s="15" t="str">
        <f aca="false">IF(OR(AO117="",NOT(ISNUMBER(AO117))),"",AO117-N(S117))</f>
        <v/>
      </c>
      <c r="BL117" s="15" t="str">
        <f aca="false">IF(OR(AP117="",NOT(ISNUMBER(AP117))),"",AP117-N(T117))</f>
        <v/>
      </c>
      <c r="BM117" s="15" t="str">
        <f aca="false">IF(OR(AQ117="",NOT(ISNUMBER(AQ117))),"",AQ117-N(U117))</f>
        <v/>
      </c>
      <c r="BR117" s="18" t="str">
        <f aca="false">IF($A117="","",IF(ISNUMBER($A117),DATE(YEAR($A117),MONTH($A117),1),IFERROR(DATE(2000+VALUE(RIGHT(TRIM($A117),2)),MATCH(UPPER(LEFT(TRIM($A117),3)),{"JAN","FEB","MAR","APR","MAY","JUN","JUL","AUG","SEP","OCT","NOV","DEC"},0),1),"")))</f>
        <v/>
      </c>
      <c r="BS117" s="18" t="str">
        <f aca="false">IF(BR117="","",EOMONTH(BR117,0))</f>
        <v/>
      </c>
    </row>
    <row r="118" customFormat="false" ht="15" hidden="false" customHeight="false" outlineLevel="0" collapsed="false">
      <c r="B118" s="19"/>
      <c r="C118" s="19"/>
      <c r="D118" s="19"/>
      <c r="E118" s="19"/>
      <c r="F118" s="19"/>
      <c r="G118" s="19"/>
      <c r="H118" s="19"/>
      <c r="I118" s="19"/>
      <c r="J118" s="19"/>
      <c r="K118" s="19"/>
      <c r="L118" s="19"/>
      <c r="M118" s="19"/>
      <c r="N118" s="19"/>
      <c r="O118" s="19"/>
      <c r="P118" s="19"/>
      <c r="Q118" s="19"/>
      <c r="R118" s="19"/>
      <c r="S118" s="19"/>
      <c r="T118" s="19"/>
      <c r="U118" s="19"/>
      <c r="X118" s="15" t="str">
        <f aca="false">IF(OR(B$7="",$BR118=""),"",IF('Tally Helper'!$B$3&lt;&gt;TRUE(),"not on Staff",SUMIFS('Tally Helper'!$L$5:$GI$5,'Tally Helper'!$L$3:$GI$3,"&gt;="&amp;$BR118,'Tally Helper'!$L$3:$GI$3,"&lt;="&amp;$BS118)))</f>
        <v/>
      </c>
      <c r="Y118" s="15" t="str">
        <f aca="false">IF(OR(C$7="",$BR118=""),"",IF('Tally Helper'!$B$6&lt;&gt;TRUE(),"not on Staff",SUMIFS('Tally Helper'!$L$8:$GI$8,'Tally Helper'!$L$6:$GI$6,"&gt;="&amp;$BR118,'Tally Helper'!$L$6:$GI$6,"&lt;="&amp;$BS118)))</f>
        <v/>
      </c>
      <c r="Z118" s="15" t="str">
        <f aca="false">IF(OR(D$7="",$BR118=""),"",IF('Tally Helper'!$B$9&lt;&gt;TRUE(),"not on Staff",SUMIFS('Tally Helper'!$L$11:$GI$11,'Tally Helper'!$L$9:$GI$9,"&gt;="&amp;$BR118,'Tally Helper'!$L$9:$GI$9,"&lt;="&amp;$BS118)))</f>
        <v/>
      </c>
      <c r="AA118" s="15" t="str">
        <f aca="false">IF(OR(E$7="",$BR118=""),"",IF('Tally Helper'!$B$12&lt;&gt;TRUE(),"not on Staff",SUMIFS('Tally Helper'!$L$14:$GI$14,'Tally Helper'!$L$12:$GI$12,"&gt;="&amp;$BR118,'Tally Helper'!$L$12:$GI$12,"&lt;="&amp;$BS118)))</f>
        <v/>
      </c>
      <c r="AB118" s="15" t="str">
        <f aca="false">IF(OR(F$7="",$BR118=""),"",IF('Tally Helper'!$B$15&lt;&gt;TRUE(),"not on Staff",SUMIFS('Tally Helper'!$L$17:$GI$17,'Tally Helper'!$L$15:$GI$15,"&gt;="&amp;$BR118,'Tally Helper'!$L$15:$GI$15,"&lt;="&amp;$BS118)))</f>
        <v/>
      </c>
      <c r="AC118" s="15" t="str">
        <f aca="false">IF(OR(G$7="",$BR118=""),"",IF('Tally Helper'!$B$18&lt;&gt;TRUE(),"not on Staff",SUMIFS('Tally Helper'!$L$20:$GI$20,'Tally Helper'!$L$18:$GI$18,"&gt;="&amp;$BR118,'Tally Helper'!$L$18:$GI$18,"&lt;="&amp;$BS118)))</f>
        <v/>
      </c>
      <c r="AD118" s="15" t="str">
        <f aca="false">IF(OR(H$7="",$BR118=""),"",IF('Tally Helper'!$B$21&lt;&gt;TRUE(),"not on Staff",SUMIFS('Tally Helper'!$L$23:$GI$23,'Tally Helper'!$L$21:$GI$21,"&gt;="&amp;$BR118,'Tally Helper'!$L$21:$GI$21,"&lt;="&amp;$BS118)))</f>
        <v/>
      </c>
      <c r="AE118" s="15" t="str">
        <f aca="false">IF(OR(I$7="",$BR118=""),"",IF('Tally Helper'!$B$24&lt;&gt;TRUE(),"not on Staff",SUMIFS('Tally Helper'!$L$26:$GI$26,'Tally Helper'!$L$24:$GI$24,"&gt;="&amp;$BR118,'Tally Helper'!$L$24:$GI$24,"&lt;="&amp;$BS118)))</f>
        <v/>
      </c>
      <c r="AF118" s="15" t="str">
        <f aca="false">IF(OR(J$7="",$BR118=""),"",IF('Tally Helper'!$B$27&lt;&gt;TRUE(),"not on Staff",SUMIFS('Tally Helper'!$L$29:$GI$29,'Tally Helper'!$L$27:$GI$27,"&gt;="&amp;$BR118,'Tally Helper'!$L$27:$GI$27,"&lt;="&amp;$BS118)))</f>
        <v/>
      </c>
      <c r="AG118" s="15" t="str">
        <f aca="false">IF(OR(K$7="",$BR118=""),"",IF('Tally Helper'!$B$30&lt;&gt;TRUE(),"not on Staff",SUMIFS('Tally Helper'!$L$32:$GI$32,'Tally Helper'!$L$30:$GI$30,"&gt;="&amp;$BR118,'Tally Helper'!$L$30:$GI$30,"&lt;="&amp;$BS118)))</f>
        <v/>
      </c>
      <c r="AH118" s="15" t="str">
        <f aca="false">IF(OR(L$7="",$BR118=""),"",IF('Tally Helper'!$B$33&lt;&gt;TRUE(),"not on Staff",SUMIFS('Tally Helper'!$L$35:$GI$35,'Tally Helper'!$L$33:$GI$33,"&gt;="&amp;$BR118,'Tally Helper'!$L$33:$GI$33,"&lt;="&amp;$BS118)))</f>
        <v/>
      </c>
      <c r="AI118" s="15" t="str">
        <f aca="false">IF(OR(M$7="",$BR118=""),"",IF('Tally Helper'!$B$36&lt;&gt;TRUE(),"not on Staff",SUMIFS('Tally Helper'!$L$38:$GI$38,'Tally Helper'!$L$36:$GI$36,"&gt;="&amp;$BR118,'Tally Helper'!$L$36:$GI$36,"&lt;="&amp;$BS118)))</f>
        <v/>
      </c>
      <c r="AJ118" s="15" t="str">
        <f aca="false">IF(OR(N$7="",$BR118=""),"",IF('Tally Helper'!$B$39&lt;&gt;TRUE(),"not on Staff",SUMIFS('Tally Helper'!$L$41:$GI$41,'Tally Helper'!$L$39:$GI$39,"&gt;="&amp;$BR118,'Tally Helper'!$L$39:$GI$39,"&lt;="&amp;$BS118)))</f>
        <v/>
      </c>
      <c r="AK118" s="15" t="str">
        <f aca="false">IF(OR(O$7="",$BR118=""),"",IF('Tally Helper'!$B$42&lt;&gt;TRUE(),"not on Staff",SUMIFS('Tally Helper'!$L$44:$GI$44,'Tally Helper'!$L$42:$GI$42,"&gt;="&amp;$BR118,'Tally Helper'!$L$42:$GI$42,"&lt;="&amp;$BS118)))</f>
        <v/>
      </c>
      <c r="AL118" s="15" t="str">
        <f aca="false">IF(OR(P$7="",$BR118=""),"",IF('Tally Helper'!$B$45&lt;&gt;TRUE(),"not on Staff",SUMIFS('Tally Helper'!$L$47:$GI$47,'Tally Helper'!$L$45:$GI$45,"&gt;="&amp;$BR118,'Tally Helper'!$L$45:$GI$45,"&lt;="&amp;$BS118)))</f>
        <v/>
      </c>
      <c r="AM118" s="15" t="str">
        <f aca="false">IF(OR(Q$7="",$BR118=""),"",IF('Tally Helper'!$B$48&lt;&gt;TRUE(),"not on Staff",SUMIFS('Tally Helper'!$L$50:$GI$50,'Tally Helper'!$L$48:$GI$48,"&gt;="&amp;$BR118,'Tally Helper'!$L$48:$GI$48,"&lt;="&amp;$BS118)))</f>
        <v/>
      </c>
      <c r="AN118" s="15" t="str">
        <f aca="false">IF(OR(R$7="",$BR118=""),"",IF('Tally Helper'!$B$51&lt;&gt;TRUE(),"not on Staff",SUMIFS('Tally Helper'!$L$53:$GI$53,'Tally Helper'!$L$51:$GI$51,"&gt;="&amp;$BR118,'Tally Helper'!$L$51:$GI$51,"&lt;="&amp;$BS118)))</f>
        <v/>
      </c>
      <c r="AO118" s="15" t="str">
        <f aca="false">IF(OR(S$7="",$BR118=""),"",IF('Tally Helper'!$B$54&lt;&gt;TRUE(),"not on Staff",SUMIFS('Tally Helper'!$L$56:$GI$56,'Tally Helper'!$L$54:$GI$54,"&gt;="&amp;$BR118,'Tally Helper'!$L$54:$GI$54,"&lt;="&amp;$BS118)))</f>
        <v/>
      </c>
      <c r="AP118" s="15" t="str">
        <f aca="false">IF(OR(T$7="",$BR118=""),"",IF('Tally Helper'!$B$57&lt;&gt;TRUE(),"not on Staff",SUMIFS('Tally Helper'!$L$59:$GI$59,'Tally Helper'!$L$57:$GI$57,"&gt;="&amp;$BR118,'Tally Helper'!$L$57:$GI$57,"&lt;="&amp;$BS118)))</f>
        <v/>
      </c>
      <c r="AQ118" s="15" t="str">
        <f aca="false">IF(OR(U$7="",$BR118=""),"",IF('Tally Helper'!$B$60&lt;&gt;TRUE(),"not on Staff",SUMIFS('Tally Helper'!$L$62:$GI$62,'Tally Helper'!$L$60:$GI$60,"&gt;="&amp;$BR118,'Tally Helper'!$L$60:$GI$60,"&lt;="&amp;$BS118)))</f>
        <v/>
      </c>
      <c r="AT118" s="15" t="str">
        <f aca="false">IF(OR(X118="",NOT(ISNUMBER(X118))),"",X118-N(B118))</f>
        <v/>
      </c>
      <c r="AU118" s="15" t="str">
        <f aca="false">IF(OR(Y118="",NOT(ISNUMBER(Y118))),"",Y118-N(C118))</f>
        <v/>
      </c>
      <c r="AV118" s="15" t="str">
        <f aca="false">IF(OR(Z118="",NOT(ISNUMBER(Z118))),"",Z118-N(D118))</f>
        <v/>
      </c>
      <c r="AW118" s="15" t="str">
        <f aca="false">IF(OR(AA118="",NOT(ISNUMBER(AA118))),"",AA118-N(E118))</f>
        <v/>
      </c>
      <c r="AX118" s="15" t="str">
        <f aca="false">IF(OR(AB118="",NOT(ISNUMBER(AB118))),"",AB118-N(F118))</f>
        <v/>
      </c>
      <c r="AY118" s="15" t="str">
        <f aca="false">IF(OR(AC118="",NOT(ISNUMBER(AC118))),"",AC118-N(G118))</f>
        <v/>
      </c>
      <c r="AZ118" s="15" t="str">
        <f aca="false">IF(OR(AD118="",NOT(ISNUMBER(AD118))),"",AD118-N(H118))</f>
        <v/>
      </c>
      <c r="BA118" s="15" t="str">
        <f aca="false">IF(OR(AE118="",NOT(ISNUMBER(AE118))),"",AE118-N(I118))</f>
        <v/>
      </c>
      <c r="BB118" s="15" t="str">
        <f aca="false">IF(OR(AF118="",NOT(ISNUMBER(AF118))),"",AF118-N(J118))</f>
        <v/>
      </c>
      <c r="BC118" s="15" t="str">
        <f aca="false">IF(OR(AG118="",NOT(ISNUMBER(AG118))),"",AG118-N(K118))</f>
        <v/>
      </c>
      <c r="BD118" s="15" t="str">
        <f aca="false">IF(OR(AH118="",NOT(ISNUMBER(AH118))),"",AH118-N(L118))</f>
        <v/>
      </c>
      <c r="BE118" s="15" t="str">
        <f aca="false">IF(OR(AI118="",NOT(ISNUMBER(AI118))),"",AI118-N(M118))</f>
        <v/>
      </c>
      <c r="BF118" s="15" t="str">
        <f aca="false">IF(OR(AJ118="",NOT(ISNUMBER(AJ118))),"",AJ118-N(N118))</f>
        <v/>
      </c>
      <c r="BG118" s="15" t="str">
        <f aca="false">IF(OR(AK118="",NOT(ISNUMBER(AK118))),"",AK118-N(O118))</f>
        <v/>
      </c>
      <c r="BH118" s="15" t="str">
        <f aca="false">IF(OR(AL118="",NOT(ISNUMBER(AL118))),"",AL118-N(P118))</f>
        <v/>
      </c>
      <c r="BI118" s="15" t="str">
        <f aca="false">IF(OR(AM118="",NOT(ISNUMBER(AM118))),"",AM118-N(Q118))</f>
        <v/>
      </c>
      <c r="BJ118" s="15" t="str">
        <f aca="false">IF(OR(AN118="",NOT(ISNUMBER(AN118))),"",AN118-N(R118))</f>
        <v/>
      </c>
      <c r="BK118" s="15" t="str">
        <f aca="false">IF(OR(AO118="",NOT(ISNUMBER(AO118))),"",AO118-N(S118))</f>
        <v/>
      </c>
      <c r="BL118" s="15" t="str">
        <f aca="false">IF(OR(AP118="",NOT(ISNUMBER(AP118))),"",AP118-N(T118))</f>
        <v/>
      </c>
      <c r="BM118" s="15" t="str">
        <f aca="false">IF(OR(AQ118="",NOT(ISNUMBER(AQ118))),"",AQ118-N(U118))</f>
        <v/>
      </c>
      <c r="BR118" s="18" t="str">
        <f aca="false">IF($A118="","",IF(ISNUMBER($A118),DATE(YEAR($A118),MONTH($A118),1),IFERROR(DATE(2000+VALUE(RIGHT(TRIM($A118),2)),MATCH(UPPER(LEFT(TRIM($A118),3)),{"JAN","FEB","MAR","APR","MAY","JUN","JUL","AUG","SEP","OCT","NOV","DEC"},0),1),"")))</f>
        <v/>
      </c>
      <c r="BS118" s="18" t="str">
        <f aca="false">IF(BR118="","",EOMONTH(BR118,0))</f>
        <v/>
      </c>
    </row>
    <row r="119" customFormat="false" ht="15" hidden="false" customHeight="false" outlineLevel="0" collapsed="false">
      <c r="B119" s="19"/>
      <c r="C119" s="19"/>
      <c r="D119" s="19"/>
      <c r="E119" s="19"/>
      <c r="F119" s="19"/>
      <c r="G119" s="19"/>
      <c r="H119" s="19"/>
      <c r="I119" s="19"/>
      <c r="J119" s="19"/>
      <c r="K119" s="19"/>
      <c r="L119" s="19"/>
      <c r="M119" s="19"/>
      <c r="N119" s="19"/>
      <c r="O119" s="19"/>
      <c r="P119" s="19"/>
      <c r="Q119" s="19"/>
      <c r="R119" s="19"/>
      <c r="S119" s="19"/>
      <c r="T119" s="19"/>
      <c r="U119" s="19"/>
      <c r="X119" s="15" t="str">
        <f aca="false">IF(OR(B$7="",$BR119=""),"",IF('Tally Helper'!$B$3&lt;&gt;TRUE(),"not on Staff",SUMIFS('Tally Helper'!$L$5:$GI$5,'Tally Helper'!$L$3:$GI$3,"&gt;="&amp;$BR119,'Tally Helper'!$L$3:$GI$3,"&lt;="&amp;$BS119)))</f>
        <v/>
      </c>
      <c r="Y119" s="15" t="str">
        <f aca="false">IF(OR(C$7="",$BR119=""),"",IF('Tally Helper'!$B$6&lt;&gt;TRUE(),"not on Staff",SUMIFS('Tally Helper'!$L$8:$GI$8,'Tally Helper'!$L$6:$GI$6,"&gt;="&amp;$BR119,'Tally Helper'!$L$6:$GI$6,"&lt;="&amp;$BS119)))</f>
        <v/>
      </c>
      <c r="Z119" s="15" t="str">
        <f aca="false">IF(OR(D$7="",$BR119=""),"",IF('Tally Helper'!$B$9&lt;&gt;TRUE(),"not on Staff",SUMIFS('Tally Helper'!$L$11:$GI$11,'Tally Helper'!$L$9:$GI$9,"&gt;="&amp;$BR119,'Tally Helper'!$L$9:$GI$9,"&lt;="&amp;$BS119)))</f>
        <v/>
      </c>
      <c r="AA119" s="15" t="str">
        <f aca="false">IF(OR(E$7="",$BR119=""),"",IF('Tally Helper'!$B$12&lt;&gt;TRUE(),"not on Staff",SUMIFS('Tally Helper'!$L$14:$GI$14,'Tally Helper'!$L$12:$GI$12,"&gt;="&amp;$BR119,'Tally Helper'!$L$12:$GI$12,"&lt;="&amp;$BS119)))</f>
        <v/>
      </c>
      <c r="AB119" s="15" t="str">
        <f aca="false">IF(OR(F$7="",$BR119=""),"",IF('Tally Helper'!$B$15&lt;&gt;TRUE(),"not on Staff",SUMIFS('Tally Helper'!$L$17:$GI$17,'Tally Helper'!$L$15:$GI$15,"&gt;="&amp;$BR119,'Tally Helper'!$L$15:$GI$15,"&lt;="&amp;$BS119)))</f>
        <v/>
      </c>
      <c r="AC119" s="15" t="str">
        <f aca="false">IF(OR(G$7="",$BR119=""),"",IF('Tally Helper'!$B$18&lt;&gt;TRUE(),"not on Staff",SUMIFS('Tally Helper'!$L$20:$GI$20,'Tally Helper'!$L$18:$GI$18,"&gt;="&amp;$BR119,'Tally Helper'!$L$18:$GI$18,"&lt;="&amp;$BS119)))</f>
        <v/>
      </c>
      <c r="AD119" s="15" t="str">
        <f aca="false">IF(OR(H$7="",$BR119=""),"",IF('Tally Helper'!$B$21&lt;&gt;TRUE(),"not on Staff",SUMIFS('Tally Helper'!$L$23:$GI$23,'Tally Helper'!$L$21:$GI$21,"&gt;="&amp;$BR119,'Tally Helper'!$L$21:$GI$21,"&lt;="&amp;$BS119)))</f>
        <v/>
      </c>
      <c r="AE119" s="15" t="str">
        <f aca="false">IF(OR(I$7="",$BR119=""),"",IF('Tally Helper'!$B$24&lt;&gt;TRUE(),"not on Staff",SUMIFS('Tally Helper'!$L$26:$GI$26,'Tally Helper'!$L$24:$GI$24,"&gt;="&amp;$BR119,'Tally Helper'!$L$24:$GI$24,"&lt;="&amp;$BS119)))</f>
        <v/>
      </c>
      <c r="AF119" s="15" t="str">
        <f aca="false">IF(OR(J$7="",$BR119=""),"",IF('Tally Helper'!$B$27&lt;&gt;TRUE(),"not on Staff",SUMIFS('Tally Helper'!$L$29:$GI$29,'Tally Helper'!$L$27:$GI$27,"&gt;="&amp;$BR119,'Tally Helper'!$L$27:$GI$27,"&lt;="&amp;$BS119)))</f>
        <v/>
      </c>
      <c r="AG119" s="15" t="str">
        <f aca="false">IF(OR(K$7="",$BR119=""),"",IF('Tally Helper'!$B$30&lt;&gt;TRUE(),"not on Staff",SUMIFS('Tally Helper'!$L$32:$GI$32,'Tally Helper'!$L$30:$GI$30,"&gt;="&amp;$BR119,'Tally Helper'!$L$30:$GI$30,"&lt;="&amp;$BS119)))</f>
        <v/>
      </c>
      <c r="AH119" s="15" t="str">
        <f aca="false">IF(OR(L$7="",$BR119=""),"",IF('Tally Helper'!$B$33&lt;&gt;TRUE(),"not on Staff",SUMIFS('Tally Helper'!$L$35:$GI$35,'Tally Helper'!$L$33:$GI$33,"&gt;="&amp;$BR119,'Tally Helper'!$L$33:$GI$33,"&lt;="&amp;$BS119)))</f>
        <v/>
      </c>
      <c r="AI119" s="15" t="str">
        <f aca="false">IF(OR(M$7="",$BR119=""),"",IF('Tally Helper'!$B$36&lt;&gt;TRUE(),"not on Staff",SUMIFS('Tally Helper'!$L$38:$GI$38,'Tally Helper'!$L$36:$GI$36,"&gt;="&amp;$BR119,'Tally Helper'!$L$36:$GI$36,"&lt;="&amp;$BS119)))</f>
        <v/>
      </c>
      <c r="AJ119" s="15" t="str">
        <f aca="false">IF(OR(N$7="",$BR119=""),"",IF('Tally Helper'!$B$39&lt;&gt;TRUE(),"not on Staff",SUMIFS('Tally Helper'!$L$41:$GI$41,'Tally Helper'!$L$39:$GI$39,"&gt;="&amp;$BR119,'Tally Helper'!$L$39:$GI$39,"&lt;="&amp;$BS119)))</f>
        <v/>
      </c>
      <c r="AK119" s="15" t="str">
        <f aca="false">IF(OR(O$7="",$BR119=""),"",IF('Tally Helper'!$B$42&lt;&gt;TRUE(),"not on Staff",SUMIFS('Tally Helper'!$L$44:$GI$44,'Tally Helper'!$L$42:$GI$42,"&gt;="&amp;$BR119,'Tally Helper'!$L$42:$GI$42,"&lt;="&amp;$BS119)))</f>
        <v/>
      </c>
      <c r="AL119" s="15" t="str">
        <f aca="false">IF(OR(P$7="",$BR119=""),"",IF('Tally Helper'!$B$45&lt;&gt;TRUE(),"not on Staff",SUMIFS('Tally Helper'!$L$47:$GI$47,'Tally Helper'!$L$45:$GI$45,"&gt;="&amp;$BR119,'Tally Helper'!$L$45:$GI$45,"&lt;="&amp;$BS119)))</f>
        <v/>
      </c>
      <c r="AM119" s="15" t="str">
        <f aca="false">IF(OR(Q$7="",$BR119=""),"",IF('Tally Helper'!$B$48&lt;&gt;TRUE(),"not on Staff",SUMIFS('Tally Helper'!$L$50:$GI$50,'Tally Helper'!$L$48:$GI$48,"&gt;="&amp;$BR119,'Tally Helper'!$L$48:$GI$48,"&lt;="&amp;$BS119)))</f>
        <v/>
      </c>
      <c r="AN119" s="15" t="str">
        <f aca="false">IF(OR(R$7="",$BR119=""),"",IF('Tally Helper'!$B$51&lt;&gt;TRUE(),"not on Staff",SUMIFS('Tally Helper'!$L$53:$GI$53,'Tally Helper'!$L$51:$GI$51,"&gt;="&amp;$BR119,'Tally Helper'!$L$51:$GI$51,"&lt;="&amp;$BS119)))</f>
        <v/>
      </c>
      <c r="AO119" s="15" t="str">
        <f aca="false">IF(OR(S$7="",$BR119=""),"",IF('Tally Helper'!$B$54&lt;&gt;TRUE(),"not on Staff",SUMIFS('Tally Helper'!$L$56:$GI$56,'Tally Helper'!$L$54:$GI$54,"&gt;="&amp;$BR119,'Tally Helper'!$L$54:$GI$54,"&lt;="&amp;$BS119)))</f>
        <v/>
      </c>
      <c r="AP119" s="15" t="str">
        <f aca="false">IF(OR(T$7="",$BR119=""),"",IF('Tally Helper'!$B$57&lt;&gt;TRUE(),"not on Staff",SUMIFS('Tally Helper'!$L$59:$GI$59,'Tally Helper'!$L$57:$GI$57,"&gt;="&amp;$BR119,'Tally Helper'!$L$57:$GI$57,"&lt;="&amp;$BS119)))</f>
        <v/>
      </c>
      <c r="AQ119" s="15" t="str">
        <f aca="false">IF(OR(U$7="",$BR119=""),"",IF('Tally Helper'!$B$60&lt;&gt;TRUE(),"not on Staff",SUMIFS('Tally Helper'!$L$62:$GI$62,'Tally Helper'!$L$60:$GI$60,"&gt;="&amp;$BR119,'Tally Helper'!$L$60:$GI$60,"&lt;="&amp;$BS119)))</f>
        <v/>
      </c>
      <c r="AT119" s="15" t="str">
        <f aca="false">IF(OR(X119="",NOT(ISNUMBER(X119))),"",X119-N(B119))</f>
        <v/>
      </c>
      <c r="AU119" s="15" t="str">
        <f aca="false">IF(OR(Y119="",NOT(ISNUMBER(Y119))),"",Y119-N(C119))</f>
        <v/>
      </c>
      <c r="AV119" s="15" t="str">
        <f aca="false">IF(OR(Z119="",NOT(ISNUMBER(Z119))),"",Z119-N(D119))</f>
        <v/>
      </c>
      <c r="AW119" s="15" t="str">
        <f aca="false">IF(OR(AA119="",NOT(ISNUMBER(AA119))),"",AA119-N(E119))</f>
        <v/>
      </c>
      <c r="AX119" s="15" t="str">
        <f aca="false">IF(OR(AB119="",NOT(ISNUMBER(AB119))),"",AB119-N(F119))</f>
        <v/>
      </c>
      <c r="AY119" s="15" t="str">
        <f aca="false">IF(OR(AC119="",NOT(ISNUMBER(AC119))),"",AC119-N(G119))</f>
        <v/>
      </c>
      <c r="AZ119" s="15" t="str">
        <f aca="false">IF(OR(AD119="",NOT(ISNUMBER(AD119))),"",AD119-N(H119))</f>
        <v/>
      </c>
      <c r="BA119" s="15" t="str">
        <f aca="false">IF(OR(AE119="",NOT(ISNUMBER(AE119))),"",AE119-N(I119))</f>
        <v/>
      </c>
      <c r="BB119" s="15" t="str">
        <f aca="false">IF(OR(AF119="",NOT(ISNUMBER(AF119))),"",AF119-N(J119))</f>
        <v/>
      </c>
      <c r="BC119" s="15" t="str">
        <f aca="false">IF(OR(AG119="",NOT(ISNUMBER(AG119))),"",AG119-N(K119))</f>
        <v/>
      </c>
      <c r="BD119" s="15" t="str">
        <f aca="false">IF(OR(AH119="",NOT(ISNUMBER(AH119))),"",AH119-N(L119))</f>
        <v/>
      </c>
      <c r="BE119" s="15" t="str">
        <f aca="false">IF(OR(AI119="",NOT(ISNUMBER(AI119))),"",AI119-N(M119))</f>
        <v/>
      </c>
      <c r="BF119" s="15" t="str">
        <f aca="false">IF(OR(AJ119="",NOT(ISNUMBER(AJ119))),"",AJ119-N(N119))</f>
        <v/>
      </c>
      <c r="BG119" s="15" t="str">
        <f aca="false">IF(OR(AK119="",NOT(ISNUMBER(AK119))),"",AK119-N(O119))</f>
        <v/>
      </c>
      <c r="BH119" s="15" t="str">
        <f aca="false">IF(OR(AL119="",NOT(ISNUMBER(AL119))),"",AL119-N(P119))</f>
        <v/>
      </c>
      <c r="BI119" s="15" t="str">
        <f aca="false">IF(OR(AM119="",NOT(ISNUMBER(AM119))),"",AM119-N(Q119))</f>
        <v/>
      </c>
      <c r="BJ119" s="15" t="str">
        <f aca="false">IF(OR(AN119="",NOT(ISNUMBER(AN119))),"",AN119-N(R119))</f>
        <v/>
      </c>
      <c r="BK119" s="15" t="str">
        <f aca="false">IF(OR(AO119="",NOT(ISNUMBER(AO119))),"",AO119-N(S119))</f>
        <v/>
      </c>
      <c r="BL119" s="15" t="str">
        <f aca="false">IF(OR(AP119="",NOT(ISNUMBER(AP119))),"",AP119-N(T119))</f>
        <v/>
      </c>
      <c r="BM119" s="15" t="str">
        <f aca="false">IF(OR(AQ119="",NOT(ISNUMBER(AQ119))),"",AQ119-N(U119))</f>
        <v/>
      </c>
      <c r="BR119" s="18" t="str">
        <f aca="false">IF($A119="","",IF(ISNUMBER($A119),DATE(YEAR($A119),MONTH($A119),1),IFERROR(DATE(2000+VALUE(RIGHT(TRIM($A119),2)),MATCH(UPPER(LEFT(TRIM($A119),3)),{"JAN","FEB","MAR","APR","MAY","JUN","JUL","AUG","SEP","OCT","NOV","DEC"},0),1),"")))</f>
        <v/>
      </c>
      <c r="BS119" s="18" t="str">
        <f aca="false">IF(BR119="","",EOMONTH(BR119,0))</f>
        <v/>
      </c>
    </row>
    <row r="120" customFormat="false" ht="15" hidden="false" customHeight="false" outlineLevel="0" collapsed="false">
      <c r="B120" s="19"/>
      <c r="C120" s="19"/>
      <c r="D120" s="19"/>
      <c r="E120" s="19"/>
      <c r="F120" s="19"/>
      <c r="G120" s="19"/>
      <c r="H120" s="19"/>
      <c r="I120" s="19"/>
      <c r="J120" s="19"/>
      <c r="K120" s="19"/>
      <c r="L120" s="19"/>
      <c r="M120" s="19"/>
      <c r="N120" s="19"/>
      <c r="O120" s="19"/>
      <c r="P120" s="19"/>
      <c r="Q120" s="19"/>
      <c r="R120" s="19"/>
      <c r="S120" s="19"/>
      <c r="T120" s="19"/>
      <c r="U120" s="19"/>
      <c r="X120" s="15" t="str">
        <f aca="false">IF(OR(B$7="",$BR120=""),"",IF('Tally Helper'!$B$3&lt;&gt;TRUE(),"not on Staff",SUMIFS('Tally Helper'!$L$5:$GI$5,'Tally Helper'!$L$3:$GI$3,"&gt;="&amp;$BR120,'Tally Helper'!$L$3:$GI$3,"&lt;="&amp;$BS120)))</f>
        <v/>
      </c>
      <c r="Y120" s="15" t="str">
        <f aca="false">IF(OR(C$7="",$BR120=""),"",IF('Tally Helper'!$B$6&lt;&gt;TRUE(),"not on Staff",SUMIFS('Tally Helper'!$L$8:$GI$8,'Tally Helper'!$L$6:$GI$6,"&gt;="&amp;$BR120,'Tally Helper'!$L$6:$GI$6,"&lt;="&amp;$BS120)))</f>
        <v/>
      </c>
      <c r="Z120" s="15" t="str">
        <f aca="false">IF(OR(D$7="",$BR120=""),"",IF('Tally Helper'!$B$9&lt;&gt;TRUE(),"not on Staff",SUMIFS('Tally Helper'!$L$11:$GI$11,'Tally Helper'!$L$9:$GI$9,"&gt;="&amp;$BR120,'Tally Helper'!$L$9:$GI$9,"&lt;="&amp;$BS120)))</f>
        <v/>
      </c>
      <c r="AA120" s="15" t="str">
        <f aca="false">IF(OR(E$7="",$BR120=""),"",IF('Tally Helper'!$B$12&lt;&gt;TRUE(),"not on Staff",SUMIFS('Tally Helper'!$L$14:$GI$14,'Tally Helper'!$L$12:$GI$12,"&gt;="&amp;$BR120,'Tally Helper'!$L$12:$GI$12,"&lt;="&amp;$BS120)))</f>
        <v/>
      </c>
      <c r="AB120" s="15" t="str">
        <f aca="false">IF(OR(F$7="",$BR120=""),"",IF('Tally Helper'!$B$15&lt;&gt;TRUE(),"not on Staff",SUMIFS('Tally Helper'!$L$17:$GI$17,'Tally Helper'!$L$15:$GI$15,"&gt;="&amp;$BR120,'Tally Helper'!$L$15:$GI$15,"&lt;="&amp;$BS120)))</f>
        <v/>
      </c>
      <c r="AC120" s="15" t="str">
        <f aca="false">IF(OR(G$7="",$BR120=""),"",IF('Tally Helper'!$B$18&lt;&gt;TRUE(),"not on Staff",SUMIFS('Tally Helper'!$L$20:$GI$20,'Tally Helper'!$L$18:$GI$18,"&gt;="&amp;$BR120,'Tally Helper'!$L$18:$GI$18,"&lt;="&amp;$BS120)))</f>
        <v/>
      </c>
      <c r="AD120" s="15" t="str">
        <f aca="false">IF(OR(H$7="",$BR120=""),"",IF('Tally Helper'!$B$21&lt;&gt;TRUE(),"not on Staff",SUMIFS('Tally Helper'!$L$23:$GI$23,'Tally Helper'!$L$21:$GI$21,"&gt;="&amp;$BR120,'Tally Helper'!$L$21:$GI$21,"&lt;="&amp;$BS120)))</f>
        <v/>
      </c>
      <c r="AE120" s="15" t="str">
        <f aca="false">IF(OR(I$7="",$BR120=""),"",IF('Tally Helper'!$B$24&lt;&gt;TRUE(),"not on Staff",SUMIFS('Tally Helper'!$L$26:$GI$26,'Tally Helper'!$L$24:$GI$24,"&gt;="&amp;$BR120,'Tally Helper'!$L$24:$GI$24,"&lt;="&amp;$BS120)))</f>
        <v/>
      </c>
      <c r="AF120" s="15" t="str">
        <f aca="false">IF(OR(J$7="",$BR120=""),"",IF('Tally Helper'!$B$27&lt;&gt;TRUE(),"not on Staff",SUMIFS('Tally Helper'!$L$29:$GI$29,'Tally Helper'!$L$27:$GI$27,"&gt;="&amp;$BR120,'Tally Helper'!$L$27:$GI$27,"&lt;="&amp;$BS120)))</f>
        <v/>
      </c>
      <c r="AG120" s="15" t="str">
        <f aca="false">IF(OR(K$7="",$BR120=""),"",IF('Tally Helper'!$B$30&lt;&gt;TRUE(),"not on Staff",SUMIFS('Tally Helper'!$L$32:$GI$32,'Tally Helper'!$L$30:$GI$30,"&gt;="&amp;$BR120,'Tally Helper'!$L$30:$GI$30,"&lt;="&amp;$BS120)))</f>
        <v/>
      </c>
      <c r="AH120" s="15" t="str">
        <f aca="false">IF(OR(L$7="",$BR120=""),"",IF('Tally Helper'!$B$33&lt;&gt;TRUE(),"not on Staff",SUMIFS('Tally Helper'!$L$35:$GI$35,'Tally Helper'!$L$33:$GI$33,"&gt;="&amp;$BR120,'Tally Helper'!$L$33:$GI$33,"&lt;="&amp;$BS120)))</f>
        <v/>
      </c>
      <c r="AI120" s="15" t="str">
        <f aca="false">IF(OR(M$7="",$BR120=""),"",IF('Tally Helper'!$B$36&lt;&gt;TRUE(),"not on Staff",SUMIFS('Tally Helper'!$L$38:$GI$38,'Tally Helper'!$L$36:$GI$36,"&gt;="&amp;$BR120,'Tally Helper'!$L$36:$GI$36,"&lt;="&amp;$BS120)))</f>
        <v/>
      </c>
      <c r="AJ120" s="15" t="str">
        <f aca="false">IF(OR(N$7="",$BR120=""),"",IF('Tally Helper'!$B$39&lt;&gt;TRUE(),"not on Staff",SUMIFS('Tally Helper'!$L$41:$GI$41,'Tally Helper'!$L$39:$GI$39,"&gt;="&amp;$BR120,'Tally Helper'!$L$39:$GI$39,"&lt;="&amp;$BS120)))</f>
        <v/>
      </c>
      <c r="AK120" s="15" t="str">
        <f aca="false">IF(OR(O$7="",$BR120=""),"",IF('Tally Helper'!$B$42&lt;&gt;TRUE(),"not on Staff",SUMIFS('Tally Helper'!$L$44:$GI$44,'Tally Helper'!$L$42:$GI$42,"&gt;="&amp;$BR120,'Tally Helper'!$L$42:$GI$42,"&lt;="&amp;$BS120)))</f>
        <v/>
      </c>
      <c r="AL120" s="15" t="str">
        <f aca="false">IF(OR(P$7="",$BR120=""),"",IF('Tally Helper'!$B$45&lt;&gt;TRUE(),"not on Staff",SUMIFS('Tally Helper'!$L$47:$GI$47,'Tally Helper'!$L$45:$GI$45,"&gt;="&amp;$BR120,'Tally Helper'!$L$45:$GI$45,"&lt;="&amp;$BS120)))</f>
        <v/>
      </c>
      <c r="AM120" s="15" t="str">
        <f aca="false">IF(OR(Q$7="",$BR120=""),"",IF('Tally Helper'!$B$48&lt;&gt;TRUE(),"not on Staff",SUMIFS('Tally Helper'!$L$50:$GI$50,'Tally Helper'!$L$48:$GI$48,"&gt;="&amp;$BR120,'Tally Helper'!$L$48:$GI$48,"&lt;="&amp;$BS120)))</f>
        <v/>
      </c>
      <c r="AN120" s="15" t="str">
        <f aca="false">IF(OR(R$7="",$BR120=""),"",IF('Tally Helper'!$B$51&lt;&gt;TRUE(),"not on Staff",SUMIFS('Tally Helper'!$L$53:$GI$53,'Tally Helper'!$L$51:$GI$51,"&gt;="&amp;$BR120,'Tally Helper'!$L$51:$GI$51,"&lt;="&amp;$BS120)))</f>
        <v/>
      </c>
      <c r="AO120" s="15" t="str">
        <f aca="false">IF(OR(S$7="",$BR120=""),"",IF('Tally Helper'!$B$54&lt;&gt;TRUE(),"not on Staff",SUMIFS('Tally Helper'!$L$56:$GI$56,'Tally Helper'!$L$54:$GI$54,"&gt;="&amp;$BR120,'Tally Helper'!$L$54:$GI$54,"&lt;="&amp;$BS120)))</f>
        <v/>
      </c>
      <c r="AP120" s="15" t="str">
        <f aca="false">IF(OR(T$7="",$BR120=""),"",IF('Tally Helper'!$B$57&lt;&gt;TRUE(),"not on Staff",SUMIFS('Tally Helper'!$L$59:$GI$59,'Tally Helper'!$L$57:$GI$57,"&gt;="&amp;$BR120,'Tally Helper'!$L$57:$GI$57,"&lt;="&amp;$BS120)))</f>
        <v/>
      </c>
      <c r="AQ120" s="15" t="str">
        <f aca="false">IF(OR(U$7="",$BR120=""),"",IF('Tally Helper'!$B$60&lt;&gt;TRUE(),"not on Staff",SUMIFS('Tally Helper'!$L$62:$GI$62,'Tally Helper'!$L$60:$GI$60,"&gt;="&amp;$BR120,'Tally Helper'!$L$60:$GI$60,"&lt;="&amp;$BS120)))</f>
        <v/>
      </c>
      <c r="AT120" s="15" t="str">
        <f aca="false">IF(OR(X120="",NOT(ISNUMBER(X120))),"",X120-N(B120))</f>
        <v/>
      </c>
      <c r="AU120" s="15" t="str">
        <f aca="false">IF(OR(Y120="",NOT(ISNUMBER(Y120))),"",Y120-N(C120))</f>
        <v/>
      </c>
      <c r="AV120" s="15" t="str">
        <f aca="false">IF(OR(Z120="",NOT(ISNUMBER(Z120))),"",Z120-N(D120))</f>
        <v/>
      </c>
      <c r="AW120" s="15" t="str">
        <f aca="false">IF(OR(AA120="",NOT(ISNUMBER(AA120))),"",AA120-N(E120))</f>
        <v/>
      </c>
      <c r="AX120" s="15" t="str">
        <f aca="false">IF(OR(AB120="",NOT(ISNUMBER(AB120))),"",AB120-N(F120))</f>
        <v/>
      </c>
      <c r="AY120" s="15" t="str">
        <f aca="false">IF(OR(AC120="",NOT(ISNUMBER(AC120))),"",AC120-N(G120))</f>
        <v/>
      </c>
      <c r="AZ120" s="15" t="str">
        <f aca="false">IF(OR(AD120="",NOT(ISNUMBER(AD120))),"",AD120-N(H120))</f>
        <v/>
      </c>
      <c r="BA120" s="15" t="str">
        <f aca="false">IF(OR(AE120="",NOT(ISNUMBER(AE120))),"",AE120-N(I120))</f>
        <v/>
      </c>
      <c r="BB120" s="15" t="str">
        <f aca="false">IF(OR(AF120="",NOT(ISNUMBER(AF120))),"",AF120-N(J120))</f>
        <v/>
      </c>
      <c r="BC120" s="15" t="str">
        <f aca="false">IF(OR(AG120="",NOT(ISNUMBER(AG120))),"",AG120-N(K120))</f>
        <v/>
      </c>
      <c r="BD120" s="15" t="str">
        <f aca="false">IF(OR(AH120="",NOT(ISNUMBER(AH120))),"",AH120-N(L120))</f>
        <v/>
      </c>
      <c r="BE120" s="15" t="str">
        <f aca="false">IF(OR(AI120="",NOT(ISNUMBER(AI120))),"",AI120-N(M120))</f>
        <v/>
      </c>
      <c r="BF120" s="15" t="str">
        <f aca="false">IF(OR(AJ120="",NOT(ISNUMBER(AJ120))),"",AJ120-N(N120))</f>
        <v/>
      </c>
      <c r="BG120" s="15" t="str">
        <f aca="false">IF(OR(AK120="",NOT(ISNUMBER(AK120))),"",AK120-N(O120))</f>
        <v/>
      </c>
      <c r="BH120" s="15" t="str">
        <f aca="false">IF(OR(AL120="",NOT(ISNUMBER(AL120))),"",AL120-N(P120))</f>
        <v/>
      </c>
      <c r="BI120" s="15" t="str">
        <f aca="false">IF(OR(AM120="",NOT(ISNUMBER(AM120))),"",AM120-N(Q120))</f>
        <v/>
      </c>
      <c r="BJ120" s="15" t="str">
        <f aca="false">IF(OR(AN120="",NOT(ISNUMBER(AN120))),"",AN120-N(R120))</f>
        <v/>
      </c>
      <c r="BK120" s="15" t="str">
        <f aca="false">IF(OR(AO120="",NOT(ISNUMBER(AO120))),"",AO120-N(S120))</f>
        <v/>
      </c>
      <c r="BL120" s="15" t="str">
        <f aca="false">IF(OR(AP120="",NOT(ISNUMBER(AP120))),"",AP120-N(T120))</f>
        <v/>
      </c>
      <c r="BM120" s="15" t="str">
        <f aca="false">IF(OR(AQ120="",NOT(ISNUMBER(AQ120))),"",AQ120-N(U120))</f>
        <v/>
      </c>
      <c r="BR120" s="18" t="str">
        <f aca="false">IF($A120="","",IF(ISNUMBER($A120),DATE(YEAR($A120),MONTH($A120),1),IFERROR(DATE(2000+VALUE(RIGHT(TRIM($A120),2)),MATCH(UPPER(LEFT(TRIM($A120),3)),{"JAN","FEB","MAR","APR","MAY","JUN","JUL","AUG","SEP","OCT","NOV","DEC"},0),1),"")))</f>
        <v/>
      </c>
      <c r="BS120" s="18" t="str">
        <f aca="false">IF(BR120="","",EOMONTH(BR120,0))</f>
        <v/>
      </c>
    </row>
    <row r="121" customFormat="false" ht="15" hidden="false" customHeight="false" outlineLevel="0" collapsed="false">
      <c r="B121" s="19"/>
      <c r="C121" s="19"/>
      <c r="D121" s="19"/>
      <c r="E121" s="19"/>
      <c r="F121" s="19"/>
      <c r="G121" s="19"/>
      <c r="H121" s="19"/>
      <c r="I121" s="19"/>
      <c r="J121" s="19"/>
      <c r="K121" s="19"/>
      <c r="L121" s="19"/>
      <c r="M121" s="19"/>
      <c r="N121" s="19"/>
      <c r="O121" s="19"/>
      <c r="P121" s="19"/>
      <c r="Q121" s="19"/>
      <c r="R121" s="19"/>
      <c r="S121" s="19"/>
      <c r="T121" s="19"/>
      <c r="U121" s="19"/>
      <c r="X121" s="15" t="str">
        <f aca="false">IF(OR(B$7="",$BR121=""),"",IF('Tally Helper'!$B$3&lt;&gt;TRUE(),"not on Staff",SUMIFS('Tally Helper'!$L$5:$GI$5,'Tally Helper'!$L$3:$GI$3,"&gt;="&amp;$BR121,'Tally Helper'!$L$3:$GI$3,"&lt;="&amp;$BS121)))</f>
        <v/>
      </c>
      <c r="Y121" s="15" t="str">
        <f aca="false">IF(OR(C$7="",$BR121=""),"",IF('Tally Helper'!$B$6&lt;&gt;TRUE(),"not on Staff",SUMIFS('Tally Helper'!$L$8:$GI$8,'Tally Helper'!$L$6:$GI$6,"&gt;="&amp;$BR121,'Tally Helper'!$L$6:$GI$6,"&lt;="&amp;$BS121)))</f>
        <v/>
      </c>
      <c r="Z121" s="15" t="str">
        <f aca="false">IF(OR(D$7="",$BR121=""),"",IF('Tally Helper'!$B$9&lt;&gt;TRUE(),"not on Staff",SUMIFS('Tally Helper'!$L$11:$GI$11,'Tally Helper'!$L$9:$GI$9,"&gt;="&amp;$BR121,'Tally Helper'!$L$9:$GI$9,"&lt;="&amp;$BS121)))</f>
        <v/>
      </c>
      <c r="AA121" s="15" t="str">
        <f aca="false">IF(OR(E$7="",$BR121=""),"",IF('Tally Helper'!$B$12&lt;&gt;TRUE(),"not on Staff",SUMIFS('Tally Helper'!$L$14:$GI$14,'Tally Helper'!$L$12:$GI$12,"&gt;="&amp;$BR121,'Tally Helper'!$L$12:$GI$12,"&lt;="&amp;$BS121)))</f>
        <v/>
      </c>
      <c r="AB121" s="15" t="str">
        <f aca="false">IF(OR(F$7="",$BR121=""),"",IF('Tally Helper'!$B$15&lt;&gt;TRUE(),"not on Staff",SUMIFS('Tally Helper'!$L$17:$GI$17,'Tally Helper'!$L$15:$GI$15,"&gt;="&amp;$BR121,'Tally Helper'!$L$15:$GI$15,"&lt;="&amp;$BS121)))</f>
        <v/>
      </c>
      <c r="AC121" s="15" t="str">
        <f aca="false">IF(OR(G$7="",$BR121=""),"",IF('Tally Helper'!$B$18&lt;&gt;TRUE(),"not on Staff",SUMIFS('Tally Helper'!$L$20:$GI$20,'Tally Helper'!$L$18:$GI$18,"&gt;="&amp;$BR121,'Tally Helper'!$L$18:$GI$18,"&lt;="&amp;$BS121)))</f>
        <v/>
      </c>
      <c r="AD121" s="15" t="str">
        <f aca="false">IF(OR(H$7="",$BR121=""),"",IF('Tally Helper'!$B$21&lt;&gt;TRUE(),"not on Staff",SUMIFS('Tally Helper'!$L$23:$GI$23,'Tally Helper'!$L$21:$GI$21,"&gt;="&amp;$BR121,'Tally Helper'!$L$21:$GI$21,"&lt;="&amp;$BS121)))</f>
        <v/>
      </c>
      <c r="AE121" s="15" t="str">
        <f aca="false">IF(OR(I$7="",$BR121=""),"",IF('Tally Helper'!$B$24&lt;&gt;TRUE(),"not on Staff",SUMIFS('Tally Helper'!$L$26:$GI$26,'Tally Helper'!$L$24:$GI$24,"&gt;="&amp;$BR121,'Tally Helper'!$L$24:$GI$24,"&lt;="&amp;$BS121)))</f>
        <v/>
      </c>
      <c r="AF121" s="15" t="str">
        <f aca="false">IF(OR(J$7="",$BR121=""),"",IF('Tally Helper'!$B$27&lt;&gt;TRUE(),"not on Staff",SUMIFS('Tally Helper'!$L$29:$GI$29,'Tally Helper'!$L$27:$GI$27,"&gt;="&amp;$BR121,'Tally Helper'!$L$27:$GI$27,"&lt;="&amp;$BS121)))</f>
        <v/>
      </c>
      <c r="AG121" s="15" t="str">
        <f aca="false">IF(OR(K$7="",$BR121=""),"",IF('Tally Helper'!$B$30&lt;&gt;TRUE(),"not on Staff",SUMIFS('Tally Helper'!$L$32:$GI$32,'Tally Helper'!$L$30:$GI$30,"&gt;="&amp;$BR121,'Tally Helper'!$L$30:$GI$30,"&lt;="&amp;$BS121)))</f>
        <v/>
      </c>
      <c r="AH121" s="15" t="str">
        <f aca="false">IF(OR(L$7="",$BR121=""),"",IF('Tally Helper'!$B$33&lt;&gt;TRUE(),"not on Staff",SUMIFS('Tally Helper'!$L$35:$GI$35,'Tally Helper'!$L$33:$GI$33,"&gt;="&amp;$BR121,'Tally Helper'!$L$33:$GI$33,"&lt;="&amp;$BS121)))</f>
        <v/>
      </c>
      <c r="AI121" s="15" t="str">
        <f aca="false">IF(OR(M$7="",$BR121=""),"",IF('Tally Helper'!$B$36&lt;&gt;TRUE(),"not on Staff",SUMIFS('Tally Helper'!$L$38:$GI$38,'Tally Helper'!$L$36:$GI$36,"&gt;="&amp;$BR121,'Tally Helper'!$L$36:$GI$36,"&lt;="&amp;$BS121)))</f>
        <v/>
      </c>
      <c r="AJ121" s="15" t="str">
        <f aca="false">IF(OR(N$7="",$BR121=""),"",IF('Tally Helper'!$B$39&lt;&gt;TRUE(),"not on Staff",SUMIFS('Tally Helper'!$L$41:$GI$41,'Tally Helper'!$L$39:$GI$39,"&gt;="&amp;$BR121,'Tally Helper'!$L$39:$GI$39,"&lt;="&amp;$BS121)))</f>
        <v/>
      </c>
      <c r="AK121" s="15" t="str">
        <f aca="false">IF(OR(O$7="",$BR121=""),"",IF('Tally Helper'!$B$42&lt;&gt;TRUE(),"not on Staff",SUMIFS('Tally Helper'!$L$44:$GI$44,'Tally Helper'!$L$42:$GI$42,"&gt;="&amp;$BR121,'Tally Helper'!$L$42:$GI$42,"&lt;="&amp;$BS121)))</f>
        <v/>
      </c>
      <c r="AL121" s="15" t="str">
        <f aca="false">IF(OR(P$7="",$BR121=""),"",IF('Tally Helper'!$B$45&lt;&gt;TRUE(),"not on Staff",SUMIFS('Tally Helper'!$L$47:$GI$47,'Tally Helper'!$L$45:$GI$45,"&gt;="&amp;$BR121,'Tally Helper'!$L$45:$GI$45,"&lt;="&amp;$BS121)))</f>
        <v/>
      </c>
      <c r="AM121" s="15" t="str">
        <f aca="false">IF(OR(Q$7="",$BR121=""),"",IF('Tally Helper'!$B$48&lt;&gt;TRUE(),"not on Staff",SUMIFS('Tally Helper'!$L$50:$GI$50,'Tally Helper'!$L$48:$GI$48,"&gt;="&amp;$BR121,'Tally Helper'!$L$48:$GI$48,"&lt;="&amp;$BS121)))</f>
        <v/>
      </c>
      <c r="AN121" s="15" t="str">
        <f aca="false">IF(OR(R$7="",$BR121=""),"",IF('Tally Helper'!$B$51&lt;&gt;TRUE(),"not on Staff",SUMIFS('Tally Helper'!$L$53:$GI$53,'Tally Helper'!$L$51:$GI$51,"&gt;="&amp;$BR121,'Tally Helper'!$L$51:$GI$51,"&lt;="&amp;$BS121)))</f>
        <v/>
      </c>
      <c r="AO121" s="15" t="str">
        <f aca="false">IF(OR(S$7="",$BR121=""),"",IF('Tally Helper'!$B$54&lt;&gt;TRUE(),"not on Staff",SUMIFS('Tally Helper'!$L$56:$GI$56,'Tally Helper'!$L$54:$GI$54,"&gt;="&amp;$BR121,'Tally Helper'!$L$54:$GI$54,"&lt;="&amp;$BS121)))</f>
        <v/>
      </c>
      <c r="AP121" s="15" t="str">
        <f aca="false">IF(OR(T$7="",$BR121=""),"",IF('Tally Helper'!$B$57&lt;&gt;TRUE(),"not on Staff",SUMIFS('Tally Helper'!$L$59:$GI$59,'Tally Helper'!$L$57:$GI$57,"&gt;="&amp;$BR121,'Tally Helper'!$L$57:$GI$57,"&lt;="&amp;$BS121)))</f>
        <v/>
      </c>
      <c r="AQ121" s="15" t="str">
        <f aca="false">IF(OR(U$7="",$BR121=""),"",IF('Tally Helper'!$B$60&lt;&gt;TRUE(),"not on Staff",SUMIFS('Tally Helper'!$L$62:$GI$62,'Tally Helper'!$L$60:$GI$60,"&gt;="&amp;$BR121,'Tally Helper'!$L$60:$GI$60,"&lt;="&amp;$BS121)))</f>
        <v/>
      </c>
      <c r="AT121" s="15" t="str">
        <f aca="false">IF(OR(X121="",NOT(ISNUMBER(X121))),"",X121-N(B121))</f>
        <v/>
      </c>
      <c r="AU121" s="15" t="str">
        <f aca="false">IF(OR(Y121="",NOT(ISNUMBER(Y121))),"",Y121-N(C121))</f>
        <v/>
      </c>
      <c r="AV121" s="15" t="str">
        <f aca="false">IF(OR(Z121="",NOT(ISNUMBER(Z121))),"",Z121-N(D121))</f>
        <v/>
      </c>
      <c r="AW121" s="15" t="str">
        <f aca="false">IF(OR(AA121="",NOT(ISNUMBER(AA121))),"",AA121-N(E121))</f>
        <v/>
      </c>
      <c r="AX121" s="15" t="str">
        <f aca="false">IF(OR(AB121="",NOT(ISNUMBER(AB121))),"",AB121-N(F121))</f>
        <v/>
      </c>
      <c r="AY121" s="15" t="str">
        <f aca="false">IF(OR(AC121="",NOT(ISNUMBER(AC121))),"",AC121-N(G121))</f>
        <v/>
      </c>
      <c r="AZ121" s="15" t="str">
        <f aca="false">IF(OR(AD121="",NOT(ISNUMBER(AD121))),"",AD121-N(H121))</f>
        <v/>
      </c>
      <c r="BA121" s="15" t="str">
        <f aca="false">IF(OR(AE121="",NOT(ISNUMBER(AE121))),"",AE121-N(I121))</f>
        <v/>
      </c>
      <c r="BB121" s="15" t="str">
        <f aca="false">IF(OR(AF121="",NOT(ISNUMBER(AF121))),"",AF121-N(J121))</f>
        <v/>
      </c>
      <c r="BC121" s="15" t="str">
        <f aca="false">IF(OR(AG121="",NOT(ISNUMBER(AG121))),"",AG121-N(K121))</f>
        <v/>
      </c>
      <c r="BD121" s="15" t="str">
        <f aca="false">IF(OR(AH121="",NOT(ISNUMBER(AH121))),"",AH121-N(L121))</f>
        <v/>
      </c>
      <c r="BE121" s="15" t="str">
        <f aca="false">IF(OR(AI121="",NOT(ISNUMBER(AI121))),"",AI121-N(M121))</f>
        <v/>
      </c>
      <c r="BF121" s="15" t="str">
        <f aca="false">IF(OR(AJ121="",NOT(ISNUMBER(AJ121))),"",AJ121-N(N121))</f>
        <v/>
      </c>
      <c r="BG121" s="15" t="str">
        <f aca="false">IF(OR(AK121="",NOT(ISNUMBER(AK121))),"",AK121-N(O121))</f>
        <v/>
      </c>
      <c r="BH121" s="15" t="str">
        <f aca="false">IF(OR(AL121="",NOT(ISNUMBER(AL121))),"",AL121-N(P121))</f>
        <v/>
      </c>
      <c r="BI121" s="15" t="str">
        <f aca="false">IF(OR(AM121="",NOT(ISNUMBER(AM121))),"",AM121-N(Q121))</f>
        <v/>
      </c>
      <c r="BJ121" s="15" t="str">
        <f aca="false">IF(OR(AN121="",NOT(ISNUMBER(AN121))),"",AN121-N(R121))</f>
        <v/>
      </c>
      <c r="BK121" s="15" t="str">
        <f aca="false">IF(OR(AO121="",NOT(ISNUMBER(AO121))),"",AO121-N(S121))</f>
        <v/>
      </c>
      <c r="BL121" s="15" t="str">
        <f aca="false">IF(OR(AP121="",NOT(ISNUMBER(AP121))),"",AP121-N(T121))</f>
        <v/>
      </c>
      <c r="BM121" s="15" t="str">
        <f aca="false">IF(OR(AQ121="",NOT(ISNUMBER(AQ121))),"",AQ121-N(U121))</f>
        <v/>
      </c>
      <c r="BR121" s="18" t="str">
        <f aca="false">IF($A121="","",IF(ISNUMBER($A121),DATE(YEAR($A121),MONTH($A121),1),IFERROR(DATE(2000+VALUE(RIGHT(TRIM($A121),2)),MATCH(UPPER(LEFT(TRIM($A121),3)),{"JAN","FEB","MAR","APR","MAY","JUN","JUL","AUG","SEP","OCT","NOV","DEC"},0),1),"")))</f>
        <v/>
      </c>
      <c r="BS121" s="18" t="str">
        <f aca="false">IF(BR121="","",EOMONTH(BR121,0))</f>
        <v/>
      </c>
    </row>
    <row r="122" customFormat="false" ht="15" hidden="false" customHeight="false" outlineLevel="0" collapsed="false">
      <c r="B122" s="19"/>
      <c r="C122" s="19"/>
      <c r="D122" s="19"/>
      <c r="E122" s="19"/>
      <c r="F122" s="19"/>
      <c r="G122" s="19"/>
      <c r="H122" s="19"/>
      <c r="I122" s="19"/>
      <c r="J122" s="19"/>
      <c r="K122" s="19"/>
      <c r="L122" s="19"/>
      <c r="M122" s="19"/>
      <c r="N122" s="19"/>
      <c r="O122" s="19"/>
      <c r="P122" s="19"/>
      <c r="Q122" s="19"/>
      <c r="R122" s="19"/>
      <c r="S122" s="19"/>
      <c r="T122" s="19"/>
      <c r="U122" s="19"/>
      <c r="X122" s="15" t="str">
        <f aca="false">IF(OR(B$7="",$BR122=""),"",IF('Tally Helper'!$B$3&lt;&gt;TRUE(),"not on Staff",SUMIFS('Tally Helper'!$L$5:$GI$5,'Tally Helper'!$L$3:$GI$3,"&gt;="&amp;$BR122,'Tally Helper'!$L$3:$GI$3,"&lt;="&amp;$BS122)))</f>
        <v/>
      </c>
      <c r="Y122" s="15" t="str">
        <f aca="false">IF(OR(C$7="",$BR122=""),"",IF('Tally Helper'!$B$6&lt;&gt;TRUE(),"not on Staff",SUMIFS('Tally Helper'!$L$8:$GI$8,'Tally Helper'!$L$6:$GI$6,"&gt;="&amp;$BR122,'Tally Helper'!$L$6:$GI$6,"&lt;="&amp;$BS122)))</f>
        <v/>
      </c>
      <c r="Z122" s="15" t="str">
        <f aca="false">IF(OR(D$7="",$BR122=""),"",IF('Tally Helper'!$B$9&lt;&gt;TRUE(),"not on Staff",SUMIFS('Tally Helper'!$L$11:$GI$11,'Tally Helper'!$L$9:$GI$9,"&gt;="&amp;$BR122,'Tally Helper'!$L$9:$GI$9,"&lt;="&amp;$BS122)))</f>
        <v/>
      </c>
      <c r="AA122" s="15" t="str">
        <f aca="false">IF(OR(E$7="",$BR122=""),"",IF('Tally Helper'!$B$12&lt;&gt;TRUE(),"not on Staff",SUMIFS('Tally Helper'!$L$14:$GI$14,'Tally Helper'!$L$12:$GI$12,"&gt;="&amp;$BR122,'Tally Helper'!$L$12:$GI$12,"&lt;="&amp;$BS122)))</f>
        <v/>
      </c>
      <c r="AB122" s="15" t="str">
        <f aca="false">IF(OR(F$7="",$BR122=""),"",IF('Tally Helper'!$B$15&lt;&gt;TRUE(),"not on Staff",SUMIFS('Tally Helper'!$L$17:$GI$17,'Tally Helper'!$L$15:$GI$15,"&gt;="&amp;$BR122,'Tally Helper'!$L$15:$GI$15,"&lt;="&amp;$BS122)))</f>
        <v/>
      </c>
      <c r="AC122" s="15" t="str">
        <f aca="false">IF(OR(G$7="",$BR122=""),"",IF('Tally Helper'!$B$18&lt;&gt;TRUE(),"not on Staff",SUMIFS('Tally Helper'!$L$20:$GI$20,'Tally Helper'!$L$18:$GI$18,"&gt;="&amp;$BR122,'Tally Helper'!$L$18:$GI$18,"&lt;="&amp;$BS122)))</f>
        <v/>
      </c>
      <c r="AD122" s="15" t="str">
        <f aca="false">IF(OR(H$7="",$BR122=""),"",IF('Tally Helper'!$B$21&lt;&gt;TRUE(),"not on Staff",SUMIFS('Tally Helper'!$L$23:$GI$23,'Tally Helper'!$L$21:$GI$21,"&gt;="&amp;$BR122,'Tally Helper'!$L$21:$GI$21,"&lt;="&amp;$BS122)))</f>
        <v/>
      </c>
      <c r="AE122" s="15" t="str">
        <f aca="false">IF(OR(I$7="",$BR122=""),"",IF('Tally Helper'!$B$24&lt;&gt;TRUE(),"not on Staff",SUMIFS('Tally Helper'!$L$26:$GI$26,'Tally Helper'!$L$24:$GI$24,"&gt;="&amp;$BR122,'Tally Helper'!$L$24:$GI$24,"&lt;="&amp;$BS122)))</f>
        <v/>
      </c>
      <c r="AF122" s="15" t="str">
        <f aca="false">IF(OR(J$7="",$BR122=""),"",IF('Tally Helper'!$B$27&lt;&gt;TRUE(),"not on Staff",SUMIFS('Tally Helper'!$L$29:$GI$29,'Tally Helper'!$L$27:$GI$27,"&gt;="&amp;$BR122,'Tally Helper'!$L$27:$GI$27,"&lt;="&amp;$BS122)))</f>
        <v/>
      </c>
      <c r="AG122" s="15" t="str">
        <f aca="false">IF(OR(K$7="",$BR122=""),"",IF('Tally Helper'!$B$30&lt;&gt;TRUE(),"not on Staff",SUMIFS('Tally Helper'!$L$32:$GI$32,'Tally Helper'!$L$30:$GI$30,"&gt;="&amp;$BR122,'Tally Helper'!$L$30:$GI$30,"&lt;="&amp;$BS122)))</f>
        <v/>
      </c>
      <c r="AH122" s="15" t="str">
        <f aca="false">IF(OR(L$7="",$BR122=""),"",IF('Tally Helper'!$B$33&lt;&gt;TRUE(),"not on Staff",SUMIFS('Tally Helper'!$L$35:$GI$35,'Tally Helper'!$L$33:$GI$33,"&gt;="&amp;$BR122,'Tally Helper'!$L$33:$GI$33,"&lt;="&amp;$BS122)))</f>
        <v/>
      </c>
      <c r="AI122" s="15" t="str">
        <f aca="false">IF(OR(M$7="",$BR122=""),"",IF('Tally Helper'!$B$36&lt;&gt;TRUE(),"not on Staff",SUMIFS('Tally Helper'!$L$38:$GI$38,'Tally Helper'!$L$36:$GI$36,"&gt;="&amp;$BR122,'Tally Helper'!$L$36:$GI$36,"&lt;="&amp;$BS122)))</f>
        <v/>
      </c>
      <c r="AJ122" s="15" t="str">
        <f aca="false">IF(OR(N$7="",$BR122=""),"",IF('Tally Helper'!$B$39&lt;&gt;TRUE(),"not on Staff",SUMIFS('Tally Helper'!$L$41:$GI$41,'Tally Helper'!$L$39:$GI$39,"&gt;="&amp;$BR122,'Tally Helper'!$L$39:$GI$39,"&lt;="&amp;$BS122)))</f>
        <v/>
      </c>
      <c r="AK122" s="15" t="str">
        <f aca="false">IF(OR(O$7="",$BR122=""),"",IF('Tally Helper'!$B$42&lt;&gt;TRUE(),"not on Staff",SUMIFS('Tally Helper'!$L$44:$GI$44,'Tally Helper'!$L$42:$GI$42,"&gt;="&amp;$BR122,'Tally Helper'!$L$42:$GI$42,"&lt;="&amp;$BS122)))</f>
        <v/>
      </c>
      <c r="AL122" s="15" t="str">
        <f aca="false">IF(OR(P$7="",$BR122=""),"",IF('Tally Helper'!$B$45&lt;&gt;TRUE(),"not on Staff",SUMIFS('Tally Helper'!$L$47:$GI$47,'Tally Helper'!$L$45:$GI$45,"&gt;="&amp;$BR122,'Tally Helper'!$L$45:$GI$45,"&lt;="&amp;$BS122)))</f>
        <v/>
      </c>
      <c r="AM122" s="15" t="str">
        <f aca="false">IF(OR(Q$7="",$BR122=""),"",IF('Tally Helper'!$B$48&lt;&gt;TRUE(),"not on Staff",SUMIFS('Tally Helper'!$L$50:$GI$50,'Tally Helper'!$L$48:$GI$48,"&gt;="&amp;$BR122,'Tally Helper'!$L$48:$GI$48,"&lt;="&amp;$BS122)))</f>
        <v/>
      </c>
      <c r="AN122" s="15" t="str">
        <f aca="false">IF(OR(R$7="",$BR122=""),"",IF('Tally Helper'!$B$51&lt;&gt;TRUE(),"not on Staff",SUMIFS('Tally Helper'!$L$53:$GI$53,'Tally Helper'!$L$51:$GI$51,"&gt;="&amp;$BR122,'Tally Helper'!$L$51:$GI$51,"&lt;="&amp;$BS122)))</f>
        <v/>
      </c>
      <c r="AO122" s="15" t="str">
        <f aca="false">IF(OR(S$7="",$BR122=""),"",IF('Tally Helper'!$B$54&lt;&gt;TRUE(),"not on Staff",SUMIFS('Tally Helper'!$L$56:$GI$56,'Tally Helper'!$L$54:$GI$54,"&gt;="&amp;$BR122,'Tally Helper'!$L$54:$GI$54,"&lt;="&amp;$BS122)))</f>
        <v/>
      </c>
      <c r="AP122" s="15" t="str">
        <f aca="false">IF(OR(T$7="",$BR122=""),"",IF('Tally Helper'!$B$57&lt;&gt;TRUE(),"not on Staff",SUMIFS('Tally Helper'!$L$59:$GI$59,'Tally Helper'!$L$57:$GI$57,"&gt;="&amp;$BR122,'Tally Helper'!$L$57:$GI$57,"&lt;="&amp;$BS122)))</f>
        <v/>
      </c>
      <c r="AQ122" s="15" t="str">
        <f aca="false">IF(OR(U$7="",$BR122=""),"",IF('Tally Helper'!$B$60&lt;&gt;TRUE(),"not on Staff",SUMIFS('Tally Helper'!$L$62:$GI$62,'Tally Helper'!$L$60:$GI$60,"&gt;="&amp;$BR122,'Tally Helper'!$L$60:$GI$60,"&lt;="&amp;$BS122)))</f>
        <v/>
      </c>
      <c r="AT122" s="15" t="str">
        <f aca="false">IF(OR(X122="",NOT(ISNUMBER(X122))),"",X122-N(B122))</f>
        <v/>
      </c>
      <c r="AU122" s="15" t="str">
        <f aca="false">IF(OR(Y122="",NOT(ISNUMBER(Y122))),"",Y122-N(C122))</f>
        <v/>
      </c>
      <c r="AV122" s="15" t="str">
        <f aca="false">IF(OR(Z122="",NOT(ISNUMBER(Z122))),"",Z122-N(D122))</f>
        <v/>
      </c>
      <c r="AW122" s="15" t="str">
        <f aca="false">IF(OR(AA122="",NOT(ISNUMBER(AA122))),"",AA122-N(E122))</f>
        <v/>
      </c>
      <c r="AX122" s="15" t="str">
        <f aca="false">IF(OR(AB122="",NOT(ISNUMBER(AB122))),"",AB122-N(F122))</f>
        <v/>
      </c>
      <c r="AY122" s="15" t="str">
        <f aca="false">IF(OR(AC122="",NOT(ISNUMBER(AC122))),"",AC122-N(G122))</f>
        <v/>
      </c>
      <c r="AZ122" s="15" t="str">
        <f aca="false">IF(OR(AD122="",NOT(ISNUMBER(AD122))),"",AD122-N(H122))</f>
        <v/>
      </c>
      <c r="BA122" s="15" t="str">
        <f aca="false">IF(OR(AE122="",NOT(ISNUMBER(AE122))),"",AE122-N(I122))</f>
        <v/>
      </c>
      <c r="BB122" s="15" t="str">
        <f aca="false">IF(OR(AF122="",NOT(ISNUMBER(AF122))),"",AF122-N(J122))</f>
        <v/>
      </c>
      <c r="BC122" s="15" t="str">
        <f aca="false">IF(OR(AG122="",NOT(ISNUMBER(AG122))),"",AG122-N(K122))</f>
        <v/>
      </c>
      <c r="BD122" s="15" t="str">
        <f aca="false">IF(OR(AH122="",NOT(ISNUMBER(AH122))),"",AH122-N(L122))</f>
        <v/>
      </c>
      <c r="BE122" s="15" t="str">
        <f aca="false">IF(OR(AI122="",NOT(ISNUMBER(AI122))),"",AI122-N(M122))</f>
        <v/>
      </c>
      <c r="BF122" s="15" t="str">
        <f aca="false">IF(OR(AJ122="",NOT(ISNUMBER(AJ122))),"",AJ122-N(N122))</f>
        <v/>
      </c>
      <c r="BG122" s="15" t="str">
        <f aca="false">IF(OR(AK122="",NOT(ISNUMBER(AK122))),"",AK122-N(O122))</f>
        <v/>
      </c>
      <c r="BH122" s="15" t="str">
        <f aca="false">IF(OR(AL122="",NOT(ISNUMBER(AL122))),"",AL122-N(P122))</f>
        <v/>
      </c>
      <c r="BI122" s="15" t="str">
        <f aca="false">IF(OR(AM122="",NOT(ISNUMBER(AM122))),"",AM122-N(Q122))</f>
        <v/>
      </c>
      <c r="BJ122" s="15" t="str">
        <f aca="false">IF(OR(AN122="",NOT(ISNUMBER(AN122))),"",AN122-N(R122))</f>
        <v/>
      </c>
      <c r="BK122" s="15" t="str">
        <f aca="false">IF(OR(AO122="",NOT(ISNUMBER(AO122))),"",AO122-N(S122))</f>
        <v/>
      </c>
      <c r="BL122" s="15" t="str">
        <f aca="false">IF(OR(AP122="",NOT(ISNUMBER(AP122))),"",AP122-N(T122))</f>
        <v/>
      </c>
      <c r="BM122" s="15" t="str">
        <f aca="false">IF(OR(AQ122="",NOT(ISNUMBER(AQ122))),"",AQ122-N(U122))</f>
        <v/>
      </c>
      <c r="BR122" s="18" t="str">
        <f aca="false">IF($A122="","",IF(ISNUMBER($A122),DATE(YEAR($A122),MONTH($A122),1),IFERROR(DATE(2000+VALUE(RIGHT(TRIM($A122),2)),MATCH(UPPER(LEFT(TRIM($A122),3)),{"JAN","FEB","MAR","APR","MAY","JUN","JUL","AUG","SEP","OCT","NOV","DEC"},0),1),"")))</f>
        <v/>
      </c>
      <c r="BS122" s="18" t="str">
        <f aca="false">IF(BR122="","",EOMONTH(BR122,0))</f>
        <v/>
      </c>
    </row>
    <row r="123" customFormat="false" ht="15" hidden="false" customHeight="false" outlineLevel="0" collapsed="false">
      <c r="B123" s="19"/>
      <c r="C123" s="19"/>
      <c r="D123" s="19"/>
      <c r="E123" s="19"/>
      <c r="F123" s="19"/>
      <c r="G123" s="19"/>
      <c r="H123" s="19"/>
      <c r="I123" s="19"/>
      <c r="J123" s="19"/>
      <c r="K123" s="19"/>
      <c r="L123" s="19"/>
      <c r="M123" s="19"/>
      <c r="N123" s="19"/>
      <c r="O123" s="19"/>
      <c r="P123" s="19"/>
      <c r="Q123" s="19"/>
      <c r="R123" s="19"/>
      <c r="S123" s="19"/>
      <c r="T123" s="19"/>
      <c r="U123" s="19"/>
      <c r="X123" s="15" t="str">
        <f aca="false">IF(OR(B$7="",$BR123=""),"",IF('Tally Helper'!$B$3&lt;&gt;TRUE(),"not on Staff",SUMIFS('Tally Helper'!$L$5:$GI$5,'Tally Helper'!$L$3:$GI$3,"&gt;="&amp;$BR123,'Tally Helper'!$L$3:$GI$3,"&lt;="&amp;$BS123)))</f>
        <v/>
      </c>
      <c r="Y123" s="15" t="str">
        <f aca="false">IF(OR(C$7="",$BR123=""),"",IF('Tally Helper'!$B$6&lt;&gt;TRUE(),"not on Staff",SUMIFS('Tally Helper'!$L$8:$GI$8,'Tally Helper'!$L$6:$GI$6,"&gt;="&amp;$BR123,'Tally Helper'!$L$6:$GI$6,"&lt;="&amp;$BS123)))</f>
        <v/>
      </c>
      <c r="Z123" s="15" t="str">
        <f aca="false">IF(OR(D$7="",$BR123=""),"",IF('Tally Helper'!$B$9&lt;&gt;TRUE(),"not on Staff",SUMIFS('Tally Helper'!$L$11:$GI$11,'Tally Helper'!$L$9:$GI$9,"&gt;="&amp;$BR123,'Tally Helper'!$L$9:$GI$9,"&lt;="&amp;$BS123)))</f>
        <v/>
      </c>
      <c r="AA123" s="15" t="str">
        <f aca="false">IF(OR(E$7="",$BR123=""),"",IF('Tally Helper'!$B$12&lt;&gt;TRUE(),"not on Staff",SUMIFS('Tally Helper'!$L$14:$GI$14,'Tally Helper'!$L$12:$GI$12,"&gt;="&amp;$BR123,'Tally Helper'!$L$12:$GI$12,"&lt;="&amp;$BS123)))</f>
        <v/>
      </c>
      <c r="AB123" s="15" t="str">
        <f aca="false">IF(OR(F$7="",$BR123=""),"",IF('Tally Helper'!$B$15&lt;&gt;TRUE(),"not on Staff",SUMIFS('Tally Helper'!$L$17:$GI$17,'Tally Helper'!$L$15:$GI$15,"&gt;="&amp;$BR123,'Tally Helper'!$L$15:$GI$15,"&lt;="&amp;$BS123)))</f>
        <v/>
      </c>
      <c r="AC123" s="15" t="str">
        <f aca="false">IF(OR(G$7="",$BR123=""),"",IF('Tally Helper'!$B$18&lt;&gt;TRUE(),"not on Staff",SUMIFS('Tally Helper'!$L$20:$GI$20,'Tally Helper'!$L$18:$GI$18,"&gt;="&amp;$BR123,'Tally Helper'!$L$18:$GI$18,"&lt;="&amp;$BS123)))</f>
        <v/>
      </c>
      <c r="AD123" s="15" t="str">
        <f aca="false">IF(OR(H$7="",$BR123=""),"",IF('Tally Helper'!$B$21&lt;&gt;TRUE(),"not on Staff",SUMIFS('Tally Helper'!$L$23:$GI$23,'Tally Helper'!$L$21:$GI$21,"&gt;="&amp;$BR123,'Tally Helper'!$L$21:$GI$21,"&lt;="&amp;$BS123)))</f>
        <v/>
      </c>
      <c r="AE123" s="15" t="str">
        <f aca="false">IF(OR(I$7="",$BR123=""),"",IF('Tally Helper'!$B$24&lt;&gt;TRUE(),"not on Staff",SUMIFS('Tally Helper'!$L$26:$GI$26,'Tally Helper'!$L$24:$GI$24,"&gt;="&amp;$BR123,'Tally Helper'!$L$24:$GI$24,"&lt;="&amp;$BS123)))</f>
        <v/>
      </c>
      <c r="AF123" s="15" t="str">
        <f aca="false">IF(OR(J$7="",$BR123=""),"",IF('Tally Helper'!$B$27&lt;&gt;TRUE(),"not on Staff",SUMIFS('Tally Helper'!$L$29:$GI$29,'Tally Helper'!$L$27:$GI$27,"&gt;="&amp;$BR123,'Tally Helper'!$L$27:$GI$27,"&lt;="&amp;$BS123)))</f>
        <v/>
      </c>
      <c r="AG123" s="15" t="str">
        <f aca="false">IF(OR(K$7="",$BR123=""),"",IF('Tally Helper'!$B$30&lt;&gt;TRUE(),"not on Staff",SUMIFS('Tally Helper'!$L$32:$GI$32,'Tally Helper'!$L$30:$GI$30,"&gt;="&amp;$BR123,'Tally Helper'!$L$30:$GI$30,"&lt;="&amp;$BS123)))</f>
        <v/>
      </c>
      <c r="AH123" s="15" t="str">
        <f aca="false">IF(OR(L$7="",$BR123=""),"",IF('Tally Helper'!$B$33&lt;&gt;TRUE(),"not on Staff",SUMIFS('Tally Helper'!$L$35:$GI$35,'Tally Helper'!$L$33:$GI$33,"&gt;="&amp;$BR123,'Tally Helper'!$L$33:$GI$33,"&lt;="&amp;$BS123)))</f>
        <v/>
      </c>
      <c r="AI123" s="15" t="str">
        <f aca="false">IF(OR(M$7="",$BR123=""),"",IF('Tally Helper'!$B$36&lt;&gt;TRUE(),"not on Staff",SUMIFS('Tally Helper'!$L$38:$GI$38,'Tally Helper'!$L$36:$GI$36,"&gt;="&amp;$BR123,'Tally Helper'!$L$36:$GI$36,"&lt;="&amp;$BS123)))</f>
        <v/>
      </c>
      <c r="AJ123" s="15" t="str">
        <f aca="false">IF(OR(N$7="",$BR123=""),"",IF('Tally Helper'!$B$39&lt;&gt;TRUE(),"not on Staff",SUMIFS('Tally Helper'!$L$41:$GI$41,'Tally Helper'!$L$39:$GI$39,"&gt;="&amp;$BR123,'Tally Helper'!$L$39:$GI$39,"&lt;="&amp;$BS123)))</f>
        <v/>
      </c>
      <c r="AK123" s="15" t="str">
        <f aca="false">IF(OR(O$7="",$BR123=""),"",IF('Tally Helper'!$B$42&lt;&gt;TRUE(),"not on Staff",SUMIFS('Tally Helper'!$L$44:$GI$44,'Tally Helper'!$L$42:$GI$42,"&gt;="&amp;$BR123,'Tally Helper'!$L$42:$GI$42,"&lt;="&amp;$BS123)))</f>
        <v/>
      </c>
      <c r="AL123" s="15" t="str">
        <f aca="false">IF(OR(P$7="",$BR123=""),"",IF('Tally Helper'!$B$45&lt;&gt;TRUE(),"not on Staff",SUMIFS('Tally Helper'!$L$47:$GI$47,'Tally Helper'!$L$45:$GI$45,"&gt;="&amp;$BR123,'Tally Helper'!$L$45:$GI$45,"&lt;="&amp;$BS123)))</f>
        <v/>
      </c>
      <c r="AM123" s="15" t="str">
        <f aca="false">IF(OR(Q$7="",$BR123=""),"",IF('Tally Helper'!$B$48&lt;&gt;TRUE(),"not on Staff",SUMIFS('Tally Helper'!$L$50:$GI$50,'Tally Helper'!$L$48:$GI$48,"&gt;="&amp;$BR123,'Tally Helper'!$L$48:$GI$48,"&lt;="&amp;$BS123)))</f>
        <v/>
      </c>
      <c r="AN123" s="15" t="str">
        <f aca="false">IF(OR(R$7="",$BR123=""),"",IF('Tally Helper'!$B$51&lt;&gt;TRUE(),"not on Staff",SUMIFS('Tally Helper'!$L$53:$GI$53,'Tally Helper'!$L$51:$GI$51,"&gt;="&amp;$BR123,'Tally Helper'!$L$51:$GI$51,"&lt;="&amp;$BS123)))</f>
        <v/>
      </c>
      <c r="AO123" s="15" t="str">
        <f aca="false">IF(OR(S$7="",$BR123=""),"",IF('Tally Helper'!$B$54&lt;&gt;TRUE(),"not on Staff",SUMIFS('Tally Helper'!$L$56:$GI$56,'Tally Helper'!$L$54:$GI$54,"&gt;="&amp;$BR123,'Tally Helper'!$L$54:$GI$54,"&lt;="&amp;$BS123)))</f>
        <v/>
      </c>
      <c r="AP123" s="15" t="str">
        <f aca="false">IF(OR(T$7="",$BR123=""),"",IF('Tally Helper'!$B$57&lt;&gt;TRUE(),"not on Staff",SUMIFS('Tally Helper'!$L$59:$GI$59,'Tally Helper'!$L$57:$GI$57,"&gt;="&amp;$BR123,'Tally Helper'!$L$57:$GI$57,"&lt;="&amp;$BS123)))</f>
        <v/>
      </c>
      <c r="AQ123" s="15" t="str">
        <f aca="false">IF(OR(U$7="",$BR123=""),"",IF('Tally Helper'!$B$60&lt;&gt;TRUE(),"not on Staff",SUMIFS('Tally Helper'!$L$62:$GI$62,'Tally Helper'!$L$60:$GI$60,"&gt;="&amp;$BR123,'Tally Helper'!$L$60:$GI$60,"&lt;="&amp;$BS123)))</f>
        <v/>
      </c>
      <c r="AT123" s="15" t="str">
        <f aca="false">IF(OR(X123="",NOT(ISNUMBER(X123))),"",X123-N(B123))</f>
        <v/>
      </c>
      <c r="AU123" s="15" t="str">
        <f aca="false">IF(OR(Y123="",NOT(ISNUMBER(Y123))),"",Y123-N(C123))</f>
        <v/>
      </c>
      <c r="AV123" s="15" t="str">
        <f aca="false">IF(OR(Z123="",NOT(ISNUMBER(Z123))),"",Z123-N(D123))</f>
        <v/>
      </c>
      <c r="AW123" s="15" t="str">
        <f aca="false">IF(OR(AA123="",NOT(ISNUMBER(AA123))),"",AA123-N(E123))</f>
        <v/>
      </c>
      <c r="AX123" s="15" t="str">
        <f aca="false">IF(OR(AB123="",NOT(ISNUMBER(AB123))),"",AB123-N(F123))</f>
        <v/>
      </c>
      <c r="AY123" s="15" t="str">
        <f aca="false">IF(OR(AC123="",NOT(ISNUMBER(AC123))),"",AC123-N(G123))</f>
        <v/>
      </c>
      <c r="AZ123" s="15" t="str">
        <f aca="false">IF(OR(AD123="",NOT(ISNUMBER(AD123))),"",AD123-N(H123))</f>
        <v/>
      </c>
      <c r="BA123" s="15" t="str">
        <f aca="false">IF(OR(AE123="",NOT(ISNUMBER(AE123))),"",AE123-N(I123))</f>
        <v/>
      </c>
      <c r="BB123" s="15" t="str">
        <f aca="false">IF(OR(AF123="",NOT(ISNUMBER(AF123))),"",AF123-N(J123))</f>
        <v/>
      </c>
      <c r="BC123" s="15" t="str">
        <f aca="false">IF(OR(AG123="",NOT(ISNUMBER(AG123))),"",AG123-N(K123))</f>
        <v/>
      </c>
      <c r="BD123" s="15" t="str">
        <f aca="false">IF(OR(AH123="",NOT(ISNUMBER(AH123))),"",AH123-N(L123))</f>
        <v/>
      </c>
      <c r="BE123" s="15" t="str">
        <f aca="false">IF(OR(AI123="",NOT(ISNUMBER(AI123))),"",AI123-N(M123))</f>
        <v/>
      </c>
      <c r="BF123" s="15" t="str">
        <f aca="false">IF(OR(AJ123="",NOT(ISNUMBER(AJ123))),"",AJ123-N(N123))</f>
        <v/>
      </c>
      <c r="BG123" s="15" t="str">
        <f aca="false">IF(OR(AK123="",NOT(ISNUMBER(AK123))),"",AK123-N(O123))</f>
        <v/>
      </c>
      <c r="BH123" s="15" t="str">
        <f aca="false">IF(OR(AL123="",NOT(ISNUMBER(AL123))),"",AL123-N(P123))</f>
        <v/>
      </c>
      <c r="BI123" s="15" t="str">
        <f aca="false">IF(OR(AM123="",NOT(ISNUMBER(AM123))),"",AM123-N(Q123))</f>
        <v/>
      </c>
      <c r="BJ123" s="15" t="str">
        <f aca="false">IF(OR(AN123="",NOT(ISNUMBER(AN123))),"",AN123-N(R123))</f>
        <v/>
      </c>
      <c r="BK123" s="15" t="str">
        <f aca="false">IF(OR(AO123="",NOT(ISNUMBER(AO123))),"",AO123-N(S123))</f>
        <v/>
      </c>
      <c r="BL123" s="15" t="str">
        <f aca="false">IF(OR(AP123="",NOT(ISNUMBER(AP123))),"",AP123-N(T123))</f>
        <v/>
      </c>
      <c r="BM123" s="15" t="str">
        <f aca="false">IF(OR(AQ123="",NOT(ISNUMBER(AQ123))),"",AQ123-N(U123))</f>
        <v/>
      </c>
      <c r="BR123" s="18" t="str">
        <f aca="false">IF($A123="","",IF(ISNUMBER($A123),DATE(YEAR($A123),MONTH($A123),1),IFERROR(DATE(2000+VALUE(RIGHT(TRIM($A123),2)),MATCH(UPPER(LEFT(TRIM($A123),3)),{"JAN","FEB","MAR","APR","MAY","JUN","JUL","AUG","SEP","OCT","NOV","DEC"},0),1),"")))</f>
        <v/>
      </c>
      <c r="BS123" s="18" t="str">
        <f aca="false">IF(BR123="","",EOMONTH(BR123,0))</f>
        <v/>
      </c>
    </row>
    <row r="124" customFormat="false" ht="15" hidden="false" customHeight="false" outlineLevel="0" collapsed="false">
      <c r="B124" s="19"/>
      <c r="C124" s="19"/>
      <c r="D124" s="19"/>
      <c r="E124" s="19"/>
      <c r="F124" s="19"/>
      <c r="G124" s="19"/>
      <c r="H124" s="19"/>
      <c r="I124" s="19"/>
      <c r="J124" s="19"/>
      <c r="K124" s="19"/>
      <c r="L124" s="19"/>
      <c r="M124" s="19"/>
      <c r="N124" s="19"/>
      <c r="O124" s="19"/>
      <c r="P124" s="19"/>
      <c r="Q124" s="19"/>
      <c r="R124" s="19"/>
      <c r="S124" s="19"/>
      <c r="T124" s="19"/>
      <c r="U124" s="19"/>
      <c r="X124" s="15" t="str">
        <f aca="false">IF(OR(B$7="",$BR124=""),"",IF('Tally Helper'!$B$3&lt;&gt;TRUE(),"not on Staff",SUMIFS('Tally Helper'!$L$5:$GI$5,'Tally Helper'!$L$3:$GI$3,"&gt;="&amp;$BR124,'Tally Helper'!$L$3:$GI$3,"&lt;="&amp;$BS124)))</f>
        <v/>
      </c>
      <c r="Y124" s="15" t="str">
        <f aca="false">IF(OR(C$7="",$BR124=""),"",IF('Tally Helper'!$B$6&lt;&gt;TRUE(),"not on Staff",SUMIFS('Tally Helper'!$L$8:$GI$8,'Tally Helper'!$L$6:$GI$6,"&gt;="&amp;$BR124,'Tally Helper'!$L$6:$GI$6,"&lt;="&amp;$BS124)))</f>
        <v/>
      </c>
      <c r="Z124" s="15" t="str">
        <f aca="false">IF(OR(D$7="",$BR124=""),"",IF('Tally Helper'!$B$9&lt;&gt;TRUE(),"not on Staff",SUMIFS('Tally Helper'!$L$11:$GI$11,'Tally Helper'!$L$9:$GI$9,"&gt;="&amp;$BR124,'Tally Helper'!$L$9:$GI$9,"&lt;="&amp;$BS124)))</f>
        <v/>
      </c>
      <c r="AA124" s="15" t="str">
        <f aca="false">IF(OR(E$7="",$BR124=""),"",IF('Tally Helper'!$B$12&lt;&gt;TRUE(),"not on Staff",SUMIFS('Tally Helper'!$L$14:$GI$14,'Tally Helper'!$L$12:$GI$12,"&gt;="&amp;$BR124,'Tally Helper'!$L$12:$GI$12,"&lt;="&amp;$BS124)))</f>
        <v/>
      </c>
      <c r="AB124" s="15" t="str">
        <f aca="false">IF(OR(F$7="",$BR124=""),"",IF('Tally Helper'!$B$15&lt;&gt;TRUE(),"not on Staff",SUMIFS('Tally Helper'!$L$17:$GI$17,'Tally Helper'!$L$15:$GI$15,"&gt;="&amp;$BR124,'Tally Helper'!$L$15:$GI$15,"&lt;="&amp;$BS124)))</f>
        <v/>
      </c>
      <c r="AC124" s="15" t="str">
        <f aca="false">IF(OR(G$7="",$BR124=""),"",IF('Tally Helper'!$B$18&lt;&gt;TRUE(),"not on Staff",SUMIFS('Tally Helper'!$L$20:$GI$20,'Tally Helper'!$L$18:$GI$18,"&gt;="&amp;$BR124,'Tally Helper'!$L$18:$GI$18,"&lt;="&amp;$BS124)))</f>
        <v/>
      </c>
      <c r="AD124" s="15" t="str">
        <f aca="false">IF(OR(H$7="",$BR124=""),"",IF('Tally Helper'!$B$21&lt;&gt;TRUE(),"not on Staff",SUMIFS('Tally Helper'!$L$23:$GI$23,'Tally Helper'!$L$21:$GI$21,"&gt;="&amp;$BR124,'Tally Helper'!$L$21:$GI$21,"&lt;="&amp;$BS124)))</f>
        <v/>
      </c>
      <c r="AE124" s="15" t="str">
        <f aca="false">IF(OR(I$7="",$BR124=""),"",IF('Tally Helper'!$B$24&lt;&gt;TRUE(),"not on Staff",SUMIFS('Tally Helper'!$L$26:$GI$26,'Tally Helper'!$L$24:$GI$24,"&gt;="&amp;$BR124,'Tally Helper'!$L$24:$GI$24,"&lt;="&amp;$BS124)))</f>
        <v/>
      </c>
      <c r="AF124" s="15" t="str">
        <f aca="false">IF(OR(J$7="",$BR124=""),"",IF('Tally Helper'!$B$27&lt;&gt;TRUE(),"not on Staff",SUMIFS('Tally Helper'!$L$29:$GI$29,'Tally Helper'!$L$27:$GI$27,"&gt;="&amp;$BR124,'Tally Helper'!$L$27:$GI$27,"&lt;="&amp;$BS124)))</f>
        <v/>
      </c>
      <c r="AG124" s="15" t="str">
        <f aca="false">IF(OR(K$7="",$BR124=""),"",IF('Tally Helper'!$B$30&lt;&gt;TRUE(),"not on Staff",SUMIFS('Tally Helper'!$L$32:$GI$32,'Tally Helper'!$L$30:$GI$30,"&gt;="&amp;$BR124,'Tally Helper'!$L$30:$GI$30,"&lt;="&amp;$BS124)))</f>
        <v/>
      </c>
      <c r="AH124" s="15" t="str">
        <f aca="false">IF(OR(L$7="",$BR124=""),"",IF('Tally Helper'!$B$33&lt;&gt;TRUE(),"not on Staff",SUMIFS('Tally Helper'!$L$35:$GI$35,'Tally Helper'!$L$33:$GI$33,"&gt;="&amp;$BR124,'Tally Helper'!$L$33:$GI$33,"&lt;="&amp;$BS124)))</f>
        <v/>
      </c>
      <c r="AI124" s="15" t="str">
        <f aca="false">IF(OR(M$7="",$BR124=""),"",IF('Tally Helper'!$B$36&lt;&gt;TRUE(),"not on Staff",SUMIFS('Tally Helper'!$L$38:$GI$38,'Tally Helper'!$L$36:$GI$36,"&gt;="&amp;$BR124,'Tally Helper'!$L$36:$GI$36,"&lt;="&amp;$BS124)))</f>
        <v/>
      </c>
      <c r="AJ124" s="15" t="str">
        <f aca="false">IF(OR(N$7="",$BR124=""),"",IF('Tally Helper'!$B$39&lt;&gt;TRUE(),"not on Staff",SUMIFS('Tally Helper'!$L$41:$GI$41,'Tally Helper'!$L$39:$GI$39,"&gt;="&amp;$BR124,'Tally Helper'!$L$39:$GI$39,"&lt;="&amp;$BS124)))</f>
        <v/>
      </c>
      <c r="AK124" s="15" t="str">
        <f aca="false">IF(OR(O$7="",$BR124=""),"",IF('Tally Helper'!$B$42&lt;&gt;TRUE(),"not on Staff",SUMIFS('Tally Helper'!$L$44:$GI$44,'Tally Helper'!$L$42:$GI$42,"&gt;="&amp;$BR124,'Tally Helper'!$L$42:$GI$42,"&lt;="&amp;$BS124)))</f>
        <v/>
      </c>
      <c r="AL124" s="15" t="str">
        <f aca="false">IF(OR(P$7="",$BR124=""),"",IF('Tally Helper'!$B$45&lt;&gt;TRUE(),"not on Staff",SUMIFS('Tally Helper'!$L$47:$GI$47,'Tally Helper'!$L$45:$GI$45,"&gt;="&amp;$BR124,'Tally Helper'!$L$45:$GI$45,"&lt;="&amp;$BS124)))</f>
        <v/>
      </c>
      <c r="AM124" s="15" t="str">
        <f aca="false">IF(OR(Q$7="",$BR124=""),"",IF('Tally Helper'!$B$48&lt;&gt;TRUE(),"not on Staff",SUMIFS('Tally Helper'!$L$50:$GI$50,'Tally Helper'!$L$48:$GI$48,"&gt;="&amp;$BR124,'Tally Helper'!$L$48:$GI$48,"&lt;="&amp;$BS124)))</f>
        <v/>
      </c>
      <c r="AN124" s="15" t="str">
        <f aca="false">IF(OR(R$7="",$BR124=""),"",IF('Tally Helper'!$B$51&lt;&gt;TRUE(),"not on Staff",SUMIFS('Tally Helper'!$L$53:$GI$53,'Tally Helper'!$L$51:$GI$51,"&gt;="&amp;$BR124,'Tally Helper'!$L$51:$GI$51,"&lt;="&amp;$BS124)))</f>
        <v/>
      </c>
      <c r="AO124" s="15" t="str">
        <f aca="false">IF(OR(S$7="",$BR124=""),"",IF('Tally Helper'!$B$54&lt;&gt;TRUE(),"not on Staff",SUMIFS('Tally Helper'!$L$56:$GI$56,'Tally Helper'!$L$54:$GI$54,"&gt;="&amp;$BR124,'Tally Helper'!$L$54:$GI$54,"&lt;="&amp;$BS124)))</f>
        <v/>
      </c>
      <c r="AP124" s="15" t="str">
        <f aca="false">IF(OR(T$7="",$BR124=""),"",IF('Tally Helper'!$B$57&lt;&gt;TRUE(),"not on Staff",SUMIFS('Tally Helper'!$L$59:$GI$59,'Tally Helper'!$L$57:$GI$57,"&gt;="&amp;$BR124,'Tally Helper'!$L$57:$GI$57,"&lt;="&amp;$BS124)))</f>
        <v/>
      </c>
      <c r="AQ124" s="15" t="str">
        <f aca="false">IF(OR(U$7="",$BR124=""),"",IF('Tally Helper'!$B$60&lt;&gt;TRUE(),"not on Staff",SUMIFS('Tally Helper'!$L$62:$GI$62,'Tally Helper'!$L$60:$GI$60,"&gt;="&amp;$BR124,'Tally Helper'!$L$60:$GI$60,"&lt;="&amp;$BS124)))</f>
        <v/>
      </c>
      <c r="AT124" s="15" t="str">
        <f aca="false">IF(OR(X124="",NOT(ISNUMBER(X124))),"",X124-N(B124))</f>
        <v/>
      </c>
      <c r="AU124" s="15" t="str">
        <f aca="false">IF(OR(Y124="",NOT(ISNUMBER(Y124))),"",Y124-N(C124))</f>
        <v/>
      </c>
      <c r="AV124" s="15" t="str">
        <f aca="false">IF(OR(Z124="",NOT(ISNUMBER(Z124))),"",Z124-N(D124))</f>
        <v/>
      </c>
      <c r="AW124" s="15" t="str">
        <f aca="false">IF(OR(AA124="",NOT(ISNUMBER(AA124))),"",AA124-N(E124))</f>
        <v/>
      </c>
      <c r="AX124" s="15" t="str">
        <f aca="false">IF(OR(AB124="",NOT(ISNUMBER(AB124))),"",AB124-N(F124))</f>
        <v/>
      </c>
      <c r="AY124" s="15" t="str">
        <f aca="false">IF(OR(AC124="",NOT(ISNUMBER(AC124))),"",AC124-N(G124))</f>
        <v/>
      </c>
      <c r="AZ124" s="15" t="str">
        <f aca="false">IF(OR(AD124="",NOT(ISNUMBER(AD124))),"",AD124-N(H124))</f>
        <v/>
      </c>
      <c r="BA124" s="15" t="str">
        <f aca="false">IF(OR(AE124="",NOT(ISNUMBER(AE124))),"",AE124-N(I124))</f>
        <v/>
      </c>
      <c r="BB124" s="15" t="str">
        <f aca="false">IF(OR(AF124="",NOT(ISNUMBER(AF124))),"",AF124-N(J124))</f>
        <v/>
      </c>
      <c r="BC124" s="15" t="str">
        <f aca="false">IF(OR(AG124="",NOT(ISNUMBER(AG124))),"",AG124-N(K124))</f>
        <v/>
      </c>
      <c r="BD124" s="15" t="str">
        <f aca="false">IF(OR(AH124="",NOT(ISNUMBER(AH124))),"",AH124-N(L124))</f>
        <v/>
      </c>
      <c r="BE124" s="15" t="str">
        <f aca="false">IF(OR(AI124="",NOT(ISNUMBER(AI124))),"",AI124-N(M124))</f>
        <v/>
      </c>
      <c r="BF124" s="15" t="str">
        <f aca="false">IF(OR(AJ124="",NOT(ISNUMBER(AJ124))),"",AJ124-N(N124))</f>
        <v/>
      </c>
      <c r="BG124" s="15" t="str">
        <f aca="false">IF(OR(AK124="",NOT(ISNUMBER(AK124))),"",AK124-N(O124))</f>
        <v/>
      </c>
      <c r="BH124" s="15" t="str">
        <f aca="false">IF(OR(AL124="",NOT(ISNUMBER(AL124))),"",AL124-N(P124))</f>
        <v/>
      </c>
      <c r="BI124" s="15" t="str">
        <f aca="false">IF(OR(AM124="",NOT(ISNUMBER(AM124))),"",AM124-N(Q124))</f>
        <v/>
      </c>
      <c r="BJ124" s="15" t="str">
        <f aca="false">IF(OR(AN124="",NOT(ISNUMBER(AN124))),"",AN124-N(R124))</f>
        <v/>
      </c>
      <c r="BK124" s="15" t="str">
        <f aca="false">IF(OR(AO124="",NOT(ISNUMBER(AO124))),"",AO124-N(S124))</f>
        <v/>
      </c>
      <c r="BL124" s="15" t="str">
        <f aca="false">IF(OR(AP124="",NOT(ISNUMBER(AP124))),"",AP124-N(T124))</f>
        <v/>
      </c>
      <c r="BM124" s="15" t="str">
        <f aca="false">IF(OR(AQ124="",NOT(ISNUMBER(AQ124))),"",AQ124-N(U124))</f>
        <v/>
      </c>
      <c r="BR124" s="18" t="str">
        <f aca="false">IF($A124="","",IF(ISNUMBER($A124),DATE(YEAR($A124),MONTH($A124),1),IFERROR(DATE(2000+VALUE(RIGHT(TRIM($A124),2)),MATCH(UPPER(LEFT(TRIM($A124),3)),{"JAN","FEB","MAR","APR","MAY","JUN","JUL","AUG","SEP","OCT","NOV","DEC"},0),1),"")))</f>
        <v/>
      </c>
      <c r="BS124" s="18" t="str">
        <f aca="false">IF(BR124="","",EOMONTH(BR124,0))</f>
        <v/>
      </c>
    </row>
    <row r="125" customFormat="false" ht="15" hidden="false" customHeight="false" outlineLevel="0" collapsed="false">
      <c r="B125" s="19"/>
      <c r="C125" s="19"/>
      <c r="D125" s="19"/>
      <c r="E125" s="19"/>
      <c r="F125" s="19"/>
      <c r="G125" s="19"/>
      <c r="H125" s="19"/>
      <c r="I125" s="19"/>
      <c r="J125" s="19"/>
      <c r="K125" s="19"/>
      <c r="L125" s="19"/>
      <c r="M125" s="19"/>
      <c r="N125" s="19"/>
      <c r="O125" s="19"/>
      <c r="P125" s="19"/>
      <c r="Q125" s="19"/>
      <c r="R125" s="19"/>
      <c r="S125" s="19"/>
      <c r="T125" s="19"/>
      <c r="U125" s="19"/>
      <c r="X125" s="15" t="str">
        <f aca="false">IF(OR(B$7="",$BR125=""),"",IF('Tally Helper'!$B$3&lt;&gt;TRUE(),"not on Staff",SUMIFS('Tally Helper'!$L$5:$GI$5,'Tally Helper'!$L$3:$GI$3,"&gt;="&amp;$BR125,'Tally Helper'!$L$3:$GI$3,"&lt;="&amp;$BS125)))</f>
        <v/>
      </c>
      <c r="Y125" s="15" t="str">
        <f aca="false">IF(OR(C$7="",$BR125=""),"",IF('Tally Helper'!$B$6&lt;&gt;TRUE(),"not on Staff",SUMIFS('Tally Helper'!$L$8:$GI$8,'Tally Helper'!$L$6:$GI$6,"&gt;="&amp;$BR125,'Tally Helper'!$L$6:$GI$6,"&lt;="&amp;$BS125)))</f>
        <v/>
      </c>
      <c r="Z125" s="15" t="str">
        <f aca="false">IF(OR(D$7="",$BR125=""),"",IF('Tally Helper'!$B$9&lt;&gt;TRUE(),"not on Staff",SUMIFS('Tally Helper'!$L$11:$GI$11,'Tally Helper'!$L$9:$GI$9,"&gt;="&amp;$BR125,'Tally Helper'!$L$9:$GI$9,"&lt;="&amp;$BS125)))</f>
        <v/>
      </c>
      <c r="AA125" s="15" t="str">
        <f aca="false">IF(OR(E$7="",$BR125=""),"",IF('Tally Helper'!$B$12&lt;&gt;TRUE(),"not on Staff",SUMIFS('Tally Helper'!$L$14:$GI$14,'Tally Helper'!$L$12:$GI$12,"&gt;="&amp;$BR125,'Tally Helper'!$L$12:$GI$12,"&lt;="&amp;$BS125)))</f>
        <v/>
      </c>
      <c r="AB125" s="15" t="str">
        <f aca="false">IF(OR(F$7="",$BR125=""),"",IF('Tally Helper'!$B$15&lt;&gt;TRUE(),"not on Staff",SUMIFS('Tally Helper'!$L$17:$GI$17,'Tally Helper'!$L$15:$GI$15,"&gt;="&amp;$BR125,'Tally Helper'!$L$15:$GI$15,"&lt;="&amp;$BS125)))</f>
        <v/>
      </c>
      <c r="AC125" s="15" t="str">
        <f aca="false">IF(OR(G$7="",$BR125=""),"",IF('Tally Helper'!$B$18&lt;&gt;TRUE(),"not on Staff",SUMIFS('Tally Helper'!$L$20:$GI$20,'Tally Helper'!$L$18:$GI$18,"&gt;="&amp;$BR125,'Tally Helper'!$L$18:$GI$18,"&lt;="&amp;$BS125)))</f>
        <v/>
      </c>
      <c r="AD125" s="15" t="str">
        <f aca="false">IF(OR(H$7="",$BR125=""),"",IF('Tally Helper'!$B$21&lt;&gt;TRUE(),"not on Staff",SUMIFS('Tally Helper'!$L$23:$GI$23,'Tally Helper'!$L$21:$GI$21,"&gt;="&amp;$BR125,'Tally Helper'!$L$21:$GI$21,"&lt;="&amp;$BS125)))</f>
        <v/>
      </c>
      <c r="AE125" s="15" t="str">
        <f aca="false">IF(OR(I$7="",$BR125=""),"",IF('Tally Helper'!$B$24&lt;&gt;TRUE(),"not on Staff",SUMIFS('Tally Helper'!$L$26:$GI$26,'Tally Helper'!$L$24:$GI$24,"&gt;="&amp;$BR125,'Tally Helper'!$L$24:$GI$24,"&lt;="&amp;$BS125)))</f>
        <v/>
      </c>
      <c r="AF125" s="15" t="str">
        <f aca="false">IF(OR(J$7="",$BR125=""),"",IF('Tally Helper'!$B$27&lt;&gt;TRUE(),"not on Staff",SUMIFS('Tally Helper'!$L$29:$GI$29,'Tally Helper'!$L$27:$GI$27,"&gt;="&amp;$BR125,'Tally Helper'!$L$27:$GI$27,"&lt;="&amp;$BS125)))</f>
        <v/>
      </c>
      <c r="AG125" s="15" t="str">
        <f aca="false">IF(OR(K$7="",$BR125=""),"",IF('Tally Helper'!$B$30&lt;&gt;TRUE(),"not on Staff",SUMIFS('Tally Helper'!$L$32:$GI$32,'Tally Helper'!$L$30:$GI$30,"&gt;="&amp;$BR125,'Tally Helper'!$L$30:$GI$30,"&lt;="&amp;$BS125)))</f>
        <v/>
      </c>
      <c r="AH125" s="15" t="str">
        <f aca="false">IF(OR(L$7="",$BR125=""),"",IF('Tally Helper'!$B$33&lt;&gt;TRUE(),"not on Staff",SUMIFS('Tally Helper'!$L$35:$GI$35,'Tally Helper'!$L$33:$GI$33,"&gt;="&amp;$BR125,'Tally Helper'!$L$33:$GI$33,"&lt;="&amp;$BS125)))</f>
        <v/>
      </c>
      <c r="AI125" s="15" t="str">
        <f aca="false">IF(OR(M$7="",$BR125=""),"",IF('Tally Helper'!$B$36&lt;&gt;TRUE(),"not on Staff",SUMIFS('Tally Helper'!$L$38:$GI$38,'Tally Helper'!$L$36:$GI$36,"&gt;="&amp;$BR125,'Tally Helper'!$L$36:$GI$36,"&lt;="&amp;$BS125)))</f>
        <v/>
      </c>
      <c r="AJ125" s="15" t="str">
        <f aca="false">IF(OR(N$7="",$BR125=""),"",IF('Tally Helper'!$B$39&lt;&gt;TRUE(),"not on Staff",SUMIFS('Tally Helper'!$L$41:$GI$41,'Tally Helper'!$L$39:$GI$39,"&gt;="&amp;$BR125,'Tally Helper'!$L$39:$GI$39,"&lt;="&amp;$BS125)))</f>
        <v/>
      </c>
      <c r="AK125" s="15" t="str">
        <f aca="false">IF(OR(O$7="",$BR125=""),"",IF('Tally Helper'!$B$42&lt;&gt;TRUE(),"not on Staff",SUMIFS('Tally Helper'!$L$44:$GI$44,'Tally Helper'!$L$42:$GI$42,"&gt;="&amp;$BR125,'Tally Helper'!$L$42:$GI$42,"&lt;="&amp;$BS125)))</f>
        <v/>
      </c>
      <c r="AL125" s="15" t="str">
        <f aca="false">IF(OR(P$7="",$BR125=""),"",IF('Tally Helper'!$B$45&lt;&gt;TRUE(),"not on Staff",SUMIFS('Tally Helper'!$L$47:$GI$47,'Tally Helper'!$L$45:$GI$45,"&gt;="&amp;$BR125,'Tally Helper'!$L$45:$GI$45,"&lt;="&amp;$BS125)))</f>
        <v/>
      </c>
      <c r="AM125" s="15" t="str">
        <f aca="false">IF(OR(Q$7="",$BR125=""),"",IF('Tally Helper'!$B$48&lt;&gt;TRUE(),"not on Staff",SUMIFS('Tally Helper'!$L$50:$GI$50,'Tally Helper'!$L$48:$GI$48,"&gt;="&amp;$BR125,'Tally Helper'!$L$48:$GI$48,"&lt;="&amp;$BS125)))</f>
        <v/>
      </c>
      <c r="AN125" s="15" t="str">
        <f aca="false">IF(OR(R$7="",$BR125=""),"",IF('Tally Helper'!$B$51&lt;&gt;TRUE(),"not on Staff",SUMIFS('Tally Helper'!$L$53:$GI$53,'Tally Helper'!$L$51:$GI$51,"&gt;="&amp;$BR125,'Tally Helper'!$L$51:$GI$51,"&lt;="&amp;$BS125)))</f>
        <v/>
      </c>
      <c r="AO125" s="15" t="str">
        <f aca="false">IF(OR(S$7="",$BR125=""),"",IF('Tally Helper'!$B$54&lt;&gt;TRUE(),"not on Staff",SUMIFS('Tally Helper'!$L$56:$GI$56,'Tally Helper'!$L$54:$GI$54,"&gt;="&amp;$BR125,'Tally Helper'!$L$54:$GI$54,"&lt;="&amp;$BS125)))</f>
        <v/>
      </c>
      <c r="AP125" s="15" t="str">
        <f aca="false">IF(OR(T$7="",$BR125=""),"",IF('Tally Helper'!$B$57&lt;&gt;TRUE(),"not on Staff",SUMIFS('Tally Helper'!$L$59:$GI$59,'Tally Helper'!$L$57:$GI$57,"&gt;="&amp;$BR125,'Tally Helper'!$L$57:$GI$57,"&lt;="&amp;$BS125)))</f>
        <v/>
      </c>
      <c r="AQ125" s="15" t="str">
        <f aca="false">IF(OR(U$7="",$BR125=""),"",IF('Tally Helper'!$B$60&lt;&gt;TRUE(),"not on Staff",SUMIFS('Tally Helper'!$L$62:$GI$62,'Tally Helper'!$L$60:$GI$60,"&gt;="&amp;$BR125,'Tally Helper'!$L$60:$GI$60,"&lt;="&amp;$BS125)))</f>
        <v/>
      </c>
      <c r="AT125" s="15" t="str">
        <f aca="false">IF(OR(X125="",NOT(ISNUMBER(X125))),"",X125-N(B125))</f>
        <v/>
      </c>
      <c r="AU125" s="15" t="str">
        <f aca="false">IF(OR(Y125="",NOT(ISNUMBER(Y125))),"",Y125-N(C125))</f>
        <v/>
      </c>
      <c r="AV125" s="15" t="str">
        <f aca="false">IF(OR(Z125="",NOT(ISNUMBER(Z125))),"",Z125-N(D125))</f>
        <v/>
      </c>
      <c r="AW125" s="15" t="str">
        <f aca="false">IF(OR(AA125="",NOT(ISNUMBER(AA125))),"",AA125-N(E125))</f>
        <v/>
      </c>
      <c r="AX125" s="15" t="str">
        <f aca="false">IF(OR(AB125="",NOT(ISNUMBER(AB125))),"",AB125-N(F125))</f>
        <v/>
      </c>
      <c r="AY125" s="15" t="str">
        <f aca="false">IF(OR(AC125="",NOT(ISNUMBER(AC125))),"",AC125-N(G125))</f>
        <v/>
      </c>
      <c r="AZ125" s="15" t="str">
        <f aca="false">IF(OR(AD125="",NOT(ISNUMBER(AD125))),"",AD125-N(H125))</f>
        <v/>
      </c>
      <c r="BA125" s="15" t="str">
        <f aca="false">IF(OR(AE125="",NOT(ISNUMBER(AE125))),"",AE125-N(I125))</f>
        <v/>
      </c>
      <c r="BB125" s="15" t="str">
        <f aca="false">IF(OR(AF125="",NOT(ISNUMBER(AF125))),"",AF125-N(J125))</f>
        <v/>
      </c>
      <c r="BC125" s="15" t="str">
        <f aca="false">IF(OR(AG125="",NOT(ISNUMBER(AG125))),"",AG125-N(K125))</f>
        <v/>
      </c>
      <c r="BD125" s="15" t="str">
        <f aca="false">IF(OR(AH125="",NOT(ISNUMBER(AH125))),"",AH125-N(L125))</f>
        <v/>
      </c>
      <c r="BE125" s="15" t="str">
        <f aca="false">IF(OR(AI125="",NOT(ISNUMBER(AI125))),"",AI125-N(M125))</f>
        <v/>
      </c>
      <c r="BF125" s="15" t="str">
        <f aca="false">IF(OR(AJ125="",NOT(ISNUMBER(AJ125))),"",AJ125-N(N125))</f>
        <v/>
      </c>
      <c r="BG125" s="15" t="str">
        <f aca="false">IF(OR(AK125="",NOT(ISNUMBER(AK125))),"",AK125-N(O125))</f>
        <v/>
      </c>
      <c r="BH125" s="15" t="str">
        <f aca="false">IF(OR(AL125="",NOT(ISNUMBER(AL125))),"",AL125-N(P125))</f>
        <v/>
      </c>
      <c r="BI125" s="15" t="str">
        <f aca="false">IF(OR(AM125="",NOT(ISNUMBER(AM125))),"",AM125-N(Q125))</f>
        <v/>
      </c>
      <c r="BJ125" s="15" t="str">
        <f aca="false">IF(OR(AN125="",NOT(ISNUMBER(AN125))),"",AN125-N(R125))</f>
        <v/>
      </c>
      <c r="BK125" s="15" t="str">
        <f aca="false">IF(OR(AO125="",NOT(ISNUMBER(AO125))),"",AO125-N(S125))</f>
        <v/>
      </c>
      <c r="BL125" s="15" t="str">
        <f aca="false">IF(OR(AP125="",NOT(ISNUMBER(AP125))),"",AP125-N(T125))</f>
        <v/>
      </c>
      <c r="BM125" s="15" t="str">
        <f aca="false">IF(OR(AQ125="",NOT(ISNUMBER(AQ125))),"",AQ125-N(U125))</f>
        <v/>
      </c>
      <c r="BR125" s="18" t="str">
        <f aca="false">IF($A125="","",IF(ISNUMBER($A125),DATE(YEAR($A125),MONTH($A125),1),IFERROR(DATE(2000+VALUE(RIGHT(TRIM($A125),2)),MATCH(UPPER(LEFT(TRIM($A125),3)),{"JAN","FEB","MAR","APR","MAY","JUN","JUL","AUG","SEP","OCT","NOV","DEC"},0),1),"")))</f>
        <v/>
      </c>
      <c r="BS125" s="18" t="str">
        <f aca="false">IF(BR125="","",EOMONTH(BR125,0))</f>
        <v/>
      </c>
    </row>
    <row r="126" customFormat="false" ht="15" hidden="false" customHeight="false" outlineLevel="0" collapsed="false">
      <c r="B126" s="19"/>
      <c r="C126" s="19"/>
      <c r="D126" s="19"/>
      <c r="E126" s="19"/>
      <c r="F126" s="19"/>
      <c r="G126" s="19"/>
      <c r="H126" s="19"/>
      <c r="I126" s="19"/>
      <c r="J126" s="19"/>
      <c r="K126" s="19"/>
      <c r="L126" s="19"/>
      <c r="M126" s="19"/>
      <c r="N126" s="19"/>
      <c r="O126" s="19"/>
      <c r="P126" s="19"/>
      <c r="Q126" s="19"/>
      <c r="R126" s="19"/>
      <c r="S126" s="19"/>
      <c r="T126" s="19"/>
      <c r="U126" s="19"/>
      <c r="X126" s="15" t="str">
        <f aca="false">IF(OR(B$7="",$BR126=""),"",IF('Tally Helper'!$B$3&lt;&gt;TRUE(),"not on Staff",SUMIFS('Tally Helper'!$L$5:$GI$5,'Tally Helper'!$L$3:$GI$3,"&gt;="&amp;$BR126,'Tally Helper'!$L$3:$GI$3,"&lt;="&amp;$BS126)))</f>
        <v/>
      </c>
      <c r="Y126" s="15" t="str">
        <f aca="false">IF(OR(C$7="",$BR126=""),"",IF('Tally Helper'!$B$6&lt;&gt;TRUE(),"not on Staff",SUMIFS('Tally Helper'!$L$8:$GI$8,'Tally Helper'!$L$6:$GI$6,"&gt;="&amp;$BR126,'Tally Helper'!$L$6:$GI$6,"&lt;="&amp;$BS126)))</f>
        <v/>
      </c>
      <c r="Z126" s="15" t="str">
        <f aca="false">IF(OR(D$7="",$BR126=""),"",IF('Tally Helper'!$B$9&lt;&gt;TRUE(),"not on Staff",SUMIFS('Tally Helper'!$L$11:$GI$11,'Tally Helper'!$L$9:$GI$9,"&gt;="&amp;$BR126,'Tally Helper'!$L$9:$GI$9,"&lt;="&amp;$BS126)))</f>
        <v/>
      </c>
      <c r="AA126" s="15" t="str">
        <f aca="false">IF(OR(E$7="",$BR126=""),"",IF('Tally Helper'!$B$12&lt;&gt;TRUE(),"not on Staff",SUMIFS('Tally Helper'!$L$14:$GI$14,'Tally Helper'!$L$12:$GI$12,"&gt;="&amp;$BR126,'Tally Helper'!$L$12:$GI$12,"&lt;="&amp;$BS126)))</f>
        <v/>
      </c>
      <c r="AB126" s="15" t="str">
        <f aca="false">IF(OR(F$7="",$BR126=""),"",IF('Tally Helper'!$B$15&lt;&gt;TRUE(),"not on Staff",SUMIFS('Tally Helper'!$L$17:$GI$17,'Tally Helper'!$L$15:$GI$15,"&gt;="&amp;$BR126,'Tally Helper'!$L$15:$GI$15,"&lt;="&amp;$BS126)))</f>
        <v/>
      </c>
      <c r="AC126" s="15" t="str">
        <f aca="false">IF(OR(G$7="",$BR126=""),"",IF('Tally Helper'!$B$18&lt;&gt;TRUE(),"not on Staff",SUMIFS('Tally Helper'!$L$20:$GI$20,'Tally Helper'!$L$18:$GI$18,"&gt;="&amp;$BR126,'Tally Helper'!$L$18:$GI$18,"&lt;="&amp;$BS126)))</f>
        <v/>
      </c>
      <c r="AD126" s="15" t="str">
        <f aca="false">IF(OR(H$7="",$BR126=""),"",IF('Tally Helper'!$B$21&lt;&gt;TRUE(),"not on Staff",SUMIFS('Tally Helper'!$L$23:$GI$23,'Tally Helper'!$L$21:$GI$21,"&gt;="&amp;$BR126,'Tally Helper'!$L$21:$GI$21,"&lt;="&amp;$BS126)))</f>
        <v/>
      </c>
      <c r="AE126" s="15" t="str">
        <f aca="false">IF(OR(I$7="",$BR126=""),"",IF('Tally Helper'!$B$24&lt;&gt;TRUE(),"not on Staff",SUMIFS('Tally Helper'!$L$26:$GI$26,'Tally Helper'!$L$24:$GI$24,"&gt;="&amp;$BR126,'Tally Helper'!$L$24:$GI$24,"&lt;="&amp;$BS126)))</f>
        <v/>
      </c>
      <c r="AF126" s="15" t="str">
        <f aca="false">IF(OR(J$7="",$BR126=""),"",IF('Tally Helper'!$B$27&lt;&gt;TRUE(),"not on Staff",SUMIFS('Tally Helper'!$L$29:$GI$29,'Tally Helper'!$L$27:$GI$27,"&gt;="&amp;$BR126,'Tally Helper'!$L$27:$GI$27,"&lt;="&amp;$BS126)))</f>
        <v/>
      </c>
      <c r="AG126" s="15" t="str">
        <f aca="false">IF(OR(K$7="",$BR126=""),"",IF('Tally Helper'!$B$30&lt;&gt;TRUE(),"not on Staff",SUMIFS('Tally Helper'!$L$32:$GI$32,'Tally Helper'!$L$30:$GI$30,"&gt;="&amp;$BR126,'Tally Helper'!$L$30:$GI$30,"&lt;="&amp;$BS126)))</f>
        <v/>
      </c>
      <c r="AH126" s="15" t="str">
        <f aca="false">IF(OR(L$7="",$BR126=""),"",IF('Tally Helper'!$B$33&lt;&gt;TRUE(),"not on Staff",SUMIFS('Tally Helper'!$L$35:$GI$35,'Tally Helper'!$L$33:$GI$33,"&gt;="&amp;$BR126,'Tally Helper'!$L$33:$GI$33,"&lt;="&amp;$BS126)))</f>
        <v/>
      </c>
      <c r="AI126" s="15" t="str">
        <f aca="false">IF(OR(M$7="",$BR126=""),"",IF('Tally Helper'!$B$36&lt;&gt;TRUE(),"not on Staff",SUMIFS('Tally Helper'!$L$38:$GI$38,'Tally Helper'!$L$36:$GI$36,"&gt;="&amp;$BR126,'Tally Helper'!$L$36:$GI$36,"&lt;="&amp;$BS126)))</f>
        <v/>
      </c>
      <c r="AJ126" s="15" t="str">
        <f aca="false">IF(OR(N$7="",$BR126=""),"",IF('Tally Helper'!$B$39&lt;&gt;TRUE(),"not on Staff",SUMIFS('Tally Helper'!$L$41:$GI$41,'Tally Helper'!$L$39:$GI$39,"&gt;="&amp;$BR126,'Tally Helper'!$L$39:$GI$39,"&lt;="&amp;$BS126)))</f>
        <v/>
      </c>
      <c r="AK126" s="15" t="str">
        <f aca="false">IF(OR(O$7="",$BR126=""),"",IF('Tally Helper'!$B$42&lt;&gt;TRUE(),"not on Staff",SUMIFS('Tally Helper'!$L$44:$GI$44,'Tally Helper'!$L$42:$GI$42,"&gt;="&amp;$BR126,'Tally Helper'!$L$42:$GI$42,"&lt;="&amp;$BS126)))</f>
        <v/>
      </c>
      <c r="AL126" s="15" t="str">
        <f aca="false">IF(OR(P$7="",$BR126=""),"",IF('Tally Helper'!$B$45&lt;&gt;TRUE(),"not on Staff",SUMIFS('Tally Helper'!$L$47:$GI$47,'Tally Helper'!$L$45:$GI$45,"&gt;="&amp;$BR126,'Tally Helper'!$L$45:$GI$45,"&lt;="&amp;$BS126)))</f>
        <v/>
      </c>
      <c r="AM126" s="15" t="str">
        <f aca="false">IF(OR(Q$7="",$BR126=""),"",IF('Tally Helper'!$B$48&lt;&gt;TRUE(),"not on Staff",SUMIFS('Tally Helper'!$L$50:$GI$50,'Tally Helper'!$L$48:$GI$48,"&gt;="&amp;$BR126,'Tally Helper'!$L$48:$GI$48,"&lt;="&amp;$BS126)))</f>
        <v/>
      </c>
      <c r="AN126" s="15" t="str">
        <f aca="false">IF(OR(R$7="",$BR126=""),"",IF('Tally Helper'!$B$51&lt;&gt;TRUE(),"not on Staff",SUMIFS('Tally Helper'!$L$53:$GI$53,'Tally Helper'!$L$51:$GI$51,"&gt;="&amp;$BR126,'Tally Helper'!$L$51:$GI$51,"&lt;="&amp;$BS126)))</f>
        <v/>
      </c>
      <c r="AO126" s="15" t="str">
        <f aca="false">IF(OR(S$7="",$BR126=""),"",IF('Tally Helper'!$B$54&lt;&gt;TRUE(),"not on Staff",SUMIFS('Tally Helper'!$L$56:$GI$56,'Tally Helper'!$L$54:$GI$54,"&gt;="&amp;$BR126,'Tally Helper'!$L$54:$GI$54,"&lt;="&amp;$BS126)))</f>
        <v/>
      </c>
      <c r="AP126" s="15" t="str">
        <f aca="false">IF(OR(T$7="",$BR126=""),"",IF('Tally Helper'!$B$57&lt;&gt;TRUE(),"not on Staff",SUMIFS('Tally Helper'!$L$59:$GI$59,'Tally Helper'!$L$57:$GI$57,"&gt;="&amp;$BR126,'Tally Helper'!$L$57:$GI$57,"&lt;="&amp;$BS126)))</f>
        <v/>
      </c>
      <c r="AQ126" s="15" t="str">
        <f aca="false">IF(OR(U$7="",$BR126=""),"",IF('Tally Helper'!$B$60&lt;&gt;TRUE(),"not on Staff",SUMIFS('Tally Helper'!$L$62:$GI$62,'Tally Helper'!$L$60:$GI$60,"&gt;="&amp;$BR126,'Tally Helper'!$L$60:$GI$60,"&lt;="&amp;$BS126)))</f>
        <v/>
      </c>
      <c r="AT126" s="15" t="str">
        <f aca="false">IF(OR(X126="",NOT(ISNUMBER(X126))),"",X126-N(B126))</f>
        <v/>
      </c>
      <c r="AU126" s="15" t="str">
        <f aca="false">IF(OR(Y126="",NOT(ISNUMBER(Y126))),"",Y126-N(C126))</f>
        <v/>
      </c>
      <c r="AV126" s="15" t="str">
        <f aca="false">IF(OR(Z126="",NOT(ISNUMBER(Z126))),"",Z126-N(D126))</f>
        <v/>
      </c>
      <c r="AW126" s="15" t="str">
        <f aca="false">IF(OR(AA126="",NOT(ISNUMBER(AA126))),"",AA126-N(E126))</f>
        <v/>
      </c>
      <c r="AX126" s="15" t="str">
        <f aca="false">IF(OR(AB126="",NOT(ISNUMBER(AB126))),"",AB126-N(F126))</f>
        <v/>
      </c>
      <c r="AY126" s="15" t="str">
        <f aca="false">IF(OR(AC126="",NOT(ISNUMBER(AC126))),"",AC126-N(G126))</f>
        <v/>
      </c>
      <c r="AZ126" s="15" t="str">
        <f aca="false">IF(OR(AD126="",NOT(ISNUMBER(AD126))),"",AD126-N(H126))</f>
        <v/>
      </c>
      <c r="BA126" s="15" t="str">
        <f aca="false">IF(OR(AE126="",NOT(ISNUMBER(AE126))),"",AE126-N(I126))</f>
        <v/>
      </c>
      <c r="BB126" s="15" t="str">
        <f aca="false">IF(OR(AF126="",NOT(ISNUMBER(AF126))),"",AF126-N(J126))</f>
        <v/>
      </c>
      <c r="BC126" s="15" t="str">
        <f aca="false">IF(OR(AG126="",NOT(ISNUMBER(AG126))),"",AG126-N(K126))</f>
        <v/>
      </c>
      <c r="BD126" s="15" t="str">
        <f aca="false">IF(OR(AH126="",NOT(ISNUMBER(AH126))),"",AH126-N(L126))</f>
        <v/>
      </c>
      <c r="BE126" s="15" t="str">
        <f aca="false">IF(OR(AI126="",NOT(ISNUMBER(AI126))),"",AI126-N(M126))</f>
        <v/>
      </c>
      <c r="BF126" s="15" t="str">
        <f aca="false">IF(OR(AJ126="",NOT(ISNUMBER(AJ126))),"",AJ126-N(N126))</f>
        <v/>
      </c>
      <c r="BG126" s="15" t="str">
        <f aca="false">IF(OR(AK126="",NOT(ISNUMBER(AK126))),"",AK126-N(O126))</f>
        <v/>
      </c>
      <c r="BH126" s="15" t="str">
        <f aca="false">IF(OR(AL126="",NOT(ISNUMBER(AL126))),"",AL126-N(P126))</f>
        <v/>
      </c>
      <c r="BI126" s="15" t="str">
        <f aca="false">IF(OR(AM126="",NOT(ISNUMBER(AM126))),"",AM126-N(Q126))</f>
        <v/>
      </c>
      <c r="BJ126" s="15" t="str">
        <f aca="false">IF(OR(AN126="",NOT(ISNUMBER(AN126))),"",AN126-N(R126))</f>
        <v/>
      </c>
      <c r="BK126" s="15" t="str">
        <f aca="false">IF(OR(AO126="",NOT(ISNUMBER(AO126))),"",AO126-N(S126))</f>
        <v/>
      </c>
      <c r="BL126" s="15" t="str">
        <f aca="false">IF(OR(AP126="",NOT(ISNUMBER(AP126))),"",AP126-N(T126))</f>
        <v/>
      </c>
      <c r="BM126" s="15" t="str">
        <f aca="false">IF(OR(AQ126="",NOT(ISNUMBER(AQ126))),"",AQ126-N(U126))</f>
        <v/>
      </c>
      <c r="BR126" s="18" t="str">
        <f aca="false">IF($A126="","",IF(ISNUMBER($A126),DATE(YEAR($A126),MONTH($A126),1),IFERROR(DATE(2000+VALUE(RIGHT(TRIM($A126),2)),MATCH(UPPER(LEFT(TRIM($A126),3)),{"JAN","FEB","MAR","APR","MAY","JUN","JUL","AUG","SEP","OCT","NOV","DEC"},0),1),"")))</f>
        <v/>
      </c>
      <c r="BS126" s="18" t="str">
        <f aca="false">IF(BR126="","",EOMONTH(BR126,0))</f>
        <v/>
      </c>
    </row>
    <row r="127" customFormat="false" ht="15" hidden="false" customHeight="false" outlineLevel="0" collapsed="false">
      <c r="B127" s="19"/>
      <c r="C127" s="19"/>
      <c r="D127" s="19"/>
      <c r="E127" s="19"/>
      <c r="F127" s="19"/>
      <c r="G127" s="19"/>
      <c r="H127" s="19"/>
      <c r="I127" s="19"/>
      <c r="J127" s="19"/>
      <c r="K127" s="19"/>
      <c r="L127" s="19"/>
      <c r="M127" s="19"/>
      <c r="N127" s="19"/>
      <c r="O127" s="19"/>
      <c r="P127" s="19"/>
      <c r="Q127" s="19"/>
      <c r="R127" s="19"/>
      <c r="S127" s="19"/>
      <c r="T127" s="19"/>
      <c r="U127" s="19"/>
      <c r="X127" s="15" t="str">
        <f aca="false">IF(OR(B$7="",$BR127=""),"",IF('Tally Helper'!$B$3&lt;&gt;TRUE(),"not on Staff",SUMIFS('Tally Helper'!$L$5:$GI$5,'Tally Helper'!$L$3:$GI$3,"&gt;="&amp;$BR127,'Tally Helper'!$L$3:$GI$3,"&lt;="&amp;$BS127)))</f>
        <v/>
      </c>
      <c r="Y127" s="15" t="str">
        <f aca="false">IF(OR(C$7="",$BR127=""),"",IF('Tally Helper'!$B$6&lt;&gt;TRUE(),"not on Staff",SUMIFS('Tally Helper'!$L$8:$GI$8,'Tally Helper'!$L$6:$GI$6,"&gt;="&amp;$BR127,'Tally Helper'!$L$6:$GI$6,"&lt;="&amp;$BS127)))</f>
        <v/>
      </c>
      <c r="Z127" s="15" t="str">
        <f aca="false">IF(OR(D$7="",$BR127=""),"",IF('Tally Helper'!$B$9&lt;&gt;TRUE(),"not on Staff",SUMIFS('Tally Helper'!$L$11:$GI$11,'Tally Helper'!$L$9:$GI$9,"&gt;="&amp;$BR127,'Tally Helper'!$L$9:$GI$9,"&lt;="&amp;$BS127)))</f>
        <v/>
      </c>
      <c r="AA127" s="15" t="str">
        <f aca="false">IF(OR(E$7="",$BR127=""),"",IF('Tally Helper'!$B$12&lt;&gt;TRUE(),"not on Staff",SUMIFS('Tally Helper'!$L$14:$GI$14,'Tally Helper'!$L$12:$GI$12,"&gt;="&amp;$BR127,'Tally Helper'!$L$12:$GI$12,"&lt;="&amp;$BS127)))</f>
        <v/>
      </c>
      <c r="AB127" s="15" t="str">
        <f aca="false">IF(OR(F$7="",$BR127=""),"",IF('Tally Helper'!$B$15&lt;&gt;TRUE(),"not on Staff",SUMIFS('Tally Helper'!$L$17:$GI$17,'Tally Helper'!$L$15:$GI$15,"&gt;="&amp;$BR127,'Tally Helper'!$L$15:$GI$15,"&lt;="&amp;$BS127)))</f>
        <v/>
      </c>
      <c r="AC127" s="15" t="str">
        <f aca="false">IF(OR(G$7="",$BR127=""),"",IF('Tally Helper'!$B$18&lt;&gt;TRUE(),"not on Staff",SUMIFS('Tally Helper'!$L$20:$GI$20,'Tally Helper'!$L$18:$GI$18,"&gt;="&amp;$BR127,'Tally Helper'!$L$18:$GI$18,"&lt;="&amp;$BS127)))</f>
        <v/>
      </c>
      <c r="AD127" s="15" t="str">
        <f aca="false">IF(OR(H$7="",$BR127=""),"",IF('Tally Helper'!$B$21&lt;&gt;TRUE(),"not on Staff",SUMIFS('Tally Helper'!$L$23:$GI$23,'Tally Helper'!$L$21:$GI$21,"&gt;="&amp;$BR127,'Tally Helper'!$L$21:$GI$21,"&lt;="&amp;$BS127)))</f>
        <v/>
      </c>
      <c r="AE127" s="15" t="str">
        <f aca="false">IF(OR(I$7="",$BR127=""),"",IF('Tally Helper'!$B$24&lt;&gt;TRUE(),"not on Staff",SUMIFS('Tally Helper'!$L$26:$GI$26,'Tally Helper'!$L$24:$GI$24,"&gt;="&amp;$BR127,'Tally Helper'!$L$24:$GI$24,"&lt;="&amp;$BS127)))</f>
        <v/>
      </c>
      <c r="AF127" s="15" t="str">
        <f aca="false">IF(OR(J$7="",$BR127=""),"",IF('Tally Helper'!$B$27&lt;&gt;TRUE(),"not on Staff",SUMIFS('Tally Helper'!$L$29:$GI$29,'Tally Helper'!$L$27:$GI$27,"&gt;="&amp;$BR127,'Tally Helper'!$L$27:$GI$27,"&lt;="&amp;$BS127)))</f>
        <v/>
      </c>
      <c r="AG127" s="15" t="str">
        <f aca="false">IF(OR(K$7="",$BR127=""),"",IF('Tally Helper'!$B$30&lt;&gt;TRUE(),"not on Staff",SUMIFS('Tally Helper'!$L$32:$GI$32,'Tally Helper'!$L$30:$GI$30,"&gt;="&amp;$BR127,'Tally Helper'!$L$30:$GI$30,"&lt;="&amp;$BS127)))</f>
        <v/>
      </c>
      <c r="AH127" s="15" t="str">
        <f aca="false">IF(OR(L$7="",$BR127=""),"",IF('Tally Helper'!$B$33&lt;&gt;TRUE(),"not on Staff",SUMIFS('Tally Helper'!$L$35:$GI$35,'Tally Helper'!$L$33:$GI$33,"&gt;="&amp;$BR127,'Tally Helper'!$L$33:$GI$33,"&lt;="&amp;$BS127)))</f>
        <v/>
      </c>
      <c r="AI127" s="15" t="str">
        <f aca="false">IF(OR(M$7="",$BR127=""),"",IF('Tally Helper'!$B$36&lt;&gt;TRUE(),"not on Staff",SUMIFS('Tally Helper'!$L$38:$GI$38,'Tally Helper'!$L$36:$GI$36,"&gt;="&amp;$BR127,'Tally Helper'!$L$36:$GI$36,"&lt;="&amp;$BS127)))</f>
        <v/>
      </c>
      <c r="AJ127" s="15" t="str">
        <f aca="false">IF(OR(N$7="",$BR127=""),"",IF('Tally Helper'!$B$39&lt;&gt;TRUE(),"not on Staff",SUMIFS('Tally Helper'!$L$41:$GI$41,'Tally Helper'!$L$39:$GI$39,"&gt;="&amp;$BR127,'Tally Helper'!$L$39:$GI$39,"&lt;="&amp;$BS127)))</f>
        <v/>
      </c>
      <c r="AK127" s="15" t="str">
        <f aca="false">IF(OR(O$7="",$BR127=""),"",IF('Tally Helper'!$B$42&lt;&gt;TRUE(),"not on Staff",SUMIFS('Tally Helper'!$L$44:$GI$44,'Tally Helper'!$L$42:$GI$42,"&gt;="&amp;$BR127,'Tally Helper'!$L$42:$GI$42,"&lt;="&amp;$BS127)))</f>
        <v/>
      </c>
      <c r="AL127" s="15" t="str">
        <f aca="false">IF(OR(P$7="",$BR127=""),"",IF('Tally Helper'!$B$45&lt;&gt;TRUE(),"not on Staff",SUMIFS('Tally Helper'!$L$47:$GI$47,'Tally Helper'!$L$45:$GI$45,"&gt;="&amp;$BR127,'Tally Helper'!$L$45:$GI$45,"&lt;="&amp;$BS127)))</f>
        <v/>
      </c>
      <c r="AM127" s="15" t="str">
        <f aca="false">IF(OR(Q$7="",$BR127=""),"",IF('Tally Helper'!$B$48&lt;&gt;TRUE(),"not on Staff",SUMIFS('Tally Helper'!$L$50:$GI$50,'Tally Helper'!$L$48:$GI$48,"&gt;="&amp;$BR127,'Tally Helper'!$L$48:$GI$48,"&lt;="&amp;$BS127)))</f>
        <v/>
      </c>
      <c r="AN127" s="15" t="str">
        <f aca="false">IF(OR(R$7="",$BR127=""),"",IF('Tally Helper'!$B$51&lt;&gt;TRUE(),"not on Staff",SUMIFS('Tally Helper'!$L$53:$GI$53,'Tally Helper'!$L$51:$GI$51,"&gt;="&amp;$BR127,'Tally Helper'!$L$51:$GI$51,"&lt;="&amp;$BS127)))</f>
        <v/>
      </c>
      <c r="AO127" s="15" t="str">
        <f aca="false">IF(OR(S$7="",$BR127=""),"",IF('Tally Helper'!$B$54&lt;&gt;TRUE(),"not on Staff",SUMIFS('Tally Helper'!$L$56:$GI$56,'Tally Helper'!$L$54:$GI$54,"&gt;="&amp;$BR127,'Tally Helper'!$L$54:$GI$54,"&lt;="&amp;$BS127)))</f>
        <v/>
      </c>
      <c r="AP127" s="15" t="str">
        <f aca="false">IF(OR(T$7="",$BR127=""),"",IF('Tally Helper'!$B$57&lt;&gt;TRUE(),"not on Staff",SUMIFS('Tally Helper'!$L$59:$GI$59,'Tally Helper'!$L$57:$GI$57,"&gt;="&amp;$BR127,'Tally Helper'!$L$57:$GI$57,"&lt;="&amp;$BS127)))</f>
        <v/>
      </c>
      <c r="AQ127" s="15" t="str">
        <f aca="false">IF(OR(U$7="",$BR127=""),"",IF('Tally Helper'!$B$60&lt;&gt;TRUE(),"not on Staff",SUMIFS('Tally Helper'!$L$62:$GI$62,'Tally Helper'!$L$60:$GI$60,"&gt;="&amp;$BR127,'Tally Helper'!$L$60:$GI$60,"&lt;="&amp;$BS127)))</f>
        <v/>
      </c>
      <c r="AT127" s="15" t="str">
        <f aca="false">IF(OR(X127="",NOT(ISNUMBER(X127))),"",X127-N(B127))</f>
        <v/>
      </c>
      <c r="AU127" s="15" t="str">
        <f aca="false">IF(OR(Y127="",NOT(ISNUMBER(Y127))),"",Y127-N(C127))</f>
        <v/>
      </c>
      <c r="AV127" s="15" t="str">
        <f aca="false">IF(OR(Z127="",NOT(ISNUMBER(Z127))),"",Z127-N(D127))</f>
        <v/>
      </c>
      <c r="AW127" s="15" t="str">
        <f aca="false">IF(OR(AA127="",NOT(ISNUMBER(AA127))),"",AA127-N(E127))</f>
        <v/>
      </c>
      <c r="AX127" s="15" t="str">
        <f aca="false">IF(OR(AB127="",NOT(ISNUMBER(AB127))),"",AB127-N(F127))</f>
        <v/>
      </c>
      <c r="AY127" s="15" t="str">
        <f aca="false">IF(OR(AC127="",NOT(ISNUMBER(AC127))),"",AC127-N(G127))</f>
        <v/>
      </c>
      <c r="AZ127" s="15" t="str">
        <f aca="false">IF(OR(AD127="",NOT(ISNUMBER(AD127))),"",AD127-N(H127))</f>
        <v/>
      </c>
      <c r="BA127" s="15" t="str">
        <f aca="false">IF(OR(AE127="",NOT(ISNUMBER(AE127))),"",AE127-N(I127))</f>
        <v/>
      </c>
      <c r="BB127" s="15" t="str">
        <f aca="false">IF(OR(AF127="",NOT(ISNUMBER(AF127))),"",AF127-N(J127))</f>
        <v/>
      </c>
      <c r="BC127" s="15" t="str">
        <f aca="false">IF(OR(AG127="",NOT(ISNUMBER(AG127))),"",AG127-N(K127))</f>
        <v/>
      </c>
      <c r="BD127" s="15" t="str">
        <f aca="false">IF(OR(AH127="",NOT(ISNUMBER(AH127))),"",AH127-N(L127))</f>
        <v/>
      </c>
      <c r="BE127" s="15" t="str">
        <f aca="false">IF(OR(AI127="",NOT(ISNUMBER(AI127))),"",AI127-N(M127))</f>
        <v/>
      </c>
      <c r="BF127" s="15" t="str">
        <f aca="false">IF(OR(AJ127="",NOT(ISNUMBER(AJ127))),"",AJ127-N(N127))</f>
        <v/>
      </c>
      <c r="BG127" s="15" t="str">
        <f aca="false">IF(OR(AK127="",NOT(ISNUMBER(AK127))),"",AK127-N(O127))</f>
        <v/>
      </c>
      <c r="BH127" s="15" t="str">
        <f aca="false">IF(OR(AL127="",NOT(ISNUMBER(AL127))),"",AL127-N(P127))</f>
        <v/>
      </c>
      <c r="BI127" s="15" t="str">
        <f aca="false">IF(OR(AM127="",NOT(ISNUMBER(AM127))),"",AM127-N(Q127))</f>
        <v/>
      </c>
      <c r="BJ127" s="15" t="str">
        <f aca="false">IF(OR(AN127="",NOT(ISNUMBER(AN127))),"",AN127-N(R127))</f>
        <v/>
      </c>
      <c r="BK127" s="15" t="str">
        <f aca="false">IF(OR(AO127="",NOT(ISNUMBER(AO127))),"",AO127-N(S127))</f>
        <v/>
      </c>
      <c r="BL127" s="15" t="str">
        <f aca="false">IF(OR(AP127="",NOT(ISNUMBER(AP127))),"",AP127-N(T127))</f>
        <v/>
      </c>
      <c r="BM127" s="15" t="str">
        <f aca="false">IF(OR(AQ127="",NOT(ISNUMBER(AQ127))),"",AQ127-N(U127))</f>
        <v/>
      </c>
      <c r="BR127" s="18" t="str">
        <f aca="false">IF($A127="","",IF(ISNUMBER($A127),DATE(YEAR($A127),MONTH($A127),1),IFERROR(DATE(2000+VALUE(RIGHT(TRIM($A127),2)),MATCH(UPPER(LEFT(TRIM($A127),3)),{"JAN","FEB","MAR","APR","MAY","JUN","JUL","AUG","SEP","OCT","NOV","DEC"},0),1),"")))</f>
        <v/>
      </c>
      <c r="BS127" s="18" t="str">
        <f aca="false">IF(BR127="","",EOMONTH(BR127,0))</f>
        <v/>
      </c>
    </row>
    <row r="128" customFormat="false" ht="15" hidden="false" customHeight="false" outlineLevel="0" collapsed="false">
      <c r="B128" s="19"/>
      <c r="C128" s="19"/>
      <c r="D128" s="19"/>
      <c r="E128" s="19"/>
      <c r="F128" s="19"/>
      <c r="G128" s="19"/>
      <c r="H128" s="19"/>
      <c r="I128" s="19"/>
      <c r="J128" s="19"/>
      <c r="K128" s="19"/>
      <c r="L128" s="19"/>
      <c r="M128" s="19"/>
      <c r="N128" s="19"/>
      <c r="O128" s="19"/>
      <c r="P128" s="19"/>
      <c r="Q128" s="19"/>
      <c r="R128" s="19"/>
      <c r="S128" s="19"/>
      <c r="T128" s="19"/>
      <c r="U128" s="19"/>
      <c r="X128" s="15" t="str">
        <f aca="false">IF(OR(B$7="",$BR128=""),"",IF('Tally Helper'!$B$3&lt;&gt;TRUE(),"not on Staff",SUMIFS('Tally Helper'!$L$5:$GI$5,'Tally Helper'!$L$3:$GI$3,"&gt;="&amp;$BR128,'Tally Helper'!$L$3:$GI$3,"&lt;="&amp;$BS128)))</f>
        <v/>
      </c>
      <c r="Y128" s="15" t="str">
        <f aca="false">IF(OR(C$7="",$BR128=""),"",IF('Tally Helper'!$B$6&lt;&gt;TRUE(),"not on Staff",SUMIFS('Tally Helper'!$L$8:$GI$8,'Tally Helper'!$L$6:$GI$6,"&gt;="&amp;$BR128,'Tally Helper'!$L$6:$GI$6,"&lt;="&amp;$BS128)))</f>
        <v/>
      </c>
      <c r="Z128" s="15" t="str">
        <f aca="false">IF(OR(D$7="",$BR128=""),"",IF('Tally Helper'!$B$9&lt;&gt;TRUE(),"not on Staff",SUMIFS('Tally Helper'!$L$11:$GI$11,'Tally Helper'!$L$9:$GI$9,"&gt;="&amp;$BR128,'Tally Helper'!$L$9:$GI$9,"&lt;="&amp;$BS128)))</f>
        <v/>
      </c>
      <c r="AA128" s="15" t="str">
        <f aca="false">IF(OR(E$7="",$BR128=""),"",IF('Tally Helper'!$B$12&lt;&gt;TRUE(),"not on Staff",SUMIFS('Tally Helper'!$L$14:$GI$14,'Tally Helper'!$L$12:$GI$12,"&gt;="&amp;$BR128,'Tally Helper'!$L$12:$GI$12,"&lt;="&amp;$BS128)))</f>
        <v/>
      </c>
      <c r="AB128" s="15" t="str">
        <f aca="false">IF(OR(F$7="",$BR128=""),"",IF('Tally Helper'!$B$15&lt;&gt;TRUE(),"not on Staff",SUMIFS('Tally Helper'!$L$17:$GI$17,'Tally Helper'!$L$15:$GI$15,"&gt;="&amp;$BR128,'Tally Helper'!$L$15:$GI$15,"&lt;="&amp;$BS128)))</f>
        <v/>
      </c>
      <c r="AC128" s="15" t="str">
        <f aca="false">IF(OR(G$7="",$BR128=""),"",IF('Tally Helper'!$B$18&lt;&gt;TRUE(),"not on Staff",SUMIFS('Tally Helper'!$L$20:$GI$20,'Tally Helper'!$L$18:$GI$18,"&gt;="&amp;$BR128,'Tally Helper'!$L$18:$GI$18,"&lt;="&amp;$BS128)))</f>
        <v/>
      </c>
      <c r="AD128" s="15" t="str">
        <f aca="false">IF(OR(H$7="",$BR128=""),"",IF('Tally Helper'!$B$21&lt;&gt;TRUE(),"not on Staff",SUMIFS('Tally Helper'!$L$23:$GI$23,'Tally Helper'!$L$21:$GI$21,"&gt;="&amp;$BR128,'Tally Helper'!$L$21:$GI$21,"&lt;="&amp;$BS128)))</f>
        <v/>
      </c>
      <c r="AE128" s="15" t="str">
        <f aca="false">IF(OR(I$7="",$BR128=""),"",IF('Tally Helper'!$B$24&lt;&gt;TRUE(),"not on Staff",SUMIFS('Tally Helper'!$L$26:$GI$26,'Tally Helper'!$L$24:$GI$24,"&gt;="&amp;$BR128,'Tally Helper'!$L$24:$GI$24,"&lt;="&amp;$BS128)))</f>
        <v/>
      </c>
      <c r="AF128" s="15" t="str">
        <f aca="false">IF(OR(J$7="",$BR128=""),"",IF('Tally Helper'!$B$27&lt;&gt;TRUE(),"not on Staff",SUMIFS('Tally Helper'!$L$29:$GI$29,'Tally Helper'!$L$27:$GI$27,"&gt;="&amp;$BR128,'Tally Helper'!$L$27:$GI$27,"&lt;="&amp;$BS128)))</f>
        <v/>
      </c>
      <c r="AG128" s="15" t="str">
        <f aca="false">IF(OR(K$7="",$BR128=""),"",IF('Tally Helper'!$B$30&lt;&gt;TRUE(),"not on Staff",SUMIFS('Tally Helper'!$L$32:$GI$32,'Tally Helper'!$L$30:$GI$30,"&gt;="&amp;$BR128,'Tally Helper'!$L$30:$GI$30,"&lt;="&amp;$BS128)))</f>
        <v/>
      </c>
      <c r="AH128" s="15" t="str">
        <f aca="false">IF(OR(L$7="",$BR128=""),"",IF('Tally Helper'!$B$33&lt;&gt;TRUE(),"not on Staff",SUMIFS('Tally Helper'!$L$35:$GI$35,'Tally Helper'!$L$33:$GI$33,"&gt;="&amp;$BR128,'Tally Helper'!$L$33:$GI$33,"&lt;="&amp;$BS128)))</f>
        <v/>
      </c>
      <c r="AI128" s="15" t="str">
        <f aca="false">IF(OR(M$7="",$BR128=""),"",IF('Tally Helper'!$B$36&lt;&gt;TRUE(),"not on Staff",SUMIFS('Tally Helper'!$L$38:$GI$38,'Tally Helper'!$L$36:$GI$36,"&gt;="&amp;$BR128,'Tally Helper'!$L$36:$GI$36,"&lt;="&amp;$BS128)))</f>
        <v/>
      </c>
      <c r="AJ128" s="15" t="str">
        <f aca="false">IF(OR(N$7="",$BR128=""),"",IF('Tally Helper'!$B$39&lt;&gt;TRUE(),"not on Staff",SUMIFS('Tally Helper'!$L$41:$GI$41,'Tally Helper'!$L$39:$GI$39,"&gt;="&amp;$BR128,'Tally Helper'!$L$39:$GI$39,"&lt;="&amp;$BS128)))</f>
        <v/>
      </c>
      <c r="AK128" s="15" t="str">
        <f aca="false">IF(OR(O$7="",$BR128=""),"",IF('Tally Helper'!$B$42&lt;&gt;TRUE(),"not on Staff",SUMIFS('Tally Helper'!$L$44:$GI$44,'Tally Helper'!$L$42:$GI$42,"&gt;="&amp;$BR128,'Tally Helper'!$L$42:$GI$42,"&lt;="&amp;$BS128)))</f>
        <v/>
      </c>
      <c r="AL128" s="15" t="str">
        <f aca="false">IF(OR(P$7="",$BR128=""),"",IF('Tally Helper'!$B$45&lt;&gt;TRUE(),"not on Staff",SUMIFS('Tally Helper'!$L$47:$GI$47,'Tally Helper'!$L$45:$GI$45,"&gt;="&amp;$BR128,'Tally Helper'!$L$45:$GI$45,"&lt;="&amp;$BS128)))</f>
        <v/>
      </c>
      <c r="AM128" s="15" t="str">
        <f aca="false">IF(OR(Q$7="",$BR128=""),"",IF('Tally Helper'!$B$48&lt;&gt;TRUE(),"not on Staff",SUMIFS('Tally Helper'!$L$50:$GI$50,'Tally Helper'!$L$48:$GI$48,"&gt;="&amp;$BR128,'Tally Helper'!$L$48:$GI$48,"&lt;="&amp;$BS128)))</f>
        <v/>
      </c>
      <c r="AN128" s="15" t="str">
        <f aca="false">IF(OR(R$7="",$BR128=""),"",IF('Tally Helper'!$B$51&lt;&gt;TRUE(),"not on Staff",SUMIFS('Tally Helper'!$L$53:$GI$53,'Tally Helper'!$L$51:$GI$51,"&gt;="&amp;$BR128,'Tally Helper'!$L$51:$GI$51,"&lt;="&amp;$BS128)))</f>
        <v/>
      </c>
      <c r="AO128" s="15" t="str">
        <f aca="false">IF(OR(S$7="",$BR128=""),"",IF('Tally Helper'!$B$54&lt;&gt;TRUE(),"not on Staff",SUMIFS('Tally Helper'!$L$56:$GI$56,'Tally Helper'!$L$54:$GI$54,"&gt;="&amp;$BR128,'Tally Helper'!$L$54:$GI$54,"&lt;="&amp;$BS128)))</f>
        <v/>
      </c>
      <c r="AP128" s="15" t="str">
        <f aca="false">IF(OR(T$7="",$BR128=""),"",IF('Tally Helper'!$B$57&lt;&gt;TRUE(),"not on Staff",SUMIFS('Tally Helper'!$L$59:$GI$59,'Tally Helper'!$L$57:$GI$57,"&gt;="&amp;$BR128,'Tally Helper'!$L$57:$GI$57,"&lt;="&amp;$BS128)))</f>
        <v/>
      </c>
      <c r="AQ128" s="15" t="str">
        <f aca="false">IF(OR(U$7="",$BR128=""),"",IF('Tally Helper'!$B$60&lt;&gt;TRUE(),"not on Staff",SUMIFS('Tally Helper'!$L$62:$GI$62,'Tally Helper'!$L$60:$GI$60,"&gt;="&amp;$BR128,'Tally Helper'!$L$60:$GI$60,"&lt;="&amp;$BS128)))</f>
        <v/>
      </c>
      <c r="AT128" s="15" t="str">
        <f aca="false">IF(OR(X128="",NOT(ISNUMBER(X128))),"",X128-N(B128))</f>
        <v/>
      </c>
      <c r="AU128" s="15" t="str">
        <f aca="false">IF(OR(Y128="",NOT(ISNUMBER(Y128))),"",Y128-N(C128))</f>
        <v/>
      </c>
      <c r="AV128" s="15" t="str">
        <f aca="false">IF(OR(Z128="",NOT(ISNUMBER(Z128))),"",Z128-N(D128))</f>
        <v/>
      </c>
      <c r="AW128" s="15" t="str">
        <f aca="false">IF(OR(AA128="",NOT(ISNUMBER(AA128))),"",AA128-N(E128))</f>
        <v/>
      </c>
      <c r="AX128" s="15" t="str">
        <f aca="false">IF(OR(AB128="",NOT(ISNUMBER(AB128))),"",AB128-N(F128))</f>
        <v/>
      </c>
      <c r="AY128" s="15" t="str">
        <f aca="false">IF(OR(AC128="",NOT(ISNUMBER(AC128))),"",AC128-N(G128))</f>
        <v/>
      </c>
      <c r="AZ128" s="15" t="str">
        <f aca="false">IF(OR(AD128="",NOT(ISNUMBER(AD128))),"",AD128-N(H128))</f>
        <v/>
      </c>
      <c r="BA128" s="15" t="str">
        <f aca="false">IF(OR(AE128="",NOT(ISNUMBER(AE128))),"",AE128-N(I128))</f>
        <v/>
      </c>
      <c r="BB128" s="15" t="str">
        <f aca="false">IF(OR(AF128="",NOT(ISNUMBER(AF128))),"",AF128-N(J128))</f>
        <v/>
      </c>
      <c r="BC128" s="15" t="str">
        <f aca="false">IF(OR(AG128="",NOT(ISNUMBER(AG128))),"",AG128-N(K128))</f>
        <v/>
      </c>
      <c r="BD128" s="15" t="str">
        <f aca="false">IF(OR(AH128="",NOT(ISNUMBER(AH128))),"",AH128-N(L128))</f>
        <v/>
      </c>
      <c r="BE128" s="15" t="str">
        <f aca="false">IF(OR(AI128="",NOT(ISNUMBER(AI128))),"",AI128-N(M128))</f>
        <v/>
      </c>
      <c r="BF128" s="15" t="str">
        <f aca="false">IF(OR(AJ128="",NOT(ISNUMBER(AJ128))),"",AJ128-N(N128))</f>
        <v/>
      </c>
      <c r="BG128" s="15" t="str">
        <f aca="false">IF(OR(AK128="",NOT(ISNUMBER(AK128))),"",AK128-N(O128))</f>
        <v/>
      </c>
      <c r="BH128" s="15" t="str">
        <f aca="false">IF(OR(AL128="",NOT(ISNUMBER(AL128))),"",AL128-N(P128))</f>
        <v/>
      </c>
      <c r="BI128" s="15" t="str">
        <f aca="false">IF(OR(AM128="",NOT(ISNUMBER(AM128))),"",AM128-N(Q128))</f>
        <v/>
      </c>
      <c r="BJ128" s="15" t="str">
        <f aca="false">IF(OR(AN128="",NOT(ISNUMBER(AN128))),"",AN128-N(R128))</f>
        <v/>
      </c>
      <c r="BK128" s="15" t="str">
        <f aca="false">IF(OR(AO128="",NOT(ISNUMBER(AO128))),"",AO128-N(S128))</f>
        <v/>
      </c>
      <c r="BL128" s="15" t="str">
        <f aca="false">IF(OR(AP128="",NOT(ISNUMBER(AP128))),"",AP128-N(T128))</f>
        <v/>
      </c>
      <c r="BM128" s="15" t="str">
        <f aca="false">IF(OR(AQ128="",NOT(ISNUMBER(AQ128))),"",AQ128-N(U128))</f>
        <v/>
      </c>
      <c r="BR128" s="18" t="str">
        <f aca="false">IF($A128="","",IF(ISNUMBER($A128),DATE(YEAR($A128),MONTH($A128),1),IFERROR(DATE(2000+VALUE(RIGHT(TRIM($A128),2)),MATCH(UPPER(LEFT(TRIM($A128),3)),{"JAN","FEB","MAR","APR","MAY","JUN","JUL","AUG","SEP","OCT","NOV","DEC"},0),1),"")))</f>
        <v/>
      </c>
      <c r="BS128" s="18" t="str">
        <f aca="false">IF(BR128="","",EOMONTH(BR128,0))</f>
        <v/>
      </c>
    </row>
    <row r="129" customFormat="false" ht="15" hidden="false" customHeight="false" outlineLevel="0" collapsed="false">
      <c r="B129" s="19"/>
      <c r="C129" s="19"/>
      <c r="D129" s="19"/>
      <c r="E129" s="19"/>
      <c r="F129" s="19"/>
      <c r="G129" s="19"/>
      <c r="H129" s="19"/>
      <c r="I129" s="19"/>
      <c r="J129" s="19"/>
      <c r="K129" s="19"/>
      <c r="L129" s="19"/>
      <c r="M129" s="19"/>
      <c r="N129" s="19"/>
      <c r="O129" s="19"/>
      <c r="P129" s="19"/>
      <c r="Q129" s="19"/>
      <c r="R129" s="19"/>
      <c r="S129" s="19"/>
      <c r="T129" s="19"/>
      <c r="U129" s="19"/>
      <c r="X129" s="15" t="str">
        <f aca="false">IF(OR(B$7="",$BR129=""),"",IF('Tally Helper'!$B$3&lt;&gt;TRUE(),"not on Staff",SUMIFS('Tally Helper'!$L$5:$GI$5,'Tally Helper'!$L$3:$GI$3,"&gt;="&amp;$BR129,'Tally Helper'!$L$3:$GI$3,"&lt;="&amp;$BS129)))</f>
        <v/>
      </c>
      <c r="Y129" s="15" t="str">
        <f aca="false">IF(OR(C$7="",$BR129=""),"",IF('Tally Helper'!$B$6&lt;&gt;TRUE(),"not on Staff",SUMIFS('Tally Helper'!$L$8:$GI$8,'Tally Helper'!$L$6:$GI$6,"&gt;="&amp;$BR129,'Tally Helper'!$L$6:$GI$6,"&lt;="&amp;$BS129)))</f>
        <v/>
      </c>
      <c r="Z129" s="15" t="str">
        <f aca="false">IF(OR(D$7="",$BR129=""),"",IF('Tally Helper'!$B$9&lt;&gt;TRUE(),"not on Staff",SUMIFS('Tally Helper'!$L$11:$GI$11,'Tally Helper'!$L$9:$GI$9,"&gt;="&amp;$BR129,'Tally Helper'!$L$9:$GI$9,"&lt;="&amp;$BS129)))</f>
        <v/>
      </c>
      <c r="AA129" s="15" t="str">
        <f aca="false">IF(OR(E$7="",$BR129=""),"",IF('Tally Helper'!$B$12&lt;&gt;TRUE(),"not on Staff",SUMIFS('Tally Helper'!$L$14:$GI$14,'Tally Helper'!$L$12:$GI$12,"&gt;="&amp;$BR129,'Tally Helper'!$L$12:$GI$12,"&lt;="&amp;$BS129)))</f>
        <v/>
      </c>
      <c r="AB129" s="15" t="str">
        <f aca="false">IF(OR(F$7="",$BR129=""),"",IF('Tally Helper'!$B$15&lt;&gt;TRUE(),"not on Staff",SUMIFS('Tally Helper'!$L$17:$GI$17,'Tally Helper'!$L$15:$GI$15,"&gt;="&amp;$BR129,'Tally Helper'!$L$15:$GI$15,"&lt;="&amp;$BS129)))</f>
        <v/>
      </c>
      <c r="AC129" s="15" t="str">
        <f aca="false">IF(OR(G$7="",$BR129=""),"",IF('Tally Helper'!$B$18&lt;&gt;TRUE(),"not on Staff",SUMIFS('Tally Helper'!$L$20:$GI$20,'Tally Helper'!$L$18:$GI$18,"&gt;="&amp;$BR129,'Tally Helper'!$L$18:$GI$18,"&lt;="&amp;$BS129)))</f>
        <v/>
      </c>
      <c r="AD129" s="15" t="str">
        <f aca="false">IF(OR(H$7="",$BR129=""),"",IF('Tally Helper'!$B$21&lt;&gt;TRUE(),"not on Staff",SUMIFS('Tally Helper'!$L$23:$GI$23,'Tally Helper'!$L$21:$GI$21,"&gt;="&amp;$BR129,'Tally Helper'!$L$21:$GI$21,"&lt;="&amp;$BS129)))</f>
        <v/>
      </c>
      <c r="AE129" s="15" t="str">
        <f aca="false">IF(OR(I$7="",$BR129=""),"",IF('Tally Helper'!$B$24&lt;&gt;TRUE(),"not on Staff",SUMIFS('Tally Helper'!$L$26:$GI$26,'Tally Helper'!$L$24:$GI$24,"&gt;="&amp;$BR129,'Tally Helper'!$L$24:$GI$24,"&lt;="&amp;$BS129)))</f>
        <v/>
      </c>
      <c r="AF129" s="15" t="str">
        <f aca="false">IF(OR(J$7="",$BR129=""),"",IF('Tally Helper'!$B$27&lt;&gt;TRUE(),"not on Staff",SUMIFS('Tally Helper'!$L$29:$GI$29,'Tally Helper'!$L$27:$GI$27,"&gt;="&amp;$BR129,'Tally Helper'!$L$27:$GI$27,"&lt;="&amp;$BS129)))</f>
        <v/>
      </c>
      <c r="AG129" s="15" t="str">
        <f aca="false">IF(OR(K$7="",$BR129=""),"",IF('Tally Helper'!$B$30&lt;&gt;TRUE(),"not on Staff",SUMIFS('Tally Helper'!$L$32:$GI$32,'Tally Helper'!$L$30:$GI$30,"&gt;="&amp;$BR129,'Tally Helper'!$L$30:$GI$30,"&lt;="&amp;$BS129)))</f>
        <v/>
      </c>
      <c r="AH129" s="15" t="str">
        <f aca="false">IF(OR(L$7="",$BR129=""),"",IF('Tally Helper'!$B$33&lt;&gt;TRUE(),"not on Staff",SUMIFS('Tally Helper'!$L$35:$GI$35,'Tally Helper'!$L$33:$GI$33,"&gt;="&amp;$BR129,'Tally Helper'!$L$33:$GI$33,"&lt;="&amp;$BS129)))</f>
        <v/>
      </c>
      <c r="AI129" s="15" t="str">
        <f aca="false">IF(OR(M$7="",$BR129=""),"",IF('Tally Helper'!$B$36&lt;&gt;TRUE(),"not on Staff",SUMIFS('Tally Helper'!$L$38:$GI$38,'Tally Helper'!$L$36:$GI$36,"&gt;="&amp;$BR129,'Tally Helper'!$L$36:$GI$36,"&lt;="&amp;$BS129)))</f>
        <v/>
      </c>
      <c r="AJ129" s="15" t="str">
        <f aca="false">IF(OR(N$7="",$BR129=""),"",IF('Tally Helper'!$B$39&lt;&gt;TRUE(),"not on Staff",SUMIFS('Tally Helper'!$L$41:$GI$41,'Tally Helper'!$L$39:$GI$39,"&gt;="&amp;$BR129,'Tally Helper'!$L$39:$GI$39,"&lt;="&amp;$BS129)))</f>
        <v/>
      </c>
      <c r="AK129" s="15" t="str">
        <f aca="false">IF(OR(O$7="",$BR129=""),"",IF('Tally Helper'!$B$42&lt;&gt;TRUE(),"not on Staff",SUMIFS('Tally Helper'!$L$44:$GI$44,'Tally Helper'!$L$42:$GI$42,"&gt;="&amp;$BR129,'Tally Helper'!$L$42:$GI$42,"&lt;="&amp;$BS129)))</f>
        <v/>
      </c>
      <c r="AL129" s="15" t="str">
        <f aca="false">IF(OR(P$7="",$BR129=""),"",IF('Tally Helper'!$B$45&lt;&gt;TRUE(),"not on Staff",SUMIFS('Tally Helper'!$L$47:$GI$47,'Tally Helper'!$L$45:$GI$45,"&gt;="&amp;$BR129,'Tally Helper'!$L$45:$GI$45,"&lt;="&amp;$BS129)))</f>
        <v/>
      </c>
      <c r="AM129" s="15" t="str">
        <f aca="false">IF(OR(Q$7="",$BR129=""),"",IF('Tally Helper'!$B$48&lt;&gt;TRUE(),"not on Staff",SUMIFS('Tally Helper'!$L$50:$GI$50,'Tally Helper'!$L$48:$GI$48,"&gt;="&amp;$BR129,'Tally Helper'!$L$48:$GI$48,"&lt;="&amp;$BS129)))</f>
        <v/>
      </c>
      <c r="AN129" s="15" t="str">
        <f aca="false">IF(OR(R$7="",$BR129=""),"",IF('Tally Helper'!$B$51&lt;&gt;TRUE(),"not on Staff",SUMIFS('Tally Helper'!$L$53:$GI$53,'Tally Helper'!$L$51:$GI$51,"&gt;="&amp;$BR129,'Tally Helper'!$L$51:$GI$51,"&lt;="&amp;$BS129)))</f>
        <v/>
      </c>
      <c r="AO129" s="15" t="str">
        <f aca="false">IF(OR(S$7="",$BR129=""),"",IF('Tally Helper'!$B$54&lt;&gt;TRUE(),"not on Staff",SUMIFS('Tally Helper'!$L$56:$GI$56,'Tally Helper'!$L$54:$GI$54,"&gt;="&amp;$BR129,'Tally Helper'!$L$54:$GI$54,"&lt;="&amp;$BS129)))</f>
        <v/>
      </c>
      <c r="AP129" s="15" t="str">
        <f aca="false">IF(OR(T$7="",$BR129=""),"",IF('Tally Helper'!$B$57&lt;&gt;TRUE(),"not on Staff",SUMIFS('Tally Helper'!$L$59:$GI$59,'Tally Helper'!$L$57:$GI$57,"&gt;="&amp;$BR129,'Tally Helper'!$L$57:$GI$57,"&lt;="&amp;$BS129)))</f>
        <v/>
      </c>
      <c r="AQ129" s="15" t="str">
        <f aca="false">IF(OR(U$7="",$BR129=""),"",IF('Tally Helper'!$B$60&lt;&gt;TRUE(),"not on Staff",SUMIFS('Tally Helper'!$L$62:$GI$62,'Tally Helper'!$L$60:$GI$60,"&gt;="&amp;$BR129,'Tally Helper'!$L$60:$GI$60,"&lt;="&amp;$BS129)))</f>
        <v/>
      </c>
      <c r="AT129" s="15" t="str">
        <f aca="false">IF(OR(X129="",NOT(ISNUMBER(X129))),"",X129-N(B129))</f>
        <v/>
      </c>
      <c r="AU129" s="15" t="str">
        <f aca="false">IF(OR(Y129="",NOT(ISNUMBER(Y129))),"",Y129-N(C129))</f>
        <v/>
      </c>
      <c r="AV129" s="15" t="str">
        <f aca="false">IF(OR(Z129="",NOT(ISNUMBER(Z129))),"",Z129-N(D129))</f>
        <v/>
      </c>
      <c r="AW129" s="15" t="str">
        <f aca="false">IF(OR(AA129="",NOT(ISNUMBER(AA129))),"",AA129-N(E129))</f>
        <v/>
      </c>
      <c r="AX129" s="15" t="str">
        <f aca="false">IF(OR(AB129="",NOT(ISNUMBER(AB129))),"",AB129-N(F129))</f>
        <v/>
      </c>
      <c r="AY129" s="15" t="str">
        <f aca="false">IF(OR(AC129="",NOT(ISNUMBER(AC129))),"",AC129-N(G129))</f>
        <v/>
      </c>
      <c r="AZ129" s="15" t="str">
        <f aca="false">IF(OR(AD129="",NOT(ISNUMBER(AD129))),"",AD129-N(H129))</f>
        <v/>
      </c>
      <c r="BA129" s="15" t="str">
        <f aca="false">IF(OR(AE129="",NOT(ISNUMBER(AE129))),"",AE129-N(I129))</f>
        <v/>
      </c>
      <c r="BB129" s="15" t="str">
        <f aca="false">IF(OR(AF129="",NOT(ISNUMBER(AF129))),"",AF129-N(J129))</f>
        <v/>
      </c>
      <c r="BC129" s="15" t="str">
        <f aca="false">IF(OR(AG129="",NOT(ISNUMBER(AG129))),"",AG129-N(K129))</f>
        <v/>
      </c>
      <c r="BD129" s="15" t="str">
        <f aca="false">IF(OR(AH129="",NOT(ISNUMBER(AH129))),"",AH129-N(L129))</f>
        <v/>
      </c>
      <c r="BE129" s="15" t="str">
        <f aca="false">IF(OR(AI129="",NOT(ISNUMBER(AI129))),"",AI129-N(M129))</f>
        <v/>
      </c>
      <c r="BF129" s="15" t="str">
        <f aca="false">IF(OR(AJ129="",NOT(ISNUMBER(AJ129))),"",AJ129-N(N129))</f>
        <v/>
      </c>
      <c r="BG129" s="15" t="str">
        <f aca="false">IF(OR(AK129="",NOT(ISNUMBER(AK129))),"",AK129-N(O129))</f>
        <v/>
      </c>
      <c r="BH129" s="15" t="str">
        <f aca="false">IF(OR(AL129="",NOT(ISNUMBER(AL129))),"",AL129-N(P129))</f>
        <v/>
      </c>
      <c r="BI129" s="15" t="str">
        <f aca="false">IF(OR(AM129="",NOT(ISNUMBER(AM129))),"",AM129-N(Q129))</f>
        <v/>
      </c>
      <c r="BJ129" s="15" t="str">
        <f aca="false">IF(OR(AN129="",NOT(ISNUMBER(AN129))),"",AN129-N(R129))</f>
        <v/>
      </c>
      <c r="BK129" s="15" t="str">
        <f aca="false">IF(OR(AO129="",NOT(ISNUMBER(AO129))),"",AO129-N(S129))</f>
        <v/>
      </c>
      <c r="BL129" s="15" t="str">
        <f aca="false">IF(OR(AP129="",NOT(ISNUMBER(AP129))),"",AP129-N(T129))</f>
        <v/>
      </c>
      <c r="BM129" s="15" t="str">
        <f aca="false">IF(OR(AQ129="",NOT(ISNUMBER(AQ129))),"",AQ129-N(U129))</f>
        <v/>
      </c>
      <c r="BR129" s="18" t="str">
        <f aca="false">IF($A129="","",IF(ISNUMBER($A129),DATE(YEAR($A129),MONTH($A129),1),IFERROR(DATE(2000+VALUE(RIGHT(TRIM($A129),2)),MATCH(UPPER(LEFT(TRIM($A129),3)),{"JAN","FEB","MAR","APR","MAY","JUN","JUL","AUG","SEP","OCT","NOV","DEC"},0),1),"")))</f>
        <v/>
      </c>
      <c r="BS129" s="18" t="str">
        <f aca="false">IF(BR129="","",EOMONTH(BR129,0))</f>
        <v/>
      </c>
    </row>
    <row r="130" customFormat="false" ht="15" hidden="false" customHeight="false" outlineLevel="0" collapsed="false">
      <c r="B130" s="19"/>
      <c r="C130" s="19"/>
      <c r="D130" s="19"/>
      <c r="E130" s="19"/>
      <c r="F130" s="19"/>
      <c r="G130" s="19"/>
      <c r="H130" s="19"/>
      <c r="I130" s="19"/>
      <c r="J130" s="19"/>
      <c r="K130" s="19"/>
      <c r="L130" s="19"/>
      <c r="M130" s="19"/>
      <c r="N130" s="19"/>
      <c r="O130" s="19"/>
      <c r="P130" s="19"/>
      <c r="Q130" s="19"/>
      <c r="R130" s="19"/>
      <c r="S130" s="19"/>
      <c r="T130" s="19"/>
      <c r="U130" s="19"/>
      <c r="X130" s="15" t="str">
        <f aca="false">IF(OR(B$7="",$BR130=""),"",IF('Tally Helper'!$B$3&lt;&gt;TRUE(),"not on Staff",SUMIFS('Tally Helper'!$L$5:$GI$5,'Tally Helper'!$L$3:$GI$3,"&gt;="&amp;$BR130,'Tally Helper'!$L$3:$GI$3,"&lt;="&amp;$BS130)))</f>
        <v/>
      </c>
      <c r="Y130" s="15" t="str">
        <f aca="false">IF(OR(C$7="",$BR130=""),"",IF('Tally Helper'!$B$6&lt;&gt;TRUE(),"not on Staff",SUMIFS('Tally Helper'!$L$8:$GI$8,'Tally Helper'!$L$6:$GI$6,"&gt;="&amp;$BR130,'Tally Helper'!$L$6:$GI$6,"&lt;="&amp;$BS130)))</f>
        <v/>
      </c>
      <c r="Z130" s="15" t="str">
        <f aca="false">IF(OR(D$7="",$BR130=""),"",IF('Tally Helper'!$B$9&lt;&gt;TRUE(),"not on Staff",SUMIFS('Tally Helper'!$L$11:$GI$11,'Tally Helper'!$L$9:$GI$9,"&gt;="&amp;$BR130,'Tally Helper'!$L$9:$GI$9,"&lt;="&amp;$BS130)))</f>
        <v/>
      </c>
      <c r="AA130" s="15" t="str">
        <f aca="false">IF(OR(E$7="",$BR130=""),"",IF('Tally Helper'!$B$12&lt;&gt;TRUE(),"not on Staff",SUMIFS('Tally Helper'!$L$14:$GI$14,'Tally Helper'!$L$12:$GI$12,"&gt;="&amp;$BR130,'Tally Helper'!$L$12:$GI$12,"&lt;="&amp;$BS130)))</f>
        <v/>
      </c>
      <c r="AB130" s="15" t="str">
        <f aca="false">IF(OR(F$7="",$BR130=""),"",IF('Tally Helper'!$B$15&lt;&gt;TRUE(),"not on Staff",SUMIFS('Tally Helper'!$L$17:$GI$17,'Tally Helper'!$L$15:$GI$15,"&gt;="&amp;$BR130,'Tally Helper'!$L$15:$GI$15,"&lt;="&amp;$BS130)))</f>
        <v/>
      </c>
      <c r="AC130" s="15" t="str">
        <f aca="false">IF(OR(G$7="",$BR130=""),"",IF('Tally Helper'!$B$18&lt;&gt;TRUE(),"not on Staff",SUMIFS('Tally Helper'!$L$20:$GI$20,'Tally Helper'!$L$18:$GI$18,"&gt;="&amp;$BR130,'Tally Helper'!$L$18:$GI$18,"&lt;="&amp;$BS130)))</f>
        <v/>
      </c>
      <c r="AD130" s="15" t="str">
        <f aca="false">IF(OR(H$7="",$BR130=""),"",IF('Tally Helper'!$B$21&lt;&gt;TRUE(),"not on Staff",SUMIFS('Tally Helper'!$L$23:$GI$23,'Tally Helper'!$L$21:$GI$21,"&gt;="&amp;$BR130,'Tally Helper'!$L$21:$GI$21,"&lt;="&amp;$BS130)))</f>
        <v/>
      </c>
      <c r="AE130" s="15" t="str">
        <f aca="false">IF(OR(I$7="",$BR130=""),"",IF('Tally Helper'!$B$24&lt;&gt;TRUE(),"not on Staff",SUMIFS('Tally Helper'!$L$26:$GI$26,'Tally Helper'!$L$24:$GI$24,"&gt;="&amp;$BR130,'Tally Helper'!$L$24:$GI$24,"&lt;="&amp;$BS130)))</f>
        <v/>
      </c>
      <c r="AF130" s="15" t="str">
        <f aca="false">IF(OR(J$7="",$BR130=""),"",IF('Tally Helper'!$B$27&lt;&gt;TRUE(),"not on Staff",SUMIFS('Tally Helper'!$L$29:$GI$29,'Tally Helper'!$L$27:$GI$27,"&gt;="&amp;$BR130,'Tally Helper'!$L$27:$GI$27,"&lt;="&amp;$BS130)))</f>
        <v/>
      </c>
      <c r="AG130" s="15" t="str">
        <f aca="false">IF(OR(K$7="",$BR130=""),"",IF('Tally Helper'!$B$30&lt;&gt;TRUE(),"not on Staff",SUMIFS('Tally Helper'!$L$32:$GI$32,'Tally Helper'!$L$30:$GI$30,"&gt;="&amp;$BR130,'Tally Helper'!$L$30:$GI$30,"&lt;="&amp;$BS130)))</f>
        <v/>
      </c>
      <c r="AH130" s="15" t="str">
        <f aca="false">IF(OR(L$7="",$BR130=""),"",IF('Tally Helper'!$B$33&lt;&gt;TRUE(),"not on Staff",SUMIFS('Tally Helper'!$L$35:$GI$35,'Tally Helper'!$L$33:$GI$33,"&gt;="&amp;$BR130,'Tally Helper'!$L$33:$GI$33,"&lt;="&amp;$BS130)))</f>
        <v/>
      </c>
      <c r="AI130" s="15" t="str">
        <f aca="false">IF(OR(M$7="",$BR130=""),"",IF('Tally Helper'!$B$36&lt;&gt;TRUE(),"not on Staff",SUMIFS('Tally Helper'!$L$38:$GI$38,'Tally Helper'!$L$36:$GI$36,"&gt;="&amp;$BR130,'Tally Helper'!$L$36:$GI$36,"&lt;="&amp;$BS130)))</f>
        <v/>
      </c>
      <c r="AJ130" s="15" t="str">
        <f aca="false">IF(OR(N$7="",$BR130=""),"",IF('Tally Helper'!$B$39&lt;&gt;TRUE(),"not on Staff",SUMIFS('Tally Helper'!$L$41:$GI$41,'Tally Helper'!$L$39:$GI$39,"&gt;="&amp;$BR130,'Tally Helper'!$L$39:$GI$39,"&lt;="&amp;$BS130)))</f>
        <v/>
      </c>
      <c r="AK130" s="15" t="str">
        <f aca="false">IF(OR(O$7="",$BR130=""),"",IF('Tally Helper'!$B$42&lt;&gt;TRUE(),"not on Staff",SUMIFS('Tally Helper'!$L$44:$GI$44,'Tally Helper'!$L$42:$GI$42,"&gt;="&amp;$BR130,'Tally Helper'!$L$42:$GI$42,"&lt;="&amp;$BS130)))</f>
        <v/>
      </c>
      <c r="AL130" s="15" t="str">
        <f aca="false">IF(OR(P$7="",$BR130=""),"",IF('Tally Helper'!$B$45&lt;&gt;TRUE(),"not on Staff",SUMIFS('Tally Helper'!$L$47:$GI$47,'Tally Helper'!$L$45:$GI$45,"&gt;="&amp;$BR130,'Tally Helper'!$L$45:$GI$45,"&lt;="&amp;$BS130)))</f>
        <v/>
      </c>
      <c r="AM130" s="15" t="str">
        <f aca="false">IF(OR(Q$7="",$BR130=""),"",IF('Tally Helper'!$B$48&lt;&gt;TRUE(),"not on Staff",SUMIFS('Tally Helper'!$L$50:$GI$50,'Tally Helper'!$L$48:$GI$48,"&gt;="&amp;$BR130,'Tally Helper'!$L$48:$GI$48,"&lt;="&amp;$BS130)))</f>
        <v/>
      </c>
      <c r="AN130" s="15" t="str">
        <f aca="false">IF(OR(R$7="",$BR130=""),"",IF('Tally Helper'!$B$51&lt;&gt;TRUE(),"not on Staff",SUMIFS('Tally Helper'!$L$53:$GI$53,'Tally Helper'!$L$51:$GI$51,"&gt;="&amp;$BR130,'Tally Helper'!$L$51:$GI$51,"&lt;="&amp;$BS130)))</f>
        <v/>
      </c>
      <c r="AO130" s="15" t="str">
        <f aca="false">IF(OR(S$7="",$BR130=""),"",IF('Tally Helper'!$B$54&lt;&gt;TRUE(),"not on Staff",SUMIFS('Tally Helper'!$L$56:$GI$56,'Tally Helper'!$L$54:$GI$54,"&gt;="&amp;$BR130,'Tally Helper'!$L$54:$GI$54,"&lt;="&amp;$BS130)))</f>
        <v/>
      </c>
      <c r="AP130" s="15" t="str">
        <f aca="false">IF(OR(T$7="",$BR130=""),"",IF('Tally Helper'!$B$57&lt;&gt;TRUE(),"not on Staff",SUMIFS('Tally Helper'!$L$59:$GI$59,'Tally Helper'!$L$57:$GI$57,"&gt;="&amp;$BR130,'Tally Helper'!$L$57:$GI$57,"&lt;="&amp;$BS130)))</f>
        <v/>
      </c>
      <c r="AQ130" s="15" t="str">
        <f aca="false">IF(OR(U$7="",$BR130=""),"",IF('Tally Helper'!$B$60&lt;&gt;TRUE(),"not on Staff",SUMIFS('Tally Helper'!$L$62:$GI$62,'Tally Helper'!$L$60:$GI$60,"&gt;="&amp;$BR130,'Tally Helper'!$L$60:$GI$60,"&lt;="&amp;$BS130)))</f>
        <v/>
      </c>
      <c r="AT130" s="15" t="str">
        <f aca="false">IF(OR(X130="",NOT(ISNUMBER(X130))),"",X130-N(B130))</f>
        <v/>
      </c>
      <c r="AU130" s="15" t="str">
        <f aca="false">IF(OR(Y130="",NOT(ISNUMBER(Y130))),"",Y130-N(C130))</f>
        <v/>
      </c>
      <c r="AV130" s="15" t="str">
        <f aca="false">IF(OR(Z130="",NOT(ISNUMBER(Z130))),"",Z130-N(D130))</f>
        <v/>
      </c>
      <c r="AW130" s="15" t="str">
        <f aca="false">IF(OR(AA130="",NOT(ISNUMBER(AA130))),"",AA130-N(E130))</f>
        <v/>
      </c>
      <c r="AX130" s="15" t="str">
        <f aca="false">IF(OR(AB130="",NOT(ISNUMBER(AB130))),"",AB130-N(F130))</f>
        <v/>
      </c>
      <c r="AY130" s="15" t="str">
        <f aca="false">IF(OR(AC130="",NOT(ISNUMBER(AC130))),"",AC130-N(G130))</f>
        <v/>
      </c>
      <c r="AZ130" s="15" t="str">
        <f aca="false">IF(OR(AD130="",NOT(ISNUMBER(AD130))),"",AD130-N(H130))</f>
        <v/>
      </c>
      <c r="BA130" s="15" t="str">
        <f aca="false">IF(OR(AE130="",NOT(ISNUMBER(AE130))),"",AE130-N(I130))</f>
        <v/>
      </c>
      <c r="BB130" s="15" t="str">
        <f aca="false">IF(OR(AF130="",NOT(ISNUMBER(AF130))),"",AF130-N(J130))</f>
        <v/>
      </c>
      <c r="BC130" s="15" t="str">
        <f aca="false">IF(OR(AG130="",NOT(ISNUMBER(AG130))),"",AG130-N(K130))</f>
        <v/>
      </c>
      <c r="BD130" s="15" t="str">
        <f aca="false">IF(OR(AH130="",NOT(ISNUMBER(AH130))),"",AH130-N(L130))</f>
        <v/>
      </c>
      <c r="BE130" s="15" t="str">
        <f aca="false">IF(OR(AI130="",NOT(ISNUMBER(AI130))),"",AI130-N(M130))</f>
        <v/>
      </c>
      <c r="BF130" s="15" t="str">
        <f aca="false">IF(OR(AJ130="",NOT(ISNUMBER(AJ130))),"",AJ130-N(N130))</f>
        <v/>
      </c>
      <c r="BG130" s="15" t="str">
        <f aca="false">IF(OR(AK130="",NOT(ISNUMBER(AK130))),"",AK130-N(O130))</f>
        <v/>
      </c>
      <c r="BH130" s="15" t="str">
        <f aca="false">IF(OR(AL130="",NOT(ISNUMBER(AL130))),"",AL130-N(P130))</f>
        <v/>
      </c>
      <c r="BI130" s="15" t="str">
        <f aca="false">IF(OR(AM130="",NOT(ISNUMBER(AM130))),"",AM130-N(Q130))</f>
        <v/>
      </c>
      <c r="BJ130" s="15" t="str">
        <f aca="false">IF(OR(AN130="",NOT(ISNUMBER(AN130))),"",AN130-N(R130))</f>
        <v/>
      </c>
      <c r="BK130" s="15" t="str">
        <f aca="false">IF(OR(AO130="",NOT(ISNUMBER(AO130))),"",AO130-N(S130))</f>
        <v/>
      </c>
      <c r="BL130" s="15" t="str">
        <f aca="false">IF(OR(AP130="",NOT(ISNUMBER(AP130))),"",AP130-N(T130))</f>
        <v/>
      </c>
      <c r="BM130" s="15" t="str">
        <f aca="false">IF(OR(AQ130="",NOT(ISNUMBER(AQ130))),"",AQ130-N(U130))</f>
        <v/>
      </c>
      <c r="BR130" s="18" t="str">
        <f aca="false">IF($A130="","",IF(ISNUMBER($A130),DATE(YEAR($A130),MONTH($A130),1),IFERROR(DATE(2000+VALUE(RIGHT(TRIM($A130),2)),MATCH(UPPER(LEFT(TRIM($A130),3)),{"JAN","FEB","MAR","APR","MAY","JUN","JUL","AUG","SEP","OCT","NOV","DEC"},0),1),"")))</f>
        <v/>
      </c>
      <c r="BS130" s="18" t="str">
        <f aca="false">IF(BR130="","",EOMONTH(BR130,0))</f>
        <v/>
      </c>
    </row>
    <row r="131" customFormat="false" ht="15" hidden="false" customHeight="false" outlineLevel="0" collapsed="false">
      <c r="B131" s="19"/>
      <c r="C131" s="19"/>
      <c r="D131" s="19"/>
      <c r="E131" s="19"/>
      <c r="F131" s="19"/>
      <c r="G131" s="19"/>
      <c r="H131" s="19"/>
      <c r="I131" s="19"/>
      <c r="J131" s="19"/>
      <c r="K131" s="19"/>
      <c r="L131" s="19"/>
      <c r="M131" s="19"/>
      <c r="N131" s="19"/>
      <c r="O131" s="19"/>
      <c r="P131" s="19"/>
      <c r="Q131" s="19"/>
      <c r="R131" s="19"/>
      <c r="S131" s="19"/>
      <c r="T131" s="19"/>
      <c r="U131" s="19"/>
      <c r="X131" s="15" t="str">
        <f aca="false">IF(OR(B$7="",$BR131=""),"",IF('Tally Helper'!$B$3&lt;&gt;TRUE(),"not on Staff",SUMIFS('Tally Helper'!$L$5:$GI$5,'Tally Helper'!$L$3:$GI$3,"&gt;="&amp;$BR131,'Tally Helper'!$L$3:$GI$3,"&lt;="&amp;$BS131)))</f>
        <v/>
      </c>
      <c r="Y131" s="15" t="str">
        <f aca="false">IF(OR(C$7="",$BR131=""),"",IF('Tally Helper'!$B$6&lt;&gt;TRUE(),"not on Staff",SUMIFS('Tally Helper'!$L$8:$GI$8,'Tally Helper'!$L$6:$GI$6,"&gt;="&amp;$BR131,'Tally Helper'!$L$6:$GI$6,"&lt;="&amp;$BS131)))</f>
        <v/>
      </c>
      <c r="Z131" s="15" t="str">
        <f aca="false">IF(OR(D$7="",$BR131=""),"",IF('Tally Helper'!$B$9&lt;&gt;TRUE(),"not on Staff",SUMIFS('Tally Helper'!$L$11:$GI$11,'Tally Helper'!$L$9:$GI$9,"&gt;="&amp;$BR131,'Tally Helper'!$L$9:$GI$9,"&lt;="&amp;$BS131)))</f>
        <v/>
      </c>
      <c r="AA131" s="15" t="str">
        <f aca="false">IF(OR(E$7="",$BR131=""),"",IF('Tally Helper'!$B$12&lt;&gt;TRUE(),"not on Staff",SUMIFS('Tally Helper'!$L$14:$GI$14,'Tally Helper'!$L$12:$GI$12,"&gt;="&amp;$BR131,'Tally Helper'!$L$12:$GI$12,"&lt;="&amp;$BS131)))</f>
        <v/>
      </c>
      <c r="AB131" s="15" t="str">
        <f aca="false">IF(OR(F$7="",$BR131=""),"",IF('Tally Helper'!$B$15&lt;&gt;TRUE(),"not on Staff",SUMIFS('Tally Helper'!$L$17:$GI$17,'Tally Helper'!$L$15:$GI$15,"&gt;="&amp;$BR131,'Tally Helper'!$L$15:$GI$15,"&lt;="&amp;$BS131)))</f>
        <v/>
      </c>
      <c r="AC131" s="15" t="str">
        <f aca="false">IF(OR(G$7="",$BR131=""),"",IF('Tally Helper'!$B$18&lt;&gt;TRUE(),"not on Staff",SUMIFS('Tally Helper'!$L$20:$GI$20,'Tally Helper'!$L$18:$GI$18,"&gt;="&amp;$BR131,'Tally Helper'!$L$18:$GI$18,"&lt;="&amp;$BS131)))</f>
        <v/>
      </c>
      <c r="AD131" s="15" t="str">
        <f aca="false">IF(OR(H$7="",$BR131=""),"",IF('Tally Helper'!$B$21&lt;&gt;TRUE(),"not on Staff",SUMIFS('Tally Helper'!$L$23:$GI$23,'Tally Helper'!$L$21:$GI$21,"&gt;="&amp;$BR131,'Tally Helper'!$L$21:$GI$21,"&lt;="&amp;$BS131)))</f>
        <v/>
      </c>
      <c r="AE131" s="15" t="str">
        <f aca="false">IF(OR(I$7="",$BR131=""),"",IF('Tally Helper'!$B$24&lt;&gt;TRUE(),"not on Staff",SUMIFS('Tally Helper'!$L$26:$GI$26,'Tally Helper'!$L$24:$GI$24,"&gt;="&amp;$BR131,'Tally Helper'!$L$24:$GI$24,"&lt;="&amp;$BS131)))</f>
        <v/>
      </c>
      <c r="AF131" s="15" t="str">
        <f aca="false">IF(OR(J$7="",$BR131=""),"",IF('Tally Helper'!$B$27&lt;&gt;TRUE(),"not on Staff",SUMIFS('Tally Helper'!$L$29:$GI$29,'Tally Helper'!$L$27:$GI$27,"&gt;="&amp;$BR131,'Tally Helper'!$L$27:$GI$27,"&lt;="&amp;$BS131)))</f>
        <v/>
      </c>
      <c r="AG131" s="15" t="str">
        <f aca="false">IF(OR(K$7="",$BR131=""),"",IF('Tally Helper'!$B$30&lt;&gt;TRUE(),"not on Staff",SUMIFS('Tally Helper'!$L$32:$GI$32,'Tally Helper'!$L$30:$GI$30,"&gt;="&amp;$BR131,'Tally Helper'!$L$30:$GI$30,"&lt;="&amp;$BS131)))</f>
        <v/>
      </c>
      <c r="AH131" s="15" t="str">
        <f aca="false">IF(OR(L$7="",$BR131=""),"",IF('Tally Helper'!$B$33&lt;&gt;TRUE(),"not on Staff",SUMIFS('Tally Helper'!$L$35:$GI$35,'Tally Helper'!$L$33:$GI$33,"&gt;="&amp;$BR131,'Tally Helper'!$L$33:$GI$33,"&lt;="&amp;$BS131)))</f>
        <v/>
      </c>
      <c r="AI131" s="15" t="str">
        <f aca="false">IF(OR(M$7="",$BR131=""),"",IF('Tally Helper'!$B$36&lt;&gt;TRUE(),"not on Staff",SUMIFS('Tally Helper'!$L$38:$GI$38,'Tally Helper'!$L$36:$GI$36,"&gt;="&amp;$BR131,'Tally Helper'!$L$36:$GI$36,"&lt;="&amp;$BS131)))</f>
        <v/>
      </c>
      <c r="AJ131" s="15" t="str">
        <f aca="false">IF(OR(N$7="",$BR131=""),"",IF('Tally Helper'!$B$39&lt;&gt;TRUE(),"not on Staff",SUMIFS('Tally Helper'!$L$41:$GI$41,'Tally Helper'!$L$39:$GI$39,"&gt;="&amp;$BR131,'Tally Helper'!$L$39:$GI$39,"&lt;="&amp;$BS131)))</f>
        <v/>
      </c>
      <c r="AK131" s="15" t="str">
        <f aca="false">IF(OR(O$7="",$BR131=""),"",IF('Tally Helper'!$B$42&lt;&gt;TRUE(),"not on Staff",SUMIFS('Tally Helper'!$L$44:$GI$44,'Tally Helper'!$L$42:$GI$42,"&gt;="&amp;$BR131,'Tally Helper'!$L$42:$GI$42,"&lt;="&amp;$BS131)))</f>
        <v/>
      </c>
      <c r="AL131" s="15" t="str">
        <f aca="false">IF(OR(P$7="",$BR131=""),"",IF('Tally Helper'!$B$45&lt;&gt;TRUE(),"not on Staff",SUMIFS('Tally Helper'!$L$47:$GI$47,'Tally Helper'!$L$45:$GI$45,"&gt;="&amp;$BR131,'Tally Helper'!$L$45:$GI$45,"&lt;="&amp;$BS131)))</f>
        <v/>
      </c>
      <c r="AM131" s="15" t="str">
        <f aca="false">IF(OR(Q$7="",$BR131=""),"",IF('Tally Helper'!$B$48&lt;&gt;TRUE(),"not on Staff",SUMIFS('Tally Helper'!$L$50:$GI$50,'Tally Helper'!$L$48:$GI$48,"&gt;="&amp;$BR131,'Tally Helper'!$L$48:$GI$48,"&lt;="&amp;$BS131)))</f>
        <v/>
      </c>
      <c r="AN131" s="15" t="str">
        <f aca="false">IF(OR(R$7="",$BR131=""),"",IF('Tally Helper'!$B$51&lt;&gt;TRUE(),"not on Staff",SUMIFS('Tally Helper'!$L$53:$GI$53,'Tally Helper'!$L$51:$GI$51,"&gt;="&amp;$BR131,'Tally Helper'!$L$51:$GI$51,"&lt;="&amp;$BS131)))</f>
        <v/>
      </c>
      <c r="AO131" s="15" t="str">
        <f aca="false">IF(OR(S$7="",$BR131=""),"",IF('Tally Helper'!$B$54&lt;&gt;TRUE(),"not on Staff",SUMIFS('Tally Helper'!$L$56:$GI$56,'Tally Helper'!$L$54:$GI$54,"&gt;="&amp;$BR131,'Tally Helper'!$L$54:$GI$54,"&lt;="&amp;$BS131)))</f>
        <v/>
      </c>
      <c r="AP131" s="15" t="str">
        <f aca="false">IF(OR(T$7="",$BR131=""),"",IF('Tally Helper'!$B$57&lt;&gt;TRUE(),"not on Staff",SUMIFS('Tally Helper'!$L$59:$GI$59,'Tally Helper'!$L$57:$GI$57,"&gt;="&amp;$BR131,'Tally Helper'!$L$57:$GI$57,"&lt;="&amp;$BS131)))</f>
        <v/>
      </c>
      <c r="AQ131" s="15" t="str">
        <f aca="false">IF(OR(U$7="",$BR131=""),"",IF('Tally Helper'!$B$60&lt;&gt;TRUE(),"not on Staff",SUMIFS('Tally Helper'!$L$62:$GI$62,'Tally Helper'!$L$60:$GI$60,"&gt;="&amp;$BR131,'Tally Helper'!$L$60:$GI$60,"&lt;="&amp;$BS131)))</f>
        <v/>
      </c>
      <c r="AT131" s="15" t="str">
        <f aca="false">IF(OR(X131="",NOT(ISNUMBER(X131))),"",X131-N(B131))</f>
        <v/>
      </c>
      <c r="AU131" s="15" t="str">
        <f aca="false">IF(OR(Y131="",NOT(ISNUMBER(Y131))),"",Y131-N(C131))</f>
        <v/>
      </c>
      <c r="AV131" s="15" t="str">
        <f aca="false">IF(OR(Z131="",NOT(ISNUMBER(Z131))),"",Z131-N(D131))</f>
        <v/>
      </c>
      <c r="AW131" s="15" t="str">
        <f aca="false">IF(OR(AA131="",NOT(ISNUMBER(AA131))),"",AA131-N(E131))</f>
        <v/>
      </c>
      <c r="AX131" s="15" t="str">
        <f aca="false">IF(OR(AB131="",NOT(ISNUMBER(AB131))),"",AB131-N(F131))</f>
        <v/>
      </c>
      <c r="AY131" s="15" t="str">
        <f aca="false">IF(OR(AC131="",NOT(ISNUMBER(AC131))),"",AC131-N(G131))</f>
        <v/>
      </c>
      <c r="AZ131" s="15" t="str">
        <f aca="false">IF(OR(AD131="",NOT(ISNUMBER(AD131))),"",AD131-N(H131))</f>
        <v/>
      </c>
      <c r="BA131" s="15" t="str">
        <f aca="false">IF(OR(AE131="",NOT(ISNUMBER(AE131))),"",AE131-N(I131))</f>
        <v/>
      </c>
      <c r="BB131" s="15" t="str">
        <f aca="false">IF(OR(AF131="",NOT(ISNUMBER(AF131))),"",AF131-N(J131))</f>
        <v/>
      </c>
      <c r="BC131" s="15" t="str">
        <f aca="false">IF(OR(AG131="",NOT(ISNUMBER(AG131))),"",AG131-N(K131))</f>
        <v/>
      </c>
      <c r="BD131" s="15" t="str">
        <f aca="false">IF(OR(AH131="",NOT(ISNUMBER(AH131))),"",AH131-N(L131))</f>
        <v/>
      </c>
      <c r="BE131" s="15" t="str">
        <f aca="false">IF(OR(AI131="",NOT(ISNUMBER(AI131))),"",AI131-N(M131))</f>
        <v/>
      </c>
      <c r="BF131" s="15" t="str">
        <f aca="false">IF(OR(AJ131="",NOT(ISNUMBER(AJ131))),"",AJ131-N(N131))</f>
        <v/>
      </c>
      <c r="BG131" s="15" t="str">
        <f aca="false">IF(OR(AK131="",NOT(ISNUMBER(AK131))),"",AK131-N(O131))</f>
        <v/>
      </c>
      <c r="BH131" s="15" t="str">
        <f aca="false">IF(OR(AL131="",NOT(ISNUMBER(AL131))),"",AL131-N(P131))</f>
        <v/>
      </c>
      <c r="BI131" s="15" t="str">
        <f aca="false">IF(OR(AM131="",NOT(ISNUMBER(AM131))),"",AM131-N(Q131))</f>
        <v/>
      </c>
      <c r="BJ131" s="15" t="str">
        <f aca="false">IF(OR(AN131="",NOT(ISNUMBER(AN131))),"",AN131-N(R131))</f>
        <v/>
      </c>
      <c r="BK131" s="15" t="str">
        <f aca="false">IF(OR(AO131="",NOT(ISNUMBER(AO131))),"",AO131-N(S131))</f>
        <v/>
      </c>
      <c r="BL131" s="15" t="str">
        <f aca="false">IF(OR(AP131="",NOT(ISNUMBER(AP131))),"",AP131-N(T131))</f>
        <v/>
      </c>
      <c r="BM131" s="15" t="str">
        <f aca="false">IF(OR(AQ131="",NOT(ISNUMBER(AQ131))),"",AQ131-N(U131))</f>
        <v/>
      </c>
      <c r="BR131" s="18" t="str">
        <f aca="false">IF($A131="","",IF(ISNUMBER($A131),DATE(YEAR($A131),MONTH($A131),1),IFERROR(DATE(2000+VALUE(RIGHT(TRIM($A131),2)),MATCH(UPPER(LEFT(TRIM($A131),3)),{"JAN","FEB","MAR","APR","MAY","JUN","JUL","AUG","SEP","OCT","NOV","DEC"},0),1),"")))</f>
        <v/>
      </c>
      <c r="BS131" s="18" t="str">
        <f aca="false">IF(BR131="","",EOMONTH(BR131,0))</f>
        <v/>
      </c>
    </row>
    <row r="132" customFormat="false" ht="15" hidden="false" customHeight="false" outlineLevel="0" collapsed="false">
      <c r="B132" s="19"/>
      <c r="C132" s="19"/>
      <c r="D132" s="19"/>
      <c r="E132" s="19"/>
      <c r="F132" s="19"/>
      <c r="G132" s="19"/>
      <c r="H132" s="19"/>
      <c r="I132" s="19"/>
      <c r="J132" s="19"/>
      <c r="K132" s="19"/>
      <c r="L132" s="19"/>
      <c r="M132" s="19"/>
      <c r="N132" s="19"/>
      <c r="O132" s="19"/>
      <c r="P132" s="19"/>
      <c r="Q132" s="19"/>
      <c r="R132" s="19"/>
      <c r="S132" s="19"/>
      <c r="T132" s="19"/>
      <c r="U132" s="19"/>
      <c r="X132" s="15" t="str">
        <f aca="false">IF(OR(B$7="",$BR132=""),"",IF('Tally Helper'!$B$3&lt;&gt;TRUE(),"not on Staff",SUMIFS('Tally Helper'!$L$5:$GI$5,'Tally Helper'!$L$3:$GI$3,"&gt;="&amp;$BR132,'Tally Helper'!$L$3:$GI$3,"&lt;="&amp;$BS132)))</f>
        <v/>
      </c>
      <c r="Y132" s="15" t="str">
        <f aca="false">IF(OR(C$7="",$BR132=""),"",IF('Tally Helper'!$B$6&lt;&gt;TRUE(),"not on Staff",SUMIFS('Tally Helper'!$L$8:$GI$8,'Tally Helper'!$L$6:$GI$6,"&gt;="&amp;$BR132,'Tally Helper'!$L$6:$GI$6,"&lt;="&amp;$BS132)))</f>
        <v/>
      </c>
      <c r="Z132" s="15" t="str">
        <f aca="false">IF(OR(D$7="",$BR132=""),"",IF('Tally Helper'!$B$9&lt;&gt;TRUE(),"not on Staff",SUMIFS('Tally Helper'!$L$11:$GI$11,'Tally Helper'!$L$9:$GI$9,"&gt;="&amp;$BR132,'Tally Helper'!$L$9:$GI$9,"&lt;="&amp;$BS132)))</f>
        <v/>
      </c>
      <c r="AA132" s="15" t="str">
        <f aca="false">IF(OR(E$7="",$BR132=""),"",IF('Tally Helper'!$B$12&lt;&gt;TRUE(),"not on Staff",SUMIFS('Tally Helper'!$L$14:$GI$14,'Tally Helper'!$L$12:$GI$12,"&gt;="&amp;$BR132,'Tally Helper'!$L$12:$GI$12,"&lt;="&amp;$BS132)))</f>
        <v/>
      </c>
      <c r="AB132" s="15" t="str">
        <f aca="false">IF(OR(F$7="",$BR132=""),"",IF('Tally Helper'!$B$15&lt;&gt;TRUE(),"not on Staff",SUMIFS('Tally Helper'!$L$17:$GI$17,'Tally Helper'!$L$15:$GI$15,"&gt;="&amp;$BR132,'Tally Helper'!$L$15:$GI$15,"&lt;="&amp;$BS132)))</f>
        <v/>
      </c>
      <c r="AC132" s="15" t="str">
        <f aca="false">IF(OR(G$7="",$BR132=""),"",IF('Tally Helper'!$B$18&lt;&gt;TRUE(),"not on Staff",SUMIFS('Tally Helper'!$L$20:$GI$20,'Tally Helper'!$L$18:$GI$18,"&gt;="&amp;$BR132,'Tally Helper'!$L$18:$GI$18,"&lt;="&amp;$BS132)))</f>
        <v/>
      </c>
      <c r="AD132" s="15" t="str">
        <f aca="false">IF(OR(H$7="",$BR132=""),"",IF('Tally Helper'!$B$21&lt;&gt;TRUE(),"not on Staff",SUMIFS('Tally Helper'!$L$23:$GI$23,'Tally Helper'!$L$21:$GI$21,"&gt;="&amp;$BR132,'Tally Helper'!$L$21:$GI$21,"&lt;="&amp;$BS132)))</f>
        <v/>
      </c>
      <c r="AE132" s="15" t="str">
        <f aca="false">IF(OR(I$7="",$BR132=""),"",IF('Tally Helper'!$B$24&lt;&gt;TRUE(),"not on Staff",SUMIFS('Tally Helper'!$L$26:$GI$26,'Tally Helper'!$L$24:$GI$24,"&gt;="&amp;$BR132,'Tally Helper'!$L$24:$GI$24,"&lt;="&amp;$BS132)))</f>
        <v/>
      </c>
      <c r="AF132" s="15" t="str">
        <f aca="false">IF(OR(J$7="",$BR132=""),"",IF('Tally Helper'!$B$27&lt;&gt;TRUE(),"not on Staff",SUMIFS('Tally Helper'!$L$29:$GI$29,'Tally Helper'!$L$27:$GI$27,"&gt;="&amp;$BR132,'Tally Helper'!$L$27:$GI$27,"&lt;="&amp;$BS132)))</f>
        <v/>
      </c>
      <c r="AG132" s="15" t="str">
        <f aca="false">IF(OR(K$7="",$BR132=""),"",IF('Tally Helper'!$B$30&lt;&gt;TRUE(),"not on Staff",SUMIFS('Tally Helper'!$L$32:$GI$32,'Tally Helper'!$L$30:$GI$30,"&gt;="&amp;$BR132,'Tally Helper'!$L$30:$GI$30,"&lt;="&amp;$BS132)))</f>
        <v/>
      </c>
      <c r="AH132" s="15" t="str">
        <f aca="false">IF(OR(L$7="",$BR132=""),"",IF('Tally Helper'!$B$33&lt;&gt;TRUE(),"not on Staff",SUMIFS('Tally Helper'!$L$35:$GI$35,'Tally Helper'!$L$33:$GI$33,"&gt;="&amp;$BR132,'Tally Helper'!$L$33:$GI$33,"&lt;="&amp;$BS132)))</f>
        <v/>
      </c>
      <c r="AI132" s="15" t="str">
        <f aca="false">IF(OR(M$7="",$BR132=""),"",IF('Tally Helper'!$B$36&lt;&gt;TRUE(),"not on Staff",SUMIFS('Tally Helper'!$L$38:$GI$38,'Tally Helper'!$L$36:$GI$36,"&gt;="&amp;$BR132,'Tally Helper'!$L$36:$GI$36,"&lt;="&amp;$BS132)))</f>
        <v/>
      </c>
      <c r="AJ132" s="15" t="str">
        <f aca="false">IF(OR(N$7="",$BR132=""),"",IF('Tally Helper'!$B$39&lt;&gt;TRUE(),"not on Staff",SUMIFS('Tally Helper'!$L$41:$GI$41,'Tally Helper'!$L$39:$GI$39,"&gt;="&amp;$BR132,'Tally Helper'!$L$39:$GI$39,"&lt;="&amp;$BS132)))</f>
        <v/>
      </c>
      <c r="AK132" s="15" t="str">
        <f aca="false">IF(OR(O$7="",$BR132=""),"",IF('Tally Helper'!$B$42&lt;&gt;TRUE(),"not on Staff",SUMIFS('Tally Helper'!$L$44:$GI$44,'Tally Helper'!$L$42:$GI$42,"&gt;="&amp;$BR132,'Tally Helper'!$L$42:$GI$42,"&lt;="&amp;$BS132)))</f>
        <v/>
      </c>
      <c r="AL132" s="15" t="str">
        <f aca="false">IF(OR(P$7="",$BR132=""),"",IF('Tally Helper'!$B$45&lt;&gt;TRUE(),"not on Staff",SUMIFS('Tally Helper'!$L$47:$GI$47,'Tally Helper'!$L$45:$GI$45,"&gt;="&amp;$BR132,'Tally Helper'!$L$45:$GI$45,"&lt;="&amp;$BS132)))</f>
        <v/>
      </c>
      <c r="AM132" s="15" t="str">
        <f aca="false">IF(OR(Q$7="",$BR132=""),"",IF('Tally Helper'!$B$48&lt;&gt;TRUE(),"not on Staff",SUMIFS('Tally Helper'!$L$50:$GI$50,'Tally Helper'!$L$48:$GI$48,"&gt;="&amp;$BR132,'Tally Helper'!$L$48:$GI$48,"&lt;="&amp;$BS132)))</f>
        <v/>
      </c>
      <c r="AN132" s="15" t="str">
        <f aca="false">IF(OR(R$7="",$BR132=""),"",IF('Tally Helper'!$B$51&lt;&gt;TRUE(),"not on Staff",SUMIFS('Tally Helper'!$L$53:$GI$53,'Tally Helper'!$L$51:$GI$51,"&gt;="&amp;$BR132,'Tally Helper'!$L$51:$GI$51,"&lt;="&amp;$BS132)))</f>
        <v/>
      </c>
      <c r="AO132" s="15" t="str">
        <f aca="false">IF(OR(S$7="",$BR132=""),"",IF('Tally Helper'!$B$54&lt;&gt;TRUE(),"not on Staff",SUMIFS('Tally Helper'!$L$56:$GI$56,'Tally Helper'!$L$54:$GI$54,"&gt;="&amp;$BR132,'Tally Helper'!$L$54:$GI$54,"&lt;="&amp;$BS132)))</f>
        <v/>
      </c>
      <c r="AP132" s="15" t="str">
        <f aca="false">IF(OR(T$7="",$BR132=""),"",IF('Tally Helper'!$B$57&lt;&gt;TRUE(),"not on Staff",SUMIFS('Tally Helper'!$L$59:$GI$59,'Tally Helper'!$L$57:$GI$57,"&gt;="&amp;$BR132,'Tally Helper'!$L$57:$GI$57,"&lt;="&amp;$BS132)))</f>
        <v/>
      </c>
      <c r="AQ132" s="15" t="str">
        <f aca="false">IF(OR(U$7="",$BR132=""),"",IF('Tally Helper'!$B$60&lt;&gt;TRUE(),"not on Staff",SUMIFS('Tally Helper'!$L$62:$GI$62,'Tally Helper'!$L$60:$GI$60,"&gt;="&amp;$BR132,'Tally Helper'!$L$60:$GI$60,"&lt;="&amp;$BS132)))</f>
        <v/>
      </c>
      <c r="AT132" s="15" t="str">
        <f aca="false">IF(OR(X132="",NOT(ISNUMBER(X132))),"",X132-N(B132))</f>
        <v/>
      </c>
      <c r="AU132" s="15" t="str">
        <f aca="false">IF(OR(Y132="",NOT(ISNUMBER(Y132))),"",Y132-N(C132))</f>
        <v/>
      </c>
      <c r="AV132" s="15" t="str">
        <f aca="false">IF(OR(Z132="",NOT(ISNUMBER(Z132))),"",Z132-N(D132))</f>
        <v/>
      </c>
      <c r="AW132" s="15" t="str">
        <f aca="false">IF(OR(AA132="",NOT(ISNUMBER(AA132))),"",AA132-N(E132))</f>
        <v/>
      </c>
      <c r="AX132" s="15" t="str">
        <f aca="false">IF(OR(AB132="",NOT(ISNUMBER(AB132))),"",AB132-N(F132))</f>
        <v/>
      </c>
      <c r="AY132" s="15" t="str">
        <f aca="false">IF(OR(AC132="",NOT(ISNUMBER(AC132))),"",AC132-N(G132))</f>
        <v/>
      </c>
      <c r="AZ132" s="15" t="str">
        <f aca="false">IF(OR(AD132="",NOT(ISNUMBER(AD132))),"",AD132-N(H132))</f>
        <v/>
      </c>
      <c r="BA132" s="15" t="str">
        <f aca="false">IF(OR(AE132="",NOT(ISNUMBER(AE132))),"",AE132-N(I132))</f>
        <v/>
      </c>
      <c r="BB132" s="15" t="str">
        <f aca="false">IF(OR(AF132="",NOT(ISNUMBER(AF132))),"",AF132-N(J132))</f>
        <v/>
      </c>
      <c r="BC132" s="15" t="str">
        <f aca="false">IF(OR(AG132="",NOT(ISNUMBER(AG132))),"",AG132-N(K132))</f>
        <v/>
      </c>
      <c r="BD132" s="15" t="str">
        <f aca="false">IF(OR(AH132="",NOT(ISNUMBER(AH132))),"",AH132-N(L132))</f>
        <v/>
      </c>
      <c r="BE132" s="15" t="str">
        <f aca="false">IF(OR(AI132="",NOT(ISNUMBER(AI132))),"",AI132-N(M132))</f>
        <v/>
      </c>
      <c r="BF132" s="15" t="str">
        <f aca="false">IF(OR(AJ132="",NOT(ISNUMBER(AJ132))),"",AJ132-N(N132))</f>
        <v/>
      </c>
      <c r="BG132" s="15" t="str">
        <f aca="false">IF(OR(AK132="",NOT(ISNUMBER(AK132))),"",AK132-N(O132))</f>
        <v/>
      </c>
      <c r="BH132" s="15" t="str">
        <f aca="false">IF(OR(AL132="",NOT(ISNUMBER(AL132))),"",AL132-N(P132))</f>
        <v/>
      </c>
      <c r="BI132" s="15" t="str">
        <f aca="false">IF(OR(AM132="",NOT(ISNUMBER(AM132))),"",AM132-N(Q132))</f>
        <v/>
      </c>
      <c r="BJ132" s="15" t="str">
        <f aca="false">IF(OR(AN132="",NOT(ISNUMBER(AN132))),"",AN132-N(R132))</f>
        <v/>
      </c>
      <c r="BK132" s="15" t="str">
        <f aca="false">IF(OR(AO132="",NOT(ISNUMBER(AO132))),"",AO132-N(S132))</f>
        <v/>
      </c>
      <c r="BL132" s="15" t="str">
        <f aca="false">IF(OR(AP132="",NOT(ISNUMBER(AP132))),"",AP132-N(T132))</f>
        <v/>
      </c>
      <c r="BM132" s="15" t="str">
        <f aca="false">IF(OR(AQ132="",NOT(ISNUMBER(AQ132))),"",AQ132-N(U132))</f>
        <v/>
      </c>
      <c r="BR132" s="18" t="str">
        <f aca="false">IF($A132="","",IF(ISNUMBER($A132),DATE(YEAR($A132),MONTH($A132),1),IFERROR(DATE(2000+VALUE(RIGHT(TRIM($A132),2)),MATCH(UPPER(LEFT(TRIM($A132),3)),{"JAN","FEB","MAR","APR","MAY","JUN","JUL","AUG","SEP","OCT","NOV","DEC"},0),1),"")))</f>
        <v/>
      </c>
      <c r="BS132" s="18" t="str">
        <f aca="false">IF(BR132="","",EOMONTH(BR132,0))</f>
        <v/>
      </c>
    </row>
    <row r="133" customFormat="false" ht="15" hidden="false" customHeight="false" outlineLevel="0" collapsed="false">
      <c r="B133" s="19"/>
      <c r="C133" s="19"/>
      <c r="D133" s="19"/>
      <c r="E133" s="19"/>
      <c r="F133" s="19"/>
      <c r="G133" s="19"/>
      <c r="H133" s="19"/>
      <c r="I133" s="19"/>
      <c r="J133" s="19"/>
      <c r="K133" s="19"/>
      <c r="L133" s="19"/>
      <c r="M133" s="19"/>
      <c r="N133" s="19"/>
      <c r="O133" s="19"/>
      <c r="P133" s="19"/>
      <c r="Q133" s="19"/>
      <c r="R133" s="19"/>
      <c r="S133" s="19"/>
      <c r="T133" s="19"/>
      <c r="U133" s="19"/>
      <c r="X133" s="15" t="str">
        <f aca="false">IF(OR(B$7="",$BR133=""),"",IF('Tally Helper'!$B$3&lt;&gt;TRUE(),"not on Staff",SUMIFS('Tally Helper'!$L$5:$GI$5,'Tally Helper'!$L$3:$GI$3,"&gt;="&amp;$BR133,'Tally Helper'!$L$3:$GI$3,"&lt;="&amp;$BS133)))</f>
        <v/>
      </c>
      <c r="Y133" s="15" t="str">
        <f aca="false">IF(OR(C$7="",$BR133=""),"",IF('Tally Helper'!$B$6&lt;&gt;TRUE(),"not on Staff",SUMIFS('Tally Helper'!$L$8:$GI$8,'Tally Helper'!$L$6:$GI$6,"&gt;="&amp;$BR133,'Tally Helper'!$L$6:$GI$6,"&lt;="&amp;$BS133)))</f>
        <v/>
      </c>
      <c r="Z133" s="15" t="str">
        <f aca="false">IF(OR(D$7="",$BR133=""),"",IF('Tally Helper'!$B$9&lt;&gt;TRUE(),"not on Staff",SUMIFS('Tally Helper'!$L$11:$GI$11,'Tally Helper'!$L$9:$GI$9,"&gt;="&amp;$BR133,'Tally Helper'!$L$9:$GI$9,"&lt;="&amp;$BS133)))</f>
        <v/>
      </c>
      <c r="AA133" s="15" t="str">
        <f aca="false">IF(OR(E$7="",$BR133=""),"",IF('Tally Helper'!$B$12&lt;&gt;TRUE(),"not on Staff",SUMIFS('Tally Helper'!$L$14:$GI$14,'Tally Helper'!$L$12:$GI$12,"&gt;="&amp;$BR133,'Tally Helper'!$L$12:$GI$12,"&lt;="&amp;$BS133)))</f>
        <v/>
      </c>
      <c r="AB133" s="15" t="str">
        <f aca="false">IF(OR(F$7="",$BR133=""),"",IF('Tally Helper'!$B$15&lt;&gt;TRUE(),"not on Staff",SUMIFS('Tally Helper'!$L$17:$GI$17,'Tally Helper'!$L$15:$GI$15,"&gt;="&amp;$BR133,'Tally Helper'!$L$15:$GI$15,"&lt;="&amp;$BS133)))</f>
        <v/>
      </c>
      <c r="AC133" s="15" t="str">
        <f aca="false">IF(OR(G$7="",$BR133=""),"",IF('Tally Helper'!$B$18&lt;&gt;TRUE(),"not on Staff",SUMIFS('Tally Helper'!$L$20:$GI$20,'Tally Helper'!$L$18:$GI$18,"&gt;="&amp;$BR133,'Tally Helper'!$L$18:$GI$18,"&lt;="&amp;$BS133)))</f>
        <v/>
      </c>
      <c r="AD133" s="15" t="str">
        <f aca="false">IF(OR(H$7="",$BR133=""),"",IF('Tally Helper'!$B$21&lt;&gt;TRUE(),"not on Staff",SUMIFS('Tally Helper'!$L$23:$GI$23,'Tally Helper'!$L$21:$GI$21,"&gt;="&amp;$BR133,'Tally Helper'!$L$21:$GI$21,"&lt;="&amp;$BS133)))</f>
        <v/>
      </c>
      <c r="AE133" s="15" t="str">
        <f aca="false">IF(OR(I$7="",$BR133=""),"",IF('Tally Helper'!$B$24&lt;&gt;TRUE(),"not on Staff",SUMIFS('Tally Helper'!$L$26:$GI$26,'Tally Helper'!$L$24:$GI$24,"&gt;="&amp;$BR133,'Tally Helper'!$L$24:$GI$24,"&lt;="&amp;$BS133)))</f>
        <v/>
      </c>
      <c r="AF133" s="15" t="str">
        <f aca="false">IF(OR(J$7="",$BR133=""),"",IF('Tally Helper'!$B$27&lt;&gt;TRUE(),"not on Staff",SUMIFS('Tally Helper'!$L$29:$GI$29,'Tally Helper'!$L$27:$GI$27,"&gt;="&amp;$BR133,'Tally Helper'!$L$27:$GI$27,"&lt;="&amp;$BS133)))</f>
        <v/>
      </c>
      <c r="AG133" s="15" t="str">
        <f aca="false">IF(OR(K$7="",$BR133=""),"",IF('Tally Helper'!$B$30&lt;&gt;TRUE(),"not on Staff",SUMIFS('Tally Helper'!$L$32:$GI$32,'Tally Helper'!$L$30:$GI$30,"&gt;="&amp;$BR133,'Tally Helper'!$L$30:$GI$30,"&lt;="&amp;$BS133)))</f>
        <v/>
      </c>
      <c r="AH133" s="15" t="str">
        <f aca="false">IF(OR(L$7="",$BR133=""),"",IF('Tally Helper'!$B$33&lt;&gt;TRUE(),"not on Staff",SUMIFS('Tally Helper'!$L$35:$GI$35,'Tally Helper'!$L$33:$GI$33,"&gt;="&amp;$BR133,'Tally Helper'!$L$33:$GI$33,"&lt;="&amp;$BS133)))</f>
        <v/>
      </c>
      <c r="AI133" s="15" t="str">
        <f aca="false">IF(OR(M$7="",$BR133=""),"",IF('Tally Helper'!$B$36&lt;&gt;TRUE(),"not on Staff",SUMIFS('Tally Helper'!$L$38:$GI$38,'Tally Helper'!$L$36:$GI$36,"&gt;="&amp;$BR133,'Tally Helper'!$L$36:$GI$36,"&lt;="&amp;$BS133)))</f>
        <v/>
      </c>
      <c r="AJ133" s="15" t="str">
        <f aca="false">IF(OR(N$7="",$BR133=""),"",IF('Tally Helper'!$B$39&lt;&gt;TRUE(),"not on Staff",SUMIFS('Tally Helper'!$L$41:$GI$41,'Tally Helper'!$L$39:$GI$39,"&gt;="&amp;$BR133,'Tally Helper'!$L$39:$GI$39,"&lt;="&amp;$BS133)))</f>
        <v/>
      </c>
      <c r="AK133" s="15" t="str">
        <f aca="false">IF(OR(O$7="",$BR133=""),"",IF('Tally Helper'!$B$42&lt;&gt;TRUE(),"not on Staff",SUMIFS('Tally Helper'!$L$44:$GI$44,'Tally Helper'!$L$42:$GI$42,"&gt;="&amp;$BR133,'Tally Helper'!$L$42:$GI$42,"&lt;="&amp;$BS133)))</f>
        <v/>
      </c>
      <c r="AL133" s="15" t="str">
        <f aca="false">IF(OR(P$7="",$BR133=""),"",IF('Tally Helper'!$B$45&lt;&gt;TRUE(),"not on Staff",SUMIFS('Tally Helper'!$L$47:$GI$47,'Tally Helper'!$L$45:$GI$45,"&gt;="&amp;$BR133,'Tally Helper'!$L$45:$GI$45,"&lt;="&amp;$BS133)))</f>
        <v/>
      </c>
      <c r="AM133" s="15" t="str">
        <f aca="false">IF(OR(Q$7="",$BR133=""),"",IF('Tally Helper'!$B$48&lt;&gt;TRUE(),"not on Staff",SUMIFS('Tally Helper'!$L$50:$GI$50,'Tally Helper'!$L$48:$GI$48,"&gt;="&amp;$BR133,'Tally Helper'!$L$48:$GI$48,"&lt;="&amp;$BS133)))</f>
        <v/>
      </c>
      <c r="AN133" s="15" t="str">
        <f aca="false">IF(OR(R$7="",$BR133=""),"",IF('Tally Helper'!$B$51&lt;&gt;TRUE(),"not on Staff",SUMIFS('Tally Helper'!$L$53:$GI$53,'Tally Helper'!$L$51:$GI$51,"&gt;="&amp;$BR133,'Tally Helper'!$L$51:$GI$51,"&lt;="&amp;$BS133)))</f>
        <v/>
      </c>
      <c r="AO133" s="15" t="str">
        <f aca="false">IF(OR(S$7="",$BR133=""),"",IF('Tally Helper'!$B$54&lt;&gt;TRUE(),"not on Staff",SUMIFS('Tally Helper'!$L$56:$GI$56,'Tally Helper'!$L$54:$GI$54,"&gt;="&amp;$BR133,'Tally Helper'!$L$54:$GI$54,"&lt;="&amp;$BS133)))</f>
        <v/>
      </c>
      <c r="AP133" s="15" t="str">
        <f aca="false">IF(OR(T$7="",$BR133=""),"",IF('Tally Helper'!$B$57&lt;&gt;TRUE(),"not on Staff",SUMIFS('Tally Helper'!$L$59:$GI$59,'Tally Helper'!$L$57:$GI$57,"&gt;="&amp;$BR133,'Tally Helper'!$L$57:$GI$57,"&lt;="&amp;$BS133)))</f>
        <v/>
      </c>
      <c r="AQ133" s="15" t="str">
        <f aca="false">IF(OR(U$7="",$BR133=""),"",IF('Tally Helper'!$B$60&lt;&gt;TRUE(),"not on Staff",SUMIFS('Tally Helper'!$L$62:$GI$62,'Tally Helper'!$L$60:$GI$60,"&gt;="&amp;$BR133,'Tally Helper'!$L$60:$GI$60,"&lt;="&amp;$BS133)))</f>
        <v/>
      </c>
      <c r="AT133" s="15" t="str">
        <f aca="false">IF(OR(X133="",NOT(ISNUMBER(X133))),"",X133-N(B133))</f>
        <v/>
      </c>
      <c r="AU133" s="15" t="str">
        <f aca="false">IF(OR(Y133="",NOT(ISNUMBER(Y133))),"",Y133-N(C133))</f>
        <v/>
      </c>
      <c r="AV133" s="15" t="str">
        <f aca="false">IF(OR(Z133="",NOT(ISNUMBER(Z133))),"",Z133-N(D133))</f>
        <v/>
      </c>
      <c r="AW133" s="15" t="str">
        <f aca="false">IF(OR(AA133="",NOT(ISNUMBER(AA133))),"",AA133-N(E133))</f>
        <v/>
      </c>
      <c r="AX133" s="15" t="str">
        <f aca="false">IF(OR(AB133="",NOT(ISNUMBER(AB133))),"",AB133-N(F133))</f>
        <v/>
      </c>
      <c r="AY133" s="15" t="str">
        <f aca="false">IF(OR(AC133="",NOT(ISNUMBER(AC133))),"",AC133-N(G133))</f>
        <v/>
      </c>
      <c r="AZ133" s="15" t="str">
        <f aca="false">IF(OR(AD133="",NOT(ISNUMBER(AD133))),"",AD133-N(H133))</f>
        <v/>
      </c>
      <c r="BA133" s="15" t="str">
        <f aca="false">IF(OR(AE133="",NOT(ISNUMBER(AE133))),"",AE133-N(I133))</f>
        <v/>
      </c>
      <c r="BB133" s="15" t="str">
        <f aca="false">IF(OR(AF133="",NOT(ISNUMBER(AF133))),"",AF133-N(J133))</f>
        <v/>
      </c>
      <c r="BC133" s="15" t="str">
        <f aca="false">IF(OR(AG133="",NOT(ISNUMBER(AG133))),"",AG133-N(K133))</f>
        <v/>
      </c>
      <c r="BD133" s="15" t="str">
        <f aca="false">IF(OR(AH133="",NOT(ISNUMBER(AH133))),"",AH133-N(L133))</f>
        <v/>
      </c>
      <c r="BE133" s="15" t="str">
        <f aca="false">IF(OR(AI133="",NOT(ISNUMBER(AI133))),"",AI133-N(M133))</f>
        <v/>
      </c>
      <c r="BF133" s="15" t="str">
        <f aca="false">IF(OR(AJ133="",NOT(ISNUMBER(AJ133))),"",AJ133-N(N133))</f>
        <v/>
      </c>
      <c r="BG133" s="15" t="str">
        <f aca="false">IF(OR(AK133="",NOT(ISNUMBER(AK133))),"",AK133-N(O133))</f>
        <v/>
      </c>
      <c r="BH133" s="15" t="str">
        <f aca="false">IF(OR(AL133="",NOT(ISNUMBER(AL133))),"",AL133-N(P133))</f>
        <v/>
      </c>
      <c r="BI133" s="15" t="str">
        <f aca="false">IF(OR(AM133="",NOT(ISNUMBER(AM133))),"",AM133-N(Q133))</f>
        <v/>
      </c>
      <c r="BJ133" s="15" t="str">
        <f aca="false">IF(OR(AN133="",NOT(ISNUMBER(AN133))),"",AN133-N(R133))</f>
        <v/>
      </c>
      <c r="BK133" s="15" t="str">
        <f aca="false">IF(OR(AO133="",NOT(ISNUMBER(AO133))),"",AO133-N(S133))</f>
        <v/>
      </c>
      <c r="BL133" s="15" t="str">
        <f aca="false">IF(OR(AP133="",NOT(ISNUMBER(AP133))),"",AP133-N(T133))</f>
        <v/>
      </c>
      <c r="BM133" s="15" t="str">
        <f aca="false">IF(OR(AQ133="",NOT(ISNUMBER(AQ133))),"",AQ133-N(U133))</f>
        <v/>
      </c>
      <c r="BR133" s="18" t="str">
        <f aca="false">IF($A133="","",IF(ISNUMBER($A133),DATE(YEAR($A133),MONTH($A133),1),IFERROR(DATE(2000+VALUE(RIGHT(TRIM($A133),2)),MATCH(UPPER(LEFT(TRIM($A133),3)),{"JAN","FEB","MAR","APR","MAY","JUN","JUL","AUG","SEP","OCT","NOV","DEC"},0),1),"")))</f>
        <v/>
      </c>
      <c r="BS133" s="18" t="str">
        <f aca="false">IF(BR133="","",EOMONTH(BR133,0))</f>
        <v/>
      </c>
    </row>
    <row r="134" customFormat="false" ht="15" hidden="false" customHeight="false" outlineLevel="0" collapsed="false">
      <c r="B134" s="19"/>
      <c r="C134" s="19"/>
      <c r="D134" s="19"/>
      <c r="E134" s="19"/>
      <c r="F134" s="19"/>
      <c r="G134" s="19"/>
      <c r="H134" s="19"/>
      <c r="I134" s="19"/>
      <c r="J134" s="19"/>
      <c r="K134" s="19"/>
      <c r="L134" s="19"/>
      <c r="M134" s="19"/>
      <c r="N134" s="19"/>
      <c r="O134" s="19"/>
      <c r="P134" s="19"/>
      <c r="Q134" s="19"/>
      <c r="R134" s="19"/>
      <c r="S134" s="19"/>
      <c r="T134" s="19"/>
      <c r="U134" s="19"/>
      <c r="X134" s="15" t="str">
        <f aca="false">IF(OR(B$7="",$BR134=""),"",IF('Tally Helper'!$B$3&lt;&gt;TRUE(),"not on Staff",SUMIFS('Tally Helper'!$L$5:$GI$5,'Tally Helper'!$L$3:$GI$3,"&gt;="&amp;$BR134,'Tally Helper'!$L$3:$GI$3,"&lt;="&amp;$BS134)))</f>
        <v/>
      </c>
      <c r="Y134" s="15" t="str">
        <f aca="false">IF(OR(C$7="",$BR134=""),"",IF('Tally Helper'!$B$6&lt;&gt;TRUE(),"not on Staff",SUMIFS('Tally Helper'!$L$8:$GI$8,'Tally Helper'!$L$6:$GI$6,"&gt;="&amp;$BR134,'Tally Helper'!$L$6:$GI$6,"&lt;="&amp;$BS134)))</f>
        <v/>
      </c>
      <c r="Z134" s="15" t="str">
        <f aca="false">IF(OR(D$7="",$BR134=""),"",IF('Tally Helper'!$B$9&lt;&gt;TRUE(),"not on Staff",SUMIFS('Tally Helper'!$L$11:$GI$11,'Tally Helper'!$L$9:$GI$9,"&gt;="&amp;$BR134,'Tally Helper'!$L$9:$GI$9,"&lt;="&amp;$BS134)))</f>
        <v/>
      </c>
      <c r="AA134" s="15" t="str">
        <f aca="false">IF(OR(E$7="",$BR134=""),"",IF('Tally Helper'!$B$12&lt;&gt;TRUE(),"not on Staff",SUMIFS('Tally Helper'!$L$14:$GI$14,'Tally Helper'!$L$12:$GI$12,"&gt;="&amp;$BR134,'Tally Helper'!$L$12:$GI$12,"&lt;="&amp;$BS134)))</f>
        <v/>
      </c>
      <c r="AB134" s="15" t="str">
        <f aca="false">IF(OR(F$7="",$BR134=""),"",IF('Tally Helper'!$B$15&lt;&gt;TRUE(),"not on Staff",SUMIFS('Tally Helper'!$L$17:$GI$17,'Tally Helper'!$L$15:$GI$15,"&gt;="&amp;$BR134,'Tally Helper'!$L$15:$GI$15,"&lt;="&amp;$BS134)))</f>
        <v/>
      </c>
      <c r="AC134" s="15" t="str">
        <f aca="false">IF(OR(G$7="",$BR134=""),"",IF('Tally Helper'!$B$18&lt;&gt;TRUE(),"not on Staff",SUMIFS('Tally Helper'!$L$20:$GI$20,'Tally Helper'!$L$18:$GI$18,"&gt;="&amp;$BR134,'Tally Helper'!$L$18:$GI$18,"&lt;="&amp;$BS134)))</f>
        <v/>
      </c>
      <c r="AD134" s="15" t="str">
        <f aca="false">IF(OR(H$7="",$BR134=""),"",IF('Tally Helper'!$B$21&lt;&gt;TRUE(),"not on Staff",SUMIFS('Tally Helper'!$L$23:$GI$23,'Tally Helper'!$L$21:$GI$21,"&gt;="&amp;$BR134,'Tally Helper'!$L$21:$GI$21,"&lt;="&amp;$BS134)))</f>
        <v/>
      </c>
      <c r="AE134" s="15" t="str">
        <f aca="false">IF(OR(I$7="",$BR134=""),"",IF('Tally Helper'!$B$24&lt;&gt;TRUE(),"not on Staff",SUMIFS('Tally Helper'!$L$26:$GI$26,'Tally Helper'!$L$24:$GI$24,"&gt;="&amp;$BR134,'Tally Helper'!$L$24:$GI$24,"&lt;="&amp;$BS134)))</f>
        <v/>
      </c>
      <c r="AF134" s="15" t="str">
        <f aca="false">IF(OR(J$7="",$BR134=""),"",IF('Tally Helper'!$B$27&lt;&gt;TRUE(),"not on Staff",SUMIFS('Tally Helper'!$L$29:$GI$29,'Tally Helper'!$L$27:$GI$27,"&gt;="&amp;$BR134,'Tally Helper'!$L$27:$GI$27,"&lt;="&amp;$BS134)))</f>
        <v/>
      </c>
      <c r="AG134" s="15" t="str">
        <f aca="false">IF(OR(K$7="",$BR134=""),"",IF('Tally Helper'!$B$30&lt;&gt;TRUE(),"not on Staff",SUMIFS('Tally Helper'!$L$32:$GI$32,'Tally Helper'!$L$30:$GI$30,"&gt;="&amp;$BR134,'Tally Helper'!$L$30:$GI$30,"&lt;="&amp;$BS134)))</f>
        <v/>
      </c>
      <c r="AH134" s="15" t="str">
        <f aca="false">IF(OR(L$7="",$BR134=""),"",IF('Tally Helper'!$B$33&lt;&gt;TRUE(),"not on Staff",SUMIFS('Tally Helper'!$L$35:$GI$35,'Tally Helper'!$L$33:$GI$33,"&gt;="&amp;$BR134,'Tally Helper'!$L$33:$GI$33,"&lt;="&amp;$BS134)))</f>
        <v/>
      </c>
      <c r="AI134" s="15" t="str">
        <f aca="false">IF(OR(M$7="",$BR134=""),"",IF('Tally Helper'!$B$36&lt;&gt;TRUE(),"not on Staff",SUMIFS('Tally Helper'!$L$38:$GI$38,'Tally Helper'!$L$36:$GI$36,"&gt;="&amp;$BR134,'Tally Helper'!$L$36:$GI$36,"&lt;="&amp;$BS134)))</f>
        <v/>
      </c>
      <c r="AJ134" s="15" t="str">
        <f aca="false">IF(OR(N$7="",$BR134=""),"",IF('Tally Helper'!$B$39&lt;&gt;TRUE(),"not on Staff",SUMIFS('Tally Helper'!$L$41:$GI$41,'Tally Helper'!$L$39:$GI$39,"&gt;="&amp;$BR134,'Tally Helper'!$L$39:$GI$39,"&lt;="&amp;$BS134)))</f>
        <v/>
      </c>
      <c r="AK134" s="15" t="str">
        <f aca="false">IF(OR(O$7="",$BR134=""),"",IF('Tally Helper'!$B$42&lt;&gt;TRUE(),"not on Staff",SUMIFS('Tally Helper'!$L$44:$GI$44,'Tally Helper'!$L$42:$GI$42,"&gt;="&amp;$BR134,'Tally Helper'!$L$42:$GI$42,"&lt;="&amp;$BS134)))</f>
        <v/>
      </c>
      <c r="AL134" s="15" t="str">
        <f aca="false">IF(OR(P$7="",$BR134=""),"",IF('Tally Helper'!$B$45&lt;&gt;TRUE(),"not on Staff",SUMIFS('Tally Helper'!$L$47:$GI$47,'Tally Helper'!$L$45:$GI$45,"&gt;="&amp;$BR134,'Tally Helper'!$L$45:$GI$45,"&lt;="&amp;$BS134)))</f>
        <v/>
      </c>
      <c r="AM134" s="15" t="str">
        <f aca="false">IF(OR(Q$7="",$BR134=""),"",IF('Tally Helper'!$B$48&lt;&gt;TRUE(),"not on Staff",SUMIFS('Tally Helper'!$L$50:$GI$50,'Tally Helper'!$L$48:$GI$48,"&gt;="&amp;$BR134,'Tally Helper'!$L$48:$GI$48,"&lt;="&amp;$BS134)))</f>
        <v/>
      </c>
      <c r="AN134" s="15" t="str">
        <f aca="false">IF(OR(R$7="",$BR134=""),"",IF('Tally Helper'!$B$51&lt;&gt;TRUE(),"not on Staff",SUMIFS('Tally Helper'!$L$53:$GI$53,'Tally Helper'!$L$51:$GI$51,"&gt;="&amp;$BR134,'Tally Helper'!$L$51:$GI$51,"&lt;="&amp;$BS134)))</f>
        <v/>
      </c>
      <c r="AO134" s="15" t="str">
        <f aca="false">IF(OR(S$7="",$BR134=""),"",IF('Tally Helper'!$B$54&lt;&gt;TRUE(),"not on Staff",SUMIFS('Tally Helper'!$L$56:$GI$56,'Tally Helper'!$L$54:$GI$54,"&gt;="&amp;$BR134,'Tally Helper'!$L$54:$GI$54,"&lt;="&amp;$BS134)))</f>
        <v/>
      </c>
      <c r="AP134" s="15" t="str">
        <f aca="false">IF(OR(T$7="",$BR134=""),"",IF('Tally Helper'!$B$57&lt;&gt;TRUE(),"not on Staff",SUMIFS('Tally Helper'!$L$59:$GI$59,'Tally Helper'!$L$57:$GI$57,"&gt;="&amp;$BR134,'Tally Helper'!$L$57:$GI$57,"&lt;="&amp;$BS134)))</f>
        <v/>
      </c>
      <c r="AQ134" s="15" t="str">
        <f aca="false">IF(OR(U$7="",$BR134=""),"",IF('Tally Helper'!$B$60&lt;&gt;TRUE(),"not on Staff",SUMIFS('Tally Helper'!$L$62:$GI$62,'Tally Helper'!$L$60:$GI$60,"&gt;="&amp;$BR134,'Tally Helper'!$L$60:$GI$60,"&lt;="&amp;$BS134)))</f>
        <v/>
      </c>
      <c r="AT134" s="15" t="str">
        <f aca="false">IF(OR(X134="",NOT(ISNUMBER(X134))),"",X134-N(B134))</f>
        <v/>
      </c>
      <c r="AU134" s="15" t="str">
        <f aca="false">IF(OR(Y134="",NOT(ISNUMBER(Y134))),"",Y134-N(C134))</f>
        <v/>
      </c>
      <c r="AV134" s="15" t="str">
        <f aca="false">IF(OR(Z134="",NOT(ISNUMBER(Z134))),"",Z134-N(D134))</f>
        <v/>
      </c>
      <c r="AW134" s="15" t="str">
        <f aca="false">IF(OR(AA134="",NOT(ISNUMBER(AA134))),"",AA134-N(E134))</f>
        <v/>
      </c>
      <c r="AX134" s="15" t="str">
        <f aca="false">IF(OR(AB134="",NOT(ISNUMBER(AB134))),"",AB134-N(F134))</f>
        <v/>
      </c>
      <c r="AY134" s="15" t="str">
        <f aca="false">IF(OR(AC134="",NOT(ISNUMBER(AC134))),"",AC134-N(G134))</f>
        <v/>
      </c>
      <c r="AZ134" s="15" t="str">
        <f aca="false">IF(OR(AD134="",NOT(ISNUMBER(AD134))),"",AD134-N(H134))</f>
        <v/>
      </c>
      <c r="BA134" s="15" t="str">
        <f aca="false">IF(OR(AE134="",NOT(ISNUMBER(AE134))),"",AE134-N(I134))</f>
        <v/>
      </c>
      <c r="BB134" s="15" t="str">
        <f aca="false">IF(OR(AF134="",NOT(ISNUMBER(AF134))),"",AF134-N(J134))</f>
        <v/>
      </c>
      <c r="BC134" s="15" t="str">
        <f aca="false">IF(OR(AG134="",NOT(ISNUMBER(AG134))),"",AG134-N(K134))</f>
        <v/>
      </c>
      <c r="BD134" s="15" t="str">
        <f aca="false">IF(OR(AH134="",NOT(ISNUMBER(AH134))),"",AH134-N(L134))</f>
        <v/>
      </c>
      <c r="BE134" s="15" t="str">
        <f aca="false">IF(OR(AI134="",NOT(ISNUMBER(AI134))),"",AI134-N(M134))</f>
        <v/>
      </c>
      <c r="BF134" s="15" t="str">
        <f aca="false">IF(OR(AJ134="",NOT(ISNUMBER(AJ134))),"",AJ134-N(N134))</f>
        <v/>
      </c>
      <c r="BG134" s="15" t="str">
        <f aca="false">IF(OR(AK134="",NOT(ISNUMBER(AK134))),"",AK134-N(O134))</f>
        <v/>
      </c>
      <c r="BH134" s="15" t="str">
        <f aca="false">IF(OR(AL134="",NOT(ISNUMBER(AL134))),"",AL134-N(P134))</f>
        <v/>
      </c>
      <c r="BI134" s="15" t="str">
        <f aca="false">IF(OR(AM134="",NOT(ISNUMBER(AM134))),"",AM134-N(Q134))</f>
        <v/>
      </c>
      <c r="BJ134" s="15" t="str">
        <f aca="false">IF(OR(AN134="",NOT(ISNUMBER(AN134))),"",AN134-N(R134))</f>
        <v/>
      </c>
      <c r="BK134" s="15" t="str">
        <f aca="false">IF(OR(AO134="",NOT(ISNUMBER(AO134))),"",AO134-N(S134))</f>
        <v/>
      </c>
      <c r="BL134" s="15" t="str">
        <f aca="false">IF(OR(AP134="",NOT(ISNUMBER(AP134))),"",AP134-N(T134))</f>
        <v/>
      </c>
      <c r="BM134" s="15" t="str">
        <f aca="false">IF(OR(AQ134="",NOT(ISNUMBER(AQ134))),"",AQ134-N(U134))</f>
        <v/>
      </c>
      <c r="BR134" s="18" t="str">
        <f aca="false">IF($A134="","",IF(ISNUMBER($A134),DATE(YEAR($A134),MONTH($A134),1),IFERROR(DATE(2000+VALUE(RIGHT(TRIM($A134),2)),MATCH(UPPER(LEFT(TRIM($A134),3)),{"JAN","FEB","MAR","APR","MAY","JUN","JUL","AUG","SEP","OCT","NOV","DEC"},0),1),"")))</f>
        <v/>
      </c>
      <c r="BS134" s="18" t="str">
        <f aca="false">IF(BR134="","",EOMONTH(BR134,0))</f>
        <v/>
      </c>
    </row>
    <row r="135" customFormat="false" ht="15" hidden="false" customHeight="false" outlineLevel="0" collapsed="false">
      <c r="B135" s="19"/>
      <c r="C135" s="19"/>
      <c r="D135" s="19"/>
      <c r="E135" s="19"/>
      <c r="F135" s="19"/>
      <c r="G135" s="19"/>
      <c r="H135" s="19"/>
      <c r="I135" s="19"/>
      <c r="J135" s="19"/>
      <c r="K135" s="19"/>
      <c r="L135" s="19"/>
      <c r="M135" s="19"/>
      <c r="N135" s="19"/>
      <c r="O135" s="19"/>
      <c r="P135" s="19"/>
      <c r="Q135" s="19"/>
      <c r="R135" s="19"/>
      <c r="S135" s="19"/>
      <c r="T135" s="19"/>
      <c r="U135" s="19"/>
      <c r="X135" s="15" t="str">
        <f aca="false">IF(OR(B$7="",$BR135=""),"",IF('Tally Helper'!$B$3&lt;&gt;TRUE(),"not on Staff",SUMIFS('Tally Helper'!$L$5:$GI$5,'Tally Helper'!$L$3:$GI$3,"&gt;="&amp;$BR135,'Tally Helper'!$L$3:$GI$3,"&lt;="&amp;$BS135)))</f>
        <v/>
      </c>
      <c r="Y135" s="15" t="str">
        <f aca="false">IF(OR(C$7="",$BR135=""),"",IF('Tally Helper'!$B$6&lt;&gt;TRUE(),"not on Staff",SUMIFS('Tally Helper'!$L$8:$GI$8,'Tally Helper'!$L$6:$GI$6,"&gt;="&amp;$BR135,'Tally Helper'!$L$6:$GI$6,"&lt;="&amp;$BS135)))</f>
        <v/>
      </c>
      <c r="Z135" s="15" t="str">
        <f aca="false">IF(OR(D$7="",$BR135=""),"",IF('Tally Helper'!$B$9&lt;&gt;TRUE(),"not on Staff",SUMIFS('Tally Helper'!$L$11:$GI$11,'Tally Helper'!$L$9:$GI$9,"&gt;="&amp;$BR135,'Tally Helper'!$L$9:$GI$9,"&lt;="&amp;$BS135)))</f>
        <v/>
      </c>
      <c r="AA135" s="15" t="str">
        <f aca="false">IF(OR(E$7="",$BR135=""),"",IF('Tally Helper'!$B$12&lt;&gt;TRUE(),"not on Staff",SUMIFS('Tally Helper'!$L$14:$GI$14,'Tally Helper'!$L$12:$GI$12,"&gt;="&amp;$BR135,'Tally Helper'!$L$12:$GI$12,"&lt;="&amp;$BS135)))</f>
        <v/>
      </c>
      <c r="AB135" s="15" t="str">
        <f aca="false">IF(OR(F$7="",$BR135=""),"",IF('Tally Helper'!$B$15&lt;&gt;TRUE(),"not on Staff",SUMIFS('Tally Helper'!$L$17:$GI$17,'Tally Helper'!$L$15:$GI$15,"&gt;="&amp;$BR135,'Tally Helper'!$L$15:$GI$15,"&lt;="&amp;$BS135)))</f>
        <v/>
      </c>
      <c r="AC135" s="15" t="str">
        <f aca="false">IF(OR(G$7="",$BR135=""),"",IF('Tally Helper'!$B$18&lt;&gt;TRUE(),"not on Staff",SUMIFS('Tally Helper'!$L$20:$GI$20,'Tally Helper'!$L$18:$GI$18,"&gt;="&amp;$BR135,'Tally Helper'!$L$18:$GI$18,"&lt;="&amp;$BS135)))</f>
        <v/>
      </c>
      <c r="AD135" s="15" t="str">
        <f aca="false">IF(OR(H$7="",$BR135=""),"",IF('Tally Helper'!$B$21&lt;&gt;TRUE(),"not on Staff",SUMIFS('Tally Helper'!$L$23:$GI$23,'Tally Helper'!$L$21:$GI$21,"&gt;="&amp;$BR135,'Tally Helper'!$L$21:$GI$21,"&lt;="&amp;$BS135)))</f>
        <v/>
      </c>
      <c r="AE135" s="15" t="str">
        <f aca="false">IF(OR(I$7="",$BR135=""),"",IF('Tally Helper'!$B$24&lt;&gt;TRUE(),"not on Staff",SUMIFS('Tally Helper'!$L$26:$GI$26,'Tally Helper'!$L$24:$GI$24,"&gt;="&amp;$BR135,'Tally Helper'!$L$24:$GI$24,"&lt;="&amp;$BS135)))</f>
        <v/>
      </c>
      <c r="AF135" s="15" t="str">
        <f aca="false">IF(OR(J$7="",$BR135=""),"",IF('Tally Helper'!$B$27&lt;&gt;TRUE(),"not on Staff",SUMIFS('Tally Helper'!$L$29:$GI$29,'Tally Helper'!$L$27:$GI$27,"&gt;="&amp;$BR135,'Tally Helper'!$L$27:$GI$27,"&lt;="&amp;$BS135)))</f>
        <v/>
      </c>
      <c r="AG135" s="15" t="str">
        <f aca="false">IF(OR(K$7="",$BR135=""),"",IF('Tally Helper'!$B$30&lt;&gt;TRUE(),"not on Staff",SUMIFS('Tally Helper'!$L$32:$GI$32,'Tally Helper'!$L$30:$GI$30,"&gt;="&amp;$BR135,'Tally Helper'!$L$30:$GI$30,"&lt;="&amp;$BS135)))</f>
        <v/>
      </c>
      <c r="AH135" s="15" t="str">
        <f aca="false">IF(OR(L$7="",$BR135=""),"",IF('Tally Helper'!$B$33&lt;&gt;TRUE(),"not on Staff",SUMIFS('Tally Helper'!$L$35:$GI$35,'Tally Helper'!$L$33:$GI$33,"&gt;="&amp;$BR135,'Tally Helper'!$L$33:$GI$33,"&lt;="&amp;$BS135)))</f>
        <v/>
      </c>
      <c r="AI135" s="15" t="str">
        <f aca="false">IF(OR(M$7="",$BR135=""),"",IF('Tally Helper'!$B$36&lt;&gt;TRUE(),"not on Staff",SUMIFS('Tally Helper'!$L$38:$GI$38,'Tally Helper'!$L$36:$GI$36,"&gt;="&amp;$BR135,'Tally Helper'!$L$36:$GI$36,"&lt;="&amp;$BS135)))</f>
        <v/>
      </c>
      <c r="AJ135" s="15" t="str">
        <f aca="false">IF(OR(N$7="",$BR135=""),"",IF('Tally Helper'!$B$39&lt;&gt;TRUE(),"not on Staff",SUMIFS('Tally Helper'!$L$41:$GI$41,'Tally Helper'!$L$39:$GI$39,"&gt;="&amp;$BR135,'Tally Helper'!$L$39:$GI$39,"&lt;="&amp;$BS135)))</f>
        <v/>
      </c>
      <c r="AK135" s="15" t="str">
        <f aca="false">IF(OR(O$7="",$BR135=""),"",IF('Tally Helper'!$B$42&lt;&gt;TRUE(),"not on Staff",SUMIFS('Tally Helper'!$L$44:$GI$44,'Tally Helper'!$L$42:$GI$42,"&gt;="&amp;$BR135,'Tally Helper'!$L$42:$GI$42,"&lt;="&amp;$BS135)))</f>
        <v/>
      </c>
      <c r="AL135" s="15" t="str">
        <f aca="false">IF(OR(P$7="",$BR135=""),"",IF('Tally Helper'!$B$45&lt;&gt;TRUE(),"not on Staff",SUMIFS('Tally Helper'!$L$47:$GI$47,'Tally Helper'!$L$45:$GI$45,"&gt;="&amp;$BR135,'Tally Helper'!$L$45:$GI$45,"&lt;="&amp;$BS135)))</f>
        <v/>
      </c>
      <c r="AM135" s="15" t="str">
        <f aca="false">IF(OR(Q$7="",$BR135=""),"",IF('Tally Helper'!$B$48&lt;&gt;TRUE(),"not on Staff",SUMIFS('Tally Helper'!$L$50:$GI$50,'Tally Helper'!$L$48:$GI$48,"&gt;="&amp;$BR135,'Tally Helper'!$L$48:$GI$48,"&lt;="&amp;$BS135)))</f>
        <v/>
      </c>
      <c r="AN135" s="15" t="str">
        <f aca="false">IF(OR(R$7="",$BR135=""),"",IF('Tally Helper'!$B$51&lt;&gt;TRUE(),"not on Staff",SUMIFS('Tally Helper'!$L$53:$GI$53,'Tally Helper'!$L$51:$GI$51,"&gt;="&amp;$BR135,'Tally Helper'!$L$51:$GI$51,"&lt;="&amp;$BS135)))</f>
        <v/>
      </c>
      <c r="AO135" s="15" t="str">
        <f aca="false">IF(OR(S$7="",$BR135=""),"",IF('Tally Helper'!$B$54&lt;&gt;TRUE(),"not on Staff",SUMIFS('Tally Helper'!$L$56:$GI$56,'Tally Helper'!$L$54:$GI$54,"&gt;="&amp;$BR135,'Tally Helper'!$L$54:$GI$54,"&lt;="&amp;$BS135)))</f>
        <v/>
      </c>
      <c r="AP135" s="15" t="str">
        <f aca="false">IF(OR(T$7="",$BR135=""),"",IF('Tally Helper'!$B$57&lt;&gt;TRUE(),"not on Staff",SUMIFS('Tally Helper'!$L$59:$GI$59,'Tally Helper'!$L$57:$GI$57,"&gt;="&amp;$BR135,'Tally Helper'!$L$57:$GI$57,"&lt;="&amp;$BS135)))</f>
        <v/>
      </c>
      <c r="AQ135" s="15" t="str">
        <f aca="false">IF(OR(U$7="",$BR135=""),"",IF('Tally Helper'!$B$60&lt;&gt;TRUE(),"not on Staff",SUMIFS('Tally Helper'!$L$62:$GI$62,'Tally Helper'!$L$60:$GI$60,"&gt;="&amp;$BR135,'Tally Helper'!$L$60:$GI$60,"&lt;="&amp;$BS135)))</f>
        <v/>
      </c>
      <c r="AT135" s="15" t="str">
        <f aca="false">IF(OR(X135="",NOT(ISNUMBER(X135))),"",X135-N(B135))</f>
        <v/>
      </c>
      <c r="AU135" s="15" t="str">
        <f aca="false">IF(OR(Y135="",NOT(ISNUMBER(Y135))),"",Y135-N(C135))</f>
        <v/>
      </c>
      <c r="AV135" s="15" t="str">
        <f aca="false">IF(OR(Z135="",NOT(ISNUMBER(Z135))),"",Z135-N(D135))</f>
        <v/>
      </c>
      <c r="AW135" s="15" t="str">
        <f aca="false">IF(OR(AA135="",NOT(ISNUMBER(AA135))),"",AA135-N(E135))</f>
        <v/>
      </c>
      <c r="AX135" s="15" t="str">
        <f aca="false">IF(OR(AB135="",NOT(ISNUMBER(AB135))),"",AB135-N(F135))</f>
        <v/>
      </c>
      <c r="AY135" s="15" t="str">
        <f aca="false">IF(OR(AC135="",NOT(ISNUMBER(AC135))),"",AC135-N(G135))</f>
        <v/>
      </c>
      <c r="AZ135" s="15" t="str">
        <f aca="false">IF(OR(AD135="",NOT(ISNUMBER(AD135))),"",AD135-N(H135))</f>
        <v/>
      </c>
      <c r="BA135" s="15" t="str">
        <f aca="false">IF(OR(AE135="",NOT(ISNUMBER(AE135))),"",AE135-N(I135))</f>
        <v/>
      </c>
      <c r="BB135" s="15" t="str">
        <f aca="false">IF(OR(AF135="",NOT(ISNUMBER(AF135))),"",AF135-N(J135))</f>
        <v/>
      </c>
      <c r="BC135" s="15" t="str">
        <f aca="false">IF(OR(AG135="",NOT(ISNUMBER(AG135))),"",AG135-N(K135))</f>
        <v/>
      </c>
      <c r="BD135" s="15" t="str">
        <f aca="false">IF(OR(AH135="",NOT(ISNUMBER(AH135))),"",AH135-N(L135))</f>
        <v/>
      </c>
      <c r="BE135" s="15" t="str">
        <f aca="false">IF(OR(AI135="",NOT(ISNUMBER(AI135))),"",AI135-N(M135))</f>
        <v/>
      </c>
      <c r="BF135" s="15" t="str">
        <f aca="false">IF(OR(AJ135="",NOT(ISNUMBER(AJ135))),"",AJ135-N(N135))</f>
        <v/>
      </c>
      <c r="BG135" s="15" t="str">
        <f aca="false">IF(OR(AK135="",NOT(ISNUMBER(AK135))),"",AK135-N(O135))</f>
        <v/>
      </c>
      <c r="BH135" s="15" t="str">
        <f aca="false">IF(OR(AL135="",NOT(ISNUMBER(AL135))),"",AL135-N(P135))</f>
        <v/>
      </c>
      <c r="BI135" s="15" t="str">
        <f aca="false">IF(OR(AM135="",NOT(ISNUMBER(AM135))),"",AM135-N(Q135))</f>
        <v/>
      </c>
      <c r="BJ135" s="15" t="str">
        <f aca="false">IF(OR(AN135="",NOT(ISNUMBER(AN135))),"",AN135-N(R135))</f>
        <v/>
      </c>
      <c r="BK135" s="15" t="str">
        <f aca="false">IF(OR(AO135="",NOT(ISNUMBER(AO135))),"",AO135-N(S135))</f>
        <v/>
      </c>
      <c r="BL135" s="15" t="str">
        <f aca="false">IF(OR(AP135="",NOT(ISNUMBER(AP135))),"",AP135-N(T135))</f>
        <v/>
      </c>
      <c r="BM135" s="15" t="str">
        <f aca="false">IF(OR(AQ135="",NOT(ISNUMBER(AQ135))),"",AQ135-N(U135))</f>
        <v/>
      </c>
      <c r="BR135" s="18" t="str">
        <f aca="false">IF($A135="","",IF(ISNUMBER($A135),DATE(YEAR($A135),MONTH($A135),1),IFERROR(DATE(2000+VALUE(RIGHT(TRIM($A135),2)),MATCH(UPPER(LEFT(TRIM($A135),3)),{"JAN","FEB","MAR","APR","MAY","JUN","JUL","AUG","SEP","OCT","NOV","DEC"},0),1),"")))</f>
        <v/>
      </c>
      <c r="BS135" s="18" t="str">
        <f aca="false">IF(BR135="","",EOMONTH(BR135,0))</f>
        <v/>
      </c>
    </row>
    <row r="136" customFormat="false" ht="15" hidden="false" customHeight="false" outlineLevel="0" collapsed="false">
      <c r="B136" s="19"/>
      <c r="C136" s="19"/>
      <c r="D136" s="19"/>
      <c r="E136" s="19"/>
      <c r="F136" s="19"/>
      <c r="G136" s="19"/>
      <c r="H136" s="19"/>
      <c r="I136" s="19"/>
      <c r="J136" s="19"/>
      <c r="K136" s="19"/>
      <c r="L136" s="19"/>
      <c r="M136" s="19"/>
      <c r="N136" s="19"/>
      <c r="O136" s="19"/>
      <c r="P136" s="19"/>
      <c r="Q136" s="19"/>
      <c r="R136" s="19"/>
      <c r="S136" s="19"/>
      <c r="T136" s="19"/>
      <c r="U136" s="19"/>
      <c r="X136" s="15" t="str">
        <f aca="false">IF(OR(B$7="",$BR136=""),"",IF('Tally Helper'!$B$3&lt;&gt;TRUE(),"not on Staff",SUMIFS('Tally Helper'!$L$5:$GI$5,'Tally Helper'!$L$3:$GI$3,"&gt;="&amp;$BR136,'Tally Helper'!$L$3:$GI$3,"&lt;="&amp;$BS136)))</f>
        <v/>
      </c>
      <c r="Y136" s="15" t="str">
        <f aca="false">IF(OR(C$7="",$BR136=""),"",IF('Tally Helper'!$B$6&lt;&gt;TRUE(),"not on Staff",SUMIFS('Tally Helper'!$L$8:$GI$8,'Tally Helper'!$L$6:$GI$6,"&gt;="&amp;$BR136,'Tally Helper'!$L$6:$GI$6,"&lt;="&amp;$BS136)))</f>
        <v/>
      </c>
      <c r="Z136" s="15" t="str">
        <f aca="false">IF(OR(D$7="",$BR136=""),"",IF('Tally Helper'!$B$9&lt;&gt;TRUE(),"not on Staff",SUMIFS('Tally Helper'!$L$11:$GI$11,'Tally Helper'!$L$9:$GI$9,"&gt;="&amp;$BR136,'Tally Helper'!$L$9:$GI$9,"&lt;="&amp;$BS136)))</f>
        <v/>
      </c>
      <c r="AA136" s="15" t="str">
        <f aca="false">IF(OR(E$7="",$BR136=""),"",IF('Tally Helper'!$B$12&lt;&gt;TRUE(),"not on Staff",SUMIFS('Tally Helper'!$L$14:$GI$14,'Tally Helper'!$L$12:$GI$12,"&gt;="&amp;$BR136,'Tally Helper'!$L$12:$GI$12,"&lt;="&amp;$BS136)))</f>
        <v/>
      </c>
      <c r="AB136" s="15" t="str">
        <f aca="false">IF(OR(F$7="",$BR136=""),"",IF('Tally Helper'!$B$15&lt;&gt;TRUE(),"not on Staff",SUMIFS('Tally Helper'!$L$17:$GI$17,'Tally Helper'!$L$15:$GI$15,"&gt;="&amp;$BR136,'Tally Helper'!$L$15:$GI$15,"&lt;="&amp;$BS136)))</f>
        <v/>
      </c>
      <c r="AC136" s="15" t="str">
        <f aca="false">IF(OR(G$7="",$BR136=""),"",IF('Tally Helper'!$B$18&lt;&gt;TRUE(),"not on Staff",SUMIFS('Tally Helper'!$L$20:$GI$20,'Tally Helper'!$L$18:$GI$18,"&gt;="&amp;$BR136,'Tally Helper'!$L$18:$GI$18,"&lt;="&amp;$BS136)))</f>
        <v/>
      </c>
      <c r="AD136" s="15" t="str">
        <f aca="false">IF(OR(H$7="",$BR136=""),"",IF('Tally Helper'!$B$21&lt;&gt;TRUE(),"not on Staff",SUMIFS('Tally Helper'!$L$23:$GI$23,'Tally Helper'!$L$21:$GI$21,"&gt;="&amp;$BR136,'Tally Helper'!$L$21:$GI$21,"&lt;="&amp;$BS136)))</f>
        <v/>
      </c>
      <c r="AE136" s="15" t="str">
        <f aca="false">IF(OR(I$7="",$BR136=""),"",IF('Tally Helper'!$B$24&lt;&gt;TRUE(),"not on Staff",SUMIFS('Tally Helper'!$L$26:$GI$26,'Tally Helper'!$L$24:$GI$24,"&gt;="&amp;$BR136,'Tally Helper'!$L$24:$GI$24,"&lt;="&amp;$BS136)))</f>
        <v/>
      </c>
      <c r="AF136" s="15" t="str">
        <f aca="false">IF(OR(J$7="",$BR136=""),"",IF('Tally Helper'!$B$27&lt;&gt;TRUE(),"not on Staff",SUMIFS('Tally Helper'!$L$29:$GI$29,'Tally Helper'!$L$27:$GI$27,"&gt;="&amp;$BR136,'Tally Helper'!$L$27:$GI$27,"&lt;="&amp;$BS136)))</f>
        <v/>
      </c>
      <c r="AG136" s="15" t="str">
        <f aca="false">IF(OR(K$7="",$BR136=""),"",IF('Tally Helper'!$B$30&lt;&gt;TRUE(),"not on Staff",SUMIFS('Tally Helper'!$L$32:$GI$32,'Tally Helper'!$L$30:$GI$30,"&gt;="&amp;$BR136,'Tally Helper'!$L$30:$GI$30,"&lt;="&amp;$BS136)))</f>
        <v/>
      </c>
      <c r="AH136" s="15" t="str">
        <f aca="false">IF(OR(L$7="",$BR136=""),"",IF('Tally Helper'!$B$33&lt;&gt;TRUE(),"not on Staff",SUMIFS('Tally Helper'!$L$35:$GI$35,'Tally Helper'!$L$33:$GI$33,"&gt;="&amp;$BR136,'Tally Helper'!$L$33:$GI$33,"&lt;="&amp;$BS136)))</f>
        <v/>
      </c>
      <c r="AI136" s="15" t="str">
        <f aca="false">IF(OR(M$7="",$BR136=""),"",IF('Tally Helper'!$B$36&lt;&gt;TRUE(),"not on Staff",SUMIFS('Tally Helper'!$L$38:$GI$38,'Tally Helper'!$L$36:$GI$36,"&gt;="&amp;$BR136,'Tally Helper'!$L$36:$GI$36,"&lt;="&amp;$BS136)))</f>
        <v/>
      </c>
      <c r="AJ136" s="15" t="str">
        <f aca="false">IF(OR(N$7="",$BR136=""),"",IF('Tally Helper'!$B$39&lt;&gt;TRUE(),"not on Staff",SUMIFS('Tally Helper'!$L$41:$GI$41,'Tally Helper'!$L$39:$GI$39,"&gt;="&amp;$BR136,'Tally Helper'!$L$39:$GI$39,"&lt;="&amp;$BS136)))</f>
        <v/>
      </c>
      <c r="AK136" s="15" t="str">
        <f aca="false">IF(OR(O$7="",$BR136=""),"",IF('Tally Helper'!$B$42&lt;&gt;TRUE(),"not on Staff",SUMIFS('Tally Helper'!$L$44:$GI$44,'Tally Helper'!$L$42:$GI$42,"&gt;="&amp;$BR136,'Tally Helper'!$L$42:$GI$42,"&lt;="&amp;$BS136)))</f>
        <v/>
      </c>
      <c r="AL136" s="15" t="str">
        <f aca="false">IF(OR(P$7="",$BR136=""),"",IF('Tally Helper'!$B$45&lt;&gt;TRUE(),"not on Staff",SUMIFS('Tally Helper'!$L$47:$GI$47,'Tally Helper'!$L$45:$GI$45,"&gt;="&amp;$BR136,'Tally Helper'!$L$45:$GI$45,"&lt;="&amp;$BS136)))</f>
        <v/>
      </c>
      <c r="AM136" s="15" t="str">
        <f aca="false">IF(OR(Q$7="",$BR136=""),"",IF('Tally Helper'!$B$48&lt;&gt;TRUE(),"not on Staff",SUMIFS('Tally Helper'!$L$50:$GI$50,'Tally Helper'!$L$48:$GI$48,"&gt;="&amp;$BR136,'Tally Helper'!$L$48:$GI$48,"&lt;="&amp;$BS136)))</f>
        <v/>
      </c>
      <c r="AN136" s="15" t="str">
        <f aca="false">IF(OR(R$7="",$BR136=""),"",IF('Tally Helper'!$B$51&lt;&gt;TRUE(),"not on Staff",SUMIFS('Tally Helper'!$L$53:$GI$53,'Tally Helper'!$L$51:$GI$51,"&gt;="&amp;$BR136,'Tally Helper'!$L$51:$GI$51,"&lt;="&amp;$BS136)))</f>
        <v/>
      </c>
      <c r="AO136" s="15" t="str">
        <f aca="false">IF(OR(S$7="",$BR136=""),"",IF('Tally Helper'!$B$54&lt;&gt;TRUE(),"not on Staff",SUMIFS('Tally Helper'!$L$56:$GI$56,'Tally Helper'!$L$54:$GI$54,"&gt;="&amp;$BR136,'Tally Helper'!$L$54:$GI$54,"&lt;="&amp;$BS136)))</f>
        <v/>
      </c>
      <c r="AP136" s="15" t="str">
        <f aca="false">IF(OR(T$7="",$BR136=""),"",IF('Tally Helper'!$B$57&lt;&gt;TRUE(),"not on Staff",SUMIFS('Tally Helper'!$L$59:$GI$59,'Tally Helper'!$L$57:$GI$57,"&gt;="&amp;$BR136,'Tally Helper'!$L$57:$GI$57,"&lt;="&amp;$BS136)))</f>
        <v/>
      </c>
      <c r="AQ136" s="15" t="str">
        <f aca="false">IF(OR(U$7="",$BR136=""),"",IF('Tally Helper'!$B$60&lt;&gt;TRUE(),"not on Staff",SUMIFS('Tally Helper'!$L$62:$GI$62,'Tally Helper'!$L$60:$GI$60,"&gt;="&amp;$BR136,'Tally Helper'!$L$60:$GI$60,"&lt;="&amp;$BS136)))</f>
        <v/>
      </c>
      <c r="AT136" s="15" t="str">
        <f aca="false">IF(OR(X136="",NOT(ISNUMBER(X136))),"",X136-N(B136))</f>
        <v/>
      </c>
      <c r="AU136" s="15" t="str">
        <f aca="false">IF(OR(Y136="",NOT(ISNUMBER(Y136))),"",Y136-N(C136))</f>
        <v/>
      </c>
      <c r="AV136" s="15" t="str">
        <f aca="false">IF(OR(Z136="",NOT(ISNUMBER(Z136))),"",Z136-N(D136))</f>
        <v/>
      </c>
      <c r="AW136" s="15" t="str">
        <f aca="false">IF(OR(AA136="",NOT(ISNUMBER(AA136))),"",AA136-N(E136))</f>
        <v/>
      </c>
      <c r="AX136" s="15" t="str">
        <f aca="false">IF(OR(AB136="",NOT(ISNUMBER(AB136))),"",AB136-N(F136))</f>
        <v/>
      </c>
      <c r="AY136" s="15" t="str">
        <f aca="false">IF(OR(AC136="",NOT(ISNUMBER(AC136))),"",AC136-N(G136))</f>
        <v/>
      </c>
      <c r="AZ136" s="15" t="str">
        <f aca="false">IF(OR(AD136="",NOT(ISNUMBER(AD136))),"",AD136-N(H136))</f>
        <v/>
      </c>
      <c r="BA136" s="15" t="str">
        <f aca="false">IF(OR(AE136="",NOT(ISNUMBER(AE136))),"",AE136-N(I136))</f>
        <v/>
      </c>
      <c r="BB136" s="15" t="str">
        <f aca="false">IF(OR(AF136="",NOT(ISNUMBER(AF136))),"",AF136-N(J136))</f>
        <v/>
      </c>
      <c r="BC136" s="15" t="str">
        <f aca="false">IF(OR(AG136="",NOT(ISNUMBER(AG136))),"",AG136-N(K136))</f>
        <v/>
      </c>
      <c r="BD136" s="15" t="str">
        <f aca="false">IF(OR(AH136="",NOT(ISNUMBER(AH136))),"",AH136-N(L136))</f>
        <v/>
      </c>
      <c r="BE136" s="15" t="str">
        <f aca="false">IF(OR(AI136="",NOT(ISNUMBER(AI136))),"",AI136-N(M136))</f>
        <v/>
      </c>
      <c r="BF136" s="15" t="str">
        <f aca="false">IF(OR(AJ136="",NOT(ISNUMBER(AJ136))),"",AJ136-N(N136))</f>
        <v/>
      </c>
      <c r="BG136" s="15" t="str">
        <f aca="false">IF(OR(AK136="",NOT(ISNUMBER(AK136))),"",AK136-N(O136))</f>
        <v/>
      </c>
      <c r="BH136" s="15" t="str">
        <f aca="false">IF(OR(AL136="",NOT(ISNUMBER(AL136))),"",AL136-N(P136))</f>
        <v/>
      </c>
      <c r="BI136" s="15" t="str">
        <f aca="false">IF(OR(AM136="",NOT(ISNUMBER(AM136))),"",AM136-N(Q136))</f>
        <v/>
      </c>
      <c r="BJ136" s="15" t="str">
        <f aca="false">IF(OR(AN136="",NOT(ISNUMBER(AN136))),"",AN136-N(R136))</f>
        <v/>
      </c>
      <c r="BK136" s="15" t="str">
        <f aca="false">IF(OR(AO136="",NOT(ISNUMBER(AO136))),"",AO136-N(S136))</f>
        <v/>
      </c>
      <c r="BL136" s="15" t="str">
        <f aca="false">IF(OR(AP136="",NOT(ISNUMBER(AP136))),"",AP136-N(T136))</f>
        <v/>
      </c>
      <c r="BM136" s="15" t="str">
        <f aca="false">IF(OR(AQ136="",NOT(ISNUMBER(AQ136))),"",AQ136-N(U136))</f>
        <v/>
      </c>
      <c r="BR136" s="18" t="str">
        <f aca="false">IF($A136="","",IF(ISNUMBER($A136),DATE(YEAR($A136),MONTH($A136),1),IFERROR(DATE(2000+VALUE(RIGHT(TRIM($A136),2)),MATCH(UPPER(LEFT(TRIM($A136),3)),{"JAN","FEB","MAR","APR","MAY","JUN","JUL","AUG","SEP","OCT","NOV","DEC"},0),1),"")))</f>
        <v/>
      </c>
      <c r="BS136" s="18" t="str">
        <f aca="false">IF(BR136="","",EOMONTH(BR136,0))</f>
        <v/>
      </c>
    </row>
    <row r="137" customFormat="false" ht="15" hidden="false" customHeight="false" outlineLevel="0" collapsed="false">
      <c r="B137" s="19"/>
      <c r="C137" s="19"/>
      <c r="D137" s="19"/>
      <c r="E137" s="19"/>
      <c r="F137" s="19"/>
      <c r="G137" s="19"/>
      <c r="H137" s="19"/>
      <c r="I137" s="19"/>
      <c r="J137" s="19"/>
      <c r="K137" s="19"/>
      <c r="L137" s="19"/>
      <c r="M137" s="19"/>
      <c r="N137" s="19"/>
      <c r="O137" s="19"/>
      <c r="P137" s="19"/>
      <c r="Q137" s="19"/>
      <c r="R137" s="19"/>
      <c r="S137" s="19"/>
      <c r="T137" s="19"/>
      <c r="U137" s="19"/>
      <c r="X137" s="15" t="str">
        <f aca="false">IF(OR(B$7="",$BR137=""),"",IF('Tally Helper'!$B$3&lt;&gt;TRUE(),"not on Staff",SUMIFS('Tally Helper'!$L$5:$GI$5,'Tally Helper'!$L$3:$GI$3,"&gt;="&amp;$BR137,'Tally Helper'!$L$3:$GI$3,"&lt;="&amp;$BS137)))</f>
        <v/>
      </c>
      <c r="Y137" s="15" t="str">
        <f aca="false">IF(OR(C$7="",$BR137=""),"",IF('Tally Helper'!$B$6&lt;&gt;TRUE(),"not on Staff",SUMIFS('Tally Helper'!$L$8:$GI$8,'Tally Helper'!$L$6:$GI$6,"&gt;="&amp;$BR137,'Tally Helper'!$L$6:$GI$6,"&lt;="&amp;$BS137)))</f>
        <v/>
      </c>
      <c r="Z137" s="15" t="str">
        <f aca="false">IF(OR(D$7="",$BR137=""),"",IF('Tally Helper'!$B$9&lt;&gt;TRUE(),"not on Staff",SUMIFS('Tally Helper'!$L$11:$GI$11,'Tally Helper'!$L$9:$GI$9,"&gt;="&amp;$BR137,'Tally Helper'!$L$9:$GI$9,"&lt;="&amp;$BS137)))</f>
        <v/>
      </c>
      <c r="AA137" s="15" t="str">
        <f aca="false">IF(OR(E$7="",$BR137=""),"",IF('Tally Helper'!$B$12&lt;&gt;TRUE(),"not on Staff",SUMIFS('Tally Helper'!$L$14:$GI$14,'Tally Helper'!$L$12:$GI$12,"&gt;="&amp;$BR137,'Tally Helper'!$L$12:$GI$12,"&lt;="&amp;$BS137)))</f>
        <v/>
      </c>
      <c r="AB137" s="15" t="str">
        <f aca="false">IF(OR(F$7="",$BR137=""),"",IF('Tally Helper'!$B$15&lt;&gt;TRUE(),"not on Staff",SUMIFS('Tally Helper'!$L$17:$GI$17,'Tally Helper'!$L$15:$GI$15,"&gt;="&amp;$BR137,'Tally Helper'!$L$15:$GI$15,"&lt;="&amp;$BS137)))</f>
        <v/>
      </c>
      <c r="AC137" s="15" t="str">
        <f aca="false">IF(OR(G$7="",$BR137=""),"",IF('Tally Helper'!$B$18&lt;&gt;TRUE(),"not on Staff",SUMIFS('Tally Helper'!$L$20:$GI$20,'Tally Helper'!$L$18:$GI$18,"&gt;="&amp;$BR137,'Tally Helper'!$L$18:$GI$18,"&lt;="&amp;$BS137)))</f>
        <v/>
      </c>
      <c r="AD137" s="15" t="str">
        <f aca="false">IF(OR(H$7="",$BR137=""),"",IF('Tally Helper'!$B$21&lt;&gt;TRUE(),"not on Staff",SUMIFS('Tally Helper'!$L$23:$GI$23,'Tally Helper'!$L$21:$GI$21,"&gt;="&amp;$BR137,'Tally Helper'!$L$21:$GI$21,"&lt;="&amp;$BS137)))</f>
        <v/>
      </c>
      <c r="AE137" s="15" t="str">
        <f aca="false">IF(OR(I$7="",$BR137=""),"",IF('Tally Helper'!$B$24&lt;&gt;TRUE(),"not on Staff",SUMIFS('Tally Helper'!$L$26:$GI$26,'Tally Helper'!$L$24:$GI$24,"&gt;="&amp;$BR137,'Tally Helper'!$L$24:$GI$24,"&lt;="&amp;$BS137)))</f>
        <v/>
      </c>
      <c r="AF137" s="15" t="str">
        <f aca="false">IF(OR(J$7="",$BR137=""),"",IF('Tally Helper'!$B$27&lt;&gt;TRUE(),"not on Staff",SUMIFS('Tally Helper'!$L$29:$GI$29,'Tally Helper'!$L$27:$GI$27,"&gt;="&amp;$BR137,'Tally Helper'!$L$27:$GI$27,"&lt;="&amp;$BS137)))</f>
        <v/>
      </c>
      <c r="AG137" s="15" t="str">
        <f aca="false">IF(OR(K$7="",$BR137=""),"",IF('Tally Helper'!$B$30&lt;&gt;TRUE(),"not on Staff",SUMIFS('Tally Helper'!$L$32:$GI$32,'Tally Helper'!$L$30:$GI$30,"&gt;="&amp;$BR137,'Tally Helper'!$L$30:$GI$30,"&lt;="&amp;$BS137)))</f>
        <v/>
      </c>
      <c r="AH137" s="15" t="str">
        <f aca="false">IF(OR(L$7="",$BR137=""),"",IF('Tally Helper'!$B$33&lt;&gt;TRUE(),"not on Staff",SUMIFS('Tally Helper'!$L$35:$GI$35,'Tally Helper'!$L$33:$GI$33,"&gt;="&amp;$BR137,'Tally Helper'!$L$33:$GI$33,"&lt;="&amp;$BS137)))</f>
        <v/>
      </c>
      <c r="AI137" s="15" t="str">
        <f aca="false">IF(OR(M$7="",$BR137=""),"",IF('Tally Helper'!$B$36&lt;&gt;TRUE(),"not on Staff",SUMIFS('Tally Helper'!$L$38:$GI$38,'Tally Helper'!$L$36:$GI$36,"&gt;="&amp;$BR137,'Tally Helper'!$L$36:$GI$36,"&lt;="&amp;$BS137)))</f>
        <v/>
      </c>
      <c r="AJ137" s="15" t="str">
        <f aca="false">IF(OR(N$7="",$BR137=""),"",IF('Tally Helper'!$B$39&lt;&gt;TRUE(),"not on Staff",SUMIFS('Tally Helper'!$L$41:$GI$41,'Tally Helper'!$L$39:$GI$39,"&gt;="&amp;$BR137,'Tally Helper'!$L$39:$GI$39,"&lt;="&amp;$BS137)))</f>
        <v/>
      </c>
      <c r="AK137" s="15" t="str">
        <f aca="false">IF(OR(O$7="",$BR137=""),"",IF('Tally Helper'!$B$42&lt;&gt;TRUE(),"not on Staff",SUMIFS('Tally Helper'!$L$44:$GI$44,'Tally Helper'!$L$42:$GI$42,"&gt;="&amp;$BR137,'Tally Helper'!$L$42:$GI$42,"&lt;="&amp;$BS137)))</f>
        <v/>
      </c>
      <c r="AL137" s="15" t="str">
        <f aca="false">IF(OR(P$7="",$BR137=""),"",IF('Tally Helper'!$B$45&lt;&gt;TRUE(),"not on Staff",SUMIFS('Tally Helper'!$L$47:$GI$47,'Tally Helper'!$L$45:$GI$45,"&gt;="&amp;$BR137,'Tally Helper'!$L$45:$GI$45,"&lt;="&amp;$BS137)))</f>
        <v/>
      </c>
      <c r="AM137" s="15" t="str">
        <f aca="false">IF(OR(Q$7="",$BR137=""),"",IF('Tally Helper'!$B$48&lt;&gt;TRUE(),"not on Staff",SUMIFS('Tally Helper'!$L$50:$GI$50,'Tally Helper'!$L$48:$GI$48,"&gt;="&amp;$BR137,'Tally Helper'!$L$48:$GI$48,"&lt;="&amp;$BS137)))</f>
        <v/>
      </c>
      <c r="AN137" s="15" t="str">
        <f aca="false">IF(OR(R$7="",$BR137=""),"",IF('Tally Helper'!$B$51&lt;&gt;TRUE(),"not on Staff",SUMIFS('Tally Helper'!$L$53:$GI$53,'Tally Helper'!$L$51:$GI$51,"&gt;="&amp;$BR137,'Tally Helper'!$L$51:$GI$51,"&lt;="&amp;$BS137)))</f>
        <v/>
      </c>
      <c r="AO137" s="15" t="str">
        <f aca="false">IF(OR(S$7="",$BR137=""),"",IF('Tally Helper'!$B$54&lt;&gt;TRUE(),"not on Staff",SUMIFS('Tally Helper'!$L$56:$GI$56,'Tally Helper'!$L$54:$GI$54,"&gt;="&amp;$BR137,'Tally Helper'!$L$54:$GI$54,"&lt;="&amp;$BS137)))</f>
        <v/>
      </c>
      <c r="AP137" s="15" t="str">
        <f aca="false">IF(OR(T$7="",$BR137=""),"",IF('Tally Helper'!$B$57&lt;&gt;TRUE(),"not on Staff",SUMIFS('Tally Helper'!$L$59:$GI$59,'Tally Helper'!$L$57:$GI$57,"&gt;="&amp;$BR137,'Tally Helper'!$L$57:$GI$57,"&lt;="&amp;$BS137)))</f>
        <v/>
      </c>
      <c r="AQ137" s="15" t="str">
        <f aca="false">IF(OR(U$7="",$BR137=""),"",IF('Tally Helper'!$B$60&lt;&gt;TRUE(),"not on Staff",SUMIFS('Tally Helper'!$L$62:$GI$62,'Tally Helper'!$L$60:$GI$60,"&gt;="&amp;$BR137,'Tally Helper'!$L$60:$GI$60,"&lt;="&amp;$BS137)))</f>
        <v/>
      </c>
      <c r="AT137" s="15" t="str">
        <f aca="false">IF(OR(X137="",NOT(ISNUMBER(X137))),"",X137-N(B137))</f>
        <v/>
      </c>
      <c r="AU137" s="15" t="str">
        <f aca="false">IF(OR(Y137="",NOT(ISNUMBER(Y137))),"",Y137-N(C137))</f>
        <v/>
      </c>
      <c r="AV137" s="15" t="str">
        <f aca="false">IF(OR(Z137="",NOT(ISNUMBER(Z137))),"",Z137-N(D137))</f>
        <v/>
      </c>
      <c r="AW137" s="15" t="str">
        <f aca="false">IF(OR(AA137="",NOT(ISNUMBER(AA137))),"",AA137-N(E137))</f>
        <v/>
      </c>
      <c r="AX137" s="15" t="str">
        <f aca="false">IF(OR(AB137="",NOT(ISNUMBER(AB137))),"",AB137-N(F137))</f>
        <v/>
      </c>
      <c r="AY137" s="15" t="str">
        <f aca="false">IF(OR(AC137="",NOT(ISNUMBER(AC137))),"",AC137-N(G137))</f>
        <v/>
      </c>
      <c r="AZ137" s="15" t="str">
        <f aca="false">IF(OR(AD137="",NOT(ISNUMBER(AD137))),"",AD137-N(H137))</f>
        <v/>
      </c>
      <c r="BA137" s="15" t="str">
        <f aca="false">IF(OR(AE137="",NOT(ISNUMBER(AE137))),"",AE137-N(I137))</f>
        <v/>
      </c>
      <c r="BB137" s="15" t="str">
        <f aca="false">IF(OR(AF137="",NOT(ISNUMBER(AF137))),"",AF137-N(J137))</f>
        <v/>
      </c>
      <c r="BC137" s="15" t="str">
        <f aca="false">IF(OR(AG137="",NOT(ISNUMBER(AG137))),"",AG137-N(K137))</f>
        <v/>
      </c>
      <c r="BD137" s="15" t="str">
        <f aca="false">IF(OR(AH137="",NOT(ISNUMBER(AH137))),"",AH137-N(L137))</f>
        <v/>
      </c>
      <c r="BE137" s="15" t="str">
        <f aca="false">IF(OR(AI137="",NOT(ISNUMBER(AI137))),"",AI137-N(M137))</f>
        <v/>
      </c>
      <c r="BF137" s="15" t="str">
        <f aca="false">IF(OR(AJ137="",NOT(ISNUMBER(AJ137))),"",AJ137-N(N137))</f>
        <v/>
      </c>
      <c r="BG137" s="15" t="str">
        <f aca="false">IF(OR(AK137="",NOT(ISNUMBER(AK137))),"",AK137-N(O137))</f>
        <v/>
      </c>
      <c r="BH137" s="15" t="str">
        <f aca="false">IF(OR(AL137="",NOT(ISNUMBER(AL137))),"",AL137-N(P137))</f>
        <v/>
      </c>
      <c r="BI137" s="15" t="str">
        <f aca="false">IF(OR(AM137="",NOT(ISNUMBER(AM137))),"",AM137-N(Q137))</f>
        <v/>
      </c>
      <c r="BJ137" s="15" t="str">
        <f aca="false">IF(OR(AN137="",NOT(ISNUMBER(AN137))),"",AN137-N(R137))</f>
        <v/>
      </c>
      <c r="BK137" s="15" t="str">
        <f aca="false">IF(OR(AO137="",NOT(ISNUMBER(AO137))),"",AO137-N(S137))</f>
        <v/>
      </c>
      <c r="BL137" s="15" t="str">
        <f aca="false">IF(OR(AP137="",NOT(ISNUMBER(AP137))),"",AP137-N(T137))</f>
        <v/>
      </c>
      <c r="BM137" s="15" t="str">
        <f aca="false">IF(OR(AQ137="",NOT(ISNUMBER(AQ137))),"",AQ137-N(U137))</f>
        <v/>
      </c>
      <c r="BR137" s="18" t="str">
        <f aca="false">IF($A137="","",IF(ISNUMBER($A137),DATE(YEAR($A137),MONTH($A137),1),IFERROR(DATE(2000+VALUE(RIGHT(TRIM($A137),2)),MATCH(UPPER(LEFT(TRIM($A137),3)),{"JAN","FEB","MAR","APR","MAY","JUN","JUL","AUG","SEP","OCT","NOV","DEC"},0),1),"")))</f>
        <v/>
      </c>
      <c r="BS137" s="18" t="str">
        <f aca="false">IF(BR137="","",EOMONTH(BR137,0))</f>
        <v/>
      </c>
    </row>
    <row r="138" customFormat="false" ht="15" hidden="false" customHeight="false" outlineLevel="0" collapsed="false">
      <c r="B138" s="19"/>
      <c r="C138" s="19"/>
      <c r="D138" s="19"/>
      <c r="E138" s="19"/>
      <c r="F138" s="19"/>
      <c r="G138" s="19"/>
      <c r="H138" s="19"/>
      <c r="I138" s="19"/>
      <c r="J138" s="19"/>
      <c r="K138" s="19"/>
      <c r="L138" s="19"/>
      <c r="M138" s="19"/>
      <c r="N138" s="19"/>
      <c r="O138" s="19"/>
      <c r="P138" s="19"/>
      <c r="Q138" s="19"/>
      <c r="R138" s="19"/>
      <c r="S138" s="19"/>
      <c r="T138" s="19"/>
      <c r="U138" s="19"/>
      <c r="X138" s="15" t="str">
        <f aca="false">IF(OR(B$7="",$BR138=""),"",IF('Tally Helper'!$B$3&lt;&gt;TRUE(),"not on Staff",SUMIFS('Tally Helper'!$L$5:$GI$5,'Tally Helper'!$L$3:$GI$3,"&gt;="&amp;$BR138,'Tally Helper'!$L$3:$GI$3,"&lt;="&amp;$BS138)))</f>
        <v/>
      </c>
      <c r="Y138" s="15" t="str">
        <f aca="false">IF(OR(C$7="",$BR138=""),"",IF('Tally Helper'!$B$6&lt;&gt;TRUE(),"not on Staff",SUMIFS('Tally Helper'!$L$8:$GI$8,'Tally Helper'!$L$6:$GI$6,"&gt;="&amp;$BR138,'Tally Helper'!$L$6:$GI$6,"&lt;="&amp;$BS138)))</f>
        <v/>
      </c>
      <c r="Z138" s="15" t="str">
        <f aca="false">IF(OR(D$7="",$BR138=""),"",IF('Tally Helper'!$B$9&lt;&gt;TRUE(),"not on Staff",SUMIFS('Tally Helper'!$L$11:$GI$11,'Tally Helper'!$L$9:$GI$9,"&gt;="&amp;$BR138,'Tally Helper'!$L$9:$GI$9,"&lt;="&amp;$BS138)))</f>
        <v/>
      </c>
      <c r="AA138" s="15" t="str">
        <f aca="false">IF(OR(E$7="",$BR138=""),"",IF('Tally Helper'!$B$12&lt;&gt;TRUE(),"not on Staff",SUMIFS('Tally Helper'!$L$14:$GI$14,'Tally Helper'!$L$12:$GI$12,"&gt;="&amp;$BR138,'Tally Helper'!$L$12:$GI$12,"&lt;="&amp;$BS138)))</f>
        <v/>
      </c>
      <c r="AB138" s="15" t="str">
        <f aca="false">IF(OR(F$7="",$BR138=""),"",IF('Tally Helper'!$B$15&lt;&gt;TRUE(),"not on Staff",SUMIFS('Tally Helper'!$L$17:$GI$17,'Tally Helper'!$L$15:$GI$15,"&gt;="&amp;$BR138,'Tally Helper'!$L$15:$GI$15,"&lt;="&amp;$BS138)))</f>
        <v/>
      </c>
      <c r="AC138" s="15" t="str">
        <f aca="false">IF(OR(G$7="",$BR138=""),"",IF('Tally Helper'!$B$18&lt;&gt;TRUE(),"not on Staff",SUMIFS('Tally Helper'!$L$20:$GI$20,'Tally Helper'!$L$18:$GI$18,"&gt;="&amp;$BR138,'Tally Helper'!$L$18:$GI$18,"&lt;="&amp;$BS138)))</f>
        <v/>
      </c>
      <c r="AD138" s="15" t="str">
        <f aca="false">IF(OR(H$7="",$BR138=""),"",IF('Tally Helper'!$B$21&lt;&gt;TRUE(),"not on Staff",SUMIFS('Tally Helper'!$L$23:$GI$23,'Tally Helper'!$L$21:$GI$21,"&gt;="&amp;$BR138,'Tally Helper'!$L$21:$GI$21,"&lt;="&amp;$BS138)))</f>
        <v/>
      </c>
      <c r="AE138" s="15" t="str">
        <f aca="false">IF(OR(I$7="",$BR138=""),"",IF('Tally Helper'!$B$24&lt;&gt;TRUE(),"not on Staff",SUMIFS('Tally Helper'!$L$26:$GI$26,'Tally Helper'!$L$24:$GI$24,"&gt;="&amp;$BR138,'Tally Helper'!$L$24:$GI$24,"&lt;="&amp;$BS138)))</f>
        <v/>
      </c>
      <c r="AF138" s="15" t="str">
        <f aca="false">IF(OR(J$7="",$BR138=""),"",IF('Tally Helper'!$B$27&lt;&gt;TRUE(),"not on Staff",SUMIFS('Tally Helper'!$L$29:$GI$29,'Tally Helper'!$L$27:$GI$27,"&gt;="&amp;$BR138,'Tally Helper'!$L$27:$GI$27,"&lt;="&amp;$BS138)))</f>
        <v/>
      </c>
      <c r="AG138" s="15" t="str">
        <f aca="false">IF(OR(K$7="",$BR138=""),"",IF('Tally Helper'!$B$30&lt;&gt;TRUE(),"not on Staff",SUMIFS('Tally Helper'!$L$32:$GI$32,'Tally Helper'!$L$30:$GI$30,"&gt;="&amp;$BR138,'Tally Helper'!$L$30:$GI$30,"&lt;="&amp;$BS138)))</f>
        <v/>
      </c>
      <c r="AH138" s="15" t="str">
        <f aca="false">IF(OR(L$7="",$BR138=""),"",IF('Tally Helper'!$B$33&lt;&gt;TRUE(),"not on Staff",SUMIFS('Tally Helper'!$L$35:$GI$35,'Tally Helper'!$L$33:$GI$33,"&gt;="&amp;$BR138,'Tally Helper'!$L$33:$GI$33,"&lt;="&amp;$BS138)))</f>
        <v/>
      </c>
      <c r="AI138" s="15" t="str">
        <f aca="false">IF(OR(M$7="",$BR138=""),"",IF('Tally Helper'!$B$36&lt;&gt;TRUE(),"not on Staff",SUMIFS('Tally Helper'!$L$38:$GI$38,'Tally Helper'!$L$36:$GI$36,"&gt;="&amp;$BR138,'Tally Helper'!$L$36:$GI$36,"&lt;="&amp;$BS138)))</f>
        <v/>
      </c>
      <c r="AJ138" s="15" t="str">
        <f aca="false">IF(OR(N$7="",$BR138=""),"",IF('Tally Helper'!$B$39&lt;&gt;TRUE(),"not on Staff",SUMIFS('Tally Helper'!$L$41:$GI$41,'Tally Helper'!$L$39:$GI$39,"&gt;="&amp;$BR138,'Tally Helper'!$L$39:$GI$39,"&lt;="&amp;$BS138)))</f>
        <v/>
      </c>
      <c r="AK138" s="15" t="str">
        <f aca="false">IF(OR(O$7="",$BR138=""),"",IF('Tally Helper'!$B$42&lt;&gt;TRUE(),"not on Staff",SUMIFS('Tally Helper'!$L$44:$GI$44,'Tally Helper'!$L$42:$GI$42,"&gt;="&amp;$BR138,'Tally Helper'!$L$42:$GI$42,"&lt;="&amp;$BS138)))</f>
        <v/>
      </c>
      <c r="AL138" s="15" t="str">
        <f aca="false">IF(OR(P$7="",$BR138=""),"",IF('Tally Helper'!$B$45&lt;&gt;TRUE(),"not on Staff",SUMIFS('Tally Helper'!$L$47:$GI$47,'Tally Helper'!$L$45:$GI$45,"&gt;="&amp;$BR138,'Tally Helper'!$L$45:$GI$45,"&lt;="&amp;$BS138)))</f>
        <v/>
      </c>
      <c r="AM138" s="15" t="str">
        <f aca="false">IF(OR(Q$7="",$BR138=""),"",IF('Tally Helper'!$B$48&lt;&gt;TRUE(),"not on Staff",SUMIFS('Tally Helper'!$L$50:$GI$50,'Tally Helper'!$L$48:$GI$48,"&gt;="&amp;$BR138,'Tally Helper'!$L$48:$GI$48,"&lt;="&amp;$BS138)))</f>
        <v/>
      </c>
      <c r="AN138" s="15" t="str">
        <f aca="false">IF(OR(R$7="",$BR138=""),"",IF('Tally Helper'!$B$51&lt;&gt;TRUE(),"not on Staff",SUMIFS('Tally Helper'!$L$53:$GI$53,'Tally Helper'!$L$51:$GI$51,"&gt;="&amp;$BR138,'Tally Helper'!$L$51:$GI$51,"&lt;="&amp;$BS138)))</f>
        <v/>
      </c>
      <c r="AO138" s="15" t="str">
        <f aca="false">IF(OR(S$7="",$BR138=""),"",IF('Tally Helper'!$B$54&lt;&gt;TRUE(),"not on Staff",SUMIFS('Tally Helper'!$L$56:$GI$56,'Tally Helper'!$L$54:$GI$54,"&gt;="&amp;$BR138,'Tally Helper'!$L$54:$GI$54,"&lt;="&amp;$BS138)))</f>
        <v/>
      </c>
      <c r="AP138" s="15" t="str">
        <f aca="false">IF(OR(T$7="",$BR138=""),"",IF('Tally Helper'!$B$57&lt;&gt;TRUE(),"not on Staff",SUMIFS('Tally Helper'!$L$59:$GI$59,'Tally Helper'!$L$57:$GI$57,"&gt;="&amp;$BR138,'Tally Helper'!$L$57:$GI$57,"&lt;="&amp;$BS138)))</f>
        <v/>
      </c>
      <c r="AQ138" s="15" t="str">
        <f aca="false">IF(OR(U$7="",$BR138=""),"",IF('Tally Helper'!$B$60&lt;&gt;TRUE(),"not on Staff",SUMIFS('Tally Helper'!$L$62:$GI$62,'Tally Helper'!$L$60:$GI$60,"&gt;="&amp;$BR138,'Tally Helper'!$L$60:$GI$60,"&lt;="&amp;$BS138)))</f>
        <v/>
      </c>
      <c r="AT138" s="15" t="str">
        <f aca="false">IF(OR(X138="",NOT(ISNUMBER(X138))),"",X138-N(B138))</f>
        <v/>
      </c>
      <c r="AU138" s="15" t="str">
        <f aca="false">IF(OR(Y138="",NOT(ISNUMBER(Y138))),"",Y138-N(C138))</f>
        <v/>
      </c>
      <c r="AV138" s="15" t="str">
        <f aca="false">IF(OR(Z138="",NOT(ISNUMBER(Z138))),"",Z138-N(D138))</f>
        <v/>
      </c>
      <c r="AW138" s="15" t="str">
        <f aca="false">IF(OR(AA138="",NOT(ISNUMBER(AA138))),"",AA138-N(E138))</f>
        <v/>
      </c>
      <c r="AX138" s="15" t="str">
        <f aca="false">IF(OR(AB138="",NOT(ISNUMBER(AB138))),"",AB138-N(F138))</f>
        <v/>
      </c>
      <c r="AY138" s="15" t="str">
        <f aca="false">IF(OR(AC138="",NOT(ISNUMBER(AC138))),"",AC138-N(G138))</f>
        <v/>
      </c>
      <c r="AZ138" s="15" t="str">
        <f aca="false">IF(OR(AD138="",NOT(ISNUMBER(AD138))),"",AD138-N(H138))</f>
        <v/>
      </c>
      <c r="BA138" s="15" t="str">
        <f aca="false">IF(OR(AE138="",NOT(ISNUMBER(AE138))),"",AE138-N(I138))</f>
        <v/>
      </c>
      <c r="BB138" s="15" t="str">
        <f aca="false">IF(OR(AF138="",NOT(ISNUMBER(AF138))),"",AF138-N(J138))</f>
        <v/>
      </c>
      <c r="BC138" s="15" t="str">
        <f aca="false">IF(OR(AG138="",NOT(ISNUMBER(AG138))),"",AG138-N(K138))</f>
        <v/>
      </c>
      <c r="BD138" s="15" t="str">
        <f aca="false">IF(OR(AH138="",NOT(ISNUMBER(AH138))),"",AH138-N(L138))</f>
        <v/>
      </c>
      <c r="BE138" s="15" t="str">
        <f aca="false">IF(OR(AI138="",NOT(ISNUMBER(AI138))),"",AI138-N(M138))</f>
        <v/>
      </c>
      <c r="BF138" s="15" t="str">
        <f aca="false">IF(OR(AJ138="",NOT(ISNUMBER(AJ138))),"",AJ138-N(N138))</f>
        <v/>
      </c>
      <c r="BG138" s="15" t="str">
        <f aca="false">IF(OR(AK138="",NOT(ISNUMBER(AK138))),"",AK138-N(O138))</f>
        <v/>
      </c>
      <c r="BH138" s="15" t="str">
        <f aca="false">IF(OR(AL138="",NOT(ISNUMBER(AL138))),"",AL138-N(P138))</f>
        <v/>
      </c>
      <c r="BI138" s="15" t="str">
        <f aca="false">IF(OR(AM138="",NOT(ISNUMBER(AM138))),"",AM138-N(Q138))</f>
        <v/>
      </c>
      <c r="BJ138" s="15" t="str">
        <f aca="false">IF(OR(AN138="",NOT(ISNUMBER(AN138))),"",AN138-N(R138))</f>
        <v/>
      </c>
      <c r="BK138" s="15" t="str">
        <f aca="false">IF(OR(AO138="",NOT(ISNUMBER(AO138))),"",AO138-N(S138))</f>
        <v/>
      </c>
      <c r="BL138" s="15" t="str">
        <f aca="false">IF(OR(AP138="",NOT(ISNUMBER(AP138))),"",AP138-N(T138))</f>
        <v/>
      </c>
      <c r="BM138" s="15" t="str">
        <f aca="false">IF(OR(AQ138="",NOT(ISNUMBER(AQ138))),"",AQ138-N(U138))</f>
        <v/>
      </c>
      <c r="BR138" s="18" t="str">
        <f aca="false">IF($A138="","",IF(ISNUMBER($A138),DATE(YEAR($A138),MONTH($A138),1),IFERROR(DATE(2000+VALUE(RIGHT(TRIM($A138),2)),MATCH(UPPER(LEFT(TRIM($A138),3)),{"JAN","FEB","MAR","APR","MAY","JUN","JUL","AUG","SEP","OCT","NOV","DEC"},0),1),"")))</f>
        <v/>
      </c>
      <c r="BS138" s="18" t="str">
        <f aca="false">IF(BR138="","",EOMONTH(BR138,0))</f>
        <v/>
      </c>
    </row>
    <row r="139" customFormat="false" ht="15" hidden="false" customHeight="false" outlineLevel="0" collapsed="false">
      <c r="B139" s="19"/>
      <c r="C139" s="19"/>
      <c r="D139" s="19"/>
      <c r="E139" s="19"/>
      <c r="F139" s="19"/>
      <c r="G139" s="19"/>
      <c r="H139" s="19"/>
      <c r="I139" s="19"/>
      <c r="J139" s="19"/>
      <c r="K139" s="19"/>
      <c r="L139" s="19"/>
      <c r="M139" s="19"/>
      <c r="N139" s="19"/>
      <c r="O139" s="19"/>
      <c r="P139" s="19"/>
      <c r="Q139" s="19"/>
      <c r="R139" s="19"/>
      <c r="S139" s="19"/>
      <c r="T139" s="19"/>
      <c r="U139" s="19"/>
      <c r="X139" s="15" t="str">
        <f aca="false">IF(OR(B$7="",$BR139=""),"",IF('Tally Helper'!$B$3&lt;&gt;TRUE(),"not on Staff",SUMIFS('Tally Helper'!$L$5:$GI$5,'Tally Helper'!$L$3:$GI$3,"&gt;="&amp;$BR139,'Tally Helper'!$L$3:$GI$3,"&lt;="&amp;$BS139)))</f>
        <v/>
      </c>
      <c r="Y139" s="15" t="str">
        <f aca="false">IF(OR(C$7="",$BR139=""),"",IF('Tally Helper'!$B$6&lt;&gt;TRUE(),"not on Staff",SUMIFS('Tally Helper'!$L$8:$GI$8,'Tally Helper'!$L$6:$GI$6,"&gt;="&amp;$BR139,'Tally Helper'!$L$6:$GI$6,"&lt;="&amp;$BS139)))</f>
        <v/>
      </c>
      <c r="Z139" s="15" t="str">
        <f aca="false">IF(OR(D$7="",$BR139=""),"",IF('Tally Helper'!$B$9&lt;&gt;TRUE(),"not on Staff",SUMIFS('Tally Helper'!$L$11:$GI$11,'Tally Helper'!$L$9:$GI$9,"&gt;="&amp;$BR139,'Tally Helper'!$L$9:$GI$9,"&lt;="&amp;$BS139)))</f>
        <v/>
      </c>
      <c r="AA139" s="15" t="str">
        <f aca="false">IF(OR(E$7="",$BR139=""),"",IF('Tally Helper'!$B$12&lt;&gt;TRUE(),"not on Staff",SUMIFS('Tally Helper'!$L$14:$GI$14,'Tally Helper'!$L$12:$GI$12,"&gt;="&amp;$BR139,'Tally Helper'!$L$12:$GI$12,"&lt;="&amp;$BS139)))</f>
        <v/>
      </c>
      <c r="AB139" s="15" t="str">
        <f aca="false">IF(OR(F$7="",$BR139=""),"",IF('Tally Helper'!$B$15&lt;&gt;TRUE(),"not on Staff",SUMIFS('Tally Helper'!$L$17:$GI$17,'Tally Helper'!$L$15:$GI$15,"&gt;="&amp;$BR139,'Tally Helper'!$L$15:$GI$15,"&lt;="&amp;$BS139)))</f>
        <v/>
      </c>
      <c r="AC139" s="15" t="str">
        <f aca="false">IF(OR(G$7="",$BR139=""),"",IF('Tally Helper'!$B$18&lt;&gt;TRUE(),"not on Staff",SUMIFS('Tally Helper'!$L$20:$GI$20,'Tally Helper'!$L$18:$GI$18,"&gt;="&amp;$BR139,'Tally Helper'!$L$18:$GI$18,"&lt;="&amp;$BS139)))</f>
        <v/>
      </c>
      <c r="AD139" s="15" t="str">
        <f aca="false">IF(OR(H$7="",$BR139=""),"",IF('Tally Helper'!$B$21&lt;&gt;TRUE(),"not on Staff",SUMIFS('Tally Helper'!$L$23:$GI$23,'Tally Helper'!$L$21:$GI$21,"&gt;="&amp;$BR139,'Tally Helper'!$L$21:$GI$21,"&lt;="&amp;$BS139)))</f>
        <v/>
      </c>
      <c r="AE139" s="15" t="str">
        <f aca="false">IF(OR(I$7="",$BR139=""),"",IF('Tally Helper'!$B$24&lt;&gt;TRUE(),"not on Staff",SUMIFS('Tally Helper'!$L$26:$GI$26,'Tally Helper'!$L$24:$GI$24,"&gt;="&amp;$BR139,'Tally Helper'!$L$24:$GI$24,"&lt;="&amp;$BS139)))</f>
        <v/>
      </c>
      <c r="AF139" s="15" t="str">
        <f aca="false">IF(OR(J$7="",$BR139=""),"",IF('Tally Helper'!$B$27&lt;&gt;TRUE(),"not on Staff",SUMIFS('Tally Helper'!$L$29:$GI$29,'Tally Helper'!$L$27:$GI$27,"&gt;="&amp;$BR139,'Tally Helper'!$L$27:$GI$27,"&lt;="&amp;$BS139)))</f>
        <v/>
      </c>
      <c r="AG139" s="15" t="str">
        <f aca="false">IF(OR(K$7="",$BR139=""),"",IF('Tally Helper'!$B$30&lt;&gt;TRUE(),"not on Staff",SUMIFS('Tally Helper'!$L$32:$GI$32,'Tally Helper'!$L$30:$GI$30,"&gt;="&amp;$BR139,'Tally Helper'!$L$30:$GI$30,"&lt;="&amp;$BS139)))</f>
        <v/>
      </c>
      <c r="AH139" s="15" t="str">
        <f aca="false">IF(OR(L$7="",$BR139=""),"",IF('Tally Helper'!$B$33&lt;&gt;TRUE(),"not on Staff",SUMIFS('Tally Helper'!$L$35:$GI$35,'Tally Helper'!$L$33:$GI$33,"&gt;="&amp;$BR139,'Tally Helper'!$L$33:$GI$33,"&lt;="&amp;$BS139)))</f>
        <v/>
      </c>
      <c r="AI139" s="15" t="str">
        <f aca="false">IF(OR(M$7="",$BR139=""),"",IF('Tally Helper'!$B$36&lt;&gt;TRUE(),"not on Staff",SUMIFS('Tally Helper'!$L$38:$GI$38,'Tally Helper'!$L$36:$GI$36,"&gt;="&amp;$BR139,'Tally Helper'!$L$36:$GI$36,"&lt;="&amp;$BS139)))</f>
        <v/>
      </c>
      <c r="AJ139" s="15" t="str">
        <f aca="false">IF(OR(N$7="",$BR139=""),"",IF('Tally Helper'!$B$39&lt;&gt;TRUE(),"not on Staff",SUMIFS('Tally Helper'!$L$41:$GI$41,'Tally Helper'!$L$39:$GI$39,"&gt;="&amp;$BR139,'Tally Helper'!$L$39:$GI$39,"&lt;="&amp;$BS139)))</f>
        <v/>
      </c>
      <c r="AK139" s="15" t="str">
        <f aca="false">IF(OR(O$7="",$BR139=""),"",IF('Tally Helper'!$B$42&lt;&gt;TRUE(),"not on Staff",SUMIFS('Tally Helper'!$L$44:$GI$44,'Tally Helper'!$L$42:$GI$42,"&gt;="&amp;$BR139,'Tally Helper'!$L$42:$GI$42,"&lt;="&amp;$BS139)))</f>
        <v/>
      </c>
      <c r="AL139" s="15" t="str">
        <f aca="false">IF(OR(P$7="",$BR139=""),"",IF('Tally Helper'!$B$45&lt;&gt;TRUE(),"not on Staff",SUMIFS('Tally Helper'!$L$47:$GI$47,'Tally Helper'!$L$45:$GI$45,"&gt;="&amp;$BR139,'Tally Helper'!$L$45:$GI$45,"&lt;="&amp;$BS139)))</f>
        <v/>
      </c>
      <c r="AM139" s="15" t="str">
        <f aca="false">IF(OR(Q$7="",$BR139=""),"",IF('Tally Helper'!$B$48&lt;&gt;TRUE(),"not on Staff",SUMIFS('Tally Helper'!$L$50:$GI$50,'Tally Helper'!$L$48:$GI$48,"&gt;="&amp;$BR139,'Tally Helper'!$L$48:$GI$48,"&lt;="&amp;$BS139)))</f>
        <v/>
      </c>
      <c r="AN139" s="15" t="str">
        <f aca="false">IF(OR(R$7="",$BR139=""),"",IF('Tally Helper'!$B$51&lt;&gt;TRUE(),"not on Staff",SUMIFS('Tally Helper'!$L$53:$GI$53,'Tally Helper'!$L$51:$GI$51,"&gt;="&amp;$BR139,'Tally Helper'!$L$51:$GI$51,"&lt;="&amp;$BS139)))</f>
        <v/>
      </c>
      <c r="AO139" s="15" t="str">
        <f aca="false">IF(OR(S$7="",$BR139=""),"",IF('Tally Helper'!$B$54&lt;&gt;TRUE(),"not on Staff",SUMIFS('Tally Helper'!$L$56:$GI$56,'Tally Helper'!$L$54:$GI$54,"&gt;="&amp;$BR139,'Tally Helper'!$L$54:$GI$54,"&lt;="&amp;$BS139)))</f>
        <v/>
      </c>
      <c r="AP139" s="15" t="str">
        <f aca="false">IF(OR(T$7="",$BR139=""),"",IF('Tally Helper'!$B$57&lt;&gt;TRUE(),"not on Staff",SUMIFS('Tally Helper'!$L$59:$GI$59,'Tally Helper'!$L$57:$GI$57,"&gt;="&amp;$BR139,'Tally Helper'!$L$57:$GI$57,"&lt;="&amp;$BS139)))</f>
        <v/>
      </c>
      <c r="AQ139" s="15" t="str">
        <f aca="false">IF(OR(U$7="",$BR139=""),"",IF('Tally Helper'!$B$60&lt;&gt;TRUE(),"not on Staff",SUMIFS('Tally Helper'!$L$62:$GI$62,'Tally Helper'!$L$60:$GI$60,"&gt;="&amp;$BR139,'Tally Helper'!$L$60:$GI$60,"&lt;="&amp;$BS139)))</f>
        <v/>
      </c>
      <c r="AT139" s="15" t="str">
        <f aca="false">IF(OR(X139="",NOT(ISNUMBER(X139))),"",X139-N(B139))</f>
        <v/>
      </c>
      <c r="AU139" s="15" t="str">
        <f aca="false">IF(OR(Y139="",NOT(ISNUMBER(Y139))),"",Y139-N(C139))</f>
        <v/>
      </c>
      <c r="AV139" s="15" t="str">
        <f aca="false">IF(OR(Z139="",NOT(ISNUMBER(Z139))),"",Z139-N(D139))</f>
        <v/>
      </c>
      <c r="AW139" s="15" t="str">
        <f aca="false">IF(OR(AA139="",NOT(ISNUMBER(AA139))),"",AA139-N(E139))</f>
        <v/>
      </c>
      <c r="AX139" s="15" t="str">
        <f aca="false">IF(OR(AB139="",NOT(ISNUMBER(AB139))),"",AB139-N(F139))</f>
        <v/>
      </c>
      <c r="AY139" s="15" t="str">
        <f aca="false">IF(OR(AC139="",NOT(ISNUMBER(AC139))),"",AC139-N(G139))</f>
        <v/>
      </c>
      <c r="AZ139" s="15" t="str">
        <f aca="false">IF(OR(AD139="",NOT(ISNUMBER(AD139))),"",AD139-N(H139))</f>
        <v/>
      </c>
      <c r="BA139" s="15" t="str">
        <f aca="false">IF(OR(AE139="",NOT(ISNUMBER(AE139))),"",AE139-N(I139))</f>
        <v/>
      </c>
      <c r="BB139" s="15" t="str">
        <f aca="false">IF(OR(AF139="",NOT(ISNUMBER(AF139))),"",AF139-N(J139))</f>
        <v/>
      </c>
      <c r="BC139" s="15" t="str">
        <f aca="false">IF(OR(AG139="",NOT(ISNUMBER(AG139))),"",AG139-N(K139))</f>
        <v/>
      </c>
      <c r="BD139" s="15" t="str">
        <f aca="false">IF(OR(AH139="",NOT(ISNUMBER(AH139))),"",AH139-N(L139))</f>
        <v/>
      </c>
      <c r="BE139" s="15" t="str">
        <f aca="false">IF(OR(AI139="",NOT(ISNUMBER(AI139))),"",AI139-N(M139))</f>
        <v/>
      </c>
      <c r="BF139" s="15" t="str">
        <f aca="false">IF(OR(AJ139="",NOT(ISNUMBER(AJ139))),"",AJ139-N(N139))</f>
        <v/>
      </c>
      <c r="BG139" s="15" t="str">
        <f aca="false">IF(OR(AK139="",NOT(ISNUMBER(AK139))),"",AK139-N(O139))</f>
        <v/>
      </c>
      <c r="BH139" s="15" t="str">
        <f aca="false">IF(OR(AL139="",NOT(ISNUMBER(AL139))),"",AL139-N(P139))</f>
        <v/>
      </c>
      <c r="BI139" s="15" t="str">
        <f aca="false">IF(OR(AM139="",NOT(ISNUMBER(AM139))),"",AM139-N(Q139))</f>
        <v/>
      </c>
      <c r="BJ139" s="15" t="str">
        <f aca="false">IF(OR(AN139="",NOT(ISNUMBER(AN139))),"",AN139-N(R139))</f>
        <v/>
      </c>
      <c r="BK139" s="15" t="str">
        <f aca="false">IF(OR(AO139="",NOT(ISNUMBER(AO139))),"",AO139-N(S139))</f>
        <v/>
      </c>
      <c r="BL139" s="15" t="str">
        <f aca="false">IF(OR(AP139="",NOT(ISNUMBER(AP139))),"",AP139-N(T139))</f>
        <v/>
      </c>
      <c r="BM139" s="15" t="str">
        <f aca="false">IF(OR(AQ139="",NOT(ISNUMBER(AQ139))),"",AQ139-N(U139))</f>
        <v/>
      </c>
      <c r="BR139" s="18" t="str">
        <f aca="false">IF($A139="","",IF(ISNUMBER($A139),DATE(YEAR($A139),MONTH($A139),1),IFERROR(DATE(2000+VALUE(RIGHT(TRIM($A139),2)),MATCH(UPPER(LEFT(TRIM($A139),3)),{"JAN","FEB","MAR","APR","MAY","JUN","JUL","AUG","SEP","OCT","NOV","DEC"},0),1),"")))</f>
        <v/>
      </c>
      <c r="BS139" s="18" t="str">
        <f aca="false">IF(BR139="","",EOMONTH(BR139,0))</f>
        <v/>
      </c>
    </row>
    <row r="140" customFormat="false" ht="15" hidden="false" customHeight="false" outlineLevel="0" collapsed="false">
      <c r="B140" s="19"/>
      <c r="C140" s="19"/>
      <c r="D140" s="19"/>
      <c r="E140" s="19"/>
      <c r="F140" s="19"/>
      <c r="G140" s="19"/>
      <c r="H140" s="19"/>
      <c r="I140" s="19"/>
      <c r="J140" s="19"/>
      <c r="K140" s="19"/>
      <c r="L140" s="19"/>
      <c r="M140" s="19"/>
      <c r="N140" s="19"/>
      <c r="O140" s="19"/>
      <c r="P140" s="19"/>
      <c r="Q140" s="19"/>
      <c r="R140" s="19"/>
      <c r="S140" s="19"/>
      <c r="T140" s="19"/>
      <c r="U140" s="19"/>
      <c r="X140" s="15" t="str">
        <f aca="false">IF(OR(B$7="",$BR140=""),"",IF('Tally Helper'!$B$3&lt;&gt;TRUE(),"not on Staff",SUMIFS('Tally Helper'!$L$5:$GI$5,'Tally Helper'!$L$3:$GI$3,"&gt;="&amp;$BR140,'Tally Helper'!$L$3:$GI$3,"&lt;="&amp;$BS140)))</f>
        <v/>
      </c>
      <c r="Y140" s="15" t="str">
        <f aca="false">IF(OR(C$7="",$BR140=""),"",IF('Tally Helper'!$B$6&lt;&gt;TRUE(),"not on Staff",SUMIFS('Tally Helper'!$L$8:$GI$8,'Tally Helper'!$L$6:$GI$6,"&gt;="&amp;$BR140,'Tally Helper'!$L$6:$GI$6,"&lt;="&amp;$BS140)))</f>
        <v/>
      </c>
      <c r="Z140" s="15" t="str">
        <f aca="false">IF(OR(D$7="",$BR140=""),"",IF('Tally Helper'!$B$9&lt;&gt;TRUE(),"not on Staff",SUMIFS('Tally Helper'!$L$11:$GI$11,'Tally Helper'!$L$9:$GI$9,"&gt;="&amp;$BR140,'Tally Helper'!$L$9:$GI$9,"&lt;="&amp;$BS140)))</f>
        <v/>
      </c>
      <c r="AA140" s="15" t="str">
        <f aca="false">IF(OR(E$7="",$BR140=""),"",IF('Tally Helper'!$B$12&lt;&gt;TRUE(),"not on Staff",SUMIFS('Tally Helper'!$L$14:$GI$14,'Tally Helper'!$L$12:$GI$12,"&gt;="&amp;$BR140,'Tally Helper'!$L$12:$GI$12,"&lt;="&amp;$BS140)))</f>
        <v/>
      </c>
      <c r="AB140" s="15" t="str">
        <f aca="false">IF(OR(F$7="",$BR140=""),"",IF('Tally Helper'!$B$15&lt;&gt;TRUE(),"not on Staff",SUMIFS('Tally Helper'!$L$17:$GI$17,'Tally Helper'!$L$15:$GI$15,"&gt;="&amp;$BR140,'Tally Helper'!$L$15:$GI$15,"&lt;="&amp;$BS140)))</f>
        <v/>
      </c>
      <c r="AC140" s="15" t="str">
        <f aca="false">IF(OR(G$7="",$BR140=""),"",IF('Tally Helper'!$B$18&lt;&gt;TRUE(),"not on Staff",SUMIFS('Tally Helper'!$L$20:$GI$20,'Tally Helper'!$L$18:$GI$18,"&gt;="&amp;$BR140,'Tally Helper'!$L$18:$GI$18,"&lt;="&amp;$BS140)))</f>
        <v/>
      </c>
      <c r="AD140" s="15" t="str">
        <f aca="false">IF(OR(H$7="",$BR140=""),"",IF('Tally Helper'!$B$21&lt;&gt;TRUE(),"not on Staff",SUMIFS('Tally Helper'!$L$23:$GI$23,'Tally Helper'!$L$21:$GI$21,"&gt;="&amp;$BR140,'Tally Helper'!$L$21:$GI$21,"&lt;="&amp;$BS140)))</f>
        <v/>
      </c>
      <c r="AE140" s="15" t="str">
        <f aca="false">IF(OR(I$7="",$BR140=""),"",IF('Tally Helper'!$B$24&lt;&gt;TRUE(),"not on Staff",SUMIFS('Tally Helper'!$L$26:$GI$26,'Tally Helper'!$L$24:$GI$24,"&gt;="&amp;$BR140,'Tally Helper'!$L$24:$GI$24,"&lt;="&amp;$BS140)))</f>
        <v/>
      </c>
      <c r="AF140" s="15" t="str">
        <f aca="false">IF(OR(J$7="",$BR140=""),"",IF('Tally Helper'!$B$27&lt;&gt;TRUE(),"not on Staff",SUMIFS('Tally Helper'!$L$29:$GI$29,'Tally Helper'!$L$27:$GI$27,"&gt;="&amp;$BR140,'Tally Helper'!$L$27:$GI$27,"&lt;="&amp;$BS140)))</f>
        <v/>
      </c>
      <c r="AG140" s="15" t="str">
        <f aca="false">IF(OR(K$7="",$BR140=""),"",IF('Tally Helper'!$B$30&lt;&gt;TRUE(),"not on Staff",SUMIFS('Tally Helper'!$L$32:$GI$32,'Tally Helper'!$L$30:$GI$30,"&gt;="&amp;$BR140,'Tally Helper'!$L$30:$GI$30,"&lt;="&amp;$BS140)))</f>
        <v/>
      </c>
      <c r="AH140" s="15" t="str">
        <f aca="false">IF(OR(L$7="",$BR140=""),"",IF('Tally Helper'!$B$33&lt;&gt;TRUE(),"not on Staff",SUMIFS('Tally Helper'!$L$35:$GI$35,'Tally Helper'!$L$33:$GI$33,"&gt;="&amp;$BR140,'Tally Helper'!$L$33:$GI$33,"&lt;="&amp;$BS140)))</f>
        <v/>
      </c>
      <c r="AI140" s="15" t="str">
        <f aca="false">IF(OR(M$7="",$BR140=""),"",IF('Tally Helper'!$B$36&lt;&gt;TRUE(),"not on Staff",SUMIFS('Tally Helper'!$L$38:$GI$38,'Tally Helper'!$L$36:$GI$36,"&gt;="&amp;$BR140,'Tally Helper'!$L$36:$GI$36,"&lt;="&amp;$BS140)))</f>
        <v/>
      </c>
      <c r="AJ140" s="15" t="str">
        <f aca="false">IF(OR(N$7="",$BR140=""),"",IF('Tally Helper'!$B$39&lt;&gt;TRUE(),"not on Staff",SUMIFS('Tally Helper'!$L$41:$GI$41,'Tally Helper'!$L$39:$GI$39,"&gt;="&amp;$BR140,'Tally Helper'!$L$39:$GI$39,"&lt;="&amp;$BS140)))</f>
        <v/>
      </c>
      <c r="AK140" s="15" t="str">
        <f aca="false">IF(OR(O$7="",$BR140=""),"",IF('Tally Helper'!$B$42&lt;&gt;TRUE(),"not on Staff",SUMIFS('Tally Helper'!$L$44:$GI$44,'Tally Helper'!$L$42:$GI$42,"&gt;="&amp;$BR140,'Tally Helper'!$L$42:$GI$42,"&lt;="&amp;$BS140)))</f>
        <v/>
      </c>
      <c r="AL140" s="15" t="str">
        <f aca="false">IF(OR(P$7="",$BR140=""),"",IF('Tally Helper'!$B$45&lt;&gt;TRUE(),"not on Staff",SUMIFS('Tally Helper'!$L$47:$GI$47,'Tally Helper'!$L$45:$GI$45,"&gt;="&amp;$BR140,'Tally Helper'!$L$45:$GI$45,"&lt;="&amp;$BS140)))</f>
        <v/>
      </c>
      <c r="AM140" s="15" t="str">
        <f aca="false">IF(OR(Q$7="",$BR140=""),"",IF('Tally Helper'!$B$48&lt;&gt;TRUE(),"not on Staff",SUMIFS('Tally Helper'!$L$50:$GI$50,'Tally Helper'!$L$48:$GI$48,"&gt;="&amp;$BR140,'Tally Helper'!$L$48:$GI$48,"&lt;="&amp;$BS140)))</f>
        <v/>
      </c>
      <c r="AN140" s="15" t="str">
        <f aca="false">IF(OR(R$7="",$BR140=""),"",IF('Tally Helper'!$B$51&lt;&gt;TRUE(),"not on Staff",SUMIFS('Tally Helper'!$L$53:$GI$53,'Tally Helper'!$L$51:$GI$51,"&gt;="&amp;$BR140,'Tally Helper'!$L$51:$GI$51,"&lt;="&amp;$BS140)))</f>
        <v/>
      </c>
      <c r="AO140" s="15" t="str">
        <f aca="false">IF(OR(S$7="",$BR140=""),"",IF('Tally Helper'!$B$54&lt;&gt;TRUE(),"not on Staff",SUMIFS('Tally Helper'!$L$56:$GI$56,'Tally Helper'!$L$54:$GI$54,"&gt;="&amp;$BR140,'Tally Helper'!$L$54:$GI$54,"&lt;="&amp;$BS140)))</f>
        <v/>
      </c>
      <c r="AP140" s="15" t="str">
        <f aca="false">IF(OR(T$7="",$BR140=""),"",IF('Tally Helper'!$B$57&lt;&gt;TRUE(),"not on Staff",SUMIFS('Tally Helper'!$L$59:$GI$59,'Tally Helper'!$L$57:$GI$57,"&gt;="&amp;$BR140,'Tally Helper'!$L$57:$GI$57,"&lt;="&amp;$BS140)))</f>
        <v/>
      </c>
      <c r="AQ140" s="15" t="str">
        <f aca="false">IF(OR(U$7="",$BR140=""),"",IF('Tally Helper'!$B$60&lt;&gt;TRUE(),"not on Staff",SUMIFS('Tally Helper'!$L$62:$GI$62,'Tally Helper'!$L$60:$GI$60,"&gt;="&amp;$BR140,'Tally Helper'!$L$60:$GI$60,"&lt;="&amp;$BS140)))</f>
        <v/>
      </c>
      <c r="AT140" s="15" t="str">
        <f aca="false">IF(OR(X140="",NOT(ISNUMBER(X140))),"",X140-N(B140))</f>
        <v/>
      </c>
      <c r="AU140" s="15" t="str">
        <f aca="false">IF(OR(Y140="",NOT(ISNUMBER(Y140))),"",Y140-N(C140))</f>
        <v/>
      </c>
      <c r="AV140" s="15" t="str">
        <f aca="false">IF(OR(Z140="",NOT(ISNUMBER(Z140))),"",Z140-N(D140))</f>
        <v/>
      </c>
      <c r="AW140" s="15" t="str">
        <f aca="false">IF(OR(AA140="",NOT(ISNUMBER(AA140))),"",AA140-N(E140))</f>
        <v/>
      </c>
      <c r="AX140" s="15" t="str">
        <f aca="false">IF(OR(AB140="",NOT(ISNUMBER(AB140))),"",AB140-N(F140))</f>
        <v/>
      </c>
      <c r="AY140" s="15" t="str">
        <f aca="false">IF(OR(AC140="",NOT(ISNUMBER(AC140))),"",AC140-N(G140))</f>
        <v/>
      </c>
      <c r="AZ140" s="15" t="str">
        <f aca="false">IF(OR(AD140="",NOT(ISNUMBER(AD140))),"",AD140-N(H140))</f>
        <v/>
      </c>
      <c r="BA140" s="15" t="str">
        <f aca="false">IF(OR(AE140="",NOT(ISNUMBER(AE140))),"",AE140-N(I140))</f>
        <v/>
      </c>
      <c r="BB140" s="15" t="str">
        <f aca="false">IF(OR(AF140="",NOT(ISNUMBER(AF140))),"",AF140-N(J140))</f>
        <v/>
      </c>
      <c r="BC140" s="15" t="str">
        <f aca="false">IF(OR(AG140="",NOT(ISNUMBER(AG140))),"",AG140-N(K140))</f>
        <v/>
      </c>
      <c r="BD140" s="15" t="str">
        <f aca="false">IF(OR(AH140="",NOT(ISNUMBER(AH140))),"",AH140-N(L140))</f>
        <v/>
      </c>
      <c r="BE140" s="15" t="str">
        <f aca="false">IF(OR(AI140="",NOT(ISNUMBER(AI140))),"",AI140-N(M140))</f>
        <v/>
      </c>
      <c r="BF140" s="15" t="str">
        <f aca="false">IF(OR(AJ140="",NOT(ISNUMBER(AJ140))),"",AJ140-N(N140))</f>
        <v/>
      </c>
      <c r="BG140" s="15" t="str">
        <f aca="false">IF(OR(AK140="",NOT(ISNUMBER(AK140))),"",AK140-N(O140))</f>
        <v/>
      </c>
      <c r="BH140" s="15" t="str">
        <f aca="false">IF(OR(AL140="",NOT(ISNUMBER(AL140))),"",AL140-N(P140))</f>
        <v/>
      </c>
      <c r="BI140" s="15" t="str">
        <f aca="false">IF(OR(AM140="",NOT(ISNUMBER(AM140))),"",AM140-N(Q140))</f>
        <v/>
      </c>
      <c r="BJ140" s="15" t="str">
        <f aca="false">IF(OR(AN140="",NOT(ISNUMBER(AN140))),"",AN140-N(R140))</f>
        <v/>
      </c>
      <c r="BK140" s="15" t="str">
        <f aca="false">IF(OR(AO140="",NOT(ISNUMBER(AO140))),"",AO140-N(S140))</f>
        <v/>
      </c>
      <c r="BL140" s="15" t="str">
        <f aca="false">IF(OR(AP140="",NOT(ISNUMBER(AP140))),"",AP140-N(T140))</f>
        <v/>
      </c>
      <c r="BM140" s="15" t="str">
        <f aca="false">IF(OR(AQ140="",NOT(ISNUMBER(AQ140))),"",AQ140-N(U140))</f>
        <v/>
      </c>
      <c r="BR140" s="18" t="str">
        <f aca="false">IF($A140="","",IF(ISNUMBER($A140),DATE(YEAR($A140),MONTH($A140),1),IFERROR(DATE(2000+VALUE(RIGHT(TRIM($A140),2)),MATCH(UPPER(LEFT(TRIM($A140),3)),{"JAN","FEB","MAR","APR","MAY","JUN","JUL","AUG","SEP","OCT","NOV","DEC"},0),1),"")))</f>
        <v/>
      </c>
      <c r="BS140" s="18" t="str">
        <f aca="false">IF(BR140="","",EOMONTH(BR140,0))</f>
        <v/>
      </c>
    </row>
    <row r="141" customFormat="false" ht="15" hidden="false" customHeight="false" outlineLevel="0" collapsed="false">
      <c r="B141" s="19"/>
      <c r="C141" s="19"/>
      <c r="D141" s="19"/>
      <c r="E141" s="19"/>
      <c r="F141" s="19"/>
      <c r="G141" s="19"/>
      <c r="H141" s="19"/>
      <c r="I141" s="19"/>
      <c r="J141" s="19"/>
      <c r="K141" s="19"/>
      <c r="L141" s="19"/>
      <c r="M141" s="19"/>
      <c r="N141" s="19"/>
      <c r="O141" s="19"/>
      <c r="P141" s="19"/>
      <c r="Q141" s="19"/>
      <c r="R141" s="19"/>
      <c r="S141" s="19"/>
      <c r="T141" s="19"/>
      <c r="U141" s="19"/>
      <c r="X141" s="15" t="str">
        <f aca="false">IF(OR(B$7="",$BR141=""),"",IF('Tally Helper'!$B$3&lt;&gt;TRUE(),"not on Staff",SUMIFS('Tally Helper'!$L$5:$GI$5,'Tally Helper'!$L$3:$GI$3,"&gt;="&amp;$BR141,'Tally Helper'!$L$3:$GI$3,"&lt;="&amp;$BS141)))</f>
        <v/>
      </c>
      <c r="Y141" s="15" t="str">
        <f aca="false">IF(OR(C$7="",$BR141=""),"",IF('Tally Helper'!$B$6&lt;&gt;TRUE(),"not on Staff",SUMIFS('Tally Helper'!$L$8:$GI$8,'Tally Helper'!$L$6:$GI$6,"&gt;="&amp;$BR141,'Tally Helper'!$L$6:$GI$6,"&lt;="&amp;$BS141)))</f>
        <v/>
      </c>
      <c r="Z141" s="15" t="str">
        <f aca="false">IF(OR(D$7="",$BR141=""),"",IF('Tally Helper'!$B$9&lt;&gt;TRUE(),"not on Staff",SUMIFS('Tally Helper'!$L$11:$GI$11,'Tally Helper'!$L$9:$GI$9,"&gt;="&amp;$BR141,'Tally Helper'!$L$9:$GI$9,"&lt;="&amp;$BS141)))</f>
        <v/>
      </c>
      <c r="AA141" s="15" t="str">
        <f aca="false">IF(OR(E$7="",$BR141=""),"",IF('Tally Helper'!$B$12&lt;&gt;TRUE(),"not on Staff",SUMIFS('Tally Helper'!$L$14:$GI$14,'Tally Helper'!$L$12:$GI$12,"&gt;="&amp;$BR141,'Tally Helper'!$L$12:$GI$12,"&lt;="&amp;$BS141)))</f>
        <v/>
      </c>
      <c r="AB141" s="15" t="str">
        <f aca="false">IF(OR(F$7="",$BR141=""),"",IF('Tally Helper'!$B$15&lt;&gt;TRUE(),"not on Staff",SUMIFS('Tally Helper'!$L$17:$GI$17,'Tally Helper'!$L$15:$GI$15,"&gt;="&amp;$BR141,'Tally Helper'!$L$15:$GI$15,"&lt;="&amp;$BS141)))</f>
        <v/>
      </c>
      <c r="AC141" s="15" t="str">
        <f aca="false">IF(OR(G$7="",$BR141=""),"",IF('Tally Helper'!$B$18&lt;&gt;TRUE(),"not on Staff",SUMIFS('Tally Helper'!$L$20:$GI$20,'Tally Helper'!$L$18:$GI$18,"&gt;="&amp;$BR141,'Tally Helper'!$L$18:$GI$18,"&lt;="&amp;$BS141)))</f>
        <v/>
      </c>
      <c r="AD141" s="15" t="str">
        <f aca="false">IF(OR(H$7="",$BR141=""),"",IF('Tally Helper'!$B$21&lt;&gt;TRUE(),"not on Staff",SUMIFS('Tally Helper'!$L$23:$GI$23,'Tally Helper'!$L$21:$GI$21,"&gt;="&amp;$BR141,'Tally Helper'!$L$21:$GI$21,"&lt;="&amp;$BS141)))</f>
        <v/>
      </c>
      <c r="AE141" s="15" t="str">
        <f aca="false">IF(OR(I$7="",$BR141=""),"",IF('Tally Helper'!$B$24&lt;&gt;TRUE(),"not on Staff",SUMIFS('Tally Helper'!$L$26:$GI$26,'Tally Helper'!$L$24:$GI$24,"&gt;="&amp;$BR141,'Tally Helper'!$L$24:$GI$24,"&lt;="&amp;$BS141)))</f>
        <v/>
      </c>
      <c r="AF141" s="15" t="str">
        <f aca="false">IF(OR(J$7="",$BR141=""),"",IF('Tally Helper'!$B$27&lt;&gt;TRUE(),"not on Staff",SUMIFS('Tally Helper'!$L$29:$GI$29,'Tally Helper'!$L$27:$GI$27,"&gt;="&amp;$BR141,'Tally Helper'!$L$27:$GI$27,"&lt;="&amp;$BS141)))</f>
        <v/>
      </c>
      <c r="AG141" s="15" t="str">
        <f aca="false">IF(OR(K$7="",$BR141=""),"",IF('Tally Helper'!$B$30&lt;&gt;TRUE(),"not on Staff",SUMIFS('Tally Helper'!$L$32:$GI$32,'Tally Helper'!$L$30:$GI$30,"&gt;="&amp;$BR141,'Tally Helper'!$L$30:$GI$30,"&lt;="&amp;$BS141)))</f>
        <v/>
      </c>
      <c r="AH141" s="15" t="str">
        <f aca="false">IF(OR(L$7="",$BR141=""),"",IF('Tally Helper'!$B$33&lt;&gt;TRUE(),"not on Staff",SUMIFS('Tally Helper'!$L$35:$GI$35,'Tally Helper'!$L$33:$GI$33,"&gt;="&amp;$BR141,'Tally Helper'!$L$33:$GI$33,"&lt;="&amp;$BS141)))</f>
        <v/>
      </c>
      <c r="AI141" s="15" t="str">
        <f aca="false">IF(OR(M$7="",$BR141=""),"",IF('Tally Helper'!$B$36&lt;&gt;TRUE(),"not on Staff",SUMIFS('Tally Helper'!$L$38:$GI$38,'Tally Helper'!$L$36:$GI$36,"&gt;="&amp;$BR141,'Tally Helper'!$L$36:$GI$36,"&lt;="&amp;$BS141)))</f>
        <v/>
      </c>
      <c r="AJ141" s="15" t="str">
        <f aca="false">IF(OR(N$7="",$BR141=""),"",IF('Tally Helper'!$B$39&lt;&gt;TRUE(),"not on Staff",SUMIFS('Tally Helper'!$L$41:$GI$41,'Tally Helper'!$L$39:$GI$39,"&gt;="&amp;$BR141,'Tally Helper'!$L$39:$GI$39,"&lt;="&amp;$BS141)))</f>
        <v/>
      </c>
      <c r="AK141" s="15" t="str">
        <f aca="false">IF(OR(O$7="",$BR141=""),"",IF('Tally Helper'!$B$42&lt;&gt;TRUE(),"not on Staff",SUMIFS('Tally Helper'!$L$44:$GI$44,'Tally Helper'!$L$42:$GI$42,"&gt;="&amp;$BR141,'Tally Helper'!$L$42:$GI$42,"&lt;="&amp;$BS141)))</f>
        <v/>
      </c>
      <c r="AL141" s="15" t="str">
        <f aca="false">IF(OR(P$7="",$BR141=""),"",IF('Tally Helper'!$B$45&lt;&gt;TRUE(),"not on Staff",SUMIFS('Tally Helper'!$L$47:$GI$47,'Tally Helper'!$L$45:$GI$45,"&gt;="&amp;$BR141,'Tally Helper'!$L$45:$GI$45,"&lt;="&amp;$BS141)))</f>
        <v/>
      </c>
      <c r="AM141" s="15" t="str">
        <f aca="false">IF(OR(Q$7="",$BR141=""),"",IF('Tally Helper'!$B$48&lt;&gt;TRUE(),"not on Staff",SUMIFS('Tally Helper'!$L$50:$GI$50,'Tally Helper'!$L$48:$GI$48,"&gt;="&amp;$BR141,'Tally Helper'!$L$48:$GI$48,"&lt;="&amp;$BS141)))</f>
        <v/>
      </c>
      <c r="AN141" s="15" t="str">
        <f aca="false">IF(OR(R$7="",$BR141=""),"",IF('Tally Helper'!$B$51&lt;&gt;TRUE(),"not on Staff",SUMIFS('Tally Helper'!$L$53:$GI$53,'Tally Helper'!$L$51:$GI$51,"&gt;="&amp;$BR141,'Tally Helper'!$L$51:$GI$51,"&lt;="&amp;$BS141)))</f>
        <v/>
      </c>
      <c r="AO141" s="15" t="str">
        <f aca="false">IF(OR(S$7="",$BR141=""),"",IF('Tally Helper'!$B$54&lt;&gt;TRUE(),"not on Staff",SUMIFS('Tally Helper'!$L$56:$GI$56,'Tally Helper'!$L$54:$GI$54,"&gt;="&amp;$BR141,'Tally Helper'!$L$54:$GI$54,"&lt;="&amp;$BS141)))</f>
        <v/>
      </c>
      <c r="AP141" s="15" t="str">
        <f aca="false">IF(OR(T$7="",$BR141=""),"",IF('Tally Helper'!$B$57&lt;&gt;TRUE(),"not on Staff",SUMIFS('Tally Helper'!$L$59:$GI$59,'Tally Helper'!$L$57:$GI$57,"&gt;="&amp;$BR141,'Tally Helper'!$L$57:$GI$57,"&lt;="&amp;$BS141)))</f>
        <v/>
      </c>
      <c r="AQ141" s="15" t="str">
        <f aca="false">IF(OR(U$7="",$BR141=""),"",IF('Tally Helper'!$B$60&lt;&gt;TRUE(),"not on Staff",SUMIFS('Tally Helper'!$L$62:$GI$62,'Tally Helper'!$L$60:$GI$60,"&gt;="&amp;$BR141,'Tally Helper'!$L$60:$GI$60,"&lt;="&amp;$BS141)))</f>
        <v/>
      </c>
      <c r="AT141" s="15" t="str">
        <f aca="false">IF(OR(X141="",NOT(ISNUMBER(X141))),"",X141-N(B141))</f>
        <v/>
      </c>
      <c r="AU141" s="15" t="str">
        <f aca="false">IF(OR(Y141="",NOT(ISNUMBER(Y141))),"",Y141-N(C141))</f>
        <v/>
      </c>
      <c r="AV141" s="15" t="str">
        <f aca="false">IF(OR(Z141="",NOT(ISNUMBER(Z141))),"",Z141-N(D141))</f>
        <v/>
      </c>
      <c r="AW141" s="15" t="str">
        <f aca="false">IF(OR(AA141="",NOT(ISNUMBER(AA141))),"",AA141-N(E141))</f>
        <v/>
      </c>
      <c r="AX141" s="15" t="str">
        <f aca="false">IF(OR(AB141="",NOT(ISNUMBER(AB141))),"",AB141-N(F141))</f>
        <v/>
      </c>
      <c r="AY141" s="15" t="str">
        <f aca="false">IF(OR(AC141="",NOT(ISNUMBER(AC141))),"",AC141-N(G141))</f>
        <v/>
      </c>
      <c r="AZ141" s="15" t="str">
        <f aca="false">IF(OR(AD141="",NOT(ISNUMBER(AD141))),"",AD141-N(H141))</f>
        <v/>
      </c>
      <c r="BA141" s="15" t="str">
        <f aca="false">IF(OR(AE141="",NOT(ISNUMBER(AE141))),"",AE141-N(I141))</f>
        <v/>
      </c>
      <c r="BB141" s="15" t="str">
        <f aca="false">IF(OR(AF141="",NOT(ISNUMBER(AF141))),"",AF141-N(J141))</f>
        <v/>
      </c>
      <c r="BC141" s="15" t="str">
        <f aca="false">IF(OR(AG141="",NOT(ISNUMBER(AG141))),"",AG141-N(K141))</f>
        <v/>
      </c>
      <c r="BD141" s="15" t="str">
        <f aca="false">IF(OR(AH141="",NOT(ISNUMBER(AH141))),"",AH141-N(L141))</f>
        <v/>
      </c>
      <c r="BE141" s="15" t="str">
        <f aca="false">IF(OR(AI141="",NOT(ISNUMBER(AI141))),"",AI141-N(M141))</f>
        <v/>
      </c>
      <c r="BF141" s="15" t="str">
        <f aca="false">IF(OR(AJ141="",NOT(ISNUMBER(AJ141))),"",AJ141-N(N141))</f>
        <v/>
      </c>
      <c r="BG141" s="15" t="str">
        <f aca="false">IF(OR(AK141="",NOT(ISNUMBER(AK141))),"",AK141-N(O141))</f>
        <v/>
      </c>
      <c r="BH141" s="15" t="str">
        <f aca="false">IF(OR(AL141="",NOT(ISNUMBER(AL141))),"",AL141-N(P141))</f>
        <v/>
      </c>
      <c r="BI141" s="15" t="str">
        <f aca="false">IF(OR(AM141="",NOT(ISNUMBER(AM141))),"",AM141-N(Q141))</f>
        <v/>
      </c>
      <c r="BJ141" s="15" t="str">
        <f aca="false">IF(OR(AN141="",NOT(ISNUMBER(AN141))),"",AN141-N(R141))</f>
        <v/>
      </c>
      <c r="BK141" s="15" t="str">
        <f aca="false">IF(OR(AO141="",NOT(ISNUMBER(AO141))),"",AO141-N(S141))</f>
        <v/>
      </c>
      <c r="BL141" s="15" t="str">
        <f aca="false">IF(OR(AP141="",NOT(ISNUMBER(AP141))),"",AP141-N(T141))</f>
        <v/>
      </c>
      <c r="BM141" s="15" t="str">
        <f aca="false">IF(OR(AQ141="",NOT(ISNUMBER(AQ141))),"",AQ141-N(U141))</f>
        <v/>
      </c>
      <c r="BR141" s="18" t="str">
        <f aca="false">IF($A141="","",IF(ISNUMBER($A141),DATE(YEAR($A141),MONTH($A141),1),IFERROR(DATE(2000+VALUE(RIGHT(TRIM($A141),2)),MATCH(UPPER(LEFT(TRIM($A141),3)),{"JAN","FEB","MAR","APR","MAY","JUN","JUL","AUG","SEP","OCT","NOV","DEC"},0),1),"")))</f>
        <v/>
      </c>
      <c r="BS141" s="18" t="str">
        <f aca="false">IF(BR141="","",EOMONTH(BR141,0))</f>
        <v/>
      </c>
    </row>
    <row r="142" customFormat="false" ht="15" hidden="false" customHeight="false" outlineLevel="0" collapsed="false">
      <c r="B142" s="19"/>
      <c r="C142" s="19"/>
      <c r="D142" s="19"/>
      <c r="E142" s="19"/>
      <c r="F142" s="19"/>
      <c r="G142" s="19"/>
      <c r="H142" s="19"/>
      <c r="I142" s="19"/>
      <c r="J142" s="19"/>
      <c r="K142" s="19"/>
      <c r="L142" s="19"/>
      <c r="M142" s="19"/>
      <c r="N142" s="19"/>
      <c r="O142" s="19"/>
      <c r="P142" s="19"/>
      <c r="Q142" s="19"/>
      <c r="R142" s="19"/>
      <c r="S142" s="19"/>
      <c r="T142" s="19"/>
      <c r="U142" s="19"/>
      <c r="X142" s="15" t="str">
        <f aca="false">IF(OR(B$7="",$BR142=""),"",IF('Tally Helper'!$B$3&lt;&gt;TRUE(),"not on Staff",SUMIFS('Tally Helper'!$L$5:$GI$5,'Tally Helper'!$L$3:$GI$3,"&gt;="&amp;$BR142,'Tally Helper'!$L$3:$GI$3,"&lt;="&amp;$BS142)))</f>
        <v/>
      </c>
      <c r="Y142" s="15" t="str">
        <f aca="false">IF(OR(C$7="",$BR142=""),"",IF('Tally Helper'!$B$6&lt;&gt;TRUE(),"not on Staff",SUMIFS('Tally Helper'!$L$8:$GI$8,'Tally Helper'!$L$6:$GI$6,"&gt;="&amp;$BR142,'Tally Helper'!$L$6:$GI$6,"&lt;="&amp;$BS142)))</f>
        <v/>
      </c>
      <c r="Z142" s="15" t="str">
        <f aca="false">IF(OR(D$7="",$BR142=""),"",IF('Tally Helper'!$B$9&lt;&gt;TRUE(),"not on Staff",SUMIFS('Tally Helper'!$L$11:$GI$11,'Tally Helper'!$L$9:$GI$9,"&gt;="&amp;$BR142,'Tally Helper'!$L$9:$GI$9,"&lt;="&amp;$BS142)))</f>
        <v/>
      </c>
      <c r="AA142" s="15" t="str">
        <f aca="false">IF(OR(E$7="",$BR142=""),"",IF('Tally Helper'!$B$12&lt;&gt;TRUE(),"not on Staff",SUMIFS('Tally Helper'!$L$14:$GI$14,'Tally Helper'!$L$12:$GI$12,"&gt;="&amp;$BR142,'Tally Helper'!$L$12:$GI$12,"&lt;="&amp;$BS142)))</f>
        <v/>
      </c>
      <c r="AB142" s="15" t="str">
        <f aca="false">IF(OR(F$7="",$BR142=""),"",IF('Tally Helper'!$B$15&lt;&gt;TRUE(),"not on Staff",SUMIFS('Tally Helper'!$L$17:$GI$17,'Tally Helper'!$L$15:$GI$15,"&gt;="&amp;$BR142,'Tally Helper'!$L$15:$GI$15,"&lt;="&amp;$BS142)))</f>
        <v/>
      </c>
      <c r="AC142" s="15" t="str">
        <f aca="false">IF(OR(G$7="",$BR142=""),"",IF('Tally Helper'!$B$18&lt;&gt;TRUE(),"not on Staff",SUMIFS('Tally Helper'!$L$20:$GI$20,'Tally Helper'!$L$18:$GI$18,"&gt;="&amp;$BR142,'Tally Helper'!$L$18:$GI$18,"&lt;="&amp;$BS142)))</f>
        <v/>
      </c>
      <c r="AD142" s="15" t="str">
        <f aca="false">IF(OR(H$7="",$BR142=""),"",IF('Tally Helper'!$B$21&lt;&gt;TRUE(),"not on Staff",SUMIFS('Tally Helper'!$L$23:$GI$23,'Tally Helper'!$L$21:$GI$21,"&gt;="&amp;$BR142,'Tally Helper'!$L$21:$GI$21,"&lt;="&amp;$BS142)))</f>
        <v/>
      </c>
      <c r="AE142" s="15" t="str">
        <f aca="false">IF(OR(I$7="",$BR142=""),"",IF('Tally Helper'!$B$24&lt;&gt;TRUE(),"not on Staff",SUMIFS('Tally Helper'!$L$26:$GI$26,'Tally Helper'!$L$24:$GI$24,"&gt;="&amp;$BR142,'Tally Helper'!$L$24:$GI$24,"&lt;="&amp;$BS142)))</f>
        <v/>
      </c>
      <c r="AF142" s="15" t="str">
        <f aca="false">IF(OR(J$7="",$BR142=""),"",IF('Tally Helper'!$B$27&lt;&gt;TRUE(),"not on Staff",SUMIFS('Tally Helper'!$L$29:$GI$29,'Tally Helper'!$L$27:$GI$27,"&gt;="&amp;$BR142,'Tally Helper'!$L$27:$GI$27,"&lt;="&amp;$BS142)))</f>
        <v/>
      </c>
      <c r="AG142" s="15" t="str">
        <f aca="false">IF(OR(K$7="",$BR142=""),"",IF('Tally Helper'!$B$30&lt;&gt;TRUE(),"not on Staff",SUMIFS('Tally Helper'!$L$32:$GI$32,'Tally Helper'!$L$30:$GI$30,"&gt;="&amp;$BR142,'Tally Helper'!$L$30:$GI$30,"&lt;="&amp;$BS142)))</f>
        <v/>
      </c>
      <c r="AH142" s="15" t="str">
        <f aca="false">IF(OR(L$7="",$BR142=""),"",IF('Tally Helper'!$B$33&lt;&gt;TRUE(),"not on Staff",SUMIFS('Tally Helper'!$L$35:$GI$35,'Tally Helper'!$L$33:$GI$33,"&gt;="&amp;$BR142,'Tally Helper'!$L$33:$GI$33,"&lt;="&amp;$BS142)))</f>
        <v/>
      </c>
      <c r="AI142" s="15" t="str">
        <f aca="false">IF(OR(M$7="",$BR142=""),"",IF('Tally Helper'!$B$36&lt;&gt;TRUE(),"not on Staff",SUMIFS('Tally Helper'!$L$38:$GI$38,'Tally Helper'!$L$36:$GI$36,"&gt;="&amp;$BR142,'Tally Helper'!$L$36:$GI$36,"&lt;="&amp;$BS142)))</f>
        <v/>
      </c>
      <c r="AJ142" s="15" t="str">
        <f aca="false">IF(OR(N$7="",$BR142=""),"",IF('Tally Helper'!$B$39&lt;&gt;TRUE(),"not on Staff",SUMIFS('Tally Helper'!$L$41:$GI$41,'Tally Helper'!$L$39:$GI$39,"&gt;="&amp;$BR142,'Tally Helper'!$L$39:$GI$39,"&lt;="&amp;$BS142)))</f>
        <v/>
      </c>
      <c r="AK142" s="15" t="str">
        <f aca="false">IF(OR(O$7="",$BR142=""),"",IF('Tally Helper'!$B$42&lt;&gt;TRUE(),"not on Staff",SUMIFS('Tally Helper'!$L$44:$GI$44,'Tally Helper'!$L$42:$GI$42,"&gt;="&amp;$BR142,'Tally Helper'!$L$42:$GI$42,"&lt;="&amp;$BS142)))</f>
        <v/>
      </c>
      <c r="AL142" s="15" t="str">
        <f aca="false">IF(OR(P$7="",$BR142=""),"",IF('Tally Helper'!$B$45&lt;&gt;TRUE(),"not on Staff",SUMIFS('Tally Helper'!$L$47:$GI$47,'Tally Helper'!$L$45:$GI$45,"&gt;="&amp;$BR142,'Tally Helper'!$L$45:$GI$45,"&lt;="&amp;$BS142)))</f>
        <v/>
      </c>
      <c r="AM142" s="15" t="str">
        <f aca="false">IF(OR(Q$7="",$BR142=""),"",IF('Tally Helper'!$B$48&lt;&gt;TRUE(),"not on Staff",SUMIFS('Tally Helper'!$L$50:$GI$50,'Tally Helper'!$L$48:$GI$48,"&gt;="&amp;$BR142,'Tally Helper'!$L$48:$GI$48,"&lt;="&amp;$BS142)))</f>
        <v/>
      </c>
      <c r="AN142" s="15" t="str">
        <f aca="false">IF(OR(R$7="",$BR142=""),"",IF('Tally Helper'!$B$51&lt;&gt;TRUE(),"not on Staff",SUMIFS('Tally Helper'!$L$53:$GI$53,'Tally Helper'!$L$51:$GI$51,"&gt;="&amp;$BR142,'Tally Helper'!$L$51:$GI$51,"&lt;="&amp;$BS142)))</f>
        <v/>
      </c>
      <c r="AO142" s="15" t="str">
        <f aca="false">IF(OR(S$7="",$BR142=""),"",IF('Tally Helper'!$B$54&lt;&gt;TRUE(),"not on Staff",SUMIFS('Tally Helper'!$L$56:$GI$56,'Tally Helper'!$L$54:$GI$54,"&gt;="&amp;$BR142,'Tally Helper'!$L$54:$GI$54,"&lt;="&amp;$BS142)))</f>
        <v/>
      </c>
      <c r="AP142" s="15" t="str">
        <f aca="false">IF(OR(T$7="",$BR142=""),"",IF('Tally Helper'!$B$57&lt;&gt;TRUE(),"not on Staff",SUMIFS('Tally Helper'!$L$59:$GI$59,'Tally Helper'!$L$57:$GI$57,"&gt;="&amp;$BR142,'Tally Helper'!$L$57:$GI$57,"&lt;="&amp;$BS142)))</f>
        <v/>
      </c>
      <c r="AQ142" s="15" t="str">
        <f aca="false">IF(OR(U$7="",$BR142=""),"",IF('Tally Helper'!$B$60&lt;&gt;TRUE(),"not on Staff",SUMIFS('Tally Helper'!$L$62:$GI$62,'Tally Helper'!$L$60:$GI$60,"&gt;="&amp;$BR142,'Tally Helper'!$L$60:$GI$60,"&lt;="&amp;$BS142)))</f>
        <v/>
      </c>
      <c r="AT142" s="15" t="str">
        <f aca="false">IF(OR(X142="",NOT(ISNUMBER(X142))),"",X142-N(B142))</f>
        <v/>
      </c>
      <c r="AU142" s="15" t="str">
        <f aca="false">IF(OR(Y142="",NOT(ISNUMBER(Y142))),"",Y142-N(C142))</f>
        <v/>
      </c>
      <c r="AV142" s="15" t="str">
        <f aca="false">IF(OR(Z142="",NOT(ISNUMBER(Z142))),"",Z142-N(D142))</f>
        <v/>
      </c>
      <c r="AW142" s="15" t="str">
        <f aca="false">IF(OR(AA142="",NOT(ISNUMBER(AA142))),"",AA142-N(E142))</f>
        <v/>
      </c>
      <c r="AX142" s="15" t="str">
        <f aca="false">IF(OR(AB142="",NOT(ISNUMBER(AB142))),"",AB142-N(F142))</f>
        <v/>
      </c>
      <c r="AY142" s="15" t="str">
        <f aca="false">IF(OR(AC142="",NOT(ISNUMBER(AC142))),"",AC142-N(G142))</f>
        <v/>
      </c>
      <c r="AZ142" s="15" t="str">
        <f aca="false">IF(OR(AD142="",NOT(ISNUMBER(AD142))),"",AD142-N(H142))</f>
        <v/>
      </c>
      <c r="BA142" s="15" t="str">
        <f aca="false">IF(OR(AE142="",NOT(ISNUMBER(AE142))),"",AE142-N(I142))</f>
        <v/>
      </c>
      <c r="BB142" s="15" t="str">
        <f aca="false">IF(OR(AF142="",NOT(ISNUMBER(AF142))),"",AF142-N(J142))</f>
        <v/>
      </c>
      <c r="BC142" s="15" t="str">
        <f aca="false">IF(OR(AG142="",NOT(ISNUMBER(AG142))),"",AG142-N(K142))</f>
        <v/>
      </c>
      <c r="BD142" s="15" t="str">
        <f aca="false">IF(OR(AH142="",NOT(ISNUMBER(AH142))),"",AH142-N(L142))</f>
        <v/>
      </c>
      <c r="BE142" s="15" t="str">
        <f aca="false">IF(OR(AI142="",NOT(ISNUMBER(AI142))),"",AI142-N(M142))</f>
        <v/>
      </c>
      <c r="BF142" s="15" t="str">
        <f aca="false">IF(OR(AJ142="",NOT(ISNUMBER(AJ142))),"",AJ142-N(N142))</f>
        <v/>
      </c>
      <c r="BG142" s="15" t="str">
        <f aca="false">IF(OR(AK142="",NOT(ISNUMBER(AK142))),"",AK142-N(O142))</f>
        <v/>
      </c>
      <c r="BH142" s="15" t="str">
        <f aca="false">IF(OR(AL142="",NOT(ISNUMBER(AL142))),"",AL142-N(P142))</f>
        <v/>
      </c>
      <c r="BI142" s="15" t="str">
        <f aca="false">IF(OR(AM142="",NOT(ISNUMBER(AM142))),"",AM142-N(Q142))</f>
        <v/>
      </c>
      <c r="BJ142" s="15" t="str">
        <f aca="false">IF(OR(AN142="",NOT(ISNUMBER(AN142))),"",AN142-N(R142))</f>
        <v/>
      </c>
      <c r="BK142" s="15" t="str">
        <f aca="false">IF(OR(AO142="",NOT(ISNUMBER(AO142))),"",AO142-N(S142))</f>
        <v/>
      </c>
      <c r="BL142" s="15" t="str">
        <f aca="false">IF(OR(AP142="",NOT(ISNUMBER(AP142))),"",AP142-N(T142))</f>
        <v/>
      </c>
      <c r="BM142" s="15" t="str">
        <f aca="false">IF(OR(AQ142="",NOT(ISNUMBER(AQ142))),"",AQ142-N(U142))</f>
        <v/>
      </c>
      <c r="BR142" s="18" t="str">
        <f aca="false">IF($A142="","",IF(ISNUMBER($A142),DATE(YEAR($A142),MONTH($A142),1),IFERROR(DATE(2000+VALUE(RIGHT(TRIM($A142),2)),MATCH(UPPER(LEFT(TRIM($A142),3)),{"JAN","FEB","MAR","APR","MAY","JUN","JUL","AUG","SEP","OCT","NOV","DEC"},0),1),"")))</f>
        <v/>
      </c>
      <c r="BS142" s="18" t="str">
        <f aca="false">IF(BR142="","",EOMONTH(BR142,0))</f>
        <v/>
      </c>
    </row>
    <row r="143" customFormat="false" ht="15" hidden="false" customHeight="false" outlineLevel="0" collapsed="false">
      <c r="B143" s="19"/>
      <c r="C143" s="19"/>
      <c r="D143" s="19"/>
      <c r="E143" s="19"/>
      <c r="F143" s="19"/>
      <c r="G143" s="19"/>
      <c r="H143" s="19"/>
      <c r="I143" s="19"/>
      <c r="J143" s="19"/>
      <c r="K143" s="19"/>
      <c r="L143" s="19"/>
      <c r="M143" s="19"/>
      <c r="N143" s="19"/>
      <c r="O143" s="19"/>
      <c r="P143" s="19"/>
      <c r="Q143" s="19"/>
      <c r="R143" s="19"/>
      <c r="S143" s="19"/>
      <c r="T143" s="19"/>
      <c r="U143" s="19"/>
      <c r="X143" s="15" t="str">
        <f aca="false">IF(OR(B$7="",$BR143=""),"",IF('Tally Helper'!$B$3&lt;&gt;TRUE(),"not on Staff",SUMIFS('Tally Helper'!$L$5:$GI$5,'Tally Helper'!$L$3:$GI$3,"&gt;="&amp;$BR143,'Tally Helper'!$L$3:$GI$3,"&lt;="&amp;$BS143)))</f>
        <v/>
      </c>
      <c r="Y143" s="15" t="str">
        <f aca="false">IF(OR(C$7="",$BR143=""),"",IF('Tally Helper'!$B$6&lt;&gt;TRUE(),"not on Staff",SUMIFS('Tally Helper'!$L$8:$GI$8,'Tally Helper'!$L$6:$GI$6,"&gt;="&amp;$BR143,'Tally Helper'!$L$6:$GI$6,"&lt;="&amp;$BS143)))</f>
        <v/>
      </c>
      <c r="Z143" s="15" t="str">
        <f aca="false">IF(OR(D$7="",$BR143=""),"",IF('Tally Helper'!$B$9&lt;&gt;TRUE(),"not on Staff",SUMIFS('Tally Helper'!$L$11:$GI$11,'Tally Helper'!$L$9:$GI$9,"&gt;="&amp;$BR143,'Tally Helper'!$L$9:$GI$9,"&lt;="&amp;$BS143)))</f>
        <v/>
      </c>
      <c r="AA143" s="15" t="str">
        <f aca="false">IF(OR(E$7="",$BR143=""),"",IF('Tally Helper'!$B$12&lt;&gt;TRUE(),"not on Staff",SUMIFS('Tally Helper'!$L$14:$GI$14,'Tally Helper'!$L$12:$GI$12,"&gt;="&amp;$BR143,'Tally Helper'!$L$12:$GI$12,"&lt;="&amp;$BS143)))</f>
        <v/>
      </c>
      <c r="AB143" s="15" t="str">
        <f aca="false">IF(OR(F$7="",$BR143=""),"",IF('Tally Helper'!$B$15&lt;&gt;TRUE(),"not on Staff",SUMIFS('Tally Helper'!$L$17:$GI$17,'Tally Helper'!$L$15:$GI$15,"&gt;="&amp;$BR143,'Tally Helper'!$L$15:$GI$15,"&lt;="&amp;$BS143)))</f>
        <v/>
      </c>
      <c r="AC143" s="15" t="str">
        <f aca="false">IF(OR(G$7="",$BR143=""),"",IF('Tally Helper'!$B$18&lt;&gt;TRUE(),"not on Staff",SUMIFS('Tally Helper'!$L$20:$GI$20,'Tally Helper'!$L$18:$GI$18,"&gt;="&amp;$BR143,'Tally Helper'!$L$18:$GI$18,"&lt;="&amp;$BS143)))</f>
        <v/>
      </c>
      <c r="AD143" s="15" t="str">
        <f aca="false">IF(OR(H$7="",$BR143=""),"",IF('Tally Helper'!$B$21&lt;&gt;TRUE(),"not on Staff",SUMIFS('Tally Helper'!$L$23:$GI$23,'Tally Helper'!$L$21:$GI$21,"&gt;="&amp;$BR143,'Tally Helper'!$L$21:$GI$21,"&lt;="&amp;$BS143)))</f>
        <v/>
      </c>
      <c r="AE143" s="15" t="str">
        <f aca="false">IF(OR(I$7="",$BR143=""),"",IF('Tally Helper'!$B$24&lt;&gt;TRUE(),"not on Staff",SUMIFS('Tally Helper'!$L$26:$GI$26,'Tally Helper'!$L$24:$GI$24,"&gt;="&amp;$BR143,'Tally Helper'!$L$24:$GI$24,"&lt;="&amp;$BS143)))</f>
        <v/>
      </c>
      <c r="AF143" s="15" t="str">
        <f aca="false">IF(OR(J$7="",$BR143=""),"",IF('Tally Helper'!$B$27&lt;&gt;TRUE(),"not on Staff",SUMIFS('Tally Helper'!$L$29:$GI$29,'Tally Helper'!$L$27:$GI$27,"&gt;="&amp;$BR143,'Tally Helper'!$L$27:$GI$27,"&lt;="&amp;$BS143)))</f>
        <v/>
      </c>
      <c r="AG143" s="15" t="str">
        <f aca="false">IF(OR(K$7="",$BR143=""),"",IF('Tally Helper'!$B$30&lt;&gt;TRUE(),"not on Staff",SUMIFS('Tally Helper'!$L$32:$GI$32,'Tally Helper'!$L$30:$GI$30,"&gt;="&amp;$BR143,'Tally Helper'!$L$30:$GI$30,"&lt;="&amp;$BS143)))</f>
        <v/>
      </c>
      <c r="AH143" s="15" t="str">
        <f aca="false">IF(OR(L$7="",$BR143=""),"",IF('Tally Helper'!$B$33&lt;&gt;TRUE(),"not on Staff",SUMIFS('Tally Helper'!$L$35:$GI$35,'Tally Helper'!$L$33:$GI$33,"&gt;="&amp;$BR143,'Tally Helper'!$L$33:$GI$33,"&lt;="&amp;$BS143)))</f>
        <v/>
      </c>
      <c r="AI143" s="15" t="str">
        <f aca="false">IF(OR(M$7="",$BR143=""),"",IF('Tally Helper'!$B$36&lt;&gt;TRUE(),"not on Staff",SUMIFS('Tally Helper'!$L$38:$GI$38,'Tally Helper'!$L$36:$GI$36,"&gt;="&amp;$BR143,'Tally Helper'!$L$36:$GI$36,"&lt;="&amp;$BS143)))</f>
        <v/>
      </c>
      <c r="AJ143" s="15" t="str">
        <f aca="false">IF(OR(N$7="",$BR143=""),"",IF('Tally Helper'!$B$39&lt;&gt;TRUE(),"not on Staff",SUMIFS('Tally Helper'!$L$41:$GI$41,'Tally Helper'!$L$39:$GI$39,"&gt;="&amp;$BR143,'Tally Helper'!$L$39:$GI$39,"&lt;="&amp;$BS143)))</f>
        <v/>
      </c>
      <c r="AK143" s="15" t="str">
        <f aca="false">IF(OR(O$7="",$BR143=""),"",IF('Tally Helper'!$B$42&lt;&gt;TRUE(),"not on Staff",SUMIFS('Tally Helper'!$L$44:$GI$44,'Tally Helper'!$L$42:$GI$42,"&gt;="&amp;$BR143,'Tally Helper'!$L$42:$GI$42,"&lt;="&amp;$BS143)))</f>
        <v/>
      </c>
      <c r="AL143" s="15" t="str">
        <f aca="false">IF(OR(P$7="",$BR143=""),"",IF('Tally Helper'!$B$45&lt;&gt;TRUE(),"not on Staff",SUMIFS('Tally Helper'!$L$47:$GI$47,'Tally Helper'!$L$45:$GI$45,"&gt;="&amp;$BR143,'Tally Helper'!$L$45:$GI$45,"&lt;="&amp;$BS143)))</f>
        <v/>
      </c>
      <c r="AM143" s="15" t="str">
        <f aca="false">IF(OR(Q$7="",$BR143=""),"",IF('Tally Helper'!$B$48&lt;&gt;TRUE(),"not on Staff",SUMIFS('Tally Helper'!$L$50:$GI$50,'Tally Helper'!$L$48:$GI$48,"&gt;="&amp;$BR143,'Tally Helper'!$L$48:$GI$48,"&lt;="&amp;$BS143)))</f>
        <v/>
      </c>
      <c r="AN143" s="15" t="str">
        <f aca="false">IF(OR(R$7="",$BR143=""),"",IF('Tally Helper'!$B$51&lt;&gt;TRUE(),"not on Staff",SUMIFS('Tally Helper'!$L$53:$GI$53,'Tally Helper'!$L$51:$GI$51,"&gt;="&amp;$BR143,'Tally Helper'!$L$51:$GI$51,"&lt;="&amp;$BS143)))</f>
        <v/>
      </c>
      <c r="AO143" s="15" t="str">
        <f aca="false">IF(OR(S$7="",$BR143=""),"",IF('Tally Helper'!$B$54&lt;&gt;TRUE(),"not on Staff",SUMIFS('Tally Helper'!$L$56:$GI$56,'Tally Helper'!$L$54:$GI$54,"&gt;="&amp;$BR143,'Tally Helper'!$L$54:$GI$54,"&lt;="&amp;$BS143)))</f>
        <v/>
      </c>
      <c r="AP143" s="15" t="str">
        <f aca="false">IF(OR(T$7="",$BR143=""),"",IF('Tally Helper'!$B$57&lt;&gt;TRUE(),"not on Staff",SUMIFS('Tally Helper'!$L$59:$GI$59,'Tally Helper'!$L$57:$GI$57,"&gt;="&amp;$BR143,'Tally Helper'!$L$57:$GI$57,"&lt;="&amp;$BS143)))</f>
        <v/>
      </c>
      <c r="AQ143" s="15" t="str">
        <f aca="false">IF(OR(U$7="",$BR143=""),"",IF('Tally Helper'!$B$60&lt;&gt;TRUE(),"not on Staff",SUMIFS('Tally Helper'!$L$62:$GI$62,'Tally Helper'!$L$60:$GI$60,"&gt;="&amp;$BR143,'Tally Helper'!$L$60:$GI$60,"&lt;="&amp;$BS143)))</f>
        <v/>
      </c>
      <c r="AT143" s="15" t="str">
        <f aca="false">IF(OR(X143="",NOT(ISNUMBER(X143))),"",X143-N(B143))</f>
        <v/>
      </c>
      <c r="AU143" s="15" t="str">
        <f aca="false">IF(OR(Y143="",NOT(ISNUMBER(Y143))),"",Y143-N(C143))</f>
        <v/>
      </c>
      <c r="AV143" s="15" t="str">
        <f aca="false">IF(OR(Z143="",NOT(ISNUMBER(Z143))),"",Z143-N(D143))</f>
        <v/>
      </c>
      <c r="AW143" s="15" t="str">
        <f aca="false">IF(OR(AA143="",NOT(ISNUMBER(AA143))),"",AA143-N(E143))</f>
        <v/>
      </c>
      <c r="AX143" s="15" t="str">
        <f aca="false">IF(OR(AB143="",NOT(ISNUMBER(AB143))),"",AB143-N(F143))</f>
        <v/>
      </c>
      <c r="AY143" s="15" t="str">
        <f aca="false">IF(OR(AC143="",NOT(ISNUMBER(AC143))),"",AC143-N(G143))</f>
        <v/>
      </c>
      <c r="AZ143" s="15" t="str">
        <f aca="false">IF(OR(AD143="",NOT(ISNUMBER(AD143))),"",AD143-N(H143))</f>
        <v/>
      </c>
      <c r="BA143" s="15" t="str">
        <f aca="false">IF(OR(AE143="",NOT(ISNUMBER(AE143))),"",AE143-N(I143))</f>
        <v/>
      </c>
      <c r="BB143" s="15" t="str">
        <f aca="false">IF(OR(AF143="",NOT(ISNUMBER(AF143))),"",AF143-N(J143))</f>
        <v/>
      </c>
      <c r="BC143" s="15" t="str">
        <f aca="false">IF(OR(AG143="",NOT(ISNUMBER(AG143))),"",AG143-N(K143))</f>
        <v/>
      </c>
      <c r="BD143" s="15" t="str">
        <f aca="false">IF(OR(AH143="",NOT(ISNUMBER(AH143))),"",AH143-N(L143))</f>
        <v/>
      </c>
      <c r="BE143" s="15" t="str">
        <f aca="false">IF(OR(AI143="",NOT(ISNUMBER(AI143))),"",AI143-N(M143))</f>
        <v/>
      </c>
      <c r="BF143" s="15" t="str">
        <f aca="false">IF(OR(AJ143="",NOT(ISNUMBER(AJ143))),"",AJ143-N(N143))</f>
        <v/>
      </c>
      <c r="BG143" s="15" t="str">
        <f aca="false">IF(OR(AK143="",NOT(ISNUMBER(AK143))),"",AK143-N(O143))</f>
        <v/>
      </c>
      <c r="BH143" s="15" t="str">
        <f aca="false">IF(OR(AL143="",NOT(ISNUMBER(AL143))),"",AL143-N(P143))</f>
        <v/>
      </c>
      <c r="BI143" s="15" t="str">
        <f aca="false">IF(OR(AM143="",NOT(ISNUMBER(AM143))),"",AM143-N(Q143))</f>
        <v/>
      </c>
      <c r="BJ143" s="15" t="str">
        <f aca="false">IF(OR(AN143="",NOT(ISNUMBER(AN143))),"",AN143-N(R143))</f>
        <v/>
      </c>
      <c r="BK143" s="15" t="str">
        <f aca="false">IF(OR(AO143="",NOT(ISNUMBER(AO143))),"",AO143-N(S143))</f>
        <v/>
      </c>
      <c r="BL143" s="15" t="str">
        <f aca="false">IF(OR(AP143="",NOT(ISNUMBER(AP143))),"",AP143-N(T143))</f>
        <v/>
      </c>
      <c r="BM143" s="15" t="str">
        <f aca="false">IF(OR(AQ143="",NOT(ISNUMBER(AQ143))),"",AQ143-N(U143))</f>
        <v/>
      </c>
      <c r="BR143" s="18" t="str">
        <f aca="false">IF($A143="","",IF(ISNUMBER($A143),DATE(YEAR($A143),MONTH($A143),1),IFERROR(DATE(2000+VALUE(RIGHT(TRIM($A143),2)),MATCH(UPPER(LEFT(TRIM($A143),3)),{"JAN","FEB","MAR","APR","MAY","JUN","JUL","AUG","SEP","OCT","NOV","DEC"},0),1),"")))</f>
        <v/>
      </c>
      <c r="BS143" s="18" t="str">
        <f aca="false">IF(BR143="","",EOMONTH(BR143,0))</f>
        <v/>
      </c>
    </row>
    <row r="144" customFormat="false" ht="15" hidden="false" customHeight="false" outlineLevel="0" collapsed="false">
      <c r="B144" s="19"/>
      <c r="C144" s="19"/>
      <c r="D144" s="19"/>
      <c r="E144" s="19"/>
      <c r="F144" s="19"/>
      <c r="G144" s="19"/>
      <c r="H144" s="19"/>
      <c r="I144" s="19"/>
      <c r="J144" s="19"/>
      <c r="K144" s="19"/>
      <c r="L144" s="19"/>
      <c r="M144" s="19"/>
      <c r="N144" s="19"/>
      <c r="O144" s="19"/>
      <c r="P144" s="19"/>
      <c r="Q144" s="19"/>
      <c r="R144" s="19"/>
      <c r="S144" s="19"/>
      <c r="T144" s="19"/>
      <c r="U144" s="19"/>
      <c r="X144" s="15" t="str">
        <f aca="false">IF(OR(B$7="",$BR144=""),"",IF('Tally Helper'!$B$3&lt;&gt;TRUE(),"not on Staff",SUMIFS('Tally Helper'!$L$5:$GI$5,'Tally Helper'!$L$3:$GI$3,"&gt;="&amp;$BR144,'Tally Helper'!$L$3:$GI$3,"&lt;="&amp;$BS144)))</f>
        <v/>
      </c>
      <c r="Y144" s="15" t="str">
        <f aca="false">IF(OR(C$7="",$BR144=""),"",IF('Tally Helper'!$B$6&lt;&gt;TRUE(),"not on Staff",SUMIFS('Tally Helper'!$L$8:$GI$8,'Tally Helper'!$L$6:$GI$6,"&gt;="&amp;$BR144,'Tally Helper'!$L$6:$GI$6,"&lt;="&amp;$BS144)))</f>
        <v/>
      </c>
      <c r="Z144" s="15" t="str">
        <f aca="false">IF(OR(D$7="",$BR144=""),"",IF('Tally Helper'!$B$9&lt;&gt;TRUE(),"not on Staff",SUMIFS('Tally Helper'!$L$11:$GI$11,'Tally Helper'!$L$9:$GI$9,"&gt;="&amp;$BR144,'Tally Helper'!$L$9:$GI$9,"&lt;="&amp;$BS144)))</f>
        <v/>
      </c>
      <c r="AA144" s="15" t="str">
        <f aca="false">IF(OR(E$7="",$BR144=""),"",IF('Tally Helper'!$B$12&lt;&gt;TRUE(),"not on Staff",SUMIFS('Tally Helper'!$L$14:$GI$14,'Tally Helper'!$L$12:$GI$12,"&gt;="&amp;$BR144,'Tally Helper'!$L$12:$GI$12,"&lt;="&amp;$BS144)))</f>
        <v/>
      </c>
      <c r="AB144" s="15" t="str">
        <f aca="false">IF(OR(F$7="",$BR144=""),"",IF('Tally Helper'!$B$15&lt;&gt;TRUE(),"not on Staff",SUMIFS('Tally Helper'!$L$17:$GI$17,'Tally Helper'!$L$15:$GI$15,"&gt;="&amp;$BR144,'Tally Helper'!$L$15:$GI$15,"&lt;="&amp;$BS144)))</f>
        <v/>
      </c>
      <c r="AC144" s="15" t="str">
        <f aca="false">IF(OR(G$7="",$BR144=""),"",IF('Tally Helper'!$B$18&lt;&gt;TRUE(),"not on Staff",SUMIFS('Tally Helper'!$L$20:$GI$20,'Tally Helper'!$L$18:$GI$18,"&gt;="&amp;$BR144,'Tally Helper'!$L$18:$GI$18,"&lt;="&amp;$BS144)))</f>
        <v/>
      </c>
      <c r="AD144" s="15" t="str">
        <f aca="false">IF(OR(H$7="",$BR144=""),"",IF('Tally Helper'!$B$21&lt;&gt;TRUE(),"not on Staff",SUMIFS('Tally Helper'!$L$23:$GI$23,'Tally Helper'!$L$21:$GI$21,"&gt;="&amp;$BR144,'Tally Helper'!$L$21:$GI$21,"&lt;="&amp;$BS144)))</f>
        <v/>
      </c>
      <c r="AE144" s="15" t="str">
        <f aca="false">IF(OR(I$7="",$BR144=""),"",IF('Tally Helper'!$B$24&lt;&gt;TRUE(),"not on Staff",SUMIFS('Tally Helper'!$L$26:$GI$26,'Tally Helper'!$L$24:$GI$24,"&gt;="&amp;$BR144,'Tally Helper'!$L$24:$GI$24,"&lt;="&amp;$BS144)))</f>
        <v/>
      </c>
      <c r="AF144" s="15" t="str">
        <f aca="false">IF(OR(J$7="",$BR144=""),"",IF('Tally Helper'!$B$27&lt;&gt;TRUE(),"not on Staff",SUMIFS('Tally Helper'!$L$29:$GI$29,'Tally Helper'!$L$27:$GI$27,"&gt;="&amp;$BR144,'Tally Helper'!$L$27:$GI$27,"&lt;="&amp;$BS144)))</f>
        <v/>
      </c>
      <c r="AG144" s="15" t="str">
        <f aca="false">IF(OR(K$7="",$BR144=""),"",IF('Tally Helper'!$B$30&lt;&gt;TRUE(),"not on Staff",SUMIFS('Tally Helper'!$L$32:$GI$32,'Tally Helper'!$L$30:$GI$30,"&gt;="&amp;$BR144,'Tally Helper'!$L$30:$GI$30,"&lt;="&amp;$BS144)))</f>
        <v/>
      </c>
      <c r="AH144" s="15" t="str">
        <f aca="false">IF(OR(L$7="",$BR144=""),"",IF('Tally Helper'!$B$33&lt;&gt;TRUE(),"not on Staff",SUMIFS('Tally Helper'!$L$35:$GI$35,'Tally Helper'!$L$33:$GI$33,"&gt;="&amp;$BR144,'Tally Helper'!$L$33:$GI$33,"&lt;="&amp;$BS144)))</f>
        <v/>
      </c>
      <c r="AI144" s="15" t="str">
        <f aca="false">IF(OR(M$7="",$BR144=""),"",IF('Tally Helper'!$B$36&lt;&gt;TRUE(),"not on Staff",SUMIFS('Tally Helper'!$L$38:$GI$38,'Tally Helper'!$L$36:$GI$36,"&gt;="&amp;$BR144,'Tally Helper'!$L$36:$GI$36,"&lt;="&amp;$BS144)))</f>
        <v/>
      </c>
      <c r="AJ144" s="15" t="str">
        <f aca="false">IF(OR(N$7="",$BR144=""),"",IF('Tally Helper'!$B$39&lt;&gt;TRUE(),"not on Staff",SUMIFS('Tally Helper'!$L$41:$GI$41,'Tally Helper'!$L$39:$GI$39,"&gt;="&amp;$BR144,'Tally Helper'!$L$39:$GI$39,"&lt;="&amp;$BS144)))</f>
        <v/>
      </c>
      <c r="AK144" s="15" t="str">
        <f aca="false">IF(OR(O$7="",$BR144=""),"",IF('Tally Helper'!$B$42&lt;&gt;TRUE(),"not on Staff",SUMIFS('Tally Helper'!$L$44:$GI$44,'Tally Helper'!$L$42:$GI$42,"&gt;="&amp;$BR144,'Tally Helper'!$L$42:$GI$42,"&lt;="&amp;$BS144)))</f>
        <v/>
      </c>
      <c r="AL144" s="15" t="str">
        <f aca="false">IF(OR(P$7="",$BR144=""),"",IF('Tally Helper'!$B$45&lt;&gt;TRUE(),"not on Staff",SUMIFS('Tally Helper'!$L$47:$GI$47,'Tally Helper'!$L$45:$GI$45,"&gt;="&amp;$BR144,'Tally Helper'!$L$45:$GI$45,"&lt;="&amp;$BS144)))</f>
        <v/>
      </c>
      <c r="AM144" s="15" t="str">
        <f aca="false">IF(OR(Q$7="",$BR144=""),"",IF('Tally Helper'!$B$48&lt;&gt;TRUE(),"not on Staff",SUMIFS('Tally Helper'!$L$50:$GI$50,'Tally Helper'!$L$48:$GI$48,"&gt;="&amp;$BR144,'Tally Helper'!$L$48:$GI$48,"&lt;="&amp;$BS144)))</f>
        <v/>
      </c>
      <c r="AN144" s="15" t="str">
        <f aca="false">IF(OR(R$7="",$BR144=""),"",IF('Tally Helper'!$B$51&lt;&gt;TRUE(),"not on Staff",SUMIFS('Tally Helper'!$L$53:$GI$53,'Tally Helper'!$L$51:$GI$51,"&gt;="&amp;$BR144,'Tally Helper'!$L$51:$GI$51,"&lt;="&amp;$BS144)))</f>
        <v/>
      </c>
      <c r="AO144" s="15" t="str">
        <f aca="false">IF(OR(S$7="",$BR144=""),"",IF('Tally Helper'!$B$54&lt;&gt;TRUE(),"not on Staff",SUMIFS('Tally Helper'!$L$56:$GI$56,'Tally Helper'!$L$54:$GI$54,"&gt;="&amp;$BR144,'Tally Helper'!$L$54:$GI$54,"&lt;="&amp;$BS144)))</f>
        <v/>
      </c>
      <c r="AP144" s="15" t="str">
        <f aca="false">IF(OR(T$7="",$BR144=""),"",IF('Tally Helper'!$B$57&lt;&gt;TRUE(),"not on Staff",SUMIFS('Tally Helper'!$L$59:$GI$59,'Tally Helper'!$L$57:$GI$57,"&gt;="&amp;$BR144,'Tally Helper'!$L$57:$GI$57,"&lt;="&amp;$BS144)))</f>
        <v/>
      </c>
      <c r="AQ144" s="15" t="str">
        <f aca="false">IF(OR(U$7="",$BR144=""),"",IF('Tally Helper'!$B$60&lt;&gt;TRUE(),"not on Staff",SUMIFS('Tally Helper'!$L$62:$GI$62,'Tally Helper'!$L$60:$GI$60,"&gt;="&amp;$BR144,'Tally Helper'!$L$60:$GI$60,"&lt;="&amp;$BS144)))</f>
        <v/>
      </c>
      <c r="AT144" s="15" t="str">
        <f aca="false">IF(OR(X144="",NOT(ISNUMBER(X144))),"",X144-N(B144))</f>
        <v/>
      </c>
      <c r="AU144" s="15" t="str">
        <f aca="false">IF(OR(Y144="",NOT(ISNUMBER(Y144))),"",Y144-N(C144))</f>
        <v/>
      </c>
      <c r="AV144" s="15" t="str">
        <f aca="false">IF(OR(Z144="",NOT(ISNUMBER(Z144))),"",Z144-N(D144))</f>
        <v/>
      </c>
      <c r="AW144" s="15" t="str">
        <f aca="false">IF(OR(AA144="",NOT(ISNUMBER(AA144))),"",AA144-N(E144))</f>
        <v/>
      </c>
      <c r="AX144" s="15" t="str">
        <f aca="false">IF(OR(AB144="",NOT(ISNUMBER(AB144))),"",AB144-N(F144))</f>
        <v/>
      </c>
      <c r="AY144" s="15" t="str">
        <f aca="false">IF(OR(AC144="",NOT(ISNUMBER(AC144))),"",AC144-N(G144))</f>
        <v/>
      </c>
      <c r="AZ144" s="15" t="str">
        <f aca="false">IF(OR(AD144="",NOT(ISNUMBER(AD144))),"",AD144-N(H144))</f>
        <v/>
      </c>
      <c r="BA144" s="15" t="str">
        <f aca="false">IF(OR(AE144="",NOT(ISNUMBER(AE144))),"",AE144-N(I144))</f>
        <v/>
      </c>
      <c r="BB144" s="15" t="str">
        <f aca="false">IF(OR(AF144="",NOT(ISNUMBER(AF144))),"",AF144-N(J144))</f>
        <v/>
      </c>
      <c r="BC144" s="15" t="str">
        <f aca="false">IF(OR(AG144="",NOT(ISNUMBER(AG144))),"",AG144-N(K144))</f>
        <v/>
      </c>
      <c r="BD144" s="15" t="str">
        <f aca="false">IF(OR(AH144="",NOT(ISNUMBER(AH144))),"",AH144-N(L144))</f>
        <v/>
      </c>
      <c r="BE144" s="15" t="str">
        <f aca="false">IF(OR(AI144="",NOT(ISNUMBER(AI144))),"",AI144-N(M144))</f>
        <v/>
      </c>
      <c r="BF144" s="15" t="str">
        <f aca="false">IF(OR(AJ144="",NOT(ISNUMBER(AJ144))),"",AJ144-N(N144))</f>
        <v/>
      </c>
      <c r="BG144" s="15" t="str">
        <f aca="false">IF(OR(AK144="",NOT(ISNUMBER(AK144))),"",AK144-N(O144))</f>
        <v/>
      </c>
      <c r="BH144" s="15" t="str">
        <f aca="false">IF(OR(AL144="",NOT(ISNUMBER(AL144))),"",AL144-N(P144))</f>
        <v/>
      </c>
      <c r="BI144" s="15" t="str">
        <f aca="false">IF(OR(AM144="",NOT(ISNUMBER(AM144))),"",AM144-N(Q144))</f>
        <v/>
      </c>
      <c r="BJ144" s="15" t="str">
        <f aca="false">IF(OR(AN144="",NOT(ISNUMBER(AN144))),"",AN144-N(R144))</f>
        <v/>
      </c>
      <c r="BK144" s="15" t="str">
        <f aca="false">IF(OR(AO144="",NOT(ISNUMBER(AO144))),"",AO144-N(S144))</f>
        <v/>
      </c>
      <c r="BL144" s="15" t="str">
        <f aca="false">IF(OR(AP144="",NOT(ISNUMBER(AP144))),"",AP144-N(T144))</f>
        <v/>
      </c>
      <c r="BM144" s="15" t="str">
        <f aca="false">IF(OR(AQ144="",NOT(ISNUMBER(AQ144))),"",AQ144-N(U144))</f>
        <v/>
      </c>
      <c r="BR144" s="18" t="str">
        <f aca="false">IF($A144="","",IF(ISNUMBER($A144),DATE(YEAR($A144),MONTH($A144),1),IFERROR(DATE(2000+VALUE(RIGHT(TRIM($A144),2)),MATCH(UPPER(LEFT(TRIM($A144),3)),{"JAN","FEB","MAR","APR","MAY","JUN","JUL","AUG","SEP","OCT","NOV","DEC"},0),1),"")))</f>
        <v/>
      </c>
      <c r="BS144" s="18" t="str">
        <f aca="false">IF(BR144="","",EOMONTH(BR144,0))</f>
        <v/>
      </c>
    </row>
    <row r="145" customFormat="false" ht="15" hidden="false" customHeight="false" outlineLevel="0" collapsed="false">
      <c r="B145" s="19"/>
      <c r="C145" s="19"/>
      <c r="D145" s="19"/>
      <c r="E145" s="19"/>
      <c r="F145" s="19"/>
      <c r="G145" s="19"/>
      <c r="H145" s="19"/>
      <c r="I145" s="19"/>
      <c r="J145" s="19"/>
      <c r="K145" s="19"/>
      <c r="L145" s="19"/>
      <c r="M145" s="19"/>
      <c r="N145" s="19"/>
      <c r="O145" s="19"/>
      <c r="P145" s="19"/>
      <c r="Q145" s="19"/>
      <c r="R145" s="19"/>
      <c r="S145" s="19"/>
      <c r="T145" s="19"/>
      <c r="U145" s="19"/>
      <c r="X145" s="15" t="str">
        <f aca="false">IF(OR(B$7="",$BR145=""),"",IF('Tally Helper'!$B$3&lt;&gt;TRUE(),"not on Staff",SUMIFS('Tally Helper'!$L$5:$GI$5,'Tally Helper'!$L$3:$GI$3,"&gt;="&amp;$BR145,'Tally Helper'!$L$3:$GI$3,"&lt;="&amp;$BS145)))</f>
        <v/>
      </c>
      <c r="Y145" s="15" t="str">
        <f aca="false">IF(OR(C$7="",$BR145=""),"",IF('Tally Helper'!$B$6&lt;&gt;TRUE(),"not on Staff",SUMIFS('Tally Helper'!$L$8:$GI$8,'Tally Helper'!$L$6:$GI$6,"&gt;="&amp;$BR145,'Tally Helper'!$L$6:$GI$6,"&lt;="&amp;$BS145)))</f>
        <v/>
      </c>
      <c r="Z145" s="15" t="str">
        <f aca="false">IF(OR(D$7="",$BR145=""),"",IF('Tally Helper'!$B$9&lt;&gt;TRUE(),"not on Staff",SUMIFS('Tally Helper'!$L$11:$GI$11,'Tally Helper'!$L$9:$GI$9,"&gt;="&amp;$BR145,'Tally Helper'!$L$9:$GI$9,"&lt;="&amp;$BS145)))</f>
        <v/>
      </c>
      <c r="AA145" s="15" t="str">
        <f aca="false">IF(OR(E$7="",$BR145=""),"",IF('Tally Helper'!$B$12&lt;&gt;TRUE(),"not on Staff",SUMIFS('Tally Helper'!$L$14:$GI$14,'Tally Helper'!$L$12:$GI$12,"&gt;="&amp;$BR145,'Tally Helper'!$L$12:$GI$12,"&lt;="&amp;$BS145)))</f>
        <v/>
      </c>
      <c r="AB145" s="15" t="str">
        <f aca="false">IF(OR(F$7="",$BR145=""),"",IF('Tally Helper'!$B$15&lt;&gt;TRUE(),"not on Staff",SUMIFS('Tally Helper'!$L$17:$GI$17,'Tally Helper'!$L$15:$GI$15,"&gt;="&amp;$BR145,'Tally Helper'!$L$15:$GI$15,"&lt;="&amp;$BS145)))</f>
        <v/>
      </c>
      <c r="AC145" s="15" t="str">
        <f aca="false">IF(OR(G$7="",$BR145=""),"",IF('Tally Helper'!$B$18&lt;&gt;TRUE(),"not on Staff",SUMIFS('Tally Helper'!$L$20:$GI$20,'Tally Helper'!$L$18:$GI$18,"&gt;="&amp;$BR145,'Tally Helper'!$L$18:$GI$18,"&lt;="&amp;$BS145)))</f>
        <v/>
      </c>
      <c r="AD145" s="15" t="str">
        <f aca="false">IF(OR(H$7="",$BR145=""),"",IF('Tally Helper'!$B$21&lt;&gt;TRUE(),"not on Staff",SUMIFS('Tally Helper'!$L$23:$GI$23,'Tally Helper'!$L$21:$GI$21,"&gt;="&amp;$BR145,'Tally Helper'!$L$21:$GI$21,"&lt;="&amp;$BS145)))</f>
        <v/>
      </c>
      <c r="AE145" s="15" t="str">
        <f aca="false">IF(OR(I$7="",$BR145=""),"",IF('Tally Helper'!$B$24&lt;&gt;TRUE(),"not on Staff",SUMIFS('Tally Helper'!$L$26:$GI$26,'Tally Helper'!$L$24:$GI$24,"&gt;="&amp;$BR145,'Tally Helper'!$L$24:$GI$24,"&lt;="&amp;$BS145)))</f>
        <v/>
      </c>
      <c r="AF145" s="15" t="str">
        <f aca="false">IF(OR(J$7="",$BR145=""),"",IF('Tally Helper'!$B$27&lt;&gt;TRUE(),"not on Staff",SUMIFS('Tally Helper'!$L$29:$GI$29,'Tally Helper'!$L$27:$GI$27,"&gt;="&amp;$BR145,'Tally Helper'!$L$27:$GI$27,"&lt;="&amp;$BS145)))</f>
        <v/>
      </c>
      <c r="AG145" s="15" t="str">
        <f aca="false">IF(OR(K$7="",$BR145=""),"",IF('Tally Helper'!$B$30&lt;&gt;TRUE(),"not on Staff",SUMIFS('Tally Helper'!$L$32:$GI$32,'Tally Helper'!$L$30:$GI$30,"&gt;="&amp;$BR145,'Tally Helper'!$L$30:$GI$30,"&lt;="&amp;$BS145)))</f>
        <v/>
      </c>
      <c r="AH145" s="15" t="str">
        <f aca="false">IF(OR(L$7="",$BR145=""),"",IF('Tally Helper'!$B$33&lt;&gt;TRUE(),"not on Staff",SUMIFS('Tally Helper'!$L$35:$GI$35,'Tally Helper'!$L$33:$GI$33,"&gt;="&amp;$BR145,'Tally Helper'!$L$33:$GI$33,"&lt;="&amp;$BS145)))</f>
        <v/>
      </c>
      <c r="AI145" s="15" t="str">
        <f aca="false">IF(OR(M$7="",$BR145=""),"",IF('Tally Helper'!$B$36&lt;&gt;TRUE(),"not on Staff",SUMIFS('Tally Helper'!$L$38:$GI$38,'Tally Helper'!$L$36:$GI$36,"&gt;="&amp;$BR145,'Tally Helper'!$L$36:$GI$36,"&lt;="&amp;$BS145)))</f>
        <v/>
      </c>
      <c r="AJ145" s="15" t="str">
        <f aca="false">IF(OR(N$7="",$BR145=""),"",IF('Tally Helper'!$B$39&lt;&gt;TRUE(),"not on Staff",SUMIFS('Tally Helper'!$L$41:$GI$41,'Tally Helper'!$L$39:$GI$39,"&gt;="&amp;$BR145,'Tally Helper'!$L$39:$GI$39,"&lt;="&amp;$BS145)))</f>
        <v/>
      </c>
      <c r="AK145" s="15" t="str">
        <f aca="false">IF(OR(O$7="",$BR145=""),"",IF('Tally Helper'!$B$42&lt;&gt;TRUE(),"not on Staff",SUMIFS('Tally Helper'!$L$44:$GI$44,'Tally Helper'!$L$42:$GI$42,"&gt;="&amp;$BR145,'Tally Helper'!$L$42:$GI$42,"&lt;="&amp;$BS145)))</f>
        <v/>
      </c>
      <c r="AL145" s="15" t="str">
        <f aca="false">IF(OR(P$7="",$BR145=""),"",IF('Tally Helper'!$B$45&lt;&gt;TRUE(),"not on Staff",SUMIFS('Tally Helper'!$L$47:$GI$47,'Tally Helper'!$L$45:$GI$45,"&gt;="&amp;$BR145,'Tally Helper'!$L$45:$GI$45,"&lt;="&amp;$BS145)))</f>
        <v/>
      </c>
      <c r="AM145" s="15" t="str">
        <f aca="false">IF(OR(Q$7="",$BR145=""),"",IF('Tally Helper'!$B$48&lt;&gt;TRUE(),"not on Staff",SUMIFS('Tally Helper'!$L$50:$GI$50,'Tally Helper'!$L$48:$GI$48,"&gt;="&amp;$BR145,'Tally Helper'!$L$48:$GI$48,"&lt;="&amp;$BS145)))</f>
        <v/>
      </c>
      <c r="AN145" s="15" t="str">
        <f aca="false">IF(OR(R$7="",$BR145=""),"",IF('Tally Helper'!$B$51&lt;&gt;TRUE(),"not on Staff",SUMIFS('Tally Helper'!$L$53:$GI$53,'Tally Helper'!$L$51:$GI$51,"&gt;="&amp;$BR145,'Tally Helper'!$L$51:$GI$51,"&lt;="&amp;$BS145)))</f>
        <v/>
      </c>
      <c r="AO145" s="15" t="str">
        <f aca="false">IF(OR(S$7="",$BR145=""),"",IF('Tally Helper'!$B$54&lt;&gt;TRUE(),"not on Staff",SUMIFS('Tally Helper'!$L$56:$GI$56,'Tally Helper'!$L$54:$GI$54,"&gt;="&amp;$BR145,'Tally Helper'!$L$54:$GI$54,"&lt;="&amp;$BS145)))</f>
        <v/>
      </c>
      <c r="AP145" s="15" t="str">
        <f aca="false">IF(OR(T$7="",$BR145=""),"",IF('Tally Helper'!$B$57&lt;&gt;TRUE(),"not on Staff",SUMIFS('Tally Helper'!$L$59:$GI$59,'Tally Helper'!$L$57:$GI$57,"&gt;="&amp;$BR145,'Tally Helper'!$L$57:$GI$57,"&lt;="&amp;$BS145)))</f>
        <v/>
      </c>
      <c r="AQ145" s="15" t="str">
        <f aca="false">IF(OR(U$7="",$BR145=""),"",IF('Tally Helper'!$B$60&lt;&gt;TRUE(),"not on Staff",SUMIFS('Tally Helper'!$L$62:$GI$62,'Tally Helper'!$L$60:$GI$60,"&gt;="&amp;$BR145,'Tally Helper'!$L$60:$GI$60,"&lt;="&amp;$BS145)))</f>
        <v/>
      </c>
      <c r="AT145" s="15" t="str">
        <f aca="false">IF(OR(X145="",NOT(ISNUMBER(X145))),"",X145-N(B145))</f>
        <v/>
      </c>
      <c r="AU145" s="15" t="str">
        <f aca="false">IF(OR(Y145="",NOT(ISNUMBER(Y145))),"",Y145-N(C145))</f>
        <v/>
      </c>
      <c r="AV145" s="15" t="str">
        <f aca="false">IF(OR(Z145="",NOT(ISNUMBER(Z145))),"",Z145-N(D145))</f>
        <v/>
      </c>
      <c r="AW145" s="15" t="str">
        <f aca="false">IF(OR(AA145="",NOT(ISNUMBER(AA145))),"",AA145-N(E145))</f>
        <v/>
      </c>
      <c r="AX145" s="15" t="str">
        <f aca="false">IF(OR(AB145="",NOT(ISNUMBER(AB145))),"",AB145-N(F145))</f>
        <v/>
      </c>
      <c r="AY145" s="15" t="str">
        <f aca="false">IF(OR(AC145="",NOT(ISNUMBER(AC145))),"",AC145-N(G145))</f>
        <v/>
      </c>
      <c r="AZ145" s="15" t="str">
        <f aca="false">IF(OR(AD145="",NOT(ISNUMBER(AD145))),"",AD145-N(H145))</f>
        <v/>
      </c>
      <c r="BA145" s="15" t="str">
        <f aca="false">IF(OR(AE145="",NOT(ISNUMBER(AE145))),"",AE145-N(I145))</f>
        <v/>
      </c>
      <c r="BB145" s="15" t="str">
        <f aca="false">IF(OR(AF145="",NOT(ISNUMBER(AF145))),"",AF145-N(J145))</f>
        <v/>
      </c>
      <c r="BC145" s="15" t="str">
        <f aca="false">IF(OR(AG145="",NOT(ISNUMBER(AG145))),"",AG145-N(K145))</f>
        <v/>
      </c>
      <c r="BD145" s="15" t="str">
        <f aca="false">IF(OR(AH145="",NOT(ISNUMBER(AH145))),"",AH145-N(L145))</f>
        <v/>
      </c>
      <c r="BE145" s="15" t="str">
        <f aca="false">IF(OR(AI145="",NOT(ISNUMBER(AI145))),"",AI145-N(M145))</f>
        <v/>
      </c>
      <c r="BF145" s="15" t="str">
        <f aca="false">IF(OR(AJ145="",NOT(ISNUMBER(AJ145))),"",AJ145-N(N145))</f>
        <v/>
      </c>
      <c r="BG145" s="15" t="str">
        <f aca="false">IF(OR(AK145="",NOT(ISNUMBER(AK145))),"",AK145-N(O145))</f>
        <v/>
      </c>
      <c r="BH145" s="15" t="str">
        <f aca="false">IF(OR(AL145="",NOT(ISNUMBER(AL145))),"",AL145-N(P145))</f>
        <v/>
      </c>
      <c r="BI145" s="15" t="str">
        <f aca="false">IF(OR(AM145="",NOT(ISNUMBER(AM145))),"",AM145-N(Q145))</f>
        <v/>
      </c>
      <c r="BJ145" s="15" t="str">
        <f aca="false">IF(OR(AN145="",NOT(ISNUMBER(AN145))),"",AN145-N(R145))</f>
        <v/>
      </c>
      <c r="BK145" s="15" t="str">
        <f aca="false">IF(OR(AO145="",NOT(ISNUMBER(AO145))),"",AO145-N(S145))</f>
        <v/>
      </c>
      <c r="BL145" s="15" t="str">
        <f aca="false">IF(OR(AP145="",NOT(ISNUMBER(AP145))),"",AP145-N(T145))</f>
        <v/>
      </c>
      <c r="BM145" s="15" t="str">
        <f aca="false">IF(OR(AQ145="",NOT(ISNUMBER(AQ145))),"",AQ145-N(U145))</f>
        <v/>
      </c>
      <c r="BR145" s="18" t="str">
        <f aca="false">IF($A145="","",IF(ISNUMBER($A145),DATE(YEAR($A145),MONTH($A145),1),IFERROR(DATE(2000+VALUE(RIGHT(TRIM($A145),2)),MATCH(UPPER(LEFT(TRIM($A145),3)),{"JAN","FEB","MAR","APR","MAY","JUN","JUL","AUG","SEP","OCT","NOV","DEC"},0),1),"")))</f>
        <v/>
      </c>
      <c r="BS145" s="18" t="str">
        <f aca="false">IF(BR145="","",EOMONTH(BR145,0))</f>
        <v/>
      </c>
    </row>
    <row r="146" customFormat="false" ht="15" hidden="false" customHeight="false" outlineLevel="0" collapsed="false">
      <c r="B146" s="19"/>
      <c r="C146" s="19"/>
      <c r="D146" s="19"/>
      <c r="E146" s="19"/>
      <c r="F146" s="19"/>
      <c r="G146" s="19"/>
      <c r="H146" s="19"/>
      <c r="I146" s="19"/>
      <c r="J146" s="19"/>
      <c r="K146" s="19"/>
      <c r="L146" s="19"/>
      <c r="M146" s="19"/>
      <c r="N146" s="19"/>
      <c r="O146" s="19"/>
      <c r="P146" s="19"/>
      <c r="Q146" s="19"/>
      <c r="R146" s="19"/>
      <c r="S146" s="19"/>
      <c r="T146" s="19"/>
      <c r="U146" s="19"/>
      <c r="X146" s="15" t="str">
        <f aca="false">IF(OR(B$7="",$BR146=""),"",IF('Tally Helper'!$B$3&lt;&gt;TRUE(),"not on Staff",SUMIFS('Tally Helper'!$L$5:$GI$5,'Tally Helper'!$L$3:$GI$3,"&gt;="&amp;$BR146,'Tally Helper'!$L$3:$GI$3,"&lt;="&amp;$BS146)))</f>
        <v/>
      </c>
      <c r="Y146" s="15" t="str">
        <f aca="false">IF(OR(C$7="",$BR146=""),"",IF('Tally Helper'!$B$6&lt;&gt;TRUE(),"not on Staff",SUMIFS('Tally Helper'!$L$8:$GI$8,'Tally Helper'!$L$6:$GI$6,"&gt;="&amp;$BR146,'Tally Helper'!$L$6:$GI$6,"&lt;="&amp;$BS146)))</f>
        <v/>
      </c>
      <c r="Z146" s="15" t="str">
        <f aca="false">IF(OR(D$7="",$BR146=""),"",IF('Tally Helper'!$B$9&lt;&gt;TRUE(),"not on Staff",SUMIFS('Tally Helper'!$L$11:$GI$11,'Tally Helper'!$L$9:$GI$9,"&gt;="&amp;$BR146,'Tally Helper'!$L$9:$GI$9,"&lt;="&amp;$BS146)))</f>
        <v/>
      </c>
      <c r="AA146" s="15" t="str">
        <f aca="false">IF(OR(E$7="",$BR146=""),"",IF('Tally Helper'!$B$12&lt;&gt;TRUE(),"not on Staff",SUMIFS('Tally Helper'!$L$14:$GI$14,'Tally Helper'!$L$12:$GI$12,"&gt;="&amp;$BR146,'Tally Helper'!$L$12:$GI$12,"&lt;="&amp;$BS146)))</f>
        <v/>
      </c>
      <c r="AB146" s="15" t="str">
        <f aca="false">IF(OR(F$7="",$BR146=""),"",IF('Tally Helper'!$B$15&lt;&gt;TRUE(),"not on Staff",SUMIFS('Tally Helper'!$L$17:$GI$17,'Tally Helper'!$L$15:$GI$15,"&gt;="&amp;$BR146,'Tally Helper'!$L$15:$GI$15,"&lt;="&amp;$BS146)))</f>
        <v/>
      </c>
      <c r="AC146" s="15" t="str">
        <f aca="false">IF(OR(G$7="",$BR146=""),"",IF('Tally Helper'!$B$18&lt;&gt;TRUE(),"not on Staff",SUMIFS('Tally Helper'!$L$20:$GI$20,'Tally Helper'!$L$18:$GI$18,"&gt;="&amp;$BR146,'Tally Helper'!$L$18:$GI$18,"&lt;="&amp;$BS146)))</f>
        <v/>
      </c>
      <c r="AD146" s="15" t="str">
        <f aca="false">IF(OR(H$7="",$BR146=""),"",IF('Tally Helper'!$B$21&lt;&gt;TRUE(),"not on Staff",SUMIFS('Tally Helper'!$L$23:$GI$23,'Tally Helper'!$L$21:$GI$21,"&gt;="&amp;$BR146,'Tally Helper'!$L$21:$GI$21,"&lt;="&amp;$BS146)))</f>
        <v/>
      </c>
      <c r="AE146" s="15" t="str">
        <f aca="false">IF(OR(I$7="",$BR146=""),"",IF('Tally Helper'!$B$24&lt;&gt;TRUE(),"not on Staff",SUMIFS('Tally Helper'!$L$26:$GI$26,'Tally Helper'!$L$24:$GI$24,"&gt;="&amp;$BR146,'Tally Helper'!$L$24:$GI$24,"&lt;="&amp;$BS146)))</f>
        <v/>
      </c>
      <c r="AF146" s="15" t="str">
        <f aca="false">IF(OR(J$7="",$BR146=""),"",IF('Tally Helper'!$B$27&lt;&gt;TRUE(),"not on Staff",SUMIFS('Tally Helper'!$L$29:$GI$29,'Tally Helper'!$L$27:$GI$27,"&gt;="&amp;$BR146,'Tally Helper'!$L$27:$GI$27,"&lt;="&amp;$BS146)))</f>
        <v/>
      </c>
      <c r="AG146" s="15" t="str">
        <f aca="false">IF(OR(K$7="",$BR146=""),"",IF('Tally Helper'!$B$30&lt;&gt;TRUE(),"not on Staff",SUMIFS('Tally Helper'!$L$32:$GI$32,'Tally Helper'!$L$30:$GI$30,"&gt;="&amp;$BR146,'Tally Helper'!$L$30:$GI$30,"&lt;="&amp;$BS146)))</f>
        <v/>
      </c>
      <c r="AH146" s="15" t="str">
        <f aca="false">IF(OR(L$7="",$BR146=""),"",IF('Tally Helper'!$B$33&lt;&gt;TRUE(),"not on Staff",SUMIFS('Tally Helper'!$L$35:$GI$35,'Tally Helper'!$L$33:$GI$33,"&gt;="&amp;$BR146,'Tally Helper'!$L$33:$GI$33,"&lt;="&amp;$BS146)))</f>
        <v/>
      </c>
      <c r="AI146" s="15" t="str">
        <f aca="false">IF(OR(M$7="",$BR146=""),"",IF('Tally Helper'!$B$36&lt;&gt;TRUE(),"not on Staff",SUMIFS('Tally Helper'!$L$38:$GI$38,'Tally Helper'!$L$36:$GI$36,"&gt;="&amp;$BR146,'Tally Helper'!$L$36:$GI$36,"&lt;="&amp;$BS146)))</f>
        <v/>
      </c>
      <c r="AJ146" s="15" t="str">
        <f aca="false">IF(OR(N$7="",$BR146=""),"",IF('Tally Helper'!$B$39&lt;&gt;TRUE(),"not on Staff",SUMIFS('Tally Helper'!$L$41:$GI$41,'Tally Helper'!$L$39:$GI$39,"&gt;="&amp;$BR146,'Tally Helper'!$L$39:$GI$39,"&lt;="&amp;$BS146)))</f>
        <v/>
      </c>
      <c r="AK146" s="15" t="str">
        <f aca="false">IF(OR(O$7="",$BR146=""),"",IF('Tally Helper'!$B$42&lt;&gt;TRUE(),"not on Staff",SUMIFS('Tally Helper'!$L$44:$GI$44,'Tally Helper'!$L$42:$GI$42,"&gt;="&amp;$BR146,'Tally Helper'!$L$42:$GI$42,"&lt;="&amp;$BS146)))</f>
        <v/>
      </c>
      <c r="AL146" s="15" t="str">
        <f aca="false">IF(OR(P$7="",$BR146=""),"",IF('Tally Helper'!$B$45&lt;&gt;TRUE(),"not on Staff",SUMIFS('Tally Helper'!$L$47:$GI$47,'Tally Helper'!$L$45:$GI$45,"&gt;="&amp;$BR146,'Tally Helper'!$L$45:$GI$45,"&lt;="&amp;$BS146)))</f>
        <v/>
      </c>
      <c r="AM146" s="15" t="str">
        <f aca="false">IF(OR(Q$7="",$BR146=""),"",IF('Tally Helper'!$B$48&lt;&gt;TRUE(),"not on Staff",SUMIFS('Tally Helper'!$L$50:$GI$50,'Tally Helper'!$L$48:$GI$48,"&gt;="&amp;$BR146,'Tally Helper'!$L$48:$GI$48,"&lt;="&amp;$BS146)))</f>
        <v/>
      </c>
      <c r="AN146" s="15" t="str">
        <f aca="false">IF(OR(R$7="",$BR146=""),"",IF('Tally Helper'!$B$51&lt;&gt;TRUE(),"not on Staff",SUMIFS('Tally Helper'!$L$53:$GI$53,'Tally Helper'!$L$51:$GI$51,"&gt;="&amp;$BR146,'Tally Helper'!$L$51:$GI$51,"&lt;="&amp;$BS146)))</f>
        <v/>
      </c>
      <c r="AO146" s="15" t="str">
        <f aca="false">IF(OR(S$7="",$BR146=""),"",IF('Tally Helper'!$B$54&lt;&gt;TRUE(),"not on Staff",SUMIFS('Tally Helper'!$L$56:$GI$56,'Tally Helper'!$L$54:$GI$54,"&gt;="&amp;$BR146,'Tally Helper'!$L$54:$GI$54,"&lt;="&amp;$BS146)))</f>
        <v/>
      </c>
      <c r="AP146" s="15" t="str">
        <f aca="false">IF(OR(T$7="",$BR146=""),"",IF('Tally Helper'!$B$57&lt;&gt;TRUE(),"not on Staff",SUMIFS('Tally Helper'!$L$59:$GI$59,'Tally Helper'!$L$57:$GI$57,"&gt;="&amp;$BR146,'Tally Helper'!$L$57:$GI$57,"&lt;="&amp;$BS146)))</f>
        <v/>
      </c>
      <c r="AQ146" s="15" t="str">
        <f aca="false">IF(OR(U$7="",$BR146=""),"",IF('Tally Helper'!$B$60&lt;&gt;TRUE(),"not on Staff",SUMIFS('Tally Helper'!$L$62:$GI$62,'Tally Helper'!$L$60:$GI$60,"&gt;="&amp;$BR146,'Tally Helper'!$L$60:$GI$60,"&lt;="&amp;$BS146)))</f>
        <v/>
      </c>
      <c r="AT146" s="15" t="str">
        <f aca="false">IF(OR(X146="",NOT(ISNUMBER(X146))),"",X146-N(B146))</f>
        <v/>
      </c>
      <c r="AU146" s="15" t="str">
        <f aca="false">IF(OR(Y146="",NOT(ISNUMBER(Y146))),"",Y146-N(C146))</f>
        <v/>
      </c>
      <c r="AV146" s="15" t="str">
        <f aca="false">IF(OR(Z146="",NOT(ISNUMBER(Z146))),"",Z146-N(D146))</f>
        <v/>
      </c>
      <c r="AW146" s="15" t="str">
        <f aca="false">IF(OR(AA146="",NOT(ISNUMBER(AA146))),"",AA146-N(E146))</f>
        <v/>
      </c>
      <c r="AX146" s="15" t="str">
        <f aca="false">IF(OR(AB146="",NOT(ISNUMBER(AB146))),"",AB146-N(F146))</f>
        <v/>
      </c>
      <c r="AY146" s="15" t="str">
        <f aca="false">IF(OR(AC146="",NOT(ISNUMBER(AC146))),"",AC146-N(G146))</f>
        <v/>
      </c>
      <c r="AZ146" s="15" t="str">
        <f aca="false">IF(OR(AD146="",NOT(ISNUMBER(AD146))),"",AD146-N(H146))</f>
        <v/>
      </c>
      <c r="BA146" s="15" t="str">
        <f aca="false">IF(OR(AE146="",NOT(ISNUMBER(AE146))),"",AE146-N(I146))</f>
        <v/>
      </c>
      <c r="BB146" s="15" t="str">
        <f aca="false">IF(OR(AF146="",NOT(ISNUMBER(AF146))),"",AF146-N(J146))</f>
        <v/>
      </c>
      <c r="BC146" s="15" t="str">
        <f aca="false">IF(OR(AG146="",NOT(ISNUMBER(AG146))),"",AG146-N(K146))</f>
        <v/>
      </c>
      <c r="BD146" s="15" t="str">
        <f aca="false">IF(OR(AH146="",NOT(ISNUMBER(AH146))),"",AH146-N(L146))</f>
        <v/>
      </c>
      <c r="BE146" s="15" t="str">
        <f aca="false">IF(OR(AI146="",NOT(ISNUMBER(AI146))),"",AI146-N(M146))</f>
        <v/>
      </c>
      <c r="BF146" s="15" t="str">
        <f aca="false">IF(OR(AJ146="",NOT(ISNUMBER(AJ146))),"",AJ146-N(N146))</f>
        <v/>
      </c>
      <c r="BG146" s="15" t="str">
        <f aca="false">IF(OR(AK146="",NOT(ISNUMBER(AK146))),"",AK146-N(O146))</f>
        <v/>
      </c>
      <c r="BH146" s="15" t="str">
        <f aca="false">IF(OR(AL146="",NOT(ISNUMBER(AL146))),"",AL146-N(P146))</f>
        <v/>
      </c>
      <c r="BI146" s="15" t="str">
        <f aca="false">IF(OR(AM146="",NOT(ISNUMBER(AM146))),"",AM146-N(Q146))</f>
        <v/>
      </c>
      <c r="BJ146" s="15" t="str">
        <f aca="false">IF(OR(AN146="",NOT(ISNUMBER(AN146))),"",AN146-N(R146))</f>
        <v/>
      </c>
      <c r="BK146" s="15" t="str">
        <f aca="false">IF(OR(AO146="",NOT(ISNUMBER(AO146))),"",AO146-N(S146))</f>
        <v/>
      </c>
      <c r="BL146" s="15" t="str">
        <f aca="false">IF(OR(AP146="",NOT(ISNUMBER(AP146))),"",AP146-N(T146))</f>
        <v/>
      </c>
      <c r="BM146" s="15" t="str">
        <f aca="false">IF(OR(AQ146="",NOT(ISNUMBER(AQ146))),"",AQ146-N(U146))</f>
        <v/>
      </c>
      <c r="BR146" s="18" t="str">
        <f aca="false">IF($A146="","",IF(ISNUMBER($A146),DATE(YEAR($A146),MONTH($A146),1),IFERROR(DATE(2000+VALUE(RIGHT(TRIM($A146),2)),MATCH(UPPER(LEFT(TRIM($A146),3)),{"JAN","FEB","MAR","APR","MAY","JUN","JUL","AUG","SEP","OCT","NOV","DEC"},0),1),"")))</f>
        <v/>
      </c>
      <c r="BS146" s="18" t="str">
        <f aca="false">IF(BR146="","",EOMONTH(BR146,0))</f>
        <v/>
      </c>
    </row>
    <row r="147" customFormat="false" ht="15" hidden="false" customHeight="false" outlineLevel="0" collapsed="false">
      <c r="B147" s="19"/>
      <c r="C147" s="19"/>
      <c r="D147" s="19"/>
      <c r="E147" s="19"/>
      <c r="F147" s="19"/>
      <c r="G147" s="19"/>
      <c r="H147" s="19"/>
      <c r="I147" s="19"/>
      <c r="J147" s="19"/>
      <c r="K147" s="19"/>
      <c r="L147" s="19"/>
      <c r="M147" s="19"/>
      <c r="N147" s="19"/>
      <c r="O147" s="19"/>
      <c r="P147" s="19"/>
      <c r="Q147" s="19"/>
      <c r="R147" s="19"/>
      <c r="S147" s="19"/>
      <c r="T147" s="19"/>
      <c r="U147" s="19"/>
      <c r="X147" s="15" t="str">
        <f aca="false">IF(OR(B$7="",$BR147=""),"",IF('Tally Helper'!$B$3&lt;&gt;TRUE(),"not on Staff",SUMIFS('Tally Helper'!$L$5:$GI$5,'Tally Helper'!$L$3:$GI$3,"&gt;="&amp;$BR147,'Tally Helper'!$L$3:$GI$3,"&lt;="&amp;$BS147)))</f>
        <v/>
      </c>
      <c r="Y147" s="15" t="str">
        <f aca="false">IF(OR(C$7="",$BR147=""),"",IF('Tally Helper'!$B$6&lt;&gt;TRUE(),"not on Staff",SUMIFS('Tally Helper'!$L$8:$GI$8,'Tally Helper'!$L$6:$GI$6,"&gt;="&amp;$BR147,'Tally Helper'!$L$6:$GI$6,"&lt;="&amp;$BS147)))</f>
        <v/>
      </c>
      <c r="Z147" s="15" t="str">
        <f aca="false">IF(OR(D$7="",$BR147=""),"",IF('Tally Helper'!$B$9&lt;&gt;TRUE(),"not on Staff",SUMIFS('Tally Helper'!$L$11:$GI$11,'Tally Helper'!$L$9:$GI$9,"&gt;="&amp;$BR147,'Tally Helper'!$L$9:$GI$9,"&lt;="&amp;$BS147)))</f>
        <v/>
      </c>
      <c r="AA147" s="15" t="str">
        <f aca="false">IF(OR(E$7="",$BR147=""),"",IF('Tally Helper'!$B$12&lt;&gt;TRUE(),"not on Staff",SUMIFS('Tally Helper'!$L$14:$GI$14,'Tally Helper'!$L$12:$GI$12,"&gt;="&amp;$BR147,'Tally Helper'!$L$12:$GI$12,"&lt;="&amp;$BS147)))</f>
        <v/>
      </c>
      <c r="AB147" s="15" t="str">
        <f aca="false">IF(OR(F$7="",$BR147=""),"",IF('Tally Helper'!$B$15&lt;&gt;TRUE(),"not on Staff",SUMIFS('Tally Helper'!$L$17:$GI$17,'Tally Helper'!$L$15:$GI$15,"&gt;="&amp;$BR147,'Tally Helper'!$L$15:$GI$15,"&lt;="&amp;$BS147)))</f>
        <v/>
      </c>
      <c r="AC147" s="15" t="str">
        <f aca="false">IF(OR(G$7="",$BR147=""),"",IF('Tally Helper'!$B$18&lt;&gt;TRUE(),"not on Staff",SUMIFS('Tally Helper'!$L$20:$GI$20,'Tally Helper'!$L$18:$GI$18,"&gt;="&amp;$BR147,'Tally Helper'!$L$18:$GI$18,"&lt;="&amp;$BS147)))</f>
        <v/>
      </c>
      <c r="AD147" s="15" t="str">
        <f aca="false">IF(OR(H$7="",$BR147=""),"",IF('Tally Helper'!$B$21&lt;&gt;TRUE(),"not on Staff",SUMIFS('Tally Helper'!$L$23:$GI$23,'Tally Helper'!$L$21:$GI$21,"&gt;="&amp;$BR147,'Tally Helper'!$L$21:$GI$21,"&lt;="&amp;$BS147)))</f>
        <v/>
      </c>
      <c r="AE147" s="15" t="str">
        <f aca="false">IF(OR(I$7="",$BR147=""),"",IF('Tally Helper'!$B$24&lt;&gt;TRUE(),"not on Staff",SUMIFS('Tally Helper'!$L$26:$GI$26,'Tally Helper'!$L$24:$GI$24,"&gt;="&amp;$BR147,'Tally Helper'!$L$24:$GI$24,"&lt;="&amp;$BS147)))</f>
        <v/>
      </c>
      <c r="AF147" s="15" t="str">
        <f aca="false">IF(OR(J$7="",$BR147=""),"",IF('Tally Helper'!$B$27&lt;&gt;TRUE(),"not on Staff",SUMIFS('Tally Helper'!$L$29:$GI$29,'Tally Helper'!$L$27:$GI$27,"&gt;="&amp;$BR147,'Tally Helper'!$L$27:$GI$27,"&lt;="&amp;$BS147)))</f>
        <v/>
      </c>
      <c r="AG147" s="15" t="str">
        <f aca="false">IF(OR(K$7="",$BR147=""),"",IF('Tally Helper'!$B$30&lt;&gt;TRUE(),"not on Staff",SUMIFS('Tally Helper'!$L$32:$GI$32,'Tally Helper'!$L$30:$GI$30,"&gt;="&amp;$BR147,'Tally Helper'!$L$30:$GI$30,"&lt;="&amp;$BS147)))</f>
        <v/>
      </c>
      <c r="AH147" s="15" t="str">
        <f aca="false">IF(OR(L$7="",$BR147=""),"",IF('Tally Helper'!$B$33&lt;&gt;TRUE(),"not on Staff",SUMIFS('Tally Helper'!$L$35:$GI$35,'Tally Helper'!$L$33:$GI$33,"&gt;="&amp;$BR147,'Tally Helper'!$L$33:$GI$33,"&lt;="&amp;$BS147)))</f>
        <v/>
      </c>
      <c r="AI147" s="15" t="str">
        <f aca="false">IF(OR(M$7="",$BR147=""),"",IF('Tally Helper'!$B$36&lt;&gt;TRUE(),"not on Staff",SUMIFS('Tally Helper'!$L$38:$GI$38,'Tally Helper'!$L$36:$GI$36,"&gt;="&amp;$BR147,'Tally Helper'!$L$36:$GI$36,"&lt;="&amp;$BS147)))</f>
        <v/>
      </c>
      <c r="AJ147" s="15" t="str">
        <f aca="false">IF(OR(N$7="",$BR147=""),"",IF('Tally Helper'!$B$39&lt;&gt;TRUE(),"not on Staff",SUMIFS('Tally Helper'!$L$41:$GI$41,'Tally Helper'!$L$39:$GI$39,"&gt;="&amp;$BR147,'Tally Helper'!$L$39:$GI$39,"&lt;="&amp;$BS147)))</f>
        <v/>
      </c>
      <c r="AK147" s="15" t="str">
        <f aca="false">IF(OR(O$7="",$BR147=""),"",IF('Tally Helper'!$B$42&lt;&gt;TRUE(),"not on Staff",SUMIFS('Tally Helper'!$L$44:$GI$44,'Tally Helper'!$L$42:$GI$42,"&gt;="&amp;$BR147,'Tally Helper'!$L$42:$GI$42,"&lt;="&amp;$BS147)))</f>
        <v/>
      </c>
      <c r="AL147" s="15" t="str">
        <f aca="false">IF(OR(P$7="",$BR147=""),"",IF('Tally Helper'!$B$45&lt;&gt;TRUE(),"not on Staff",SUMIFS('Tally Helper'!$L$47:$GI$47,'Tally Helper'!$L$45:$GI$45,"&gt;="&amp;$BR147,'Tally Helper'!$L$45:$GI$45,"&lt;="&amp;$BS147)))</f>
        <v/>
      </c>
      <c r="AM147" s="15" t="str">
        <f aca="false">IF(OR(Q$7="",$BR147=""),"",IF('Tally Helper'!$B$48&lt;&gt;TRUE(),"not on Staff",SUMIFS('Tally Helper'!$L$50:$GI$50,'Tally Helper'!$L$48:$GI$48,"&gt;="&amp;$BR147,'Tally Helper'!$L$48:$GI$48,"&lt;="&amp;$BS147)))</f>
        <v/>
      </c>
      <c r="AN147" s="15" t="str">
        <f aca="false">IF(OR(R$7="",$BR147=""),"",IF('Tally Helper'!$B$51&lt;&gt;TRUE(),"not on Staff",SUMIFS('Tally Helper'!$L$53:$GI$53,'Tally Helper'!$L$51:$GI$51,"&gt;="&amp;$BR147,'Tally Helper'!$L$51:$GI$51,"&lt;="&amp;$BS147)))</f>
        <v/>
      </c>
      <c r="AO147" s="15" t="str">
        <f aca="false">IF(OR(S$7="",$BR147=""),"",IF('Tally Helper'!$B$54&lt;&gt;TRUE(),"not on Staff",SUMIFS('Tally Helper'!$L$56:$GI$56,'Tally Helper'!$L$54:$GI$54,"&gt;="&amp;$BR147,'Tally Helper'!$L$54:$GI$54,"&lt;="&amp;$BS147)))</f>
        <v/>
      </c>
      <c r="AP147" s="15" t="str">
        <f aca="false">IF(OR(T$7="",$BR147=""),"",IF('Tally Helper'!$B$57&lt;&gt;TRUE(),"not on Staff",SUMIFS('Tally Helper'!$L$59:$GI$59,'Tally Helper'!$L$57:$GI$57,"&gt;="&amp;$BR147,'Tally Helper'!$L$57:$GI$57,"&lt;="&amp;$BS147)))</f>
        <v/>
      </c>
      <c r="AQ147" s="15" t="str">
        <f aca="false">IF(OR(U$7="",$BR147=""),"",IF('Tally Helper'!$B$60&lt;&gt;TRUE(),"not on Staff",SUMIFS('Tally Helper'!$L$62:$GI$62,'Tally Helper'!$L$60:$GI$60,"&gt;="&amp;$BR147,'Tally Helper'!$L$60:$GI$60,"&lt;="&amp;$BS147)))</f>
        <v/>
      </c>
      <c r="AT147" s="15" t="str">
        <f aca="false">IF(OR(X147="",NOT(ISNUMBER(X147))),"",X147-N(B147))</f>
        <v/>
      </c>
      <c r="AU147" s="15" t="str">
        <f aca="false">IF(OR(Y147="",NOT(ISNUMBER(Y147))),"",Y147-N(C147))</f>
        <v/>
      </c>
      <c r="AV147" s="15" t="str">
        <f aca="false">IF(OR(Z147="",NOT(ISNUMBER(Z147))),"",Z147-N(D147))</f>
        <v/>
      </c>
      <c r="AW147" s="15" t="str">
        <f aca="false">IF(OR(AA147="",NOT(ISNUMBER(AA147))),"",AA147-N(E147))</f>
        <v/>
      </c>
      <c r="AX147" s="15" t="str">
        <f aca="false">IF(OR(AB147="",NOT(ISNUMBER(AB147))),"",AB147-N(F147))</f>
        <v/>
      </c>
      <c r="AY147" s="15" t="str">
        <f aca="false">IF(OR(AC147="",NOT(ISNUMBER(AC147))),"",AC147-N(G147))</f>
        <v/>
      </c>
      <c r="AZ147" s="15" t="str">
        <f aca="false">IF(OR(AD147="",NOT(ISNUMBER(AD147))),"",AD147-N(H147))</f>
        <v/>
      </c>
      <c r="BA147" s="15" t="str">
        <f aca="false">IF(OR(AE147="",NOT(ISNUMBER(AE147))),"",AE147-N(I147))</f>
        <v/>
      </c>
      <c r="BB147" s="15" t="str">
        <f aca="false">IF(OR(AF147="",NOT(ISNUMBER(AF147))),"",AF147-N(J147))</f>
        <v/>
      </c>
      <c r="BC147" s="15" t="str">
        <f aca="false">IF(OR(AG147="",NOT(ISNUMBER(AG147))),"",AG147-N(K147))</f>
        <v/>
      </c>
      <c r="BD147" s="15" t="str">
        <f aca="false">IF(OR(AH147="",NOT(ISNUMBER(AH147))),"",AH147-N(L147))</f>
        <v/>
      </c>
      <c r="BE147" s="15" t="str">
        <f aca="false">IF(OR(AI147="",NOT(ISNUMBER(AI147))),"",AI147-N(M147))</f>
        <v/>
      </c>
      <c r="BF147" s="15" t="str">
        <f aca="false">IF(OR(AJ147="",NOT(ISNUMBER(AJ147))),"",AJ147-N(N147))</f>
        <v/>
      </c>
      <c r="BG147" s="15" t="str">
        <f aca="false">IF(OR(AK147="",NOT(ISNUMBER(AK147))),"",AK147-N(O147))</f>
        <v/>
      </c>
      <c r="BH147" s="15" t="str">
        <f aca="false">IF(OR(AL147="",NOT(ISNUMBER(AL147))),"",AL147-N(P147))</f>
        <v/>
      </c>
      <c r="BI147" s="15" t="str">
        <f aca="false">IF(OR(AM147="",NOT(ISNUMBER(AM147))),"",AM147-N(Q147))</f>
        <v/>
      </c>
      <c r="BJ147" s="15" t="str">
        <f aca="false">IF(OR(AN147="",NOT(ISNUMBER(AN147))),"",AN147-N(R147))</f>
        <v/>
      </c>
      <c r="BK147" s="15" t="str">
        <f aca="false">IF(OR(AO147="",NOT(ISNUMBER(AO147))),"",AO147-N(S147))</f>
        <v/>
      </c>
      <c r="BL147" s="15" t="str">
        <f aca="false">IF(OR(AP147="",NOT(ISNUMBER(AP147))),"",AP147-N(T147))</f>
        <v/>
      </c>
      <c r="BM147" s="15" t="str">
        <f aca="false">IF(OR(AQ147="",NOT(ISNUMBER(AQ147))),"",AQ147-N(U147))</f>
        <v/>
      </c>
      <c r="BR147" s="18" t="str">
        <f aca="false">IF($A147="","",IF(ISNUMBER($A147),DATE(YEAR($A147),MONTH($A147),1),IFERROR(DATE(2000+VALUE(RIGHT(TRIM($A147),2)),MATCH(UPPER(LEFT(TRIM($A147),3)),{"JAN","FEB","MAR","APR","MAY","JUN","JUL","AUG","SEP","OCT","NOV","DEC"},0),1),"")))</f>
        <v/>
      </c>
      <c r="BS147" s="18" t="str">
        <f aca="false">IF(BR147="","",EOMONTH(BR147,0))</f>
        <v/>
      </c>
    </row>
    <row r="148" customFormat="false" ht="15" hidden="false" customHeight="false" outlineLevel="0" collapsed="false">
      <c r="B148" s="19"/>
      <c r="C148" s="19"/>
      <c r="D148" s="19"/>
      <c r="E148" s="19"/>
      <c r="F148" s="19"/>
      <c r="G148" s="19"/>
      <c r="H148" s="19"/>
      <c r="I148" s="19"/>
      <c r="J148" s="19"/>
      <c r="K148" s="19"/>
      <c r="L148" s="19"/>
      <c r="M148" s="19"/>
      <c r="N148" s="19"/>
      <c r="O148" s="19"/>
      <c r="P148" s="19"/>
      <c r="Q148" s="19"/>
      <c r="R148" s="19"/>
      <c r="S148" s="19"/>
      <c r="T148" s="19"/>
      <c r="U148" s="19"/>
      <c r="X148" s="15" t="str">
        <f aca="false">IF(OR(B$7="",$BR148=""),"",IF('Tally Helper'!$B$3&lt;&gt;TRUE(),"not on Staff",SUMIFS('Tally Helper'!$L$5:$GI$5,'Tally Helper'!$L$3:$GI$3,"&gt;="&amp;$BR148,'Tally Helper'!$L$3:$GI$3,"&lt;="&amp;$BS148)))</f>
        <v/>
      </c>
      <c r="Y148" s="15" t="str">
        <f aca="false">IF(OR(C$7="",$BR148=""),"",IF('Tally Helper'!$B$6&lt;&gt;TRUE(),"not on Staff",SUMIFS('Tally Helper'!$L$8:$GI$8,'Tally Helper'!$L$6:$GI$6,"&gt;="&amp;$BR148,'Tally Helper'!$L$6:$GI$6,"&lt;="&amp;$BS148)))</f>
        <v/>
      </c>
      <c r="Z148" s="15" t="str">
        <f aca="false">IF(OR(D$7="",$BR148=""),"",IF('Tally Helper'!$B$9&lt;&gt;TRUE(),"not on Staff",SUMIFS('Tally Helper'!$L$11:$GI$11,'Tally Helper'!$L$9:$GI$9,"&gt;="&amp;$BR148,'Tally Helper'!$L$9:$GI$9,"&lt;="&amp;$BS148)))</f>
        <v/>
      </c>
      <c r="AA148" s="15" t="str">
        <f aca="false">IF(OR(E$7="",$BR148=""),"",IF('Tally Helper'!$B$12&lt;&gt;TRUE(),"not on Staff",SUMIFS('Tally Helper'!$L$14:$GI$14,'Tally Helper'!$L$12:$GI$12,"&gt;="&amp;$BR148,'Tally Helper'!$L$12:$GI$12,"&lt;="&amp;$BS148)))</f>
        <v/>
      </c>
      <c r="AB148" s="15" t="str">
        <f aca="false">IF(OR(F$7="",$BR148=""),"",IF('Tally Helper'!$B$15&lt;&gt;TRUE(),"not on Staff",SUMIFS('Tally Helper'!$L$17:$GI$17,'Tally Helper'!$L$15:$GI$15,"&gt;="&amp;$BR148,'Tally Helper'!$L$15:$GI$15,"&lt;="&amp;$BS148)))</f>
        <v/>
      </c>
      <c r="AC148" s="15" t="str">
        <f aca="false">IF(OR(G$7="",$BR148=""),"",IF('Tally Helper'!$B$18&lt;&gt;TRUE(),"not on Staff",SUMIFS('Tally Helper'!$L$20:$GI$20,'Tally Helper'!$L$18:$GI$18,"&gt;="&amp;$BR148,'Tally Helper'!$L$18:$GI$18,"&lt;="&amp;$BS148)))</f>
        <v/>
      </c>
      <c r="AD148" s="15" t="str">
        <f aca="false">IF(OR(H$7="",$BR148=""),"",IF('Tally Helper'!$B$21&lt;&gt;TRUE(),"not on Staff",SUMIFS('Tally Helper'!$L$23:$GI$23,'Tally Helper'!$L$21:$GI$21,"&gt;="&amp;$BR148,'Tally Helper'!$L$21:$GI$21,"&lt;="&amp;$BS148)))</f>
        <v/>
      </c>
      <c r="AE148" s="15" t="str">
        <f aca="false">IF(OR(I$7="",$BR148=""),"",IF('Tally Helper'!$B$24&lt;&gt;TRUE(),"not on Staff",SUMIFS('Tally Helper'!$L$26:$GI$26,'Tally Helper'!$L$24:$GI$24,"&gt;="&amp;$BR148,'Tally Helper'!$L$24:$GI$24,"&lt;="&amp;$BS148)))</f>
        <v/>
      </c>
      <c r="AF148" s="15" t="str">
        <f aca="false">IF(OR(J$7="",$BR148=""),"",IF('Tally Helper'!$B$27&lt;&gt;TRUE(),"not on Staff",SUMIFS('Tally Helper'!$L$29:$GI$29,'Tally Helper'!$L$27:$GI$27,"&gt;="&amp;$BR148,'Tally Helper'!$L$27:$GI$27,"&lt;="&amp;$BS148)))</f>
        <v/>
      </c>
      <c r="AG148" s="15" t="str">
        <f aca="false">IF(OR(K$7="",$BR148=""),"",IF('Tally Helper'!$B$30&lt;&gt;TRUE(),"not on Staff",SUMIFS('Tally Helper'!$L$32:$GI$32,'Tally Helper'!$L$30:$GI$30,"&gt;="&amp;$BR148,'Tally Helper'!$L$30:$GI$30,"&lt;="&amp;$BS148)))</f>
        <v/>
      </c>
      <c r="AH148" s="15" t="str">
        <f aca="false">IF(OR(L$7="",$BR148=""),"",IF('Tally Helper'!$B$33&lt;&gt;TRUE(),"not on Staff",SUMIFS('Tally Helper'!$L$35:$GI$35,'Tally Helper'!$L$33:$GI$33,"&gt;="&amp;$BR148,'Tally Helper'!$L$33:$GI$33,"&lt;="&amp;$BS148)))</f>
        <v/>
      </c>
      <c r="AI148" s="15" t="str">
        <f aca="false">IF(OR(M$7="",$BR148=""),"",IF('Tally Helper'!$B$36&lt;&gt;TRUE(),"not on Staff",SUMIFS('Tally Helper'!$L$38:$GI$38,'Tally Helper'!$L$36:$GI$36,"&gt;="&amp;$BR148,'Tally Helper'!$L$36:$GI$36,"&lt;="&amp;$BS148)))</f>
        <v/>
      </c>
      <c r="AJ148" s="15" t="str">
        <f aca="false">IF(OR(N$7="",$BR148=""),"",IF('Tally Helper'!$B$39&lt;&gt;TRUE(),"not on Staff",SUMIFS('Tally Helper'!$L$41:$GI$41,'Tally Helper'!$L$39:$GI$39,"&gt;="&amp;$BR148,'Tally Helper'!$L$39:$GI$39,"&lt;="&amp;$BS148)))</f>
        <v/>
      </c>
      <c r="AK148" s="15" t="str">
        <f aca="false">IF(OR(O$7="",$BR148=""),"",IF('Tally Helper'!$B$42&lt;&gt;TRUE(),"not on Staff",SUMIFS('Tally Helper'!$L$44:$GI$44,'Tally Helper'!$L$42:$GI$42,"&gt;="&amp;$BR148,'Tally Helper'!$L$42:$GI$42,"&lt;="&amp;$BS148)))</f>
        <v/>
      </c>
      <c r="AL148" s="15" t="str">
        <f aca="false">IF(OR(P$7="",$BR148=""),"",IF('Tally Helper'!$B$45&lt;&gt;TRUE(),"not on Staff",SUMIFS('Tally Helper'!$L$47:$GI$47,'Tally Helper'!$L$45:$GI$45,"&gt;="&amp;$BR148,'Tally Helper'!$L$45:$GI$45,"&lt;="&amp;$BS148)))</f>
        <v/>
      </c>
      <c r="AM148" s="15" t="str">
        <f aca="false">IF(OR(Q$7="",$BR148=""),"",IF('Tally Helper'!$B$48&lt;&gt;TRUE(),"not on Staff",SUMIFS('Tally Helper'!$L$50:$GI$50,'Tally Helper'!$L$48:$GI$48,"&gt;="&amp;$BR148,'Tally Helper'!$L$48:$GI$48,"&lt;="&amp;$BS148)))</f>
        <v/>
      </c>
      <c r="AN148" s="15" t="str">
        <f aca="false">IF(OR(R$7="",$BR148=""),"",IF('Tally Helper'!$B$51&lt;&gt;TRUE(),"not on Staff",SUMIFS('Tally Helper'!$L$53:$GI$53,'Tally Helper'!$L$51:$GI$51,"&gt;="&amp;$BR148,'Tally Helper'!$L$51:$GI$51,"&lt;="&amp;$BS148)))</f>
        <v/>
      </c>
      <c r="AO148" s="15" t="str">
        <f aca="false">IF(OR(S$7="",$BR148=""),"",IF('Tally Helper'!$B$54&lt;&gt;TRUE(),"not on Staff",SUMIFS('Tally Helper'!$L$56:$GI$56,'Tally Helper'!$L$54:$GI$54,"&gt;="&amp;$BR148,'Tally Helper'!$L$54:$GI$54,"&lt;="&amp;$BS148)))</f>
        <v/>
      </c>
      <c r="AP148" s="15" t="str">
        <f aca="false">IF(OR(T$7="",$BR148=""),"",IF('Tally Helper'!$B$57&lt;&gt;TRUE(),"not on Staff",SUMIFS('Tally Helper'!$L$59:$GI$59,'Tally Helper'!$L$57:$GI$57,"&gt;="&amp;$BR148,'Tally Helper'!$L$57:$GI$57,"&lt;="&amp;$BS148)))</f>
        <v/>
      </c>
      <c r="AQ148" s="15" t="str">
        <f aca="false">IF(OR(U$7="",$BR148=""),"",IF('Tally Helper'!$B$60&lt;&gt;TRUE(),"not on Staff",SUMIFS('Tally Helper'!$L$62:$GI$62,'Tally Helper'!$L$60:$GI$60,"&gt;="&amp;$BR148,'Tally Helper'!$L$60:$GI$60,"&lt;="&amp;$BS148)))</f>
        <v/>
      </c>
      <c r="AT148" s="15" t="str">
        <f aca="false">IF(OR(X148="",NOT(ISNUMBER(X148))),"",X148-N(B148))</f>
        <v/>
      </c>
      <c r="AU148" s="15" t="str">
        <f aca="false">IF(OR(Y148="",NOT(ISNUMBER(Y148))),"",Y148-N(C148))</f>
        <v/>
      </c>
      <c r="AV148" s="15" t="str">
        <f aca="false">IF(OR(Z148="",NOT(ISNUMBER(Z148))),"",Z148-N(D148))</f>
        <v/>
      </c>
      <c r="AW148" s="15" t="str">
        <f aca="false">IF(OR(AA148="",NOT(ISNUMBER(AA148))),"",AA148-N(E148))</f>
        <v/>
      </c>
      <c r="AX148" s="15" t="str">
        <f aca="false">IF(OR(AB148="",NOT(ISNUMBER(AB148))),"",AB148-N(F148))</f>
        <v/>
      </c>
      <c r="AY148" s="15" t="str">
        <f aca="false">IF(OR(AC148="",NOT(ISNUMBER(AC148))),"",AC148-N(G148))</f>
        <v/>
      </c>
      <c r="AZ148" s="15" t="str">
        <f aca="false">IF(OR(AD148="",NOT(ISNUMBER(AD148))),"",AD148-N(H148))</f>
        <v/>
      </c>
      <c r="BA148" s="15" t="str">
        <f aca="false">IF(OR(AE148="",NOT(ISNUMBER(AE148))),"",AE148-N(I148))</f>
        <v/>
      </c>
      <c r="BB148" s="15" t="str">
        <f aca="false">IF(OR(AF148="",NOT(ISNUMBER(AF148))),"",AF148-N(J148))</f>
        <v/>
      </c>
      <c r="BC148" s="15" t="str">
        <f aca="false">IF(OR(AG148="",NOT(ISNUMBER(AG148))),"",AG148-N(K148))</f>
        <v/>
      </c>
      <c r="BD148" s="15" t="str">
        <f aca="false">IF(OR(AH148="",NOT(ISNUMBER(AH148))),"",AH148-N(L148))</f>
        <v/>
      </c>
      <c r="BE148" s="15" t="str">
        <f aca="false">IF(OR(AI148="",NOT(ISNUMBER(AI148))),"",AI148-N(M148))</f>
        <v/>
      </c>
      <c r="BF148" s="15" t="str">
        <f aca="false">IF(OR(AJ148="",NOT(ISNUMBER(AJ148))),"",AJ148-N(N148))</f>
        <v/>
      </c>
      <c r="BG148" s="15" t="str">
        <f aca="false">IF(OR(AK148="",NOT(ISNUMBER(AK148))),"",AK148-N(O148))</f>
        <v/>
      </c>
      <c r="BH148" s="15" t="str">
        <f aca="false">IF(OR(AL148="",NOT(ISNUMBER(AL148))),"",AL148-N(P148))</f>
        <v/>
      </c>
      <c r="BI148" s="15" t="str">
        <f aca="false">IF(OR(AM148="",NOT(ISNUMBER(AM148))),"",AM148-N(Q148))</f>
        <v/>
      </c>
      <c r="BJ148" s="15" t="str">
        <f aca="false">IF(OR(AN148="",NOT(ISNUMBER(AN148))),"",AN148-N(R148))</f>
        <v/>
      </c>
      <c r="BK148" s="15" t="str">
        <f aca="false">IF(OR(AO148="",NOT(ISNUMBER(AO148))),"",AO148-N(S148))</f>
        <v/>
      </c>
      <c r="BL148" s="15" t="str">
        <f aca="false">IF(OR(AP148="",NOT(ISNUMBER(AP148))),"",AP148-N(T148))</f>
        <v/>
      </c>
      <c r="BM148" s="15" t="str">
        <f aca="false">IF(OR(AQ148="",NOT(ISNUMBER(AQ148))),"",AQ148-N(U148))</f>
        <v/>
      </c>
      <c r="BR148" s="18" t="str">
        <f aca="false">IF($A148="","",IF(ISNUMBER($A148),DATE(YEAR($A148),MONTH($A148),1),IFERROR(DATE(2000+VALUE(RIGHT(TRIM($A148),2)),MATCH(UPPER(LEFT(TRIM($A148),3)),{"JAN","FEB","MAR","APR","MAY","JUN","JUL","AUG","SEP","OCT","NOV","DEC"},0),1),"")))</f>
        <v/>
      </c>
      <c r="BS148" s="18" t="str">
        <f aca="false">IF(BR148="","",EOMONTH(BR148,0))</f>
        <v/>
      </c>
    </row>
    <row r="149" customFormat="false" ht="15" hidden="false" customHeight="false" outlineLevel="0" collapsed="false">
      <c r="B149" s="19"/>
      <c r="C149" s="19"/>
      <c r="D149" s="19"/>
      <c r="E149" s="19"/>
      <c r="F149" s="19"/>
      <c r="G149" s="19"/>
      <c r="H149" s="19"/>
      <c r="I149" s="19"/>
      <c r="J149" s="19"/>
      <c r="K149" s="19"/>
      <c r="L149" s="19"/>
      <c r="M149" s="19"/>
      <c r="N149" s="19"/>
      <c r="O149" s="19"/>
      <c r="P149" s="19"/>
      <c r="Q149" s="19"/>
      <c r="R149" s="19"/>
      <c r="S149" s="19"/>
      <c r="T149" s="19"/>
      <c r="U149" s="19"/>
      <c r="X149" s="15" t="str">
        <f aca="false">IF(OR(B$7="",$BR149=""),"",IF('Tally Helper'!$B$3&lt;&gt;TRUE(),"not on Staff",SUMIFS('Tally Helper'!$L$5:$GI$5,'Tally Helper'!$L$3:$GI$3,"&gt;="&amp;$BR149,'Tally Helper'!$L$3:$GI$3,"&lt;="&amp;$BS149)))</f>
        <v/>
      </c>
      <c r="Y149" s="15" t="str">
        <f aca="false">IF(OR(C$7="",$BR149=""),"",IF('Tally Helper'!$B$6&lt;&gt;TRUE(),"not on Staff",SUMIFS('Tally Helper'!$L$8:$GI$8,'Tally Helper'!$L$6:$GI$6,"&gt;="&amp;$BR149,'Tally Helper'!$L$6:$GI$6,"&lt;="&amp;$BS149)))</f>
        <v/>
      </c>
      <c r="Z149" s="15" t="str">
        <f aca="false">IF(OR(D$7="",$BR149=""),"",IF('Tally Helper'!$B$9&lt;&gt;TRUE(),"not on Staff",SUMIFS('Tally Helper'!$L$11:$GI$11,'Tally Helper'!$L$9:$GI$9,"&gt;="&amp;$BR149,'Tally Helper'!$L$9:$GI$9,"&lt;="&amp;$BS149)))</f>
        <v/>
      </c>
      <c r="AA149" s="15" t="str">
        <f aca="false">IF(OR(E$7="",$BR149=""),"",IF('Tally Helper'!$B$12&lt;&gt;TRUE(),"not on Staff",SUMIFS('Tally Helper'!$L$14:$GI$14,'Tally Helper'!$L$12:$GI$12,"&gt;="&amp;$BR149,'Tally Helper'!$L$12:$GI$12,"&lt;="&amp;$BS149)))</f>
        <v/>
      </c>
      <c r="AB149" s="15" t="str">
        <f aca="false">IF(OR(F$7="",$BR149=""),"",IF('Tally Helper'!$B$15&lt;&gt;TRUE(),"not on Staff",SUMIFS('Tally Helper'!$L$17:$GI$17,'Tally Helper'!$L$15:$GI$15,"&gt;="&amp;$BR149,'Tally Helper'!$L$15:$GI$15,"&lt;="&amp;$BS149)))</f>
        <v/>
      </c>
      <c r="AC149" s="15" t="str">
        <f aca="false">IF(OR(G$7="",$BR149=""),"",IF('Tally Helper'!$B$18&lt;&gt;TRUE(),"not on Staff",SUMIFS('Tally Helper'!$L$20:$GI$20,'Tally Helper'!$L$18:$GI$18,"&gt;="&amp;$BR149,'Tally Helper'!$L$18:$GI$18,"&lt;="&amp;$BS149)))</f>
        <v/>
      </c>
      <c r="AD149" s="15" t="str">
        <f aca="false">IF(OR(H$7="",$BR149=""),"",IF('Tally Helper'!$B$21&lt;&gt;TRUE(),"not on Staff",SUMIFS('Tally Helper'!$L$23:$GI$23,'Tally Helper'!$L$21:$GI$21,"&gt;="&amp;$BR149,'Tally Helper'!$L$21:$GI$21,"&lt;="&amp;$BS149)))</f>
        <v/>
      </c>
      <c r="AE149" s="15" t="str">
        <f aca="false">IF(OR(I$7="",$BR149=""),"",IF('Tally Helper'!$B$24&lt;&gt;TRUE(),"not on Staff",SUMIFS('Tally Helper'!$L$26:$GI$26,'Tally Helper'!$L$24:$GI$24,"&gt;="&amp;$BR149,'Tally Helper'!$L$24:$GI$24,"&lt;="&amp;$BS149)))</f>
        <v/>
      </c>
      <c r="AF149" s="15" t="str">
        <f aca="false">IF(OR(J$7="",$BR149=""),"",IF('Tally Helper'!$B$27&lt;&gt;TRUE(),"not on Staff",SUMIFS('Tally Helper'!$L$29:$GI$29,'Tally Helper'!$L$27:$GI$27,"&gt;="&amp;$BR149,'Tally Helper'!$L$27:$GI$27,"&lt;="&amp;$BS149)))</f>
        <v/>
      </c>
      <c r="AG149" s="15" t="str">
        <f aca="false">IF(OR(K$7="",$BR149=""),"",IF('Tally Helper'!$B$30&lt;&gt;TRUE(),"not on Staff",SUMIFS('Tally Helper'!$L$32:$GI$32,'Tally Helper'!$L$30:$GI$30,"&gt;="&amp;$BR149,'Tally Helper'!$L$30:$GI$30,"&lt;="&amp;$BS149)))</f>
        <v/>
      </c>
      <c r="AH149" s="15" t="str">
        <f aca="false">IF(OR(L$7="",$BR149=""),"",IF('Tally Helper'!$B$33&lt;&gt;TRUE(),"not on Staff",SUMIFS('Tally Helper'!$L$35:$GI$35,'Tally Helper'!$L$33:$GI$33,"&gt;="&amp;$BR149,'Tally Helper'!$L$33:$GI$33,"&lt;="&amp;$BS149)))</f>
        <v/>
      </c>
      <c r="AI149" s="15" t="str">
        <f aca="false">IF(OR(M$7="",$BR149=""),"",IF('Tally Helper'!$B$36&lt;&gt;TRUE(),"not on Staff",SUMIFS('Tally Helper'!$L$38:$GI$38,'Tally Helper'!$L$36:$GI$36,"&gt;="&amp;$BR149,'Tally Helper'!$L$36:$GI$36,"&lt;="&amp;$BS149)))</f>
        <v/>
      </c>
      <c r="AJ149" s="15" t="str">
        <f aca="false">IF(OR(N$7="",$BR149=""),"",IF('Tally Helper'!$B$39&lt;&gt;TRUE(),"not on Staff",SUMIFS('Tally Helper'!$L$41:$GI$41,'Tally Helper'!$L$39:$GI$39,"&gt;="&amp;$BR149,'Tally Helper'!$L$39:$GI$39,"&lt;="&amp;$BS149)))</f>
        <v/>
      </c>
      <c r="AK149" s="15" t="str">
        <f aca="false">IF(OR(O$7="",$BR149=""),"",IF('Tally Helper'!$B$42&lt;&gt;TRUE(),"not on Staff",SUMIFS('Tally Helper'!$L$44:$GI$44,'Tally Helper'!$L$42:$GI$42,"&gt;="&amp;$BR149,'Tally Helper'!$L$42:$GI$42,"&lt;="&amp;$BS149)))</f>
        <v/>
      </c>
      <c r="AL149" s="15" t="str">
        <f aca="false">IF(OR(P$7="",$BR149=""),"",IF('Tally Helper'!$B$45&lt;&gt;TRUE(),"not on Staff",SUMIFS('Tally Helper'!$L$47:$GI$47,'Tally Helper'!$L$45:$GI$45,"&gt;="&amp;$BR149,'Tally Helper'!$L$45:$GI$45,"&lt;="&amp;$BS149)))</f>
        <v/>
      </c>
      <c r="AM149" s="15" t="str">
        <f aca="false">IF(OR(Q$7="",$BR149=""),"",IF('Tally Helper'!$B$48&lt;&gt;TRUE(),"not on Staff",SUMIFS('Tally Helper'!$L$50:$GI$50,'Tally Helper'!$L$48:$GI$48,"&gt;="&amp;$BR149,'Tally Helper'!$L$48:$GI$48,"&lt;="&amp;$BS149)))</f>
        <v/>
      </c>
      <c r="AN149" s="15" t="str">
        <f aca="false">IF(OR(R$7="",$BR149=""),"",IF('Tally Helper'!$B$51&lt;&gt;TRUE(),"not on Staff",SUMIFS('Tally Helper'!$L$53:$GI$53,'Tally Helper'!$L$51:$GI$51,"&gt;="&amp;$BR149,'Tally Helper'!$L$51:$GI$51,"&lt;="&amp;$BS149)))</f>
        <v/>
      </c>
      <c r="AO149" s="15" t="str">
        <f aca="false">IF(OR(S$7="",$BR149=""),"",IF('Tally Helper'!$B$54&lt;&gt;TRUE(),"not on Staff",SUMIFS('Tally Helper'!$L$56:$GI$56,'Tally Helper'!$L$54:$GI$54,"&gt;="&amp;$BR149,'Tally Helper'!$L$54:$GI$54,"&lt;="&amp;$BS149)))</f>
        <v/>
      </c>
      <c r="AP149" s="15" t="str">
        <f aca="false">IF(OR(T$7="",$BR149=""),"",IF('Tally Helper'!$B$57&lt;&gt;TRUE(),"not on Staff",SUMIFS('Tally Helper'!$L$59:$GI$59,'Tally Helper'!$L$57:$GI$57,"&gt;="&amp;$BR149,'Tally Helper'!$L$57:$GI$57,"&lt;="&amp;$BS149)))</f>
        <v/>
      </c>
      <c r="AQ149" s="15" t="str">
        <f aca="false">IF(OR(U$7="",$BR149=""),"",IF('Tally Helper'!$B$60&lt;&gt;TRUE(),"not on Staff",SUMIFS('Tally Helper'!$L$62:$GI$62,'Tally Helper'!$L$60:$GI$60,"&gt;="&amp;$BR149,'Tally Helper'!$L$60:$GI$60,"&lt;="&amp;$BS149)))</f>
        <v/>
      </c>
      <c r="AT149" s="15" t="str">
        <f aca="false">IF(OR(X149="",NOT(ISNUMBER(X149))),"",X149-N(B149))</f>
        <v/>
      </c>
      <c r="AU149" s="15" t="str">
        <f aca="false">IF(OR(Y149="",NOT(ISNUMBER(Y149))),"",Y149-N(C149))</f>
        <v/>
      </c>
      <c r="AV149" s="15" t="str">
        <f aca="false">IF(OR(Z149="",NOT(ISNUMBER(Z149))),"",Z149-N(D149))</f>
        <v/>
      </c>
      <c r="AW149" s="15" t="str">
        <f aca="false">IF(OR(AA149="",NOT(ISNUMBER(AA149))),"",AA149-N(E149))</f>
        <v/>
      </c>
      <c r="AX149" s="15" t="str">
        <f aca="false">IF(OR(AB149="",NOT(ISNUMBER(AB149))),"",AB149-N(F149))</f>
        <v/>
      </c>
      <c r="AY149" s="15" t="str">
        <f aca="false">IF(OR(AC149="",NOT(ISNUMBER(AC149))),"",AC149-N(G149))</f>
        <v/>
      </c>
      <c r="AZ149" s="15" t="str">
        <f aca="false">IF(OR(AD149="",NOT(ISNUMBER(AD149))),"",AD149-N(H149))</f>
        <v/>
      </c>
      <c r="BA149" s="15" t="str">
        <f aca="false">IF(OR(AE149="",NOT(ISNUMBER(AE149))),"",AE149-N(I149))</f>
        <v/>
      </c>
      <c r="BB149" s="15" t="str">
        <f aca="false">IF(OR(AF149="",NOT(ISNUMBER(AF149))),"",AF149-N(J149))</f>
        <v/>
      </c>
      <c r="BC149" s="15" t="str">
        <f aca="false">IF(OR(AG149="",NOT(ISNUMBER(AG149))),"",AG149-N(K149))</f>
        <v/>
      </c>
      <c r="BD149" s="15" t="str">
        <f aca="false">IF(OR(AH149="",NOT(ISNUMBER(AH149))),"",AH149-N(L149))</f>
        <v/>
      </c>
      <c r="BE149" s="15" t="str">
        <f aca="false">IF(OR(AI149="",NOT(ISNUMBER(AI149))),"",AI149-N(M149))</f>
        <v/>
      </c>
      <c r="BF149" s="15" t="str">
        <f aca="false">IF(OR(AJ149="",NOT(ISNUMBER(AJ149))),"",AJ149-N(N149))</f>
        <v/>
      </c>
      <c r="BG149" s="15" t="str">
        <f aca="false">IF(OR(AK149="",NOT(ISNUMBER(AK149))),"",AK149-N(O149))</f>
        <v/>
      </c>
      <c r="BH149" s="15" t="str">
        <f aca="false">IF(OR(AL149="",NOT(ISNUMBER(AL149))),"",AL149-N(P149))</f>
        <v/>
      </c>
      <c r="BI149" s="15" t="str">
        <f aca="false">IF(OR(AM149="",NOT(ISNUMBER(AM149))),"",AM149-N(Q149))</f>
        <v/>
      </c>
      <c r="BJ149" s="15" t="str">
        <f aca="false">IF(OR(AN149="",NOT(ISNUMBER(AN149))),"",AN149-N(R149))</f>
        <v/>
      </c>
      <c r="BK149" s="15" t="str">
        <f aca="false">IF(OR(AO149="",NOT(ISNUMBER(AO149))),"",AO149-N(S149))</f>
        <v/>
      </c>
      <c r="BL149" s="15" t="str">
        <f aca="false">IF(OR(AP149="",NOT(ISNUMBER(AP149))),"",AP149-N(T149))</f>
        <v/>
      </c>
      <c r="BM149" s="15" t="str">
        <f aca="false">IF(OR(AQ149="",NOT(ISNUMBER(AQ149))),"",AQ149-N(U149))</f>
        <v/>
      </c>
      <c r="BR149" s="18" t="str">
        <f aca="false">IF($A149="","",IF(ISNUMBER($A149),DATE(YEAR($A149),MONTH($A149),1),IFERROR(DATE(2000+VALUE(RIGHT(TRIM($A149),2)),MATCH(UPPER(LEFT(TRIM($A149),3)),{"JAN","FEB","MAR","APR","MAY","JUN","JUL","AUG","SEP","OCT","NOV","DEC"},0),1),"")))</f>
        <v/>
      </c>
      <c r="BS149" s="18" t="str">
        <f aca="false">IF(BR149="","",EOMONTH(BR149,0))</f>
        <v/>
      </c>
    </row>
    <row r="150" customFormat="false" ht="15" hidden="false" customHeight="false" outlineLevel="0" collapsed="false">
      <c r="B150" s="19"/>
      <c r="C150" s="19"/>
      <c r="D150" s="19"/>
      <c r="E150" s="19"/>
      <c r="F150" s="19"/>
      <c r="G150" s="19"/>
      <c r="H150" s="19"/>
      <c r="I150" s="19"/>
      <c r="J150" s="19"/>
      <c r="K150" s="19"/>
      <c r="L150" s="19"/>
      <c r="M150" s="19"/>
      <c r="N150" s="19"/>
      <c r="O150" s="19"/>
      <c r="P150" s="19"/>
      <c r="Q150" s="19"/>
      <c r="R150" s="19"/>
      <c r="S150" s="19"/>
      <c r="T150" s="19"/>
      <c r="U150" s="19"/>
      <c r="X150" s="15" t="str">
        <f aca="false">IF(OR(B$7="",$BR150=""),"",IF('Tally Helper'!$B$3&lt;&gt;TRUE(),"not on Staff",SUMIFS('Tally Helper'!$L$5:$GI$5,'Tally Helper'!$L$3:$GI$3,"&gt;="&amp;$BR150,'Tally Helper'!$L$3:$GI$3,"&lt;="&amp;$BS150)))</f>
        <v/>
      </c>
      <c r="Y150" s="15" t="str">
        <f aca="false">IF(OR(C$7="",$BR150=""),"",IF('Tally Helper'!$B$6&lt;&gt;TRUE(),"not on Staff",SUMIFS('Tally Helper'!$L$8:$GI$8,'Tally Helper'!$L$6:$GI$6,"&gt;="&amp;$BR150,'Tally Helper'!$L$6:$GI$6,"&lt;="&amp;$BS150)))</f>
        <v/>
      </c>
      <c r="Z150" s="15" t="str">
        <f aca="false">IF(OR(D$7="",$BR150=""),"",IF('Tally Helper'!$B$9&lt;&gt;TRUE(),"not on Staff",SUMIFS('Tally Helper'!$L$11:$GI$11,'Tally Helper'!$L$9:$GI$9,"&gt;="&amp;$BR150,'Tally Helper'!$L$9:$GI$9,"&lt;="&amp;$BS150)))</f>
        <v/>
      </c>
      <c r="AA150" s="15" t="str">
        <f aca="false">IF(OR(E$7="",$BR150=""),"",IF('Tally Helper'!$B$12&lt;&gt;TRUE(),"not on Staff",SUMIFS('Tally Helper'!$L$14:$GI$14,'Tally Helper'!$L$12:$GI$12,"&gt;="&amp;$BR150,'Tally Helper'!$L$12:$GI$12,"&lt;="&amp;$BS150)))</f>
        <v/>
      </c>
      <c r="AB150" s="15" t="str">
        <f aca="false">IF(OR(F$7="",$BR150=""),"",IF('Tally Helper'!$B$15&lt;&gt;TRUE(),"not on Staff",SUMIFS('Tally Helper'!$L$17:$GI$17,'Tally Helper'!$L$15:$GI$15,"&gt;="&amp;$BR150,'Tally Helper'!$L$15:$GI$15,"&lt;="&amp;$BS150)))</f>
        <v/>
      </c>
      <c r="AC150" s="15" t="str">
        <f aca="false">IF(OR(G$7="",$BR150=""),"",IF('Tally Helper'!$B$18&lt;&gt;TRUE(),"not on Staff",SUMIFS('Tally Helper'!$L$20:$GI$20,'Tally Helper'!$L$18:$GI$18,"&gt;="&amp;$BR150,'Tally Helper'!$L$18:$GI$18,"&lt;="&amp;$BS150)))</f>
        <v/>
      </c>
      <c r="AD150" s="15" t="str">
        <f aca="false">IF(OR(H$7="",$BR150=""),"",IF('Tally Helper'!$B$21&lt;&gt;TRUE(),"not on Staff",SUMIFS('Tally Helper'!$L$23:$GI$23,'Tally Helper'!$L$21:$GI$21,"&gt;="&amp;$BR150,'Tally Helper'!$L$21:$GI$21,"&lt;="&amp;$BS150)))</f>
        <v/>
      </c>
      <c r="AE150" s="15" t="str">
        <f aca="false">IF(OR(I$7="",$BR150=""),"",IF('Tally Helper'!$B$24&lt;&gt;TRUE(),"not on Staff",SUMIFS('Tally Helper'!$L$26:$GI$26,'Tally Helper'!$L$24:$GI$24,"&gt;="&amp;$BR150,'Tally Helper'!$L$24:$GI$24,"&lt;="&amp;$BS150)))</f>
        <v/>
      </c>
      <c r="AF150" s="15" t="str">
        <f aca="false">IF(OR(J$7="",$BR150=""),"",IF('Tally Helper'!$B$27&lt;&gt;TRUE(),"not on Staff",SUMIFS('Tally Helper'!$L$29:$GI$29,'Tally Helper'!$L$27:$GI$27,"&gt;="&amp;$BR150,'Tally Helper'!$L$27:$GI$27,"&lt;="&amp;$BS150)))</f>
        <v/>
      </c>
      <c r="AG150" s="15" t="str">
        <f aca="false">IF(OR(K$7="",$BR150=""),"",IF('Tally Helper'!$B$30&lt;&gt;TRUE(),"not on Staff",SUMIFS('Tally Helper'!$L$32:$GI$32,'Tally Helper'!$L$30:$GI$30,"&gt;="&amp;$BR150,'Tally Helper'!$L$30:$GI$30,"&lt;="&amp;$BS150)))</f>
        <v/>
      </c>
      <c r="AH150" s="15" t="str">
        <f aca="false">IF(OR(L$7="",$BR150=""),"",IF('Tally Helper'!$B$33&lt;&gt;TRUE(),"not on Staff",SUMIFS('Tally Helper'!$L$35:$GI$35,'Tally Helper'!$L$33:$GI$33,"&gt;="&amp;$BR150,'Tally Helper'!$L$33:$GI$33,"&lt;="&amp;$BS150)))</f>
        <v/>
      </c>
      <c r="AI150" s="15" t="str">
        <f aca="false">IF(OR(M$7="",$BR150=""),"",IF('Tally Helper'!$B$36&lt;&gt;TRUE(),"not on Staff",SUMIFS('Tally Helper'!$L$38:$GI$38,'Tally Helper'!$L$36:$GI$36,"&gt;="&amp;$BR150,'Tally Helper'!$L$36:$GI$36,"&lt;="&amp;$BS150)))</f>
        <v/>
      </c>
      <c r="AJ150" s="15" t="str">
        <f aca="false">IF(OR(N$7="",$BR150=""),"",IF('Tally Helper'!$B$39&lt;&gt;TRUE(),"not on Staff",SUMIFS('Tally Helper'!$L$41:$GI$41,'Tally Helper'!$L$39:$GI$39,"&gt;="&amp;$BR150,'Tally Helper'!$L$39:$GI$39,"&lt;="&amp;$BS150)))</f>
        <v/>
      </c>
      <c r="AK150" s="15" t="str">
        <f aca="false">IF(OR(O$7="",$BR150=""),"",IF('Tally Helper'!$B$42&lt;&gt;TRUE(),"not on Staff",SUMIFS('Tally Helper'!$L$44:$GI$44,'Tally Helper'!$L$42:$GI$42,"&gt;="&amp;$BR150,'Tally Helper'!$L$42:$GI$42,"&lt;="&amp;$BS150)))</f>
        <v/>
      </c>
      <c r="AL150" s="15" t="str">
        <f aca="false">IF(OR(P$7="",$BR150=""),"",IF('Tally Helper'!$B$45&lt;&gt;TRUE(),"not on Staff",SUMIFS('Tally Helper'!$L$47:$GI$47,'Tally Helper'!$L$45:$GI$45,"&gt;="&amp;$BR150,'Tally Helper'!$L$45:$GI$45,"&lt;="&amp;$BS150)))</f>
        <v/>
      </c>
      <c r="AM150" s="15" t="str">
        <f aca="false">IF(OR(Q$7="",$BR150=""),"",IF('Tally Helper'!$B$48&lt;&gt;TRUE(),"not on Staff",SUMIFS('Tally Helper'!$L$50:$GI$50,'Tally Helper'!$L$48:$GI$48,"&gt;="&amp;$BR150,'Tally Helper'!$L$48:$GI$48,"&lt;="&amp;$BS150)))</f>
        <v/>
      </c>
      <c r="AN150" s="15" t="str">
        <f aca="false">IF(OR(R$7="",$BR150=""),"",IF('Tally Helper'!$B$51&lt;&gt;TRUE(),"not on Staff",SUMIFS('Tally Helper'!$L$53:$GI$53,'Tally Helper'!$L$51:$GI$51,"&gt;="&amp;$BR150,'Tally Helper'!$L$51:$GI$51,"&lt;="&amp;$BS150)))</f>
        <v/>
      </c>
      <c r="AO150" s="15" t="str">
        <f aca="false">IF(OR(S$7="",$BR150=""),"",IF('Tally Helper'!$B$54&lt;&gt;TRUE(),"not on Staff",SUMIFS('Tally Helper'!$L$56:$GI$56,'Tally Helper'!$L$54:$GI$54,"&gt;="&amp;$BR150,'Tally Helper'!$L$54:$GI$54,"&lt;="&amp;$BS150)))</f>
        <v/>
      </c>
      <c r="AP150" s="15" t="str">
        <f aca="false">IF(OR(T$7="",$BR150=""),"",IF('Tally Helper'!$B$57&lt;&gt;TRUE(),"not on Staff",SUMIFS('Tally Helper'!$L$59:$GI$59,'Tally Helper'!$L$57:$GI$57,"&gt;="&amp;$BR150,'Tally Helper'!$L$57:$GI$57,"&lt;="&amp;$BS150)))</f>
        <v/>
      </c>
      <c r="AQ150" s="15" t="str">
        <f aca="false">IF(OR(U$7="",$BR150=""),"",IF('Tally Helper'!$B$60&lt;&gt;TRUE(),"not on Staff",SUMIFS('Tally Helper'!$L$62:$GI$62,'Tally Helper'!$L$60:$GI$60,"&gt;="&amp;$BR150,'Tally Helper'!$L$60:$GI$60,"&lt;="&amp;$BS150)))</f>
        <v/>
      </c>
      <c r="AT150" s="15" t="str">
        <f aca="false">IF(OR(X150="",NOT(ISNUMBER(X150))),"",X150-N(B150))</f>
        <v/>
      </c>
      <c r="AU150" s="15" t="str">
        <f aca="false">IF(OR(Y150="",NOT(ISNUMBER(Y150))),"",Y150-N(C150))</f>
        <v/>
      </c>
      <c r="AV150" s="15" t="str">
        <f aca="false">IF(OR(Z150="",NOT(ISNUMBER(Z150))),"",Z150-N(D150))</f>
        <v/>
      </c>
      <c r="AW150" s="15" t="str">
        <f aca="false">IF(OR(AA150="",NOT(ISNUMBER(AA150))),"",AA150-N(E150))</f>
        <v/>
      </c>
      <c r="AX150" s="15" t="str">
        <f aca="false">IF(OR(AB150="",NOT(ISNUMBER(AB150))),"",AB150-N(F150))</f>
        <v/>
      </c>
      <c r="AY150" s="15" t="str">
        <f aca="false">IF(OR(AC150="",NOT(ISNUMBER(AC150))),"",AC150-N(G150))</f>
        <v/>
      </c>
      <c r="AZ150" s="15" t="str">
        <f aca="false">IF(OR(AD150="",NOT(ISNUMBER(AD150))),"",AD150-N(H150))</f>
        <v/>
      </c>
      <c r="BA150" s="15" t="str">
        <f aca="false">IF(OR(AE150="",NOT(ISNUMBER(AE150))),"",AE150-N(I150))</f>
        <v/>
      </c>
      <c r="BB150" s="15" t="str">
        <f aca="false">IF(OR(AF150="",NOT(ISNUMBER(AF150))),"",AF150-N(J150))</f>
        <v/>
      </c>
      <c r="BC150" s="15" t="str">
        <f aca="false">IF(OR(AG150="",NOT(ISNUMBER(AG150))),"",AG150-N(K150))</f>
        <v/>
      </c>
      <c r="BD150" s="15" t="str">
        <f aca="false">IF(OR(AH150="",NOT(ISNUMBER(AH150))),"",AH150-N(L150))</f>
        <v/>
      </c>
      <c r="BE150" s="15" t="str">
        <f aca="false">IF(OR(AI150="",NOT(ISNUMBER(AI150))),"",AI150-N(M150))</f>
        <v/>
      </c>
      <c r="BF150" s="15" t="str">
        <f aca="false">IF(OR(AJ150="",NOT(ISNUMBER(AJ150))),"",AJ150-N(N150))</f>
        <v/>
      </c>
      <c r="BG150" s="15" t="str">
        <f aca="false">IF(OR(AK150="",NOT(ISNUMBER(AK150))),"",AK150-N(O150))</f>
        <v/>
      </c>
      <c r="BH150" s="15" t="str">
        <f aca="false">IF(OR(AL150="",NOT(ISNUMBER(AL150))),"",AL150-N(P150))</f>
        <v/>
      </c>
      <c r="BI150" s="15" t="str">
        <f aca="false">IF(OR(AM150="",NOT(ISNUMBER(AM150))),"",AM150-N(Q150))</f>
        <v/>
      </c>
      <c r="BJ150" s="15" t="str">
        <f aca="false">IF(OR(AN150="",NOT(ISNUMBER(AN150))),"",AN150-N(R150))</f>
        <v/>
      </c>
      <c r="BK150" s="15" t="str">
        <f aca="false">IF(OR(AO150="",NOT(ISNUMBER(AO150))),"",AO150-N(S150))</f>
        <v/>
      </c>
      <c r="BL150" s="15" t="str">
        <f aca="false">IF(OR(AP150="",NOT(ISNUMBER(AP150))),"",AP150-N(T150))</f>
        <v/>
      </c>
      <c r="BM150" s="15" t="str">
        <f aca="false">IF(OR(AQ150="",NOT(ISNUMBER(AQ150))),"",AQ150-N(U150))</f>
        <v/>
      </c>
      <c r="BR150" s="18" t="str">
        <f aca="false">IF($A150="","",IF(ISNUMBER($A150),DATE(YEAR($A150),MONTH($A150),1),IFERROR(DATE(2000+VALUE(RIGHT(TRIM($A150),2)),MATCH(UPPER(LEFT(TRIM($A150),3)),{"JAN","FEB","MAR","APR","MAY","JUN","JUL","AUG","SEP","OCT","NOV","DEC"},0),1),"")))</f>
        <v/>
      </c>
      <c r="BS150" s="18" t="str">
        <f aca="false">IF(BR150="","",EOMONTH(BR150,0))</f>
        <v/>
      </c>
    </row>
    <row r="151" customFormat="false" ht="15" hidden="false" customHeight="false" outlineLevel="0" collapsed="false">
      <c r="B151" s="19"/>
      <c r="C151" s="19"/>
      <c r="D151" s="19"/>
      <c r="E151" s="19"/>
      <c r="F151" s="19"/>
      <c r="G151" s="19"/>
      <c r="H151" s="19"/>
      <c r="I151" s="19"/>
      <c r="J151" s="19"/>
      <c r="K151" s="19"/>
      <c r="L151" s="19"/>
      <c r="M151" s="19"/>
      <c r="N151" s="19"/>
      <c r="O151" s="19"/>
      <c r="P151" s="19"/>
      <c r="Q151" s="19"/>
      <c r="R151" s="19"/>
      <c r="S151" s="19"/>
      <c r="T151" s="19"/>
      <c r="U151" s="19"/>
      <c r="X151" s="15" t="str">
        <f aca="false">IF(OR(B$7="",$BR151=""),"",IF('Tally Helper'!$B$3&lt;&gt;TRUE(),"not on Staff",SUMIFS('Tally Helper'!$L$5:$GI$5,'Tally Helper'!$L$3:$GI$3,"&gt;="&amp;$BR151,'Tally Helper'!$L$3:$GI$3,"&lt;="&amp;$BS151)))</f>
        <v/>
      </c>
      <c r="Y151" s="15" t="str">
        <f aca="false">IF(OR(C$7="",$BR151=""),"",IF('Tally Helper'!$B$6&lt;&gt;TRUE(),"not on Staff",SUMIFS('Tally Helper'!$L$8:$GI$8,'Tally Helper'!$L$6:$GI$6,"&gt;="&amp;$BR151,'Tally Helper'!$L$6:$GI$6,"&lt;="&amp;$BS151)))</f>
        <v/>
      </c>
      <c r="Z151" s="15" t="str">
        <f aca="false">IF(OR(D$7="",$BR151=""),"",IF('Tally Helper'!$B$9&lt;&gt;TRUE(),"not on Staff",SUMIFS('Tally Helper'!$L$11:$GI$11,'Tally Helper'!$L$9:$GI$9,"&gt;="&amp;$BR151,'Tally Helper'!$L$9:$GI$9,"&lt;="&amp;$BS151)))</f>
        <v/>
      </c>
      <c r="AA151" s="15" t="str">
        <f aca="false">IF(OR(E$7="",$BR151=""),"",IF('Tally Helper'!$B$12&lt;&gt;TRUE(),"not on Staff",SUMIFS('Tally Helper'!$L$14:$GI$14,'Tally Helper'!$L$12:$GI$12,"&gt;="&amp;$BR151,'Tally Helper'!$L$12:$GI$12,"&lt;="&amp;$BS151)))</f>
        <v/>
      </c>
      <c r="AB151" s="15" t="str">
        <f aca="false">IF(OR(F$7="",$BR151=""),"",IF('Tally Helper'!$B$15&lt;&gt;TRUE(),"not on Staff",SUMIFS('Tally Helper'!$L$17:$GI$17,'Tally Helper'!$L$15:$GI$15,"&gt;="&amp;$BR151,'Tally Helper'!$L$15:$GI$15,"&lt;="&amp;$BS151)))</f>
        <v/>
      </c>
      <c r="AC151" s="15" t="str">
        <f aca="false">IF(OR(G$7="",$BR151=""),"",IF('Tally Helper'!$B$18&lt;&gt;TRUE(),"not on Staff",SUMIFS('Tally Helper'!$L$20:$GI$20,'Tally Helper'!$L$18:$GI$18,"&gt;="&amp;$BR151,'Tally Helper'!$L$18:$GI$18,"&lt;="&amp;$BS151)))</f>
        <v/>
      </c>
      <c r="AD151" s="15" t="str">
        <f aca="false">IF(OR(H$7="",$BR151=""),"",IF('Tally Helper'!$B$21&lt;&gt;TRUE(),"not on Staff",SUMIFS('Tally Helper'!$L$23:$GI$23,'Tally Helper'!$L$21:$GI$21,"&gt;="&amp;$BR151,'Tally Helper'!$L$21:$GI$21,"&lt;="&amp;$BS151)))</f>
        <v/>
      </c>
      <c r="AE151" s="15" t="str">
        <f aca="false">IF(OR(I$7="",$BR151=""),"",IF('Tally Helper'!$B$24&lt;&gt;TRUE(),"not on Staff",SUMIFS('Tally Helper'!$L$26:$GI$26,'Tally Helper'!$L$24:$GI$24,"&gt;="&amp;$BR151,'Tally Helper'!$L$24:$GI$24,"&lt;="&amp;$BS151)))</f>
        <v/>
      </c>
      <c r="AF151" s="15" t="str">
        <f aca="false">IF(OR(J$7="",$BR151=""),"",IF('Tally Helper'!$B$27&lt;&gt;TRUE(),"not on Staff",SUMIFS('Tally Helper'!$L$29:$GI$29,'Tally Helper'!$L$27:$GI$27,"&gt;="&amp;$BR151,'Tally Helper'!$L$27:$GI$27,"&lt;="&amp;$BS151)))</f>
        <v/>
      </c>
      <c r="AG151" s="15" t="str">
        <f aca="false">IF(OR(K$7="",$BR151=""),"",IF('Tally Helper'!$B$30&lt;&gt;TRUE(),"not on Staff",SUMIFS('Tally Helper'!$L$32:$GI$32,'Tally Helper'!$L$30:$GI$30,"&gt;="&amp;$BR151,'Tally Helper'!$L$30:$GI$30,"&lt;="&amp;$BS151)))</f>
        <v/>
      </c>
      <c r="AH151" s="15" t="str">
        <f aca="false">IF(OR(L$7="",$BR151=""),"",IF('Tally Helper'!$B$33&lt;&gt;TRUE(),"not on Staff",SUMIFS('Tally Helper'!$L$35:$GI$35,'Tally Helper'!$L$33:$GI$33,"&gt;="&amp;$BR151,'Tally Helper'!$L$33:$GI$33,"&lt;="&amp;$BS151)))</f>
        <v/>
      </c>
      <c r="AI151" s="15" t="str">
        <f aca="false">IF(OR(M$7="",$BR151=""),"",IF('Tally Helper'!$B$36&lt;&gt;TRUE(),"not on Staff",SUMIFS('Tally Helper'!$L$38:$GI$38,'Tally Helper'!$L$36:$GI$36,"&gt;="&amp;$BR151,'Tally Helper'!$L$36:$GI$36,"&lt;="&amp;$BS151)))</f>
        <v/>
      </c>
      <c r="AJ151" s="15" t="str">
        <f aca="false">IF(OR(N$7="",$BR151=""),"",IF('Tally Helper'!$B$39&lt;&gt;TRUE(),"not on Staff",SUMIFS('Tally Helper'!$L$41:$GI$41,'Tally Helper'!$L$39:$GI$39,"&gt;="&amp;$BR151,'Tally Helper'!$L$39:$GI$39,"&lt;="&amp;$BS151)))</f>
        <v/>
      </c>
      <c r="AK151" s="15" t="str">
        <f aca="false">IF(OR(O$7="",$BR151=""),"",IF('Tally Helper'!$B$42&lt;&gt;TRUE(),"not on Staff",SUMIFS('Tally Helper'!$L$44:$GI$44,'Tally Helper'!$L$42:$GI$42,"&gt;="&amp;$BR151,'Tally Helper'!$L$42:$GI$42,"&lt;="&amp;$BS151)))</f>
        <v/>
      </c>
      <c r="AL151" s="15" t="str">
        <f aca="false">IF(OR(P$7="",$BR151=""),"",IF('Tally Helper'!$B$45&lt;&gt;TRUE(),"not on Staff",SUMIFS('Tally Helper'!$L$47:$GI$47,'Tally Helper'!$L$45:$GI$45,"&gt;="&amp;$BR151,'Tally Helper'!$L$45:$GI$45,"&lt;="&amp;$BS151)))</f>
        <v/>
      </c>
      <c r="AM151" s="15" t="str">
        <f aca="false">IF(OR(Q$7="",$BR151=""),"",IF('Tally Helper'!$B$48&lt;&gt;TRUE(),"not on Staff",SUMIFS('Tally Helper'!$L$50:$GI$50,'Tally Helper'!$L$48:$GI$48,"&gt;="&amp;$BR151,'Tally Helper'!$L$48:$GI$48,"&lt;="&amp;$BS151)))</f>
        <v/>
      </c>
      <c r="AN151" s="15" t="str">
        <f aca="false">IF(OR(R$7="",$BR151=""),"",IF('Tally Helper'!$B$51&lt;&gt;TRUE(),"not on Staff",SUMIFS('Tally Helper'!$L$53:$GI$53,'Tally Helper'!$L$51:$GI$51,"&gt;="&amp;$BR151,'Tally Helper'!$L$51:$GI$51,"&lt;="&amp;$BS151)))</f>
        <v/>
      </c>
      <c r="AO151" s="15" t="str">
        <f aca="false">IF(OR(S$7="",$BR151=""),"",IF('Tally Helper'!$B$54&lt;&gt;TRUE(),"not on Staff",SUMIFS('Tally Helper'!$L$56:$GI$56,'Tally Helper'!$L$54:$GI$54,"&gt;="&amp;$BR151,'Tally Helper'!$L$54:$GI$54,"&lt;="&amp;$BS151)))</f>
        <v/>
      </c>
      <c r="AP151" s="15" t="str">
        <f aca="false">IF(OR(T$7="",$BR151=""),"",IF('Tally Helper'!$B$57&lt;&gt;TRUE(),"not on Staff",SUMIFS('Tally Helper'!$L$59:$GI$59,'Tally Helper'!$L$57:$GI$57,"&gt;="&amp;$BR151,'Tally Helper'!$L$57:$GI$57,"&lt;="&amp;$BS151)))</f>
        <v/>
      </c>
      <c r="AQ151" s="15" t="str">
        <f aca="false">IF(OR(U$7="",$BR151=""),"",IF('Tally Helper'!$B$60&lt;&gt;TRUE(),"not on Staff",SUMIFS('Tally Helper'!$L$62:$GI$62,'Tally Helper'!$L$60:$GI$60,"&gt;="&amp;$BR151,'Tally Helper'!$L$60:$GI$60,"&lt;="&amp;$BS151)))</f>
        <v/>
      </c>
      <c r="AT151" s="15" t="str">
        <f aca="false">IF(OR(X151="",NOT(ISNUMBER(X151))),"",X151-N(B151))</f>
        <v/>
      </c>
      <c r="AU151" s="15" t="str">
        <f aca="false">IF(OR(Y151="",NOT(ISNUMBER(Y151))),"",Y151-N(C151))</f>
        <v/>
      </c>
      <c r="AV151" s="15" t="str">
        <f aca="false">IF(OR(Z151="",NOT(ISNUMBER(Z151))),"",Z151-N(D151))</f>
        <v/>
      </c>
      <c r="AW151" s="15" t="str">
        <f aca="false">IF(OR(AA151="",NOT(ISNUMBER(AA151))),"",AA151-N(E151))</f>
        <v/>
      </c>
      <c r="AX151" s="15" t="str">
        <f aca="false">IF(OR(AB151="",NOT(ISNUMBER(AB151))),"",AB151-N(F151))</f>
        <v/>
      </c>
      <c r="AY151" s="15" t="str">
        <f aca="false">IF(OR(AC151="",NOT(ISNUMBER(AC151))),"",AC151-N(G151))</f>
        <v/>
      </c>
      <c r="AZ151" s="15" t="str">
        <f aca="false">IF(OR(AD151="",NOT(ISNUMBER(AD151))),"",AD151-N(H151))</f>
        <v/>
      </c>
      <c r="BA151" s="15" t="str">
        <f aca="false">IF(OR(AE151="",NOT(ISNUMBER(AE151))),"",AE151-N(I151))</f>
        <v/>
      </c>
      <c r="BB151" s="15" t="str">
        <f aca="false">IF(OR(AF151="",NOT(ISNUMBER(AF151))),"",AF151-N(J151))</f>
        <v/>
      </c>
      <c r="BC151" s="15" t="str">
        <f aca="false">IF(OR(AG151="",NOT(ISNUMBER(AG151))),"",AG151-N(K151))</f>
        <v/>
      </c>
      <c r="BD151" s="15" t="str">
        <f aca="false">IF(OR(AH151="",NOT(ISNUMBER(AH151))),"",AH151-N(L151))</f>
        <v/>
      </c>
      <c r="BE151" s="15" t="str">
        <f aca="false">IF(OR(AI151="",NOT(ISNUMBER(AI151))),"",AI151-N(M151))</f>
        <v/>
      </c>
      <c r="BF151" s="15" t="str">
        <f aca="false">IF(OR(AJ151="",NOT(ISNUMBER(AJ151))),"",AJ151-N(N151))</f>
        <v/>
      </c>
      <c r="BG151" s="15" t="str">
        <f aca="false">IF(OR(AK151="",NOT(ISNUMBER(AK151))),"",AK151-N(O151))</f>
        <v/>
      </c>
      <c r="BH151" s="15" t="str">
        <f aca="false">IF(OR(AL151="",NOT(ISNUMBER(AL151))),"",AL151-N(P151))</f>
        <v/>
      </c>
      <c r="BI151" s="15" t="str">
        <f aca="false">IF(OR(AM151="",NOT(ISNUMBER(AM151))),"",AM151-N(Q151))</f>
        <v/>
      </c>
      <c r="BJ151" s="15" t="str">
        <f aca="false">IF(OR(AN151="",NOT(ISNUMBER(AN151))),"",AN151-N(R151))</f>
        <v/>
      </c>
      <c r="BK151" s="15" t="str">
        <f aca="false">IF(OR(AO151="",NOT(ISNUMBER(AO151))),"",AO151-N(S151))</f>
        <v/>
      </c>
      <c r="BL151" s="15" t="str">
        <f aca="false">IF(OR(AP151="",NOT(ISNUMBER(AP151))),"",AP151-N(T151))</f>
        <v/>
      </c>
      <c r="BM151" s="15" t="str">
        <f aca="false">IF(OR(AQ151="",NOT(ISNUMBER(AQ151))),"",AQ151-N(U151))</f>
        <v/>
      </c>
      <c r="BR151" s="18" t="str">
        <f aca="false">IF($A151="","",IF(ISNUMBER($A151),DATE(YEAR($A151),MONTH($A151),1),IFERROR(DATE(2000+VALUE(RIGHT(TRIM($A151),2)),MATCH(UPPER(LEFT(TRIM($A151),3)),{"JAN","FEB","MAR","APR","MAY","JUN","JUL","AUG","SEP","OCT","NOV","DEC"},0),1),"")))</f>
        <v/>
      </c>
      <c r="BS151" s="18" t="str">
        <f aca="false">IF(BR151="","",EOMONTH(BR151,0))</f>
        <v/>
      </c>
    </row>
    <row r="152" customFormat="false" ht="15" hidden="false" customHeight="false" outlineLevel="0" collapsed="false">
      <c r="B152" s="19"/>
      <c r="C152" s="19"/>
      <c r="D152" s="19"/>
      <c r="E152" s="19"/>
      <c r="F152" s="19"/>
      <c r="G152" s="19"/>
      <c r="H152" s="19"/>
      <c r="I152" s="19"/>
      <c r="J152" s="19"/>
      <c r="K152" s="19"/>
      <c r="L152" s="19"/>
      <c r="M152" s="19"/>
      <c r="N152" s="19"/>
      <c r="O152" s="19"/>
      <c r="P152" s="19"/>
      <c r="Q152" s="19"/>
      <c r="R152" s="19"/>
      <c r="S152" s="19"/>
      <c r="T152" s="19"/>
      <c r="U152" s="19"/>
      <c r="X152" s="15" t="str">
        <f aca="false">IF(OR(B$7="",$BR152=""),"",IF('Tally Helper'!$B$3&lt;&gt;TRUE(),"not on Staff",SUMIFS('Tally Helper'!$L$5:$GI$5,'Tally Helper'!$L$3:$GI$3,"&gt;="&amp;$BR152,'Tally Helper'!$L$3:$GI$3,"&lt;="&amp;$BS152)))</f>
        <v/>
      </c>
      <c r="Y152" s="15" t="str">
        <f aca="false">IF(OR(C$7="",$BR152=""),"",IF('Tally Helper'!$B$6&lt;&gt;TRUE(),"not on Staff",SUMIFS('Tally Helper'!$L$8:$GI$8,'Tally Helper'!$L$6:$GI$6,"&gt;="&amp;$BR152,'Tally Helper'!$L$6:$GI$6,"&lt;="&amp;$BS152)))</f>
        <v/>
      </c>
      <c r="Z152" s="15" t="str">
        <f aca="false">IF(OR(D$7="",$BR152=""),"",IF('Tally Helper'!$B$9&lt;&gt;TRUE(),"not on Staff",SUMIFS('Tally Helper'!$L$11:$GI$11,'Tally Helper'!$L$9:$GI$9,"&gt;="&amp;$BR152,'Tally Helper'!$L$9:$GI$9,"&lt;="&amp;$BS152)))</f>
        <v/>
      </c>
      <c r="AA152" s="15" t="str">
        <f aca="false">IF(OR(E$7="",$BR152=""),"",IF('Tally Helper'!$B$12&lt;&gt;TRUE(),"not on Staff",SUMIFS('Tally Helper'!$L$14:$GI$14,'Tally Helper'!$L$12:$GI$12,"&gt;="&amp;$BR152,'Tally Helper'!$L$12:$GI$12,"&lt;="&amp;$BS152)))</f>
        <v/>
      </c>
      <c r="AB152" s="15" t="str">
        <f aca="false">IF(OR(F$7="",$BR152=""),"",IF('Tally Helper'!$B$15&lt;&gt;TRUE(),"not on Staff",SUMIFS('Tally Helper'!$L$17:$GI$17,'Tally Helper'!$L$15:$GI$15,"&gt;="&amp;$BR152,'Tally Helper'!$L$15:$GI$15,"&lt;="&amp;$BS152)))</f>
        <v/>
      </c>
      <c r="AC152" s="15" t="str">
        <f aca="false">IF(OR(G$7="",$BR152=""),"",IF('Tally Helper'!$B$18&lt;&gt;TRUE(),"not on Staff",SUMIFS('Tally Helper'!$L$20:$GI$20,'Tally Helper'!$L$18:$GI$18,"&gt;="&amp;$BR152,'Tally Helper'!$L$18:$GI$18,"&lt;="&amp;$BS152)))</f>
        <v/>
      </c>
      <c r="AD152" s="15" t="str">
        <f aca="false">IF(OR(H$7="",$BR152=""),"",IF('Tally Helper'!$B$21&lt;&gt;TRUE(),"not on Staff",SUMIFS('Tally Helper'!$L$23:$GI$23,'Tally Helper'!$L$21:$GI$21,"&gt;="&amp;$BR152,'Tally Helper'!$L$21:$GI$21,"&lt;="&amp;$BS152)))</f>
        <v/>
      </c>
      <c r="AE152" s="15" t="str">
        <f aca="false">IF(OR(I$7="",$BR152=""),"",IF('Tally Helper'!$B$24&lt;&gt;TRUE(),"not on Staff",SUMIFS('Tally Helper'!$L$26:$GI$26,'Tally Helper'!$L$24:$GI$24,"&gt;="&amp;$BR152,'Tally Helper'!$L$24:$GI$24,"&lt;="&amp;$BS152)))</f>
        <v/>
      </c>
      <c r="AF152" s="15" t="str">
        <f aca="false">IF(OR(J$7="",$BR152=""),"",IF('Tally Helper'!$B$27&lt;&gt;TRUE(),"not on Staff",SUMIFS('Tally Helper'!$L$29:$GI$29,'Tally Helper'!$L$27:$GI$27,"&gt;="&amp;$BR152,'Tally Helper'!$L$27:$GI$27,"&lt;="&amp;$BS152)))</f>
        <v/>
      </c>
      <c r="AG152" s="15" t="str">
        <f aca="false">IF(OR(K$7="",$BR152=""),"",IF('Tally Helper'!$B$30&lt;&gt;TRUE(),"not on Staff",SUMIFS('Tally Helper'!$L$32:$GI$32,'Tally Helper'!$L$30:$GI$30,"&gt;="&amp;$BR152,'Tally Helper'!$L$30:$GI$30,"&lt;="&amp;$BS152)))</f>
        <v/>
      </c>
      <c r="AH152" s="15" t="str">
        <f aca="false">IF(OR(L$7="",$BR152=""),"",IF('Tally Helper'!$B$33&lt;&gt;TRUE(),"not on Staff",SUMIFS('Tally Helper'!$L$35:$GI$35,'Tally Helper'!$L$33:$GI$33,"&gt;="&amp;$BR152,'Tally Helper'!$L$33:$GI$33,"&lt;="&amp;$BS152)))</f>
        <v/>
      </c>
      <c r="AI152" s="15" t="str">
        <f aca="false">IF(OR(M$7="",$BR152=""),"",IF('Tally Helper'!$B$36&lt;&gt;TRUE(),"not on Staff",SUMIFS('Tally Helper'!$L$38:$GI$38,'Tally Helper'!$L$36:$GI$36,"&gt;="&amp;$BR152,'Tally Helper'!$L$36:$GI$36,"&lt;="&amp;$BS152)))</f>
        <v/>
      </c>
      <c r="AJ152" s="15" t="str">
        <f aca="false">IF(OR(N$7="",$BR152=""),"",IF('Tally Helper'!$B$39&lt;&gt;TRUE(),"not on Staff",SUMIFS('Tally Helper'!$L$41:$GI$41,'Tally Helper'!$L$39:$GI$39,"&gt;="&amp;$BR152,'Tally Helper'!$L$39:$GI$39,"&lt;="&amp;$BS152)))</f>
        <v/>
      </c>
      <c r="AK152" s="15" t="str">
        <f aca="false">IF(OR(O$7="",$BR152=""),"",IF('Tally Helper'!$B$42&lt;&gt;TRUE(),"not on Staff",SUMIFS('Tally Helper'!$L$44:$GI$44,'Tally Helper'!$L$42:$GI$42,"&gt;="&amp;$BR152,'Tally Helper'!$L$42:$GI$42,"&lt;="&amp;$BS152)))</f>
        <v/>
      </c>
      <c r="AL152" s="15" t="str">
        <f aca="false">IF(OR(P$7="",$BR152=""),"",IF('Tally Helper'!$B$45&lt;&gt;TRUE(),"not on Staff",SUMIFS('Tally Helper'!$L$47:$GI$47,'Tally Helper'!$L$45:$GI$45,"&gt;="&amp;$BR152,'Tally Helper'!$L$45:$GI$45,"&lt;="&amp;$BS152)))</f>
        <v/>
      </c>
      <c r="AM152" s="15" t="str">
        <f aca="false">IF(OR(Q$7="",$BR152=""),"",IF('Tally Helper'!$B$48&lt;&gt;TRUE(),"not on Staff",SUMIFS('Tally Helper'!$L$50:$GI$50,'Tally Helper'!$L$48:$GI$48,"&gt;="&amp;$BR152,'Tally Helper'!$L$48:$GI$48,"&lt;="&amp;$BS152)))</f>
        <v/>
      </c>
      <c r="AN152" s="15" t="str">
        <f aca="false">IF(OR(R$7="",$BR152=""),"",IF('Tally Helper'!$B$51&lt;&gt;TRUE(),"not on Staff",SUMIFS('Tally Helper'!$L$53:$GI$53,'Tally Helper'!$L$51:$GI$51,"&gt;="&amp;$BR152,'Tally Helper'!$L$51:$GI$51,"&lt;="&amp;$BS152)))</f>
        <v/>
      </c>
      <c r="AO152" s="15" t="str">
        <f aca="false">IF(OR(S$7="",$BR152=""),"",IF('Tally Helper'!$B$54&lt;&gt;TRUE(),"not on Staff",SUMIFS('Tally Helper'!$L$56:$GI$56,'Tally Helper'!$L$54:$GI$54,"&gt;="&amp;$BR152,'Tally Helper'!$L$54:$GI$54,"&lt;="&amp;$BS152)))</f>
        <v/>
      </c>
      <c r="AP152" s="15" t="str">
        <f aca="false">IF(OR(T$7="",$BR152=""),"",IF('Tally Helper'!$B$57&lt;&gt;TRUE(),"not on Staff",SUMIFS('Tally Helper'!$L$59:$GI$59,'Tally Helper'!$L$57:$GI$57,"&gt;="&amp;$BR152,'Tally Helper'!$L$57:$GI$57,"&lt;="&amp;$BS152)))</f>
        <v/>
      </c>
      <c r="AQ152" s="15" t="str">
        <f aca="false">IF(OR(U$7="",$BR152=""),"",IF('Tally Helper'!$B$60&lt;&gt;TRUE(),"not on Staff",SUMIFS('Tally Helper'!$L$62:$GI$62,'Tally Helper'!$L$60:$GI$60,"&gt;="&amp;$BR152,'Tally Helper'!$L$60:$GI$60,"&lt;="&amp;$BS152)))</f>
        <v/>
      </c>
      <c r="AT152" s="15" t="str">
        <f aca="false">IF(OR(X152="",NOT(ISNUMBER(X152))),"",X152-N(B152))</f>
        <v/>
      </c>
      <c r="AU152" s="15" t="str">
        <f aca="false">IF(OR(Y152="",NOT(ISNUMBER(Y152))),"",Y152-N(C152))</f>
        <v/>
      </c>
      <c r="AV152" s="15" t="str">
        <f aca="false">IF(OR(Z152="",NOT(ISNUMBER(Z152))),"",Z152-N(D152))</f>
        <v/>
      </c>
      <c r="AW152" s="15" t="str">
        <f aca="false">IF(OR(AA152="",NOT(ISNUMBER(AA152))),"",AA152-N(E152))</f>
        <v/>
      </c>
      <c r="AX152" s="15" t="str">
        <f aca="false">IF(OR(AB152="",NOT(ISNUMBER(AB152))),"",AB152-N(F152))</f>
        <v/>
      </c>
      <c r="AY152" s="15" t="str">
        <f aca="false">IF(OR(AC152="",NOT(ISNUMBER(AC152))),"",AC152-N(G152))</f>
        <v/>
      </c>
      <c r="AZ152" s="15" t="str">
        <f aca="false">IF(OR(AD152="",NOT(ISNUMBER(AD152))),"",AD152-N(H152))</f>
        <v/>
      </c>
      <c r="BA152" s="15" t="str">
        <f aca="false">IF(OR(AE152="",NOT(ISNUMBER(AE152))),"",AE152-N(I152))</f>
        <v/>
      </c>
      <c r="BB152" s="15" t="str">
        <f aca="false">IF(OR(AF152="",NOT(ISNUMBER(AF152))),"",AF152-N(J152))</f>
        <v/>
      </c>
      <c r="BC152" s="15" t="str">
        <f aca="false">IF(OR(AG152="",NOT(ISNUMBER(AG152))),"",AG152-N(K152))</f>
        <v/>
      </c>
      <c r="BD152" s="15" t="str">
        <f aca="false">IF(OR(AH152="",NOT(ISNUMBER(AH152))),"",AH152-N(L152))</f>
        <v/>
      </c>
      <c r="BE152" s="15" t="str">
        <f aca="false">IF(OR(AI152="",NOT(ISNUMBER(AI152))),"",AI152-N(M152))</f>
        <v/>
      </c>
      <c r="BF152" s="15" t="str">
        <f aca="false">IF(OR(AJ152="",NOT(ISNUMBER(AJ152))),"",AJ152-N(N152))</f>
        <v/>
      </c>
      <c r="BG152" s="15" t="str">
        <f aca="false">IF(OR(AK152="",NOT(ISNUMBER(AK152))),"",AK152-N(O152))</f>
        <v/>
      </c>
      <c r="BH152" s="15" t="str">
        <f aca="false">IF(OR(AL152="",NOT(ISNUMBER(AL152))),"",AL152-N(P152))</f>
        <v/>
      </c>
      <c r="BI152" s="15" t="str">
        <f aca="false">IF(OR(AM152="",NOT(ISNUMBER(AM152))),"",AM152-N(Q152))</f>
        <v/>
      </c>
      <c r="BJ152" s="15" t="str">
        <f aca="false">IF(OR(AN152="",NOT(ISNUMBER(AN152))),"",AN152-N(R152))</f>
        <v/>
      </c>
      <c r="BK152" s="15" t="str">
        <f aca="false">IF(OR(AO152="",NOT(ISNUMBER(AO152))),"",AO152-N(S152))</f>
        <v/>
      </c>
      <c r="BL152" s="15" t="str">
        <f aca="false">IF(OR(AP152="",NOT(ISNUMBER(AP152))),"",AP152-N(T152))</f>
        <v/>
      </c>
      <c r="BM152" s="15" t="str">
        <f aca="false">IF(OR(AQ152="",NOT(ISNUMBER(AQ152))),"",AQ152-N(U152))</f>
        <v/>
      </c>
      <c r="BR152" s="18" t="str">
        <f aca="false">IF($A152="","",IF(ISNUMBER($A152),DATE(YEAR($A152),MONTH($A152),1),IFERROR(DATE(2000+VALUE(RIGHT(TRIM($A152),2)),MATCH(UPPER(LEFT(TRIM($A152),3)),{"JAN","FEB","MAR","APR","MAY","JUN","JUL","AUG","SEP","OCT","NOV","DEC"},0),1),"")))</f>
        <v/>
      </c>
      <c r="BS152" s="18" t="str">
        <f aca="false">IF(BR152="","",EOMONTH(BR152,0))</f>
        <v/>
      </c>
    </row>
    <row r="153" customFormat="false" ht="15" hidden="false" customHeight="false" outlineLevel="0" collapsed="false">
      <c r="B153" s="19"/>
      <c r="C153" s="19"/>
      <c r="D153" s="19"/>
      <c r="E153" s="19"/>
      <c r="F153" s="19"/>
      <c r="G153" s="19"/>
      <c r="H153" s="19"/>
      <c r="I153" s="19"/>
      <c r="J153" s="19"/>
      <c r="K153" s="19"/>
      <c r="L153" s="19"/>
      <c r="M153" s="19"/>
      <c r="N153" s="19"/>
      <c r="O153" s="19"/>
      <c r="P153" s="19"/>
      <c r="Q153" s="19"/>
      <c r="R153" s="19"/>
      <c r="S153" s="19"/>
      <c r="T153" s="19"/>
      <c r="U153" s="19"/>
      <c r="X153" s="15" t="str">
        <f aca="false">IF(OR(B$7="",$BR153=""),"",IF('Tally Helper'!$B$3&lt;&gt;TRUE(),"not on Staff",SUMIFS('Tally Helper'!$L$5:$GI$5,'Tally Helper'!$L$3:$GI$3,"&gt;="&amp;$BR153,'Tally Helper'!$L$3:$GI$3,"&lt;="&amp;$BS153)))</f>
        <v/>
      </c>
      <c r="Y153" s="15" t="str">
        <f aca="false">IF(OR(C$7="",$BR153=""),"",IF('Tally Helper'!$B$6&lt;&gt;TRUE(),"not on Staff",SUMIFS('Tally Helper'!$L$8:$GI$8,'Tally Helper'!$L$6:$GI$6,"&gt;="&amp;$BR153,'Tally Helper'!$L$6:$GI$6,"&lt;="&amp;$BS153)))</f>
        <v/>
      </c>
      <c r="Z153" s="15" t="str">
        <f aca="false">IF(OR(D$7="",$BR153=""),"",IF('Tally Helper'!$B$9&lt;&gt;TRUE(),"not on Staff",SUMIFS('Tally Helper'!$L$11:$GI$11,'Tally Helper'!$L$9:$GI$9,"&gt;="&amp;$BR153,'Tally Helper'!$L$9:$GI$9,"&lt;="&amp;$BS153)))</f>
        <v/>
      </c>
      <c r="AA153" s="15" t="str">
        <f aca="false">IF(OR(E$7="",$BR153=""),"",IF('Tally Helper'!$B$12&lt;&gt;TRUE(),"not on Staff",SUMIFS('Tally Helper'!$L$14:$GI$14,'Tally Helper'!$L$12:$GI$12,"&gt;="&amp;$BR153,'Tally Helper'!$L$12:$GI$12,"&lt;="&amp;$BS153)))</f>
        <v/>
      </c>
      <c r="AB153" s="15" t="str">
        <f aca="false">IF(OR(F$7="",$BR153=""),"",IF('Tally Helper'!$B$15&lt;&gt;TRUE(),"not on Staff",SUMIFS('Tally Helper'!$L$17:$GI$17,'Tally Helper'!$L$15:$GI$15,"&gt;="&amp;$BR153,'Tally Helper'!$L$15:$GI$15,"&lt;="&amp;$BS153)))</f>
        <v/>
      </c>
      <c r="AC153" s="15" t="str">
        <f aca="false">IF(OR(G$7="",$BR153=""),"",IF('Tally Helper'!$B$18&lt;&gt;TRUE(),"not on Staff",SUMIFS('Tally Helper'!$L$20:$GI$20,'Tally Helper'!$L$18:$GI$18,"&gt;="&amp;$BR153,'Tally Helper'!$L$18:$GI$18,"&lt;="&amp;$BS153)))</f>
        <v/>
      </c>
      <c r="AD153" s="15" t="str">
        <f aca="false">IF(OR(H$7="",$BR153=""),"",IF('Tally Helper'!$B$21&lt;&gt;TRUE(),"not on Staff",SUMIFS('Tally Helper'!$L$23:$GI$23,'Tally Helper'!$L$21:$GI$21,"&gt;="&amp;$BR153,'Tally Helper'!$L$21:$GI$21,"&lt;="&amp;$BS153)))</f>
        <v/>
      </c>
      <c r="AE153" s="15" t="str">
        <f aca="false">IF(OR(I$7="",$BR153=""),"",IF('Tally Helper'!$B$24&lt;&gt;TRUE(),"not on Staff",SUMIFS('Tally Helper'!$L$26:$GI$26,'Tally Helper'!$L$24:$GI$24,"&gt;="&amp;$BR153,'Tally Helper'!$L$24:$GI$24,"&lt;="&amp;$BS153)))</f>
        <v/>
      </c>
      <c r="AF153" s="15" t="str">
        <f aca="false">IF(OR(J$7="",$BR153=""),"",IF('Tally Helper'!$B$27&lt;&gt;TRUE(),"not on Staff",SUMIFS('Tally Helper'!$L$29:$GI$29,'Tally Helper'!$L$27:$GI$27,"&gt;="&amp;$BR153,'Tally Helper'!$L$27:$GI$27,"&lt;="&amp;$BS153)))</f>
        <v/>
      </c>
      <c r="AG153" s="15" t="str">
        <f aca="false">IF(OR(K$7="",$BR153=""),"",IF('Tally Helper'!$B$30&lt;&gt;TRUE(),"not on Staff",SUMIFS('Tally Helper'!$L$32:$GI$32,'Tally Helper'!$L$30:$GI$30,"&gt;="&amp;$BR153,'Tally Helper'!$L$30:$GI$30,"&lt;="&amp;$BS153)))</f>
        <v/>
      </c>
      <c r="AH153" s="15" t="str">
        <f aca="false">IF(OR(L$7="",$BR153=""),"",IF('Tally Helper'!$B$33&lt;&gt;TRUE(),"not on Staff",SUMIFS('Tally Helper'!$L$35:$GI$35,'Tally Helper'!$L$33:$GI$33,"&gt;="&amp;$BR153,'Tally Helper'!$L$33:$GI$33,"&lt;="&amp;$BS153)))</f>
        <v/>
      </c>
      <c r="AI153" s="15" t="str">
        <f aca="false">IF(OR(M$7="",$BR153=""),"",IF('Tally Helper'!$B$36&lt;&gt;TRUE(),"not on Staff",SUMIFS('Tally Helper'!$L$38:$GI$38,'Tally Helper'!$L$36:$GI$36,"&gt;="&amp;$BR153,'Tally Helper'!$L$36:$GI$36,"&lt;="&amp;$BS153)))</f>
        <v/>
      </c>
      <c r="AJ153" s="15" t="str">
        <f aca="false">IF(OR(N$7="",$BR153=""),"",IF('Tally Helper'!$B$39&lt;&gt;TRUE(),"not on Staff",SUMIFS('Tally Helper'!$L$41:$GI$41,'Tally Helper'!$L$39:$GI$39,"&gt;="&amp;$BR153,'Tally Helper'!$L$39:$GI$39,"&lt;="&amp;$BS153)))</f>
        <v/>
      </c>
      <c r="AK153" s="15" t="str">
        <f aca="false">IF(OR(O$7="",$BR153=""),"",IF('Tally Helper'!$B$42&lt;&gt;TRUE(),"not on Staff",SUMIFS('Tally Helper'!$L$44:$GI$44,'Tally Helper'!$L$42:$GI$42,"&gt;="&amp;$BR153,'Tally Helper'!$L$42:$GI$42,"&lt;="&amp;$BS153)))</f>
        <v/>
      </c>
      <c r="AL153" s="15" t="str">
        <f aca="false">IF(OR(P$7="",$BR153=""),"",IF('Tally Helper'!$B$45&lt;&gt;TRUE(),"not on Staff",SUMIFS('Tally Helper'!$L$47:$GI$47,'Tally Helper'!$L$45:$GI$45,"&gt;="&amp;$BR153,'Tally Helper'!$L$45:$GI$45,"&lt;="&amp;$BS153)))</f>
        <v/>
      </c>
      <c r="AM153" s="15" t="str">
        <f aca="false">IF(OR(Q$7="",$BR153=""),"",IF('Tally Helper'!$B$48&lt;&gt;TRUE(),"not on Staff",SUMIFS('Tally Helper'!$L$50:$GI$50,'Tally Helper'!$L$48:$GI$48,"&gt;="&amp;$BR153,'Tally Helper'!$L$48:$GI$48,"&lt;="&amp;$BS153)))</f>
        <v/>
      </c>
      <c r="AN153" s="15" t="str">
        <f aca="false">IF(OR(R$7="",$BR153=""),"",IF('Tally Helper'!$B$51&lt;&gt;TRUE(),"not on Staff",SUMIFS('Tally Helper'!$L$53:$GI$53,'Tally Helper'!$L$51:$GI$51,"&gt;="&amp;$BR153,'Tally Helper'!$L$51:$GI$51,"&lt;="&amp;$BS153)))</f>
        <v/>
      </c>
      <c r="AO153" s="15" t="str">
        <f aca="false">IF(OR(S$7="",$BR153=""),"",IF('Tally Helper'!$B$54&lt;&gt;TRUE(),"not on Staff",SUMIFS('Tally Helper'!$L$56:$GI$56,'Tally Helper'!$L$54:$GI$54,"&gt;="&amp;$BR153,'Tally Helper'!$L$54:$GI$54,"&lt;="&amp;$BS153)))</f>
        <v/>
      </c>
      <c r="AP153" s="15" t="str">
        <f aca="false">IF(OR(T$7="",$BR153=""),"",IF('Tally Helper'!$B$57&lt;&gt;TRUE(),"not on Staff",SUMIFS('Tally Helper'!$L$59:$GI$59,'Tally Helper'!$L$57:$GI$57,"&gt;="&amp;$BR153,'Tally Helper'!$L$57:$GI$57,"&lt;="&amp;$BS153)))</f>
        <v/>
      </c>
      <c r="AQ153" s="15" t="str">
        <f aca="false">IF(OR(U$7="",$BR153=""),"",IF('Tally Helper'!$B$60&lt;&gt;TRUE(),"not on Staff",SUMIFS('Tally Helper'!$L$62:$GI$62,'Tally Helper'!$L$60:$GI$60,"&gt;="&amp;$BR153,'Tally Helper'!$L$60:$GI$60,"&lt;="&amp;$BS153)))</f>
        <v/>
      </c>
      <c r="AT153" s="15" t="str">
        <f aca="false">IF(OR(X153="",NOT(ISNUMBER(X153))),"",X153-N(B153))</f>
        <v/>
      </c>
      <c r="AU153" s="15" t="str">
        <f aca="false">IF(OR(Y153="",NOT(ISNUMBER(Y153))),"",Y153-N(C153))</f>
        <v/>
      </c>
      <c r="AV153" s="15" t="str">
        <f aca="false">IF(OR(Z153="",NOT(ISNUMBER(Z153))),"",Z153-N(D153))</f>
        <v/>
      </c>
      <c r="AW153" s="15" t="str">
        <f aca="false">IF(OR(AA153="",NOT(ISNUMBER(AA153))),"",AA153-N(E153))</f>
        <v/>
      </c>
      <c r="AX153" s="15" t="str">
        <f aca="false">IF(OR(AB153="",NOT(ISNUMBER(AB153))),"",AB153-N(F153))</f>
        <v/>
      </c>
      <c r="AY153" s="15" t="str">
        <f aca="false">IF(OR(AC153="",NOT(ISNUMBER(AC153))),"",AC153-N(G153))</f>
        <v/>
      </c>
      <c r="AZ153" s="15" t="str">
        <f aca="false">IF(OR(AD153="",NOT(ISNUMBER(AD153))),"",AD153-N(H153))</f>
        <v/>
      </c>
      <c r="BA153" s="15" t="str">
        <f aca="false">IF(OR(AE153="",NOT(ISNUMBER(AE153))),"",AE153-N(I153))</f>
        <v/>
      </c>
      <c r="BB153" s="15" t="str">
        <f aca="false">IF(OR(AF153="",NOT(ISNUMBER(AF153))),"",AF153-N(J153))</f>
        <v/>
      </c>
      <c r="BC153" s="15" t="str">
        <f aca="false">IF(OR(AG153="",NOT(ISNUMBER(AG153))),"",AG153-N(K153))</f>
        <v/>
      </c>
      <c r="BD153" s="15" t="str">
        <f aca="false">IF(OR(AH153="",NOT(ISNUMBER(AH153))),"",AH153-N(L153))</f>
        <v/>
      </c>
      <c r="BE153" s="15" t="str">
        <f aca="false">IF(OR(AI153="",NOT(ISNUMBER(AI153))),"",AI153-N(M153))</f>
        <v/>
      </c>
      <c r="BF153" s="15" t="str">
        <f aca="false">IF(OR(AJ153="",NOT(ISNUMBER(AJ153))),"",AJ153-N(N153))</f>
        <v/>
      </c>
      <c r="BG153" s="15" t="str">
        <f aca="false">IF(OR(AK153="",NOT(ISNUMBER(AK153))),"",AK153-N(O153))</f>
        <v/>
      </c>
      <c r="BH153" s="15" t="str">
        <f aca="false">IF(OR(AL153="",NOT(ISNUMBER(AL153))),"",AL153-N(P153))</f>
        <v/>
      </c>
      <c r="BI153" s="15" t="str">
        <f aca="false">IF(OR(AM153="",NOT(ISNUMBER(AM153))),"",AM153-N(Q153))</f>
        <v/>
      </c>
      <c r="BJ153" s="15" t="str">
        <f aca="false">IF(OR(AN153="",NOT(ISNUMBER(AN153))),"",AN153-N(R153))</f>
        <v/>
      </c>
      <c r="BK153" s="15" t="str">
        <f aca="false">IF(OR(AO153="",NOT(ISNUMBER(AO153))),"",AO153-N(S153))</f>
        <v/>
      </c>
      <c r="BL153" s="15" t="str">
        <f aca="false">IF(OR(AP153="",NOT(ISNUMBER(AP153))),"",AP153-N(T153))</f>
        <v/>
      </c>
      <c r="BM153" s="15" t="str">
        <f aca="false">IF(OR(AQ153="",NOT(ISNUMBER(AQ153))),"",AQ153-N(U153))</f>
        <v/>
      </c>
      <c r="BR153" s="18" t="str">
        <f aca="false">IF($A153="","",IF(ISNUMBER($A153),DATE(YEAR($A153),MONTH($A153),1),IFERROR(DATE(2000+VALUE(RIGHT(TRIM($A153),2)),MATCH(UPPER(LEFT(TRIM($A153),3)),{"JAN","FEB","MAR","APR","MAY","JUN","JUL","AUG","SEP","OCT","NOV","DEC"},0),1),"")))</f>
        <v/>
      </c>
      <c r="BS153" s="18" t="str">
        <f aca="false">IF(BR153="","",EOMONTH(BR153,0))</f>
        <v/>
      </c>
    </row>
    <row r="154" customFormat="false" ht="15" hidden="false" customHeight="false" outlineLevel="0" collapsed="false">
      <c r="B154" s="19"/>
      <c r="C154" s="19"/>
      <c r="D154" s="19"/>
      <c r="E154" s="19"/>
      <c r="F154" s="19"/>
      <c r="G154" s="19"/>
      <c r="H154" s="19"/>
      <c r="I154" s="19"/>
      <c r="J154" s="19"/>
      <c r="K154" s="19"/>
      <c r="L154" s="19"/>
      <c r="M154" s="19"/>
      <c r="N154" s="19"/>
      <c r="O154" s="19"/>
      <c r="P154" s="19"/>
      <c r="Q154" s="19"/>
      <c r="R154" s="19"/>
      <c r="S154" s="19"/>
      <c r="T154" s="19"/>
      <c r="U154" s="19"/>
      <c r="X154" s="15" t="str">
        <f aca="false">IF(OR(B$7="",$BR154=""),"",IF('Tally Helper'!$B$3&lt;&gt;TRUE(),"not on Staff",SUMIFS('Tally Helper'!$L$5:$GI$5,'Tally Helper'!$L$3:$GI$3,"&gt;="&amp;$BR154,'Tally Helper'!$L$3:$GI$3,"&lt;="&amp;$BS154)))</f>
        <v/>
      </c>
      <c r="Y154" s="15" t="str">
        <f aca="false">IF(OR(C$7="",$BR154=""),"",IF('Tally Helper'!$B$6&lt;&gt;TRUE(),"not on Staff",SUMIFS('Tally Helper'!$L$8:$GI$8,'Tally Helper'!$L$6:$GI$6,"&gt;="&amp;$BR154,'Tally Helper'!$L$6:$GI$6,"&lt;="&amp;$BS154)))</f>
        <v/>
      </c>
      <c r="Z154" s="15" t="str">
        <f aca="false">IF(OR(D$7="",$BR154=""),"",IF('Tally Helper'!$B$9&lt;&gt;TRUE(),"not on Staff",SUMIFS('Tally Helper'!$L$11:$GI$11,'Tally Helper'!$L$9:$GI$9,"&gt;="&amp;$BR154,'Tally Helper'!$L$9:$GI$9,"&lt;="&amp;$BS154)))</f>
        <v/>
      </c>
      <c r="AA154" s="15" t="str">
        <f aca="false">IF(OR(E$7="",$BR154=""),"",IF('Tally Helper'!$B$12&lt;&gt;TRUE(),"not on Staff",SUMIFS('Tally Helper'!$L$14:$GI$14,'Tally Helper'!$L$12:$GI$12,"&gt;="&amp;$BR154,'Tally Helper'!$L$12:$GI$12,"&lt;="&amp;$BS154)))</f>
        <v/>
      </c>
      <c r="AB154" s="15" t="str">
        <f aca="false">IF(OR(F$7="",$BR154=""),"",IF('Tally Helper'!$B$15&lt;&gt;TRUE(),"not on Staff",SUMIFS('Tally Helper'!$L$17:$GI$17,'Tally Helper'!$L$15:$GI$15,"&gt;="&amp;$BR154,'Tally Helper'!$L$15:$GI$15,"&lt;="&amp;$BS154)))</f>
        <v/>
      </c>
      <c r="AC154" s="15" t="str">
        <f aca="false">IF(OR(G$7="",$BR154=""),"",IF('Tally Helper'!$B$18&lt;&gt;TRUE(),"not on Staff",SUMIFS('Tally Helper'!$L$20:$GI$20,'Tally Helper'!$L$18:$GI$18,"&gt;="&amp;$BR154,'Tally Helper'!$L$18:$GI$18,"&lt;="&amp;$BS154)))</f>
        <v/>
      </c>
      <c r="AD154" s="15" t="str">
        <f aca="false">IF(OR(H$7="",$BR154=""),"",IF('Tally Helper'!$B$21&lt;&gt;TRUE(),"not on Staff",SUMIFS('Tally Helper'!$L$23:$GI$23,'Tally Helper'!$L$21:$GI$21,"&gt;="&amp;$BR154,'Tally Helper'!$L$21:$GI$21,"&lt;="&amp;$BS154)))</f>
        <v/>
      </c>
      <c r="AE154" s="15" t="str">
        <f aca="false">IF(OR(I$7="",$BR154=""),"",IF('Tally Helper'!$B$24&lt;&gt;TRUE(),"not on Staff",SUMIFS('Tally Helper'!$L$26:$GI$26,'Tally Helper'!$L$24:$GI$24,"&gt;="&amp;$BR154,'Tally Helper'!$L$24:$GI$24,"&lt;="&amp;$BS154)))</f>
        <v/>
      </c>
      <c r="AF154" s="15" t="str">
        <f aca="false">IF(OR(J$7="",$BR154=""),"",IF('Tally Helper'!$B$27&lt;&gt;TRUE(),"not on Staff",SUMIFS('Tally Helper'!$L$29:$GI$29,'Tally Helper'!$L$27:$GI$27,"&gt;="&amp;$BR154,'Tally Helper'!$L$27:$GI$27,"&lt;="&amp;$BS154)))</f>
        <v/>
      </c>
      <c r="AG154" s="15" t="str">
        <f aca="false">IF(OR(K$7="",$BR154=""),"",IF('Tally Helper'!$B$30&lt;&gt;TRUE(),"not on Staff",SUMIFS('Tally Helper'!$L$32:$GI$32,'Tally Helper'!$L$30:$GI$30,"&gt;="&amp;$BR154,'Tally Helper'!$L$30:$GI$30,"&lt;="&amp;$BS154)))</f>
        <v/>
      </c>
      <c r="AH154" s="15" t="str">
        <f aca="false">IF(OR(L$7="",$BR154=""),"",IF('Tally Helper'!$B$33&lt;&gt;TRUE(),"not on Staff",SUMIFS('Tally Helper'!$L$35:$GI$35,'Tally Helper'!$L$33:$GI$33,"&gt;="&amp;$BR154,'Tally Helper'!$L$33:$GI$33,"&lt;="&amp;$BS154)))</f>
        <v/>
      </c>
      <c r="AI154" s="15" t="str">
        <f aca="false">IF(OR(M$7="",$BR154=""),"",IF('Tally Helper'!$B$36&lt;&gt;TRUE(),"not on Staff",SUMIFS('Tally Helper'!$L$38:$GI$38,'Tally Helper'!$L$36:$GI$36,"&gt;="&amp;$BR154,'Tally Helper'!$L$36:$GI$36,"&lt;="&amp;$BS154)))</f>
        <v/>
      </c>
      <c r="AJ154" s="15" t="str">
        <f aca="false">IF(OR(N$7="",$BR154=""),"",IF('Tally Helper'!$B$39&lt;&gt;TRUE(),"not on Staff",SUMIFS('Tally Helper'!$L$41:$GI$41,'Tally Helper'!$L$39:$GI$39,"&gt;="&amp;$BR154,'Tally Helper'!$L$39:$GI$39,"&lt;="&amp;$BS154)))</f>
        <v/>
      </c>
      <c r="AK154" s="15" t="str">
        <f aca="false">IF(OR(O$7="",$BR154=""),"",IF('Tally Helper'!$B$42&lt;&gt;TRUE(),"not on Staff",SUMIFS('Tally Helper'!$L$44:$GI$44,'Tally Helper'!$L$42:$GI$42,"&gt;="&amp;$BR154,'Tally Helper'!$L$42:$GI$42,"&lt;="&amp;$BS154)))</f>
        <v/>
      </c>
      <c r="AL154" s="15" t="str">
        <f aca="false">IF(OR(P$7="",$BR154=""),"",IF('Tally Helper'!$B$45&lt;&gt;TRUE(),"not on Staff",SUMIFS('Tally Helper'!$L$47:$GI$47,'Tally Helper'!$L$45:$GI$45,"&gt;="&amp;$BR154,'Tally Helper'!$L$45:$GI$45,"&lt;="&amp;$BS154)))</f>
        <v/>
      </c>
      <c r="AM154" s="15" t="str">
        <f aca="false">IF(OR(Q$7="",$BR154=""),"",IF('Tally Helper'!$B$48&lt;&gt;TRUE(),"not on Staff",SUMIFS('Tally Helper'!$L$50:$GI$50,'Tally Helper'!$L$48:$GI$48,"&gt;="&amp;$BR154,'Tally Helper'!$L$48:$GI$48,"&lt;="&amp;$BS154)))</f>
        <v/>
      </c>
      <c r="AN154" s="15" t="str">
        <f aca="false">IF(OR(R$7="",$BR154=""),"",IF('Tally Helper'!$B$51&lt;&gt;TRUE(),"not on Staff",SUMIFS('Tally Helper'!$L$53:$GI$53,'Tally Helper'!$L$51:$GI$51,"&gt;="&amp;$BR154,'Tally Helper'!$L$51:$GI$51,"&lt;="&amp;$BS154)))</f>
        <v/>
      </c>
      <c r="AO154" s="15" t="str">
        <f aca="false">IF(OR(S$7="",$BR154=""),"",IF('Tally Helper'!$B$54&lt;&gt;TRUE(),"not on Staff",SUMIFS('Tally Helper'!$L$56:$GI$56,'Tally Helper'!$L$54:$GI$54,"&gt;="&amp;$BR154,'Tally Helper'!$L$54:$GI$54,"&lt;="&amp;$BS154)))</f>
        <v/>
      </c>
      <c r="AP154" s="15" t="str">
        <f aca="false">IF(OR(T$7="",$BR154=""),"",IF('Tally Helper'!$B$57&lt;&gt;TRUE(),"not on Staff",SUMIFS('Tally Helper'!$L$59:$GI$59,'Tally Helper'!$L$57:$GI$57,"&gt;="&amp;$BR154,'Tally Helper'!$L$57:$GI$57,"&lt;="&amp;$BS154)))</f>
        <v/>
      </c>
      <c r="AQ154" s="15" t="str">
        <f aca="false">IF(OR(U$7="",$BR154=""),"",IF('Tally Helper'!$B$60&lt;&gt;TRUE(),"not on Staff",SUMIFS('Tally Helper'!$L$62:$GI$62,'Tally Helper'!$L$60:$GI$60,"&gt;="&amp;$BR154,'Tally Helper'!$L$60:$GI$60,"&lt;="&amp;$BS154)))</f>
        <v/>
      </c>
      <c r="AT154" s="15" t="str">
        <f aca="false">IF(OR(X154="",NOT(ISNUMBER(X154))),"",X154-N(B154))</f>
        <v/>
      </c>
      <c r="AU154" s="15" t="str">
        <f aca="false">IF(OR(Y154="",NOT(ISNUMBER(Y154))),"",Y154-N(C154))</f>
        <v/>
      </c>
      <c r="AV154" s="15" t="str">
        <f aca="false">IF(OR(Z154="",NOT(ISNUMBER(Z154))),"",Z154-N(D154))</f>
        <v/>
      </c>
      <c r="AW154" s="15" t="str">
        <f aca="false">IF(OR(AA154="",NOT(ISNUMBER(AA154))),"",AA154-N(E154))</f>
        <v/>
      </c>
      <c r="AX154" s="15" t="str">
        <f aca="false">IF(OR(AB154="",NOT(ISNUMBER(AB154))),"",AB154-N(F154))</f>
        <v/>
      </c>
      <c r="AY154" s="15" t="str">
        <f aca="false">IF(OR(AC154="",NOT(ISNUMBER(AC154))),"",AC154-N(G154))</f>
        <v/>
      </c>
      <c r="AZ154" s="15" t="str">
        <f aca="false">IF(OR(AD154="",NOT(ISNUMBER(AD154))),"",AD154-N(H154))</f>
        <v/>
      </c>
      <c r="BA154" s="15" t="str">
        <f aca="false">IF(OR(AE154="",NOT(ISNUMBER(AE154))),"",AE154-N(I154))</f>
        <v/>
      </c>
      <c r="BB154" s="15" t="str">
        <f aca="false">IF(OR(AF154="",NOT(ISNUMBER(AF154))),"",AF154-N(J154))</f>
        <v/>
      </c>
      <c r="BC154" s="15" t="str">
        <f aca="false">IF(OR(AG154="",NOT(ISNUMBER(AG154))),"",AG154-N(K154))</f>
        <v/>
      </c>
      <c r="BD154" s="15" t="str">
        <f aca="false">IF(OR(AH154="",NOT(ISNUMBER(AH154))),"",AH154-N(L154))</f>
        <v/>
      </c>
      <c r="BE154" s="15" t="str">
        <f aca="false">IF(OR(AI154="",NOT(ISNUMBER(AI154))),"",AI154-N(M154))</f>
        <v/>
      </c>
      <c r="BF154" s="15" t="str">
        <f aca="false">IF(OR(AJ154="",NOT(ISNUMBER(AJ154))),"",AJ154-N(N154))</f>
        <v/>
      </c>
      <c r="BG154" s="15" t="str">
        <f aca="false">IF(OR(AK154="",NOT(ISNUMBER(AK154))),"",AK154-N(O154))</f>
        <v/>
      </c>
      <c r="BH154" s="15" t="str">
        <f aca="false">IF(OR(AL154="",NOT(ISNUMBER(AL154))),"",AL154-N(P154))</f>
        <v/>
      </c>
      <c r="BI154" s="15" t="str">
        <f aca="false">IF(OR(AM154="",NOT(ISNUMBER(AM154))),"",AM154-N(Q154))</f>
        <v/>
      </c>
      <c r="BJ154" s="15" t="str">
        <f aca="false">IF(OR(AN154="",NOT(ISNUMBER(AN154))),"",AN154-N(R154))</f>
        <v/>
      </c>
      <c r="BK154" s="15" t="str">
        <f aca="false">IF(OR(AO154="",NOT(ISNUMBER(AO154))),"",AO154-N(S154))</f>
        <v/>
      </c>
      <c r="BL154" s="15" t="str">
        <f aca="false">IF(OR(AP154="",NOT(ISNUMBER(AP154))),"",AP154-N(T154))</f>
        <v/>
      </c>
      <c r="BM154" s="15" t="str">
        <f aca="false">IF(OR(AQ154="",NOT(ISNUMBER(AQ154))),"",AQ154-N(U154))</f>
        <v/>
      </c>
      <c r="BR154" s="18" t="str">
        <f aca="false">IF($A154="","",IF(ISNUMBER($A154),DATE(YEAR($A154),MONTH($A154),1),IFERROR(DATE(2000+VALUE(RIGHT(TRIM($A154),2)),MATCH(UPPER(LEFT(TRIM($A154),3)),{"JAN","FEB","MAR","APR","MAY","JUN","JUL","AUG","SEP","OCT","NOV","DEC"},0),1),"")))</f>
        <v/>
      </c>
      <c r="BS154" s="18" t="str">
        <f aca="false">IF(BR154="","",EOMONTH(BR154,0))</f>
        <v/>
      </c>
    </row>
    <row r="155" customFormat="false" ht="15" hidden="false" customHeight="false" outlineLevel="0" collapsed="false">
      <c r="B155" s="19"/>
      <c r="C155" s="19"/>
      <c r="D155" s="19"/>
      <c r="E155" s="19"/>
      <c r="F155" s="19"/>
      <c r="G155" s="19"/>
      <c r="H155" s="19"/>
      <c r="I155" s="19"/>
      <c r="J155" s="19"/>
      <c r="K155" s="19"/>
      <c r="L155" s="19"/>
      <c r="M155" s="19"/>
      <c r="N155" s="19"/>
      <c r="O155" s="19"/>
      <c r="P155" s="19"/>
      <c r="Q155" s="19"/>
      <c r="R155" s="19"/>
      <c r="S155" s="19"/>
      <c r="T155" s="19"/>
      <c r="U155" s="19"/>
      <c r="X155" s="15" t="str">
        <f aca="false">IF(OR(B$7="",$BR155=""),"",IF('Tally Helper'!$B$3&lt;&gt;TRUE(),"not on Staff",SUMIFS('Tally Helper'!$L$5:$GI$5,'Tally Helper'!$L$3:$GI$3,"&gt;="&amp;$BR155,'Tally Helper'!$L$3:$GI$3,"&lt;="&amp;$BS155)))</f>
        <v/>
      </c>
      <c r="Y155" s="15" t="str">
        <f aca="false">IF(OR(C$7="",$BR155=""),"",IF('Tally Helper'!$B$6&lt;&gt;TRUE(),"not on Staff",SUMIFS('Tally Helper'!$L$8:$GI$8,'Tally Helper'!$L$6:$GI$6,"&gt;="&amp;$BR155,'Tally Helper'!$L$6:$GI$6,"&lt;="&amp;$BS155)))</f>
        <v/>
      </c>
      <c r="Z155" s="15" t="str">
        <f aca="false">IF(OR(D$7="",$BR155=""),"",IF('Tally Helper'!$B$9&lt;&gt;TRUE(),"not on Staff",SUMIFS('Tally Helper'!$L$11:$GI$11,'Tally Helper'!$L$9:$GI$9,"&gt;="&amp;$BR155,'Tally Helper'!$L$9:$GI$9,"&lt;="&amp;$BS155)))</f>
        <v/>
      </c>
      <c r="AA155" s="15" t="str">
        <f aca="false">IF(OR(E$7="",$BR155=""),"",IF('Tally Helper'!$B$12&lt;&gt;TRUE(),"not on Staff",SUMIFS('Tally Helper'!$L$14:$GI$14,'Tally Helper'!$L$12:$GI$12,"&gt;="&amp;$BR155,'Tally Helper'!$L$12:$GI$12,"&lt;="&amp;$BS155)))</f>
        <v/>
      </c>
      <c r="AB155" s="15" t="str">
        <f aca="false">IF(OR(F$7="",$BR155=""),"",IF('Tally Helper'!$B$15&lt;&gt;TRUE(),"not on Staff",SUMIFS('Tally Helper'!$L$17:$GI$17,'Tally Helper'!$L$15:$GI$15,"&gt;="&amp;$BR155,'Tally Helper'!$L$15:$GI$15,"&lt;="&amp;$BS155)))</f>
        <v/>
      </c>
      <c r="AC155" s="15" t="str">
        <f aca="false">IF(OR(G$7="",$BR155=""),"",IF('Tally Helper'!$B$18&lt;&gt;TRUE(),"not on Staff",SUMIFS('Tally Helper'!$L$20:$GI$20,'Tally Helper'!$L$18:$GI$18,"&gt;="&amp;$BR155,'Tally Helper'!$L$18:$GI$18,"&lt;="&amp;$BS155)))</f>
        <v/>
      </c>
      <c r="AD155" s="15" t="str">
        <f aca="false">IF(OR(H$7="",$BR155=""),"",IF('Tally Helper'!$B$21&lt;&gt;TRUE(),"not on Staff",SUMIFS('Tally Helper'!$L$23:$GI$23,'Tally Helper'!$L$21:$GI$21,"&gt;="&amp;$BR155,'Tally Helper'!$L$21:$GI$21,"&lt;="&amp;$BS155)))</f>
        <v/>
      </c>
      <c r="AE155" s="15" t="str">
        <f aca="false">IF(OR(I$7="",$BR155=""),"",IF('Tally Helper'!$B$24&lt;&gt;TRUE(),"not on Staff",SUMIFS('Tally Helper'!$L$26:$GI$26,'Tally Helper'!$L$24:$GI$24,"&gt;="&amp;$BR155,'Tally Helper'!$L$24:$GI$24,"&lt;="&amp;$BS155)))</f>
        <v/>
      </c>
      <c r="AF155" s="15" t="str">
        <f aca="false">IF(OR(J$7="",$BR155=""),"",IF('Tally Helper'!$B$27&lt;&gt;TRUE(),"not on Staff",SUMIFS('Tally Helper'!$L$29:$GI$29,'Tally Helper'!$L$27:$GI$27,"&gt;="&amp;$BR155,'Tally Helper'!$L$27:$GI$27,"&lt;="&amp;$BS155)))</f>
        <v/>
      </c>
      <c r="AG155" s="15" t="str">
        <f aca="false">IF(OR(K$7="",$BR155=""),"",IF('Tally Helper'!$B$30&lt;&gt;TRUE(),"not on Staff",SUMIFS('Tally Helper'!$L$32:$GI$32,'Tally Helper'!$L$30:$GI$30,"&gt;="&amp;$BR155,'Tally Helper'!$L$30:$GI$30,"&lt;="&amp;$BS155)))</f>
        <v/>
      </c>
      <c r="AH155" s="15" t="str">
        <f aca="false">IF(OR(L$7="",$BR155=""),"",IF('Tally Helper'!$B$33&lt;&gt;TRUE(),"not on Staff",SUMIFS('Tally Helper'!$L$35:$GI$35,'Tally Helper'!$L$33:$GI$33,"&gt;="&amp;$BR155,'Tally Helper'!$L$33:$GI$33,"&lt;="&amp;$BS155)))</f>
        <v/>
      </c>
      <c r="AI155" s="15" t="str">
        <f aca="false">IF(OR(M$7="",$BR155=""),"",IF('Tally Helper'!$B$36&lt;&gt;TRUE(),"not on Staff",SUMIFS('Tally Helper'!$L$38:$GI$38,'Tally Helper'!$L$36:$GI$36,"&gt;="&amp;$BR155,'Tally Helper'!$L$36:$GI$36,"&lt;="&amp;$BS155)))</f>
        <v/>
      </c>
      <c r="AJ155" s="15" t="str">
        <f aca="false">IF(OR(N$7="",$BR155=""),"",IF('Tally Helper'!$B$39&lt;&gt;TRUE(),"not on Staff",SUMIFS('Tally Helper'!$L$41:$GI$41,'Tally Helper'!$L$39:$GI$39,"&gt;="&amp;$BR155,'Tally Helper'!$L$39:$GI$39,"&lt;="&amp;$BS155)))</f>
        <v/>
      </c>
      <c r="AK155" s="15" t="str">
        <f aca="false">IF(OR(O$7="",$BR155=""),"",IF('Tally Helper'!$B$42&lt;&gt;TRUE(),"not on Staff",SUMIFS('Tally Helper'!$L$44:$GI$44,'Tally Helper'!$L$42:$GI$42,"&gt;="&amp;$BR155,'Tally Helper'!$L$42:$GI$42,"&lt;="&amp;$BS155)))</f>
        <v/>
      </c>
      <c r="AL155" s="15" t="str">
        <f aca="false">IF(OR(P$7="",$BR155=""),"",IF('Tally Helper'!$B$45&lt;&gt;TRUE(),"not on Staff",SUMIFS('Tally Helper'!$L$47:$GI$47,'Tally Helper'!$L$45:$GI$45,"&gt;="&amp;$BR155,'Tally Helper'!$L$45:$GI$45,"&lt;="&amp;$BS155)))</f>
        <v/>
      </c>
      <c r="AM155" s="15" t="str">
        <f aca="false">IF(OR(Q$7="",$BR155=""),"",IF('Tally Helper'!$B$48&lt;&gt;TRUE(),"not on Staff",SUMIFS('Tally Helper'!$L$50:$GI$50,'Tally Helper'!$L$48:$GI$48,"&gt;="&amp;$BR155,'Tally Helper'!$L$48:$GI$48,"&lt;="&amp;$BS155)))</f>
        <v/>
      </c>
      <c r="AN155" s="15" t="str">
        <f aca="false">IF(OR(R$7="",$BR155=""),"",IF('Tally Helper'!$B$51&lt;&gt;TRUE(),"not on Staff",SUMIFS('Tally Helper'!$L$53:$GI$53,'Tally Helper'!$L$51:$GI$51,"&gt;="&amp;$BR155,'Tally Helper'!$L$51:$GI$51,"&lt;="&amp;$BS155)))</f>
        <v/>
      </c>
      <c r="AO155" s="15" t="str">
        <f aca="false">IF(OR(S$7="",$BR155=""),"",IF('Tally Helper'!$B$54&lt;&gt;TRUE(),"not on Staff",SUMIFS('Tally Helper'!$L$56:$GI$56,'Tally Helper'!$L$54:$GI$54,"&gt;="&amp;$BR155,'Tally Helper'!$L$54:$GI$54,"&lt;="&amp;$BS155)))</f>
        <v/>
      </c>
      <c r="AP155" s="15" t="str">
        <f aca="false">IF(OR(T$7="",$BR155=""),"",IF('Tally Helper'!$B$57&lt;&gt;TRUE(),"not on Staff",SUMIFS('Tally Helper'!$L$59:$GI$59,'Tally Helper'!$L$57:$GI$57,"&gt;="&amp;$BR155,'Tally Helper'!$L$57:$GI$57,"&lt;="&amp;$BS155)))</f>
        <v/>
      </c>
      <c r="AQ155" s="15" t="str">
        <f aca="false">IF(OR(U$7="",$BR155=""),"",IF('Tally Helper'!$B$60&lt;&gt;TRUE(),"not on Staff",SUMIFS('Tally Helper'!$L$62:$GI$62,'Tally Helper'!$L$60:$GI$60,"&gt;="&amp;$BR155,'Tally Helper'!$L$60:$GI$60,"&lt;="&amp;$BS155)))</f>
        <v/>
      </c>
      <c r="AT155" s="15" t="str">
        <f aca="false">IF(OR(X155="",NOT(ISNUMBER(X155))),"",X155-N(B155))</f>
        <v/>
      </c>
      <c r="AU155" s="15" t="str">
        <f aca="false">IF(OR(Y155="",NOT(ISNUMBER(Y155))),"",Y155-N(C155))</f>
        <v/>
      </c>
      <c r="AV155" s="15" t="str">
        <f aca="false">IF(OR(Z155="",NOT(ISNUMBER(Z155))),"",Z155-N(D155))</f>
        <v/>
      </c>
      <c r="AW155" s="15" t="str">
        <f aca="false">IF(OR(AA155="",NOT(ISNUMBER(AA155))),"",AA155-N(E155))</f>
        <v/>
      </c>
      <c r="AX155" s="15" t="str">
        <f aca="false">IF(OR(AB155="",NOT(ISNUMBER(AB155))),"",AB155-N(F155))</f>
        <v/>
      </c>
      <c r="AY155" s="15" t="str">
        <f aca="false">IF(OR(AC155="",NOT(ISNUMBER(AC155))),"",AC155-N(G155))</f>
        <v/>
      </c>
      <c r="AZ155" s="15" t="str">
        <f aca="false">IF(OR(AD155="",NOT(ISNUMBER(AD155))),"",AD155-N(H155))</f>
        <v/>
      </c>
      <c r="BA155" s="15" t="str">
        <f aca="false">IF(OR(AE155="",NOT(ISNUMBER(AE155))),"",AE155-N(I155))</f>
        <v/>
      </c>
      <c r="BB155" s="15" t="str">
        <f aca="false">IF(OR(AF155="",NOT(ISNUMBER(AF155))),"",AF155-N(J155))</f>
        <v/>
      </c>
      <c r="BC155" s="15" t="str">
        <f aca="false">IF(OR(AG155="",NOT(ISNUMBER(AG155))),"",AG155-N(K155))</f>
        <v/>
      </c>
      <c r="BD155" s="15" t="str">
        <f aca="false">IF(OR(AH155="",NOT(ISNUMBER(AH155))),"",AH155-N(L155))</f>
        <v/>
      </c>
      <c r="BE155" s="15" t="str">
        <f aca="false">IF(OR(AI155="",NOT(ISNUMBER(AI155))),"",AI155-N(M155))</f>
        <v/>
      </c>
      <c r="BF155" s="15" t="str">
        <f aca="false">IF(OR(AJ155="",NOT(ISNUMBER(AJ155))),"",AJ155-N(N155))</f>
        <v/>
      </c>
      <c r="BG155" s="15" t="str">
        <f aca="false">IF(OR(AK155="",NOT(ISNUMBER(AK155))),"",AK155-N(O155))</f>
        <v/>
      </c>
      <c r="BH155" s="15" t="str">
        <f aca="false">IF(OR(AL155="",NOT(ISNUMBER(AL155))),"",AL155-N(P155))</f>
        <v/>
      </c>
      <c r="BI155" s="15" t="str">
        <f aca="false">IF(OR(AM155="",NOT(ISNUMBER(AM155))),"",AM155-N(Q155))</f>
        <v/>
      </c>
      <c r="BJ155" s="15" t="str">
        <f aca="false">IF(OR(AN155="",NOT(ISNUMBER(AN155))),"",AN155-N(R155))</f>
        <v/>
      </c>
      <c r="BK155" s="15" t="str">
        <f aca="false">IF(OR(AO155="",NOT(ISNUMBER(AO155))),"",AO155-N(S155))</f>
        <v/>
      </c>
      <c r="BL155" s="15" t="str">
        <f aca="false">IF(OR(AP155="",NOT(ISNUMBER(AP155))),"",AP155-N(T155))</f>
        <v/>
      </c>
      <c r="BM155" s="15" t="str">
        <f aca="false">IF(OR(AQ155="",NOT(ISNUMBER(AQ155))),"",AQ155-N(U155))</f>
        <v/>
      </c>
      <c r="BR155" s="18" t="str">
        <f aca="false">IF($A155="","",IF(ISNUMBER($A155),DATE(YEAR($A155),MONTH($A155),1),IFERROR(DATE(2000+VALUE(RIGHT(TRIM($A155),2)),MATCH(UPPER(LEFT(TRIM($A155),3)),{"JAN","FEB","MAR","APR","MAY","JUN","JUL","AUG","SEP","OCT","NOV","DEC"},0),1),"")))</f>
        <v/>
      </c>
      <c r="BS155" s="18" t="str">
        <f aca="false">IF(BR155="","",EOMONTH(BR155,0))</f>
        <v/>
      </c>
    </row>
    <row r="156" customFormat="false" ht="15" hidden="false" customHeight="false" outlineLevel="0" collapsed="false">
      <c r="B156" s="19"/>
      <c r="C156" s="19"/>
      <c r="D156" s="19"/>
      <c r="E156" s="19"/>
      <c r="F156" s="19"/>
      <c r="G156" s="19"/>
      <c r="H156" s="19"/>
      <c r="I156" s="19"/>
      <c r="J156" s="19"/>
      <c r="K156" s="19"/>
      <c r="L156" s="19"/>
      <c r="M156" s="19"/>
      <c r="N156" s="19"/>
      <c r="O156" s="19"/>
      <c r="P156" s="19"/>
      <c r="Q156" s="19"/>
      <c r="R156" s="19"/>
      <c r="S156" s="19"/>
      <c r="T156" s="19"/>
      <c r="U156" s="19"/>
      <c r="X156" s="15" t="str">
        <f aca="false">IF(OR(B$7="",$BR156=""),"",IF('Tally Helper'!$B$3&lt;&gt;TRUE(),"not on Staff",SUMIFS('Tally Helper'!$L$5:$GI$5,'Tally Helper'!$L$3:$GI$3,"&gt;="&amp;$BR156,'Tally Helper'!$L$3:$GI$3,"&lt;="&amp;$BS156)))</f>
        <v/>
      </c>
      <c r="Y156" s="15" t="str">
        <f aca="false">IF(OR(C$7="",$BR156=""),"",IF('Tally Helper'!$B$6&lt;&gt;TRUE(),"not on Staff",SUMIFS('Tally Helper'!$L$8:$GI$8,'Tally Helper'!$L$6:$GI$6,"&gt;="&amp;$BR156,'Tally Helper'!$L$6:$GI$6,"&lt;="&amp;$BS156)))</f>
        <v/>
      </c>
      <c r="Z156" s="15" t="str">
        <f aca="false">IF(OR(D$7="",$BR156=""),"",IF('Tally Helper'!$B$9&lt;&gt;TRUE(),"not on Staff",SUMIFS('Tally Helper'!$L$11:$GI$11,'Tally Helper'!$L$9:$GI$9,"&gt;="&amp;$BR156,'Tally Helper'!$L$9:$GI$9,"&lt;="&amp;$BS156)))</f>
        <v/>
      </c>
      <c r="AA156" s="15" t="str">
        <f aca="false">IF(OR(E$7="",$BR156=""),"",IF('Tally Helper'!$B$12&lt;&gt;TRUE(),"not on Staff",SUMIFS('Tally Helper'!$L$14:$GI$14,'Tally Helper'!$L$12:$GI$12,"&gt;="&amp;$BR156,'Tally Helper'!$L$12:$GI$12,"&lt;="&amp;$BS156)))</f>
        <v/>
      </c>
      <c r="AB156" s="15" t="str">
        <f aca="false">IF(OR(F$7="",$BR156=""),"",IF('Tally Helper'!$B$15&lt;&gt;TRUE(),"not on Staff",SUMIFS('Tally Helper'!$L$17:$GI$17,'Tally Helper'!$L$15:$GI$15,"&gt;="&amp;$BR156,'Tally Helper'!$L$15:$GI$15,"&lt;="&amp;$BS156)))</f>
        <v/>
      </c>
      <c r="AC156" s="15" t="str">
        <f aca="false">IF(OR(G$7="",$BR156=""),"",IF('Tally Helper'!$B$18&lt;&gt;TRUE(),"not on Staff",SUMIFS('Tally Helper'!$L$20:$GI$20,'Tally Helper'!$L$18:$GI$18,"&gt;="&amp;$BR156,'Tally Helper'!$L$18:$GI$18,"&lt;="&amp;$BS156)))</f>
        <v/>
      </c>
      <c r="AD156" s="15" t="str">
        <f aca="false">IF(OR(H$7="",$BR156=""),"",IF('Tally Helper'!$B$21&lt;&gt;TRUE(),"not on Staff",SUMIFS('Tally Helper'!$L$23:$GI$23,'Tally Helper'!$L$21:$GI$21,"&gt;="&amp;$BR156,'Tally Helper'!$L$21:$GI$21,"&lt;="&amp;$BS156)))</f>
        <v/>
      </c>
      <c r="AE156" s="15" t="str">
        <f aca="false">IF(OR(I$7="",$BR156=""),"",IF('Tally Helper'!$B$24&lt;&gt;TRUE(),"not on Staff",SUMIFS('Tally Helper'!$L$26:$GI$26,'Tally Helper'!$L$24:$GI$24,"&gt;="&amp;$BR156,'Tally Helper'!$L$24:$GI$24,"&lt;="&amp;$BS156)))</f>
        <v/>
      </c>
      <c r="AF156" s="15" t="str">
        <f aca="false">IF(OR(J$7="",$BR156=""),"",IF('Tally Helper'!$B$27&lt;&gt;TRUE(),"not on Staff",SUMIFS('Tally Helper'!$L$29:$GI$29,'Tally Helper'!$L$27:$GI$27,"&gt;="&amp;$BR156,'Tally Helper'!$L$27:$GI$27,"&lt;="&amp;$BS156)))</f>
        <v/>
      </c>
      <c r="AG156" s="15" t="str">
        <f aca="false">IF(OR(K$7="",$BR156=""),"",IF('Tally Helper'!$B$30&lt;&gt;TRUE(),"not on Staff",SUMIFS('Tally Helper'!$L$32:$GI$32,'Tally Helper'!$L$30:$GI$30,"&gt;="&amp;$BR156,'Tally Helper'!$L$30:$GI$30,"&lt;="&amp;$BS156)))</f>
        <v/>
      </c>
      <c r="AH156" s="15" t="str">
        <f aca="false">IF(OR(L$7="",$BR156=""),"",IF('Tally Helper'!$B$33&lt;&gt;TRUE(),"not on Staff",SUMIFS('Tally Helper'!$L$35:$GI$35,'Tally Helper'!$L$33:$GI$33,"&gt;="&amp;$BR156,'Tally Helper'!$L$33:$GI$33,"&lt;="&amp;$BS156)))</f>
        <v/>
      </c>
      <c r="AI156" s="15" t="str">
        <f aca="false">IF(OR(M$7="",$BR156=""),"",IF('Tally Helper'!$B$36&lt;&gt;TRUE(),"not on Staff",SUMIFS('Tally Helper'!$L$38:$GI$38,'Tally Helper'!$L$36:$GI$36,"&gt;="&amp;$BR156,'Tally Helper'!$L$36:$GI$36,"&lt;="&amp;$BS156)))</f>
        <v/>
      </c>
      <c r="AJ156" s="15" t="str">
        <f aca="false">IF(OR(N$7="",$BR156=""),"",IF('Tally Helper'!$B$39&lt;&gt;TRUE(),"not on Staff",SUMIFS('Tally Helper'!$L$41:$GI$41,'Tally Helper'!$L$39:$GI$39,"&gt;="&amp;$BR156,'Tally Helper'!$L$39:$GI$39,"&lt;="&amp;$BS156)))</f>
        <v/>
      </c>
      <c r="AK156" s="15" t="str">
        <f aca="false">IF(OR(O$7="",$BR156=""),"",IF('Tally Helper'!$B$42&lt;&gt;TRUE(),"not on Staff",SUMIFS('Tally Helper'!$L$44:$GI$44,'Tally Helper'!$L$42:$GI$42,"&gt;="&amp;$BR156,'Tally Helper'!$L$42:$GI$42,"&lt;="&amp;$BS156)))</f>
        <v/>
      </c>
      <c r="AL156" s="15" t="str">
        <f aca="false">IF(OR(P$7="",$BR156=""),"",IF('Tally Helper'!$B$45&lt;&gt;TRUE(),"not on Staff",SUMIFS('Tally Helper'!$L$47:$GI$47,'Tally Helper'!$L$45:$GI$45,"&gt;="&amp;$BR156,'Tally Helper'!$L$45:$GI$45,"&lt;="&amp;$BS156)))</f>
        <v/>
      </c>
      <c r="AM156" s="15" t="str">
        <f aca="false">IF(OR(Q$7="",$BR156=""),"",IF('Tally Helper'!$B$48&lt;&gt;TRUE(),"not on Staff",SUMIFS('Tally Helper'!$L$50:$GI$50,'Tally Helper'!$L$48:$GI$48,"&gt;="&amp;$BR156,'Tally Helper'!$L$48:$GI$48,"&lt;="&amp;$BS156)))</f>
        <v/>
      </c>
      <c r="AN156" s="15" t="str">
        <f aca="false">IF(OR(R$7="",$BR156=""),"",IF('Tally Helper'!$B$51&lt;&gt;TRUE(),"not on Staff",SUMIFS('Tally Helper'!$L$53:$GI$53,'Tally Helper'!$L$51:$GI$51,"&gt;="&amp;$BR156,'Tally Helper'!$L$51:$GI$51,"&lt;="&amp;$BS156)))</f>
        <v/>
      </c>
      <c r="AO156" s="15" t="str">
        <f aca="false">IF(OR(S$7="",$BR156=""),"",IF('Tally Helper'!$B$54&lt;&gt;TRUE(),"not on Staff",SUMIFS('Tally Helper'!$L$56:$GI$56,'Tally Helper'!$L$54:$GI$54,"&gt;="&amp;$BR156,'Tally Helper'!$L$54:$GI$54,"&lt;="&amp;$BS156)))</f>
        <v/>
      </c>
      <c r="AP156" s="15" t="str">
        <f aca="false">IF(OR(T$7="",$BR156=""),"",IF('Tally Helper'!$B$57&lt;&gt;TRUE(),"not on Staff",SUMIFS('Tally Helper'!$L$59:$GI$59,'Tally Helper'!$L$57:$GI$57,"&gt;="&amp;$BR156,'Tally Helper'!$L$57:$GI$57,"&lt;="&amp;$BS156)))</f>
        <v/>
      </c>
      <c r="AQ156" s="15" t="str">
        <f aca="false">IF(OR(U$7="",$BR156=""),"",IF('Tally Helper'!$B$60&lt;&gt;TRUE(),"not on Staff",SUMIFS('Tally Helper'!$L$62:$GI$62,'Tally Helper'!$L$60:$GI$60,"&gt;="&amp;$BR156,'Tally Helper'!$L$60:$GI$60,"&lt;="&amp;$BS156)))</f>
        <v/>
      </c>
      <c r="AT156" s="15" t="str">
        <f aca="false">IF(OR(X156="",NOT(ISNUMBER(X156))),"",X156-N(B156))</f>
        <v/>
      </c>
      <c r="AU156" s="15" t="str">
        <f aca="false">IF(OR(Y156="",NOT(ISNUMBER(Y156))),"",Y156-N(C156))</f>
        <v/>
      </c>
      <c r="AV156" s="15" t="str">
        <f aca="false">IF(OR(Z156="",NOT(ISNUMBER(Z156))),"",Z156-N(D156))</f>
        <v/>
      </c>
      <c r="AW156" s="15" t="str">
        <f aca="false">IF(OR(AA156="",NOT(ISNUMBER(AA156))),"",AA156-N(E156))</f>
        <v/>
      </c>
      <c r="AX156" s="15" t="str">
        <f aca="false">IF(OR(AB156="",NOT(ISNUMBER(AB156))),"",AB156-N(F156))</f>
        <v/>
      </c>
      <c r="AY156" s="15" t="str">
        <f aca="false">IF(OR(AC156="",NOT(ISNUMBER(AC156))),"",AC156-N(G156))</f>
        <v/>
      </c>
      <c r="AZ156" s="15" t="str">
        <f aca="false">IF(OR(AD156="",NOT(ISNUMBER(AD156))),"",AD156-N(H156))</f>
        <v/>
      </c>
      <c r="BA156" s="15" t="str">
        <f aca="false">IF(OR(AE156="",NOT(ISNUMBER(AE156))),"",AE156-N(I156))</f>
        <v/>
      </c>
      <c r="BB156" s="15" t="str">
        <f aca="false">IF(OR(AF156="",NOT(ISNUMBER(AF156))),"",AF156-N(J156))</f>
        <v/>
      </c>
      <c r="BC156" s="15" t="str">
        <f aca="false">IF(OR(AG156="",NOT(ISNUMBER(AG156))),"",AG156-N(K156))</f>
        <v/>
      </c>
      <c r="BD156" s="15" t="str">
        <f aca="false">IF(OR(AH156="",NOT(ISNUMBER(AH156))),"",AH156-N(L156))</f>
        <v/>
      </c>
      <c r="BE156" s="15" t="str">
        <f aca="false">IF(OR(AI156="",NOT(ISNUMBER(AI156))),"",AI156-N(M156))</f>
        <v/>
      </c>
      <c r="BF156" s="15" t="str">
        <f aca="false">IF(OR(AJ156="",NOT(ISNUMBER(AJ156))),"",AJ156-N(N156))</f>
        <v/>
      </c>
      <c r="BG156" s="15" t="str">
        <f aca="false">IF(OR(AK156="",NOT(ISNUMBER(AK156))),"",AK156-N(O156))</f>
        <v/>
      </c>
      <c r="BH156" s="15" t="str">
        <f aca="false">IF(OR(AL156="",NOT(ISNUMBER(AL156))),"",AL156-N(P156))</f>
        <v/>
      </c>
      <c r="BI156" s="15" t="str">
        <f aca="false">IF(OR(AM156="",NOT(ISNUMBER(AM156))),"",AM156-N(Q156))</f>
        <v/>
      </c>
      <c r="BJ156" s="15" t="str">
        <f aca="false">IF(OR(AN156="",NOT(ISNUMBER(AN156))),"",AN156-N(R156))</f>
        <v/>
      </c>
      <c r="BK156" s="15" t="str">
        <f aca="false">IF(OR(AO156="",NOT(ISNUMBER(AO156))),"",AO156-N(S156))</f>
        <v/>
      </c>
      <c r="BL156" s="15" t="str">
        <f aca="false">IF(OR(AP156="",NOT(ISNUMBER(AP156))),"",AP156-N(T156))</f>
        <v/>
      </c>
      <c r="BM156" s="15" t="str">
        <f aca="false">IF(OR(AQ156="",NOT(ISNUMBER(AQ156))),"",AQ156-N(U156))</f>
        <v/>
      </c>
      <c r="BR156" s="18" t="str">
        <f aca="false">IF($A156="","",IF(ISNUMBER($A156),DATE(YEAR($A156),MONTH($A156),1),IFERROR(DATE(2000+VALUE(RIGHT(TRIM($A156),2)),MATCH(UPPER(LEFT(TRIM($A156),3)),{"JAN","FEB","MAR","APR","MAY","JUN","JUL","AUG","SEP","OCT","NOV","DEC"},0),1),"")))</f>
        <v/>
      </c>
      <c r="BS156" s="18" t="str">
        <f aca="false">IF(BR156="","",EOMONTH(BR156,0))</f>
        <v/>
      </c>
    </row>
    <row r="157" customFormat="false" ht="15" hidden="false" customHeight="false" outlineLevel="0" collapsed="false">
      <c r="B157" s="19"/>
      <c r="C157" s="19"/>
      <c r="D157" s="19"/>
      <c r="E157" s="19"/>
      <c r="F157" s="19"/>
      <c r="G157" s="19"/>
      <c r="H157" s="19"/>
      <c r="I157" s="19"/>
      <c r="J157" s="19"/>
      <c r="K157" s="19"/>
      <c r="L157" s="19"/>
      <c r="M157" s="19"/>
      <c r="N157" s="19"/>
      <c r="O157" s="19"/>
      <c r="P157" s="19"/>
      <c r="Q157" s="19"/>
      <c r="R157" s="19"/>
      <c r="S157" s="19"/>
      <c r="T157" s="19"/>
      <c r="U157" s="19"/>
      <c r="X157" s="15" t="str">
        <f aca="false">IF(OR(B$7="",$BR157=""),"",IF('Tally Helper'!$B$3&lt;&gt;TRUE(),"not on Staff",SUMIFS('Tally Helper'!$L$5:$GI$5,'Tally Helper'!$L$3:$GI$3,"&gt;="&amp;$BR157,'Tally Helper'!$L$3:$GI$3,"&lt;="&amp;$BS157)))</f>
        <v/>
      </c>
      <c r="Y157" s="15" t="str">
        <f aca="false">IF(OR(C$7="",$BR157=""),"",IF('Tally Helper'!$B$6&lt;&gt;TRUE(),"not on Staff",SUMIFS('Tally Helper'!$L$8:$GI$8,'Tally Helper'!$L$6:$GI$6,"&gt;="&amp;$BR157,'Tally Helper'!$L$6:$GI$6,"&lt;="&amp;$BS157)))</f>
        <v/>
      </c>
      <c r="Z157" s="15" t="str">
        <f aca="false">IF(OR(D$7="",$BR157=""),"",IF('Tally Helper'!$B$9&lt;&gt;TRUE(),"not on Staff",SUMIFS('Tally Helper'!$L$11:$GI$11,'Tally Helper'!$L$9:$GI$9,"&gt;="&amp;$BR157,'Tally Helper'!$L$9:$GI$9,"&lt;="&amp;$BS157)))</f>
        <v/>
      </c>
      <c r="AA157" s="15" t="str">
        <f aca="false">IF(OR(E$7="",$BR157=""),"",IF('Tally Helper'!$B$12&lt;&gt;TRUE(),"not on Staff",SUMIFS('Tally Helper'!$L$14:$GI$14,'Tally Helper'!$L$12:$GI$12,"&gt;="&amp;$BR157,'Tally Helper'!$L$12:$GI$12,"&lt;="&amp;$BS157)))</f>
        <v/>
      </c>
      <c r="AB157" s="15" t="str">
        <f aca="false">IF(OR(F$7="",$BR157=""),"",IF('Tally Helper'!$B$15&lt;&gt;TRUE(),"not on Staff",SUMIFS('Tally Helper'!$L$17:$GI$17,'Tally Helper'!$L$15:$GI$15,"&gt;="&amp;$BR157,'Tally Helper'!$L$15:$GI$15,"&lt;="&amp;$BS157)))</f>
        <v/>
      </c>
      <c r="AC157" s="15" t="str">
        <f aca="false">IF(OR(G$7="",$BR157=""),"",IF('Tally Helper'!$B$18&lt;&gt;TRUE(),"not on Staff",SUMIFS('Tally Helper'!$L$20:$GI$20,'Tally Helper'!$L$18:$GI$18,"&gt;="&amp;$BR157,'Tally Helper'!$L$18:$GI$18,"&lt;="&amp;$BS157)))</f>
        <v/>
      </c>
      <c r="AD157" s="15" t="str">
        <f aca="false">IF(OR(H$7="",$BR157=""),"",IF('Tally Helper'!$B$21&lt;&gt;TRUE(),"not on Staff",SUMIFS('Tally Helper'!$L$23:$GI$23,'Tally Helper'!$L$21:$GI$21,"&gt;="&amp;$BR157,'Tally Helper'!$L$21:$GI$21,"&lt;="&amp;$BS157)))</f>
        <v/>
      </c>
      <c r="AE157" s="15" t="str">
        <f aca="false">IF(OR(I$7="",$BR157=""),"",IF('Tally Helper'!$B$24&lt;&gt;TRUE(),"not on Staff",SUMIFS('Tally Helper'!$L$26:$GI$26,'Tally Helper'!$L$24:$GI$24,"&gt;="&amp;$BR157,'Tally Helper'!$L$24:$GI$24,"&lt;="&amp;$BS157)))</f>
        <v/>
      </c>
      <c r="AF157" s="15" t="str">
        <f aca="false">IF(OR(J$7="",$BR157=""),"",IF('Tally Helper'!$B$27&lt;&gt;TRUE(),"not on Staff",SUMIFS('Tally Helper'!$L$29:$GI$29,'Tally Helper'!$L$27:$GI$27,"&gt;="&amp;$BR157,'Tally Helper'!$L$27:$GI$27,"&lt;="&amp;$BS157)))</f>
        <v/>
      </c>
      <c r="AG157" s="15" t="str">
        <f aca="false">IF(OR(K$7="",$BR157=""),"",IF('Tally Helper'!$B$30&lt;&gt;TRUE(),"not on Staff",SUMIFS('Tally Helper'!$L$32:$GI$32,'Tally Helper'!$L$30:$GI$30,"&gt;="&amp;$BR157,'Tally Helper'!$L$30:$GI$30,"&lt;="&amp;$BS157)))</f>
        <v/>
      </c>
      <c r="AH157" s="15" t="str">
        <f aca="false">IF(OR(L$7="",$BR157=""),"",IF('Tally Helper'!$B$33&lt;&gt;TRUE(),"not on Staff",SUMIFS('Tally Helper'!$L$35:$GI$35,'Tally Helper'!$L$33:$GI$33,"&gt;="&amp;$BR157,'Tally Helper'!$L$33:$GI$33,"&lt;="&amp;$BS157)))</f>
        <v/>
      </c>
      <c r="AI157" s="15" t="str">
        <f aca="false">IF(OR(M$7="",$BR157=""),"",IF('Tally Helper'!$B$36&lt;&gt;TRUE(),"not on Staff",SUMIFS('Tally Helper'!$L$38:$GI$38,'Tally Helper'!$L$36:$GI$36,"&gt;="&amp;$BR157,'Tally Helper'!$L$36:$GI$36,"&lt;="&amp;$BS157)))</f>
        <v/>
      </c>
      <c r="AJ157" s="15" t="str">
        <f aca="false">IF(OR(N$7="",$BR157=""),"",IF('Tally Helper'!$B$39&lt;&gt;TRUE(),"not on Staff",SUMIFS('Tally Helper'!$L$41:$GI$41,'Tally Helper'!$L$39:$GI$39,"&gt;="&amp;$BR157,'Tally Helper'!$L$39:$GI$39,"&lt;="&amp;$BS157)))</f>
        <v/>
      </c>
      <c r="AK157" s="15" t="str">
        <f aca="false">IF(OR(O$7="",$BR157=""),"",IF('Tally Helper'!$B$42&lt;&gt;TRUE(),"not on Staff",SUMIFS('Tally Helper'!$L$44:$GI$44,'Tally Helper'!$L$42:$GI$42,"&gt;="&amp;$BR157,'Tally Helper'!$L$42:$GI$42,"&lt;="&amp;$BS157)))</f>
        <v/>
      </c>
      <c r="AL157" s="15" t="str">
        <f aca="false">IF(OR(P$7="",$BR157=""),"",IF('Tally Helper'!$B$45&lt;&gt;TRUE(),"not on Staff",SUMIFS('Tally Helper'!$L$47:$GI$47,'Tally Helper'!$L$45:$GI$45,"&gt;="&amp;$BR157,'Tally Helper'!$L$45:$GI$45,"&lt;="&amp;$BS157)))</f>
        <v/>
      </c>
      <c r="AM157" s="15" t="str">
        <f aca="false">IF(OR(Q$7="",$BR157=""),"",IF('Tally Helper'!$B$48&lt;&gt;TRUE(),"not on Staff",SUMIFS('Tally Helper'!$L$50:$GI$50,'Tally Helper'!$L$48:$GI$48,"&gt;="&amp;$BR157,'Tally Helper'!$L$48:$GI$48,"&lt;="&amp;$BS157)))</f>
        <v/>
      </c>
      <c r="AN157" s="15" t="str">
        <f aca="false">IF(OR(R$7="",$BR157=""),"",IF('Tally Helper'!$B$51&lt;&gt;TRUE(),"not on Staff",SUMIFS('Tally Helper'!$L$53:$GI$53,'Tally Helper'!$L$51:$GI$51,"&gt;="&amp;$BR157,'Tally Helper'!$L$51:$GI$51,"&lt;="&amp;$BS157)))</f>
        <v/>
      </c>
      <c r="AO157" s="15" t="str">
        <f aca="false">IF(OR(S$7="",$BR157=""),"",IF('Tally Helper'!$B$54&lt;&gt;TRUE(),"not on Staff",SUMIFS('Tally Helper'!$L$56:$GI$56,'Tally Helper'!$L$54:$GI$54,"&gt;="&amp;$BR157,'Tally Helper'!$L$54:$GI$54,"&lt;="&amp;$BS157)))</f>
        <v/>
      </c>
      <c r="AP157" s="15" t="str">
        <f aca="false">IF(OR(T$7="",$BR157=""),"",IF('Tally Helper'!$B$57&lt;&gt;TRUE(),"not on Staff",SUMIFS('Tally Helper'!$L$59:$GI$59,'Tally Helper'!$L$57:$GI$57,"&gt;="&amp;$BR157,'Tally Helper'!$L$57:$GI$57,"&lt;="&amp;$BS157)))</f>
        <v/>
      </c>
      <c r="AQ157" s="15" t="str">
        <f aca="false">IF(OR(U$7="",$BR157=""),"",IF('Tally Helper'!$B$60&lt;&gt;TRUE(),"not on Staff",SUMIFS('Tally Helper'!$L$62:$GI$62,'Tally Helper'!$L$60:$GI$60,"&gt;="&amp;$BR157,'Tally Helper'!$L$60:$GI$60,"&lt;="&amp;$BS157)))</f>
        <v/>
      </c>
      <c r="AT157" s="15" t="str">
        <f aca="false">IF(OR(X157="",NOT(ISNUMBER(X157))),"",X157-N(B157))</f>
        <v/>
      </c>
      <c r="AU157" s="15" t="str">
        <f aca="false">IF(OR(Y157="",NOT(ISNUMBER(Y157))),"",Y157-N(C157))</f>
        <v/>
      </c>
      <c r="AV157" s="15" t="str">
        <f aca="false">IF(OR(Z157="",NOT(ISNUMBER(Z157))),"",Z157-N(D157))</f>
        <v/>
      </c>
      <c r="AW157" s="15" t="str">
        <f aca="false">IF(OR(AA157="",NOT(ISNUMBER(AA157))),"",AA157-N(E157))</f>
        <v/>
      </c>
      <c r="AX157" s="15" t="str">
        <f aca="false">IF(OR(AB157="",NOT(ISNUMBER(AB157))),"",AB157-N(F157))</f>
        <v/>
      </c>
      <c r="AY157" s="15" t="str">
        <f aca="false">IF(OR(AC157="",NOT(ISNUMBER(AC157))),"",AC157-N(G157))</f>
        <v/>
      </c>
      <c r="AZ157" s="15" t="str">
        <f aca="false">IF(OR(AD157="",NOT(ISNUMBER(AD157))),"",AD157-N(H157))</f>
        <v/>
      </c>
      <c r="BA157" s="15" t="str">
        <f aca="false">IF(OR(AE157="",NOT(ISNUMBER(AE157))),"",AE157-N(I157))</f>
        <v/>
      </c>
      <c r="BB157" s="15" t="str">
        <f aca="false">IF(OR(AF157="",NOT(ISNUMBER(AF157))),"",AF157-N(J157))</f>
        <v/>
      </c>
      <c r="BC157" s="15" t="str">
        <f aca="false">IF(OR(AG157="",NOT(ISNUMBER(AG157))),"",AG157-N(K157))</f>
        <v/>
      </c>
      <c r="BD157" s="15" t="str">
        <f aca="false">IF(OR(AH157="",NOT(ISNUMBER(AH157))),"",AH157-N(L157))</f>
        <v/>
      </c>
      <c r="BE157" s="15" t="str">
        <f aca="false">IF(OR(AI157="",NOT(ISNUMBER(AI157))),"",AI157-N(M157))</f>
        <v/>
      </c>
      <c r="BF157" s="15" t="str">
        <f aca="false">IF(OR(AJ157="",NOT(ISNUMBER(AJ157))),"",AJ157-N(N157))</f>
        <v/>
      </c>
      <c r="BG157" s="15" t="str">
        <f aca="false">IF(OR(AK157="",NOT(ISNUMBER(AK157))),"",AK157-N(O157))</f>
        <v/>
      </c>
      <c r="BH157" s="15" t="str">
        <f aca="false">IF(OR(AL157="",NOT(ISNUMBER(AL157))),"",AL157-N(P157))</f>
        <v/>
      </c>
      <c r="BI157" s="15" t="str">
        <f aca="false">IF(OR(AM157="",NOT(ISNUMBER(AM157))),"",AM157-N(Q157))</f>
        <v/>
      </c>
      <c r="BJ157" s="15" t="str">
        <f aca="false">IF(OR(AN157="",NOT(ISNUMBER(AN157))),"",AN157-N(R157))</f>
        <v/>
      </c>
      <c r="BK157" s="15" t="str">
        <f aca="false">IF(OR(AO157="",NOT(ISNUMBER(AO157))),"",AO157-N(S157))</f>
        <v/>
      </c>
      <c r="BL157" s="15" t="str">
        <f aca="false">IF(OR(AP157="",NOT(ISNUMBER(AP157))),"",AP157-N(T157))</f>
        <v/>
      </c>
      <c r="BM157" s="15" t="str">
        <f aca="false">IF(OR(AQ157="",NOT(ISNUMBER(AQ157))),"",AQ157-N(U157))</f>
        <v/>
      </c>
      <c r="BR157" s="18" t="str">
        <f aca="false">IF($A157="","",IF(ISNUMBER($A157),DATE(YEAR($A157),MONTH($A157),1),IFERROR(DATE(2000+VALUE(RIGHT(TRIM($A157),2)),MATCH(UPPER(LEFT(TRIM($A157),3)),{"JAN","FEB","MAR","APR","MAY","JUN","JUL","AUG","SEP","OCT","NOV","DEC"},0),1),"")))</f>
        <v/>
      </c>
      <c r="BS157" s="18" t="str">
        <f aca="false">IF(BR157="","",EOMONTH(BR157,0))</f>
        <v/>
      </c>
    </row>
    <row r="158" customFormat="false" ht="15" hidden="false" customHeight="false" outlineLevel="0" collapsed="false">
      <c r="B158" s="19"/>
      <c r="C158" s="19"/>
      <c r="D158" s="19"/>
      <c r="E158" s="19"/>
      <c r="F158" s="19"/>
      <c r="G158" s="19"/>
      <c r="H158" s="19"/>
      <c r="I158" s="19"/>
      <c r="J158" s="19"/>
      <c r="K158" s="19"/>
      <c r="L158" s="19"/>
      <c r="M158" s="19"/>
      <c r="N158" s="19"/>
      <c r="O158" s="19"/>
      <c r="P158" s="19"/>
      <c r="Q158" s="19"/>
      <c r="R158" s="19"/>
      <c r="S158" s="19"/>
      <c r="T158" s="19"/>
      <c r="U158" s="19"/>
      <c r="X158" s="15" t="str">
        <f aca="false">IF(OR(B$7="",$BR158=""),"",IF('Tally Helper'!$B$3&lt;&gt;TRUE(),"not on Staff",SUMIFS('Tally Helper'!$L$5:$GI$5,'Tally Helper'!$L$3:$GI$3,"&gt;="&amp;$BR158,'Tally Helper'!$L$3:$GI$3,"&lt;="&amp;$BS158)))</f>
        <v/>
      </c>
      <c r="Y158" s="15" t="str">
        <f aca="false">IF(OR(C$7="",$BR158=""),"",IF('Tally Helper'!$B$6&lt;&gt;TRUE(),"not on Staff",SUMIFS('Tally Helper'!$L$8:$GI$8,'Tally Helper'!$L$6:$GI$6,"&gt;="&amp;$BR158,'Tally Helper'!$L$6:$GI$6,"&lt;="&amp;$BS158)))</f>
        <v/>
      </c>
      <c r="Z158" s="15" t="str">
        <f aca="false">IF(OR(D$7="",$BR158=""),"",IF('Tally Helper'!$B$9&lt;&gt;TRUE(),"not on Staff",SUMIFS('Tally Helper'!$L$11:$GI$11,'Tally Helper'!$L$9:$GI$9,"&gt;="&amp;$BR158,'Tally Helper'!$L$9:$GI$9,"&lt;="&amp;$BS158)))</f>
        <v/>
      </c>
      <c r="AA158" s="15" t="str">
        <f aca="false">IF(OR(E$7="",$BR158=""),"",IF('Tally Helper'!$B$12&lt;&gt;TRUE(),"not on Staff",SUMIFS('Tally Helper'!$L$14:$GI$14,'Tally Helper'!$L$12:$GI$12,"&gt;="&amp;$BR158,'Tally Helper'!$L$12:$GI$12,"&lt;="&amp;$BS158)))</f>
        <v/>
      </c>
      <c r="AB158" s="15" t="str">
        <f aca="false">IF(OR(F$7="",$BR158=""),"",IF('Tally Helper'!$B$15&lt;&gt;TRUE(),"not on Staff",SUMIFS('Tally Helper'!$L$17:$GI$17,'Tally Helper'!$L$15:$GI$15,"&gt;="&amp;$BR158,'Tally Helper'!$L$15:$GI$15,"&lt;="&amp;$BS158)))</f>
        <v/>
      </c>
      <c r="AC158" s="15" t="str">
        <f aca="false">IF(OR(G$7="",$BR158=""),"",IF('Tally Helper'!$B$18&lt;&gt;TRUE(),"not on Staff",SUMIFS('Tally Helper'!$L$20:$GI$20,'Tally Helper'!$L$18:$GI$18,"&gt;="&amp;$BR158,'Tally Helper'!$L$18:$GI$18,"&lt;="&amp;$BS158)))</f>
        <v/>
      </c>
      <c r="AD158" s="15" t="str">
        <f aca="false">IF(OR(H$7="",$BR158=""),"",IF('Tally Helper'!$B$21&lt;&gt;TRUE(),"not on Staff",SUMIFS('Tally Helper'!$L$23:$GI$23,'Tally Helper'!$L$21:$GI$21,"&gt;="&amp;$BR158,'Tally Helper'!$L$21:$GI$21,"&lt;="&amp;$BS158)))</f>
        <v/>
      </c>
      <c r="AE158" s="15" t="str">
        <f aca="false">IF(OR(I$7="",$BR158=""),"",IF('Tally Helper'!$B$24&lt;&gt;TRUE(),"not on Staff",SUMIFS('Tally Helper'!$L$26:$GI$26,'Tally Helper'!$L$24:$GI$24,"&gt;="&amp;$BR158,'Tally Helper'!$L$24:$GI$24,"&lt;="&amp;$BS158)))</f>
        <v/>
      </c>
      <c r="AF158" s="15" t="str">
        <f aca="false">IF(OR(J$7="",$BR158=""),"",IF('Tally Helper'!$B$27&lt;&gt;TRUE(),"not on Staff",SUMIFS('Tally Helper'!$L$29:$GI$29,'Tally Helper'!$L$27:$GI$27,"&gt;="&amp;$BR158,'Tally Helper'!$L$27:$GI$27,"&lt;="&amp;$BS158)))</f>
        <v/>
      </c>
      <c r="AG158" s="15" t="str">
        <f aca="false">IF(OR(K$7="",$BR158=""),"",IF('Tally Helper'!$B$30&lt;&gt;TRUE(),"not on Staff",SUMIFS('Tally Helper'!$L$32:$GI$32,'Tally Helper'!$L$30:$GI$30,"&gt;="&amp;$BR158,'Tally Helper'!$L$30:$GI$30,"&lt;="&amp;$BS158)))</f>
        <v/>
      </c>
      <c r="AH158" s="15" t="str">
        <f aca="false">IF(OR(L$7="",$BR158=""),"",IF('Tally Helper'!$B$33&lt;&gt;TRUE(),"not on Staff",SUMIFS('Tally Helper'!$L$35:$GI$35,'Tally Helper'!$L$33:$GI$33,"&gt;="&amp;$BR158,'Tally Helper'!$L$33:$GI$33,"&lt;="&amp;$BS158)))</f>
        <v/>
      </c>
      <c r="AI158" s="15" t="str">
        <f aca="false">IF(OR(M$7="",$BR158=""),"",IF('Tally Helper'!$B$36&lt;&gt;TRUE(),"not on Staff",SUMIFS('Tally Helper'!$L$38:$GI$38,'Tally Helper'!$L$36:$GI$36,"&gt;="&amp;$BR158,'Tally Helper'!$L$36:$GI$36,"&lt;="&amp;$BS158)))</f>
        <v/>
      </c>
      <c r="AJ158" s="15" t="str">
        <f aca="false">IF(OR(N$7="",$BR158=""),"",IF('Tally Helper'!$B$39&lt;&gt;TRUE(),"not on Staff",SUMIFS('Tally Helper'!$L$41:$GI$41,'Tally Helper'!$L$39:$GI$39,"&gt;="&amp;$BR158,'Tally Helper'!$L$39:$GI$39,"&lt;="&amp;$BS158)))</f>
        <v/>
      </c>
      <c r="AK158" s="15" t="str">
        <f aca="false">IF(OR(O$7="",$BR158=""),"",IF('Tally Helper'!$B$42&lt;&gt;TRUE(),"not on Staff",SUMIFS('Tally Helper'!$L$44:$GI$44,'Tally Helper'!$L$42:$GI$42,"&gt;="&amp;$BR158,'Tally Helper'!$L$42:$GI$42,"&lt;="&amp;$BS158)))</f>
        <v/>
      </c>
      <c r="AL158" s="15" t="str">
        <f aca="false">IF(OR(P$7="",$BR158=""),"",IF('Tally Helper'!$B$45&lt;&gt;TRUE(),"not on Staff",SUMIFS('Tally Helper'!$L$47:$GI$47,'Tally Helper'!$L$45:$GI$45,"&gt;="&amp;$BR158,'Tally Helper'!$L$45:$GI$45,"&lt;="&amp;$BS158)))</f>
        <v/>
      </c>
      <c r="AM158" s="15" t="str">
        <f aca="false">IF(OR(Q$7="",$BR158=""),"",IF('Tally Helper'!$B$48&lt;&gt;TRUE(),"not on Staff",SUMIFS('Tally Helper'!$L$50:$GI$50,'Tally Helper'!$L$48:$GI$48,"&gt;="&amp;$BR158,'Tally Helper'!$L$48:$GI$48,"&lt;="&amp;$BS158)))</f>
        <v/>
      </c>
      <c r="AN158" s="15" t="str">
        <f aca="false">IF(OR(R$7="",$BR158=""),"",IF('Tally Helper'!$B$51&lt;&gt;TRUE(),"not on Staff",SUMIFS('Tally Helper'!$L$53:$GI$53,'Tally Helper'!$L$51:$GI$51,"&gt;="&amp;$BR158,'Tally Helper'!$L$51:$GI$51,"&lt;="&amp;$BS158)))</f>
        <v/>
      </c>
      <c r="AO158" s="15" t="str">
        <f aca="false">IF(OR(S$7="",$BR158=""),"",IF('Tally Helper'!$B$54&lt;&gt;TRUE(),"not on Staff",SUMIFS('Tally Helper'!$L$56:$GI$56,'Tally Helper'!$L$54:$GI$54,"&gt;="&amp;$BR158,'Tally Helper'!$L$54:$GI$54,"&lt;="&amp;$BS158)))</f>
        <v/>
      </c>
      <c r="AP158" s="15" t="str">
        <f aca="false">IF(OR(T$7="",$BR158=""),"",IF('Tally Helper'!$B$57&lt;&gt;TRUE(),"not on Staff",SUMIFS('Tally Helper'!$L$59:$GI$59,'Tally Helper'!$L$57:$GI$57,"&gt;="&amp;$BR158,'Tally Helper'!$L$57:$GI$57,"&lt;="&amp;$BS158)))</f>
        <v/>
      </c>
      <c r="AQ158" s="15" t="str">
        <f aca="false">IF(OR(U$7="",$BR158=""),"",IF('Tally Helper'!$B$60&lt;&gt;TRUE(),"not on Staff",SUMIFS('Tally Helper'!$L$62:$GI$62,'Tally Helper'!$L$60:$GI$60,"&gt;="&amp;$BR158,'Tally Helper'!$L$60:$GI$60,"&lt;="&amp;$BS158)))</f>
        <v/>
      </c>
      <c r="AT158" s="15" t="str">
        <f aca="false">IF(OR(X158="",NOT(ISNUMBER(X158))),"",X158-N(B158))</f>
        <v/>
      </c>
      <c r="AU158" s="15" t="str">
        <f aca="false">IF(OR(Y158="",NOT(ISNUMBER(Y158))),"",Y158-N(C158))</f>
        <v/>
      </c>
      <c r="AV158" s="15" t="str">
        <f aca="false">IF(OR(Z158="",NOT(ISNUMBER(Z158))),"",Z158-N(D158))</f>
        <v/>
      </c>
      <c r="AW158" s="15" t="str">
        <f aca="false">IF(OR(AA158="",NOT(ISNUMBER(AA158))),"",AA158-N(E158))</f>
        <v/>
      </c>
      <c r="AX158" s="15" t="str">
        <f aca="false">IF(OR(AB158="",NOT(ISNUMBER(AB158))),"",AB158-N(F158))</f>
        <v/>
      </c>
      <c r="AY158" s="15" t="str">
        <f aca="false">IF(OR(AC158="",NOT(ISNUMBER(AC158))),"",AC158-N(G158))</f>
        <v/>
      </c>
      <c r="AZ158" s="15" t="str">
        <f aca="false">IF(OR(AD158="",NOT(ISNUMBER(AD158))),"",AD158-N(H158))</f>
        <v/>
      </c>
      <c r="BA158" s="15" t="str">
        <f aca="false">IF(OR(AE158="",NOT(ISNUMBER(AE158))),"",AE158-N(I158))</f>
        <v/>
      </c>
      <c r="BB158" s="15" t="str">
        <f aca="false">IF(OR(AF158="",NOT(ISNUMBER(AF158))),"",AF158-N(J158))</f>
        <v/>
      </c>
      <c r="BC158" s="15" t="str">
        <f aca="false">IF(OR(AG158="",NOT(ISNUMBER(AG158))),"",AG158-N(K158))</f>
        <v/>
      </c>
      <c r="BD158" s="15" t="str">
        <f aca="false">IF(OR(AH158="",NOT(ISNUMBER(AH158))),"",AH158-N(L158))</f>
        <v/>
      </c>
      <c r="BE158" s="15" t="str">
        <f aca="false">IF(OR(AI158="",NOT(ISNUMBER(AI158))),"",AI158-N(M158))</f>
        <v/>
      </c>
      <c r="BF158" s="15" t="str">
        <f aca="false">IF(OR(AJ158="",NOT(ISNUMBER(AJ158))),"",AJ158-N(N158))</f>
        <v/>
      </c>
      <c r="BG158" s="15" t="str">
        <f aca="false">IF(OR(AK158="",NOT(ISNUMBER(AK158))),"",AK158-N(O158))</f>
        <v/>
      </c>
      <c r="BH158" s="15" t="str">
        <f aca="false">IF(OR(AL158="",NOT(ISNUMBER(AL158))),"",AL158-N(P158))</f>
        <v/>
      </c>
      <c r="BI158" s="15" t="str">
        <f aca="false">IF(OR(AM158="",NOT(ISNUMBER(AM158))),"",AM158-N(Q158))</f>
        <v/>
      </c>
      <c r="BJ158" s="15" t="str">
        <f aca="false">IF(OR(AN158="",NOT(ISNUMBER(AN158))),"",AN158-N(R158))</f>
        <v/>
      </c>
      <c r="BK158" s="15" t="str">
        <f aca="false">IF(OR(AO158="",NOT(ISNUMBER(AO158))),"",AO158-N(S158))</f>
        <v/>
      </c>
      <c r="BL158" s="15" t="str">
        <f aca="false">IF(OR(AP158="",NOT(ISNUMBER(AP158))),"",AP158-N(T158))</f>
        <v/>
      </c>
      <c r="BM158" s="15" t="str">
        <f aca="false">IF(OR(AQ158="",NOT(ISNUMBER(AQ158))),"",AQ158-N(U158))</f>
        <v/>
      </c>
      <c r="BR158" s="18" t="str">
        <f aca="false">IF($A158="","",IF(ISNUMBER($A158),DATE(YEAR($A158),MONTH($A158),1),IFERROR(DATE(2000+VALUE(RIGHT(TRIM($A158),2)),MATCH(UPPER(LEFT(TRIM($A158),3)),{"JAN","FEB","MAR","APR","MAY","JUN","JUL","AUG","SEP","OCT","NOV","DEC"},0),1),"")))</f>
        <v/>
      </c>
      <c r="BS158" s="18" t="str">
        <f aca="false">IF(BR158="","",EOMONTH(BR158,0))</f>
        <v/>
      </c>
    </row>
    <row r="159" customFormat="false" ht="15" hidden="false" customHeight="false" outlineLevel="0" collapsed="false">
      <c r="B159" s="19"/>
      <c r="C159" s="19"/>
      <c r="D159" s="19"/>
      <c r="E159" s="19"/>
      <c r="F159" s="19"/>
      <c r="G159" s="19"/>
      <c r="H159" s="19"/>
      <c r="I159" s="19"/>
      <c r="J159" s="19"/>
      <c r="K159" s="19"/>
      <c r="L159" s="19"/>
      <c r="M159" s="19"/>
      <c r="N159" s="19"/>
      <c r="O159" s="19"/>
      <c r="P159" s="19"/>
      <c r="Q159" s="19"/>
      <c r="R159" s="19"/>
      <c r="S159" s="19"/>
      <c r="T159" s="19"/>
      <c r="U159" s="19"/>
      <c r="X159" s="15" t="str">
        <f aca="false">IF(OR(B$7="",$BR159=""),"",IF('Tally Helper'!$B$3&lt;&gt;TRUE(),"not on Staff",SUMIFS('Tally Helper'!$L$5:$GI$5,'Tally Helper'!$L$3:$GI$3,"&gt;="&amp;$BR159,'Tally Helper'!$L$3:$GI$3,"&lt;="&amp;$BS159)))</f>
        <v/>
      </c>
      <c r="Y159" s="15" t="str">
        <f aca="false">IF(OR(C$7="",$BR159=""),"",IF('Tally Helper'!$B$6&lt;&gt;TRUE(),"not on Staff",SUMIFS('Tally Helper'!$L$8:$GI$8,'Tally Helper'!$L$6:$GI$6,"&gt;="&amp;$BR159,'Tally Helper'!$L$6:$GI$6,"&lt;="&amp;$BS159)))</f>
        <v/>
      </c>
      <c r="Z159" s="15" t="str">
        <f aca="false">IF(OR(D$7="",$BR159=""),"",IF('Tally Helper'!$B$9&lt;&gt;TRUE(),"not on Staff",SUMIFS('Tally Helper'!$L$11:$GI$11,'Tally Helper'!$L$9:$GI$9,"&gt;="&amp;$BR159,'Tally Helper'!$L$9:$GI$9,"&lt;="&amp;$BS159)))</f>
        <v/>
      </c>
      <c r="AA159" s="15" t="str">
        <f aca="false">IF(OR(E$7="",$BR159=""),"",IF('Tally Helper'!$B$12&lt;&gt;TRUE(),"not on Staff",SUMIFS('Tally Helper'!$L$14:$GI$14,'Tally Helper'!$L$12:$GI$12,"&gt;="&amp;$BR159,'Tally Helper'!$L$12:$GI$12,"&lt;="&amp;$BS159)))</f>
        <v/>
      </c>
      <c r="AB159" s="15" t="str">
        <f aca="false">IF(OR(F$7="",$BR159=""),"",IF('Tally Helper'!$B$15&lt;&gt;TRUE(),"not on Staff",SUMIFS('Tally Helper'!$L$17:$GI$17,'Tally Helper'!$L$15:$GI$15,"&gt;="&amp;$BR159,'Tally Helper'!$L$15:$GI$15,"&lt;="&amp;$BS159)))</f>
        <v/>
      </c>
      <c r="AC159" s="15" t="str">
        <f aca="false">IF(OR(G$7="",$BR159=""),"",IF('Tally Helper'!$B$18&lt;&gt;TRUE(),"not on Staff",SUMIFS('Tally Helper'!$L$20:$GI$20,'Tally Helper'!$L$18:$GI$18,"&gt;="&amp;$BR159,'Tally Helper'!$L$18:$GI$18,"&lt;="&amp;$BS159)))</f>
        <v/>
      </c>
      <c r="AD159" s="15" t="str">
        <f aca="false">IF(OR(H$7="",$BR159=""),"",IF('Tally Helper'!$B$21&lt;&gt;TRUE(),"not on Staff",SUMIFS('Tally Helper'!$L$23:$GI$23,'Tally Helper'!$L$21:$GI$21,"&gt;="&amp;$BR159,'Tally Helper'!$L$21:$GI$21,"&lt;="&amp;$BS159)))</f>
        <v/>
      </c>
      <c r="AE159" s="15" t="str">
        <f aca="false">IF(OR(I$7="",$BR159=""),"",IF('Tally Helper'!$B$24&lt;&gt;TRUE(),"not on Staff",SUMIFS('Tally Helper'!$L$26:$GI$26,'Tally Helper'!$L$24:$GI$24,"&gt;="&amp;$BR159,'Tally Helper'!$L$24:$GI$24,"&lt;="&amp;$BS159)))</f>
        <v/>
      </c>
      <c r="AF159" s="15" t="str">
        <f aca="false">IF(OR(J$7="",$BR159=""),"",IF('Tally Helper'!$B$27&lt;&gt;TRUE(),"not on Staff",SUMIFS('Tally Helper'!$L$29:$GI$29,'Tally Helper'!$L$27:$GI$27,"&gt;="&amp;$BR159,'Tally Helper'!$L$27:$GI$27,"&lt;="&amp;$BS159)))</f>
        <v/>
      </c>
      <c r="AG159" s="15" t="str">
        <f aca="false">IF(OR(K$7="",$BR159=""),"",IF('Tally Helper'!$B$30&lt;&gt;TRUE(),"not on Staff",SUMIFS('Tally Helper'!$L$32:$GI$32,'Tally Helper'!$L$30:$GI$30,"&gt;="&amp;$BR159,'Tally Helper'!$L$30:$GI$30,"&lt;="&amp;$BS159)))</f>
        <v/>
      </c>
      <c r="AH159" s="15" t="str">
        <f aca="false">IF(OR(L$7="",$BR159=""),"",IF('Tally Helper'!$B$33&lt;&gt;TRUE(),"not on Staff",SUMIFS('Tally Helper'!$L$35:$GI$35,'Tally Helper'!$L$33:$GI$33,"&gt;="&amp;$BR159,'Tally Helper'!$L$33:$GI$33,"&lt;="&amp;$BS159)))</f>
        <v/>
      </c>
      <c r="AI159" s="15" t="str">
        <f aca="false">IF(OR(M$7="",$BR159=""),"",IF('Tally Helper'!$B$36&lt;&gt;TRUE(),"not on Staff",SUMIFS('Tally Helper'!$L$38:$GI$38,'Tally Helper'!$L$36:$GI$36,"&gt;="&amp;$BR159,'Tally Helper'!$L$36:$GI$36,"&lt;="&amp;$BS159)))</f>
        <v/>
      </c>
      <c r="AJ159" s="15" t="str">
        <f aca="false">IF(OR(N$7="",$BR159=""),"",IF('Tally Helper'!$B$39&lt;&gt;TRUE(),"not on Staff",SUMIFS('Tally Helper'!$L$41:$GI$41,'Tally Helper'!$L$39:$GI$39,"&gt;="&amp;$BR159,'Tally Helper'!$L$39:$GI$39,"&lt;="&amp;$BS159)))</f>
        <v/>
      </c>
      <c r="AK159" s="15" t="str">
        <f aca="false">IF(OR(O$7="",$BR159=""),"",IF('Tally Helper'!$B$42&lt;&gt;TRUE(),"not on Staff",SUMIFS('Tally Helper'!$L$44:$GI$44,'Tally Helper'!$L$42:$GI$42,"&gt;="&amp;$BR159,'Tally Helper'!$L$42:$GI$42,"&lt;="&amp;$BS159)))</f>
        <v/>
      </c>
      <c r="AL159" s="15" t="str">
        <f aca="false">IF(OR(P$7="",$BR159=""),"",IF('Tally Helper'!$B$45&lt;&gt;TRUE(),"not on Staff",SUMIFS('Tally Helper'!$L$47:$GI$47,'Tally Helper'!$L$45:$GI$45,"&gt;="&amp;$BR159,'Tally Helper'!$L$45:$GI$45,"&lt;="&amp;$BS159)))</f>
        <v/>
      </c>
      <c r="AM159" s="15" t="str">
        <f aca="false">IF(OR(Q$7="",$BR159=""),"",IF('Tally Helper'!$B$48&lt;&gt;TRUE(),"not on Staff",SUMIFS('Tally Helper'!$L$50:$GI$50,'Tally Helper'!$L$48:$GI$48,"&gt;="&amp;$BR159,'Tally Helper'!$L$48:$GI$48,"&lt;="&amp;$BS159)))</f>
        <v/>
      </c>
      <c r="AN159" s="15" t="str">
        <f aca="false">IF(OR(R$7="",$BR159=""),"",IF('Tally Helper'!$B$51&lt;&gt;TRUE(),"not on Staff",SUMIFS('Tally Helper'!$L$53:$GI$53,'Tally Helper'!$L$51:$GI$51,"&gt;="&amp;$BR159,'Tally Helper'!$L$51:$GI$51,"&lt;="&amp;$BS159)))</f>
        <v/>
      </c>
      <c r="AO159" s="15" t="str">
        <f aca="false">IF(OR(S$7="",$BR159=""),"",IF('Tally Helper'!$B$54&lt;&gt;TRUE(),"not on Staff",SUMIFS('Tally Helper'!$L$56:$GI$56,'Tally Helper'!$L$54:$GI$54,"&gt;="&amp;$BR159,'Tally Helper'!$L$54:$GI$54,"&lt;="&amp;$BS159)))</f>
        <v/>
      </c>
      <c r="AP159" s="15" t="str">
        <f aca="false">IF(OR(T$7="",$BR159=""),"",IF('Tally Helper'!$B$57&lt;&gt;TRUE(),"not on Staff",SUMIFS('Tally Helper'!$L$59:$GI$59,'Tally Helper'!$L$57:$GI$57,"&gt;="&amp;$BR159,'Tally Helper'!$L$57:$GI$57,"&lt;="&amp;$BS159)))</f>
        <v/>
      </c>
      <c r="AQ159" s="15" t="str">
        <f aca="false">IF(OR(U$7="",$BR159=""),"",IF('Tally Helper'!$B$60&lt;&gt;TRUE(),"not on Staff",SUMIFS('Tally Helper'!$L$62:$GI$62,'Tally Helper'!$L$60:$GI$60,"&gt;="&amp;$BR159,'Tally Helper'!$L$60:$GI$60,"&lt;="&amp;$BS159)))</f>
        <v/>
      </c>
      <c r="AT159" s="15" t="str">
        <f aca="false">IF(OR(X159="",NOT(ISNUMBER(X159))),"",X159-N(B159))</f>
        <v/>
      </c>
      <c r="AU159" s="15" t="str">
        <f aca="false">IF(OR(Y159="",NOT(ISNUMBER(Y159))),"",Y159-N(C159))</f>
        <v/>
      </c>
      <c r="AV159" s="15" t="str">
        <f aca="false">IF(OR(Z159="",NOT(ISNUMBER(Z159))),"",Z159-N(D159))</f>
        <v/>
      </c>
      <c r="AW159" s="15" t="str">
        <f aca="false">IF(OR(AA159="",NOT(ISNUMBER(AA159))),"",AA159-N(E159))</f>
        <v/>
      </c>
      <c r="AX159" s="15" t="str">
        <f aca="false">IF(OR(AB159="",NOT(ISNUMBER(AB159))),"",AB159-N(F159))</f>
        <v/>
      </c>
      <c r="AY159" s="15" t="str">
        <f aca="false">IF(OR(AC159="",NOT(ISNUMBER(AC159))),"",AC159-N(G159))</f>
        <v/>
      </c>
      <c r="AZ159" s="15" t="str">
        <f aca="false">IF(OR(AD159="",NOT(ISNUMBER(AD159))),"",AD159-N(H159))</f>
        <v/>
      </c>
      <c r="BA159" s="15" t="str">
        <f aca="false">IF(OR(AE159="",NOT(ISNUMBER(AE159))),"",AE159-N(I159))</f>
        <v/>
      </c>
      <c r="BB159" s="15" t="str">
        <f aca="false">IF(OR(AF159="",NOT(ISNUMBER(AF159))),"",AF159-N(J159))</f>
        <v/>
      </c>
      <c r="BC159" s="15" t="str">
        <f aca="false">IF(OR(AG159="",NOT(ISNUMBER(AG159))),"",AG159-N(K159))</f>
        <v/>
      </c>
      <c r="BD159" s="15" t="str">
        <f aca="false">IF(OR(AH159="",NOT(ISNUMBER(AH159))),"",AH159-N(L159))</f>
        <v/>
      </c>
      <c r="BE159" s="15" t="str">
        <f aca="false">IF(OR(AI159="",NOT(ISNUMBER(AI159))),"",AI159-N(M159))</f>
        <v/>
      </c>
      <c r="BF159" s="15" t="str">
        <f aca="false">IF(OR(AJ159="",NOT(ISNUMBER(AJ159))),"",AJ159-N(N159))</f>
        <v/>
      </c>
      <c r="BG159" s="15" t="str">
        <f aca="false">IF(OR(AK159="",NOT(ISNUMBER(AK159))),"",AK159-N(O159))</f>
        <v/>
      </c>
      <c r="BH159" s="15" t="str">
        <f aca="false">IF(OR(AL159="",NOT(ISNUMBER(AL159))),"",AL159-N(P159))</f>
        <v/>
      </c>
      <c r="BI159" s="15" t="str">
        <f aca="false">IF(OR(AM159="",NOT(ISNUMBER(AM159))),"",AM159-N(Q159))</f>
        <v/>
      </c>
      <c r="BJ159" s="15" t="str">
        <f aca="false">IF(OR(AN159="",NOT(ISNUMBER(AN159))),"",AN159-N(R159))</f>
        <v/>
      </c>
      <c r="BK159" s="15" t="str">
        <f aca="false">IF(OR(AO159="",NOT(ISNUMBER(AO159))),"",AO159-N(S159))</f>
        <v/>
      </c>
      <c r="BL159" s="15" t="str">
        <f aca="false">IF(OR(AP159="",NOT(ISNUMBER(AP159))),"",AP159-N(T159))</f>
        <v/>
      </c>
      <c r="BM159" s="15" t="str">
        <f aca="false">IF(OR(AQ159="",NOT(ISNUMBER(AQ159))),"",AQ159-N(U159))</f>
        <v/>
      </c>
      <c r="BR159" s="18" t="str">
        <f aca="false">IF($A159="","",IF(ISNUMBER($A159),DATE(YEAR($A159),MONTH($A159),1),IFERROR(DATE(2000+VALUE(RIGHT(TRIM($A159),2)),MATCH(UPPER(LEFT(TRIM($A159),3)),{"JAN","FEB","MAR","APR","MAY","JUN","JUL","AUG","SEP","OCT","NOV","DEC"},0),1),"")))</f>
        <v/>
      </c>
      <c r="BS159" s="18" t="str">
        <f aca="false">IF(BR159="","",EOMONTH(BR159,0))</f>
        <v/>
      </c>
    </row>
    <row r="160" customFormat="false" ht="15" hidden="false" customHeight="false" outlineLevel="0" collapsed="false">
      <c r="B160" s="19"/>
      <c r="C160" s="19"/>
      <c r="D160" s="19"/>
      <c r="E160" s="19"/>
      <c r="F160" s="19"/>
      <c r="G160" s="19"/>
      <c r="H160" s="19"/>
      <c r="I160" s="19"/>
      <c r="J160" s="19"/>
      <c r="K160" s="19"/>
      <c r="L160" s="19"/>
      <c r="M160" s="19"/>
      <c r="N160" s="19"/>
      <c r="O160" s="19"/>
      <c r="P160" s="19"/>
      <c r="Q160" s="19"/>
      <c r="R160" s="19"/>
      <c r="S160" s="19"/>
      <c r="T160" s="19"/>
      <c r="U160" s="19"/>
      <c r="X160" s="15" t="str">
        <f aca="false">IF(OR(B$7="",$BR160=""),"",IF('Tally Helper'!$B$3&lt;&gt;TRUE(),"not on Staff",SUMIFS('Tally Helper'!$L$5:$GI$5,'Tally Helper'!$L$3:$GI$3,"&gt;="&amp;$BR160,'Tally Helper'!$L$3:$GI$3,"&lt;="&amp;$BS160)))</f>
        <v/>
      </c>
      <c r="Y160" s="15" t="str">
        <f aca="false">IF(OR(C$7="",$BR160=""),"",IF('Tally Helper'!$B$6&lt;&gt;TRUE(),"not on Staff",SUMIFS('Tally Helper'!$L$8:$GI$8,'Tally Helper'!$L$6:$GI$6,"&gt;="&amp;$BR160,'Tally Helper'!$L$6:$GI$6,"&lt;="&amp;$BS160)))</f>
        <v/>
      </c>
      <c r="Z160" s="15" t="str">
        <f aca="false">IF(OR(D$7="",$BR160=""),"",IF('Tally Helper'!$B$9&lt;&gt;TRUE(),"not on Staff",SUMIFS('Tally Helper'!$L$11:$GI$11,'Tally Helper'!$L$9:$GI$9,"&gt;="&amp;$BR160,'Tally Helper'!$L$9:$GI$9,"&lt;="&amp;$BS160)))</f>
        <v/>
      </c>
      <c r="AA160" s="15" t="str">
        <f aca="false">IF(OR(E$7="",$BR160=""),"",IF('Tally Helper'!$B$12&lt;&gt;TRUE(),"not on Staff",SUMIFS('Tally Helper'!$L$14:$GI$14,'Tally Helper'!$L$12:$GI$12,"&gt;="&amp;$BR160,'Tally Helper'!$L$12:$GI$12,"&lt;="&amp;$BS160)))</f>
        <v/>
      </c>
      <c r="AB160" s="15" t="str">
        <f aca="false">IF(OR(F$7="",$BR160=""),"",IF('Tally Helper'!$B$15&lt;&gt;TRUE(),"not on Staff",SUMIFS('Tally Helper'!$L$17:$GI$17,'Tally Helper'!$L$15:$GI$15,"&gt;="&amp;$BR160,'Tally Helper'!$L$15:$GI$15,"&lt;="&amp;$BS160)))</f>
        <v/>
      </c>
      <c r="AC160" s="15" t="str">
        <f aca="false">IF(OR(G$7="",$BR160=""),"",IF('Tally Helper'!$B$18&lt;&gt;TRUE(),"not on Staff",SUMIFS('Tally Helper'!$L$20:$GI$20,'Tally Helper'!$L$18:$GI$18,"&gt;="&amp;$BR160,'Tally Helper'!$L$18:$GI$18,"&lt;="&amp;$BS160)))</f>
        <v/>
      </c>
      <c r="AD160" s="15" t="str">
        <f aca="false">IF(OR(H$7="",$BR160=""),"",IF('Tally Helper'!$B$21&lt;&gt;TRUE(),"not on Staff",SUMIFS('Tally Helper'!$L$23:$GI$23,'Tally Helper'!$L$21:$GI$21,"&gt;="&amp;$BR160,'Tally Helper'!$L$21:$GI$21,"&lt;="&amp;$BS160)))</f>
        <v/>
      </c>
      <c r="AE160" s="15" t="str">
        <f aca="false">IF(OR(I$7="",$BR160=""),"",IF('Tally Helper'!$B$24&lt;&gt;TRUE(),"not on Staff",SUMIFS('Tally Helper'!$L$26:$GI$26,'Tally Helper'!$L$24:$GI$24,"&gt;="&amp;$BR160,'Tally Helper'!$L$24:$GI$24,"&lt;="&amp;$BS160)))</f>
        <v/>
      </c>
      <c r="AF160" s="15" t="str">
        <f aca="false">IF(OR(J$7="",$BR160=""),"",IF('Tally Helper'!$B$27&lt;&gt;TRUE(),"not on Staff",SUMIFS('Tally Helper'!$L$29:$GI$29,'Tally Helper'!$L$27:$GI$27,"&gt;="&amp;$BR160,'Tally Helper'!$L$27:$GI$27,"&lt;="&amp;$BS160)))</f>
        <v/>
      </c>
      <c r="AG160" s="15" t="str">
        <f aca="false">IF(OR(K$7="",$BR160=""),"",IF('Tally Helper'!$B$30&lt;&gt;TRUE(),"not on Staff",SUMIFS('Tally Helper'!$L$32:$GI$32,'Tally Helper'!$L$30:$GI$30,"&gt;="&amp;$BR160,'Tally Helper'!$L$30:$GI$30,"&lt;="&amp;$BS160)))</f>
        <v/>
      </c>
      <c r="AH160" s="15" t="str">
        <f aca="false">IF(OR(L$7="",$BR160=""),"",IF('Tally Helper'!$B$33&lt;&gt;TRUE(),"not on Staff",SUMIFS('Tally Helper'!$L$35:$GI$35,'Tally Helper'!$L$33:$GI$33,"&gt;="&amp;$BR160,'Tally Helper'!$L$33:$GI$33,"&lt;="&amp;$BS160)))</f>
        <v/>
      </c>
      <c r="AI160" s="15" t="str">
        <f aca="false">IF(OR(M$7="",$BR160=""),"",IF('Tally Helper'!$B$36&lt;&gt;TRUE(),"not on Staff",SUMIFS('Tally Helper'!$L$38:$GI$38,'Tally Helper'!$L$36:$GI$36,"&gt;="&amp;$BR160,'Tally Helper'!$L$36:$GI$36,"&lt;="&amp;$BS160)))</f>
        <v/>
      </c>
      <c r="AJ160" s="15" t="str">
        <f aca="false">IF(OR(N$7="",$BR160=""),"",IF('Tally Helper'!$B$39&lt;&gt;TRUE(),"not on Staff",SUMIFS('Tally Helper'!$L$41:$GI$41,'Tally Helper'!$L$39:$GI$39,"&gt;="&amp;$BR160,'Tally Helper'!$L$39:$GI$39,"&lt;="&amp;$BS160)))</f>
        <v/>
      </c>
      <c r="AK160" s="15" t="str">
        <f aca="false">IF(OR(O$7="",$BR160=""),"",IF('Tally Helper'!$B$42&lt;&gt;TRUE(),"not on Staff",SUMIFS('Tally Helper'!$L$44:$GI$44,'Tally Helper'!$L$42:$GI$42,"&gt;="&amp;$BR160,'Tally Helper'!$L$42:$GI$42,"&lt;="&amp;$BS160)))</f>
        <v/>
      </c>
      <c r="AL160" s="15" t="str">
        <f aca="false">IF(OR(P$7="",$BR160=""),"",IF('Tally Helper'!$B$45&lt;&gt;TRUE(),"not on Staff",SUMIFS('Tally Helper'!$L$47:$GI$47,'Tally Helper'!$L$45:$GI$45,"&gt;="&amp;$BR160,'Tally Helper'!$L$45:$GI$45,"&lt;="&amp;$BS160)))</f>
        <v/>
      </c>
      <c r="AM160" s="15" t="str">
        <f aca="false">IF(OR(Q$7="",$BR160=""),"",IF('Tally Helper'!$B$48&lt;&gt;TRUE(),"not on Staff",SUMIFS('Tally Helper'!$L$50:$GI$50,'Tally Helper'!$L$48:$GI$48,"&gt;="&amp;$BR160,'Tally Helper'!$L$48:$GI$48,"&lt;="&amp;$BS160)))</f>
        <v/>
      </c>
      <c r="AN160" s="15" t="str">
        <f aca="false">IF(OR(R$7="",$BR160=""),"",IF('Tally Helper'!$B$51&lt;&gt;TRUE(),"not on Staff",SUMIFS('Tally Helper'!$L$53:$GI$53,'Tally Helper'!$L$51:$GI$51,"&gt;="&amp;$BR160,'Tally Helper'!$L$51:$GI$51,"&lt;="&amp;$BS160)))</f>
        <v/>
      </c>
      <c r="AO160" s="15" t="str">
        <f aca="false">IF(OR(S$7="",$BR160=""),"",IF('Tally Helper'!$B$54&lt;&gt;TRUE(),"not on Staff",SUMIFS('Tally Helper'!$L$56:$GI$56,'Tally Helper'!$L$54:$GI$54,"&gt;="&amp;$BR160,'Tally Helper'!$L$54:$GI$54,"&lt;="&amp;$BS160)))</f>
        <v/>
      </c>
      <c r="AP160" s="15" t="str">
        <f aca="false">IF(OR(T$7="",$BR160=""),"",IF('Tally Helper'!$B$57&lt;&gt;TRUE(),"not on Staff",SUMIFS('Tally Helper'!$L$59:$GI$59,'Tally Helper'!$L$57:$GI$57,"&gt;="&amp;$BR160,'Tally Helper'!$L$57:$GI$57,"&lt;="&amp;$BS160)))</f>
        <v/>
      </c>
      <c r="AQ160" s="15" t="str">
        <f aca="false">IF(OR(U$7="",$BR160=""),"",IF('Tally Helper'!$B$60&lt;&gt;TRUE(),"not on Staff",SUMIFS('Tally Helper'!$L$62:$GI$62,'Tally Helper'!$L$60:$GI$60,"&gt;="&amp;$BR160,'Tally Helper'!$L$60:$GI$60,"&lt;="&amp;$BS160)))</f>
        <v/>
      </c>
      <c r="AT160" s="15" t="str">
        <f aca="false">IF(OR(X160="",NOT(ISNUMBER(X160))),"",X160-N(B160))</f>
        <v/>
      </c>
      <c r="AU160" s="15" t="str">
        <f aca="false">IF(OR(Y160="",NOT(ISNUMBER(Y160))),"",Y160-N(C160))</f>
        <v/>
      </c>
      <c r="AV160" s="15" t="str">
        <f aca="false">IF(OR(Z160="",NOT(ISNUMBER(Z160))),"",Z160-N(D160))</f>
        <v/>
      </c>
      <c r="AW160" s="15" t="str">
        <f aca="false">IF(OR(AA160="",NOT(ISNUMBER(AA160))),"",AA160-N(E160))</f>
        <v/>
      </c>
      <c r="AX160" s="15" t="str">
        <f aca="false">IF(OR(AB160="",NOT(ISNUMBER(AB160))),"",AB160-N(F160))</f>
        <v/>
      </c>
      <c r="AY160" s="15" t="str">
        <f aca="false">IF(OR(AC160="",NOT(ISNUMBER(AC160))),"",AC160-N(G160))</f>
        <v/>
      </c>
      <c r="AZ160" s="15" t="str">
        <f aca="false">IF(OR(AD160="",NOT(ISNUMBER(AD160))),"",AD160-N(H160))</f>
        <v/>
      </c>
      <c r="BA160" s="15" t="str">
        <f aca="false">IF(OR(AE160="",NOT(ISNUMBER(AE160))),"",AE160-N(I160))</f>
        <v/>
      </c>
      <c r="BB160" s="15" t="str">
        <f aca="false">IF(OR(AF160="",NOT(ISNUMBER(AF160))),"",AF160-N(J160))</f>
        <v/>
      </c>
      <c r="BC160" s="15" t="str">
        <f aca="false">IF(OR(AG160="",NOT(ISNUMBER(AG160))),"",AG160-N(K160))</f>
        <v/>
      </c>
      <c r="BD160" s="15" t="str">
        <f aca="false">IF(OR(AH160="",NOT(ISNUMBER(AH160))),"",AH160-N(L160))</f>
        <v/>
      </c>
      <c r="BE160" s="15" t="str">
        <f aca="false">IF(OR(AI160="",NOT(ISNUMBER(AI160))),"",AI160-N(M160))</f>
        <v/>
      </c>
      <c r="BF160" s="15" t="str">
        <f aca="false">IF(OR(AJ160="",NOT(ISNUMBER(AJ160))),"",AJ160-N(N160))</f>
        <v/>
      </c>
      <c r="BG160" s="15" t="str">
        <f aca="false">IF(OR(AK160="",NOT(ISNUMBER(AK160))),"",AK160-N(O160))</f>
        <v/>
      </c>
      <c r="BH160" s="15" t="str">
        <f aca="false">IF(OR(AL160="",NOT(ISNUMBER(AL160))),"",AL160-N(P160))</f>
        <v/>
      </c>
      <c r="BI160" s="15" t="str">
        <f aca="false">IF(OR(AM160="",NOT(ISNUMBER(AM160))),"",AM160-N(Q160))</f>
        <v/>
      </c>
      <c r="BJ160" s="15" t="str">
        <f aca="false">IF(OR(AN160="",NOT(ISNUMBER(AN160))),"",AN160-N(R160))</f>
        <v/>
      </c>
      <c r="BK160" s="15" t="str">
        <f aca="false">IF(OR(AO160="",NOT(ISNUMBER(AO160))),"",AO160-N(S160))</f>
        <v/>
      </c>
      <c r="BL160" s="15" t="str">
        <f aca="false">IF(OR(AP160="",NOT(ISNUMBER(AP160))),"",AP160-N(T160))</f>
        <v/>
      </c>
      <c r="BM160" s="15" t="str">
        <f aca="false">IF(OR(AQ160="",NOT(ISNUMBER(AQ160))),"",AQ160-N(U160))</f>
        <v/>
      </c>
      <c r="BR160" s="18" t="str">
        <f aca="false">IF($A160="","",IF(ISNUMBER($A160),DATE(YEAR($A160),MONTH($A160),1),IFERROR(DATE(2000+VALUE(RIGHT(TRIM($A160),2)),MATCH(UPPER(LEFT(TRIM($A160),3)),{"JAN","FEB","MAR","APR","MAY","JUN","JUL","AUG","SEP","OCT","NOV","DEC"},0),1),"")))</f>
        <v/>
      </c>
      <c r="BS160" s="18" t="str">
        <f aca="false">IF(BR160="","",EOMONTH(BR160,0))</f>
        <v/>
      </c>
    </row>
    <row r="161" customFormat="false" ht="15" hidden="false" customHeight="false" outlineLevel="0" collapsed="false">
      <c r="B161" s="19"/>
      <c r="C161" s="19"/>
      <c r="D161" s="19"/>
      <c r="E161" s="19"/>
      <c r="F161" s="19"/>
      <c r="G161" s="19"/>
      <c r="H161" s="19"/>
      <c r="I161" s="19"/>
      <c r="J161" s="19"/>
      <c r="K161" s="19"/>
      <c r="L161" s="19"/>
      <c r="M161" s="19"/>
      <c r="N161" s="19"/>
      <c r="O161" s="19"/>
      <c r="P161" s="19"/>
      <c r="Q161" s="19"/>
      <c r="R161" s="19"/>
      <c r="S161" s="19"/>
      <c r="T161" s="19"/>
      <c r="U161" s="19"/>
      <c r="X161" s="15" t="str">
        <f aca="false">IF(OR(B$7="",$BR161=""),"",IF('Tally Helper'!$B$3&lt;&gt;TRUE(),"not on Staff",SUMIFS('Tally Helper'!$L$5:$GI$5,'Tally Helper'!$L$3:$GI$3,"&gt;="&amp;$BR161,'Tally Helper'!$L$3:$GI$3,"&lt;="&amp;$BS161)))</f>
        <v/>
      </c>
      <c r="Y161" s="15" t="str">
        <f aca="false">IF(OR(C$7="",$BR161=""),"",IF('Tally Helper'!$B$6&lt;&gt;TRUE(),"not on Staff",SUMIFS('Tally Helper'!$L$8:$GI$8,'Tally Helper'!$L$6:$GI$6,"&gt;="&amp;$BR161,'Tally Helper'!$L$6:$GI$6,"&lt;="&amp;$BS161)))</f>
        <v/>
      </c>
      <c r="Z161" s="15" t="str">
        <f aca="false">IF(OR(D$7="",$BR161=""),"",IF('Tally Helper'!$B$9&lt;&gt;TRUE(),"not on Staff",SUMIFS('Tally Helper'!$L$11:$GI$11,'Tally Helper'!$L$9:$GI$9,"&gt;="&amp;$BR161,'Tally Helper'!$L$9:$GI$9,"&lt;="&amp;$BS161)))</f>
        <v/>
      </c>
      <c r="AA161" s="15" t="str">
        <f aca="false">IF(OR(E$7="",$BR161=""),"",IF('Tally Helper'!$B$12&lt;&gt;TRUE(),"not on Staff",SUMIFS('Tally Helper'!$L$14:$GI$14,'Tally Helper'!$L$12:$GI$12,"&gt;="&amp;$BR161,'Tally Helper'!$L$12:$GI$12,"&lt;="&amp;$BS161)))</f>
        <v/>
      </c>
      <c r="AB161" s="15" t="str">
        <f aca="false">IF(OR(F$7="",$BR161=""),"",IF('Tally Helper'!$B$15&lt;&gt;TRUE(),"not on Staff",SUMIFS('Tally Helper'!$L$17:$GI$17,'Tally Helper'!$L$15:$GI$15,"&gt;="&amp;$BR161,'Tally Helper'!$L$15:$GI$15,"&lt;="&amp;$BS161)))</f>
        <v/>
      </c>
      <c r="AC161" s="15" t="str">
        <f aca="false">IF(OR(G$7="",$BR161=""),"",IF('Tally Helper'!$B$18&lt;&gt;TRUE(),"not on Staff",SUMIFS('Tally Helper'!$L$20:$GI$20,'Tally Helper'!$L$18:$GI$18,"&gt;="&amp;$BR161,'Tally Helper'!$L$18:$GI$18,"&lt;="&amp;$BS161)))</f>
        <v/>
      </c>
      <c r="AD161" s="15" t="str">
        <f aca="false">IF(OR(H$7="",$BR161=""),"",IF('Tally Helper'!$B$21&lt;&gt;TRUE(),"not on Staff",SUMIFS('Tally Helper'!$L$23:$GI$23,'Tally Helper'!$L$21:$GI$21,"&gt;="&amp;$BR161,'Tally Helper'!$L$21:$GI$21,"&lt;="&amp;$BS161)))</f>
        <v/>
      </c>
      <c r="AE161" s="15" t="str">
        <f aca="false">IF(OR(I$7="",$BR161=""),"",IF('Tally Helper'!$B$24&lt;&gt;TRUE(),"not on Staff",SUMIFS('Tally Helper'!$L$26:$GI$26,'Tally Helper'!$L$24:$GI$24,"&gt;="&amp;$BR161,'Tally Helper'!$L$24:$GI$24,"&lt;="&amp;$BS161)))</f>
        <v/>
      </c>
      <c r="AF161" s="15" t="str">
        <f aca="false">IF(OR(J$7="",$BR161=""),"",IF('Tally Helper'!$B$27&lt;&gt;TRUE(),"not on Staff",SUMIFS('Tally Helper'!$L$29:$GI$29,'Tally Helper'!$L$27:$GI$27,"&gt;="&amp;$BR161,'Tally Helper'!$L$27:$GI$27,"&lt;="&amp;$BS161)))</f>
        <v/>
      </c>
      <c r="AG161" s="15" t="str">
        <f aca="false">IF(OR(K$7="",$BR161=""),"",IF('Tally Helper'!$B$30&lt;&gt;TRUE(),"not on Staff",SUMIFS('Tally Helper'!$L$32:$GI$32,'Tally Helper'!$L$30:$GI$30,"&gt;="&amp;$BR161,'Tally Helper'!$L$30:$GI$30,"&lt;="&amp;$BS161)))</f>
        <v/>
      </c>
      <c r="AH161" s="15" t="str">
        <f aca="false">IF(OR(L$7="",$BR161=""),"",IF('Tally Helper'!$B$33&lt;&gt;TRUE(),"not on Staff",SUMIFS('Tally Helper'!$L$35:$GI$35,'Tally Helper'!$L$33:$GI$33,"&gt;="&amp;$BR161,'Tally Helper'!$L$33:$GI$33,"&lt;="&amp;$BS161)))</f>
        <v/>
      </c>
      <c r="AI161" s="15" t="str">
        <f aca="false">IF(OR(M$7="",$BR161=""),"",IF('Tally Helper'!$B$36&lt;&gt;TRUE(),"not on Staff",SUMIFS('Tally Helper'!$L$38:$GI$38,'Tally Helper'!$L$36:$GI$36,"&gt;="&amp;$BR161,'Tally Helper'!$L$36:$GI$36,"&lt;="&amp;$BS161)))</f>
        <v/>
      </c>
      <c r="AJ161" s="15" t="str">
        <f aca="false">IF(OR(N$7="",$BR161=""),"",IF('Tally Helper'!$B$39&lt;&gt;TRUE(),"not on Staff",SUMIFS('Tally Helper'!$L$41:$GI$41,'Tally Helper'!$L$39:$GI$39,"&gt;="&amp;$BR161,'Tally Helper'!$L$39:$GI$39,"&lt;="&amp;$BS161)))</f>
        <v/>
      </c>
      <c r="AK161" s="15" t="str">
        <f aca="false">IF(OR(O$7="",$BR161=""),"",IF('Tally Helper'!$B$42&lt;&gt;TRUE(),"not on Staff",SUMIFS('Tally Helper'!$L$44:$GI$44,'Tally Helper'!$L$42:$GI$42,"&gt;="&amp;$BR161,'Tally Helper'!$L$42:$GI$42,"&lt;="&amp;$BS161)))</f>
        <v/>
      </c>
      <c r="AL161" s="15" t="str">
        <f aca="false">IF(OR(P$7="",$BR161=""),"",IF('Tally Helper'!$B$45&lt;&gt;TRUE(),"not on Staff",SUMIFS('Tally Helper'!$L$47:$GI$47,'Tally Helper'!$L$45:$GI$45,"&gt;="&amp;$BR161,'Tally Helper'!$L$45:$GI$45,"&lt;="&amp;$BS161)))</f>
        <v/>
      </c>
      <c r="AM161" s="15" t="str">
        <f aca="false">IF(OR(Q$7="",$BR161=""),"",IF('Tally Helper'!$B$48&lt;&gt;TRUE(),"not on Staff",SUMIFS('Tally Helper'!$L$50:$GI$50,'Tally Helper'!$L$48:$GI$48,"&gt;="&amp;$BR161,'Tally Helper'!$L$48:$GI$48,"&lt;="&amp;$BS161)))</f>
        <v/>
      </c>
      <c r="AN161" s="15" t="str">
        <f aca="false">IF(OR(R$7="",$BR161=""),"",IF('Tally Helper'!$B$51&lt;&gt;TRUE(),"not on Staff",SUMIFS('Tally Helper'!$L$53:$GI$53,'Tally Helper'!$L$51:$GI$51,"&gt;="&amp;$BR161,'Tally Helper'!$L$51:$GI$51,"&lt;="&amp;$BS161)))</f>
        <v/>
      </c>
      <c r="AO161" s="15" t="str">
        <f aca="false">IF(OR(S$7="",$BR161=""),"",IF('Tally Helper'!$B$54&lt;&gt;TRUE(),"not on Staff",SUMIFS('Tally Helper'!$L$56:$GI$56,'Tally Helper'!$L$54:$GI$54,"&gt;="&amp;$BR161,'Tally Helper'!$L$54:$GI$54,"&lt;="&amp;$BS161)))</f>
        <v/>
      </c>
      <c r="AP161" s="15" t="str">
        <f aca="false">IF(OR(T$7="",$BR161=""),"",IF('Tally Helper'!$B$57&lt;&gt;TRUE(),"not on Staff",SUMIFS('Tally Helper'!$L$59:$GI$59,'Tally Helper'!$L$57:$GI$57,"&gt;="&amp;$BR161,'Tally Helper'!$L$57:$GI$57,"&lt;="&amp;$BS161)))</f>
        <v/>
      </c>
      <c r="AQ161" s="15" t="str">
        <f aca="false">IF(OR(U$7="",$BR161=""),"",IF('Tally Helper'!$B$60&lt;&gt;TRUE(),"not on Staff",SUMIFS('Tally Helper'!$L$62:$GI$62,'Tally Helper'!$L$60:$GI$60,"&gt;="&amp;$BR161,'Tally Helper'!$L$60:$GI$60,"&lt;="&amp;$BS161)))</f>
        <v/>
      </c>
      <c r="AT161" s="15" t="str">
        <f aca="false">IF(OR(X161="",NOT(ISNUMBER(X161))),"",X161-N(B161))</f>
        <v/>
      </c>
      <c r="AU161" s="15" t="str">
        <f aca="false">IF(OR(Y161="",NOT(ISNUMBER(Y161))),"",Y161-N(C161))</f>
        <v/>
      </c>
      <c r="AV161" s="15" t="str">
        <f aca="false">IF(OR(Z161="",NOT(ISNUMBER(Z161))),"",Z161-N(D161))</f>
        <v/>
      </c>
      <c r="AW161" s="15" t="str">
        <f aca="false">IF(OR(AA161="",NOT(ISNUMBER(AA161))),"",AA161-N(E161))</f>
        <v/>
      </c>
      <c r="AX161" s="15" t="str">
        <f aca="false">IF(OR(AB161="",NOT(ISNUMBER(AB161))),"",AB161-N(F161))</f>
        <v/>
      </c>
      <c r="AY161" s="15" t="str">
        <f aca="false">IF(OR(AC161="",NOT(ISNUMBER(AC161))),"",AC161-N(G161))</f>
        <v/>
      </c>
      <c r="AZ161" s="15" t="str">
        <f aca="false">IF(OR(AD161="",NOT(ISNUMBER(AD161))),"",AD161-N(H161))</f>
        <v/>
      </c>
      <c r="BA161" s="15" t="str">
        <f aca="false">IF(OR(AE161="",NOT(ISNUMBER(AE161))),"",AE161-N(I161))</f>
        <v/>
      </c>
      <c r="BB161" s="15" t="str">
        <f aca="false">IF(OR(AF161="",NOT(ISNUMBER(AF161))),"",AF161-N(J161))</f>
        <v/>
      </c>
      <c r="BC161" s="15" t="str">
        <f aca="false">IF(OR(AG161="",NOT(ISNUMBER(AG161))),"",AG161-N(K161))</f>
        <v/>
      </c>
      <c r="BD161" s="15" t="str">
        <f aca="false">IF(OR(AH161="",NOT(ISNUMBER(AH161))),"",AH161-N(L161))</f>
        <v/>
      </c>
      <c r="BE161" s="15" t="str">
        <f aca="false">IF(OR(AI161="",NOT(ISNUMBER(AI161))),"",AI161-N(M161))</f>
        <v/>
      </c>
      <c r="BF161" s="15" t="str">
        <f aca="false">IF(OR(AJ161="",NOT(ISNUMBER(AJ161))),"",AJ161-N(N161))</f>
        <v/>
      </c>
      <c r="BG161" s="15" t="str">
        <f aca="false">IF(OR(AK161="",NOT(ISNUMBER(AK161))),"",AK161-N(O161))</f>
        <v/>
      </c>
      <c r="BH161" s="15" t="str">
        <f aca="false">IF(OR(AL161="",NOT(ISNUMBER(AL161))),"",AL161-N(P161))</f>
        <v/>
      </c>
      <c r="BI161" s="15" t="str">
        <f aca="false">IF(OR(AM161="",NOT(ISNUMBER(AM161))),"",AM161-N(Q161))</f>
        <v/>
      </c>
      <c r="BJ161" s="15" t="str">
        <f aca="false">IF(OR(AN161="",NOT(ISNUMBER(AN161))),"",AN161-N(R161))</f>
        <v/>
      </c>
      <c r="BK161" s="15" t="str">
        <f aca="false">IF(OR(AO161="",NOT(ISNUMBER(AO161))),"",AO161-N(S161))</f>
        <v/>
      </c>
      <c r="BL161" s="15" t="str">
        <f aca="false">IF(OR(AP161="",NOT(ISNUMBER(AP161))),"",AP161-N(T161))</f>
        <v/>
      </c>
      <c r="BM161" s="15" t="str">
        <f aca="false">IF(OR(AQ161="",NOT(ISNUMBER(AQ161))),"",AQ161-N(U161))</f>
        <v/>
      </c>
      <c r="BR161" s="18" t="str">
        <f aca="false">IF($A161="","",IF(ISNUMBER($A161),DATE(YEAR($A161),MONTH($A161),1),IFERROR(DATE(2000+VALUE(RIGHT(TRIM($A161),2)),MATCH(UPPER(LEFT(TRIM($A161),3)),{"JAN","FEB","MAR","APR","MAY","JUN","JUL","AUG","SEP","OCT","NOV","DEC"},0),1),"")))</f>
        <v/>
      </c>
      <c r="BS161" s="18" t="str">
        <f aca="false">IF(BR161="","",EOMONTH(BR161,0))</f>
        <v/>
      </c>
    </row>
    <row r="162" customFormat="false" ht="15" hidden="false" customHeight="false" outlineLevel="0" collapsed="false">
      <c r="B162" s="19"/>
      <c r="C162" s="19"/>
      <c r="D162" s="19"/>
      <c r="E162" s="19"/>
      <c r="F162" s="19"/>
      <c r="G162" s="19"/>
      <c r="H162" s="19"/>
      <c r="I162" s="19"/>
      <c r="J162" s="19"/>
      <c r="K162" s="19"/>
      <c r="L162" s="19"/>
      <c r="M162" s="19"/>
      <c r="N162" s="19"/>
      <c r="O162" s="19"/>
      <c r="P162" s="19"/>
      <c r="Q162" s="19"/>
      <c r="R162" s="19"/>
      <c r="S162" s="19"/>
      <c r="T162" s="19"/>
      <c r="U162" s="19"/>
      <c r="X162" s="15" t="str">
        <f aca="false">IF(OR(B$7="",$BR162=""),"",IF('Tally Helper'!$B$3&lt;&gt;TRUE(),"not on Staff",SUMIFS('Tally Helper'!$L$5:$GI$5,'Tally Helper'!$L$3:$GI$3,"&gt;="&amp;$BR162,'Tally Helper'!$L$3:$GI$3,"&lt;="&amp;$BS162)))</f>
        <v/>
      </c>
      <c r="Y162" s="15" t="str">
        <f aca="false">IF(OR(C$7="",$BR162=""),"",IF('Tally Helper'!$B$6&lt;&gt;TRUE(),"not on Staff",SUMIFS('Tally Helper'!$L$8:$GI$8,'Tally Helper'!$L$6:$GI$6,"&gt;="&amp;$BR162,'Tally Helper'!$L$6:$GI$6,"&lt;="&amp;$BS162)))</f>
        <v/>
      </c>
      <c r="Z162" s="15" t="str">
        <f aca="false">IF(OR(D$7="",$BR162=""),"",IF('Tally Helper'!$B$9&lt;&gt;TRUE(),"not on Staff",SUMIFS('Tally Helper'!$L$11:$GI$11,'Tally Helper'!$L$9:$GI$9,"&gt;="&amp;$BR162,'Tally Helper'!$L$9:$GI$9,"&lt;="&amp;$BS162)))</f>
        <v/>
      </c>
      <c r="AA162" s="15" t="str">
        <f aca="false">IF(OR(E$7="",$BR162=""),"",IF('Tally Helper'!$B$12&lt;&gt;TRUE(),"not on Staff",SUMIFS('Tally Helper'!$L$14:$GI$14,'Tally Helper'!$L$12:$GI$12,"&gt;="&amp;$BR162,'Tally Helper'!$L$12:$GI$12,"&lt;="&amp;$BS162)))</f>
        <v/>
      </c>
      <c r="AB162" s="15" t="str">
        <f aca="false">IF(OR(F$7="",$BR162=""),"",IF('Tally Helper'!$B$15&lt;&gt;TRUE(),"not on Staff",SUMIFS('Tally Helper'!$L$17:$GI$17,'Tally Helper'!$L$15:$GI$15,"&gt;="&amp;$BR162,'Tally Helper'!$L$15:$GI$15,"&lt;="&amp;$BS162)))</f>
        <v/>
      </c>
      <c r="AC162" s="15" t="str">
        <f aca="false">IF(OR(G$7="",$BR162=""),"",IF('Tally Helper'!$B$18&lt;&gt;TRUE(),"not on Staff",SUMIFS('Tally Helper'!$L$20:$GI$20,'Tally Helper'!$L$18:$GI$18,"&gt;="&amp;$BR162,'Tally Helper'!$L$18:$GI$18,"&lt;="&amp;$BS162)))</f>
        <v/>
      </c>
      <c r="AD162" s="15" t="str">
        <f aca="false">IF(OR(H$7="",$BR162=""),"",IF('Tally Helper'!$B$21&lt;&gt;TRUE(),"not on Staff",SUMIFS('Tally Helper'!$L$23:$GI$23,'Tally Helper'!$L$21:$GI$21,"&gt;="&amp;$BR162,'Tally Helper'!$L$21:$GI$21,"&lt;="&amp;$BS162)))</f>
        <v/>
      </c>
      <c r="AE162" s="15" t="str">
        <f aca="false">IF(OR(I$7="",$BR162=""),"",IF('Tally Helper'!$B$24&lt;&gt;TRUE(),"not on Staff",SUMIFS('Tally Helper'!$L$26:$GI$26,'Tally Helper'!$L$24:$GI$24,"&gt;="&amp;$BR162,'Tally Helper'!$L$24:$GI$24,"&lt;="&amp;$BS162)))</f>
        <v/>
      </c>
      <c r="AF162" s="15" t="str">
        <f aca="false">IF(OR(J$7="",$BR162=""),"",IF('Tally Helper'!$B$27&lt;&gt;TRUE(),"not on Staff",SUMIFS('Tally Helper'!$L$29:$GI$29,'Tally Helper'!$L$27:$GI$27,"&gt;="&amp;$BR162,'Tally Helper'!$L$27:$GI$27,"&lt;="&amp;$BS162)))</f>
        <v/>
      </c>
      <c r="AG162" s="15" t="str">
        <f aca="false">IF(OR(K$7="",$BR162=""),"",IF('Tally Helper'!$B$30&lt;&gt;TRUE(),"not on Staff",SUMIFS('Tally Helper'!$L$32:$GI$32,'Tally Helper'!$L$30:$GI$30,"&gt;="&amp;$BR162,'Tally Helper'!$L$30:$GI$30,"&lt;="&amp;$BS162)))</f>
        <v/>
      </c>
      <c r="AH162" s="15" t="str">
        <f aca="false">IF(OR(L$7="",$BR162=""),"",IF('Tally Helper'!$B$33&lt;&gt;TRUE(),"not on Staff",SUMIFS('Tally Helper'!$L$35:$GI$35,'Tally Helper'!$L$33:$GI$33,"&gt;="&amp;$BR162,'Tally Helper'!$L$33:$GI$33,"&lt;="&amp;$BS162)))</f>
        <v/>
      </c>
      <c r="AI162" s="15" t="str">
        <f aca="false">IF(OR(M$7="",$BR162=""),"",IF('Tally Helper'!$B$36&lt;&gt;TRUE(),"not on Staff",SUMIFS('Tally Helper'!$L$38:$GI$38,'Tally Helper'!$L$36:$GI$36,"&gt;="&amp;$BR162,'Tally Helper'!$L$36:$GI$36,"&lt;="&amp;$BS162)))</f>
        <v/>
      </c>
      <c r="AJ162" s="15" t="str">
        <f aca="false">IF(OR(N$7="",$BR162=""),"",IF('Tally Helper'!$B$39&lt;&gt;TRUE(),"not on Staff",SUMIFS('Tally Helper'!$L$41:$GI$41,'Tally Helper'!$L$39:$GI$39,"&gt;="&amp;$BR162,'Tally Helper'!$L$39:$GI$39,"&lt;="&amp;$BS162)))</f>
        <v/>
      </c>
      <c r="AK162" s="15" t="str">
        <f aca="false">IF(OR(O$7="",$BR162=""),"",IF('Tally Helper'!$B$42&lt;&gt;TRUE(),"not on Staff",SUMIFS('Tally Helper'!$L$44:$GI$44,'Tally Helper'!$L$42:$GI$42,"&gt;="&amp;$BR162,'Tally Helper'!$L$42:$GI$42,"&lt;="&amp;$BS162)))</f>
        <v/>
      </c>
      <c r="AL162" s="15" t="str">
        <f aca="false">IF(OR(P$7="",$BR162=""),"",IF('Tally Helper'!$B$45&lt;&gt;TRUE(),"not on Staff",SUMIFS('Tally Helper'!$L$47:$GI$47,'Tally Helper'!$L$45:$GI$45,"&gt;="&amp;$BR162,'Tally Helper'!$L$45:$GI$45,"&lt;="&amp;$BS162)))</f>
        <v/>
      </c>
      <c r="AM162" s="15" t="str">
        <f aca="false">IF(OR(Q$7="",$BR162=""),"",IF('Tally Helper'!$B$48&lt;&gt;TRUE(),"not on Staff",SUMIFS('Tally Helper'!$L$50:$GI$50,'Tally Helper'!$L$48:$GI$48,"&gt;="&amp;$BR162,'Tally Helper'!$L$48:$GI$48,"&lt;="&amp;$BS162)))</f>
        <v/>
      </c>
      <c r="AN162" s="15" t="str">
        <f aca="false">IF(OR(R$7="",$BR162=""),"",IF('Tally Helper'!$B$51&lt;&gt;TRUE(),"not on Staff",SUMIFS('Tally Helper'!$L$53:$GI$53,'Tally Helper'!$L$51:$GI$51,"&gt;="&amp;$BR162,'Tally Helper'!$L$51:$GI$51,"&lt;="&amp;$BS162)))</f>
        <v/>
      </c>
      <c r="AO162" s="15" t="str">
        <f aca="false">IF(OR(S$7="",$BR162=""),"",IF('Tally Helper'!$B$54&lt;&gt;TRUE(),"not on Staff",SUMIFS('Tally Helper'!$L$56:$GI$56,'Tally Helper'!$L$54:$GI$54,"&gt;="&amp;$BR162,'Tally Helper'!$L$54:$GI$54,"&lt;="&amp;$BS162)))</f>
        <v/>
      </c>
      <c r="AP162" s="15" t="str">
        <f aca="false">IF(OR(T$7="",$BR162=""),"",IF('Tally Helper'!$B$57&lt;&gt;TRUE(),"not on Staff",SUMIFS('Tally Helper'!$L$59:$GI$59,'Tally Helper'!$L$57:$GI$57,"&gt;="&amp;$BR162,'Tally Helper'!$L$57:$GI$57,"&lt;="&amp;$BS162)))</f>
        <v/>
      </c>
      <c r="AQ162" s="15" t="str">
        <f aca="false">IF(OR(U$7="",$BR162=""),"",IF('Tally Helper'!$B$60&lt;&gt;TRUE(),"not on Staff",SUMIFS('Tally Helper'!$L$62:$GI$62,'Tally Helper'!$L$60:$GI$60,"&gt;="&amp;$BR162,'Tally Helper'!$L$60:$GI$60,"&lt;="&amp;$BS162)))</f>
        <v/>
      </c>
      <c r="AT162" s="15" t="str">
        <f aca="false">IF(OR(X162="",NOT(ISNUMBER(X162))),"",X162-N(B162))</f>
        <v/>
      </c>
      <c r="AU162" s="15" t="str">
        <f aca="false">IF(OR(Y162="",NOT(ISNUMBER(Y162))),"",Y162-N(C162))</f>
        <v/>
      </c>
      <c r="AV162" s="15" t="str">
        <f aca="false">IF(OR(Z162="",NOT(ISNUMBER(Z162))),"",Z162-N(D162))</f>
        <v/>
      </c>
      <c r="AW162" s="15" t="str">
        <f aca="false">IF(OR(AA162="",NOT(ISNUMBER(AA162))),"",AA162-N(E162))</f>
        <v/>
      </c>
      <c r="AX162" s="15" t="str">
        <f aca="false">IF(OR(AB162="",NOT(ISNUMBER(AB162))),"",AB162-N(F162))</f>
        <v/>
      </c>
      <c r="AY162" s="15" t="str">
        <f aca="false">IF(OR(AC162="",NOT(ISNUMBER(AC162))),"",AC162-N(G162))</f>
        <v/>
      </c>
      <c r="AZ162" s="15" t="str">
        <f aca="false">IF(OR(AD162="",NOT(ISNUMBER(AD162))),"",AD162-N(H162))</f>
        <v/>
      </c>
      <c r="BA162" s="15" t="str">
        <f aca="false">IF(OR(AE162="",NOT(ISNUMBER(AE162))),"",AE162-N(I162))</f>
        <v/>
      </c>
      <c r="BB162" s="15" t="str">
        <f aca="false">IF(OR(AF162="",NOT(ISNUMBER(AF162))),"",AF162-N(J162))</f>
        <v/>
      </c>
      <c r="BC162" s="15" t="str">
        <f aca="false">IF(OR(AG162="",NOT(ISNUMBER(AG162))),"",AG162-N(K162))</f>
        <v/>
      </c>
      <c r="BD162" s="15" t="str">
        <f aca="false">IF(OR(AH162="",NOT(ISNUMBER(AH162))),"",AH162-N(L162))</f>
        <v/>
      </c>
      <c r="BE162" s="15" t="str">
        <f aca="false">IF(OR(AI162="",NOT(ISNUMBER(AI162))),"",AI162-N(M162))</f>
        <v/>
      </c>
      <c r="BF162" s="15" t="str">
        <f aca="false">IF(OR(AJ162="",NOT(ISNUMBER(AJ162))),"",AJ162-N(N162))</f>
        <v/>
      </c>
      <c r="BG162" s="15" t="str">
        <f aca="false">IF(OR(AK162="",NOT(ISNUMBER(AK162))),"",AK162-N(O162))</f>
        <v/>
      </c>
      <c r="BH162" s="15" t="str">
        <f aca="false">IF(OR(AL162="",NOT(ISNUMBER(AL162))),"",AL162-N(P162))</f>
        <v/>
      </c>
      <c r="BI162" s="15" t="str">
        <f aca="false">IF(OR(AM162="",NOT(ISNUMBER(AM162))),"",AM162-N(Q162))</f>
        <v/>
      </c>
      <c r="BJ162" s="15" t="str">
        <f aca="false">IF(OR(AN162="",NOT(ISNUMBER(AN162))),"",AN162-N(R162))</f>
        <v/>
      </c>
      <c r="BK162" s="15" t="str">
        <f aca="false">IF(OR(AO162="",NOT(ISNUMBER(AO162))),"",AO162-N(S162))</f>
        <v/>
      </c>
      <c r="BL162" s="15" t="str">
        <f aca="false">IF(OR(AP162="",NOT(ISNUMBER(AP162))),"",AP162-N(T162))</f>
        <v/>
      </c>
      <c r="BM162" s="15" t="str">
        <f aca="false">IF(OR(AQ162="",NOT(ISNUMBER(AQ162))),"",AQ162-N(U162))</f>
        <v/>
      </c>
      <c r="BR162" s="18" t="str">
        <f aca="false">IF($A162="","",IF(ISNUMBER($A162),DATE(YEAR($A162),MONTH($A162),1),IFERROR(DATE(2000+VALUE(RIGHT(TRIM($A162),2)),MATCH(UPPER(LEFT(TRIM($A162),3)),{"JAN","FEB","MAR","APR","MAY","JUN","JUL","AUG","SEP","OCT","NOV","DEC"},0),1),"")))</f>
        <v/>
      </c>
      <c r="BS162" s="18" t="str">
        <f aca="false">IF(BR162="","",EOMONTH(BR162,0))</f>
        <v/>
      </c>
    </row>
    <row r="163" customFormat="false" ht="15" hidden="false" customHeight="false" outlineLevel="0" collapsed="false">
      <c r="B163" s="19"/>
      <c r="C163" s="19"/>
      <c r="D163" s="19"/>
      <c r="E163" s="19"/>
      <c r="F163" s="19"/>
      <c r="G163" s="19"/>
      <c r="H163" s="19"/>
      <c r="I163" s="19"/>
      <c r="J163" s="19"/>
      <c r="K163" s="19"/>
      <c r="L163" s="19"/>
      <c r="M163" s="19"/>
      <c r="N163" s="19"/>
      <c r="O163" s="19"/>
      <c r="P163" s="19"/>
      <c r="Q163" s="19"/>
      <c r="R163" s="19"/>
      <c r="S163" s="19"/>
      <c r="T163" s="19"/>
      <c r="U163" s="19"/>
      <c r="X163" s="15" t="str">
        <f aca="false">IF(OR(B$7="",$BR163=""),"",IF('Tally Helper'!$B$3&lt;&gt;TRUE(),"not on Staff",SUMIFS('Tally Helper'!$L$5:$GI$5,'Tally Helper'!$L$3:$GI$3,"&gt;="&amp;$BR163,'Tally Helper'!$L$3:$GI$3,"&lt;="&amp;$BS163)))</f>
        <v/>
      </c>
      <c r="Y163" s="15" t="str">
        <f aca="false">IF(OR(C$7="",$BR163=""),"",IF('Tally Helper'!$B$6&lt;&gt;TRUE(),"not on Staff",SUMIFS('Tally Helper'!$L$8:$GI$8,'Tally Helper'!$L$6:$GI$6,"&gt;="&amp;$BR163,'Tally Helper'!$L$6:$GI$6,"&lt;="&amp;$BS163)))</f>
        <v/>
      </c>
      <c r="Z163" s="15" t="str">
        <f aca="false">IF(OR(D$7="",$BR163=""),"",IF('Tally Helper'!$B$9&lt;&gt;TRUE(),"not on Staff",SUMIFS('Tally Helper'!$L$11:$GI$11,'Tally Helper'!$L$9:$GI$9,"&gt;="&amp;$BR163,'Tally Helper'!$L$9:$GI$9,"&lt;="&amp;$BS163)))</f>
        <v/>
      </c>
      <c r="AA163" s="15" t="str">
        <f aca="false">IF(OR(E$7="",$BR163=""),"",IF('Tally Helper'!$B$12&lt;&gt;TRUE(),"not on Staff",SUMIFS('Tally Helper'!$L$14:$GI$14,'Tally Helper'!$L$12:$GI$12,"&gt;="&amp;$BR163,'Tally Helper'!$L$12:$GI$12,"&lt;="&amp;$BS163)))</f>
        <v/>
      </c>
      <c r="AB163" s="15" t="str">
        <f aca="false">IF(OR(F$7="",$BR163=""),"",IF('Tally Helper'!$B$15&lt;&gt;TRUE(),"not on Staff",SUMIFS('Tally Helper'!$L$17:$GI$17,'Tally Helper'!$L$15:$GI$15,"&gt;="&amp;$BR163,'Tally Helper'!$L$15:$GI$15,"&lt;="&amp;$BS163)))</f>
        <v/>
      </c>
      <c r="AC163" s="15" t="str">
        <f aca="false">IF(OR(G$7="",$BR163=""),"",IF('Tally Helper'!$B$18&lt;&gt;TRUE(),"not on Staff",SUMIFS('Tally Helper'!$L$20:$GI$20,'Tally Helper'!$L$18:$GI$18,"&gt;="&amp;$BR163,'Tally Helper'!$L$18:$GI$18,"&lt;="&amp;$BS163)))</f>
        <v/>
      </c>
      <c r="AD163" s="15" t="str">
        <f aca="false">IF(OR(H$7="",$BR163=""),"",IF('Tally Helper'!$B$21&lt;&gt;TRUE(),"not on Staff",SUMIFS('Tally Helper'!$L$23:$GI$23,'Tally Helper'!$L$21:$GI$21,"&gt;="&amp;$BR163,'Tally Helper'!$L$21:$GI$21,"&lt;="&amp;$BS163)))</f>
        <v/>
      </c>
      <c r="AE163" s="15" t="str">
        <f aca="false">IF(OR(I$7="",$BR163=""),"",IF('Tally Helper'!$B$24&lt;&gt;TRUE(),"not on Staff",SUMIFS('Tally Helper'!$L$26:$GI$26,'Tally Helper'!$L$24:$GI$24,"&gt;="&amp;$BR163,'Tally Helper'!$L$24:$GI$24,"&lt;="&amp;$BS163)))</f>
        <v/>
      </c>
      <c r="AF163" s="15" t="str">
        <f aca="false">IF(OR(J$7="",$BR163=""),"",IF('Tally Helper'!$B$27&lt;&gt;TRUE(),"not on Staff",SUMIFS('Tally Helper'!$L$29:$GI$29,'Tally Helper'!$L$27:$GI$27,"&gt;="&amp;$BR163,'Tally Helper'!$L$27:$GI$27,"&lt;="&amp;$BS163)))</f>
        <v/>
      </c>
      <c r="AG163" s="15" t="str">
        <f aca="false">IF(OR(K$7="",$BR163=""),"",IF('Tally Helper'!$B$30&lt;&gt;TRUE(),"not on Staff",SUMIFS('Tally Helper'!$L$32:$GI$32,'Tally Helper'!$L$30:$GI$30,"&gt;="&amp;$BR163,'Tally Helper'!$L$30:$GI$30,"&lt;="&amp;$BS163)))</f>
        <v/>
      </c>
      <c r="AH163" s="15" t="str">
        <f aca="false">IF(OR(L$7="",$BR163=""),"",IF('Tally Helper'!$B$33&lt;&gt;TRUE(),"not on Staff",SUMIFS('Tally Helper'!$L$35:$GI$35,'Tally Helper'!$L$33:$GI$33,"&gt;="&amp;$BR163,'Tally Helper'!$L$33:$GI$33,"&lt;="&amp;$BS163)))</f>
        <v/>
      </c>
      <c r="AI163" s="15" t="str">
        <f aca="false">IF(OR(M$7="",$BR163=""),"",IF('Tally Helper'!$B$36&lt;&gt;TRUE(),"not on Staff",SUMIFS('Tally Helper'!$L$38:$GI$38,'Tally Helper'!$L$36:$GI$36,"&gt;="&amp;$BR163,'Tally Helper'!$L$36:$GI$36,"&lt;="&amp;$BS163)))</f>
        <v/>
      </c>
      <c r="AJ163" s="15" t="str">
        <f aca="false">IF(OR(N$7="",$BR163=""),"",IF('Tally Helper'!$B$39&lt;&gt;TRUE(),"not on Staff",SUMIFS('Tally Helper'!$L$41:$GI$41,'Tally Helper'!$L$39:$GI$39,"&gt;="&amp;$BR163,'Tally Helper'!$L$39:$GI$39,"&lt;="&amp;$BS163)))</f>
        <v/>
      </c>
      <c r="AK163" s="15" t="str">
        <f aca="false">IF(OR(O$7="",$BR163=""),"",IF('Tally Helper'!$B$42&lt;&gt;TRUE(),"not on Staff",SUMIFS('Tally Helper'!$L$44:$GI$44,'Tally Helper'!$L$42:$GI$42,"&gt;="&amp;$BR163,'Tally Helper'!$L$42:$GI$42,"&lt;="&amp;$BS163)))</f>
        <v/>
      </c>
      <c r="AL163" s="15" t="str">
        <f aca="false">IF(OR(P$7="",$BR163=""),"",IF('Tally Helper'!$B$45&lt;&gt;TRUE(),"not on Staff",SUMIFS('Tally Helper'!$L$47:$GI$47,'Tally Helper'!$L$45:$GI$45,"&gt;="&amp;$BR163,'Tally Helper'!$L$45:$GI$45,"&lt;="&amp;$BS163)))</f>
        <v/>
      </c>
      <c r="AM163" s="15" t="str">
        <f aca="false">IF(OR(Q$7="",$BR163=""),"",IF('Tally Helper'!$B$48&lt;&gt;TRUE(),"not on Staff",SUMIFS('Tally Helper'!$L$50:$GI$50,'Tally Helper'!$L$48:$GI$48,"&gt;="&amp;$BR163,'Tally Helper'!$L$48:$GI$48,"&lt;="&amp;$BS163)))</f>
        <v/>
      </c>
      <c r="AN163" s="15" t="str">
        <f aca="false">IF(OR(R$7="",$BR163=""),"",IF('Tally Helper'!$B$51&lt;&gt;TRUE(),"not on Staff",SUMIFS('Tally Helper'!$L$53:$GI$53,'Tally Helper'!$L$51:$GI$51,"&gt;="&amp;$BR163,'Tally Helper'!$L$51:$GI$51,"&lt;="&amp;$BS163)))</f>
        <v/>
      </c>
      <c r="AO163" s="15" t="str">
        <f aca="false">IF(OR(S$7="",$BR163=""),"",IF('Tally Helper'!$B$54&lt;&gt;TRUE(),"not on Staff",SUMIFS('Tally Helper'!$L$56:$GI$56,'Tally Helper'!$L$54:$GI$54,"&gt;="&amp;$BR163,'Tally Helper'!$L$54:$GI$54,"&lt;="&amp;$BS163)))</f>
        <v/>
      </c>
      <c r="AP163" s="15" t="str">
        <f aca="false">IF(OR(T$7="",$BR163=""),"",IF('Tally Helper'!$B$57&lt;&gt;TRUE(),"not on Staff",SUMIFS('Tally Helper'!$L$59:$GI$59,'Tally Helper'!$L$57:$GI$57,"&gt;="&amp;$BR163,'Tally Helper'!$L$57:$GI$57,"&lt;="&amp;$BS163)))</f>
        <v/>
      </c>
      <c r="AQ163" s="15" t="str">
        <f aca="false">IF(OR(U$7="",$BR163=""),"",IF('Tally Helper'!$B$60&lt;&gt;TRUE(),"not on Staff",SUMIFS('Tally Helper'!$L$62:$GI$62,'Tally Helper'!$L$60:$GI$60,"&gt;="&amp;$BR163,'Tally Helper'!$L$60:$GI$60,"&lt;="&amp;$BS163)))</f>
        <v/>
      </c>
      <c r="AT163" s="15" t="str">
        <f aca="false">IF(OR(X163="",NOT(ISNUMBER(X163))),"",X163-N(B163))</f>
        <v/>
      </c>
      <c r="AU163" s="15" t="str">
        <f aca="false">IF(OR(Y163="",NOT(ISNUMBER(Y163))),"",Y163-N(C163))</f>
        <v/>
      </c>
      <c r="AV163" s="15" t="str">
        <f aca="false">IF(OR(Z163="",NOT(ISNUMBER(Z163))),"",Z163-N(D163))</f>
        <v/>
      </c>
      <c r="AW163" s="15" t="str">
        <f aca="false">IF(OR(AA163="",NOT(ISNUMBER(AA163))),"",AA163-N(E163))</f>
        <v/>
      </c>
      <c r="AX163" s="15" t="str">
        <f aca="false">IF(OR(AB163="",NOT(ISNUMBER(AB163))),"",AB163-N(F163))</f>
        <v/>
      </c>
      <c r="AY163" s="15" t="str">
        <f aca="false">IF(OR(AC163="",NOT(ISNUMBER(AC163))),"",AC163-N(G163))</f>
        <v/>
      </c>
      <c r="AZ163" s="15" t="str">
        <f aca="false">IF(OR(AD163="",NOT(ISNUMBER(AD163))),"",AD163-N(H163))</f>
        <v/>
      </c>
      <c r="BA163" s="15" t="str">
        <f aca="false">IF(OR(AE163="",NOT(ISNUMBER(AE163))),"",AE163-N(I163))</f>
        <v/>
      </c>
      <c r="BB163" s="15" t="str">
        <f aca="false">IF(OR(AF163="",NOT(ISNUMBER(AF163))),"",AF163-N(J163))</f>
        <v/>
      </c>
      <c r="BC163" s="15" t="str">
        <f aca="false">IF(OR(AG163="",NOT(ISNUMBER(AG163))),"",AG163-N(K163))</f>
        <v/>
      </c>
      <c r="BD163" s="15" t="str">
        <f aca="false">IF(OR(AH163="",NOT(ISNUMBER(AH163))),"",AH163-N(L163))</f>
        <v/>
      </c>
      <c r="BE163" s="15" t="str">
        <f aca="false">IF(OR(AI163="",NOT(ISNUMBER(AI163))),"",AI163-N(M163))</f>
        <v/>
      </c>
      <c r="BF163" s="15" t="str">
        <f aca="false">IF(OR(AJ163="",NOT(ISNUMBER(AJ163))),"",AJ163-N(N163))</f>
        <v/>
      </c>
      <c r="BG163" s="15" t="str">
        <f aca="false">IF(OR(AK163="",NOT(ISNUMBER(AK163))),"",AK163-N(O163))</f>
        <v/>
      </c>
      <c r="BH163" s="15" t="str">
        <f aca="false">IF(OR(AL163="",NOT(ISNUMBER(AL163))),"",AL163-N(P163))</f>
        <v/>
      </c>
      <c r="BI163" s="15" t="str">
        <f aca="false">IF(OR(AM163="",NOT(ISNUMBER(AM163))),"",AM163-N(Q163))</f>
        <v/>
      </c>
      <c r="BJ163" s="15" t="str">
        <f aca="false">IF(OR(AN163="",NOT(ISNUMBER(AN163))),"",AN163-N(R163))</f>
        <v/>
      </c>
      <c r="BK163" s="15" t="str">
        <f aca="false">IF(OR(AO163="",NOT(ISNUMBER(AO163))),"",AO163-N(S163))</f>
        <v/>
      </c>
      <c r="BL163" s="15" t="str">
        <f aca="false">IF(OR(AP163="",NOT(ISNUMBER(AP163))),"",AP163-N(T163))</f>
        <v/>
      </c>
      <c r="BM163" s="15" t="str">
        <f aca="false">IF(OR(AQ163="",NOT(ISNUMBER(AQ163))),"",AQ163-N(U163))</f>
        <v/>
      </c>
      <c r="BR163" s="18" t="str">
        <f aca="false">IF($A163="","",IF(ISNUMBER($A163),DATE(YEAR($A163),MONTH($A163),1),IFERROR(DATE(2000+VALUE(RIGHT(TRIM($A163),2)),MATCH(UPPER(LEFT(TRIM($A163),3)),{"JAN","FEB","MAR","APR","MAY","JUN","JUL","AUG","SEP","OCT","NOV","DEC"},0),1),"")))</f>
        <v/>
      </c>
      <c r="BS163" s="18" t="str">
        <f aca="false">IF(BR163="","",EOMONTH(BR163,0))</f>
        <v/>
      </c>
    </row>
    <row r="164" customFormat="false" ht="15" hidden="false" customHeight="false" outlineLevel="0" collapsed="false">
      <c r="B164" s="19"/>
      <c r="C164" s="19"/>
      <c r="D164" s="19"/>
      <c r="E164" s="19"/>
      <c r="F164" s="19"/>
      <c r="G164" s="19"/>
      <c r="H164" s="19"/>
      <c r="I164" s="19"/>
      <c r="J164" s="19"/>
      <c r="K164" s="19"/>
      <c r="L164" s="19"/>
      <c r="M164" s="19"/>
      <c r="N164" s="19"/>
      <c r="O164" s="19"/>
      <c r="P164" s="19"/>
      <c r="Q164" s="19"/>
      <c r="R164" s="19"/>
      <c r="S164" s="19"/>
      <c r="T164" s="19"/>
      <c r="U164" s="19"/>
      <c r="X164" s="15" t="str">
        <f aca="false">IF(OR(B$7="",$BR164=""),"",IF('Tally Helper'!$B$3&lt;&gt;TRUE(),"not on Staff",SUMIFS('Tally Helper'!$L$5:$GI$5,'Tally Helper'!$L$3:$GI$3,"&gt;="&amp;$BR164,'Tally Helper'!$L$3:$GI$3,"&lt;="&amp;$BS164)))</f>
        <v/>
      </c>
      <c r="Y164" s="15" t="str">
        <f aca="false">IF(OR(C$7="",$BR164=""),"",IF('Tally Helper'!$B$6&lt;&gt;TRUE(),"not on Staff",SUMIFS('Tally Helper'!$L$8:$GI$8,'Tally Helper'!$L$6:$GI$6,"&gt;="&amp;$BR164,'Tally Helper'!$L$6:$GI$6,"&lt;="&amp;$BS164)))</f>
        <v/>
      </c>
      <c r="Z164" s="15" t="str">
        <f aca="false">IF(OR(D$7="",$BR164=""),"",IF('Tally Helper'!$B$9&lt;&gt;TRUE(),"not on Staff",SUMIFS('Tally Helper'!$L$11:$GI$11,'Tally Helper'!$L$9:$GI$9,"&gt;="&amp;$BR164,'Tally Helper'!$L$9:$GI$9,"&lt;="&amp;$BS164)))</f>
        <v/>
      </c>
      <c r="AA164" s="15" t="str">
        <f aca="false">IF(OR(E$7="",$BR164=""),"",IF('Tally Helper'!$B$12&lt;&gt;TRUE(),"not on Staff",SUMIFS('Tally Helper'!$L$14:$GI$14,'Tally Helper'!$L$12:$GI$12,"&gt;="&amp;$BR164,'Tally Helper'!$L$12:$GI$12,"&lt;="&amp;$BS164)))</f>
        <v/>
      </c>
      <c r="AB164" s="15" t="str">
        <f aca="false">IF(OR(F$7="",$BR164=""),"",IF('Tally Helper'!$B$15&lt;&gt;TRUE(),"not on Staff",SUMIFS('Tally Helper'!$L$17:$GI$17,'Tally Helper'!$L$15:$GI$15,"&gt;="&amp;$BR164,'Tally Helper'!$L$15:$GI$15,"&lt;="&amp;$BS164)))</f>
        <v/>
      </c>
      <c r="AC164" s="15" t="str">
        <f aca="false">IF(OR(G$7="",$BR164=""),"",IF('Tally Helper'!$B$18&lt;&gt;TRUE(),"not on Staff",SUMIFS('Tally Helper'!$L$20:$GI$20,'Tally Helper'!$L$18:$GI$18,"&gt;="&amp;$BR164,'Tally Helper'!$L$18:$GI$18,"&lt;="&amp;$BS164)))</f>
        <v/>
      </c>
      <c r="AD164" s="15" t="str">
        <f aca="false">IF(OR(H$7="",$BR164=""),"",IF('Tally Helper'!$B$21&lt;&gt;TRUE(),"not on Staff",SUMIFS('Tally Helper'!$L$23:$GI$23,'Tally Helper'!$L$21:$GI$21,"&gt;="&amp;$BR164,'Tally Helper'!$L$21:$GI$21,"&lt;="&amp;$BS164)))</f>
        <v/>
      </c>
      <c r="AE164" s="15" t="str">
        <f aca="false">IF(OR(I$7="",$BR164=""),"",IF('Tally Helper'!$B$24&lt;&gt;TRUE(),"not on Staff",SUMIFS('Tally Helper'!$L$26:$GI$26,'Tally Helper'!$L$24:$GI$24,"&gt;="&amp;$BR164,'Tally Helper'!$L$24:$GI$24,"&lt;="&amp;$BS164)))</f>
        <v/>
      </c>
      <c r="AF164" s="15" t="str">
        <f aca="false">IF(OR(J$7="",$BR164=""),"",IF('Tally Helper'!$B$27&lt;&gt;TRUE(),"not on Staff",SUMIFS('Tally Helper'!$L$29:$GI$29,'Tally Helper'!$L$27:$GI$27,"&gt;="&amp;$BR164,'Tally Helper'!$L$27:$GI$27,"&lt;="&amp;$BS164)))</f>
        <v/>
      </c>
      <c r="AG164" s="15" t="str">
        <f aca="false">IF(OR(K$7="",$BR164=""),"",IF('Tally Helper'!$B$30&lt;&gt;TRUE(),"not on Staff",SUMIFS('Tally Helper'!$L$32:$GI$32,'Tally Helper'!$L$30:$GI$30,"&gt;="&amp;$BR164,'Tally Helper'!$L$30:$GI$30,"&lt;="&amp;$BS164)))</f>
        <v/>
      </c>
      <c r="AH164" s="15" t="str">
        <f aca="false">IF(OR(L$7="",$BR164=""),"",IF('Tally Helper'!$B$33&lt;&gt;TRUE(),"not on Staff",SUMIFS('Tally Helper'!$L$35:$GI$35,'Tally Helper'!$L$33:$GI$33,"&gt;="&amp;$BR164,'Tally Helper'!$L$33:$GI$33,"&lt;="&amp;$BS164)))</f>
        <v/>
      </c>
      <c r="AI164" s="15" t="str">
        <f aca="false">IF(OR(M$7="",$BR164=""),"",IF('Tally Helper'!$B$36&lt;&gt;TRUE(),"not on Staff",SUMIFS('Tally Helper'!$L$38:$GI$38,'Tally Helper'!$L$36:$GI$36,"&gt;="&amp;$BR164,'Tally Helper'!$L$36:$GI$36,"&lt;="&amp;$BS164)))</f>
        <v/>
      </c>
      <c r="AJ164" s="15" t="str">
        <f aca="false">IF(OR(N$7="",$BR164=""),"",IF('Tally Helper'!$B$39&lt;&gt;TRUE(),"not on Staff",SUMIFS('Tally Helper'!$L$41:$GI$41,'Tally Helper'!$L$39:$GI$39,"&gt;="&amp;$BR164,'Tally Helper'!$L$39:$GI$39,"&lt;="&amp;$BS164)))</f>
        <v/>
      </c>
      <c r="AK164" s="15" t="str">
        <f aca="false">IF(OR(O$7="",$BR164=""),"",IF('Tally Helper'!$B$42&lt;&gt;TRUE(),"not on Staff",SUMIFS('Tally Helper'!$L$44:$GI$44,'Tally Helper'!$L$42:$GI$42,"&gt;="&amp;$BR164,'Tally Helper'!$L$42:$GI$42,"&lt;="&amp;$BS164)))</f>
        <v/>
      </c>
      <c r="AL164" s="15" t="str">
        <f aca="false">IF(OR(P$7="",$BR164=""),"",IF('Tally Helper'!$B$45&lt;&gt;TRUE(),"not on Staff",SUMIFS('Tally Helper'!$L$47:$GI$47,'Tally Helper'!$L$45:$GI$45,"&gt;="&amp;$BR164,'Tally Helper'!$L$45:$GI$45,"&lt;="&amp;$BS164)))</f>
        <v/>
      </c>
      <c r="AM164" s="15" t="str">
        <f aca="false">IF(OR(Q$7="",$BR164=""),"",IF('Tally Helper'!$B$48&lt;&gt;TRUE(),"not on Staff",SUMIFS('Tally Helper'!$L$50:$GI$50,'Tally Helper'!$L$48:$GI$48,"&gt;="&amp;$BR164,'Tally Helper'!$L$48:$GI$48,"&lt;="&amp;$BS164)))</f>
        <v/>
      </c>
      <c r="AN164" s="15" t="str">
        <f aca="false">IF(OR(R$7="",$BR164=""),"",IF('Tally Helper'!$B$51&lt;&gt;TRUE(),"not on Staff",SUMIFS('Tally Helper'!$L$53:$GI$53,'Tally Helper'!$L$51:$GI$51,"&gt;="&amp;$BR164,'Tally Helper'!$L$51:$GI$51,"&lt;="&amp;$BS164)))</f>
        <v/>
      </c>
      <c r="AO164" s="15" t="str">
        <f aca="false">IF(OR(S$7="",$BR164=""),"",IF('Tally Helper'!$B$54&lt;&gt;TRUE(),"not on Staff",SUMIFS('Tally Helper'!$L$56:$GI$56,'Tally Helper'!$L$54:$GI$54,"&gt;="&amp;$BR164,'Tally Helper'!$L$54:$GI$54,"&lt;="&amp;$BS164)))</f>
        <v/>
      </c>
      <c r="AP164" s="15" t="str">
        <f aca="false">IF(OR(T$7="",$BR164=""),"",IF('Tally Helper'!$B$57&lt;&gt;TRUE(),"not on Staff",SUMIFS('Tally Helper'!$L$59:$GI$59,'Tally Helper'!$L$57:$GI$57,"&gt;="&amp;$BR164,'Tally Helper'!$L$57:$GI$57,"&lt;="&amp;$BS164)))</f>
        <v/>
      </c>
      <c r="AQ164" s="15" t="str">
        <f aca="false">IF(OR(U$7="",$BR164=""),"",IF('Tally Helper'!$B$60&lt;&gt;TRUE(),"not on Staff",SUMIFS('Tally Helper'!$L$62:$GI$62,'Tally Helper'!$L$60:$GI$60,"&gt;="&amp;$BR164,'Tally Helper'!$L$60:$GI$60,"&lt;="&amp;$BS164)))</f>
        <v/>
      </c>
      <c r="AT164" s="15" t="str">
        <f aca="false">IF(OR(X164="",NOT(ISNUMBER(X164))),"",X164-N(B164))</f>
        <v/>
      </c>
      <c r="AU164" s="15" t="str">
        <f aca="false">IF(OR(Y164="",NOT(ISNUMBER(Y164))),"",Y164-N(C164))</f>
        <v/>
      </c>
      <c r="AV164" s="15" t="str">
        <f aca="false">IF(OR(Z164="",NOT(ISNUMBER(Z164))),"",Z164-N(D164))</f>
        <v/>
      </c>
      <c r="AW164" s="15" t="str">
        <f aca="false">IF(OR(AA164="",NOT(ISNUMBER(AA164))),"",AA164-N(E164))</f>
        <v/>
      </c>
      <c r="AX164" s="15" t="str">
        <f aca="false">IF(OR(AB164="",NOT(ISNUMBER(AB164))),"",AB164-N(F164))</f>
        <v/>
      </c>
      <c r="AY164" s="15" t="str">
        <f aca="false">IF(OR(AC164="",NOT(ISNUMBER(AC164))),"",AC164-N(G164))</f>
        <v/>
      </c>
      <c r="AZ164" s="15" t="str">
        <f aca="false">IF(OR(AD164="",NOT(ISNUMBER(AD164))),"",AD164-N(H164))</f>
        <v/>
      </c>
      <c r="BA164" s="15" t="str">
        <f aca="false">IF(OR(AE164="",NOT(ISNUMBER(AE164))),"",AE164-N(I164))</f>
        <v/>
      </c>
      <c r="BB164" s="15" t="str">
        <f aca="false">IF(OR(AF164="",NOT(ISNUMBER(AF164))),"",AF164-N(J164))</f>
        <v/>
      </c>
      <c r="BC164" s="15" t="str">
        <f aca="false">IF(OR(AG164="",NOT(ISNUMBER(AG164))),"",AG164-N(K164))</f>
        <v/>
      </c>
      <c r="BD164" s="15" t="str">
        <f aca="false">IF(OR(AH164="",NOT(ISNUMBER(AH164))),"",AH164-N(L164))</f>
        <v/>
      </c>
      <c r="BE164" s="15" t="str">
        <f aca="false">IF(OR(AI164="",NOT(ISNUMBER(AI164))),"",AI164-N(M164))</f>
        <v/>
      </c>
      <c r="BF164" s="15" t="str">
        <f aca="false">IF(OR(AJ164="",NOT(ISNUMBER(AJ164))),"",AJ164-N(N164))</f>
        <v/>
      </c>
      <c r="BG164" s="15" t="str">
        <f aca="false">IF(OR(AK164="",NOT(ISNUMBER(AK164))),"",AK164-N(O164))</f>
        <v/>
      </c>
      <c r="BH164" s="15" t="str">
        <f aca="false">IF(OR(AL164="",NOT(ISNUMBER(AL164))),"",AL164-N(P164))</f>
        <v/>
      </c>
      <c r="BI164" s="15" t="str">
        <f aca="false">IF(OR(AM164="",NOT(ISNUMBER(AM164))),"",AM164-N(Q164))</f>
        <v/>
      </c>
      <c r="BJ164" s="15" t="str">
        <f aca="false">IF(OR(AN164="",NOT(ISNUMBER(AN164))),"",AN164-N(R164))</f>
        <v/>
      </c>
      <c r="BK164" s="15" t="str">
        <f aca="false">IF(OR(AO164="",NOT(ISNUMBER(AO164))),"",AO164-N(S164))</f>
        <v/>
      </c>
      <c r="BL164" s="15" t="str">
        <f aca="false">IF(OR(AP164="",NOT(ISNUMBER(AP164))),"",AP164-N(T164))</f>
        <v/>
      </c>
      <c r="BM164" s="15" t="str">
        <f aca="false">IF(OR(AQ164="",NOT(ISNUMBER(AQ164))),"",AQ164-N(U164))</f>
        <v/>
      </c>
      <c r="BR164" s="18" t="str">
        <f aca="false">IF($A164="","",IF(ISNUMBER($A164),DATE(YEAR($A164),MONTH($A164),1),IFERROR(DATE(2000+VALUE(RIGHT(TRIM($A164),2)),MATCH(UPPER(LEFT(TRIM($A164),3)),{"JAN","FEB","MAR","APR","MAY","JUN","JUL","AUG","SEP","OCT","NOV","DEC"},0),1),"")))</f>
        <v/>
      </c>
      <c r="BS164" s="18" t="str">
        <f aca="false">IF(BR164="","",EOMONTH(BR164,0))</f>
        <v/>
      </c>
    </row>
    <row r="165" customFormat="false" ht="15" hidden="false" customHeight="false" outlineLevel="0" collapsed="false">
      <c r="B165" s="19"/>
      <c r="C165" s="19"/>
      <c r="D165" s="19"/>
      <c r="E165" s="19"/>
      <c r="F165" s="19"/>
      <c r="G165" s="19"/>
      <c r="H165" s="19"/>
      <c r="I165" s="19"/>
      <c r="J165" s="19"/>
      <c r="K165" s="19"/>
      <c r="L165" s="19"/>
      <c r="M165" s="19"/>
      <c r="N165" s="19"/>
      <c r="O165" s="19"/>
      <c r="P165" s="19"/>
      <c r="Q165" s="19"/>
      <c r="R165" s="19"/>
      <c r="S165" s="19"/>
      <c r="T165" s="19"/>
      <c r="U165" s="19"/>
      <c r="X165" s="15" t="str">
        <f aca="false">IF(OR(B$7="",$BR165=""),"",IF('Tally Helper'!$B$3&lt;&gt;TRUE(),"not on Staff",SUMIFS('Tally Helper'!$L$5:$GI$5,'Tally Helper'!$L$3:$GI$3,"&gt;="&amp;$BR165,'Tally Helper'!$L$3:$GI$3,"&lt;="&amp;$BS165)))</f>
        <v/>
      </c>
      <c r="Y165" s="15" t="str">
        <f aca="false">IF(OR(C$7="",$BR165=""),"",IF('Tally Helper'!$B$6&lt;&gt;TRUE(),"not on Staff",SUMIFS('Tally Helper'!$L$8:$GI$8,'Tally Helper'!$L$6:$GI$6,"&gt;="&amp;$BR165,'Tally Helper'!$L$6:$GI$6,"&lt;="&amp;$BS165)))</f>
        <v/>
      </c>
      <c r="Z165" s="15" t="str">
        <f aca="false">IF(OR(D$7="",$BR165=""),"",IF('Tally Helper'!$B$9&lt;&gt;TRUE(),"not on Staff",SUMIFS('Tally Helper'!$L$11:$GI$11,'Tally Helper'!$L$9:$GI$9,"&gt;="&amp;$BR165,'Tally Helper'!$L$9:$GI$9,"&lt;="&amp;$BS165)))</f>
        <v/>
      </c>
      <c r="AA165" s="15" t="str">
        <f aca="false">IF(OR(E$7="",$BR165=""),"",IF('Tally Helper'!$B$12&lt;&gt;TRUE(),"not on Staff",SUMIFS('Tally Helper'!$L$14:$GI$14,'Tally Helper'!$L$12:$GI$12,"&gt;="&amp;$BR165,'Tally Helper'!$L$12:$GI$12,"&lt;="&amp;$BS165)))</f>
        <v/>
      </c>
      <c r="AB165" s="15" t="str">
        <f aca="false">IF(OR(F$7="",$BR165=""),"",IF('Tally Helper'!$B$15&lt;&gt;TRUE(),"not on Staff",SUMIFS('Tally Helper'!$L$17:$GI$17,'Tally Helper'!$L$15:$GI$15,"&gt;="&amp;$BR165,'Tally Helper'!$L$15:$GI$15,"&lt;="&amp;$BS165)))</f>
        <v/>
      </c>
      <c r="AC165" s="15" t="str">
        <f aca="false">IF(OR(G$7="",$BR165=""),"",IF('Tally Helper'!$B$18&lt;&gt;TRUE(),"not on Staff",SUMIFS('Tally Helper'!$L$20:$GI$20,'Tally Helper'!$L$18:$GI$18,"&gt;="&amp;$BR165,'Tally Helper'!$L$18:$GI$18,"&lt;="&amp;$BS165)))</f>
        <v/>
      </c>
      <c r="AD165" s="15" t="str">
        <f aca="false">IF(OR(H$7="",$BR165=""),"",IF('Tally Helper'!$B$21&lt;&gt;TRUE(),"not on Staff",SUMIFS('Tally Helper'!$L$23:$GI$23,'Tally Helper'!$L$21:$GI$21,"&gt;="&amp;$BR165,'Tally Helper'!$L$21:$GI$21,"&lt;="&amp;$BS165)))</f>
        <v/>
      </c>
      <c r="AE165" s="15" t="str">
        <f aca="false">IF(OR(I$7="",$BR165=""),"",IF('Tally Helper'!$B$24&lt;&gt;TRUE(),"not on Staff",SUMIFS('Tally Helper'!$L$26:$GI$26,'Tally Helper'!$L$24:$GI$24,"&gt;="&amp;$BR165,'Tally Helper'!$L$24:$GI$24,"&lt;="&amp;$BS165)))</f>
        <v/>
      </c>
      <c r="AF165" s="15" t="str">
        <f aca="false">IF(OR(J$7="",$BR165=""),"",IF('Tally Helper'!$B$27&lt;&gt;TRUE(),"not on Staff",SUMIFS('Tally Helper'!$L$29:$GI$29,'Tally Helper'!$L$27:$GI$27,"&gt;="&amp;$BR165,'Tally Helper'!$L$27:$GI$27,"&lt;="&amp;$BS165)))</f>
        <v/>
      </c>
      <c r="AG165" s="15" t="str">
        <f aca="false">IF(OR(K$7="",$BR165=""),"",IF('Tally Helper'!$B$30&lt;&gt;TRUE(),"not on Staff",SUMIFS('Tally Helper'!$L$32:$GI$32,'Tally Helper'!$L$30:$GI$30,"&gt;="&amp;$BR165,'Tally Helper'!$L$30:$GI$30,"&lt;="&amp;$BS165)))</f>
        <v/>
      </c>
      <c r="AH165" s="15" t="str">
        <f aca="false">IF(OR(L$7="",$BR165=""),"",IF('Tally Helper'!$B$33&lt;&gt;TRUE(),"not on Staff",SUMIFS('Tally Helper'!$L$35:$GI$35,'Tally Helper'!$L$33:$GI$33,"&gt;="&amp;$BR165,'Tally Helper'!$L$33:$GI$33,"&lt;="&amp;$BS165)))</f>
        <v/>
      </c>
      <c r="AI165" s="15" t="str">
        <f aca="false">IF(OR(M$7="",$BR165=""),"",IF('Tally Helper'!$B$36&lt;&gt;TRUE(),"not on Staff",SUMIFS('Tally Helper'!$L$38:$GI$38,'Tally Helper'!$L$36:$GI$36,"&gt;="&amp;$BR165,'Tally Helper'!$L$36:$GI$36,"&lt;="&amp;$BS165)))</f>
        <v/>
      </c>
      <c r="AJ165" s="15" t="str">
        <f aca="false">IF(OR(N$7="",$BR165=""),"",IF('Tally Helper'!$B$39&lt;&gt;TRUE(),"not on Staff",SUMIFS('Tally Helper'!$L$41:$GI$41,'Tally Helper'!$L$39:$GI$39,"&gt;="&amp;$BR165,'Tally Helper'!$L$39:$GI$39,"&lt;="&amp;$BS165)))</f>
        <v/>
      </c>
      <c r="AK165" s="15" t="str">
        <f aca="false">IF(OR(O$7="",$BR165=""),"",IF('Tally Helper'!$B$42&lt;&gt;TRUE(),"not on Staff",SUMIFS('Tally Helper'!$L$44:$GI$44,'Tally Helper'!$L$42:$GI$42,"&gt;="&amp;$BR165,'Tally Helper'!$L$42:$GI$42,"&lt;="&amp;$BS165)))</f>
        <v/>
      </c>
      <c r="AL165" s="15" t="str">
        <f aca="false">IF(OR(P$7="",$BR165=""),"",IF('Tally Helper'!$B$45&lt;&gt;TRUE(),"not on Staff",SUMIFS('Tally Helper'!$L$47:$GI$47,'Tally Helper'!$L$45:$GI$45,"&gt;="&amp;$BR165,'Tally Helper'!$L$45:$GI$45,"&lt;="&amp;$BS165)))</f>
        <v/>
      </c>
      <c r="AM165" s="15" t="str">
        <f aca="false">IF(OR(Q$7="",$BR165=""),"",IF('Tally Helper'!$B$48&lt;&gt;TRUE(),"not on Staff",SUMIFS('Tally Helper'!$L$50:$GI$50,'Tally Helper'!$L$48:$GI$48,"&gt;="&amp;$BR165,'Tally Helper'!$L$48:$GI$48,"&lt;="&amp;$BS165)))</f>
        <v/>
      </c>
      <c r="AN165" s="15" t="str">
        <f aca="false">IF(OR(R$7="",$BR165=""),"",IF('Tally Helper'!$B$51&lt;&gt;TRUE(),"not on Staff",SUMIFS('Tally Helper'!$L$53:$GI$53,'Tally Helper'!$L$51:$GI$51,"&gt;="&amp;$BR165,'Tally Helper'!$L$51:$GI$51,"&lt;="&amp;$BS165)))</f>
        <v/>
      </c>
      <c r="AO165" s="15" t="str">
        <f aca="false">IF(OR(S$7="",$BR165=""),"",IF('Tally Helper'!$B$54&lt;&gt;TRUE(),"not on Staff",SUMIFS('Tally Helper'!$L$56:$GI$56,'Tally Helper'!$L$54:$GI$54,"&gt;="&amp;$BR165,'Tally Helper'!$L$54:$GI$54,"&lt;="&amp;$BS165)))</f>
        <v/>
      </c>
      <c r="AP165" s="15" t="str">
        <f aca="false">IF(OR(T$7="",$BR165=""),"",IF('Tally Helper'!$B$57&lt;&gt;TRUE(),"not on Staff",SUMIFS('Tally Helper'!$L$59:$GI$59,'Tally Helper'!$L$57:$GI$57,"&gt;="&amp;$BR165,'Tally Helper'!$L$57:$GI$57,"&lt;="&amp;$BS165)))</f>
        <v/>
      </c>
      <c r="AQ165" s="15" t="str">
        <f aca="false">IF(OR(U$7="",$BR165=""),"",IF('Tally Helper'!$B$60&lt;&gt;TRUE(),"not on Staff",SUMIFS('Tally Helper'!$L$62:$GI$62,'Tally Helper'!$L$60:$GI$60,"&gt;="&amp;$BR165,'Tally Helper'!$L$60:$GI$60,"&lt;="&amp;$BS165)))</f>
        <v/>
      </c>
      <c r="AT165" s="15" t="str">
        <f aca="false">IF(OR(X165="",NOT(ISNUMBER(X165))),"",X165-N(B165))</f>
        <v/>
      </c>
      <c r="AU165" s="15" t="str">
        <f aca="false">IF(OR(Y165="",NOT(ISNUMBER(Y165))),"",Y165-N(C165))</f>
        <v/>
      </c>
      <c r="AV165" s="15" t="str">
        <f aca="false">IF(OR(Z165="",NOT(ISNUMBER(Z165))),"",Z165-N(D165))</f>
        <v/>
      </c>
      <c r="AW165" s="15" t="str">
        <f aca="false">IF(OR(AA165="",NOT(ISNUMBER(AA165))),"",AA165-N(E165))</f>
        <v/>
      </c>
      <c r="AX165" s="15" t="str">
        <f aca="false">IF(OR(AB165="",NOT(ISNUMBER(AB165))),"",AB165-N(F165))</f>
        <v/>
      </c>
      <c r="AY165" s="15" t="str">
        <f aca="false">IF(OR(AC165="",NOT(ISNUMBER(AC165))),"",AC165-N(G165))</f>
        <v/>
      </c>
      <c r="AZ165" s="15" t="str">
        <f aca="false">IF(OR(AD165="",NOT(ISNUMBER(AD165))),"",AD165-N(H165))</f>
        <v/>
      </c>
      <c r="BA165" s="15" t="str">
        <f aca="false">IF(OR(AE165="",NOT(ISNUMBER(AE165))),"",AE165-N(I165))</f>
        <v/>
      </c>
      <c r="BB165" s="15" t="str">
        <f aca="false">IF(OR(AF165="",NOT(ISNUMBER(AF165))),"",AF165-N(J165))</f>
        <v/>
      </c>
      <c r="BC165" s="15" t="str">
        <f aca="false">IF(OR(AG165="",NOT(ISNUMBER(AG165))),"",AG165-N(K165))</f>
        <v/>
      </c>
      <c r="BD165" s="15" t="str">
        <f aca="false">IF(OR(AH165="",NOT(ISNUMBER(AH165))),"",AH165-N(L165))</f>
        <v/>
      </c>
      <c r="BE165" s="15" t="str">
        <f aca="false">IF(OR(AI165="",NOT(ISNUMBER(AI165))),"",AI165-N(M165))</f>
        <v/>
      </c>
      <c r="BF165" s="15" t="str">
        <f aca="false">IF(OR(AJ165="",NOT(ISNUMBER(AJ165))),"",AJ165-N(N165))</f>
        <v/>
      </c>
      <c r="BG165" s="15" t="str">
        <f aca="false">IF(OR(AK165="",NOT(ISNUMBER(AK165))),"",AK165-N(O165))</f>
        <v/>
      </c>
      <c r="BH165" s="15" t="str">
        <f aca="false">IF(OR(AL165="",NOT(ISNUMBER(AL165))),"",AL165-N(P165))</f>
        <v/>
      </c>
      <c r="BI165" s="15" t="str">
        <f aca="false">IF(OR(AM165="",NOT(ISNUMBER(AM165))),"",AM165-N(Q165))</f>
        <v/>
      </c>
      <c r="BJ165" s="15" t="str">
        <f aca="false">IF(OR(AN165="",NOT(ISNUMBER(AN165))),"",AN165-N(R165))</f>
        <v/>
      </c>
      <c r="BK165" s="15" t="str">
        <f aca="false">IF(OR(AO165="",NOT(ISNUMBER(AO165))),"",AO165-N(S165))</f>
        <v/>
      </c>
      <c r="BL165" s="15" t="str">
        <f aca="false">IF(OR(AP165="",NOT(ISNUMBER(AP165))),"",AP165-N(T165))</f>
        <v/>
      </c>
      <c r="BM165" s="15" t="str">
        <f aca="false">IF(OR(AQ165="",NOT(ISNUMBER(AQ165))),"",AQ165-N(U165))</f>
        <v/>
      </c>
      <c r="BR165" s="18" t="str">
        <f aca="false">IF($A165="","",IF(ISNUMBER($A165),DATE(YEAR($A165),MONTH($A165),1),IFERROR(DATE(2000+VALUE(RIGHT(TRIM($A165),2)),MATCH(UPPER(LEFT(TRIM($A165),3)),{"JAN","FEB","MAR","APR","MAY","JUN","JUL","AUG","SEP","OCT","NOV","DEC"},0),1),"")))</f>
        <v/>
      </c>
      <c r="BS165" s="18" t="str">
        <f aca="false">IF(BR165="","",EOMONTH(BR165,0))</f>
        <v/>
      </c>
    </row>
    <row r="166" customFormat="false" ht="15" hidden="false" customHeight="false" outlineLevel="0" collapsed="false">
      <c r="B166" s="19"/>
      <c r="C166" s="19"/>
      <c r="D166" s="19"/>
      <c r="E166" s="19"/>
      <c r="F166" s="19"/>
      <c r="G166" s="19"/>
      <c r="H166" s="19"/>
      <c r="I166" s="19"/>
      <c r="J166" s="19"/>
      <c r="K166" s="19"/>
      <c r="L166" s="19"/>
      <c r="M166" s="19"/>
      <c r="N166" s="19"/>
      <c r="O166" s="19"/>
      <c r="P166" s="19"/>
      <c r="Q166" s="19"/>
      <c r="R166" s="19"/>
      <c r="S166" s="19"/>
      <c r="T166" s="19"/>
      <c r="U166" s="19"/>
      <c r="X166" s="15" t="str">
        <f aca="false">IF(OR(B$7="",$BR166=""),"",IF('Tally Helper'!$B$3&lt;&gt;TRUE(),"not on Staff",SUMIFS('Tally Helper'!$L$5:$GI$5,'Tally Helper'!$L$3:$GI$3,"&gt;="&amp;$BR166,'Tally Helper'!$L$3:$GI$3,"&lt;="&amp;$BS166)))</f>
        <v/>
      </c>
      <c r="Y166" s="15" t="str">
        <f aca="false">IF(OR(C$7="",$BR166=""),"",IF('Tally Helper'!$B$6&lt;&gt;TRUE(),"not on Staff",SUMIFS('Tally Helper'!$L$8:$GI$8,'Tally Helper'!$L$6:$GI$6,"&gt;="&amp;$BR166,'Tally Helper'!$L$6:$GI$6,"&lt;="&amp;$BS166)))</f>
        <v/>
      </c>
      <c r="Z166" s="15" t="str">
        <f aca="false">IF(OR(D$7="",$BR166=""),"",IF('Tally Helper'!$B$9&lt;&gt;TRUE(),"not on Staff",SUMIFS('Tally Helper'!$L$11:$GI$11,'Tally Helper'!$L$9:$GI$9,"&gt;="&amp;$BR166,'Tally Helper'!$L$9:$GI$9,"&lt;="&amp;$BS166)))</f>
        <v/>
      </c>
      <c r="AA166" s="15" t="str">
        <f aca="false">IF(OR(E$7="",$BR166=""),"",IF('Tally Helper'!$B$12&lt;&gt;TRUE(),"not on Staff",SUMIFS('Tally Helper'!$L$14:$GI$14,'Tally Helper'!$L$12:$GI$12,"&gt;="&amp;$BR166,'Tally Helper'!$L$12:$GI$12,"&lt;="&amp;$BS166)))</f>
        <v/>
      </c>
      <c r="AB166" s="15" t="str">
        <f aca="false">IF(OR(F$7="",$BR166=""),"",IF('Tally Helper'!$B$15&lt;&gt;TRUE(),"not on Staff",SUMIFS('Tally Helper'!$L$17:$GI$17,'Tally Helper'!$L$15:$GI$15,"&gt;="&amp;$BR166,'Tally Helper'!$L$15:$GI$15,"&lt;="&amp;$BS166)))</f>
        <v/>
      </c>
      <c r="AC166" s="15" t="str">
        <f aca="false">IF(OR(G$7="",$BR166=""),"",IF('Tally Helper'!$B$18&lt;&gt;TRUE(),"not on Staff",SUMIFS('Tally Helper'!$L$20:$GI$20,'Tally Helper'!$L$18:$GI$18,"&gt;="&amp;$BR166,'Tally Helper'!$L$18:$GI$18,"&lt;="&amp;$BS166)))</f>
        <v/>
      </c>
      <c r="AD166" s="15" t="str">
        <f aca="false">IF(OR(H$7="",$BR166=""),"",IF('Tally Helper'!$B$21&lt;&gt;TRUE(),"not on Staff",SUMIFS('Tally Helper'!$L$23:$GI$23,'Tally Helper'!$L$21:$GI$21,"&gt;="&amp;$BR166,'Tally Helper'!$L$21:$GI$21,"&lt;="&amp;$BS166)))</f>
        <v/>
      </c>
      <c r="AE166" s="15" t="str">
        <f aca="false">IF(OR(I$7="",$BR166=""),"",IF('Tally Helper'!$B$24&lt;&gt;TRUE(),"not on Staff",SUMIFS('Tally Helper'!$L$26:$GI$26,'Tally Helper'!$L$24:$GI$24,"&gt;="&amp;$BR166,'Tally Helper'!$L$24:$GI$24,"&lt;="&amp;$BS166)))</f>
        <v/>
      </c>
      <c r="AF166" s="15" t="str">
        <f aca="false">IF(OR(J$7="",$BR166=""),"",IF('Tally Helper'!$B$27&lt;&gt;TRUE(),"not on Staff",SUMIFS('Tally Helper'!$L$29:$GI$29,'Tally Helper'!$L$27:$GI$27,"&gt;="&amp;$BR166,'Tally Helper'!$L$27:$GI$27,"&lt;="&amp;$BS166)))</f>
        <v/>
      </c>
      <c r="AG166" s="15" t="str">
        <f aca="false">IF(OR(K$7="",$BR166=""),"",IF('Tally Helper'!$B$30&lt;&gt;TRUE(),"not on Staff",SUMIFS('Tally Helper'!$L$32:$GI$32,'Tally Helper'!$L$30:$GI$30,"&gt;="&amp;$BR166,'Tally Helper'!$L$30:$GI$30,"&lt;="&amp;$BS166)))</f>
        <v/>
      </c>
      <c r="AH166" s="15" t="str">
        <f aca="false">IF(OR(L$7="",$BR166=""),"",IF('Tally Helper'!$B$33&lt;&gt;TRUE(),"not on Staff",SUMIFS('Tally Helper'!$L$35:$GI$35,'Tally Helper'!$L$33:$GI$33,"&gt;="&amp;$BR166,'Tally Helper'!$L$33:$GI$33,"&lt;="&amp;$BS166)))</f>
        <v/>
      </c>
      <c r="AI166" s="15" t="str">
        <f aca="false">IF(OR(M$7="",$BR166=""),"",IF('Tally Helper'!$B$36&lt;&gt;TRUE(),"not on Staff",SUMIFS('Tally Helper'!$L$38:$GI$38,'Tally Helper'!$L$36:$GI$36,"&gt;="&amp;$BR166,'Tally Helper'!$L$36:$GI$36,"&lt;="&amp;$BS166)))</f>
        <v/>
      </c>
      <c r="AJ166" s="15" t="str">
        <f aca="false">IF(OR(N$7="",$BR166=""),"",IF('Tally Helper'!$B$39&lt;&gt;TRUE(),"not on Staff",SUMIFS('Tally Helper'!$L$41:$GI$41,'Tally Helper'!$L$39:$GI$39,"&gt;="&amp;$BR166,'Tally Helper'!$L$39:$GI$39,"&lt;="&amp;$BS166)))</f>
        <v/>
      </c>
      <c r="AK166" s="15" t="str">
        <f aca="false">IF(OR(O$7="",$BR166=""),"",IF('Tally Helper'!$B$42&lt;&gt;TRUE(),"not on Staff",SUMIFS('Tally Helper'!$L$44:$GI$44,'Tally Helper'!$L$42:$GI$42,"&gt;="&amp;$BR166,'Tally Helper'!$L$42:$GI$42,"&lt;="&amp;$BS166)))</f>
        <v/>
      </c>
      <c r="AL166" s="15" t="str">
        <f aca="false">IF(OR(P$7="",$BR166=""),"",IF('Tally Helper'!$B$45&lt;&gt;TRUE(),"not on Staff",SUMIFS('Tally Helper'!$L$47:$GI$47,'Tally Helper'!$L$45:$GI$45,"&gt;="&amp;$BR166,'Tally Helper'!$L$45:$GI$45,"&lt;="&amp;$BS166)))</f>
        <v/>
      </c>
      <c r="AM166" s="15" t="str">
        <f aca="false">IF(OR(Q$7="",$BR166=""),"",IF('Tally Helper'!$B$48&lt;&gt;TRUE(),"not on Staff",SUMIFS('Tally Helper'!$L$50:$GI$50,'Tally Helper'!$L$48:$GI$48,"&gt;="&amp;$BR166,'Tally Helper'!$L$48:$GI$48,"&lt;="&amp;$BS166)))</f>
        <v/>
      </c>
      <c r="AN166" s="15" t="str">
        <f aca="false">IF(OR(R$7="",$BR166=""),"",IF('Tally Helper'!$B$51&lt;&gt;TRUE(),"not on Staff",SUMIFS('Tally Helper'!$L$53:$GI$53,'Tally Helper'!$L$51:$GI$51,"&gt;="&amp;$BR166,'Tally Helper'!$L$51:$GI$51,"&lt;="&amp;$BS166)))</f>
        <v/>
      </c>
      <c r="AO166" s="15" t="str">
        <f aca="false">IF(OR(S$7="",$BR166=""),"",IF('Tally Helper'!$B$54&lt;&gt;TRUE(),"not on Staff",SUMIFS('Tally Helper'!$L$56:$GI$56,'Tally Helper'!$L$54:$GI$54,"&gt;="&amp;$BR166,'Tally Helper'!$L$54:$GI$54,"&lt;="&amp;$BS166)))</f>
        <v/>
      </c>
      <c r="AP166" s="15" t="str">
        <f aca="false">IF(OR(T$7="",$BR166=""),"",IF('Tally Helper'!$B$57&lt;&gt;TRUE(),"not on Staff",SUMIFS('Tally Helper'!$L$59:$GI$59,'Tally Helper'!$L$57:$GI$57,"&gt;="&amp;$BR166,'Tally Helper'!$L$57:$GI$57,"&lt;="&amp;$BS166)))</f>
        <v/>
      </c>
      <c r="AQ166" s="15" t="str">
        <f aca="false">IF(OR(U$7="",$BR166=""),"",IF('Tally Helper'!$B$60&lt;&gt;TRUE(),"not on Staff",SUMIFS('Tally Helper'!$L$62:$GI$62,'Tally Helper'!$L$60:$GI$60,"&gt;="&amp;$BR166,'Tally Helper'!$L$60:$GI$60,"&lt;="&amp;$BS166)))</f>
        <v/>
      </c>
      <c r="AT166" s="15" t="str">
        <f aca="false">IF(OR(X166="",NOT(ISNUMBER(X166))),"",X166-N(B166))</f>
        <v/>
      </c>
      <c r="AU166" s="15" t="str">
        <f aca="false">IF(OR(Y166="",NOT(ISNUMBER(Y166))),"",Y166-N(C166))</f>
        <v/>
      </c>
      <c r="AV166" s="15" t="str">
        <f aca="false">IF(OR(Z166="",NOT(ISNUMBER(Z166))),"",Z166-N(D166))</f>
        <v/>
      </c>
      <c r="AW166" s="15" t="str">
        <f aca="false">IF(OR(AA166="",NOT(ISNUMBER(AA166))),"",AA166-N(E166))</f>
        <v/>
      </c>
      <c r="AX166" s="15" t="str">
        <f aca="false">IF(OR(AB166="",NOT(ISNUMBER(AB166))),"",AB166-N(F166))</f>
        <v/>
      </c>
      <c r="AY166" s="15" t="str">
        <f aca="false">IF(OR(AC166="",NOT(ISNUMBER(AC166))),"",AC166-N(G166))</f>
        <v/>
      </c>
      <c r="AZ166" s="15" t="str">
        <f aca="false">IF(OR(AD166="",NOT(ISNUMBER(AD166))),"",AD166-N(H166))</f>
        <v/>
      </c>
      <c r="BA166" s="15" t="str">
        <f aca="false">IF(OR(AE166="",NOT(ISNUMBER(AE166))),"",AE166-N(I166))</f>
        <v/>
      </c>
      <c r="BB166" s="15" t="str">
        <f aca="false">IF(OR(AF166="",NOT(ISNUMBER(AF166))),"",AF166-N(J166))</f>
        <v/>
      </c>
      <c r="BC166" s="15" t="str">
        <f aca="false">IF(OR(AG166="",NOT(ISNUMBER(AG166))),"",AG166-N(K166))</f>
        <v/>
      </c>
      <c r="BD166" s="15" t="str">
        <f aca="false">IF(OR(AH166="",NOT(ISNUMBER(AH166))),"",AH166-N(L166))</f>
        <v/>
      </c>
      <c r="BE166" s="15" t="str">
        <f aca="false">IF(OR(AI166="",NOT(ISNUMBER(AI166))),"",AI166-N(M166))</f>
        <v/>
      </c>
      <c r="BF166" s="15" t="str">
        <f aca="false">IF(OR(AJ166="",NOT(ISNUMBER(AJ166))),"",AJ166-N(N166))</f>
        <v/>
      </c>
      <c r="BG166" s="15" t="str">
        <f aca="false">IF(OR(AK166="",NOT(ISNUMBER(AK166))),"",AK166-N(O166))</f>
        <v/>
      </c>
      <c r="BH166" s="15" t="str">
        <f aca="false">IF(OR(AL166="",NOT(ISNUMBER(AL166))),"",AL166-N(P166))</f>
        <v/>
      </c>
      <c r="BI166" s="15" t="str">
        <f aca="false">IF(OR(AM166="",NOT(ISNUMBER(AM166))),"",AM166-N(Q166))</f>
        <v/>
      </c>
      <c r="BJ166" s="15" t="str">
        <f aca="false">IF(OR(AN166="",NOT(ISNUMBER(AN166))),"",AN166-N(R166))</f>
        <v/>
      </c>
      <c r="BK166" s="15" t="str">
        <f aca="false">IF(OR(AO166="",NOT(ISNUMBER(AO166))),"",AO166-N(S166))</f>
        <v/>
      </c>
      <c r="BL166" s="15" t="str">
        <f aca="false">IF(OR(AP166="",NOT(ISNUMBER(AP166))),"",AP166-N(T166))</f>
        <v/>
      </c>
      <c r="BM166" s="15" t="str">
        <f aca="false">IF(OR(AQ166="",NOT(ISNUMBER(AQ166))),"",AQ166-N(U166))</f>
        <v/>
      </c>
      <c r="BR166" s="18" t="str">
        <f aca="false">IF($A166="","",IF(ISNUMBER($A166),DATE(YEAR($A166),MONTH($A166),1),IFERROR(DATE(2000+VALUE(RIGHT(TRIM($A166),2)),MATCH(UPPER(LEFT(TRIM($A166),3)),{"JAN","FEB","MAR","APR","MAY","JUN","JUL","AUG","SEP","OCT","NOV","DEC"},0),1),"")))</f>
        <v/>
      </c>
      <c r="BS166" s="18" t="str">
        <f aca="false">IF(BR166="","",EOMONTH(BR166,0))</f>
        <v/>
      </c>
    </row>
    <row r="167" customFormat="false" ht="15" hidden="false" customHeight="false" outlineLevel="0" collapsed="false">
      <c r="B167" s="19"/>
      <c r="C167" s="19"/>
      <c r="D167" s="19"/>
      <c r="E167" s="19"/>
      <c r="F167" s="19"/>
      <c r="G167" s="19"/>
      <c r="H167" s="19"/>
      <c r="I167" s="19"/>
      <c r="J167" s="19"/>
      <c r="K167" s="19"/>
      <c r="L167" s="19"/>
      <c r="M167" s="19"/>
      <c r="N167" s="19"/>
      <c r="O167" s="19"/>
      <c r="P167" s="19"/>
      <c r="Q167" s="19"/>
      <c r="R167" s="19"/>
      <c r="S167" s="19"/>
      <c r="T167" s="19"/>
      <c r="U167" s="19"/>
      <c r="X167" s="15" t="str">
        <f aca="false">IF(OR(B$7="",$BR167=""),"",IF('Tally Helper'!$B$3&lt;&gt;TRUE(),"not on Staff",SUMIFS('Tally Helper'!$L$5:$GI$5,'Tally Helper'!$L$3:$GI$3,"&gt;="&amp;$BR167,'Tally Helper'!$L$3:$GI$3,"&lt;="&amp;$BS167)))</f>
        <v/>
      </c>
      <c r="Y167" s="15" t="str">
        <f aca="false">IF(OR(C$7="",$BR167=""),"",IF('Tally Helper'!$B$6&lt;&gt;TRUE(),"not on Staff",SUMIFS('Tally Helper'!$L$8:$GI$8,'Tally Helper'!$L$6:$GI$6,"&gt;="&amp;$BR167,'Tally Helper'!$L$6:$GI$6,"&lt;="&amp;$BS167)))</f>
        <v/>
      </c>
      <c r="Z167" s="15" t="str">
        <f aca="false">IF(OR(D$7="",$BR167=""),"",IF('Tally Helper'!$B$9&lt;&gt;TRUE(),"not on Staff",SUMIFS('Tally Helper'!$L$11:$GI$11,'Tally Helper'!$L$9:$GI$9,"&gt;="&amp;$BR167,'Tally Helper'!$L$9:$GI$9,"&lt;="&amp;$BS167)))</f>
        <v/>
      </c>
      <c r="AA167" s="15" t="str">
        <f aca="false">IF(OR(E$7="",$BR167=""),"",IF('Tally Helper'!$B$12&lt;&gt;TRUE(),"not on Staff",SUMIFS('Tally Helper'!$L$14:$GI$14,'Tally Helper'!$L$12:$GI$12,"&gt;="&amp;$BR167,'Tally Helper'!$L$12:$GI$12,"&lt;="&amp;$BS167)))</f>
        <v/>
      </c>
      <c r="AB167" s="15" t="str">
        <f aca="false">IF(OR(F$7="",$BR167=""),"",IF('Tally Helper'!$B$15&lt;&gt;TRUE(),"not on Staff",SUMIFS('Tally Helper'!$L$17:$GI$17,'Tally Helper'!$L$15:$GI$15,"&gt;="&amp;$BR167,'Tally Helper'!$L$15:$GI$15,"&lt;="&amp;$BS167)))</f>
        <v/>
      </c>
      <c r="AC167" s="15" t="str">
        <f aca="false">IF(OR(G$7="",$BR167=""),"",IF('Tally Helper'!$B$18&lt;&gt;TRUE(),"not on Staff",SUMIFS('Tally Helper'!$L$20:$GI$20,'Tally Helper'!$L$18:$GI$18,"&gt;="&amp;$BR167,'Tally Helper'!$L$18:$GI$18,"&lt;="&amp;$BS167)))</f>
        <v/>
      </c>
      <c r="AD167" s="15" t="str">
        <f aca="false">IF(OR(H$7="",$BR167=""),"",IF('Tally Helper'!$B$21&lt;&gt;TRUE(),"not on Staff",SUMIFS('Tally Helper'!$L$23:$GI$23,'Tally Helper'!$L$21:$GI$21,"&gt;="&amp;$BR167,'Tally Helper'!$L$21:$GI$21,"&lt;="&amp;$BS167)))</f>
        <v/>
      </c>
      <c r="AE167" s="15" t="str">
        <f aca="false">IF(OR(I$7="",$BR167=""),"",IF('Tally Helper'!$B$24&lt;&gt;TRUE(),"not on Staff",SUMIFS('Tally Helper'!$L$26:$GI$26,'Tally Helper'!$L$24:$GI$24,"&gt;="&amp;$BR167,'Tally Helper'!$L$24:$GI$24,"&lt;="&amp;$BS167)))</f>
        <v/>
      </c>
      <c r="AF167" s="15" t="str">
        <f aca="false">IF(OR(J$7="",$BR167=""),"",IF('Tally Helper'!$B$27&lt;&gt;TRUE(),"not on Staff",SUMIFS('Tally Helper'!$L$29:$GI$29,'Tally Helper'!$L$27:$GI$27,"&gt;="&amp;$BR167,'Tally Helper'!$L$27:$GI$27,"&lt;="&amp;$BS167)))</f>
        <v/>
      </c>
      <c r="AG167" s="15" t="str">
        <f aca="false">IF(OR(K$7="",$BR167=""),"",IF('Tally Helper'!$B$30&lt;&gt;TRUE(),"not on Staff",SUMIFS('Tally Helper'!$L$32:$GI$32,'Tally Helper'!$L$30:$GI$30,"&gt;="&amp;$BR167,'Tally Helper'!$L$30:$GI$30,"&lt;="&amp;$BS167)))</f>
        <v/>
      </c>
      <c r="AH167" s="15" t="str">
        <f aca="false">IF(OR(L$7="",$BR167=""),"",IF('Tally Helper'!$B$33&lt;&gt;TRUE(),"not on Staff",SUMIFS('Tally Helper'!$L$35:$GI$35,'Tally Helper'!$L$33:$GI$33,"&gt;="&amp;$BR167,'Tally Helper'!$L$33:$GI$33,"&lt;="&amp;$BS167)))</f>
        <v/>
      </c>
      <c r="AI167" s="15" t="str">
        <f aca="false">IF(OR(M$7="",$BR167=""),"",IF('Tally Helper'!$B$36&lt;&gt;TRUE(),"not on Staff",SUMIFS('Tally Helper'!$L$38:$GI$38,'Tally Helper'!$L$36:$GI$36,"&gt;="&amp;$BR167,'Tally Helper'!$L$36:$GI$36,"&lt;="&amp;$BS167)))</f>
        <v/>
      </c>
      <c r="AJ167" s="15" t="str">
        <f aca="false">IF(OR(N$7="",$BR167=""),"",IF('Tally Helper'!$B$39&lt;&gt;TRUE(),"not on Staff",SUMIFS('Tally Helper'!$L$41:$GI$41,'Tally Helper'!$L$39:$GI$39,"&gt;="&amp;$BR167,'Tally Helper'!$L$39:$GI$39,"&lt;="&amp;$BS167)))</f>
        <v/>
      </c>
      <c r="AK167" s="15" t="str">
        <f aca="false">IF(OR(O$7="",$BR167=""),"",IF('Tally Helper'!$B$42&lt;&gt;TRUE(),"not on Staff",SUMIFS('Tally Helper'!$L$44:$GI$44,'Tally Helper'!$L$42:$GI$42,"&gt;="&amp;$BR167,'Tally Helper'!$L$42:$GI$42,"&lt;="&amp;$BS167)))</f>
        <v/>
      </c>
      <c r="AL167" s="15" t="str">
        <f aca="false">IF(OR(P$7="",$BR167=""),"",IF('Tally Helper'!$B$45&lt;&gt;TRUE(),"not on Staff",SUMIFS('Tally Helper'!$L$47:$GI$47,'Tally Helper'!$L$45:$GI$45,"&gt;="&amp;$BR167,'Tally Helper'!$L$45:$GI$45,"&lt;="&amp;$BS167)))</f>
        <v/>
      </c>
      <c r="AM167" s="15" t="str">
        <f aca="false">IF(OR(Q$7="",$BR167=""),"",IF('Tally Helper'!$B$48&lt;&gt;TRUE(),"not on Staff",SUMIFS('Tally Helper'!$L$50:$GI$50,'Tally Helper'!$L$48:$GI$48,"&gt;="&amp;$BR167,'Tally Helper'!$L$48:$GI$48,"&lt;="&amp;$BS167)))</f>
        <v/>
      </c>
      <c r="AN167" s="15" t="str">
        <f aca="false">IF(OR(R$7="",$BR167=""),"",IF('Tally Helper'!$B$51&lt;&gt;TRUE(),"not on Staff",SUMIFS('Tally Helper'!$L$53:$GI$53,'Tally Helper'!$L$51:$GI$51,"&gt;="&amp;$BR167,'Tally Helper'!$L$51:$GI$51,"&lt;="&amp;$BS167)))</f>
        <v/>
      </c>
      <c r="AO167" s="15" t="str">
        <f aca="false">IF(OR(S$7="",$BR167=""),"",IF('Tally Helper'!$B$54&lt;&gt;TRUE(),"not on Staff",SUMIFS('Tally Helper'!$L$56:$GI$56,'Tally Helper'!$L$54:$GI$54,"&gt;="&amp;$BR167,'Tally Helper'!$L$54:$GI$54,"&lt;="&amp;$BS167)))</f>
        <v/>
      </c>
      <c r="AP167" s="15" t="str">
        <f aca="false">IF(OR(T$7="",$BR167=""),"",IF('Tally Helper'!$B$57&lt;&gt;TRUE(),"not on Staff",SUMIFS('Tally Helper'!$L$59:$GI$59,'Tally Helper'!$L$57:$GI$57,"&gt;="&amp;$BR167,'Tally Helper'!$L$57:$GI$57,"&lt;="&amp;$BS167)))</f>
        <v/>
      </c>
      <c r="AQ167" s="15" t="str">
        <f aca="false">IF(OR(U$7="",$BR167=""),"",IF('Tally Helper'!$B$60&lt;&gt;TRUE(),"not on Staff",SUMIFS('Tally Helper'!$L$62:$GI$62,'Tally Helper'!$L$60:$GI$60,"&gt;="&amp;$BR167,'Tally Helper'!$L$60:$GI$60,"&lt;="&amp;$BS167)))</f>
        <v/>
      </c>
      <c r="AT167" s="15" t="str">
        <f aca="false">IF(OR(X167="",NOT(ISNUMBER(X167))),"",X167-N(B167))</f>
        <v/>
      </c>
      <c r="AU167" s="15" t="str">
        <f aca="false">IF(OR(Y167="",NOT(ISNUMBER(Y167))),"",Y167-N(C167))</f>
        <v/>
      </c>
      <c r="AV167" s="15" t="str">
        <f aca="false">IF(OR(Z167="",NOT(ISNUMBER(Z167))),"",Z167-N(D167))</f>
        <v/>
      </c>
      <c r="AW167" s="15" t="str">
        <f aca="false">IF(OR(AA167="",NOT(ISNUMBER(AA167))),"",AA167-N(E167))</f>
        <v/>
      </c>
      <c r="AX167" s="15" t="str">
        <f aca="false">IF(OR(AB167="",NOT(ISNUMBER(AB167))),"",AB167-N(F167))</f>
        <v/>
      </c>
      <c r="AY167" s="15" t="str">
        <f aca="false">IF(OR(AC167="",NOT(ISNUMBER(AC167))),"",AC167-N(G167))</f>
        <v/>
      </c>
      <c r="AZ167" s="15" t="str">
        <f aca="false">IF(OR(AD167="",NOT(ISNUMBER(AD167))),"",AD167-N(H167))</f>
        <v/>
      </c>
      <c r="BA167" s="15" t="str">
        <f aca="false">IF(OR(AE167="",NOT(ISNUMBER(AE167))),"",AE167-N(I167))</f>
        <v/>
      </c>
      <c r="BB167" s="15" t="str">
        <f aca="false">IF(OR(AF167="",NOT(ISNUMBER(AF167))),"",AF167-N(J167))</f>
        <v/>
      </c>
      <c r="BC167" s="15" t="str">
        <f aca="false">IF(OR(AG167="",NOT(ISNUMBER(AG167))),"",AG167-N(K167))</f>
        <v/>
      </c>
      <c r="BD167" s="15" t="str">
        <f aca="false">IF(OR(AH167="",NOT(ISNUMBER(AH167))),"",AH167-N(L167))</f>
        <v/>
      </c>
      <c r="BE167" s="15" t="str">
        <f aca="false">IF(OR(AI167="",NOT(ISNUMBER(AI167))),"",AI167-N(M167))</f>
        <v/>
      </c>
      <c r="BF167" s="15" t="str">
        <f aca="false">IF(OR(AJ167="",NOT(ISNUMBER(AJ167))),"",AJ167-N(N167))</f>
        <v/>
      </c>
      <c r="BG167" s="15" t="str">
        <f aca="false">IF(OR(AK167="",NOT(ISNUMBER(AK167))),"",AK167-N(O167))</f>
        <v/>
      </c>
      <c r="BH167" s="15" t="str">
        <f aca="false">IF(OR(AL167="",NOT(ISNUMBER(AL167))),"",AL167-N(P167))</f>
        <v/>
      </c>
      <c r="BI167" s="15" t="str">
        <f aca="false">IF(OR(AM167="",NOT(ISNUMBER(AM167))),"",AM167-N(Q167))</f>
        <v/>
      </c>
      <c r="BJ167" s="15" t="str">
        <f aca="false">IF(OR(AN167="",NOT(ISNUMBER(AN167))),"",AN167-N(R167))</f>
        <v/>
      </c>
      <c r="BK167" s="15" t="str">
        <f aca="false">IF(OR(AO167="",NOT(ISNUMBER(AO167))),"",AO167-N(S167))</f>
        <v/>
      </c>
      <c r="BL167" s="15" t="str">
        <f aca="false">IF(OR(AP167="",NOT(ISNUMBER(AP167))),"",AP167-N(T167))</f>
        <v/>
      </c>
      <c r="BM167" s="15" t="str">
        <f aca="false">IF(OR(AQ167="",NOT(ISNUMBER(AQ167))),"",AQ167-N(U167))</f>
        <v/>
      </c>
      <c r="BR167" s="18" t="str">
        <f aca="false">IF($A167="","",IF(ISNUMBER($A167),DATE(YEAR($A167),MONTH($A167),1),IFERROR(DATE(2000+VALUE(RIGHT(TRIM($A167),2)),MATCH(UPPER(LEFT(TRIM($A167),3)),{"JAN","FEB","MAR","APR","MAY","JUN","JUL","AUG","SEP","OCT","NOV","DEC"},0),1),"")))</f>
        <v/>
      </c>
      <c r="BS167" s="18" t="str">
        <f aca="false">IF(BR167="","",EOMONTH(BR167,0))</f>
        <v/>
      </c>
    </row>
    <row r="168" customFormat="false" ht="15" hidden="false" customHeight="false" outlineLevel="0" collapsed="false">
      <c r="B168" s="19"/>
      <c r="C168" s="19"/>
      <c r="D168" s="19"/>
      <c r="E168" s="19"/>
      <c r="F168" s="19"/>
      <c r="G168" s="19"/>
      <c r="H168" s="19"/>
      <c r="I168" s="19"/>
      <c r="J168" s="19"/>
      <c r="K168" s="19"/>
      <c r="L168" s="19"/>
      <c r="M168" s="19"/>
      <c r="N168" s="19"/>
      <c r="O168" s="19"/>
      <c r="P168" s="19"/>
      <c r="Q168" s="19"/>
      <c r="R168" s="19"/>
      <c r="S168" s="19"/>
      <c r="T168" s="19"/>
      <c r="U168" s="19"/>
      <c r="X168" s="15" t="str">
        <f aca="false">IF(OR(B$7="",$BR168=""),"",IF('Tally Helper'!$B$3&lt;&gt;TRUE(),"not on Staff",SUMIFS('Tally Helper'!$L$5:$GI$5,'Tally Helper'!$L$3:$GI$3,"&gt;="&amp;$BR168,'Tally Helper'!$L$3:$GI$3,"&lt;="&amp;$BS168)))</f>
        <v/>
      </c>
      <c r="Y168" s="15" t="str">
        <f aca="false">IF(OR(C$7="",$BR168=""),"",IF('Tally Helper'!$B$6&lt;&gt;TRUE(),"not on Staff",SUMIFS('Tally Helper'!$L$8:$GI$8,'Tally Helper'!$L$6:$GI$6,"&gt;="&amp;$BR168,'Tally Helper'!$L$6:$GI$6,"&lt;="&amp;$BS168)))</f>
        <v/>
      </c>
      <c r="Z168" s="15" t="str">
        <f aca="false">IF(OR(D$7="",$BR168=""),"",IF('Tally Helper'!$B$9&lt;&gt;TRUE(),"not on Staff",SUMIFS('Tally Helper'!$L$11:$GI$11,'Tally Helper'!$L$9:$GI$9,"&gt;="&amp;$BR168,'Tally Helper'!$L$9:$GI$9,"&lt;="&amp;$BS168)))</f>
        <v/>
      </c>
      <c r="AA168" s="15" t="str">
        <f aca="false">IF(OR(E$7="",$BR168=""),"",IF('Tally Helper'!$B$12&lt;&gt;TRUE(),"not on Staff",SUMIFS('Tally Helper'!$L$14:$GI$14,'Tally Helper'!$L$12:$GI$12,"&gt;="&amp;$BR168,'Tally Helper'!$L$12:$GI$12,"&lt;="&amp;$BS168)))</f>
        <v/>
      </c>
      <c r="AB168" s="15" t="str">
        <f aca="false">IF(OR(F$7="",$BR168=""),"",IF('Tally Helper'!$B$15&lt;&gt;TRUE(),"not on Staff",SUMIFS('Tally Helper'!$L$17:$GI$17,'Tally Helper'!$L$15:$GI$15,"&gt;="&amp;$BR168,'Tally Helper'!$L$15:$GI$15,"&lt;="&amp;$BS168)))</f>
        <v/>
      </c>
      <c r="AC168" s="15" t="str">
        <f aca="false">IF(OR(G$7="",$BR168=""),"",IF('Tally Helper'!$B$18&lt;&gt;TRUE(),"not on Staff",SUMIFS('Tally Helper'!$L$20:$GI$20,'Tally Helper'!$L$18:$GI$18,"&gt;="&amp;$BR168,'Tally Helper'!$L$18:$GI$18,"&lt;="&amp;$BS168)))</f>
        <v/>
      </c>
      <c r="AD168" s="15" t="str">
        <f aca="false">IF(OR(H$7="",$BR168=""),"",IF('Tally Helper'!$B$21&lt;&gt;TRUE(),"not on Staff",SUMIFS('Tally Helper'!$L$23:$GI$23,'Tally Helper'!$L$21:$GI$21,"&gt;="&amp;$BR168,'Tally Helper'!$L$21:$GI$21,"&lt;="&amp;$BS168)))</f>
        <v/>
      </c>
      <c r="AE168" s="15" t="str">
        <f aca="false">IF(OR(I$7="",$BR168=""),"",IF('Tally Helper'!$B$24&lt;&gt;TRUE(),"not on Staff",SUMIFS('Tally Helper'!$L$26:$GI$26,'Tally Helper'!$L$24:$GI$24,"&gt;="&amp;$BR168,'Tally Helper'!$L$24:$GI$24,"&lt;="&amp;$BS168)))</f>
        <v/>
      </c>
      <c r="AF168" s="15" t="str">
        <f aca="false">IF(OR(J$7="",$BR168=""),"",IF('Tally Helper'!$B$27&lt;&gt;TRUE(),"not on Staff",SUMIFS('Tally Helper'!$L$29:$GI$29,'Tally Helper'!$L$27:$GI$27,"&gt;="&amp;$BR168,'Tally Helper'!$L$27:$GI$27,"&lt;="&amp;$BS168)))</f>
        <v/>
      </c>
      <c r="AG168" s="15" t="str">
        <f aca="false">IF(OR(K$7="",$BR168=""),"",IF('Tally Helper'!$B$30&lt;&gt;TRUE(),"not on Staff",SUMIFS('Tally Helper'!$L$32:$GI$32,'Tally Helper'!$L$30:$GI$30,"&gt;="&amp;$BR168,'Tally Helper'!$L$30:$GI$30,"&lt;="&amp;$BS168)))</f>
        <v/>
      </c>
      <c r="AH168" s="15" t="str">
        <f aca="false">IF(OR(L$7="",$BR168=""),"",IF('Tally Helper'!$B$33&lt;&gt;TRUE(),"not on Staff",SUMIFS('Tally Helper'!$L$35:$GI$35,'Tally Helper'!$L$33:$GI$33,"&gt;="&amp;$BR168,'Tally Helper'!$L$33:$GI$33,"&lt;="&amp;$BS168)))</f>
        <v/>
      </c>
      <c r="AI168" s="15" t="str">
        <f aca="false">IF(OR(M$7="",$BR168=""),"",IF('Tally Helper'!$B$36&lt;&gt;TRUE(),"not on Staff",SUMIFS('Tally Helper'!$L$38:$GI$38,'Tally Helper'!$L$36:$GI$36,"&gt;="&amp;$BR168,'Tally Helper'!$L$36:$GI$36,"&lt;="&amp;$BS168)))</f>
        <v/>
      </c>
      <c r="AJ168" s="15" t="str">
        <f aca="false">IF(OR(N$7="",$BR168=""),"",IF('Tally Helper'!$B$39&lt;&gt;TRUE(),"not on Staff",SUMIFS('Tally Helper'!$L$41:$GI$41,'Tally Helper'!$L$39:$GI$39,"&gt;="&amp;$BR168,'Tally Helper'!$L$39:$GI$39,"&lt;="&amp;$BS168)))</f>
        <v/>
      </c>
      <c r="AK168" s="15" t="str">
        <f aca="false">IF(OR(O$7="",$BR168=""),"",IF('Tally Helper'!$B$42&lt;&gt;TRUE(),"not on Staff",SUMIFS('Tally Helper'!$L$44:$GI$44,'Tally Helper'!$L$42:$GI$42,"&gt;="&amp;$BR168,'Tally Helper'!$L$42:$GI$42,"&lt;="&amp;$BS168)))</f>
        <v/>
      </c>
      <c r="AL168" s="15" t="str">
        <f aca="false">IF(OR(P$7="",$BR168=""),"",IF('Tally Helper'!$B$45&lt;&gt;TRUE(),"not on Staff",SUMIFS('Tally Helper'!$L$47:$GI$47,'Tally Helper'!$L$45:$GI$45,"&gt;="&amp;$BR168,'Tally Helper'!$L$45:$GI$45,"&lt;="&amp;$BS168)))</f>
        <v/>
      </c>
      <c r="AM168" s="15" t="str">
        <f aca="false">IF(OR(Q$7="",$BR168=""),"",IF('Tally Helper'!$B$48&lt;&gt;TRUE(),"not on Staff",SUMIFS('Tally Helper'!$L$50:$GI$50,'Tally Helper'!$L$48:$GI$48,"&gt;="&amp;$BR168,'Tally Helper'!$L$48:$GI$48,"&lt;="&amp;$BS168)))</f>
        <v/>
      </c>
      <c r="AN168" s="15" t="str">
        <f aca="false">IF(OR(R$7="",$BR168=""),"",IF('Tally Helper'!$B$51&lt;&gt;TRUE(),"not on Staff",SUMIFS('Tally Helper'!$L$53:$GI$53,'Tally Helper'!$L$51:$GI$51,"&gt;="&amp;$BR168,'Tally Helper'!$L$51:$GI$51,"&lt;="&amp;$BS168)))</f>
        <v/>
      </c>
      <c r="AO168" s="15" t="str">
        <f aca="false">IF(OR(S$7="",$BR168=""),"",IF('Tally Helper'!$B$54&lt;&gt;TRUE(),"not on Staff",SUMIFS('Tally Helper'!$L$56:$GI$56,'Tally Helper'!$L$54:$GI$54,"&gt;="&amp;$BR168,'Tally Helper'!$L$54:$GI$54,"&lt;="&amp;$BS168)))</f>
        <v/>
      </c>
      <c r="AP168" s="15" t="str">
        <f aca="false">IF(OR(T$7="",$BR168=""),"",IF('Tally Helper'!$B$57&lt;&gt;TRUE(),"not on Staff",SUMIFS('Tally Helper'!$L$59:$GI$59,'Tally Helper'!$L$57:$GI$57,"&gt;="&amp;$BR168,'Tally Helper'!$L$57:$GI$57,"&lt;="&amp;$BS168)))</f>
        <v/>
      </c>
      <c r="AQ168" s="15" t="str">
        <f aca="false">IF(OR(U$7="",$BR168=""),"",IF('Tally Helper'!$B$60&lt;&gt;TRUE(),"not on Staff",SUMIFS('Tally Helper'!$L$62:$GI$62,'Tally Helper'!$L$60:$GI$60,"&gt;="&amp;$BR168,'Tally Helper'!$L$60:$GI$60,"&lt;="&amp;$BS168)))</f>
        <v/>
      </c>
      <c r="AT168" s="15" t="str">
        <f aca="false">IF(OR(X168="",NOT(ISNUMBER(X168))),"",X168-N(B168))</f>
        <v/>
      </c>
      <c r="AU168" s="15" t="str">
        <f aca="false">IF(OR(Y168="",NOT(ISNUMBER(Y168))),"",Y168-N(C168))</f>
        <v/>
      </c>
      <c r="AV168" s="15" t="str">
        <f aca="false">IF(OR(Z168="",NOT(ISNUMBER(Z168))),"",Z168-N(D168))</f>
        <v/>
      </c>
      <c r="AW168" s="15" t="str">
        <f aca="false">IF(OR(AA168="",NOT(ISNUMBER(AA168))),"",AA168-N(E168))</f>
        <v/>
      </c>
      <c r="AX168" s="15" t="str">
        <f aca="false">IF(OR(AB168="",NOT(ISNUMBER(AB168))),"",AB168-N(F168))</f>
        <v/>
      </c>
      <c r="AY168" s="15" t="str">
        <f aca="false">IF(OR(AC168="",NOT(ISNUMBER(AC168))),"",AC168-N(G168))</f>
        <v/>
      </c>
      <c r="AZ168" s="15" t="str">
        <f aca="false">IF(OR(AD168="",NOT(ISNUMBER(AD168))),"",AD168-N(H168))</f>
        <v/>
      </c>
      <c r="BA168" s="15" t="str">
        <f aca="false">IF(OR(AE168="",NOT(ISNUMBER(AE168))),"",AE168-N(I168))</f>
        <v/>
      </c>
      <c r="BB168" s="15" t="str">
        <f aca="false">IF(OR(AF168="",NOT(ISNUMBER(AF168))),"",AF168-N(J168))</f>
        <v/>
      </c>
      <c r="BC168" s="15" t="str">
        <f aca="false">IF(OR(AG168="",NOT(ISNUMBER(AG168))),"",AG168-N(K168))</f>
        <v/>
      </c>
      <c r="BD168" s="15" t="str">
        <f aca="false">IF(OR(AH168="",NOT(ISNUMBER(AH168))),"",AH168-N(L168))</f>
        <v/>
      </c>
      <c r="BE168" s="15" t="str">
        <f aca="false">IF(OR(AI168="",NOT(ISNUMBER(AI168))),"",AI168-N(M168))</f>
        <v/>
      </c>
      <c r="BF168" s="15" t="str">
        <f aca="false">IF(OR(AJ168="",NOT(ISNUMBER(AJ168))),"",AJ168-N(N168))</f>
        <v/>
      </c>
      <c r="BG168" s="15" t="str">
        <f aca="false">IF(OR(AK168="",NOT(ISNUMBER(AK168))),"",AK168-N(O168))</f>
        <v/>
      </c>
      <c r="BH168" s="15" t="str">
        <f aca="false">IF(OR(AL168="",NOT(ISNUMBER(AL168))),"",AL168-N(P168))</f>
        <v/>
      </c>
      <c r="BI168" s="15" t="str">
        <f aca="false">IF(OR(AM168="",NOT(ISNUMBER(AM168))),"",AM168-N(Q168))</f>
        <v/>
      </c>
      <c r="BJ168" s="15" t="str">
        <f aca="false">IF(OR(AN168="",NOT(ISNUMBER(AN168))),"",AN168-N(R168))</f>
        <v/>
      </c>
      <c r="BK168" s="15" t="str">
        <f aca="false">IF(OR(AO168="",NOT(ISNUMBER(AO168))),"",AO168-N(S168))</f>
        <v/>
      </c>
      <c r="BL168" s="15" t="str">
        <f aca="false">IF(OR(AP168="",NOT(ISNUMBER(AP168))),"",AP168-N(T168))</f>
        <v/>
      </c>
      <c r="BM168" s="15" t="str">
        <f aca="false">IF(OR(AQ168="",NOT(ISNUMBER(AQ168))),"",AQ168-N(U168))</f>
        <v/>
      </c>
      <c r="BR168" s="18" t="str">
        <f aca="false">IF($A168="","",IF(ISNUMBER($A168),DATE(YEAR($A168),MONTH($A168),1),IFERROR(DATE(2000+VALUE(RIGHT(TRIM($A168),2)),MATCH(UPPER(LEFT(TRIM($A168),3)),{"JAN","FEB","MAR","APR","MAY","JUN","JUL","AUG","SEP","OCT","NOV","DEC"},0),1),"")))</f>
        <v/>
      </c>
      <c r="BS168" s="18" t="str">
        <f aca="false">IF(BR168="","",EOMONTH(BR168,0))</f>
        <v/>
      </c>
    </row>
    <row r="169" customFormat="false" ht="15" hidden="false" customHeight="false" outlineLevel="0" collapsed="false">
      <c r="B169" s="19"/>
      <c r="C169" s="19"/>
      <c r="D169" s="19"/>
      <c r="E169" s="19"/>
      <c r="F169" s="19"/>
      <c r="G169" s="19"/>
      <c r="H169" s="19"/>
      <c r="I169" s="19"/>
      <c r="J169" s="19"/>
      <c r="K169" s="19"/>
      <c r="L169" s="19"/>
      <c r="M169" s="19"/>
      <c r="N169" s="19"/>
      <c r="O169" s="19"/>
      <c r="P169" s="19"/>
      <c r="Q169" s="19"/>
      <c r="R169" s="19"/>
      <c r="S169" s="19"/>
      <c r="T169" s="19"/>
      <c r="U169" s="19"/>
      <c r="X169" s="15" t="str">
        <f aca="false">IF(OR(B$7="",$BR169=""),"",IF('Tally Helper'!$B$3&lt;&gt;TRUE(),"not on Staff",SUMIFS('Tally Helper'!$L$5:$GI$5,'Tally Helper'!$L$3:$GI$3,"&gt;="&amp;$BR169,'Tally Helper'!$L$3:$GI$3,"&lt;="&amp;$BS169)))</f>
        <v/>
      </c>
      <c r="Y169" s="15" t="str">
        <f aca="false">IF(OR(C$7="",$BR169=""),"",IF('Tally Helper'!$B$6&lt;&gt;TRUE(),"not on Staff",SUMIFS('Tally Helper'!$L$8:$GI$8,'Tally Helper'!$L$6:$GI$6,"&gt;="&amp;$BR169,'Tally Helper'!$L$6:$GI$6,"&lt;="&amp;$BS169)))</f>
        <v/>
      </c>
      <c r="Z169" s="15" t="str">
        <f aca="false">IF(OR(D$7="",$BR169=""),"",IF('Tally Helper'!$B$9&lt;&gt;TRUE(),"not on Staff",SUMIFS('Tally Helper'!$L$11:$GI$11,'Tally Helper'!$L$9:$GI$9,"&gt;="&amp;$BR169,'Tally Helper'!$L$9:$GI$9,"&lt;="&amp;$BS169)))</f>
        <v/>
      </c>
      <c r="AA169" s="15" t="str">
        <f aca="false">IF(OR(E$7="",$BR169=""),"",IF('Tally Helper'!$B$12&lt;&gt;TRUE(),"not on Staff",SUMIFS('Tally Helper'!$L$14:$GI$14,'Tally Helper'!$L$12:$GI$12,"&gt;="&amp;$BR169,'Tally Helper'!$L$12:$GI$12,"&lt;="&amp;$BS169)))</f>
        <v/>
      </c>
      <c r="AB169" s="15" t="str">
        <f aca="false">IF(OR(F$7="",$BR169=""),"",IF('Tally Helper'!$B$15&lt;&gt;TRUE(),"not on Staff",SUMIFS('Tally Helper'!$L$17:$GI$17,'Tally Helper'!$L$15:$GI$15,"&gt;="&amp;$BR169,'Tally Helper'!$L$15:$GI$15,"&lt;="&amp;$BS169)))</f>
        <v/>
      </c>
      <c r="AC169" s="15" t="str">
        <f aca="false">IF(OR(G$7="",$BR169=""),"",IF('Tally Helper'!$B$18&lt;&gt;TRUE(),"not on Staff",SUMIFS('Tally Helper'!$L$20:$GI$20,'Tally Helper'!$L$18:$GI$18,"&gt;="&amp;$BR169,'Tally Helper'!$L$18:$GI$18,"&lt;="&amp;$BS169)))</f>
        <v/>
      </c>
      <c r="AD169" s="15" t="str">
        <f aca="false">IF(OR(H$7="",$BR169=""),"",IF('Tally Helper'!$B$21&lt;&gt;TRUE(),"not on Staff",SUMIFS('Tally Helper'!$L$23:$GI$23,'Tally Helper'!$L$21:$GI$21,"&gt;="&amp;$BR169,'Tally Helper'!$L$21:$GI$21,"&lt;="&amp;$BS169)))</f>
        <v/>
      </c>
      <c r="AE169" s="15" t="str">
        <f aca="false">IF(OR(I$7="",$BR169=""),"",IF('Tally Helper'!$B$24&lt;&gt;TRUE(),"not on Staff",SUMIFS('Tally Helper'!$L$26:$GI$26,'Tally Helper'!$L$24:$GI$24,"&gt;="&amp;$BR169,'Tally Helper'!$L$24:$GI$24,"&lt;="&amp;$BS169)))</f>
        <v/>
      </c>
      <c r="AF169" s="15" t="str">
        <f aca="false">IF(OR(J$7="",$BR169=""),"",IF('Tally Helper'!$B$27&lt;&gt;TRUE(),"not on Staff",SUMIFS('Tally Helper'!$L$29:$GI$29,'Tally Helper'!$L$27:$GI$27,"&gt;="&amp;$BR169,'Tally Helper'!$L$27:$GI$27,"&lt;="&amp;$BS169)))</f>
        <v/>
      </c>
      <c r="AG169" s="15" t="str">
        <f aca="false">IF(OR(K$7="",$BR169=""),"",IF('Tally Helper'!$B$30&lt;&gt;TRUE(),"not on Staff",SUMIFS('Tally Helper'!$L$32:$GI$32,'Tally Helper'!$L$30:$GI$30,"&gt;="&amp;$BR169,'Tally Helper'!$L$30:$GI$30,"&lt;="&amp;$BS169)))</f>
        <v/>
      </c>
      <c r="AH169" s="15" t="str">
        <f aca="false">IF(OR(L$7="",$BR169=""),"",IF('Tally Helper'!$B$33&lt;&gt;TRUE(),"not on Staff",SUMIFS('Tally Helper'!$L$35:$GI$35,'Tally Helper'!$L$33:$GI$33,"&gt;="&amp;$BR169,'Tally Helper'!$L$33:$GI$33,"&lt;="&amp;$BS169)))</f>
        <v/>
      </c>
      <c r="AI169" s="15" t="str">
        <f aca="false">IF(OR(M$7="",$BR169=""),"",IF('Tally Helper'!$B$36&lt;&gt;TRUE(),"not on Staff",SUMIFS('Tally Helper'!$L$38:$GI$38,'Tally Helper'!$L$36:$GI$36,"&gt;="&amp;$BR169,'Tally Helper'!$L$36:$GI$36,"&lt;="&amp;$BS169)))</f>
        <v/>
      </c>
      <c r="AJ169" s="15" t="str">
        <f aca="false">IF(OR(N$7="",$BR169=""),"",IF('Tally Helper'!$B$39&lt;&gt;TRUE(),"not on Staff",SUMIFS('Tally Helper'!$L$41:$GI$41,'Tally Helper'!$L$39:$GI$39,"&gt;="&amp;$BR169,'Tally Helper'!$L$39:$GI$39,"&lt;="&amp;$BS169)))</f>
        <v/>
      </c>
      <c r="AK169" s="15" t="str">
        <f aca="false">IF(OR(O$7="",$BR169=""),"",IF('Tally Helper'!$B$42&lt;&gt;TRUE(),"not on Staff",SUMIFS('Tally Helper'!$L$44:$GI$44,'Tally Helper'!$L$42:$GI$42,"&gt;="&amp;$BR169,'Tally Helper'!$L$42:$GI$42,"&lt;="&amp;$BS169)))</f>
        <v/>
      </c>
      <c r="AL169" s="15" t="str">
        <f aca="false">IF(OR(P$7="",$BR169=""),"",IF('Tally Helper'!$B$45&lt;&gt;TRUE(),"not on Staff",SUMIFS('Tally Helper'!$L$47:$GI$47,'Tally Helper'!$L$45:$GI$45,"&gt;="&amp;$BR169,'Tally Helper'!$L$45:$GI$45,"&lt;="&amp;$BS169)))</f>
        <v/>
      </c>
      <c r="AM169" s="15" t="str">
        <f aca="false">IF(OR(Q$7="",$BR169=""),"",IF('Tally Helper'!$B$48&lt;&gt;TRUE(),"not on Staff",SUMIFS('Tally Helper'!$L$50:$GI$50,'Tally Helper'!$L$48:$GI$48,"&gt;="&amp;$BR169,'Tally Helper'!$L$48:$GI$48,"&lt;="&amp;$BS169)))</f>
        <v/>
      </c>
      <c r="AN169" s="15" t="str">
        <f aca="false">IF(OR(R$7="",$BR169=""),"",IF('Tally Helper'!$B$51&lt;&gt;TRUE(),"not on Staff",SUMIFS('Tally Helper'!$L$53:$GI$53,'Tally Helper'!$L$51:$GI$51,"&gt;="&amp;$BR169,'Tally Helper'!$L$51:$GI$51,"&lt;="&amp;$BS169)))</f>
        <v/>
      </c>
      <c r="AO169" s="15" t="str">
        <f aca="false">IF(OR(S$7="",$BR169=""),"",IF('Tally Helper'!$B$54&lt;&gt;TRUE(),"not on Staff",SUMIFS('Tally Helper'!$L$56:$GI$56,'Tally Helper'!$L$54:$GI$54,"&gt;="&amp;$BR169,'Tally Helper'!$L$54:$GI$54,"&lt;="&amp;$BS169)))</f>
        <v/>
      </c>
      <c r="AP169" s="15" t="str">
        <f aca="false">IF(OR(T$7="",$BR169=""),"",IF('Tally Helper'!$B$57&lt;&gt;TRUE(),"not on Staff",SUMIFS('Tally Helper'!$L$59:$GI$59,'Tally Helper'!$L$57:$GI$57,"&gt;="&amp;$BR169,'Tally Helper'!$L$57:$GI$57,"&lt;="&amp;$BS169)))</f>
        <v/>
      </c>
      <c r="AQ169" s="15" t="str">
        <f aca="false">IF(OR(U$7="",$BR169=""),"",IF('Tally Helper'!$B$60&lt;&gt;TRUE(),"not on Staff",SUMIFS('Tally Helper'!$L$62:$GI$62,'Tally Helper'!$L$60:$GI$60,"&gt;="&amp;$BR169,'Tally Helper'!$L$60:$GI$60,"&lt;="&amp;$BS169)))</f>
        <v/>
      </c>
      <c r="AT169" s="15" t="str">
        <f aca="false">IF(OR(X169="",NOT(ISNUMBER(X169))),"",X169-N(B169))</f>
        <v/>
      </c>
      <c r="AU169" s="15" t="str">
        <f aca="false">IF(OR(Y169="",NOT(ISNUMBER(Y169))),"",Y169-N(C169))</f>
        <v/>
      </c>
      <c r="AV169" s="15" t="str">
        <f aca="false">IF(OR(Z169="",NOT(ISNUMBER(Z169))),"",Z169-N(D169))</f>
        <v/>
      </c>
      <c r="AW169" s="15" t="str">
        <f aca="false">IF(OR(AA169="",NOT(ISNUMBER(AA169))),"",AA169-N(E169))</f>
        <v/>
      </c>
      <c r="AX169" s="15" t="str">
        <f aca="false">IF(OR(AB169="",NOT(ISNUMBER(AB169))),"",AB169-N(F169))</f>
        <v/>
      </c>
      <c r="AY169" s="15" t="str">
        <f aca="false">IF(OR(AC169="",NOT(ISNUMBER(AC169))),"",AC169-N(G169))</f>
        <v/>
      </c>
      <c r="AZ169" s="15" t="str">
        <f aca="false">IF(OR(AD169="",NOT(ISNUMBER(AD169))),"",AD169-N(H169))</f>
        <v/>
      </c>
      <c r="BA169" s="15" t="str">
        <f aca="false">IF(OR(AE169="",NOT(ISNUMBER(AE169))),"",AE169-N(I169))</f>
        <v/>
      </c>
      <c r="BB169" s="15" t="str">
        <f aca="false">IF(OR(AF169="",NOT(ISNUMBER(AF169))),"",AF169-N(J169))</f>
        <v/>
      </c>
      <c r="BC169" s="15" t="str">
        <f aca="false">IF(OR(AG169="",NOT(ISNUMBER(AG169))),"",AG169-N(K169))</f>
        <v/>
      </c>
      <c r="BD169" s="15" t="str">
        <f aca="false">IF(OR(AH169="",NOT(ISNUMBER(AH169))),"",AH169-N(L169))</f>
        <v/>
      </c>
      <c r="BE169" s="15" t="str">
        <f aca="false">IF(OR(AI169="",NOT(ISNUMBER(AI169))),"",AI169-N(M169))</f>
        <v/>
      </c>
      <c r="BF169" s="15" t="str">
        <f aca="false">IF(OR(AJ169="",NOT(ISNUMBER(AJ169))),"",AJ169-N(N169))</f>
        <v/>
      </c>
      <c r="BG169" s="15" t="str">
        <f aca="false">IF(OR(AK169="",NOT(ISNUMBER(AK169))),"",AK169-N(O169))</f>
        <v/>
      </c>
      <c r="BH169" s="15" t="str">
        <f aca="false">IF(OR(AL169="",NOT(ISNUMBER(AL169))),"",AL169-N(P169))</f>
        <v/>
      </c>
      <c r="BI169" s="15" t="str">
        <f aca="false">IF(OR(AM169="",NOT(ISNUMBER(AM169))),"",AM169-N(Q169))</f>
        <v/>
      </c>
      <c r="BJ169" s="15" t="str">
        <f aca="false">IF(OR(AN169="",NOT(ISNUMBER(AN169))),"",AN169-N(R169))</f>
        <v/>
      </c>
      <c r="BK169" s="15" t="str">
        <f aca="false">IF(OR(AO169="",NOT(ISNUMBER(AO169))),"",AO169-N(S169))</f>
        <v/>
      </c>
      <c r="BL169" s="15" t="str">
        <f aca="false">IF(OR(AP169="",NOT(ISNUMBER(AP169))),"",AP169-N(T169))</f>
        <v/>
      </c>
      <c r="BM169" s="15" t="str">
        <f aca="false">IF(OR(AQ169="",NOT(ISNUMBER(AQ169))),"",AQ169-N(U169))</f>
        <v/>
      </c>
      <c r="BR169" s="18" t="str">
        <f aca="false">IF($A169="","",IF(ISNUMBER($A169),DATE(YEAR($A169),MONTH($A169),1),IFERROR(DATE(2000+VALUE(RIGHT(TRIM($A169),2)),MATCH(UPPER(LEFT(TRIM($A169),3)),{"JAN","FEB","MAR","APR","MAY","JUN","JUL","AUG","SEP","OCT","NOV","DEC"},0),1),"")))</f>
        <v/>
      </c>
      <c r="BS169" s="18" t="str">
        <f aca="false">IF(BR169="","",EOMONTH(BR169,0))</f>
        <v/>
      </c>
    </row>
    <row r="170" customFormat="false" ht="15" hidden="false" customHeight="false" outlineLevel="0" collapsed="false">
      <c r="B170" s="19"/>
      <c r="C170" s="19"/>
      <c r="D170" s="19"/>
      <c r="E170" s="19"/>
      <c r="F170" s="19"/>
      <c r="G170" s="19"/>
      <c r="H170" s="19"/>
      <c r="I170" s="19"/>
      <c r="J170" s="19"/>
      <c r="K170" s="19"/>
      <c r="L170" s="19"/>
      <c r="M170" s="19"/>
      <c r="N170" s="19"/>
      <c r="O170" s="19"/>
      <c r="P170" s="19"/>
      <c r="Q170" s="19"/>
      <c r="R170" s="19"/>
      <c r="S170" s="19"/>
      <c r="T170" s="19"/>
      <c r="U170" s="19"/>
      <c r="X170" s="15" t="str">
        <f aca="false">IF(OR(B$7="",$BR170=""),"",IF('Tally Helper'!$B$3&lt;&gt;TRUE(),"not on Staff",SUMIFS('Tally Helper'!$L$5:$GI$5,'Tally Helper'!$L$3:$GI$3,"&gt;="&amp;$BR170,'Tally Helper'!$L$3:$GI$3,"&lt;="&amp;$BS170)))</f>
        <v/>
      </c>
      <c r="Y170" s="15" t="str">
        <f aca="false">IF(OR(C$7="",$BR170=""),"",IF('Tally Helper'!$B$6&lt;&gt;TRUE(),"not on Staff",SUMIFS('Tally Helper'!$L$8:$GI$8,'Tally Helper'!$L$6:$GI$6,"&gt;="&amp;$BR170,'Tally Helper'!$L$6:$GI$6,"&lt;="&amp;$BS170)))</f>
        <v/>
      </c>
      <c r="Z170" s="15" t="str">
        <f aca="false">IF(OR(D$7="",$BR170=""),"",IF('Tally Helper'!$B$9&lt;&gt;TRUE(),"not on Staff",SUMIFS('Tally Helper'!$L$11:$GI$11,'Tally Helper'!$L$9:$GI$9,"&gt;="&amp;$BR170,'Tally Helper'!$L$9:$GI$9,"&lt;="&amp;$BS170)))</f>
        <v/>
      </c>
      <c r="AA170" s="15" t="str">
        <f aca="false">IF(OR(E$7="",$BR170=""),"",IF('Tally Helper'!$B$12&lt;&gt;TRUE(),"not on Staff",SUMIFS('Tally Helper'!$L$14:$GI$14,'Tally Helper'!$L$12:$GI$12,"&gt;="&amp;$BR170,'Tally Helper'!$L$12:$GI$12,"&lt;="&amp;$BS170)))</f>
        <v/>
      </c>
      <c r="AB170" s="15" t="str">
        <f aca="false">IF(OR(F$7="",$BR170=""),"",IF('Tally Helper'!$B$15&lt;&gt;TRUE(),"not on Staff",SUMIFS('Tally Helper'!$L$17:$GI$17,'Tally Helper'!$L$15:$GI$15,"&gt;="&amp;$BR170,'Tally Helper'!$L$15:$GI$15,"&lt;="&amp;$BS170)))</f>
        <v/>
      </c>
      <c r="AC170" s="15" t="str">
        <f aca="false">IF(OR(G$7="",$BR170=""),"",IF('Tally Helper'!$B$18&lt;&gt;TRUE(),"not on Staff",SUMIFS('Tally Helper'!$L$20:$GI$20,'Tally Helper'!$L$18:$GI$18,"&gt;="&amp;$BR170,'Tally Helper'!$L$18:$GI$18,"&lt;="&amp;$BS170)))</f>
        <v/>
      </c>
      <c r="AD170" s="15" t="str">
        <f aca="false">IF(OR(H$7="",$BR170=""),"",IF('Tally Helper'!$B$21&lt;&gt;TRUE(),"not on Staff",SUMIFS('Tally Helper'!$L$23:$GI$23,'Tally Helper'!$L$21:$GI$21,"&gt;="&amp;$BR170,'Tally Helper'!$L$21:$GI$21,"&lt;="&amp;$BS170)))</f>
        <v/>
      </c>
      <c r="AE170" s="15" t="str">
        <f aca="false">IF(OR(I$7="",$BR170=""),"",IF('Tally Helper'!$B$24&lt;&gt;TRUE(),"not on Staff",SUMIFS('Tally Helper'!$L$26:$GI$26,'Tally Helper'!$L$24:$GI$24,"&gt;="&amp;$BR170,'Tally Helper'!$L$24:$GI$24,"&lt;="&amp;$BS170)))</f>
        <v/>
      </c>
      <c r="AF170" s="15" t="str">
        <f aca="false">IF(OR(J$7="",$BR170=""),"",IF('Tally Helper'!$B$27&lt;&gt;TRUE(),"not on Staff",SUMIFS('Tally Helper'!$L$29:$GI$29,'Tally Helper'!$L$27:$GI$27,"&gt;="&amp;$BR170,'Tally Helper'!$L$27:$GI$27,"&lt;="&amp;$BS170)))</f>
        <v/>
      </c>
      <c r="AG170" s="15" t="str">
        <f aca="false">IF(OR(K$7="",$BR170=""),"",IF('Tally Helper'!$B$30&lt;&gt;TRUE(),"not on Staff",SUMIFS('Tally Helper'!$L$32:$GI$32,'Tally Helper'!$L$30:$GI$30,"&gt;="&amp;$BR170,'Tally Helper'!$L$30:$GI$30,"&lt;="&amp;$BS170)))</f>
        <v/>
      </c>
      <c r="AH170" s="15" t="str">
        <f aca="false">IF(OR(L$7="",$BR170=""),"",IF('Tally Helper'!$B$33&lt;&gt;TRUE(),"not on Staff",SUMIFS('Tally Helper'!$L$35:$GI$35,'Tally Helper'!$L$33:$GI$33,"&gt;="&amp;$BR170,'Tally Helper'!$L$33:$GI$33,"&lt;="&amp;$BS170)))</f>
        <v/>
      </c>
      <c r="AI170" s="15" t="str">
        <f aca="false">IF(OR(M$7="",$BR170=""),"",IF('Tally Helper'!$B$36&lt;&gt;TRUE(),"not on Staff",SUMIFS('Tally Helper'!$L$38:$GI$38,'Tally Helper'!$L$36:$GI$36,"&gt;="&amp;$BR170,'Tally Helper'!$L$36:$GI$36,"&lt;="&amp;$BS170)))</f>
        <v/>
      </c>
      <c r="AJ170" s="15" t="str">
        <f aca="false">IF(OR(N$7="",$BR170=""),"",IF('Tally Helper'!$B$39&lt;&gt;TRUE(),"not on Staff",SUMIFS('Tally Helper'!$L$41:$GI$41,'Tally Helper'!$L$39:$GI$39,"&gt;="&amp;$BR170,'Tally Helper'!$L$39:$GI$39,"&lt;="&amp;$BS170)))</f>
        <v/>
      </c>
      <c r="AK170" s="15" t="str">
        <f aca="false">IF(OR(O$7="",$BR170=""),"",IF('Tally Helper'!$B$42&lt;&gt;TRUE(),"not on Staff",SUMIFS('Tally Helper'!$L$44:$GI$44,'Tally Helper'!$L$42:$GI$42,"&gt;="&amp;$BR170,'Tally Helper'!$L$42:$GI$42,"&lt;="&amp;$BS170)))</f>
        <v/>
      </c>
      <c r="AL170" s="15" t="str">
        <f aca="false">IF(OR(P$7="",$BR170=""),"",IF('Tally Helper'!$B$45&lt;&gt;TRUE(),"not on Staff",SUMIFS('Tally Helper'!$L$47:$GI$47,'Tally Helper'!$L$45:$GI$45,"&gt;="&amp;$BR170,'Tally Helper'!$L$45:$GI$45,"&lt;="&amp;$BS170)))</f>
        <v/>
      </c>
      <c r="AM170" s="15" t="str">
        <f aca="false">IF(OR(Q$7="",$BR170=""),"",IF('Tally Helper'!$B$48&lt;&gt;TRUE(),"not on Staff",SUMIFS('Tally Helper'!$L$50:$GI$50,'Tally Helper'!$L$48:$GI$48,"&gt;="&amp;$BR170,'Tally Helper'!$L$48:$GI$48,"&lt;="&amp;$BS170)))</f>
        <v/>
      </c>
      <c r="AN170" s="15" t="str">
        <f aca="false">IF(OR(R$7="",$BR170=""),"",IF('Tally Helper'!$B$51&lt;&gt;TRUE(),"not on Staff",SUMIFS('Tally Helper'!$L$53:$GI$53,'Tally Helper'!$L$51:$GI$51,"&gt;="&amp;$BR170,'Tally Helper'!$L$51:$GI$51,"&lt;="&amp;$BS170)))</f>
        <v/>
      </c>
      <c r="AO170" s="15" t="str">
        <f aca="false">IF(OR(S$7="",$BR170=""),"",IF('Tally Helper'!$B$54&lt;&gt;TRUE(),"not on Staff",SUMIFS('Tally Helper'!$L$56:$GI$56,'Tally Helper'!$L$54:$GI$54,"&gt;="&amp;$BR170,'Tally Helper'!$L$54:$GI$54,"&lt;="&amp;$BS170)))</f>
        <v/>
      </c>
      <c r="AP170" s="15" t="str">
        <f aca="false">IF(OR(T$7="",$BR170=""),"",IF('Tally Helper'!$B$57&lt;&gt;TRUE(),"not on Staff",SUMIFS('Tally Helper'!$L$59:$GI$59,'Tally Helper'!$L$57:$GI$57,"&gt;="&amp;$BR170,'Tally Helper'!$L$57:$GI$57,"&lt;="&amp;$BS170)))</f>
        <v/>
      </c>
      <c r="AQ170" s="15" t="str">
        <f aca="false">IF(OR(U$7="",$BR170=""),"",IF('Tally Helper'!$B$60&lt;&gt;TRUE(),"not on Staff",SUMIFS('Tally Helper'!$L$62:$GI$62,'Tally Helper'!$L$60:$GI$60,"&gt;="&amp;$BR170,'Tally Helper'!$L$60:$GI$60,"&lt;="&amp;$BS170)))</f>
        <v/>
      </c>
      <c r="AT170" s="15" t="str">
        <f aca="false">IF(OR(X170="",NOT(ISNUMBER(X170))),"",X170-N(B170))</f>
        <v/>
      </c>
      <c r="AU170" s="15" t="str">
        <f aca="false">IF(OR(Y170="",NOT(ISNUMBER(Y170))),"",Y170-N(C170))</f>
        <v/>
      </c>
      <c r="AV170" s="15" t="str">
        <f aca="false">IF(OR(Z170="",NOT(ISNUMBER(Z170))),"",Z170-N(D170))</f>
        <v/>
      </c>
      <c r="AW170" s="15" t="str">
        <f aca="false">IF(OR(AA170="",NOT(ISNUMBER(AA170))),"",AA170-N(E170))</f>
        <v/>
      </c>
      <c r="AX170" s="15" t="str">
        <f aca="false">IF(OR(AB170="",NOT(ISNUMBER(AB170))),"",AB170-N(F170))</f>
        <v/>
      </c>
      <c r="AY170" s="15" t="str">
        <f aca="false">IF(OR(AC170="",NOT(ISNUMBER(AC170))),"",AC170-N(G170))</f>
        <v/>
      </c>
      <c r="AZ170" s="15" t="str">
        <f aca="false">IF(OR(AD170="",NOT(ISNUMBER(AD170))),"",AD170-N(H170))</f>
        <v/>
      </c>
      <c r="BA170" s="15" t="str">
        <f aca="false">IF(OR(AE170="",NOT(ISNUMBER(AE170))),"",AE170-N(I170))</f>
        <v/>
      </c>
      <c r="BB170" s="15" t="str">
        <f aca="false">IF(OR(AF170="",NOT(ISNUMBER(AF170))),"",AF170-N(J170))</f>
        <v/>
      </c>
      <c r="BC170" s="15" t="str">
        <f aca="false">IF(OR(AG170="",NOT(ISNUMBER(AG170))),"",AG170-N(K170))</f>
        <v/>
      </c>
      <c r="BD170" s="15" t="str">
        <f aca="false">IF(OR(AH170="",NOT(ISNUMBER(AH170))),"",AH170-N(L170))</f>
        <v/>
      </c>
      <c r="BE170" s="15" t="str">
        <f aca="false">IF(OR(AI170="",NOT(ISNUMBER(AI170))),"",AI170-N(M170))</f>
        <v/>
      </c>
      <c r="BF170" s="15" t="str">
        <f aca="false">IF(OR(AJ170="",NOT(ISNUMBER(AJ170))),"",AJ170-N(N170))</f>
        <v/>
      </c>
      <c r="BG170" s="15" t="str">
        <f aca="false">IF(OR(AK170="",NOT(ISNUMBER(AK170))),"",AK170-N(O170))</f>
        <v/>
      </c>
      <c r="BH170" s="15" t="str">
        <f aca="false">IF(OR(AL170="",NOT(ISNUMBER(AL170))),"",AL170-N(P170))</f>
        <v/>
      </c>
      <c r="BI170" s="15" t="str">
        <f aca="false">IF(OR(AM170="",NOT(ISNUMBER(AM170))),"",AM170-N(Q170))</f>
        <v/>
      </c>
      <c r="BJ170" s="15" t="str">
        <f aca="false">IF(OR(AN170="",NOT(ISNUMBER(AN170))),"",AN170-N(R170))</f>
        <v/>
      </c>
      <c r="BK170" s="15" t="str">
        <f aca="false">IF(OR(AO170="",NOT(ISNUMBER(AO170))),"",AO170-N(S170))</f>
        <v/>
      </c>
      <c r="BL170" s="15" t="str">
        <f aca="false">IF(OR(AP170="",NOT(ISNUMBER(AP170))),"",AP170-N(T170))</f>
        <v/>
      </c>
      <c r="BM170" s="15" t="str">
        <f aca="false">IF(OR(AQ170="",NOT(ISNUMBER(AQ170))),"",AQ170-N(U170))</f>
        <v/>
      </c>
      <c r="BR170" s="18" t="str">
        <f aca="false">IF($A170="","",IF(ISNUMBER($A170),DATE(YEAR($A170),MONTH($A170),1),IFERROR(DATE(2000+VALUE(RIGHT(TRIM($A170),2)),MATCH(UPPER(LEFT(TRIM($A170),3)),{"JAN","FEB","MAR","APR","MAY","JUN","JUL","AUG","SEP","OCT","NOV","DEC"},0),1),"")))</f>
        <v/>
      </c>
      <c r="BS170" s="18" t="str">
        <f aca="false">IF(BR170="","",EOMONTH(BR170,0))</f>
        <v/>
      </c>
    </row>
    <row r="171" customFormat="false" ht="15" hidden="false" customHeight="false" outlineLevel="0" collapsed="false">
      <c r="B171" s="19"/>
      <c r="C171" s="19"/>
      <c r="D171" s="19"/>
      <c r="E171" s="19"/>
      <c r="F171" s="19"/>
      <c r="G171" s="19"/>
      <c r="H171" s="19"/>
      <c r="I171" s="19"/>
      <c r="J171" s="19"/>
      <c r="K171" s="19"/>
      <c r="L171" s="19"/>
      <c r="M171" s="19"/>
      <c r="N171" s="19"/>
      <c r="O171" s="19"/>
      <c r="P171" s="19"/>
      <c r="Q171" s="19"/>
      <c r="R171" s="19"/>
      <c r="S171" s="19"/>
      <c r="T171" s="19"/>
      <c r="U171" s="19"/>
      <c r="X171" s="15" t="str">
        <f aca="false">IF(OR(B$7="",$BR171=""),"",IF('Tally Helper'!$B$3&lt;&gt;TRUE(),"not on Staff",SUMIFS('Tally Helper'!$L$5:$GI$5,'Tally Helper'!$L$3:$GI$3,"&gt;="&amp;$BR171,'Tally Helper'!$L$3:$GI$3,"&lt;="&amp;$BS171)))</f>
        <v/>
      </c>
      <c r="Y171" s="15" t="str">
        <f aca="false">IF(OR(C$7="",$BR171=""),"",IF('Tally Helper'!$B$6&lt;&gt;TRUE(),"not on Staff",SUMIFS('Tally Helper'!$L$8:$GI$8,'Tally Helper'!$L$6:$GI$6,"&gt;="&amp;$BR171,'Tally Helper'!$L$6:$GI$6,"&lt;="&amp;$BS171)))</f>
        <v/>
      </c>
      <c r="Z171" s="15" t="str">
        <f aca="false">IF(OR(D$7="",$BR171=""),"",IF('Tally Helper'!$B$9&lt;&gt;TRUE(),"not on Staff",SUMIFS('Tally Helper'!$L$11:$GI$11,'Tally Helper'!$L$9:$GI$9,"&gt;="&amp;$BR171,'Tally Helper'!$L$9:$GI$9,"&lt;="&amp;$BS171)))</f>
        <v/>
      </c>
      <c r="AA171" s="15" t="str">
        <f aca="false">IF(OR(E$7="",$BR171=""),"",IF('Tally Helper'!$B$12&lt;&gt;TRUE(),"not on Staff",SUMIFS('Tally Helper'!$L$14:$GI$14,'Tally Helper'!$L$12:$GI$12,"&gt;="&amp;$BR171,'Tally Helper'!$L$12:$GI$12,"&lt;="&amp;$BS171)))</f>
        <v/>
      </c>
      <c r="AB171" s="15" t="str">
        <f aca="false">IF(OR(F$7="",$BR171=""),"",IF('Tally Helper'!$B$15&lt;&gt;TRUE(),"not on Staff",SUMIFS('Tally Helper'!$L$17:$GI$17,'Tally Helper'!$L$15:$GI$15,"&gt;="&amp;$BR171,'Tally Helper'!$L$15:$GI$15,"&lt;="&amp;$BS171)))</f>
        <v/>
      </c>
      <c r="AC171" s="15" t="str">
        <f aca="false">IF(OR(G$7="",$BR171=""),"",IF('Tally Helper'!$B$18&lt;&gt;TRUE(),"not on Staff",SUMIFS('Tally Helper'!$L$20:$GI$20,'Tally Helper'!$L$18:$GI$18,"&gt;="&amp;$BR171,'Tally Helper'!$L$18:$GI$18,"&lt;="&amp;$BS171)))</f>
        <v/>
      </c>
      <c r="AD171" s="15" t="str">
        <f aca="false">IF(OR(H$7="",$BR171=""),"",IF('Tally Helper'!$B$21&lt;&gt;TRUE(),"not on Staff",SUMIFS('Tally Helper'!$L$23:$GI$23,'Tally Helper'!$L$21:$GI$21,"&gt;="&amp;$BR171,'Tally Helper'!$L$21:$GI$21,"&lt;="&amp;$BS171)))</f>
        <v/>
      </c>
      <c r="AE171" s="15" t="str">
        <f aca="false">IF(OR(I$7="",$BR171=""),"",IF('Tally Helper'!$B$24&lt;&gt;TRUE(),"not on Staff",SUMIFS('Tally Helper'!$L$26:$GI$26,'Tally Helper'!$L$24:$GI$24,"&gt;="&amp;$BR171,'Tally Helper'!$L$24:$GI$24,"&lt;="&amp;$BS171)))</f>
        <v/>
      </c>
      <c r="AF171" s="15" t="str">
        <f aca="false">IF(OR(J$7="",$BR171=""),"",IF('Tally Helper'!$B$27&lt;&gt;TRUE(),"not on Staff",SUMIFS('Tally Helper'!$L$29:$GI$29,'Tally Helper'!$L$27:$GI$27,"&gt;="&amp;$BR171,'Tally Helper'!$L$27:$GI$27,"&lt;="&amp;$BS171)))</f>
        <v/>
      </c>
      <c r="AG171" s="15" t="str">
        <f aca="false">IF(OR(K$7="",$BR171=""),"",IF('Tally Helper'!$B$30&lt;&gt;TRUE(),"not on Staff",SUMIFS('Tally Helper'!$L$32:$GI$32,'Tally Helper'!$L$30:$GI$30,"&gt;="&amp;$BR171,'Tally Helper'!$L$30:$GI$30,"&lt;="&amp;$BS171)))</f>
        <v/>
      </c>
      <c r="AH171" s="15" t="str">
        <f aca="false">IF(OR(L$7="",$BR171=""),"",IF('Tally Helper'!$B$33&lt;&gt;TRUE(),"not on Staff",SUMIFS('Tally Helper'!$L$35:$GI$35,'Tally Helper'!$L$33:$GI$33,"&gt;="&amp;$BR171,'Tally Helper'!$L$33:$GI$33,"&lt;="&amp;$BS171)))</f>
        <v/>
      </c>
      <c r="AI171" s="15" t="str">
        <f aca="false">IF(OR(M$7="",$BR171=""),"",IF('Tally Helper'!$B$36&lt;&gt;TRUE(),"not on Staff",SUMIFS('Tally Helper'!$L$38:$GI$38,'Tally Helper'!$L$36:$GI$36,"&gt;="&amp;$BR171,'Tally Helper'!$L$36:$GI$36,"&lt;="&amp;$BS171)))</f>
        <v/>
      </c>
      <c r="AJ171" s="15" t="str">
        <f aca="false">IF(OR(N$7="",$BR171=""),"",IF('Tally Helper'!$B$39&lt;&gt;TRUE(),"not on Staff",SUMIFS('Tally Helper'!$L$41:$GI$41,'Tally Helper'!$L$39:$GI$39,"&gt;="&amp;$BR171,'Tally Helper'!$L$39:$GI$39,"&lt;="&amp;$BS171)))</f>
        <v/>
      </c>
      <c r="AK171" s="15" t="str">
        <f aca="false">IF(OR(O$7="",$BR171=""),"",IF('Tally Helper'!$B$42&lt;&gt;TRUE(),"not on Staff",SUMIFS('Tally Helper'!$L$44:$GI$44,'Tally Helper'!$L$42:$GI$42,"&gt;="&amp;$BR171,'Tally Helper'!$L$42:$GI$42,"&lt;="&amp;$BS171)))</f>
        <v/>
      </c>
      <c r="AL171" s="15" t="str">
        <f aca="false">IF(OR(P$7="",$BR171=""),"",IF('Tally Helper'!$B$45&lt;&gt;TRUE(),"not on Staff",SUMIFS('Tally Helper'!$L$47:$GI$47,'Tally Helper'!$L$45:$GI$45,"&gt;="&amp;$BR171,'Tally Helper'!$L$45:$GI$45,"&lt;="&amp;$BS171)))</f>
        <v/>
      </c>
      <c r="AM171" s="15" t="str">
        <f aca="false">IF(OR(Q$7="",$BR171=""),"",IF('Tally Helper'!$B$48&lt;&gt;TRUE(),"not on Staff",SUMIFS('Tally Helper'!$L$50:$GI$50,'Tally Helper'!$L$48:$GI$48,"&gt;="&amp;$BR171,'Tally Helper'!$L$48:$GI$48,"&lt;="&amp;$BS171)))</f>
        <v/>
      </c>
      <c r="AN171" s="15" t="str">
        <f aca="false">IF(OR(R$7="",$BR171=""),"",IF('Tally Helper'!$B$51&lt;&gt;TRUE(),"not on Staff",SUMIFS('Tally Helper'!$L$53:$GI$53,'Tally Helper'!$L$51:$GI$51,"&gt;="&amp;$BR171,'Tally Helper'!$L$51:$GI$51,"&lt;="&amp;$BS171)))</f>
        <v/>
      </c>
      <c r="AO171" s="15" t="str">
        <f aca="false">IF(OR(S$7="",$BR171=""),"",IF('Tally Helper'!$B$54&lt;&gt;TRUE(),"not on Staff",SUMIFS('Tally Helper'!$L$56:$GI$56,'Tally Helper'!$L$54:$GI$54,"&gt;="&amp;$BR171,'Tally Helper'!$L$54:$GI$54,"&lt;="&amp;$BS171)))</f>
        <v/>
      </c>
      <c r="AP171" s="15" t="str">
        <f aca="false">IF(OR(T$7="",$BR171=""),"",IF('Tally Helper'!$B$57&lt;&gt;TRUE(),"not on Staff",SUMIFS('Tally Helper'!$L$59:$GI$59,'Tally Helper'!$L$57:$GI$57,"&gt;="&amp;$BR171,'Tally Helper'!$L$57:$GI$57,"&lt;="&amp;$BS171)))</f>
        <v/>
      </c>
      <c r="AQ171" s="15" t="str">
        <f aca="false">IF(OR(U$7="",$BR171=""),"",IF('Tally Helper'!$B$60&lt;&gt;TRUE(),"not on Staff",SUMIFS('Tally Helper'!$L$62:$GI$62,'Tally Helper'!$L$60:$GI$60,"&gt;="&amp;$BR171,'Tally Helper'!$L$60:$GI$60,"&lt;="&amp;$BS171)))</f>
        <v/>
      </c>
      <c r="AT171" s="15" t="str">
        <f aca="false">IF(OR(X171="",NOT(ISNUMBER(X171))),"",X171-N(B171))</f>
        <v/>
      </c>
      <c r="AU171" s="15" t="str">
        <f aca="false">IF(OR(Y171="",NOT(ISNUMBER(Y171))),"",Y171-N(C171))</f>
        <v/>
      </c>
      <c r="AV171" s="15" t="str">
        <f aca="false">IF(OR(Z171="",NOT(ISNUMBER(Z171))),"",Z171-N(D171))</f>
        <v/>
      </c>
      <c r="AW171" s="15" t="str">
        <f aca="false">IF(OR(AA171="",NOT(ISNUMBER(AA171))),"",AA171-N(E171))</f>
        <v/>
      </c>
      <c r="AX171" s="15" t="str">
        <f aca="false">IF(OR(AB171="",NOT(ISNUMBER(AB171))),"",AB171-N(F171))</f>
        <v/>
      </c>
      <c r="AY171" s="15" t="str">
        <f aca="false">IF(OR(AC171="",NOT(ISNUMBER(AC171))),"",AC171-N(G171))</f>
        <v/>
      </c>
      <c r="AZ171" s="15" t="str">
        <f aca="false">IF(OR(AD171="",NOT(ISNUMBER(AD171))),"",AD171-N(H171))</f>
        <v/>
      </c>
      <c r="BA171" s="15" t="str">
        <f aca="false">IF(OR(AE171="",NOT(ISNUMBER(AE171))),"",AE171-N(I171))</f>
        <v/>
      </c>
      <c r="BB171" s="15" t="str">
        <f aca="false">IF(OR(AF171="",NOT(ISNUMBER(AF171))),"",AF171-N(J171))</f>
        <v/>
      </c>
      <c r="BC171" s="15" t="str">
        <f aca="false">IF(OR(AG171="",NOT(ISNUMBER(AG171))),"",AG171-N(K171))</f>
        <v/>
      </c>
      <c r="BD171" s="15" t="str">
        <f aca="false">IF(OR(AH171="",NOT(ISNUMBER(AH171))),"",AH171-N(L171))</f>
        <v/>
      </c>
      <c r="BE171" s="15" t="str">
        <f aca="false">IF(OR(AI171="",NOT(ISNUMBER(AI171))),"",AI171-N(M171))</f>
        <v/>
      </c>
      <c r="BF171" s="15" t="str">
        <f aca="false">IF(OR(AJ171="",NOT(ISNUMBER(AJ171))),"",AJ171-N(N171))</f>
        <v/>
      </c>
      <c r="BG171" s="15" t="str">
        <f aca="false">IF(OR(AK171="",NOT(ISNUMBER(AK171))),"",AK171-N(O171))</f>
        <v/>
      </c>
      <c r="BH171" s="15" t="str">
        <f aca="false">IF(OR(AL171="",NOT(ISNUMBER(AL171))),"",AL171-N(P171))</f>
        <v/>
      </c>
      <c r="BI171" s="15" t="str">
        <f aca="false">IF(OR(AM171="",NOT(ISNUMBER(AM171))),"",AM171-N(Q171))</f>
        <v/>
      </c>
      <c r="BJ171" s="15" t="str">
        <f aca="false">IF(OR(AN171="",NOT(ISNUMBER(AN171))),"",AN171-N(R171))</f>
        <v/>
      </c>
      <c r="BK171" s="15" t="str">
        <f aca="false">IF(OR(AO171="",NOT(ISNUMBER(AO171))),"",AO171-N(S171))</f>
        <v/>
      </c>
      <c r="BL171" s="15" t="str">
        <f aca="false">IF(OR(AP171="",NOT(ISNUMBER(AP171))),"",AP171-N(T171))</f>
        <v/>
      </c>
      <c r="BM171" s="15" t="str">
        <f aca="false">IF(OR(AQ171="",NOT(ISNUMBER(AQ171))),"",AQ171-N(U171))</f>
        <v/>
      </c>
      <c r="BR171" s="18" t="str">
        <f aca="false">IF($A171="","",IF(ISNUMBER($A171),DATE(YEAR($A171),MONTH($A171),1),IFERROR(DATE(2000+VALUE(RIGHT(TRIM($A171),2)),MATCH(UPPER(LEFT(TRIM($A171),3)),{"JAN","FEB","MAR","APR","MAY","JUN","JUL","AUG","SEP","OCT","NOV","DEC"},0),1),"")))</f>
        <v/>
      </c>
      <c r="BS171" s="18" t="str">
        <f aca="false">IF(BR171="","",EOMONTH(BR171,0))</f>
        <v/>
      </c>
    </row>
    <row r="172" customFormat="false" ht="15" hidden="false" customHeight="false" outlineLevel="0" collapsed="false">
      <c r="B172" s="19"/>
      <c r="C172" s="19"/>
      <c r="D172" s="19"/>
      <c r="E172" s="19"/>
      <c r="F172" s="19"/>
      <c r="G172" s="19"/>
      <c r="H172" s="19"/>
      <c r="I172" s="19"/>
      <c r="J172" s="19"/>
      <c r="K172" s="19"/>
      <c r="L172" s="19"/>
      <c r="M172" s="19"/>
      <c r="N172" s="19"/>
      <c r="O172" s="19"/>
      <c r="P172" s="19"/>
      <c r="Q172" s="19"/>
      <c r="R172" s="19"/>
      <c r="S172" s="19"/>
      <c r="T172" s="19"/>
      <c r="U172" s="19"/>
      <c r="X172" s="15" t="str">
        <f aca="false">IF(OR(B$7="",$BR172=""),"",IF('Tally Helper'!$B$3&lt;&gt;TRUE(),"not on Staff",SUMIFS('Tally Helper'!$L$5:$GI$5,'Tally Helper'!$L$3:$GI$3,"&gt;="&amp;$BR172,'Tally Helper'!$L$3:$GI$3,"&lt;="&amp;$BS172)))</f>
        <v/>
      </c>
      <c r="Y172" s="15" t="str">
        <f aca="false">IF(OR(C$7="",$BR172=""),"",IF('Tally Helper'!$B$6&lt;&gt;TRUE(),"not on Staff",SUMIFS('Tally Helper'!$L$8:$GI$8,'Tally Helper'!$L$6:$GI$6,"&gt;="&amp;$BR172,'Tally Helper'!$L$6:$GI$6,"&lt;="&amp;$BS172)))</f>
        <v/>
      </c>
      <c r="Z172" s="15" t="str">
        <f aca="false">IF(OR(D$7="",$BR172=""),"",IF('Tally Helper'!$B$9&lt;&gt;TRUE(),"not on Staff",SUMIFS('Tally Helper'!$L$11:$GI$11,'Tally Helper'!$L$9:$GI$9,"&gt;="&amp;$BR172,'Tally Helper'!$L$9:$GI$9,"&lt;="&amp;$BS172)))</f>
        <v/>
      </c>
      <c r="AA172" s="15" t="str">
        <f aca="false">IF(OR(E$7="",$BR172=""),"",IF('Tally Helper'!$B$12&lt;&gt;TRUE(),"not on Staff",SUMIFS('Tally Helper'!$L$14:$GI$14,'Tally Helper'!$L$12:$GI$12,"&gt;="&amp;$BR172,'Tally Helper'!$L$12:$GI$12,"&lt;="&amp;$BS172)))</f>
        <v/>
      </c>
      <c r="AB172" s="15" t="str">
        <f aca="false">IF(OR(F$7="",$BR172=""),"",IF('Tally Helper'!$B$15&lt;&gt;TRUE(),"not on Staff",SUMIFS('Tally Helper'!$L$17:$GI$17,'Tally Helper'!$L$15:$GI$15,"&gt;="&amp;$BR172,'Tally Helper'!$L$15:$GI$15,"&lt;="&amp;$BS172)))</f>
        <v/>
      </c>
      <c r="AC172" s="15" t="str">
        <f aca="false">IF(OR(G$7="",$BR172=""),"",IF('Tally Helper'!$B$18&lt;&gt;TRUE(),"not on Staff",SUMIFS('Tally Helper'!$L$20:$GI$20,'Tally Helper'!$L$18:$GI$18,"&gt;="&amp;$BR172,'Tally Helper'!$L$18:$GI$18,"&lt;="&amp;$BS172)))</f>
        <v/>
      </c>
      <c r="AD172" s="15" t="str">
        <f aca="false">IF(OR(H$7="",$BR172=""),"",IF('Tally Helper'!$B$21&lt;&gt;TRUE(),"not on Staff",SUMIFS('Tally Helper'!$L$23:$GI$23,'Tally Helper'!$L$21:$GI$21,"&gt;="&amp;$BR172,'Tally Helper'!$L$21:$GI$21,"&lt;="&amp;$BS172)))</f>
        <v/>
      </c>
      <c r="AE172" s="15" t="str">
        <f aca="false">IF(OR(I$7="",$BR172=""),"",IF('Tally Helper'!$B$24&lt;&gt;TRUE(),"not on Staff",SUMIFS('Tally Helper'!$L$26:$GI$26,'Tally Helper'!$L$24:$GI$24,"&gt;="&amp;$BR172,'Tally Helper'!$L$24:$GI$24,"&lt;="&amp;$BS172)))</f>
        <v/>
      </c>
      <c r="AF172" s="15" t="str">
        <f aca="false">IF(OR(J$7="",$BR172=""),"",IF('Tally Helper'!$B$27&lt;&gt;TRUE(),"not on Staff",SUMIFS('Tally Helper'!$L$29:$GI$29,'Tally Helper'!$L$27:$GI$27,"&gt;="&amp;$BR172,'Tally Helper'!$L$27:$GI$27,"&lt;="&amp;$BS172)))</f>
        <v/>
      </c>
      <c r="AG172" s="15" t="str">
        <f aca="false">IF(OR(K$7="",$BR172=""),"",IF('Tally Helper'!$B$30&lt;&gt;TRUE(),"not on Staff",SUMIFS('Tally Helper'!$L$32:$GI$32,'Tally Helper'!$L$30:$GI$30,"&gt;="&amp;$BR172,'Tally Helper'!$L$30:$GI$30,"&lt;="&amp;$BS172)))</f>
        <v/>
      </c>
      <c r="AH172" s="15" t="str">
        <f aca="false">IF(OR(L$7="",$BR172=""),"",IF('Tally Helper'!$B$33&lt;&gt;TRUE(),"not on Staff",SUMIFS('Tally Helper'!$L$35:$GI$35,'Tally Helper'!$L$33:$GI$33,"&gt;="&amp;$BR172,'Tally Helper'!$L$33:$GI$33,"&lt;="&amp;$BS172)))</f>
        <v/>
      </c>
      <c r="AI172" s="15" t="str">
        <f aca="false">IF(OR(M$7="",$BR172=""),"",IF('Tally Helper'!$B$36&lt;&gt;TRUE(),"not on Staff",SUMIFS('Tally Helper'!$L$38:$GI$38,'Tally Helper'!$L$36:$GI$36,"&gt;="&amp;$BR172,'Tally Helper'!$L$36:$GI$36,"&lt;="&amp;$BS172)))</f>
        <v/>
      </c>
      <c r="AJ172" s="15" t="str">
        <f aca="false">IF(OR(N$7="",$BR172=""),"",IF('Tally Helper'!$B$39&lt;&gt;TRUE(),"not on Staff",SUMIFS('Tally Helper'!$L$41:$GI$41,'Tally Helper'!$L$39:$GI$39,"&gt;="&amp;$BR172,'Tally Helper'!$L$39:$GI$39,"&lt;="&amp;$BS172)))</f>
        <v/>
      </c>
      <c r="AK172" s="15" t="str">
        <f aca="false">IF(OR(O$7="",$BR172=""),"",IF('Tally Helper'!$B$42&lt;&gt;TRUE(),"not on Staff",SUMIFS('Tally Helper'!$L$44:$GI$44,'Tally Helper'!$L$42:$GI$42,"&gt;="&amp;$BR172,'Tally Helper'!$L$42:$GI$42,"&lt;="&amp;$BS172)))</f>
        <v/>
      </c>
      <c r="AL172" s="15" t="str">
        <f aca="false">IF(OR(P$7="",$BR172=""),"",IF('Tally Helper'!$B$45&lt;&gt;TRUE(),"not on Staff",SUMIFS('Tally Helper'!$L$47:$GI$47,'Tally Helper'!$L$45:$GI$45,"&gt;="&amp;$BR172,'Tally Helper'!$L$45:$GI$45,"&lt;="&amp;$BS172)))</f>
        <v/>
      </c>
      <c r="AM172" s="15" t="str">
        <f aca="false">IF(OR(Q$7="",$BR172=""),"",IF('Tally Helper'!$B$48&lt;&gt;TRUE(),"not on Staff",SUMIFS('Tally Helper'!$L$50:$GI$50,'Tally Helper'!$L$48:$GI$48,"&gt;="&amp;$BR172,'Tally Helper'!$L$48:$GI$48,"&lt;="&amp;$BS172)))</f>
        <v/>
      </c>
      <c r="AN172" s="15" t="str">
        <f aca="false">IF(OR(R$7="",$BR172=""),"",IF('Tally Helper'!$B$51&lt;&gt;TRUE(),"not on Staff",SUMIFS('Tally Helper'!$L$53:$GI$53,'Tally Helper'!$L$51:$GI$51,"&gt;="&amp;$BR172,'Tally Helper'!$L$51:$GI$51,"&lt;="&amp;$BS172)))</f>
        <v/>
      </c>
      <c r="AO172" s="15" t="str">
        <f aca="false">IF(OR(S$7="",$BR172=""),"",IF('Tally Helper'!$B$54&lt;&gt;TRUE(),"not on Staff",SUMIFS('Tally Helper'!$L$56:$GI$56,'Tally Helper'!$L$54:$GI$54,"&gt;="&amp;$BR172,'Tally Helper'!$L$54:$GI$54,"&lt;="&amp;$BS172)))</f>
        <v/>
      </c>
      <c r="AP172" s="15" t="str">
        <f aca="false">IF(OR(T$7="",$BR172=""),"",IF('Tally Helper'!$B$57&lt;&gt;TRUE(),"not on Staff",SUMIFS('Tally Helper'!$L$59:$GI$59,'Tally Helper'!$L$57:$GI$57,"&gt;="&amp;$BR172,'Tally Helper'!$L$57:$GI$57,"&lt;="&amp;$BS172)))</f>
        <v/>
      </c>
      <c r="AQ172" s="15" t="str">
        <f aca="false">IF(OR(U$7="",$BR172=""),"",IF('Tally Helper'!$B$60&lt;&gt;TRUE(),"not on Staff",SUMIFS('Tally Helper'!$L$62:$GI$62,'Tally Helper'!$L$60:$GI$60,"&gt;="&amp;$BR172,'Tally Helper'!$L$60:$GI$60,"&lt;="&amp;$BS172)))</f>
        <v/>
      </c>
      <c r="AT172" s="15" t="str">
        <f aca="false">IF(OR(X172="",NOT(ISNUMBER(X172))),"",X172-N(B172))</f>
        <v/>
      </c>
      <c r="AU172" s="15" t="str">
        <f aca="false">IF(OR(Y172="",NOT(ISNUMBER(Y172))),"",Y172-N(C172))</f>
        <v/>
      </c>
      <c r="AV172" s="15" t="str">
        <f aca="false">IF(OR(Z172="",NOT(ISNUMBER(Z172))),"",Z172-N(D172))</f>
        <v/>
      </c>
      <c r="AW172" s="15" t="str">
        <f aca="false">IF(OR(AA172="",NOT(ISNUMBER(AA172))),"",AA172-N(E172))</f>
        <v/>
      </c>
      <c r="AX172" s="15" t="str">
        <f aca="false">IF(OR(AB172="",NOT(ISNUMBER(AB172))),"",AB172-N(F172))</f>
        <v/>
      </c>
      <c r="AY172" s="15" t="str">
        <f aca="false">IF(OR(AC172="",NOT(ISNUMBER(AC172))),"",AC172-N(G172))</f>
        <v/>
      </c>
      <c r="AZ172" s="15" t="str">
        <f aca="false">IF(OR(AD172="",NOT(ISNUMBER(AD172))),"",AD172-N(H172))</f>
        <v/>
      </c>
      <c r="BA172" s="15" t="str">
        <f aca="false">IF(OR(AE172="",NOT(ISNUMBER(AE172))),"",AE172-N(I172))</f>
        <v/>
      </c>
      <c r="BB172" s="15" t="str">
        <f aca="false">IF(OR(AF172="",NOT(ISNUMBER(AF172))),"",AF172-N(J172))</f>
        <v/>
      </c>
      <c r="BC172" s="15" t="str">
        <f aca="false">IF(OR(AG172="",NOT(ISNUMBER(AG172))),"",AG172-N(K172))</f>
        <v/>
      </c>
      <c r="BD172" s="15" t="str">
        <f aca="false">IF(OR(AH172="",NOT(ISNUMBER(AH172))),"",AH172-N(L172))</f>
        <v/>
      </c>
      <c r="BE172" s="15" t="str">
        <f aca="false">IF(OR(AI172="",NOT(ISNUMBER(AI172))),"",AI172-N(M172))</f>
        <v/>
      </c>
      <c r="BF172" s="15" t="str">
        <f aca="false">IF(OR(AJ172="",NOT(ISNUMBER(AJ172))),"",AJ172-N(N172))</f>
        <v/>
      </c>
      <c r="BG172" s="15" t="str">
        <f aca="false">IF(OR(AK172="",NOT(ISNUMBER(AK172))),"",AK172-N(O172))</f>
        <v/>
      </c>
      <c r="BH172" s="15" t="str">
        <f aca="false">IF(OR(AL172="",NOT(ISNUMBER(AL172))),"",AL172-N(P172))</f>
        <v/>
      </c>
      <c r="BI172" s="15" t="str">
        <f aca="false">IF(OR(AM172="",NOT(ISNUMBER(AM172))),"",AM172-N(Q172))</f>
        <v/>
      </c>
      <c r="BJ172" s="15" t="str">
        <f aca="false">IF(OR(AN172="",NOT(ISNUMBER(AN172))),"",AN172-N(R172))</f>
        <v/>
      </c>
      <c r="BK172" s="15" t="str">
        <f aca="false">IF(OR(AO172="",NOT(ISNUMBER(AO172))),"",AO172-N(S172))</f>
        <v/>
      </c>
      <c r="BL172" s="15" t="str">
        <f aca="false">IF(OR(AP172="",NOT(ISNUMBER(AP172))),"",AP172-N(T172))</f>
        <v/>
      </c>
      <c r="BM172" s="15" t="str">
        <f aca="false">IF(OR(AQ172="",NOT(ISNUMBER(AQ172))),"",AQ172-N(U172))</f>
        <v/>
      </c>
      <c r="BR172" s="18" t="str">
        <f aca="false">IF($A172="","",IF(ISNUMBER($A172),DATE(YEAR($A172),MONTH($A172),1),IFERROR(DATE(2000+VALUE(RIGHT(TRIM($A172),2)),MATCH(UPPER(LEFT(TRIM($A172),3)),{"JAN","FEB","MAR","APR","MAY","JUN","JUL","AUG","SEP","OCT","NOV","DEC"},0),1),"")))</f>
        <v/>
      </c>
      <c r="BS172" s="18" t="str">
        <f aca="false">IF(BR172="","",EOMONTH(BR172,0))</f>
        <v/>
      </c>
    </row>
    <row r="173" customFormat="false" ht="15" hidden="false" customHeight="false" outlineLevel="0" collapsed="false">
      <c r="B173" s="19"/>
      <c r="C173" s="19"/>
      <c r="D173" s="19"/>
      <c r="E173" s="19"/>
      <c r="F173" s="19"/>
      <c r="G173" s="19"/>
      <c r="H173" s="19"/>
      <c r="I173" s="19"/>
      <c r="J173" s="19"/>
      <c r="K173" s="19"/>
      <c r="L173" s="19"/>
      <c r="M173" s="19"/>
      <c r="N173" s="19"/>
      <c r="O173" s="19"/>
      <c r="P173" s="19"/>
      <c r="Q173" s="19"/>
      <c r="R173" s="19"/>
      <c r="S173" s="19"/>
      <c r="T173" s="19"/>
      <c r="U173" s="19"/>
      <c r="X173" s="15" t="str">
        <f aca="false">IF(OR(B$7="",$BR173=""),"",IF('Tally Helper'!$B$3&lt;&gt;TRUE(),"not on Staff",SUMIFS('Tally Helper'!$L$5:$GI$5,'Tally Helper'!$L$3:$GI$3,"&gt;="&amp;$BR173,'Tally Helper'!$L$3:$GI$3,"&lt;="&amp;$BS173)))</f>
        <v/>
      </c>
      <c r="Y173" s="15" t="str">
        <f aca="false">IF(OR(C$7="",$BR173=""),"",IF('Tally Helper'!$B$6&lt;&gt;TRUE(),"not on Staff",SUMIFS('Tally Helper'!$L$8:$GI$8,'Tally Helper'!$L$6:$GI$6,"&gt;="&amp;$BR173,'Tally Helper'!$L$6:$GI$6,"&lt;="&amp;$BS173)))</f>
        <v/>
      </c>
      <c r="Z173" s="15" t="str">
        <f aca="false">IF(OR(D$7="",$BR173=""),"",IF('Tally Helper'!$B$9&lt;&gt;TRUE(),"not on Staff",SUMIFS('Tally Helper'!$L$11:$GI$11,'Tally Helper'!$L$9:$GI$9,"&gt;="&amp;$BR173,'Tally Helper'!$L$9:$GI$9,"&lt;="&amp;$BS173)))</f>
        <v/>
      </c>
      <c r="AA173" s="15" t="str">
        <f aca="false">IF(OR(E$7="",$BR173=""),"",IF('Tally Helper'!$B$12&lt;&gt;TRUE(),"not on Staff",SUMIFS('Tally Helper'!$L$14:$GI$14,'Tally Helper'!$L$12:$GI$12,"&gt;="&amp;$BR173,'Tally Helper'!$L$12:$GI$12,"&lt;="&amp;$BS173)))</f>
        <v/>
      </c>
      <c r="AB173" s="15" t="str">
        <f aca="false">IF(OR(F$7="",$BR173=""),"",IF('Tally Helper'!$B$15&lt;&gt;TRUE(),"not on Staff",SUMIFS('Tally Helper'!$L$17:$GI$17,'Tally Helper'!$L$15:$GI$15,"&gt;="&amp;$BR173,'Tally Helper'!$L$15:$GI$15,"&lt;="&amp;$BS173)))</f>
        <v/>
      </c>
      <c r="AC173" s="15" t="str">
        <f aca="false">IF(OR(G$7="",$BR173=""),"",IF('Tally Helper'!$B$18&lt;&gt;TRUE(),"not on Staff",SUMIFS('Tally Helper'!$L$20:$GI$20,'Tally Helper'!$L$18:$GI$18,"&gt;="&amp;$BR173,'Tally Helper'!$L$18:$GI$18,"&lt;="&amp;$BS173)))</f>
        <v/>
      </c>
      <c r="AD173" s="15" t="str">
        <f aca="false">IF(OR(H$7="",$BR173=""),"",IF('Tally Helper'!$B$21&lt;&gt;TRUE(),"not on Staff",SUMIFS('Tally Helper'!$L$23:$GI$23,'Tally Helper'!$L$21:$GI$21,"&gt;="&amp;$BR173,'Tally Helper'!$L$21:$GI$21,"&lt;="&amp;$BS173)))</f>
        <v/>
      </c>
      <c r="AE173" s="15" t="str">
        <f aca="false">IF(OR(I$7="",$BR173=""),"",IF('Tally Helper'!$B$24&lt;&gt;TRUE(),"not on Staff",SUMIFS('Tally Helper'!$L$26:$GI$26,'Tally Helper'!$L$24:$GI$24,"&gt;="&amp;$BR173,'Tally Helper'!$L$24:$GI$24,"&lt;="&amp;$BS173)))</f>
        <v/>
      </c>
      <c r="AF173" s="15" t="str">
        <f aca="false">IF(OR(J$7="",$BR173=""),"",IF('Tally Helper'!$B$27&lt;&gt;TRUE(),"not on Staff",SUMIFS('Tally Helper'!$L$29:$GI$29,'Tally Helper'!$L$27:$GI$27,"&gt;="&amp;$BR173,'Tally Helper'!$L$27:$GI$27,"&lt;="&amp;$BS173)))</f>
        <v/>
      </c>
      <c r="AG173" s="15" t="str">
        <f aca="false">IF(OR(K$7="",$BR173=""),"",IF('Tally Helper'!$B$30&lt;&gt;TRUE(),"not on Staff",SUMIFS('Tally Helper'!$L$32:$GI$32,'Tally Helper'!$L$30:$GI$30,"&gt;="&amp;$BR173,'Tally Helper'!$L$30:$GI$30,"&lt;="&amp;$BS173)))</f>
        <v/>
      </c>
      <c r="AH173" s="15" t="str">
        <f aca="false">IF(OR(L$7="",$BR173=""),"",IF('Tally Helper'!$B$33&lt;&gt;TRUE(),"not on Staff",SUMIFS('Tally Helper'!$L$35:$GI$35,'Tally Helper'!$L$33:$GI$33,"&gt;="&amp;$BR173,'Tally Helper'!$L$33:$GI$33,"&lt;="&amp;$BS173)))</f>
        <v/>
      </c>
      <c r="AI173" s="15" t="str">
        <f aca="false">IF(OR(M$7="",$BR173=""),"",IF('Tally Helper'!$B$36&lt;&gt;TRUE(),"not on Staff",SUMIFS('Tally Helper'!$L$38:$GI$38,'Tally Helper'!$L$36:$GI$36,"&gt;="&amp;$BR173,'Tally Helper'!$L$36:$GI$36,"&lt;="&amp;$BS173)))</f>
        <v/>
      </c>
      <c r="AJ173" s="15" t="str">
        <f aca="false">IF(OR(N$7="",$BR173=""),"",IF('Tally Helper'!$B$39&lt;&gt;TRUE(),"not on Staff",SUMIFS('Tally Helper'!$L$41:$GI$41,'Tally Helper'!$L$39:$GI$39,"&gt;="&amp;$BR173,'Tally Helper'!$L$39:$GI$39,"&lt;="&amp;$BS173)))</f>
        <v/>
      </c>
      <c r="AK173" s="15" t="str">
        <f aca="false">IF(OR(O$7="",$BR173=""),"",IF('Tally Helper'!$B$42&lt;&gt;TRUE(),"not on Staff",SUMIFS('Tally Helper'!$L$44:$GI$44,'Tally Helper'!$L$42:$GI$42,"&gt;="&amp;$BR173,'Tally Helper'!$L$42:$GI$42,"&lt;="&amp;$BS173)))</f>
        <v/>
      </c>
      <c r="AL173" s="15" t="str">
        <f aca="false">IF(OR(P$7="",$BR173=""),"",IF('Tally Helper'!$B$45&lt;&gt;TRUE(),"not on Staff",SUMIFS('Tally Helper'!$L$47:$GI$47,'Tally Helper'!$L$45:$GI$45,"&gt;="&amp;$BR173,'Tally Helper'!$L$45:$GI$45,"&lt;="&amp;$BS173)))</f>
        <v/>
      </c>
      <c r="AM173" s="15" t="str">
        <f aca="false">IF(OR(Q$7="",$BR173=""),"",IF('Tally Helper'!$B$48&lt;&gt;TRUE(),"not on Staff",SUMIFS('Tally Helper'!$L$50:$GI$50,'Tally Helper'!$L$48:$GI$48,"&gt;="&amp;$BR173,'Tally Helper'!$L$48:$GI$48,"&lt;="&amp;$BS173)))</f>
        <v/>
      </c>
      <c r="AN173" s="15" t="str">
        <f aca="false">IF(OR(R$7="",$BR173=""),"",IF('Tally Helper'!$B$51&lt;&gt;TRUE(),"not on Staff",SUMIFS('Tally Helper'!$L$53:$GI$53,'Tally Helper'!$L$51:$GI$51,"&gt;="&amp;$BR173,'Tally Helper'!$L$51:$GI$51,"&lt;="&amp;$BS173)))</f>
        <v/>
      </c>
      <c r="AO173" s="15" t="str">
        <f aca="false">IF(OR(S$7="",$BR173=""),"",IF('Tally Helper'!$B$54&lt;&gt;TRUE(),"not on Staff",SUMIFS('Tally Helper'!$L$56:$GI$56,'Tally Helper'!$L$54:$GI$54,"&gt;="&amp;$BR173,'Tally Helper'!$L$54:$GI$54,"&lt;="&amp;$BS173)))</f>
        <v/>
      </c>
      <c r="AP173" s="15" t="str">
        <f aca="false">IF(OR(T$7="",$BR173=""),"",IF('Tally Helper'!$B$57&lt;&gt;TRUE(),"not on Staff",SUMIFS('Tally Helper'!$L$59:$GI$59,'Tally Helper'!$L$57:$GI$57,"&gt;="&amp;$BR173,'Tally Helper'!$L$57:$GI$57,"&lt;="&amp;$BS173)))</f>
        <v/>
      </c>
      <c r="AQ173" s="15" t="str">
        <f aca="false">IF(OR(U$7="",$BR173=""),"",IF('Tally Helper'!$B$60&lt;&gt;TRUE(),"not on Staff",SUMIFS('Tally Helper'!$L$62:$GI$62,'Tally Helper'!$L$60:$GI$60,"&gt;="&amp;$BR173,'Tally Helper'!$L$60:$GI$60,"&lt;="&amp;$BS173)))</f>
        <v/>
      </c>
      <c r="AT173" s="15" t="str">
        <f aca="false">IF(OR(X173="",NOT(ISNUMBER(X173))),"",X173-N(B173))</f>
        <v/>
      </c>
      <c r="AU173" s="15" t="str">
        <f aca="false">IF(OR(Y173="",NOT(ISNUMBER(Y173))),"",Y173-N(C173))</f>
        <v/>
      </c>
      <c r="AV173" s="15" t="str">
        <f aca="false">IF(OR(Z173="",NOT(ISNUMBER(Z173))),"",Z173-N(D173))</f>
        <v/>
      </c>
      <c r="AW173" s="15" t="str">
        <f aca="false">IF(OR(AA173="",NOT(ISNUMBER(AA173))),"",AA173-N(E173))</f>
        <v/>
      </c>
      <c r="AX173" s="15" t="str">
        <f aca="false">IF(OR(AB173="",NOT(ISNUMBER(AB173))),"",AB173-N(F173))</f>
        <v/>
      </c>
      <c r="AY173" s="15" t="str">
        <f aca="false">IF(OR(AC173="",NOT(ISNUMBER(AC173))),"",AC173-N(G173))</f>
        <v/>
      </c>
      <c r="AZ173" s="15" t="str">
        <f aca="false">IF(OR(AD173="",NOT(ISNUMBER(AD173))),"",AD173-N(H173))</f>
        <v/>
      </c>
      <c r="BA173" s="15" t="str">
        <f aca="false">IF(OR(AE173="",NOT(ISNUMBER(AE173))),"",AE173-N(I173))</f>
        <v/>
      </c>
      <c r="BB173" s="15" t="str">
        <f aca="false">IF(OR(AF173="",NOT(ISNUMBER(AF173))),"",AF173-N(J173))</f>
        <v/>
      </c>
      <c r="BC173" s="15" t="str">
        <f aca="false">IF(OR(AG173="",NOT(ISNUMBER(AG173))),"",AG173-N(K173))</f>
        <v/>
      </c>
      <c r="BD173" s="15" t="str">
        <f aca="false">IF(OR(AH173="",NOT(ISNUMBER(AH173))),"",AH173-N(L173))</f>
        <v/>
      </c>
      <c r="BE173" s="15" t="str">
        <f aca="false">IF(OR(AI173="",NOT(ISNUMBER(AI173))),"",AI173-N(M173))</f>
        <v/>
      </c>
      <c r="BF173" s="15" t="str">
        <f aca="false">IF(OR(AJ173="",NOT(ISNUMBER(AJ173))),"",AJ173-N(N173))</f>
        <v/>
      </c>
      <c r="BG173" s="15" t="str">
        <f aca="false">IF(OR(AK173="",NOT(ISNUMBER(AK173))),"",AK173-N(O173))</f>
        <v/>
      </c>
      <c r="BH173" s="15" t="str">
        <f aca="false">IF(OR(AL173="",NOT(ISNUMBER(AL173))),"",AL173-N(P173))</f>
        <v/>
      </c>
      <c r="BI173" s="15" t="str">
        <f aca="false">IF(OR(AM173="",NOT(ISNUMBER(AM173))),"",AM173-N(Q173))</f>
        <v/>
      </c>
      <c r="BJ173" s="15" t="str">
        <f aca="false">IF(OR(AN173="",NOT(ISNUMBER(AN173))),"",AN173-N(R173))</f>
        <v/>
      </c>
      <c r="BK173" s="15" t="str">
        <f aca="false">IF(OR(AO173="",NOT(ISNUMBER(AO173))),"",AO173-N(S173))</f>
        <v/>
      </c>
      <c r="BL173" s="15" t="str">
        <f aca="false">IF(OR(AP173="",NOT(ISNUMBER(AP173))),"",AP173-N(T173))</f>
        <v/>
      </c>
      <c r="BM173" s="15" t="str">
        <f aca="false">IF(OR(AQ173="",NOT(ISNUMBER(AQ173))),"",AQ173-N(U173))</f>
        <v/>
      </c>
      <c r="BR173" s="18" t="str">
        <f aca="false">IF($A173="","",IF(ISNUMBER($A173),DATE(YEAR($A173),MONTH($A173),1),IFERROR(DATE(2000+VALUE(RIGHT(TRIM($A173),2)),MATCH(UPPER(LEFT(TRIM($A173),3)),{"JAN","FEB","MAR","APR","MAY","JUN","JUL","AUG","SEP","OCT","NOV","DEC"},0),1),"")))</f>
        <v/>
      </c>
      <c r="BS173" s="18" t="str">
        <f aca="false">IF(BR173="","",EOMONTH(BR173,0))</f>
        <v/>
      </c>
    </row>
    <row r="174" customFormat="false" ht="15" hidden="false" customHeight="false" outlineLevel="0" collapsed="false">
      <c r="B174" s="19"/>
      <c r="C174" s="19"/>
      <c r="D174" s="19"/>
      <c r="E174" s="19"/>
      <c r="F174" s="19"/>
      <c r="G174" s="19"/>
      <c r="H174" s="19"/>
      <c r="I174" s="19"/>
      <c r="J174" s="19"/>
      <c r="K174" s="19"/>
      <c r="L174" s="19"/>
      <c r="M174" s="19"/>
      <c r="N174" s="19"/>
      <c r="O174" s="19"/>
      <c r="P174" s="19"/>
      <c r="Q174" s="19"/>
      <c r="R174" s="19"/>
      <c r="S174" s="19"/>
      <c r="T174" s="19"/>
      <c r="U174" s="19"/>
      <c r="X174" s="15" t="str">
        <f aca="false">IF(OR(B$7="",$BR174=""),"",IF('Tally Helper'!$B$3&lt;&gt;TRUE(),"not on Staff",SUMIFS('Tally Helper'!$L$5:$GI$5,'Tally Helper'!$L$3:$GI$3,"&gt;="&amp;$BR174,'Tally Helper'!$L$3:$GI$3,"&lt;="&amp;$BS174)))</f>
        <v/>
      </c>
      <c r="Y174" s="15" t="str">
        <f aca="false">IF(OR(C$7="",$BR174=""),"",IF('Tally Helper'!$B$6&lt;&gt;TRUE(),"not on Staff",SUMIFS('Tally Helper'!$L$8:$GI$8,'Tally Helper'!$L$6:$GI$6,"&gt;="&amp;$BR174,'Tally Helper'!$L$6:$GI$6,"&lt;="&amp;$BS174)))</f>
        <v/>
      </c>
      <c r="Z174" s="15" t="str">
        <f aca="false">IF(OR(D$7="",$BR174=""),"",IF('Tally Helper'!$B$9&lt;&gt;TRUE(),"not on Staff",SUMIFS('Tally Helper'!$L$11:$GI$11,'Tally Helper'!$L$9:$GI$9,"&gt;="&amp;$BR174,'Tally Helper'!$L$9:$GI$9,"&lt;="&amp;$BS174)))</f>
        <v/>
      </c>
      <c r="AA174" s="15" t="str">
        <f aca="false">IF(OR(E$7="",$BR174=""),"",IF('Tally Helper'!$B$12&lt;&gt;TRUE(),"not on Staff",SUMIFS('Tally Helper'!$L$14:$GI$14,'Tally Helper'!$L$12:$GI$12,"&gt;="&amp;$BR174,'Tally Helper'!$L$12:$GI$12,"&lt;="&amp;$BS174)))</f>
        <v/>
      </c>
      <c r="AB174" s="15" t="str">
        <f aca="false">IF(OR(F$7="",$BR174=""),"",IF('Tally Helper'!$B$15&lt;&gt;TRUE(),"not on Staff",SUMIFS('Tally Helper'!$L$17:$GI$17,'Tally Helper'!$L$15:$GI$15,"&gt;="&amp;$BR174,'Tally Helper'!$L$15:$GI$15,"&lt;="&amp;$BS174)))</f>
        <v/>
      </c>
      <c r="AC174" s="15" t="str">
        <f aca="false">IF(OR(G$7="",$BR174=""),"",IF('Tally Helper'!$B$18&lt;&gt;TRUE(),"not on Staff",SUMIFS('Tally Helper'!$L$20:$GI$20,'Tally Helper'!$L$18:$GI$18,"&gt;="&amp;$BR174,'Tally Helper'!$L$18:$GI$18,"&lt;="&amp;$BS174)))</f>
        <v/>
      </c>
      <c r="AD174" s="15" t="str">
        <f aca="false">IF(OR(H$7="",$BR174=""),"",IF('Tally Helper'!$B$21&lt;&gt;TRUE(),"not on Staff",SUMIFS('Tally Helper'!$L$23:$GI$23,'Tally Helper'!$L$21:$GI$21,"&gt;="&amp;$BR174,'Tally Helper'!$L$21:$GI$21,"&lt;="&amp;$BS174)))</f>
        <v/>
      </c>
      <c r="AE174" s="15" t="str">
        <f aca="false">IF(OR(I$7="",$BR174=""),"",IF('Tally Helper'!$B$24&lt;&gt;TRUE(),"not on Staff",SUMIFS('Tally Helper'!$L$26:$GI$26,'Tally Helper'!$L$24:$GI$24,"&gt;="&amp;$BR174,'Tally Helper'!$L$24:$GI$24,"&lt;="&amp;$BS174)))</f>
        <v/>
      </c>
      <c r="AF174" s="15" t="str">
        <f aca="false">IF(OR(J$7="",$BR174=""),"",IF('Tally Helper'!$B$27&lt;&gt;TRUE(),"not on Staff",SUMIFS('Tally Helper'!$L$29:$GI$29,'Tally Helper'!$L$27:$GI$27,"&gt;="&amp;$BR174,'Tally Helper'!$L$27:$GI$27,"&lt;="&amp;$BS174)))</f>
        <v/>
      </c>
      <c r="AG174" s="15" t="str">
        <f aca="false">IF(OR(K$7="",$BR174=""),"",IF('Tally Helper'!$B$30&lt;&gt;TRUE(),"not on Staff",SUMIFS('Tally Helper'!$L$32:$GI$32,'Tally Helper'!$L$30:$GI$30,"&gt;="&amp;$BR174,'Tally Helper'!$L$30:$GI$30,"&lt;="&amp;$BS174)))</f>
        <v/>
      </c>
      <c r="AH174" s="15" t="str">
        <f aca="false">IF(OR(L$7="",$BR174=""),"",IF('Tally Helper'!$B$33&lt;&gt;TRUE(),"not on Staff",SUMIFS('Tally Helper'!$L$35:$GI$35,'Tally Helper'!$L$33:$GI$33,"&gt;="&amp;$BR174,'Tally Helper'!$L$33:$GI$33,"&lt;="&amp;$BS174)))</f>
        <v/>
      </c>
      <c r="AI174" s="15" t="str">
        <f aca="false">IF(OR(M$7="",$BR174=""),"",IF('Tally Helper'!$B$36&lt;&gt;TRUE(),"not on Staff",SUMIFS('Tally Helper'!$L$38:$GI$38,'Tally Helper'!$L$36:$GI$36,"&gt;="&amp;$BR174,'Tally Helper'!$L$36:$GI$36,"&lt;="&amp;$BS174)))</f>
        <v/>
      </c>
      <c r="AJ174" s="15" t="str">
        <f aca="false">IF(OR(N$7="",$BR174=""),"",IF('Tally Helper'!$B$39&lt;&gt;TRUE(),"not on Staff",SUMIFS('Tally Helper'!$L$41:$GI$41,'Tally Helper'!$L$39:$GI$39,"&gt;="&amp;$BR174,'Tally Helper'!$L$39:$GI$39,"&lt;="&amp;$BS174)))</f>
        <v/>
      </c>
      <c r="AK174" s="15" t="str">
        <f aca="false">IF(OR(O$7="",$BR174=""),"",IF('Tally Helper'!$B$42&lt;&gt;TRUE(),"not on Staff",SUMIFS('Tally Helper'!$L$44:$GI$44,'Tally Helper'!$L$42:$GI$42,"&gt;="&amp;$BR174,'Tally Helper'!$L$42:$GI$42,"&lt;="&amp;$BS174)))</f>
        <v/>
      </c>
      <c r="AL174" s="15" t="str">
        <f aca="false">IF(OR(P$7="",$BR174=""),"",IF('Tally Helper'!$B$45&lt;&gt;TRUE(),"not on Staff",SUMIFS('Tally Helper'!$L$47:$GI$47,'Tally Helper'!$L$45:$GI$45,"&gt;="&amp;$BR174,'Tally Helper'!$L$45:$GI$45,"&lt;="&amp;$BS174)))</f>
        <v/>
      </c>
      <c r="AM174" s="15" t="str">
        <f aca="false">IF(OR(Q$7="",$BR174=""),"",IF('Tally Helper'!$B$48&lt;&gt;TRUE(),"not on Staff",SUMIFS('Tally Helper'!$L$50:$GI$50,'Tally Helper'!$L$48:$GI$48,"&gt;="&amp;$BR174,'Tally Helper'!$L$48:$GI$48,"&lt;="&amp;$BS174)))</f>
        <v/>
      </c>
      <c r="AN174" s="15" t="str">
        <f aca="false">IF(OR(R$7="",$BR174=""),"",IF('Tally Helper'!$B$51&lt;&gt;TRUE(),"not on Staff",SUMIFS('Tally Helper'!$L$53:$GI$53,'Tally Helper'!$L$51:$GI$51,"&gt;="&amp;$BR174,'Tally Helper'!$L$51:$GI$51,"&lt;="&amp;$BS174)))</f>
        <v/>
      </c>
      <c r="AO174" s="15" t="str">
        <f aca="false">IF(OR(S$7="",$BR174=""),"",IF('Tally Helper'!$B$54&lt;&gt;TRUE(),"not on Staff",SUMIFS('Tally Helper'!$L$56:$GI$56,'Tally Helper'!$L$54:$GI$54,"&gt;="&amp;$BR174,'Tally Helper'!$L$54:$GI$54,"&lt;="&amp;$BS174)))</f>
        <v/>
      </c>
      <c r="AP174" s="15" t="str">
        <f aca="false">IF(OR(T$7="",$BR174=""),"",IF('Tally Helper'!$B$57&lt;&gt;TRUE(),"not on Staff",SUMIFS('Tally Helper'!$L$59:$GI$59,'Tally Helper'!$L$57:$GI$57,"&gt;="&amp;$BR174,'Tally Helper'!$L$57:$GI$57,"&lt;="&amp;$BS174)))</f>
        <v/>
      </c>
      <c r="AQ174" s="15" t="str">
        <f aca="false">IF(OR(U$7="",$BR174=""),"",IF('Tally Helper'!$B$60&lt;&gt;TRUE(),"not on Staff",SUMIFS('Tally Helper'!$L$62:$GI$62,'Tally Helper'!$L$60:$GI$60,"&gt;="&amp;$BR174,'Tally Helper'!$L$60:$GI$60,"&lt;="&amp;$BS174)))</f>
        <v/>
      </c>
      <c r="AT174" s="15" t="str">
        <f aca="false">IF(OR(X174="",NOT(ISNUMBER(X174))),"",X174-N(B174))</f>
        <v/>
      </c>
      <c r="AU174" s="15" t="str">
        <f aca="false">IF(OR(Y174="",NOT(ISNUMBER(Y174))),"",Y174-N(C174))</f>
        <v/>
      </c>
      <c r="AV174" s="15" t="str">
        <f aca="false">IF(OR(Z174="",NOT(ISNUMBER(Z174))),"",Z174-N(D174))</f>
        <v/>
      </c>
      <c r="AW174" s="15" t="str">
        <f aca="false">IF(OR(AA174="",NOT(ISNUMBER(AA174))),"",AA174-N(E174))</f>
        <v/>
      </c>
      <c r="AX174" s="15" t="str">
        <f aca="false">IF(OR(AB174="",NOT(ISNUMBER(AB174))),"",AB174-N(F174))</f>
        <v/>
      </c>
      <c r="AY174" s="15" t="str">
        <f aca="false">IF(OR(AC174="",NOT(ISNUMBER(AC174))),"",AC174-N(G174))</f>
        <v/>
      </c>
      <c r="AZ174" s="15" t="str">
        <f aca="false">IF(OR(AD174="",NOT(ISNUMBER(AD174))),"",AD174-N(H174))</f>
        <v/>
      </c>
      <c r="BA174" s="15" t="str">
        <f aca="false">IF(OR(AE174="",NOT(ISNUMBER(AE174))),"",AE174-N(I174))</f>
        <v/>
      </c>
      <c r="BB174" s="15" t="str">
        <f aca="false">IF(OR(AF174="",NOT(ISNUMBER(AF174))),"",AF174-N(J174))</f>
        <v/>
      </c>
      <c r="BC174" s="15" t="str">
        <f aca="false">IF(OR(AG174="",NOT(ISNUMBER(AG174))),"",AG174-N(K174))</f>
        <v/>
      </c>
      <c r="BD174" s="15" t="str">
        <f aca="false">IF(OR(AH174="",NOT(ISNUMBER(AH174))),"",AH174-N(L174))</f>
        <v/>
      </c>
      <c r="BE174" s="15" t="str">
        <f aca="false">IF(OR(AI174="",NOT(ISNUMBER(AI174))),"",AI174-N(M174))</f>
        <v/>
      </c>
      <c r="BF174" s="15" t="str">
        <f aca="false">IF(OR(AJ174="",NOT(ISNUMBER(AJ174))),"",AJ174-N(N174))</f>
        <v/>
      </c>
      <c r="BG174" s="15" t="str">
        <f aca="false">IF(OR(AK174="",NOT(ISNUMBER(AK174))),"",AK174-N(O174))</f>
        <v/>
      </c>
      <c r="BH174" s="15" t="str">
        <f aca="false">IF(OR(AL174="",NOT(ISNUMBER(AL174))),"",AL174-N(P174))</f>
        <v/>
      </c>
      <c r="BI174" s="15" t="str">
        <f aca="false">IF(OR(AM174="",NOT(ISNUMBER(AM174))),"",AM174-N(Q174))</f>
        <v/>
      </c>
      <c r="BJ174" s="15" t="str">
        <f aca="false">IF(OR(AN174="",NOT(ISNUMBER(AN174))),"",AN174-N(R174))</f>
        <v/>
      </c>
      <c r="BK174" s="15" t="str">
        <f aca="false">IF(OR(AO174="",NOT(ISNUMBER(AO174))),"",AO174-N(S174))</f>
        <v/>
      </c>
      <c r="BL174" s="15" t="str">
        <f aca="false">IF(OR(AP174="",NOT(ISNUMBER(AP174))),"",AP174-N(T174))</f>
        <v/>
      </c>
      <c r="BM174" s="15" t="str">
        <f aca="false">IF(OR(AQ174="",NOT(ISNUMBER(AQ174))),"",AQ174-N(U174))</f>
        <v/>
      </c>
      <c r="BR174" s="18" t="str">
        <f aca="false">IF($A174="","",IF(ISNUMBER($A174),DATE(YEAR($A174),MONTH($A174),1),IFERROR(DATE(2000+VALUE(RIGHT(TRIM($A174),2)),MATCH(UPPER(LEFT(TRIM($A174),3)),{"JAN","FEB","MAR","APR","MAY","JUN","JUL","AUG","SEP","OCT","NOV","DEC"},0),1),"")))</f>
        <v/>
      </c>
      <c r="BS174" s="18" t="str">
        <f aca="false">IF(BR174="","",EOMONTH(BR174,0))</f>
        <v/>
      </c>
    </row>
    <row r="175" customFormat="false" ht="15" hidden="false" customHeight="false" outlineLevel="0" collapsed="false">
      <c r="B175" s="19"/>
      <c r="C175" s="19"/>
      <c r="D175" s="19"/>
      <c r="E175" s="19"/>
      <c r="F175" s="19"/>
      <c r="G175" s="19"/>
      <c r="H175" s="19"/>
      <c r="I175" s="19"/>
      <c r="J175" s="19"/>
      <c r="K175" s="19"/>
      <c r="L175" s="19"/>
      <c r="M175" s="19"/>
      <c r="N175" s="19"/>
      <c r="O175" s="19"/>
      <c r="P175" s="19"/>
      <c r="Q175" s="19"/>
      <c r="R175" s="19"/>
      <c r="S175" s="19"/>
      <c r="T175" s="19"/>
      <c r="U175" s="19"/>
      <c r="X175" s="15" t="str">
        <f aca="false">IF(OR(B$7="",$BR175=""),"",IF('Tally Helper'!$B$3&lt;&gt;TRUE(),"not on Staff",SUMIFS('Tally Helper'!$L$5:$GI$5,'Tally Helper'!$L$3:$GI$3,"&gt;="&amp;$BR175,'Tally Helper'!$L$3:$GI$3,"&lt;="&amp;$BS175)))</f>
        <v/>
      </c>
      <c r="Y175" s="15" t="str">
        <f aca="false">IF(OR(C$7="",$BR175=""),"",IF('Tally Helper'!$B$6&lt;&gt;TRUE(),"not on Staff",SUMIFS('Tally Helper'!$L$8:$GI$8,'Tally Helper'!$L$6:$GI$6,"&gt;="&amp;$BR175,'Tally Helper'!$L$6:$GI$6,"&lt;="&amp;$BS175)))</f>
        <v/>
      </c>
      <c r="Z175" s="15" t="str">
        <f aca="false">IF(OR(D$7="",$BR175=""),"",IF('Tally Helper'!$B$9&lt;&gt;TRUE(),"not on Staff",SUMIFS('Tally Helper'!$L$11:$GI$11,'Tally Helper'!$L$9:$GI$9,"&gt;="&amp;$BR175,'Tally Helper'!$L$9:$GI$9,"&lt;="&amp;$BS175)))</f>
        <v/>
      </c>
      <c r="AA175" s="15" t="str">
        <f aca="false">IF(OR(E$7="",$BR175=""),"",IF('Tally Helper'!$B$12&lt;&gt;TRUE(),"not on Staff",SUMIFS('Tally Helper'!$L$14:$GI$14,'Tally Helper'!$L$12:$GI$12,"&gt;="&amp;$BR175,'Tally Helper'!$L$12:$GI$12,"&lt;="&amp;$BS175)))</f>
        <v/>
      </c>
      <c r="AB175" s="15" t="str">
        <f aca="false">IF(OR(F$7="",$BR175=""),"",IF('Tally Helper'!$B$15&lt;&gt;TRUE(),"not on Staff",SUMIFS('Tally Helper'!$L$17:$GI$17,'Tally Helper'!$L$15:$GI$15,"&gt;="&amp;$BR175,'Tally Helper'!$L$15:$GI$15,"&lt;="&amp;$BS175)))</f>
        <v/>
      </c>
      <c r="AC175" s="15" t="str">
        <f aca="false">IF(OR(G$7="",$BR175=""),"",IF('Tally Helper'!$B$18&lt;&gt;TRUE(),"not on Staff",SUMIFS('Tally Helper'!$L$20:$GI$20,'Tally Helper'!$L$18:$GI$18,"&gt;="&amp;$BR175,'Tally Helper'!$L$18:$GI$18,"&lt;="&amp;$BS175)))</f>
        <v/>
      </c>
      <c r="AD175" s="15" t="str">
        <f aca="false">IF(OR(H$7="",$BR175=""),"",IF('Tally Helper'!$B$21&lt;&gt;TRUE(),"not on Staff",SUMIFS('Tally Helper'!$L$23:$GI$23,'Tally Helper'!$L$21:$GI$21,"&gt;="&amp;$BR175,'Tally Helper'!$L$21:$GI$21,"&lt;="&amp;$BS175)))</f>
        <v/>
      </c>
      <c r="AE175" s="15" t="str">
        <f aca="false">IF(OR(I$7="",$BR175=""),"",IF('Tally Helper'!$B$24&lt;&gt;TRUE(),"not on Staff",SUMIFS('Tally Helper'!$L$26:$GI$26,'Tally Helper'!$L$24:$GI$24,"&gt;="&amp;$BR175,'Tally Helper'!$L$24:$GI$24,"&lt;="&amp;$BS175)))</f>
        <v/>
      </c>
      <c r="AF175" s="15" t="str">
        <f aca="false">IF(OR(J$7="",$BR175=""),"",IF('Tally Helper'!$B$27&lt;&gt;TRUE(),"not on Staff",SUMIFS('Tally Helper'!$L$29:$GI$29,'Tally Helper'!$L$27:$GI$27,"&gt;="&amp;$BR175,'Tally Helper'!$L$27:$GI$27,"&lt;="&amp;$BS175)))</f>
        <v/>
      </c>
      <c r="AG175" s="15" t="str">
        <f aca="false">IF(OR(K$7="",$BR175=""),"",IF('Tally Helper'!$B$30&lt;&gt;TRUE(),"not on Staff",SUMIFS('Tally Helper'!$L$32:$GI$32,'Tally Helper'!$L$30:$GI$30,"&gt;="&amp;$BR175,'Tally Helper'!$L$30:$GI$30,"&lt;="&amp;$BS175)))</f>
        <v/>
      </c>
      <c r="AH175" s="15" t="str">
        <f aca="false">IF(OR(L$7="",$BR175=""),"",IF('Tally Helper'!$B$33&lt;&gt;TRUE(),"not on Staff",SUMIFS('Tally Helper'!$L$35:$GI$35,'Tally Helper'!$L$33:$GI$33,"&gt;="&amp;$BR175,'Tally Helper'!$L$33:$GI$33,"&lt;="&amp;$BS175)))</f>
        <v/>
      </c>
      <c r="AI175" s="15" t="str">
        <f aca="false">IF(OR(M$7="",$BR175=""),"",IF('Tally Helper'!$B$36&lt;&gt;TRUE(),"not on Staff",SUMIFS('Tally Helper'!$L$38:$GI$38,'Tally Helper'!$L$36:$GI$36,"&gt;="&amp;$BR175,'Tally Helper'!$L$36:$GI$36,"&lt;="&amp;$BS175)))</f>
        <v/>
      </c>
      <c r="AJ175" s="15" t="str">
        <f aca="false">IF(OR(N$7="",$BR175=""),"",IF('Tally Helper'!$B$39&lt;&gt;TRUE(),"not on Staff",SUMIFS('Tally Helper'!$L$41:$GI$41,'Tally Helper'!$L$39:$GI$39,"&gt;="&amp;$BR175,'Tally Helper'!$L$39:$GI$39,"&lt;="&amp;$BS175)))</f>
        <v/>
      </c>
      <c r="AK175" s="15" t="str">
        <f aca="false">IF(OR(O$7="",$BR175=""),"",IF('Tally Helper'!$B$42&lt;&gt;TRUE(),"not on Staff",SUMIFS('Tally Helper'!$L$44:$GI$44,'Tally Helper'!$L$42:$GI$42,"&gt;="&amp;$BR175,'Tally Helper'!$L$42:$GI$42,"&lt;="&amp;$BS175)))</f>
        <v/>
      </c>
      <c r="AL175" s="15" t="str">
        <f aca="false">IF(OR(P$7="",$BR175=""),"",IF('Tally Helper'!$B$45&lt;&gt;TRUE(),"not on Staff",SUMIFS('Tally Helper'!$L$47:$GI$47,'Tally Helper'!$L$45:$GI$45,"&gt;="&amp;$BR175,'Tally Helper'!$L$45:$GI$45,"&lt;="&amp;$BS175)))</f>
        <v/>
      </c>
      <c r="AM175" s="15" t="str">
        <f aca="false">IF(OR(Q$7="",$BR175=""),"",IF('Tally Helper'!$B$48&lt;&gt;TRUE(),"not on Staff",SUMIFS('Tally Helper'!$L$50:$GI$50,'Tally Helper'!$L$48:$GI$48,"&gt;="&amp;$BR175,'Tally Helper'!$L$48:$GI$48,"&lt;="&amp;$BS175)))</f>
        <v/>
      </c>
      <c r="AN175" s="15" t="str">
        <f aca="false">IF(OR(R$7="",$BR175=""),"",IF('Tally Helper'!$B$51&lt;&gt;TRUE(),"not on Staff",SUMIFS('Tally Helper'!$L$53:$GI$53,'Tally Helper'!$L$51:$GI$51,"&gt;="&amp;$BR175,'Tally Helper'!$L$51:$GI$51,"&lt;="&amp;$BS175)))</f>
        <v/>
      </c>
      <c r="AO175" s="15" t="str">
        <f aca="false">IF(OR(S$7="",$BR175=""),"",IF('Tally Helper'!$B$54&lt;&gt;TRUE(),"not on Staff",SUMIFS('Tally Helper'!$L$56:$GI$56,'Tally Helper'!$L$54:$GI$54,"&gt;="&amp;$BR175,'Tally Helper'!$L$54:$GI$54,"&lt;="&amp;$BS175)))</f>
        <v/>
      </c>
      <c r="AP175" s="15" t="str">
        <f aca="false">IF(OR(T$7="",$BR175=""),"",IF('Tally Helper'!$B$57&lt;&gt;TRUE(),"not on Staff",SUMIFS('Tally Helper'!$L$59:$GI$59,'Tally Helper'!$L$57:$GI$57,"&gt;="&amp;$BR175,'Tally Helper'!$L$57:$GI$57,"&lt;="&amp;$BS175)))</f>
        <v/>
      </c>
      <c r="AQ175" s="15" t="str">
        <f aca="false">IF(OR(U$7="",$BR175=""),"",IF('Tally Helper'!$B$60&lt;&gt;TRUE(),"not on Staff",SUMIFS('Tally Helper'!$L$62:$GI$62,'Tally Helper'!$L$60:$GI$60,"&gt;="&amp;$BR175,'Tally Helper'!$L$60:$GI$60,"&lt;="&amp;$BS175)))</f>
        <v/>
      </c>
      <c r="AT175" s="15" t="str">
        <f aca="false">IF(OR(X175="",NOT(ISNUMBER(X175))),"",X175-N(B175))</f>
        <v/>
      </c>
      <c r="AU175" s="15" t="str">
        <f aca="false">IF(OR(Y175="",NOT(ISNUMBER(Y175))),"",Y175-N(C175))</f>
        <v/>
      </c>
      <c r="AV175" s="15" t="str">
        <f aca="false">IF(OR(Z175="",NOT(ISNUMBER(Z175))),"",Z175-N(D175))</f>
        <v/>
      </c>
      <c r="AW175" s="15" t="str">
        <f aca="false">IF(OR(AA175="",NOT(ISNUMBER(AA175))),"",AA175-N(E175))</f>
        <v/>
      </c>
      <c r="AX175" s="15" t="str">
        <f aca="false">IF(OR(AB175="",NOT(ISNUMBER(AB175))),"",AB175-N(F175))</f>
        <v/>
      </c>
      <c r="AY175" s="15" t="str">
        <f aca="false">IF(OR(AC175="",NOT(ISNUMBER(AC175))),"",AC175-N(G175))</f>
        <v/>
      </c>
      <c r="AZ175" s="15" t="str">
        <f aca="false">IF(OR(AD175="",NOT(ISNUMBER(AD175))),"",AD175-N(H175))</f>
        <v/>
      </c>
      <c r="BA175" s="15" t="str">
        <f aca="false">IF(OR(AE175="",NOT(ISNUMBER(AE175))),"",AE175-N(I175))</f>
        <v/>
      </c>
      <c r="BB175" s="15" t="str">
        <f aca="false">IF(OR(AF175="",NOT(ISNUMBER(AF175))),"",AF175-N(J175))</f>
        <v/>
      </c>
      <c r="BC175" s="15" t="str">
        <f aca="false">IF(OR(AG175="",NOT(ISNUMBER(AG175))),"",AG175-N(K175))</f>
        <v/>
      </c>
      <c r="BD175" s="15" t="str">
        <f aca="false">IF(OR(AH175="",NOT(ISNUMBER(AH175))),"",AH175-N(L175))</f>
        <v/>
      </c>
      <c r="BE175" s="15" t="str">
        <f aca="false">IF(OR(AI175="",NOT(ISNUMBER(AI175))),"",AI175-N(M175))</f>
        <v/>
      </c>
      <c r="BF175" s="15" t="str">
        <f aca="false">IF(OR(AJ175="",NOT(ISNUMBER(AJ175))),"",AJ175-N(N175))</f>
        <v/>
      </c>
      <c r="BG175" s="15" t="str">
        <f aca="false">IF(OR(AK175="",NOT(ISNUMBER(AK175))),"",AK175-N(O175))</f>
        <v/>
      </c>
      <c r="BH175" s="15" t="str">
        <f aca="false">IF(OR(AL175="",NOT(ISNUMBER(AL175))),"",AL175-N(P175))</f>
        <v/>
      </c>
      <c r="BI175" s="15" t="str">
        <f aca="false">IF(OR(AM175="",NOT(ISNUMBER(AM175))),"",AM175-N(Q175))</f>
        <v/>
      </c>
      <c r="BJ175" s="15" t="str">
        <f aca="false">IF(OR(AN175="",NOT(ISNUMBER(AN175))),"",AN175-N(R175))</f>
        <v/>
      </c>
      <c r="BK175" s="15" t="str">
        <f aca="false">IF(OR(AO175="",NOT(ISNUMBER(AO175))),"",AO175-N(S175))</f>
        <v/>
      </c>
      <c r="BL175" s="15" t="str">
        <f aca="false">IF(OR(AP175="",NOT(ISNUMBER(AP175))),"",AP175-N(T175))</f>
        <v/>
      </c>
      <c r="BM175" s="15" t="str">
        <f aca="false">IF(OR(AQ175="",NOT(ISNUMBER(AQ175))),"",AQ175-N(U175))</f>
        <v/>
      </c>
      <c r="BR175" s="18" t="str">
        <f aca="false">IF($A175="","",IF(ISNUMBER($A175),DATE(YEAR($A175),MONTH($A175),1),IFERROR(DATE(2000+VALUE(RIGHT(TRIM($A175),2)),MATCH(UPPER(LEFT(TRIM($A175),3)),{"JAN","FEB","MAR","APR","MAY","JUN","JUL","AUG","SEP","OCT","NOV","DEC"},0),1),"")))</f>
        <v/>
      </c>
      <c r="BS175" s="18" t="str">
        <f aca="false">IF(BR175="","",EOMONTH(BR175,0))</f>
        <v/>
      </c>
    </row>
    <row r="176" customFormat="false" ht="15" hidden="false" customHeight="false" outlineLevel="0" collapsed="false">
      <c r="B176" s="19"/>
      <c r="C176" s="19"/>
      <c r="D176" s="19"/>
      <c r="E176" s="19"/>
      <c r="F176" s="19"/>
      <c r="G176" s="19"/>
      <c r="H176" s="19"/>
      <c r="I176" s="19"/>
      <c r="J176" s="19"/>
      <c r="K176" s="19"/>
      <c r="L176" s="19"/>
      <c r="M176" s="19"/>
      <c r="N176" s="19"/>
      <c r="O176" s="19"/>
      <c r="P176" s="19"/>
      <c r="Q176" s="19"/>
      <c r="R176" s="19"/>
      <c r="S176" s="19"/>
      <c r="T176" s="19"/>
      <c r="U176" s="19"/>
      <c r="X176" s="15" t="str">
        <f aca="false">IF(OR(B$7="",$BR176=""),"",IF('Tally Helper'!$B$3&lt;&gt;TRUE(),"not on Staff",SUMIFS('Tally Helper'!$L$5:$GI$5,'Tally Helper'!$L$3:$GI$3,"&gt;="&amp;$BR176,'Tally Helper'!$L$3:$GI$3,"&lt;="&amp;$BS176)))</f>
        <v/>
      </c>
      <c r="Y176" s="15" t="str">
        <f aca="false">IF(OR(C$7="",$BR176=""),"",IF('Tally Helper'!$B$6&lt;&gt;TRUE(),"not on Staff",SUMIFS('Tally Helper'!$L$8:$GI$8,'Tally Helper'!$L$6:$GI$6,"&gt;="&amp;$BR176,'Tally Helper'!$L$6:$GI$6,"&lt;="&amp;$BS176)))</f>
        <v/>
      </c>
      <c r="Z176" s="15" t="str">
        <f aca="false">IF(OR(D$7="",$BR176=""),"",IF('Tally Helper'!$B$9&lt;&gt;TRUE(),"not on Staff",SUMIFS('Tally Helper'!$L$11:$GI$11,'Tally Helper'!$L$9:$GI$9,"&gt;="&amp;$BR176,'Tally Helper'!$L$9:$GI$9,"&lt;="&amp;$BS176)))</f>
        <v/>
      </c>
      <c r="AA176" s="15" t="str">
        <f aca="false">IF(OR(E$7="",$BR176=""),"",IF('Tally Helper'!$B$12&lt;&gt;TRUE(),"not on Staff",SUMIFS('Tally Helper'!$L$14:$GI$14,'Tally Helper'!$L$12:$GI$12,"&gt;="&amp;$BR176,'Tally Helper'!$L$12:$GI$12,"&lt;="&amp;$BS176)))</f>
        <v/>
      </c>
      <c r="AB176" s="15" t="str">
        <f aca="false">IF(OR(F$7="",$BR176=""),"",IF('Tally Helper'!$B$15&lt;&gt;TRUE(),"not on Staff",SUMIFS('Tally Helper'!$L$17:$GI$17,'Tally Helper'!$L$15:$GI$15,"&gt;="&amp;$BR176,'Tally Helper'!$L$15:$GI$15,"&lt;="&amp;$BS176)))</f>
        <v/>
      </c>
      <c r="AC176" s="15" t="str">
        <f aca="false">IF(OR(G$7="",$BR176=""),"",IF('Tally Helper'!$B$18&lt;&gt;TRUE(),"not on Staff",SUMIFS('Tally Helper'!$L$20:$GI$20,'Tally Helper'!$L$18:$GI$18,"&gt;="&amp;$BR176,'Tally Helper'!$L$18:$GI$18,"&lt;="&amp;$BS176)))</f>
        <v/>
      </c>
      <c r="AD176" s="15" t="str">
        <f aca="false">IF(OR(H$7="",$BR176=""),"",IF('Tally Helper'!$B$21&lt;&gt;TRUE(),"not on Staff",SUMIFS('Tally Helper'!$L$23:$GI$23,'Tally Helper'!$L$21:$GI$21,"&gt;="&amp;$BR176,'Tally Helper'!$L$21:$GI$21,"&lt;="&amp;$BS176)))</f>
        <v/>
      </c>
      <c r="AE176" s="15" t="str">
        <f aca="false">IF(OR(I$7="",$BR176=""),"",IF('Tally Helper'!$B$24&lt;&gt;TRUE(),"not on Staff",SUMIFS('Tally Helper'!$L$26:$GI$26,'Tally Helper'!$L$24:$GI$24,"&gt;="&amp;$BR176,'Tally Helper'!$L$24:$GI$24,"&lt;="&amp;$BS176)))</f>
        <v/>
      </c>
      <c r="AF176" s="15" t="str">
        <f aca="false">IF(OR(J$7="",$BR176=""),"",IF('Tally Helper'!$B$27&lt;&gt;TRUE(),"not on Staff",SUMIFS('Tally Helper'!$L$29:$GI$29,'Tally Helper'!$L$27:$GI$27,"&gt;="&amp;$BR176,'Tally Helper'!$L$27:$GI$27,"&lt;="&amp;$BS176)))</f>
        <v/>
      </c>
      <c r="AG176" s="15" t="str">
        <f aca="false">IF(OR(K$7="",$BR176=""),"",IF('Tally Helper'!$B$30&lt;&gt;TRUE(),"not on Staff",SUMIFS('Tally Helper'!$L$32:$GI$32,'Tally Helper'!$L$30:$GI$30,"&gt;="&amp;$BR176,'Tally Helper'!$L$30:$GI$30,"&lt;="&amp;$BS176)))</f>
        <v/>
      </c>
      <c r="AH176" s="15" t="str">
        <f aca="false">IF(OR(L$7="",$BR176=""),"",IF('Tally Helper'!$B$33&lt;&gt;TRUE(),"not on Staff",SUMIFS('Tally Helper'!$L$35:$GI$35,'Tally Helper'!$L$33:$GI$33,"&gt;="&amp;$BR176,'Tally Helper'!$L$33:$GI$33,"&lt;="&amp;$BS176)))</f>
        <v/>
      </c>
      <c r="AI176" s="15" t="str">
        <f aca="false">IF(OR(M$7="",$BR176=""),"",IF('Tally Helper'!$B$36&lt;&gt;TRUE(),"not on Staff",SUMIFS('Tally Helper'!$L$38:$GI$38,'Tally Helper'!$L$36:$GI$36,"&gt;="&amp;$BR176,'Tally Helper'!$L$36:$GI$36,"&lt;="&amp;$BS176)))</f>
        <v/>
      </c>
      <c r="AJ176" s="15" t="str">
        <f aca="false">IF(OR(N$7="",$BR176=""),"",IF('Tally Helper'!$B$39&lt;&gt;TRUE(),"not on Staff",SUMIFS('Tally Helper'!$L$41:$GI$41,'Tally Helper'!$L$39:$GI$39,"&gt;="&amp;$BR176,'Tally Helper'!$L$39:$GI$39,"&lt;="&amp;$BS176)))</f>
        <v/>
      </c>
      <c r="AK176" s="15" t="str">
        <f aca="false">IF(OR(O$7="",$BR176=""),"",IF('Tally Helper'!$B$42&lt;&gt;TRUE(),"not on Staff",SUMIFS('Tally Helper'!$L$44:$GI$44,'Tally Helper'!$L$42:$GI$42,"&gt;="&amp;$BR176,'Tally Helper'!$L$42:$GI$42,"&lt;="&amp;$BS176)))</f>
        <v/>
      </c>
      <c r="AL176" s="15" t="str">
        <f aca="false">IF(OR(P$7="",$BR176=""),"",IF('Tally Helper'!$B$45&lt;&gt;TRUE(),"not on Staff",SUMIFS('Tally Helper'!$L$47:$GI$47,'Tally Helper'!$L$45:$GI$45,"&gt;="&amp;$BR176,'Tally Helper'!$L$45:$GI$45,"&lt;="&amp;$BS176)))</f>
        <v/>
      </c>
      <c r="AM176" s="15" t="str">
        <f aca="false">IF(OR(Q$7="",$BR176=""),"",IF('Tally Helper'!$B$48&lt;&gt;TRUE(),"not on Staff",SUMIFS('Tally Helper'!$L$50:$GI$50,'Tally Helper'!$L$48:$GI$48,"&gt;="&amp;$BR176,'Tally Helper'!$L$48:$GI$48,"&lt;="&amp;$BS176)))</f>
        <v/>
      </c>
      <c r="AN176" s="15" t="str">
        <f aca="false">IF(OR(R$7="",$BR176=""),"",IF('Tally Helper'!$B$51&lt;&gt;TRUE(),"not on Staff",SUMIFS('Tally Helper'!$L$53:$GI$53,'Tally Helper'!$L$51:$GI$51,"&gt;="&amp;$BR176,'Tally Helper'!$L$51:$GI$51,"&lt;="&amp;$BS176)))</f>
        <v/>
      </c>
      <c r="AO176" s="15" t="str">
        <f aca="false">IF(OR(S$7="",$BR176=""),"",IF('Tally Helper'!$B$54&lt;&gt;TRUE(),"not on Staff",SUMIFS('Tally Helper'!$L$56:$GI$56,'Tally Helper'!$L$54:$GI$54,"&gt;="&amp;$BR176,'Tally Helper'!$L$54:$GI$54,"&lt;="&amp;$BS176)))</f>
        <v/>
      </c>
      <c r="AP176" s="15" t="str">
        <f aca="false">IF(OR(T$7="",$BR176=""),"",IF('Tally Helper'!$B$57&lt;&gt;TRUE(),"not on Staff",SUMIFS('Tally Helper'!$L$59:$GI$59,'Tally Helper'!$L$57:$GI$57,"&gt;="&amp;$BR176,'Tally Helper'!$L$57:$GI$57,"&lt;="&amp;$BS176)))</f>
        <v/>
      </c>
      <c r="AQ176" s="15" t="str">
        <f aca="false">IF(OR(U$7="",$BR176=""),"",IF('Tally Helper'!$B$60&lt;&gt;TRUE(),"not on Staff",SUMIFS('Tally Helper'!$L$62:$GI$62,'Tally Helper'!$L$60:$GI$60,"&gt;="&amp;$BR176,'Tally Helper'!$L$60:$GI$60,"&lt;="&amp;$BS176)))</f>
        <v/>
      </c>
      <c r="AT176" s="15" t="str">
        <f aca="false">IF(OR(X176="",NOT(ISNUMBER(X176))),"",X176-N(B176))</f>
        <v/>
      </c>
      <c r="AU176" s="15" t="str">
        <f aca="false">IF(OR(Y176="",NOT(ISNUMBER(Y176))),"",Y176-N(C176))</f>
        <v/>
      </c>
      <c r="AV176" s="15" t="str">
        <f aca="false">IF(OR(Z176="",NOT(ISNUMBER(Z176))),"",Z176-N(D176))</f>
        <v/>
      </c>
      <c r="AW176" s="15" t="str">
        <f aca="false">IF(OR(AA176="",NOT(ISNUMBER(AA176))),"",AA176-N(E176))</f>
        <v/>
      </c>
      <c r="AX176" s="15" t="str">
        <f aca="false">IF(OR(AB176="",NOT(ISNUMBER(AB176))),"",AB176-N(F176))</f>
        <v/>
      </c>
      <c r="AY176" s="15" t="str">
        <f aca="false">IF(OR(AC176="",NOT(ISNUMBER(AC176))),"",AC176-N(G176))</f>
        <v/>
      </c>
      <c r="AZ176" s="15" t="str">
        <f aca="false">IF(OR(AD176="",NOT(ISNUMBER(AD176))),"",AD176-N(H176))</f>
        <v/>
      </c>
      <c r="BA176" s="15" t="str">
        <f aca="false">IF(OR(AE176="",NOT(ISNUMBER(AE176))),"",AE176-N(I176))</f>
        <v/>
      </c>
      <c r="BB176" s="15" t="str">
        <f aca="false">IF(OR(AF176="",NOT(ISNUMBER(AF176))),"",AF176-N(J176))</f>
        <v/>
      </c>
      <c r="BC176" s="15" t="str">
        <f aca="false">IF(OR(AG176="",NOT(ISNUMBER(AG176))),"",AG176-N(K176))</f>
        <v/>
      </c>
      <c r="BD176" s="15" t="str">
        <f aca="false">IF(OR(AH176="",NOT(ISNUMBER(AH176))),"",AH176-N(L176))</f>
        <v/>
      </c>
      <c r="BE176" s="15" t="str">
        <f aca="false">IF(OR(AI176="",NOT(ISNUMBER(AI176))),"",AI176-N(M176))</f>
        <v/>
      </c>
      <c r="BF176" s="15" t="str">
        <f aca="false">IF(OR(AJ176="",NOT(ISNUMBER(AJ176))),"",AJ176-N(N176))</f>
        <v/>
      </c>
      <c r="BG176" s="15" t="str">
        <f aca="false">IF(OR(AK176="",NOT(ISNUMBER(AK176))),"",AK176-N(O176))</f>
        <v/>
      </c>
      <c r="BH176" s="15" t="str">
        <f aca="false">IF(OR(AL176="",NOT(ISNUMBER(AL176))),"",AL176-N(P176))</f>
        <v/>
      </c>
      <c r="BI176" s="15" t="str">
        <f aca="false">IF(OR(AM176="",NOT(ISNUMBER(AM176))),"",AM176-N(Q176))</f>
        <v/>
      </c>
      <c r="BJ176" s="15" t="str">
        <f aca="false">IF(OR(AN176="",NOT(ISNUMBER(AN176))),"",AN176-N(R176))</f>
        <v/>
      </c>
      <c r="BK176" s="15" t="str">
        <f aca="false">IF(OR(AO176="",NOT(ISNUMBER(AO176))),"",AO176-N(S176))</f>
        <v/>
      </c>
      <c r="BL176" s="15" t="str">
        <f aca="false">IF(OR(AP176="",NOT(ISNUMBER(AP176))),"",AP176-N(T176))</f>
        <v/>
      </c>
      <c r="BM176" s="15" t="str">
        <f aca="false">IF(OR(AQ176="",NOT(ISNUMBER(AQ176))),"",AQ176-N(U176))</f>
        <v/>
      </c>
      <c r="BR176" s="18" t="str">
        <f aca="false">IF($A176="","",IF(ISNUMBER($A176),DATE(YEAR($A176),MONTH($A176),1),IFERROR(DATE(2000+VALUE(RIGHT(TRIM($A176),2)),MATCH(UPPER(LEFT(TRIM($A176),3)),{"JAN","FEB","MAR","APR","MAY","JUN","JUL","AUG","SEP","OCT","NOV","DEC"},0),1),"")))</f>
        <v/>
      </c>
      <c r="BS176" s="18" t="str">
        <f aca="false">IF(BR176="","",EOMONTH(BR176,0))</f>
        <v/>
      </c>
    </row>
    <row r="177" customFormat="false" ht="15" hidden="false" customHeight="false" outlineLevel="0" collapsed="false">
      <c r="B177" s="19"/>
      <c r="C177" s="19"/>
      <c r="D177" s="19"/>
      <c r="E177" s="19"/>
      <c r="F177" s="19"/>
      <c r="G177" s="19"/>
      <c r="H177" s="19"/>
      <c r="I177" s="19"/>
      <c r="J177" s="19"/>
      <c r="K177" s="19"/>
      <c r="L177" s="19"/>
      <c r="M177" s="19"/>
      <c r="N177" s="19"/>
      <c r="O177" s="19"/>
      <c r="P177" s="19"/>
      <c r="Q177" s="19"/>
      <c r="R177" s="19"/>
      <c r="S177" s="19"/>
      <c r="T177" s="19"/>
      <c r="U177" s="19"/>
      <c r="X177" s="15" t="str">
        <f aca="false">IF(OR(B$7="",$BR177=""),"",IF('Tally Helper'!$B$3&lt;&gt;TRUE(),"not on Staff",SUMIFS('Tally Helper'!$L$5:$GI$5,'Tally Helper'!$L$3:$GI$3,"&gt;="&amp;$BR177,'Tally Helper'!$L$3:$GI$3,"&lt;="&amp;$BS177)))</f>
        <v/>
      </c>
      <c r="Y177" s="15" t="str">
        <f aca="false">IF(OR(C$7="",$BR177=""),"",IF('Tally Helper'!$B$6&lt;&gt;TRUE(),"not on Staff",SUMIFS('Tally Helper'!$L$8:$GI$8,'Tally Helper'!$L$6:$GI$6,"&gt;="&amp;$BR177,'Tally Helper'!$L$6:$GI$6,"&lt;="&amp;$BS177)))</f>
        <v/>
      </c>
      <c r="Z177" s="15" t="str">
        <f aca="false">IF(OR(D$7="",$BR177=""),"",IF('Tally Helper'!$B$9&lt;&gt;TRUE(),"not on Staff",SUMIFS('Tally Helper'!$L$11:$GI$11,'Tally Helper'!$L$9:$GI$9,"&gt;="&amp;$BR177,'Tally Helper'!$L$9:$GI$9,"&lt;="&amp;$BS177)))</f>
        <v/>
      </c>
      <c r="AA177" s="15" t="str">
        <f aca="false">IF(OR(E$7="",$BR177=""),"",IF('Tally Helper'!$B$12&lt;&gt;TRUE(),"not on Staff",SUMIFS('Tally Helper'!$L$14:$GI$14,'Tally Helper'!$L$12:$GI$12,"&gt;="&amp;$BR177,'Tally Helper'!$L$12:$GI$12,"&lt;="&amp;$BS177)))</f>
        <v/>
      </c>
      <c r="AB177" s="15" t="str">
        <f aca="false">IF(OR(F$7="",$BR177=""),"",IF('Tally Helper'!$B$15&lt;&gt;TRUE(),"not on Staff",SUMIFS('Tally Helper'!$L$17:$GI$17,'Tally Helper'!$L$15:$GI$15,"&gt;="&amp;$BR177,'Tally Helper'!$L$15:$GI$15,"&lt;="&amp;$BS177)))</f>
        <v/>
      </c>
      <c r="AC177" s="15" t="str">
        <f aca="false">IF(OR(G$7="",$BR177=""),"",IF('Tally Helper'!$B$18&lt;&gt;TRUE(),"not on Staff",SUMIFS('Tally Helper'!$L$20:$GI$20,'Tally Helper'!$L$18:$GI$18,"&gt;="&amp;$BR177,'Tally Helper'!$L$18:$GI$18,"&lt;="&amp;$BS177)))</f>
        <v/>
      </c>
      <c r="AD177" s="15" t="str">
        <f aca="false">IF(OR(H$7="",$BR177=""),"",IF('Tally Helper'!$B$21&lt;&gt;TRUE(),"not on Staff",SUMIFS('Tally Helper'!$L$23:$GI$23,'Tally Helper'!$L$21:$GI$21,"&gt;="&amp;$BR177,'Tally Helper'!$L$21:$GI$21,"&lt;="&amp;$BS177)))</f>
        <v/>
      </c>
      <c r="AE177" s="15" t="str">
        <f aca="false">IF(OR(I$7="",$BR177=""),"",IF('Tally Helper'!$B$24&lt;&gt;TRUE(),"not on Staff",SUMIFS('Tally Helper'!$L$26:$GI$26,'Tally Helper'!$L$24:$GI$24,"&gt;="&amp;$BR177,'Tally Helper'!$L$24:$GI$24,"&lt;="&amp;$BS177)))</f>
        <v/>
      </c>
      <c r="AF177" s="15" t="str">
        <f aca="false">IF(OR(J$7="",$BR177=""),"",IF('Tally Helper'!$B$27&lt;&gt;TRUE(),"not on Staff",SUMIFS('Tally Helper'!$L$29:$GI$29,'Tally Helper'!$L$27:$GI$27,"&gt;="&amp;$BR177,'Tally Helper'!$L$27:$GI$27,"&lt;="&amp;$BS177)))</f>
        <v/>
      </c>
      <c r="AG177" s="15" t="str">
        <f aca="false">IF(OR(K$7="",$BR177=""),"",IF('Tally Helper'!$B$30&lt;&gt;TRUE(),"not on Staff",SUMIFS('Tally Helper'!$L$32:$GI$32,'Tally Helper'!$L$30:$GI$30,"&gt;="&amp;$BR177,'Tally Helper'!$L$30:$GI$30,"&lt;="&amp;$BS177)))</f>
        <v/>
      </c>
      <c r="AH177" s="15" t="str">
        <f aca="false">IF(OR(L$7="",$BR177=""),"",IF('Tally Helper'!$B$33&lt;&gt;TRUE(),"not on Staff",SUMIFS('Tally Helper'!$L$35:$GI$35,'Tally Helper'!$L$33:$GI$33,"&gt;="&amp;$BR177,'Tally Helper'!$L$33:$GI$33,"&lt;="&amp;$BS177)))</f>
        <v/>
      </c>
      <c r="AI177" s="15" t="str">
        <f aca="false">IF(OR(M$7="",$BR177=""),"",IF('Tally Helper'!$B$36&lt;&gt;TRUE(),"not on Staff",SUMIFS('Tally Helper'!$L$38:$GI$38,'Tally Helper'!$L$36:$GI$36,"&gt;="&amp;$BR177,'Tally Helper'!$L$36:$GI$36,"&lt;="&amp;$BS177)))</f>
        <v/>
      </c>
      <c r="AJ177" s="15" t="str">
        <f aca="false">IF(OR(N$7="",$BR177=""),"",IF('Tally Helper'!$B$39&lt;&gt;TRUE(),"not on Staff",SUMIFS('Tally Helper'!$L$41:$GI$41,'Tally Helper'!$L$39:$GI$39,"&gt;="&amp;$BR177,'Tally Helper'!$L$39:$GI$39,"&lt;="&amp;$BS177)))</f>
        <v/>
      </c>
      <c r="AK177" s="15" t="str">
        <f aca="false">IF(OR(O$7="",$BR177=""),"",IF('Tally Helper'!$B$42&lt;&gt;TRUE(),"not on Staff",SUMIFS('Tally Helper'!$L$44:$GI$44,'Tally Helper'!$L$42:$GI$42,"&gt;="&amp;$BR177,'Tally Helper'!$L$42:$GI$42,"&lt;="&amp;$BS177)))</f>
        <v/>
      </c>
      <c r="AL177" s="15" t="str">
        <f aca="false">IF(OR(P$7="",$BR177=""),"",IF('Tally Helper'!$B$45&lt;&gt;TRUE(),"not on Staff",SUMIFS('Tally Helper'!$L$47:$GI$47,'Tally Helper'!$L$45:$GI$45,"&gt;="&amp;$BR177,'Tally Helper'!$L$45:$GI$45,"&lt;="&amp;$BS177)))</f>
        <v/>
      </c>
      <c r="AM177" s="15" t="str">
        <f aca="false">IF(OR(Q$7="",$BR177=""),"",IF('Tally Helper'!$B$48&lt;&gt;TRUE(),"not on Staff",SUMIFS('Tally Helper'!$L$50:$GI$50,'Tally Helper'!$L$48:$GI$48,"&gt;="&amp;$BR177,'Tally Helper'!$L$48:$GI$48,"&lt;="&amp;$BS177)))</f>
        <v/>
      </c>
      <c r="AN177" s="15" t="str">
        <f aca="false">IF(OR(R$7="",$BR177=""),"",IF('Tally Helper'!$B$51&lt;&gt;TRUE(),"not on Staff",SUMIFS('Tally Helper'!$L$53:$GI$53,'Tally Helper'!$L$51:$GI$51,"&gt;="&amp;$BR177,'Tally Helper'!$L$51:$GI$51,"&lt;="&amp;$BS177)))</f>
        <v/>
      </c>
      <c r="AO177" s="15" t="str">
        <f aca="false">IF(OR(S$7="",$BR177=""),"",IF('Tally Helper'!$B$54&lt;&gt;TRUE(),"not on Staff",SUMIFS('Tally Helper'!$L$56:$GI$56,'Tally Helper'!$L$54:$GI$54,"&gt;="&amp;$BR177,'Tally Helper'!$L$54:$GI$54,"&lt;="&amp;$BS177)))</f>
        <v/>
      </c>
      <c r="AP177" s="15" t="str">
        <f aca="false">IF(OR(T$7="",$BR177=""),"",IF('Tally Helper'!$B$57&lt;&gt;TRUE(),"not on Staff",SUMIFS('Tally Helper'!$L$59:$GI$59,'Tally Helper'!$L$57:$GI$57,"&gt;="&amp;$BR177,'Tally Helper'!$L$57:$GI$57,"&lt;="&amp;$BS177)))</f>
        <v/>
      </c>
      <c r="AQ177" s="15" t="str">
        <f aca="false">IF(OR(U$7="",$BR177=""),"",IF('Tally Helper'!$B$60&lt;&gt;TRUE(),"not on Staff",SUMIFS('Tally Helper'!$L$62:$GI$62,'Tally Helper'!$L$60:$GI$60,"&gt;="&amp;$BR177,'Tally Helper'!$L$60:$GI$60,"&lt;="&amp;$BS177)))</f>
        <v/>
      </c>
      <c r="AT177" s="15" t="str">
        <f aca="false">IF(OR(X177="",NOT(ISNUMBER(X177))),"",X177-N(B177))</f>
        <v/>
      </c>
      <c r="AU177" s="15" t="str">
        <f aca="false">IF(OR(Y177="",NOT(ISNUMBER(Y177))),"",Y177-N(C177))</f>
        <v/>
      </c>
      <c r="AV177" s="15" t="str">
        <f aca="false">IF(OR(Z177="",NOT(ISNUMBER(Z177))),"",Z177-N(D177))</f>
        <v/>
      </c>
      <c r="AW177" s="15" t="str">
        <f aca="false">IF(OR(AA177="",NOT(ISNUMBER(AA177))),"",AA177-N(E177))</f>
        <v/>
      </c>
      <c r="AX177" s="15" t="str">
        <f aca="false">IF(OR(AB177="",NOT(ISNUMBER(AB177))),"",AB177-N(F177))</f>
        <v/>
      </c>
      <c r="AY177" s="15" t="str">
        <f aca="false">IF(OR(AC177="",NOT(ISNUMBER(AC177))),"",AC177-N(G177))</f>
        <v/>
      </c>
      <c r="AZ177" s="15" t="str">
        <f aca="false">IF(OR(AD177="",NOT(ISNUMBER(AD177))),"",AD177-N(H177))</f>
        <v/>
      </c>
      <c r="BA177" s="15" t="str">
        <f aca="false">IF(OR(AE177="",NOT(ISNUMBER(AE177))),"",AE177-N(I177))</f>
        <v/>
      </c>
      <c r="BB177" s="15" t="str">
        <f aca="false">IF(OR(AF177="",NOT(ISNUMBER(AF177))),"",AF177-N(J177))</f>
        <v/>
      </c>
      <c r="BC177" s="15" t="str">
        <f aca="false">IF(OR(AG177="",NOT(ISNUMBER(AG177))),"",AG177-N(K177))</f>
        <v/>
      </c>
      <c r="BD177" s="15" t="str">
        <f aca="false">IF(OR(AH177="",NOT(ISNUMBER(AH177))),"",AH177-N(L177))</f>
        <v/>
      </c>
      <c r="BE177" s="15" t="str">
        <f aca="false">IF(OR(AI177="",NOT(ISNUMBER(AI177))),"",AI177-N(M177))</f>
        <v/>
      </c>
      <c r="BF177" s="15" t="str">
        <f aca="false">IF(OR(AJ177="",NOT(ISNUMBER(AJ177))),"",AJ177-N(N177))</f>
        <v/>
      </c>
      <c r="BG177" s="15" t="str">
        <f aca="false">IF(OR(AK177="",NOT(ISNUMBER(AK177))),"",AK177-N(O177))</f>
        <v/>
      </c>
      <c r="BH177" s="15" t="str">
        <f aca="false">IF(OR(AL177="",NOT(ISNUMBER(AL177))),"",AL177-N(P177))</f>
        <v/>
      </c>
      <c r="BI177" s="15" t="str">
        <f aca="false">IF(OR(AM177="",NOT(ISNUMBER(AM177))),"",AM177-N(Q177))</f>
        <v/>
      </c>
      <c r="BJ177" s="15" t="str">
        <f aca="false">IF(OR(AN177="",NOT(ISNUMBER(AN177))),"",AN177-N(R177))</f>
        <v/>
      </c>
      <c r="BK177" s="15" t="str">
        <f aca="false">IF(OR(AO177="",NOT(ISNUMBER(AO177))),"",AO177-N(S177))</f>
        <v/>
      </c>
      <c r="BL177" s="15" t="str">
        <f aca="false">IF(OR(AP177="",NOT(ISNUMBER(AP177))),"",AP177-N(T177))</f>
        <v/>
      </c>
      <c r="BM177" s="15" t="str">
        <f aca="false">IF(OR(AQ177="",NOT(ISNUMBER(AQ177))),"",AQ177-N(U177))</f>
        <v/>
      </c>
      <c r="BR177" s="18" t="str">
        <f aca="false">IF($A177="","",IF(ISNUMBER($A177),DATE(YEAR($A177),MONTH($A177),1),IFERROR(DATE(2000+VALUE(RIGHT(TRIM($A177),2)),MATCH(UPPER(LEFT(TRIM($A177),3)),{"JAN","FEB","MAR","APR","MAY","JUN","JUL","AUG","SEP","OCT","NOV","DEC"},0),1),"")))</f>
        <v/>
      </c>
      <c r="BS177" s="18" t="str">
        <f aca="false">IF(BR177="","",EOMONTH(BR177,0))</f>
        <v/>
      </c>
    </row>
    <row r="178" customFormat="false" ht="15" hidden="false" customHeight="false" outlineLevel="0" collapsed="false">
      <c r="B178" s="19"/>
      <c r="C178" s="19"/>
      <c r="D178" s="19"/>
      <c r="E178" s="19"/>
      <c r="F178" s="19"/>
      <c r="G178" s="19"/>
      <c r="H178" s="19"/>
      <c r="I178" s="19"/>
      <c r="J178" s="19"/>
      <c r="K178" s="19"/>
      <c r="L178" s="19"/>
      <c r="M178" s="19"/>
      <c r="N178" s="19"/>
      <c r="O178" s="19"/>
      <c r="P178" s="19"/>
      <c r="Q178" s="19"/>
      <c r="R178" s="19"/>
      <c r="S178" s="19"/>
      <c r="T178" s="19"/>
      <c r="U178" s="19"/>
      <c r="X178" s="15" t="str">
        <f aca="false">IF(OR(B$7="",$BR178=""),"",IF('Tally Helper'!$B$3&lt;&gt;TRUE(),"not on Staff",SUMIFS('Tally Helper'!$L$5:$GI$5,'Tally Helper'!$L$3:$GI$3,"&gt;="&amp;$BR178,'Tally Helper'!$L$3:$GI$3,"&lt;="&amp;$BS178)))</f>
        <v/>
      </c>
      <c r="Y178" s="15" t="str">
        <f aca="false">IF(OR(C$7="",$BR178=""),"",IF('Tally Helper'!$B$6&lt;&gt;TRUE(),"not on Staff",SUMIFS('Tally Helper'!$L$8:$GI$8,'Tally Helper'!$L$6:$GI$6,"&gt;="&amp;$BR178,'Tally Helper'!$L$6:$GI$6,"&lt;="&amp;$BS178)))</f>
        <v/>
      </c>
      <c r="Z178" s="15" t="str">
        <f aca="false">IF(OR(D$7="",$BR178=""),"",IF('Tally Helper'!$B$9&lt;&gt;TRUE(),"not on Staff",SUMIFS('Tally Helper'!$L$11:$GI$11,'Tally Helper'!$L$9:$GI$9,"&gt;="&amp;$BR178,'Tally Helper'!$L$9:$GI$9,"&lt;="&amp;$BS178)))</f>
        <v/>
      </c>
      <c r="AA178" s="15" t="str">
        <f aca="false">IF(OR(E$7="",$BR178=""),"",IF('Tally Helper'!$B$12&lt;&gt;TRUE(),"not on Staff",SUMIFS('Tally Helper'!$L$14:$GI$14,'Tally Helper'!$L$12:$GI$12,"&gt;="&amp;$BR178,'Tally Helper'!$L$12:$GI$12,"&lt;="&amp;$BS178)))</f>
        <v/>
      </c>
      <c r="AB178" s="15" t="str">
        <f aca="false">IF(OR(F$7="",$BR178=""),"",IF('Tally Helper'!$B$15&lt;&gt;TRUE(),"not on Staff",SUMIFS('Tally Helper'!$L$17:$GI$17,'Tally Helper'!$L$15:$GI$15,"&gt;="&amp;$BR178,'Tally Helper'!$L$15:$GI$15,"&lt;="&amp;$BS178)))</f>
        <v/>
      </c>
      <c r="AC178" s="15" t="str">
        <f aca="false">IF(OR(G$7="",$BR178=""),"",IF('Tally Helper'!$B$18&lt;&gt;TRUE(),"not on Staff",SUMIFS('Tally Helper'!$L$20:$GI$20,'Tally Helper'!$L$18:$GI$18,"&gt;="&amp;$BR178,'Tally Helper'!$L$18:$GI$18,"&lt;="&amp;$BS178)))</f>
        <v/>
      </c>
      <c r="AD178" s="15" t="str">
        <f aca="false">IF(OR(H$7="",$BR178=""),"",IF('Tally Helper'!$B$21&lt;&gt;TRUE(),"not on Staff",SUMIFS('Tally Helper'!$L$23:$GI$23,'Tally Helper'!$L$21:$GI$21,"&gt;="&amp;$BR178,'Tally Helper'!$L$21:$GI$21,"&lt;="&amp;$BS178)))</f>
        <v/>
      </c>
      <c r="AE178" s="15" t="str">
        <f aca="false">IF(OR(I$7="",$BR178=""),"",IF('Tally Helper'!$B$24&lt;&gt;TRUE(),"not on Staff",SUMIFS('Tally Helper'!$L$26:$GI$26,'Tally Helper'!$L$24:$GI$24,"&gt;="&amp;$BR178,'Tally Helper'!$L$24:$GI$24,"&lt;="&amp;$BS178)))</f>
        <v/>
      </c>
      <c r="AF178" s="15" t="str">
        <f aca="false">IF(OR(J$7="",$BR178=""),"",IF('Tally Helper'!$B$27&lt;&gt;TRUE(),"not on Staff",SUMIFS('Tally Helper'!$L$29:$GI$29,'Tally Helper'!$L$27:$GI$27,"&gt;="&amp;$BR178,'Tally Helper'!$L$27:$GI$27,"&lt;="&amp;$BS178)))</f>
        <v/>
      </c>
      <c r="AG178" s="15" t="str">
        <f aca="false">IF(OR(K$7="",$BR178=""),"",IF('Tally Helper'!$B$30&lt;&gt;TRUE(),"not on Staff",SUMIFS('Tally Helper'!$L$32:$GI$32,'Tally Helper'!$L$30:$GI$30,"&gt;="&amp;$BR178,'Tally Helper'!$L$30:$GI$30,"&lt;="&amp;$BS178)))</f>
        <v/>
      </c>
      <c r="AH178" s="15" t="str">
        <f aca="false">IF(OR(L$7="",$BR178=""),"",IF('Tally Helper'!$B$33&lt;&gt;TRUE(),"not on Staff",SUMIFS('Tally Helper'!$L$35:$GI$35,'Tally Helper'!$L$33:$GI$33,"&gt;="&amp;$BR178,'Tally Helper'!$L$33:$GI$33,"&lt;="&amp;$BS178)))</f>
        <v/>
      </c>
      <c r="AI178" s="15" t="str">
        <f aca="false">IF(OR(M$7="",$BR178=""),"",IF('Tally Helper'!$B$36&lt;&gt;TRUE(),"not on Staff",SUMIFS('Tally Helper'!$L$38:$GI$38,'Tally Helper'!$L$36:$GI$36,"&gt;="&amp;$BR178,'Tally Helper'!$L$36:$GI$36,"&lt;="&amp;$BS178)))</f>
        <v/>
      </c>
      <c r="AJ178" s="15" t="str">
        <f aca="false">IF(OR(N$7="",$BR178=""),"",IF('Tally Helper'!$B$39&lt;&gt;TRUE(),"not on Staff",SUMIFS('Tally Helper'!$L$41:$GI$41,'Tally Helper'!$L$39:$GI$39,"&gt;="&amp;$BR178,'Tally Helper'!$L$39:$GI$39,"&lt;="&amp;$BS178)))</f>
        <v/>
      </c>
      <c r="AK178" s="15" t="str">
        <f aca="false">IF(OR(O$7="",$BR178=""),"",IF('Tally Helper'!$B$42&lt;&gt;TRUE(),"not on Staff",SUMIFS('Tally Helper'!$L$44:$GI$44,'Tally Helper'!$L$42:$GI$42,"&gt;="&amp;$BR178,'Tally Helper'!$L$42:$GI$42,"&lt;="&amp;$BS178)))</f>
        <v/>
      </c>
      <c r="AL178" s="15" t="str">
        <f aca="false">IF(OR(P$7="",$BR178=""),"",IF('Tally Helper'!$B$45&lt;&gt;TRUE(),"not on Staff",SUMIFS('Tally Helper'!$L$47:$GI$47,'Tally Helper'!$L$45:$GI$45,"&gt;="&amp;$BR178,'Tally Helper'!$L$45:$GI$45,"&lt;="&amp;$BS178)))</f>
        <v/>
      </c>
      <c r="AM178" s="15" t="str">
        <f aca="false">IF(OR(Q$7="",$BR178=""),"",IF('Tally Helper'!$B$48&lt;&gt;TRUE(),"not on Staff",SUMIFS('Tally Helper'!$L$50:$GI$50,'Tally Helper'!$L$48:$GI$48,"&gt;="&amp;$BR178,'Tally Helper'!$L$48:$GI$48,"&lt;="&amp;$BS178)))</f>
        <v/>
      </c>
      <c r="AN178" s="15" t="str">
        <f aca="false">IF(OR(R$7="",$BR178=""),"",IF('Tally Helper'!$B$51&lt;&gt;TRUE(),"not on Staff",SUMIFS('Tally Helper'!$L$53:$GI$53,'Tally Helper'!$L$51:$GI$51,"&gt;="&amp;$BR178,'Tally Helper'!$L$51:$GI$51,"&lt;="&amp;$BS178)))</f>
        <v/>
      </c>
      <c r="AO178" s="15" t="str">
        <f aca="false">IF(OR(S$7="",$BR178=""),"",IF('Tally Helper'!$B$54&lt;&gt;TRUE(),"not on Staff",SUMIFS('Tally Helper'!$L$56:$GI$56,'Tally Helper'!$L$54:$GI$54,"&gt;="&amp;$BR178,'Tally Helper'!$L$54:$GI$54,"&lt;="&amp;$BS178)))</f>
        <v/>
      </c>
      <c r="AP178" s="15" t="str">
        <f aca="false">IF(OR(T$7="",$BR178=""),"",IF('Tally Helper'!$B$57&lt;&gt;TRUE(),"not on Staff",SUMIFS('Tally Helper'!$L$59:$GI$59,'Tally Helper'!$L$57:$GI$57,"&gt;="&amp;$BR178,'Tally Helper'!$L$57:$GI$57,"&lt;="&amp;$BS178)))</f>
        <v/>
      </c>
      <c r="AQ178" s="15" t="str">
        <f aca="false">IF(OR(U$7="",$BR178=""),"",IF('Tally Helper'!$B$60&lt;&gt;TRUE(),"not on Staff",SUMIFS('Tally Helper'!$L$62:$GI$62,'Tally Helper'!$L$60:$GI$60,"&gt;="&amp;$BR178,'Tally Helper'!$L$60:$GI$60,"&lt;="&amp;$BS178)))</f>
        <v/>
      </c>
      <c r="AT178" s="15" t="str">
        <f aca="false">IF(OR(X178="",NOT(ISNUMBER(X178))),"",X178-N(B178))</f>
        <v/>
      </c>
      <c r="AU178" s="15" t="str">
        <f aca="false">IF(OR(Y178="",NOT(ISNUMBER(Y178))),"",Y178-N(C178))</f>
        <v/>
      </c>
      <c r="AV178" s="15" t="str">
        <f aca="false">IF(OR(Z178="",NOT(ISNUMBER(Z178))),"",Z178-N(D178))</f>
        <v/>
      </c>
      <c r="AW178" s="15" t="str">
        <f aca="false">IF(OR(AA178="",NOT(ISNUMBER(AA178))),"",AA178-N(E178))</f>
        <v/>
      </c>
      <c r="AX178" s="15" t="str">
        <f aca="false">IF(OR(AB178="",NOT(ISNUMBER(AB178))),"",AB178-N(F178))</f>
        <v/>
      </c>
      <c r="AY178" s="15" t="str">
        <f aca="false">IF(OR(AC178="",NOT(ISNUMBER(AC178))),"",AC178-N(G178))</f>
        <v/>
      </c>
      <c r="AZ178" s="15" t="str">
        <f aca="false">IF(OR(AD178="",NOT(ISNUMBER(AD178))),"",AD178-N(H178))</f>
        <v/>
      </c>
      <c r="BA178" s="15" t="str">
        <f aca="false">IF(OR(AE178="",NOT(ISNUMBER(AE178))),"",AE178-N(I178))</f>
        <v/>
      </c>
      <c r="BB178" s="15" t="str">
        <f aca="false">IF(OR(AF178="",NOT(ISNUMBER(AF178))),"",AF178-N(J178))</f>
        <v/>
      </c>
      <c r="BC178" s="15" t="str">
        <f aca="false">IF(OR(AG178="",NOT(ISNUMBER(AG178))),"",AG178-N(K178))</f>
        <v/>
      </c>
      <c r="BD178" s="15" t="str">
        <f aca="false">IF(OR(AH178="",NOT(ISNUMBER(AH178))),"",AH178-N(L178))</f>
        <v/>
      </c>
      <c r="BE178" s="15" t="str">
        <f aca="false">IF(OR(AI178="",NOT(ISNUMBER(AI178))),"",AI178-N(M178))</f>
        <v/>
      </c>
      <c r="BF178" s="15" t="str">
        <f aca="false">IF(OR(AJ178="",NOT(ISNUMBER(AJ178))),"",AJ178-N(N178))</f>
        <v/>
      </c>
      <c r="BG178" s="15" t="str">
        <f aca="false">IF(OR(AK178="",NOT(ISNUMBER(AK178))),"",AK178-N(O178))</f>
        <v/>
      </c>
      <c r="BH178" s="15" t="str">
        <f aca="false">IF(OR(AL178="",NOT(ISNUMBER(AL178))),"",AL178-N(P178))</f>
        <v/>
      </c>
      <c r="BI178" s="15" t="str">
        <f aca="false">IF(OR(AM178="",NOT(ISNUMBER(AM178))),"",AM178-N(Q178))</f>
        <v/>
      </c>
      <c r="BJ178" s="15" t="str">
        <f aca="false">IF(OR(AN178="",NOT(ISNUMBER(AN178))),"",AN178-N(R178))</f>
        <v/>
      </c>
      <c r="BK178" s="15" t="str">
        <f aca="false">IF(OR(AO178="",NOT(ISNUMBER(AO178))),"",AO178-N(S178))</f>
        <v/>
      </c>
      <c r="BL178" s="15" t="str">
        <f aca="false">IF(OR(AP178="",NOT(ISNUMBER(AP178))),"",AP178-N(T178))</f>
        <v/>
      </c>
      <c r="BM178" s="15" t="str">
        <f aca="false">IF(OR(AQ178="",NOT(ISNUMBER(AQ178))),"",AQ178-N(U178))</f>
        <v/>
      </c>
      <c r="BR178" s="18" t="str">
        <f aca="false">IF($A178="","",IF(ISNUMBER($A178),DATE(YEAR($A178),MONTH($A178),1),IFERROR(DATE(2000+VALUE(RIGHT(TRIM($A178),2)),MATCH(UPPER(LEFT(TRIM($A178),3)),{"JAN","FEB","MAR","APR","MAY","JUN","JUL","AUG","SEP","OCT","NOV","DEC"},0),1),"")))</f>
        <v/>
      </c>
      <c r="BS178" s="18" t="str">
        <f aca="false">IF(BR178="","",EOMONTH(BR178,0))</f>
        <v/>
      </c>
    </row>
    <row r="179" customFormat="false" ht="15" hidden="false" customHeight="false" outlineLevel="0" collapsed="false">
      <c r="B179" s="19"/>
      <c r="C179" s="19"/>
      <c r="D179" s="19"/>
      <c r="E179" s="19"/>
      <c r="F179" s="19"/>
      <c r="G179" s="19"/>
      <c r="H179" s="19"/>
      <c r="I179" s="19"/>
      <c r="J179" s="19"/>
      <c r="K179" s="19"/>
      <c r="L179" s="19"/>
      <c r="M179" s="19"/>
      <c r="N179" s="19"/>
      <c r="O179" s="19"/>
      <c r="P179" s="19"/>
      <c r="Q179" s="19"/>
      <c r="R179" s="19"/>
      <c r="S179" s="19"/>
      <c r="T179" s="19"/>
      <c r="U179" s="19"/>
      <c r="X179" s="15" t="str">
        <f aca="false">IF(OR(B$7="",$BR179=""),"",IF('Tally Helper'!$B$3&lt;&gt;TRUE(),"not on Staff",SUMIFS('Tally Helper'!$L$5:$GI$5,'Tally Helper'!$L$3:$GI$3,"&gt;="&amp;$BR179,'Tally Helper'!$L$3:$GI$3,"&lt;="&amp;$BS179)))</f>
        <v/>
      </c>
      <c r="Y179" s="15" t="str">
        <f aca="false">IF(OR(C$7="",$BR179=""),"",IF('Tally Helper'!$B$6&lt;&gt;TRUE(),"not on Staff",SUMIFS('Tally Helper'!$L$8:$GI$8,'Tally Helper'!$L$6:$GI$6,"&gt;="&amp;$BR179,'Tally Helper'!$L$6:$GI$6,"&lt;="&amp;$BS179)))</f>
        <v/>
      </c>
      <c r="Z179" s="15" t="str">
        <f aca="false">IF(OR(D$7="",$BR179=""),"",IF('Tally Helper'!$B$9&lt;&gt;TRUE(),"not on Staff",SUMIFS('Tally Helper'!$L$11:$GI$11,'Tally Helper'!$L$9:$GI$9,"&gt;="&amp;$BR179,'Tally Helper'!$L$9:$GI$9,"&lt;="&amp;$BS179)))</f>
        <v/>
      </c>
      <c r="AA179" s="15" t="str">
        <f aca="false">IF(OR(E$7="",$BR179=""),"",IF('Tally Helper'!$B$12&lt;&gt;TRUE(),"not on Staff",SUMIFS('Tally Helper'!$L$14:$GI$14,'Tally Helper'!$L$12:$GI$12,"&gt;="&amp;$BR179,'Tally Helper'!$L$12:$GI$12,"&lt;="&amp;$BS179)))</f>
        <v/>
      </c>
      <c r="AB179" s="15" t="str">
        <f aca="false">IF(OR(F$7="",$BR179=""),"",IF('Tally Helper'!$B$15&lt;&gt;TRUE(),"not on Staff",SUMIFS('Tally Helper'!$L$17:$GI$17,'Tally Helper'!$L$15:$GI$15,"&gt;="&amp;$BR179,'Tally Helper'!$L$15:$GI$15,"&lt;="&amp;$BS179)))</f>
        <v/>
      </c>
      <c r="AC179" s="15" t="str">
        <f aca="false">IF(OR(G$7="",$BR179=""),"",IF('Tally Helper'!$B$18&lt;&gt;TRUE(),"not on Staff",SUMIFS('Tally Helper'!$L$20:$GI$20,'Tally Helper'!$L$18:$GI$18,"&gt;="&amp;$BR179,'Tally Helper'!$L$18:$GI$18,"&lt;="&amp;$BS179)))</f>
        <v/>
      </c>
      <c r="AD179" s="15" t="str">
        <f aca="false">IF(OR(H$7="",$BR179=""),"",IF('Tally Helper'!$B$21&lt;&gt;TRUE(),"not on Staff",SUMIFS('Tally Helper'!$L$23:$GI$23,'Tally Helper'!$L$21:$GI$21,"&gt;="&amp;$BR179,'Tally Helper'!$L$21:$GI$21,"&lt;="&amp;$BS179)))</f>
        <v/>
      </c>
      <c r="AE179" s="15" t="str">
        <f aca="false">IF(OR(I$7="",$BR179=""),"",IF('Tally Helper'!$B$24&lt;&gt;TRUE(),"not on Staff",SUMIFS('Tally Helper'!$L$26:$GI$26,'Tally Helper'!$L$24:$GI$24,"&gt;="&amp;$BR179,'Tally Helper'!$L$24:$GI$24,"&lt;="&amp;$BS179)))</f>
        <v/>
      </c>
      <c r="AF179" s="15" t="str">
        <f aca="false">IF(OR(J$7="",$BR179=""),"",IF('Tally Helper'!$B$27&lt;&gt;TRUE(),"not on Staff",SUMIFS('Tally Helper'!$L$29:$GI$29,'Tally Helper'!$L$27:$GI$27,"&gt;="&amp;$BR179,'Tally Helper'!$L$27:$GI$27,"&lt;="&amp;$BS179)))</f>
        <v/>
      </c>
      <c r="AG179" s="15" t="str">
        <f aca="false">IF(OR(K$7="",$BR179=""),"",IF('Tally Helper'!$B$30&lt;&gt;TRUE(),"not on Staff",SUMIFS('Tally Helper'!$L$32:$GI$32,'Tally Helper'!$L$30:$GI$30,"&gt;="&amp;$BR179,'Tally Helper'!$L$30:$GI$30,"&lt;="&amp;$BS179)))</f>
        <v/>
      </c>
      <c r="AH179" s="15" t="str">
        <f aca="false">IF(OR(L$7="",$BR179=""),"",IF('Tally Helper'!$B$33&lt;&gt;TRUE(),"not on Staff",SUMIFS('Tally Helper'!$L$35:$GI$35,'Tally Helper'!$L$33:$GI$33,"&gt;="&amp;$BR179,'Tally Helper'!$L$33:$GI$33,"&lt;="&amp;$BS179)))</f>
        <v/>
      </c>
      <c r="AI179" s="15" t="str">
        <f aca="false">IF(OR(M$7="",$BR179=""),"",IF('Tally Helper'!$B$36&lt;&gt;TRUE(),"not on Staff",SUMIFS('Tally Helper'!$L$38:$GI$38,'Tally Helper'!$L$36:$GI$36,"&gt;="&amp;$BR179,'Tally Helper'!$L$36:$GI$36,"&lt;="&amp;$BS179)))</f>
        <v/>
      </c>
      <c r="AJ179" s="15" t="str">
        <f aca="false">IF(OR(N$7="",$BR179=""),"",IF('Tally Helper'!$B$39&lt;&gt;TRUE(),"not on Staff",SUMIFS('Tally Helper'!$L$41:$GI$41,'Tally Helper'!$L$39:$GI$39,"&gt;="&amp;$BR179,'Tally Helper'!$L$39:$GI$39,"&lt;="&amp;$BS179)))</f>
        <v/>
      </c>
      <c r="AK179" s="15" t="str">
        <f aca="false">IF(OR(O$7="",$BR179=""),"",IF('Tally Helper'!$B$42&lt;&gt;TRUE(),"not on Staff",SUMIFS('Tally Helper'!$L$44:$GI$44,'Tally Helper'!$L$42:$GI$42,"&gt;="&amp;$BR179,'Tally Helper'!$L$42:$GI$42,"&lt;="&amp;$BS179)))</f>
        <v/>
      </c>
      <c r="AL179" s="15" t="str">
        <f aca="false">IF(OR(P$7="",$BR179=""),"",IF('Tally Helper'!$B$45&lt;&gt;TRUE(),"not on Staff",SUMIFS('Tally Helper'!$L$47:$GI$47,'Tally Helper'!$L$45:$GI$45,"&gt;="&amp;$BR179,'Tally Helper'!$L$45:$GI$45,"&lt;="&amp;$BS179)))</f>
        <v/>
      </c>
      <c r="AM179" s="15" t="str">
        <f aca="false">IF(OR(Q$7="",$BR179=""),"",IF('Tally Helper'!$B$48&lt;&gt;TRUE(),"not on Staff",SUMIFS('Tally Helper'!$L$50:$GI$50,'Tally Helper'!$L$48:$GI$48,"&gt;="&amp;$BR179,'Tally Helper'!$L$48:$GI$48,"&lt;="&amp;$BS179)))</f>
        <v/>
      </c>
      <c r="AN179" s="15" t="str">
        <f aca="false">IF(OR(R$7="",$BR179=""),"",IF('Tally Helper'!$B$51&lt;&gt;TRUE(),"not on Staff",SUMIFS('Tally Helper'!$L$53:$GI$53,'Tally Helper'!$L$51:$GI$51,"&gt;="&amp;$BR179,'Tally Helper'!$L$51:$GI$51,"&lt;="&amp;$BS179)))</f>
        <v/>
      </c>
      <c r="AO179" s="15" t="str">
        <f aca="false">IF(OR(S$7="",$BR179=""),"",IF('Tally Helper'!$B$54&lt;&gt;TRUE(),"not on Staff",SUMIFS('Tally Helper'!$L$56:$GI$56,'Tally Helper'!$L$54:$GI$54,"&gt;="&amp;$BR179,'Tally Helper'!$L$54:$GI$54,"&lt;="&amp;$BS179)))</f>
        <v/>
      </c>
      <c r="AP179" s="15" t="str">
        <f aca="false">IF(OR(T$7="",$BR179=""),"",IF('Tally Helper'!$B$57&lt;&gt;TRUE(),"not on Staff",SUMIFS('Tally Helper'!$L$59:$GI$59,'Tally Helper'!$L$57:$GI$57,"&gt;="&amp;$BR179,'Tally Helper'!$L$57:$GI$57,"&lt;="&amp;$BS179)))</f>
        <v/>
      </c>
      <c r="AQ179" s="15" t="str">
        <f aca="false">IF(OR(U$7="",$BR179=""),"",IF('Tally Helper'!$B$60&lt;&gt;TRUE(),"not on Staff",SUMIFS('Tally Helper'!$L$62:$GI$62,'Tally Helper'!$L$60:$GI$60,"&gt;="&amp;$BR179,'Tally Helper'!$L$60:$GI$60,"&lt;="&amp;$BS179)))</f>
        <v/>
      </c>
      <c r="AT179" s="15" t="str">
        <f aca="false">IF(OR(X179="",NOT(ISNUMBER(X179))),"",X179-N(B179))</f>
        <v/>
      </c>
      <c r="AU179" s="15" t="str">
        <f aca="false">IF(OR(Y179="",NOT(ISNUMBER(Y179))),"",Y179-N(C179))</f>
        <v/>
      </c>
      <c r="AV179" s="15" t="str">
        <f aca="false">IF(OR(Z179="",NOT(ISNUMBER(Z179))),"",Z179-N(D179))</f>
        <v/>
      </c>
      <c r="AW179" s="15" t="str">
        <f aca="false">IF(OR(AA179="",NOT(ISNUMBER(AA179))),"",AA179-N(E179))</f>
        <v/>
      </c>
      <c r="AX179" s="15" t="str">
        <f aca="false">IF(OR(AB179="",NOT(ISNUMBER(AB179))),"",AB179-N(F179))</f>
        <v/>
      </c>
      <c r="AY179" s="15" t="str">
        <f aca="false">IF(OR(AC179="",NOT(ISNUMBER(AC179))),"",AC179-N(G179))</f>
        <v/>
      </c>
      <c r="AZ179" s="15" t="str">
        <f aca="false">IF(OR(AD179="",NOT(ISNUMBER(AD179))),"",AD179-N(H179))</f>
        <v/>
      </c>
      <c r="BA179" s="15" t="str">
        <f aca="false">IF(OR(AE179="",NOT(ISNUMBER(AE179))),"",AE179-N(I179))</f>
        <v/>
      </c>
      <c r="BB179" s="15" t="str">
        <f aca="false">IF(OR(AF179="",NOT(ISNUMBER(AF179))),"",AF179-N(J179))</f>
        <v/>
      </c>
      <c r="BC179" s="15" t="str">
        <f aca="false">IF(OR(AG179="",NOT(ISNUMBER(AG179))),"",AG179-N(K179))</f>
        <v/>
      </c>
      <c r="BD179" s="15" t="str">
        <f aca="false">IF(OR(AH179="",NOT(ISNUMBER(AH179))),"",AH179-N(L179))</f>
        <v/>
      </c>
      <c r="BE179" s="15" t="str">
        <f aca="false">IF(OR(AI179="",NOT(ISNUMBER(AI179))),"",AI179-N(M179))</f>
        <v/>
      </c>
      <c r="BF179" s="15" t="str">
        <f aca="false">IF(OR(AJ179="",NOT(ISNUMBER(AJ179))),"",AJ179-N(N179))</f>
        <v/>
      </c>
      <c r="BG179" s="15" t="str">
        <f aca="false">IF(OR(AK179="",NOT(ISNUMBER(AK179))),"",AK179-N(O179))</f>
        <v/>
      </c>
      <c r="BH179" s="15" t="str">
        <f aca="false">IF(OR(AL179="",NOT(ISNUMBER(AL179))),"",AL179-N(P179))</f>
        <v/>
      </c>
      <c r="BI179" s="15" t="str">
        <f aca="false">IF(OR(AM179="",NOT(ISNUMBER(AM179))),"",AM179-N(Q179))</f>
        <v/>
      </c>
      <c r="BJ179" s="15" t="str">
        <f aca="false">IF(OR(AN179="",NOT(ISNUMBER(AN179))),"",AN179-N(R179))</f>
        <v/>
      </c>
      <c r="BK179" s="15" t="str">
        <f aca="false">IF(OR(AO179="",NOT(ISNUMBER(AO179))),"",AO179-N(S179))</f>
        <v/>
      </c>
      <c r="BL179" s="15" t="str">
        <f aca="false">IF(OR(AP179="",NOT(ISNUMBER(AP179))),"",AP179-N(T179))</f>
        <v/>
      </c>
      <c r="BM179" s="15" t="str">
        <f aca="false">IF(OR(AQ179="",NOT(ISNUMBER(AQ179))),"",AQ179-N(U179))</f>
        <v/>
      </c>
      <c r="BR179" s="18" t="str">
        <f aca="false">IF($A179="","",IF(ISNUMBER($A179),DATE(YEAR($A179),MONTH($A179),1),IFERROR(DATE(2000+VALUE(RIGHT(TRIM($A179),2)),MATCH(UPPER(LEFT(TRIM($A179),3)),{"JAN","FEB","MAR","APR","MAY","JUN","JUL","AUG","SEP","OCT","NOV","DEC"},0),1),"")))</f>
        <v/>
      </c>
      <c r="BS179" s="18" t="str">
        <f aca="false">IF(BR179="","",EOMONTH(BR179,0))</f>
        <v/>
      </c>
    </row>
    <row r="180" customFormat="false" ht="15" hidden="false" customHeight="false" outlineLevel="0" collapsed="false">
      <c r="B180" s="19"/>
      <c r="C180" s="19"/>
      <c r="D180" s="19"/>
      <c r="E180" s="19"/>
      <c r="F180" s="19"/>
      <c r="G180" s="19"/>
      <c r="H180" s="19"/>
      <c r="I180" s="19"/>
      <c r="J180" s="19"/>
      <c r="K180" s="19"/>
      <c r="L180" s="19"/>
      <c r="M180" s="19"/>
      <c r="N180" s="19"/>
      <c r="O180" s="19"/>
      <c r="P180" s="19"/>
      <c r="Q180" s="19"/>
      <c r="R180" s="19"/>
      <c r="S180" s="19"/>
      <c r="T180" s="19"/>
      <c r="U180" s="19"/>
      <c r="X180" s="15" t="str">
        <f aca="false">IF(OR(B$7="",$BR180=""),"",IF('Tally Helper'!$B$3&lt;&gt;TRUE(),"not on Staff",SUMIFS('Tally Helper'!$L$5:$GI$5,'Tally Helper'!$L$3:$GI$3,"&gt;="&amp;$BR180,'Tally Helper'!$L$3:$GI$3,"&lt;="&amp;$BS180)))</f>
        <v/>
      </c>
      <c r="Y180" s="15" t="str">
        <f aca="false">IF(OR(C$7="",$BR180=""),"",IF('Tally Helper'!$B$6&lt;&gt;TRUE(),"not on Staff",SUMIFS('Tally Helper'!$L$8:$GI$8,'Tally Helper'!$L$6:$GI$6,"&gt;="&amp;$BR180,'Tally Helper'!$L$6:$GI$6,"&lt;="&amp;$BS180)))</f>
        <v/>
      </c>
      <c r="Z180" s="15" t="str">
        <f aca="false">IF(OR(D$7="",$BR180=""),"",IF('Tally Helper'!$B$9&lt;&gt;TRUE(),"not on Staff",SUMIFS('Tally Helper'!$L$11:$GI$11,'Tally Helper'!$L$9:$GI$9,"&gt;="&amp;$BR180,'Tally Helper'!$L$9:$GI$9,"&lt;="&amp;$BS180)))</f>
        <v/>
      </c>
      <c r="AA180" s="15" t="str">
        <f aca="false">IF(OR(E$7="",$BR180=""),"",IF('Tally Helper'!$B$12&lt;&gt;TRUE(),"not on Staff",SUMIFS('Tally Helper'!$L$14:$GI$14,'Tally Helper'!$L$12:$GI$12,"&gt;="&amp;$BR180,'Tally Helper'!$L$12:$GI$12,"&lt;="&amp;$BS180)))</f>
        <v/>
      </c>
      <c r="AB180" s="15" t="str">
        <f aca="false">IF(OR(F$7="",$BR180=""),"",IF('Tally Helper'!$B$15&lt;&gt;TRUE(),"not on Staff",SUMIFS('Tally Helper'!$L$17:$GI$17,'Tally Helper'!$L$15:$GI$15,"&gt;="&amp;$BR180,'Tally Helper'!$L$15:$GI$15,"&lt;="&amp;$BS180)))</f>
        <v/>
      </c>
      <c r="AC180" s="15" t="str">
        <f aca="false">IF(OR(G$7="",$BR180=""),"",IF('Tally Helper'!$B$18&lt;&gt;TRUE(),"not on Staff",SUMIFS('Tally Helper'!$L$20:$GI$20,'Tally Helper'!$L$18:$GI$18,"&gt;="&amp;$BR180,'Tally Helper'!$L$18:$GI$18,"&lt;="&amp;$BS180)))</f>
        <v/>
      </c>
      <c r="AD180" s="15" t="str">
        <f aca="false">IF(OR(H$7="",$BR180=""),"",IF('Tally Helper'!$B$21&lt;&gt;TRUE(),"not on Staff",SUMIFS('Tally Helper'!$L$23:$GI$23,'Tally Helper'!$L$21:$GI$21,"&gt;="&amp;$BR180,'Tally Helper'!$L$21:$GI$21,"&lt;="&amp;$BS180)))</f>
        <v/>
      </c>
      <c r="AE180" s="15" t="str">
        <f aca="false">IF(OR(I$7="",$BR180=""),"",IF('Tally Helper'!$B$24&lt;&gt;TRUE(),"not on Staff",SUMIFS('Tally Helper'!$L$26:$GI$26,'Tally Helper'!$L$24:$GI$24,"&gt;="&amp;$BR180,'Tally Helper'!$L$24:$GI$24,"&lt;="&amp;$BS180)))</f>
        <v/>
      </c>
      <c r="AF180" s="15" t="str">
        <f aca="false">IF(OR(J$7="",$BR180=""),"",IF('Tally Helper'!$B$27&lt;&gt;TRUE(),"not on Staff",SUMIFS('Tally Helper'!$L$29:$GI$29,'Tally Helper'!$L$27:$GI$27,"&gt;="&amp;$BR180,'Tally Helper'!$L$27:$GI$27,"&lt;="&amp;$BS180)))</f>
        <v/>
      </c>
      <c r="AG180" s="15" t="str">
        <f aca="false">IF(OR(K$7="",$BR180=""),"",IF('Tally Helper'!$B$30&lt;&gt;TRUE(),"not on Staff",SUMIFS('Tally Helper'!$L$32:$GI$32,'Tally Helper'!$L$30:$GI$30,"&gt;="&amp;$BR180,'Tally Helper'!$L$30:$GI$30,"&lt;="&amp;$BS180)))</f>
        <v/>
      </c>
      <c r="AH180" s="15" t="str">
        <f aca="false">IF(OR(L$7="",$BR180=""),"",IF('Tally Helper'!$B$33&lt;&gt;TRUE(),"not on Staff",SUMIFS('Tally Helper'!$L$35:$GI$35,'Tally Helper'!$L$33:$GI$33,"&gt;="&amp;$BR180,'Tally Helper'!$L$33:$GI$33,"&lt;="&amp;$BS180)))</f>
        <v/>
      </c>
      <c r="AI180" s="15" t="str">
        <f aca="false">IF(OR(M$7="",$BR180=""),"",IF('Tally Helper'!$B$36&lt;&gt;TRUE(),"not on Staff",SUMIFS('Tally Helper'!$L$38:$GI$38,'Tally Helper'!$L$36:$GI$36,"&gt;="&amp;$BR180,'Tally Helper'!$L$36:$GI$36,"&lt;="&amp;$BS180)))</f>
        <v/>
      </c>
      <c r="AJ180" s="15" t="str">
        <f aca="false">IF(OR(N$7="",$BR180=""),"",IF('Tally Helper'!$B$39&lt;&gt;TRUE(),"not on Staff",SUMIFS('Tally Helper'!$L$41:$GI$41,'Tally Helper'!$L$39:$GI$39,"&gt;="&amp;$BR180,'Tally Helper'!$L$39:$GI$39,"&lt;="&amp;$BS180)))</f>
        <v/>
      </c>
      <c r="AK180" s="15" t="str">
        <f aca="false">IF(OR(O$7="",$BR180=""),"",IF('Tally Helper'!$B$42&lt;&gt;TRUE(),"not on Staff",SUMIFS('Tally Helper'!$L$44:$GI$44,'Tally Helper'!$L$42:$GI$42,"&gt;="&amp;$BR180,'Tally Helper'!$L$42:$GI$42,"&lt;="&amp;$BS180)))</f>
        <v/>
      </c>
      <c r="AL180" s="15" t="str">
        <f aca="false">IF(OR(P$7="",$BR180=""),"",IF('Tally Helper'!$B$45&lt;&gt;TRUE(),"not on Staff",SUMIFS('Tally Helper'!$L$47:$GI$47,'Tally Helper'!$L$45:$GI$45,"&gt;="&amp;$BR180,'Tally Helper'!$L$45:$GI$45,"&lt;="&amp;$BS180)))</f>
        <v/>
      </c>
      <c r="AM180" s="15" t="str">
        <f aca="false">IF(OR(Q$7="",$BR180=""),"",IF('Tally Helper'!$B$48&lt;&gt;TRUE(),"not on Staff",SUMIFS('Tally Helper'!$L$50:$GI$50,'Tally Helper'!$L$48:$GI$48,"&gt;="&amp;$BR180,'Tally Helper'!$L$48:$GI$48,"&lt;="&amp;$BS180)))</f>
        <v/>
      </c>
      <c r="AN180" s="15" t="str">
        <f aca="false">IF(OR(R$7="",$BR180=""),"",IF('Tally Helper'!$B$51&lt;&gt;TRUE(),"not on Staff",SUMIFS('Tally Helper'!$L$53:$GI$53,'Tally Helper'!$L$51:$GI$51,"&gt;="&amp;$BR180,'Tally Helper'!$L$51:$GI$51,"&lt;="&amp;$BS180)))</f>
        <v/>
      </c>
      <c r="AO180" s="15" t="str">
        <f aca="false">IF(OR(S$7="",$BR180=""),"",IF('Tally Helper'!$B$54&lt;&gt;TRUE(),"not on Staff",SUMIFS('Tally Helper'!$L$56:$GI$56,'Tally Helper'!$L$54:$GI$54,"&gt;="&amp;$BR180,'Tally Helper'!$L$54:$GI$54,"&lt;="&amp;$BS180)))</f>
        <v/>
      </c>
      <c r="AP180" s="15" t="str">
        <f aca="false">IF(OR(T$7="",$BR180=""),"",IF('Tally Helper'!$B$57&lt;&gt;TRUE(),"not on Staff",SUMIFS('Tally Helper'!$L$59:$GI$59,'Tally Helper'!$L$57:$GI$57,"&gt;="&amp;$BR180,'Tally Helper'!$L$57:$GI$57,"&lt;="&amp;$BS180)))</f>
        <v/>
      </c>
      <c r="AQ180" s="15" t="str">
        <f aca="false">IF(OR(U$7="",$BR180=""),"",IF('Tally Helper'!$B$60&lt;&gt;TRUE(),"not on Staff",SUMIFS('Tally Helper'!$L$62:$GI$62,'Tally Helper'!$L$60:$GI$60,"&gt;="&amp;$BR180,'Tally Helper'!$L$60:$GI$60,"&lt;="&amp;$BS180)))</f>
        <v/>
      </c>
      <c r="AT180" s="15" t="str">
        <f aca="false">IF(OR(X180="",NOT(ISNUMBER(X180))),"",X180-N(B180))</f>
        <v/>
      </c>
      <c r="AU180" s="15" t="str">
        <f aca="false">IF(OR(Y180="",NOT(ISNUMBER(Y180))),"",Y180-N(C180))</f>
        <v/>
      </c>
      <c r="AV180" s="15" t="str">
        <f aca="false">IF(OR(Z180="",NOT(ISNUMBER(Z180))),"",Z180-N(D180))</f>
        <v/>
      </c>
      <c r="AW180" s="15" t="str">
        <f aca="false">IF(OR(AA180="",NOT(ISNUMBER(AA180))),"",AA180-N(E180))</f>
        <v/>
      </c>
      <c r="AX180" s="15" t="str">
        <f aca="false">IF(OR(AB180="",NOT(ISNUMBER(AB180))),"",AB180-N(F180))</f>
        <v/>
      </c>
      <c r="AY180" s="15" t="str">
        <f aca="false">IF(OR(AC180="",NOT(ISNUMBER(AC180))),"",AC180-N(G180))</f>
        <v/>
      </c>
      <c r="AZ180" s="15" t="str">
        <f aca="false">IF(OR(AD180="",NOT(ISNUMBER(AD180))),"",AD180-N(H180))</f>
        <v/>
      </c>
      <c r="BA180" s="15" t="str">
        <f aca="false">IF(OR(AE180="",NOT(ISNUMBER(AE180))),"",AE180-N(I180))</f>
        <v/>
      </c>
      <c r="BB180" s="15" t="str">
        <f aca="false">IF(OR(AF180="",NOT(ISNUMBER(AF180))),"",AF180-N(J180))</f>
        <v/>
      </c>
      <c r="BC180" s="15" t="str">
        <f aca="false">IF(OR(AG180="",NOT(ISNUMBER(AG180))),"",AG180-N(K180))</f>
        <v/>
      </c>
      <c r="BD180" s="15" t="str">
        <f aca="false">IF(OR(AH180="",NOT(ISNUMBER(AH180))),"",AH180-N(L180))</f>
        <v/>
      </c>
      <c r="BE180" s="15" t="str">
        <f aca="false">IF(OR(AI180="",NOT(ISNUMBER(AI180))),"",AI180-N(M180))</f>
        <v/>
      </c>
      <c r="BF180" s="15" t="str">
        <f aca="false">IF(OR(AJ180="",NOT(ISNUMBER(AJ180))),"",AJ180-N(N180))</f>
        <v/>
      </c>
      <c r="BG180" s="15" t="str">
        <f aca="false">IF(OR(AK180="",NOT(ISNUMBER(AK180))),"",AK180-N(O180))</f>
        <v/>
      </c>
      <c r="BH180" s="15" t="str">
        <f aca="false">IF(OR(AL180="",NOT(ISNUMBER(AL180))),"",AL180-N(P180))</f>
        <v/>
      </c>
      <c r="BI180" s="15" t="str">
        <f aca="false">IF(OR(AM180="",NOT(ISNUMBER(AM180))),"",AM180-N(Q180))</f>
        <v/>
      </c>
      <c r="BJ180" s="15" t="str">
        <f aca="false">IF(OR(AN180="",NOT(ISNUMBER(AN180))),"",AN180-N(R180))</f>
        <v/>
      </c>
      <c r="BK180" s="15" t="str">
        <f aca="false">IF(OR(AO180="",NOT(ISNUMBER(AO180))),"",AO180-N(S180))</f>
        <v/>
      </c>
      <c r="BL180" s="15" t="str">
        <f aca="false">IF(OR(AP180="",NOT(ISNUMBER(AP180))),"",AP180-N(T180))</f>
        <v/>
      </c>
      <c r="BM180" s="15" t="str">
        <f aca="false">IF(OR(AQ180="",NOT(ISNUMBER(AQ180))),"",AQ180-N(U180))</f>
        <v/>
      </c>
      <c r="BR180" s="18" t="str">
        <f aca="false">IF($A180="","",IF(ISNUMBER($A180),DATE(YEAR($A180),MONTH($A180),1),IFERROR(DATE(2000+VALUE(RIGHT(TRIM($A180),2)),MATCH(UPPER(LEFT(TRIM($A180),3)),{"JAN","FEB","MAR","APR","MAY","JUN","JUL","AUG","SEP","OCT","NOV","DEC"},0),1),"")))</f>
        <v/>
      </c>
      <c r="BS180" s="18" t="str">
        <f aca="false">IF(BR180="","",EOMONTH(BR180,0))</f>
        <v/>
      </c>
    </row>
    <row r="181" customFormat="false" ht="15" hidden="false" customHeight="false" outlineLevel="0" collapsed="false">
      <c r="B181" s="19"/>
      <c r="C181" s="19"/>
      <c r="D181" s="19"/>
      <c r="E181" s="19"/>
      <c r="F181" s="19"/>
      <c r="G181" s="19"/>
      <c r="H181" s="19"/>
      <c r="I181" s="19"/>
      <c r="J181" s="19"/>
      <c r="K181" s="19"/>
      <c r="L181" s="19"/>
      <c r="M181" s="19"/>
      <c r="N181" s="19"/>
      <c r="O181" s="19"/>
      <c r="P181" s="19"/>
      <c r="Q181" s="19"/>
      <c r="R181" s="19"/>
      <c r="S181" s="19"/>
      <c r="T181" s="19"/>
      <c r="U181" s="19"/>
      <c r="X181" s="15" t="str">
        <f aca="false">IF(OR(B$7="",$BR181=""),"",IF('Tally Helper'!$B$3&lt;&gt;TRUE(),"not on Staff",SUMIFS('Tally Helper'!$L$5:$GI$5,'Tally Helper'!$L$3:$GI$3,"&gt;="&amp;$BR181,'Tally Helper'!$L$3:$GI$3,"&lt;="&amp;$BS181)))</f>
        <v/>
      </c>
      <c r="Y181" s="15" t="str">
        <f aca="false">IF(OR(C$7="",$BR181=""),"",IF('Tally Helper'!$B$6&lt;&gt;TRUE(),"not on Staff",SUMIFS('Tally Helper'!$L$8:$GI$8,'Tally Helper'!$L$6:$GI$6,"&gt;="&amp;$BR181,'Tally Helper'!$L$6:$GI$6,"&lt;="&amp;$BS181)))</f>
        <v/>
      </c>
      <c r="Z181" s="15" t="str">
        <f aca="false">IF(OR(D$7="",$BR181=""),"",IF('Tally Helper'!$B$9&lt;&gt;TRUE(),"not on Staff",SUMIFS('Tally Helper'!$L$11:$GI$11,'Tally Helper'!$L$9:$GI$9,"&gt;="&amp;$BR181,'Tally Helper'!$L$9:$GI$9,"&lt;="&amp;$BS181)))</f>
        <v/>
      </c>
      <c r="AA181" s="15" t="str">
        <f aca="false">IF(OR(E$7="",$BR181=""),"",IF('Tally Helper'!$B$12&lt;&gt;TRUE(),"not on Staff",SUMIFS('Tally Helper'!$L$14:$GI$14,'Tally Helper'!$L$12:$GI$12,"&gt;="&amp;$BR181,'Tally Helper'!$L$12:$GI$12,"&lt;="&amp;$BS181)))</f>
        <v/>
      </c>
      <c r="AB181" s="15" t="str">
        <f aca="false">IF(OR(F$7="",$BR181=""),"",IF('Tally Helper'!$B$15&lt;&gt;TRUE(),"not on Staff",SUMIFS('Tally Helper'!$L$17:$GI$17,'Tally Helper'!$L$15:$GI$15,"&gt;="&amp;$BR181,'Tally Helper'!$L$15:$GI$15,"&lt;="&amp;$BS181)))</f>
        <v/>
      </c>
      <c r="AC181" s="15" t="str">
        <f aca="false">IF(OR(G$7="",$BR181=""),"",IF('Tally Helper'!$B$18&lt;&gt;TRUE(),"not on Staff",SUMIFS('Tally Helper'!$L$20:$GI$20,'Tally Helper'!$L$18:$GI$18,"&gt;="&amp;$BR181,'Tally Helper'!$L$18:$GI$18,"&lt;="&amp;$BS181)))</f>
        <v/>
      </c>
      <c r="AD181" s="15" t="str">
        <f aca="false">IF(OR(H$7="",$BR181=""),"",IF('Tally Helper'!$B$21&lt;&gt;TRUE(),"not on Staff",SUMIFS('Tally Helper'!$L$23:$GI$23,'Tally Helper'!$L$21:$GI$21,"&gt;="&amp;$BR181,'Tally Helper'!$L$21:$GI$21,"&lt;="&amp;$BS181)))</f>
        <v/>
      </c>
      <c r="AE181" s="15" t="str">
        <f aca="false">IF(OR(I$7="",$BR181=""),"",IF('Tally Helper'!$B$24&lt;&gt;TRUE(),"not on Staff",SUMIFS('Tally Helper'!$L$26:$GI$26,'Tally Helper'!$L$24:$GI$24,"&gt;="&amp;$BR181,'Tally Helper'!$L$24:$GI$24,"&lt;="&amp;$BS181)))</f>
        <v/>
      </c>
      <c r="AF181" s="15" t="str">
        <f aca="false">IF(OR(J$7="",$BR181=""),"",IF('Tally Helper'!$B$27&lt;&gt;TRUE(),"not on Staff",SUMIFS('Tally Helper'!$L$29:$GI$29,'Tally Helper'!$L$27:$GI$27,"&gt;="&amp;$BR181,'Tally Helper'!$L$27:$GI$27,"&lt;="&amp;$BS181)))</f>
        <v/>
      </c>
      <c r="AG181" s="15" t="str">
        <f aca="false">IF(OR(K$7="",$BR181=""),"",IF('Tally Helper'!$B$30&lt;&gt;TRUE(),"not on Staff",SUMIFS('Tally Helper'!$L$32:$GI$32,'Tally Helper'!$L$30:$GI$30,"&gt;="&amp;$BR181,'Tally Helper'!$L$30:$GI$30,"&lt;="&amp;$BS181)))</f>
        <v/>
      </c>
      <c r="AH181" s="15" t="str">
        <f aca="false">IF(OR(L$7="",$BR181=""),"",IF('Tally Helper'!$B$33&lt;&gt;TRUE(),"not on Staff",SUMIFS('Tally Helper'!$L$35:$GI$35,'Tally Helper'!$L$33:$GI$33,"&gt;="&amp;$BR181,'Tally Helper'!$L$33:$GI$33,"&lt;="&amp;$BS181)))</f>
        <v/>
      </c>
      <c r="AI181" s="15" t="str">
        <f aca="false">IF(OR(M$7="",$BR181=""),"",IF('Tally Helper'!$B$36&lt;&gt;TRUE(),"not on Staff",SUMIFS('Tally Helper'!$L$38:$GI$38,'Tally Helper'!$L$36:$GI$36,"&gt;="&amp;$BR181,'Tally Helper'!$L$36:$GI$36,"&lt;="&amp;$BS181)))</f>
        <v/>
      </c>
      <c r="AJ181" s="15" t="str">
        <f aca="false">IF(OR(N$7="",$BR181=""),"",IF('Tally Helper'!$B$39&lt;&gt;TRUE(),"not on Staff",SUMIFS('Tally Helper'!$L$41:$GI$41,'Tally Helper'!$L$39:$GI$39,"&gt;="&amp;$BR181,'Tally Helper'!$L$39:$GI$39,"&lt;="&amp;$BS181)))</f>
        <v/>
      </c>
      <c r="AK181" s="15" t="str">
        <f aca="false">IF(OR(O$7="",$BR181=""),"",IF('Tally Helper'!$B$42&lt;&gt;TRUE(),"not on Staff",SUMIFS('Tally Helper'!$L$44:$GI$44,'Tally Helper'!$L$42:$GI$42,"&gt;="&amp;$BR181,'Tally Helper'!$L$42:$GI$42,"&lt;="&amp;$BS181)))</f>
        <v/>
      </c>
      <c r="AL181" s="15" t="str">
        <f aca="false">IF(OR(P$7="",$BR181=""),"",IF('Tally Helper'!$B$45&lt;&gt;TRUE(),"not on Staff",SUMIFS('Tally Helper'!$L$47:$GI$47,'Tally Helper'!$L$45:$GI$45,"&gt;="&amp;$BR181,'Tally Helper'!$L$45:$GI$45,"&lt;="&amp;$BS181)))</f>
        <v/>
      </c>
      <c r="AM181" s="15" t="str">
        <f aca="false">IF(OR(Q$7="",$BR181=""),"",IF('Tally Helper'!$B$48&lt;&gt;TRUE(),"not on Staff",SUMIFS('Tally Helper'!$L$50:$GI$50,'Tally Helper'!$L$48:$GI$48,"&gt;="&amp;$BR181,'Tally Helper'!$L$48:$GI$48,"&lt;="&amp;$BS181)))</f>
        <v/>
      </c>
      <c r="AN181" s="15" t="str">
        <f aca="false">IF(OR(R$7="",$BR181=""),"",IF('Tally Helper'!$B$51&lt;&gt;TRUE(),"not on Staff",SUMIFS('Tally Helper'!$L$53:$GI$53,'Tally Helper'!$L$51:$GI$51,"&gt;="&amp;$BR181,'Tally Helper'!$L$51:$GI$51,"&lt;="&amp;$BS181)))</f>
        <v/>
      </c>
      <c r="AO181" s="15" t="str">
        <f aca="false">IF(OR(S$7="",$BR181=""),"",IF('Tally Helper'!$B$54&lt;&gt;TRUE(),"not on Staff",SUMIFS('Tally Helper'!$L$56:$GI$56,'Tally Helper'!$L$54:$GI$54,"&gt;="&amp;$BR181,'Tally Helper'!$L$54:$GI$54,"&lt;="&amp;$BS181)))</f>
        <v/>
      </c>
      <c r="AP181" s="15" t="str">
        <f aca="false">IF(OR(T$7="",$BR181=""),"",IF('Tally Helper'!$B$57&lt;&gt;TRUE(),"not on Staff",SUMIFS('Tally Helper'!$L$59:$GI$59,'Tally Helper'!$L$57:$GI$57,"&gt;="&amp;$BR181,'Tally Helper'!$L$57:$GI$57,"&lt;="&amp;$BS181)))</f>
        <v/>
      </c>
      <c r="AQ181" s="15" t="str">
        <f aca="false">IF(OR(U$7="",$BR181=""),"",IF('Tally Helper'!$B$60&lt;&gt;TRUE(),"not on Staff",SUMIFS('Tally Helper'!$L$62:$GI$62,'Tally Helper'!$L$60:$GI$60,"&gt;="&amp;$BR181,'Tally Helper'!$L$60:$GI$60,"&lt;="&amp;$BS181)))</f>
        <v/>
      </c>
      <c r="AT181" s="15" t="str">
        <f aca="false">IF(OR(X181="",NOT(ISNUMBER(X181))),"",X181-N(B181))</f>
        <v/>
      </c>
      <c r="AU181" s="15" t="str">
        <f aca="false">IF(OR(Y181="",NOT(ISNUMBER(Y181))),"",Y181-N(C181))</f>
        <v/>
      </c>
      <c r="AV181" s="15" t="str">
        <f aca="false">IF(OR(Z181="",NOT(ISNUMBER(Z181))),"",Z181-N(D181))</f>
        <v/>
      </c>
      <c r="AW181" s="15" t="str">
        <f aca="false">IF(OR(AA181="",NOT(ISNUMBER(AA181))),"",AA181-N(E181))</f>
        <v/>
      </c>
      <c r="AX181" s="15" t="str">
        <f aca="false">IF(OR(AB181="",NOT(ISNUMBER(AB181))),"",AB181-N(F181))</f>
        <v/>
      </c>
      <c r="AY181" s="15" t="str">
        <f aca="false">IF(OR(AC181="",NOT(ISNUMBER(AC181))),"",AC181-N(G181))</f>
        <v/>
      </c>
      <c r="AZ181" s="15" t="str">
        <f aca="false">IF(OR(AD181="",NOT(ISNUMBER(AD181))),"",AD181-N(H181))</f>
        <v/>
      </c>
      <c r="BA181" s="15" t="str">
        <f aca="false">IF(OR(AE181="",NOT(ISNUMBER(AE181))),"",AE181-N(I181))</f>
        <v/>
      </c>
      <c r="BB181" s="15" t="str">
        <f aca="false">IF(OR(AF181="",NOT(ISNUMBER(AF181))),"",AF181-N(J181))</f>
        <v/>
      </c>
      <c r="BC181" s="15" t="str">
        <f aca="false">IF(OR(AG181="",NOT(ISNUMBER(AG181))),"",AG181-N(K181))</f>
        <v/>
      </c>
      <c r="BD181" s="15" t="str">
        <f aca="false">IF(OR(AH181="",NOT(ISNUMBER(AH181))),"",AH181-N(L181))</f>
        <v/>
      </c>
      <c r="BE181" s="15" t="str">
        <f aca="false">IF(OR(AI181="",NOT(ISNUMBER(AI181))),"",AI181-N(M181))</f>
        <v/>
      </c>
      <c r="BF181" s="15" t="str">
        <f aca="false">IF(OR(AJ181="",NOT(ISNUMBER(AJ181))),"",AJ181-N(N181))</f>
        <v/>
      </c>
      <c r="BG181" s="15" t="str">
        <f aca="false">IF(OR(AK181="",NOT(ISNUMBER(AK181))),"",AK181-N(O181))</f>
        <v/>
      </c>
      <c r="BH181" s="15" t="str">
        <f aca="false">IF(OR(AL181="",NOT(ISNUMBER(AL181))),"",AL181-N(P181))</f>
        <v/>
      </c>
      <c r="BI181" s="15" t="str">
        <f aca="false">IF(OR(AM181="",NOT(ISNUMBER(AM181))),"",AM181-N(Q181))</f>
        <v/>
      </c>
      <c r="BJ181" s="15" t="str">
        <f aca="false">IF(OR(AN181="",NOT(ISNUMBER(AN181))),"",AN181-N(R181))</f>
        <v/>
      </c>
      <c r="BK181" s="15" t="str">
        <f aca="false">IF(OR(AO181="",NOT(ISNUMBER(AO181))),"",AO181-N(S181))</f>
        <v/>
      </c>
      <c r="BL181" s="15" t="str">
        <f aca="false">IF(OR(AP181="",NOT(ISNUMBER(AP181))),"",AP181-N(T181))</f>
        <v/>
      </c>
      <c r="BM181" s="15" t="str">
        <f aca="false">IF(OR(AQ181="",NOT(ISNUMBER(AQ181))),"",AQ181-N(U181))</f>
        <v/>
      </c>
      <c r="BR181" s="18" t="str">
        <f aca="false">IF($A181="","",IF(ISNUMBER($A181),DATE(YEAR($A181),MONTH($A181),1),IFERROR(DATE(2000+VALUE(RIGHT(TRIM($A181),2)),MATCH(UPPER(LEFT(TRIM($A181),3)),{"JAN","FEB","MAR","APR","MAY","JUN","JUL","AUG","SEP","OCT","NOV","DEC"},0),1),"")))</f>
        <v/>
      </c>
      <c r="BS181" s="18" t="str">
        <f aca="false">IF(BR181="","",EOMONTH(BR181,0))</f>
        <v/>
      </c>
    </row>
    <row r="182" customFormat="false" ht="15" hidden="false" customHeight="false" outlineLevel="0" collapsed="false">
      <c r="B182" s="19"/>
      <c r="C182" s="19"/>
      <c r="D182" s="19"/>
      <c r="E182" s="19"/>
      <c r="F182" s="19"/>
      <c r="G182" s="19"/>
      <c r="H182" s="19"/>
      <c r="I182" s="19"/>
      <c r="J182" s="19"/>
      <c r="K182" s="19"/>
      <c r="L182" s="19"/>
      <c r="M182" s="19"/>
      <c r="N182" s="19"/>
      <c r="O182" s="19"/>
      <c r="P182" s="19"/>
      <c r="Q182" s="19"/>
      <c r="R182" s="19"/>
      <c r="S182" s="19"/>
      <c r="T182" s="19"/>
      <c r="U182" s="19"/>
      <c r="X182" s="15" t="str">
        <f aca="false">IF(OR(B$7="",$BR182=""),"",IF('Tally Helper'!$B$3&lt;&gt;TRUE(),"not on Staff",SUMIFS('Tally Helper'!$L$5:$GI$5,'Tally Helper'!$L$3:$GI$3,"&gt;="&amp;$BR182,'Tally Helper'!$L$3:$GI$3,"&lt;="&amp;$BS182)))</f>
        <v/>
      </c>
      <c r="Y182" s="15" t="str">
        <f aca="false">IF(OR(C$7="",$BR182=""),"",IF('Tally Helper'!$B$6&lt;&gt;TRUE(),"not on Staff",SUMIFS('Tally Helper'!$L$8:$GI$8,'Tally Helper'!$L$6:$GI$6,"&gt;="&amp;$BR182,'Tally Helper'!$L$6:$GI$6,"&lt;="&amp;$BS182)))</f>
        <v/>
      </c>
      <c r="Z182" s="15" t="str">
        <f aca="false">IF(OR(D$7="",$BR182=""),"",IF('Tally Helper'!$B$9&lt;&gt;TRUE(),"not on Staff",SUMIFS('Tally Helper'!$L$11:$GI$11,'Tally Helper'!$L$9:$GI$9,"&gt;="&amp;$BR182,'Tally Helper'!$L$9:$GI$9,"&lt;="&amp;$BS182)))</f>
        <v/>
      </c>
      <c r="AA182" s="15" t="str">
        <f aca="false">IF(OR(E$7="",$BR182=""),"",IF('Tally Helper'!$B$12&lt;&gt;TRUE(),"not on Staff",SUMIFS('Tally Helper'!$L$14:$GI$14,'Tally Helper'!$L$12:$GI$12,"&gt;="&amp;$BR182,'Tally Helper'!$L$12:$GI$12,"&lt;="&amp;$BS182)))</f>
        <v/>
      </c>
      <c r="AB182" s="15" t="str">
        <f aca="false">IF(OR(F$7="",$BR182=""),"",IF('Tally Helper'!$B$15&lt;&gt;TRUE(),"not on Staff",SUMIFS('Tally Helper'!$L$17:$GI$17,'Tally Helper'!$L$15:$GI$15,"&gt;="&amp;$BR182,'Tally Helper'!$L$15:$GI$15,"&lt;="&amp;$BS182)))</f>
        <v/>
      </c>
      <c r="AC182" s="15" t="str">
        <f aca="false">IF(OR(G$7="",$BR182=""),"",IF('Tally Helper'!$B$18&lt;&gt;TRUE(),"not on Staff",SUMIFS('Tally Helper'!$L$20:$GI$20,'Tally Helper'!$L$18:$GI$18,"&gt;="&amp;$BR182,'Tally Helper'!$L$18:$GI$18,"&lt;="&amp;$BS182)))</f>
        <v/>
      </c>
      <c r="AD182" s="15" t="str">
        <f aca="false">IF(OR(H$7="",$BR182=""),"",IF('Tally Helper'!$B$21&lt;&gt;TRUE(),"not on Staff",SUMIFS('Tally Helper'!$L$23:$GI$23,'Tally Helper'!$L$21:$GI$21,"&gt;="&amp;$BR182,'Tally Helper'!$L$21:$GI$21,"&lt;="&amp;$BS182)))</f>
        <v/>
      </c>
      <c r="AE182" s="15" t="str">
        <f aca="false">IF(OR(I$7="",$BR182=""),"",IF('Tally Helper'!$B$24&lt;&gt;TRUE(),"not on Staff",SUMIFS('Tally Helper'!$L$26:$GI$26,'Tally Helper'!$L$24:$GI$24,"&gt;="&amp;$BR182,'Tally Helper'!$L$24:$GI$24,"&lt;="&amp;$BS182)))</f>
        <v/>
      </c>
      <c r="AF182" s="15" t="str">
        <f aca="false">IF(OR(J$7="",$BR182=""),"",IF('Tally Helper'!$B$27&lt;&gt;TRUE(),"not on Staff",SUMIFS('Tally Helper'!$L$29:$GI$29,'Tally Helper'!$L$27:$GI$27,"&gt;="&amp;$BR182,'Tally Helper'!$L$27:$GI$27,"&lt;="&amp;$BS182)))</f>
        <v/>
      </c>
      <c r="AG182" s="15" t="str">
        <f aca="false">IF(OR(K$7="",$BR182=""),"",IF('Tally Helper'!$B$30&lt;&gt;TRUE(),"not on Staff",SUMIFS('Tally Helper'!$L$32:$GI$32,'Tally Helper'!$L$30:$GI$30,"&gt;="&amp;$BR182,'Tally Helper'!$L$30:$GI$30,"&lt;="&amp;$BS182)))</f>
        <v/>
      </c>
      <c r="AH182" s="15" t="str">
        <f aca="false">IF(OR(L$7="",$BR182=""),"",IF('Tally Helper'!$B$33&lt;&gt;TRUE(),"not on Staff",SUMIFS('Tally Helper'!$L$35:$GI$35,'Tally Helper'!$L$33:$GI$33,"&gt;="&amp;$BR182,'Tally Helper'!$L$33:$GI$33,"&lt;="&amp;$BS182)))</f>
        <v/>
      </c>
      <c r="AI182" s="15" t="str">
        <f aca="false">IF(OR(M$7="",$BR182=""),"",IF('Tally Helper'!$B$36&lt;&gt;TRUE(),"not on Staff",SUMIFS('Tally Helper'!$L$38:$GI$38,'Tally Helper'!$L$36:$GI$36,"&gt;="&amp;$BR182,'Tally Helper'!$L$36:$GI$36,"&lt;="&amp;$BS182)))</f>
        <v/>
      </c>
      <c r="AJ182" s="15" t="str">
        <f aca="false">IF(OR(N$7="",$BR182=""),"",IF('Tally Helper'!$B$39&lt;&gt;TRUE(),"not on Staff",SUMIFS('Tally Helper'!$L$41:$GI$41,'Tally Helper'!$L$39:$GI$39,"&gt;="&amp;$BR182,'Tally Helper'!$L$39:$GI$39,"&lt;="&amp;$BS182)))</f>
        <v/>
      </c>
      <c r="AK182" s="15" t="str">
        <f aca="false">IF(OR(O$7="",$BR182=""),"",IF('Tally Helper'!$B$42&lt;&gt;TRUE(),"not on Staff",SUMIFS('Tally Helper'!$L$44:$GI$44,'Tally Helper'!$L$42:$GI$42,"&gt;="&amp;$BR182,'Tally Helper'!$L$42:$GI$42,"&lt;="&amp;$BS182)))</f>
        <v/>
      </c>
      <c r="AL182" s="15" t="str">
        <f aca="false">IF(OR(P$7="",$BR182=""),"",IF('Tally Helper'!$B$45&lt;&gt;TRUE(),"not on Staff",SUMIFS('Tally Helper'!$L$47:$GI$47,'Tally Helper'!$L$45:$GI$45,"&gt;="&amp;$BR182,'Tally Helper'!$L$45:$GI$45,"&lt;="&amp;$BS182)))</f>
        <v/>
      </c>
      <c r="AM182" s="15" t="str">
        <f aca="false">IF(OR(Q$7="",$BR182=""),"",IF('Tally Helper'!$B$48&lt;&gt;TRUE(),"not on Staff",SUMIFS('Tally Helper'!$L$50:$GI$50,'Tally Helper'!$L$48:$GI$48,"&gt;="&amp;$BR182,'Tally Helper'!$L$48:$GI$48,"&lt;="&amp;$BS182)))</f>
        <v/>
      </c>
      <c r="AN182" s="15" t="str">
        <f aca="false">IF(OR(R$7="",$BR182=""),"",IF('Tally Helper'!$B$51&lt;&gt;TRUE(),"not on Staff",SUMIFS('Tally Helper'!$L$53:$GI$53,'Tally Helper'!$L$51:$GI$51,"&gt;="&amp;$BR182,'Tally Helper'!$L$51:$GI$51,"&lt;="&amp;$BS182)))</f>
        <v/>
      </c>
      <c r="AO182" s="15" t="str">
        <f aca="false">IF(OR(S$7="",$BR182=""),"",IF('Tally Helper'!$B$54&lt;&gt;TRUE(),"not on Staff",SUMIFS('Tally Helper'!$L$56:$GI$56,'Tally Helper'!$L$54:$GI$54,"&gt;="&amp;$BR182,'Tally Helper'!$L$54:$GI$54,"&lt;="&amp;$BS182)))</f>
        <v/>
      </c>
      <c r="AP182" s="15" t="str">
        <f aca="false">IF(OR(T$7="",$BR182=""),"",IF('Tally Helper'!$B$57&lt;&gt;TRUE(),"not on Staff",SUMIFS('Tally Helper'!$L$59:$GI$59,'Tally Helper'!$L$57:$GI$57,"&gt;="&amp;$BR182,'Tally Helper'!$L$57:$GI$57,"&lt;="&amp;$BS182)))</f>
        <v/>
      </c>
      <c r="AQ182" s="15" t="str">
        <f aca="false">IF(OR(U$7="",$BR182=""),"",IF('Tally Helper'!$B$60&lt;&gt;TRUE(),"not on Staff",SUMIFS('Tally Helper'!$L$62:$GI$62,'Tally Helper'!$L$60:$GI$60,"&gt;="&amp;$BR182,'Tally Helper'!$L$60:$GI$60,"&lt;="&amp;$BS182)))</f>
        <v/>
      </c>
      <c r="AT182" s="15" t="str">
        <f aca="false">IF(OR(X182="",NOT(ISNUMBER(X182))),"",X182-N(B182))</f>
        <v/>
      </c>
      <c r="AU182" s="15" t="str">
        <f aca="false">IF(OR(Y182="",NOT(ISNUMBER(Y182))),"",Y182-N(C182))</f>
        <v/>
      </c>
      <c r="AV182" s="15" t="str">
        <f aca="false">IF(OR(Z182="",NOT(ISNUMBER(Z182))),"",Z182-N(D182))</f>
        <v/>
      </c>
      <c r="AW182" s="15" t="str">
        <f aca="false">IF(OR(AA182="",NOT(ISNUMBER(AA182))),"",AA182-N(E182))</f>
        <v/>
      </c>
      <c r="AX182" s="15" t="str">
        <f aca="false">IF(OR(AB182="",NOT(ISNUMBER(AB182))),"",AB182-N(F182))</f>
        <v/>
      </c>
      <c r="AY182" s="15" t="str">
        <f aca="false">IF(OR(AC182="",NOT(ISNUMBER(AC182))),"",AC182-N(G182))</f>
        <v/>
      </c>
      <c r="AZ182" s="15" t="str">
        <f aca="false">IF(OR(AD182="",NOT(ISNUMBER(AD182))),"",AD182-N(H182))</f>
        <v/>
      </c>
      <c r="BA182" s="15" t="str">
        <f aca="false">IF(OR(AE182="",NOT(ISNUMBER(AE182))),"",AE182-N(I182))</f>
        <v/>
      </c>
      <c r="BB182" s="15" t="str">
        <f aca="false">IF(OR(AF182="",NOT(ISNUMBER(AF182))),"",AF182-N(J182))</f>
        <v/>
      </c>
      <c r="BC182" s="15" t="str">
        <f aca="false">IF(OR(AG182="",NOT(ISNUMBER(AG182))),"",AG182-N(K182))</f>
        <v/>
      </c>
      <c r="BD182" s="15" t="str">
        <f aca="false">IF(OR(AH182="",NOT(ISNUMBER(AH182))),"",AH182-N(L182))</f>
        <v/>
      </c>
      <c r="BE182" s="15" t="str">
        <f aca="false">IF(OR(AI182="",NOT(ISNUMBER(AI182))),"",AI182-N(M182))</f>
        <v/>
      </c>
      <c r="BF182" s="15" t="str">
        <f aca="false">IF(OR(AJ182="",NOT(ISNUMBER(AJ182))),"",AJ182-N(N182))</f>
        <v/>
      </c>
      <c r="BG182" s="15" t="str">
        <f aca="false">IF(OR(AK182="",NOT(ISNUMBER(AK182))),"",AK182-N(O182))</f>
        <v/>
      </c>
      <c r="BH182" s="15" t="str">
        <f aca="false">IF(OR(AL182="",NOT(ISNUMBER(AL182))),"",AL182-N(P182))</f>
        <v/>
      </c>
      <c r="BI182" s="15" t="str">
        <f aca="false">IF(OR(AM182="",NOT(ISNUMBER(AM182))),"",AM182-N(Q182))</f>
        <v/>
      </c>
      <c r="BJ182" s="15" t="str">
        <f aca="false">IF(OR(AN182="",NOT(ISNUMBER(AN182))),"",AN182-N(R182))</f>
        <v/>
      </c>
      <c r="BK182" s="15" t="str">
        <f aca="false">IF(OR(AO182="",NOT(ISNUMBER(AO182))),"",AO182-N(S182))</f>
        <v/>
      </c>
      <c r="BL182" s="15" t="str">
        <f aca="false">IF(OR(AP182="",NOT(ISNUMBER(AP182))),"",AP182-N(T182))</f>
        <v/>
      </c>
      <c r="BM182" s="15" t="str">
        <f aca="false">IF(OR(AQ182="",NOT(ISNUMBER(AQ182))),"",AQ182-N(U182))</f>
        <v/>
      </c>
      <c r="BR182" s="18" t="str">
        <f aca="false">IF($A182="","",IF(ISNUMBER($A182),DATE(YEAR($A182),MONTH($A182),1),IFERROR(DATE(2000+VALUE(RIGHT(TRIM($A182),2)),MATCH(UPPER(LEFT(TRIM($A182),3)),{"JAN","FEB","MAR","APR","MAY","JUN","JUL","AUG","SEP","OCT","NOV","DEC"},0),1),"")))</f>
        <v/>
      </c>
      <c r="BS182" s="18" t="str">
        <f aca="false">IF(BR182="","",EOMONTH(BR182,0))</f>
        <v/>
      </c>
    </row>
    <row r="183" customFormat="false" ht="15" hidden="false" customHeight="false" outlineLevel="0" collapsed="false">
      <c r="B183" s="19"/>
      <c r="C183" s="19"/>
      <c r="D183" s="19"/>
      <c r="E183" s="19"/>
      <c r="F183" s="19"/>
      <c r="G183" s="19"/>
      <c r="H183" s="19"/>
      <c r="I183" s="19"/>
      <c r="J183" s="19"/>
      <c r="K183" s="19"/>
      <c r="L183" s="19"/>
      <c r="M183" s="19"/>
      <c r="N183" s="19"/>
      <c r="O183" s="19"/>
      <c r="P183" s="19"/>
      <c r="Q183" s="19"/>
      <c r="R183" s="19"/>
      <c r="S183" s="19"/>
      <c r="T183" s="19"/>
      <c r="U183" s="19"/>
      <c r="X183" s="15" t="str">
        <f aca="false">IF(OR(B$7="",$BR183=""),"",IF('Tally Helper'!$B$3&lt;&gt;TRUE(),"not on Staff",SUMIFS('Tally Helper'!$L$5:$GI$5,'Tally Helper'!$L$3:$GI$3,"&gt;="&amp;$BR183,'Tally Helper'!$L$3:$GI$3,"&lt;="&amp;$BS183)))</f>
        <v/>
      </c>
      <c r="Y183" s="15" t="str">
        <f aca="false">IF(OR(C$7="",$BR183=""),"",IF('Tally Helper'!$B$6&lt;&gt;TRUE(),"not on Staff",SUMIFS('Tally Helper'!$L$8:$GI$8,'Tally Helper'!$L$6:$GI$6,"&gt;="&amp;$BR183,'Tally Helper'!$L$6:$GI$6,"&lt;="&amp;$BS183)))</f>
        <v/>
      </c>
      <c r="Z183" s="15" t="str">
        <f aca="false">IF(OR(D$7="",$BR183=""),"",IF('Tally Helper'!$B$9&lt;&gt;TRUE(),"not on Staff",SUMIFS('Tally Helper'!$L$11:$GI$11,'Tally Helper'!$L$9:$GI$9,"&gt;="&amp;$BR183,'Tally Helper'!$L$9:$GI$9,"&lt;="&amp;$BS183)))</f>
        <v/>
      </c>
      <c r="AA183" s="15" t="str">
        <f aca="false">IF(OR(E$7="",$BR183=""),"",IF('Tally Helper'!$B$12&lt;&gt;TRUE(),"not on Staff",SUMIFS('Tally Helper'!$L$14:$GI$14,'Tally Helper'!$L$12:$GI$12,"&gt;="&amp;$BR183,'Tally Helper'!$L$12:$GI$12,"&lt;="&amp;$BS183)))</f>
        <v/>
      </c>
      <c r="AB183" s="15" t="str">
        <f aca="false">IF(OR(F$7="",$BR183=""),"",IF('Tally Helper'!$B$15&lt;&gt;TRUE(),"not on Staff",SUMIFS('Tally Helper'!$L$17:$GI$17,'Tally Helper'!$L$15:$GI$15,"&gt;="&amp;$BR183,'Tally Helper'!$L$15:$GI$15,"&lt;="&amp;$BS183)))</f>
        <v/>
      </c>
      <c r="AC183" s="15" t="str">
        <f aca="false">IF(OR(G$7="",$BR183=""),"",IF('Tally Helper'!$B$18&lt;&gt;TRUE(),"not on Staff",SUMIFS('Tally Helper'!$L$20:$GI$20,'Tally Helper'!$L$18:$GI$18,"&gt;="&amp;$BR183,'Tally Helper'!$L$18:$GI$18,"&lt;="&amp;$BS183)))</f>
        <v/>
      </c>
      <c r="AD183" s="15" t="str">
        <f aca="false">IF(OR(H$7="",$BR183=""),"",IF('Tally Helper'!$B$21&lt;&gt;TRUE(),"not on Staff",SUMIFS('Tally Helper'!$L$23:$GI$23,'Tally Helper'!$L$21:$GI$21,"&gt;="&amp;$BR183,'Tally Helper'!$L$21:$GI$21,"&lt;="&amp;$BS183)))</f>
        <v/>
      </c>
      <c r="AE183" s="15" t="str">
        <f aca="false">IF(OR(I$7="",$BR183=""),"",IF('Tally Helper'!$B$24&lt;&gt;TRUE(),"not on Staff",SUMIFS('Tally Helper'!$L$26:$GI$26,'Tally Helper'!$L$24:$GI$24,"&gt;="&amp;$BR183,'Tally Helper'!$L$24:$GI$24,"&lt;="&amp;$BS183)))</f>
        <v/>
      </c>
      <c r="AF183" s="15" t="str">
        <f aca="false">IF(OR(J$7="",$BR183=""),"",IF('Tally Helper'!$B$27&lt;&gt;TRUE(),"not on Staff",SUMIFS('Tally Helper'!$L$29:$GI$29,'Tally Helper'!$L$27:$GI$27,"&gt;="&amp;$BR183,'Tally Helper'!$L$27:$GI$27,"&lt;="&amp;$BS183)))</f>
        <v/>
      </c>
      <c r="AG183" s="15" t="str">
        <f aca="false">IF(OR(K$7="",$BR183=""),"",IF('Tally Helper'!$B$30&lt;&gt;TRUE(),"not on Staff",SUMIFS('Tally Helper'!$L$32:$GI$32,'Tally Helper'!$L$30:$GI$30,"&gt;="&amp;$BR183,'Tally Helper'!$L$30:$GI$30,"&lt;="&amp;$BS183)))</f>
        <v/>
      </c>
      <c r="AH183" s="15" t="str">
        <f aca="false">IF(OR(L$7="",$BR183=""),"",IF('Tally Helper'!$B$33&lt;&gt;TRUE(),"not on Staff",SUMIFS('Tally Helper'!$L$35:$GI$35,'Tally Helper'!$L$33:$GI$33,"&gt;="&amp;$BR183,'Tally Helper'!$L$33:$GI$33,"&lt;="&amp;$BS183)))</f>
        <v/>
      </c>
      <c r="AI183" s="15" t="str">
        <f aca="false">IF(OR(M$7="",$BR183=""),"",IF('Tally Helper'!$B$36&lt;&gt;TRUE(),"not on Staff",SUMIFS('Tally Helper'!$L$38:$GI$38,'Tally Helper'!$L$36:$GI$36,"&gt;="&amp;$BR183,'Tally Helper'!$L$36:$GI$36,"&lt;="&amp;$BS183)))</f>
        <v/>
      </c>
      <c r="AJ183" s="15" t="str">
        <f aca="false">IF(OR(N$7="",$BR183=""),"",IF('Tally Helper'!$B$39&lt;&gt;TRUE(),"not on Staff",SUMIFS('Tally Helper'!$L$41:$GI$41,'Tally Helper'!$L$39:$GI$39,"&gt;="&amp;$BR183,'Tally Helper'!$L$39:$GI$39,"&lt;="&amp;$BS183)))</f>
        <v/>
      </c>
      <c r="AK183" s="15" t="str">
        <f aca="false">IF(OR(O$7="",$BR183=""),"",IF('Tally Helper'!$B$42&lt;&gt;TRUE(),"not on Staff",SUMIFS('Tally Helper'!$L$44:$GI$44,'Tally Helper'!$L$42:$GI$42,"&gt;="&amp;$BR183,'Tally Helper'!$L$42:$GI$42,"&lt;="&amp;$BS183)))</f>
        <v/>
      </c>
      <c r="AL183" s="15" t="str">
        <f aca="false">IF(OR(P$7="",$BR183=""),"",IF('Tally Helper'!$B$45&lt;&gt;TRUE(),"not on Staff",SUMIFS('Tally Helper'!$L$47:$GI$47,'Tally Helper'!$L$45:$GI$45,"&gt;="&amp;$BR183,'Tally Helper'!$L$45:$GI$45,"&lt;="&amp;$BS183)))</f>
        <v/>
      </c>
      <c r="AM183" s="15" t="str">
        <f aca="false">IF(OR(Q$7="",$BR183=""),"",IF('Tally Helper'!$B$48&lt;&gt;TRUE(),"not on Staff",SUMIFS('Tally Helper'!$L$50:$GI$50,'Tally Helper'!$L$48:$GI$48,"&gt;="&amp;$BR183,'Tally Helper'!$L$48:$GI$48,"&lt;="&amp;$BS183)))</f>
        <v/>
      </c>
      <c r="AN183" s="15" t="str">
        <f aca="false">IF(OR(R$7="",$BR183=""),"",IF('Tally Helper'!$B$51&lt;&gt;TRUE(),"not on Staff",SUMIFS('Tally Helper'!$L$53:$GI$53,'Tally Helper'!$L$51:$GI$51,"&gt;="&amp;$BR183,'Tally Helper'!$L$51:$GI$51,"&lt;="&amp;$BS183)))</f>
        <v/>
      </c>
      <c r="AO183" s="15" t="str">
        <f aca="false">IF(OR(S$7="",$BR183=""),"",IF('Tally Helper'!$B$54&lt;&gt;TRUE(),"not on Staff",SUMIFS('Tally Helper'!$L$56:$GI$56,'Tally Helper'!$L$54:$GI$54,"&gt;="&amp;$BR183,'Tally Helper'!$L$54:$GI$54,"&lt;="&amp;$BS183)))</f>
        <v/>
      </c>
      <c r="AP183" s="15" t="str">
        <f aca="false">IF(OR(T$7="",$BR183=""),"",IF('Tally Helper'!$B$57&lt;&gt;TRUE(),"not on Staff",SUMIFS('Tally Helper'!$L$59:$GI$59,'Tally Helper'!$L$57:$GI$57,"&gt;="&amp;$BR183,'Tally Helper'!$L$57:$GI$57,"&lt;="&amp;$BS183)))</f>
        <v/>
      </c>
      <c r="AQ183" s="15" t="str">
        <f aca="false">IF(OR(U$7="",$BR183=""),"",IF('Tally Helper'!$B$60&lt;&gt;TRUE(),"not on Staff",SUMIFS('Tally Helper'!$L$62:$GI$62,'Tally Helper'!$L$60:$GI$60,"&gt;="&amp;$BR183,'Tally Helper'!$L$60:$GI$60,"&lt;="&amp;$BS183)))</f>
        <v/>
      </c>
      <c r="AT183" s="15" t="str">
        <f aca="false">IF(OR(X183="",NOT(ISNUMBER(X183))),"",X183-N(B183))</f>
        <v/>
      </c>
      <c r="AU183" s="15" t="str">
        <f aca="false">IF(OR(Y183="",NOT(ISNUMBER(Y183))),"",Y183-N(C183))</f>
        <v/>
      </c>
      <c r="AV183" s="15" t="str">
        <f aca="false">IF(OR(Z183="",NOT(ISNUMBER(Z183))),"",Z183-N(D183))</f>
        <v/>
      </c>
      <c r="AW183" s="15" t="str">
        <f aca="false">IF(OR(AA183="",NOT(ISNUMBER(AA183))),"",AA183-N(E183))</f>
        <v/>
      </c>
      <c r="AX183" s="15" t="str">
        <f aca="false">IF(OR(AB183="",NOT(ISNUMBER(AB183))),"",AB183-N(F183))</f>
        <v/>
      </c>
      <c r="AY183" s="15" t="str">
        <f aca="false">IF(OR(AC183="",NOT(ISNUMBER(AC183))),"",AC183-N(G183))</f>
        <v/>
      </c>
      <c r="AZ183" s="15" t="str">
        <f aca="false">IF(OR(AD183="",NOT(ISNUMBER(AD183))),"",AD183-N(H183))</f>
        <v/>
      </c>
      <c r="BA183" s="15" t="str">
        <f aca="false">IF(OR(AE183="",NOT(ISNUMBER(AE183))),"",AE183-N(I183))</f>
        <v/>
      </c>
      <c r="BB183" s="15" t="str">
        <f aca="false">IF(OR(AF183="",NOT(ISNUMBER(AF183))),"",AF183-N(J183))</f>
        <v/>
      </c>
      <c r="BC183" s="15" t="str">
        <f aca="false">IF(OR(AG183="",NOT(ISNUMBER(AG183))),"",AG183-N(K183))</f>
        <v/>
      </c>
      <c r="BD183" s="15" t="str">
        <f aca="false">IF(OR(AH183="",NOT(ISNUMBER(AH183))),"",AH183-N(L183))</f>
        <v/>
      </c>
      <c r="BE183" s="15" t="str">
        <f aca="false">IF(OR(AI183="",NOT(ISNUMBER(AI183))),"",AI183-N(M183))</f>
        <v/>
      </c>
      <c r="BF183" s="15" t="str">
        <f aca="false">IF(OR(AJ183="",NOT(ISNUMBER(AJ183))),"",AJ183-N(N183))</f>
        <v/>
      </c>
      <c r="BG183" s="15" t="str">
        <f aca="false">IF(OR(AK183="",NOT(ISNUMBER(AK183))),"",AK183-N(O183))</f>
        <v/>
      </c>
      <c r="BH183" s="15" t="str">
        <f aca="false">IF(OR(AL183="",NOT(ISNUMBER(AL183))),"",AL183-N(P183))</f>
        <v/>
      </c>
      <c r="BI183" s="15" t="str">
        <f aca="false">IF(OR(AM183="",NOT(ISNUMBER(AM183))),"",AM183-N(Q183))</f>
        <v/>
      </c>
      <c r="BJ183" s="15" t="str">
        <f aca="false">IF(OR(AN183="",NOT(ISNUMBER(AN183))),"",AN183-N(R183))</f>
        <v/>
      </c>
      <c r="BK183" s="15" t="str">
        <f aca="false">IF(OR(AO183="",NOT(ISNUMBER(AO183))),"",AO183-N(S183))</f>
        <v/>
      </c>
      <c r="BL183" s="15" t="str">
        <f aca="false">IF(OR(AP183="",NOT(ISNUMBER(AP183))),"",AP183-N(T183))</f>
        <v/>
      </c>
      <c r="BM183" s="15" t="str">
        <f aca="false">IF(OR(AQ183="",NOT(ISNUMBER(AQ183))),"",AQ183-N(U183))</f>
        <v/>
      </c>
      <c r="BR183" s="18" t="str">
        <f aca="false">IF($A183="","",IF(ISNUMBER($A183),DATE(YEAR($A183),MONTH($A183),1),IFERROR(DATE(2000+VALUE(RIGHT(TRIM($A183),2)),MATCH(UPPER(LEFT(TRIM($A183),3)),{"JAN","FEB","MAR","APR","MAY","JUN","JUL","AUG","SEP","OCT","NOV","DEC"},0),1),"")))</f>
        <v/>
      </c>
      <c r="BS183" s="18" t="str">
        <f aca="false">IF(BR183="","",EOMONTH(BR183,0))</f>
        <v/>
      </c>
    </row>
    <row r="184" customFormat="false" ht="15" hidden="false" customHeight="false" outlineLevel="0" collapsed="false">
      <c r="B184" s="19"/>
      <c r="C184" s="19"/>
      <c r="D184" s="19"/>
      <c r="E184" s="19"/>
      <c r="F184" s="19"/>
      <c r="G184" s="19"/>
      <c r="H184" s="19"/>
      <c r="I184" s="19"/>
      <c r="J184" s="19"/>
      <c r="K184" s="19"/>
      <c r="L184" s="19"/>
      <c r="M184" s="19"/>
      <c r="N184" s="19"/>
      <c r="O184" s="19"/>
      <c r="P184" s="19"/>
      <c r="Q184" s="19"/>
      <c r="R184" s="19"/>
      <c r="S184" s="19"/>
      <c r="T184" s="19"/>
      <c r="U184" s="19"/>
      <c r="X184" s="15" t="str">
        <f aca="false">IF(OR(B$7="",$BR184=""),"",IF('Tally Helper'!$B$3&lt;&gt;TRUE(),"not on Staff",SUMIFS('Tally Helper'!$L$5:$GI$5,'Tally Helper'!$L$3:$GI$3,"&gt;="&amp;$BR184,'Tally Helper'!$L$3:$GI$3,"&lt;="&amp;$BS184)))</f>
        <v/>
      </c>
      <c r="Y184" s="15" t="str">
        <f aca="false">IF(OR(C$7="",$BR184=""),"",IF('Tally Helper'!$B$6&lt;&gt;TRUE(),"not on Staff",SUMIFS('Tally Helper'!$L$8:$GI$8,'Tally Helper'!$L$6:$GI$6,"&gt;="&amp;$BR184,'Tally Helper'!$L$6:$GI$6,"&lt;="&amp;$BS184)))</f>
        <v/>
      </c>
      <c r="Z184" s="15" t="str">
        <f aca="false">IF(OR(D$7="",$BR184=""),"",IF('Tally Helper'!$B$9&lt;&gt;TRUE(),"not on Staff",SUMIFS('Tally Helper'!$L$11:$GI$11,'Tally Helper'!$L$9:$GI$9,"&gt;="&amp;$BR184,'Tally Helper'!$L$9:$GI$9,"&lt;="&amp;$BS184)))</f>
        <v/>
      </c>
      <c r="AA184" s="15" t="str">
        <f aca="false">IF(OR(E$7="",$BR184=""),"",IF('Tally Helper'!$B$12&lt;&gt;TRUE(),"not on Staff",SUMIFS('Tally Helper'!$L$14:$GI$14,'Tally Helper'!$L$12:$GI$12,"&gt;="&amp;$BR184,'Tally Helper'!$L$12:$GI$12,"&lt;="&amp;$BS184)))</f>
        <v/>
      </c>
      <c r="AB184" s="15" t="str">
        <f aca="false">IF(OR(F$7="",$BR184=""),"",IF('Tally Helper'!$B$15&lt;&gt;TRUE(),"not on Staff",SUMIFS('Tally Helper'!$L$17:$GI$17,'Tally Helper'!$L$15:$GI$15,"&gt;="&amp;$BR184,'Tally Helper'!$L$15:$GI$15,"&lt;="&amp;$BS184)))</f>
        <v/>
      </c>
      <c r="AC184" s="15" t="str">
        <f aca="false">IF(OR(G$7="",$BR184=""),"",IF('Tally Helper'!$B$18&lt;&gt;TRUE(),"not on Staff",SUMIFS('Tally Helper'!$L$20:$GI$20,'Tally Helper'!$L$18:$GI$18,"&gt;="&amp;$BR184,'Tally Helper'!$L$18:$GI$18,"&lt;="&amp;$BS184)))</f>
        <v/>
      </c>
      <c r="AD184" s="15" t="str">
        <f aca="false">IF(OR(H$7="",$BR184=""),"",IF('Tally Helper'!$B$21&lt;&gt;TRUE(),"not on Staff",SUMIFS('Tally Helper'!$L$23:$GI$23,'Tally Helper'!$L$21:$GI$21,"&gt;="&amp;$BR184,'Tally Helper'!$L$21:$GI$21,"&lt;="&amp;$BS184)))</f>
        <v/>
      </c>
      <c r="AE184" s="15" t="str">
        <f aca="false">IF(OR(I$7="",$BR184=""),"",IF('Tally Helper'!$B$24&lt;&gt;TRUE(),"not on Staff",SUMIFS('Tally Helper'!$L$26:$GI$26,'Tally Helper'!$L$24:$GI$24,"&gt;="&amp;$BR184,'Tally Helper'!$L$24:$GI$24,"&lt;="&amp;$BS184)))</f>
        <v/>
      </c>
      <c r="AF184" s="15" t="str">
        <f aca="false">IF(OR(J$7="",$BR184=""),"",IF('Tally Helper'!$B$27&lt;&gt;TRUE(),"not on Staff",SUMIFS('Tally Helper'!$L$29:$GI$29,'Tally Helper'!$L$27:$GI$27,"&gt;="&amp;$BR184,'Tally Helper'!$L$27:$GI$27,"&lt;="&amp;$BS184)))</f>
        <v/>
      </c>
      <c r="AG184" s="15" t="str">
        <f aca="false">IF(OR(K$7="",$BR184=""),"",IF('Tally Helper'!$B$30&lt;&gt;TRUE(),"not on Staff",SUMIFS('Tally Helper'!$L$32:$GI$32,'Tally Helper'!$L$30:$GI$30,"&gt;="&amp;$BR184,'Tally Helper'!$L$30:$GI$30,"&lt;="&amp;$BS184)))</f>
        <v/>
      </c>
      <c r="AH184" s="15" t="str">
        <f aca="false">IF(OR(L$7="",$BR184=""),"",IF('Tally Helper'!$B$33&lt;&gt;TRUE(),"not on Staff",SUMIFS('Tally Helper'!$L$35:$GI$35,'Tally Helper'!$L$33:$GI$33,"&gt;="&amp;$BR184,'Tally Helper'!$L$33:$GI$33,"&lt;="&amp;$BS184)))</f>
        <v/>
      </c>
      <c r="AI184" s="15" t="str">
        <f aca="false">IF(OR(M$7="",$BR184=""),"",IF('Tally Helper'!$B$36&lt;&gt;TRUE(),"not on Staff",SUMIFS('Tally Helper'!$L$38:$GI$38,'Tally Helper'!$L$36:$GI$36,"&gt;="&amp;$BR184,'Tally Helper'!$L$36:$GI$36,"&lt;="&amp;$BS184)))</f>
        <v/>
      </c>
      <c r="AJ184" s="15" t="str">
        <f aca="false">IF(OR(N$7="",$BR184=""),"",IF('Tally Helper'!$B$39&lt;&gt;TRUE(),"not on Staff",SUMIFS('Tally Helper'!$L$41:$GI$41,'Tally Helper'!$L$39:$GI$39,"&gt;="&amp;$BR184,'Tally Helper'!$L$39:$GI$39,"&lt;="&amp;$BS184)))</f>
        <v/>
      </c>
      <c r="AK184" s="15" t="str">
        <f aca="false">IF(OR(O$7="",$BR184=""),"",IF('Tally Helper'!$B$42&lt;&gt;TRUE(),"not on Staff",SUMIFS('Tally Helper'!$L$44:$GI$44,'Tally Helper'!$L$42:$GI$42,"&gt;="&amp;$BR184,'Tally Helper'!$L$42:$GI$42,"&lt;="&amp;$BS184)))</f>
        <v/>
      </c>
      <c r="AL184" s="15" t="str">
        <f aca="false">IF(OR(P$7="",$BR184=""),"",IF('Tally Helper'!$B$45&lt;&gt;TRUE(),"not on Staff",SUMIFS('Tally Helper'!$L$47:$GI$47,'Tally Helper'!$L$45:$GI$45,"&gt;="&amp;$BR184,'Tally Helper'!$L$45:$GI$45,"&lt;="&amp;$BS184)))</f>
        <v/>
      </c>
      <c r="AM184" s="15" t="str">
        <f aca="false">IF(OR(Q$7="",$BR184=""),"",IF('Tally Helper'!$B$48&lt;&gt;TRUE(),"not on Staff",SUMIFS('Tally Helper'!$L$50:$GI$50,'Tally Helper'!$L$48:$GI$48,"&gt;="&amp;$BR184,'Tally Helper'!$L$48:$GI$48,"&lt;="&amp;$BS184)))</f>
        <v/>
      </c>
      <c r="AN184" s="15" t="str">
        <f aca="false">IF(OR(R$7="",$BR184=""),"",IF('Tally Helper'!$B$51&lt;&gt;TRUE(),"not on Staff",SUMIFS('Tally Helper'!$L$53:$GI$53,'Tally Helper'!$L$51:$GI$51,"&gt;="&amp;$BR184,'Tally Helper'!$L$51:$GI$51,"&lt;="&amp;$BS184)))</f>
        <v/>
      </c>
      <c r="AO184" s="15" t="str">
        <f aca="false">IF(OR(S$7="",$BR184=""),"",IF('Tally Helper'!$B$54&lt;&gt;TRUE(),"not on Staff",SUMIFS('Tally Helper'!$L$56:$GI$56,'Tally Helper'!$L$54:$GI$54,"&gt;="&amp;$BR184,'Tally Helper'!$L$54:$GI$54,"&lt;="&amp;$BS184)))</f>
        <v/>
      </c>
      <c r="AP184" s="15" t="str">
        <f aca="false">IF(OR(T$7="",$BR184=""),"",IF('Tally Helper'!$B$57&lt;&gt;TRUE(),"not on Staff",SUMIFS('Tally Helper'!$L$59:$GI$59,'Tally Helper'!$L$57:$GI$57,"&gt;="&amp;$BR184,'Tally Helper'!$L$57:$GI$57,"&lt;="&amp;$BS184)))</f>
        <v/>
      </c>
      <c r="AQ184" s="15" t="str">
        <f aca="false">IF(OR(U$7="",$BR184=""),"",IF('Tally Helper'!$B$60&lt;&gt;TRUE(),"not on Staff",SUMIFS('Tally Helper'!$L$62:$GI$62,'Tally Helper'!$L$60:$GI$60,"&gt;="&amp;$BR184,'Tally Helper'!$L$60:$GI$60,"&lt;="&amp;$BS184)))</f>
        <v/>
      </c>
      <c r="AT184" s="15" t="str">
        <f aca="false">IF(OR(X184="",NOT(ISNUMBER(X184))),"",X184-N(B184))</f>
        <v/>
      </c>
      <c r="AU184" s="15" t="str">
        <f aca="false">IF(OR(Y184="",NOT(ISNUMBER(Y184))),"",Y184-N(C184))</f>
        <v/>
      </c>
      <c r="AV184" s="15" t="str">
        <f aca="false">IF(OR(Z184="",NOT(ISNUMBER(Z184))),"",Z184-N(D184))</f>
        <v/>
      </c>
      <c r="AW184" s="15" t="str">
        <f aca="false">IF(OR(AA184="",NOT(ISNUMBER(AA184))),"",AA184-N(E184))</f>
        <v/>
      </c>
      <c r="AX184" s="15" t="str">
        <f aca="false">IF(OR(AB184="",NOT(ISNUMBER(AB184))),"",AB184-N(F184))</f>
        <v/>
      </c>
      <c r="AY184" s="15" t="str">
        <f aca="false">IF(OR(AC184="",NOT(ISNUMBER(AC184))),"",AC184-N(G184))</f>
        <v/>
      </c>
      <c r="AZ184" s="15" t="str">
        <f aca="false">IF(OR(AD184="",NOT(ISNUMBER(AD184))),"",AD184-N(H184))</f>
        <v/>
      </c>
      <c r="BA184" s="15" t="str">
        <f aca="false">IF(OR(AE184="",NOT(ISNUMBER(AE184))),"",AE184-N(I184))</f>
        <v/>
      </c>
      <c r="BB184" s="15" t="str">
        <f aca="false">IF(OR(AF184="",NOT(ISNUMBER(AF184))),"",AF184-N(J184))</f>
        <v/>
      </c>
      <c r="BC184" s="15" t="str">
        <f aca="false">IF(OR(AG184="",NOT(ISNUMBER(AG184))),"",AG184-N(K184))</f>
        <v/>
      </c>
      <c r="BD184" s="15" t="str">
        <f aca="false">IF(OR(AH184="",NOT(ISNUMBER(AH184))),"",AH184-N(L184))</f>
        <v/>
      </c>
      <c r="BE184" s="15" t="str">
        <f aca="false">IF(OR(AI184="",NOT(ISNUMBER(AI184))),"",AI184-N(M184))</f>
        <v/>
      </c>
      <c r="BF184" s="15" t="str">
        <f aca="false">IF(OR(AJ184="",NOT(ISNUMBER(AJ184))),"",AJ184-N(N184))</f>
        <v/>
      </c>
      <c r="BG184" s="15" t="str">
        <f aca="false">IF(OR(AK184="",NOT(ISNUMBER(AK184))),"",AK184-N(O184))</f>
        <v/>
      </c>
      <c r="BH184" s="15" t="str">
        <f aca="false">IF(OR(AL184="",NOT(ISNUMBER(AL184))),"",AL184-N(P184))</f>
        <v/>
      </c>
      <c r="BI184" s="15" t="str">
        <f aca="false">IF(OR(AM184="",NOT(ISNUMBER(AM184))),"",AM184-N(Q184))</f>
        <v/>
      </c>
      <c r="BJ184" s="15" t="str">
        <f aca="false">IF(OR(AN184="",NOT(ISNUMBER(AN184))),"",AN184-N(R184))</f>
        <v/>
      </c>
      <c r="BK184" s="15" t="str">
        <f aca="false">IF(OR(AO184="",NOT(ISNUMBER(AO184))),"",AO184-N(S184))</f>
        <v/>
      </c>
      <c r="BL184" s="15" t="str">
        <f aca="false">IF(OR(AP184="",NOT(ISNUMBER(AP184))),"",AP184-N(T184))</f>
        <v/>
      </c>
      <c r="BM184" s="15" t="str">
        <f aca="false">IF(OR(AQ184="",NOT(ISNUMBER(AQ184))),"",AQ184-N(U184))</f>
        <v/>
      </c>
      <c r="BR184" s="18" t="str">
        <f aca="false">IF($A184="","",IF(ISNUMBER($A184),DATE(YEAR($A184),MONTH($A184),1),IFERROR(DATE(2000+VALUE(RIGHT(TRIM($A184),2)),MATCH(UPPER(LEFT(TRIM($A184),3)),{"JAN","FEB","MAR","APR","MAY","JUN","JUL","AUG","SEP","OCT","NOV","DEC"},0),1),"")))</f>
        <v/>
      </c>
      <c r="BS184" s="18" t="str">
        <f aca="false">IF(BR184="","",EOMONTH(BR184,0))</f>
        <v/>
      </c>
    </row>
    <row r="185" customFormat="false" ht="15" hidden="false" customHeight="false" outlineLevel="0" collapsed="false">
      <c r="B185" s="19"/>
      <c r="C185" s="19"/>
      <c r="D185" s="19"/>
      <c r="E185" s="19"/>
      <c r="F185" s="19"/>
      <c r="G185" s="19"/>
      <c r="H185" s="19"/>
      <c r="I185" s="19"/>
      <c r="J185" s="19"/>
      <c r="K185" s="19"/>
      <c r="L185" s="19"/>
      <c r="M185" s="19"/>
      <c r="N185" s="19"/>
      <c r="O185" s="19"/>
      <c r="P185" s="19"/>
      <c r="Q185" s="19"/>
      <c r="R185" s="19"/>
      <c r="S185" s="19"/>
      <c r="T185" s="19"/>
      <c r="U185" s="19"/>
      <c r="X185" s="15" t="str">
        <f aca="false">IF(OR(B$7="",$BR185=""),"",IF('Tally Helper'!$B$3&lt;&gt;TRUE(),"not on Staff",SUMIFS('Tally Helper'!$L$5:$GI$5,'Tally Helper'!$L$3:$GI$3,"&gt;="&amp;$BR185,'Tally Helper'!$L$3:$GI$3,"&lt;="&amp;$BS185)))</f>
        <v/>
      </c>
      <c r="Y185" s="15" t="str">
        <f aca="false">IF(OR(C$7="",$BR185=""),"",IF('Tally Helper'!$B$6&lt;&gt;TRUE(),"not on Staff",SUMIFS('Tally Helper'!$L$8:$GI$8,'Tally Helper'!$L$6:$GI$6,"&gt;="&amp;$BR185,'Tally Helper'!$L$6:$GI$6,"&lt;="&amp;$BS185)))</f>
        <v/>
      </c>
      <c r="Z185" s="15" t="str">
        <f aca="false">IF(OR(D$7="",$BR185=""),"",IF('Tally Helper'!$B$9&lt;&gt;TRUE(),"not on Staff",SUMIFS('Tally Helper'!$L$11:$GI$11,'Tally Helper'!$L$9:$GI$9,"&gt;="&amp;$BR185,'Tally Helper'!$L$9:$GI$9,"&lt;="&amp;$BS185)))</f>
        <v/>
      </c>
      <c r="AA185" s="15" t="str">
        <f aca="false">IF(OR(E$7="",$BR185=""),"",IF('Tally Helper'!$B$12&lt;&gt;TRUE(),"not on Staff",SUMIFS('Tally Helper'!$L$14:$GI$14,'Tally Helper'!$L$12:$GI$12,"&gt;="&amp;$BR185,'Tally Helper'!$L$12:$GI$12,"&lt;="&amp;$BS185)))</f>
        <v/>
      </c>
      <c r="AB185" s="15" t="str">
        <f aca="false">IF(OR(F$7="",$BR185=""),"",IF('Tally Helper'!$B$15&lt;&gt;TRUE(),"not on Staff",SUMIFS('Tally Helper'!$L$17:$GI$17,'Tally Helper'!$L$15:$GI$15,"&gt;="&amp;$BR185,'Tally Helper'!$L$15:$GI$15,"&lt;="&amp;$BS185)))</f>
        <v/>
      </c>
      <c r="AC185" s="15" t="str">
        <f aca="false">IF(OR(G$7="",$BR185=""),"",IF('Tally Helper'!$B$18&lt;&gt;TRUE(),"not on Staff",SUMIFS('Tally Helper'!$L$20:$GI$20,'Tally Helper'!$L$18:$GI$18,"&gt;="&amp;$BR185,'Tally Helper'!$L$18:$GI$18,"&lt;="&amp;$BS185)))</f>
        <v/>
      </c>
      <c r="AD185" s="15" t="str">
        <f aca="false">IF(OR(H$7="",$BR185=""),"",IF('Tally Helper'!$B$21&lt;&gt;TRUE(),"not on Staff",SUMIFS('Tally Helper'!$L$23:$GI$23,'Tally Helper'!$L$21:$GI$21,"&gt;="&amp;$BR185,'Tally Helper'!$L$21:$GI$21,"&lt;="&amp;$BS185)))</f>
        <v/>
      </c>
      <c r="AE185" s="15" t="str">
        <f aca="false">IF(OR(I$7="",$BR185=""),"",IF('Tally Helper'!$B$24&lt;&gt;TRUE(),"not on Staff",SUMIFS('Tally Helper'!$L$26:$GI$26,'Tally Helper'!$L$24:$GI$24,"&gt;="&amp;$BR185,'Tally Helper'!$L$24:$GI$24,"&lt;="&amp;$BS185)))</f>
        <v/>
      </c>
      <c r="AF185" s="15" t="str">
        <f aca="false">IF(OR(J$7="",$BR185=""),"",IF('Tally Helper'!$B$27&lt;&gt;TRUE(),"not on Staff",SUMIFS('Tally Helper'!$L$29:$GI$29,'Tally Helper'!$L$27:$GI$27,"&gt;="&amp;$BR185,'Tally Helper'!$L$27:$GI$27,"&lt;="&amp;$BS185)))</f>
        <v/>
      </c>
      <c r="AG185" s="15" t="str">
        <f aca="false">IF(OR(K$7="",$BR185=""),"",IF('Tally Helper'!$B$30&lt;&gt;TRUE(),"not on Staff",SUMIFS('Tally Helper'!$L$32:$GI$32,'Tally Helper'!$L$30:$GI$30,"&gt;="&amp;$BR185,'Tally Helper'!$L$30:$GI$30,"&lt;="&amp;$BS185)))</f>
        <v/>
      </c>
      <c r="AH185" s="15" t="str">
        <f aca="false">IF(OR(L$7="",$BR185=""),"",IF('Tally Helper'!$B$33&lt;&gt;TRUE(),"not on Staff",SUMIFS('Tally Helper'!$L$35:$GI$35,'Tally Helper'!$L$33:$GI$33,"&gt;="&amp;$BR185,'Tally Helper'!$L$33:$GI$33,"&lt;="&amp;$BS185)))</f>
        <v/>
      </c>
      <c r="AI185" s="15" t="str">
        <f aca="false">IF(OR(M$7="",$BR185=""),"",IF('Tally Helper'!$B$36&lt;&gt;TRUE(),"not on Staff",SUMIFS('Tally Helper'!$L$38:$GI$38,'Tally Helper'!$L$36:$GI$36,"&gt;="&amp;$BR185,'Tally Helper'!$L$36:$GI$36,"&lt;="&amp;$BS185)))</f>
        <v/>
      </c>
      <c r="AJ185" s="15" t="str">
        <f aca="false">IF(OR(N$7="",$BR185=""),"",IF('Tally Helper'!$B$39&lt;&gt;TRUE(),"not on Staff",SUMIFS('Tally Helper'!$L$41:$GI$41,'Tally Helper'!$L$39:$GI$39,"&gt;="&amp;$BR185,'Tally Helper'!$L$39:$GI$39,"&lt;="&amp;$BS185)))</f>
        <v/>
      </c>
      <c r="AK185" s="15" t="str">
        <f aca="false">IF(OR(O$7="",$BR185=""),"",IF('Tally Helper'!$B$42&lt;&gt;TRUE(),"not on Staff",SUMIFS('Tally Helper'!$L$44:$GI$44,'Tally Helper'!$L$42:$GI$42,"&gt;="&amp;$BR185,'Tally Helper'!$L$42:$GI$42,"&lt;="&amp;$BS185)))</f>
        <v/>
      </c>
      <c r="AL185" s="15" t="str">
        <f aca="false">IF(OR(P$7="",$BR185=""),"",IF('Tally Helper'!$B$45&lt;&gt;TRUE(),"not on Staff",SUMIFS('Tally Helper'!$L$47:$GI$47,'Tally Helper'!$L$45:$GI$45,"&gt;="&amp;$BR185,'Tally Helper'!$L$45:$GI$45,"&lt;="&amp;$BS185)))</f>
        <v/>
      </c>
      <c r="AM185" s="15" t="str">
        <f aca="false">IF(OR(Q$7="",$BR185=""),"",IF('Tally Helper'!$B$48&lt;&gt;TRUE(),"not on Staff",SUMIFS('Tally Helper'!$L$50:$GI$50,'Tally Helper'!$L$48:$GI$48,"&gt;="&amp;$BR185,'Tally Helper'!$L$48:$GI$48,"&lt;="&amp;$BS185)))</f>
        <v/>
      </c>
      <c r="AN185" s="15" t="str">
        <f aca="false">IF(OR(R$7="",$BR185=""),"",IF('Tally Helper'!$B$51&lt;&gt;TRUE(),"not on Staff",SUMIFS('Tally Helper'!$L$53:$GI$53,'Tally Helper'!$L$51:$GI$51,"&gt;="&amp;$BR185,'Tally Helper'!$L$51:$GI$51,"&lt;="&amp;$BS185)))</f>
        <v/>
      </c>
      <c r="AO185" s="15" t="str">
        <f aca="false">IF(OR(S$7="",$BR185=""),"",IF('Tally Helper'!$B$54&lt;&gt;TRUE(),"not on Staff",SUMIFS('Tally Helper'!$L$56:$GI$56,'Tally Helper'!$L$54:$GI$54,"&gt;="&amp;$BR185,'Tally Helper'!$L$54:$GI$54,"&lt;="&amp;$BS185)))</f>
        <v/>
      </c>
      <c r="AP185" s="15" t="str">
        <f aca="false">IF(OR(T$7="",$BR185=""),"",IF('Tally Helper'!$B$57&lt;&gt;TRUE(),"not on Staff",SUMIFS('Tally Helper'!$L$59:$GI$59,'Tally Helper'!$L$57:$GI$57,"&gt;="&amp;$BR185,'Tally Helper'!$L$57:$GI$57,"&lt;="&amp;$BS185)))</f>
        <v/>
      </c>
      <c r="AQ185" s="15" t="str">
        <f aca="false">IF(OR(U$7="",$BR185=""),"",IF('Tally Helper'!$B$60&lt;&gt;TRUE(),"not on Staff",SUMIFS('Tally Helper'!$L$62:$GI$62,'Tally Helper'!$L$60:$GI$60,"&gt;="&amp;$BR185,'Tally Helper'!$L$60:$GI$60,"&lt;="&amp;$BS185)))</f>
        <v/>
      </c>
      <c r="AT185" s="15" t="str">
        <f aca="false">IF(OR(X185="",NOT(ISNUMBER(X185))),"",X185-N(B185))</f>
        <v/>
      </c>
      <c r="AU185" s="15" t="str">
        <f aca="false">IF(OR(Y185="",NOT(ISNUMBER(Y185))),"",Y185-N(C185))</f>
        <v/>
      </c>
      <c r="AV185" s="15" t="str">
        <f aca="false">IF(OR(Z185="",NOT(ISNUMBER(Z185))),"",Z185-N(D185))</f>
        <v/>
      </c>
      <c r="AW185" s="15" t="str">
        <f aca="false">IF(OR(AA185="",NOT(ISNUMBER(AA185))),"",AA185-N(E185))</f>
        <v/>
      </c>
      <c r="AX185" s="15" t="str">
        <f aca="false">IF(OR(AB185="",NOT(ISNUMBER(AB185))),"",AB185-N(F185))</f>
        <v/>
      </c>
      <c r="AY185" s="15" t="str">
        <f aca="false">IF(OR(AC185="",NOT(ISNUMBER(AC185))),"",AC185-N(G185))</f>
        <v/>
      </c>
      <c r="AZ185" s="15" t="str">
        <f aca="false">IF(OR(AD185="",NOT(ISNUMBER(AD185))),"",AD185-N(H185))</f>
        <v/>
      </c>
      <c r="BA185" s="15" t="str">
        <f aca="false">IF(OR(AE185="",NOT(ISNUMBER(AE185))),"",AE185-N(I185))</f>
        <v/>
      </c>
      <c r="BB185" s="15" t="str">
        <f aca="false">IF(OR(AF185="",NOT(ISNUMBER(AF185))),"",AF185-N(J185))</f>
        <v/>
      </c>
      <c r="BC185" s="15" t="str">
        <f aca="false">IF(OR(AG185="",NOT(ISNUMBER(AG185))),"",AG185-N(K185))</f>
        <v/>
      </c>
      <c r="BD185" s="15" t="str">
        <f aca="false">IF(OR(AH185="",NOT(ISNUMBER(AH185))),"",AH185-N(L185))</f>
        <v/>
      </c>
      <c r="BE185" s="15" t="str">
        <f aca="false">IF(OR(AI185="",NOT(ISNUMBER(AI185))),"",AI185-N(M185))</f>
        <v/>
      </c>
      <c r="BF185" s="15" t="str">
        <f aca="false">IF(OR(AJ185="",NOT(ISNUMBER(AJ185))),"",AJ185-N(N185))</f>
        <v/>
      </c>
      <c r="BG185" s="15" t="str">
        <f aca="false">IF(OR(AK185="",NOT(ISNUMBER(AK185))),"",AK185-N(O185))</f>
        <v/>
      </c>
      <c r="BH185" s="15" t="str">
        <f aca="false">IF(OR(AL185="",NOT(ISNUMBER(AL185))),"",AL185-N(P185))</f>
        <v/>
      </c>
      <c r="BI185" s="15" t="str">
        <f aca="false">IF(OR(AM185="",NOT(ISNUMBER(AM185))),"",AM185-N(Q185))</f>
        <v/>
      </c>
      <c r="BJ185" s="15" t="str">
        <f aca="false">IF(OR(AN185="",NOT(ISNUMBER(AN185))),"",AN185-N(R185))</f>
        <v/>
      </c>
      <c r="BK185" s="15" t="str">
        <f aca="false">IF(OR(AO185="",NOT(ISNUMBER(AO185))),"",AO185-N(S185))</f>
        <v/>
      </c>
      <c r="BL185" s="15" t="str">
        <f aca="false">IF(OR(AP185="",NOT(ISNUMBER(AP185))),"",AP185-N(T185))</f>
        <v/>
      </c>
      <c r="BM185" s="15" t="str">
        <f aca="false">IF(OR(AQ185="",NOT(ISNUMBER(AQ185))),"",AQ185-N(U185))</f>
        <v/>
      </c>
      <c r="BR185" s="18" t="str">
        <f aca="false">IF($A185="","",IF(ISNUMBER($A185),DATE(YEAR($A185),MONTH($A185),1),IFERROR(DATE(2000+VALUE(RIGHT(TRIM($A185),2)),MATCH(UPPER(LEFT(TRIM($A185),3)),{"JAN","FEB","MAR","APR","MAY","JUN","JUL","AUG","SEP","OCT","NOV","DEC"},0),1),"")))</f>
        <v/>
      </c>
      <c r="BS185" s="18" t="str">
        <f aca="false">IF(BR185="","",EOMONTH(BR185,0))</f>
        <v/>
      </c>
    </row>
    <row r="186" customFormat="false" ht="15" hidden="false" customHeight="false" outlineLevel="0" collapsed="false">
      <c r="B186" s="19"/>
      <c r="C186" s="19"/>
      <c r="D186" s="19"/>
      <c r="E186" s="19"/>
      <c r="F186" s="19"/>
      <c r="G186" s="19"/>
      <c r="H186" s="19"/>
      <c r="I186" s="19"/>
      <c r="J186" s="19"/>
      <c r="K186" s="19"/>
      <c r="L186" s="19"/>
      <c r="M186" s="19"/>
      <c r="N186" s="19"/>
      <c r="O186" s="19"/>
      <c r="P186" s="19"/>
      <c r="Q186" s="19"/>
      <c r="R186" s="19"/>
      <c r="S186" s="19"/>
      <c r="T186" s="19"/>
      <c r="U186" s="19"/>
      <c r="X186" s="15" t="str">
        <f aca="false">IF(OR(B$7="",$BR186=""),"",IF('Tally Helper'!$B$3&lt;&gt;TRUE(),"not on Staff",SUMIFS('Tally Helper'!$L$5:$GI$5,'Tally Helper'!$L$3:$GI$3,"&gt;="&amp;$BR186,'Tally Helper'!$L$3:$GI$3,"&lt;="&amp;$BS186)))</f>
        <v/>
      </c>
      <c r="Y186" s="15" t="str">
        <f aca="false">IF(OR(C$7="",$BR186=""),"",IF('Tally Helper'!$B$6&lt;&gt;TRUE(),"not on Staff",SUMIFS('Tally Helper'!$L$8:$GI$8,'Tally Helper'!$L$6:$GI$6,"&gt;="&amp;$BR186,'Tally Helper'!$L$6:$GI$6,"&lt;="&amp;$BS186)))</f>
        <v/>
      </c>
      <c r="Z186" s="15" t="str">
        <f aca="false">IF(OR(D$7="",$BR186=""),"",IF('Tally Helper'!$B$9&lt;&gt;TRUE(),"not on Staff",SUMIFS('Tally Helper'!$L$11:$GI$11,'Tally Helper'!$L$9:$GI$9,"&gt;="&amp;$BR186,'Tally Helper'!$L$9:$GI$9,"&lt;="&amp;$BS186)))</f>
        <v/>
      </c>
      <c r="AA186" s="15" t="str">
        <f aca="false">IF(OR(E$7="",$BR186=""),"",IF('Tally Helper'!$B$12&lt;&gt;TRUE(),"not on Staff",SUMIFS('Tally Helper'!$L$14:$GI$14,'Tally Helper'!$L$12:$GI$12,"&gt;="&amp;$BR186,'Tally Helper'!$L$12:$GI$12,"&lt;="&amp;$BS186)))</f>
        <v/>
      </c>
      <c r="AB186" s="15" t="str">
        <f aca="false">IF(OR(F$7="",$BR186=""),"",IF('Tally Helper'!$B$15&lt;&gt;TRUE(),"not on Staff",SUMIFS('Tally Helper'!$L$17:$GI$17,'Tally Helper'!$L$15:$GI$15,"&gt;="&amp;$BR186,'Tally Helper'!$L$15:$GI$15,"&lt;="&amp;$BS186)))</f>
        <v/>
      </c>
      <c r="AC186" s="15" t="str">
        <f aca="false">IF(OR(G$7="",$BR186=""),"",IF('Tally Helper'!$B$18&lt;&gt;TRUE(),"not on Staff",SUMIFS('Tally Helper'!$L$20:$GI$20,'Tally Helper'!$L$18:$GI$18,"&gt;="&amp;$BR186,'Tally Helper'!$L$18:$GI$18,"&lt;="&amp;$BS186)))</f>
        <v/>
      </c>
      <c r="AD186" s="15" t="str">
        <f aca="false">IF(OR(H$7="",$BR186=""),"",IF('Tally Helper'!$B$21&lt;&gt;TRUE(),"not on Staff",SUMIFS('Tally Helper'!$L$23:$GI$23,'Tally Helper'!$L$21:$GI$21,"&gt;="&amp;$BR186,'Tally Helper'!$L$21:$GI$21,"&lt;="&amp;$BS186)))</f>
        <v/>
      </c>
      <c r="AE186" s="15" t="str">
        <f aca="false">IF(OR(I$7="",$BR186=""),"",IF('Tally Helper'!$B$24&lt;&gt;TRUE(),"not on Staff",SUMIFS('Tally Helper'!$L$26:$GI$26,'Tally Helper'!$L$24:$GI$24,"&gt;="&amp;$BR186,'Tally Helper'!$L$24:$GI$24,"&lt;="&amp;$BS186)))</f>
        <v/>
      </c>
      <c r="AF186" s="15" t="str">
        <f aca="false">IF(OR(J$7="",$BR186=""),"",IF('Tally Helper'!$B$27&lt;&gt;TRUE(),"not on Staff",SUMIFS('Tally Helper'!$L$29:$GI$29,'Tally Helper'!$L$27:$GI$27,"&gt;="&amp;$BR186,'Tally Helper'!$L$27:$GI$27,"&lt;="&amp;$BS186)))</f>
        <v/>
      </c>
      <c r="AG186" s="15" t="str">
        <f aca="false">IF(OR(K$7="",$BR186=""),"",IF('Tally Helper'!$B$30&lt;&gt;TRUE(),"not on Staff",SUMIFS('Tally Helper'!$L$32:$GI$32,'Tally Helper'!$L$30:$GI$30,"&gt;="&amp;$BR186,'Tally Helper'!$L$30:$GI$30,"&lt;="&amp;$BS186)))</f>
        <v/>
      </c>
      <c r="AH186" s="15" t="str">
        <f aca="false">IF(OR(L$7="",$BR186=""),"",IF('Tally Helper'!$B$33&lt;&gt;TRUE(),"not on Staff",SUMIFS('Tally Helper'!$L$35:$GI$35,'Tally Helper'!$L$33:$GI$33,"&gt;="&amp;$BR186,'Tally Helper'!$L$33:$GI$33,"&lt;="&amp;$BS186)))</f>
        <v/>
      </c>
      <c r="AI186" s="15" t="str">
        <f aca="false">IF(OR(M$7="",$BR186=""),"",IF('Tally Helper'!$B$36&lt;&gt;TRUE(),"not on Staff",SUMIFS('Tally Helper'!$L$38:$GI$38,'Tally Helper'!$L$36:$GI$36,"&gt;="&amp;$BR186,'Tally Helper'!$L$36:$GI$36,"&lt;="&amp;$BS186)))</f>
        <v/>
      </c>
      <c r="AJ186" s="15" t="str">
        <f aca="false">IF(OR(N$7="",$BR186=""),"",IF('Tally Helper'!$B$39&lt;&gt;TRUE(),"not on Staff",SUMIFS('Tally Helper'!$L$41:$GI$41,'Tally Helper'!$L$39:$GI$39,"&gt;="&amp;$BR186,'Tally Helper'!$L$39:$GI$39,"&lt;="&amp;$BS186)))</f>
        <v/>
      </c>
      <c r="AK186" s="15" t="str">
        <f aca="false">IF(OR(O$7="",$BR186=""),"",IF('Tally Helper'!$B$42&lt;&gt;TRUE(),"not on Staff",SUMIFS('Tally Helper'!$L$44:$GI$44,'Tally Helper'!$L$42:$GI$42,"&gt;="&amp;$BR186,'Tally Helper'!$L$42:$GI$42,"&lt;="&amp;$BS186)))</f>
        <v/>
      </c>
      <c r="AL186" s="15" t="str">
        <f aca="false">IF(OR(P$7="",$BR186=""),"",IF('Tally Helper'!$B$45&lt;&gt;TRUE(),"not on Staff",SUMIFS('Tally Helper'!$L$47:$GI$47,'Tally Helper'!$L$45:$GI$45,"&gt;="&amp;$BR186,'Tally Helper'!$L$45:$GI$45,"&lt;="&amp;$BS186)))</f>
        <v/>
      </c>
      <c r="AM186" s="15" t="str">
        <f aca="false">IF(OR(Q$7="",$BR186=""),"",IF('Tally Helper'!$B$48&lt;&gt;TRUE(),"not on Staff",SUMIFS('Tally Helper'!$L$50:$GI$50,'Tally Helper'!$L$48:$GI$48,"&gt;="&amp;$BR186,'Tally Helper'!$L$48:$GI$48,"&lt;="&amp;$BS186)))</f>
        <v/>
      </c>
      <c r="AN186" s="15" t="str">
        <f aca="false">IF(OR(R$7="",$BR186=""),"",IF('Tally Helper'!$B$51&lt;&gt;TRUE(),"not on Staff",SUMIFS('Tally Helper'!$L$53:$GI$53,'Tally Helper'!$L$51:$GI$51,"&gt;="&amp;$BR186,'Tally Helper'!$L$51:$GI$51,"&lt;="&amp;$BS186)))</f>
        <v/>
      </c>
      <c r="AO186" s="15" t="str">
        <f aca="false">IF(OR(S$7="",$BR186=""),"",IF('Tally Helper'!$B$54&lt;&gt;TRUE(),"not on Staff",SUMIFS('Tally Helper'!$L$56:$GI$56,'Tally Helper'!$L$54:$GI$54,"&gt;="&amp;$BR186,'Tally Helper'!$L$54:$GI$54,"&lt;="&amp;$BS186)))</f>
        <v/>
      </c>
      <c r="AP186" s="15" t="str">
        <f aca="false">IF(OR(T$7="",$BR186=""),"",IF('Tally Helper'!$B$57&lt;&gt;TRUE(),"not on Staff",SUMIFS('Tally Helper'!$L$59:$GI$59,'Tally Helper'!$L$57:$GI$57,"&gt;="&amp;$BR186,'Tally Helper'!$L$57:$GI$57,"&lt;="&amp;$BS186)))</f>
        <v/>
      </c>
      <c r="AQ186" s="15" t="str">
        <f aca="false">IF(OR(U$7="",$BR186=""),"",IF('Tally Helper'!$B$60&lt;&gt;TRUE(),"not on Staff",SUMIFS('Tally Helper'!$L$62:$GI$62,'Tally Helper'!$L$60:$GI$60,"&gt;="&amp;$BR186,'Tally Helper'!$L$60:$GI$60,"&lt;="&amp;$BS186)))</f>
        <v/>
      </c>
      <c r="AT186" s="15" t="str">
        <f aca="false">IF(OR(X186="",NOT(ISNUMBER(X186))),"",X186-N(B186))</f>
        <v/>
      </c>
      <c r="AU186" s="15" t="str">
        <f aca="false">IF(OR(Y186="",NOT(ISNUMBER(Y186))),"",Y186-N(C186))</f>
        <v/>
      </c>
      <c r="AV186" s="15" t="str">
        <f aca="false">IF(OR(Z186="",NOT(ISNUMBER(Z186))),"",Z186-N(D186))</f>
        <v/>
      </c>
      <c r="AW186" s="15" t="str">
        <f aca="false">IF(OR(AA186="",NOT(ISNUMBER(AA186))),"",AA186-N(E186))</f>
        <v/>
      </c>
      <c r="AX186" s="15" t="str">
        <f aca="false">IF(OR(AB186="",NOT(ISNUMBER(AB186))),"",AB186-N(F186))</f>
        <v/>
      </c>
      <c r="AY186" s="15" t="str">
        <f aca="false">IF(OR(AC186="",NOT(ISNUMBER(AC186))),"",AC186-N(G186))</f>
        <v/>
      </c>
      <c r="AZ186" s="15" t="str">
        <f aca="false">IF(OR(AD186="",NOT(ISNUMBER(AD186))),"",AD186-N(H186))</f>
        <v/>
      </c>
      <c r="BA186" s="15" t="str">
        <f aca="false">IF(OR(AE186="",NOT(ISNUMBER(AE186))),"",AE186-N(I186))</f>
        <v/>
      </c>
      <c r="BB186" s="15" t="str">
        <f aca="false">IF(OR(AF186="",NOT(ISNUMBER(AF186))),"",AF186-N(J186))</f>
        <v/>
      </c>
      <c r="BC186" s="15" t="str">
        <f aca="false">IF(OR(AG186="",NOT(ISNUMBER(AG186))),"",AG186-N(K186))</f>
        <v/>
      </c>
      <c r="BD186" s="15" t="str">
        <f aca="false">IF(OR(AH186="",NOT(ISNUMBER(AH186))),"",AH186-N(L186))</f>
        <v/>
      </c>
      <c r="BE186" s="15" t="str">
        <f aca="false">IF(OR(AI186="",NOT(ISNUMBER(AI186))),"",AI186-N(M186))</f>
        <v/>
      </c>
      <c r="BF186" s="15" t="str">
        <f aca="false">IF(OR(AJ186="",NOT(ISNUMBER(AJ186))),"",AJ186-N(N186))</f>
        <v/>
      </c>
      <c r="BG186" s="15" t="str">
        <f aca="false">IF(OR(AK186="",NOT(ISNUMBER(AK186))),"",AK186-N(O186))</f>
        <v/>
      </c>
      <c r="BH186" s="15" t="str">
        <f aca="false">IF(OR(AL186="",NOT(ISNUMBER(AL186))),"",AL186-N(P186))</f>
        <v/>
      </c>
      <c r="BI186" s="15" t="str">
        <f aca="false">IF(OR(AM186="",NOT(ISNUMBER(AM186))),"",AM186-N(Q186))</f>
        <v/>
      </c>
      <c r="BJ186" s="15" t="str">
        <f aca="false">IF(OR(AN186="",NOT(ISNUMBER(AN186))),"",AN186-N(R186))</f>
        <v/>
      </c>
      <c r="BK186" s="15" t="str">
        <f aca="false">IF(OR(AO186="",NOT(ISNUMBER(AO186))),"",AO186-N(S186))</f>
        <v/>
      </c>
      <c r="BL186" s="15" t="str">
        <f aca="false">IF(OR(AP186="",NOT(ISNUMBER(AP186))),"",AP186-N(T186))</f>
        <v/>
      </c>
      <c r="BM186" s="15" t="str">
        <f aca="false">IF(OR(AQ186="",NOT(ISNUMBER(AQ186))),"",AQ186-N(U186))</f>
        <v/>
      </c>
      <c r="BR186" s="18" t="str">
        <f aca="false">IF($A186="","",IF(ISNUMBER($A186),DATE(YEAR($A186),MONTH($A186),1),IFERROR(DATE(2000+VALUE(RIGHT(TRIM($A186),2)),MATCH(UPPER(LEFT(TRIM($A186),3)),{"JAN","FEB","MAR","APR","MAY","JUN","JUL","AUG","SEP","OCT","NOV","DEC"},0),1),"")))</f>
        <v/>
      </c>
      <c r="BS186" s="18" t="str">
        <f aca="false">IF(BR186="","",EOMONTH(BR186,0))</f>
        <v/>
      </c>
    </row>
    <row r="187" customFormat="false" ht="15" hidden="false" customHeight="false" outlineLevel="0" collapsed="false">
      <c r="B187" s="19"/>
      <c r="C187" s="19"/>
      <c r="D187" s="19"/>
      <c r="E187" s="19"/>
      <c r="F187" s="19"/>
      <c r="G187" s="19"/>
      <c r="H187" s="19"/>
      <c r="I187" s="19"/>
      <c r="J187" s="19"/>
      <c r="K187" s="19"/>
      <c r="L187" s="19"/>
      <c r="M187" s="19"/>
      <c r="N187" s="19"/>
      <c r="O187" s="19"/>
      <c r="P187" s="19"/>
      <c r="Q187" s="19"/>
      <c r="R187" s="19"/>
      <c r="S187" s="19"/>
      <c r="T187" s="19"/>
      <c r="U187" s="19"/>
      <c r="X187" s="15" t="str">
        <f aca="false">IF(OR(B$7="",$BR187=""),"",IF('Tally Helper'!$B$3&lt;&gt;TRUE(),"not on Staff",SUMIFS('Tally Helper'!$L$5:$GI$5,'Tally Helper'!$L$3:$GI$3,"&gt;="&amp;$BR187,'Tally Helper'!$L$3:$GI$3,"&lt;="&amp;$BS187)))</f>
        <v/>
      </c>
      <c r="Y187" s="15" t="str">
        <f aca="false">IF(OR(C$7="",$BR187=""),"",IF('Tally Helper'!$B$6&lt;&gt;TRUE(),"not on Staff",SUMIFS('Tally Helper'!$L$8:$GI$8,'Tally Helper'!$L$6:$GI$6,"&gt;="&amp;$BR187,'Tally Helper'!$L$6:$GI$6,"&lt;="&amp;$BS187)))</f>
        <v/>
      </c>
      <c r="Z187" s="15" t="str">
        <f aca="false">IF(OR(D$7="",$BR187=""),"",IF('Tally Helper'!$B$9&lt;&gt;TRUE(),"not on Staff",SUMIFS('Tally Helper'!$L$11:$GI$11,'Tally Helper'!$L$9:$GI$9,"&gt;="&amp;$BR187,'Tally Helper'!$L$9:$GI$9,"&lt;="&amp;$BS187)))</f>
        <v/>
      </c>
      <c r="AA187" s="15" t="str">
        <f aca="false">IF(OR(E$7="",$BR187=""),"",IF('Tally Helper'!$B$12&lt;&gt;TRUE(),"not on Staff",SUMIFS('Tally Helper'!$L$14:$GI$14,'Tally Helper'!$L$12:$GI$12,"&gt;="&amp;$BR187,'Tally Helper'!$L$12:$GI$12,"&lt;="&amp;$BS187)))</f>
        <v/>
      </c>
      <c r="AB187" s="15" t="str">
        <f aca="false">IF(OR(F$7="",$BR187=""),"",IF('Tally Helper'!$B$15&lt;&gt;TRUE(),"not on Staff",SUMIFS('Tally Helper'!$L$17:$GI$17,'Tally Helper'!$L$15:$GI$15,"&gt;="&amp;$BR187,'Tally Helper'!$L$15:$GI$15,"&lt;="&amp;$BS187)))</f>
        <v/>
      </c>
      <c r="AC187" s="15" t="str">
        <f aca="false">IF(OR(G$7="",$BR187=""),"",IF('Tally Helper'!$B$18&lt;&gt;TRUE(),"not on Staff",SUMIFS('Tally Helper'!$L$20:$GI$20,'Tally Helper'!$L$18:$GI$18,"&gt;="&amp;$BR187,'Tally Helper'!$L$18:$GI$18,"&lt;="&amp;$BS187)))</f>
        <v/>
      </c>
      <c r="AD187" s="15" t="str">
        <f aca="false">IF(OR(H$7="",$BR187=""),"",IF('Tally Helper'!$B$21&lt;&gt;TRUE(),"not on Staff",SUMIFS('Tally Helper'!$L$23:$GI$23,'Tally Helper'!$L$21:$GI$21,"&gt;="&amp;$BR187,'Tally Helper'!$L$21:$GI$21,"&lt;="&amp;$BS187)))</f>
        <v/>
      </c>
      <c r="AE187" s="15" t="str">
        <f aca="false">IF(OR(I$7="",$BR187=""),"",IF('Tally Helper'!$B$24&lt;&gt;TRUE(),"not on Staff",SUMIFS('Tally Helper'!$L$26:$GI$26,'Tally Helper'!$L$24:$GI$24,"&gt;="&amp;$BR187,'Tally Helper'!$L$24:$GI$24,"&lt;="&amp;$BS187)))</f>
        <v/>
      </c>
      <c r="AF187" s="15" t="str">
        <f aca="false">IF(OR(J$7="",$BR187=""),"",IF('Tally Helper'!$B$27&lt;&gt;TRUE(),"not on Staff",SUMIFS('Tally Helper'!$L$29:$GI$29,'Tally Helper'!$L$27:$GI$27,"&gt;="&amp;$BR187,'Tally Helper'!$L$27:$GI$27,"&lt;="&amp;$BS187)))</f>
        <v/>
      </c>
      <c r="AG187" s="15" t="str">
        <f aca="false">IF(OR(K$7="",$BR187=""),"",IF('Tally Helper'!$B$30&lt;&gt;TRUE(),"not on Staff",SUMIFS('Tally Helper'!$L$32:$GI$32,'Tally Helper'!$L$30:$GI$30,"&gt;="&amp;$BR187,'Tally Helper'!$L$30:$GI$30,"&lt;="&amp;$BS187)))</f>
        <v/>
      </c>
      <c r="AH187" s="15" t="str">
        <f aca="false">IF(OR(L$7="",$BR187=""),"",IF('Tally Helper'!$B$33&lt;&gt;TRUE(),"not on Staff",SUMIFS('Tally Helper'!$L$35:$GI$35,'Tally Helper'!$L$33:$GI$33,"&gt;="&amp;$BR187,'Tally Helper'!$L$33:$GI$33,"&lt;="&amp;$BS187)))</f>
        <v/>
      </c>
      <c r="AI187" s="15" t="str">
        <f aca="false">IF(OR(M$7="",$BR187=""),"",IF('Tally Helper'!$B$36&lt;&gt;TRUE(),"not on Staff",SUMIFS('Tally Helper'!$L$38:$GI$38,'Tally Helper'!$L$36:$GI$36,"&gt;="&amp;$BR187,'Tally Helper'!$L$36:$GI$36,"&lt;="&amp;$BS187)))</f>
        <v/>
      </c>
      <c r="AJ187" s="15" t="str">
        <f aca="false">IF(OR(N$7="",$BR187=""),"",IF('Tally Helper'!$B$39&lt;&gt;TRUE(),"not on Staff",SUMIFS('Tally Helper'!$L$41:$GI$41,'Tally Helper'!$L$39:$GI$39,"&gt;="&amp;$BR187,'Tally Helper'!$L$39:$GI$39,"&lt;="&amp;$BS187)))</f>
        <v/>
      </c>
      <c r="AK187" s="15" t="str">
        <f aca="false">IF(OR(O$7="",$BR187=""),"",IF('Tally Helper'!$B$42&lt;&gt;TRUE(),"not on Staff",SUMIFS('Tally Helper'!$L$44:$GI$44,'Tally Helper'!$L$42:$GI$42,"&gt;="&amp;$BR187,'Tally Helper'!$L$42:$GI$42,"&lt;="&amp;$BS187)))</f>
        <v/>
      </c>
      <c r="AL187" s="15" t="str">
        <f aca="false">IF(OR(P$7="",$BR187=""),"",IF('Tally Helper'!$B$45&lt;&gt;TRUE(),"not on Staff",SUMIFS('Tally Helper'!$L$47:$GI$47,'Tally Helper'!$L$45:$GI$45,"&gt;="&amp;$BR187,'Tally Helper'!$L$45:$GI$45,"&lt;="&amp;$BS187)))</f>
        <v/>
      </c>
      <c r="AM187" s="15" t="str">
        <f aca="false">IF(OR(Q$7="",$BR187=""),"",IF('Tally Helper'!$B$48&lt;&gt;TRUE(),"not on Staff",SUMIFS('Tally Helper'!$L$50:$GI$50,'Tally Helper'!$L$48:$GI$48,"&gt;="&amp;$BR187,'Tally Helper'!$L$48:$GI$48,"&lt;="&amp;$BS187)))</f>
        <v/>
      </c>
      <c r="AN187" s="15" t="str">
        <f aca="false">IF(OR(R$7="",$BR187=""),"",IF('Tally Helper'!$B$51&lt;&gt;TRUE(),"not on Staff",SUMIFS('Tally Helper'!$L$53:$GI$53,'Tally Helper'!$L$51:$GI$51,"&gt;="&amp;$BR187,'Tally Helper'!$L$51:$GI$51,"&lt;="&amp;$BS187)))</f>
        <v/>
      </c>
      <c r="AO187" s="15" t="str">
        <f aca="false">IF(OR(S$7="",$BR187=""),"",IF('Tally Helper'!$B$54&lt;&gt;TRUE(),"not on Staff",SUMIFS('Tally Helper'!$L$56:$GI$56,'Tally Helper'!$L$54:$GI$54,"&gt;="&amp;$BR187,'Tally Helper'!$L$54:$GI$54,"&lt;="&amp;$BS187)))</f>
        <v/>
      </c>
      <c r="AP187" s="15" t="str">
        <f aca="false">IF(OR(T$7="",$BR187=""),"",IF('Tally Helper'!$B$57&lt;&gt;TRUE(),"not on Staff",SUMIFS('Tally Helper'!$L$59:$GI$59,'Tally Helper'!$L$57:$GI$57,"&gt;="&amp;$BR187,'Tally Helper'!$L$57:$GI$57,"&lt;="&amp;$BS187)))</f>
        <v/>
      </c>
      <c r="AQ187" s="15" t="str">
        <f aca="false">IF(OR(U$7="",$BR187=""),"",IF('Tally Helper'!$B$60&lt;&gt;TRUE(),"not on Staff",SUMIFS('Tally Helper'!$L$62:$GI$62,'Tally Helper'!$L$60:$GI$60,"&gt;="&amp;$BR187,'Tally Helper'!$L$60:$GI$60,"&lt;="&amp;$BS187)))</f>
        <v/>
      </c>
      <c r="AT187" s="15" t="str">
        <f aca="false">IF(OR(X187="",NOT(ISNUMBER(X187))),"",X187-N(B187))</f>
        <v/>
      </c>
      <c r="AU187" s="15" t="str">
        <f aca="false">IF(OR(Y187="",NOT(ISNUMBER(Y187))),"",Y187-N(C187))</f>
        <v/>
      </c>
      <c r="AV187" s="15" t="str">
        <f aca="false">IF(OR(Z187="",NOT(ISNUMBER(Z187))),"",Z187-N(D187))</f>
        <v/>
      </c>
      <c r="AW187" s="15" t="str">
        <f aca="false">IF(OR(AA187="",NOT(ISNUMBER(AA187))),"",AA187-N(E187))</f>
        <v/>
      </c>
      <c r="AX187" s="15" t="str">
        <f aca="false">IF(OR(AB187="",NOT(ISNUMBER(AB187))),"",AB187-N(F187))</f>
        <v/>
      </c>
      <c r="AY187" s="15" t="str">
        <f aca="false">IF(OR(AC187="",NOT(ISNUMBER(AC187))),"",AC187-N(G187))</f>
        <v/>
      </c>
      <c r="AZ187" s="15" t="str">
        <f aca="false">IF(OR(AD187="",NOT(ISNUMBER(AD187))),"",AD187-N(H187))</f>
        <v/>
      </c>
      <c r="BA187" s="15" t="str">
        <f aca="false">IF(OR(AE187="",NOT(ISNUMBER(AE187))),"",AE187-N(I187))</f>
        <v/>
      </c>
      <c r="BB187" s="15" t="str">
        <f aca="false">IF(OR(AF187="",NOT(ISNUMBER(AF187))),"",AF187-N(J187))</f>
        <v/>
      </c>
      <c r="BC187" s="15" t="str">
        <f aca="false">IF(OR(AG187="",NOT(ISNUMBER(AG187))),"",AG187-N(K187))</f>
        <v/>
      </c>
      <c r="BD187" s="15" t="str">
        <f aca="false">IF(OR(AH187="",NOT(ISNUMBER(AH187))),"",AH187-N(L187))</f>
        <v/>
      </c>
      <c r="BE187" s="15" t="str">
        <f aca="false">IF(OR(AI187="",NOT(ISNUMBER(AI187))),"",AI187-N(M187))</f>
        <v/>
      </c>
      <c r="BF187" s="15" t="str">
        <f aca="false">IF(OR(AJ187="",NOT(ISNUMBER(AJ187))),"",AJ187-N(N187))</f>
        <v/>
      </c>
      <c r="BG187" s="15" t="str">
        <f aca="false">IF(OR(AK187="",NOT(ISNUMBER(AK187))),"",AK187-N(O187))</f>
        <v/>
      </c>
      <c r="BH187" s="15" t="str">
        <f aca="false">IF(OR(AL187="",NOT(ISNUMBER(AL187))),"",AL187-N(P187))</f>
        <v/>
      </c>
      <c r="BI187" s="15" t="str">
        <f aca="false">IF(OR(AM187="",NOT(ISNUMBER(AM187))),"",AM187-N(Q187))</f>
        <v/>
      </c>
      <c r="BJ187" s="15" t="str">
        <f aca="false">IF(OR(AN187="",NOT(ISNUMBER(AN187))),"",AN187-N(R187))</f>
        <v/>
      </c>
      <c r="BK187" s="15" t="str">
        <f aca="false">IF(OR(AO187="",NOT(ISNUMBER(AO187))),"",AO187-N(S187))</f>
        <v/>
      </c>
      <c r="BL187" s="15" t="str">
        <f aca="false">IF(OR(AP187="",NOT(ISNUMBER(AP187))),"",AP187-N(T187))</f>
        <v/>
      </c>
      <c r="BM187" s="15" t="str">
        <f aca="false">IF(OR(AQ187="",NOT(ISNUMBER(AQ187))),"",AQ187-N(U187))</f>
        <v/>
      </c>
      <c r="BR187" s="18" t="str">
        <f aca="false">IF($A187="","",IF(ISNUMBER($A187),DATE(YEAR($A187),MONTH($A187),1),IFERROR(DATE(2000+VALUE(RIGHT(TRIM($A187),2)),MATCH(UPPER(LEFT(TRIM($A187),3)),{"JAN","FEB","MAR","APR","MAY","JUN","JUL","AUG","SEP","OCT","NOV","DEC"},0),1),"")))</f>
        <v/>
      </c>
      <c r="BS187" s="18" t="str">
        <f aca="false">IF(BR187="","",EOMONTH(BR187,0))</f>
        <v/>
      </c>
    </row>
    <row r="188" customFormat="false" ht="15" hidden="false" customHeight="false" outlineLevel="0" collapsed="false">
      <c r="B188" s="19"/>
      <c r="C188" s="19"/>
      <c r="D188" s="19"/>
      <c r="E188" s="19"/>
      <c r="F188" s="19"/>
      <c r="G188" s="19"/>
      <c r="H188" s="19"/>
      <c r="I188" s="19"/>
      <c r="J188" s="19"/>
      <c r="K188" s="19"/>
      <c r="L188" s="19"/>
      <c r="M188" s="19"/>
      <c r="N188" s="19"/>
      <c r="O188" s="19"/>
      <c r="P188" s="19"/>
      <c r="Q188" s="19"/>
      <c r="R188" s="19"/>
      <c r="S188" s="19"/>
      <c r="T188" s="19"/>
      <c r="U188" s="19"/>
      <c r="X188" s="15" t="str">
        <f aca="false">IF(OR(B$7="",$BR188=""),"",IF('Tally Helper'!$B$3&lt;&gt;TRUE(),"not on Staff",SUMIFS('Tally Helper'!$L$5:$GI$5,'Tally Helper'!$L$3:$GI$3,"&gt;="&amp;$BR188,'Tally Helper'!$L$3:$GI$3,"&lt;="&amp;$BS188)))</f>
        <v/>
      </c>
      <c r="Y188" s="15" t="str">
        <f aca="false">IF(OR(C$7="",$BR188=""),"",IF('Tally Helper'!$B$6&lt;&gt;TRUE(),"not on Staff",SUMIFS('Tally Helper'!$L$8:$GI$8,'Tally Helper'!$L$6:$GI$6,"&gt;="&amp;$BR188,'Tally Helper'!$L$6:$GI$6,"&lt;="&amp;$BS188)))</f>
        <v/>
      </c>
      <c r="Z188" s="15" t="str">
        <f aca="false">IF(OR(D$7="",$BR188=""),"",IF('Tally Helper'!$B$9&lt;&gt;TRUE(),"not on Staff",SUMIFS('Tally Helper'!$L$11:$GI$11,'Tally Helper'!$L$9:$GI$9,"&gt;="&amp;$BR188,'Tally Helper'!$L$9:$GI$9,"&lt;="&amp;$BS188)))</f>
        <v/>
      </c>
      <c r="AA188" s="15" t="str">
        <f aca="false">IF(OR(E$7="",$BR188=""),"",IF('Tally Helper'!$B$12&lt;&gt;TRUE(),"not on Staff",SUMIFS('Tally Helper'!$L$14:$GI$14,'Tally Helper'!$L$12:$GI$12,"&gt;="&amp;$BR188,'Tally Helper'!$L$12:$GI$12,"&lt;="&amp;$BS188)))</f>
        <v/>
      </c>
      <c r="AB188" s="15" t="str">
        <f aca="false">IF(OR(F$7="",$BR188=""),"",IF('Tally Helper'!$B$15&lt;&gt;TRUE(),"not on Staff",SUMIFS('Tally Helper'!$L$17:$GI$17,'Tally Helper'!$L$15:$GI$15,"&gt;="&amp;$BR188,'Tally Helper'!$L$15:$GI$15,"&lt;="&amp;$BS188)))</f>
        <v/>
      </c>
      <c r="AC188" s="15" t="str">
        <f aca="false">IF(OR(G$7="",$BR188=""),"",IF('Tally Helper'!$B$18&lt;&gt;TRUE(),"not on Staff",SUMIFS('Tally Helper'!$L$20:$GI$20,'Tally Helper'!$L$18:$GI$18,"&gt;="&amp;$BR188,'Tally Helper'!$L$18:$GI$18,"&lt;="&amp;$BS188)))</f>
        <v/>
      </c>
      <c r="AD188" s="15" t="str">
        <f aca="false">IF(OR(H$7="",$BR188=""),"",IF('Tally Helper'!$B$21&lt;&gt;TRUE(),"not on Staff",SUMIFS('Tally Helper'!$L$23:$GI$23,'Tally Helper'!$L$21:$GI$21,"&gt;="&amp;$BR188,'Tally Helper'!$L$21:$GI$21,"&lt;="&amp;$BS188)))</f>
        <v/>
      </c>
      <c r="AE188" s="15" t="str">
        <f aca="false">IF(OR(I$7="",$BR188=""),"",IF('Tally Helper'!$B$24&lt;&gt;TRUE(),"not on Staff",SUMIFS('Tally Helper'!$L$26:$GI$26,'Tally Helper'!$L$24:$GI$24,"&gt;="&amp;$BR188,'Tally Helper'!$L$24:$GI$24,"&lt;="&amp;$BS188)))</f>
        <v/>
      </c>
      <c r="AF188" s="15" t="str">
        <f aca="false">IF(OR(J$7="",$BR188=""),"",IF('Tally Helper'!$B$27&lt;&gt;TRUE(),"not on Staff",SUMIFS('Tally Helper'!$L$29:$GI$29,'Tally Helper'!$L$27:$GI$27,"&gt;="&amp;$BR188,'Tally Helper'!$L$27:$GI$27,"&lt;="&amp;$BS188)))</f>
        <v/>
      </c>
      <c r="AG188" s="15" t="str">
        <f aca="false">IF(OR(K$7="",$BR188=""),"",IF('Tally Helper'!$B$30&lt;&gt;TRUE(),"not on Staff",SUMIFS('Tally Helper'!$L$32:$GI$32,'Tally Helper'!$L$30:$GI$30,"&gt;="&amp;$BR188,'Tally Helper'!$L$30:$GI$30,"&lt;="&amp;$BS188)))</f>
        <v/>
      </c>
      <c r="AH188" s="15" t="str">
        <f aca="false">IF(OR(L$7="",$BR188=""),"",IF('Tally Helper'!$B$33&lt;&gt;TRUE(),"not on Staff",SUMIFS('Tally Helper'!$L$35:$GI$35,'Tally Helper'!$L$33:$GI$33,"&gt;="&amp;$BR188,'Tally Helper'!$L$33:$GI$33,"&lt;="&amp;$BS188)))</f>
        <v/>
      </c>
      <c r="AI188" s="15" t="str">
        <f aca="false">IF(OR(M$7="",$BR188=""),"",IF('Tally Helper'!$B$36&lt;&gt;TRUE(),"not on Staff",SUMIFS('Tally Helper'!$L$38:$GI$38,'Tally Helper'!$L$36:$GI$36,"&gt;="&amp;$BR188,'Tally Helper'!$L$36:$GI$36,"&lt;="&amp;$BS188)))</f>
        <v/>
      </c>
      <c r="AJ188" s="15" t="str">
        <f aca="false">IF(OR(N$7="",$BR188=""),"",IF('Tally Helper'!$B$39&lt;&gt;TRUE(),"not on Staff",SUMIFS('Tally Helper'!$L$41:$GI$41,'Tally Helper'!$L$39:$GI$39,"&gt;="&amp;$BR188,'Tally Helper'!$L$39:$GI$39,"&lt;="&amp;$BS188)))</f>
        <v/>
      </c>
      <c r="AK188" s="15" t="str">
        <f aca="false">IF(OR(O$7="",$BR188=""),"",IF('Tally Helper'!$B$42&lt;&gt;TRUE(),"not on Staff",SUMIFS('Tally Helper'!$L$44:$GI$44,'Tally Helper'!$L$42:$GI$42,"&gt;="&amp;$BR188,'Tally Helper'!$L$42:$GI$42,"&lt;="&amp;$BS188)))</f>
        <v/>
      </c>
      <c r="AL188" s="15" t="str">
        <f aca="false">IF(OR(P$7="",$BR188=""),"",IF('Tally Helper'!$B$45&lt;&gt;TRUE(),"not on Staff",SUMIFS('Tally Helper'!$L$47:$GI$47,'Tally Helper'!$L$45:$GI$45,"&gt;="&amp;$BR188,'Tally Helper'!$L$45:$GI$45,"&lt;="&amp;$BS188)))</f>
        <v/>
      </c>
      <c r="AM188" s="15" t="str">
        <f aca="false">IF(OR(Q$7="",$BR188=""),"",IF('Tally Helper'!$B$48&lt;&gt;TRUE(),"not on Staff",SUMIFS('Tally Helper'!$L$50:$GI$50,'Tally Helper'!$L$48:$GI$48,"&gt;="&amp;$BR188,'Tally Helper'!$L$48:$GI$48,"&lt;="&amp;$BS188)))</f>
        <v/>
      </c>
      <c r="AN188" s="15" t="str">
        <f aca="false">IF(OR(R$7="",$BR188=""),"",IF('Tally Helper'!$B$51&lt;&gt;TRUE(),"not on Staff",SUMIFS('Tally Helper'!$L$53:$GI$53,'Tally Helper'!$L$51:$GI$51,"&gt;="&amp;$BR188,'Tally Helper'!$L$51:$GI$51,"&lt;="&amp;$BS188)))</f>
        <v/>
      </c>
      <c r="AO188" s="15" t="str">
        <f aca="false">IF(OR(S$7="",$BR188=""),"",IF('Tally Helper'!$B$54&lt;&gt;TRUE(),"not on Staff",SUMIFS('Tally Helper'!$L$56:$GI$56,'Tally Helper'!$L$54:$GI$54,"&gt;="&amp;$BR188,'Tally Helper'!$L$54:$GI$54,"&lt;="&amp;$BS188)))</f>
        <v/>
      </c>
      <c r="AP188" s="15" t="str">
        <f aca="false">IF(OR(T$7="",$BR188=""),"",IF('Tally Helper'!$B$57&lt;&gt;TRUE(),"not on Staff",SUMIFS('Tally Helper'!$L$59:$GI$59,'Tally Helper'!$L$57:$GI$57,"&gt;="&amp;$BR188,'Tally Helper'!$L$57:$GI$57,"&lt;="&amp;$BS188)))</f>
        <v/>
      </c>
      <c r="AQ188" s="15" t="str">
        <f aca="false">IF(OR(U$7="",$BR188=""),"",IF('Tally Helper'!$B$60&lt;&gt;TRUE(),"not on Staff",SUMIFS('Tally Helper'!$L$62:$GI$62,'Tally Helper'!$L$60:$GI$60,"&gt;="&amp;$BR188,'Tally Helper'!$L$60:$GI$60,"&lt;="&amp;$BS188)))</f>
        <v/>
      </c>
      <c r="AT188" s="15" t="str">
        <f aca="false">IF(OR(X188="",NOT(ISNUMBER(X188))),"",X188-N(B188))</f>
        <v/>
      </c>
      <c r="AU188" s="15" t="str">
        <f aca="false">IF(OR(Y188="",NOT(ISNUMBER(Y188))),"",Y188-N(C188))</f>
        <v/>
      </c>
      <c r="AV188" s="15" t="str">
        <f aca="false">IF(OR(Z188="",NOT(ISNUMBER(Z188))),"",Z188-N(D188))</f>
        <v/>
      </c>
      <c r="AW188" s="15" t="str">
        <f aca="false">IF(OR(AA188="",NOT(ISNUMBER(AA188))),"",AA188-N(E188))</f>
        <v/>
      </c>
      <c r="AX188" s="15" t="str">
        <f aca="false">IF(OR(AB188="",NOT(ISNUMBER(AB188))),"",AB188-N(F188))</f>
        <v/>
      </c>
      <c r="AY188" s="15" t="str">
        <f aca="false">IF(OR(AC188="",NOT(ISNUMBER(AC188))),"",AC188-N(G188))</f>
        <v/>
      </c>
      <c r="AZ188" s="15" t="str">
        <f aca="false">IF(OR(AD188="",NOT(ISNUMBER(AD188))),"",AD188-N(H188))</f>
        <v/>
      </c>
      <c r="BA188" s="15" t="str">
        <f aca="false">IF(OR(AE188="",NOT(ISNUMBER(AE188))),"",AE188-N(I188))</f>
        <v/>
      </c>
      <c r="BB188" s="15" t="str">
        <f aca="false">IF(OR(AF188="",NOT(ISNUMBER(AF188))),"",AF188-N(J188))</f>
        <v/>
      </c>
      <c r="BC188" s="15" t="str">
        <f aca="false">IF(OR(AG188="",NOT(ISNUMBER(AG188))),"",AG188-N(K188))</f>
        <v/>
      </c>
      <c r="BD188" s="15" t="str">
        <f aca="false">IF(OR(AH188="",NOT(ISNUMBER(AH188))),"",AH188-N(L188))</f>
        <v/>
      </c>
      <c r="BE188" s="15" t="str">
        <f aca="false">IF(OR(AI188="",NOT(ISNUMBER(AI188))),"",AI188-N(M188))</f>
        <v/>
      </c>
      <c r="BF188" s="15" t="str">
        <f aca="false">IF(OR(AJ188="",NOT(ISNUMBER(AJ188))),"",AJ188-N(N188))</f>
        <v/>
      </c>
      <c r="BG188" s="15" t="str">
        <f aca="false">IF(OR(AK188="",NOT(ISNUMBER(AK188))),"",AK188-N(O188))</f>
        <v/>
      </c>
      <c r="BH188" s="15" t="str">
        <f aca="false">IF(OR(AL188="",NOT(ISNUMBER(AL188))),"",AL188-N(P188))</f>
        <v/>
      </c>
      <c r="BI188" s="15" t="str">
        <f aca="false">IF(OR(AM188="",NOT(ISNUMBER(AM188))),"",AM188-N(Q188))</f>
        <v/>
      </c>
      <c r="BJ188" s="15" t="str">
        <f aca="false">IF(OR(AN188="",NOT(ISNUMBER(AN188))),"",AN188-N(R188))</f>
        <v/>
      </c>
      <c r="BK188" s="15" t="str">
        <f aca="false">IF(OR(AO188="",NOT(ISNUMBER(AO188))),"",AO188-N(S188))</f>
        <v/>
      </c>
      <c r="BL188" s="15" t="str">
        <f aca="false">IF(OR(AP188="",NOT(ISNUMBER(AP188))),"",AP188-N(T188))</f>
        <v/>
      </c>
      <c r="BM188" s="15" t="str">
        <f aca="false">IF(OR(AQ188="",NOT(ISNUMBER(AQ188))),"",AQ188-N(U188))</f>
        <v/>
      </c>
      <c r="BR188" s="18" t="str">
        <f aca="false">IF($A188="","",IF(ISNUMBER($A188),DATE(YEAR($A188),MONTH($A188),1),IFERROR(DATE(2000+VALUE(RIGHT(TRIM($A188),2)),MATCH(UPPER(LEFT(TRIM($A188),3)),{"JAN","FEB","MAR","APR","MAY","JUN","JUL","AUG","SEP","OCT","NOV","DEC"},0),1),"")))</f>
        <v/>
      </c>
      <c r="BS188" s="18" t="str">
        <f aca="false">IF(BR188="","",EOMONTH(BR188,0))</f>
        <v/>
      </c>
    </row>
    <row r="189" customFormat="false" ht="15" hidden="false" customHeight="false" outlineLevel="0" collapsed="false">
      <c r="B189" s="19"/>
      <c r="C189" s="19"/>
      <c r="D189" s="19"/>
      <c r="E189" s="19"/>
      <c r="F189" s="19"/>
      <c r="G189" s="19"/>
      <c r="H189" s="19"/>
      <c r="I189" s="19"/>
      <c r="J189" s="19"/>
      <c r="K189" s="19"/>
      <c r="L189" s="19"/>
      <c r="M189" s="19"/>
      <c r="N189" s="19"/>
      <c r="O189" s="19"/>
      <c r="P189" s="19"/>
      <c r="Q189" s="19"/>
      <c r="R189" s="19"/>
      <c r="S189" s="19"/>
      <c r="T189" s="19"/>
      <c r="U189" s="19"/>
      <c r="X189" s="15" t="str">
        <f aca="false">IF(OR(B$7="",$BR189=""),"",IF('Tally Helper'!$B$3&lt;&gt;TRUE(),"not on Staff",SUMIFS('Tally Helper'!$L$5:$GI$5,'Tally Helper'!$L$3:$GI$3,"&gt;="&amp;$BR189,'Tally Helper'!$L$3:$GI$3,"&lt;="&amp;$BS189)))</f>
        <v/>
      </c>
      <c r="Y189" s="15" t="str">
        <f aca="false">IF(OR(C$7="",$BR189=""),"",IF('Tally Helper'!$B$6&lt;&gt;TRUE(),"not on Staff",SUMIFS('Tally Helper'!$L$8:$GI$8,'Tally Helper'!$L$6:$GI$6,"&gt;="&amp;$BR189,'Tally Helper'!$L$6:$GI$6,"&lt;="&amp;$BS189)))</f>
        <v/>
      </c>
      <c r="Z189" s="15" t="str">
        <f aca="false">IF(OR(D$7="",$BR189=""),"",IF('Tally Helper'!$B$9&lt;&gt;TRUE(),"not on Staff",SUMIFS('Tally Helper'!$L$11:$GI$11,'Tally Helper'!$L$9:$GI$9,"&gt;="&amp;$BR189,'Tally Helper'!$L$9:$GI$9,"&lt;="&amp;$BS189)))</f>
        <v/>
      </c>
      <c r="AA189" s="15" t="str">
        <f aca="false">IF(OR(E$7="",$BR189=""),"",IF('Tally Helper'!$B$12&lt;&gt;TRUE(),"not on Staff",SUMIFS('Tally Helper'!$L$14:$GI$14,'Tally Helper'!$L$12:$GI$12,"&gt;="&amp;$BR189,'Tally Helper'!$L$12:$GI$12,"&lt;="&amp;$BS189)))</f>
        <v/>
      </c>
      <c r="AB189" s="15" t="str">
        <f aca="false">IF(OR(F$7="",$BR189=""),"",IF('Tally Helper'!$B$15&lt;&gt;TRUE(),"not on Staff",SUMIFS('Tally Helper'!$L$17:$GI$17,'Tally Helper'!$L$15:$GI$15,"&gt;="&amp;$BR189,'Tally Helper'!$L$15:$GI$15,"&lt;="&amp;$BS189)))</f>
        <v/>
      </c>
      <c r="AC189" s="15" t="str">
        <f aca="false">IF(OR(G$7="",$BR189=""),"",IF('Tally Helper'!$B$18&lt;&gt;TRUE(),"not on Staff",SUMIFS('Tally Helper'!$L$20:$GI$20,'Tally Helper'!$L$18:$GI$18,"&gt;="&amp;$BR189,'Tally Helper'!$L$18:$GI$18,"&lt;="&amp;$BS189)))</f>
        <v/>
      </c>
      <c r="AD189" s="15" t="str">
        <f aca="false">IF(OR(H$7="",$BR189=""),"",IF('Tally Helper'!$B$21&lt;&gt;TRUE(),"not on Staff",SUMIFS('Tally Helper'!$L$23:$GI$23,'Tally Helper'!$L$21:$GI$21,"&gt;="&amp;$BR189,'Tally Helper'!$L$21:$GI$21,"&lt;="&amp;$BS189)))</f>
        <v/>
      </c>
      <c r="AE189" s="15" t="str">
        <f aca="false">IF(OR(I$7="",$BR189=""),"",IF('Tally Helper'!$B$24&lt;&gt;TRUE(),"not on Staff",SUMIFS('Tally Helper'!$L$26:$GI$26,'Tally Helper'!$L$24:$GI$24,"&gt;="&amp;$BR189,'Tally Helper'!$L$24:$GI$24,"&lt;="&amp;$BS189)))</f>
        <v/>
      </c>
      <c r="AF189" s="15" t="str">
        <f aca="false">IF(OR(J$7="",$BR189=""),"",IF('Tally Helper'!$B$27&lt;&gt;TRUE(),"not on Staff",SUMIFS('Tally Helper'!$L$29:$GI$29,'Tally Helper'!$L$27:$GI$27,"&gt;="&amp;$BR189,'Tally Helper'!$L$27:$GI$27,"&lt;="&amp;$BS189)))</f>
        <v/>
      </c>
      <c r="AG189" s="15" t="str">
        <f aca="false">IF(OR(K$7="",$BR189=""),"",IF('Tally Helper'!$B$30&lt;&gt;TRUE(),"not on Staff",SUMIFS('Tally Helper'!$L$32:$GI$32,'Tally Helper'!$L$30:$GI$30,"&gt;="&amp;$BR189,'Tally Helper'!$L$30:$GI$30,"&lt;="&amp;$BS189)))</f>
        <v/>
      </c>
      <c r="AH189" s="15" t="str">
        <f aca="false">IF(OR(L$7="",$BR189=""),"",IF('Tally Helper'!$B$33&lt;&gt;TRUE(),"not on Staff",SUMIFS('Tally Helper'!$L$35:$GI$35,'Tally Helper'!$L$33:$GI$33,"&gt;="&amp;$BR189,'Tally Helper'!$L$33:$GI$33,"&lt;="&amp;$BS189)))</f>
        <v/>
      </c>
      <c r="AI189" s="15" t="str">
        <f aca="false">IF(OR(M$7="",$BR189=""),"",IF('Tally Helper'!$B$36&lt;&gt;TRUE(),"not on Staff",SUMIFS('Tally Helper'!$L$38:$GI$38,'Tally Helper'!$L$36:$GI$36,"&gt;="&amp;$BR189,'Tally Helper'!$L$36:$GI$36,"&lt;="&amp;$BS189)))</f>
        <v/>
      </c>
      <c r="AJ189" s="15" t="str">
        <f aca="false">IF(OR(N$7="",$BR189=""),"",IF('Tally Helper'!$B$39&lt;&gt;TRUE(),"not on Staff",SUMIFS('Tally Helper'!$L$41:$GI$41,'Tally Helper'!$L$39:$GI$39,"&gt;="&amp;$BR189,'Tally Helper'!$L$39:$GI$39,"&lt;="&amp;$BS189)))</f>
        <v/>
      </c>
      <c r="AK189" s="15" t="str">
        <f aca="false">IF(OR(O$7="",$BR189=""),"",IF('Tally Helper'!$B$42&lt;&gt;TRUE(),"not on Staff",SUMIFS('Tally Helper'!$L$44:$GI$44,'Tally Helper'!$L$42:$GI$42,"&gt;="&amp;$BR189,'Tally Helper'!$L$42:$GI$42,"&lt;="&amp;$BS189)))</f>
        <v/>
      </c>
      <c r="AL189" s="15" t="str">
        <f aca="false">IF(OR(P$7="",$BR189=""),"",IF('Tally Helper'!$B$45&lt;&gt;TRUE(),"not on Staff",SUMIFS('Tally Helper'!$L$47:$GI$47,'Tally Helper'!$L$45:$GI$45,"&gt;="&amp;$BR189,'Tally Helper'!$L$45:$GI$45,"&lt;="&amp;$BS189)))</f>
        <v/>
      </c>
      <c r="AM189" s="15" t="str">
        <f aca="false">IF(OR(Q$7="",$BR189=""),"",IF('Tally Helper'!$B$48&lt;&gt;TRUE(),"not on Staff",SUMIFS('Tally Helper'!$L$50:$GI$50,'Tally Helper'!$L$48:$GI$48,"&gt;="&amp;$BR189,'Tally Helper'!$L$48:$GI$48,"&lt;="&amp;$BS189)))</f>
        <v/>
      </c>
      <c r="AN189" s="15" t="str">
        <f aca="false">IF(OR(R$7="",$BR189=""),"",IF('Tally Helper'!$B$51&lt;&gt;TRUE(),"not on Staff",SUMIFS('Tally Helper'!$L$53:$GI$53,'Tally Helper'!$L$51:$GI$51,"&gt;="&amp;$BR189,'Tally Helper'!$L$51:$GI$51,"&lt;="&amp;$BS189)))</f>
        <v/>
      </c>
      <c r="AO189" s="15" t="str">
        <f aca="false">IF(OR(S$7="",$BR189=""),"",IF('Tally Helper'!$B$54&lt;&gt;TRUE(),"not on Staff",SUMIFS('Tally Helper'!$L$56:$GI$56,'Tally Helper'!$L$54:$GI$54,"&gt;="&amp;$BR189,'Tally Helper'!$L$54:$GI$54,"&lt;="&amp;$BS189)))</f>
        <v/>
      </c>
      <c r="AP189" s="15" t="str">
        <f aca="false">IF(OR(T$7="",$BR189=""),"",IF('Tally Helper'!$B$57&lt;&gt;TRUE(),"not on Staff",SUMIFS('Tally Helper'!$L$59:$GI$59,'Tally Helper'!$L$57:$GI$57,"&gt;="&amp;$BR189,'Tally Helper'!$L$57:$GI$57,"&lt;="&amp;$BS189)))</f>
        <v/>
      </c>
      <c r="AQ189" s="15" t="str">
        <f aca="false">IF(OR(U$7="",$BR189=""),"",IF('Tally Helper'!$B$60&lt;&gt;TRUE(),"not on Staff",SUMIFS('Tally Helper'!$L$62:$GI$62,'Tally Helper'!$L$60:$GI$60,"&gt;="&amp;$BR189,'Tally Helper'!$L$60:$GI$60,"&lt;="&amp;$BS189)))</f>
        <v/>
      </c>
      <c r="AT189" s="15" t="str">
        <f aca="false">IF(OR(X189="",NOT(ISNUMBER(X189))),"",X189-N(B189))</f>
        <v/>
      </c>
      <c r="AU189" s="15" t="str">
        <f aca="false">IF(OR(Y189="",NOT(ISNUMBER(Y189))),"",Y189-N(C189))</f>
        <v/>
      </c>
      <c r="AV189" s="15" t="str">
        <f aca="false">IF(OR(Z189="",NOT(ISNUMBER(Z189))),"",Z189-N(D189))</f>
        <v/>
      </c>
      <c r="AW189" s="15" t="str">
        <f aca="false">IF(OR(AA189="",NOT(ISNUMBER(AA189))),"",AA189-N(E189))</f>
        <v/>
      </c>
      <c r="AX189" s="15" t="str">
        <f aca="false">IF(OR(AB189="",NOT(ISNUMBER(AB189))),"",AB189-N(F189))</f>
        <v/>
      </c>
      <c r="AY189" s="15" t="str">
        <f aca="false">IF(OR(AC189="",NOT(ISNUMBER(AC189))),"",AC189-N(G189))</f>
        <v/>
      </c>
      <c r="AZ189" s="15" t="str">
        <f aca="false">IF(OR(AD189="",NOT(ISNUMBER(AD189))),"",AD189-N(H189))</f>
        <v/>
      </c>
      <c r="BA189" s="15" t="str">
        <f aca="false">IF(OR(AE189="",NOT(ISNUMBER(AE189))),"",AE189-N(I189))</f>
        <v/>
      </c>
      <c r="BB189" s="15" t="str">
        <f aca="false">IF(OR(AF189="",NOT(ISNUMBER(AF189))),"",AF189-N(J189))</f>
        <v/>
      </c>
      <c r="BC189" s="15" t="str">
        <f aca="false">IF(OR(AG189="",NOT(ISNUMBER(AG189))),"",AG189-N(K189))</f>
        <v/>
      </c>
      <c r="BD189" s="15" t="str">
        <f aca="false">IF(OR(AH189="",NOT(ISNUMBER(AH189))),"",AH189-N(L189))</f>
        <v/>
      </c>
      <c r="BE189" s="15" t="str">
        <f aca="false">IF(OR(AI189="",NOT(ISNUMBER(AI189))),"",AI189-N(M189))</f>
        <v/>
      </c>
      <c r="BF189" s="15" t="str">
        <f aca="false">IF(OR(AJ189="",NOT(ISNUMBER(AJ189))),"",AJ189-N(N189))</f>
        <v/>
      </c>
      <c r="BG189" s="15" t="str">
        <f aca="false">IF(OR(AK189="",NOT(ISNUMBER(AK189))),"",AK189-N(O189))</f>
        <v/>
      </c>
      <c r="BH189" s="15" t="str">
        <f aca="false">IF(OR(AL189="",NOT(ISNUMBER(AL189))),"",AL189-N(P189))</f>
        <v/>
      </c>
      <c r="BI189" s="15" t="str">
        <f aca="false">IF(OR(AM189="",NOT(ISNUMBER(AM189))),"",AM189-N(Q189))</f>
        <v/>
      </c>
      <c r="BJ189" s="15" t="str">
        <f aca="false">IF(OR(AN189="",NOT(ISNUMBER(AN189))),"",AN189-N(R189))</f>
        <v/>
      </c>
      <c r="BK189" s="15" t="str">
        <f aca="false">IF(OR(AO189="",NOT(ISNUMBER(AO189))),"",AO189-N(S189))</f>
        <v/>
      </c>
      <c r="BL189" s="15" t="str">
        <f aca="false">IF(OR(AP189="",NOT(ISNUMBER(AP189))),"",AP189-N(T189))</f>
        <v/>
      </c>
      <c r="BM189" s="15" t="str">
        <f aca="false">IF(OR(AQ189="",NOT(ISNUMBER(AQ189))),"",AQ189-N(U189))</f>
        <v/>
      </c>
      <c r="BR189" s="18" t="str">
        <f aca="false">IF($A189="","",IF(ISNUMBER($A189),DATE(YEAR($A189),MONTH($A189),1),IFERROR(DATE(2000+VALUE(RIGHT(TRIM($A189),2)),MATCH(UPPER(LEFT(TRIM($A189),3)),{"JAN","FEB","MAR","APR","MAY","JUN","JUL","AUG","SEP","OCT","NOV","DEC"},0),1),"")))</f>
        <v/>
      </c>
      <c r="BS189" s="18" t="str">
        <f aca="false">IF(BR189="","",EOMONTH(BR189,0))</f>
        <v/>
      </c>
    </row>
    <row r="190" customFormat="false" ht="15" hidden="false" customHeight="false" outlineLevel="0" collapsed="false">
      <c r="B190" s="19"/>
      <c r="C190" s="19"/>
      <c r="D190" s="19"/>
      <c r="E190" s="19"/>
      <c r="F190" s="19"/>
      <c r="G190" s="19"/>
      <c r="H190" s="19"/>
      <c r="I190" s="19"/>
      <c r="J190" s="19"/>
      <c r="K190" s="19"/>
      <c r="L190" s="19"/>
      <c r="M190" s="19"/>
      <c r="N190" s="19"/>
      <c r="O190" s="19"/>
      <c r="P190" s="19"/>
      <c r="Q190" s="19"/>
      <c r="R190" s="19"/>
      <c r="S190" s="19"/>
      <c r="T190" s="19"/>
      <c r="U190" s="19"/>
      <c r="X190" s="15" t="str">
        <f aca="false">IF(OR(B$7="",$BR190=""),"",IF('Tally Helper'!$B$3&lt;&gt;TRUE(),"not on Staff",SUMIFS('Tally Helper'!$L$5:$GI$5,'Tally Helper'!$L$3:$GI$3,"&gt;="&amp;$BR190,'Tally Helper'!$L$3:$GI$3,"&lt;="&amp;$BS190)))</f>
        <v/>
      </c>
      <c r="Y190" s="15" t="str">
        <f aca="false">IF(OR(C$7="",$BR190=""),"",IF('Tally Helper'!$B$6&lt;&gt;TRUE(),"not on Staff",SUMIFS('Tally Helper'!$L$8:$GI$8,'Tally Helper'!$L$6:$GI$6,"&gt;="&amp;$BR190,'Tally Helper'!$L$6:$GI$6,"&lt;="&amp;$BS190)))</f>
        <v/>
      </c>
      <c r="Z190" s="15" t="str">
        <f aca="false">IF(OR(D$7="",$BR190=""),"",IF('Tally Helper'!$B$9&lt;&gt;TRUE(),"not on Staff",SUMIFS('Tally Helper'!$L$11:$GI$11,'Tally Helper'!$L$9:$GI$9,"&gt;="&amp;$BR190,'Tally Helper'!$L$9:$GI$9,"&lt;="&amp;$BS190)))</f>
        <v/>
      </c>
      <c r="AA190" s="15" t="str">
        <f aca="false">IF(OR(E$7="",$BR190=""),"",IF('Tally Helper'!$B$12&lt;&gt;TRUE(),"not on Staff",SUMIFS('Tally Helper'!$L$14:$GI$14,'Tally Helper'!$L$12:$GI$12,"&gt;="&amp;$BR190,'Tally Helper'!$L$12:$GI$12,"&lt;="&amp;$BS190)))</f>
        <v/>
      </c>
      <c r="AB190" s="15" t="str">
        <f aca="false">IF(OR(F$7="",$BR190=""),"",IF('Tally Helper'!$B$15&lt;&gt;TRUE(),"not on Staff",SUMIFS('Tally Helper'!$L$17:$GI$17,'Tally Helper'!$L$15:$GI$15,"&gt;="&amp;$BR190,'Tally Helper'!$L$15:$GI$15,"&lt;="&amp;$BS190)))</f>
        <v/>
      </c>
      <c r="AC190" s="15" t="str">
        <f aca="false">IF(OR(G$7="",$BR190=""),"",IF('Tally Helper'!$B$18&lt;&gt;TRUE(),"not on Staff",SUMIFS('Tally Helper'!$L$20:$GI$20,'Tally Helper'!$L$18:$GI$18,"&gt;="&amp;$BR190,'Tally Helper'!$L$18:$GI$18,"&lt;="&amp;$BS190)))</f>
        <v/>
      </c>
      <c r="AD190" s="15" t="str">
        <f aca="false">IF(OR(H$7="",$BR190=""),"",IF('Tally Helper'!$B$21&lt;&gt;TRUE(),"not on Staff",SUMIFS('Tally Helper'!$L$23:$GI$23,'Tally Helper'!$L$21:$GI$21,"&gt;="&amp;$BR190,'Tally Helper'!$L$21:$GI$21,"&lt;="&amp;$BS190)))</f>
        <v/>
      </c>
      <c r="AE190" s="15" t="str">
        <f aca="false">IF(OR(I$7="",$BR190=""),"",IF('Tally Helper'!$B$24&lt;&gt;TRUE(),"not on Staff",SUMIFS('Tally Helper'!$L$26:$GI$26,'Tally Helper'!$L$24:$GI$24,"&gt;="&amp;$BR190,'Tally Helper'!$L$24:$GI$24,"&lt;="&amp;$BS190)))</f>
        <v/>
      </c>
      <c r="AF190" s="15" t="str">
        <f aca="false">IF(OR(J$7="",$BR190=""),"",IF('Tally Helper'!$B$27&lt;&gt;TRUE(),"not on Staff",SUMIFS('Tally Helper'!$L$29:$GI$29,'Tally Helper'!$L$27:$GI$27,"&gt;="&amp;$BR190,'Tally Helper'!$L$27:$GI$27,"&lt;="&amp;$BS190)))</f>
        <v/>
      </c>
      <c r="AG190" s="15" t="str">
        <f aca="false">IF(OR(K$7="",$BR190=""),"",IF('Tally Helper'!$B$30&lt;&gt;TRUE(),"not on Staff",SUMIFS('Tally Helper'!$L$32:$GI$32,'Tally Helper'!$L$30:$GI$30,"&gt;="&amp;$BR190,'Tally Helper'!$L$30:$GI$30,"&lt;="&amp;$BS190)))</f>
        <v/>
      </c>
      <c r="AH190" s="15" t="str">
        <f aca="false">IF(OR(L$7="",$BR190=""),"",IF('Tally Helper'!$B$33&lt;&gt;TRUE(),"not on Staff",SUMIFS('Tally Helper'!$L$35:$GI$35,'Tally Helper'!$L$33:$GI$33,"&gt;="&amp;$BR190,'Tally Helper'!$L$33:$GI$33,"&lt;="&amp;$BS190)))</f>
        <v/>
      </c>
      <c r="AI190" s="15" t="str">
        <f aca="false">IF(OR(M$7="",$BR190=""),"",IF('Tally Helper'!$B$36&lt;&gt;TRUE(),"not on Staff",SUMIFS('Tally Helper'!$L$38:$GI$38,'Tally Helper'!$L$36:$GI$36,"&gt;="&amp;$BR190,'Tally Helper'!$L$36:$GI$36,"&lt;="&amp;$BS190)))</f>
        <v/>
      </c>
      <c r="AJ190" s="15" t="str">
        <f aca="false">IF(OR(N$7="",$BR190=""),"",IF('Tally Helper'!$B$39&lt;&gt;TRUE(),"not on Staff",SUMIFS('Tally Helper'!$L$41:$GI$41,'Tally Helper'!$L$39:$GI$39,"&gt;="&amp;$BR190,'Tally Helper'!$L$39:$GI$39,"&lt;="&amp;$BS190)))</f>
        <v/>
      </c>
      <c r="AK190" s="15" t="str">
        <f aca="false">IF(OR(O$7="",$BR190=""),"",IF('Tally Helper'!$B$42&lt;&gt;TRUE(),"not on Staff",SUMIFS('Tally Helper'!$L$44:$GI$44,'Tally Helper'!$L$42:$GI$42,"&gt;="&amp;$BR190,'Tally Helper'!$L$42:$GI$42,"&lt;="&amp;$BS190)))</f>
        <v/>
      </c>
      <c r="AL190" s="15" t="str">
        <f aca="false">IF(OR(P$7="",$BR190=""),"",IF('Tally Helper'!$B$45&lt;&gt;TRUE(),"not on Staff",SUMIFS('Tally Helper'!$L$47:$GI$47,'Tally Helper'!$L$45:$GI$45,"&gt;="&amp;$BR190,'Tally Helper'!$L$45:$GI$45,"&lt;="&amp;$BS190)))</f>
        <v/>
      </c>
      <c r="AM190" s="15" t="str">
        <f aca="false">IF(OR(Q$7="",$BR190=""),"",IF('Tally Helper'!$B$48&lt;&gt;TRUE(),"not on Staff",SUMIFS('Tally Helper'!$L$50:$GI$50,'Tally Helper'!$L$48:$GI$48,"&gt;="&amp;$BR190,'Tally Helper'!$L$48:$GI$48,"&lt;="&amp;$BS190)))</f>
        <v/>
      </c>
      <c r="AN190" s="15" t="str">
        <f aca="false">IF(OR(R$7="",$BR190=""),"",IF('Tally Helper'!$B$51&lt;&gt;TRUE(),"not on Staff",SUMIFS('Tally Helper'!$L$53:$GI$53,'Tally Helper'!$L$51:$GI$51,"&gt;="&amp;$BR190,'Tally Helper'!$L$51:$GI$51,"&lt;="&amp;$BS190)))</f>
        <v/>
      </c>
      <c r="AO190" s="15" t="str">
        <f aca="false">IF(OR(S$7="",$BR190=""),"",IF('Tally Helper'!$B$54&lt;&gt;TRUE(),"not on Staff",SUMIFS('Tally Helper'!$L$56:$GI$56,'Tally Helper'!$L$54:$GI$54,"&gt;="&amp;$BR190,'Tally Helper'!$L$54:$GI$54,"&lt;="&amp;$BS190)))</f>
        <v/>
      </c>
      <c r="AP190" s="15" t="str">
        <f aca="false">IF(OR(T$7="",$BR190=""),"",IF('Tally Helper'!$B$57&lt;&gt;TRUE(),"not on Staff",SUMIFS('Tally Helper'!$L$59:$GI$59,'Tally Helper'!$L$57:$GI$57,"&gt;="&amp;$BR190,'Tally Helper'!$L$57:$GI$57,"&lt;="&amp;$BS190)))</f>
        <v/>
      </c>
      <c r="AQ190" s="15" t="str">
        <f aca="false">IF(OR(U$7="",$BR190=""),"",IF('Tally Helper'!$B$60&lt;&gt;TRUE(),"not on Staff",SUMIFS('Tally Helper'!$L$62:$GI$62,'Tally Helper'!$L$60:$GI$60,"&gt;="&amp;$BR190,'Tally Helper'!$L$60:$GI$60,"&lt;="&amp;$BS190)))</f>
        <v/>
      </c>
      <c r="AT190" s="15" t="str">
        <f aca="false">IF(OR(X190="",NOT(ISNUMBER(X190))),"",X190-N(B190))</f>
        <v/>
      </c>
      <c r="AU190" s="15" t="str">
        <f aca="false">IF(OR(Y190="",NOT(ISNUMBER(Y190))),"",Y190-N(C190))</f>
        <v/>
      </c>
      <c r="AV190" s="15" t="str">
        <f aca="false">IF(OR(Z190="",NOT(ISNUMBER(Z190))),"",Z190-N(D190))</f>
        <v/>
      </c>
      <c r="AW190" s="15" t="str">
        <f aca="false">IF(OR(AA190="",NOT(ISNUMBER(AA190))),"",AA190-N(E190))</f>
        <v/>
      </c>
      <c r="AX190" s="15" t="str">
        <f aca="false">IF(OR(AB190="",NOT(ISNUMBER(AB190))),"",AB190-N(F190))</f>
        <v/>
      </c>
      <c r="AY190" s="15" t="str">
        <f aca="false">IF(OR(AC190="",NOT(ISNUMBER(AC190))),"",AC190-N(G190))</f>
        <v/>
      </c>
      <c r="AZ190" s="15" t="str">
        <f aca="false">IF(OR(AD190="",NOT(ISNUMBER(AD190))),"",AD190-N(H190))</f>
        <v/>
      </c>
      <c r="BA190" s="15" t="str">
        <f aca="false">IF(OR(AE190="",NOT(ISNUMBER(AE190))),"",AE190-N(I190))</f>
        <v/>
      </c>
      <c r="BB190" s="15" t="str">
        <f aca="false">IF(OR(AF190="",NOT(ISNUMBER(AF190))),"",AF190-N(J190))</f>
        <v/>
      </c>
      <c r="BC190" s="15" t="str">
        <f aca="false">IF(OR(AG190="",NOT(ISNUMBER(AG190))),"",AG190-N(K190))</f>
        <v/>
      </c>
      <c r="BD190" s="15" t="str">
        <f aca="false">IF(OR(AH190="",NOT(ISNUMBER(AH190))),"",AH190-N(L190))</f>
        <v/>
      </c>
      <c r="BE190" s="15" t="str">
        <f aca="false">IF(OR(AI190="",NOT(ISNUMBER(AI190))),"",AI190-N(M190))</f>
        <v/>
      </c>
      <c r="BF190" s="15" t="str">
        <f aca="false">IF(OR(AJ190="",NOT(ISNUMBER(AJ190))),"",AJ190-N(N190))</f>
        <v/>
      </c>
      <c r="BG190" s="15" t="str">
        <f aca="false">IF(OR(AK190="",NOT(ISNUMBER(AK190))),"",AK190-N(O190))</f>
        <v/>
      </c>
      <c r="BH190" s="15" t="str">
        <f aca="false">IF(OR(AL190="",NOT(ISNUMBER(AL190))),"",AL190-N(P190))</f>
        <v/>
      </c>
      <c r="BI190" s="15" t="str">
        <f aca="false">IF(OR(AM190="",NOT(ISNUMBER(AM190))),"",AM190-N(Q190))</f>
        <v/>
      </c>
      <c r="BJ190" s="15" t="str">
        <f aca="false">IF(OR(AN190="",NOT(ISNUMBER(AN190))),"",AN190-N(R190))</f>
        <v/>
      </c>
      <c r="BK190" s="15" t="str">
        <f aca="false">IF(OR(AO190="",NOT(ISNUMBER(AO190))),"",AO190-N(S190))</f>
        <v/>
      </c>
      <c r="BL190" s="15" t="str">
        <f aca="false">IF(OR(AP190="",NOT(ISNUMBER(AP190))),"",AP190-N(T190))</f>
        <v/>
      </c>
      <c r="BM190" s="15" t="str">
        <f aca="false">IF(OR(AQ190="",NOT(ISNUMBER(AQ190))),"",AQ190-N(U190))</f>
        <v/>
      </c>
      <c r="BR190" s="18" t="str">
        <f aca="false">IF($A190="","",IF(ISNUMBER($A190),DATE(YEAR($A190),MONTH($A190),1),IFERROR(DATE(2000+VALUE(RIGHT(TRIM($A190),2)),MATCH(UPPER(LEFT(TRIM($A190),3)),{"JAN","FEB","MAR","APR","MAY","JUN","JUL","AUG","SEP","OCT","NOV","DEC"},0),1),"")))</f>
        <v/>
      </c>
      <c r="BS190" s="18" t="str">
        <f aca="false">IF(BR190="","",EOMONTH(BR190,0))</f>
        <v/>
      </c>
    </row>
    <row r="191" customFormat="false" ht="15" hidden="false" customHeight="false" outlineLevel="0" collapsed="false">
      <c r="B191" s="19"/>
      <c r="C191" s="19"/>
      <c r="D191" s="19"/>
      <c r="E191" s="19"/>
      <c r="F191" s="19"/>
      <c r="G191" s="19"/>
      <c r="H191" s="19"/>
      <c r="I191" s="19"/>
      <c r="J191" s="19"/>
      <c r="K191" s="19"/>
      <c r="L191" s="19"/>
      <c r="M191" s="19"/>
      <c r="N191" s="19"/>
      <c r="O191" s="19"/>
      <c r="P191" s="19"/>
      <c r="Q191" s="19"/>
      <c r="R191" s="19"/>
      <c r="S191" s="19"/>
      <c r="T191" s="19"/>
      <c r="U191" s="19"/>
      <c r="X191" s="15" t="str">
        <f aca="false">IF(OR(B$7="",$BR191=""),"",IF('Tally Helper'!$B$3&lt;&gt;TRUE(),"not on Staff",SUMIFS('Tally Helper'!$L$5:$GI$5,'Tally Helper'!$L$3:$GI$3,"&gt;="&amp;$BR191,'Tally Helper'!$L$3:$GI$3,"&lt;="&amp;$BS191)))</f>
        <v/>
      </c>
      <c r="Y191" s="15" t="str">
        <f aca="false">IF(OR(C$7="",$BR191=""),"",IF('Tally Helper'!$B$6&lt;&gt;TRUE(),"not on Staff",SUMIFS('Tally Helper'!$L$8:$GI$8,'Tally Helper'!$L$6:$GI$6,"&gt;="&amp;$BR191,'Tally Helper'!$L$6:$GI$6,"&lt;="&amp;$BS191)))</f>
        <v/>
      </c>
      <c r="Z191" s="15" t="str">
        <f aca="false">IF(OR(D$7="",$BR191=""),"",IF('Tally Helper'!$B$9&lt;&gt;TRUE(),"not on Staff",SUMIFS('Tally Helper'!$L$11:$GI$11,'Tally Helper'!$L$9:$GI$9,"&gt;="&amp;$BR191,'Tally Helper'!$L$9:$GI$9,"&lt;="&amp;$BS191)))</f>
        <v/>
      </c>
      <c r="AA191" s="15" t="str">
        <f aca="false">IF(OR(E$7="",$BR191=""),"",IF('Tally Helper'!$B$12&lt;&gt;TRUE(),"not on Staff",SUMIFS('Tally Helper'!$L$14:$GI$14,'Tally Helper'!$L$12:$GI$12,"&gt;="&amp;$BR191,'Tally Helper'!$L$12:$GI$12,"&lt;="&amp;$BS191)))</f>
        <v/>
      </c>
      <c r="AB191" s="15" t="str">
        <f aca="false">IF(OR(F$7="",$BR191=""),"",IF('Tally Helper'!$B$15&lt;&gt;TRUE(),"not on Staff",SUMIFS('Tally Helper'!$L$17:$GI$17,'Tally Helper'!$L$15:$GI$15,"&gt;="&amp;$BR191,'Tally Helper'!$L$15:$GI$15,"&lt;="&amp;$BS191)))</f>
        <v/>
      </c>
      <c r="AC191" s="15" t="str">
        <f aca="false">IF(OR(G$7="",$BR191=""),"",IF('Tally Helper'!$B$18&lt;&gt;TRUE(),"not on Staff",SUMIFS('Tally Helper'!$L$20:$GI$20,'Tally Helper'!$L$18:$GI$18,"&gt;="&amp;$BR191,'Tally Helper'!$L$18:$GI$18,"&lt;="&amp;$BS191)))</f>
        <v/>
      </c>
      <c r="AD191" s="15" t="str">
        <f aca="false">IF(OR(H$7="",$BR191=""),"",IF('Tally Helper'!$B$21&lt;&gt;TRUE(),"not on Staff",SUMIFS('Tally Helper'!$L$23:$GI$23,'Tally Helper'!$L$21:$GI$21,"&gt;="&amp;$BR191,'Tally Helper'!$L$21:$GI$21,"&lt;="&amp;$BS191)))</f>
        <v/>
      </c>
      <c r="AE191" s="15" t="str">
        <f aca="false">IF(OR(I$7="",$BR191=""),"",IF('Tally Helper'!$B$24&lt;&gt;TRUE(),"not on Staff",SUMIFS('Tally Helper'!$L$26:$GI$26,'Tally Helper'!$L$24:$GI$24,"&gt;="&amp;$BR191,'Tally Helper'!$L$24:$GI$24,"&lt;="&amp;$BS191)))</f>
        <v/>
      </c>
      <c r="AF191" s="15" t="str">
        <f aca="false">IF(OR(J$7="",$BR191=""),"",IF('Tally Helper'!$B$27&lt;&gt;TRUE(),"not on Staff",SUMIFS('Tally Helper'!$L$29:$GI$29,'Tally Helper'!$L$27:$GI$27,"&gt;="&amp;$BR191,'Tally Helper'!$L$27:$GI$27,"&lt;="&amp;$BS191)))</f>
        <v/>
      </c>
      <c r="AG191" s="15" t="str">
        <f aca="false">IF(OR(K$7="",$BR191=""),"",IF('Tally Helper'!$B$30&lt;&gt;TRUE(),"not on Staff",SUMIFS('Tally Helper'!$L$32:$GI$32,'Tally Helper'!$L$30:$GI$30,"&gt;="&amp;$BR191,'Tally Helper'!$L$30:$GI$30,"&lt;="&amp;$BS191)))</f>
        <v/>
      </c>
      <c r="AH191" s="15" t="str">
        <f aca="false">IF(OR(L$7="",$BR191=""),"",IF('Tally Helper'!$B$33&lt;&gt;TRUE(),"not on Staff",SUMIFS('Tally Helper'!$L$35:$GI$35,'Tally Helper'!$L$33:$GI$33,"&gt;="&amp;$BR191,'Tally Helper'!$L$33:$GI$33,"&lt;="&amp;$BS191)))</f>
        <v/>
      </c>
      <c r="AI191" s="15" t="str">
        <f aca="false">IF(OR(M$7="",$BR191=""),"",IF('Tally Helper'!$B$36&lt;&gt;TRUE(),"not on Staff",SUMIFS('Tally Helper'!$L$38:$GI$38,'Tally Helper'!$L$36:$GI$36,"&gt;="&amp;$BR191,'Tally Helper'!$L$36:$GI$36,"&lt;="&amp;$BS191)))</f>
        <v/>
      </c>
      <c r="AJ191" s="15" t="str">
        <f aca="false">IF(OR(N$7="",$BR191=""),"",IF('Tally Helper'!$B$39&lt;&gt;TRUE(),"not on Staff",SUMIFS('Tally Helper'!$L$41:$GI$41,'Tally Helper'!$L$39:$GI$39,"&gt;="&amp;$BR191,'Tally Helper'!$L$39:$GI$39,"&lt;="&amp;$BS191)))</f>
        <v/>
      </c>
      <c r="AK191" s="15" t="str">
        <f aca="false">IF(OR(O$7="",$BR191=""),"",IF('Tally Helper'!$B$42&lt;&gt;TRUE(),"not on Staff",SUMIFS('Tally Helper'!$L$44:$GI$44,'Tally Helper'!$L$42:$GI$42,"&gt;="&amp;$BR191,'Tally Helper'!$L$42:$GI$42,"&lt;="&amp;$BS191)))</f>
        <v/>
      </c>
      <c r="AL191" s="15" t="str">
        <f aca="false">IF(OR(P$7="",$BR191=""),"",IF('Tally Helper'!$B$45&lt;&gt;TRUE(),"not on Staff",SUMIFS('Tally Helper'!$L$47:$GI$47,'Tally Helper'!$L$45:$GI$45,"&gt;="&amp;$BR191,'Tally Helper'!$L$45:$GI$45,"&lt;="&amp;$BS191)))</f>
        <v/>
      </c>
      <c r="AM191" s="15" t="str">
        <f aca="false">IF(OR(Q$7="",$BR191=""),"",IF('Tally Helper'!$B$48&lt;&gt;TRUE(),"not on Staff",SUMIFS('Tally Helper'!$L$50:$GI$50,'Tally Helper'!$L$48:$GI$48,"&gt;="&amp;$BR191,'Tally Helper'!$L$48:$GI$48,"&lt;="&amp;$BS191)))</f>
        <v/>
      </c>
      <c r="AN191" s="15" t="str">
        <f aca="false">IF(OR(R$7="",$BR191=""),"",IF('Tally Helper'!$B$51&lt;&gt;TRUE(),"not on Staff",SUMIFS('Tally Helper'!$L$53:$GI$53,'Tally Helper'!$L$51:$GI$51,"&gt;="&amp;$BR191,'Tally Helper'!$L$51:$GI$51,"&lt;="&amp;$BS191)))</f>
        <v/>
      </c>
      <c r="AO191" s="15" t="str">
        <f aca="false">IF(OR(S$7="",$BR191=""),"",IF('Tally Helper'!$B$54&lt;&gt;TRUE(),"not on Staff",SUMIFS('Tally Helper'!$L$56:$GI$56,'Tally Helper'!$L$54:$GI$54,"&gt;="&amp;$BR191,'Tally Helper'!$L$54:$GI$54,"&lt;="&amp;$BS191)))</f>
        <v/>
      </c>
      <c r="AP191" s="15" t="str">
        <f aca="false">IF(OR(T$7="",$BR191=""),"",IF('Tally Helper'!$B$57&lt;&gt;TRUE(),"not on Staff",SUMIFS('Tally Helper'!$L$59:$GI$59,'Tally Helper'!$L$57:$GI$57,"&gt;="&amp;$BR191,'Tally Helper'!$L$57:$GI$57,"&lt;="&amp;$BS191)))</f>
        <v/>
      </c>
      <c r="AQ191" s="15" t="str">
        <f aca="false">IF(OR(U$7="",$BR191=""),"",IF('Tally Helper'!$B$60&lt;&gt;TRUE(),"not on Staff",SUMIFS('Tally Helper'!$L$62:$GI$62,'Tally Helper'!$L$60:$GI$60,"&gt;="&amp;$BR191,'Tally Helper'!$L$60:$GI$60,"&lt;="&amp;$BS191)))</f>
        <v/>
      </c>
      <c r="AT191" s="15" t="str">
        <f aca="false">IF(OR(X191="",NOT(ISNUMBER(X191))),"",X191-N(B191))</f>
        <v/>
      </c>
      <c r="AU191" s="15" t="str">
        <f aca="false">IF(OR(Y191="",NOT(ISNUMBER(Y191))),"",Y191-N(C191))</f>
        <v/>
      </c>
      <c r="AV191" s="15" t="str">
        <f aca="false">IF(OR(Z191="",NOT(ISNUMBER(Z191))),"",Z191-N(D191))</f>
        <v/>
      </c>
      <c r="AW191" s="15" t="str">
        <f aca="false">IF(OR(AA191="",NOT(ISNUMBER(AA191))),"",AA191-N(E191))</f>
        <v/>
      </c>
      <c r="AX191" s="15" t="str">
        <f aca="false">IF(OR(AB191="",NOT(ISNUMBER(AB191))),"",AB191-N(F191))</f>
        <v/>
      </c>
      <c r="AY191" s="15" t="str">
        <f aca="false">IF(OR(AC191="",NOT(ISNUMBER(AC191))),"",AC191-N(G191))</f>
        <v/>
      </c>
      <c r="AZ191" s="15" t="str">
        <f aca="false">IF(OR(AD191="",NOT(ISNUMBER(AD191))),"",AD191-N(H191))</f>
        <v/>
      </c>
      <c r="BA191" s="15" t="str">
        <f aca="false">IF(OR(AE191="",NOT(ISNUMBER(AE191))),"",AE191-N(I191))</f>
        <v/>
      </c>
      <c r="BB191" s="15" t="str">
        <f aca="false">IF(OR(AF191="",NOT(ISNUMBER(AF191))),"",AF191-N(J191))</f>
        <v/>
      </c>
      <c r="BC191" s="15" t="str">
        <f aca="false">IF(OR(AG191="",NOT(ISNUMBER(AG191))),"",AG191-N(K191))</f>
        <v/>
      </c>
      <c r="BD191" s="15" t="str">
        <f aca="false">IF(OR(AH191="",NOT(ISNUMBER(AH191))),"",AH191-N(L191))</f>
        <v/>
      </c>
      <c r="BE191" s="15" t="str">
        <f aca="false">IF(OR(AI191="",NOT(ISNUMBER(AI191))),"",AI191-N(M191))</f>
        <v/>
      </c>
      <c r="BF191" s="15" t="str">
        <f aca="false">IF(OR(AJ191="",NOT(ISNUMBER(AJ191))),"",AJ191-N(N191))</f>
        <v/>
      </c>
      <c r="BG191" s="15" t="str">
        <f aca="false">IF(OR(AK191="",NOT(ISNUMBER(AK191))),"",AK191-N(O191))</f>
        <v/>
      </c>
      <c r="BH191" s="15" t="str">
        <f aca="false">IF(OR(AL191="",NOT(ISNUMBER(AL191))),"",AL191-N(P191))</f>
        <v/>
      </c>
      <c r="BI191" s="15" t="str">
        <f aca="false">IF(OR(AM191="",NOT(ISNUMBER(AM191))),"",AM191-N(Q191))</f>
        <v/>
      </c>
      <c r="BJ191" s="15" t="str">
        <f aca="false">IF(OR(AN191="",NOT(ISNUMBER(AN191))),"",AN191-N(R191))</f>
        <v/>
      </c>
      <c r="BK191" s="15" t="str">
        <f aca="false">IF(OR(AO191="",NOT(ISNUMBER(AO191))),"",AO191-N(S191))</f>
        <v/>
      </c>
      <c r="BL191" s="15" t="str">
        <f aca="false">IF(OR(AP191="",NOT(ISNUMBER(AP191))),"",AP191-N(T191))</f>
        <v/>
      </c>
      <c r="BM191" s="15" t="str">
        <f aca="false">IF(OR(AQ191="",NOT(ISNUMBER(AQ191))),"",AQ191-N(U191))</f>
        <v/>
      </c>
      <c r="BR191" s="18" t="str">
        <f aca="false">IF($A191="","",IF(ISNUMBER($A191),DATE(YEAR($A191),MONTH($A191),1),IFERROR(DATE(2000+VALUE(RIGHT(TRIM($A191),2)),MATCH(UPPER(LEFT(TRIM($A191),3)),{"JAN","FEB","MAR","APR","MAY","JUN","JUL","AUG","SEP","OCT","NOV","DEC"},0),1),"")))</f>
        <v/>
      </c>
      <c r="BS191" s="18" t="str">
        <f aca="false">IF(BR191="","",EOMONTH(BR191,0))</f>
        <v/>
      </c>
    </row>
    <row r="192" customFormat="false" ht="15" hidden="false" customHeight="false" outlineLevel="0" collapsed="false">
      <c r="B192" s="19"/>
      <c r="C192" s="19"/>
      <c r="D192" s="19"/>
      <c r="E192" s="19"/>
      <c r="F192" s="19"/>
      <c r="G192" s="19"/>
      <c r="H192" s="19"/>
      <c r="I192" s="19"/>
      <c r="J192" s="19"/>
      <c r="K192" s="19"/>
      <c r="L192" s="19"/>
      <c r="M192" s="19"/>
      <c r="N192" s="19"/>
      <c r="O192" s="19"/>
      <c r="P192" s="19"/>
      <c r="Q192" s="19"/>
      <c r="R192" s="19"/>
      <c r="S192" s="19"/>
      <c r="T192" s="19"/>
      <c r="U192" s="19"/>
      <c r="X192" s="15" t="str">
        <f aca="false">IF(OR(B$7="",$BR192=""),"",IF('Tally Helper'!$B$3&lt;&gt;TRUE(),"not on Staff",SUMIFS('Tally Helper'!$L$5:$GI$5,'Tally Helper'!$L$3:$GI$3,"&gt;="&amp;$BR192,'Tally Helper'!$L$3:$GI$3,"&lt;="&amp;$BS192)))</f>
        <v/>
      </c>
      <c r="Y192" s="15" t="str">
        <f aca="false">IF(OR(C$7="",$BR192=""),"",IF('Tally Helper'!$B$6&lt;&gt;TRUE(),"not on Staff",SUMIFS('Tally Helper'!$L$8:$GI$8,'Tally Helper'!$L$6:$GI$6,"&gt;="&amp;$BR192,'Tally Helper'!$L$6:$GI$6,"&lt;="&amp;$BS192)))</f>
        <v/>
      </c>
      <c r="Z192" s="15" t="str">
        <f aca="false">IF(OR(D$7="",$BR192=""),"",IF('Tally Helper'!$B$9&lt;&gt;TRUE(),"not on Staff",SUMIFS('Tally Helper'!$L$11:$GI$11,'Tally Helper'!$L$9:$GI$9,"&gt;="&amp;$BR192,'Tally Helper'!$L$9:$GI$9,"&lt;="&amp;$BS192)))</f>
        <v/>
      </c>
      <c r="AA192" s="15" t="str">
        <f aca="false">IF(OR(E$7="",$BR192=""),"",IF('Tally Helper'!$B$12&lt;&gt;TRUE(),"not on Staff",SUMIFS('Tally Helper'!$L$14:$GI$14,'Tally Helper'!$L$12:$GI$12,"&gt;="&amp;$BR192,'Tally Helper'!$L$12:$GI$12,"&lt;="&amp;$BS192)))</f>
        <v/>
      </c>
      <c r="AB192" s="15" t="str">
        <f aca="false">IF(OR(F$7="",$BR192=""),"",IF('Tally Helper'!$B$15&lt;&gt;TRUE(),"not on Staff",SUMIFS('Tally Helper'!$L$17:$GI$17,'Tally Helper'!$L$15:$GI$15,"&gt;="&amp;$BR192,'Tally Helper'!$L$15:$GI$15,"&lt;="&amp;$BS192)))</f>
        <v/>
      </c>
      <c r="AC192" s="15" t="str">
        <f aca="false">IF(OR(G$7="",$BR192=""),"",IF('Tally Helper'!$B$18&lt;&gt;TRUE(),"not on Staff",SUMIFS('Tally Helper'!$L$20:$GI$20,'Tally Helper'!$L$18:$GI$18,"&gt;="&amp;$BR192,'Tally Helper'!$L$18:$GI$18,"&lt;="&amp;$BS192)))</f>
        <v/>
      </c>
      <c r="AD192" s="15" t="str">
        <f aca="false">IF(OR(H$7="",$BR192=""),"",IF('Tally Helper'!$B$21&lt;&gt;TRUE(),"not on Staff",SUMIFS('Tally Helper'!$L$23:$GI$23,'Tally Helper'!$L$21:$GI$21,"&gt;="&amp;$BR192,'Tally Helper'!$L$21:$GI$21,"&lt;="&amp;$BS192)))</f>
        <v/>
      </c>
      <c r="AE192" s="15" t="str">
        <f aca="false">IF(OR(I$7="",$BR192=""),"",IF('Tally Helper'!$B$24&lt;&gt;TRUE(),"not on Staff",SUMIFS('Tally Helper'!$L$26:$GI$26,'Tally Helper'!$L$24:$GI$24,"&gt;="&amp;$BR192,'Tally Helper'!$L$24:$GI$24,"&lt;="&amp;$BS192)))</f>
        <v/>
      </c>
      <c r="AF192" s="15" t="str">
        <f aca="false">IF(OR(J$7="",$BR192=""),"",IF('Tally Helper'!$B$27&lt;&gt;TRUE(),"not on Staff",SUMIFS('Tally Helper'!$L$29:$GI$29,'Tally Helper'!$L$27:$GI$27,"&gt;="&amp;$BR192,'Tally Helper'!$L$27:$GI$27,"&lt;="&amp;$BS192)))</f>
        <v/>
      </c>
      <c r="AG192" s="15" t="str">
        <f aca="false">IF(OR(K$7="",$BR192=""),"",IF('Tally Helper'!$B$30&lt;&gt;TRUE(),"not on Staff",SUMIFS('Tally Helper'!$L$32:$GI$32,'Tally Helper'!$L$30:$GI$30,"&gt;="&amp;$BR192,'Tally Helper'!$L$30:$GI$30,"&lt;="&amp;$BS192)))</f>
        <v/>
      </c>
      <c r="AH192" s="15" t="str">
        <f aca="false">IF(OR(L$7="",$BR192=""),"",IF('Tally Helper'!$B$33&lt;&gt;TRUE(),"not on Staff",SUMIFS('Tally Helper'!$L$35:$GI$35,'Tally Helper'!$L$33:$GI$33,"&gt;="&amp;$BR192,'Tally Helper'!$L$33:$GI$33,"&lt;="&amp;$BS192)))</f>
        <v/>
      </c>
      <c r="AI192" s="15" t="str">
        <f aca="false">IF(OR(M$7="",$BR192=""),"",IF('Tally Helper'!$B$36&lt;&gt;TRUE(),"not on Staff",SUMIFS('Tally Helper'!$L$38:$GI$38,'Tally Helper'!$L$36:$GI$36,"&gt;="&amp;$BR192,'Tally Helper'!$L$36:$GI$36,"&lt;="&amp;$BS192)))</f>
        <v/>
      </c>
      <c r="AJ192" s="15" t="str">
        <f aca="false">IF(OR(N$7="",$BR192=""),"",IF('Tally Helper'!$B$39&lt;&gt;TRUE(),"not on Staff",SUMIFS('Tally Helper'!$L$41:$GI$41,'Tally Helper'!$L$39:$GI$39,"&gt;="&amp;$BR192,'Tally Helper'!$L$39:$GI$39,"&lt;="&amp;$BS192)))</f>
        <v/>
      </c>
      <c r="AK192" s="15" t="str">
        <f aca="false">IF(OR(O$7="",$BR192=""),"",IF('Tally Helper'!$B$42&lt;&gt;TRUE(),"not on Staff",SUMIFS('Tally Helper'!$L$44:$GI$44,'Tally Helper'!$L$42:$GI$42,"&gt;="&amp;$BR192,'Tally Helper'!$L$42:$GI$42,"&lt;="&amp;$BS192)))</f>
        <v/>
      </c>
      <c r="AL192" s="15" t="str">
        <f aca="false">IF(OR(P$7="",$BR192=""),"",IF('Tally Helper'!$B$45&lt;&gt;TRUE(),"not on Staff",SUMIFS('Tally Helper'!$L$47:$GI$47,'Tally Helper'!$L$45:$GI$45,"&gt;="&amp;$BR192,'Tally Helper'!$L$45:$GI$45,"&lt;="&amp;$BS192)))</f>
        <v/>
      </c>
      <c r="AM192" s="15" t="str">
        <f aca="false">IF(OR(Q$7="",$BR192=""),"",IF('Tally Helper'!$B$48&lt;&gt;TRUE(),"not on Staff",SUMIFS('Tally Helper'!$L$50:$GI$50,'Tally Helper'!$L$48:$GI$48,"&gt;="&amp;$BR192,'Tally Helper'!$L$48:$GI$48,"&lt;="&amp;$BS192)))</f>
        <v/>
      </c>
      <c r="AN192" s="15" t="str">
        <f aca="false">IF(OR(R$7="",$BR192=""),"",IF('Tally Helper'!$B$51&lt;&gt;TRUE(),"not on Staff",SUMIFS('Tally Helper'!$L$53:$GI$53,'Tally Helper'!$L$51:$GI$51,"&gt;="&amp;$BR192,'Tally Helper'!$L$51:$GI$51,"&lt;="&amp;$BS192)))</f>
        <v/>
      </c>
      <c r="AO192" s="15" t="str">
        <f aca="false">IF(OR(S$7="",$BR192=""),"",IF('Tally Helper'!$B$54&lt;&gt;TRUE(),"not on Staff",SUMIFS('Tally Helper'!$L$56:$GI$56,'Tally Helper'!$L$54:$GI$54,"&gt;="&amp;$BR192,'Tally Helper'!$L$54:$GI$54,"&lt;="&amp;$BS192)))</f>
        <v/>
      </c>
      <c r="AP192" s="15" t="str">
        <f aca="false">IF(OR(T$7="",$BR192=""),"",IF('Tally Helper'!$B$57&lt;&gt;TRUE(),"not on Staff",SUMIFS('Tally Helper'!$L$59:$GI$59,'Tally Helper'!$L$57:$GI$57,"&gt;="&amp;$BR192,'Tally Helper'!$L$57:$GI$57,"&lt;="&amp;$BS192)))</f>
        <v/>
      </c>
      <c r="AQ192" s="15" t="str">
        <f aca="false">IF(OR(U$7="",$BR192=""),"",IF('Tally Helper'!$B$60&lt;&gt;TRUE(),"not on Staff",SUMIFS('Tally Helper'!$L$62:$GI$62,'Tally Helper'!$L$60:$GI$60,"&gt;="&amp;$BR192,'Tally Helper'!$L$60:$GI$60,"&lt;="&amp;$BS192)))</f>
        <v/>
      </c>
      <c r="AT192" s="15" t="str">
        <f aca="false">IF(OR(X192="",NOT(ISNUMBER(X192))),"",X192-N(B192))</f>
        <v/>
      </c>
      <c r="AU192" s="15" t="str">
        <f aca="false">IF(OR(Y192="",NOT(ISNUMBER(Y192))),"",Y192-N(C192))</f>
        <v/>
      </c>
      <c r="AV192" s="15" t="str">
        <f aca="false">IF(OR(Z192="",NOT(ISNUMBER(Z192))),"",Z192-N(D192))</f>
        <v/>
      </c>
      <c r="AW192" s="15" t="str">
        <f aca="false">IF(OR(AA192="",NOT(ISNUMBER(AA192))),"",AA192-N(E192))</f>
        <v/>
      </c>
      <c r="AX192" s="15" t="str">
        <f aca="false">IF(OR(AB192="",NOT(ISNUMBER(AB192))),"",AB192-N(F192))</f>
        <v/>
      </c>
      <c r="AY192" s="15" t="str">
        <f aca="false">IF(OR(AC192="",NOT(ISNUMBER(AC192))),"",AC192-N(G192))</f>
        <v/>
      </c>
      <c r="AZ192" s="15" t="str">
        <f aca="false">IF(OR(AD192="",NOT(ISNUMBER(AD192))),"",AD192-N(H192))</f>
        <v/>
      </c>
      <c r="BA192" s="15" t="str">
        <f aca="false">IF(OR(AE192="",NOT(ISNUMBER(AE192))),"",AE192-N(I192))</f>
        <v/>
      </c>
      <c r="BB192" s="15" t="str">
        <f aca="false">IF(OR(AF192="",NOT(ISNUMBER(AF192))),"",AF192-N(J192))</f>
        <v/>
      </c>
      <c r="BC192" s="15" t="str">
        <f aca="false">IF(OR(AG192="",NOT(ISNUMBER(AG192))),"",AG192-N(K192))</f>
        <v/>
      </c>
      <c r="BD192" s="15" t="str">
        <f aca="false">IF(OR(AH192="",NOT(ISNUMBER(AH192))),"",AH192-N(L192))</f>
        <v/>
      </c>
      <c r="BE192" s="15" t="str">
        <f aca="false">IF(OR(AI192="",NOT(ISNUMBER(AI192))),"",AI192-N(M192))</f>
        <v/>
      </c>
      <c r="BF192" s="15" t="str">
        <f aca="false">IF(OR(AJ192="",NOT(ISNUMBER(AJ192))),"",AJ192-N(N192))</f>
        <v/>
      </c>
      <c r="BG192" s="15" t="str">
        <f aca="false">IF(OR(AK192="",NOT(ISNUMBER(AK192))),"",AK192-N(O192))</f>
        <v/>
      </c>
      <c r="BH192" s="15" t="str">
        <f aca="false">IF(OR(AL192="",NOT(ISNUMBER(AL192))),"",AL192-N(P192))</f>
        <v/>
      </c>
      <c r="BI192" s="15" t="str">
        <f aca="false">IF(OR(AM192="",NOT(ISNUMBER(AM192))),"",AM192-N(Q192))</f>
        <v/>
      </c>
      <c r="BJ192" s="15" t="str">
        <f aca="false">IF(OR(AN192="",NOT(ISNUMBER(AN192))),"",AN192-N(R192))</f>
        <v/>
      </c>
      <c r="BK192" s="15" t="str">
        <f aca="false">IF(OR(AO192="",NOT(ISNUMBER(AO192))),"",AO192-N(S192))</f>
        <v/>
      </c>
      <c r="BL192" s="15" t="str">
        <f aca="false">IF(OR(AP192="",NOT(ISNUMBER(AP192))),"",AP192-N(T192))</f>
        <v/>
      </c>
      <c r="BM192" s="15" t="str">
        <f aca="false">IF(OR(AQ192="",NOT(ISNUMBER(AQ192))),"",AQ192-N(U192))</f>
        <v/>
      </c>
      <c r="BR192" s="18" t="str">
        <f aca="false">IF($A192="","",IF(ISNUMBER($A192),DATE(YEAR($A192),MONTH($A192),1),IFERROR(DATE(2000+VALUE(RIGHT(TRIM($A192),2)),MATCH(UPPER(LEFT(TRIM($A192),3)),{"JAN","FEB","MAR","APR","MAY","JUN","JUL","AUG","SEP","OCT","NOV","DEC"},0),1),"")))</f>
        <v/>
      </c>
      <c r="BS192" s="18" t="str">
        <f aca="false">IF(BR192="","",EOMONTH(BR192,0))</f>
        <v/>
      </c>
    </row>
    <row r="193" customFormat="false" ht="15" hidden="false" customHeight="false" outlineLevel="0" collapsed="false">
      <c r="B193" s="19"/>
      <c r="C193" s="19"/>
      <c r="D193" s="19"/>
      <c r="E193" s="19"/>
      <c r="F193" s="19"/>
      <c r="G193" s="19"/>
      <c r="H193" s="19"/>
      <c r="I193" s="19"/>
      <c r="J193" s="19"/>
      <c r="K193" s="19"/>
      <c r="L193" s="19"/>
      <c r="M193" s="19"/>
      <c r="N193" s="19"/>
      <c r="O193" s="19"/>
      <c r="P193" s="19"/>
      <c r="Q193" s="19"/>
      <c r="R193" s="19"/>
      <c r="S193" s="19"/>
      <c r="T193" s="19"/>
      <c r="U193" s="19"/>
      <c r="X193" s="15" t="str">
        <f aca="false">IF(OR(B$7="",$BR193=""),"",IF('Tally Helper'!$B$3&lt;&gt;TRUE(),"not on Staff",SUMIFS('Tally Helper'!$L$5:$GI$5,'Tally Helper'!$L$3:$GI$3,"&gt;="&amp;$BR193,'Tally Helper'!$L$3:$GI$3,"&lt;="&amp;$BS193)))</f>
        <v/>
      </c>
      <c r="Y193" s="15" t="str">
        <f aca="false">IF(OR(C$7="",$BR193=""),"",IF('Tally Helper'!$B$6&lt;&gt;TRUE(),"not on Staff",SUMIFS('Tally Helper'!$L$8:$GI$8,'Tally Helper'!$L$6:$GI$6,"&gt;="&amp;$BR193,'Tally Helper'!$L$6:$GI$6,"&lt;="&amp;$BS193)))</f>
        <v/>
      </c>
      <c r="Z193" s="15" t="str">
        <f aca="false">IF(OR(D$7="",$BR193=""),"",IF('Tally Helper'!$B$9&lt;&gt;TRUE(),"not on Staff",SUMIFS('Tally Helper'!$L$11:$GI$11,'Tally Helper'!$L$9:$GI$9,"&gt;="&amp;$BR193,'Tally Helper'!$L$9:$GI$9,"&lt;="&amp;$BS193)))</f>
        <v/>
      </c>
      <c r="AA193" s="15" t="str">
        <f aca="false">IF(OR(E$7="",$BR193=""),"",IF('Tally Helper'!$B$12&lt;&gt;TRUE(),"not on Staff",SUMIFS('Tally Helper'!$L$14:$GI$14,'Tally Helper'!$L$12:$GI$12,"&gt;="&amp;$BR193,'Tally Helper'!$L$12:$GI$12,"&lt;="&amp;$BS193)))</f>
        <v/>
      </c>
      <c r="AB193" s="15" t="str">
        <f aca="false">IF(OR(F$7="",$BR193=""),"",IF('Tally Helper'!$B$15&lt;&gt;TRUE(),"not on Staff",SUMIFS('Tally Helper'!$L$17:$GI$17,'Tally Helper'!$L$15:$GI$15,"&gt;="&amp;$BR193,'Tally Helper'!$L$15:$GI$15,"&lt;="&amp;$BS193)))</f>
        <v/>
      </c>
      <c r="AC193" s="15" t="str">
        <f aca="false">IF(OR(G$7="",$BR193=""),"",IF('Tally Helper'!$B$18&lt;&gt;TRUE(),"not on Staff",SUMIFS('Tally Helper'!$L$20:$GI$20,'Tally Helper'!$L$18:$GI$18,"&gt;="&amp;$BR193,'Tally Helper'!$L$18:$GI$18,"&lt;="&amp;$BS193)))</f>
        <v/>
      </c>
      <c r="AD193" s="15" t="str">
        <f aca="false">IF(OR(H$7="",$BR193=""),"",IF('Tally Helper'!$B$21&lt;&gt;TRUE(),"not on Staff",SUMIFS('Tally Helper'!$L$23:$GI$23,'Tally Helper'!$L$21:$GI$21,"&gt;="&amp;$BR193,'Tally Helper'!$L$21:$GI$21,"&lt;="&amp;$BS193)))</f>
        <v/>
      </c>
      <c r="AE193" s="15" t="str">
        <f aca="false">IF(OR(I$7="",$BR193=""),"",IF('Tally Helper'!$B$24&lt;&gt;TRUE(),"not on Staff",SUMIFS('Tally Helper'!$L$26:$GI$26,'Tally Helper'!$L$24:$GI$24,"&gt;="&amp;$BR193,'Tally Helper'!$L$24:$GI$24,"&lt;="&amp;$BS193)))</f>
        <v/>
      </c>
      <c r="AF193" s="15" t="str">
        <f aca="false">IF(OR(J$7="",$BR193=""),"",IF('Tally Helper'!$B$27&lt;&gt;TRUE(),"not on Staff",SUMIFS('Tally Helper'!$L$29:$GI$29,'Tally Helper'!$L$27:$GI$27,"&gt;="&amp;$BR193,'Tally Helper'!$L$27:$GI$27,"&lt;="&amp;$BS193)))</f>
        <v/>
      </c>
      <c r="AG193" s="15" t="str">
        <f aca="false">IF(OR(K$7="",$BR193=""),"",IF('Tally Helper'!$B$30&lt;&gt;TRUE(),"not on Staff",SUMIFS('Tally Helper'!$L$32:$GI$32,'Tally Helper'!$L$30:$GI$30,"&gt;="&amp;$BR193,'Tally Helper'!$L$30:$GI$30,"&lt;="&amp;$BS193)))</f>
        <v/>
      </c>
      <c r="AH193" s="15" t="str">
        <f aca="false">IF(OR(L$7="",$BR193=""),"",IF('Tally Helper'!$B$33&lt;&gt;TRUE(),"not on Staff",SUMIFS('Tally Helper'!$L$35:$GI$35,'Tally Helper'!$L$33:$GI$33,"&gt;="&amp;$BR193,'Tally Helper'!$L$33:$GI$33,"&lt;="&amp;$BS193)))</f>
        <v/>
      </c>
      <c r="AI193" s="15" t="str">
        <f aca="false">IF(OR(M$7="",$BR193=""),"",IF('Tally Helper'!$B$36&lt;&gt;TRUE(),"not on Staff",SUMIFS('Tally Helper'!$L$38:$GI$38,'Tally Helper'!$L$36:$GI$36,"&gt;="&amp;$BR193,'Tally Helper'!$L$36:$GI$36,"&lt;="&amp;$BS193)))</f>
        <v/>
      </c>
      <c r="AJ193" s="15" t="str">
        <f aca="false">IF(OR(N$7="",$BR193=""),"",IF('Tally Helper'!$B$39&lt;&gt;TRUE(),"not on Staff",SUMIFS('Tally Helper'!$L$41:$GI$41,'Tally Helper'!$L$39:$GI$39,"&gt;="&amp;$BR193,'Tally Helper'!$L$39:$GI$39,"&lt;="&amp;$BS193)))</f>
        <v/>
      </c>
      <c r="AK193" s="15" t="str">
        <f aca="false">IF(OR(O$7="",$BR193=""),"",IF('Tally Helper'!$B$42&lt;&gt;TRUE(),"not on Staff",SUMIFS('Tally Helper'!$L$44:$GI$44,'Tally Helper'!$L$42:$GI$42,"&gt;="&amp;$BR193,'Tally Helper'!$L$42:$GI$42,"&lt;="&amp;$BS193)))</f>
        <v/>
      </c>
      <c r="AL193" s="15" t="str">
        <f aca="false">IF(OR(P$7="",$BR193=""),"",IF('Tally Helper'!$B$45&lt;&gt;TRUE(),"not on Staff",SUMIFS('Tally Helper'!$L$47:$GI$47,'Tally Helper'!$L$45:$GI$45,"&gt;="&amp;$BR193,'Tally Helper'!$L$45:$GI$45,"&lt;="&amp;$BS193)))</f>
        <v/>
      </c>
      <c r="AM193" s="15" t="str">
        <f aca="false">IF(OR(Q$7="",$BR193=""),"",IF('Tally Helper'!$B$48&lt;&gt;TRUE(),"not on Staff",SUMIFS('Tally Helper'!$L$50:$GI$50,'Tally Helper'!$L$48:$GI$48,"&gt;="&amp;$BR193,'Tally Helper'!$L$48:$GI$48,"&lt;="&amp;$BS193)))</f>
        <v/>
      </c>
      <c r="AN193" s="15" t="str">
        <f aca="false">IF(OR(R$7="",$BR193=""),"",IF('Tally Helper'!$B$51&lt;&gt;TRUE(),"not on Staff",SUMIFS('Tally Helper'!$L$53:$GI$53,'Tally Helper'!$L$51:$GI$51,"&gt;="&amp;$BR193,'Tally Helper'!$L$51:$GI$51,"&lt;="&amp;$BS193)))</f>
        <v/>
      </c>
      <c r="AO193" s="15" t="str">
        <f aca="false">IF(OR(S$7="",$BR193=""),"",IF('Tally Helper'!$B$54&lt;&gt;TRUE(),"not on Staff",SUMIFS('Tally Helper'!$L$56:$GI$56,'Tally Helper'!$L$54:$GI$54,"&gt;="&amp;$BR193,'Tally Helper'!$L$54:$GI$54,"&lt;="&amp;$BS193)))</f>
        <v/>
      </c>
      <c r="AP193" s="15" t="str">
        <f aca="false">IF(OR(T$7="",$BR193=""),"",IF('Tally Helper'!$B$57&lt;&gt;TRUE(),"not on Staff",SUMIFS('Tally Helper'!$L$59:$GI$59,'Tally Helper'!$L$57:$GI$57,"&gt;="&amp;$BR193,'Tally Helper'!$L$57:$GI$57,"&lt;="&amp;$BS193)))</f>
        <v/>
      </c>
      <c r="AQ193" s="15" t="str">
        <f aca="false">IF(OR(U$7="",$BR193=""),"",IF('Tally Helper'!$B$60&lt;&gt;TRUE(),"not on Staff",SUMIFS('Tally Helper'!$L$62:$GI$62,'Tally Helper'!$L$60:$GI$60,"&gt;="&amp;$BR193,'Tally Helper'!$L$60:$GI$60,"&lt;="&amp;$BS193)))</f>
        <v/>
      </c>
      <c r="AT193" s="15" t="str">
        <f aca="false">IF(OR(X193="",NOT(ISNUMBER(X193))),"",X193-N(B193))</f>
        <v/>
      </c>
      <c r="AU193" s="15" t="str">
        <f aca="false">IF(OR(Y193="",NOT(ISNUMBER(Y193))),"",Y193-N(C193))</f>
        <v/>
      </c>
      <c r="AV193" s="15" t="str">
        <f aca="false">IF(OR(Z193="",NOT(ISNUMBER(Z193))),"",Z193-N(D193))</f>
        <v/>
      </c>
      <c r="AW193" s="15" t="str">
        <f aca="false">IF(OR(AA193="",NOT(ISNUMBER(AA193))),"",AA193-N(E193))</f>
        <v/>
      </c>
      <c r="AX193" s="15" t="str">
        <f aca="false">IF(OR(AB193="",NOT(ISNUMBER(AB193))),"",AB193-N(F193))</f>
        <v/>
      </c>
      <c r="AY193" s="15" t="str">
        <f aca="false">IF(OR(AC193="",NOT(ISNUMBER(AC193))),"",AC193-N(G193))</f>
        <v/>
      </c>
      <c r="AZ193" s="15" t="str">
        <f aca="false">IF(OR(AD193="",NOT(ISNUMBER(AD193))),"",AD193-N(H193))</f>
        <v/>
      </c>
      <c r="BA193" s="15" t="str">
        <f aca="false">IF(OR(AE193="",NOT(ISNUMBER(AE193))),"",AE193-N(I193))</f>
        <v/>
      </c>
      <c r="BB193" s="15" t="str">
        <f aca="false">IF(OR(AF193="",NOT(ISNUMBER(AF193))),"",AF193-N(J193))</f>
        <v/>
      </c>
      <c r="BC193" s="15" t="str">
        <f aca="false">IF(OR(AG193="",NOT(ISNUMBER(AG193))),"",AG193-N(K193))</f>
        <v/>
      </c>
      <c r="BD193" s="15" t="str">
        <f aca="false">IF(OR(AH193="",NOT(ISNUMBER(AH193))),"",AH193-N(L193))</f>
        <v/>
      </c>
      <c r="BE193" s="15" t="str">
        <f aca="false">IF(OR(AI193="",NOT(ISNUMBER(AI193))),"",AI193-N(M193))</f>
        <v/>
      </c>
      <c r="BF193" s="15" t="str">
        <f aca="false">IF(OR(AJ193="",NOT(ISNUMBER(AJ193))),"",AJ193-N(N193))</f>
        <v/>
      </c>
      <c r="BG193" s="15" t="str">
        <f aca="false">IF(OR(AK193="",NOT(ISNUMBER(AK193))),"",AK193-N(O193))</f>
        <v/>
      </c>
      <c r="BH193" s="15" t="str">
        <f aca="false">IF(OR(AL193="",NOT(ISNUMBER(AL193))),"",AL193-N(P193))</f>
        <v/>
      </c>
      <c r="BI193" s="15" t="str">
        <f aca="false">IF(OR(AM193="",NOT(ISNUMBER(AM193))),"",AM193-N(Q193))</f>
        <v/>
      </c>
      <c r="BJ193" s="15" t="str">
        <f aca="false">IF(OR(AN193="",NOT(ISNUMBER(AN193))),"",AN193-N(R193))</f>
        <v/>
      </c>
      <c r="BK193" s="15" t="str">
        <f aca="false">IF(OR(AO193="",NOT(ISNUMBER(AO193))),"",AO193-N(S193))</f>
        <v/>
      </c>
      <c r="BL193" s="15" t="str">
        <f aca="false">IF(OR(AP193="",NOT(ISNUMBER(AP193))),"",AP193-N(T193))</f>
        <v/>
      </c>
      <c r="BM193" s="15" t="str">
        <f aca="false">IF(OR(AQ193="",NOT(ISNUMBER(AQ193))),"",AQ193-N(U193))</f>
        <v/>
      </c>
      <c r="BR193" s="18" t="str">
        <f aca="false">IF($A193="","",IF(ISNUMBER($A193),DATE(YEAR($A193),MONTH($A193),1),IFERROR(DATE(2000+VALUE(RIGHT(TRIM($A193),2)),MATCH(UPPER(LEFT(TRIM($A193),3)),{"JAN","FEB","MAR","APR","MAY","JUN","JUL","AUG","SEP","OCT","NOV","DEC"},0),1),"")))</f>
        <v/>
      </c>
      <c r="BS193" s="18" t="str">
        <f aca="false">IF(BR193="","",EOMONTH(BR193,0))</f>
        <v/>
      </c>
    </row>
    <row r="194" customFormat="false" ht="15" hidden="false" customHeight="false" outlineLevel="0" collapsed="false">
      <c r="B194" s="19"/>
      <c r="C194" s="19"/>
      <c r="D194" s="19"/>
      <c r="E194" s="19"/>
      <c r="F194" s="19"/>
      <c r="G194" s="19"/>
      <c r="H194" s="19"/>
      <c r="I194" s="19"/>
      <c r="J194" s="19"/>
      <c r="K194" s="19"/>
      <c r="L194" s="19"/>
      <c r="M194" s="19"/>
      <c r="N194" s="19"/>
      <c r="O194" s="19"/>
      <c r="P194" s="19"/>
      <c r="Q194" s="19"/>
      <c r="R194" s="19"/>
      <c r="S194" s="19"/>
      <c r="T194" s="19"/>
      <c r="U194" s="19"/>
      <c r="X194" s="15" t="str">
        <f aca="false">IF(OR(B$7="",$BR194=""),"",IF('Tally Helper'!$B$3&lt;&gt;TRUE(),"not on Staff",SUMIFS('Tally Helper'!$L$5:$GI$5,'Tally Helper'!$L$3:$GI$3,"&gt;="&amp;$BR194,'Tally Helper'!$L$3:$GI$3,"&lt;="&amp;$BS194)))</f>
        <v/>
      </c>
      <c r="Y194" s="15" t="str">
        <f aca="false">IF(OR(C$7="",$BR194=""),"",IF('Tally Helper'!$B$6&lt;&gt;TRUE(),"not on Staff",SUMIFS('Tally Helper'!$L$8:$GI$8,'Tally Helper'!$L$6:$GI$6,"&gt;="&amp;$BR194,'Tally Helper'!$L$6:$GI$6,"&lt;="&amp;$BS194)))</f>
        <v/>
      </c>
      <c r="Z194" s="15" t="str">
        <f aca="false">IF(OR(D$7="",$BR194=""),"",IF('Tally Helper'!$B$9&lt;&gt;TRUE(),"not on Staff",SUMIFS('Tally Helper'!$L$11:$GI$11,'Tally Helper'!$L$9:$GI$9,"&gt;="&amp;$BR194,'Tally Helper'!$L$9:$GI$9,"&lt;="&amp;$BS194)))</f>
        <v/>
      </c>
      <c r="AA194" s="15" t="str">
        <f aca="false">IF(OR(E$7="",$BR194=""),"",IF('Tally Helper'!$B$12&lt;&gt;TRUE(),"not on Staff",SUMIFS('Tally Helper'!$L$14:$GI$14,'Tally Helper'!$L$12:$GI$12,"&gt;="&amp;$BR194,'Tally Helper'!$L$12:$GI$12,"&lt;="&amp;$BS194)))</f>
        <v/>
      </c>
      <c r="AB194" s="15" t="str">
        <f aca="false">IF(OR(F$7="",$BR194=""),"",IF('Tally Helper'!$B$15&lt;&gt;TRUE(),"not on Staff",SUMIFS('Tally Helper'!$L$17:$GI$17,'Tally Helper'!$L$15:$GI$15,"&gt;="&amp;$BR194,'Tally Helper'!$L$15:$GI$15,"&lt;="&amp;$BS194)))</f>
        <v/>
      </c>
      <c r="AC194" s="15" t="str">
        <f aca="false">IF(OR(G$7="",$BR194=""),"",IF('Tally Helper'!$B$18&lt;&gt;TRUE(),"not on Staff",SUMIFS('Tally Helper'!$L$20:$GI$20,'Tally Helper'!$L$18:$GI$18,"&gt;="&amp;$BR194,'Tally Helper'!$L$18:$GI$18,"&lt;="&amp;$BS194)))</f>
        <v/>
      </c>
      <c r="AD194" s="15" t="str">
        <f aca="false">IF(OR(H$7="",$BR194=""),"",IF('Tally Helper'!$B$21&lt;&gt;TRUE(),"not on Staff",SUMIFS('Tally Helper'!$L$23:$GI$23,'Tally Helper'!$L$21:$GI$21,"&gt;="&amp;$BR194,'Tally Helper'!$L$21:$GI$21,"&lt;="&amp;$BS194)))</f>
        <v/>
      </c>
      <c r="AE194" s="15" t="str">
        <f aca="false">IF(OR(I$7="",$BR194=""),"",IF('Tally Helper'!$B$24&lt;&gt;TRUE(),"not on Staff",SUMIFS('Tally Helper'!$L$26:$GI$26,'Tally Helper'!$L$24:$GI$24,"&gt;="&amp;$BR194,'Tally Helper'!$L$24:$GI$24,"&lt;="&amp;$BS194)))</f>
        <v/>
      </c>
      <c r="AF194" s="15" t="str">
        <f aca="false">IF(OR(J$7="",$BR194=""),"",IF('Tally Helper'!$B$27&lt;&gt;TRUE(),"not on Staff",SUMIFS('Tally Helper'!$L$29:$GI$29,'Tally Helper'!$L$27:$GI$27,"&gt;="&amp;$BR194,'Tally Helper'!$L$27:$GI$27,"&lt;="&amp;$BS194)))</f>
        <v/>
      </c>
      <c r="AG194" s="15" t="str">
        <f aca="false">IF(OR(K$7="",$BR194=""),"",IF('Tally Helper'!$B$30&lt;&gt;TRUE(),"not on Staff",SUMIFS('Tally Helper'!$L$32:$GI$32,'Tally Helper'!$L$30:$GI$30,"&gt;="&amp;$BR194,'Tally Helper'!$L$30:$GI$30,"&lt;="&amp;$BS194)))</f>
        <v/>
      </c>
      <c r="AH194" s="15" t="str">
        <f aca="false">IF(OR(L$7="",$BR194=""),"",IF('Tally Helper'!$B$33&lt;&gt;TRUE(),"not on Staff",SUMIFS('Tally Helper'!$L$35:$GI$35,'Tally Helper'!$L$33:$GI$33,"&gt;="&amp;$BR194,'Tally Helper'!$L$33:$GI$33,"&lt;="&amp;$BS194)))</f>
        <v/>
      </c>
      <c r="AI194" s="15" t="str">
        <f aca="false">IF(OR(M$7="",$BR194=""),"",IF('Tally Helper'!$B$36&lt;&gt;TRUE(),"not on Staff",SUMIFS('Tally Helper'!$L$38:$GI$38,'Tally Helper'!$L$36:$GI$36,"&gt;="&amp;$BR194,'Tally Helper'!$L$36:$GI$36,"&lt;="&amp;$BS194)))</f>
        <v/>
      </c>
      <c r="AJ194" s="15" t="str">
        <f aca="false">IF(OR(N$7="",$BR194=""),"",IF('Tally Helper'!$B$39&lt;&gt;TRUE(),"not on Staff",SUMIFS('Tally Helper'!$L$41:$GI$41,'Tally Helper'!$L$39:$GI$39,"&gt;="&amp;$BR194,'Tally Helper'!$L$39:$GI$39,"&lt;="&amp;$BS194)))</f>
        <v/>
      </c>
      <c r="AK194" s="15" t="str">
        <f aca="false">IF(OR(O$7="",$BR194=""),"",IF('Tally Helper'!$B$42&lt;&gt;TRUE(),"not on Staff",SUMIFS('Tally Helper'!$L$44:$GI$44,'Tally Helper'!$L$42:$GI$42,"&gt;="&amp;$BR194,'Tally Helper'!$L$42:$GI$42,"&lt;="&amp;$BS194)))</f>
        <v/>
      </c>
      <c r="AL194" s="15" t="str">
        <f aca="false">IF(OR(P$7="",$BR194=""),"",IF('Tally Helper'!$B$45&lt;&gt;TRUE(),"not on Staff",SUMIFS('Tally Helper'!$L$47:$GI$47,'Tally Helper'!$L$45:$GI$45,"&gt;="&amp;$BR194,'Tally Helper'!$L$45:$GI$45,"&lt;="&amp;$BS194)))</f>
        <v/>
      </c>
      <c r="AM194" s="15" t="str">
        <f aca="false">IF(OR(Q$7="",$BR194=""),"",IF('Tally Helper'!$B$48&lt;&gt;TRUE(),"not on Staff",SUMIFS('Tally Helper'!$L$50:$GI$50,'Tally Helper'!$L$48:$GI$48,"&gt;="&amp;$BR194,'Tally Helper'!$L$48:$GI$48,"&lt;="&amp;$BS194)))</f>
        <v/>
      </c>
      <c r="AN194" s="15" t="str">
        <f aca="false">IF(OR(R$7="",$BR194=""),"",IF('Tally Helper'!$B$51&lt;&gt;TRUE(),"not on Staff",SUMIFS('Tally Helper'!$L$53:$GI$53,'Tally Helper'!$L$51:$GI$51,"&gt;="&amp;$BR194,'Tally Helper'!$L$51:$GI$51,"&lt;="&amp;$BS194)))</f>
        <v/>
      </c>
      <c r="AO194" s="15" t="str">
        <f aca="false">IF(OR(S$7="",$BR194=""),"",IF('Tally Helper'!$B$54&lt;&gt;TRUE(),"not on Staff",SUMIFS('Tally Helper'!$L$56:$GI$56,'Tally Helper'!$L$54:$GI$54,"&gt;="&amp;$BR194,'Tally Helper'!$L$54:$GI$54,"&lt;="&amp;$BS194)))</f>
        <v/>
      </c>
      <c r="AP194" s="15" t="str">
        <f aca="false">IF(OR(T$7="",$BR194=""),"",IF('Tally Helper'!$B$57&lt;&gt;TRUE(),"not on Staff",SUMIFS('Tally Helper'!$L$59:$GI$59,'Tally Helper'!$L$57:$GI$57,"&gt;="&amp;$BR194,'Tally Helper'!$L$57:$GI$57,"&lt;="&amp;$BS194)))</f>
        <v/>
      </c>
      <c r="AQ194" s="15" t="str">
        <f aca="false">IF(OR(U$7="",$BR194=""),"",IF('Tally Helper'!$B$60&lt;&gt;TRUE(),"not on Staff",SUMIFS('Tally Helper'!$L$62:$GI$62,'Tally Helper'!$L$60:$GI$60,"&gt;="&amp;$BR194,'Tally Helper'!$L$60:$GI$60,"&lt;="&amp;$BS194)))</f>
        <v/>
      </c>
      <c r="AT194" s="15" t="str">
        <f aca="false">IF(OR(X194="",NOT(ISNUMBER(X194))),"",X194-N(B194))</f>
        <v/>
      </c>
      <c r="AU194" s="15" t="str">
        <f aca="false">IF(OR(Y194="",NOT(ISNUMBER(Y194))),"",Y194-N(C194))</f>
        <v/>
      </c>
      <c r="AV194" s="15" t="str">
        <f aca="false">IF(OR(Z194="",NOT(ISNUMBER(Z194))),"",Z194-N(D194))</f>
        <v/>
      </c>
      <c r="AW194" s="15" t="str">
        <f aca="false">IF(OR(AA194="",NOT(ISNUMBER(AA194))),"",AA194-N(E194))</f>
        <v/>
      </c>
      <c r="AX194" s="15" t="str">
        <f aca="false">IF(OR(AB194="",NOT(ISNUMBER(AB194))),"",AB194-N(F194))</f>
        <v/>
      </c>
      <c r="AY194" s="15" t="str">
        <f aca="false">IF(OR(AC194="",NOT(ISNUMBER(AC194))),"",AC194-N(G194))</f>
        <v/>
      </c>
      <c r="AZ194" s="15" t="str">
        <f aca="false">IF(OR(AD194="",NOT(ISNUMBER(AD194))),"",AD194-N(H194))</f>
        <v/>
      </c>
      <c r="BA194" s="15" t="str">
        <f aca="false">IF(OR(AE194="",NOT(ISNUMBER(AE194))),"",AE194-N(I194))</f>
        <v/>
      </c>
      <c r="BB194" s="15" t="str">
        <f aca="false">IF(OR(AF194="",NOT(ISNUMBER(AF194))),"",AF194-N(J194))</f>
        <v/>
      </c>
      <c r="BC194" s="15" t="str">
        <f aca="false">IF(OR(AG194="",NOT(ISNUMBER(AG194))),"",AG194-N(K194))</f>
        <v/>
      </c>
      <c r="BD194" s="15" t="str">
        <f aca="false">IF(OR(AH194="",NOT(ISNUMBER(AH194))),"",AH194-N(L194))</f>
        <v/>
      </c>
      <c r="BE194" s="15" t="str">
        <f aca="false">IF(OR(AI194="",NOT(ISNUMBER(AI194))),"",AI194-N(M194))</f>
        <v/>
      </c>
      <c r="BF194" s="15" t="str">
        <f aca="false">IF(OR(AJ194="",NOT(ISNUMBER(AJ194))),"",AJ194-N(N194))</f>
        <v/>
      </c>
      <c r="BG194" s="15" t="str">
        <f aca="false">IF(OR(AK194="",NOT(ISNUMBER(AK194))),"",AK194-N(O194))</f>
        <v/>
      </c>
      <c r="BH194" s="15" t="str">
        <f aca="false">IF(OR(AL194="",NOT(ISNUMBER(AL194))),"",AL194-N(P194))</f>
        <v/>
      </c>
      <c r="BI194" s="15" t="str">
        <f aca="false">IF(OR(AM194="",NOT(ISNUMBER(AM194))),"",AM194-N(Q194))</f>
        <v/>
      </c>
      <c r="BJ194" s="15" t="str">
        <f aca="false">IF(OR(AN194="",NOT(ISNUMBER(AN194))),"",AN194-N(R194))</f>
        <v/>
      </c>
      <c r="BK194" s="15" t="str">
        <f aca="false">IF(OR(AO194="",NOT(ISNUMBER(AO194))),"",AO194-N(S194))</f>
        <v/>
      </c>
      <c r="BL194" s="15" t="str">
        <f aca="false">IF(OR(AP194="",NOT(ISNUMBER(AP194))),"",AP194-N(T194))</f>
        <v/>
      </c>
      <c r="BM194" s="15" t="str">
        <f aca="false">IF(OR(AQ194="",NOT(ISNUMBER(AQ194))),"",AQ194-N(U194))</f>
        <v/>
      </c>
      <c r="BR194" s="18" t="str">
        <f aca="false">IF($A194="","",IF(ISNUMBER($A194),DATE(YEAR($A194),MONTH($A194),1),IFERROR(DATE(2000+VALUE(RIGHT(TRIM($A194),2)),MATCH(UPPER(LEFT(TRIM($A194),3)),{"JAN","FEB","MAR","APR","MAY","JUN","JUL","AUG","SEP","OCT","NOV","DEC"},0),1),"")))</f>
        <v/>
      </c>
      <c r="BS194" s="18" t="str">
        <f aca="false">IF(BR194="","",EOMONTH(BR194,0))</f>
        <v/>
      </c>
    </row>
    <row r="195" customFormat="false" ht="15" hidden="false" customHeight="false" outlineLevel="0" collapsed="false">
      <c r="B195" s="19"/>
      <c r="C195" s="19"/>
      <c r="D195" s="19"/>
      <c r="E195" s="19"/>
      <c r="F195" s="19"/>
      <c r="G195" s="19"/>
      <c r="H195" s="19"/>
      <c r="I195" s="19"/>
      <c r="J195" s="19"/>
      <c r="K195" s="19"/>
      <c r="L195" s="19"/>
      <c r="M195" s="19"/>
      <c r="N195" s="19"/>
      <c r="O195" s="19"/>
      <c r="P195" s="19"/>
      <c r="Q195" s="19"/>
      <c r="R195" s="19"/>
      <c r="S195" s="19"/>
      <c r="T195" s="19"/>
      <c r="U195" s="19"/>
      <c r="X195" s="15" t="str">
        <f aca="false">IF(OR(B$7="",$BR195=""),"",IF('Tally Helper'!$B$3&lt;&gt;TRUE(),"not on Staff",SUMIFS('Tally Helper'!$L$5:$GI$5,'Tally Helper'!$L$3:$GI$3,"&gt;="&amp;$BR195,'Tally Helper'!$L$3:$GI$3,"&lt;="&amp;$BS195)))</f>
        <v/>
      </c>
      <c r="Y195" s="15" t="str">
        <f aca="false">IF(OR(C$7="",$BR195=""),"",IF('Tally Helper'!$B$6&lt;&gt;TRUE(),"not on Staff",SUMIFS('Tally Helper'!$L$8:$GI$8,'Tally Helper'!$L$6:$GI$6,"&gt;="&amp;$BR195,'Tally Helper'!$L$6:$GI$6,"&lt;="&amp;$BS195)))</f>
        <v/>
      </c>
      <c r="Z195" s="15" t="str">
        <f aca="false">IF(OR(D$7="",$BR195=""),"",IF('Tally Helper'!$B$9&lt;&gt;TRUE(),"not on Staff",SUMIFS('Tally Helper'!$L$11:$GI$11,'Tally Helper'!$L$9:$GI$9,"&gt;="&amp;$BR195,'Tally Helper'!$L$9:$GI$9,"&lt;="&amp;$BS195)))</f>
        <v/>
      </c>
      <c r="AA195" s="15" t="str">
        <f aca="false">IF(OR(E$7="",$BR195=""),"",IF('Tally Helper'!$B$12&lt;&gt;TRUE(),"not on Staff",SUMIFS('Tally Helper'!$L$14:$GI$14,'Tally Helper'!$L$12:$GI$12,"&gt;="&amp;$BR195,'Tally Helper'!$L$12:$GI$12,"&lt;="&amp;$BS195)))</f>
        <v/>
      </c>
      <c r="AB195" s="15" t="str">
        <f aca="false">IF(OR(F$7="",$BR195=""),"",IF('Tally Helper'!$B$15&lt;&gt;TRUE(),"not on Staff",SUMIFS('Tally Helper'!$L$17:$GI$17,'Tally Helper'!$L$15:$GI$15,"&gt;="&amp;$BR195,'Tally Helper'!$L$15:$GI$15,"&lt;="&amp;$BS195)))</f>
        <v/>
      </c>
      <c r="AC195" s="15" t="str">
        <f aca="false">IF(OR(G$7="",$BR195=""),"",IF('Tally Helper'!$B$18&lt;&gt;TRUE(),"not on Staff",SUMIFS('Tally Helper'!$L$20:$GI$20,'Tally Helper'!$L$18:$GI$18,"&gt;="&amp;$BR195,'Tally Helper'!$L$18:$GI$18,"&lt;="&amp;$BS195)))</f>
        <v/>
      </c>
      <c r="AD195" s="15" t="str">
        <f aca="false">IF(OR(H$7="",$BR195=""),"",IF('Tally Helper'!$B$21&lt;&gt;TRUE(),"not on Staff",SUMIFS('Tally Helper'!$L$23:$GI$23,'Tally Helper'!$L$21:$GI$21,"&gt;="&amp;$BR195,'Tally Helper'!$L$21:$GI$21,"&lt;="&amp;$BS195)))</f>
        <v/>
      </c>
      <c r="AE195" s="15" t="str">
        <f aca="false">IF(OR(I$7="",$BR195=""),"",IF('Tally Helper'!$B$24&lt;&gt;TRUE(),"not on Staff",SUMIFS('Tally Helper'!$L$26:$GI$26,'Tally Helper'!$L$24:$GI$24,"&gt;="&amp;$BR195,'Tally Helper'!$L$24:$GI$24,"&lt;="&amp;$BS195)))</f>
        <v/>
      </c>
      <c r="AF195" s="15" t="str">
        <f aca="false">IF(OR(J$7="",$BR195=""),"",IF('Tally Helper'!$B$27&lt;&gt;TRUE(),"not on Staff",SUMIFS('Tally Helper'!$L$29:$GI$29,'Tally Helper'!$L$27:$GI$27,"&gt;="&amp;$BR195,'Tally Helper'!$L$27:$GI$27,"&lt;="&amp;$BS195)))</f>
        <v/>
      </c>
      <c r="AG195" s="15" t="str">
        <f aca="false">IF(OR(K$7="",$BR195=""),"",IF('Tally Helper'!$B$30&lt;&gt;TRUE(),"not on Staff",SUMIFS('Tally Helper'!$L$32:$GI$32,'Tally Helper'!$L$30:$GI$30,"&gt;="&amp;$BR195,'Tally Helper'!$L$30:$GI$30,"&lt;="&amp;$BS195)))</f>
        <v/>
      </c>
      <c r="AH195" s="15" t="str">
        <f aca="false">IF(OR(L$7="",$BR195=""),"",IF('Tally Helper'!$B$33&lt;&gt;TRUE(),"not on Staff",SUMIFS('Tally Helper'!$L$35:$GI$35,'Tally Helper'!$L$33:$GI$33,"&gt;="&amp;$BR195,'Tally Helper'!$L$33:$GI$33,"&lt;="&amp;$BS195)))</f>
        <v/>
      </c>
      <c r="AI195" s="15" t="str">
        <f aca="false">IF(OR(M$7="",$BR195=""),"",IF('Tally Helper'!$B$36&lt;&gt;TRUE(),"not on Staff",SUMIFS('Tally Helper'!$L$38:$GI$38,'Tally Helper'!$L$36:$GI$36,"&gt;="&amp;$BR195,'Tally Helper'!$L$36:$GI$36,"&lt;="&amp;$BS195)))</f>
        <v/>
      </c>
      <c r="AJ195" s="15" t="str">
        <f aca="false">IF(OR(N$7="",$BR195=""),"",IF('Tally Helper'!$B$39&lt;&gt;TRUE(),"not on Staff",SUMIFS('Tally Helper'!$L$41:$GI$41,'Tally Helper'!$L$39:$GI$39,"&gt;="&amp;$BR195,'Tally Helper'!$L$39:$GI$39,"&lt;="&amp;$BS195)))</f>
        <v/>
      </c>
      <c r="AK195" s="15" t="str">
        <f aca="false">IF(OR(O$7="",$BR195=""),"",IF('Tally Helper'!$B$42&lt;&gt;TRUE(),"not on Staff",SUMIFS('Tally Helper'!$L$44:$GI$44,'Tally Helper'!$L$42:$GI$42,"&gt;="&amp;$BR195,'Tally Helper'!$L$42:$GI$42,"&lt;="&amp;$BS195)))</f>
        <v/>
      </c>
      <c r="AL195" s="15" t="str">
        <f aca="false">IF(OR(P$7="",$BR195=""),"",IF('Tally Helper'!$B$45&lt;&gt;TRUE(),"not on Staff",SUMIFS('Tally Helper'!$L$47:$GI$47,'Tally Helper'!$L$45:$GI$45,"&gt;="&amp;$BR195,'Tally Helper'!$L$45:$GI$45,"&lt;="&amp;$BS195)))</f>
        <v/>
      </c>
      <c r="AM195" s="15" t="str">
        <f aca="false">IF(OR(Q$7="",$BR195=""),"",IF('Tally Helper'!$B$48&lt;&gt;TRUE(),"not on Staff",SUMIFS('Tally Helper'!$L$50:$GI$50,'Tally Helper'!$L$48:$GI$48,"&gt;="&amp;$BR195,'Tally Helper'!$L$48:$GI$48,"&lt;="&amp;$BS195)))</f>
        <v/>
      </c>
      <c r="AN195" s="15" t="str">
        <f aca="false">IF(OR(R$7="",$BR195=""),"",IF('Tally Helper'!$B$51&lt;&gt;TRUE(),"not on Staff",SUMIFS('Tally Helper'!$L$53:$GI$53,'Tally Helper'!$L$51:$GI$51,"&gt;="&amp;$BR195,'Tally Helper'!$L$51:$GI$51,"&lt;="&amp;$BS195)))</f>
        <v/>
      </c>
      <c r="AO195" s="15" t="str">
        <f aca="false">IF(OR(S$7="",$BR195=""),"",IF('Tally Helper'!$B$54&lt;&gt;TRUE(),"not on Staff",SUMIFS('Tally Helper'!$L$56:$GI$56,'Tally Helper'!$L$54:$GI$54,"&gt;="&amp;$BR195,'Tally Helper'!$L$54:$GI$54,"&lt;="&amp;$BS195)))</f>
        <v/>
      </c>
      <c r="AP195" s="15" t="str">
        <f aca="false">IF(OR(T$7="",$BR195=""),"",IF('Tally Helper'!$B$57&lt;&gt;TRUE(),"not on Staff",SUMIFS('Tally Helper'!$L$59:$GI$59,'Tally Helper'!$L$57:$GI$57,"&gt;="&amp;$BR195,'Tally Helper'!$L$57:$GI$57,"&lt;="&amp;$BS195)))</f>
        <v/>
      </c>
      <c r="AQ195" s="15" t="str">
        <f aca="false">IF(OR(U$7="",$BR195=""),"",IF('Tally Helper'!$B$60&lt;&gt;TRUE(),"not on Staff",SUMIFS('Tally Helper'!$L$62:$GI$62,'Tally Helper'!$L$60:$GI$60,"&gt;="&amp;$BR195,'Tally Helper'!$L$60:$GI$60,"&lt;="&amp;$BS195)))</f>
        <v/>
      </c>
      <c r="AT195" s="15" t="str">
        <f aca="false">IF(OR(X195="",NOT(ISNUMBER(X195))),"",X195-N(B195))</f>
        <v/>
      </c>
      <c r="AU195" s="15" t="str">
        <f aca="false">IF(OR(Y195="",NOT(ISNUMBER(Y195))),"",Y195-N(C195))</f>
        <v/>
      </c>
      <c r="AV195" s="15" t="str">
        <f aca="false">IF(OR(Z195="",NOT(ISNUMBER(Z195))),"",Z195-N(D195))</f>
        <v/>
      </c>
      <c r="AW195" s="15" t="str">
        <f aca="false">IF(OR(AA195="",NOT(ISNUMBER(AA195))),"",AA195-N(E195))</f>
        <v/>
      </c>
      <c r="AX195" s="15" t="str">
        <f aca="false">IF(OR(AB195="",NOT(ISNUMBER(AB195))),"",AB195-N(F195))</f>
        <v/>
      </c>
      <c r="AY195" s="15" t="str">
        <f aca="false">IF(OR(AC195="",NOT(ISNUMBER(AC195))),"",AC195-N(G195))</f>
        <v/>
      </c>
      <c r="AZ195" s="15" t="str">
        <f aca="false">IF(OR(AD195="",NOT(ISNUMBER(AD195))),"",AD195-N(H195))</f>
        <v/>
      </c>
      <c r="BA195" s="15" t="str">
        <f aca="false">IF(OR(AE195="",NOT(ISNUMBER(AE195))),"",AE195-N(I195))</f>
        <v/>
      </c>
      <c r="BB195" s="15" t="str">
        <f aca="false">IF(OR(AF195="",NOT(ISNUMBER(AF195))),"",AF195-N(J195))</f>
        <v/>
      </c>
      <c r="BC195" s="15" t="str">
        <f aca="false">IF(OR(AG195="",NOT(ISNUMBER(AG195))),"",AG195-N(K195))</f>
        <v/>
      </c>
      <c r="BD195" s="15" t="str">
        <f aca="false">IF(OR(AH195="",NOT(ISNUMBER(AH195))),"",AH195-N(L195))</f>
        <v/>
      </c>
      <c r="BE195" s="15" t="str">
        <f aca="false">IF(OR(AI195="",NOT(ISNUMBER(AI195))),"",AI195-N(M195))</f>
        <v/>
      </c>
      <c r="BF195" s="15" t="str">
        <f aca="false">IF(OR(AJ195="",NOT(ISNUMBER(AJ195))),"",AJ195-N(N195))</f>
        <v/>
      </c>
      <c r="BG195" s="15" t="str">
        <f aca="false">IF(OR(AK195="",NOT(ISNUMBER(AK195))),"",AK195-N(O195))</f>
        <v/>
      </c>
      <c r="BH195" s="15" t="str">
        <f aca="false">IF(OR(AL195="",NOT(ISNUMBER(AL195))),"",AL195-N(P195))</f>
        <v/>
      </c>
      <c r="BI195" s="15" t="str">
        <f aca="false">IF(OR(AM195="",NOT(ISNUMBER(AM195))),"",AM195-N(Q195))</f>
        <v/>
      </c>
      <c r="BJ195" s="15" t="str">
        <f aca="false">IF(OR(AN195="",NOT(ISNUMBER(AN195))),"",AN195-N(R195))</f>
        <v/>
      </c>
      <c r="BK195" s="15" t="str">
        <f aca="false">IF(OR(AO195="",NOT(ISNUMBER(AO195))),"",AO195-N(S195))</f>
        <v/>
      </c>
      <c r="BL195" s="15" t="str">
        <f aca="false">IF(OR(AP195="",NOT(ISNUMBER(AP195))),"",AP195-N(T195))</f>
        <v/>
      </c>
      <c r="BM195" s="15" t="str">
        <f aca="false">IF(OR(AQ195="",NOT(ISNUMBER(AQ195))),"",AQ195-N(U195))</f>
        <v/>
      </c>
      <c r="BR195" s="18" t="str">
        <f aca="false">IF($A195="","",IF(ISNUMBER($A195),DATE(YEAR($A195),MONTH($A195),1),IFERROR(DATE(2000+VALUE(RIGHT(TRIM($A195),2)),MATCH(UPPER(LEFT(TRIM($A195),3)),{"JAN","FEB","MAR","APR","MAY","JUN","JUL","AUG","SEP","OCT","NOV","DEC"},0),1),"")))</f>
        <v/>
      </c>
      <c r="BS195" s="18" t="str">
        <f aca="false">IF(BR195="","",EOMONTH(BR195,0))</f>
        <v/>
      </c>
    </row>
    <row r="196" customFormat="false" ht="15" hidden="false" customHeight="false" outlineLevel="0" collapsed="false">
      <c r="B196" s="19"/>
      <c r="C196" s="19"/>
      <c r="D196" s="19"/>
      <c r="E196" s="19"/>
      <c r="F196" s="19"/>
      <c r="G196" s="19"/>
      <c r="H196" s="19"/>
      <c r="I196" s="19"/>
      <c r="J196" s="19"/>
      <c r="K196" s="19"/>
      <c r="L196" s="19"/>
      <c r="M196" s="19"/>
      <c r="N196" s="19"/>
      <c r="O196" s="19"/>
      <c r="P196" s="19"/>
      <c r="Q196" s="19"/>
      <c r="R196" s="19"/>
      <c r="S196" s="19"/>
      <c r="T196" s="19"/>
      <c r="U196" s="19"/>
      <c r="X196" s="15" t="str">
        <f aca="false">IF(OR(B$7="",$BR196=""),"",IF('Tally Helper'!$B$3&lt;&gt;TRUE(),"not on Staff",SUMIFS('Tally Helper'!$L$5:$GI$5,'Tally Helper'!$L$3:$GI$3,"&gt;="&amp;$BR196,'Tally Helper'!$L$3:$GI$3,"&lt;="&amp;$BS196)))</f>
        <v/>
      </c>
      <c r="Y196" s="15" t="str">
        <f aca="false">IF(OR(C$7="",$BR196=""),"",IF('Tally Helper'!$B$6&lt;&gt;TRUE(),"not on Staff",SUMIFS('Tally Helper'!$L$8:$GI$8,'Tally Helper'!$L$6:$GI$6,"&gt;="&amp;$BR196,'Tally Helper'!$L$6:$GI$6,"&lt;="&amp;$BS196)))</f>
        <v/>
      </c>
      <c r="Z196" s="15" t="str">
        <f aca="false">IF(OR(D$7="",$BR196=""),"",IF('Tally Helper'!$B$9&lt;&gt;TRUE(),"not on Staff",SUMIFS('Tally Helper'!$L$11:$GI$11,'Tally Helper'!$L$9:$GI$9,"&gt;="&amp;$BR196,'Tally Helper'!$L$9:$GI$9,"&lt;="&amp;$BS196)))</f>
        <v/>
      </c>
      <c r="AA196" s="15" t="str">
        <f aca="false">IF(OR(E$7="",$BR196=""),"",IF('Tally Helper'!$B$12&lt;&gt;TRUE(),"not on Staff",SUMIFS('Tally Helper'!$L$14:$GI$14,'Tally Helper'!$L$12:$GI$12,"&gt;="&amp;$BR196,'Tally Helper'!$L$12:$GI$12,"&lt;="&amp;$BS196)))</f>
        <v/>
      </c>
      <c r="AB196" s="15" t="str">
        <f aca="false">IF(OR(F$7="",$BR196=""),"",IF('Tally Helper'!$B$15&lt;&gt;TRUE(),"not on Staff",SUMIFS('Tally Helper'!$L$17:$GI$17,'Tally Helper'!$L$15:$GI$15,"&gt;="&amp;$BR196,'Tally Helper'!$L$15:$GI$15,"&lt;="&amp;$BS196)))</f>
        <v/>
      </c>
      <c r="AC196" s="15" t="str">
        <f aca="false">IF(OR(G$7="",$BR196=""),"",IF('Tally Helper'!$B$18&lt;&gt;TRUE(),"not on Staff",SUMIFS('Tally Helper'!$L$20:$GI$20,'Tally Helper'!$L$18:$GI$18,"&gt;="&amp;$BR196,'Tally Helper'!$L$18:$GI$18,"&lt;="&amp;$BS196)))</f>
        <v/>
      </c>
      <c r="AD196" s="15" t="str">
        <f aca="false">IF(OR(H$7="",$BR196=""),"",IF('Tally Helper'!$B$21&lt;&gt;TRUE(),"not on Staff",SUMIFS('Tally Helper'!$L$23:$GI$23,'Tally Helper'!$L$21:$GI$21,"&gt;="&amp;$BR196,'Tally Helper'!$L$21:$GI$21,"&lt;="&amp;$BS196)))</f>
        <v/>
      </c>
      <c r="AE196" s="15" t="str">
        <f aca="false">IF(OR(I$7="",$BR196=""),"",IF('Tally Helper'!$B$24&lt;&gt;TRUE(),"not on Staff",SUMIFS('Tally Helper'!$L$26:$GI$26,'Tally Helper'!$L$24:$GI$24,"&gt;="&amp;$BR196,'Tally Helper'!$L$24:$GI$24,"&lt;="&amp;$BS196)))</f>
        <v/>
      </c>
      <c r="AF196" s="15" t="str">
        <f aca="false">IF(OR(J$7="",$BR196=""),"",IF('Tally Helper'!$B$27&lt;&gt;TRUE(),"not on Staff",SUMIFS('Tally Helper'!$L$29:$GI$29,'Tally Helper'!$L$27:$GI$27,"&gt;="&amp;$BR196,'Tally Helper'!$L$27:$GI$27,"&lt;="&amp;$BS196)))</f>
        <v/>
      </c>
      <c r="AG196" s="15" t="str">
        <f aca="false">IF(OR(K$7="",$BR196=""),"",IF('Tally Helper'!$B$30&lt;&gt;TRUE(),"not on Staff",SUMIFS('Tally Helper'!$L$32:$GI$32,'Tally Helper'!$L$30:$GI$30,"&gt;="&amp;$BR196,'Tally Helper'!$L$30:$GI$30,"&lt;="&amp;$BS196)))</f>
        <v/>
      </c>
      <c r="AH196" s="15" t="str">
        <f aca="false">IF(OR(L$7="",$BR196=""),"",IF('Tally Helper'!$B$33&lt;&gt;TRUE(),"not on Staff",SUMIFS('Tally Helper'!$L$35:$GI$35,'Tally Helper'!$L$33:$GI$33,"&gt;="&amp;$BR196,'Tally Helper'!$L$33:$GI$33,"&lt;="&amp;$BS196)))</f>
        <v/>
      </c>
      <c r="AI196" s="15" t="str">
        <f aca="false">IF(OR(M$7="",$BR196=""),"",IF('Tally Helper'!$B$36&lt;&gt;TRUE(),"not on Staff",SUMIFS('Tally Helper'!$L$38:$GI$38,'Tally Helper'!$L$36:$GI$36,"&gt;="&amp;$BR196,'Tally Helper'!$L$36:$GI$36,"&lt;="&amp;$BS196)))</f>
        <v/>
      </c>
      <c r="AJ196" s="15" t="str">
        <f aca="false">IF(OR(N$7="",$BR196=""),"",IF('Tally Helper'!$B$39&lt;&gt;TRUE(),"not on Staff",SUMIFS('Tally Helper'!$L$41:$GI$41,'Tally Helper'!$L$39:$GI$39,"&gt;="&amp;$BR196,'Tally Helper'!$L$39:$GI$39,"&lt;="&amp;$BS196)))</f>
        <v/>
      </c>
      <c r="AK196" s="15" t="str">
        <f aca="false">IF(OR(O$7="",$BR196=""),"",IF('Tally Helper'!$B$42&lt;&gt;TRUE(),"not on Staff",SUMIFS('Tally Helper'!$L$44:$GI$44,'Tally Helper'!$L$42:$GI$42,"&gt;="&amp;$BR196,'Tally Helper'!$L$42:$GI$42,"&lt;="&amp;$BS196)))</f>
        <v/>
      </c>
      <c r="AL196" s="15" t="str">
        <f aca="false">IF(OR(P$7="",$BR196=""),"",IF('Tally Helper'!$B$45&lt;&gt;TRUE(),"not on Staff",SUMIFS('Tally Helper'!$L$47:$GI$47,'Tally Helper'!$L$45:$GI$45,"&gt;="&amp;$BR196,'Tally Helper'!$L$45:$GI$45,"&lt;="&amp;$BS196)))</f>
        <v/>
      </c>
      <c r="AM196" s="15" t="str">
        <f aca="false">IF(OR(Q$7="",$BR196=""),"",IF('Tally Helper'!$B$48&lt;&gt;TRUE(),"not on Staff",SUMIFS('Tally Helper'!$L$50:$GI$50,'Tally Helper'!$L$48:$GI$48,"&gt;="&amp;$BR196,'Tally Helper'!$L$48:$GI$48,"&lt;="&amp;$BS196)))</f>
        <v/>
      </c>
      <c r="AN196" s="15" t="str">
        <f aca="false">IF(OR(R$7="",$BR196=""),"",IF('Tally Helper'!$B$51&lt;&gt;TRUE(),"not on Staff",SUMIFS('Tally Helper'!$L$53:$GI$53,'Tally Helper'!$L$51:$GI$51,"&gt;="&amp;$BR196,'Tally Helper'!$L$51:$GI$51,"&lt;="&amp;$BS196)))</f>
        <v/>
      </c>
      <c r="AO196" s="15" t="str">
        <f aca="false">IF(OR(S$7="",$BR196=""),"",IF('Tally Helper'!$B$54&lt;&gt;TRUE(),"not on Staff",SUMIFS('Tally Helper'!$L$56:$GI$56,'Tally Helper'!$L$54:$GI$54,"&gt;="&amp;$BR196,'Tally Helper'!$L$54:$GI$54,"&lt;="&amp;$BS196)))</f>
        <v/>
      </c>
      <c r="AP196" s="15" t="str">
        <f aca="false">IF(OR(T$7="",$BR196=""),"",IF('Tally Helper'!$B$57&lt;&gt;TRUE(),"not on Staff",SUMIFS('Tally Helper'!$L$59:$GI$59,'Tally Helper'!$L$57:$GI$57,"&gt;="&amp;$BR196,'Tally Helper'!$L$57:$GI$57,"&lt;="&amp;$BS196)))</f>
        <v/>
      </c>
      <c r="AQ196" s="15" t="str">
        <f aca="false">IF(OR(U$7="",$BR196=""),"",IF('Tally Helper'!$B$60&lt;&gt;TRUE(),"not on Staff",SUMIFS('Tally Helper'!$L$62:$GI$62,'Tally Helper'!$L$60:$GI$60,"&gt;="&amp;$BR196,'Tally Helper'!$L$60:$GI$60,"&lt;="&amp;$BS196)))</f>
        <v/>
      </c>
      <c r="AT196" s="15" t="str">
        <f aca="false">IF(OR(X196="",NOT(ISNUMBER(X196))),"",X196-N(B196))</f>
        <v/>
      </c>
      <c r="AU196" s="15" t="str">
        <f aca="false">IF(OR(Y196="",NOT(ISNUMBER(Y196))),"",Y196-N(C196))</f>
        <v/>
      </c>
      <c r="AV196" s="15" t="str">
        <f aca="false">IF(OR(Z196="",NOT(ISNUMBER(Z196))),"",Z196-N(D196))</f>
        <v/>
      </c>
      <c r="AW196" s="15" t="str">
        <f aca="false">IF(OR(AA196="",NOT(ISNUMBER(AA196))),"",AA196-N(E196))</f>
        <v/>
      </c>
      <c r="AX196" s="15" t="str">
        <f aca="false">IF(OR(AB196="",NOT(ISNUMBER(AB196))),"",AB196-N(F196))</f>
        <v/>
      </c>
      <c r="AY196" s="15" t="str">
        <f aca="false">IF(OR(AC196="",NOT(ISNUMBER(AC196))),"",AC196-N(G196))</f>
        <v/>
      </c>
      <c r="AZ196" s="15" t="str">
        <f aca="false">IF(OR(AD196="",NOT(ISNUMBER(AD196))),"",AD196-N(H196))</f>
        <v/>
      </c>
      <c r="BA196" s="15" t="str">
        <f aca="false">IF(OR(AE196="",NOT(ISNUMBER(AE196))),"",AE196-N(I196))</f>
        <v/>
      </c>
      <c r="BB196" s="15" t="str">
        <f aca="false">IF(OR(AF196="",NOT(ISNUMBER(AF196))),"",AF196-N(J196))</f>
        <v/>
      </c>
      <c r="BC196" s="15" t="str">
        <f aca="false">IF(OR(AG196="",NOT(ISNUMBER(AG196))),"",AG196-N(K196))</f>
        <v/>
      </c>
      <c r="BD196" s="15" t="str">
        <f aca="false">IF(OR(AH196="",NOT(ISNUMBER(AH196))),"",AH196-N(L196))</f>
        <v/>
      </c>
      <c r="BE196" s="15" t="str">
        <f aca="false">IF(OR(AI196="",NOT(ISNUMBER(AI196))),"",AI196-N(M196))</f>
        <v/>
      </c>
      <c r="BF196" s="15" t="str">
        <f aca="false">IF(OR(AJ196="",NOT(ISNUMBER(AJ196))),"",AJ196-N(N196))</f>
        <v/>
      </c>
      <c r="BG196" s="15" t="str">
        <f aca="false">IF(OR(AK196="",NOT(ISNUMBER(AK196))),"",AK196-N(O196))</f>
        <v/>
      </c>
      <c r="BH196" s="15" t="str">
        <f aca="false">IF(OR(AL196="",NOT(ISNUMBER(AL196))),"",AL196-N(P196))</f>
        <v/>
      </c>
      <c r="BI196" s="15" t="str">
        <f aca="false">IF(OR(AM196="",NOT(ISNUMBER(AM196))),"",AM196-N(Q196))</f>
        <v/>
      </c>
      <c r="BJ196" s="15" t="str">
        <f aca="false">IF(OR(AN196="",NOT(ISNUMBER(AN196))),"",AN196-N(R196))</f>
        <v/>
      </c>
      <c r="BK196" s="15" t="str">
        <f aca="false">IF(OR(AO196="",NOT(ISNUMBER(AO196))),"",AO196-N(S196))</f>
        <v/>
      </c>
      <c r="BL196" s="15" t="str">
        <f aca="false">IF(OR(AP196="",NOT(ISNUMBER(AP196))),"",AP196-N(T196))</f>
        <v/>
      </c>
      <c r="BM196" s="15" t="str">
        <f aca="false">IF(OR(AQ196="",NOT(ISNUMBER(AQ196))),"",AQ196-N(U196))</f>
        <v/>
      </c>
      <c r="BR196" s="18" t="str">
        <f aca="false">IF($A196="","",IF(ISNUMBER($A196),DATE(YEAR($A196),MONTH($A196),1),IFERROR(DATE(2000+VALUE(RIGHT(TRIM($A196),2)),MATCH(UPPER(LEFT(TRIM($A196),3)),{"JAN","FEB","MAR","APR","MAY","JUN","JUL","AUG","SEP","OCT","NOV","DEC"},0),1),"")))</f>
        <v/>
      </c>
      <c r="BS196" s="18" t="str">
        <f aca="false">IF(BR196="","",EOMONTH(BR196,0))</f>
        <v/>
      </c>
    </row>
    <row r="197" customFormat="false" ht="15" hidden="false" customHeight="false" outlineLevel="0" collapsed="false">
      <c r="B197" s="19"/>
      <c r="C197" s="19"/>
      <c r="D197" s="19"/>
      <c r="E197" s="19"/>
      <c r="F197" s="19"/>
      <c r="G197" s="19"/>
      <c r="H197" s="19"/>
      <c r="I197" s="19"/>
      <c r="J197" s="19"/>
      <c r="K197" s="19"/>
      <c r="L197" s="19"/>
      <c r="M197" s="19"/>
      <c r="N197" s="19"/>
      <c r="O197" s="19"/>
      <c r="P197" s="19"/>
      <c r="Q197" s="19"/>
      <c r="R197" s="19"/>
      <c r="S197" s="19"/>
      <c r="T197" s="19"/>
      <c r="U197" s="19"/>
      <c r="X197" s="15" t="str">
        <f aca="false">IF(OR(B$7="",$BR197=""),"",IF('Tally Helper'!$B$3&lt;&gt;TRUE(),"not on Staff",SUMIFS('Tally Helper'!$L$5:$GI$5,'Tally Helper'!$L$3:$GI$3,"&gt;="&amp;$BR197,'Tally Helper'!$L$3:$GI$3,"&lt;="&amp;$BS197)))</f>
        <v/>
      </c>
      <c r="Y197" s="15" t="str">
        <f aca="false">IF(OR(C$7="",$BR197=""),"",IF('Tally Helper'!$B$6&lt;&gt;TRUE(),"not on Staff",SUMIFS('Tally Helper'!$L$8:$GI$8,'Tally Helper'!$L$6:$GI$6,"&gt;="&amp;$BR197,'Tally Helper'!$L$6:$GI$6,"&lt;="&amp;$BS197)))</f>
        <v/>
      </c>
      <c r="Z197" s="15" t="str">
        <f aca="false">IF(OR(D$7="",$BR197=""),"",IF('Tally Helper'!$B$9&lt;&gt;TRUE(),"not on Staff",SUMIFS('Tally Helper'!$L$11:$GI$11,'Tally Helper'!$L$9:$GI$9,"&gt;="&amp;$BR197,'Tally Helper'!$L$9:$GI$9,"&lt;="&amp;$BS197)))</f>
        <v/>
      </c>
      <c r="AA197" s="15" t="str">
        <f aca="false">IF(OR(E$7="",$BR197=""),"",IF('Tally Helper'!$B$12&lt;&gt;TRUE(),"not on Staff",SUMIFS('Tally Helper'!$L$14:$GI$14,'Tally Helper'!$L$12:$GI$12,"&gt;="&amp;$BR197,'Tally Helper'!$L$12:$GI$12,"&lt;="&amp;$BS197)))</f>
        <v/>
      </c>
      <c r="AB197" s="15" t="str">
        <f aca="false">IF(OR(F$7="",$BR197=""),"",IF('Tally Helper'!$B$15&lt;&gt;TRUE(),"not on Staff",SUMIFS('Tally Helper'!$L$17:$GI$17,'Tally Helper'!$L$15:$GI$15,"&gt;="&amp;$BR197,'Tally Helper'!$L$15:$GI$15,"&lt;="&amp;$BS197)))</f>
        <v/>
      </c>
      <c r="AC197" s="15" t="str">
        <f aca="false">IF(OR(G$7="",$BR197=""),"",IF('Tally Helper'!$B$18&lt;&gt;TRUE(),"not on Staff",SUMIFS('Tally Helper'!$L$20:$GI$20,'Tally Helper'!$L$18:$GI$18,"&gt;="&amp;$BR197,'Tally Helper'!$L$18:$GI$18,"&lt;="&amp;$BS197)))</f>
        <v/>
      </c>
      <c r="AD197" s="15" t="str">
        <f aca="false">IF(OR(H$7="",$BR197=""),"",IF('Tally Helper'!$B$21&lt;&gt;TRUE(),"not on Staff",SUMIFS('Tally Helper'!$L$23:$GI$23,'Tally Helper'!$L$21:$GI$21,"&gt;="&amp;$BR197,'Tally Helper'!$L$21:$GI$21,"&lt;="&amp;$BS197)))</f>
        <v/>
      </c>
      <c r="AE197" s="15" t="str">
        <f aca="false">IF(OR(I$7="",$BR197=""),"",IF('Tally Helper'!$B$24&lt;&gt;TRUE(),"not on Staff",SUMIFS('Tally Helper'!$L$26:$GI$26,'Tally Helper'!$L$24:$GI$24,"&gt;="&amp;$BR197,'Tally Helper'!$L$24:$GI$24,"&lt;="&amp;$BS197)))</f>
        <v/>
      </c>
      <c r="AF197" s="15" t="str">
        <f aca="false">IF(OR(J$7="",$BR197=""),"",IF('Tally Helper'!$B$27&lt;&gt;TRUE(),"not on Staff",SUMIFS('Tally Helper'!$L$29:$GI$29,'Tally Helper'!$L$27:$GI$27,"&gt;="&amp;$BR197,'Tally Helper'!$L$27:$GI$27,"&lt;="&amp;$BS197)))</f>
        <v/>
      </c>
      <c r="AG197" s="15" t="str">
        <f aca="false">IF(OR(K$7="",$BR197=""),"",IF('Tally Helper'!$B$30&lt;&gt;TRUE(),"not on Staff",SUMIFS('Tally Helper'!$L$32:$GI$32,'Tally Helper'!$L$30:$GI$30,"&gt;="&amp;$BR197,'Tally Helper'!$L$30:$GI$30,"&lt;="&amp;$BS197)))</f>
        <v/>
      </c>
      <c r="AH197" s="15" t="str">
        <f aca="false">IF(OR(L$7="",$BR197=""),"",IF('Tally Helper'!$B$33&lt;&gt;TRUE(),"not on Staff",SUMIFS('Tally Helper'!$L$35:$GI$35,'Tally Helper'!$L$33:$GI$33,"&gt;="&amp;$BR197,'Tally Helper'!$L$33:$GI$33,"&lt;="&amp;$BS197)))</f>
        <v/>
      </c>
      <c r="AI197" s="15" t="str">
        <f aca="false">IF(OR(M$7="",$BR197=""),"",IF('Tally Helper'!$B$36&lt;&gt;TRUE(),"not on Staff",SUMIFS('Tally Helper'!$L$38:$GI$38,'Tally Helper'!$L$36:$GI$36,"&gt;="&amp;$BR197,'Tally Helper'!$L$36:$GI$36,"&lt;="&amp;$BS197)))</f>
        <v/>
      </c>
      <c r="AJ197" s="15" t="str">
        <f aca="false">IF(OR(N$7="",$BR197=""),"",IF('Tally Helper'!$B$39&lt;&gt;TRUE(),"not on Staff",SUMIFS('Tally Helper'!$L$41:$GI$41,'Tally Helper'!$L$39:$GI$39,"&gt;="&amp;$BR197,'Tally Helper'!$L$39:$GI$39,"&lt;="&amp;$BS197)))</f>
        <v/>
      </c>
      <c r="AK197" s="15" t="str">
        <f aca="false">IF(OR(O$7="",$BR197=""),"",IF('Tally Helper'!$B$42&lt;&gt;TRUE(),"not on Staff",SUMIFS('Tally Helper'!$L$44:$GI$44,'Tally Helper'!$L$42:$GI$42,"&gt;="&amp;$BR197,'Tally Helper'!$L$42:$GI$42,"&lt;="&amp;$BS197)))</f>
        <v/>
      </c>
      <c r="AL197" s="15" t="str">
        <f aca="false">IF(OR(P$7="",$BR197=""),"",IF('Tally Helper'!$B$45&lt;&gt;TRUE(),"not on Staff",SUMIFS('Tally Helper'!$L$47:$GI$47,'Tally Helper'!$L$45:$GI$45,"&gt;="&amp;$BR197,'Tally Helper'!$L$45:$GI$45,"&lt;="&amp;$BS197)))</f>
        <v/>
      </c>
      <c r="AM197" s="15" t="str">
        <f aca="false">IF(OR(Q$7="",$BR197=""),"",IF('Tally Helper'!$B$48&lt;&gt;TRUE(),"not on Staff",SUMIFS('Tally Helper'!$L$50:$GI$50,'Tally Helper'!$L$48:$GI$48,"&gt;="&amp;$BR197,'Tally Helper'!$L$48:$GI$48,"&lt;="&amp;$BS197)))</f>
        <v/>
      </c>
      <c r="AN197" s="15" t="str">
        <f aca="false">IF(OR(R$7="",$BR197=""),"",IF('Tally Helper'!$B$51&lt;&gt;TRUE(),"not on Staff",SUMIFS('Tally Helper'!$L$53:$GI$53,'Tally Helper'!$L$51:$GI$51,"&gt;="&amp;$BR197,'Tally Helper'!$L$51:$GI$51,"&lt;="&amp;$BS197)))</f>
        <v/>
      </c>
      <c r="AO197" s="15" t="str">
        <f aca="false">IF(OR(S$7="",$BR197=""),"",IF('Tally Helper'!$B$54&lt;&gt;TRUE(),"not on Staff",SUMIFS('Tally Helper'!$L$56:$GI$56,'Tally Helper'!$L$54:$GI$54,"&gt;="&amp;$BR197,'Tally Helper'!$L$54:$GI$54,"&lt;="&amp;$BS197)))</f>
        <v/>
      </c>
      <c r="AP197" s="15" t="str">
        <f aca="false">IF(OR(T$7="",$BR197=""),"",IF('Tally Helper'!$B$57&lt;&gt;TRUE(),"not on Staff",SUMIFS('Tally Helper'!$L$59:$GI$59,'Tally Helper'!$L$57:$GI$57,"&gt;="&amp;$BR197,'Tally Helper'!$L$57:$GI$57,"&lt;="&amp;$BS197)))</f>
        <v/>
      </c>
      <c r="AQ197" s="15" t="str">
        <f aca="false">IF(OR(U$7="",$BR197=""),"",IF('Tally Helper'!$B$60&lt;&gt;TRUE(),"not on Staff",SUMIFS('Tally Helper'!$L$62:$GI$62,'Tally Helper'!$L$60:$GI$60,"&gt;="&amp;$BR197,'Tally Helper'!$L$60:$GI$60,"&lt;="&amp;$BS197)))</f>
        <v/>
      </c>
      <c r="AT197" s="15" t="str">
        <f aca="false">IF(OR(X197="",NOT(ISNUMBER(X197))),"",X197-N(B197))</f>
        <v/>
      </c>
      <c r="AU197" s="15" t="str">
        <f aca="false">IF(OR(Y197="",NOT(ISNUMBER(Y197))),"",Y197-N(C197))</f>
        <v/>
      </c>
      <c r="AV197" s="15" t="str">
        <f aca="false">IF(OR(Z197="",NOT(ISNUMBER(Z197))),"",Z197-N(D197))</f>
        <v/>
      </c>
      <c r="AW197" s="15" t="str">
        <f aca="false">IF(OR(AA197="",NOT(ISNUMBER(AA197))),"",AA197-N(E197))</f>
        <v/>
      </c>
      <c r="AX197" s="15" t="str">
        <f aca="false">IF(OR(AB197="",NOT(ISNUMBER(AB197))),"",AB197-N(F197))</f>
        <v/>
      </c>
      <c r="AY197" s="15" t="str">
        <f aca="false">IF(OR(AC197="",NOT(ISNUMBER(AC197))),"",AC197-N(G197))</f>
        <v/>
      </c>
      <c r="AZ197" s="15" t="str">
        <f aca="false">IF(OR(AD197="",NOT(ISNUMBER(AD197))),"",AD197-N(H197))</f>
        <v/>
      </c>
      <c r="BA197" s="15" t="str">
        <f aca="false">IF(OR(AE197="",NOT(ISNUMBER(AE197))),"",AE197-N(I197))</f>
        <v/>
      </c>
      <c r="BB197" s="15" t="str">
        <f aca="false">IF(OR(AF197="",NOT(ISNUMBER(AF197))),"",AF197-N(J197))</f>
        <v/>
      </c>
      <c r="BC197" s="15" t="str">
        <f aca="false">IF(OR(AG197="",NOT(ISNUMBER(AG197))),"",AG197-N(K197))</f>
        <v/>
      </c>
      <c r="BD197" s="15" t="str">
        <f aca="false">IF(OR(AH197="",NOT(ISNUMBER(AH197))),"",AH197-N(L197))</f>
        <v/>
      </c>
      <c r="BE197" s="15" t="str">
        <f aca="false">IF(OR(AI197="",NOT(ISNUMBER(AI197))),"",AI197-N(M197))</f>
        <v/>
      </c>
      <c r="BF197" s="15" t="str">
        <f aca="false">IF(OR(AJ197="",NOT(ISNUMBER(AJ197))),"",AJ197-N(N197))</f>
        <v/>
      </c>
      <c r="BG197" s="15" t="str">
        <f aca="false">IF(OR(AK197="",NOT(ISNUMBER(AK197))),"",AK197-N(O197))</f>
        <v/>
      </c>
      <c r="BH197" s="15" t="str">
        <f aca="false">IF(OR(AL197="",NOT(ISNUMBER(AL197))),"",AL197-N(P197))</f>
        <v/>
      </c>
      <c r="BI197" s="15" t="str">
        <f aca="false">IF(OR(AM197="",NOT(ISNUMBER(AM197))),"",AM197-N(Q197))</f>
        <v/>
      </c>
      <c r="BJ197" s="15" t="str">
        <f aca="false">IF(OR(AN197="",NOT(ISNUMBER(AN197))),"",AN197-N(R197))</f>
        <v/>
      </c>
      <c r="BK197" s="15" t="str">
        <f aca="false">IF(OR(AO197="",NOT(ISNUMBER(AO197))),"",AO197-N(S197))</f>
        <v/>
      </c>
      <c r="BL197" s="15" t="str">
        <f aca="false">IF(OR(AP197="",NOT(ISNUMBER(AP197))),"",AP197-N(T197))</f>
        <v/>
      </c>
      <c r="BM197" s="15" t="str">
        <f aca="false">IF(OR(AQ197="",NOT(ISNUMBER(AQ197))),"",AQ197-N(U197))</f>
        <v/>
      </c>
      <c r="BR197" s="18" t="str">
        <f aca="false">IF($A197="","",IF(ISNUMBER($A197),DATE(YEAR($A197),MONTH($A197),1),IFERROR(DATE(2000+VALUE(RIGHT(TRIM($A197),2)),MATCH(UPPER(LEFT(TRIM($A197),3)),{"JAN","FEB","MAR","APR","MAY","JUN","JUL","AUG","SEP","OCT","NOV","DEC"},0),1),"")))</f>
        <v/>
      </c>
      <c r="BS197" s="18" t="str">
        <f aca="false">IF(BR197="","",EOMONTH(BR197,0))</f>
        <v/>
      </c>
    </row>
    <row r="198" customFormat="false" ht="15" hidden="false" customHeight="false" outlineLevel="0" collapsed="false">
      <c r="B198" s="19"/>
      <c r="C198" s="19"/>
      <c r="D198" s="19"/>
      <c r="E198" s="19"/>
      <c r="F198" s="19"/>
      <c r="G198" s="19"/>
      <c r="H198" s="19"/>
      <c r="I198" s="19"/>
      <c r="J198" s="19"/>
      <c r="K198" s="19"/>
      <c r="L198" s="19"/>
      <c r="M198" s="19"/>
      <c r="N198" s="19"/>
      <c r="O198" s="19"/>
      <c r="P198" s="19"/>
      <c r="Q198" s="19"/>
      <c r="R198" s="19"/>
      <c r="S198" s="19"/>
      <c r="T198" s="19"/>
      <c r="U198" s="19"/>
      <c r="X198" s="15" t="str">
        <f aca="false">IF(OR(B$7="",$BR198=""),"",IF('Tally Helper'!$B$3&lt;&gt;TRUE(),"not on Staff",SUMIFS('Tally Helper'!$L$5:$GI$5,'Tally Helper'!$L$3:$GI$3,"&gt;="&amp;$BR198,'Tally Helper'!$L$3:$GI$3,"&lt;="&amp;$BS198)))</f>
        <v/>
      </c>
      <c r="Y198" s="15" t="str">
        <f aca="false">IF(OR(C$7="",$BR198=""),"",IF('Tally Helper'!$B$6&lt;&gt;TRUE(),"not on Staff",SUMIFS('Tally Helper'!$L$8:$GI$8,'Tally Helper'!$L$6:$GI$6,"&gt;="&amp;$BR198,'Tally Helper'!$L$6:$GI$6,"&lt;="&amp;$BS198)))</f>
        <v/>
      </c>
      <c r="Z198" s="15" t="str">
        <f aca="false">IF(OR(D$7="",$BR198=""),"",IF('Tally Helper'!$B$9&lt;&gt;TRUE(),"not on Staff",SUMIFS('Tally Helper'!$L$11:$GI$11,'Tally Helper'!$L$9:$GI$9,"&gt;="&amp;$BR198,'Tally Helper'!$L$9:$GI$9,"&lt;="&amp;$BS198)))</f>
        <v/>
      </c>
      <c r="AA198" s="15" t="str">
        <f aca="false">IF(OR(E$7="",$BR198=""),"",IF('Tally Helper'!$B$12&lt;&gt;TRUE(),"not on Staff",SUMIFS('Tally Helper'!$L$14:$GI$14,'Tally Helper'!$L$12:$GI$12,"&gt;="&amp;$BR198,'Tally Helper'!$L$12:$GI$12,"&lt;="&amp;$BS198)))</f>
        <v/>
      </c>
      <c r="AB198" s="15" t="str">
        <f aca="false">IF(OR(F$7="",$BR198=""),"",IF('Tally Helper'!$B$15&lt;&gt;TRUE(),"not on Staff",SUMIFS('Tally Helper'!$L$17:$GI$17,'Tally Helper'!$L$15:$GI$15,"&gt;="&amp;$BR198,'Tally Helper'!$L$15:$GI$15,"&lt;="&amp;$BS198)))</f>
        <v/>
      </c>
      <c r="AC198" s="15" t="str">
        <f aca="false">IF(OR(G$7="",$BR198=""),"",IF('Tally Helper'!$B$18&lt;&gt;TRUE(),"not on Staff",SUMIFS('Tally Helper'!$L$20:$GI$20,'Tally Helper'!$L$18:$GI$18,"&gt;="&amp;$BR198,'Tally Helper'!$L$18:$GI$18,"&lt;="&amp;$BS198)))</f>
        <v/>
      </c>
      <c r="AD198" s="15" t="str">
        <f aca="false">IF(OR(H$7="",$BR198=""),"",IF('Tally Helper'!$B$21&lt;&gt;TRUE(),"not on Staff",SUMIFS('Tally Helper'!$L$23:$GI$23,'Tally Helper'!$L$21:$GI$21,"&gt;="&amp;$BR198,'Tally Helper'!$L$21:$GI$21,"&lt;="&amp;$BS198)))</f>
        <v/>
      </c>
      <c r="AE198" s="15" t="str">
        <f aca="false">IF(OR(I$7="",$BR198=""),"",IF('Tally Helper'!$B$24&lt;&gt;TRUE(),"not on Staff",SUMIFS('Tally Helper'!$L$26:$GI$26,'Tally Helper'!$L$24:$GI$24,"&gt;="&amp;$BR198,'Tally Helper'!$L$24:$GI$24,"&lt;="&amp;$BS198)))</f>
        <v/>
      </c>
      <c r="AF198" s="15" t="str">
        <f aca="false">IF(OR(J$7="",$BR198=""),"",IF('Tally Helper'!$B$27&lt;&gt;TRUE(),"not on Staff",SUMIFS('Tally Helper'!$L$29:$GI$29,'Tally Helper'!$L$27:$GI$27,"&gt;="&amp;$BR198,'Tally Helper'!$L$27:$GI$27,"&lt;="&amp;$BS198)))</f>
        <v/>
      </c>
      <c r="AG198" s="15" t="str">
        <f aca="false">IF(OR(K$7="",$BR198=""),"",IF('Tally Helper'!$B$30&lt;&gt;TRUE(),"not on Staff",SUMIFS('Tally Helper'!$L$32:$GI$32,'Tally Helper'!$L$30:$GI$30,"&gt;="&amp;$BR198,'Tally Helper'!$L$30:$GI$30,"&lt;="&amp;$BS198)))</f>
        <v/>
      </c>
      <c r="AH198" s="15" t="str">
        <f aca="false">IF(OR(L$7="",$BR198=""),"",IF('Tally Helper'!$B$33&lt;&gt;TRUE(),"not on Staff",SUMIFS('Tally Helper'!$L$35:$GI$35,'Tally Helper'!$L$33:$GI$33,"&gt;="&amp;$BR198,'Tally Helper'!$L$33:$GI$33,"&lt;="&amp;$BS198)))</f>
        <v/>
      </c>
      <c r="AI198" s="15" t="str">
        <f aca="false">IF(OR(M$7="",$BR198=""),"",IF('Tally Helper'!$B$36&lt;&gt;TRUE(),"not on Staff",SUMIFS('Tally Helper'!$L$38:$GI$38,'Tally Helper'!$L$36:$GI$36,"&gt;="&amp;$BR198,'Tally Helper'!$L$36:$GI$36,"&lt;="&amp;$BS198)))</f>
        <v/>
      </c>
      <c r="AJ198" s="15" t="str">
        <f aca="false">IF(OR(N$7="",$BR198=""),"",IF('Tally Helper'!$B$39&lt;&gt;TRUE(),"not on Staff",SUMIFS('Tally Helper'!$L$41:$GI$41,'Tally Helper'!$L$39:$GI$39,"&gt;="&amp;$BR198,'Tally Helper'!$L$39:$GI$39,"&lt;="&amp;$BS198)))</f>
        <v/>
      </c>
      <c r="AK198" s="15" t="str">
        <f aca="false">IF(OR(O$7="",$BR198=""),"",IF('Tally Helper'!$B$42&lt;&gt;TRUE(),"not on Staff",SUMIFS('Tally Helper'!$L$44:$GI$44,'Tally Helper'!$L$42:$GI$42,"&gt;="&amp;$BR198,'Tally Helper'!$L$42:$GI$42,"&lt;="&amp;$BS198)))</f>
        <v/>
      </c>
      <c r="AL198" s="15" t="str">
        <f aca="false">IF(OR(P$7="",$BR198=""),"",IF('Tally Helper'!$B$45&lt;&gt;TRUE(),"not on Staff",SUMIFS('Tally Helper'!$L$47:$GI$47,'Tally Helper'!$L$45:$GI$45,"&gt;="&amp;$BR198,'Tally Helper'!$L$45:$GI$45,"&lt;="&amp;$BS198)))</f>
        <v/>
      </c>
      <c r="AM198" s="15" t="str">
        <f aca="false">IF(OR(Q$7="",$BR198=""),"",IF('Tally Helper'!$B$48&lt;&gt;TRUE(),"not on Staff",SUMIFS('Tally Helper'!$L$50:$GI$50,'Tally Helper'!$L$48:$GI$48,"&gt;="&amp;$BR198,'Tally Helper'!$L$48:$GI$48,"&lt;="&amp;$BS198)))</f>
        <v/>
      </c>
      <c r="AN198" s="15" t="str">
        <f aca="false">IF(OR(R$7="",$BR198=""),"",IF('Tally Helper'!$B$51&lt;&gt;TRUE(),"not on Staff",SUMIFS('Tally Helper'!$L$53:$GI$53,'Tally Helper'!$L$51:$GI$51,"&gt;="&amp;$BR198,'Tally Helper'!$L$51:$GI$51,"&lt;="&amp;$BS198)))</f>
        <v/>
      </c>
      <c r="AO198" s="15" t="str">
        <f aca="false">IF(OR(S$7="",$BR198=""),"",IF('Tally Helper'!$B$54&lt;&gt;TRUE(),"not on Staff",SUMIFS('Tally Helper'!$L$56:$GI$56,'Tally Helper'!$L$54:$GI$54,"&gt;="&amp;$BR198,'Tally Helper'!$L$54:$GI$54,"&lt;="&amp;$BS198)))</f>
        <v/>
      </c>
      <c r="AP198" s="15" t="str">
        <f aca="false">IF(OR(T$7="",$BR198=""),"",IF('Tally Helper'!$B$57&lt;&gt;TRUE(),"not on Staff",SUMIFS('Tally Helper'!$L$59:$GI$59,'Tally Helper'!$L$57:$GI$57,"&gt;="&amp;$BR198,'Tally Helper'!$L$57:$GI$57,"&lt;="&amp;$BS198)))</f>
        <v/>
      </c>
      <c r="AQ198" s="15" t="str">
        <f aca="false">IF(OR(U$7="",$BR198=""),"",IF('Tally Helper'!$B$60&lt;&gt;TRUE(),"not on Staff",SUMIFS('Tally Helper'!$L$62:$GI$62,'Tally Helper'!$L$60:$GI$60,"&gt;="&amp;$BR198,'Tally Helper'!$L$60:$GI$60,"&lt;="&amp;$BS198)))</f>
        <v/>
      </c>
      <c r="AT198" s="15" t="str">
        <f aca="false">IF(OR(X198="",NOT(ISNUMBER(X198))),"",X198-N(B198))</f>
        <v/>
      </c>
      <c r="AU198" s="15" t="str">
        <f aca="false">IF(OR(Y198="",NOT(ISNUMBER(Y198))),"",Y198-N(C198))</f>
        <v/>
      </c>
      <c r="AV198" s="15" t="str">
        <f aca="false">IF(OR(Z198="",NOT(ISNUMBER(Z198))),"",Z198-N(D198))</f>
        <v/>
      </c>
      <c r="AW198" s="15" t="str">
        <f aca="false">IF(OR(AA198="",NOT(ISNUMBER(AA198))),"",AA198-N(E198))</f>
        <v/>
      </c>
      <c r="AX198" s="15" t="str">
        <f aca="false">IF(OR(AB198="",NOT(ISNUMBER(AB198))),"",AB198-N(F198))</f>
        <v/>
      </c>
      <c r="AY198" s="15" t="str">
        <f aca="false">IF(OR(AC198="",NOT(ISNUMBER(AC198))),"",AC198-N(G198))</f>
        <v/>
      </c>
      <c r="AZ198" s="15" t="str">
        <f aca="false">IF(OR(AD198="",NOT(ISNUMBER(AD198))),"",AD198-N(H198))</f>
        <v/>
      </c>
      <c r="BA198" s="15" t="str">
        <f aca="false">IF(OR(AE198="",NOT(ISNUMBER(AE198))),"",AE198-N(I198))</f>
        <v/>
      </c>
      <c r="BB198" s="15" t="str">
        <f aca="false">IF(OR(AF198="",NOT(ISNUMBER(AF198))),"",AF198-N(J198))</f>
        <v/>
      </c>
      <c r="BC198" s="15" t="str">
        <f aca="false">IF(OR(AG198="",NOT(ISNUMBER(AG198))),"",AG198-N(K198))</f>
        <v/>
      </c>
      <c r="BD198" s="15" t="str">
        <f aca="false">IF(OR(AH198="",NOT(ISNUMBER(AH198))),"",AH198-N(L198))</f>
        <v/>
      </c>
      <c r="BE198" s="15" t="str">
        <f aca="false">IF(OR(AI198="",NOT(ISNUMBER(AI198))),"",AI198-N(M198))</f>
        <v/>
      </c>
      <c r="BF198" s="15" t="str">
        <f aca="false">IF(OR(AJ198="",NOT(ISNUMBER(AJ198))),"",AJ198-N(N198))</f>
        <v/>
      </c>
      <c r="BG198" s="15" t="str">
        <f aca="false">IF(OR(AK198="",NOT(ISNUMBER(AK198))),"",AK198-N(O198))</f>
        <v/>
      </c>
      <c r="BH198" s="15" t="str">
        <f aca="false">IF(OR(AL198="",NOT(ISNUMBER(AL198))),"",AL198-N(P198))</f>
        <v/>
      </c>
      <c r="BI198" s="15" t="str">
        <f aca="false">IF(OR(AM198="",NOT(ISNUMBER(AM198))),"",AM198-N(Q198))</f>
        <v/>
      </c>
      <c r="BJ198" s="15" t="str">
        <f aca="false">IF(OR(AN198="",NOT(ISNUMBER(AN198))),"",AN198-N(R198))</f>
        <v/>
      </c>
      <c r="BK198" s="15" t="str">
        <f aca="false">IF(OR(AO198="",NOT(ISNUMBER(AO198))),"",AO198-N(S198))</f>
        <v/>
      </c>
      <c r="BL198" s="15" t="str">
        <f aca="false">IF(OR(AP198="",NOT(ISNUMBER(AP198))),"",AP198-N(T198))</f>
        <v/>
      </c>
      <c r="BM198" s="15" t="str">
        <f aca="false">IF(OR(AQ198="",NOT(ISNUMBER(AQ198))),"",AQ198-N(U198))</f>
        <v/>
      </c>
      <c r="BR198" s="18" t="str">
        <f aca="false">IF($A198="","",IF(ISNUMBER($A198),DATE(YEAR($A198),MONTH($A198),1),IFERROR(DATE(2000+VALUE(RIGHT(TRIM($A198),2)),MATCH(UPPER(LEFT(TRIM($A198),3)),{"JAN","FEB","MAR","APR","MAY","JUN","JUL","AUG","SEP","OCT","NOV","DEC"},0),1),"")))</f>
        <v/>
      </c>
      <c r="BS198" s="18" t="str">
        <f aca="false">IF(BR198="","",EOMONTH(BR198,0))</f>
        <v/>
      </c>
    </row>
    <row r="199" customFormat="false" ht="15" hidden="false" customHeight="false" outlineLevel="0" collapsed="false">
      <c r="B199" s="19"/>
      <c r="C199" s="19"/>
      <c r="D199" s="19"/>
      <c r="E199" s="19"/>
      <c r="F199" s="19"/>
      <c r="G199" s="19"/>
      <c r="H199" s="19"/>
      <c r="I199" s="19"/>
      <c r="J199" s="19"/>
      <c r="K199" s="19"/>
      <c r="L199" s="19"/>
      <c r="M199" s="19"/>
      <c r="N199" s="19"/>
      <c r="O199" s="19"/>
      <c r="P199" s="19"/>
      <c r="Q199" s="19"/>
      <c r="R199" s="19"/>
      <c r="S199" s="19"/>
      <c r="T199" s="19"/>
      <c r="U199" s="19"/>
      <c r="X199" s="15" t="str">
        <f aca="false">IF(OR(B$7="",$BR199=""),"",IF('Tally Helper'!$B$3&lt;&gt;TRUE(),"not on Staff",SUMIFS('Tally Helper'!$L$5:$GI$5,'Tally Helper'!$L$3:$GI$3,"&gt;="&amp;$BR199,'Tally Helper'!$L$3:$GI$3,"&lt;="&amp;$BS199)))</f>
        <v/>
      </c>
      <c r="Y199" s="15" t="str">
        <f aca="false">IF(OR(C$7="",$BR199=""),"",IF('Tally Helper'!$B$6&lt;&gt;TRUE(),"not on Staff",SUMIFS('Tally Helper'!$L$8:$GI$8,'Tally Helper'!$L$6:$GI$6,"&gt;="&amp;$BR199,'Tally Helper'!$L$6:$GI$6,"&lt;="&amp;$BS199)))</f>
        <v/>
      </c>
      <c r="Z199" s="15" t="str">
        <f aca="false">IF(OR(D$7="",$BR199=""),"",IF('Tally Helper'!$B$9&lt;&gt;TRUE(),"not on Staff",SUMIFS('Tally Helper'!$L$11:$GI$11,'Tally Helper'!$L$9:$GI$9,"&gt;="&amp;$BR199,'Tally Helper'!$L$9:$GI$9,"&lt;="&amp;$BS199)))</f>
        <v/>
      </c>
      <c r="AA199" s="15" t="str">
        <f aca="false">IF(OR(E$7="",$BR199=""),"",IF('Tally Helper'!$B$12&lt;&gt;TRUE(),"not on Staff",SUMIFS('Tally Helper'!$L$14:$GI$14,'Tally Helper'!$L$12:$GI$12,"&gt;="&amp;$BR199,'Tally Helper'!$L$12:$GI$12,"&lt;="&amp;$BS199)))</f>
        <v/>
      </c>
      <c r="AB199" s="15" t="str">
        <f aca="false">IF(OR(F$7="",$BR199=""),"",IF('Tally Helper'!$B$15&lt;&gt;TRUE(),"not on Staff",SUMIFS('Tally Helper'!$L$17:$GI$17,'Tally Helper'!$L$15:$GI$15,"&gt;="&amp;$BR199,'Tally Helper'!$L$15:$GI$15,"&lt;="&amp;$BS199)))</f>
        <v/>
      </c>
      <c r="AC199" s="15" t="str">
        <f aca="false">IF(OR(G$7="",$BR199=""),"",IF('Tally Helper'!$B$18&lt;&gt;TRUE(),"not on Staff",SUMIFS('Tally Helper'!$L$20:$GI$20,'Tally Helper'!$L$18:$GI$18,"&gt;="&amp;$BR199,'Tally Helper'!$L$18:$GI$18,"&lt;="&amp;$BS199)))</f>
        <v/>
      </c>
      <c r="AD199" s="15" t="str">
        <f aca="false">IF(OR(H$7="",$BR199=""),"",IF('Tally Helper'!$B$21&lt;&gt;TRUE(),"not on Staff",SUMIFS('Tally Helper'!$L$23:$GI$23,'Tally Helper'!$L$21:$GI$21,"&gt;="&amp;$BR199,'Tally Helper'!$L$21:$GI$21,"&lt;="&amp;$BS199)))</f>
        <v/>
      </c>
      <c r="AE199" s="15" t="str">
        <f aca="false">IF(OR(I$7="",$BR199=""),"",IF('Tally Helper'!$B$24&lt;&gt;TRUE(),"not on Staff",SUMIFS('Tally Helper'!$L$26:$GI$26,'Tally Helper'!$L$24:$GI$24,"&gt;="&amp;$BR199,'Tally Helper'!$L$24:$GI$24,"&lt;="&amp;$BS199)))</f>
        <v/>
      </c>
      <c r="AF199" s="15" t="str">
        <f aca="false">IF(OR(J$7="",$BR199=""),"",IF('Tally Helper'!$B$27&lt;&gt;TRUE(),"not on Staff",SUMIFS('Tally Helper'!$L$29:$GI$29,'Tally Helper'!$L$27:$GI$27,"&gt;="&amp;$BR199,'Tally Helper'!$L$27:$GI$27,"&lt;="&amp;$BS199)))</f>
        <v/>
      </c>
      <c r="AG199" s="15" t="str">
        <f aca="false">IF(OR(K$7="",$BR199=""),"",IF('Tally Helper'!$B$30&lt;&gt;TRUE(),"not on Staff",SUMIFS('Tally Helper'!$L$32:$GI$32,'Tally Helper'!$L$30:$GI$30,"&gt;="&amp;$BR199,'Tally Helper'!$L$30:$GI$30,"&lt;="&amp;$BS199)))</f>
        <v/>
      </c>
      <c r="AH199" s="15" t="str">
        <f aca="false">IF(OR(L$7="",$BR199=""),"",IF('Tally Helper'!$B$33&lt;&gt;TRUE(),"not on Staff",SUMIFS('Tally Helper'!$L$35:$GI$35,'Tally Helper'!$L$33:$GI$33,"&gt;="&amp;$BR199,'Tally Helper'!$L$33:$GI$33,"&lt;="&amp;$BS199)))</f>
        <v/>
      </c>
      <c r="AI199" s="15" t="str">
        <f aca="false">IF(OR(M$7="",$BR199=""),"",IF('Tally Helper'!$B$36&lt;&gt;TRUE(),"not on Staff",SUMIFS('Tally Helper'!$L$38:$GI$38,'Tally Helper'!$L$36:$GI$36,"&gt;="&amp;$BR199,'Tally Helper'!$L$36:$GI$36,"&lt;="&amp;$BS199)))</f>
        <v/>
      </c>
      <c r="AJ199" s="15" t="str">
        <f aca="false">IF(OR(N$7="",$BR199=""),"",IF('Tally Helper'!$B$39&lt;&gt;TRUE(),"not on Staff",SUMIFS('Tally Helper'!$L$41:$GI$41,'Tally Helper'!$L$39:$GI$39,"&gt;="&amp;$BR199,'Tally Helper'!$L$39:$GI$39,"&lt;="&amp;$BS199)))</f>
        <v/>
      </c>
      <c r="AK199" s="15" t="str">
        <f aca="false">IF(OR(O$7="",$BR199=""),"",IF('Tally Helper'!$B$42&lt;&gt;TRUE(),"not on Staff",SUMIFS('Tally Helper'!$L$44:$GI$44,'Tally Helper'!$L$42:$GI$42,"&gt;="&amp;$BR199,'Tally Helper'!$L$42:$GI$42,"&lt;="&amp;$BS199)))</f>
        <v/>
      </c>
      <c r="AL199" s="15" t="str">
        <f aca="false">IF(OR(P$7="",$BR199=""),"",IF('Tally Helper'!$B$45&lt;&gt;TRUE(),"not on Staff",SUMIFS('Tally Helper'!$L$47:$GI$47,'Tally Helper'!$L$45:$GI$45,"&gt;="&amp;$BR199,'Tally Helper'!$L$45:$GI$45,"&lt;="&amp;$BS199)))</f>
        <v/>
      </c>
      <c r="AM199" s="15" t="str">
        <f aca="false">IF(OR(Q$7="",$BR199=""),"",IF('Tally Helper'!$B$48&lt;&gt;TRUE(),"not on Staff",SUMIFS('Tally Helper'!$L$50:$GI$50,'Tally Helper'!$L$48:$GI$48,"&gt;="&amp;$BR199,'Tally Helper'!$L$48:$GI$48,"&lt;="&amp;$BS199)))</f>
        <v/>
      </c>
      <c r="AN199" s="15" t="str">
        <f aca="false">IF(OR(R$7="",$BR199=""),"",IF('Tally Helper'!$B$51&lt;&gt;TRUE(),"not on Staff",SUMIFS('Tally Helper'!$L$53:$GI$53,'Tally Helper'!$L$51:$GI$51,"&gt;="&amp;$BR199,'Tally Helper'!$L$51:$GI$51,"&lt;="&amp;$BS199)))</f>
        <v/>
      </c>
      <c r="AO199" s="15" t="str">
        <f aca="false">IF(OR(S$7="",$BR199=""),"",IF('Tally Helper'!$B$54&lt;&gt;TRUE(),"not on Staff",SUMIFS('Tally Helper'!$L$56:$GI$56,'Tally Helper'!$L$54:$GI$54,"&gt;="&amp;$BR199,'Tally Helper'!$L$54:$GI$54,"&lt;="&amp;$BS199)))</f>
        <v/>
      </c>
      <c r="AP199" s="15" t="str">
        <f aca="false">IF(OR(T$7="",$BR199=""),"",IF('Tally Helper'!$B$57&lt;&gt;TRUE(),"not on Staff",SUMIFS('Tally Helper'!$L$59:$GI$59,'Tally Helper'!$L$57:$GI$57,"&gt;="&amp;$BR199,'Tally Helper'!$L$57:$GI$57,"&lt;="&amp;$BS199)))</f>
        <v/>
      </c>
      <c r="AQ199" s="15" t="str">
        <f aca="false">IF(OR(U$7="",$BR199=""),"",IF('Tally Helper'!$B$60&lt;&gt;TRUE(),"not on Staff",SUMIFS('Tally Helper'!$L$62:$GI$62,'Tally Helper'!$L$60:$GI$60,"&gt;="&amp;$BR199,'Tally Helper'!$L$60:$GI$60,"&lt;="&amp;$BS199)))</f>
        <v/>
      </c>
      <c r="AT199" s="15" t="str">
        <f aca="false">IF(OR(X199="",NOT(ISNUMBER(X199))),"",X199-N(B199))</f>
        <v/>
      </c>
      <c r="AU199" s="15" t="str">
        <f aca="false">IF(OR(Y199="",NOT(ISNUMBER(Y199))),"",Y199-N(C199))</f>
        <v/>
      </c>
      <c r="AV199" s="15" t="str">
        <f aca="false">IF(OR(Z199="",NOT(ISNUMBER(Z199))),"",Z199-N(D199))</f>
        <v/>
      </c>
      <c r="AW199" s="15" t="str">
        <f aca="false">IF(OR(AA199="",NOT(ISNUMBER(AA199))),"",AA199-N(E199))</f>
        <v/>
      </c>
      <c r="AX199" s="15" t="str">
        <f aca="false">IF(OR(AB199="",NOT(ISNUMBER(AB199))),"",AB199-N(F199))</f>
        <v/>
      </c>
      <c r="AY199" s="15" t="str">
        <f aca="false">IF(OR(AC199="",NOT(ISNUMBER(AC199))),"",AC199-N(G199))</f>
        <v/>
      </c>
      <c r="AZ199" s="15" t="str">
        <f aca="false">IF(OR(AD199="",NOT(ISNUMBER(AD199))),"",AD199-N(H199))</f>
        <v/>
      </c>
      <c r="BA199" s="15" t="str">
        <f aca="false">IF(OR(AE199="",NOT(ISNUMBER(AE199))),"",AE199-N(I199))</f>
        <v/>
      </c>
      <c r="BB199" s="15" t="str">
        <f aca="false">IF(OR(AF199="",NOT(ISNUMBER(AF199))),"",AF199-N(J199))</f>
        <v/>
      </c>
      <c r="BC199" s="15" t="str">
        <f aca="false">IF(OR(AG199="",NOT(ISNUMBER(AG199))),"",AG199-N(K199))</f>
        <v/>
      </c>
      <c r="BD199" s="15" t="str">
        <f aca="false">IF(OR(AH199="",NOT(ISNUMBER(AH199))),"",AH199-N(L199))</f>
        <v/>
      </c>
      <c r="BE199" s="15" t="str">
        <f aca="false">IF(OR(AI199="",NOT(ISNUMBER(AI199))),"",AI199-N(M199))</f>
        <v/>
      </c>
      <c r="BF199" s="15" t="str">
        <f aca="false">IF(OR(AJ199="",NOT(ISNUMBER(AJ199))),"",AJ199-N(N199))</f>
        <v/>
      </c>
      <c r="BG199" s="15" t="str">
        <f aca="false">IF(OR(AK199="",NOT(ISNUMBER(AK199))),"",AK199-N(O199))</f>
        <v/>
      </c>
      <c r="BH199" s="15" t="str">
        <f aca="false">IF(OR(AL199="",NOT(ISNUMBER(AL199))),"",AL199-N(P199))</f>
        <v/>
      </c>
      <c r="BI199" s="15" t="str">
        <f aca="false">IF(OR(AM199="",NOT(ISNUMBER(AM199))),"",AM199-N(Q199))</f>
        <v/>
      </c>
      <c r="BJ199" s="15" t="str">
        <f aca="false">IF(OR(AN199="",NOT(ISNUMBER(AN199))),"",AN199-N(R199))</f>
        <v/>
      </c>
      <c r="BK199" s="15" t="str">
        <f aca="false">IF(OR(AO199="",NOT(ISNUMBER(AO199))),"",AO199-N(S199))</f>
        <v/>
      </c>
      <c r="BL199" s="15" t="str">
        <f aca="false">IF(OR(AP199="",NOT(ISNUMBER(AP199))),"",AP199-N(T199))</f>
        <v/>
      </c>
      <c r="BM199" s="15" t="str">
        <f aca="false">IF(OR(AQ199="",NOT(ISNUMBER(AQ199))),"",AQ199-N(U199))</f>
        <v/>
      </c>
      <c r="BR199" s="18" t="str">
        <f aca="false">IF($A199="","",IF(ISNUMBER($A199),DATE(YEAR($A199),MONTH($A199),1),IFERROR(DATE(2000+VALUE(RIGHT(TRIM($A199),2)),MATCH(UPPER(LEFT(TRIM($A199),3)),{"JAN","FEB","MAR","APR","MAY","JUN","JUL","AUG","SEP","OCT","NOV","DEC"},0),1),"")))</f>
        <v/>
      </c>
      <c r="BS199" s="18" t="str">
        <f aca="false">IF(BR199="","",EOMONTH(BR199,0))</f>
        <v/>
      </c>
    </row>
    <row r="200" customFormat="false" ht="15" hidden="false" customHeight="false" outlineLevel="0" collapsed="false">
      <c r="B200" s="19"/>
      <c r="C200" s="19"/>
      <c r="D200" s="19"/>
      <c r="E200" s="19"/>
      <c r="F200" s="19"/>
      <c r="G200" s="19"/>
      <c r="H200" s="19"/>
      <c r="I200" s="19"/>
      <c r="J200" s="19"/>
      <c r="K200" s="19"/>
      <c r="L200" s="19"/>
      <c r="M200" s="19"/>
      <c r="N200" s="19"/>
      <c r="O200" s="19"/>
      <c r="P200" s="19"/>
      <c r="Q200" s="19"/>
      <c r="R200" s="19"/>
      <c r="S200" s="19"/>
      <c r="T200" s="19"/>
      <c r="U200" s="19"/>
      <c r="X200" s="15" t="str">
        <f aca="false">IF(OR(B$7="",$BR200=""),"",IF('Tally Helper'!$B$3&lt;&gt;TRUE(),"not on Staff",SUMIFS('Tally Helper'!$L$5:$GI$5,'Tally Helper'!$L$3:$GI$3,"&gt;="&amp;$BR200,'Tally Helper'!$L$3:$GI$3,"&lt;="&amp;$BS200)))</f>
        <v/>
      </c>
      <c r="Y200" s="15" t="str">
        <f aca="false">IF(OR(C$7="",$BR200=""),"",IF('Tally Helper'!$B$6&lt;&gt;TRUE(),"not on Staff",SUMIFS('Tally Helper'!$L$8:$GI$8,'Tally Helper'!$L$6:$GI$6,"&gt;="&amp;$BR200,'Tally Helper'!$L$6:$GI$6,"&lt;="&amp;$BS200)))</f>
        <v/>
      </c>
      <c r="Z200" s="15" t="str">
        <f aca="false">IF(OR(D$7="",$BR200=""),"",IF('Tally Helper'!$B$9&lt;&gt;TRUE(),"not on Staff",SUMIFS('Tally Helper'!$L$11:$GI$11,'Tally Helper'!$L$9:$GI$9,"&gt;="&amp;$BR200,'Tally Helper'!$L$9:$GI$9,"&lt;="&amp;$BS200)))</f>
        <v/>
      </c>
      <c r="AA200" s="15" t="str">
        <f aca="false">IF(OR(E$7="",$BR200=""),"",IF('Tally Helper'!$B$12&lt;&gt;TRUE(),"not on Staff",SUMIFS('Tally Helper'!$L$14:$GI$14,'Tally Helper'!$L$12:$GI$12,"&gt;="&amp;$BR200,'Tally Helper'!$L$12:$GI$12,"&lt;="&amp;$BS200)))</f>
        <v/>
      </c>
      <c r="AB200" s="15" t="str">
        <f aca="false">IF(OR(F$7="",$BR200=""),"",IF('Tally Helper'!$B$15&lt;&gt;TRUE(),"not on Staff",SUMIFS('Tally Helper'!$L$17:$GI$17,'Tally Helper'!$L$15:$GI$15,"&gt;="&amp;$BR200,'Tally Helper'!$L$15:$GI$15,"&lt;="&amp;$BS200)))</f>
        <v/>
      </c>
      <c r="AC200" s="15" t="str">
        <f aca="false">IF(OR(G$7="",$BR200=""),"",IF('Tally Helper'!$B$18&lt;&gt;TRUE(),"not on Staff",SUMIFS('Tally Helper'!$L$20:$GI$20,'Tally Helper'!$L$18:$GI$18,"&gt;="&amp;$BR200,'Tally Helper'!$L$18:$GI$18,"&lt;="&amp;$BS200)))</f>
        <v/>
      </c>
      <c r="AD200" s="15" t="str">
        <f aca="false">IF(OR(H$7="",$BR200=""),"",IF('Tally Helper'!$B$21&lt;&gt;TRUE(),"not on Staff",SUMIFS('Tally Helper'!$L$23:$GI$23,'Tally Helper'!$L$21:$GI$21,"&gt;="&amp;$BR200,'Tally Helper'!$L$21:$GI$21,"&lt;="&amp;$BS200)))</f>
        <v/>
      </c>
      <c r="AE200" s="15" t="str">
        <f aca="false">IF(OR(I$7="",$BR200=""),"",IF('Tally Helper'!$B$24&lt;&gt;TRUE(),"not on Staff",SUMIFS('Tally Helper'!$L$26:$GI$26,'Tally Helper'!$L$24:$GI$24,"&gt;="&amp;$BR200,'Tally Helper'!$L$24:$GI$24,"&lt;="&amp;$BS200)))</f>
        <v/>
      </c>
      <c r="AF200" s="15" t="str">
        <f aca="false">IF(OR(J$7="",$BR200=""),"",IF('Tally Helper'!$B$27&lt;&gt;TRUE(),"not on Staff",SUMIFS('Tally Helper'!$L$29:$GI$29,'Tally Helper'!$L$27:$GI$27,"&gt;="&amp;$BR200,'Tally Helper'!$L$27:$GI$27,"&lt;="&amp;$BS200)))</f>
        <v/>
      </c>
      <c r="AG200" s="15" t="str">
        <f aca="false">IF(OR(K$7="",$BR200=""),"",IF('Tally Helper'!$B$30&lt;&gt;TRUE(),"not on Staff",SUMIFS('Tally Helper'!$L$32:$GI$32,'Tally Helper'!$L$30:$GI$30,"&gt;="&amp;$BR200,'Tally Helper'!$L$30:$GI$30,"&lt;="&amp;$BS200)))</f>
        <v/>
      </c>
      <c r="AH200" s="15" t="str">
        <f aca="false">IF(OR(L$7="",$BR200=""),"",IF('Tally Helper'!$B$33&lt;&gt;TRUE(),"not on Staff",SUMIFS('Tally Helper'!$L$35:$GI$35,'Tally Helper'!$L$33:$GI$33,"&gt;="&amp;$BR200,'Tally Helper'!$L$33:$GI$33,"&lt;="&amp;$BS200)))</f>
        <v/>
      </c>
      <c r="AI200" s="15" t="str">
        <f aca="false">IF(OR(M$7="",$BR200=""),"",IF('Tally Helper'!$B$36&lt;&gt;TRUE(),"not on Staff",SUMIFS('Tally Helper'!$L$38:$GI$38,'Tally Helper'!$L$36:$GI$36,"&gt;="&amp;$BR200,'Tally Helper'!$L$36:$GI$36,"&lt;="&amp;$BS200)))</f>
        <v/>
      </c>
      <c r="AJ200" s="15" t="str">
        <f aca="false">IF(OR(N$7="",$BR200=""),"",IF('Tally Helper'!$B$39&lt;&gt;TRUE(),"not on Staff",SUMIFS('Tally Helper'!$L$41:$GI$41,'Tally Helper'!$L$39:$GI$39,"&gt;="&amp;$BR200,'Tally Helper'!$L$39:$GI$39,"&lt;="&amp;$BS200)))</f>
        <v/>
      </c>
      <c r="AK200" s="15" t="str">
        <f aca="false">IF(OR(O$7="",$BR200=""),"",IF('Tally Helper'!$B$42&lt;&gt;TRUE(),"not on Staff",SUMIFS('Tally Helper'!$L$44:$GI$44,'Tally Helper'!$L$42:$GI$42,"&gt;="&amp;$BR200,'Tally Helper'!$L$42:$GI$42,"&lt;="&amp;$BS200)))</f>
        <v/>
      </c>
      <c r="AL200" s="15" t="str">
        <f aca="false">IF(OR(P$7="",$BR200=""),"",IF('Tally Helper'!$B$45&lt;&gt;TRUE(),"not on Staff",SUMIFS('Tally Helper'!$L$47:$GI$47,'Tally Helper'!$L$45:$GI$45,"&gt;="&amp;$BR200,'Tally Helper'!$L$45:$GI$45,"&lt;="&amp;$BS200)))</f>
        <v/>
      </c>
      <c r="AM200" s="15" t="str">
        <f aca="false">IF(OR(Q$7="",$BR200=""),"",IF('Tally Helper'!$B$48&lt;&gt;TRUE(),"not on Staff",SUMIFS('Tally Helper'!$L$50:$GI$50,'Tally Helper'!$L$48:$GI$48,"&gt;="&amp;$BR200,'Tally Helper'!$L$48:$GI$48,"&lt;="&amp;$BS200)))</f>
        <v/>
      </c>
      <c r="AN200" s="15" t="str">
        <f aca="false">IF(OR(R$7="",$BR200=""),"",IF('Tally Helper'!$B$51&lt;&gt;TRUE(),"not on Staff",SUMIFS('Tally Helper'!$L$53:$GI$53,'Tally Helper'!$L$51:$GI$51,"&gt;="&amp;$BR200,'Tally Helper'!$L$51:$GI$51,"&lt;="&amp;$BS200)))</f>
        <v/>
      </c>
      <c r="AO200" s="15" t="str">
        <f aca="false">IF(OR(S$7="",$BR200=""),"",IF('Tally Helper'!$B$54&lt;&gt;TRUE(),"not on Staff",SUMIFS('Tally Helper'!$L$56:$GI$56,'Tally Helper'!$L$54:$GI$54,"&gt;="&amp;$BR200,'Tally Helper'!$L$54:$GI$54,"&lt;="&amp;$BS200)))</f>
        <v/>
      </c>
      <c r="AP200" s="15" t="str">
        <f aca="false">IF(OR(T$7="",$BR200=""),"",IF('Tally Helper'!$B$57&lt;&gt;TRUE(),"not on Staff",SUMIFS('Tally Helper'!$L$59:$GI$59,'Tally Helper'!$L$57:$GI$57,"&gt;="&amp;$BR200,'Tally Helper'!$L$57:$GI$57,"&lt;="&amp;$BS200)))</f>
        <v/>
      </c>
      <c r="AQ200" s="15" t="str">
        <f aca="false">IF(OR(U$7="",$BR200=""),"",IF('Tally Helper'!$B$60&lt;&gt;TRUE(),"not on Staff",SUMIFS('Tally Helper'!$L$62:$GI$62,'Tally Helper'!$L$60:$GI$60,"&gt;="&amp;$BR200,'Tally Helper'!$L$60:$GI$60,"&lt;="&amp;$BS200)))</f>
        <v/>
      </c>
      <c r="AT200" s="15" t="str">
        <f aca="false">IF(OR(X200="",NOT(ISNUMBER(X200))),"",X200-N(B200))</f>
        <v/>
      </c>
      <c r="AU200" s="15" t="str">
        <f aca="false">IF(OR(Y200="",NOT(ISNUMBER(Y200))),"",Y200-N(C200))</f>
        <v/>
      </c>
      <c r="AV200" s="15" t="str">
        <f aca="false">IF(OR(Z200="",NOT(ISNUMBER(Z200))),"",Z200-N(D200))</f>
        <v/>
      </c>
      <c r="AW200" s="15" t="str">
        <f aca="false">IF(OR(AA200="",NOT(ISNUMBER(AA200))),"",AA200-N(E200))</f>
        <v/>
      </c>
      <c r="AX200" s="15" t="str">
        <f aca="false">IF(OR(AB200="",NOT(ISNUMBER(AB200))),"",AB200-N(F200))</f>
        <v/>
      </c>
      <c r="AY200" s="15" t="str">
        <f aca="false">IF(OR(AC200="",NOT(ISNUMBER(AC200))),"",AC200-N(G200))</f>
        <v/>
      </c>
      <c r="AZ200" s="15" t="str">
        <f aca="false">IF(OR(AD200="",NOT(ISNUMBER(AD200))),"",AD200-N(H200))</f>
        <v/>
      </c>
      <c r="BA200" s="15" t="str">
        <f aca="false">IF(OR(AE200="",NOT(ISNUMBER(AE200))),"",AE200-N(I200))</f>
        <v/>
      </c>
      <c r="BB200" s="15" t="str">
        <f aca="false">IF(OR(AF200="",NOT(ISNUMBER(AF200))),"",AF200-N(J200))</f>
        <v/>
      </c>
      <c r="BC200" s="15" t="str">
        <f aca="false">IF(OR(AG200="",NOT(ISNUMBER(AG200))),"",AG200-N(K200))</f>
        <v/>
      </c>
      <c r="BD200" s="15" t="str">
        <f aca="false">IF(OR(AH200="",NOT(ISNUMBER(AH200))),"",AH200-N(L200))</f>
        <v/>
      </c>
      <c r="BE200" s="15" t="str">
        <f aca="false">IF(OR(AI200="",NOT(ISNUMBER(AI200))),"",AI200-N(M200))</f>
        <v/>
      </c>
      <c r="BF200" s="15" t="str">
        <f aca="false">IF(OR(AJ200="",NOT(ISNUMBER(AJ200))),"",AJ200-N(N200))</f>
        <v/>
      </c>
      <c r="BG200" s="15" t="str">
        <f aca="false">IF(OR(AK200="",NOT(ISNUMBER(AK200))),"",AK200-N(O200))</f>
        <v/>
      </c>
      <c r="BH200" s="15" t="str">
        <f aca="false">IF(OR(AL200="",NOT(ISNUMBER(AL200))),"",AL200-N(P200))</f>
        <v/>
      </c>
      <c r="BI200" s="15" t="str">
        <f aca="false">IF(OR(AM200="",NOT(ISNUMBER(AM200))),"",AM200-N(Q200))</f>
        <v/>
      </c>
      <c r="BJ200" s="15" t="str">
        <f aca="false">IF(OR(AN200="",NOT(ISNUMBER(AN200))),"",AN200-N(R200))</f>
        <v/>
      </c>
      <c r="BK200" s="15" t="str">
        <f aca="false">IF(OR(AO200="",NOT(ISNUMBER(AO200))),"",AO200-N(S200))</f>
        <v/>
      </c>
      <c r="BL200" s="15" t="str">
        <f aca="false">IF(OR(AP200="",NOT(ISNUMBER(AP200))),"",AP200-N(T200))</f>
        <v/>
      </c>
      <c r="BM200" s="15" t="str">
        <f aca="false">IF(OR(AQ200="",NOT(ISNUMBER(AQ200))),"",AQ200-N(U200))</f>
        <v/>
      </c>
      <c r="BR200" s="18" t="str">
        <f aca="false">IF($A200="","",IF(ISNUMBER($A200),DATE(YEAR($A200),MONTH($A200),1),IFERROR(DATE(2000+VALUE(RIGHT(TRIM($A200),2)),MATCH(UPPER(LEFT(TRIM($A200),3)),{"JAN","FEB","MAR","APR","MAY","JUN","JUL","AUG","SEP","OCT","NOV","DEC"},0),1),"")))</f>
        <v/>
      </c>
      <c r="BS200" s="18" t="str">
        <f aca="false">IF(BR200="","",EOMONTH(BR200,0))</f>
        <v/>
      </c>
    </row>
    <row r="201" customFormat="false" ht="15" hidden="false" customHeight="false" outlineLevel="0" collapsed="false">
      <c r="B201" s="19"/>
      <c r="C201" s="19"/>
      <c r="D201" s="19"/>
      <c r="E201" s="19"/>
      <c r="F201" s="19"/>
      <c r="G201" s="19"/>
      <c r="H201" s="19"/>
      <c r="I201" s="19"/>
      <c r="J201" s="19"/>
      <c r="K201" s="19"/>
      <c r="L201" s="19"/>
      <c r="M201" s="19"/>
      <c r="N201" s="19"/>
      <c r="O201" s="19"/>
      <c r="P201" s="19"/>
      <c r="Q201" s="19"/>
      <c r="R201" s="19"/>
      <c r="S201" s="19"/>
      <c r="T201" s="19"/>
      <c r="U201" s="19"/>
      <c r="X201" s="15" t="str">
        <f aca="false">IF(OR(B$7="",$BR201=""),"",IF('Tally Helper'!$B$3&lt;&gt;TRUE(),"not on Staff",SUMIFS('Tally Helper'!$L$5:$GI$5,'Tally Helper'!$L$3:$GI$3,"&gt;="&amp;$BR201,'Tally Helper'!$L$3:$GI$3,"&lt;="&amp;$BS201)))</f>
        <v/>
      </c>
      <c r="Y201" s="15" t="str">
        <f aca="false">IF(OR(C$7="",$BR201=""),"",IF('Tally Helper'!$B$6&lt;&gt;TRUE(),"not on Staff",SUMIFS('Tally Helper'!$L$8:$GI$8,'Tally Helper'!$L$6:$GI$6,"&gt;="&amp;$BR201,'Tally Helper'!$L$6:$GI$6,"&lt;="&amp;$BS201)))</f>
        <v/>
      </c>
      <c r="Z201" s="15" t="str">
        <f aca="false">IF(OR(D$7="",$BR201=""),"",IF('Tally Helper'!$B$9&lt;&gt;TRUE(),"not on Staff",SUMIFS('Tally Helper'!$L$11:$GI$11,'Tally Helper'!$L$9:$GI$9,"&gt;="&amp;$BR201,'Tally Helper'!$L$9:$GI$9,"&lt;="&amp;$BS201)))</f>
        <v/>
      </c>
      <c r="AA201" s="15" t="str">
        <f aca="false">IF(OR(E$7="",$BR201=""),"",IF('Tally Helper'!$B$12&lt;&gt;TRUE(),"not on Staff",SUMIFS('Tally Helper'!$L$14:$GI$14,'Tally Helper'!$L$12:$GI$12,"&gt;="&amp;$BR201,'Tally Helper'!$L$12:$GI$12,"&lt;="&amp;$BS201)))</f>
        <v/>
      </c>
      <c r="AB201" s="15" t="str">
        <f aca="false">IF(OR(F$7="",$BR201=""),"",IF('Tally Helper'!$B$15&lt;&gt;TRUE(),"not on Staff",SUMIFS('Tally Helper'!$L$17:$GI$17,'Tally Helper'!$L$15:$GI$15,"&gt;="&amp;$BR201,'Tally Helper'!$L$15:$GI$15,"&lt;="&amp;$BS201)))</f>
        <v/>
      </c>
      <c r="AC201" s="15" t="str">
        <f aca="false">IF(OR(G$7="",$BR201=""),"",IF('Tally Helper'!$B$18&lt;&gt;TRUE(),"not on Staff",SUMIFS('Tally Helper'!$L$20:$GI$20,'Tally Helper'!$L$18:$GI$18,"&gt;="&amp;$BR201,'Tally Helper'!$L$18:$GI$18,"&lt;="&amp;$BS201)))</f>
        <v/>
      </c>
      <c r="AD201" s="15" t="str">
        <f aca="false">IF(OR(H$7="",$BR201=""),"",IF('Tally Helper'!$B$21&lt;&gt;TRUE(),"not on Staff",SUMIFS('Tally Helper'!$L$23:$GI$23,'Tally Helper'!$L$21:$GI$21,"&gt;="&amp;$BR201,'Tally Helper'!$L$21:$GI$21,"&lt;="&amp;$BS201)))</f>
        <v/>
      </c>
      <c r="AE201" s="15" t="str">
        <f aca="false">IF(OR(I$7="",$BR201=""),"",IF('Tally Helper'!$B$24&lt;&gt;TRUE(),"not on Staff",SUMIFS('Tally Helper'!$L$26:$GI$26,'Tally Helper'!$L$24:$GI$24,"&gt;="&amp;$BR201,'Tally Helper'!$L$24:$GI$24,"&lt;="&amp;$BS201)))</f>
        <v/>
      </c>
      <c r="AF201" s="15" t="str">
        <f aca="false">IF(OR(J$7="",$BR201=""),"",IF('Tally Helper'!$B$27&lt;&gt;TRUE(),"not on Staff",SUMIFS('Tally Helper'!$L$29:$GI$29,'Tally Helper'!$L$27:$GI$27,"&gt;="&amp;$BR201,'Tally Helper'!$L$27:$GI$27,"&lt;="&amp;$BS201)))</f>
        <v/>
      </c>
      <c r="AG201" s="15" t="str">
        <f aca="false">IF(OR(K$7="",$BR201=""),"",IF('Tally Helper'!$B$30&lt;&gt;TRUE(),"not on Staff",SUMIFS('Tally Helper'!$L$32:$GI$32,'Tally Helper'!$L$30:$GI$30,"&gt;="&amp;$BR201,'Tally Helper'!$L$30:$GI$30,"&lt;="&amp;$BS201)))</f>
        <v/>
      </c>
      <c r="AH201" s="15" t="str">
        <f aca="false">IF(OR(L$7="",$BR201=""),"",IF('Tally Helper'!$B$33&lt;&gt;TRUE(),"not on Staff",SUMIFS('Tally Helper'!$L$35:$GI$35,'Tally Helper'!$L$33:$GI$33,"&gt;="&amp;$BR201,'Tally Helper'!$L$33:$GI$33,"&lt;="&amp;$BS201)))</f>
        <v/>
      </c>
      <c r="AI201" s="15" t="str">
        <f aca="false">IF(OR(M$7="",$BR201=""),"",IF('Tally Helper'!$B$36&lt;&gt;TRUE(),"not on Staff",SUMIFS('Tally Helper'!$L$38:$GI$38,'Tally Helper'!$L$36:$GI$36,"&gt;="&amp;$BR201,'Tally Helper'!$L$36:$GI$36,"&lt;="&amp;$BS201)))</f>
        <v/>
      </c>
      <c r="AJ201" s="15" t="str">
        <f aca="false">IF(OR(N$7="",$BR201=""),"",IF('Tally Helper'!$B$39&lt;&gt;TRUE(),"not on Staff",SUMIFS('Tally Helper'!$L$41:$GI$41,'Tally Helper'!$L$39:$GI$39,"&gt;="&amp;$BR201,'Tally Helper'!$L$39:$GI$39,"&lt;="&amp;$BS201)))</f>
        <v/>
      </c>
      <c r="AK201" s="15" t="str">
        <f aca="false">IF(OR(O$7="",$BR201=""),"",IF('Tally Helper'!$B$42&lt;&gt;TRUE(),"not on Staff",SUMIFS('Tally Helper'!$L$44:$GI$44,'Tally Helper'!$L$42:$GI$42,"&gt;="&amp;$BR201,'Tally Helper'!$L$42:$GI$42,"&lt;="&amp;$BS201)))</f>
        <v/>
      </c>
      <c r="AL201" s="15" t="str">
        <f aca="false">IF(OR(P$7="",$BR201=""),"",IF('Tally Helper'!$B$45&lt;&gt;TRUE(),"not on Staff",SUMIFS('Tally Helper'!$L$47:$GI$47,'Tally Helper'!$L$45:$GI$45,"&gt;="&amp;$BR201,'Tally Helper'!$L$45:$GI$45,"&lt;="&amp;$BS201)))</f>
        <v/>
      </c>
      <c r="AM201" s="15" t="str">
        <f aca="false">IF(OR(Q$7="",$BR201=""),"",IF('Tally Helper'!$B$48&lt;&gt;TRUE(),"not on Staff",SUMIFS('Tally Helper'!$L$50:$GI$50,'Tally Helper'!$L$48:$GI$48,"&gt;="&amp;$BR201,'Tally Helper'!$L$48:$GI$48,"&lt;="&amp;$BS201)))</f>
        <v/>
      </c>
      <c r="AN201" s="15" t="str">
        <f aca="false">IF(OR(R$7="",$BR201=""),"",IF('Tally Helper'!$B$51&lt;&gt;TRUE(),"not on Staff",SUMIFS('Tally Helper'!$L$53:$GI$53,'Tally Helper'!$L$51:$GI$51,"&gt;="&amp;$BR201,'Tally Helper'!$L$51:$GI$51,"&lt;="&amp;$BS201)))</f>
        <v/>
      </c>
      <c r="AO201" s="15" t="str">
        <f aca="false">IF(OR(S$7="",$BR201=""),"",IF('Tally Helper'!$B$54&lt;&gt;TRUE(),"not on Staff",SUMIFS('Tally Helper'!$L$56:$GI$56,'Tally Helper'!$L$54:$GI$54,"&gt;="&amp;$BR201,'Tally Helper'!$L$54:$GI$54,"&lt;="&amp;$BS201)))</f>
        <v/>
      </c>
      <c r="AP201" s="15" t="str">
        <f aca="false">IF(OR(T$7="",$BR201=""),"",IF('Tally Helper'!$B$57&lt;&gt;TRUE(),"not on Staff",SUMIFS('Tally Helper'!$L$59:$GI$59,'Tally Helper'!$L$57:$GI$57,"&gt;="&amp;$BR201,'Tally Helper'!$L$57:$GI$57,"&lt;="&amp;$BS201)))</f>
        <v/>
      </c>
      <c r="AQ201" s="15" t="str">
        <f aca="false">IF(OR(U$7="",$BR201=""),"",IF('Tally Helper'!$B$60&lt;&gt;TRUE(),"not on Staff",SUMIFS('Tally Helper'!$L$62:$GI$62,'Tally Helper'!$L$60:$GI$60,"&gt;="&amp;$BR201,'Tally Helper'!$L$60:$GI$60,"&lt;="&amp;$BS201)))</f>
        <v/>
      </c>
      <c r="AT201" s="15" t="str">
        <f aca="false">IF(OR(X201="",NOT(ISNUMBER(X201))),"",X201-N(B201))</f>
        <v/>
      </c>
      <c r="AU201" s="15" t="str">
        <f aca="false">IF(OR(Y201="",NOT(ISNUMBER(Y201))),"",Y201-N(C201))</f>
        <v/>
      </c>
      <c r="AV201" s="15" t="str">
        <f aca="false">IF(OR(Z201="",NOT(ISNUMBER(Z201))),"",Z201-N(D201))</f>
        <v/>
      </c>
      <c r="AW201" s="15" t="str">
        <f aca="false">IF(OR(AA201="",NOT(ISNUMBER(AA201))),"",AA201-N(E201))</f>
        <v/>
      </c>
      <c r="AX201" s="15" t="str">
        <f aca="false">IF(OR(AB201="",NOT(ISNUMBER(AB201))),"",AB201-N(F201))</f>
        <v/>
      </c>
      <c r="AY201" s="15" t="str">
        <f aca="false">IF(OR(AC201="",NOT(ISNUMBER(AC201))),"",AC201-N(G201))</f>
        <v/>
      </c>
      <c r="AZ201" s="15" t="str">
        <f aca="false">IF(OR(AD201="",NOT(ISNUMBER(AD201))),"",AD201-N(H201))</f>
        <v/>
      </c>
      <c r="BA201" s="15" t="str">
        <f aca="false">IF(OR(AE201="",NOT(ISNUMBER(AE201))),"",AE201-N(I201))</f>
        <v/>
      </c>
      <c r="BB201" s="15" t="str">
        <f aca="false">IF(OR(AF201="",NOT(ISNUMBER(AF201))),"",AF201-N(J201))</f>
        <v/>
      </c>
      <c r="BC201" s="15" t="str">
        <f aca="false">IF(OR(AG201="",NOT(ISNUMBER(AG201))),"",AG201-N(K201))</f>
        <v/>
      </c>
      <c r="BD201" s="15" t="str">
        <f aca="false">IF(OR(AH201="",NOT(ISNUMBER(AH201))),"",AH201-N(L201))</f>
        <v/>
      </c>
      <c r="BE201" s="15" t="str">
        <f aca="false">IF(OR(AI201="",NOT(ISNUMBER(AI201))),"",AI201-N(M201))</f>
        <v/>
      </c>
      <c r="BF201" s="15" t="str">
        <f aca="false">IF(OR(AJ201="",NOT(ISNUMBER(AJ201))),"",AJ201-N(N201))</f>
        <v/>
      </c>
      <c r="BG201" s="15" t="str">
        <f aca="false">IF(OR(AK201="",NOT(ISNUMBER(AK201))),"",AK201-N(O201))</f>
        <v/>
      </c>
      <c r="BH201" s="15" t="str">
        <f aca="false">IF(OR(AL201="",NOT(ISNUMBER(AL201))),"",AL201-N(P201))</f>
        <v/>
      </c>
      <c r="BI201" s="15" t="str">
        <f aca="false">IF(OR(AM201="",NOT(ISNUMBER(AM201))),"",AM201-N(Q201))</f>
        <v/>
      </c>
      <c r="BJ201" s="15" t="str">
        <f aca="false">IF(OR(AN201="",NOT(ISNUMBER(AN201))),"",AN201-N(R201))</f>
        <v/>
      </c>
      <c r="BK201" s="15" t="str">
        <f aca="false">IF(OR(AO201="",NOT(ISNUMBER(AO201))),"",AO201-N(S201))</f>
        <v/>
      </c>
      <c r="BL201" s="15" t="str">
        <f aca="false">IF(OR(AP201="",NOT(ISNUMBER(AP201))),"",AP201-N(T201))</f>
        <v/>
      </c>
      <c r="BM201" s="15" t="str">
        <f aca="false">IF(OR(AQ201="",NOT(ISNUMBER(AQ201))),"",AQ201-N(U201))</f>
        <v/>
      </c>
      <c r="BR201" s="18" t="str">
        <f aca="false">IF($A201="","",IF(ISNUMBER($A201),DATE(YEAR($A201),MONTH($A201),1),IFERROR(DATE(2000+VALUE(RIGHT(TRIM($A201),2)),MATCH(UPPER(LEFT(TRIM($A201),3)),{"JAN","FEB","MAR","APR","MAY","JUN","JUL","AUG","SEP","OCT","NOV","DEC"},0),1),"")))</f>
        <v/>
      </c>
      <c r="BS201" s="18" t="str">
        <f aca="false">IF(BR201="","",EOMONTH(BR201,0))</f>
        <v/>
      </c>
    </row>
    <row r="202" customFormat="false" ht="15" hidden="false" customHeight="false" outlineLevel="0" collapsed="false">
      <c r="B202" s="19"/>
      <c r="C202" s="19"/>
      <c r="D202" s="19"/>
      <c r="E202" s="19"/>
      <c r="F202" s="19"/>
      <c r="G202" s="19"/>
      <c r="H202" s="19"/>
      <c r="I202" s="19"/>
      <c r="J202" s="19"/>
      <c r="K202" s="19"/>
      <c r="L202" s="19"/>
      <c r="M202" s="19"/>
      <c r="N202" s="19"/>
      <c r="O202" s="19"/>
      <c r="P202" s="19"/>
      <c r="Q202" s="19"/>
      <c r="R202" s="19"/>
      <c r="S202" s="19"/>
      <c r="T202" s="19"/>
      <c r="U202" s="19"/>
      <c r="X202" s="15" t="str">
        <f aca="false">IF(OR(B$7="",$BR202=""),"",IF('Tally Helper'!$B$3&lt;&gt;TRUE(),"not on Staff",SUMIFS('Tally Helper'!$L$5:$GI$5,'Tally Helper'!$L$3:$GI$3,"&gt;="&amp;$BR202,'Tally Helper'!$L$3:$GI$3,"&lt;="&amp;$BS202)))</f>
        <v/>
      </c>
      <c r="Y202" s="15" t="str">
        <f aca="false">IF(OR(C$7="",$BR202=""),"",IF('Tally Helper'!$B$6&lt;&gt;TRUE(),"not on Staff",SUMIFS('Tally Helper'!$L$8:$GI$8,'Tally Helper'!$L$6:$GI$6,"&gt;="&amp;$BR202,'Tally Helper'!$L$6:$GI$6,"&lt;="&amp;$BS202)))</f>
        <v/>
      </c>
      <c r="Z202" s="15" t="str">
        <f aca="false">IF(OR(D$7="",$BR202=""),"",IF('Tally Helper'!$B$9&lt;&gt;TRUE(),"not on Staff",SUMIFS('Tally Helper'!$L$11:$GI$11,'Tally Helper'!$L$9:$GI$9,"&gt;="&amp;$BR202,'Tally Helper'!$L$9:$GI$9,"&lt;="&amp;$BS202)))</f>
        <v/>
      </c>
      <c r="AA202" s="15" t="str">
        <f aca="false">IF(OR(E$7="",$BR202=""),"",IF('Tally Helper'!$B$12&lt;&gt;TRUE(),"not on Staff",SUMIFS('Tally Helper'!$L$14:$GI$14,'Tally Helper'!$L$12:$GI$12,"&gt;="&amp;$BR202,'Tally Helper'!$L$12:$GI$12,"&lt;="&amp;$BS202)))</f>
        <v/>
      </c>
      <c r="AB202" s="15" t="str">
        <f aca="false">IF(OR(F$7="",$BR202=""),"",IF('Tally Helper'!$B$15&lt;&gt;TRUE(),"not on Staff",SUMIFS('Tally Helper'!$L$17:$GI$17,'Tally Helper'!$L$15:$GI$15,"&gt;="&amp;$BR202,'Tally Helper'!$L$15:$GI$15,"&lt;="&amp;$BS202)))</f>
        <v/>
      </c>
      <c r="AC202" s="15" t="str">
        <f aca="false">IF(OR(G$7="",$BR202=""),"",IF('Tally Helper'!$B$18&lt;&gt;TRUE(),"not on Staff",SUMIFS('Tally Helper'!$L$20:$GI$20,'Tally Helper'!$L$18:$GI$18,"&gt;="&amp;$BR202,'Tally Helper'!$L$18:$GI$18,"&lt;="&amp;$BS202)))</f>
        <v/>
      </c>
      <c r="AD202" s="15" t="str">
        <f aca="false">IF(OR(H$7="",$BR202=""),"",IF('Tally Helper'!$B$21&lt;&gt;TRUE(),"not on Staff",SUMIFS('Tally Helper'!$L$23:$GI$23,'Tally Helper'!$L$21:$GI$21,"&gt;="&amp;$BR202,'Tally Helper'!$L$21:$GI$21,"&lt;="&amp;$BS202)))</f>
        <v/>
      </c>
      <c r="AE202" s="15" t="str">
        <f aca="false">IF(OR(I$7="",$BR202=""),"",IF('Tally Helper'!$B$24&lt;&gt;TRUE(),"not on Staff",SUMIFS('Tally Helper'!$L$26:$GI$26,'Tally Helper'!$L$24:$GI$24,"&gt;="&amp;$BR202,'Tally Helper'!$L$24:$GI$24,"&lt;="&amp;$BS202)))</f>
        <v/>
      </c>
      <c r="AF202" s="15" t="str">
        <f aca="false">IF(OR(J$7="",$BR202=""),"",IF('Tally Helper'!$B$27&lt;&gt;TRUE(),"not on Staff",SUMIFS('Tally Helper'!$L$29:$GI$29,'Tally Helper'!$L$27:$GI$27,"&gt;="&amp;$BR202,'Tally Helper'!$L$27:$GI$27,"&lt;="&amp;$BS202)))</f>
        <v/>
      </c>
      <c r="AG202" s="15" t="str">
        <f aca="false">IF(OR(K$7="",$BR202=""),"",IF('Tally Helper'!$B$30&lt;&gt;TRUE(),"not on Staff",SUMIFS('Tally Helper'!$L$32:$GI$32,'Tally Helper'!$L$30:$GI$30,"&gt;="&amp;$BR202,'Tally Helper'!$L$30:$GI$30,"&lt;="&amp;$BS202)))</f>
        <v/>
      </c>
      <c r="AH202" s="15" t="str">
        <f aca="false">IF(OR(L$7="",$BR202=""),"",IF('Tally Helper'!$B$33&lt;&gt;TRUE(),"not on Staff",SUMIFS('Tally Helper'!$L$35:$GI$35,'Tally Helper'!$L$33:$GI$33,"&gt;="&amp;$BR202,'Tally Helper'!$L$33:$GI$33,"&lt;="&amp;$BS202)))</f>
        <v/>
      </c>
      <c r="AI202" s="15" t="str">
        <f aca="false">IF(OR(M$7="",$BR202=""),"",IF('Tally Helper'!$B$36&lt;&gt;TRUE(),"not on Staff",SUMIFS('Tally Helper'!$L$38:$GI$38,'Tally Helper'!$L$36:$GI$36,"&gt;="&amp;$BR202,'Tally Helper'!$L$36:$GI$36,"&lt;="&amp;$BS202)))</f>
        <v/>
      </c>
      <c r="AJ202" s="15" t="str">
        <f aca="false">IF(OR(N$7="",$BR202=""),"",IF('Tally Helper'!$B$39&lt;&gt;TRUE(),"not on Staff",SUMIFS('Tally Helper'!$L$41:$GI$41,'Tally Helper'!$L$39:$GI$39,"&gt;="&amp;$BR202,'Tally Helper'!$L$39:$GI$39,"&lt;="&amp;$BS202)))</f>
        <v/>
      </c>
      <c r="AK202" s="15" t="str">
        <f aca="false">IF(OR(O$7="",$BR202=""),"",IF('Tally Helper'!$B$42&lt;&gt;TRUE(),"not on Staff",SUMIFS('Tally Helper'!$L$44:$GI$44,'Tally Helper'!$L$42:$GI$42,"&gt;="&amp;$BR202,'Tally Helper'!$L$42:$GI$42,"&lt;="&amp;$BS202)))</f>
        <v/>
      </c>
      <c r="AL202" s="15" t="str">
        <f aca="false">IF(OR(P$7="",$BR202=""),"",IF('Tally Helper'!$B$45&lt;&gt;TRUE(),"not on Staff",SUMIFS('Tally Helper'!$L$47:$GI$47,'Tally Helper'!$L$45:$GI$45,"&gt;="&amp;$BR202,'Tally Helper'!$L$45:$GI$45,"&lt;="&amp;$BS202)))</f>
        <v/>
      </c>
      <c r="AM202" s="15" t="str">
        <f aca="false">IF(OR(Q$7="",$BR202=""),"",IF('Tally Helper'!$B$48&lt;&gt;TRUE(),"not on Staff",SUMIFS('Tally Helper'!$L$50:$GI$50,'Tally Helper'!$L$48:$GI$48,"&gt;="&amp;$BR202,'Tally Helper'!$L$48:$GI$48,"&lt;="&amp;$BS202)))</f>
        <v/>
      </c>
      <c r="AN202" s="15" t="str">
        <f aca="false">IF(OR(R$7="",$BR202=""),"",IF('Tally Helper'!$B$51&lt;&gt;TRUE(),"not on Staff",SUMIFS('Tally Helper'!$L$53:$GI$53,'Tally Helper'!$L$51:$GI$51,"&gt;="&amp;$BR202,'Tally Helper'!$L$51:$GI$51,"&lt;="&amp;$BS202)))</f>
        <v/>
      </c>
      <c r="AO202" s="15" t="str">
        <f aca="false">IF(OR(S$7="",$BR202=""),"",IF('Tally Helper'!$B$54&lt;&gt;TRUE(),"not on Staff",SUMIFS('Tally Helper'!$L$56:$GI$56,'Tally Helper'!$L$54:$GI$54,"&gt;="&amp;$BR202,'Tally Helper'!$L$54:$GI$54,"&lt;="&amp;$BS202)))</f>
        <v/>
      </c>
      <c r="AP202" s="15" t="str">
        <f aca="false">IF(OR(T$7="",$BR202=""),"",IF('Tally Helper'!$B$57&lt;&gt;TRUE(),"not on Staff",SUMIFS('Tally Helper'!$L$59:$GI$59,'Tally Helper'!$L$57:$GI$57,"&gt;="&amp;$BR202,'Tally Helper'!$L$57:$GI$57,"&lt;="&amp;$BS202)))</f>
        <v/>
      </c>
      <c r="AQ202" s="15" t="str">
        <f aca="false">IF(OR(U$7="",$BR202=""),"",IF('Tally Helper'!$B$60&lt;&gt;TRUE(),"not on Staff",SUMIFS('Tally Helper'!$L$62:$GI$62,'Tally Helper'!$L$60:$GI$60,"&gt;="&amp;$BR202,'Tally Helper'!$L$60:$GI$60,"&lt;="&amp;$BS202)))</f>
        <v/>
      </c>
      <c r="AT202" s="15" t="str">
        <f aca="false">IF(OR(X202="",NOT(ISNUMBER(X202))),"",X202-N(B202))</f>
        <v/>
      </c>
      <c r="AU202" s="15" t="str">
        <f aca="false">IF(OR(Y202="",NOT(ISNUMBER(Y202))),"",Y202-N(C202))</f>
        <v/>
      </c>
      <c r="AV202" s="15" t="str">
        <f aca="false">IF(OR(Z202="",NOT(ISNUMBER(Z202))),"",Z202-N(D202))</f>
        <v/>
      </c>
      <c r="AW202" s="15" t="str">
        <f aca="false">IF(OR(AA202="",NOT(ISNUMBER(AA202))),"",AA202-N(E202))</f>
        <v/>
      </c>
      <c r="AX202" s="15" t="str">
        <f aca="false">IF(OR(AB202="",NOT(ISNUMBER(AB202))),"",AB202-N(F202))</f>
        <v/>
      </c>
      <c r="AY202" s="15" t="str">
        <f aca="false">IF(OR(AC202="",NOT(ISNUMBER(AC202))),"",AC202-N(G202))</f>
        <v/>
      </c>
      <c r="AZ202" s="15" t="str">
        <f aca="false">IF(OR(AD202="",NOT(ISNUMBER(AD202))),"",AD202-N(H202))</f>
        <v/>
      </c>
      <c r="BA202" s="15" t="str">
        <f aca="false">IF(OR(AE202="",NOT(ISNUMBER(AE202))),"",AE202-N(I202))</f>
        <v/>
      </c>
      <c r="BB202" s="15" t="str">
        <f aca="false">IF(OR(AF202="",NOT(ISNUMBER(AF202))),"",AF202-N(J202))</f>
        <v/>
      </c>
      <c r="BC202" s="15" t="str">
        <f aca="false">IF(OR(AG202="",NOT(ISNUMBER(AG202))),"",AG202-N(K202))</f>
        <v/>
      </c>
      <c r="BD202" s="15" t="str">
        <f aca="false">IF(OR(AH202="",NOT(ISNUMBER(AH202))),"",AH202-N(L202))</f>
        <v/>
      </c>
      <c r="BE202" s="15" t="str">
        <f aca="false">IF(OR(AI202="",NOT(ISNUMBER(AI202))),"",AI202-N(M202))</f>
        <v/>
      </c>
      <c r="BF202" s="15" t="str">
        <f aca="false">IF(OR(AJ202="",NOT(ISNUMBER(AJ202))),"",AJ202-N(N202))</f>
        <v/>
      </c>
      <c r="BG202" s="15" t="str">
        <f aca="false">IF(OR(AK202="",NOT(ISNUMBER(AK202))),"",AK202-N(O202))</f>
        <v/>
      </c>
      <c r="BH202" s="15" t="str">
        <f aca="false">IF(OR(AL202="",NOT(ISNUMBER(AL202))),"",AL202-N(P202))</f>
        <v/>
      </c>
      <c r="BI202" s="15" t="str">
        <f aca="false">IF(OR(AM202="",NOT(ISNUMBER(AM202))),"",AM202-N(Q202))</f>
        <v/>
      </c>
      <c r="BJ202" s="15" t="str">
        <f aca="false">IF(OR(AN202="",NOT(ISNUMBER(AN202))),"",AN202-N(R202))</f>
        <v/>
      </c>
      <c r="BK202" s="15" t="str">
        <f aca="false">IF(OR(AO202="",NOT(ISNUMBER(AO202))),"",AO202-N(S202))</f>
        <v/>
      </c>
      <c r="BL202" s="15" t="str">
        <f aca="false">IF(OR(AP202="",NOT(ISNUMBER(AP202))),"",AP202-N(T202))</f>
        <v/>
      </c>
      <c r="BM202" s="15" t="str">
        <f aca="false">IF(OR(AQ202="",NOT(ISNUMBER(AQ202))),"",AQ202-N(U202))</f>
        <v/>
      </c>
      <c r="BR202" s="18" t="str">
        <f aca="false">IF($A202="","",IF(ISNUMBER($A202),DATE(YEAR($A202),MONTH($A202),1),IFERROR(DATE(2000+VALUE(RIGHT(TRIM($A202),2)),MATCH(UPPER(LEFT(TRIM($A202),3)),{"JAN","FEB","MAR","APR","MAY","JUN","JUL","AUG","SEP","OCT","NOV","DEC"},0),1),"")))</f>
        <v/>
      </c>
      <c r="BS202" s="18" t="str">
        <f aca="false">IF(BR202="","",EOMONTH(BR202,0))</f>
        <v/>
      </c>
    </row>
    <row r="203" customFormat="false" ht="15" hidden="false" customHeight="false" outlineLevel="0" collapsed="false">
      <c r="B203" s="19"/>
      <c r="C203" s="19"/>
      <c r="D203" s="19"/>
      <c r="E203" s="19"/>
      <c r="F203" s="19"/>
      <c r="G203" s="19"/>
      <c r="H203" s="19"/>
      <c r="I203" s="19"/>
      <c r="J203" s="19"/>
      <c r="K203" s="19"/>
      <c r="L203" s="19"/>
      <c r="M203" s="19"/>
      <c r="N203" s="19"/>
      <c r="O203" s="19"/>
      <c r="P203" s="19"/>
      <c r="Q203" s="19"/>
      <c r="R203" s="19"/>
      <c r="S203" s="19"/>
      <c r="T203" s="19"/>
      <c r="U203" s="19"/>
      <c r="X203" s="15" t="str">
        <f aca="false">IF(OR(B$7="",$BR203=""),"",IF('Tally Helper'!$B$3&lt;&gt;TRUE(),"not on Staff",SUMIFS('Tally Helper'!$L$5:$GI$5,'Tally Helper'!$L$3:$GI$3,"&gt;="&amp;$BR203,'Tally Helper'!$L$3:$GI$3,"&lt;="&amp;$BS203)))</f>
        <v/>
      </c>
      <c r="Y203" s="15" t="str">
        <f aca="false">IF(OR(C$7="",$BR203=""),"",IF('Tally Helper'!$B$6&lt;&gt;TRUE(),"not on Staff",SUMIFS('Tally Helper'!$L$8:$GI$8,'Tally Helper'!$L$6:$GI$6,"&gt;="&amp;$BR203,'Tally Helper'!$L$6:$GI$6,"&lt;="&amp;$BS203)))</f>
        <v/>
      </c>
      <c r="Z203" s="15" t="str">
        <f aca="false">IF(OR(D$7="",$BR203=""),"",IF('Tally Helper'!$B$9&lt;&gt;TRUE(),"not on Staff",SUMIFS('Tally Helper'!$L$11:$GI$11,'Tally Helper'!$L$9:$GI$9,"&gt;="&amp;$BR203,'Tally Helper'!$L$9:$GI$9,"&lt;="&amp;$BS203)))</f>
        <v/>
      </c>
      <c r="AA203" s="15" t="str">
        <f aca="false">IF(OR(E$7="",$BR203=""),"",IF('Tally Helper'!$B$12&lt;&gt;TRUE(),"not on Staff",SUMIFS('Tally Helper'!$L$14:$GI$14,'Tally Helper'!$L$12:$GI$12,"&gt;="&amp;$BR203,'Tally Helper'!$L$12:$GI$12,"&lt;="&amp;$BS203)))</f>
        <v/>
      </c>
      <c r="AB203" s="15" t="str">
        <f aca="false">IF(OR(F$7="",$BR203=""),"",IF('Tally Helper'!$B$15&lt;&gt;TRUE(),"not on Staff",SUMIFS('Tally Helper'!$L$17:$GI$17,'Tally Helper'!$L$15:$GI$15,"&gt;="&amp;$BR203,'Tally Helper'!$L$15:$GI$15,"&lt;="&amp;$BS203)))</f>
        <v/>
      </c>
      <c r="AC203" s="15" t="str">
        <f aca="false">IF(OR(G$7="",$BR203=""),"",IF('Tally Helper'!$B$18&lt;&gt;TRUE(),"not on Staff",SUMIFS('Tally Helper'!$L$20:$GI$20,'Tally Helper'!$L$18:$GI$18,"&gt;="&amp;$BR203,'Tally Helper'!$L$18:$GI$18,"&lt;="&amp;$BS203)))</f>
        <v/>
      </c>
      <c r="AD203" s="15" t="str">
        <f aca="false">IF(OR(H$7="",$BR203=""),"",IF('Tally Helper'!$B$21&lt;&gt;TRUE(),"not on Staff",SUMIFS('Tally Helper'!$L$23:$GI$23,'Tally Helper'!$L$21:$GI$21,"&gt;="&amp;$BR203,'Tally Helper'!$L$21:$GI$21,"&lt;="&amp;$BS203)))</f>
        <v/>
      </c>
      <c r="AE203" s="15" t="str">
        <f aca="false">IF(OR(I$7="",$BR203=""),"",IF('Tally Helper'!$B$24&lt;&gt;TRUE(),"not on Staff",SUMIFS('Tally Helper'!$L$26:$GI$26,'Tally Helper'!$L$24:$GI$24,"&gt;="&amp;$BR203,'Tally Helper'!$L$24:$GI$24,"&lt;="&amp;$BS203)))</f>
        <v/>
      </c>
      <c r="AF203" s="15" t="str">
        <f aca="false">IF(OR(J$7="",$BR203=""),"",IF('Tally Helper'!$B$27&lt;&gt;TRUE(),"not on Staff",SUMIFS('Tally Helper'!$L$29:$GI$29,'Tally Helper'!$L$27:$GI$27,"&gt;="&amp;$BR203,'Tally Helper'!$L$27:$GI$27,"&lt;="&amp;$BS203)))</f>
        <v/>
      </c>
      <c r="AG203" s="15" t="str">
        <f aca="false">IF(OR(K$7="",$BR203=""),"",IF('Tally Helper'!$B$30&lt;&gt;TRUE(),"not on Staff",SUMIFS('Tally Helper'!$L$32:$GI$32,'Tally Helper'!$L$30:$GI$30,"&gt;="&amp;$BR203,'Tally Helper'!$L$30:$GI$30,"&lt;="&amp;$BS203)))</f>
        <v/>
      </c>
      <c r="AH203" s="15" t="str">
        <f aca="false">IF(OR(L$7="",$BR203=""),"",IF('Tally Helper'!$B$33&lt;&gt;TRUE(),"not on Staff",SUMIFS('Tally Helper'!$L$35:$GI$35,'Tally Helper'!$L$33:$GI$33,"&gt;="&amp;$BR203,'Tally Helper'!$L$33:$GI$33,"&lt;="&amp;$BS203)))</f>
        <v/>
      </c>
      <c r="AI203" s="15" t="str">
        <f aca="false">IF(OR(M$7="",$BR203=""),"",IF('Tally Helper'!$B$36&lt;&gt;TRUE(),"not on Staff",SUMIFS('Tally Helper'!$L$38:$GI$38,'Tally Helper'!$L$36:$GI$36,"&gt;="&amp;$BR203,'Tally Helper'!$L$36:$GI$36,"&lt;="&amp;$BS203)))</f>
        <v/>
      </c>
      <c r="AJ203" s="15" t="str">
        <f aca="false">IF(OR(N$7="",$BR203=""),"",IF('Tally Helper'!$B$39&lt;&gt;TRUE(),"not on Staff",SUMIFS('Tally Helper'!$L$41:$GI$41,'Tally Helper'!$L$39:$GI$39,"&gt;="&amp;$BR203,'Tally Helper'!$L$39:$GI$39,"&lt;="&amp;$BS203)))</f>
        <v/>
      </c>
      <c r="AK203" s="15" t="str">
        <f aca="false">IF(OR(O$7="",$BR203=""),"",IF('Tally Helper'!$B$42&lt;&gt;TRUE(),"not on Staff",SUMIFS('Tally Helper'!$L$44:$GI$44,'Tally Helper'!$L$42:$GI$42,"&gt;="&amp;$BR203,'Tally Helper'!$L$42:$GI$42,"&lt;="&amp;$BS203)))</f>
        <v/>
      </c>
      <c r="AL203" s="15" t="str">
        <f aca="false">IF(OR(P$7="",$BR203=""),"",IF('Tally Helper'!$B$45&lt;&gt;TRUE(),"not on Staff",SUMIFS('Tally Helper'!$L$47:$GI$47,'Tally Helper'!$L$45:$GI$45,"&gt;="&amp;$BR203,'Tally Helper'!$L$45:$GI$45,"&lt;="&amp;$BS203)))</f>
        <v/>
      </c>
      <c r="AM203" s="15" t="str">
        <f aca="false">IF(OR(Q$7="",$BR203=""),"",IF('Tally Helper'!$B$48&lt;&gt;TRUE(),"not on Staff",SUMIFS('Tally Helper'!$L$50:$GI$50,'Tally Helper'!$L$48:$GI$48,"&gt;="&amp;$BR203,'Tally Helper'!$L$48:$GI$48,"&lt;="&amp;$BS203)))</f>
        <v/>
      </c>
      <c r="AN203" s="15" t="str">
        <f aca="false">IF(OR(R$7="",$BR203=""),"",IF('Tally Helper'!$B$51&lt;&gt;TRUE(),"not on Staff",SUMIFS('Tally Helper'!$L$53:$GI$53,'Tally Helper'!$L$51:$GI$51,"&gt;="&amp;$BR203,'Tally Helper'!$L$51:$GI$51,"&lt;="&amp;$BS203)))</f>
        <v/>
      </c>
      <c r="AO203" s="15" t="str">
        <f aca="false">IF(OR(S$7="",$BR203=""),"",IF('Tally Helper'!$B$54&lt;&gt;TRUE(),"not on Staff",SUMIFS('Tally Helper'!$L$56:$GI$56,'Tally Helper'!$L$54:$GI$54,"&gt;="&amp;$BR203,'Tally Helper'!$L$54:$GI$54,"&lt;="&amp;$BS203)))</f>
        <v/>
      </c>
      <c r="AP203" s="15" t="str">
        <f aca="false">IF(OR(T$7="",$BR203=""),"",IF('Tally Helper'!$B$57&lt;&gt;TRUE(),"not on Staff",SUMIFS('Tally Helper'!$L$59:$GI$59,'Tally Helper'!$L$57:$GI$57,"&gt;="&amp;$BR203,'Tally Helper'!$L$57:$GI$57,"&lt;="&amp;$BS203)))</f>
        <v/>
      </c>
      <c r="AQ203" s="15" t="str">
        <f aca="false">IF(OR(U$7="",$BR203=""),"",IF('Tally Helper'!$B$60&lt;&gt;TRUE(),"not on Staff",SUMIFS('Tally Helper'!$L$62:$GI$62,'Tally Helper'!$L$60:$GI$60,"&gt;="&amp;$BR203,'Tally Helper'!$L$60:$GI$60,"&lt;="&amp;$BS203)))</f>
        <v/>
      </c>
      <c r="AT203" s="15" t="str">
        <f aca="false">IF(OR(X203="",NOT(ISNUMBER(X203))),"",X203-N(B203))</f>
        <v/>
      </c>
      <c r="AU203" s="15" t="str">
        <f aca="false">IF(OR(Y203="",NOT(ISNUMBER(Y203))),"",Y203-N(C203))</f>
        <v/>
      </c>
      <c r="AV203" s="15" t="str">
        <f aca="false">IF(OR(Z203="",NOT(ISNUMBER(Z203))),"",Z203-N(D203))</f>
        <v/>
      </c>
      <c r="AW203" s="15" t="str">
        <f aca="false">IF(OR(AA203="",NOT(ISNUMBER(AA203))),"",AA203-N(E203))</f>
        <v/>
      </c>
      <c r="AX203" s="15" t="str">
        <f aca="false">IF(OR(AB203="",NOT(ISNUMBER(AB203))),"",AB203-N(F203))</f>
        <v/>
      </c>
      <c r="AY203" s="15" t="str">
        <f aca="false">IF(OR(AC203="",NOT(ISNUMBER(AC203))),"",AC203-N(G203))</f>
        <v/>
      </c>
      <c r="AZ203" s="15" t="str">
        <f aca="false">IF(OR(AD203="",NOT(ISNUMBER(AD203))),"",AD203-N(H203))</f>
        <v/>
      </c>
      <c r="BA203" s="15" t="str">
        <f aca="false">IF(OR(AE203="",NOT(ISNUMBER(AE203))),"",AE203-N(I203))</f>
        <v/>
      </c>
      <c r="BB203" s="15" t="str">
        <f aca="false">IF(OR(AF203="",NOT(ISNUMBER(AF203))),"",AF203-N(J203))</f>
        <v/>
      </c>
      <c r="BC203" s="15" t="str">
        <f aca="false">IF(OR(AG203="",NOT(ISNUMBER(AG203))),"",AG203-N(K203))</f>
        <v/>
      </c>
      <c r="BD203" s="15" t="str">
        <f aca="false">IF(OR(AH203="",NOT(ISNUMBER(AH203))),"",AH203-N(L203))</f>
        <v/>
      </c>
      <c r="BE203" s="15" t="str">
        <f aca="false">IF(OR(AI203="",NOT(ISNUMBER(AI203))),"",AI203-N(M203))</f>
        <v/>
      </c>
      <c r="BF203" s="15" t="str">
        <f aca="false">IF(OR(AJ203="",NOT(ISNUMBER(AJ203))),"",AJ203-N(N203))</f>
        <v/>
      </c>
      <c r="BG203" s="15" t="str">
        <f aca="false">IF(OR(AK203="",NOT(ISNUMBER(AK203))),"",AK203-N(O203))</f>
        <v/>
      </c>
      <c r="BH203" s="15" t="str">
        <f aca="false">IF(OR(AL203="",NOT(ISNUMBER(AL203))),"",AL203-N(P203))</f>
        <v/>
      </c>
      <c r="BI203" s="15" t="str">
        <f aca="false">IF(OR(AM203="",NOT(ISNUMBER(AM203))),"",AM203-N(Q203))</f>
        <v/>
      </c>
      <c r="BJ203" s="15" t="str">
        <f aca="false">IF(OR(AN203="",NOT(ISNUMBER(AN203))),"",AN203-N(R203))</f>
        <v/>
      </c>
      <c r="BK203" s="15" t="str">
        <f aca="false">IF(OR(AO203="",NOT(ISNUMBER(AO203))),"",AO203-N(S203))</f>
        <v/>
      </c>
      <c r="BL203" s="15" t="str">
        <f aca="false">IF(OR(AP203="",NOT(ISNUMBER(AP203))),"",AP203-N(T203))</f>
        <v/>
      </c>
      <c r="BM203" s="15" t="str">
        <f aca="false">IF(OR(AQ203="",NOT(ISNUMBER(AQ203))),"",AQ203-N(U203))</f>
        <v/>
      </c>
      <c r="BR203" s="18" t="str">
        <f aca="false">IF($A203="","",IF(ISNUMBER($A203),DATE(YEAR($A203),MONTH($A203),1),IFERROR(DATE(2000+VALUE(RIGHT(TRIM($A203),2)),MATCH(UPPER(LEFT(TRIM($A203),3)),{"JAN","FEB","MAR","APR","MAY","JUN","JUL","AUG","SEP","OCT","NOV","DEC"},0),1),"")))</f>
        <v/>
      </c>
      <c r="BS203" s="18" t="str">
        <f aca="false">IF(BR203="","",EOMONTH(BR203,0))</f>
        <v/>
      </c>
    </row>
    <row r="204" customFormat="false" ht="15" hidden="false" customHeight="false" outlineLevel="0" collapsed="false">
      <c r="B204" s="19"/>
      <c r="C204" s="19"/>
      <c r="D204" s="19"/>
      <c r="E204" s="19"/>
      <c r="F204" s="19"/>
      <c r="G204" s="19"/>
      <c r="H204" s="19"/>
      <c r="I204" s="19"/>
      <c r="J204" s="19"/>
      <c r="K204" s="19"/>
      <c r="L204" s="19"/>
      <c r="M204" s="19"/>
      <c r="N204" s="19"/>
      <c r="O204" s="19"/>
      <c r="P204" s="19"/>
      <c r="Q204" s="19"/>
      <c r="R204" s="19"/>
      <c r="S204" s="19"/>
      <c r="T204" s="19"/>
      <c r="U204" s="19"/>
      <c r="X204" s="15" t="str">
        <f aca="false">IF(OR(B$7="",$BR204=""),"",IF('Tally Helper'!$B$3&lt;&gt;TRUE(),"not on Staff",SUMIFS('Tally Helper'!$L$5:$GI$5,'Tally Helper'!$L$3:$GI$3,"&gt;="&amp;$BR204,'Tally Helper'!$L$3:$GI$3,"&lt;="&amp;$BS204)))</f>
        <v/>
      </c>
      <c r="Y204" s="15" t="str">
        <f aca="false">IF(OR(C$7="",$BR204=""),"",IF('Tally Helper'!$B$6&lt;&gt;TRUE(),"not on Staff",SUMIFS('Tally Helper'!$L$8:$GI$8,'Tally Helper'!$L$6:$GI$6,"&gt;="&amp;$BR204,'Tally Helper'!$L$6:$GI$6,"&lt;="&amp;$BS204)))</f>
        <v/>
      </c>
      <c r="Z204" s="15" t="str">
        <f aca="false">IF(OR(D$7="",$BR204=""),"",IF('Tally Helper'!$B$9&lt;&gt;TRUE(),"not on Staff",SUMIFS('Tally Helper'!$L$11:$GI$11,'Tally Helper'!$L$9:$GI$9,"&gt;="&amp;$BR204,'Tally Helper'!$L$9:$GI$9,"&lt;="&amp;$BS204)))</f>
        <v/>
      </c>
      <c r="AA204" s="15" t="str">
        <f aca="false">IF(OR(E$7="",$BR204=""),"",IF('Tally Helper'!$B$12&lt;&gt;TRUE(),"not on Staff",SUMIFS('Tally Helper'!$L$14:$GI$14,'Tally Helper'!$L$12:$GI$12,"&gt;="&amp;$BR204,'Tally Helper'!$L$12:$GI$12,"&lt;="&amp;$BS204)))</f>
        <v/>
      </c>
      <c r="AB204" s="15" t="str">
        <f aca="false">IF(OR(F$7="",$BR204=""),"",IF('Tally Helper'!$B$15&lt;&gt;TRUE(),"not on Staff",SUMIFS('Tally Helper'!$L$17:$GI$17,'Tally Helper'!$L$15:$GI$15,"&gt;="&amp;$BR204,'Tally Helper'!$L$15:$GI$15,"&lt;="&amp;$BS204)))</f>
        <v/>
      </c>
      <c r="AC204" s="15" t="str">
        <f aca="false">IF(OR(G$7="",$BR204=""),"",IF('Tally Helper'!$B$18&lt;&gt;TRUE(),"not on Staff",SUMIFS('Tally Helper'!$L$20:$GI$20,'Tally Helper'!$L$18:$GI$18,"&gt;="&amp;$BR204,'Tally Helper'!$L$18:$GI$18,"&lt;="&amp;$BS204)))</f>
        <v/>
      </c>
      <c r="AD204" s="15" t="str">
        <f aca="false">IF(OR(H$7="",$BR204=""),"",IF('Tally Helper'!$B$21&lt;&gt;TRUE(),"not on Staff",SUMIFS('Tally Helper'!$L$23:$GI$23,'Tally Helper'!$L$21:$GI$21,"&gt;="&amp;$BR204,'Tally Helper'!$L$21:$GI$21,"&lt;="&amp;$BS204)))</f>
        <v/>
      </c>
      <c r="AE204" s="15" t="str">
        <f aca="false">IF(OR(I$7="",$BR204=""),"",IF('Tally Helper'!$B$24&lt;&gt;TRUE(),"not on Staff",SUMIFS('Tally Helper'!$L$26:$GI$26,'Tally Helper'!$L$24:$GI$24,"&gt;="&amp;$BR204,'Tally Helper'!$L$24:$GI$24,"&lt;="&amp;$BS204)))</f>
        <v/>
      </c>
      <c r="AF204" s="15" t="str">
        <f aca="false">IF(OR(J$7="",$BR204=""),"",IF('Tally Helper'!$B$27&lt;&gt;TRUE(),"not on Staff",SUMIFS('Tally Helper'!$L$29:$GI$29,'Tally Helper'!$L$27:$GI$27,"&gt;="&amp;$BR204,'Tally Helper'!$L$27:$GI$27,"&lt;="&amp;$BS204)))</f>
        <v/>
      </c>
      <c r="AG204" s="15" t="str">
        <f aca="false">IF(OR(K$7="",$BR204=""),"",IF('Tally Helper'!$B$30&lt;&gt;TRUE(),"not on Staff",SUMIFS('Tally Helper'!$L$32:$GI$32,'Tally Helper'!$L$30:$GI$30,"&gt;="&amp;$BR204,'Tally Helper'!$L$30:$GI$30,"&lt;="&amp;$BS204)))</f>
        <v/>
      </c>
      <c r="AH204" s="15" t="str">
        <f aca="false">IF(OR(L$7="",$BR204=""),"",IF('Tally Helper'!$B$33&lt;&gt;TRUE(),"not on Staff",SUMIFS('Tally Helper'!$L$35:$GI$35,'Tally Helper'!$L$33:$GI$33,"&gt;="&amp;$BR204,'Tally Helper'!$L$33:$GI$33,"&lt;="&amp;$BS204)))</f>
        <v/>
      </c>
      <c r="AI204" s="15" t="str">
        <f aca="false">IF(OR(M$7="",$BR204=""),"",IF('Tally Helper'!$B$36&lt;&gt;TRUE(),"not on Staff",SUMIFS('Tally Helper'!$L$38:$GI$38,'Tally Helper'!$L$36:$GI$36,"&gt;="&amp;$BR204,'Tally Helper'!$L$36:$GI$36,"&lt;="&amp;$BS204)))</f>
        <v/>
      </c>
      <c r="AJ204" s="15" t="str">
        <f aca="false">IF(OR(N$7="",$BR204=""),"",IF('Tally Helper'!$B$39&lt;&gt;TRUE(),"not on Staff",SUMIFS('Tally Helper'!$L$41:$GI$41,'Tally Helper'!$L$39:$GI$39,"&gt;="&amp;$BR204,'Tally Helper'!$L$39:$GI$39,"&lt;="&amp;$BS204)))</f>
        <v/>
      </c>
      <c r="AK204" s="15" t="str">
        <f aca="false">IF(OR(O$7="",$BR204=""),"",IF('Tally Helper'!$B$42&lt;&gt;TRUE(),"not on Staff",SUMIFS('Tally Helper'!$L$44:$GI$44,'Tally Helper'!$L$42:$GI$42,"&gt;="&amp;$BR204,'Tally Helper'!$L$42:$GI$42,"&lt;="&amp;$BS204)))</f>
        <v/>
      </c>
      <c r="AL204" s="15" t="str">
        <f aca="false">IF(OR(P$7="",$BR204=""),"",IF('Tally Helper'!$B$45&lt;&gt;TRUE(),"not on Staff",SUMIFS('Tally Helper'!$L$47:$GI$47,'Tally Helper'!$L$45:$GI$45,"&gt;="&amp;$BR204,'Tally Helper'!$L$45:$GI$45,"&lt;="&amp;$BS204)))</f>
        <v/>
      </c>
      <c r="AM204" s="15" t="str">
        <f aca="false">IF(OR(Q$7="",$BR204=""),"",IF('Tally Helper'!$B$48&lt;&gt;TRUE(),"not on Staff",SUMIFS('Tally Helper'!$L$50:$GI$50,'Tally Helper'!$L$48:$GI$48,"&gt;="&amp;$BR204,'Tally Helper'!$L$48:$GI$48,"&lt;="&amp;$BS204)))</f>
        <v/>
      </c>
      <c r="AN204" s="15" t="str">
        <f aca="false">IF(OR(R$7="",$BR204=""),"",IF('Tally Helper'!$B$51&lt;&gt;TRUE(),"not on Staff",SUMIFS('Tally Helper'!$L$53:$GI$53,'Tally Helper'!$L$51:$GI$51,"&gt;="&amp;$BR204,'Tally Helper'!$L$51:$GI$51,"&lt;="&amp;$BS204)))</f>
        <v/>
      </c>
      <c r="AO204" s="15" t="str">
        <f aca="false">IF(OR(S$7="",$BR204=""),"",IF('Tally Helper'!$B$54&lt;&gt;TRUE(),"not on Staff",SUMIFS('Tally Helper'!$L$56:$GI$56,'Tally Helper'!$L$54:$GI$54,"&gt;="&amp;$BR204,'Tally Helper'!$L$54:$GI$54,"&lt;="&amp;$BS204)))</f>
        <v/>
      </c>
      <c r="AP204" s="15" t="str">
        <f aca="false">IF(OR(T$7="",$BR204=""),"",IF('Tally Helper'!$B$57&lt;&gt;TRUE(),"not on Staff",SUMIFS('Tally Helper'!$L$59:$GI$59,'Tally Helper'!$L$57:$GI$57,"&gt;="&amp;$BR204,'Tally Helper'!$L$57:$GI$57,"&lt;="&amp;$BS204)))</f>
        <v/>
      </c>
      <c r="AQ204" s="15" t="str">
        <f aca="false">IF(OR(U$7="",$BR204=""),"",IF('Tally Helper'!$B$60&lt;&gt;TRUE(),"not on Staff",SUMIFS('Tally Helper'!$L$62:$GI$62,'Tally Helper'!$L$60:$GI$60,"&gt;="&amp;$BR204,'Tally Helper'!$L$60:$GI$60,"&lt;="&amp;$BS204)))</f>
        <v/>
      </c>
      <c r="AT204" s="15" t="str">
        <f aca="false">IF(OR(X204="",NOT(ISNUMBER(X204))),"",X204-N(B204))</f>
        <v/>
      </c>
      <c r="AU204" s="15" t="str">
        <f aca="false">IF(OR(Y204="",NOT(ISNUMBER(Y204))),"",Y204-N(C204))</f>
        <v/>
      </c>
      <c r="AV204" s="15" t="str">
        <f aca="false">IF(OR(Z204="",NOT(ISNUMBER(Z204))),"",Z204-N(D204))</f>
        <v/>
      </c>
      <c r="AW204" s="15" t="str">
        <f aca="false">IF(OR(AA204="",NOT(ISNUMBER(AA204))),"",AA204-N(E204))</f>
        <v/>
      </c>
      <c r="AX204" s="15" t="str">
        <f aca="false">IF(OR(AB204="",NOT(ISNUMBER(AB204))),"",AB204-N(F204))</f>
        <v/>
      </c>
      <c r="AY204" s="15" t="str">
        <f aca="false">IF(OR(AC204="",NOT(ISNUMBER(AC204))),"",AC204-N(G204))</f>
        <v/>
      </c>
      <c r="AZ204" s="15" t="str">
        <f aca="false">IF(OR(AD204="",NOT(ISNUMBER(AD204))),"",AD204-N(H204))</f>
        <v/>
      </c>
      <c r="BA204" s="15" t="str">
        <f aca="false">IF(OR(AE204="",NOT(ISNUMBER(AE204))),"",AE204-N(I204))</f>
        <v/>
      </c>
      <c r="BB204" s="15" t="str">
        <f aca="false">IF(OR(AF204="",NOT(ISNUMBER(AF204))),"",AF204-N(J204))</f>
        <v/>
      </c>
      <c r="BC204" s="15" t="str">
        <f aca="false">IF(OR(AG204="",NOT(ISNUMBER(AG204))),"",AG204-N(K204))</f>
        <v/>
      </c>
      <c r="BD204" s="15" t="str">
        <f aca="false">IF(OR(AH204="",NOT(ISNUMBER(AH204))),"",AH204-N(L204))</f>
        <v/>
      </c>
      <c r="BE204" s="15" t="str">
        <f aca="false">IF(OR(AI204="",NOT(ISNUMBER(AI204))),"",AI204-N(M204))</f>
        <v/>
      </c>
      <c r="BF204" s="15" t="str">
        <f aca="false">IF(OR(AJ204="",NOT(ISNUMBER(AJ204))),"",AJ204-N(N204))</f>
        <v/>
      </c>
      <c r="BG204" s="15" t="str">
        <f aca="false">IF(OR(AK204="",NOT(ISNUMBER(AK204))),"",AK204-N(O204))</f>
        <v/>
      </c>
      <c r="BH204" s="15" t="str">
        <f aca="false">IF(OR(AL204="",NOT(ISNUMBER(AL204))),"",AL204-N(P204))</f>
        <v/>
      </c>
      <c r="BI204" s="15" t="str">
        <f aca="false">IF(OR(AM204="",NOT(ISNUMBER(AM204))),"",AM204-N(Q204))</f>
        <v/>
      </c>
      <c r="BJ204" s="15" t="str">
        <f aca="false">IF(OR(AN204="",NOT(ISNUMBER(AN204))),"",AN204-N(R204))</f>
        <v/>
      </c>
      <c r="BK204" s="15" t="str">
        <f aca="false">IF(OR(AO204="",NOT(ISNUMBER(AO204))),"",AO204-N(S204))</f>
        <v/>
      </c>
      <c r="BL204" s="15" t="str">
        <f aca="false">IF(OR(AP204="",NOT(ISNUMBER(AP204))),"",AP204-N(T204))</f>
        <v/>
      </c>
      <c r="BM204" s="15" t="str">
        <f aca="false">IF(OR(AQ204="",NOT(ISNUMBER(AQ204))),"",AQ204-N(U204))</f>
        <v/>
      </c>
      <c r="BR204" s="18" t="str">
        <f aca="false">IF($A204="","",IF(ISNUMBER($A204),DATE(YEAR($A204),MONTH($A204),1),IFERROR(DATE(2000+VALUE(RIGHT(TRIM($A204),2)),MATCH(UPPER(LEFT(TRIM($A204),3)),{"JAN","FEB","MAR","APR","MAY","JUN","JUL","AUG","SEP","OCT","NOV","DEC"},0),1),"")))</f>
        <v/>
      </c>
      <c r="BS204" s="18" t="str">
        <f aca="false">IF(BR204="","",EOMONTH(BR204,0))</f>
        <v/>
      </c>
    </row>
    <row r="205" customFormat="false" ht="15" hidden="false" customHeight="false" outlineLevel="0" collapsed="false">
      <c r="B205" s="19"/>
      <c r="C205" s="19"/>
      <c r="D205" s="19"/>
      <c r="E205" s="19"/>
      <c r="F205" s="19"/>
      <c r="G205" s="19"/>
      <c r="H205" s="19"/>
      <c r="I205" s="19"/>
      <c r="J205" s="19"/>
      <c r="K205" s="19"/>
      <c r="L205" s="19"/>
      <c r="M205" s="19"/>
      <c r="N205" s="19"/>
      <c r="O205" s="19"/>
      <c r="P205" s="19"/>
      <c r="Q205" s="19"/>
      <c r="R205" s="19"/>
      <c r="S205" s="19"/>
      <c r="T205" s="19"/>
      <c r="U205" s="19"/>
      <c r="X205" s="15" t="str">
        <f aca="false">IF(OR(B$7="",$BR205=""),"",IF('Tally Helper'!$B$3&lt;&gt;TRUE(),"not on Staff",SUMIFS('Tally Helper'!$L$5:$GI$5,'Tally Helper'!$L$3:$GI$3,"&gt;="&amp;$BR205,'Tally Helper'!$L$3:$GI$3,"&lt;="&amp;$BS205)))</f>
        <v/>
      </c>
      <c r="Y205" s="15" t="str">
        <f aca="false">IF(OR(C$7="",$BR205=""),"",IF('Tally Helper'!$B$6&lt;&gt;TRUE(),"not on Staff",SUMIFS('Tally Helper'!$L$8:$GI$8,'Tally Helper'!$L$6:$GI$6,"&gt;="&amp;$BR205,'Tally Helper'!$L$6:$GI$6,"&lt;="&amp;$BS205)))</f>
        <v/>
      </c>
      <c r="Z205" s="15" t="str">
        <f aca="false">IF(OR(D$7="",$BR205=""),"",IF('Tally Helper'!$B$9&lt;&gt;TRUE(),"not on Staff",SUMIFS('Tally Helper'!$L$11:$GI$11,'Tally Helper'!$L$9:$GI$9,"&gt;="&amp;$BR205,'Tally Helper'!$L$9:$GI$9,"&lt;="&amp;$BS205)))</f>
        <v/>
      </c>
      <c r="AA205" s="15" t="str">
        <f aca="false">IF(OR(E$7="",$BR205=""),"",IF('Tally Helper'!$B$12&lt;&gt;TRUE(),"not on Staff",SUMIFS('Tally Helper'!$L$14:$GI$14,'Tally Helper'!$L$12:$GI$12,"&gt;="&amp;$BR205,'Tally Helper'!$L$12:$GI$12,"&lt;="&amp;$BS205)))</f>
        <v/>
      </c>
      <c r="AB205" s="15" t="str">
        <f aca="false">IF(OR(F$7="",$BR205=""),"",IF('Tally Helper'!$B$15&lt;&gt;TRUE(),"not on Staff",SUMIFS('Tally Helper'!$L$17:$GI$17,'Tally Helper'!$L$15:$GI$15,"&gt;="&amp;$BR205,'Tally Helper'!$L$15:$GI$15,"&lt;="&amp;$BS205)))</f>
        <v/>
      </c>
      <c r="AC205" s="15" t="str">
        <f aca="false">IF(OR(G$7="",$BR205=""),"",IF('Tally Helper'!$B$18&lt;&gt;TRUE(),"not on Staff",SUMIFS('Tally Helper'!$L$20:$GI$20,'Tally Helper'!$L$18:$GI$18,"&gt;="&amp;$BR205,'Tally Helper'!$L$18:$GI$18,"&lt;="&amp;$BS205)))</f>
        <v/>
      </c>
      <c r="AD205" s="15" t="str">
        <f aca="false">IF(OR(H$7="",$BR205=""),"",IF('Tally Helper'!$B$21&lt;&gt;TRUE(),"not on Staff",SUMIFS('Tally Helper'!$L$23:$GI$23,'Tally Helper'!$L$21:$GI$21,"&gt;="&amp;$BR205,'Tally Helper'!$L$21:$GI$21,"&lt;="&amp;$BS205)))</f>
        <v/>
      </c>
      <c r="AE205" s="15" t="str">
        <f aca="false">IF(OR(I$7="",$BR205=""),"",IF('Tally Helper'!$B$24&lt;&gt;TRUE(),"not on Staff",SUMIFS('Tally Helper'!$L$26:$GI$26,'Tally Helper'!$L$24:$GI$24,"&gt;="&amp;$BR205,'Tally Helper'!$L$24:$GI$24,"&lt;="&amp;$BS205)))</f>
        <v/>
      </c>
      <c r="AF205" s="15" t="str">
        <f aca="false">IF(OR(J$7="",$BR205=""),"",IF('Tally Helper'!$B$27&lt;&gt;TRUE(),"not on Staff",SUMIFS('Tally Helper'!$L$29:$GI$29,'Tally Helper'!$L$27:$GI$27,"&gt;="&amp;$BR205,'Tally Helper'!$L$27:$GI$27,"&lt;="&amp;$BS205)))</f>
        <v/>
      </c>
      <c r="AG205" s="15" t="str">
        <f aca="false">IF(OR(K$7="",$BR205=""),"",IF('Tally Helper'!$B$30&lt;&gt;TRUE(),"not on Staff",SUMIFS('Tally Helper'!$L$32:$GI$32,'Tally Helper'!$L$30:$GI$30,"&gt;="&amp;$BR205,'Tally Helper'!$L$30:$GI$30,"&lt;="&amp;$BS205)))</f>
        <v/>
      </c>
      <c r="AH205" s="15" t="str">
        <f aca="false">IF(OR(L$7="",$BR205=""),"",IF('Tally Helper'!$B$33&lt;&gt;TRUE(),"not on Staff",SUMIFS('Tally Helper'!$L$35:$GI$35,'Tally Helper'!$L$33:$GI$33,"&gt;="&amp;$BR205,'Tally Helper'!$L$33:$GI$33,"&lt;="&amp;$BS205)))</f>
        <v/>
      </c>
      <c r="AI205" s="15" t="str">
        <f aca="false">IF(OR(M$7="",$BR205=""),"",IF('Tally Helper'!$B$36&lt;&gt;TRUE(),"not on Staff",SUMIFS('Tally Helper'!$L$38:$GI$38,'Tally Helper'!$L$36:$GI$36,"&gt;="&amp;$BR205,'Tally Helper'!$L$36:$GI$36,"&lt;="&amp;$BS205)))</f>
        <v/>
      </c>
      <c r="AJ205" s="15" t="str">
        <f aca="false">IF(OR(N$7="",$BR205=""),"",IF('Tally Helper'!$B$39&lt;&gt;TRUE(),"not on Staff",SUMIFS('Tally Helper'!$L$41:$GI$41,'Tally Helper'!$L$39:$GI$39,"&gt;="&amp;$BR205,'Tally Helper'!$L$39:$GI$39,"&lt;="&amp;$BS205)))</f>
        <v/>
      </c>
      <c r="AK205" s="15" t="str">
        <f aca="false">IF(OR(O$7="",$BR205=""),"",IF('Tally Helper'!$B$42&lt;&gt;TRUE(),"not on Staff",SUMIFS('Tally Helper'!$L$44:$GI$44,'Tally Helper'!$L$42:$GI$42,"&gt;="&amp;$BR205,'Tally Helper'!$L$42:$GI$42,"&lt;="&amp;$BS205)))</f>
        <v/>
      </c>
      <c r="AL205" s="15" t="str">
        <f aca="false">IF(OR(P$7="",$BR205=""),"",IF('Tally Helper'!$B$45&lt;&gt;TRUE(),"not on Staff",SUMIFS('Tally Helper'!$L$47:$GI$47,'Tally Helper'!$L$45:$GI$45,"&gt;="&amp;$BR205,'Tally Helper'!$L$45:$GI$45,"&lt;="&amp;$BS205)))</f>
        <v/>
      </c>
      <c r="AM205" s="15" t="str">
        <f aca="false">IF(OR(Q$7="",$BR205=""),"",IF('Tally Helper'!$B$48&lt;&gt;TRUE(),"not on Staff",SUMIFS('Tally Helper'!$L$50:$GI$50,'Tally Helper'!$L$48:$GI$48,"&gt;="&amp;$BR205,'Tally Helper'!$L$48:$GI$48,"&lt;="&amp;$BS205)))</f>
        <v/>
      </c>
      <c r="AN205" s="15" t="str">
        <f aca="false">IF(OR(R$7="",$BR205=""),"",IF('Tally Helper'!$B$51&lt;&gt;TRUE(),"not on Staff",SUMIFS('Tally Helper'!$L$53:$GI$53,'Tally Helper'!$L$51:$GI$51,"&gt;="&amp;$BR205,'Tally Helper'!$L$51:$GI$51,"&lt;="&amp;$BS205)))</f>
        <v/>
      </c>
      <c r="AO205" s="15" t="str">
        <f aca="false">IF(OR(S$7="",$BR205=""),"",IF('Tally Helper'!$B$54&lt;&gt;TRUE(),"not on Staff",SUMIFS('Tally Helper'!$L$56:$GI$56,'Tally Helper'!$L$54:$GI$54,"&gt;="&amp;$BR205,'Tally Helper'!$L$54:$GI$54,"&lt;="&amp;$BS205)))</f>
        <v/>
      </c>
      <c r="AP205" s="15" t="str">
        <f aca="false">IF(OR(T$7="",$BR205=""),"",IF('Tally Helper'!$B$57&lt;&gt;TRUE(),"not on Staff",SUMIFS('Tally Helper'!$L$59:$GI$59,'Tally Helper'!$L$57:$GI$57,"&gt;="&amp;$BR205,'Tally Helper'!$L$57:$GI$57,"&lt;="&amp;$BS205)))</f>
        <v/>
      </c>
      <c r="AQ205" s="15" t="str">
        <f aca="false">IF(OR(U$7="",$BR205=""),"",IF('Tally Helper'!$B$60&lt;&gt;TRUE(),"not on Staff",SUMIFS('Tally Helper'!$L$62:$GI$62,'Tally Helper'!$L$60:$GI$60,"&gt;="&amp;$BR205,'Tally Helper'!$L$60:$GI$60,"&lt;="&amp;$BS205)))</f>
        <v/>
      </c>
      <c r="AT205" s="15" t="str">
        <f aca="false">IF(OR(X205="",NOT(ISNUMBER(X205))),"",X205-N(B205))</f>
        <v/>
      </c>
      <c r="AU205" s="15" t="str">
        <f aca="false">IF(OR(Y205="",NOT(ISNUMBER(Y205))),"",Y205-N(C205))</f>
        <v/>
      </c>
      <c r="AV205" s="15" t="str">
        <f aca="false">IF(OR(Z205="",NOT(ISNUMBER(Z205))),"",Z205-N(D205))</f>
        <v/>
      </c>
      <c r="AW205" s="15" t="str">
        <f aca="false">IF(OR(AA205="",NOT(ISNUMBER(AA205))),"",AA205-N(E205))</f>
        <v/>
      </c>
      <c r="AX205" s="15" t="str">
        <f aca="false">IF(OR(AB205="",NOT(ISNUMBER(AB205))),"",AB205-N(F205))</f>
        <v/>
      </c>
      <c r="AY205" s="15" t="str">
        <f aca="false">IF(OR(AC205="",NOT(ISNUMBER(AC205))),"",AC205-N(G205))</f>
        <v/>
      </c>
      <c r="AZ205" s="15" t="str">
        <f aca="false">IF(OR(AD205="",NOT(ISNUMBER(AD205))),"",AD205-N(H205))</f>
        <v/>
      </c>
      <c r="BA205" s="15" t="str">
        <f aca="false">IF(OR(AE205="",NOT(ISNUMBER(AE205))),"",AE205-N(I205))</f>
        <v/>
      </c>
      <c r="BB205" s="15" t="str">
        <f aca="false">IF(OR(AF205="",NOT(ISNUMBER(AF205))),"",AF205-N(J205))</f>
        <v/>
      </c>
      <c r="BC205" s="15" t="str">
        <f aca="false">IF(OR(AG205="",NOT(ISNUMBER(AG205))),"",AG205-N(K205))</f>
        <v/>
      </c>
      <c r="BD205" s="15" t="str">
        <f aca="false">IF(OR(AH205="",NOT(ISNUMBER(AH205))),"",AH205-N(L205))</f>
        <v/>
      </c>
      <c r="BE205" s="15" t="str">
        <f aca="false">IF(OR(AI205="",NOT(ISNUMBER(AI205))),"",AI205-N(M205))</f>
        <v/>
      </c>
      <c r="BF205" s="15" t="str">
        <f aca="false">IF(OR(AJ205="",NOT(ISNUMBER(AJ205))),"",AJ205-N(N205))</f>
        <v/>
      </c>
      <c r="BG205" s="15" t="str">
        <f aca="false">IF(OR(AK205="",NOT(ISNUMBER(AK205))),"",AK205-N(O205))</f>
        <v/>
      </c>
      <c r="BH205" s="15" t="str">
        <f aca="false">IF(OR(AL205="",NOT(ISNUMBER(AL205))),"",AL205-N(P205))</f>
        <v/>
      </c>
      <c r="BI205" s="15" t="str">
        <f aca="false">IF(OR(AM205="",NOT(ISNUMBER(AM205))),"",AM205-N(Q205))</f>
        <v/>
      </c>
      <c r="BJ205" s="15" t="str">
        <f aca="false">IF(OR(AN205="",NOT(ISNUMBER(AN205))),"",AN205-N(R205))</f>
        <v/>
      </c>
      <c r="BK205" s="15" t="str">
        <f aca="false">IF(OR(AO205="",NOT(ISNUMBER(AO205))),"",AO205-N(S205))</f>
        <v/>
      </c>
      <c r="BL205" s="15" t="str">
        <f aca="false">IF(OR(AP205="",NOT(ISNUMBER(AP205))),"",AP205-N(T205))</f>
        <v/>
      </c>
      <c r="BM205" s="15" t="str">
        <f aca="false">IF(OR(AQ205="",NOT(ISNUMBER(AQ205))),"",AQ205-N(U205))</f>
        <v/>
      </c>
      <c r="BR205" s="18" t="str">
        <f aca="false">IF($A205="","",IF(ISNUMBER($A205),DATE(YEAR($A205),MONTH($A205),1),IFERROR(DATE(2000+VALUE(RIGHT(TRIM($A205),2)),MATCH(UPPER(LEFT(TRIM($A205),3)),{"JAN","FEB","MAR","APR","MAY","JUN","JUL","AUG","SEP","OCT","NOV","DEC"},0),1),"")))</f>
        <v/>
      </c>
      <c r="BS205" s="18" t="str">
        <f aca="false">IF(BR205="","",EOMONTH(BR205,0))</f>
        <v/>
      </c>
    </row>
    <row r="206" customFormat="false" ht="15" hidden="false" customHeight="false" outlineLevel="0" collapsed="false">
      <c r="B206" s="19"/>
      <c r="C206" s="19"/>
      <c r="D206" s="19"/>
      <c r="E206" s="19"/>
      <c r="F206" s="19"/>
      <c r="G206" s="19"/>
      <c r="H206" s="19"/>
      <c r="I206" s="19"/>
      <c r="J206" s="19"/>
      <c r="K206" s="19"/>
      <c r="L206" s="19"/>
      <c r="M206" s="19"/>
      <c r="N206" s="19"/>
      <c r="O206" s="19"/>
      <c r="P206" s="19"/>
      <c r="Q206" s="19"/>
      <c r="R206" s="19"/>
      <c r="S206" s="19"/>
      <c r="T206" s="19"/>
      <c r="U206" s="19"/>
      <c r="X206" s="15" t="str">
        <f aca="false">IF(OR(B$7="",$BR206=""),"",IF('Tally Helper'!$B$3&lt;&gt;TRUE(),"not on Staff",SUMIFS('Tally Helper'!$L$5:$GI$5,'Tally Helper'!$L$3:$GI$3,"&gt;="&amp;$BR206,'Tally Helper'!$L$3:$GI$3,"&lt;="&amp;$BS206)))</f>
        <v/>
      </c>
      <c r="Y206" s="15" t="str">
        <f aca="false">IF(OR(C$7="",$BR206=""),"",IF('Tally Helper'!$B$6&lt;&gt;TRUE(),"not on Staff",SUMIFS('Tally Helper'!$L$8:$GI$8,'Tally Helper'!$L$6:$GI$6,"&gt;="&amp;$BR206,'Tally Helper'!$L$6:$GI$6,"&lt;="&amp;$BS206)))</f>
        <v/>
      </c>
      <c r="Z206" s="15" t="str">
        <f aca="false">IF(OR(D$7="",$BR206=""),"",IF('Tally Helper'!$B$9&lt;&gt;TRUE(),"not on Staff",SUMIFS('Tally Helper'!$L$11:$GI$11,'Tally Helper'!$L$9:$GI$9,"&gt;="&amp;$BR206,'Tally Helper'!$L$9:$GI$9,"&lt;="&amp;$BS206)))</f>
        <v/>
      </c>
      <c r="AA206" s="15" t="str">
        <f aca="false">IF(OR(E$7="",$BR206=""),"",IF('Tally Helper'!$B$12&lt;&gt;TRUE(),"not on Staff",SUMIFS('Tally Helper'!$L$14:$GI$14,'Tally Helper'!$L$12:$GI$12,"&gt;="&amp;$BR206,'Tally Helper'!$L$12:$GI$12,"&lt;="&amp;$BS206)))</f>
        <v/>
      </c>
      <c r="AB206" s="15" t="str">
        <f aca="false">IF(OR(F$7="",$BR206=""),"",IF('Tally Helper'!$B$15&lt;&gt;TRUE(),"not on Staff",SUMIFS('Tally Helper'!$L$17:$GI$17,'Tally Helper'!$L$15:$GI$15,"&gt;="&amp;$BR206,'Tally Helper'!$L$15:$GI$15,"&lt;="&amp;$BS206)))</f>
        <v/>
      </c>
      <c r="AC206" s="15" t="str">
        <f aca="false">IF(OR(G$7="",$BR206=""),"",IF('Tally Helper'!$B$18&lt;&gt;TRUE(),"not on Staff",SUMIFS('Tally Helper'!$L$20:$GI$20,'Tally Helper'!$L$18:$GI$18,"&gt;="&amp;$BR206,'Tally Helper'!$L$18:$GI$18,"&lt;="&amp;$BS206)))</f>
        <v/>
      </c>
      <c r="AD206" s="15" t="str">
        <f aca="false">IF(OR(H$7="",$BR206=""),"",IF('Tally Helper'!$B$21&lt;&gt;TRUE(),"not on Staff",SUMIFS('Tally Helper'!$L$23:$GI$23,'Tally Helper'!$L$21:$GI$21,"&gt;="&amp;$BR206,'Tally Helper'!$L$21:$GI$21,"&lt;="&amp;$BS206)))</f>
        <v/>
      </c>
      <c r="AE206" s="15" t="str">
        <f aca="false">IF(OR(I$7="",$BR206=""),"",IF('Tally Helper'!$B$24&lt;&gt;TRUE(),"not on Staff",SUMIFS('Tally Helper'!$L$26:$GI$26,'Tally Helper'!$L$24:$GI$24,"&gt;="&amp;$BR206,'Tally Helper'!$L$24:$GI$24,"&lt;="&amp;$BS206)))</f>
        <v/>
      </c>
      <c r="AF206" s="15" t="str">
        <f aca="false">IF(OR(J$7="",$BR206=""),"",IF('Tally Helper'!$B$27&lt;&gt;TRUE(),"not on Staff",SUMIFS('Tally Helper'!$L$29:$GI$29,'Tally Helper'!$L$27:$GI$27,"&gt;="&amp;$BR206,'Tally Helper'!$L$27:$GI$27,"&lt;="&amp;$BS206)))</f>
        <v/>
      </c>
      <c r="AG206" s="15" t="str">
        <f aca="false">IF(OR(K$7="",$BR206=""),"",IF('Tally Helper'!$B$30&lt;&gt;TRUE(),"not on Staff",SUMIFS('Tally Helper'!$L$32:$GI$32,'Tally Helper'!$L$30:$GI$30,"&gt;="&amp;$BR206,'Tally Helper'!$L$30:$GI$30,"&lt;="&amp;$BS206)))</f>
        <v/>
      </c>
      <c r="AH206" s="15" t="str">
        <f aca="false">IF(OR(L$7="",$BR206=""),"",IF('Tally Helper'!$B$33&lt;&gt;TRUE(),"not on Staff",SUMIFS('Tally Helper'!$L$35:$GI$35,'Tally Helper'!$L$33:$GI$33,"&gt;="&amp;$BR206,'Tally Helper'!$L$33:$GI$33,"&lt;="&amp;$BS206)))</f>
        <v/>
      </c>
      <c r="AI206" s="15" t="str">
        <f aca="false">IF(OR(M$7="",$BR206=""),"",IF('Tally Helper'!$B$36&lt;&gt;TRUE(),"not on Staff",SUMIFS('Tally Helper'!$L$38:$GI$38,'Tally Helper'!$L$36:$GI$36,"&gt;="&amp;$BR206,'Tally Helper'!$L$36:$GI$36,"&lt;="&amp;$BS206)))</f>
        <v/>
      </c>
      <c r="AJ206" s="15" t="str">
        <f aca="false">IF(OR(N$7="",$BR206=""),"",IF('Tally Helper'!$B$39&lt;&gt;TRUE(),"not on Staff",SUMIFS('Tally Helper'!$L$41:$GI$41,'Tally Helper'!$L$39:$GI$39,"&gt;="&amp;$BR206,'Tally Helper'!$L$39:$GI$39,"&lt;="&amp;$BS206)))</f>
        <v/>
      </c>
      <c r="AK206" s="15" t="str">
        <f aca="false">IF(OR(O$7="",$BR206=""),"",IF('Tally Helper'!$B$42&lt;&gt;TRUE(),"not on Staff",SUMIFS('Tally Helper'!$L$44:$GI$44,'Tally Helper'!$L$42:$GI$42,"&gt;="&amp;$BR206,'Tally Helper'!$L$42:$GI$42,"&lt;="&amp;$BS206)))</f>
        <v/>
      </c>
      <c r="AL206" s="15" t="str">
        <f aca="false">IF(OR(P$7="",$BR206=""),"",IF('Tally Helper'!$B$45&lt;&gt;TRUE(),"not on Staff",SUMIFS('Tally Helper'!$L$47:$GI$47,'Tally Helper'!$L$45:$GI$45,"&gt;="&amp;$BR206,'Tally Helper'!$L$45:$GI$45,"&lt;="&amp;$BS206)))</f>
        <v/>
      </c>
      <c r="AM206" s="15" t="str">
        <f aca="false">IF(OR(Q$7="",$BR206=""),"",IF('Tally Helper'!$B$48&lt;&gt;TRUE(),"not on Staff",SUMIFS('Tally Helper'!$L$50:$GI$50,'Tally Helper'!$L$48:$GI$48,"&gt;="&amp;$BR206,'Tally Helper'!$L$48:$GI$48,"&lt;="&amp;$BS206)))</f>
        <v/>
      </c>
      <c r="AN206" s="15" t="str">
        <f aca="false">IF(OR(R$7="",$BR206=""),"",IF('Tally Helper'!$B$51&lt;&gt;TRUE(),"not on Staff",SUMIFS('Tally Helper'!$L$53:$GI$53,'Tally Helper'!$L$51:$GI$51,"&gt;="&amp;$BR206,'Tally Helper'!$L$51:$GI$51,"&lt;="&amp;$BS206)))</f>
        <v/>
      </c>
      <c r="AO206" s="15" t="str">
        <f aca="false">IF(OR(S$7="",$BR206=""),"",IF('Tally Helper'!$B$54&lt;&gt;TRUE(),"not on Staff",SUMIFS('Tally Helper'!$L$56:$GI$56,'Tally Helper'!$L$54:$GI$54,"&gt;="&amp;$BR206,'Tally Helper'!$L$54:$GI$54,"&lt;="&amp;$BS206)))</f>
        <v/>
      </c>
      <c r="AP206" s="15" t="str">
        <f aca="false">IF(OR(T$7="",$BR206=""),"",IF('Tally Helper'!$B$57&lt;&gt;TRUE(),"not on Staff",SUMIFS('Tally Helper'!$L$59:$GI$59,'Tally Helper'!$L$57:$GI$57,"&gt;="&amp;$BR206,'Tally Helper'!$L$57:$GI$57,"&lt;="&amp;$BS206)))</f>
        <v/>
      </c>
      <c r="AQ206" s="15" t="str">
        <f aca="false">IF(OR(U$7="",$BR206=""),"",IF('Tally Helper'!$B$60&lt;&gt;TRUE(),"not on Staff",SUMIFS('Tally Helper'!$L$62:$GI$62,'Tally Helper'!$L$60:$GI$60,"&gt;="&amp;$BR206,'Tally Helper'!$L$60:$GI$60,"&lt;="&amp;$BS206)))</f>
        <v/>
      </c>
      <c r="AT206" s="15" t="str">
        <f aca="false">IF(OR(X206="",NOT(ISNUMBER(X206))),"",X206-N(B206))</f>
        <v/>
      </c>
      <c r="AU206" s="15" t="str">
        <f aca="false">IF(OR(Y206="",NOT(ISNUMBER(Y206))),"",Y206-N(C206))</f>
        <v/>
      </c>
      <c r="AV206" s="15" t="str">
        <f aca="false">IF(OR(Z206="",NOT(ISNUMBER(Z206))),"",Z206-N(D206))</f>
        <v/>
      </c>
      <c r="AW206" s="15" t="str">
        <f aca="false">IF(OR(AA206="",NOT(ISNUMBER(AA206))),"",AA206-N(E206))</f>
        <v/>
      </c>
      <c r="AX206" s="15" t="str">
        <f aca="false">IF(OR(AB206="",NOT(ISNUMBER(AB206))),"",AB206-N(F206))</f>
        <v/>
      </c>
      <c r="AY206" s="15" t="str">
        <f aca="false">IF(OR(AC206="",NOT(ISNUMBER(AC206))),"",AC206-N(G206))</f>
        <v/>
      </c>
      <c r="AZ206" s="15" t="str">
        <f aca="false">IF(OR(AD206="",NOT(ISNUMBER(AD206))),"",AD206-N(H206))</f>
        <v/>
      </c>
      <c r="BA206" s="15" t="str">
        <f aca="false">IF(OR(AE206="",NOT(ISNUMBER(AE206))),"",AE206-N(I206))</f>
        <v/>
      </c>
      <c r="BB206" s="15" t="str">
        <f aca="false">IF(OR(AF206="",NOT(ISNUMBER(AF206))),"",AF206-N(J206))</f>
        <v/>
      </c>
      <c r="BC206" s="15" t="str">
        <f aca="false">IF(OR(AG206="",NOT(ISNUMBER(AG206))),"",AG206-N(K206))</f>
        <v/>
      </c>
      <c r="BD206" s="15" t="str">
        <f aca="false">IF(OR(AH206="",NOT(ISNUMBER(AH206))),"",AH206-N(L206))</f>
        <v/>
      </c>
      <c r="BE206" s="15" t="str">
        <f aca="false">IF(OR(AI206="",NOT(ISNUMBER(AI206))),"",AI206-N(M206))</f>
        <v/>
      </c>
      <c r="BF206" s="15" t="str">
        <f aca="false">IF(OR(AJ206="",NOT(ISNUMBER(AJ206))),"",AJ206-N(N206))</f>
        <v/>
      </c>
      <c r="BG206" s="15" t="str">
        <f aca="false">IF(OR(AK206="",NOT(ISNUMBER(AK206))),"",AK206-N(O206))</f>
        <v/>
      </c>
      <c r="BH206" s="15" t="str">
        <f aca="false">IF(OR(AL206="",NOT(ISNUMBER(AL206))),"",AL206-N(P206))</f>
        <v/>
      </c>
      <c r="BI206" s="15" t="str">
        <f aca="false">IF(OR(AM206="",NOT(ISNUMBER(AM206))),"",AM206-N(Q206))</f>
        <v/>
      </c>
      <c r="BJ206" s="15" t="str">
        <f aca="false">IF(OR(AN206="",NOT(ISNUMBER(AN206))),"",AN206-N(R206))</f>
        <v/>
      </c>
      <c r="BK206" s="15" t="str">
        <f aca="false">IF(OR(AO206="",NOT(ISNUMBER(AO206))),"",AO206-N(S206))</f>
        <v/>
      </c>
      <c r="BL206" s="15" t="str">
        <f aca="false">IF(OR(AP206="",NOT(ISNUMBER(AP206))),"",AP206-N(T206))</f>
        <v/>
      </c>
      <c r="BM206" s="15" t="str">
        <f aca="false">IF(OR(AQ206="",NOT(ISNUMBER(AQ206))),"",AQ206-N(U206))</f>
        <v/>
      </c>
      <c r="BR206" s="18" t="str">
        <f aca="false">IF($A206="","",IF(ISNUMBER($A206),DATE(YEAR($A206),MONTH($A206),1),IFERROR(DATE(2000+VALUE(RIGHT(TRIM($A206),2)),MATCH(UPPER(LEFT(TRIM($A206),3)),{"JAN","FEB","MAR","APR","MAY","JUN","JUL","AUG","SEP","OCT","NOV","DEC"},0),1),"")))</f>
        <v/>
      </c>
      <c r="BS206" s="18" t="str">
        <f aca="false">IF(BR206="","",EOMONTH(BR206,0))</f>
        <v/>
      </c>
    </row>
    <row r="207" customFormat="false" ht="15" hidden="false" customHeight="false" outlineLevel="0" collapsed="false">
      <c r="B207" s="19"/>
      <c r="C207" s="19"/>
      <c r="D207" s="19"/>
      <c r="E207" s="19"/>
      <c r="F207" s="19"/>
      <c r="G207" s="19"/>
      <c r="H207" s="19"/>
      <c r="I207" s="19"/>
      <c r="J207" s="19"/>
      <c r="K207" s="19"/>
      <c r="L207" s="19"/>
      <c r="M207" s="19"/>
      <c r="N207" s="19"/>
      <c r="O207" s="19"/>
      <c r="P207" s="19"/>
      <c r="Q207" s="19"/>
      <c r="R207" s="19"/>
      <c r="S207" s="19"/>
      <c r="T207" s="19"/>
      <c r="U207" s="19"/>
      <c r="X207" s="15" t="str">
        <f aca="false">IF(OR(B$7="",$BR207=""),"",IF('Tally Helper'!$B$3&lt;&gt;TRUE(),"not on Staff",SUMIFS('Tally Helper'!$L$5:$GI$5,'Tally Helper'!$L$3:$GI$3,"&gt;="&amp;$BR207,'Tally Helper'!$L$3:$GI$3,"&lt;="&amp;$BS207)))</f>
        <v/>
      </c>
      <c r="Y207" s="15" t="str">
        <f aca="false">IF(OR(C$7="",$BR207=""),"",IF('Tally Helper'!$B$6&lt;&gt;TRUE(),"not on Staff",SUMIFS('Tally Helper'!$L$8:$GI$8,'Tally Helper'!$L$6:$GI$6,"&gt;="&amp;$BR207,'Tally Helper'!$L$6:$GI$6,"&lt;="&amp;$BS207)))</f>
        <v/>
      </c>
      <c r="Z207" s="15" t="str">
        <f aca="false">IF(OR(D$7="",$BR207=""),"",IF('Tally Helper'!$B$9&lt;&gt;TRUE(),"not on Staff",SUMIFS('Tally Helper'!$L$11:$GI$11,'Tally Helper'!$L$9:$GI$9,"&gt;="&amp;$BR207,'Tally Helper'!$L$9:$GI$9,"&lt;="&amp;$BS207)))</f>
        <v/>
      </c>
      <c r="AA207" s="15" t="str">
        <f aca="false">IF(OR(E$7="",$BR207=""),"",IF('Tally Helper'!$B$12&lt;&gt;TRUE(),"not on Staff",SUMIFS('Tally Helper'!$L$14:$GI$14,'Tally Helper'!$L$12:$GI$12,"&gt;="&amp;$BR207,'Tally Helper'!$L$12:$GI$12,"&lt;="&amp;$BS207)))</f>
        <v/>
      </c>
      <c r="AB207" s="15" t="str">
        <f aca="false">IF(OR(F$7="",$BR207=""),"",IF('Tally Helper'!$B$15&lt;&gt;TRUE(),"not on Staff",SUMIFS('Tally Helper'!$L$17:$GI$17,'Tally Helper'!$L$15:$GI$15,"&gt;="&amp;$BR207,'Tally Helper'!$L$15:$GI$15,"&lt;="&amp;$BS207)))</f>
        <v/>
      </c>
      <c r="AC207" s="15" t="str">
        <f aca="false">IF(OR(G$7="",$BR207=""),"",IF('Tally Helper'!$B$18&lt;&gt;TRUE(),"not on Staff",SUMIFS('Tally Helper'!$L$20:$GI$20,'Tally Helper'!$L$18:$GI$18,"&gt;="&amp;$BR207,'Tally Helper'!$L$18:$GI$18,"&lt;="&amp;$BS207)))</f>
        <v/>
      </c>
      <c r="AD207" s="15" t="str">
        <f aca="false">IF(OR(H$7="",$BR207=""),"",IF('Tally Helper'!$B$21&lt;&gt;TRUE(),"not on Staff",SUMIFS('Tally Helper'!$L$23:$GI$23,'Tally Helper'!$L$21:$GI$21,"&gt;="&amp;$BR207,'Tally Helper'!$L$21:$GI$21,"&lt;="&amp;$BS207)))</f>
        <v/>
      </c>
      <c r="AE207" s="15" t="str">
        <f aca="false">IF(OR(I$7="",$BR207=""),"",IF('Tally Helper'!$B$24&lt;&gt;TRUE(),"not on Staff",SUMIFS('Tally Helper'!$L$26:$GI$26,'Tally Helper'!$L$24:$GI$24,"&gt;="&amp;$BR207,'Tally Helper'!$L$24:$GI$24,"&lt;="&amp;$BS207)))</f>
        <v/>
      </c>
      <c r="AF207" s="15" t="str">
        <f aca="false">IF(OR(J$7="",$BR207=""),"",IF('Tally Helper'!$B$27&lt;&gt;TRUE(),"not on Staff",SUMIFS('Tally Helper'!$L$29:$GI$29,'Tally Helper'!$L$27:$GI$27,"&gt;="&amp;$BR207,'Tally Helper'!$L$27:$GI$27,"&lt;="&amp;$BS207)))</f>
        <v/>
      </c>
      <c r="AG207" s="15" t="str">
        <f aca="false">IF(OR(K$7="",$BR207=""),"",IF('Tally Helper'!$B$30&lt;&gt;TRUE(),"not on Staff",SUMIFS('Tally Helper'!$L$32:$GI$32,'Tally Helper'!$L$30:$GI$30,"&gt;="&amp;$BR207,'Tally Helper'!$L$30:$GI$30,"&lt;="&amp;$BS207)))</f>
        <v/>
      </c>
      <c r="AH207" s="15" t="str">
        <f aca="false">IF(OR(L$7="",$BR207=""),"",IF('Tally Helper'!$B$33&lt;&gt;TRUE(),"not on Staff",SUMIFS('Tally Helper'!$L$35:$GI$35,'Tally Helper'!$L$33:$GI$33,"&gt;="&amp;$BR207,'Tally Helper'!$L$33:$GI$33,"&lt;="&amp;$BS207)))</f>
        <v/>
      </c>
      <c r="AI207" s="15" t="str">
        <f aca="false">IF(OR(M$7="",$BR207=""),"",IF('Tally Helper'!$B$36&lt;&gt;TRUE(),"not on Staff",SUMIFS('Tally Helper'!$L$38:$GI$38,'Tally Helper'!$L$36:$GI$36,"&gt;="&amp;$BR207,'Tally Helper'!$L$36:$GI$36,"&lt;="&amp;$BS207)))</f>
        <v/>
      </c>
      <c r="AJ207" s="15" t="str">
        <f aca="false">IF(OR(N$7="",$BR207=""),"",IF('Tally Helper'!$B$39&lt;&gt;TRUE(),"not on Staff",SUMIFS('Tally Helper'!$L$41:$GI$41,'Tally Helper'!$L$39:$GI$39,"&gt;="&amp;$BR207,'Tally Helper'!$L$39:$GI$39,"&lt;="&amp;$BS207)))</f>
        <v/>
      </c>
      <c r="AK207" s="15" t="str">
        <f aca="false">IF(OR(O$7="",$BR207=""),"",IF('Tally Helper'!$B$42&lt;&gt;TRUE(),"not on Staff",SUMIFS('Tally Helper'!$L$44:$GI$44,'Tally Helper'!$L$42:$GI$42,"&gt;="&amp;$BR207,'Tally Helper'!$L$42:$GI$42,"&lt;="&amp;$BS207)))</f>
        <v/>
      </c>
      <c r="AL207" s="15" t="str">
        <f aca="false">IF(OR(P$7="",$BR207=""),"",IF('Tally Helper'!$B$45&lt;&gt;TRUE(),"not on Staff",SUMIFS('Tally Helper'!$L$47:$GI$47,'Tally Helper'!$L$45:$GI$45,"&gt;="&amp;$BR207,'Tally Helper'!$L$45:$GI$45,"&lt;="&amp;$BS207)))</f>
        <v/>
      </c>
      <c r="AM207" s="15" t="str">
        <f aca="false">IF(OR(Q$7="",$BR207=""),"",IF('Tally Helper'!$B$48&lt;&gt;TRUE(),"not on Staff",SUMIFS('Tally Helper'!$L$50:$GI$50,'Tally Helper'!$L$48:$GI$48,"&gt;="&amp;$BR207,'Tally Helper'!$L$48:$GI$48,"&lt;="&amp;$BS207)))</f>
        <v/>
      </c>
      <c r="AN207" s="15" t="str">
        <f aca="false">IF(OR(R$7="",$BR207=""),"",IF('Tally Helper'!$B$51&lt;&gt;TRUE(),"not on Staff",SUMIFS('Tally Helper'!$L$53:$GI$53,'Tally Helper'!$L$51:$GI$51,"&gt;="&amp;$BR207,'Tally Helper'!$L$51:$GI$51,"&lt;="&amp;$BS207)))</f>
        <v/>
      </c>
      <c r="AO207" s="15" t="str">
        <f aca="false">IF(OR(S$7="",$BR207=""),"",IF('Tally Helper'!$B$54&lt;&gt;TRUE(),"not on Staff",SUMIFS('Tally Helper'!$L$56:$GI$56,'Tally Helper'!$L$54:$GI$54,"&gt;="&amp;$BR207,'Tally Helper'!$L$54:$GI$54,"&lt;="&amp;$BS207)))</f>
        <v/>
      </c>
      <c r="AP207" s="15" t="str">
        <f aca="false">IF(OR(T$7="",$BR207=""),"",IF('Tally Helper'!$B$57&lt;&gt;TRUE(),"not on Staff",SUMIFS('Tally Helper'!$L$59:$GI$59,'Tally Helper'!$L$57:$GI$57,"&gt;="&amp;$BR207,'Tally Helper'!$L$57:$GI$57,"&lt;="&amp;$BS207)))</f>
        <v/>
      </c>
      <c r="AQ207" s="15" t="str">
        <f aca="false">IF(OR(U$7="",$BR207=""),"",IF('Tally Helper'!$B$60&lt;&gt;TRUE(),"not on Staff",SUMIFS('Tally Helper'!$L$62:$GI$62,'Tally Helper'!$L$60:$GI$60,"&gt;="&amp;$BR207,'Tally Helper'!$L$60:$GI$60,"&lt;="&amp;$BS207)))</f>
        <v/>
      </c>
      <c r="AT207" s="15" t="str">
        <f aca="false">IF(OR(X207="",NOT(ISNUMBER(X207))),"",X207-N(B207))</f>
        <v/>
      </c>
      <c r="AU207" s="15" t="str">
        <f aca="false">IF(OR(Y207="",NOT(ISNUMBER(Y207))),"",Y207-N(C207))</f>
        <v/>
      </c>
      <c r="AV207" s="15" t="str">
        <f aca="false">IF(OR(Z207="",NOT(ISNUMBER(Z207))),"",Z207-N(D207))</f>
        <v/>
      </c>
      <c r="AW207" s="15" t="str">
        <f aca="false">IF(OR(AA207="",NOT(ISNUMBER(AA207))),"",AA207-N(E207))</f>
        <v/>
      </c>
      <c r="AX207" s="15" t="str">
        <f aca="false">IF(OR(AB207="",NOT(ISNUMBER(AB207))),"",AB207-N(F207))</f>
        <v/>
      </c>
      <c r="AY207" s="15" t="str">
        <f aca="false">IF(OR(AC207="",NOT(ISNUMBER(AC207))),"",AC207-N(G207))</f>
        <v/>
      </c>
      <c r="AZ207" s="15" t="str">
        <f aca="false">IF(OR(AD207="",NOT(ISNUMBER(AD207))),"",AD207-N(H207))</f>
        <v/>
      </c>
      <c r="BA207" s="15" t="str">
        <f aca="false">IF(OR(AE207="",NOT(ISNUMBER(AE207))),"",AE207-N(I207))</f>
        <v/>
      </c>
      <c r="BB207" s="15" t="str">
        <f aca="false">IF(OR(AF207="",NOT(ISNUMBER(AF207))),"",AF207-N(J207))</f>
        <v/>
      </c>
      <c r="BC207" s="15" t="str">
        <f aca="false">IF(OR(AG207="",NOT(ISNUMBER(AG207))),"",AG207-N(K207))</f>
        <v/>
      </c>
      <c r="BD207" s="15" t="str">
        <f aca="false">IF(OR(AH207="",NOT(ISNUMBER(AH207))),"",AH207-N(L207))</f>
        <v/>
      </c>
      <c r="BE207" s="15" t="str">
        <f aca="false">IF(OR(AI207="",NOT(ISNUMBER(AI207))),"",AI207-N(M207))</f>
        <v/>
      </c>
      <c r="BF207" s="15" t="str">
        <f aca="false">IF(OR(AJ207="",NOT(ISNUMBER(AJ207))),"",AJ207-N(N207))</f>
        <v/>
      </c>
      <c r="BG207" s="15" t="str">
        <f aca="false">IF(OR(AK207="",NOT(ISNUMBER(AK207))),"",AK207-N(O207))</f>
        <v/>
      </c>
      <c r="BH207" s="15" t="str">
        <f aca="false">IF(OR(AL207="",NOT(ISNUMBER(AL207))),"",AL207-N(P207))</f>
        <v/>
      </c>
      <c r="BI207" s="15" t="str">
        <f aca="false">IF(OR(AM207="",NOT(ISNUMBER(AM207))),"",AM207-N(Q207))</f>
        <v/>
      </c>
      <c r="BJ207" s="15" t="str">
        <f aca="false">IF(OR(AN207="",NOT(ISNUMBER(AN207))),"",AN207-N(R207))</f>
        <v/>
      </c>
      <c r="BK207" s="15" t="str">
        <f aca="false">IF(OR(AO207="",NOT(ISNUMBER(AO207))),"",AO207-N(S207))</f>
        <v/>
      </c>
      <c r="BL207" s="15" t="str">
        <f aca="false">IF(OR(AP207="",NOT(ISNUMBER(AP207))),"",AP207-N(T207))</f>
        <v/>
      </c>
      <c r="BM207" s="15" t="str">
        <f aca="false">IF(OR(AQ207="",NOT(ISNUMBER(AQ207))),"",AQ207-N(U207))</f>
        <v/>
      </c>
      <c r="BR207" s="18" t="str">
        <f aca="false">IF($A207="","",IF(ISNUMBER($A207),DATE(YEAR($A207),MONTH($A207),1),IFERROR(DATE(2000+VALUE(RIGHT(TRIM($A207),2)),MATCH(UPPER(LEFT(TRIM($A207),3)),{"JAN","FEB","MAR","APR","MAY","JUN","JUL","AUG","SEP","OCT","NOV","DEC"},0),1),"")))</f>
        <v/>
      </c>
      <c r="BS207" s="18"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154</v>
      </c>
    </row>
    <row r="4" customFormat="false" ht="15" hidden="false" customHeight="false" outlineLevel="0" collapsed="false">
      <c r="B4" s="6" t="s">
        <v>155</v>
      </c>
      <c r="C4" s="6" t="s">
        <v>156</v>
      </c>
    </row>
    <row r="5" customFormat="false" ht="15" hidden="false" customHeight="false" outlineLevel="0" collapsed="false">
      <c r="B5" s="20" t="s">
        <v>109</v>
      </c>
      <c r="C5" s="11" t="n">
        <f aca="true">TODAY()</f>
        <v>46303</v>
      </c>
      <c r="F5" s="2" t="s">
        <v>157</v>
      </c>
    </row>
    <row r="6" customFormat="false" ht="15" hidden="false" customHeight="false" outlineLevel="0" collapsed="false">
      <c r="B6" s="20" t="s">
        <v>158</v>
      </c>
      <c r="C6" s="11" t="n">
        <v>43646</v>
      </c>
      <c r="F6" s="2" t="s">
        <v>159</v>
      </c>
    </row>
    <row r="7" customFormat="false" ht="15" hidden="false" customHeight="false" outlineLevel="0" collapsed="false">
      <c r="B7" s="20" t="s">
        <v>160</v>
      </c>
      <c r="C7" s="10" t="n">
        <v>8</v>
      </c>
      <c r="F7" s="2" t="s">
        <v>161</v>
      </c>
    </row>
    <row r="8" customFormat="false" ht="15" hidden="false" customHeight="false" outlineLevel="0" collapsed="false">
      <c r="B8" s="20" t="s">
        <v>162</v>
      </c>
      <c r="C8" s="10" t="s">
        <v>163</v>
      </c>
      <c r="F8" s="2" t="s">
        <v>164</v>
      </c>
    </row>
    <row r="9" customFormat="false" ht="15" hidden="false" customHeight="false" outlineLevel="0" collapsed="false">
      <c r="B9" s="20" t="s">
        <v>165</v>
      </c>
      <c r="C9" s="10" t="s">
        <v>139</v>
      </c>
      <c r="F9" s="2" t="s">
        <v>166</v>
      </c>
      <c r="G9" s="2" t="n">
        <f aca="false">IF(LHUnit="Days",HoursPerDay,1)</f>
        <v>1</v>
      </c>
    </row>
    <row r="10" customFormat="false" ht="15" hidden="false" customHeight="false" outlineLevel="0" collapsed="false">
      <c r="B10" s="20" t="s">
        <v>167</v>
      </c>
      <c r="C10" s="10" t="s">
        <v>96</v>
      </c>
      <c r="D10" s="32" t="str">
        <f aca="false">IF(ISNUMBER(MATCH($C10,LH_Hdr,0)),"Yes","NO")</f>
        <v>Yes</v>
      </c>
      <c r="G10" s="2" t="n">
        <f aca="false">IFERROR(MATCH($C10,LH_Hdr,0),0)</f>
        <v>8</v>
      </c>
    </row>
    <row r="11" customFormat="false" ht="15" hidden="false" customHeight="false" outlineLevel="0" collapsed="false">
      <c r="B11" s="6" t="s">
        <v>168</v>
      </c>
      <c r="C11" s="6" t="s">
        <v>169</v>
      </c>
      <c r="D11" s="6" t="s">
        <v>107</v>
      </c>
    </row>
    <row r="12" customFormat="false" ht="15" hidden="false" customHeight="false" outlineLevel="0" collapsed="false">
      <c r="B12" s="20" t="s">
        <v>170</v>
      </c>
      <c r="C12" s="10" t="s">
        <v>92</v>
      </c>
      <c r="D12" s="32" t="str">
        <f aca="false">IF(ISNUMBER(MATCH($C12,LH_Hdr,0)),"Yes","NO")</f>
        <v>Yes</v>
      </c>
      <c r="F12" s="2" t="s">
        <v>171</v>
      </c>
      <c r="G12" s="2" t="n">
        <f aca="false">IFERROR(MATCH($C12,LH_Hdr,0),0)</f>
        <v>3</v>
      </c>
    </row>
    <row r="13" customFormat="false" ht="15" hidden="false" customHeight="false" outlineLevel="0" collapsed="false">
      <c r="B13" s="20" t="s">
        <v>29</v>
      </c>
      <c r="C13" s="10" t="s">
        <v>29</v>
      </c>
      <c r="D13" s="32" t="str">
        <f aca="false">IF(ISNUMBER(MATCH($C13,LH_Hdr,0)),"Yes","NO")</f>
        <v>Yes</v>
      </c>
      <c r="G13" s="2" t="n">
        <f aca="false">IFERROR(MATCH($C13,LH_Hdr,0),0)</f>
        <v>4</v>
      </c>
    </row>
    <row r="14" customFormat="false" ht="15" hidden="false" customHeight="false" outlineLevel="0" collapsed="false">
      <c r="B14" s="20" t="s">
        <v>172</v>
      </c>
      <c r="C14" s="10" t="s">
        <v>93</v>
      </c>
      <c r="D14" s="32" t="str">
        <f aca="false">IF(ISNUMBER(MATCH($C14,LH_Hdr,0)),"Yes","NO")</f>
        <v>Yes</v>
      </c>
      <c r="G14" s="2" t="n">
        <f aca="false">IFERROR(MATCH($C14,LH_Hdr,0),0)</f>
        <v>5</v>
      </c>
    </row>
    <row r="15" customFormat="false" ht="15" hidden="false" customHeight="false" outlineLevel="0" collapsed="false">
      <c r="B15" s="20" t="s">
        <v>173</v>
      </c>
      <c r="C15" s="10" t="s">
        <v>98</v>
      </c>
      <c r="D15" s="32" t="str">
        <f aca="false">IF(ISNUMBER(MATCH($C15,LH_Hdr,0)),"Yes","NO")</f>
        <v>Yes</v>
      </c>
      <c r="G15" s="2" t="n">
        <f aca="false">IFERROR(MATCH($C15,LH_Hdr,0),0)</f>
        <v>10</v>
      </c>
    </row>
    <row r="16" customFormat="false" ht="15" hidden="false" customHeight="false" outlineLevel="0" collapsed="false">
      <c r="B16" s="20" t="s">
        <v>174</v>
      </c>
      <c r="C16" s="10" t="s">
        <v>99</v>
      </c>
      <c r="D16" s="32" t="str">
        <f aca="false">IF(ISNUMBER(MATCH($C16,LH_Hdr,0)),"Yes","NO")</f>
        <v>Yes</v>
      </c>
      <c r="G16" s="2" t="n">
        <f aca="false">IFERROR(MATCH($C16,LH_Hdr,0),0)</f>
        <v>11</v>
      </c>
    </row>
    <row r="17" customFormat="false" ht="15" hidden="false" customHeight="false" outlineLevel="0" collapsed="false">
      <c r="B17" s="20" t="s">
        <v>175</v>
      </c>
      <c r="C17" s="10" t="s">
        <v>95</v>
      </c>
      <c r="D17" s="32" t="str">
        <f aca="false">IF(ISNUMBER(MATCH($C17,LH_Hdr,0)),"Yes","NO")</f>
        <v>Yes</v>
      </c>
      <c r="G17" s="2" t="n">
        <f aca="false">IFERROR(MATCH($C17,LH_Hdr,0),0)</f>
        <v>7</v>
      </c>
    </row>
    <row r="18" customFormat="false" ht="15" hidden="false" customHeight="false" outlineLevel="0" collapsed="false">
      <c r="B18" s="3" t="s">
        <v>176</v>
      </c>
      <c r="D18" s="32" t="str">
        <f aca="false">IF(LH_Ready,"YES","NO")</f>
        <v>YES</v>
      </c>
      <c r="G18" s="33" t="b">
        <f aca="false">AND(LH_ColFirst&gt;0,LH_ColSur&gt;0,LH_ColCat&gt;0,LH_ColAcc&gt;0,LH_ColTaken&gt;0,LH_ColClose&gt;0)</f>
        <v>1</v>
      </c>
    </row>
    <row r="19" customFormat="false" ht="15" hidden="false" customHeight="false" outlineLevel="0" collapsed="false">
      <c r="B19" s="20" t="s">
        <v>177</v>
      </c>
      <c r="C19" s="10" t="s">
        <v>178</v>
      </c>
      <c r="F19" s="2" t="s">
        <v>179</v>
      </c>
    </row>
    <row r="20" customFormat="false" ht="15" hidden="false" customHeight="false" outlineLevel="0" collapsed="false">
      <c r="B20" s="6" t="s">
        <v>180</v>
      </c>
      <c r="C20" s="6" t="s">
        <v>156</v>
      </c>
    </row>
    <row r="21" customFormat="false" ht="15" hidden="false" customHeight="false" outlineLevel="0" collapsed="false">
      <c r="B21" s="20" t="s">
        <v>181</v>
      </c>
      <c r="C21" s="10" t="n">
        <v>36</v>
      </c>
      <c r="F21" s="2" t="s">
        <v>182</v>
      </c>
    </row>
    <row r="22" customFormat="false" ht="15" hidden="false" customHeight="false" outlineLevel="0" collapsed="false">
      <c r="B22" s="20" t="s">
        <v>183</v>
      </c>
      <c r="C22" s="10" t="n">
        <v>4</v>
      </c>
      <c r="F22" s="2" t="s">
        <v>184</v>
      </c>
    </row>
    <row r="23" customFormat="false" ht="15" hidden="false" customHeight="false" outlineLevel="0" collapsed="false">
      <c r="B23" s="20" t="s">
        <v>185</v>
      </c>
      <c r="C23" s="10" t="n">
        <v>60</v>
      </c>
      <c r="F23" s="2" t="s">
        <v>186</v>
      </c>
    </row>
    <row r="24" customFormat="false" ht="15" hidden="false" customHeight="false" outlineLevel="0" collapsed="false">
      <c r="B24" s="20" t="s">
        <v>187</v>
      </c>
      <c r="C24" s="10" t="n">
        <v>2</v>
      </c>
      <c r="F24" s="2" t="s">
        <v>186</v>
      </c>
    </row>
    <row r="25" customFormat="false" ht="15" hidden="false" customHeight="false" outlineLevel="0" collapsed="false">
      <c r="B25" s="20" t="s">
        <v>188</v>
      </c>
      <c r="C25" s="10" t="n">
        <v>3</v>
      </c>
      <c r="F25" s="2" t="s">
        <v>189</v>
      </c>
    </row>
    <row r="26" customFormat="false" ht="15" hidden="false" customHeight="false" outlineLevel="0" collapsed="false">
      <c r="B26" s="20" t="s">
        <v>190</v>
      </c>
      <c r="C26" s="10" t="n">
        <v>60</v>
      </c>
      <c r="F26" s="2" t="s">
        <v>191</v>
      </c>
    </row>
    <row r="27" customFormat="false" ht="15" hidden="false" customHeight="false" outlineLevel="0" collapsed="false">
      <c r="B27" s="20" t="s">
        <v>192</v>
      </c>
      <c r="C27" s="10" t="n">
        <v>4</v>
      </c>
      <c r="F27" s="2" t="s">
        <v>193</v>
      </c>
    </row>
    <row r="28" customFormat="false" ht="15" hidden="false" customHeight="false" outlineLevel="0" collapsed="false">
      <c r="B28" s="20" t="s">
        <v>194</v>
      </c>
      <c r="C28" s="10" t="n">
        <v>24</v>
      </c>
      <c r="F28" s="2" t="s">
        <v>195</v>
      </c>
    </row>
    <row r="29" customFormat="false" ht="15" hidden="false" customHeight="false" outlineLevel="0" collapsed="false">
      <c r="B29" s="20" t="s">
        <v>196</v>
      </c>
      <c r="C29" s="14" t="n">
        <f aca="false">1+INT((FT_Y5-1-FT_First)/FT_Int1)</f>
        <v>6</v>
      </c>
    </row>
    <row r="30" customFormat="false" ht="15" hidden="false" customHeight="false" outlineLevel="0" collapsed="false">
      <c r="B30" s="20" t="s">
        <v>197</v>
      </c>
      <c r="C30" s="14" t="n">
        <f aca="false">FT_AnnivDays+INT(11/FT_Int2)</f>
        <v>5</v>
      </c>
    </row>
    <row r="31" customFormat="false" ht="15" hidden="false" customHeight="false" outlineLevel="0" collapsed="false">
      <c r="B31" s="20" t="s">
        <v>198</v>
      </c>
      <c r="C31" s="10" t="s">
        <v>199</v>
      </c>
      <c r="F31" s="2" t="s">
        <v>200</v>
      </c>
    </row>
    <row r="34" customFormat="false" ht="15" hidden="false" customHeight="true" outlineLevel="0" collapsed="false">
      <c r="B34" s="34" t="s">
        <v>201</v>
      </c>
      <c r="C34" s="34"/>
      <c r="D34" s="34"/>
      <c r="E34" s="34"/>
      <c r="F34" s="34"/>
    </row>
    <row r="35" customFormat="false" ht="15" hidden="false" customHeight="true" outlineLevel="0" collapsed="false">
      <c r="B35" s="35" t="s">
        <v>202</v>
      </c>
      <c r="C35" s="35"/>
      <c r="D35" s="35"/>
      <c r="E35" s="35"/>
      <c r="F35" s="35"/>
    </row>
    <row r="36" customFormat="false" ht="43.5" hidden="false" customHeight="true" outlineLevel="0" collapsed="false">
      <c r="B36" s="35" t="s">
        <v>203</v>
      </c>
      <c r="C36" s="35"/>
      <c r="D36" s="35"/>
      <c r="E36" s="35"/>
      <c r="F36" s="35"/>
    </row>
    <row r="37" customFormat="false" ht="30" hidden="false" customHeight="true" outlineLevel="0" collapsed="false">
      <c r="B37" s="35" t="s">
        <v>204</v>
      </c>
      <c r="C37" s="35"/>
      <c r="D37" s="35"/>
      <c r="E37" s="35"/>
      <c r="F37" s="35"/>
    </row>
    <row r="38" customFormat="false" ht="30" hidden="false" customHeight="true" outlineLevel="0" collapsed="false">
      <c r="B38" s="35" t="s">
        <v>205</v>
      </c>
      <c r="C38" s="35"/>
      <c r="D38" s="35"/>
      <c r="E38" s="35"/>
      <c r="F38" s="35"/>
    </row>
    <row r="39" customFormat="false" ht="43.5" hidden="false" customHeight="true" outlineLevel="0" collapsed="false">
      <c r="B39" s="35" t="s">
        <v>206</v>
      </c>
      <c r="C39" s="35"/>
      <c r="D39" s="35"/>
      <c r="E39" s="35"/>
      <c r="F39" s="35"/>
    </row>
    <row r="40" customFormat="false" ht="43.5" hidden="false" customHeight="true" outlineLevel="0" collapsed="false">
      <c r="B40" s="35" t="s">
        <v>207</v>
      </c>
      <c r="C40" s="35"/>
      <c r="D40" s="35"/>
      <c r="E40" s="35"/>
      <c r="F40" s="35"/>
    </row>
    <row r="41" customFormat="false" ht="43.5" hidden="false" customHeight="true" outlineLevel="0" collapsed="false">
      <c r="B41" s="35" t="s">
        <v>208</v>
      </c>
      <c r="C41" s="35"/>
      <c r="D41" s="35"/>
      <c r="E41" s="35"/>
      <c r="F41" s="35"/>
    </row>
    <row r="42" customFormat="false" ht="30" hidden="false" customHeight="true" outlineLevel="0" collapsed="false">
      <c r="B42" s="35" t="s">
        <v>209</v>
      </c>
      <c r="C42" s="35"/>
      <c r="D42" s="35"/>
      <c r="E42" s="35"/>
      <c r="F42" s="35"/>
    </row>
    <row r="43" customFormat="false" ht="43.5" hidden="false" customHeight="true" outlineLevel="0" collapsed="false">
      <c r="B43" s="35" t="s">
        <v>210</v>
      </c>
      <c r="C43" s="35"/>
      <c r="D43" s="35"/>
      <c r="E43" s="35"/>
      <c r="F43" s="35"/>
    </row>
    <row r="44" customFormat="false" ht="15" hidden="false" customHeight="false" outlineLevel="0" collapsed="false">
      <c r="B44" s="35"/>
      <c r="C44" s="35"/>
      <c r="D44" s="35"/>
      <c r="E44" s="35"/>
      <c r="F44" s="35"/>
    </row>
    <row r="45" customFormat="false" ht="15" hidden="false" customHeight="true" outlineLevel="0" collapsed="false">
      <c r="B45" s="34" t="s">
        <v>211</v>
      </c>
      <c r="C45" s="34"/>
      <c r="D45" s="34"/>
      <c r="E45" s="34"/>
      <c r="F45" s="34"/>
    </row>
    <row r="46" customFormat="false" ht="30" hidden="false" customHeight="true" outlineLevel="0" collapsed="false">
      <c r="B46" s="35" t="s">
        <v>212</v>
      </c>
      <c r="C46" s="35"/>
      <c r="D46" s="35"/>
      <c r="E46" s="35"/>
      <c r="F46" s="35"/>
    </row>
    <row r="47" customFormat="false" ht="15" hidden="false" customHeight="true" outlineLevel="0" collapsed="false">
      <c r="B47" s="35" t="s">
        <v>213</v>
      </c>
      <c r="C47" s="35"/>
      <c r="D47" s="35"/>
      <c r="E47" s="35"/>
      <c r="F47" s="35"/>
    </row>
    <row r="48" customFormat="false" ht="43.5" hidden="false" customHeight="true" outlineLevel="0" collapsed="false">
      <c r="B48" s="35" t="s">
        <v>214</v>
      </c>
      <c r="C48" s="35"/>
      <c r="D48" s="35"/>
      <c r="E48" s="35"/>
      <c r="F48" s="35"/>
    </row>
    <row r="49" customFormat="false" ht="15" hidden="false" customHeight="false" outlineLevel="0" collapsed="false">
      <c r="B49" s="35"/>
      <c r="C49" s="35"/>
      <c r="D49" s="35"/>
      <c r="E49" s="35"/>
      <c r="F49" s="35"/>
    </row>
    <row r="50" customFormat="false" ht="43.5" hidden="false" customHeight="true" outlineLevel="0" collapsed="false">
      <c r="B50" s="34" t="s">
        <v>215</v>
      </c>
      <c r="C50" s="34"/>
      <c r="D50" s="34"/>
      <c r="E50" s="34"/>
      <c r="F50" s="34"/>
    </row>
  </sheetData>
  <mergeCells count="17">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2" t="s">
        <v>216</v>
      </c>
    </row>
    <row r="2" customFormat="false" ht="15" hidden="false" customHeight="false" outlineLevel="0" collapsed="false">
      <c r="A2" s="3" t="s">
        <v>217</v>
      </c>
      <c r="B2" s="3" t="s">
        <v>218</v>
      </c>
      <c r="C2" s="3" t="s">
        <v>219</v>
      </c>
      <c r="D2" s="3" t="s">
        <v>220</v>
      </c>
      <c r="E2" s="3" t="s">
        <v>221</v>
      </c>
      <c r="F2" s="3" t="s">
        <v>222</v>
      </c>
      <c r="G2" s="3" t="s">
        <v>223</v>
      </c>
      <c r="H2" s="3" t="s">
        <v>224</v>
      </c>
      <c r="I2" s="3" t="s">
        <v>225</v>
      </c>
      <c r="J2" s="3" t="s">
        <v>226</v>
      </c>
      <c r="K2" s="3" t="s">
        <v>227</v>
      </c>
    </row>
    <row r="3" customFormat="false" ht="15" hidden="false" customHeight="false" outlineLevel="0" collapsed="false">
      <c r="A3" s="0" t="str">
        <f aca="false">IF('HR Tally Check'!B$7="","",'HR Tally Check'!B$7)</f>
        <v/>
      </c>
      <c r="B3" s="0" t="str">
        <f aca="false">IF(A3="","",ISNUMBER(MATCH(A3,Staff!$BJ$5:$BJ$154,0)))</f>
        <v/>
      </c>
      <c r="C3" s="18" t="str">
        <f aca="false">IF(B3&lt;&gt;TRUE(),"",INDEX(Staff!$AH$5:$AH$154,MATCH($A3,Staff!$BJ$5:$BJ$154,0)))</f>
        <v/>
      </c>
      <c r="D3" s="0" t="str">
        <f aca="false">IF(B3&lt;&gt;TRUE(),"",INDEX(Staff!$AI$5:$AI$154,MATCH($A3,Staff!$BJ$5:$BJ$154,0)))</f>
        <v/>
      </c>
      <c r="E3" s="18" t="str">
        <f aca="false">IF(B3&lt;&gt;TRUE(),"",INDEX(Staff!$AK$5:$AK$154,MATCH($A3,Staff!$BJ$5:$BJ$154,0)))</f>
        <v/>
      </c>
      <c r="F3" s="18" t="str">
        <f aca="false">IF(B3&lt;&gt;TRUE(),"",INDEX(Staff!$AL$5:$AL$154,MATCH($A3,Staff!$BJ$5:$BJ$154,0)))</f>
        <v/>
      </c>
      <c r="G3" s="0" t="str">
        <f aca="false">IF(B3&lt;&gt;TRUE(),"",INDEX(Staff!$AP$5:$AP$154,MATCH($A3,Staff!$BJ$5:$BJ$154,0)))</f>
        <v/>
      </c>
      <c r="H3" s="0" t="str">
        <f aca="false">IF(B3&lt;&gt;TRUE(),"",INDEX(Staff!$AQ$5:$AQ$154,MATCH($A3,Staff!$BJ$5:$BJ$154,0)))</f>
        <v/>
      </c>
      <c r="I3" s="0" t="str">
        <f aca="false">IF(B3&lt;&gt;TRUE(),"",INDEX(Staff!$AR$5:$AR$154,MATCH($A3,Staff!$BJ$5:$BJ$154,0)))</f>
        <v/>
      </c>
      <c r="J3" s="0" t="str">
        <f aca="false">IF(B3&lt;&gt;TRUE(),"",INDEX(Staff!$AS$5:$AS$154,MATCH($A3,Staff!$BJ$5:$BJ$154,0)))</f>
        <v/>
      </c>
      <c r="K3" s="31" t="s">
        <v>228</v>
      </c>
      <c r="L3" s="18" t="str">
        <f aca="false">IF($C3="","",EDATE($C3,Milestones!$AA$20))</f>
        <v/>
      </c>
      <c r="M3" s="18" t="str">
        <f aca="false">IF($C3="","",EDATE($C3,Milestones!$AA$21))</f>
        <v/>
      </c>
      <c r="N3" s="18" t="str">
        <f aca="false">IF($C3="","",EDATE($C3,Milestones!$AA$22))</f>
        <v/>
      </c>
      <c r="O3" s="18" t="str">
        <f aca="false">IF($C3="","",EDATE($C3,Milestones!$AA$23))</f>
        <v/>
      </c>
      <c r="P3" s="18" t="str">
        <f aca="false">IF($C3="","",EDATE($C3,Milestones!$AA$24))</f>
        <v/>
      </c>
      <c r="Q3" s="18" t="str">
        <f aca="false">IF($C3="","",EDATE($C3,Milestones!$AA$25))</f>
        <v/>
      </c>
      <c r="R3" s="18" t="str">
        <f aca="false">IF($C3="","",EDATE($C3,Milestones!$AA$26))</f>
        <v/>
      </c>
      <c r="S3" s="18" t="str">
        <f aca="false">IF($C3="","",EDATE($C3,Milestones!$AA$27))</f>
        <v/>
      </c>
      <c r="T3" s="18" t="str">
        <f aca="false">IF($C3="","",EDATE($C3,Milestones!$AA$28))</f>
        <v/>
      </c>
      <c r="U3" s="18" t="str">
        <f aca="false">IF($C3="","",EDATE($C3,Milestones!$AA$29))</f>
        <v/>
      </c>
      <c r="V3" s="18" t="str">
        <f aca="false">IF($C3="","",EDATE($C3,Milestones!$AA$30))</f>
        <v/>
      </c>
      <c r="W3" s="18" t="str">
        <f aca="false">IF($C3="","",EDATE($C3,Milestones!$AA$31))</f>
        <v/>
      </c>
      <c r="X3" s="18" t="str">
        <f aca="false">IF($C3="","",EDATE($C3,Milestones!$AA$32))</f>
        <v/>
      </c>
      <c r="Y3" s="18" t="str">
        <f aca="false">IF($C3="","",EDATE($C3,Milestones!$AA$33))</f>
        <v/>
      </c>
      <c r="Z3" s="18" t="str">
        <f aca="false">IF($C3="","",EDATE($C3,Milestones!$AA$34))</f>
        <v/>
      </c>
      <c r="AA3" s="18" t="str">
        <f aca="false">IF($C3="","",EDATE($C3,Milestones!$AA$35))</f>
        <v/>
      </c>
      <c r="AB3" s="18" t="str">
        <f aca="false">IF($C3="","",EDATE($C3,Milestones!$AA$36))</f>
        <v/>
      </c>
      <c r="AC3" s="18" t="str">
        <f aca="false">IF($C3="","",EDATE($C3,Milestones!$AA$37))</f>
        <v/>
      </c>
      <c r="AD3" s="18" t="str">
        <f aca="false">IF($C3="","",EDATE($C3,Milestones!$AA$38))</f>
        <v/>
      </c>
      <c r="AE3" s="18" t="str">
        <f aca="false">IF($C3="","",EDATE($C3,Milestones!$AA$39))</f>
        <v/>
      </c>
      <c r="AF3" s="18" t="str">
        <f aca="false">IF($C3="","",EDATE($C3,Milestones!$AA$40))</f>
        <v/>
      </c>
      <c r="AG3" s="18" t="str">
        <f aca="false">IF($C3="","",EDATE($C3,Milestones!$AA$41))</f>
        <v/>
      </c>
      <c r="AH3" s="18" t="str">
        <f aca="false">IF($C3="","",EDATE($C3,Milestones!$AA$42))</f>
        <v/>
      </c>
      <c r="AI3" s="18" t="str">
        <f aca="false">IF($C3="","",EDATE($C3,Milestones!$AA$43))</f>
        <v/>
      </c>
      <c r="AJ3" s="18" t="str">
        <f aca="false">IF($C3="","",EDATE($C3,Milestones!$AA$44))</f>
        <v/>
      </c>
      <c r="AK3" s="18" t="str">
        <f aca="false">IF($C3="","",EDATE($C3,Milestones!$AA$45))</f>
        <v/>
      </c>
      <c r="AL3" s="18" t="str">
        <f aca="false">IF($C3="","",EDATE($C3,Milestones!$AA$46))</f>
        <v/>
      </c>
      <c r="AM3" s="18" t="str">
        <f aca="false">IF($C3="","",EDATE($C3,Milestones!$AA$47))</f>
        <v/>
      </c>
      <c r="AN3" s="18" t="str">
        <f aca="false">IF($C3="","",EDATE($C3,Milestones!$AA$48))</f>
        <v/>
      </c>
      <c r="AO3" s="18" t="str">
        <f aca="false">IF($C3="","",EDATE($C3,Milestones!$AA$49))</f>
        <v/>
      </c>
      <c r="AP3" s="18" t="str">
        <f aca="false">IF($C3="","",EDATE($C3,Milestones!$AA$50))</f>
        <v/>
      </c>
      <c r="AQ3" s="18" t="str">
        <f aca="false">IF($C3="","",EDATE($C3,Milestones!$AA$51))</f>
        <v/>
      </c>
      <c r="AR3" s="18" t="str">
        <f aca="false">IF($C3="","",EDATE($C3,Milestones!$AA$52))</f>
        <v/>
      </c>
      <c r="AS3" s="18" t="str">
        <f aca="false">IF($C3="","",EDATE($C3,Milestones!$AA$53))</f>
        <v/>
      </c>
      <c r="AT3" s="18" t="str">
        <f aca="false">IF($C3="","",EDATE($C3,Milestones!$AA$54))</f>
        <v/>
      </c>
      <c r="AU3" s="18" t="str">
        <f aca="false">IF($C3="","",EDATE($C3,Milestones!$AA$55))</f>
        <v/>
      </c>
      <c r="AV3" s="18" t="str">
        <f aca="false">IF($C3="","",EDATE($C3,Milestones!$AA$56))</f>
        <v/>
      </c>
      <c r="AW3" s="18" t="str">
        <f aca="false">IF($C3="","",EDATE($C3,Milestones!$AA$57))</f>
        <v/>
      </c>
      <c r="AX3" s="18" t="str">
        <f aca="false">IF($C3="","",EDATE($C3,Milestones!$AA$58))</f>
        <v/>
      </c>
      <c r="AY3" s="18" t="str">
        <f aca="false">IF($C3="","",EDATE($C3,Milestones!$AA$59))</f>
        <v/>
      </c>
      <c r="AZ3" s="18" t="str">
        <f aca="false">IF($C3="","",EDATE($C3,Milestones!$AA$60))</f>
        <v/>
      </c>
      <c r="BA3" s="18" t="str">
        <f aca="false">IF($C3="","",EDATE($C3,Milestones!$AA$61))</f>
        <v/>
      </c>
      <c r="BB3" s="18" t="str">
        <f aca="false">IF($C3="","",EDATE($C3,Milestones!$AA$62))</f>
        <v/>
      </c>
      <c r="BC3" s="18" t="str">
        <f aca="false">IF($C3="","",EDATE($C3,Milestones!$AA$63))</f>
        <v/>
      </c>
      <c r="BD3" s="18" t="str">
        <f aca="false">IF($C3="","",EDATE($C3,Milestones!$AA$64))</f>
        <v/>
      </c>
      <c r="BE3" s="18" t="str">
        <f aca="false">IF($C3="","",EDATE($C3,Milestones!$AA$65))</f>
        <v/>
      </c>
      <c r="BF3" s="18" t="str">
        <f aca="false">IF($C3="","",EDATE($C3,Milestones!$AA$66))</f>
        <v/>
      </c>
      <c r="BG3" s="18" t="str">
        <f aca="false">IF($C3="","",EDATE($C3,Milestones!$AA$67))</f>
        <v/>
      </c>
      <c r="BH3" s="18" t="str">
        <f aca="false">IF($C3="","",EDATE($C3,Milestones!$AA$68))</f>
        <v/>
      </c>
      <c r="BI3" s="18" t="str">
        <f aca="false">IF($C3="","",EDATE($C3,Milestones!$AA$69))</f>
        <v/>
      </c>
      <c r="BJ3" s="18" t="str">
        <f aca="false">IF($C3="","",EDATE($C3,Milestones!$AA$70))</f>
        <v/>
      </c>
      <c r="BK3" s="18" t="str">
        <f aca="false">IF($C3="","",EDATE($C3,Milestones!$AA$71))</f>
        <v/>
      </c>
      <c r="BL3" s="18" t="str">
        <f aca="false">IF($C3="","",EDATE($C3,Milestones!$AA$72))</f>
        <v/>
      </c>
      <c r="BM3" s="18" t="str">
        <f aca="false">IF($C3="","",EDATE($C3,Milestones!$AA$73))</f>
        <v/>
      </c>
      <c r="BN3" s="18" t="str">
        <f aca="false">IF($C3="","",EDATE($C3,Milestones!$AA$74))</f>
        <v/>
      </c>
      <c r="BO3" s="18" t="str">
        <f aca="false">IF($C3="","",EDATE($C3,Milestones!$AA$75))</f>
        <v/>
      </c>
      <c r="BP3" s="18" t="str">
        <f aca="false">IF($C3="","",EDATE($C3,Milestones!$AA$76))</f>
        <v/>
      </c>
      <c r="BQ3" s="18" t="str">
        <f aca="false">IF($C3="","",EDATE($C3,Milestones!$AA$77))</f>
        <v/>
      </c>
      <c r="BR3" s="18" t="str">
        <f aca="false">IF($C3="","",EDATE($C3,Milestones!$AA$78))</f>
        <v/>
      </c>
      <c r="BS3" s="18" t="str">
        <f aca="false">IF($C3="","",EDATE($C3,Milestones!$AA$79))</f>
        <v/>
      </c>
      <c r="BT3" s="18" t="str">
        <f aca="false">IF($C3="","",EDATE($C3,Milestones!$AA$80))</f>
        <v/>
      </c>
      <c r="BU3" s="18" t="str">
        <f aca="false">IF($C3="","",EDATE($C3,Milestones!$AA$81))</f>
        <v/>
      </c>
      <c r="BV3" s="18" t="str">
        <f aca="false">IF($C3="","",EDATE($C3,Milestones!$AA$82))</f>
        <v/>
      </c>
      <c r="BW3" s="18" t="str">
        <f aca="false">IF($C3="","",EDATE($C3,Milestones!$AA$83))</f>
        <v/>
      </c>
      <c r="BX3" s="18" t="str">
        <f aca="false">IF($C3="","",EDATE($C3,Milestones!$AA$84))</f>
        <v/>
      </c>
      <c r="BY3" s="18" t="str">
        <f aca="false">IF($C3="","",EDATE($C3,Milestones!$AA$85))</f>
        <v/>
      </c>
      <c r="BZ3" s="18" t="str">
        <f aca="false">IF($C3="","",EDATE($C3,Milestones!$AA$86))</f>
        <v/>
      </c>
      <c r="CA3" s="18" t="str">
        <f aca="false">IF($C3="","",EDATE($C3,Milestones!$AA$87))</f>
        <v/>
      </c>
      <c r="CB3" s="18" t="str">
        <f aca="false">IF($C3="","",EDATE($C3,Milestones!$AA$88))</f>
        <v/>
      </c>
      <c r="CC3" s="18" t="str">
        <f aca="false">IF($C3="","",EDATE($C3,Milestones!$AA$89))</f>
        <v/>
      </c>
      <c r="CD3" s="18" t="str">
        <f aca="false">IF($C3="","",EDATE($C3,Milestones!$AA$90))</f>
        <v/>
      </c>
      <c r="CE3" s="18" t="str">
        <f aca="false">IF($C3="","",EDATE($C3,Milestones!$AA$91))</f>
        <v/>
      </c>
      <c r="CF3" s="18" t="str">
        <f aca="false">IF($C3="","",EDATE($C3,Milestones!$AA$92))</f>
        <v/>
      </c>
      <c r="CG3" s="18" t="str">
        <f aca="false">IF($C3="","",EDATE($C3,Milestones!$AA$93))</f>
        <v/>
      </c>
      <c r="CH3" s="18" t="str">
        <f aca="false">IF($C3="","",EDATE($C3,Milestones!$AA$94))</f>
        <v/>
      </c>
      <c r="CI3" s="18" t="str">
        <f aca="false">IF($C3="","",EDATE($C3,Milestones!$AA$95))</f>
        <v/>
      </c>
      <c r="CJ3" s="18" t="str">
        <f aca="false">IF($C3="","",EDATE($C3,Milestones!$AA$96))</f>
        <v/>
      </c>
      <c r="CK3" s="18" t="str">
        <f aca="false">IF($C3="","",EDATE($C3,Milestones!$AA$97))</f>
        <v/>
      </c>
      <c r="CL3" s="18" t="str">
        <f aca="false">IF($C3="","",EDATE($C3,Milestones!$AA$98))</f>
        <v/>
      </c>
      <c r="CM3" s="18" t="str">
        <f aca="false">IF($C3="","",EDATE($C3,Milestones!$AA$99))</f>
        <v/>
      </c>
      <c r="CN3" s="18" t="str">
        <f aca="false">IF($C3="","",EDATE($C3,Milestones!$AA$100))</f>
        <v/>
      </c>
      <c r="CO3" s="18" t="str">
        <f aca="false">IF($C3="","",EDATE($C3,Milestones!$AA$101))</f>
        <v/>
      </c>
      <c r="CP3" s="18" t="str">
        <f aca="false">IF($C3="","",EDATE($C3,Milestones!$AA$102))</f>
        <v/>
      </c>
      <c r="CQ3" s="18" t="str">
        <f aca="false">IF($C3="","",EDATE($C3,Milestones!$AA$103))</f>
        <v/>
      </c>
      <c r="CR3" s="18" t="str">
        <f aca="false">IF($C3="","",EDATE($C3,Milestones!$AA$104))</f>
        <v/>
      </c>
      <c r="CS3" s="18" t="str">
        <f aca="false">IF($C3="","",EDATE($C3,Milestones!$AA$105))</f>
        <v/>
      </c>
      <c r="CT3" s="18" t="str">
        <f aca="false">IF($C3="","",EDATE($C3,Milestones!$AA$106))</f>
        <v/>
      </c>
      <c r="CU3" s="18" t="str">
        <f aca="false">IF($C3="","",EDATE($C3,Milestones!$AA$107))</f>
        <v/>
      </c>
      <c r="CV3" s="18" t="str">
        <f aca="false">IF($C3="","",EDATE($C3,Milestones!$AA$108))</f>
        <v/>
      </c>
      <c r="CW3" s="18" t="str">
        <f aca="false">IF($C3="","",EDATE($C3,Milestones!$AA$109))</f>
        <v/>
      </c>
      <c r="CX3" s="18" t="str">
        <f aca="false">IF($C3="","",EDATE($C3,Milestones!$AA$110))</f>
        <v/>
      </c>
      <c r="CY3" s="18" t="str">
        <f aca="false">IF($C3="","",EDATE($C3,Milestones!$AA$111))</f>
        <v/>
      </c>
      <c r="CZ3" s="18" t="str">
        <f aca="false">IF($C3="","",EDATE($C3,Milestones!$AA$112))</f>
        <v/>
      </c>
      <c r="DA3" s="18" t="str">
        <f aca="false">IF($C3="","",EDATE($C3,Milestones!$AA$113))</f>
        <v/>
      </c>
      <c r="DB3" s="18" t="str">
        <f aca="false">IF($C3="","",EDATE($C3,Milestones!$AA$114))</f>
        <v/>
      </c>
      <c r="DC3" s="18" t="str">
        <f aca="false">IF($C3="","",EDATE($C3,Milestones!$AA$115))</f>
        <v/>
      </c>
      <c r="DD3" s="18" t="str">
        <f aca="false">IF($C3="","",EDATE($C3,Milestones!$AA$116))</f>
        <v/>
      </c>
      <c r="DE3" s="18" t="str">
        <f aca="false">IF($C3="","",EDATE($C3,Milestones!$AA$117))</f>
        <v/>
      </c>
      <c r="DF3" s="18" t="str">
        <f aca="false">IF($C3="","",EDATE($C3,Milestones!$AA$118))</f>
        <v/>
      </c>
      <c r="DG3" s="18" t="str">
        <f aca="false">IF($C3="","",EDATE($C3,Milestones!$AA$119))</f>
        <v/>
      </c>
      <c r="DH3" s="18" t="str">
        <f aca="false">IF($C3="","",EDATE($C3,Milestones!$AA$120))</f>
        <v/>
      </c>
      <c r="DI3" s="18" t="str">
        <f aca="false">IF($C3="","",EDATE($C3,Milestones!$AA$121))</f>
        <v/>
      </c>
      <c r="DJ3" s="18" t="str">
        <f aca="false">IF($C3="","",EDATE($C3,Milestones!$AA$122))</f>
        <v/>
      </c>
      <c r="DK3" s="18" t="str">
        <f aca="false">IF($C3="","",EDATE($C3,Milestones!$AA$123))</f>
        <v/>
      </c>
      <c r="DL3" s="18" t="str">
        <f aca="false">IF($C3="","",EDATE($C3,Milestones!$AA$124))</f>
        <v/>
      </c>
      <c r="DM3" s="18" t="str">
        <f aca="false">IF($C3="","",EDATE($C3,Milestones!$AA$125))</f>
        <v/>
      </c>
      <c r="DN3" s="18" t="str">
        <f aca="false">IF($C3="","",EDATE($C3,Milestones!$AA$126))</f>
        <v/>
      </c>
      <c r="DO3" s="18" t="str">
        <f aca="false">IF($C3="","",EDATE($C3,Milestones!$AA$127))</f>
        <v/>
      </c>
      <c r="DP3" s="18" t="str">
        <f aca="false">IF($C3="","",EDATE($C3,Milestones!$AA$128))</f>
        <v/>
      </c>
      <c r="DQ3" s="18" t="str">
        <f aca="false">IF($C3="","",EDATE($C3,Milestones!$AA$129))</f>
        <v/>
      </c>
      <c r="DR3" s="18" t="str">
        <f aca="false">IF($C3="","",EDATE($C3,Milestones!$AA$130))</f>
        <v/>
      </c>
      <c r="DS3" s="18" t="str">
        <f aca="false">IF($C3="","",EDATE($C3,Milestones!$AA$131))</f>
        <v/>
      </c>
      <c r="DT3" s="18" t="str">
        <f aca="false">IF($C3="","",EDATE($C3,Milestones!$AA$132))</f>
        <v/>
      </c>
      <c r="DU3" s="18" t="str">
        <f aca="false">IF($C3="","",EDATE($C3,Milestones!$AA$133))</f>
        <v/>
      </c>
      <c r="DV3" s="18" t="str">
        <f aca="false">IF($C3="","",EDATE($C3,Milestones!$AA$134))</f>
        <v/>
      </c>
      <c r="DW3" s="18" t="str">
        <f aca="false">IF($C3="","",EDATE($C3,Milestones!$AA$135))</f>
        <v/>
      </c>
      <c r="DX3" s="18" t="str">
        <f aca="false">IF($C3="","",EDATE($C3,Milestones!$AA$136))</f>
        <v/>
      </c>
      <c r="DY3" s="18" t="str">
        <f aca="false">IF($C3="","",EDATE($C3,Milestones!$AA$137))</f>
        <v/>
      </c>
      <c r="DZ3" s="18" t="str">
        <f aca="false">IF($C3="","",EDATE($C3,Milestones!$AA$138))</f>
        <v/>
      </c>
      <c r="EA3" s="18" t="str">
        <f aca="false">IF($C3="","",EDATE($C3,Milestones!$AA$139))</f>
        <v/>
      </c>
      <c r="EB3" s="18" t="str">
        <f aca="false">IF($C3="","",EDATE($C3,Milestones!$AA$140))</f>
        <v/>
      </c>
      <c r="EC3" s="18" t="str">
        <f aca="false">IF($C3="","",EDATE($C3,Milestones!$AA$141))</f>
        <v/>
      </c>
      <c r="ED3" s="18" t="str">
        <f aca="false">IF($C3="","",EDATE($C3,Milestones!$AA$142))</f>
        <v/>
      </c>
      <c r="EE3" s="18" t="str">
        <f aca="false">IF($C3="","",EDATE($C3,Milestones!$AA$143))</f>
        <v/>
      </c>
      <c r="EF3" s="18" t="str">
        <f aca="false">IF($C3="","",EDATE($C3,Milestones!$AA$144))</f>
        <v/>
      </c>
      <c r="EG3" s="18" t="str">
        <f aca="false">IF($C3="","",EDATE($C3,Milestones!$AA$145))</f>
        <v/>
      </c>
      <c r="EH3" s="18" t="str">
        <f aca="false">IF($C3="","",EDATE($C3,Milestones!$AA$146))</f>
        <v/>
      </c>
      <c r="EI3" s="18" t="str">
        <f aca="false">IF($C3="","",EDATE($C3,Milestones!$AA$147))</f>
        <v/>
      </c>
      <c r="EJ3" s="18" t="str">
        <f aca="false">IF($C3="","",EDATE($C3,Milestones!$AA$148))</f>
        <v/>
      </c>
      <c r="EK3" s="18" t="str">
        <f aca="false">IF($C3="","",EDATE($C3,Milestones!$AA$149))</f>
        <v/>
      </c>
      <c r="EL3" s="18" t="str">
        <f aca="false">IF($C3="","",EDATE($C3,Milestones!$AA$150))</f>
        <v/>
      </c>
      <c r="EM3" s="18" t="str">
        <f aca="false">IF($C3="","",EDATE($C3,Milestones!$AA$151))</f>
        <v/>
      </c>
      <c r="EN3" s="18" t="str">
        <f aca="false">IF($C3="","",EDATE($C3,Milestones!$AA$152))</f>
        <v/>
      </c>
      <c r="EO3" s="18" t="str">
        <f aca="false">IF($C3="","",EDATE($C3,Milestones!$AA$153))</f>
        <v/>
      </c>
      <c r="EP3" s="18" t="str">
        <f aca="false">IF($C3="","",EDATE($C3,Milestones!$AA$154))</f>
        <v/>
      </c>
      <c r="EQ3" s="18" t="str">
        <f aca="false">IF($C3="","",EDATE($C3,Milestones!$AA$155))</f>
        <v/>
      </c>
      <c r="ER3" s="18" t="str">
        <f aca="false">IF($C3="","",EDATE($C3,Milestones!$AA$156))</f>
        <v/>
      </c>
      <c r="ES3" s="18" t="str">
        <f aca="false">IF($C3="","",EDATE($C3,Milestones!$AA$157))</f>
        <v/>
      </c>
      <c r="ET3" s="18" t="str">
        <f aca="false">IF($C3="","",EDATE($C3,Milestones!$AA$158))</f>
        <v/>
      </c>
      <c r="EU3" s="18" t="str">
        <f aca="false">IF($C3="","",EDATE($C3,Milestones!$AA$159))</f>
        <v/>
      </c>
      <c r="EV3" s="18" t="str">
        <f aca="false">IF($C3="","",EDATE($C3,Milestones!$AA$160))</f>
        <v/>
      </c>
      <c r="EW3" s="18" t="str">
        <f aca="false">IF($C3="","",EDATE($C3,Milestones!$AA$161))</f>
        <v/>
      </c>
      <c r="EX3" s="18" t="str">
        <f aca="false">IF($C3="","",EDATE($C3,Milestones!$AA$162))</f>
        <v/>
      </c>
      <c r="EY3" s="18" t="str">
        <f aca="false">IF($C3="","",EDATE($C3,Milestones!$AA$163))</f>
        <v/>
      </c>
      <c r="EZ3" s="18" t="str">
        <f aca="false">IF($C3="","",EDATE($C3,Milestones!$AA$164))</f>
        <v/>
      </c>
      <c r="FA3" s="18" t="str">
        <f aca="false">IF($C3="","",EDATE($C3,Milestones!$AA$165))</f>
        <v/>
      </c>
      <c r="FB3" s="18" t="str">
        <f aca="false">IF($C3="","",EDATE($C3,Milestones!$AA$166))</f>
        <v/>
      </c>
      <c r="FC3" s="18" t="str">
        <f aca="false">IF($C3="","",EDATE($C3,Milestones!$AA$167))</f>
        <v/>
      </c>
      <c r="FD3" s="18" t="str">
        <f aca="false">IF($C3="","",EDATE($C3,Milestones!$AA$168))</f>
        <v/>
      </c>
      <c r="FE3" s="18" t="str">
        <f aca="false">IF($C3="","",EDATE($C3,Milestones!$AA$169))</f>
        <v/>
      </c>
      <c r="FF3" s="18" t="str">
        <f aca="false">IF($C3="","",EDATE($C3,Milestones!$AA$170))</f>
        <v/>
      </c>
      <c r="FG3" s="18" t="str">
        <f aca="false">IF($C3="","",EDATE($C3,Milestones!$AA$171))</f>
        <v/>
      </c>
      <c r="FH3" s="18" t="str">
        <f aca="false">IF($C3="","",EDATE($C3,Milestones!$AA$172))</f>
        <v/>
      </c>
      <c r="FI3" s="18" t="str">
        <f aca="false">IF($C3="","",EDATE($C3,Milestones!$AA$173))</f>
        <v/>
      </c>
      <c r="FJ3" s="18" t="str">
        <f aca="false">IF($C3="","",EDATE($C3,Milestones!$AA$174))</f>
        <v/>
      </c>
      <c r="FK3" s="18" t="str">
        <f aca="false">IF($C3="","",EDATE($C3,Milestones!$AA$175))</f>
        <v/>
      </c>
      <c r="FL3" s="18" t="str">
        <f aca="false">IF($C3="","",EDATE($C3,Milestones!$AA$176))</f>
        <v/>
      </c>
      <c r="FM3" s="18" t="str">
        <f aca="false">IF($C3="","",EDATE($C3,Milestones!$AA$177))</f>
        <v/>
      </c>
      <c r="FN3" s="18" t="str">
        <f aca="false">IF($C3="","",EDATE($C3,Milestones!$AA$178))</f>
        <v/>
      </c>
      <c r="FO3" s="18" t="str">
        <f aca="false">IF($C3="","",EDATE($C3,Milestones!$AA$179))</f>
        <v/>
      </c>
      <c r="FP3" s="18" t="str">
        <f aca="false">IF($C3="","",EDATE($C3,Milestones!$AA$180))</f>
        <v/>
      </c>
      <c r="FQ3" s="18" t="str">
        <f aca="false">IF($C3="","",EDATE($C3,Milestones!$AA$181))</f>
        <v/>
      </c>
      <c r="FR3" s="18" t="str">
        <f aca="false">IF($C3="","",EDATE($C3,Milestones!$AA$182))</f>
        <v/>
      </c>
      <c r="FS3" s="18" t="str">
        <f aca="false">IF($C3="","",EDATE($C3,Milestones!$AA$183))</f>
        <v/>
      </c>
      <c r="FT3" s="18" t="str">
        <f aca="false">IF($C3="","",EDATE($C3,Milestones!$AA$184))</f>
        <v/>
      </c>
      <c r="FU3" s="18" t="str">
        <f aca="false">IF($C3="","",EDATE($C3,Milestones!$AA$185))</f>
        <v/>
      </c>
      <c r="FV3" s="18" t="str">
        <f aca="false">IF($C3="","",EDATE($C3,Milestones!$AA$186))</f>
        <v/>
      </c>
      <c r="FW3" s="18" t="str">
        <f aca="false">IF($C3="","",EDATE($C3,Milestones!$AA$187))</f>
        <v/>
      </c>
      <c r="FX3" s="18" t="str">
        <f aca="false">IF($C3="","",EDATE($C3,Milestones!$AA$188))</f>
        <v/>
      </c>
      <c r="FY3" s="18" t="str">
        <f aca="false">IF($C3="","",EDATE($C3,Milestones!$AA$189))</f>
        <v/>
      </c>
      <c r="FZ3" s="18" t="str">
        <f aca="false">IF($C3="","",EDATE($C3,Milestones!$AA$190))</f>
        <v/>
      </c>
      <c r="GA3" s="18" t="str">
        <f aca="false">IF($C3="","",EDATE($C3,Milestones!$AA$191))</f>
        <v/>
      </c>
      <c r="GB3" s="18" t="str">
        <f aca="false">IF($C3="","",EDATE($C3,Milestones!$AA$192))</f>
        <v/>
      </c>
      <c r="GC3" s="18" t="str">
        <f aca="false">IF($C3="","",EDATE($C3,Milestones!$AA$193))</f>
        <v/>
      </c>
      <c r="GD3" s="18" t="str">
        <f aca="false">IF($C3="","",EDATE($C3,Milestones!$AA$194))</f>
        <v/>
      </c>
      <c r="GE3" s="18" t="str">
        <f aca="false">IF($C3="","",EDATE($C3,Milestones!$AA$195))</f>
        <v/>
      </c>
      <c r="GF3" s="18" t="str">
        <f aca="false">IF($C3="","",EDATE($C3,Milestones!$AA$196))</f>
        <v/>
      </c>
      <c r="GG3" s="18" t="str">
        <f aca="false">IF($C3="","",EDATE($C3,Milestones!$AA$197))</f>
        <v/>
      </c>
      <c r="GH3" s="18" t="str">
        <f aca="false">IF($C3="","",EDATE($C3,Milestones!$AA$198))</f>
        <v/>
      </c>
      <c r="GI3" s="18" t="str">
        <f aca="false">IF($C3="","",EDATE($C3,Milestones!$AA$199))</f>
        <v/>
      </c>
    </row>
    <row r="4" customFormat="false" ht="15" hidden="false" customHeight="false" outlineLevel="0" collapsed="false">
      <c r="K4" s="0" t="s">
        <v>229</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230</v>
      </c>
      <c r="L5" s="0" t="n">
        <f aca="false">IF(L3="",0,IF(L4=Milestones!$AB$20,Milestones!$AC$20,0))</f>
        <v>0</v>
      </c>
      <c r="M5" s="0" t="n">
        <f aca="false">IF(M3="",0,IF(M4=Milestones!$AB$21,Milestones!$AC$21,0))</f>
        <v>0</v>
      </c>
      <c r="N5" s="0" t="n">
        <f aca="false">IF(N3="",0,IF(N4=Milestones!$AB$22,Milestones!$AC$22,0))</f>
        <v>0</v>
      </c>
      <c r="O5" s="0" t="n">
        <f aca="false">IF(O3="",0,IF(O4=Milestones!$AB$23,Milestones!$AC$23,0))</f>
        <v>0</v>
      </c>
      <c r="P5" s="0" t="n">
        <f aca="false">IF(P3="",0,IF(P4=Milestones!$AB$24,Milestones!$AC$24,0))</f>
        <v>0</v>
      </c>
      <c r="Q5" s="0" t="n">
        <f aca="false">IF(Q3="",0,IF(Q4=Milestones!$AB$25,Milestones!$AC$25,0))</f>
        <v>0</v>
      </c>
      <c r="R5" s="0" t="n">
        <f aca="false">IF(R3="",0,IF(R4=Milestones!$AB$26,Milestones!$AC$26,0))</f>
        <v>0</v>
      </c>
      <c r="S5" s="0" t="n">
        <f aca="false">IF(S3="",0,IF(S4=Milestones!$AB$27,Milestones!$AC$27,0))</f>
        <v>0</v>
      </c>
      <c r="T5" s="0" t="n">
        <f aca="false">IF(T3="",0,IF(T4=Milestones!$AB$28,Milestones!$AC$28,0))</f>
        <v>0</v>
      </c>
      <c r="U5" s="0" t="n">
        <f aca="false">IF(U3="",0,IF(U4=Milestones!$AB$29,Milestones!$AC$29,0))</f>
        <v>0</v>
      </c>
      <c r="V5" s="0" t="n">
        <f aca="false">IF(V3="",0,IF(V4=Milestones!$AB$30,Milestones!$AC$30,0))</f>
        <v>0</v>
      </c>
      <c r="W5" s="0" t="n">
        <f aca="false">IF(W3="",0,IF(W4=Milestones!$AB$31,Milestones!$AC$31,0))</f>
        <v>0</v>
      </c>
      <c r="X5" s="0" t="n">
        <f aca="false">IF(X3="",0,IF(X4=Milestones!$AB$32,Milestones!$AC$32,0))</f>
        <v>0</v>
      </c>
      <c r="Y5" s="0" t="n">
        <f aca="false">IF(Y3="",0,IF(Y4=Milestones!$AB$33,Milestones!$AC$33,0))</f>
        <v>0</v>
      </c>
      <c r="Z5" s="0" t="n">
        <f aca="false">IF(Z3="",0,IF(Z4=Milestones!$AB$34,Milestones!$AC$34,0))</f>
        <v>0</v>
      </c>
      <c r="AA5" s="0" t="n">
        <f aca="false">IF(AA3="",0,IF(AA4=Milestones!$AB$35,Milestones!$AC$35,0))</f>
        <v>0</v>
      </c>
      <c r="AB5" s="0" t="n">
        <f aca="false">IF(AB3="",0,IF(AB4=Milestones!$AB$36,Milestones!$AC$36,0))</f>
        <v>0</v>
      </c>
      <c r="AC5" s="0" t="n">
        <f aca="false">IF(AC3="",0,IF(AC4=Milestones!$AB$37,Milestones!$AC$37,0))</f>
        <v>0</v>
      </c>
      <c r="AD5" s="0" t="n">
        <f aca="false">IF(AD3="",0,IF(AD4=Milestones!$AB$38,Milestones!$AC$38,0))</f>
        <v>0</v>
      </c>
      <c r="AE5" s="0" t="n">
        <f aca="false">IF(AE3="",0,IF(AE4=Milestones!$AB$39,Milestones!$AC$39,0))</f>
        <v>0</v>
      </c>
      <c r="AF5" s="0" t="n">
        <f aca="false">IF(AF3="",0,IF(AF4=Milestones!$AB$40,Milestones!$AC$40,0))</f>
        <v>0</v>
      </c>
      <c r="AG5" s="0" t="n">
        <f aca="false">IF(AG3="",0,IF(AG4=Milestones!$AB$41,Milestones!$AC$41,0))</f>
        <v>0</v>
      </c>
      <c r="AH5" s="0" t="n">
        <f aca="false">IF(AH3="",0,IF(AH4=Milestones!$AB$42,Milestones!$AC$42,0))</f>
        <v>0</v>
      </c>
      <c r="AI5" s="0" t="n">
        <f aca="false">IF(AI3="",0,IF(AI4=Milestones!$AB$43,Milestones!$AC$43,0))</f>
        <v>0</v>
      </c>
      <c r="AJ5" s="0" t="n">
        <f aca="false">IF(AJ3="",0,IF(AJ4=Milestones!$AB$44,Milestones!$AC$44,0))</f>
        <v>0</v>
      </c>
      <c r="AK5" s="0" t="n">
        <f aca="false">IF(AK3="",0,IF(AK4=Milestones!$AB$45,Milestones!$AC$45,0))</f>
        <v>0</v>
      </c>
      <c r="AL5" s="0" t="n">
        <f aca="false">IF(AL3="",0,IF(AL4=Milestones!$AB$46,Milestones!$AC$46,0))</f>
        <v>0</v>
      </c>
      <c r="AM5" s="0" t="n">
        <f aca="false">IF(AM3="",0,IF(AM4=Milestones!$AB$47,Milestones!$AC$47,0))</f>
        <v>0</v>
      </c>
      <c r="AN5" s="0" t="n">
        <f aca="false">IF(AN3="",0,IF(AN4=Milestones!$AB$48,Milestones!$AC$48,0))</f>
        <v>0</v>
      </c>
      <c r="AO5" s="0" t="n">
        <f aca="false">IF(AO3="",0,IF(AO4=Milestones!$AB$49,Milestones!$AC$49,0))</f>
        <v>0</v>
      </c>
      <c r="AP5" s="0" t="n">
        <f aca="false">IF(AP3="",0,IF(AP4=Milestones!$AB$50,Milestones!$AC$50,0))</f>
        <v>0</v>
      </c>
      <c r="AQ5" s="0" t="n">
        <f aca="false">IF(AQ3="",0,IF(AQ4=Milestones!$AB$51,Milestones!$AC$51,0))</f>
        <v>0</v>
      </c>
      <c r="AR5" s="0" t="n">
        <f aca="false">IF(AR3="",0,IF(AR4=Milestones!$AB$52,Milestones!$AC$52,0))</f>
        <v>0</v>
      </c>
      <c r="AS5" s="0" t="n">
        <f aca="false">IF(AS3="",0,IF(AS4=Milestones!$AB$53,Milestones!$AC$53,0))</f>
        <v>0</v>
      </c>
      <c r="AT5" s="0" t="n">
        <f aca="false">IF(AT3="",0,IF(AT4=Milestones!$AB$54,Milestones!$AC$54,0))</f>
        <v>0</v>
      </c>
      <c r="AU5" s="0" t="n">
        <f aca="false">IF(AU3="",0,IF(AU4=Milestones!$AB$55,Milestones!$AC$55,0))</f>
        <v>0</v>
      </c>
      <c r="AV5" s="0" t="n">
        <f aca="false">IF(AV3="",0,IF(AV4=Milestones!$AB$56,Milestones!$AC$56,0))</f>
        <v>0</v>
      </c>
      <c r="AW5" s="0" t="n">
        <f aca="false">IF(AW3="",0,IF(AW4=Milestones!$AB$57,Milestones!$AC$57,0))</f>
        <v>0</v>
      </c>
      <c r="AX5" s="0" t="n">
        <f aca="false">IF(AX3="",0,IF(AX4=Milestones!$AB$58,Milestones!$AC$58,0))</f>
        <v>0</v>
      </c>
      <c r="AY5" s="0" t="n">
        <f aca="false">IF(AY3="",0,IF(AY4=Milestones!$AB$59,Milestones!$AC$59,0))</f>
        <v>0</v>
      </c>
      <c r="AZ5" s="0" t="n">
        <f aca="false">IF(AZ3="",0,IF(AZ4=Milestones!$AB$60,Milestones!$AC$60,0))</f>
        <v>0</v>
      </c>
      <c r="BA5" s="0" t="n">
        <f aca="false">IF(BA3="",0,IF(BA4=Milestones!$AB$61,Milestones!$AC$61,0))</f>
        <v>0</v>
      </c>
      <c r="BB5" s="0" t="n">
        <f aca="false">IF(BB3="",0,IF(BB4=Milestones!$AB$62,Milestones!$AC$62,0))</f>
        <v>0</v>
      </c>
      <c r="BC5" s="0" t="n">
        <f aca="false">IF(BC3="",0,IF(BC4=Milestones!$AB$63,Milestones!$AC$63,0))</f>
        <v>0</v>
      </c>
      <c r="BD5" s="0" t="n">
        <f aca="false">IF(BD3="",0,IF(BD4=Milestones!$AB$64,Milestones!$AC$64,0))</f>
        <v>0</v>
      </c>
      <c r="BE5" s="0" t="n">
        <f aca="false">IF(BE3="",0,IF(BE4=Milestones!$AB$65,Milestones!$AC$65,0))</f>
        <v>0</v>
      </c>
      <c r="BF5" s="0" t="n">
        <f aca="false">IF(BF3="",0,IF(BF4=Milestones!$AB$66,Milestones!$AC$66,0))</f>
        <v>0</v>
      </c>
      <c r="BG5" s="0" t="n">
        <f aca="false">IF(BG3="",0,IF(BG4=Milestones!$AB$67,Milestones!$AC$67,0))</f>
        <v>0</v>
      </c>
      <c r="BH5" s="0" t="n">
        <f aca="false">IF(BH3="",0,IF(BH4=Milestones!$AB$68,Milestones!$AC$68,0))</f>
        <v>0</v>
      </c>
      <c r="BI5" s="0" t="n">
        <f aca="false">IF(BI3="",0,IF(BI4=Milestones!$AB$69,Milestones!$AC$69,0))</f>
        <v>0</v>
      </c>
      <c r="BJ5" s="0" t="n">
        <f aca="false">IF(BJ3="",0,IF(BJ4=Milestones!$AB$70,Milestones!$AC$70,0))</f>
        <v>0</v>
      </c>
      <c r="BK5" s="0" t="n">
        <f aca="false">IF(BK3="",0,IF(BK4=Milestones!$AB$71,Milestones!$AC$71,0))</f>
        <v>0</v>
      </c>
      <c r="BL5" s="0" t="n">
        <f aca="false">IF(BL3="",0,IF(BL4=Milestones!$AB$72,Milestones!$AC$72,0))</f>
        <v>0</v>
      </c>
      <c r="BM5" s="0" t="n">
        <f aca="false">IF(BM3="",0,IF(BM4=Milestones!$AB$73,Milestones!$AC$73,0))</f>
        <v>0</v>
      </c>
      <c r="BN5" s="0" t="n">
        <f aca="false">IF(BN3="",0,IF(BN4=Milestones!$AB$74,Milestones!$AC$74,0))</f>
        <v>0</v>
      </c>
      <c r="BO5" s="0" t="n">
        <f aca="false">IF(BO3="",0,IF(BO4=Milestones!$AB$75,Milestones!$AC$75,0))</f>
        <v>0</v>
      </c>
      <c r="BP5" s="0" t="n">
        <f aca="false">IF(BP3="",0,IF(BP4=Milestones!$AB$76,Milestones!$AC$76,0))</f>
        <v>0</v>
      </c>
      <c r="BQ5" s="0" t="n">
        <f aca="false">IF(BQ3="",0,IF(BQ4=Milestones!$AB$77,Milestones!$AC$77,0))</f>
        <v>0</v>
      </c>
      <c r="BR5" s="0" t="n">
        <f aca="false">IF(BR3="",0,IF(BR4=Milestones!$AB$78,Milestones!$AC$78,0))</f>
        <v>0</v>
      </c>
      <c r="BS5" s="0" t="n">
        <f aca="false">IF(BS3="",0,IF(BS4=Milestones!$AB$79,Milestones!$AC$79,0))</f>
        <v>0</v>
      </c>
      <c r="BT5" s="0" t="n">
        <f aca="false">IF(BT3="",0,IF(BT4=Milestones!$AB$80,Milestones!$AC$80,0))</f>
        <v>0</v>
      </c>
      <c r="BU5" s="0" t="n">
        <f aca="false">IF(BU3="",0,IF(BU4=Milestones!$AB$81,Milestones!$AC$81,0))</f>
        <v>0</v>
      </c>
      <c r="BV5" s="0" t="n">
        <f aca="false">IF(BV3="",0,IF(BV4=Milestones!$AB$82,Milestones!$AC$82,0))</f>
        <v>0</v>
      </c>
      <c r="BW5" s="0" t="n">
        <f aca="false">IF(BW3="",0,IF(BW4=Milestones!$AB$83,Milestones!$AC$83,0))</f>
        <v>0</v>
      </c>
      <c r="BX5" s="0" t="n">
        <f aca="false">IF(BX3="",0,IF(BX4=Milestones!$AB$84,Milestones!$AC$84,0))</f>
        <v>0</v>
      </c>
      <c r="BY5" s="0" t="n">
        <f aca="false">IF(BY3="",0,IF(BY4=Milestones!$AB$85,Milestones!$AC$85,0))</f>
        <v>0</v>
      </c>
      <c r="BZ5" s="0" t="n">
        <f aca="false">IF(BZ3="",0,IF(BZ4=Milestones!$AB$86,Milestones!$AC$86,0))</f>
        <v>0</v>
      </c>
      <c r="CA5" s="0" t="n">
        <f aca="false">IF(CA3="",0,IF(CA4=Milestones!$AB$87,Milestones!$AC$87,0))</f>
        <v>0</v>
      </c>
      <c r="CB5" s="0" t="n">
        <f aca="false">IF(CB3="",0,IF(CB4=Milestones!$AB$88,Milestones!$AC$88,0))</f>
        <v>0</v>
      </c>
      <c r="CC5" s="0" t="n">
        <f aca="false">IF(CC3="",0,IF(CC4=Milestones!$AB$89,Milestones!$AC$89,0))</f>
        <v>0</v>
      </c>
      <c r="CD5" s="0" t="n">
        <f aca="false">IF(CD3="",0,IF(CD4=Milestones!$AB$90,Milestones!$AC$90,0))</f>
        <v>0</v>
      </c>
      <c r="CE5" s="0" t="n">
        <f aca="false">IF(CE3="",0,IF(CE4=Milestones!$AB$91,Milestones!$AC$91,0))</f>
        <v>0</v>
      </c>
      <c r="CF5" s="0" t="n">
        <f aca="false">IF(CF3="",0,IF(CF4=Milestones!$AB$92,Milestones!$AC$92,0))</f>
        <v>0</v>
      </c>
      <c r="CG5" s="0" t="n">
        <f aca="false">IF(CG3="",0,IF(CG4=Milestones!$AB$93,Milestones!$AC$93,0))</f>
        <v>0</v>
      </c>
      <c r="CH5" s="0" t="n">
        <f aca="false">IF(CH3="",0,IF(CH4=Milestones!$AB$94,Milestones!$AC$94,0))</f>
        <v>0</v>
      </c>
      <c r="CI5" s="0" t="n">
        <f aca="false">IF(CI3="",0,IF(CI4=Milestones!$AB$95,Milestones!$AC$95,0))</f>
        <v>0</v>
      </c>
      <c r="CJ5" s="0" t="n">
        <f aca="false">IF(CJ3="",0,IF(CJ4=Milestones!$AB$96,Milestones!$AC$96,0))</f>
        <v>0</v>
      </c>
      <c r="CK5" s="0" t="n">
        <f aca="false">IF(CK3="",0,IF(CK4=Milestones!$AB$97,Milestones!$AC$97,0))</f>
        <v>0</v>
      </c>
      <c r="CL5" s="0" t="n">
        <f aca="false">IF(CL3="",0,IF(CL4=Milestones!$AB$98,Milestones!$AC$98,0))</f>
        <v>0</v>
      </c>
      <c r="CM5" s="0" t="n">
        <f aca="false">IF(CM3="",0,IF(CM4=Milestones!$AB$99,Milestones!$AC$99,0))</f>
        <v>0</v>
      </c>
      <c r="CN5" s="0" t="n">
        <f aca="false">IF(CN3="",0,IF(CN4=Milestones!$AB$100,Milestones!$AC$100,0))</f>
        <v>0</v>
      </c>
      <c r="CO5" s="0" t="n">
        <f aca="false">IF(CO3="",0,IF(CO4=Milestones!$AB$101,Milestones!$AC$101,0))</f>
        <v>0</v>
      </c>
      <c r="CP5" s="0" t="n">
        <f aca="false">IF(CP3="",0,IF(CP4=Milestones!$AB$102,Milestones!$AC$102,0))</f>
        <v>0</v>
      </c>
      <c r="CQ5" s="0" t="n">
        <f aca="false">IF(CQ3="",0,IF(CQ4=Milestones!$AB$103,Milestones!$AC$103,0))</f>
        <v>0</v>
      </c>
      <c r="CR5" s="0" t="n">
        <f aca="false">IF(CR3="",0,IF(CR4=Milestones!$AB$104,Milestones!$AC$104,0))</f>
        <v>0</v>
      </c>
      <c r="CS5" s="0" t="n">
        <f aca="false">IF(CS3="",0,IF(CS4=Milestones!$AB$105,Milestones!$AC$105,0))</f>
        <v>0</v>
      </c>
      <c r="CT5" s="0" t="n">
        <f aca="false">IF(CT3="",0,IF(CT4=Milestones!$AB$106,Milestones!$AC$106,0))</f>
        <v>0</v>
      </c>
      <c r="CU5" s="0" t="n">
        <f aca="false">IF(CU3="",0,IF(CU4=Milestones!$AB$107,Milestones!$AC$107,0))</f>
        <v>0</v>
      </c>
      <c r="CV5" s="0" t="n">
        <f aca="false">IF(CV3="",0,IF(CV4=Milestones!$AB$108,Milestones!$AC$108,0))</f>
        <v>0</v>
      </c>
      <c r="CW5" s="0" t="n">
        <f aca="false">IF(CW3="",0,IF(CW4=Milestones!$AB$109,Milestones!$AC$109,0))</f>
        <v>0</v>
      </c>
      <c r="CX5" s="0" t="n">
        <f aca="false">IF(CX3="",0,IF(CX4=Milestones!$AB$110,Milestones!$AC$110,0))</f>
        <v>0</v>
      </c>
      <c r="CY5" s="0" t="n">
        <f aca="false">IF(CY3="",0,IF(CY4=Milestones!$AB$111,Milestones!$AC$111,0))</f>
        <v>0</v>
      </c>
      <c r="CZ5" s="0" t="n">
        <f aca="false">IF(CZ3="",0,IF(CZ4=Milestones!$AB$112,Milestones!$AC$112,0))</f>
        <v>0</v>
      </c>
      <c r="DA5" s="0" t="n">
        <f aca="false">IF(DA3="",0,IF(DA4=Milestones!$AB$113,Milestones!$AC$113,0))</f>
        <v>0</v>
      </c>
      <c r="DB5" s="0" t="n">
        <f aca="false">IF(DB3="",0,IF(DB4=Milestones!$AB$114,Milestones!$AC$114,0))</f>
        <v>0</v>
      </c>
      <c r="DC5" s="0" t="n">
        <f aca="false">IF(DC3="",0,IF(DC4=Milestones!$AB$115,Milestones!$AC$115,0))</f>
        <v>0</v>
      </c>
      <c r="DD5" s="0" t="n">
        <f aca="false">IF(DD3="",0,IF(DD4=Milestones!$AB$116,Milestones!$AC$116,0))</f>
        <v>0</v>
      </c>
      <c r="DE5" s="0" t="n">
        <f aca="false">IF(DE3="",0,IF(DE4=Milestones!$AB$117,Milestones!$AC$117,0))</f>
        <v>0</v>
      </c>
      <c r="DF5" s="0" t="n">
        <f aca="false">IF(DF3="",0,IF(DF4=Milestones!$AB$118,Milestones!$AC$118,0))</f>
        <v>0</v>
      </c>
      <c r="DG5" s="0" t="n">
        <f aca="false">IF(DG3="",0,IF(DG4=Milestones!$AB$119,Milestones!$AC$119,0))</f>
        <v>0</v>
      </c>
      <c r="DH5" s="0" t="n">
        <f aca="false">IF(DH3="",0,IF(DH4=Milestones!$AB$120,Milestones!$AC$120,0))</f>
        <v>0</v>
      </c>
      <c r="DI5" s="0" t="n">
        <f aca="false">IF(DI3="",0,IF(DI4=Milestones!$AB$121,Milestones!$AC$121,0))</f>
        <v>0</v>
      </c>
      <c r="DJ5" s="0" t="n">
        <f aca="false">IF(DJ3="",0,IF(DJ4=Milestones!$AB$122,Milestones!$AC$122,0))</f>
        <v>0</v>
      </c>
      <c r="DK5" s="0" t="n">
        <f aca="false">IF(DK3="",0,IF(DK4=Milestones!$AB$123,Milestones!$AC$123,0))</f>
        <v>0</v>
      </c>
      <c r="DL5" s="0" t="n">
        <f aca="false">IF(DL3="",0,IF(DL4=Milestones!$AB$124,Milestones!$AC$124,0))</f>
        <v>0</v>
      </c>
      <c r="DM5" s="0" t="n">
        <f aca="false">IF(DM3="",0,IF(DM4=Milestones!$AB$125,Milestones!$AC$125,0))</f>
        <v>0</v>
      </c>
      <c r="DN5" s="0" t="n">
        <f aca="false">IF(DN3="",0,IF(DN4=Milestones!$AB$126,Milestones!$AC$126,0))</f>
        <v>0</v>
      </c>
      <c r="DO5" s="0" t="n">
        <f aca="false">IF(DO3="",0,IF(DO4=Milestones!$AB$127,Milestones!$AC$127,0))</f>
        <v>0</v>
      </c>
      <c r="DP5" s="0" t="n">
        <f aca="false">IF(DP3="",0,IF(DP4=Milestones!$AB$128,Milestones!$AC$128,0))</f>
        <v>0</v>
      </c>
      <c r="DQ5" s="0" t="n">
        <f aca="false">IF(DQ3="",0,IF(DQ4=Milestones!$AB$129,Milestones!$AC$129,0))</f>
        <v>0</v>
      </c>
      <c r="DR5" s="0" t="n">
        <f aca="false">IF(DR3="",0,IF(DR4=Milestones!$AB$130,Milestones!$AC$130,0))</f>
        <v>0</v>
      </c>
      <c r="DS5" s="0" t="n">
        <f aca="false">IF(DS3="",0,IF(DS4=Milestones!$AB$131,Milestones!$AC$131,0))</f>
        <v>0</v>
      </c>
      <c r="DT5" s="0" t="n">
        <f aca="false">IF(DT3="",0,IF(DT4=Milestones!$AB$132,Milestones!$AC$132,0))</f>
        <v>0</v>
      </c>
      <c r="DU5" s="0" t="n">
        <f aca="false">IF(DU3="",0,IF(DU4=Milestones!$AB$133,Milestones!$AC$133,0))</f>
        <v>0</v>
      </c>
      <c r="DV5" s="0" t="n">
        <f aca="false">IF(DV3="",0,IF(DV4=Milestones!$AB$134,Milestones!$AC$134,0))</f>
        <v>0</v>
      </c>
      <c r="DW5" s="0" t="n">
        <f aca="false">IF(DW3="",0,IF(DW4=Milestones!$AB$135,Milestones!$AC$135,0))</f>
        <v>0</v>
      </c>
      <c r="DX5" s="0" t="n">
        <f aca="false">IF(DX3="",0,IF(DX4=Milestones!$AB$136,Milestones!$AC$136,0))</f>
        <v>0</v>
      </c>
      <c r="DY5" s="0" t="n">
        <f aca="false">IF(DY3="",0,IF(DY4=Milestones!$AB$137,Milestones!$AC$137,0))</f>
        <v>0</v>
      </c>
      <c r="DZ5" s="0" t="n">
        <f aca="false">IF(DZ3="",0,IF(DZ4=Milestones!$AB$138,Milestones!$AC$138,0))</f>
        <v>0</v>
      </c>
      <c r="EA5" s="0" t="n">
        <f aca="false">IF(EA3="",0,IF(EA4=Milestones!$AB$139,Milestones!$AC$139,0))</f>
        <v>0</v>
      </c>
      <c r="EB5" s="0" t="n">
        <f aca="false">IF(EB3="",0,IF(EB4=Milestones!$AB$140,Milestones!$AC$140,0))</f>
        <v>0</v>
      </c>
      <c r="EC5" s="0" t="n">
        <f aca="false">IF(EC3="",0,IF(EC4=Milestones!$AB$141,Milestones!$AC$141,0))</f>
        <v>0</v>
      </c>
      <c r="ED5" s="0" t="n">
        <f aca="false">IF(ED3="",0,IF(ED4=Milestones!$AB$142,Milestones!$AC$142,0))</f>
        <v>0</v>
      </c>
      <c r="EE5" s="0" t="n">
        <f aca="false">IF(EE3="",0,IF(EE4=Milestones!$AB$143,Milestones!$AC$143,0))</f>
        <v>0</v>
      </c>
      <c r="EF5" s="0" t="n">
        <f aca="false">IF(EF3="",0,IF(EF4=Milestones!$AB$144,Milestones!$AC$144,0))</f>
        <v>0</v>
      </c>
      <c r="EG5" s="0" t="n">
        <f aca="false">IF(EG3="",0,IF(EG4=Milestones!$AB$145,Milestones!$AC$145,0))</f>
        <v>0</v>
      </c>
      <c r="EH5" s="0" t="n">
        <f aca="false">IF(EH3="",0,IF(EH4=Milestones!$AB$146,Milestones!$AC$146,0))</f>
        <v>0</v>
      </c>
      <c r="EI5" s="0" t="n">
        <f aca="false">IF(EI3="",0,IF(EI4=Milestones!$AB$147,Milestones!$AC$147,0))</f>
        <v>0</v>
      </c>
      <c r="EJ5" s="0" t="n">
        <f aca="false">IF(EJ3="",0,IF(EJ4=Milestones!$AB$148,Milestones!$AC$148,0))</f>
        <v>0</v>
      </c>
      <c r="EK5" s="0" t="n">
        <f aca="false">IF(EK3="",0,IF(EK4=Milestones!$AB$149,Milestones!$AC$149,0))</f>
        <v>0</v>
      </c>
      <c r="EL5" s="0" t="n">
        <f aca="false">IF(EL3="",0,IF(EL4=Milestones!$AB$150,Milestones!$AC$150,0))</f>
        <v>0</v>
      </c>
      <c r="EM5" s="0" t="n">
        <f aca="false">IF(EM3="",0,IF(EM4=Milestones!$AB$151,Milestones!$AC$151,0))</f>
        <v>0</v>
      </c>
      <c r="EN5" s="0" t="n">
        <f aca="false">IF(EN3="",0,IF(EN4=Milestones!$AB$152,Milestones!$AC$152,0))</f>
        <v>0</v>
      </c>
      <c r="EO5" s="0" t="n">
        <f aca="false">IF(EO3="",0,IF(EO4=Milestones!$AB$153,Milestones!$AC$153,0))</f>
        <v>0</v>
      </c>
      <c r="EP5" s="0" t="n">
        <f aca="false">IF(EP3="",0,IF(EP4=Milestones!$AB$154,Milestones!$AC$154,0))</f>
        <v>0</v>
      </c>
      <c r="EQ5" s="0" t="n">
        <f aca="false">IF(EQ3="",0,IF(EQ4=Milestones!$AB$155,Milestones!$AC$155,0))</f>
        <v>0</v>
      </c>
      <c r="ER5" s="0" t="n">
        <f aca="false">IF(ER3="",0,IF(ER4=Milestones!$AB$156,Milestones!$AC$156,0))</f>
        <v>0</v>
      </c>
      <c r="ES5" s="0" t="n">
        <f aca="false">IF(ES3="",0,IF(ES4=Milestones!$AB$157,Milestones!$AC$157,0))</f>
        <v>0</v>
      </c>
      <c r="ET5" s="0" t="n">
        <f aca="false">IF(ET3="",0,IF(ET4=Milestones!$AB$158,Milestones!$AC$158,0))</f>
        <v>0</v>
      </c>
      <c r="EU5" s="0" t="n">
        <f aca="false">IF(EU3="",0,IF(EU4=Milestones!$AB$159,Milestones!$AC$159,0))</f>
        <v>0</v>
      </c>
      <c r="EV5" s="0" t="n">
        <f aca="false">IF(EV3="",0,IF(EV4=Milestones!$AB$160,Milestones!$AC$160,0))</f>
        <v>0</v>
      </c>
      <c r="EW5" s="0" t="n">
        <f aca="false">IF(EW3="",0,IF(EW4=Milestones!$AB$161,Milestones!$AC$161,0))</f>
        <v>0</v>
      </c>
      <c r="EX5" s="0" t="n">
        <f aca="false">IF(EX3="",0,IF(EX4=Milestones!$AB$162,Milestones!$AC$162,0))</f>
        <v>0</v>
      </c>
      <c r="EY5" s="0" t="n">
        <f aca="false">IF(EY3="",0,IF(EY4=Milestones!$AB$163,Milestones!$AC$163,0))</f>
        <v>0</v>
      </c>
      <c r="EZ5" s="0" t="n">
        <f aca="false">IF(EZ3="",0,IF(EZ4=Milestones!$AB$164,Milestones!$AC$164,0))</f>
        <v>0</v>
      </c>
      <c r="FA5" s="0" t="n">
        <f aca="false">IF(FA3="",0,IF(FA4=Milestones!$AB$165,Milestones!$AC$165,0))</f>
        <v>0</v>
      </c>
      <c r="FB5" s="0" t="n">
        <f aca="false">IF(FB3="",0,IF(FB4=Milestones!$AB$166,Milestones!$AC$166,0))</f>
        <v>0</v>
      </c>
      <c r="FC5" s="0" t="n">
        <f aca="false">IF(FC3="",0,IF(FC4=Milestones!$AB$167,Milestones!$AC$167,0))</f>
        <v>0</v>
      </c>
      <c r="FD5" s="0" t="n">
        <f aca="false">IF(FD3="",0,IF(FD4=Milestones!$AB$168,Milestones!$AC$168,0))</f>
        <v>0</v>
      </c>
      <c r="FE5" s="0" t="n">
        <f aca="false">IF(FE3="",0,IF(FE4=Milestones!$AB$169,Milestones!$AC$169,0))</f>
        <v>0</v>
      </c>
      <c r="FF5" s="0" t="n">
        <f aca="false">IF(FF3="",0,IF(FF4=Milestones!$AB$170,Milestones!$AC$170,0))</f>
        <v>0</v>
      </c>
      <c r="FG5" s="0" t="n">
        <f aca="false">IF(FG3="",0,IF(FG4=Milestones!$AB$171,Milestones!$AC$171,0))</f>
        <v>0</v>
      </c>
      <c r="FH5" s="0" t="n">
        <f aca="false">IF(FH3="",0,IF(FH4=Milestones!$AB$172,Milestones!$AC$172,0))</f>
        <v>0</v>
      </c>
      <c r="FI5" s="0" t="n">
        <f aca="false">IF(FI3="",0,IF(FI4=Milestones!$AB$173,Milestones!$AC$173,0))</f>
        <v>0</v>
      </c>
      <c r="FJ5" s="0" t="n">
        <f aca="false">IF(FJ3="",0,IF(FJ4=Milestones!$AB$174,Milestones!$AC$174,0))</f>
        <v>0</v>
      </c>
      <c r="FK5" s="0" t="n">
        <f aca="false">IF(FK3="",0,IF(FK4=Milestones!$AB$175,Milestones!$AC$175,0))</f>
        <v>0</v>
      </c>
      <c r="FL5" s="0" t="n">
        <f aca="false">IF(FL3="",0,IF(FL4=Milestones!$AB$176,Milestones!$AC$176,0))</f>
        <v>0</v>
      </c>
      <c r="FM5" s="0" t="n">
        <f aca="false">IF(FM3="",0,IF(FM4=Milestones!$AB$177,Milestones!$AC$177,0))</f>
        <v>0</v>
      </c>
      <c r="FN5" s="0" t="n">
        <f aca="false">IF(FN3="",0,IF(FN4=Milestones!$AB$178,Milestones!$AC$178,0))</f>
        <v>0</v>
      </c>
      <c r="FO5" s="0" t="n">
        <f aca="false">IF(FO3="",0,IF(FO4=Milestones!$AB$179,Milestones!$AC$179,0))</f>
        <v>0</v>
      </c>
      <c r="FP5" s="0" t="n">
        <f aca="false">IF(FP3="",0,IF(FP4=Milestones!$AB$180,Milestones!$AC$180,0))</f>
        <v>0</v>
      </c>
      <c r="FQ5" s="0" t="n">
        <f aca="false">IF(FQ3="",0,IF(FQ4=Milestones!$AB$181,Milestones!$AC$181,0))</f>
        <v>0</v>
      </c>
      <c r="FR5" s="0" t="n">
        <f aca="false">IF(FR3="",0,IF(FR4=Milestones!$AB$182,Milestones!$AC$182,0))</f>
        <v>0</v>
      </c>
      <c r="FS5" s="0" t="n">
        <f aca="false">IF(FS3="",0,IF(FS4=Milestones!$AB$183,Milestones!$AC$183,0))</f>
        <v>0</v>
      </c>
      <c r="FT5" s="0" t="n">
        <f aca="false">IF(FT3="",0,IF(FT4=Milestones!$AB$184,Milestones!$AC$184,0))</f>
        <v>0</v>
      </c>
      <c r="FU5" s="0" t="n">
        <f aca="false">IF(FU3="",0,IF(FU4=Milestones!$AB$185,Milestones!$AC$185,0))</f>
        <v>0</v>
      </c>
      <c r="FV5" s="0" t="n">
        <f aca="false">IF(FV3="",0,IF(FV4=Milestones!$AB$186,Milestones!$AC$186,0))</f>
        <v>0</v>
      </c>
      <c r="FW5" s="0" t="n">
        <f aca="false">IF(FW3="",0,IF(FW4=Milestones!$AB$187,Milestones!$AC$187,0))</f>
        <v>0</v>
      </c>
      <c r="FX5" s="0" t="n">
        <f aca="false">IF(FX3="",0,IF(FX4=Milestones!$AB$188,Milestones!$AC$188,0))</f>
        <v>0</v>
      </c>
      <c r="FY5" s="0" t="n">
        <f aca="false">IF(FY3="",0,IF(FY4=Milestones!$AB$189,Milestones!$AC$189,0))</f>
        <v>0</v>
      </c>
      <c r="FZ5" s="0" t="n">
        <f aca="false">IF(FZ3="",0,IF(FZ4=Milestones!$AB$190,Milestones!$AC$190,0))</f>
        <v>0</v>
      </c>
      <c r="GA5" s="0" t="n">
        <f aca="false">IF(GA3="",0,IF(GA4=Milestones!$AB$191,Milestones!$AC$191,0))</f>
        <v>0</v>
      </c>
      <c r="GB5" s="0" t="n">
        <f aca="false">IF(GB3="",0,IF(GB4=Milestones!$AB$192,Milestones!$AC$192,0))</f>
        <v>0</v>
      </c>
      <c r="GC5" s="0" t="n">
        <f aca="false">IF(GC3="",0,IF(GC4=Milestones!$AB$193,Milestones!$AC$193,0))</f>
        <v>0</v>
      </c>
      <c r="GD5" s="0" t="n">
        <f aca="false">IF(GD3="",0,IF(GD4=Milestones!$AB$194,Milestones!$AC$194,0))</f>
        <v>0</v>
      </c>
      <c r="GE5" s="0" t="n">
        <f aca="false">IF(GE3="",0,IF(GE4=Milestones!$AB$195,Milestones!$AC$195,0))</f>
        <v>0</v>
      </c>
      <c r="GF5" s="0" t="n">
        <f aca="false">IF(GF3="",0,IF(GF4=Milestones!$AB$196,Milestones!$AC$196,0))</f>
        <v>0</v>
      </c>
      <c r="GG5" s="0" t="n">
        <f aca="false">IF(GG3="",0,IF(GG4=Milestones!$AB$197,Milestones!$AC$197,0))</f>
        <v>0</v>
      </c>
      <c r="GH5" s="0" t="n">
        <f aca="false">IF(GH3="",0,IF(GH4=Milestones!$AB$198,Milestones!$AC$198,0))</f>
        <v>0</v>
      </c>
      <c r="GI5" s="0" t="n">
        <f aca="false">IF(GI3="",0,IF(GI4=Milestones!$AB$199,Milestones!$AC$199,0))</f>
        <v>0</v>
      </c>
    </row>
    <row r="6" customFormat="false" ht="15" hidden="false" customHeight="false" outlineLevel="0" collapsed="false">
      <c r="A6" s="0" t="str">
        <f aca="false">IF('HR Tally Check'!C$7="","",'HR Tally Check'!C$7)</f>
        <v/>
      </c>
      <c r="B6" s="0" t="str">
        <f aca="false">IF(A6="","",ISNUMBER(MATCH(A6,Staff!$BJ$5:$BJ$154,0)))</f>
        <v/>
      </c>
      <c r="C6" s="18" t="str">
        <f aca="false">IF(B6&lt;&gt;TRUE(),"",INDEX(Staff!$AH$5:$AH$154,MATCH($A6,Staff!$BJ$5:$BJ$154,0)))</f>
        <v/>
      </c>
      <c r="D6" s="0" t="str">
        <f aca="false">IF(B6&lt;&gt;TRUE(),"",INDEX(Staff!$AI$5:$AI$154,MATCH($A6,Staff!$BJ$5:$BJ$154,0)))</f>
        <v/>
      </c>
      <c r="E6" s="18" t="str">
        <f aca="false">IF(B6&lt;&gt;TRUE(),"",INDEX(Staff!$AK$5:$AK$154,MATCH($A6,Staff!$BJ$5:$BJ$154,0)))</f>
        <v/>
      </c>
      <c r="F6" s="18" t="str">
        <f aca="false">IF(B6&lt;&gt;TRUE(),"",INDEX(Staff!$AL$5:$AL$154,MATCH($A6,Staff!$BJ$5:$BJ$154,0)))</f>
        <v/>
      </c>
      <c r="G6" s="0" t="str">
        <f aca="false">IF(B6&lt;&gt;TRUE(),"",INDEX(Staff!$AP$5:$AP$154,MATCH($A6,Staff!$BJ$5:$BJ$154,0)))</f>
        <v/>
      </c>
      <c r="H6" s="0" t="str">
        <f aca="false">IF(B6&lt;&gt;TRUE(),"",INDEX(Staff!$AQ$5:$AQ$154,MATCH($A6,Staff!$BJ$5:$BJ$154,0)))</f>
        <v/>
      </c>
      <c r="I6" s="0" t="str">
        <f aca="false">IF(B6&lt;&gt;TRUE(),"",INDEX(Staff!$AR$5:$AR$154,MATCH($A6,Staff!$BJ$5:$BJ$154,0)))</f>
        <v/>
      </c>
      <c r="J6" s="0" t="str">
        <f aca="false">IF(B6&lt;&gt;TRUE(),"",INDEX(Staff!$AS$5:$AS$154,MATCH($A6,Staff!$BJ$5:$BJ$154,0)))</f>
        <v/>
      </c>
      <c r="K6" s="31" t="s">
        <v>228</v>
      </c>
      <c r="L6" s="18" t="str">
        <f aca="false">IF($C6="","",EDATE($C6,Milestones!$AA$20))</f>
        <v/>
      </c>
      <c r="M6" s="18" t="str">
        <f aca="false">IF($C6="","",EDATE($C6,Milestones!$AA$21))</f>
        <v/>
      </c>
      <c r="N6" s="18" t="str">
        <f aca="false">IF($C6="","",EDATE($C6,Milestones!$AA$22))</f>
        <v/>
      </c>
      <c r="O6" s="18" t="str">
        <f aca="false">IF($C6="","",EDATE($C6,Milestones!$AA$23))</f>
        <v/>
      </c>
      <c r="P6" s="18" t="str">
        <f aca="false">IF($C6="","",EDATE($C6,Milestones!$AA$24))</f>
        <v/>
      </c>
      <c r="Q6" s="18" t="str">
        <f aca="false">IF($C6="","",EDATE($C6,Milestones!$AA$25))</f>
        <v/>
      </c>
      <c r="R6" s="18" t="str">
        <f aca="false">IF($C6="","",EDATE($C6,Milestones!$AA$26))</f>
        <v/>
      </c>
      <c r="S6" s="18" t="str">
        <f aca="false">IF($C6="","",EDATE($C6,Milestones!$AA$27))</f>
        <v/>
      </c>
      <c r="T6" s="18" t="str">
        <f aca="false">IF($C6="","",EDATE($C6,Milestones!$AA$28))</f>
        <v/>
      </c>
      <c r="U6" s="18" t="str">
        <f aca="false">IF($C6="","",EDATE($C6,Milestones!$AA$29))</f>
        <v/>
      </c>
      <c r="V6" s="18" t="str">
        <f aca="false">IF($C6="","",EDATE($C6,Milestones!$AA$30))</f>
        <v/>
      </c>
      <c r="W6" s="18" t="str">
        <f aca="false">IF($C6="","",EDATE($C6,Milestones!$AA$31))</f>
        <v/>
      </c>
      <c r="X6" s="18" t="str">
        <f aca="false">IF($C6="","",EDATE($C6,Milestones!$AA$32))</f>
        <v/>
      </c>
      <c r="Y6" s="18" t="str">
        <f aca="false">IF($C6="","",EDATE($C6,Milestones!$AA$33))</f>
        <v/>
      </c>
      <c r="Z6" s="18" t="str">
        <f aca="false">IF($C6="","",EDATE($C6,Milestones!$AA$34))</f>
        <v/>
      </c>
      <c r="AA6" s="18" t="str">
        <f aca="false">IF($C6="","",EDATE($C6,Milestones!$AA$35))</f>
        <v/>
      </c>
      <c r="AB6" s="18" t="str">
        <f aca="false">IF($C6="","",EDATE($C6,Milestones!$AA$36))</f>
        <v/>
      </c>
      <c r="AC6" s="18" t="str">
        <f aca="false">IF($C6="","",EDATE($C6,Milestones!$AA$37))</f>
        <v/>
      </c>
      <c r="AD6" s="18" t="str">
        <f aca="false">IF($C6="","",EDATE($C6,Milestones!$AA$38))</f>
        <v/>
      </c>
      <c r="AE6" s="18" t="str">
        <f aca="false">IF($C6="","",EDATE($C6,Milestones!$AA$39))</f>
        <v/>
      </c>
      <c r="AF6" s="18" t="str">
        <f aca="false">IF($C6="","",EDATE($C6,Milestones!$AA$40))</f>
        <v/>
      </c>
      <c r="AG6" s="18" t="str">
        <f aca="false">IF($C6="","",EDATE($C6,Milestones!$AA$41))</f>
        <v/>
      </c>
      <c r="AH6" s="18" t="str">
        <f aca="false">IF($C6="","",EDATE($C6,Milestones!$AA$42))</f>
        <v/>
      </c>
      <c r="AI6" s="18" t="str">
        <f aca="false">IF($C6="","",EDATE($C6,Milestones!$AA$43))</f>
        <v/>
      </c>
      <c r="AJ6" s="18" t="str">
        <f aca="false">IF($C6="","",EDATE($C6,Milestones!$AA$44))</f>
        <v/>
      </c>
      <c r="AK6" s="18" t="str">
        <f aca="false">IF($C6="","",EDATE($C6,Milestones!$AA$45))</f>
        <v/>
      </c>
      <c r="AL6" s="18" t="str">
        <f aca="false">IF($C6="","",EDATE($C6,Milestones!$AA$46))</f>
        <v/>
      </c>
      <c r="AM6" s="18" t="str">
        <f aca="false">IF($C6="","",EDATE($C6,Milestones!$AA$47))</f>
        <v/>
      </c>
      <c r="AN6" s="18" t="str">
        <f aca="false">IF($C6="","",EDATE($C6,Milestones!$AA$48))</f>
        <v/>
      </c>
      <c r="AO6" s="18" t="str">
        <f aca="false">IF($C6="","",EDATE($C6,Milestones!$AA$49))</f>
        <v/>
      </c>
      <c r="AP6" s="18" t="str">
        <f aca="false">IF($C6="","",EDATE($C6,Milestones!$AA$50))</f>
        <v/>
      </c>
      <c r="AQ6" s="18" t="str">
        <f aca="false">IF($C6="","",EDATE($C6,Milestones!$AA$51))</f>
        <v/>
      </c>
      <c r="AR6" s="18" t="str">
        <f aca="false">IF($C6="","",EDATE($C6,Milestones!$AA$52))</f>
        <v/>
      </c>
      <c r="AS6" s="18" t="str">
        <f aca="false">IF($C6="","",EDATE($C6,Milestones!$AA$53))</f>
        <v/>
      </c>
      <c r="AT6" s="18" t="str">
        <f aca="false">IF($C6="","",EDATE($C6,Milestones!$AA$54))</f>
        <v/>
      </c>
      <c r="AU6" s="18" t="str">
        <f aca="false">IF($C6="","",EDATE($C6,Milestones!$AA$55))</f>
        <v/>
      </c>
      <c r="AV6" s="18" t="str">
        <f aca="false">IF($C6="","",EDATE($C6,Milestones!$AA$56))</f>
        <v/>
      </c>
      <c r="AW6" s="18" t="str">
        <f aca="false">IF($C6="","",EDATE($C6,Milestones!$AA$57))</f>
        <v/>
      </c>
      <c r="AX6" s="18" t="str">
        <f aca="false">IF($C6="","",EDATE($C6,Milestones!$AA$58))</f>
        <v/>
      </c>
      <c r="AY6" s="18" t="str">
        <f aca="false">IF($C6="","",EDATE($C6,Milestones!$AA$59))</f>
        <v/>
      </c>
      <c r="AZ6" s="18" t="str">
        <f aca="false">IF($C6="","",EDATE($C6,Milestones!$AA$60))</f>
        <v/>
      </c>
      <c r="BA6" s="18" t="str">
        <f aca="false">IF($C6="","",EDATE($C6,Milestones!$AA$61))</f>
        <v/>
      </c>
      <c r="BB6" s="18" t="str">
        <f aca="false">IF($C6="","",EDATE($C6,Milestones!$AA$62))</f>
        <v/>
      </c>
      <c r="BC6" s="18" t="str">
        <f aca="false">IF($C6="","",EDATE($C6,Milestones!$AA$63))</f>
        <v/>
      </c>
      <c r="BD6" s="18" t="str">
        <f aca="false">IF($C6="","",EDATE($C6,Milestones!$AA$64))</f>
        <v/>
      </c>
      <c r="BE6" s="18" t="str">
        <f aca="false">IF($C6="","",EDATE($C6,Milestones!$AA$65))</f>
        <v/>
      </c>
      <c r="BF6" s="18" t="str">
        <f aca="false">IF($C6="","",EDATE($C6,Milestones!$AA$66))</f>
        <v/>
      </c>
      <c r="BG6" s="18" t="str">
        <f aca="false">IF($C6="","",EDATE($C6,Milestones!$AA$67))</f>
        <v/>
      </c>
      <c r="BH6" s="18" t="str">
        <f aca="false">IF($C6="","",EDATE($C6,Milestones!$AA$68))</f>
        <v/>
      </c>
      <c r="BI6" s="18" t="str">
        <f aca="false">IF($C6="","",EDATE($C6,Milestones!$AA$69))</f>
        <v/>
      </c>
      <c r="BJ6" s="18" t="str">
        <f aca="false">IF($C6="","",EDATE($C6,Milestones!$AA$70))</f>
        <v/>
      </c>
      <c r="BK6" s="18" t="str">
        <f aca="false">IF($C6="","",EDATE($C6,Milestones!$AA$71))</f>
        <v/>
      </c>
      <c r="BL6" s="18" t="str">
        <f aca="false">IF($C6="","",EDATE($C6,Milestones!$AA$72))</f>
        <v/>
      </c>
      <c r="BM6" s="18" t="str">
        <f aca="false">IF($C6="","",EDATE($C6,Milestones!$AA$73))</f>
        <v/>
      </c>
      <c r="BN6" s="18" t="str">
        <f aca="false">IF($C6="","",EDATE($C6,Milestones!$AA$74))</f>
        <v/>
      </c>
      <c r="BO6" s="18" t="str">
        <f aca="false">IF($C6="","",EDATE($C6,Milestones!$AA$75))</f>
        <v/>
      </c>
      <c r="BP6" s="18" t="str">
        <f aca="false">IF($C6="","",EDATE($C6,Milestones!$AA$76))</f>
        <v/>
      </c>
      <c r="BQ6" s="18" t="str">
        <f aca="false">IF($C6="","",EDATE($C6,Milestones!$AA$77))</f>
        <v/>
      </c>
      <c r="BR6" s="18" t="str">
        <f aca="false">IF($C6="","",EDATE($C6,Milestones!$AA$78))</f>
        <v/>
      </c>
      <c r="BS6" s="18" t="str">
        <f aca="false">IF($C6="","",EDATE($C6,Milestones!$AA$79))</f>
        <v/>
      </c>
      <c r="BT6" s="18" t="str">
        <f aca="false">IF($C6="","",EDATE($C6,Milestones!$AA$80))</f>
        <v/>
      </c>
      <c r="BU6" s="18" t="str">
        <f aca="false">IF($C6="","",EDATE($C6,Milestones!$AA$81))</f>
        <v/>
      </c>
      <c r="BV6" s="18" t="str">
        <f aca="false">IF($C6="","",EDATE($C6,Milestones!$AA$82))</f>
        <v/>
      </c>
      <c r="BW6" s="18" t="str">
        <f aca="false">IF($C6="","",EDATE($C6,Milestones!$AA$83))</f>
        <v/>
      </c>
      <c r="BX6" s="18" t="str">
        <f aca="false">IF($C6="","",EDATE($C6,Milestones!$AA$84))</f>
        <v/>
      </c>
      <c r="BY6" s="18" t="str">
        <f aca="false">IF($C6="","",EDATE($C6,Milestones!$AA$85))</f>
        <v/>
      </c>
      <c r="BZ6" s="18" t="str">
        <f aca="false">IF($C6="","",EDATE($C6,Milestones!$AA$86))</f>
        <v/>
      </c>
      <c r="CA6" s="18" t="str">
        <f aca="false">IF($C6="","",EDATE($C6,Milestones!$AA$87))</f>
        <v/>
      </c>
      <c r="CB6" s="18" t="str">
        <f aca="false">IF($C6="","",EDATE($C6,Milestones!$AA$88))</f>
        <v/>
      </c>
      <c r="CC6" s="18" t="str">
        <f aca="false">IF($C6="","",EDATE($C6,Milestones!$AA$89))</f>
        <v/>
      </c>
      <c r="CD6" s="18" t="str">
        <f aca="false">IF($C6="","",EDATE($C6,Milestones!$AA$90))</f>
        <v/>
      </c>
      <c r="CE6" s="18" t="str">
        <f aca="false">IF($C6="","",EDATE($C6,Milestones!$AA$91))</f>
        <v/>
      </c>
      <c r="CF6" s="18" t="str">
        <f aca="false">IF($C6="","",EDATE($C6,Milestones!$AA$92))</f>
        <v/>
      </c>
      <c r="CG6" s="18" t="str">
        <f aca="false">IF($C6="","",EDATE($C6,Milestones!$AA$93))</f>
        <v/>
      </c>
      <c r="CH6" s="18" t="str">
        <f aca="false">IF($C6="","",EDATE($C6,Milestones!$AA$94))</f>
        <v/>
      </c>
      <c r="CI6" s="18" t="str">
        <f aca="false">IF($C6="","",EDATE($C6,Milestones!$AA$95))</f>
        <v/>
      </c>
      <c r="CJ6" s="18" t="str">
        <f aca="false">IF($C6="","",EDATE($C6,Milestones!$AA$96))</f>
        <v/>
      </c>
      <c r="CK6" s="18" t="str">
        <f aca="false">IF($C6="","",EDATE($C6,Milestones!$AA$97))</f>
        <v/>
      </c>
      <c r="CL6" s="18" t="str">
        <f aca="false">IF($C6="","",EDATE($C6,Milestones!$AA$98))</f>
        <v/>
      </c>
      <c r="CM6" s="18" t="str">
        <f aca="false">IF($C6="","",EDATE($C6,Milestones!$AA$99))</f>
        <v/>
      </c>
      <c r="CN6" s="18" t="str">
        <f aca="false">IF($C6="","",EDATE($C6,Milestones!$AA$100))</f>
        <v/>
      </c>
      <c r="CO6" s="18" t="str">
        <f aca="false">IF($C6="","",EDATE($C6,Milestones!$AA$101))</f>
        <v/>
      </c>
      <c r="CP6" s="18" t="str">
        <f aca="false">IF($C6="","",EDATE($C6,Milestones!$AA$102))</f>
        <v/>
      </c>
      <c r="CQ6" s="18" t="str">
        <f aca="false">IF($C6="","",EDATE($C6,Milestones!$AA$103))</f>
        <v/>
      </c>
      <c r="CR6" s="18" t="str">
        <f aca="false">IF($C6="","",EDATE($C6,Milestones!$AA$104))</f>
        <v/>
      </c>
      <c r="CS6" s="18" t="str">
        <f aca="false">IF($C6="","",EDATE($C6,Milestones!$AA$105))</f>
        <v/>
      </c>
      <c r="CT6" s="18" t="str">
        <f aca="false">IF($C6="","",EDATE($C6,Milestones!$AA$106))</f>
        <v/>
      </c>
      <c r="CU6" s="18" t="str">
        <f aca="false">IF($C6="","",EDATE($C6,Milestones!$AA$107))</f>
        <v/>
      </c>
      <c r="CV6" s="18" t="str">
        <f aca="false">IF($C6="","",EDATE($C6,Milestones!$AA$108))</f>
        <v/>
      </c>
      <c r="CW6" s="18" t="str">
        <f aca="false">IF($C6="","",EDATE($C6,Milestones!$AA$109))</f>
        <v/>
      </c>
      <c r="CX6" s="18" t="str">
        <f aca="false">IF($C6="","",EDATE($C6,Milestones!$AA$110))</f>
        <v/>
      </c>
      <c r="CY6" s="18" t="str">
        <f aca="false">IF($C6="","",EDATE($C6,Milestones!$AA$111))</f>
        <v/>
      </c>
      <c r="CZ6" s="18" t="str">
        <f aca="false">IF($C6="","",EDATE($C6,Milestones!$AA$112))</f>
        <v/>
      </c>
      <c r="DA6" s="18" t="str">
        <f aca="false">IF($C6="","",EDATE($C6,Milestones!$AA$113))</f>
        <v/>
      </c>
      <c r="DB6" s="18" t="str">
        <f aca="false">IF($C6="","",EDATE($C6,Milestones!$AA$114))</f>
        <v/>
      </c>
      <c r="DC6" s="18" t="str">
        <f aca="false">IF($C6="","",EDATE($C6,Milestones!$AA$115))</f>
        <v/>
      </c>
      <c r="DD6" s="18" t="str">
        <f aca="false">IF($C6="","",EDATE($C6,Milestones!$AA$116))</f>
        <v/>
      </c>
      <c r="DE6" s="18" t="str">
        <f aca="false">IF($C6="","",EDATE($C6,Milestones!$AA$117))</f>
        <v/>
      </c>
      <c r="DF6" s="18" t="str">
        <f aca="false">IF($C6="","",EDATE($C6,Milestones!$AA$118))</f>
        <v/>
      </c>
      <c r="DG6" s="18" t="str">
        <f aca="false">IF($C6="","",EDATE($C6,Milestones!$AA$119))</f>
        <v/>
      </c>
      <c r="DH6" s="18" t="str">
        <f aca="false">IF($C6="","",EDATE($C6,Milestones!$AA$120))</f>
        <v/>
      </c>
      <c r="DI6" s="18" t="str">
        <f aca="false">IF($C6="","",EDATE($C6,Milestones!$AA$121))</f>
        <v/>
      </c>
      <c r="DJ6" s="18" t="str">
        <f aca="false">IF($C6="","",EDATE($C6,Milestones!$AA$122))</f>
        <v/>
      </c>
      <c r="DK6" s="18" t="str">
        <f aca="false">IF($C6="","",EDATE($C6,Milestones!$AA$123))</f>
        <v/>
      </c>
      <c r="DL6" s="18" t="str">
        <f aca="false">IF($C6="","",EDATE($C6,Milestones!$AA$124))</f>
        <v/>
      </c>
      <c r="DM6" s="18" t="str">
        <f aca="false">IF($C6="","",EDATE($C6,Milestones!$AA$125))</f>
        <v/>
      </c>
      <c r="DN6" s="18" t="str">
        <f aca="false">IF($C6="","",EDATE($C6,Milestones!$AA$126))</f>
        <v/>
      </c>
      <c r="DO6" s="18" t="str">
        <f aca="false">IF($C6="","",EDATE($C6,Milestones!$AA$127))</f>
        <v/>
      </c>
      <c r="DP6" s="18" t="str">
        <f aca="false">IF($C6="","",EDATE($C6,Milestones!$AA$128))</f>
        <v/>
      </c>
      <c r="DQ6" s="18" t="str">
        <f aca="false">IF($C6="","",EDATE($C6,Milestones!$AA$129))</f>
        <v/>
      </c>
      <c r="DR6" s="18" t="str">
        <f aca="false">IF($C6="","",EDATE($C6,Milestones!$AA$130))</f>
        <v/>
      </c>
      <c r="DS6" s="18" t="str">
        <f aca="false">IF($C6="","",EDATE($C6,Milestones!$AA$131))</f>
        <v/>
      </c>
      <c r="DT6" s="18" t="str">
        <f aca="false">IF($C6="","",EDATE($C6,Milestones!$AA$132))</f>
        <v/>
      </c>
      <c r="DU6" s="18" t="str">
        <f aca="false">IF($C6="","",EDATE($C6,Milestones!$AA$133))</f>
        <v/>
      </c>
      <c r="DV6" s="18" t="str">
        <f aca="false">IF($C6="","",EDATE($C6,Milestones!$AA$134))</f>
        <v/>
      </c>
      <c r="DW6" s="18" t="str">
        <f aca="false">IF($C6="","",EDATE($C6,Milestones!$AA$135))</f>
        <v/>
      </c>
      <c r="DX6" s="18" t="str">
        <f aca="false">IF($C6="","",EDATE($C6,Milestones!$AA$136))</f>
        <v/>
      </c>
      <c r="DY6" s="18" t="str">
        <f aca="false">IF($C6="","",EDATE($C6,Milestones!$AA$137))</f>
        <v/>
      </c>
      <c r="DZ6" s="18" t="str">
        <f aca="false">IF($C6="","",EDATE($C6,Milestones!$AA$138))</f>
        <v/>
      </c>
      <c r="EA6" s="18" t="str">
        <f aca="false">IF($C6="","",EDATE($C6,Milestones!$AA$139))</f>
        <v/>
      </c>
      <c r="EB6" s="18" t="str">
        <f aca="false">IF($C6="","",EDATE($C6,Milestones!$AA$140))</f>
        <v/>
      </c>
      <c r="EC6" s="18" t="str">
        <f aca="false">IF($C6="","",EDATE($C6,Milestones!$AA$141))</f>
        <v/>
      </c>
      <c r="ED6" s="18" t="str">
        <f aca="false">IF($C6="","",EDATE($C6,Milestones!$AA$142))</f>
        <v/>
      </c>
      <c r="EE6" s="18" t="str">
        <f aca="false">IF($C6="","",EDATE($C6,Milestones!$AA$143))</f>
        <v/>
      </c>
      <c r="EF6" s="18" t="str">
        <f aca="false">IF($C6="","",EDATE($C6,Milestones!$AA$144))</f>
        <v/>
      </c>
      <c r="EG6" s="18" t="str">
        <f aca="false">IF($C6="","",EDATE($C6,Milestones!$AA$145))</f>
        <v/>
      </c>
      <c r="EH6" s="18" t="str">
        <f aca="false">IF($C6="","",EDATE($C6,Milestones!$AA$146))</f>
        <v/>
      </c>
      <c r="EI6" s="18" t="str">
        <f aca="false">IF($C6="","",EDATE($C6,Milestones!$AA$147))</f>
        <v/>
      </c>
      <c r="EJ6" s="18" t="str">
        <f aca="false">IF($C6="","",EDATE($C6,Milestones!$AA$148))</f>
        <v/>
      </c>
      <c r="EK6" s="18" t="str">
        <f aca="false">IF($C6="","",EDATE($C6,Milestones!$AA$149))</f>
        <v/>
      </c>
      <c r="EL6" s="18" t="str">
        <f aca="false">IF($C6="","",EDATE($C6,Milestones!$AA$150))</f>
        <v/>
      </c>
      <c r="EM6" s="18" t="str">
        <f aca="false">IF($C6="","",EDATE($C6,Milestones!$AA$151))</f>
        <v/>
      </c>
      <c r="EN6" s="18" t="str">
        <f aca="false">IF($C6="","",EDATE($C6,Milestones!$AA$152))</f>
        <v/>
      </c>
      <c r="EO6" s="18" t="str">
        <f aca="false">IF($C6="","",EDATE($C6,Milestones!$AA$153))</f>
        <v/>
      </c>
      <c r="EP6" s="18" t="str">
        <f aca="false">IF($C6="","",EDATE($C6,Milestones!$AA$154))</f>
        <v/>
      </c>
      <c r="EQ6" s="18" t="str">
        <f aca="false">IF($C6="","",EDATE($C6,Milestones!$AA$155))</f>
        <v/>
      </c>
      <c r="ER6" s="18" t="str">
        <f aca="false">IF($C6="","",EDATE($C6,Milestones!$AA$156))</f>
        <v/>
      </c>
      <c r="ES6" s="18" t="str">
        <f aca="false">IF($C6="","",EDATE($C6,Milestones!$AA$157))</f>
        <v/>
      </c>
      <c r="ET6" s="18" t="str">
        <f aca="false">IF($C6="","",EDATE($C6,Milestones!$AA$158))</f>
        <v/>
      </c>
      <c r="EU6" s="18" t="str">
        <f aca="false">IF($C6="","",EDATE($C6,Milestones!$AA$159))</f>
        <v/>
      </c>
      <c r="EV6" s="18" t="str">
        <f aca="false">IF($C6="","",EDATE($C6,Milestones!$AA$160))</f>
        <v/>
      </c>
      <c r="EW6" s="18" t="str">
        <f aca="false">IF($C6="","",EDATE($C6,Milestones!$AA$161))</f>
        <v/>
      </c>
      <c r="EX6" s="18" t="str">
        <f aca="false">IF($C6="","",EDATE($C6,Milestones!$AA$162))</f>
        <v/>
      </c>
      <c r="EY6" s="18" t="str">
        <f aca="false">IF($C6="","",EDATE($C6,Milestones!$AA$163))</f>
        <v/>
      </c>
      <c r="EZ6" s="18" t="str">
        <f aca="false">IF($C6="","",EDATE($C6,Milestones!$AA$164))</f>
        <v/>
      </c>
      <c r="FA6" s="18" t="str">
        <f aca="false">IF($C6="","",EDATE($C6,Milestones!$AA$165))</f>
        <v/>
      </c>
      <c r="FB6" s="18" t="str">
        <f aca="false">IF($C6="","",EDATE($C6,Milestones!$AA$166))</f>
        <v/>
      </c>
      <c r="FC6" s="18" t="str">
        <f aca="false">IF($C6="","",EDATE($C6,Milestones!$AA$167))</f>
        <v/>
      </c>
      <c r="FD6" s="18" t="str">
        <f aca="false">IF($C6="","",EDATE($C6,Milestones!$AA$168))</f>
        <v/>
      </c>
      <c r="FE6" s="18" t="str">
        <f aca="false">IF($C6="","",EDATE($C6,Milestones!$AA$169))</f>
        <v/>
      </c>
      <c r="FF6" s="18" t="str">
        <f aca="false">IF($C6="","",EDATE($C6,Milestones!$AA$170))</f>
        <v/>
      </c>
      <c r="FG6" s="18" t="str">
        <f aca="false">IF($C6="","",EDATE($C6,Milestones!$AA$171))</f>
        <v/>
      </c>
      <c r="FH6" s="18" t="str">
        <f aca="false">IF($C6="","",EDATE($C6,Milestones!$AA$172))</f>
        <v/>
      </c>
      <c r="FI6" s="18" t="str">
        <f aca="false">IF($C6="","",EDATE($C6,Milestones!$AA$173))</f>
        <v/>
      </c>
      <c r="FJ6" s="18" t="str">
        <f aca="false">IF($C6="","",EDATE($C6,Milestones!$AA$174))</f>
        <v/>
      </c>
      <c r="FK6" s="18" t="str">
        <f aca="false">IF($C6="","",EDATE($C6,Milestones!$AA$175))</f>
        <v/>
      </c>
      <c r="FL6" s="18" t="str">
        <f aca="false">IF($C6="","",EDATE($C6,Milestones!$AA$176))</f>
        <v/>
      </c>
      <c r="FM6" s="18" t="str">
        <f aca="false">IF($C6="","",EDATE($C6,Milestones!$AA$177))</f>
        <v/>
      </c>
      <c r="FN6" s="18" t="str">
        <f aca="false">IF($C6="","",EDATE($C6,Milestones!$AA$178))</f>
        <v/>
      </c>
      <c r="FO6" s="18" t="str">
        <f aca="false">IF($C6="","",EDATE($C6,Milestones!$AA$179))</f>
        <v/>
      </c>
      <c r="FP6" s="18" t="str">
        <f aca="false">IF($C6="","",EDATE($C6,Milestones!$AA$180))</f>
        <v/>
      </c>
      <c r="FQ6" s="18" t="str">
        <f aca="false">IF($C6="","",EDATE($C6,Milestones!$AA$181))</f>
        <v/>
      </c>
      <c r="FR6" s="18" t="str">
        <f aca="false">IF($C6="","",EDATE($C6,Milestones!$AA$182))</f>
        <v/>
      </c>
      <c r="FS6" s="18" t="str">
        <f aca="false">IF($C6="","",EDATE($C6,Milestones!$AA$183))</f>
        <v/>
      </c>
      <c r="FT6" s="18" t="str">
        <f aca="false">IF($C6="","",EDATE($C6,Milestones!$AA$184))</f>
        <v/>
      </c>
      <c r="FU6" s="18" t="str">
        <f aca="false">IF($C6="","",EDATE($C6,Milestones!$AA$185))</f>
        <v/>
      </c>
      <c r="FV6" s="18" t="str">
        <f aca="false">IF($C6="","",EDATE($C6,Milestones!$AA$186))</f>
        <v/>
      </c>
      <c r="FW6" s="18" t="str">
        <f aca="false">IF($C6="","",EDATE($C6,Milestones!$AA$187))</f>
        <v/>
      </c>
      <c r="FX6" s="18" t="str">
        <f aca="false">IF($C6="","",EDATE($C6,Milestones!$AA$188))</f>
        <v/>
      </c>
      <c r="FY6" s="18" t="str">
        <f aca="false">IF($C6="","",EDATE($C6,Milestones!$AA$189))</f>
        <v/>
      </c>
      <c r="FZ6" s="18" t="str">
        <f aca="false">IF($C6="","",EDATE($C6,Milestones!$AA$190))</f>
        <v/>
      </c>
      <c r="GA6" s="18" t="str">
        <f aca="false">IF($C6="","",EDATE($C6,Milestones!$AA$191))</f>
        <v/>
      </c>
      <c r="GB6" s="18" t="str">
        <f aca="false">IF($C6="","",EDATE($C6,Milestones!$AA$192))</f>
        <v/>
      </c>
      <c r="GC6" s="18" t="str">
        <f aca="false">IF($C6="","",EDATE($C6,Milestones!$AA$193))</f>
        <v/>
      </c>
      <c r="GD6" s="18" t="str">
        <f aca="false">IF($C6="","",EDATE($C6,Milestones!$AA$194))</f>
        <v/>
      </c>
      <c r="GE6" s="18" t="str">
        <f aca="false">IF($C6="","",EDATE($C6,Milestones!$AA$195))</f>
        <v/>
      </c>
      <c r="GF6" s="18" t="str">
        <f aca="false">IF($C6="","",EDATE($C6,Milestones!$AA$196))</f>
        <v/>
      </c>
      <c r="GG6" s="18" t="str">
        <f aca="false">IF($C6="","",EDATE($C6,Milestones!$AA$197))</f>
        <v/>
      </c>
      <c r="GH6" s="18" t="str">
        <f aca="false">IF($C6="","",EDATE($C6,Milestones!$AA$198))</f>
        <v/>
      </c>
      <c r="GI6" s="18" t="str">
        <f aca="false">IF($C6="","",EDATE($C6,Milestones!$AA$199))</f>
        <v/>
      </c>
    </row>
    <row r="7" customFormat="false" ht="15" hidden="false" customHeight="false" outlineLevel="0" collapsed="false">
      <c r="K7" s="0" t="s">
        <v>229</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230</v>
      </c>
      <c r="L8" s="0" t="n">
        <f aca="false">IF(L6="",0,IF(L7=Milestones!$AB$20,Milestones!$AC$20,0))</f>
        <v>0</v>
      </c>
      <c r="M8" s="0" t="n">
        <f aca="false">IF(M6="",0,IF(M7=Milestones!$AB$21,Milestones!$AC$21,0))</f>
        <v>0</v>
      </c>
      <c r="N8" s="0" t="n">
        <f aca="false">IF(N6="",0,IF(N7=Milestones!$AB$22,Milestones!$AC$22,0))</f>
        <v>0</v>
      </c>
      <c r="O8" s="0" t="n">
        <f aca="false">IF(O6="",0,IF(O7=Milestones!$AB$23,Milestones!$AC$23,0))</f>
        <v>0</v>
      </c>
      <c r="P8" s="0" t="n">
        <f aca="false">IF(P6="",0,IF(P7=Milestones!$AB$24,Milestones!$AC$24,0))</f>
        <v>0</v>
      </c>
      <c r="Q8" s="0" t="n">
        <f aca="false">IF(Q6="",0,IF(Q7=Milestones!$AB$25,Milestones!$AC$25,0))</f>
        <v>0</v>
      </c>
      <c r="R8" s="0" t="n">
        <f aca="false">IF(R6="",0,IF(R7=Milestones!$AB$26,Milestones!$AC$26,0))</f>
        <v>0</v>
      </c>
      <c r="S8" s="0" t="n">
        <f aca="false">IF(S6="",0,IF(S7=Milestones!$AB$27,Milestones!$AC$27,0))</f>
        <v>0</v>
      </c>
      <c r="T8" s="0" t="n">
        <f aca="false">IF(T6="",0,IF(T7=Milestones!$AB$28,Milestones!$AC$28,0))</f>
        <v>0</v>
      </c>
      <c r="U8" s="0" t="n">
        <f aca="false">IF(U6="",0,IF(U7=Milestones!$AB$29,Milestones!$AC$29,0))</f>
        <v>0</v>
      </c>
      <c r="V8" s="0" t="n">
        <f aca="false">IF(V6="",0,IF(V7=Milestones!$AB$30,Milestones!$AC$30,0))</f>
        <v>0</v>
      </c>
      <c r="W8" s="0" t="n">
        <f aca="false">IF(W6="",0,IF(W7=Milestones!$AB$31,Milestones!$AC$31,0))</f>
        <v>0</v>
      </c>
      <c r="X8" s="0" t="n">
        <f aca="false">IF(X6="",0,IF(X7=Milestones!$AB$32,Milestones!$AC$32,0))</f>
        <v>0</v>
      </c>
      <c r="Y8" s="0" t="n">
        <f aca="false">IF(Y6="",0,IF(Y7=Milestones!$AB$33,Milestones!$AC$33,0))</f>
        <v>0</v>
      </c>
      <c r="Z8" s="0" t="n">
        <f aca="false">IF(Z6="",0,IF(Z7=Milestones!$AB$34,Milestones!$AC$34,0))</f>
        <v>0</v>
      </c>
      <c r="AA8" s="0" t="n">
        <f aca="false">IF(AA6="",0,IF(AA7=Milestones!$AB$35,Milestones!$AC$35,0))</f>
        <v>0</v>
      </c>
      <c r="AB8" s="0" t="n">
        <f aca="false">IF(AB6="",0,IF(AB7=Milestones!$AB$36,Milestones!$AC$36,0))</f>
        <v>0</v>
      </c>
      <c r="AC8" s="0" t="n">
        <f aca="false">IF(AC6="",0,IF(AC7=Milestones!$AB$37,Milestones!$AC$37,0))</f>
        <v>0</v>
      </c>
      <c r="AD8" s="0" t="n">
        <f aca="false">IF(AD6="",0,IF(AD7=Milestones!$AB$38,Milestones!$AC$38,0))</f>
        <v>0</v>
      </c>
      <c r="AE8" s="0" t="n">
        <f aca="false">IF(AE6="",0,IF(AE7=Milestones!$AB$39,Milestones!$AC$39,0))</f>
        <v>0</v>
      </c>
      <c r="AF8" s="0" t="n">
        <f aca="false">IF(AF6="",0,IF(AF7=Milestones!$AB$40,Milestones!$AC$40,0))</f>
        <v>0</v>
      </c>
      <c r="AG8" s="0" t="n">
        <f aca="false">IF(AG6="",0,IF(AG7=Milestones!$AB$41,Milestones!$AC$41,0))</f>
        <v>0</v>
      </c>
      <c r="AH8" s="0" t="n">
        <f aca="false">IF(AH6="",0,IF(AH7=Milestones!$AB$42,Milestones!$AC$42,0))</f>
        <v>0</v>
      </c>
      <c r="AI8" s="0" t="n">
        <f aca="false">IF(AI6="",0,IF(AI7=Milestones!$AB$43,Milestones!$AC$43,0))</f>
        <v>0</v>
      </c>
      <c r="AJ8" s="0" t="n">
        <f aca="false">IF(AJ6="",0,IF(AJ7=Milestones!$AB$44,Milestones!$AC$44,0))</f>
        <v>0</v>
      </c>
      <c r="AK8" s="0" t="n">
        <f aca="false">IF(AK6="",0,IF(AK7=Milestones!$AB$45,Milestones!$AC$45,0))</f>
        <v>0</v>
      </c>
      <c r="AL8" s="0" t="n">
        <f aca="false">IF(AL6="",0,IF(AL7=Milestones!$AB$46,Milestones!$AC$46,0))</f>
        <v>0</v>
      </c>
      <c r="AM8" s="0" t="n">
        <f aca="false">IF(AM6="",0,IF(AM7=Milestones!$AB$47,Milestones!$AC$47,0))</f>
        <v>0</v>
      </c>
      <c r="AN8" s="0" t="n">
        <f aca="false">IF(AN6="",0,IF(AN7=Milestones!$AB$48,Milestones!$AC$48,0))</f>
        <v>0</v>
      </c>
      <c r="AO8" s="0" t="n">
        <f aca="false">IF(AO6="",0,IF(AO7=Milestones!$AB$49,Milestones!$AC$49,0))</f>
        <v>0</v>
      </c>
      <c r="AP8" s="0" t="n">
        <f aca="false">IF(AP6="",0,IF(AP7=Milestones!$AB$50,Milestones!$AC$50,0))</f>
        <v>0</v>
      </c>
      <c r="AQ8" s="0" t="n">
        <f aca="false">IF(AQ6="",0,IF(AQ7=Milestones!$AB$51,Milestones!$AC$51,0))</f>
        <v>0</v>
      </c>
      <c r="AR8" s="0" t="n">
        <f aca="false">IF(AR6="",0,IF(AR7=Milestones!$AB$52,Milestones!$AC$52,0))</f>
        <v>0</v>
      </c>
      <c r="AS8" s="0" t="n">
        <f aca="false">IF(AS6="",0,IF(AS7=Milestones!$AB$53,Milestones!$AC$53,0))</f>
        <v>0</v>
      </c>
      <c r="AT8" s="0" t="n">
        <f aca="false">IF(AT6="",0,IF(AT7=Milestones!$AB$54,Milestones!$AC$54,0))</f>
        <v>0</v>
      </c>
      <c r="AU8" s="0" t="n">
        <f aca="false">IF(AU6="",0,IF(AU7=Milestones!$AB$55,Milestones!$AC$55,0))</f>
        <v>0</v>
      </c>
      <c r="AV8" s="0" t="n">
        <f aca="false">IF(AV6="",0,IF(AV7=Milestones!$AB$56,Milestones!$AC$56,0))</f>
        <v>0</v>
      </c>
      <c r="AW8" s="0" t="n">
        <f aca="false">IF(AW6="",0,IF(AW7=Milestones!$AB$57,Milestones!$AC$57,0))</f>
        <v>0</v>
      </c>
      <c r="AX8" s="0" t="n">
        <f aca="false">IF(AX6="",0,IF(AX7=Milestones!$AB$58,Milestones!$AC$58,0))</f>
        <v>0</v>
      </c>
      <c r="AY8" s="0" t="n">
        <f aca="false">IF(AY6="",0,IF(AY7=Milestones!$AB$59,Milestones!$AC$59,0))</f>
        <v>0</v>
      </c>
      <c r="AZ8" s="0" t="n">
        <f aca="false">IF(AZ6="",0,IF(AZ7=Milestones!$AB$60,Milestones!$AC$60,0))</f>
        <v>0</v>
      </c>
      <c r="BA8" s="0" t="n">
        <f aca="false">IF(BA6="",0,IF(BA7=Milestones!$AB$61,Milestones!$AC$61,0))</f>
        <v>0</v>
      </c>
      <c r="BB8" s="0" t="n">
        <f aca="false">IF(BB6="",0,IF(BB7=Milestones!$AB$62,Milestones!$AC$62,0))</f>
        <v>0</v>
      </c>
      <c r="BC8" s="0" t="n">
        <f aca="false">IF(BC6="",0,IF(BC7=Milestones!$AB$63,Milestones!$AC$63,0))</f>
        <v>0</v>
      </c>
      <c r="BD8" s="0" t="n">
        <f aca="false">IF(BD6="",0,IF(BD7=Milestones!$AB$64,Milestones!$AC$64,0))</f>
        <v>0</v>
      </c>
      <c r="BE8" s="0" t="n">
        <f aca="false">IF(BE6="",0,IF(BE7=Milestones!$AB$65,Milestones!$AC$65,0))</f>
        <v>0</v>
      </c>
      <c r="BF8" s="0" t="n">
        <f aca="false">IF(BF6="",0,IF(BF7=Milestones!$AB$66,Milestones!$AC$66,0))</f>
        <v>0</v>
      </c>
      <c r="BG8" s="0" t="n">
        <f aca="false">IF(BG6="",0,IF(BG7=Milestones!$AB$67,Milestones!$AC$67,0))</f>
        <v>0</v>
      </c>
      <c r="BH8" s="0" t="n">
        <f aca="false">IF(BH6="",0,IF(BH7=Milestones!$AB$68,Milestones!$AC$68,0))</f>
        <v>0</v>
      </c>
      <c r="BI8" s="0" t="n">
        <f aca="false">IF(BI6="",0,IF(BI7=Milestones!$AB$69,Milestones!$AC$69,0))</f>
        <v>0</v>
      </c>
      <c r="BJ8" s="0" t="n">
        <f aca="false">IF(BJ6="",0,IF(BJ7=Milestones!$AB$70,Milestones!$AC$70,0))</f>
        <v>0</v>
      </c>
      <c r="BK8" s="0" t="n">
        <f aca="false">IF(BK6="",0,IF(BK7=Milestones!$AB$71,Milestones!$AC$71,0))</f>
        <v>0</v>
      </c>
      <c r="BL8" s="0" t="n">
        <f aca="false">IF(BL6="",0,IF(BL7=Milestones!$AB$72,Milestones!$AC$72,0))</f>
        <v>0</v>
      </c>
      <c r="BM8" s="0" t="n">
        <f aca="false">IF(BM6="",0,IF(BM7=Milestones!$AB$73,Milestones!$AC$73,0))</f>
        <v>0</v>
      </c>
      <c r="BN8" s="0" t="n">
        <f aca="false">IF(BN6="",0,IF(BN7=Milestones!$AB$74,Milestones!$AC$74,0))</f>
        <v>0</v>
      </c>
      <c r="BO8" s="0" t="n">
        <f aca="false">IF(BO6="",0,IF(BO7=Milestones!$AB$75,Milestones!$AC$75,0))</f>
        <v>0</v>
      </c>
      <c r="BP8" s="0" t="n">
        <f aca="false">IF(BP6="",0,IF(BP7=Milestones!$AB$76,Milestones!$AC$76,0))</f>
        <v>0</v>
      </c>
      <c r="BQ8" s="0" t="n">
        <f aca="false">IF(BQ6="",0,IF(BQ7=Milestones!$AB$77,Milestones!$AC$77,0))</f>
        <v>0</v>
      </c>
      <c r="BR8" s="0" t="n">
        <f aca="false">IF(BR6="",0,IF(BR7=Milestones!$AB$78,Milestones!$AC$78,0))</f>
        <v>0</v>
      </c>
      <c r="BS8" s="0" t="n">
        <f aca="false">IF(BS6="",0,IF(BS7=Milestones!$AB$79,Milestones!$AC$79,0))</f>
        <v>0</v>
      </c>
      <c r="BT8" s="0" t="n">
        <f aca="false">IF(BT6="",0,IF(BT7=Milestones!$AB$80,Milestones!$AC$80,0))</f>
        <v>0</v>
      </c>
      <c r="BU8" s="0" t="n">
        <f aca="false">IF(BU6="",0,IF(BU7=Milestones!$AB$81,Milestones!$AC$81,0))</f>
        <v>0</v>
      </c>
      <c r="BV8" s="0" t="n">
        <f aca="false">IF(BV6="",0,IF(BV7=Milestones!$AB$82,Milestones!$AC$82,0))</f>
        <v>0</v>
      </c>
      <c r="BW8" s="0" t="n">
        <f aca="false">IF(BW6="",0,IF(BW7=Milestones!$AB$83,Milestones!$AC$83,0))</f>
        <v>0</v>
      </c>
      <c r="BX8" s="0" t="n">
        <f aca="false">IF(BX6="",0,IF(BX7=Milestones!$AB$84,Milestones!$AC$84,0))</f>
        <v>0</v>
      </c>
      <c r="BY8" s="0" t="n">
        <f aca="false">IF(BY6="",0,IF(BY7=Milestones!$AB$85,Milestones!$AC$85,0))</f>
        <v>0</v>
      </c>
      <c r="BZ8" s="0" t="n">
        <f aca="false">IF(BZ6="",0,IF(BZ7=Milestones!$AB$86,Milestones!$AC$86,0))</f>
        <v>0</v>
      </c>
      <c r="CA8" s="0" t="n">
        <f aca="false">IF(CA6="",0,IF(CA7=Milestones!$AB$87,Milestones!$AC$87,0))</f>
        <v>0</v>
      </c>
      <c r="CB8" s="0" t="n">
        <f aca="false">IF(CB6="",0,IF(CB7=Milestones!$AB$88,Milestones!$AC$88,0))</f>
        <v>0</v>
      </c>
      <c r="CC8" s="0" t="n">
        <f aca="false">IF(CC6="",0,IF(CC7=Milestones!$AB$89,Milestones!$AC$89,0))</f>
        <v>0</v>
      </c>
      <c r="CD8" s="0" t="n">
        <f aca="false">IF(CD6="",0,IF(CD7=Milestones!$AB$90,Milestones!$AC$90,0))</f>
        <v>0</v>
      </c>
      <c r="CE8" s="0" t="n">
        <f aca="false">IF(CE6="",0,IF(CE7=Milestones!$AB$91,Milestones!$AC$91,0))</f>
        <v>0</v>
      </c>
      <c r="CF8" s="0" t="n">
        <f aca="false">IF(CF6="",0,IF(CF7=Milestones!$AB$92,Milestones!$AC$92,0))</f>
        <v>0</v>
      </c>
      <c r="CG8" s="0" t="n">
        <f aca="false">IF(CG6="",0,IF(CG7=Milestones!$AB$93,Milestones!$AC$93,0))</f>
        <v>0</v>
      </c>
      <c r="CH8" s="0" t="n">
        <f aca="false">IF(CH6="",0,IF(CH7=Milestones!$AB$94,Milestones!$AC$94,0))</f>
        <v>0</v>
      </c>
      <c r="CI8" s="0" t="n">
        <f aca="false">IF(CI6="",0,IF(CI7=Milestones!$AB$95,Milestones!$AC$95,0))</f>
        <v>0</v>
      </c>
      <c r="CJ8" s="0" t="n">
        <f aca="false">IF(CJ6="",0,IF(CJ7=Milestones!$AB$96,Milestones!$AC$96,0))</f>
        <v>0</v>
      </c>
      <c r="CK8" s="0" t="n">
        <f aca="false">IF(CK6="",0,IF(CK7=Milestones!$AB$97,Milestones!$AC$97,0))</f>
        <v>0</v>
      </c>
      <c r="CL8" s="0" t="n">
        <f aca="false">IF(CL6="",0,IF(CL7=Milestones!$AB$98,Milestones!$AC$98,0))</f>
        <v>0</v>
      </c>
      <c r="CM8" s="0" t="n">
        <f aca="false">IF(CM6="",0,IF(CM7=Milestones!$AB$99,Milestones!$AC$99,0))</f>
        <v>0</v>
      </c>
      <c r="CN8" s="0" t="n">
        <f aca="false">IF(CN6="",0,IF(CN7=Milestones!$AB$100,Milestones!$AC$100,0))</f>
        <v>0</v>
      </c>
      <c r="CO8" s="0" t="n">
        <f aca="false">IF(CO6="",0,IF(CO7=Milestones!$AB$101,Milestones!$AC$101,0))</f>
        <v>0</v>
      </c>
      <c r="CP8" s="0" t="n">
        <f aca="false">IF(CP6="",0,IF(CP7=Milestones!$AB$102,Milestones!$AC$102,0))</f>
        <v>0</v>
      </c>
      <c r="CQ8" s="0" t="n">
        <f aca="false">IF(CQ6="",0,IF(CQ7=Milestones!$AB$103,Milestones!$AC$103,0))</f>
        <v>0</v>
      </c>
      <c r="CR8" s="0" t="n">
        <f aca="false">IF(CR6="",0,IF(CR7=Milestones!$AB$104,Milestones!$AC$104,0))</f>
        <v>0</v>
      </c>
      <c r="CS8" s="0" t="n">
        <f aca="false">IF(CS6="",0,IF(CS7=Milestones!$AB$105,Milestones!$AC$105,0))</f>
        <v>0</v>
      </c>
      <c r="CT8" s="0" t="n">
        <f aca="false">IF(CT6="",0,IF(CT7=Milestones!$AB$106,Milestones!$AC$106,0))</f>
        <v>0</v>
      </c>
      <c r="CU8" s="0" t="n">
        <f aca="false">IF(CU6="",0,IF(CU7=Milestones!$AB$107,Milestones!$AC$107,0))</f>
        <v>0</v>
      </c>
      <c r="CV8" s="0" t="n">
        <f aca="false">IF(CV6="",0,IF(CV7=Milestones!$AB$108,Milestones!$AC$108,0))</f>
        <v>0</v>
      </c>
      <c r="CW8" s="0" t="n">
        <f aca="false">IF(CW6="",0,IF(CW7=Milestones!$AB$109,Milestones!$AC$109,0))</f>
        <v>0</v>
      </c>
      <c r="CX8" s="0" t="n">
        <f aca="false">IF(CX6="",0,IF(CX7=Milestones!$AB$110,Milestones!$AC$110,0))</f>
        <v>0</v>
      </c>
      <c r="CY8" s="0" t="n">
        <f aca="false">IF(CY6="",0,IF(CY7=Milestones!$AB$111,Milestones!$AC$111,0))</f>
        <v>0</v>
      </c>
      <c r="CZ8" s="0" t="n">
        <f aca="false">IF(CZ6="",0,IF(CZ7=Milestones!$AB$112,Milestones!$AC$112,0))</f>
        <v>0</v>
      </c>
      <c r="DA8" s="0" t="n">
        <f aca="false">IF(DA6="",0,IF(DA7=Milestones!$AB$113,Milestones!$AC$113,0))</f>
        <v>0</v>
      </c>
      <c r="DB8" s="0" t="n">
        <f aca="false">IF(DB6="",0,IF(DB7=Milestones!$AB$114,Milestones!$AC$114,0))</f>
        <v>0</v>
      </c>
      <c r="DC8" s="0" t="n">
        <f aca="false">IF(DC6="",0,IF(DC7=Milestones!$AB$115,Milestones!$AC$115,0))</f>
        <v>0</v>
      </c>
      <c r="DD8" s="0" t="n">
        <f aca="false">IF(DD6="",0,IF(DD7=Milestones!$AB$116,Milestones!$AC$116,0))</f>
        <v>0</v>
      </c>
      <c r="DE8" s="0" t="n">
        <f aca="false">IF(DE6="",0,IF(DE7=Milestones!$AB$117,Milestones!$AC$117,0))</f>
        <v>0</v>
      </c>
      <c r="DF8" s="0" t="n">
        <f aca="false">IF(DF6="",0,IF(DF7=Milestones!$AB$118,Milestones!$AC$118,0))</f>
        <v>0</v>
      </c>
      <c r="DG8" s="0" t="n">
        <f aca="false">IF(DG6="",0,IF(DG7=Milestones!$AB$119,Milestones!$AC$119,0))</f>
        <v>0</v>
      </c>
      <c r="DH8" s="0" t="n">
        <f aca="false">IF(DH6="",0,IF(DH7=Milestones!$AB$120,Milestones!$AC$120,0))</f>
        <v>0</v>
      </c>
      <c r="DI8" s="0" t="n">
        <f aca="false">IF(DI6="",0,IF(DI7=Milestones!$AB$121,Milestones!$AC$121,0))</f>
        <v>0</v>
      </c>
      <c r="DJ8" s="0" t="n">
        <f aca="false">IF(DJ6="",0,IF(DJ7=Milestones!$AB$122,Milestones!$AC$122,0))</f>
        <v>0</v>
      </c>
      <c r="DK8" s="0" t="n">
        <f aca="false">IF(DK6="",0,IF(DK7=Milestones!$AB$123,Milestones!$AC$123,0))</f>
        <v>0</v>
      </c>
      <c r="DL8" s="0" t="n">
        <f aca="false">IF(DL6="",0,IF(DL7=Milestones!$AB$124,Milestones!$AC$124,0))</f>
        <v>0</v>
      </c>
      <c r="DM8" s="0" t="n">
        <f aca="false">IF(DM6="",0,IF(DM7=Milestones!$AB$125,Milestones!$AC$125,0))</f>
        <v>0</v>
      </c>
      <c r="DN8" s="0" t="n">
        <f aca="false">IF(DN6="",0,IF(DN7=Milestones!$AB$126,Milestones!$AC$126,0))</f>
        <v>0</v>
      </c>
      <c r="DO8" s="0" t="n">
        <f aca="false">IF(DO6="",0,IF(DO7=Milestones!$AB$127,Milestones!$AC$127,0))</f>
        <v>0</v>
      </c>
      <c r="DP8" s="0" t="n">
        <f aca="false">IF(DP6="",0,IF(DP7=Milestones!$AB$128,Milestones!$AC$128,0))</f>
        <v>0</v>
      </c>
      <c r="DQ8" s="0" t="n">
        <f aca="false">IF(DQ6="",0,IF(DQ7=Milestones!$AB$129,Milestones!$AC$129,0))</f>
        <v>0</v>
      </c>
      <c r="DR8" s="0" t="n">
        <f aca="false">IF(DR6="",0,IF(DR7=Milestones!$AB$130,Milestones!$AC$130,0))</f>
        <v>0</v>
      </c>
      <c r="DS8" s="0" t="n">
        <f aca="false">IF(DS6="",0,IF(DS7=Milestones!$AB$131,Milestones!$AC$131,0))</f>
        <v>0</v>
      </c>
      <c r="DT8" s="0" t="n">
        <f aca="false">IF(DT6="",0,IF(DT7=Milestones!$AB$132,Milestones!$AC$132,0))</f>
        <v>0</v>
      </c>
      <c r="DU8" s="0" t="n">
        <f aca="false">IF(DU6="",0,IF(DU7=Milestones!$AB$133,Milestones!$AC$133,0))</f>
        <v>0</v>
      </c>
      <c r="DV8" s="0" t="n">
        <f aca="false">IF(DV6="",0,IF(DV7=Milestones!$AB$134,Milestones!$AC$134,0))</f>
        <v>0</v>
      </c>
      <c r="DW8" s="0" t="n">
        <f aca="false">IF(DW6="",0,IF(DW7=Milestones!$AB$135,Milestones!$AC$135,0))</f>
        <v>0</v>
      </c>
      <c r="DX8" s="0" t="n">
        <f aca="false">IF(DX6="",0,IF(DX7=Milestones!$AB$136,Milestones!$AC$136,0))</f>
        <v>0</v>
      </c>
      <c r="DY8" s="0" t="n">
        <f aca="false">IF(DY6="",0,IF(DY7=Milestones!$AB$137,Milestones!$AC$137,0))</f>
        <v>0</v>
      </c>
      <c r="DZ8" s="0" t="n">
        <f aca="false">IF(DZ6="",0,IF(DZ7=Milestones!$AB$138,Milestones!$AC$138,0))</f>
        <v>0</v>
      </c>
      <c r="EA8" s="0" t="n">
        <f aca="false">IF(EA6="",0,IF(EA7=Milestones!$AB$139,Milestones!$AC$139,0))</f>
        <v>0</v>
      </c>
      <c r="EB8" s="0" t="n">
        <f aca="false">IF(EB6="",0,IF(EB7=Milestones!$AB$140,Milestones!$AC$140,0))</f>
        <v>0</v>
      </c>
      <c r="EC8" s="0" t="n">
        <f aca="false">IF(EC6="",0,IF(EC7=Milestones!$AB$141,Milestones!$AC$141,0))</f>
        <v>0</v>
      </c>
      <c r="ED8" s="0" t="n">
        <f aca="false">IF(ED6="",0,IF(ED7=Milestones!$AB$142,Milestones!$AC$142,0))</f>
        <v>0</v>
      </c>
      <c r="EE8" s="0" t="n">
        <f aca="false">IF(EE6="",0,IF(EE7=Milestones!$AB$143,Milestones!$AC$143,0))</f>
        <v>0</v>
      </c>
      <c r="EF8" s="0" t="n">
        <f aca="false">IF(EF6="",0,IF(EF7=Milestones!$AB$144,Milestones!$AC$144,0))</f>
        <v>0</v>
      </c>
      <c r="EG8" s="0" t="n">
        <f aca="false">IF(EG6="",0,IF(EG7=Milestones!$AB$145,Milestones!$AC$145,0))</f>
        <v>0</v>
      </c>
      <c r="EH8" s="0" t="n">
        <f aca="false">IF(EH6="",0,IF(EH7=Milestones!$AB$146,Milestones!$AC$146,0))</f>
        <v>0</v>
      </c>
      <c r="EI8" s="0" t="n">
        <f aca="false">IF(EI6="",0,IF(EI7=Milestones!$AB$147,Milestones!$AC$147,0))</f>
        <v>0</v>
      </c>
      <c r="EJ8" s="0" t="n">
        <f aca="false">IF(EJ6="",0,IF(EJ7=Milestones!$AB$148,Milestones!$AC$148,0))</f>
        <v>0</v>
      </c>
      <c r="EK8" s="0" t="n">
        <f aca="false">IF(EK6="",0,IF(EK7=Milestones!$AB$149,Milestones!$AC$149,0))</f>
        <v>0</v>
      </c>
      <c r="EL8" s="0" t="n">
        <f aca="false">IF(EL6="",0,IF(EL7=Milestones!$AB$150,Milestones!$AC$150,0))</f>
        <v>0</v>
      </c>
      <c r="EM8" s="0" t="n">
        <f aca="false">IF(EM6="",0,IF(EM7=Milestones!$AB$151,Milestones!$AC$151,0))</f>
        <v>0</v>
      </c>
      <c r="EN8" s="0" t="n">
        <f aca="false">IF(EN6="",0,IF(EN7=Milestones!$AB$152,Milestones!$AC$152,0))</f>
        <v>0</v>
      </c>
      <c r="EO8" s="0" t="n">
        <f aca="false">IF(EO6="",0,IF(EO7=Milestones!$AB$153,Milestones!$AC$153,0))</f>
        <v>0</v>
      </c>
      <c r="EP8" s="0" t="n">
        <f aca="false">IF(EP6="",0,IF(EP7=Milestones!$AB$154,Milestones!$AC$154,0))</f>
        <v>0</v>
      </c>
      <c r="EQ8" s="0" t="n">
        <f aca="false">IF(EQ6="",0,IF(EQ7=Milestones!$AB$155,Milestones!$AC$155,0))</f>
        <v>0</v>
      </c>
      <c r="ER8" s="0" t="n">
        <f aca="false">IF(ER6="",0,IF(ER7=Milestones!$AB$156,Milestones!$AC$156,0))</f>
        <v>0</v>
      </c>
      <c r="ES8" s="0" t="n">
        <f aca="false">IF(ES6="",0,IF(ES7=Milestones!$AB$157,Milestones!$AC$157,0))</f>
        <v>0</v>
      </c>
      <c r="ET8" s="0" t="n">
        <f aca="false">IF(ET6="",0,IF(ET7=Milestones!$AB$158,Milestones!$AC$158,0))</f>
        <v>0</v>
      </c>
      <c r="EU8" s="0" t="n">
        <f aca="false">IF(EU6="",0,IF(EU7=Milestones!$AB$159,Milestones!$AC$159,0))</f>
        <v>0</v>
      </c>
      <c r="EV8" s="0" t="n">
        <f aca="false">IF(EV6="",0,IF(EV7=Milestones!$AB$160,Milestones!$AC$160,0))</f>
        <v>0</v>
      </c>
      <c r="EW8" s="0" t="n">
        <f aca="false">IF(EW6="",0,IF(EW7=Milestones!$AB$161,Milestones!$AC$161,0))</f>
        <v>0</v>
      </c>
      <c r="EX8" s="0" t="n">
        <f aca="false">IF(EX6="",0,IF(EX7=Milestones!$AB$162,Milestones!$AC$162,0))</f>
        <v>0</v>
      </c>
      <c r="EY8" s="0" t="n">
        <f aca="false">IF(EY6="",0,IF(EY7=Milestones!$AB$163,Milestones!$AC$163,0))</f>
        <v>0</v>
      </c>
      <c r="EZ8" s="0" t="n">
        <f aca="false">IF(EZ6="",0,IF(EZ7=Milestones!$AB$164,Milestones!$AC$164,0))</f>
        <v>0</v>
      </c>
      <c r="FA8" s="0" t="n">
        <f aca="false">IF(FA6="",0,IF(FA7=Milestones!$AB$165,Milestones!$AC$165,0))</f>
        <v>0</v>
      </c>
      <c r="FB8" s="0" t="n">
        <f aca="false">IF(FB6="",0,IF(FB7=Milestones!$AB$166,Milestones!$AC$166,0))</f>
        <v>0</v>
      </c>
      <c r="FC8" s="0" t="n">
        <f aca="false">IF(FC6="",0,IF(FC7=Milestones!$AB$167,Milestones!$AC$167,0))</f>
        <v>0</v>
      </c>
      <c r="FD8" s="0" t="n">
        <f aca="false">IF(FD6="",0,IF(FD7=Milestones!$AB$168,Milestones!$AC$168,0))</f>
        <v>0</v>
      </c>
      <c r="FE8" s="0" t="n">
        <f aca="false">IF(FE6="",0,IF(FE7=Milestones!$AB$169,Milestones!$AC$169,0))</f>
        <v>0</v>
      </c>
      <c r="FF8" s="0" t="n">
        <f aca="false">IF(FF6="",0,IF(FF7=Milestones!$AB$170,Milestones!$AC$170,0))</f>
        <v>0</v>
      </c>
      <c r="FG8" s="0" t="n">
        <f aca="false">IF(FG6="",0,IF(FG7=Milestones!$AB$171,Milestones!$AC$171,0))</f>
        <v>0</v>
      </c>
      <c r="FH8" s="0" t="n">
        <f aca="false">IF(FH6="",0,IF(FH7=Milestones!$AB$172,Milestones!$AC$172,0))</f>
        <v>0</v>
      </c>
      <c r="FI8" s="0" t="n">
        <f aca="false">IF(FI6="",0,IF(FI7=Milestones!$AB$173,Milestones!$AC$173,0))</f>
        <v>0</v>
      </c>
      <c r="FJ8" s="0" t="n">
        <f aca="false">IF(FJ6="",0,IF(FJ7=Milestones!$AB$174,Milestones!$AC$174,0))</f>
        <v>0</v>
      </c>
      <c r="FK8" s="0" t="n">
        <f aca="false">IF(FK6="",0,IF(FK7=Milestones!$AB$175,Milestones!$AC$175,0))</f>
        <v>0</v>
      </c>
      <c r="FL8" s="0" t="n">
        <f aca="false">IF(FL6="",0,IF(FL7=Milestones!$AB$176,Milestones!$AC$176,0))</f>
        <v>0</v>
      </c>
      <c r="FM8" s="0" t="n">
        <f aca="false">IF(FM6="",0,IF(FM7=Milestones!$AB$177,Milestones!$AC$177,0))</f>
        <v>0</v>
      </c>
      <c r="FN8" s="0" t="n">
        <f aca="false">IF(FN6="",0,IF(FN7=Milestones!$AB$178,Milestones!$AC$178,0))</f>
        <v>0</v>
      </c>
      <c r="FO8" s="0" t="n">
        <f aca="false">IF(FO6="",0,IF(FO7=Milestones!$AB$179,Milestones!$AC$179,0))</f>
        <v>0</v>
      </c>
      <c r="FP8" s="0" t="n">
        <f aca="false">IF(FP6="",0,IF(FP7=Milestones!$AB$180,Milestones!$AC$180,0))</f>
        <v>0</v>
      </c>
      <c r="FQ8" s="0" t="n">
        <f aca="false">IF(FQ6="",0,IF(FQ7=Milestones!$AB$181,Milestones!$AC$181,0))</f>
        <v>0</v>
      </c>
      <c r="FR8" s="0" t="n">
        <f aca="false">IF(FR6="",0,IF(FR7=Milestones!$AB$182,Milestones!$AC$182,0))</f>
        <v>0</v>
      </c>
      <c r="FS8" s="0" t="n">
        <f aca="false">IF(FS6="",0,IF(FS7=Milestones!$AB$183,Milestones!$AC$183,0))</f>
        <v>0</v>
      </c>
      <c r="FT8" s="0" t="n">
        <f aca="false">IF(FT6="",0,IF(FT7=Milestones!$AB$184,Milestones!$AC$184,0))</f>
        <v>0</v>
      </c>
      <c r="FU8" s="0" t="n">
        <f aca="false">IF(FU6="",0,IF(FU7=Milestones!$AB$185,Milestones!$AC$185,0))</f>
        <v>0</v>
      </c>
      <c r="FV8" s="0" t="n">
        <f aca="false">IF(FV6="",0,IF(FV7=Milestones!$AB$186,Milestones!$AC$186,0))</f>
        <v>0</v>
      </c>
      <c r="FW8" s="0" t="n">
        <f aca="false">IF(FW6="",0,IF(FW7=Milestones!$AB$187,Milestones!$AC$187,0))</f>
        <v>0</v>
      </c>
      <c r="FX8" s="0" t="n">
        <f aca="false">IF(FX6="",0,IF(FX7=Milestones!$AB$188,Milestones!$AC$188,0))</f>
        <v>0</v>
      </c>
      <c r="FY8" s="0" t="n">
        <f aca="false">IF(FY6="",0,IF(FY7=Milestones!$AB$189,Milestones!$AC$189,0))</f>
        <v>0</v>
      </c>
      <c r="FZ8" s="0" t="n">
        <f aca="false">IF(FZ6="",0,IF(FZ7=Milestones!$AB$190,Milestones!$AC$190,0))</f>
        <v>0</v>
      </c>
      <c r="GA8" s="0" t="n">
        <f aca="false">IF(GA6="",0,IF(GA7=Milestones!$AB$191,Milestones!$AC$191,0))</f>
        <v>0</v>
      </c>
      <c r="GB8" s="0" t="n">
        <f aca="false">IF(GB6="",0,IF(GB7=Milestones!$AB$192,Milestones!$AC$192,0))</f>
        <v>0</v>
      </c>
      <c r="GC8" s="0" t="n">
        <f aca="false">IF(GC6="",0,IF(GC7=Milestones!$AB$193,Milestones!$AC$193,0))</f>
        <v>0</v>
      </c>
      <c r="GD8" s="0" t="n">
        <f aca="false">IF(GD6="",0,IF(GD7=Milestones!$AB$194,Milestones!$AC$194,0))</f>
        <v>0</v>
      </c>
      <c r="GE8" s="0" t="n">
        <f aca="false">IF(GE6="",0,IF(GE7=Milestones!$AB$195,Milestones!$AC$195,0))</f>
        <v>0</v>
      </c>
      <c r="GF8" s="0" t="n">
        <f aca="false">IF(GF6="",0,IF(GF7=Milestones!$AB$196,Milestones!$AC$196,0))</f>
        <v>0</v>
      </c>
      <c r="GG8" s="0" t="n">
        <f aca="false">IF(GG6="",0,IF(GG7=Milestones!$AB$197,Milestones!$AC$197,0))</f>
        <v>0</v>
      </c>
      <c r="GH8" s="0" t="n">
        <f aca="false">IF(GH6="",0,IF(GH7=Milestones!$AB$198,Milestones!$AC$198,0))</f>
        <v>0</v>
      </c>
      <c r="GI8" s="0" t="n">
        <f aca="false">IF(GI6="",0,IF(GI7=Milestones!$AB$199,Milestones!$AC$199,0))</f>
        <v>0</v>
      </c>
    </row>
    <row r="9" customFormat="false" ht="15" hidden="false" customHeight="false" outlineLevel="0" collapsed="false">
      <c r="A9" s="0" t="str">
        <f aca="false">IF('HR Tally Check'!D$7="","",'HR Tally Check'!D$7)</f>
        <v/>
      </c>
      <c r="B9" s="0" t="str">
        <f aca="false">IF(A9="","",ISNUMBER(MATCH(A9,Staff!$BJ$5:$BJ$154,0)))</f>
        <v/>
      </c>
      <c r="C9" s="18" t="str">
        <f aca="false">IF(B9&lt;&gt;TRUE(),"",INDEX(Staff!$AH$5:$AH$154,MATCH($A9,Staff!$BJ$5:$BJ$154,0)))</f>
        <v/>
      </c>
      <c r="D9" s="0" t="str">
        <f aca="false">IF(B9&lt;&gt;TRUE(),"",INDEX(Staff!$AI$5:$AI$154,MATCH($A9,Staff!$BJ$5:$BJ$154,0)))</f>
        <v/>
      </c>
      <c r="E9" s="18" t="str">
        <f aca="false">IF(B9&lt;&gt;TRUE(),"",INDEX(Staff!$AK$5:$AK$154,MATCH($A9,Staff!$BJ$5:$BJ$154,0)))</f>
        <v/>
      </c>
      <c r="F9" s="18" t="str">
        <f aca="false">IF(B9&lt;&gt;TRUE(),"",INDEX(Staff!$AL$5:$AL$154,MATCH($A9,Staff!$BJ$5:$BJ$154,0)))</f>
        <v/>
      </c>
      <c r="G9" s="0" t="str">
        <f aca="false">IF(B9&lt;&gt;TRUE(),"",INDEX(Staff!$AP$5:$AP$154,MATCH($A9,Staff!$BJ$5:$BJ$154,0)))</f>
        <v/>
      </c>
      <c r="H9" s="0" t="str">
        <f aca="false">IF(B9&lt;&gt;TRUE(),"",INDEX(Staff!$AQ$5:$AQ$154,MATCH($A9,Staff!$BJ$5:$BJ$154,0)))</f>
        <v/>
      </c>
      <c r="I9" s="0" t="str">
        <f aca="false">IF(B9&lt;&gt;TRUE(),"",INDEX(Staff!$AR$5:$AR$154,MATCH($A9,Staff!$BJ$5:$BJ$154,0)))</f>
        <v/>
      </c>
      <c r="J9" s="0" t="str">
        <f aca="false">IF(B9&lt;&gt;TRUE(),"",INDEX(Staff!$AS$5:$AS$154,MATCH($A9,Staff!$BJ$5:$BJ$154,0)))</f>
        <v/>
      </c>
      <c r="K9" s="31" t="s">
        <v>228</v>
      </c>
      <c r="L9" s="18" t="str">
        <f aca="false">IF($C9="","",EDATE($C9,Milestones!$AA$20))</f>
        <v/>
      </c>
      <c r="M9" s="18" t="str">
        <f aca="false">IF($C9="","",EDATE($C9,Milestones!$AA$21))</f>
        <v/>
      </c>
      <c r="N9" s="18" t="str">
        <f aca="false">IF($C9="","",EDATE($C9,Milestones!$AA$22))</f>
        <v/>
      </c>
      <c r="O9" s="18" t="str">
        <f aca="false">IF($C9="","",EDATE($C9,Milestones!$AA$23))</f>
        <v/>
      </c>
      <c r="P9" s="18" t="str">
        <f aca="false">IF($C9="","",EDATE($C9,Milestones!$AA$24))</f>
        <v/>
      </c>
      <c r="Q9" s="18" t="str">
        <f aca="false">IF($C9="","",EDATE($C9,Milestones!$AA$25))</f>
        <v/>
      </c>
      <c r="R9" s="18" t="str">
        <f aca="false">IF($C9="","",EDATE($C9,Milestones!$AA$26))</f>
        <v/>
      </c>
      <c r="S9" s="18" t="str">
        <f aca="false">IF($C9="","",EDATE($C9,Milestones!$AA$27))</f>
        <v/>
      </c>
      <c r="T9" s="18" t="str">
        <f aca="false">IF($C9="","",EDATE($C9,Milestones!$AA$28))</f>
        <v/>
      </c>
      <c r="U9" s="18" t="str">
        <f aca="false">IF($C9="","",EDATE($C9,Milestones!$AA$29))</f>
        <v/>
      </c>
      <c r="V9" s="18" t="str">
        <f aca="false">IF($C9="","",EDATE($C9,Milestones!$AA$30))</f>
        <v/>
      </c>
      <c r="W9" s="18" t="str">
        <f aca="false">IF($C9="","",EDATE($C9,Milestones!$AA$31))</f>
        <v/>
      </c>
      <c r="X9" s="18" t="str">
        <f aca="false">IF($C9="","",EDATE($C9,Milestones!$AA$32))</f>
        <v/>
      </c>
      <c r="Y9" s="18" t="str">
        <f aca="false">IF($C9="","",EDATE($C9,Milestones!$AA$33))</f>
        <v/>
      </c>
      <c r="Z9" s="18" t="str">
        <f aca="false">IF($C9="","",EDATE($C9,Milestones!$AA$34))</f>
        <v/>
      </c>
      <c r="AA9" s="18" t="str">
        <f aca="false">IF($C9="","",EDATE($C9,Milestones!$AA$35))</f>
        <v/>
      </c>
      <c r="AB9" s="18" t="str">
        <f aca="false">IF($C9="","",EDATE($C9,Milestones!$AA$36))</f>
        <v/>
      </c>
      <c r="AC9" s="18" t="str">
        <f aca="false">IF($C9="","",EDATE($C9,Milestones!$AA$37))</f>
        <v/>
      </c>
      <c r="AD9" s="18" t="str">
        <f aca="false">IF($C9="","",EDATE($C9,Milestones!$AA$38))</f>
        <v/>
      </c>
      <c r="AE9" s="18" t="str">
        <f aca="false">IF($C9="","",EDATE($C9,Milestones!$AA$39))</f>
        <v/>
      </c>
      <c r="AF9" s="18" t="str">
        <f aca="false">IF($C9="","",EDATE($C9,Milestones!$AA$40))</f>
        <v/>
      </c>
      <c r="AG9" s="18" t="str">
        <f aca="false">IF($C9="","",EDATE($C9,Milestones!$AA$41))</f>
        <v/>
      </c>
      <c r="AH9" s="18" t="str">
        <f aca="false">IF($C9="","",EDATE($C9,Milestones!$AA$42))</f>
        <v/>
      </c>
      <c r="AI9" s="18" t="str">
        <f aca="false">IF($C9="","",EDATE($C9,Milestones!$AA$43))</f>
        <v/>
      </c>
      <c r="AJ9" s="18" t="str">
        <f aca="false">IF($C9="","",EDATE($C9,Milestones!$AA$44))</f>
        <v/>
      </c>
      <c r="AK9" s="18" t="str">
        <f aca="false">IF($C9="","",EDATE($C9,Milestones!$AA$45))</f>
        <v/>
      </c>
      <c r="AL9" s="18" t="str">
        <f aca="false">IF($C9="","",EDATE($C9,Milestones!$AA$46))</f>
        <v/>
      </c>
      <c r="AM9" s="18" t="str">
        <f aca="false">IF($C9="","",EDATE($C9,Milestones!$AA$47))</f>
        <v/>
      </c>
      <c r="AN9" s="18" t="str">
        <f aca="false">IF($C9="","",EDATE($C9,Milestones!$AA$48))</f>
        <v/>
      </c>
      <c r="AO9" s="18" t="str">
        <f aca="false">IF($C9="","",EDATE($C9,Milestones!$AA$49))</f>
        <v/>
      </c>
      <c r="AP9" s="18" t="str">
        <f aca="false">IF($C9="","",EDATE($C9,Milestones!$AA$50))</f>
        <v/>
      </c>
      <c r="AQ9" s="18" t="str">
        <f aca="false">IF($C9="","",EDATE($C9,Milestones!$AA$51))</f>
        <v/>
      </c>
      <c r="AR9" s="18" t="str">
        <f aca="false">IF($C9="","",EDATE($C9,Milestones!$AA$52))</f>
        <v/>
      </c>
      <c r="AS9" s="18" t="str">
        <f aca="false">IF($C9="","",EDATE($C9,Milestones!$AA$53))</f>
        <v/>
      </c>
      <c r="AT9" s="18" t="str">
        <f aca="false">IF($C9="","",EDATE($C9,Milestones!$AA$54))</f>
        <v/>
      </c>
      <c r="AU9" s="18" t="str">
        <f aca="false">IF($C9="","",EDATE($C9,Milestones!$AA$55))</f>
        <v/>
      </c>
      <c r="AV9" s="18" t="str">
        <f aca="false">IF($C9="","",EDATE($C9,Milestones!$AA$56))</f>
        <v/>
      </c>
      <c r="AW9" s="18" t="str">
        <f aca="false">IF($C9="","",EDATE($C9,Milestones!$AA$57))</f>
        <v/>
      </c>
      <c r="AX9" s="18" t="str">
        <f aca="false">IF($C9="","",EDATE($C9,Milestones!$AA$58))</f>
        <v/>
      </c>
      <c r="AY9" s="18" t="str">
        <f aca="false">IF($C9="","",EDATE($C9,Milestones!$AA$59))</f>
        <v/>
      </c>
      <c r="AZ9" s="18" t="str">
        <f aca="false">IF($C9="","",EDATE($C9,Milestones!$AA$60))</f>
        <v/>
      </c>
      <c r="BA9" s="18" t="str">
        <f aca="false">IF($C9="","",EDATE($C9,Milestones!$AA$61))</f>
        <v/>
      </c>
      <c r="BB9" s="18" t="str">
        <f aca="false">IF($C9="","",EDATE($C9,Milestones!$AA$62))</f>
        <v/>
      </c>
      <c r="BC9" s="18" t="str">
        <f aca="false">IF($C9="","",EDATE($C9,Milestones!$AA$63))</f>
        <v/>
      </c>
      <c r="BD9" s="18" t="str">
        <f aca="false">IF($C9="","",EDATE($C9,Milestones!$AA$64))</f>
        <v/>
      </c>
      <c r="BE9" s="18" t="str">
        <f aca="false">IF($C9="","",EDATE($C9,Milestones!$AA$65))</f>
        <v/>
      </c>
      <c r="BF9" s="18" t="str">
        <f aca="false">IF($C9="","",EDATE($C9,Milestones!$AA$66))</f>
        <v/>
      </c>
      <c r="BG9" s="18" t="str">
        <f aca="false">IF($C9="","",EDATE($C9,Milestones!$AA$67))</f>
        <v/>
      </c>
      <c r="BH9" s="18" t="str">
        <f aca="false">IF($C9="","",EDATE($C9,Milestones!$AA$68))</f>
        <v/>
      </c>
      <c r="BI9" s="18" t="str">
        <f aca="false">IF($C9="","",EDATE($C9,Milestones!$AA$69))</f>
        <v/>
      </c>
      <c r="BJ9" s="18" t="str">
        <f aca="false">IF($C9="","",EDATE($C9,Milestones!$AA$70))</f>
        <v/>
      </c>
      <c r="BK9" s="18" t="str">
        <f aca="false">IF($C9="","",EDATE($C9,Milestones!$AA$71))</f>
        <v/>
      </c>
      <c r="BL9" s="18" t="str">
        <f aca="false">IF($C9="","",EDATE($C9,Milestones!$AA$72))</f>
        <v/>
      </c>
      <c r="BM9" s="18" t="str">
        <f aca="false">IF($C9="","",EDATE($C9,Milestones!$AA$73))</f>
        <v/>
      </c>
      <c r="BN9" s="18" t="str">
        <f aca="false">IF($C9="","",EDATE($C9,Milestones!$AA$74))</f>
        <v/>
      </c>
      <c r="BO9" s="18" t="str">
        <f aca="false">IF($C9="","",EDATE($C9,Milestones!$AA$75))</f>
        <v/>
      </c>
      <c r="BP9" s="18" t="str">
        <f aca="false">IF($C9="","",EDATE($C9,Milestones!$AA$76))</f>
        <v/>
      </c>
      <c r="BQ9" s="18" t="str">
        <f aca="false">IF($C9="","",EDATE($C9,Milestones!$AA$77))</f>
        <v/>
      </c>
      <c r="BR9" s="18" t="str">
        <f aca="false">IF($C9="","",EDATE($C9,Milestones!$AA$78))</f>
        <v/>
      </c>
      <c r="BS9" s="18" t="str">
        <f aca="false">IF($C9="","",EDATE($C9,Milestones!$AA$79))</f>
        <v/>
      </c>
      <c r="BT9" s="18" t="str">
        <f aca="false">IF($C9="","",EDATE($C9,Milestones!$AA$80))</f>
        <v/>
      </c>
      <c r="BU9" s="18" t="str">
        <f aca="false">IF($C9="","",EDATE($C9,Milestones!$AA$81))</f>
        <v/>
      </c>
      <c r="BV9" s="18" t="str">
        <f aca="false">IF($C9="","",EDATE($C9,Milestones!$AA$82))</f>
        <v/>
      </c>
      <c r="BW9" s="18" t="str">
        <f aca="false">IF($C9="","",EDATE($C9,Milestones!$AA$83))</f>
        <v/>
      </c>
      <c r="BX9" s="18" t="str">
        <f aca="false">IF($C9="","",EDATE($C9,Milestones!$AA$84))</f>
        <v/>
      </c>
      <c r="BY9" s="18" t="str">
        <f aca="false">IF($C9="","",EDATE($C9,Milestones!$AA$85))</f>
        <v/>
      </c>
      <c r="BZ9" s="18" t="str">
        <f aca="false">IF($C9="","",EDATE($C9,Milestones!$AA$86))</f>
        <v/>
      </c>
      <c r="CA9" s="18" t="str">
        <f aca="false">IF($C9="","",EDATE($C9,Milestones!$AA$87))</f>
        <v/>
      </c>
      <c r="CB9" s="18" t="str">
        <f aca="false">IF($C9="","",EDATE($C9,Milestones!$AA$88))</f>
        <v/>
      </c>
      <c r="CC9" s="18" t="str">
        <f aca="false">IF($C9="","",EDATE($C9,Milestones!$AA$89))</f>
        <v/>
      </c>
      <c r="CD9" s="18" t="str">
        <f aca="false">IF($C9="","",EDATE($C9,Milestones!$AA$90))</f>
        <v/>
      </c>
      <c r="CE9" s="18" t="str">
        <f aca="false">IF($C9="","",EDATE($C9,Milestones!$AA$91))</f>
        <v/>
      </c>
      <c r="CF9" s="18" t="str">
        <f aca="false">IF($C9="","",EDATE($C9,Milestones!$AA$92))</f>
        <v/>
      </c>
      <c r="CG9" s="18" t="str">
        <f aca="false">IF($C9="","",EDATE($C9,Milestones!$AA$93))</f>
        <v/>
      </c>
      <c r="CH9" s="18" t="str">
        <f aca="false">IF($C9="","",EDATE($C9,Milestones!$AA$94))</f>
        <v/>
      </c>
      <c r="CI9" s="18" t="str">
        <f aca="false">IF($C9="","",EDATE($C9,Milestones!$AA$95))</f>
        <v/>
      </c>
      <c r="CJ9" s="18" t="str">
        <f aca="false">IF($C9="","",EDATE($C9,Milestones!$AA$96))</f>
        <v/>
      </c>
      <c r="CK9" s="18" t="str">
        <f aca="false">IF($C9="","",EDATE($C9,Milestones!$AA$97))</f>
        <v/>
      </c>
      <c r="CL9" s="18" t="str">
        <f aca="false">IF($C9="","",EDATE($C9,Milestones!$AA$98))</f>
        <v/>
      </c>
      <c r="CM9" s="18" t="str">
        <f aca="false">IF($C9="","",EDATE($C9,Milestones!$AA$99))</f>
        <v/>
      </c>
      <c r="CN9" s="18" t="str">
        <f aca="false">IF($C9="","",EDATE($C9,Milestones!$AA$100))</f>
        <v/>
      </c>
      <c r="CO9" s="18" t="str">
        <f aca="false">IF($C9="","",EDATE($C9,Milestones!$AA$101))</f>
        <v/>
      </c>
      <c r="CP9" s="18" t="str">
        <f aca="false">IF($C9="","",EDATE($C9,Milestones!$AA$102))</f>
        <v/>
      </c>
      <c r="CQ9" s="18" t="str">
        <f aca="false">IF($C9="","",EDATE($C9,Milestones!$AA$103))</f>
        <v/>
      </c>
      <c r="CR9" s="18" t="str">
        <f aca="false">IF($C9="","",EDATE($C9,Milestones!$AA$104))</f>
        <v/>
      </c>
      <c r="CS9" s="18" t="str">
        <f aca="false">IF($C9="","",EDATE($C9,Milestones!$AA$105))</f>
        <v/>
      </c>
      <c r="CT9" s="18" t="str">
        <f aca="false">IF($C9="","",EDATE($C9,Milestones!$AA$106))</f>
        <v/>
      </c>
      <c r="CU9" s="18" t="str">
        <f aca="false">IF($C9="","",EDATE($C9,Milestones!$AA$107))</f>
        <v/>
      </c>
      <c r="CV9" s="18" t="str">
        <f aca="false">IF($C9="","",EDATE($C9,Milestones!$AA$108))</f>
        <v/>
      </c>
      <c r="CW9" s="18" t="str">
        <f aca="false">IF($C9="","",EDATE($C9,Milestones!$AA$109))</f>
        <v/>
      </c>
      <c r="CX9" s="18" t="str">
        <f aca="false">IF($C9="","",EDATE($C9,Milestones!$AA$110))</f>
        <v/>
      </c>
      <c r="CY9" s="18" t="str">
        <f aca="false">IF($C9="","",EDATE($C9,Milestones!$AA$111))</f>
        <v/>
      </c>
      <c r="CZ9" s="18" t="str">
        <f aca="false">IF($C9="","",EDATE($C9,Milestones!$AA$112))</f>
        <v/>
      </c>
      <c r="DA9" s="18" t="str">
        <f aca="false">IF($C9="","",EDATE($C9,Milestones!$AA$113))</f>
        <v/>
      </c>
      <c r="DB9" s="18" t="str">
        <f aca="false">IF($C9="","",EDATE($C9,Milestones!$AA$114))</f>
        <v/>
      </c>
      <c r="DC9" s="18" t="str">
        <f aca="false">IF($C9="","",EDATE($C9,Milestones!$AA$115))</f>
        <v/>
      </c>
      <c r="DD9" s="18" t="str">
        <f aca="false">IF($C9="","",EDATE($C9,Milestones!$AA$116))</f>
        <v/>
      </c>
      <c r="DE9" s="18" t="str">
        <f aca="false">IF($C9="","",EDATE($C9,Milestones!$AA$117))</f>
        <v/>
      </c>
      <c r="DF9" s="18" t="str">
        <f aca="false">IF($C9="","",EDATE($C9,Milestones!$AA$118))</f>
        <v/>
      </c>
      <c r="DG9" s="18" t="str">
        <f aca="false">IF($C9="","",EDATE($C9,Milestones!$AA$119))</f>
        <v/>
      </c>
      <c r="DH9" s="18" t="str">
        <f aca="false">IF($C9="","",EDATE($C9,Milestones!$AA$120))</f>
        <v/>
      </c>
      <c r="DI9" s="18" t="str">
        <f aca="false">IF($C9="","",EDATE($C9,Milestones!$AA$121))</f>
        <v/>
      </c>
      <c r="DJ9" s="18" t="str">
        <f aca="false">IF($C9="","",EDATE($C9,Milestones!$AA$122))</f>
        <v/>
      </c>
      <c r="DK9" s="18" t="str">
        <f aca="false">IF($C9="","",EDATE($C9,Milestones!$AA$123))</f>
        <v/>
      </c>
      <c r="DL9" s="18" t="str">
        <f aca="false">IF($C9="","",EDATE($C9,Milestones!$AA$124))</f>
        <v/>
      </c>
      <c r="DM9" s="18" t="str">
        <f aca="false">IF($C9="","",EDATE($C9,Milestones!$AA$125))</f>
        <v/>
      </c>
      <c r="DN9" s="18" t="str">
        <f aca="false">IF($C9="","",EDATE($C9,Milestones!$AA$126))</f>
        <v/>
      </c>
      <c r="DO9" s="18" t="str">
        <f aca="false">IF($C9="","",EDATE($C9,Milestones!$AA$127))</f>
        <v/>
      </c>
      <c r="DP9" s="18" t="str">
        <f aca="false">IF($C9="","",EDATE($C9,Milestones!$AA$128))</f>
        <v/>
      </c>
      <c r="DQ9" s="18" t="str">
        <f aca="false">IF($C9="","",EDATE($C9,Milestones!$AA$129))</f>
        <v/>
      </c>
      <c r="DR9" s="18" t="str">
        <f aca="false">IF($C9="","",EDATE($C9,Milestones!$AA$130))</f>
        <v/>
      </c>
      <c r="DS9" s="18" t="str">
        <f aca="false">IF($C9="","",EDATE($C9,Milestones!$AA$131))</f>
        <v/>
      </c>
      <c r="DT9" s="18" t="str">
        <f aca="false">IF($C9="","",EDATE($C9,Milestones!$AA$132))</f>
        <v/>
      </c>
      <c r="DU9" s="18" t="str">
        <f aca="false">IF($C9="","",EDATE($C9,Milestones!$AA$133))</f>
        <v/>
      </c>
      <c r="DV9" s="18" t="str">
        <f aca="false">IF($C9="","",EDATE($C9,Milestones!$AA$134))</f>
        <v/>
      </c>
      <c r="DW9" s="18" t="str">
        <f aca="false">IF($C9="","",EDATE($C9,Milestones!$AA$135))</f>
        <v/>
      </c>
      <c r="DX9" s="18" t="str">
        <f aca="false">IF($C9="","",EDATE($C9,Milestones!$AA$136))</f>
        <v/>
      </c>
      <c r="DY9" s="18" t="str">
        <f aca="false">IF($C9="","",EDATE($C9,Milestones!$AA$137))</f>
        <v/>
      </c>
      <c r="DZ9" s="18" t="str">
        <f aca="false">IF($C9="","",EDATE($C9,Milestones!$AA$138))</f>
        <v/>
      </c>
      <c r="EA9" s="18" t="str">
        <f aca="false">IF($C9="","",EDATE($C9,Milestones!$AA$139))</f>
        <v/>
      </c>
      <c r="EB9" s="18" t="str">
        <f aca="false">IF($C9="","",EDATE($C9,Milestones!$AA$140))</f>
        <v/>
      </c>
      <c r="EC9" s="18" t="str">
        <f aca="false">IF($C9="","",EDATE($C9,Milestones!$AA$141))</f>
        <v/>
      </c>
      <c r="ED9" s="18" t="str">
        <f aca="false">IF($C9="","",EDATE($C9,Milestones!$AA$142))</f>
        <v/>
      </c>
      <c r="EE9" s="18" t="str">
        <f aca="false">IF($C9="","",EDATE($C9,Milestones!$AA$143))</f>
        <v/>
      </c>
      <c r="EF9" s="18" t="str">
        <f aca="false">IF($C9="","",EDATE($C9,Milestones!$AA$144))</f>
        <v/>
      </c>
      <c r="EG9" s="18" t="str">
        <f aca="false">IF($C9="","",EDATE($C9,Milestones!$AA$145))</f>
        <v/>
      </c>
      <c r="EH9" s="18" t="str">
        <f aca="false">IF($C9="","",EDATE($C9,Milestones!$AA$146))</f>
        <v/>
      </c>
      <c r="EI9" s="18" t="str">
        <f aca="false">IF($C9="","",EDATE($C9,Milestones!$AA$147))</f>
        <v/>
      </c>
      <c r="EJ9" s="18" t="str">
        <f aca="false">IF($C9="","",EDATE($C9,Milestones!$AA$148))</f>
        <v/>
      </c>
      <c r="EK9" s="18" t="str">
        <f aca="false">IF($C9="","",EDATE($C9,Milestones!$AA$149))</f>
        <v/>
      </c>
      <c r="EL9" s="18" t="str">
        <f aca="false">IF($C9="","",EDATE($C9,Milestones!$AA$150))</f>
        <v/>
      </c>
      <c r="EM9" s="18" t="str">
        <f aca="false">IF($C9="","",EDATE($C9,Milestones!$AA$151))</f>
        <v/>
      </c>
      <c r="EN9" s="18" t="str">
        <f aca="false">IF($C9="","",EDATE($C9,Milestones!$AA$152))</f>
        <v/>
      </c>
      <c r="EO9" s="18" t="str">
        <f aca="false">IF($C9="","",EDATE($C9,Milestones!$AA$153))</f>
        <v/>
      </c>
      <c r="EP9" s="18" t="str">
        <f aca="false">IF($C9="","",EDATE($C9,Milestones!$AA$154))</f>
        <v/>
      </c>
      <c r="EQ9" s="18" t="str">
        <f aca="false">IF($C9="","",EDATE($C9,Milestones!$AA$155))</f>
        <v/>
      </c>
      <c r="ER9" s="18" t="str">
        <f aca="false">IF($C9="","",EDATE($C9,Milestones!$AA$156))</f>
        <v/>
      </c>
      <c r="ES9" s="18" t="str">
        <f aca="false">IF($C9="","",EDATE($C9,Milestones!$AA$157))</f>
        <v/>
      </c>
      <c r="ET9" s="18" t="str">
        <f aca="false">IF($C9="","",EDATE($C9,Milestones!$AA$158))</f>
        <v/>
      </c>
      <c r="EU9" s="18" t="str">
        <f aca="false">IF($C9="","",EDATE($C9,Milestones!$AA$159))</f>
        <v/>
      </c>
      <c r="EV9" s="18" t="str">
        <f aca="false">IF($C9="","",EDATE($C9,Milestones!$AA$160))</f>
        <v/>
      </c>
      <c r="EW9" s="18" t="str">
        <f aca="false">IF($C9="","",EDATE($C9,Milestones!$AA$161))</f>
        <v/>
      </c>
      <c r="EX9" s="18" t="str">
        <f aca="false">IF($C9="","",EDATE($C9,Milestones!$AA$162))</f>
        <v/>
      </c>
      <c r="EY9" s="18" t="str">
        <f aca="false">IF($C9="","",EDATE($C9,Milestones!$AA$163))</f>
        <v/>
      </c>
      <c r="EZ9" s="18" t="str">
        <f aca="false">IF($C9="","",EDATE($C9,Milestones!$AA$164))</f>
        <v/>
      </c>
      <c r="FA9" s="18" t="str">
        <f aca="false">IF($C9="","",EDATE($C9,Milestones!$AA$165))</f>
        <v/>
      </c>
      <c r="FB9" s="18" t="str">
        <f aca="false">IF($C9="","",EDATE($C9,Milestones!$AA$166))</f>
        <v/>
      </c>
      <c r="FC9" s="18" t="str">
        <f aca="false">IF($C9="","",EDATE($C9,Milestones!$AA$167))</f>
        <v/>
      </c>
      <c r="FD9" s="18" t="str">
        <f aca="false">IF($C9="","",EDATE($C9,Milestones!$AA$168))</f>
        <v/>
      </c>
      <c r="FE9" s="18" t="str">
        <f aca="false">IF($C9="","",EDATE($C9,Milestones!$AA$169))</f>
        <v/>
      </c>
      <c r="FF9" s="18" t="str">
        <f aca="false">IF($C9="","",EDATE($C9,Milestones!$AA$170))</f>
        <v/>
      </c>
      <c r="FG9" s="18" t="str">
        <f aca="false">IF($C9="","",EDATE($C9,Milestones!$AA$171))</f>
        <v/>
      </c>
      <c r="FH9" s="18" t="str">
        <f aca="false">IF($C9="","",EDATE($C9,Milestones!$AA$172))</f>
        <v/>
      </c>
      <c r="FI9" s="18" t="str">
        <f aca="false">IF($C9="","",EDATE($C9,Milestones!$AA$173))</f>
        <v/>
      </c>
      <c r="FJ9" s="18" t="str">
        <f aca="false">IF($C9="","",EDATE($C9,Milestones!$AA$174))</f>
        <v/>
      </c>
      <c r="FK9" s="18" t="str">
        <f aca="false">IF($C9="","",EDATE($C9,Milestones!$AA$175))</f>
        <v/>
      </c>
      <c r="FL9" s="18" t="str">
        <f aca="false">IF($C9="","",EDATE($C9,Milestones!$AA$176))</f>
        <v/>
      </c>
      <c r="FM9" s="18" t="str">
        <f aca="false">IF($C9="","",EDATE($C9,Milestones!$AA$177))</f>
        <v/>
      </c>
      <c r="FN9" s="18" t="str">
        <f aca="false">IF($C9="","",EDATE($C9,Milestones!$AA$178))</f>
        <v/>
      </c>
      <c r="FO9" s="18" t="str">
        <f aca="false">IF($C9="","",EDATE($C9,Milestones!$AA$179))</f>
        <v/>
      </c>
      <c r="FP9" s="18" t="str">
        <f aca="false">IF($C9="","",EDATE($C9,Milestones!$AA$180))</f>
        <v/>
      </c>
      <c r="FQ9" s="18" t="str">
        <f aca="false">IF($C9="","",EDATE($C9,Milestones!$AA$181))</f>
        <v/>
      </c>
      <c r="FR9" s="18" t="str">
        <f aca="false">IF($C9="","",EDATE($C9,Milestones!$AA$182))</f>
        <v/>
      </c>
      <c r="FS9" s="18" t="str">
        <f aca="false">IF($C9="","",EDATE($C9,Milestones!$AA$183))</f>
        <v/>
      </c>
      <c r="FT9" s="18" t="str">
        <f aca="false">IF($C9="","",EDATE($C9,Milestones!$AA$184))</f>
        <v/>
      </c>
      <c r="FU9" s="18" t="str">
        <f aca="false">IF($C9="","",EDATE($C9,Milestones!$AA$185))</f>
        <v/>
      </c>
      <c r="FV9" s="18" t="str">
        <f aca="false">IF($C9="","",EDATE($C9,Milestones!$AA$186))</f>
        <v/>
      </c>
      <c r="FW9" s="18" t="str">
        <f aca="false">IF($C9="","",EDATE($C9,Milestones!$AA$187))</f>
        <v/>
      </c>
      <c r="FX9" s="18" t="str">
        <f aca="false">IF($C9="","",EDATE($C9,Milestones!$AA$188))</f>
        <v/>
      </c>
      <c r="FY9" s="18" t="str">
        <f aca="false">IF($C9="","",EDATE($C9,Milestones!$AA$189))</f>
        <v/>
      </c>
      <c r="FZ9" s="18" t="str">
        <f aca="false">IF($C9="","",EDATE($C9,Milestones!$AA$190))</f>
        <v/>
      </c>
      <c r="GA9" s="18" t="str">
        <f aca="false">IF($C9="","",EDATE($C9,Milestones!$AA$191))</f>
        <v/>
      </c>
      <c r="GB9" s="18" t="str">
        <f aca="false">IF($C9="","",EDATE($C9,Milestones!$AA$192))</f>
        <v/>
      </c>
      <c r="GC9" s="18" t="str">
        <f aca="false">IF($C9="","",EDATE($C9,Milestones!$AA$193))</f>
        <v/>
      </c>
      <c r="GD9" s="18" t="str">
        <f aca="false">IF($C9="","",EDATE($C9,Milestones!$AA$194))</f>
        <v/>
      </c>
      <c r="GE9" s="18" t="str">
        <f aca="false">IF($C9="","",EDATE($C9,Milestones!$AA$195))</f>
        <v/>
      </c>
      <c r="GF9" s="18" t="str">
        <f aca="false">IF($C9="","",EDATE($C9,Milestones!$AA$196))</f>
        <v/>
      </c>
      <c r="GG9" s="18" t="str">
        <f aca="false">IF($C9="","",EDATE($C9,Milestones!$AA$197))</f>
        <v/>
      </c>
      <c r="GH9" s="18" t="str">
        <f aca="false">IF($C9="","",EDATE($C9,Milestones!$AA$198))</f>
        <v/>
      </c>
      <c r="GI9" s="18" t="str">
        <f aca="false">IF($C9="","",EDATE($C9,Milestones!$AA$199))</f>
        <v/>
      </c>
    </row>
    <row r="10" customFormat="false" ht="15" hidden="false" customHeight="false" outlineLevel="0" collapsed="false">
      <c r="K10" s="0" t="s">
        <v>229</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230</v>
      </c>
      <c r="L11" s="0" t="n">
        <f aca="false">IF(L9="",0,IF(L10=Milestones!$AB$20,Milestones!$AC$20,0))</f>
        <v>0</v>
      </c>
      <c r="M11" s="0" t="n">
        <f aca="false">IF(M9="",0,IF(M10=Milestones!$AB$21,Milestones!$AC$21,0))</f>
        <v>0</v>
      </c>
      <c r="N11" s="0" t="n">
        <f aca="false">IF(N9="",0,IF(N10=Milestones!$AB$22,Milestones!$AC$22,0))</f>
        <v>0</v>
      </c>
      <c r="O11" s="0" t="n">
        <f aca="false">IF(O9="",0,IF(O10=Milestones!$AB$23,Milestones!$AC$23,0))</f>
        <v>0</v>
      </c>
      <c r="P11" s="0" t="n">
        <f aca="false">IF(P9="",0,IF(P10=Milestones!$AB$24,Milestones!$AC$24,0))</f>
        <v>0</v>
      </c>
      <c r="Q11" s="0" t="n">
        <f aca="false">IF(Q9="",0,IF(Q10=Milestones!$AB$25,Milestones!$AC$25,0))</f>
        <v>0</v>
      </c>
      <c r="R11" s="0" t="n">
        <f aca="false">IF(R9="",0,IF(R10=Milestones!$AB$26,Milestones!$AC$26,0))</f>
        <v>0</v>
      </c>
      <c r="S11" s="0" t="n">
        <f aca="false">IF(S9="",0,IF(S10=Milestones!$AB$27,Milestones!$AC$27,0))</f>
        <v>0</v>
      </c>
      <c r="T11" s="0" t="n">
        <f aca="false">IF(T9="",0,IF(T10=Milestones!$AB$28,Milestones!$AC$28,0))</f>
        <v>0</v>
      </c>
      <c r="U11" s="0" t="n">
        <f aca="false">IF(U9="",0,IF(U10=Milestones!$AB$29,Milestones!$AC$29,0))</f>
        <v>0</v>
      </c>
      <c r="V11" s="0" t="n">
        <f aca="false">IF(V9="",0,IF(V10=Milestones!$AB$30,Milestones!$AC$30,0))</f>
        <v>0</v>
      </c>
      <c r="W11" s="0" t="n">
        <f aca="false">IF(W9="",0,IF(W10=Milestones!$AB$31,Milestones!$AC$31,0))</f>
        <v>0</v>
      </c>
      <c r="X11" s="0" t="n">
        <f aca="false">IF(X9="",0,IF(X10=Milestones!$AB$32,Milestones!$AC$32,0))</f>
        <v>0</v>
      </c>
      <c r="Y11" s="0" t="n">
        <f aca="false">IF(Y9="",0,IF(Y10=Milestones!$AB$33,Milestones!$AC$33,0))</f>
        <v>0</v>
      </c>
      <c r="Z11" s="0" t="n">
        <f aca="false">IF(Z9="",0,IF(Z10=Milestones!$AB$34,Milestones!$AC$34,0))</f>
        <v>0</v>
      </c>
      <c r="AA11" s="0" t="n">
        <f aca="false">IF(AA9="",0,IF(AA10=Milestones!$AB$35,Milestones!$AC$35,0))</f>
        <v>0</v>
      </c>
      <c r="AB11" s="0" t="n">
        <f aca="false">IF(AB9="",0,IF(AB10=Milestones!$AB$36,Milestones!$AC$36,0))</f>
        <v>0</v>
      </c>
      <c r="AC11" s="0" t="n">
        <f aca="false">IF(AC9="",0,IF(AC10=Milestones!$AB$37,Milestones!$AC$37,0))</f>
        <v>0</v>
      </c>
      <c r="AD11" s="0" t="n">
        <f aca="false">IF(AD9="",0,IF(AD10=Milestones!$AB$38,Milestones!$AC$38,0))</f>
        <v>0</v>
      </c>
      <c r="AE11" s="0" t="n">
        <f aca="false">IF(AE9="",0,IF(AE10=Milestones!$AB$39,Milestones!$AC$39,0))</f>
        <v>0</v>
      </c>
      <c r="AF11" s="0" t="n">
        <f aca="false">IF(AF9="",0,IF(AF10=Milestones!$AB$40,Milestones!$AC$40,0))</f>
        <v>0</v>
      </c>
      <c r="AG11" s="0" t="n">
        <f aca="false">IF(AG9="",0,IF(AG10=Milestones!$AB$41,Milestones!$AC$41,0))</f>
        <v>0</v>
      </c>
      <c r="AH11" s="0" t="n">
        <f aca="false">IF(AH9="",0,IF(AH10=Milestones!$AB$42,Milestones!$AC$42,0))</f>
        <v>0</v>
      </c>
      <c r="AI11" s="0" t="n">
        <f aca="false">IF(AI9="",0,IF(AI10=Milestones!$AB$43,Milestones!$AC$43,0))</f>
        <v>0</v>
      </c>
      <c r="AJ11" s="0" t="n">
        <f aca="false">IF(AJ9="",0,IF(AJ10=Milestones!$AB$44,Milestones!$AC$44,0))</f>
        <v>0</v>
      </c>
      <c r="AK11" s="0" t="n">
        <f aca="false">IF(AK9="",0,IF(AK10=Milestones!$AB$45,Milestones!$AC$45,0))</f>
        <v>0</v>
      </c>
      <c r="AL11" s="0" t="n">
        <f aca="false">IF(AL9="",0,IF(AL10=Milestones!$AB$46,Milestones!$AC$46,0))</f>
        <v>0</v>
      </c>
      <c r="AM11" s="0" t="n">
        <f aca="false">IF(AM9="",0,IF(AM10=Milestones!$AB$47,Milestones!$AC$47,0))</f>
        <v>0</v>
      </c>
      <c r="AN11" s="0" t="n">
        <f aca="false">IF(AN9="",0,IF(AN10=Milestones!$AB$48,Milestones!$AC$48,0))</f>
        <v>0</v>
      </c>
      <c r="AO11" s="0" t="n">
        <f aca="false">IF(AO9="",0,IF(AO10=Milestones!$AB$49,Milestones!$AC$49,0))</f>
        <v>0</v>
      </c>
      <c r="AP11" s="0" t="n">
        <f aca="false">IF(AP9="",0,IF(AP10=Milestones!$AB$50,Milestones!$AC$50,0))</f>
        <v>0</v>
      </c>
      <c r="AQ11" s="0" t="n">
        <f aca="false">IF(AQ9="",0,IF(AQ10=Milestones!$AB$51,Milestones!$AC$51,0))</f>
        <v>0</v>
      </c>
      <c r="AR11" s="0" t="n">
        <f aca="false">IF(AR9="",0,IF(AR10=Milestones!$AB$52,Milestones!$AC$52,0))</f>
        <v>0</v>
      </c>
      <c r="AS11" s="0" t="n">
        <f aca="false">IF(AS9="",0,IF(AS10=Milestones!$AB$53,Milestones!$AC$53,0))</f>
        <v>0</v>
      </c>
      <c r="AT11" s="0" t="n">
        <f aca="false">IF(AT9="",0,IF(AT10=Milestones!$AB$54,Milestones!$AC$54,0))</f>
        <v>0</v>
      </c>
      <c r="AU11" s="0" t="n">
        <f aca="false">IF(AU9="",0,IF(AU10=Milestones!$AB$55,Milestones!$AC$55,0))</f>
        <v>0</v>
      </c>
      <c r="AV11" s="0" t="n">
        <f aca="false">IF(AV9="",0,IF(AV10=Milestones!$AB$56,Milestones!$AC$56,0))</f>
        <v>0</v>
      </c>
      <c r="AW11" s="0" t="n">
        <f aca="false">IF(AW9="",0,IF(AW10=Milestones!$AB$57,Milestones!$AC$57,0))</f>
        <v>0</v>
      </c>
      <c r="AX11" s="0" t="n">
        <f aca="false">IF(AX9="",0,IF(AX10=Milestones!$AB$58,Milestones!$AC$58,0))</f>
        <v>0</v>
      </c>
      <c r="AY11" s="0" t="n">
        <f aca="false">IF(AY9="",0,IF(AY10=Milestones!$AB$59,Milestones!$AC$59,0))</f>
        <v>0</v>
      </c>
      <c r="AZ11" s="0" t="n">
        <f aca="false">IF(AZ9="",0,IF(AZ10=Milestones!$AB$60,Milestones!$AC$60,0))</f>
        <v>0</v>
      </c>
      <c r="BA11" s="0" t="n">
        <f aca="false">IF(BA9="",0,IF(BA10=Milestones!$AB$61,Milestones!$AC$61,0))</f>
        <v>0</v>
      </c>
      <c r="BB11" s="0" t="n">
        <f aca="false">IF(BB9="",0,IF(BB10=Milestones!$AB$62,Milestones!$AC$62,0))</f>
        <v>0</v>
      </c>
      <c r="BC11" s="0" t="n">
        <f aca="false">IF(BC9="",0,IF(BC10=Milestones!$AB$63,Milestones!$AC$63,0))</f>
        <v>0</v>
      </c>
      <c r="BD11" s="0" t="n">
        <f aca="false">IF(BD9="",0,IF(BD10=Milestones!$AB$64,Milestones!$AC$64,0))</f>
        <v>0</v>
      </c>
      <c r="BE11" s="0" t="n">
        <f aca="false">IF(BE9="",0,IF(BE10=Milestones!$AB$65,Milestones!$AC$65,0))</f>
        <v>0</v>
      </c>
      <c r="BF11" s="0" t="n">
        <f aca="false">IF(BF9="",0,IF(BF10=Milestones!$AB$66,Milestones!$AC$66,0))</f>
        <v>0</v>
      </c>
      <c r="BG11" s="0" t="n">
        <f aca="false">IF(BG9="",0,IF(BG10=Milestones!$AB$67,Milestones!$AC$67,0))</f>
        <v>0</v>
      </c>
      <c r="BH11" s="0" t="n">
        <f aca="false">IF(BH9="",0,IF(BH10=Milestones!$AB$68,Milestones!$AC$68,0))</f>
        <v>0</v>
      </c>
      <c r="BI11" s="0" t="n">
        <f aca="false">IF(BI9="",0,IF(BI10=Milestones!$AB$69,Milestones!$AC$69,0))</f>
        <v>0</v>
      </c>
      <c r="BJ11" s="0" t="n">
        <f aca="false">IF(BJ9="",0,IF(BJ10=Milestones!$AB$70,Milestones!$AC$70,0))</f>
        <v>0</v>
      </c>
      <c r="BK11" s="0" t="n">
        <f aca="false">IF(BK9="",0,IF(BK10=Milestones!$AB$71,Milestones!$AC$71,0))</f>
        <v>0</v>
      </c>
      <c r="BL11" s="0" t="n">
        <f aca="false">IF(BL9="",0,IF(BL10=Milestones!$AB$72,Milestones!$AC$72,0))</f>
        <v>0</v>
      </c>
      <c r="BM11" s="0" t="n">
        <f aca="false">IF(BM9="",0,IF(BM10=Milestones!$AB$73,Milestones!$AC$73,0))</f>
        <v>0</v>
      </c>
      <c r="BN11" s="0" t="n">
        <f aca="false">IF(BN9="",0,IF(BN10=Milestones!$AB$74,Milestones!$AC$74,0))</f>
        <v>0</v>
      </c>
      <c r="BO11" s="0" t="n">
        <f aca="false">IF(BO9="",0,IF(BO10=Milestones!$AB$75,Milestones!$AC$75,0))</f>
        <v>0</v>
      </c>
      <c r="BP11" s="0" t="n">
        <f aca="false">IF(BP9="",0,IF(BP10=Milestones!$AB$76,Milestones!$AC$76,0))</f>
        <v>0</v>
      </c>
      <c r="BQ11" s="0" t="n">
        <f aca="false">IF(BQ9="",0,IF(BQ10=Milestones!$AB$77,Milestones!$AC$77,0))</f>
        <v>0</v>
      </c>
      <c r="BR11" s="0" t="n">
        <f aca="false">IF(BR9="",0,IF(BR10=Milestones!$AB$78,Milestones!$AC$78,0))</f>
        <v>0</v>
      </c>
      <c r="BS11" s="0" t="n">
        <f aca="false">IF(BS9="",0,IF(BS10=Milestones!$AB$79,Milestones!$AC$79,0))</f>
        <v>0</v>
      </c>
      <c r="BT11" s="0" t="n">
        <f aca="false">IF(BT9="",0,IF(BT10=Milestones!$AB$80,Milestones!$AC$80,0))</f>
        <v>0</v>
      </c>
      <c r="BU11" s="0" t="n">
        <f aca="false">IF(BU9="",0,IF(BU10=Milestones!$AB$81,Milestones!$AC$81,0))</f>
        <v>0</v>
      </c>
      <c r="BV11" s="0" t="n">
        <f aca="false">IF(BV9="",0,IF(BV10=Milestones!$AB$82,Milestones!$AC$82,0))</f>
        <v>0</v>
      </c>
      <c r="BW11" s="0" t="n">
        <f aca="false">IF(BW9="",0,IF(BW10=Milestones!$AB$83,Milestones!$AC$83,0))</f>
        <v>0</v>
      </c>
      <c r="BX11" s="0" t="n">
        <f aca="false">IF(BX9="",0,IF(BX10=Milestones!$AB$84,Milestones!$AC$84,0))</f>
        <v>0</v>
      </c>
      <c r="BY11" s="0" t="n">
        <f aca="false">IF(BY9="",0,IF(BY10=Milestones!$AB$85,Milestones!$AC$85,0))</f>
        <v>0</v>
      </c>
      <c r="BZ11" s="0" t="n">
        <f aca="false">IF(BZ9="",0,IF(BZ10=Milestones!$AB$86,Milestones!$AC$86,0))</f>
        <v>0</v>
      </c>
      <c r="CA11" s="0" t="n">
        <f aca="false">IF(CA9="",0,IF(CA10=Milestones!$AB$87,Milestones!$AC$87,0))</f>
        <v>0</v>
      </c>
      <c r="CB11" s="0" t="n">
        <f aca="false">IF(CB9="",0,IF(CB10=Milestones!$AB$88,Milestones!$AC$88,0))</f>
        <v>0</v>
      </c>
      <c r="CC11" s="0" t="n">
        <f aca="false">IF(CC9="",0,IF(CC10=Milestones!$AB$89,Milestones!$AC$89,0))</f>
        <v>0</v>
      </c>
      <c r="CD11" s="0" t="n">
        <f aca="false">IF(CD9="",0,IF(CD10=Milestones!$AB$90,Milestones!$AC$90,0))</f>
        <v>0</v>
      </c>
      <c r="CE11" s="0" t="n">
        <f aca="false">IF(CE9="",0,IF(CE10=Milestones!$AB$91,Milestones!$AC$91,0))</f>
        <v>0</v>
      </c>
      <c r="CF11" s="0" t="n">
        <f aca="false">IF(CF9="",0,IF(CF10=Milestones!$AB$92,Milestones!$AC$92,0))</f>
        <v>0</v>
      </c>
      <c r="CG11" s="0" t="n">
        <f aca="false">IF(CG9="",0,IF(CG10=Milestones!$AB$93,Milestones!$AC$93,0))</f>
        <v>0</v>
      </c>
      <c r="CH11" s="0" t="n">
        <f aca="false">IF(CH9="",0,IF(CH10=Milestones!$AB$94,Milestones!$AC$94,0))</f>
        <v>0</v>
      </c>
      <c r="CI11" s="0" t="n">
        <f aca="false">IF(CI9="",0,IF(CI10=Milestones!$AB$95,Milestones!$AC$95,0))</f>
        <v>0</v>
      </c>
      <c r="CJ11" s="0" t="n">
        <f aca="false">IF(CJ9="",0,IF(CJ10=Milestones!$AB$96,Milestones!$AC$96,0))</f>
        <v>0</v>
      </c>
      <c r="CK11" s="0" t="n">
        <f aca="false">IF(CK9="",0,IF(CK10=Milestones!$AB$97,Milestones!$AC$97,0))</f>
        <v>0</v>
      </c>
      <c r="CL11" s="0" t="n">
        <f aca="false">IF(CL9="",0,IF(CL10=Milestones!$AB$98,Milestones!$AC$98,0))</f>
        <v>0</v>
      </c>
      <c r="CM11" s="0" t="n">
        <f aca="false">IF(CM9="",0,IF(CM10=Milestones!$AB$99,Milestones!$AC$99,0))</f>
        <v>0</v>
      </c>
      <c r="CN11" s="0" t="n">
        <f aca="false">IF(CN9="",0,IF(CN10=Milestones!$AB$100,Milestones!$AC$100,0))</f>
        <v>0</v>
      </c>
      <c r="CO11" s="0" t="n">
        <f aca="false">IF(CO9="",0,IF(CO10=Milestones!$AB$101,Milestones!$AC$101,0))</f>
        <v>0</v>
      </c>
      <c r="CP11" s="0" t="n">
        <f aca="false">IF(CP9="",0,IF(CP10=Milestones!$AB$102,Milestones!$AC$102,0))</f>
        <v>0</v>
      </c>
      <c r="CQ11" s="0" t="n">
        <f aca="false">IF(CQ9="",0,IF(CQ10=Milestones!$AB$103,Milestones!$AC$103,0))</f>
        <v>0</v>
      </c>
      <c r="CR11" s="0" t="n">
        <f aca="false">IF(CR9="",0,IF(CR10=Milestones!$AB$104,Milestones!$AC$104,0))</f>
        <v>0</v>
      </c>
      <c r="CS11" s="0" t="n">
        <f aca="false">IF(CS9="",0,IF(CS10=Milestones!$AB$105,Milestones!$AC$105,0))</f>
        <v>0</v>
      </c>
      <c r="CT11" s="0" t="n">
        <f aca="false">IF(CT9="",0,IF(CT10=Milestones!$AB$106,Milestones!$AC$106,0))</f>
        <v>0</v>
      </c>
      <c r="CU11" s="0" t="n">
        <f aca="false">IF(CU9="",0,IF(CU10=Milestones!$AB$107,Milestones!$AC$107,0))</f>
        <v>0</v>
      </c>
      <c r="CV11" s="0" t="n">
        <f aca="false">IF(CV9="",0,IF(CV10=Milestones!$AB$108,Milestones!$AC$108,0))</f>
        <v>0</v>
      </c>
      <c r="CW11" s="0" t="n">
        <f aca="false">IF(CW9="",0,IF(CW10=Milestones!$AB$109,Milestones!$AC$109,0))</f>
        <v>0</v>
      </c>
      <c r="CX11" s="0" t="n">
        <f aca="false">IF(CX9="",0,IF(CX10=Milestones!$AB$110,Milestones!$AC$110,0))</f>
        <v>0</v>
      </c>
      <c r="CY11" s="0" t="n">
        <f aca="false">IF(CY9="",0,IF(CY10=Milestones!$AB$111,Milestones!$AC$111,0))</f>
        <v>0</v>
      </c>
      <c r="CZ11" s="0" t="n">
        <f aca="false">IF(CZ9="",0,IF(CZ10=Milestones!$AB$112,Milestones!$AC$112,0))</f>
        <v>0</v>
      </c>
      <c r="DA11" s="0" t="n">
        <f aca="false">IF(DA9="",0,IF(DA10=Milestones!$AB$113,Milestones!$AC$113,0))</f>
        <v>0</v>
      </c>
      <c r="DB11" s="0" t="n">
        <f aca="false">IF(DB9="",0,IF(DB10=Milestones!$AB$114,Milestones!$AC$114,0))</f>
        <v>0</v>
      </c>
      <c r="DC11" s="0" t="n">
        <f aca="false">IF(DC9="",0,IF(DC10=Milestones!$AB$115,Milestones!$AC$115,0))</f>
        <v>0</v>
      </c>
      <c r="DD11" s="0" t="n">
        <f aca="false">IF(DD9="",0,IF(DD10=Milestones!$AB$116,Milestones!$AC$116,0))</f>
        <v>0</v>
      </c>
      <c r="DE11" s="0" t="n">
        <f aca="false">IF(DE9="",0,IF(DE10=Milestones!$AB$117,Milestones!$AC$117,0))</f>
        <v>0</v>
      </c>
      <c r="DF11" s="0" t="n">
        <f aca="false">IF(DF9="",0,IF(DF10=Milestones!$AB$118,Milestones!$AC$118,0))</f>
        <v>0</v>
      </c>
      <c r="DG11" s="0" t="n">
        <f aca="false">IF(DG9="",0,IF(DG10=Milestones!$AB$119,Milestones!$AC$119,0))</f>
        <v>0</v>
      </c>
      <c r="DH11" s="0" t="n">
        <f aca="false">IF(DH9="",0,IF(DH10=Milestones!$AB$120,Milestones!$AC$120,0))</f>
        <v>0</v>
      </c>
      <c r="DI11" s="0" t="n">
        <f aca="false">IF(DI9="",0,IF(DI10=Milestones!$AB$121,Milestones!$AC$121,0))</f>
        <v>0</v>
      </c>
      <c r="DJ11" s="0" t="n">
        <f aca="false">IF(DJ9="",0,IF(DJ10=Milestones!$AB$122,Milestones!$AC$122,0))</f>
        <v>0</v>
      </c>
      <c r="DK11" s="0" t="n">
        <f aca="false">IF(DK9="",0,IF(DK10=Milestones!$AB$123,Milestones!$AC$123,0))</f>
        <v>0</v>
      </c>
      <c r="DL11" s="0" t="n">
        <f aca="false">IF(DL9="",0,IF(DL10=Milestones!$AB$124,Milestones!$AC$124,0))</f>
        <v>0</v>
      </c>
      <c r="DM11" s="0" t="n">
        <f aca="false">IF(DM9="",0,IF(DM10=Milestones!$AB$125,Milestones!$AC$125,0))</f>
        <v>0</v>
      </c>
      <c r="DN11" s="0" t="n">
        <f aca="false">IF(DN9="",0,IF(DN10=Milestones!$AB$126,Milestones!$AC$126,0))</f>
        <v>0</v>
      </c>
      <c r="DO11" s="0" t="n">
        <f aca="false">IF(DO9="",0,IF(DO10=Milestones!$AB$127,Milestones!$AC$127,0))</f>
        <v>0</v>
      </c>
      <c r="DP11" s="0" t="n">
        <f aca="false">IF(DP9="",0,IF(DP10=Milestones!$AB$128,Milestones!$AC$128,0))</f>
        <v>0</v>
      </c>
      <c r="DQ11" s="0" t="n">
        <f aca="false">IF(DQ9="",0,IF(DQ10=Milestones!$AB$129,Milestones!$AC$129,0))</f>
        <v>0</v>
      </c>
      <c r="DR11" s="0" t="n">
        <f aca="false">IF(DR9="",0,IF(DR10=Milestones!$AB$130,Milestones!$AC$130,0))</f>
        <v>0</v>
      </c>
      <c r="DS11" s="0" t="n">
        <f aca="false">IF(DS9="",0,IF(DS10=Milestones!$AB$131,Milestones!$AC$131,0))</f>
        <v>0</v>
      </c>
      <c r="DT11" s="0" t="n">
        <f aca="false">IF(DT9="",0,IF(DT10=Milestones!$AB$132,Milestones!$AC$132,0))</f>
        <v>0</v>
      </c>
      <c r="DU11" s="0" t="n">
        <f aca="false">IF(DU9="",0,IF(DU10=Milestones!$AB$133,Milestones!$AC$133,0))</f>
        <v>0</v>
      </c>
      <c r="DV11" s="0" t="n">
        <f aca="false">IF(DV9="",0,IF(DV10=Milestones!$AB$134,Milestones!$AC$134,0))</f>
        <v>0</v>
      </c>
      <c r="DW11" s="0" t="n">
        <f aca="false">IF(DW9="",0,IF(DW10=Milestones!$AB$135,Milestones!$AC$135,0))</f>
        <v>0</v>
      </c>
      <c r="DX11" s="0" t="n">
        <f aca="false">IF(DX9="",0,IF(DX10=Milestones!$AB$136,Milestones!$AC$136,0))</f>
        <v>0</v>
      </c>
      <c r="DY11" s="0" t="n">
        <f aca="false">IF(DY9="",0,IF(DY10=Milestones!$AB$137,Milestones!$AC$137,0))</f>
        <v>0</v>
      </c>
      <c r="DZ11" s="0" t="n">
        <f aca="false">IF(DZ9="",0,IF(DZ10=Milestones!$AB$138,Milestones!$AC$138,0))</f>
        <v>0</v>
      </c>
      <c r="EA11" s="0" t="n">
        <f aca="false">IF(EA9="",0,IF(EA10=Milestones!$AB$139,Milestones!$AC$139,0))</f>
        <v>0</v>
      </c>
      <c r="EB11" s="0" t="n">
        <f aca="false">IF(EB9="",0,IF(EB10=Milestones!$AB$140,Milestones!$AC$140,0))</f>
        <v>0</v>
      </c>
      <c r="EC11" s="0" t="n">
        <f aca="false">IF(EC9="",0,IF(EC10=Milestones!$AB$141,Milestones!$AC$141,0))</f>
        <v>0</v>
      </c>
      <c r="ED11" s="0" t="n">
        <f aca="false">IF(ED9="",0,IF(ED10=Milestones!$AB$142,Milestones!$AC$142,0))</f>
        <v>0</v>
      </c>
      <c r="EE11" s="0" t="n">
        <f aca="false">IF(EE9="",0,IF(EE10=Milestones!$AB$143,Milestones!$AC$143,0))</f>
        <v>0</v>
      </c>
      <c r="EF11" s="0" t="n">
        <f aca="false">IF(EF9="",0,IF(EF10=Milestones!$AB$144,Milestones!$AC$144,0))</f>
        <v>0</v>
      </c>
      <c r="EG11" s="0" t="n">
        <f aca="false">IF(EG9="",0,IF(EG10=Milestones!$AB$145,Milestones!$AC$145,0))</f>
        <v>0</v>
      </c>
      <c r="EH11" s="0" t="n">
        <f aca="false">IF(EH9="",0,IF(EH10=Milestones!$AB$146,Milestones!$AC$146,0))</f>
        <v>0</v>
      </c>
      <c r="EI11" s="0" t="n">
        <f aca="false">IF(EI9="",0,IF(EI10=Milestones!$AB$147,Milestones!$AC$147,0))</f>
        <v>0</v>
      </c>
      <c r="EJ11" s="0" t="n">
        <f aca="false">IF(EJ9="",0,IF(EJ10=Milestones!$AB$148,Milestones!$AC$148,0))</f>
        <v>0</v>
      </c>
      <c r="EK11" s="0" t="n">
        <f aca="false">IF(EK9="",0,IF(EK10=Milestones!$AB$149,Milestones!$AC$149,0))</f>
        <v>0</v>
      </c>
      <c r="EL11" s="0" t="n">
        <f aca="false">IF(EL9="",0,IF(EL10=Milestones!$AB$150,Milestones!$AC$150,0))</f>
        <v>0</v>
      </c>
      <c r="EM11" s="0" t="n">
        <f aca="false">IF(EM9="",0,IF(EM10=Milestones!$AB$151,Milestones!$AC$151,0))</f>
        <v>0</v>
      </c>
      <c r="EN11" s="0" t="n">
        <f aca="false">IF(EN9="",0,IF(EN10=Milestones!$AB$152,Milestones!$AC$152,0))</f>
        <v>0</v>
      </c>
      <c r="EO11" s="0" t="n">
        <f aca="false">IF(EO9="",0,IF(EO10=Milestones!$AB$153,Milestones!$AC$153,0))</f>
        <v>0</v>
      </c>
      <c r="EP11" s="0" t="n">
        <f aca="false">IF(EP9="",0,IF(EP10=Milestones!$AB$154,Milestones!$AC$154,0))</f>
        <v>0</v>
      </c>
      <c r="EQ11" s="0" t="n">
        <f aca="false">IF(EQ9="",0,IF(EQ10=Milestones!$AB$155,Milestones!$AC$155,0))</f>
        <v>0</v>
      </c>
      <c r="ER11" s="0" t="n">
        <f aca="false">IF(ER9="",0,IF(ER10=Milestones!$AB$156,Milestones!$AC$156,0))</f>
        <v>0</v>
      </c>
      <c r="ES11" s="0" t="n">
        <f aca="false">IF(ES9="",0,IF(ES10=Milestones!$AB$157,Milestones!$AC$157,0))</f>
        <v>0</v>
      </c>
      <c r="ET11" s="0" t="n">
        <f aca="false">IF(ET9="",0,IF(ET10=Milestones!$AB$158,Milestones!$AC$158,0))</f>
        <v>0</v>
      </c>
      <c r="EU11" s="0" t="n">
        <f aca="false">IF(EU9="",0,IF(EU10=Milestones!$AB$159,Milestones!$AC$159,0))</f>
        <v>0</v>
      </c>
      <c r="EV11" s="0" t="n">
        <f aca="false">IF(EV9="",0,IF(EV10=Milestones!$AB$160,Milestones!$AC$160,0))</f>
        <v>0</v>
      </c>
      <c r="EW11" s="0" t="n">
        <f aca="false">IF(EW9="",0,IF(EW10=Milestones!$AB$161,Milestones!$AC$161,0))</f>
        <v>0</v>
      </c>
      <c r="EX11" s="0" t="n">
        <f aca="false">IF(EX9="",0,IF(EX10=Milestones!$AB$162,Milestones!$AC$162,0))</f>
        <v>0</v>
      </c>
      <c r="EY11" s="0" t="n">
        <f aca="false">IF(EY9="",0,IF(EY10=Milestones!$AB$163,Milestones!$AC$163,0))</f>
        <v>0</v>
      </c>
      <c r="EZ11" s="0" t="n">
        <f aca="false">IF(EZ9="",0,IF(EZ10=Milestones!$AB$164,Milestones!$AC$164,0))</f>
        <v>0</v>
      </c>
      <c r="FA11" s="0" t="n">
        <f aca="false">IF(FA9="",0,IF(FA10=Milestones!$AB$165,Milestones!$AC$165,0))</f>
        <v>0</v>
      </c>
      <c r="FB11" s="0" t="n">
        <f aca="false">IF(FB9="",0,IF(FB10=Milestones!$AB$166,Milestones!$AC$166,0))</f>
        <v>0</v>
      </c>
      <c r="FC11" s="0" t="n">
        <f aca="false">IF(FC9="",0,IF(FC10=Milestones!$AB$167,Milestones!$AC$167,0))</f>
        <v>0</v>
      </c>
      <c r="FD11" s="0" t="n">
        <f aca="false">IF(FD9="",0,IF(FD10=Milestones!$AB$168,Milestones!$AC$168,0))</f>
        <v>0</v>
      </c>
      <c r="FE11" s="0" t="n">
        <f aca="false">IF(FE9="",0,IF(FE10=Milestones!$AB$169,Milestones!$AC$169,0))</f>
        <v>0</v>
      </c>
      <c r="FF11" s="0" t="n">
        <f aca="false">IF(FF9="",0,IF(FF10=Milestones!$AB$170,Milestones!$AC$170,0))</f>
        <v>0</v>
      </c>
      <c r="FG11" s="0" t="n">
        <f aca="false">IF(FG9="",0,IF(FG10=Milestones!$AB$171,Milestones!$AC$171,0))</f>
        <v>0</v>
      </c>
      <c r="FH11" s="0" t="n">
        <f aca="false">IF(FH9="",0,IF(FH10=Milestones!$AB$172,Milestones!$AC$172,0))</f>
        <v>0</v>
      </c>
      <c r="FI11" s="0" t="n">
        <f aca="false">IF(FI9="",0,IF(FI10=Milestones!$AB$173,Milestones!$AC$173,0))</f>
        <v>0</v>
      </c>
      <c r="FJ11" s="0" t="n">
        <f aca="false">IF(FJ9="",0,IF(FJ10=Milestones!$AB$174,Milestones!$AC$174,0))</f>
        <v>0</v>
      </c>
      <c r="FK11" s="0" t="n">
        <f aca="false">IF(FK9="",0,IF(FK10=Milestones!$AB$175,Milestones!$AC$175,0))</f>
        <v>0</v>
      </c>
      <c r="FL11" s="0" t="n">
        <f aca="false">IF(FL9="",0,IF(FL10=Milestones!$AB$176,Milestones!$AC$176,0))</f>
        <v>0</v>
      </c>
      <c r="FM11" s="0" t="n">
        <f aca="false">IF(FM9="",0,IF(FM10=Milestones!$AB$177,Milestones!$AC$177,0))</f>
        <v>0</v>
      </c>
      <c r="FN11" s="0" t="n">
        <f aca="false">IF(FN9="",0,IF(FN10=Milestones!$AB$178,Milestones!$AC$178,0))</f>
        <v>0</v>
      </c>
      <c r="FO11" s="0" t="n">
        <f aca="false">IF(FO9="",0,IF(FO10=Milestones!$AB$179,Milestones!$AC$179,0))</f>
        <v>0</v>
      </c>
      <c r="FP11" s="0" t="n">
        <f aca="false">IF(FP9="",0,IF(FP10=Milestones!$AB$180,Milestones!$AC$180,0))</f>
        <v>0</v>
      </c>
      <c r="FQ11" s="0" t="n">
        <f aca="false">IF(FQ9="",0,IF(FQ10=Milestones!$AB$181,Milestones!$AC$181,0))</f>
        <v>0</v>
      </c>
      <c r="FR11" s="0" t="n">
        <f aca="false">IF(FR9="",0,IF(FR10=Milestones!$AB$182,Milestones!$AC$182,0))</f>
        <v>0</v>
      </c>
      <c r="FS11" s="0" t="n">
        <f aca="false">IF(FS9="",0,IF(FS10=Milestones!$AB$183,Milestones!$AC$183,0))</f>
        <v>0</v>
      </c>
      <c r="FT11" s="0" t="n">
        <f aca="false">IF(FT9="",0,IF(FT10=Milestones!$AB$184,Milestones!$AC$184,0))</f>
        <v>0</v>
      </c>
      <c r="FU11" s="0" t="n">
        <f aca="false">IF(FU9="",0,IF(FU10=Milestones!$AB$185,Milestones!$AC$185,0))</f>
        <v>0</v>
      </c>
      <c r="FV11" s="0" t="n">
        <f aca="false">IF(FV9="",0,IF(FV10=Milestones!$AB$186,Milestones!$AC$186,0))</f>
        <v>0</v>
      </c>
      <c r="FW11" s="0" t="n">
        <f aca="false">IF(FW9="",0,IF(FW10=Milestones!$AB$187,Milestones!$AC$187,0))</f>
        <v>0</v>
      </c>
      <c r="FX11" s="0" t="n">
        <f aca="false">IF(FX9="",0,IF(FX10=Milestones!$AB$188,Milestones!$AC$188,0))</f>
        <v>0</v>
      </c>
      <c r="FY11" s="0" t="n">
        <f aca="false">IF(FY9="",0,IF(FY10=Milestones!$AB$189,Milestones!$AC$189,0))</f>
        <v>0</v>
      </c>
      <c r="FZ11" s="0" t="n">
        <f aca="false">IF(FZ9="",0,IF(FZ10=Milestones!$AB$190,Milestones!$AC$190,0))</f>
        <v>0</v>
      </c>
      <c r="GA11" s="0" t="n">
        <f aca="false">IF(GA9="",0,IF(GA10=Milestones!$AB$191,Milestones!$AC$191,0))</f>
        <v>0</v>
      </c>
      <c r="GB11" s="0" t="n">
        <f aca="false">IF(GB9="",0,IF(GB10=Milestones!$AB$192,Milestones!$AC$192,0))</f>
        <v>0</v>
      </c>
      <c r="GC11" s="0" t="n">
        <f aca="false">IF(GC9="",0,IF(GC10=Milestones!$AB$193,Milestones!$AC$193,0))</f>
        <v>0</v>
      </c>
      <c r="GD11" s="0" t="n">
        <f aca="false">IF(GD9="",0,IF(GD10=Milestones!$AB$194,Milestones!$AC$194,0))</f>
        <v>0</v>
      </c>
      <c r="GE11" s="0" t="n">
        <f aca="false">IF(GE9="",0,IF(GE10=Milestones!$AB$195,Milestones!$AC$195,0))</f>
        <v>0</v>
      </c>
      <c r="GF11" s="0" t="n">
        <f aca="false">IF(GF9="",0,IF(GF10=Milestones!$AB$196,Milestones!$AC$196,0))</f>
        <v>0</v>
      </c>
      <c r="GG11" s="0" t="n">
        <f aca="false">IF(GG9="",0,IF(GG10=Milestones!$AB$197,Milestones!$AC$197,0))</f>
        <v>0</v>
      </c>
      <c r="GH11" s="0" t="n">
        <f aca="false">IF(GH9="",0,IF(GH10=Milestones!$AB$198,Milestones!$AC$198,0))</f>
        <v>0</v>
      </c>
      <c r="GI11" s="0" t="n">
        <f aca="false">IF(GI9="",0,IF(GI10=Milestones!$AB$199,Milestones!$AC$199,0))</f>
        <v>0</v>
      </c>
    </row>
    <row r="12" customFormat="false" ht="15" hidden="false" customHeight="false" outlineLevel="0" collapsed="false">
      <c r="A12" s="0" t="str">
        <f aca="false">IF('HR Tally Check'!E$7="","",'HR Tally Check'!E$7)</f>
        <v/>
      </c>
      <c r="B12" s="0" t="str">
        <f aca="false">IF(A12="","",ISNUMBER(MATCH(A12,Staff!$BJ$5:$BJ$154,0)))</f>
        <v/>
      </c>
      <c r="C12" s="18" t="str">
        <f aca="false">IF(B12&lt;&gt;TRUE(),"",INDEX(Staff!$AH$5:$AH$154,MATCH($A12,Staff!$BJ$5:$BJ$154,0)))</f>
        <v/>
      </c>
      <c r="D12" s="0" t="str">
        <f aca="false">IF(B12&lt;&gt;TRUE(),"",INDEX(Staff!$AI$5:$AI$154,MATCH($A12,Staff!$BJ$5:$BJ$154,0)))</f>
        <v/>
      </c>
      <c r="E12" s="18" t="str">
        <f aca="false">IF(B12&lt;&gt;TRUE(),"",INDEX(Staff!$AK$5:$AK$154,MATCH($A12,Staff!$BJ$5:$BJ$154,0)))</f>
        <v/>
      </c>
      <c r="F12" s="18" t="str">
        <f aca="false">IF(B12&lt;&gt;TRUE(),"",INDEX(Staff!$AL$5:$AL$154,MATCH($A12,Staff!$BJ$5:$BJ$154,0)))</f>
        <v/>
      </c>
      <c r="G12" s="0" t="str">
        <f aca="false">IF(B12&lt;&gt;TRUE(),"",INDEX(Staff!$AP$5:$AP$154,MATCH($A12,Staff!$BJ$5:$BJ$154,0)))</f>
        <v/>
      </c>
      <c r="H12" s="0" t="str">
        <f aca="false">IF(B12&lt;&gt;TRUE(),"",INDEX(Staff!$AQ$5:$AQ$154,MATCH($A12,Staff!$BJ$5:$BJ$154,0)))</f>
        <v/>
      </c>
      <c r="I12" s="0" t="str">
        <f aca="false">IF(B12&lt;&gt;TRUE(),"",INDEX(Staff!$AR$5:$AR$154,MATCH($A12,Staff!$BJ$5:$BJ$154,0)))</f>
        <v/>
      </c>
      <c r="J12" s="0" t="str">
        <f aca="false">IF(B12&lt;&gt;TRUE(),"",INDEX(Staff!$AS$5:$AS$154,MATCH($A12,Staff!$BJ$5:$BJ$154,0)))</f>
        <v/>
      </c>
      <c r="K12" s="31" t="s">
        <v>228</v>
      </c>
      <c r="L12" s="18" t="str">
        <f aca="false">IF($C12="","",EDATE($C12,Milestones!$AA$20))</f>
        <v/>
      </c>
      <c r="M12" s="18" t="str">
        <f aca="false">IF($C12="","",EDATE($C12,Milestones!$AA$21))</f>
        <v/>
      </c>
      <c r="N12" s="18" t="str">
        <f aca="false">IF($C12="","",EDATE($C12,Milestones!$AA$22))</f>
        <v/>
      </c>
      <c r="O12" s="18" t="str">
        <f aca="false">IF($C12="","",EDATE($C12,Milestones!$AA$23))</f>
        <v/>
      </c>
      <c r="P12" s="18" t="str">
        <f aca="false">IF($C12="","",EDATE($C12,Milestones!$AA$24))</f>
        <v/>
      </c>
      <c r="Q12" s="18" t="str">
        <f aca="false">IF($C12="","",EDATE($C12,Milestones!$AA$25))</f>
        <v/>
      </c>
      <c r="R12" s="18" t="str">
        <f aca="false">IF($C12="","",EDATE($C12,Milestones!$AA$26))</f>
        <v/>
      </c>
      <c r="S12" s="18" t="str">
        <f aca="false">IF($C12="","",EDATE($C12,Milestones!$AA$27))</f>
        <v/>
      </c>
      <c r="T12" s="18" t="str">
        <f aca="false">IF($C12="","",EDATE($C12,Milestones!$AA$28))</f>
        <v/>
      </c>
      <c r="U12" s="18" t="str">
        <f aca="false">IF($C12="","",EDATE($C12,Milestones!$AA$29))</f>
        <v/>
      </c>
      <c r="V12" s="18" t="str">
        <f aca="false">IF($C12="","",EDATE($C12,Milestones!$AA$30))</f>
        <v/>
      </c>
      <c r="W12" s="18" t="str">
        <f aca="false">IF($C12="","",EDATE($C12,Milestones!$AA$31))</f>
        <v/>
      </c>
      <c r="X12" s="18" t="str">
        <f aca="false">IF($C12="","",EDATE($C12,Milestones!$AA$32))</f>
        <v/>
      </c>
      <c r="Y12" s="18" t="str">
        <f aca="false">IF($C12="","",EDATE($C12,Milestones!$AA$33))</f>
        <v/>
      </c>
      <c r="Z12" s="18" t="str">
        <f aca="false">IF($C12="","",EDATE($C12,Milestones!$AA$34))</f>
        <v/>
      </c>
      <c r="AA12" s="18" t="str">
        <f aca="false">IF($C12="","",EDATE($C12,Milestones!$AA$35))</f>
        <v/>
      </c>
      <c r="AB12" s="18" t="str">
        <f aca="false">IF($C12="","",EDATE($C12,Milestones!$AA$36))</f>
        <v/>
      </c>
      <c r="AC12" s="18" t="str">
        <f aca="false">IF($C12="","",EDATE($C12,Milestones!$AA$37))</f>
        <v/>
      </c>
      <c r="AD12" s="18" t="str">
        <f aca="false">IF($C12="","",EDATE($C12,Milestones!$AA$38))</f>
        <v/>
      </c>
      <c r="AE12" s="18" t="str">
        <f aca="false">IF($C12="","",EDATE($C12,Milestones!$AA$39))</f>
        <v/>
      </c>
      <c r="AF12" s="18" t="str">
        <f aca="false">IF($C12="","",EDATE($C12,Milestones!$AA$40))</f>
        <v/>
      </c>
      <c r="AG12" s="18" t="str">
        <f aca="false">IF($C12="","",EDATE($C12,Milestones!$AA$41))</f>
        <v/>
      </c>
      <c r="AH12" s="18" t="str">
        <f aca="false">IF($C12="","",EDATE($C12,Milestones!$AA$42))</f>
        <v/>
      </c>
      <c r="AI12" s="18" t="str">
        <f aca="false">IF($C12="","",EDATE($C12,Milestones!$AA$43))</f>
        <v/>
      </c>
      <c r="AJ12" s="18" t="str">
        <f aca="false">IF($C12="","",EDATE($C12,Milestones!$AA$44))</f>
        <v/>
      </c>
      <c r="AK12" s="18" t="str">
        <f aca="false">IF($C12="","",EDATE($C12,Milestones!$AA$45))</f>
        <v/>
      </c>
      <c r="AL12" s="18" t="str">
        <f aca="false">IF($C12="","",EDATE($C12,Milestones!$AA$46))</f>
        <v/>
      </c>
      <c r="AM12" s="18" t="str">
        <f aca="false">IF($C12="","",EDATE($C12,Milestones!$AA$47))</f>
        <v/>
      </c>
      <c r="AN12" s="18" t="str">
        <f aca="false">IF($C12="","",EDATE($C12,Milestones!$AA$48))</f>
        <v/>
      </c>
      <c r="AO12" s="18" t="str">
        <f aca="false">IF($C12="","",EDATE($C12,Milestones!$AA$49))</f>
        <v/>
      </c>
      <c r="AP12" s="18" t="str">
        <f aca="false">IF($C12="","",EDATE($C12,Milestones!$AA$50))</f>
        <v/>
      </c>
      <c r="AQ12" s="18" t="str">
        <f aca="false">IF($C12="","",EDATE($C12,Milestones!$AA$51))</f>
        <v/>
      </c>
      <c r="AR12" s="18" t="str">
        <f aca="false">IF($C12="","",EDATE($C12,Milestones!$AA$52))</f>
        <v/>
      </c>
      <c r="AS12" s="18" t="str">
        <f aca="false">IF($C12="","",EDATE($C12,Milestones!$AA$53))</f>
        <v/>
      </c>
      <c r="AT12" s="18" t="str">
        <f aca="false">IF($C12="","",EDATE($C12,Milestones!$AA$54))</f>
        <v/>
      </c>
      <c r="AU12" s="18" t="str">
        <f aca="false">IF($C12="","",EDATE($C12,Milestones!$AA$55))</f>
        <v/>
      </c>
      <c r="AV12" s="18" t="str">
        <f aca="false">IF($C12="","",EDATE($C12,Milestones!$AA$56))</f>
        <v/>
      </c>
      <c r="AW12" s="18" t="str">
        <f aca="false">IF($C12="","",EDATE($C12,Milestones!$AA$57))</f>
        <v/>
      </c>
      <c r="AX12" s="18" t="str">
        <f aca="false">IF($C12="","",EDATE($C12,Milestones!$AA$58))</f>
        <v/>
      </c>
      <c r="AY12" s="18" t="str">
        <f aca="false">IF($C12="","",EDATE($C12,Milestones!$AA$59))</f>
        <v/>
      </c>
      <c r="AZ12" s="18" t="str">
        <f aca="false">IF($C12="","",EDATE($C12,Milestones!$AA$60))</f>
        <v/>
      </c>
      <c r="BA12" s="18" t="str">
        <f aca="false">IF($C12="","",EDATE($C12,Milestones!$AA$61))</f>
        <v/>
      </c>
      <c r="BB12" s="18" t="str">
        <f aca="false">IF($C12="","",EDATE($C12,Milestones!$AA$62))</f>
        <v/>
      </c>
      <c r="BC12" s="18" t="str">
        <f aca="false">IF($C12="","",EDATE($C12,Milestones!$AA$63))</f>
        <v/>
      </c>
      <c r="BD12" s="18" t="str">
        <f aca="false">IF($C12="","",EDATE($C12,Milestones!$AA$64))</f>
        <v/>
      </c>
      <c r="BE12" s="18" t="str">
        <f aca="false">IF($C12="","",EDATE($C12,Milestones!$AA$65))</f>
        <v/>
      </c>
      <c r="BF12" s="18" t="str">
        <f aca="false">IF($C12="","",EDATE($C12,Milestones!$AA$66))</f>
        <v/>
      </c>
      <c r="BG12" s="18" t="str">
        <f aca="false">IF($C12="","",EDATE($C12,Milestones!$AA$67))</f>
        <v/>
      </c>
      <c r="BH12" s="18" t="str">
        <f aca="false">IF($C12="","",EDATE($C12,Milestones!$AA$68))</f>
        <v/>
      </c>
      <c r="BI12" s="18" t="str">
        <f aca="false">IF($C12="","",EDATE($C12,Milestones!$AA$69))</f>
        <v/>
      </c>
      <c r="BJ12" s="18" t="str">
        <f aca="false">IF($C12="","",EDATE($C12,Milestones!$AA$70))</f>
        <v/>
      </c>
      <c r="BK12" s="18" t="str">
        <f aca="false">IF($C12="","",EDATE($C12,Milestones!$AA$71))</f>
        <v/>
      </c>
      <c r="BL12" s="18" t="str">
        <f aca="false">IF($C12="","",EDATE($C12,Milestones!$AA$72))</f>
        <v/>
      </c>
      <c r="BM12" s="18" t="str">
        <f aca="false">IF($C12="","",EDATE($C12,Milestones!$AA$73))</f>
        <v/>
      </c>
      <c r="BN12" s="18" t="str">
        <f aca="false">IF($C12="","",EDATE($C12,Milestones!$AA$74))</f>
        <v/>
      </c>
      <c r="BO12" s="18" t="str">
        <f aca="false">IF($C12="","",EDATE($C12,Milestones!$AA$75))</f>
        <v/>
      </c>
      <c r="BP12" s="18" t="str">
        <f aca="false">IF($C12="","",EDATE($C12,Milestones!$AA$76))</f>
        <v/>
      </c>
      <c r="BQ12" s="18" t="str">
        <f aca="false">IF($C12="","",EDATE($C12,Milestones!$AA$77))</f>
        <v/>
      </c>
      <c r="BR12" s="18" t="str">
        <f aca="false">IF($C12="","",EDATE($C12,Milestones!$AA$78))</f>
        <v/>
      </c>
      <c r="BS12" s="18" t="str">
        <f aca="false">IF($C12="","",EDATE($C12,Milestones!$AA$79))</f>
        <v/>
      </c>
      <c r="BT12" s="18" t="str">
        <f aca="false">IF($C12="","",EDATE($C12,Milestones!$AA$80))</f>
        <v/>
      </c>
      <c r="BU12" s="18" t="str">
        <f aca="false">IF($C12="","",EDATE($C12,Milestones!$AA$81))</f>
        <v/>
      </c>
      <c r="BV12" s="18" t="str">
        <f aca="false">IF($C12="","",EDATE($C12,Milestones!$AA$82))</f>
        <v/>
      </c>
      <c r="BW12" s="18" t="str">
        <f aca="false">IF($C12="","",EDATE($C12,Milestones!$AA$83))</f>
        <v/>
      </c>
      <c r="BX12" s="18" t="str">
        <f aca="false">IF($C12="","",EDATE($C12,Milestones!$AA$84))</f>
        <v/>
      </c>
      <c r="BY12" s="18" t="str">
        <f aca="false">IF($C12="","",EDATE($C12,Milestones!$AA$85))</f>
        <v/>
      </c>
      <c r="BZ12" s="18" t="str">
        <f aca="false">IF($C12="","",EDATE($C12,Milestones!$AA$86))</f>
        <v/>
      </c>
      <c r="CA12" s="18" t="str">
        <f aca="false">IF($C12="","",EDATE($C12,Milestones!$AA$87))</f>
        <v/>
      </c>
      <c r="CB12" s="18" t="str">
        <f aca="false">IF($C12="","",EDATE($C12,Milestones!$AA$88))</f>
        <v/>
      </c>
      <c r="CC12" s="18" t="str">
        <f aca="false">IF($C12="","",EDATE($C12,Milestones!$AA$89))</f>
        <v/>
      </c>
      <c r="CD12" s="18" t="str">
        <f aca="false">IF($C12="","",EDATE($C12,Milestones!$AA$90))</f>
        <v/>
      </c>
      <c r="CE12" s="18" t="str">
        <f aca="false">IF($C12="","",EDATE($C12,Milestones!$AA$91))</f>
        <v/>
      </c>
      <c r="CF12" s="18" t="str">
        <f aca="false">IF($C12="","",EDATE($C12,Milestones!$AA$92))</f>
        <v/>
      </c>
      <c r="CG12" s="18" t="str">
        <f aca="false">IF($C12="","",EDATE($C12,Milestones!$AA$93))</f>
        <v/>
      </c>
      <c r="CH12" s="18" t="str">
        <f aca="false">IF($C12="","",EDATE($C12,Milestones!$AA$94))</f>
        <v/>
      </c>
      <c r="CI12" s="18" t="str">
        <f aca="false">IF($C12="","",EDATE($C12,Milestones!$AA$95))</f>
        <v/>
      </c>
      <c r="CJ12" s="18" t="str">
        <f aca="false">IF($C12="","",EDATE($C12,Milestones!$AA$96))</f>
        <v/>
      </c>
      <c r="CK12" s="18" t="str">
        <f aca="false">IF($C12="","",EDATE($C12,Milestones!$AA$97))</f>
        <v/>
      </c>
      <c r="CL12" s="18" t="str">
        <f aca="false">IF($C12="","",EDATE($C12,Milestones!$AA$98))</f>
        <v/>
      </c>
      <c r="CM12" s="18" t="str">
        <f aca="false">IF($C12="","",EDATE($C12,Milestones!$AA$99))</f>
        <v/>
      </c>
      <c r="CN12" s="18" t="str">
        <f aca="false">IF($C12="","",EDATE($C12,Milestones!$AA$100))</f>
        <v/>
      </c>
      <c r="CO12" s="18" t="str">
        <f aca="false">IF($C12="","",EDATE($C12,Milestones!$AA$101))</f>
        <v/>
      </c>
      <c r="CP12" s="18" t="str">
        <f aca="false">IF($C12="","",EDATE($C12,Milestones!$AA$102))</f>
        <v/>
      </c>
      <c r="CQ12" s="18" t="str">
        <f aca="false">IF($C12="","",EDATE($C12,Milestones!$AA$103))</f>
        <v/>
      </c>
      <c r="CR12" s="18" t="str">
        <f aca="false">IF($C12="","",EDATE($C12,Milestones!$AA$104))</f>
        <v/>
      </c>
      <c r="CS12" s="18" t="str">
        <f aca="false">IF($C12="","",EDATE($C12,Milestones!$AA$105))</f>
        <v/>
      </c>
      <c r="CT12" s="18" t="str">
        <f aca="false">IF($C12="","",EDATE($C12,Milestones!$AA$106))</f>
        <v/>
      </c>
      <c r="CU12" s="18" t="str">
        <f aca="false">IF($C12="","",EDATE($C12,Milestones!$AA$107))</f>
        <v/>
      </c>
      <c r="CV12" s="18" t="str">
        <f aca="false">IF($C12="","",EDATE($C12,Milestones!$AA$108))</f>
        <v/>
      </c>
      <c r="CW12" s="18" t="str">
        <f aca="false">IF($C12="","",EDATE($C12,Milestones!$AA$109))</f>
        <v/>
      </c>
      <c r="CX12" s="18" t="str">
        <f aca="false">IF($C12="","",EDATE($C12,Milestones!$AA$110))</f>
        <v/>
      </c>
      <c r="CY12" s="18" t="str">
        <f aca="false">IF($C12="","",EDATE($C12,Milestones!$AA$111))</f>
        <v/>
      </c>
      <c r="CZ12" s="18" t="str">
        <f aca="false">IF($C12="","",EDATE($C12,Milestones!$AA$112))</f>
        <v/>
      </c>
      <c r="DA12" s="18" t="str">
        <f aca="false">IF($C12="","",EDATE($C12,Milestones!$AA$113))</f>
        <v/>
      </c>
      <c r="DB12" s="18" t="str">
        <f aca="false">IF($C12="","",EDATE($C12,Milestones!$AA$114))</f>
        <v/>
      </c>
      <c r="DC12" s="18" t="str">
        <f aca="false">IF($C12="","",EDATE($C12,Milestones!$AA$115))</f>
        <v/>
      </c>
      <c r="DD12" s="18" t="str">
        <f aca="false">IF($C12="","",EDATE($C12,Milestones!$AA$116))</f>
        <v/>
      </c>
      <c r="DE12" s="18" t="str">
        <f aca="false">IF($C12="","",EDATE($C12,Milestones!$AA$117))</f>
        <v/>
      </c>
      <c r="DF12" s="18" t="str">
        <f aca="false">IF($C12="","",EDATE($C12,Milestones!$AA$118))</f>
        <v/>
      </c>
      <c r="DG12" s="18" t="str">
        <f aca="false">IF($C12="","",EDATE($C12,Milestones!$AA$119))</f>
        <v/>
      </c>
      <c r="DH12" s="18" t="str">
        <f aca="false">IF($C12="","",EDATE($C12,Milestones!$AA$120))</f>
        <v/>
      </c>
      <c r="DI12" s="18" t="str">
        <f aca="false">IF($C12="","",EDATE($C12,Milestones!$AA$121))</f>
        <v/>
      </c>
      <c r="DJ12" s="18" t="str">
        <f aca="false">IF($C12="","",EDATE($C12,Milestones!$AA$122))</f>
        <v/>
      </c>
      <c r="DK12" s="18" t="str">
        <f aca="false">IF($C12="","",EDATE($C12,Milestones!$AA$123))</f>
        <v/>
      </c>
      <c r="DL12" s="18" t="str">
        <f aca="false">IF($C12="","",EDATE($C12,Milestones!$AA$124))</f>
        <v/>
      </c>
      <c r="DM12" s="18" t="str">
        <f aca="false">IF($C12="","",EDATE($C12,Milestones!$AA$125))</f>
        <v/>
      </c>
      <c r="DN12" s="18" t="str">
        <f aca="false">IF($C12="","",EDATE($C12,Milestones!$AA$126))</f>
        <v/>
      </c>
      <c r="DO12" s="18" t="str">
        <f aca="false">IF($C12="","",EDATE($C12,Milestones!$AA$127))</f>
        <v/>
      </c>
      <c r="DP12" s="18" t="str">
        <f aca="false">IF($C12="","",EDATE($C12,Milestones!$AA$128))</f>
        <v/>
      </c>
      <c r="DQ12" s="18" t="str">
        <f aca="false">IF($C12="","",EDATE($C12,Milestones!$AA$129))</f>
        <v/>
      </c>
      <c r="DR12" s="18" t="str">
        <f aca="false">IF($C12="","",EDATE($C12,Milestones!$AA$130))</f>
        <v/>
      </c>
      <c r="DS12" s="18" t="str">
        <f aca="false">IF($C12="","",EDATE($C12,Milestones!$AA$131))</f>
        <v/>
      </c>
      <c r="DT12" s="18" t="str">
        <f aca="false">IF($C12="","",EDATE($C12,Milestones!$AA$132))</f>
        <v/>
      </c>
      <c r="DU12" s="18" t="str">
        <f aca="false">IF($C12="","",EDATE($C12,Milestones!$AA$133))</f>
        <v/>
      </c>
      <c r="DV12" s="18" t="str">
        <f aca="false">IF($C12="","",EDATE($C12,Milestones!$AA$134))</f>
        <v/>
      </c>
      <c r="DW12" s="18" t="str">
        <f aca="false">IF($C12="","",EDATE($C12,Milestones!$AA$135))</f>
        <v/>
      </c>
      <c r="DX12" s="18" t="str">
        <f aca="false">IF($C12="","",EDATE($C12,Milestones!$AA$136))</f>
        <v/>
      </c>
      <c r="DY12" s="18" t="str">
        <f aca="false">IF($C12="","",EDATE($C12,Milestones!$AA$137))</f>
        <v/>
      </c>
      <c r="DZ12" s="18" t="str">
        <f aca="false">IF($C12="","",EDATE($C12,Milestones!$AA$138))</f>
        <v/>
      </c>
      <c r="EA12" s="18" t="str">
        <f aca="false">IF($C12="","",EDATE($C12,Milestones!$AA$139))</f>
        <v/>
      </c>
      <c r="EB12" s="18" t="str">
        <f aca="false">IF($C12="","",EDATE($C12,Milestones!$AA$140))</f>
        <v/>
      </c>
      <c r="EC12" s="18" t="str">
        <f aca="false">IF($C12="","",EDATE($C12,Milestones!$AA$141))</f>
        <v/>
      </c>
      <c r="ED12" s="18" t="str">
        <f aca="false">IF($C12="","",EDATE($C12,Milestones!$AA$142))</f>
        <v/>
      </c>
      <c r="EE12" s="18" t="str">
        <f aca="false">IF($C12="","",EDATE($C12,Milestones!$AA$143))</f>
        <v/>
      </c>
      <c r="EF12" s="18" t="str">
        <f aca="false">IF($C12="","",EDATE($C12,Milestones!$AA$144))</f>
        <v/>
      </c>
      <c r="EG12" s="18" t="str">
        <f aca="false">IF($C12="","",EDATE($C12,Milestones!$AA$145))</f>
        <v/>
      </c>
      <c r="EH12" s="18" t="str">
        <f aca="false">IF($C12="","",EDATE($C12,Milestones!$AA$146))</f>
        <v/>
      </c>
      <c r="EI12" s="18" t="str">
        <f aca="false">IF($C12="","",EDATE($C12,Milestones!$AA$147))</f>
        <v/>
      </c>
      <c r="EJ12" s="18" t="str">
        <f aca="false">IF($C12="","",EDATE($C12,Milestones!$AA$148))</f>
        <v/>
      </c>
      <c r="EK12" s="18" t="str">
        <f aca="false">IF($C12="","",EDATE($C12,Milestones!$AA$149))</f>
        <v/>
      </c>
      <c r="EL12" s="18" t="str">
        <f aca="false">IF($C12="","",EDATE($C12,Milestones!$AA$150))</f>
        <v/>
      </c>
      <c r="EM12" s="18" t="str">
        <f aca="false">IF($C12="","",EDATE($C12,Milestones!$AA$151))</f>
        <v/>
      </c>
      <c r="EN12" s="18" t="str">
        <f aca="false">IF($C12="","",EDATE($C12,Milestones!$AA$152))</f>
        <v/>
      </c>
      <c r="EO12" s="18" t="str">
        <f aca="false">IF($C12="","",EDATE($C12,Milestones!$AA$153))</f>
        <v/>
      </c>
      <c r="EP12" s="18" t="str">
        <f aca="false">IF($C12="","",EDATE($C12,Milestones!$AA$154))</f>
        <v/>
      </c>
      <c r="EQ12" s="18" t="str">
        <f aca="false">IF($C12="","",EDATE($C12,Milestones!$AA$155))</f>
        <v/>
      </c>
      <c r="ER12" s="18" t="str">
        <f aca="false">IF($C12="","",EDATE($C12,Milestones!$AA$156))</f>
        <v/>
      </c>
      <c r="ES12" s="18" t="str">
        <f aca="false">IF($C12="","",EDATE($C12,Milestones!$AA$157))</f>
        <v/>
      </c>
      <c r="ET12" s="18" t="str">
        <f aca="false">IF($C12="","",EDATE($C12,Milestones!$AA$158))</f>
        <v/>
      </c>
      <c r="EU12" s="18" t="str">
        <f aca="false">IF($C12="","",EDATE($C12,Milestones!$AA$159))</f>
        <v/>
      </c>
      <c r="EV12" s="18" t="str">
        <f aca="false">IF($C12="","",EDATE($C12,Milestones!$AA$160))</f>
        <v/>
      </c>
      <c r="EW12" s="18" t="str">
        <f aca="false">IF($C12="","",EDATE($C12,Milestones!$AA$161))</f>
        <v/>
      </c>
      <c r="EX12" s="18" t="str">
        <f aca="false">IF($C12="","",EDATE($C12,Milestones!$AA$162))</f>
        <v/>
      </c>
      <c r="EY12" s="18" t="str">
        <f aca="false">IF($C12="","",EDATE($C12,Milestones!$AA$163))</f>
        <v/>
      </c>
      <c r="EZ12" s="18" t="str">
        <f aca="false">IF($C12="","",EDATE($C12,Milestones!$AA$164))</f>
        <v/>
      </c>
      <c r="FA12" s="18" t="str">
        <f aca="false">IF($C12="","",EDATE($C12,Milestones!$AA$165))</f>
        <v/>
      </c>
      <c r="FB12" s="18" t="str">
        <f aca="false">IF($C12="","",EDATE($C12,Milestones!$AA$166))</f>
        <v/>
      </c>
      <c r="FC12" s="18" t="str">
        <f aca="false">IF($C12="","",EDATE($C12,Milestones!$AA$167))</f>
        <v/>
      </c>
      <c r="FD12" s="18" t="str">
        <f aca="false">IF($C12="","",EDATE($C12,Milestones!$AA$168))</f>
        <v/>
      </c>
      <c r="FE12" s="18" t="str">
        <f aca="false">IF($C12="","",EDATE($C12,Milestones!$AA$169))</f>
        <v/>
      </c>
      <c r="FF12" s="18" t="str">
        <f aca="false">IF($C12="","",EDATE($C12,Milestones!$AA$170))</f>
        <v/>
      </c>
      <c r="FG12" s="18" t="str">
        <f aca="false">IF($C12="","",EDATE($C12,Milestones!$AA$171))</f>
        <v/>
      </c>
      <c r="FH12" s="18" t="str">
        <f aca="false">IF($C12="","",EDATE($C12,Milestones!$AA$172))</f>
        <v/>
      </c>
      <c r="FI12" s="18" t="str">
        <f aca="false">IF($C12="","",EDATE($C12,Milestones!$AA$173))</f>
        <v/>
      </c>
      <c r="FJ12" s="18" t="str">
        <f aca="false">IF($C12="","",EDATE($C12,Milestones!$AA$174))</f>
        <v/>
      </c>
      <c r="FK12" s="18" t="str">
        <f aca="false">IF($C12="","",EDATE($C12,Milestones!$AA$175))</f>
        <v/>
      </c>
      <c r="FL12" s="18" t="str">
        <f aca="false">IF($C12="","",EDATE($C12,Milestones!$AA$176))</f>
        <v/>
      </c>
      <c r="FM12" s="18" t="str">
        <f aca="false">IF($C12="","",EDATE($C12,Milestones!$AA$177))</f>
        <v/>
      </c>
      <c r="FN12" s="18" t="str">
        <f aca="false">IF($C12="","",EDATE($C12,Milestones!$AA$178))</f>
        <v/>
      </c>
      <c r="FO12" s="18" t="str">
        <f aca="false">IF($C12="","",EDATE($C12,Milestones!$AA$179))</f>
        <v/>
      </c>
      <c r="FP12" s="18" t="str">
        <f aca="false">IF($C12="","",EDATE($C12,Milestones!$AA$180))</f>
        <v/>
      </c>
      <c r="FQ12" s="18" t="str">
        <f aca="false">IF($C12="","",EDATE($C12,Milestones!$AA$181))</f>
        <v/>
      </c>
      <c r="FR12" s="18" t="str">
        <f aca="false">IF($C12="","",EDATE($C12,Milestones!$AA$182))</f>
        <v/>
      </c>
      <c r="FS12" s="18" t="str">
        <f aca="false">IF($C12="","",EDATE($C12,Milestones!$AA$183))</f>
        <v/>
      </c>
      <c r="FT12" s="18" t="str">
        <f aca="false">IF($C12="","",EDATE($C12,Milestones!$AA$184))</f>
        <v/>
      </c>
      <c r="FU12" s="18" t="str">
        <f aca="false">IF($C12="","",EDATE($C12,Milestones!$AA$185))</f>
        <v/>
      </c>
      <c r="FV12" s="18" t="str">
        <f aca="false">IF($C12="","",EDATE($C12,Milestones!$AA$186))</f>
        <v/>
      </c>
      <c r="FW12" s="18" t="str">
        <f aca="false">IF($C12="","",EDATE($C12,Milestones!$AA$187))</f>
        <v/>
      </c>
      <c r="FX12" s="18" t="str">
        <f aca="false">IF($C12="","",EDATE($C12,Milestones!$AA$188))</f>
        <v/>
      </c>
      <c r="FY12" s="18" t="str">
        <f aca="false">IF($C12="","",EDATE($C12,Milestones!$AA$189))</f>
        <v/>
      </c>
      <c r="FZ12" s="18" t="str">
        <f aca="false">IF($C12="","",EDATE($C12,Milestones!$AA$190))</f>
        <v/>
      </c>
      <c r="GA12" s="18" t="str">
        <f aca="false">IF($C12="","",EDATE($C12,Milestones!$AA$191))</f>
        <v/>
      </c>
      <c r="GB12" s="18" t="str">
        <f aca="false">IF($C12="","",EDATE($C12,Milestones!$AA$192))</f>
        <v/>
      </c>
      <c r="GC12" s="18" t="str">
        <f aca="false">IF($C12="","",EDATE($C12,Milestones!$AA$193))</f>
        <v/>
      </c>
      <c r="GD12" s="18" t="str">
        <f aca="false">IF($C12="","",EDATE($C12,Milestones!$AA$194))</f>
        <v/>
      </c>
      <c r="GE12" s="18" t="str">
        <f aca="false">IF($C12="","",EDATE($C12,Milestones!$AA$195))</f>
        <v/>
      </c>
      <c r="GF12" s="18" t="str">
        <f aca="false">IF($C12="","",EDATE($C12,Milestones!$AA$196))</f>
        <v/>
      </c>
      <c r="GG12" s="18" t="str">
        <f aca="false">IF($C12="","",EDATE($C12,Milestones!$AA$197))</f>
        <v/>
      </c>
      <c r="GH12" s="18" t="str">
        <f aca="false">IF($C12="","",EDATE($C12,Milestones!$AA$198))</f>
        <v/>
      </c>
      <c r="GI12" s="18" t="str">
        <f aca="false">IF($C12="","",EDATE($C12,Milestones!$AA$199))</f>
        <v/>
      </c>
    </row>
    <row r="13" customFormat="false" ht="15" hidden="false" customHeight="false" outlineLevel="0" collapsed="false">
      <c r="K13" s="0" t="s">
        <v>229</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230</v>
      </c>
      <c r="L14" s="0" t="n">
        <f aca="false">IF(L12="",0,IF(L13=Milestones!$AB$20,Milestones!$AC$20,0))</f>
        <v>0</v>
      </c>
      <c r="M14" s="0" t="n">
        <f aca="false">IF(M12="",0,IF(M13=Milestones!$AB$21,Milestones!$AC$21,0))</f>
        <v>0</v>
      </c>
      <c r="N14" s="0" t="n">
        <f aca="false">IF(N12="",0,IF(N13=Milestones!$AB$22,Milestones!$AC$22,0))</f>
        <v>0</v>
      </c>
      <c r="O14" s="0" t="n">
        <f aca="false">IF(O12="",0,IF(O13=Milestones!$AB$23,Milestones!$AC$23,0))</f>
        <v>0</v>
      </c>
      <c r="P14" s="0" t="n">
        <f aca="false">IF(P12="",0,IF(P13=Milestones!$AB$24,Milestones!$AC$24,0))</f>
        <v>0</v>
      </c>
      <c r="Q14" s="0" t="n">
        <f aca="false">IF(Q12="",0,IF(Q13=Milestones!$AB$25,Milestones!$AC$25,0))</f>
        <v>0</v>
      </c>
      <c r="R14" s="0" t="n">
        <f aca="false">IF(R12="",0,IF(R13=Milestones!$AB$26,Milestones!$AC$26,0))</f>
        <v>0</v>
      </c>
      <c r="S14" s="0" t="n">
        <f aca="false">IF(S12="",0,IF(S13=Milestones!$AB$27,Milestones!$AC$27,0))</f>
        <v>0</v>
      </c>
      <c r="T14" s="0" t="n">
        <f aca="false">IF(T12="",0,IF(T13=Milestones!$AB$28,Milestones!$AC$28,0))</f>
        <v>0</v>
      </c>
      <c r="U14" s="0" t="n">
        <f aca="false">IF(U12="",0,IF(U13=Milestones!$AB$29,Milestones!$AC$29,0))</f>
        <v>0</v>
      </c>
      <c r="V14" s="0" t="n">
        <f aca="false">IF(V12="",0,IF(V13=Milestones!$AB$30,Milestones!$AC$30,0))</f>
        <v>0</v>
      </c>
      <c r="W14" s="0" t="n">
        <f aca="false">IF(W12="",0,IF(W13=Milestones!$AB$31,Milestones!$AC$31,0))</f>
        <v>0</v>
      </c>
      <c r="X14" s="0" t="n">
        <f aca="false">IF(X12="",0,IF(X13=Milestones!$AB$32,Milestones!$AC$32,0))</f>
        <v>0</v>
      </c>
      <c r="Y14" s="0" t="n">
        <f aca="false">IF(Y12="",0,IF(Y13=Milestones!$AB$33,Milestones!$AC$33,0))</f>
        <v>0</v>
      </c>
      <c r="Z14" s="0" t="n">
        <f aca="false">IF(Z12="",0,IF(Z13=Milestones!$AB$34,Milestones!$AC$34,0))</f>
        <v>0</v>
      </c>
      <c r="AA14" s="0" t="n">
        <f aca="false">IF(AA12="",0,IF(AA13=Milestones!$AB$35,Milestones!$AC$35,0))</f>
        <v>0</v>
      </c>
      <c r="AB14" s="0" t="n">
        <f aca="false">IF(AB12="",0,IF(AB13=Milestones!$AB$36,Milestones!$AC$36,0))</f>
        <v>0</v>
      </c>
      <c r="AC14" s="0" t="n">
        <f aca="false">IF(AC12="",0,IF(AC13=Milestones!$AB$37,Milestones!$AC$37,0))</f>
        <v>0</v>
      </c>
      <c r="AD14" s="0" t="n">
        <f aca="false">IF(AD12="",0,IF(AD13=Milestones!$AB$38,Milestones!$AC$38,0))</f>
        <v>0</v>
      </c>
      <c r="AE14" s="0" t="n">
        <f aca="false">IF(AE12="",0,IF(AE13=Milestones!$AB$39,Milestones!$AC$39,0))</f>
        <v>0</v>
      </c>
      <c r="AF14" s="0" t="n">
        <f aca="false">IF(AF12="",0,IF(AF13=Milestones!$AB$40,Milestones!$AC$40,0))</f>
        <v>0</v>
      </c>
      <c r="AG14" s="0" t="n">
        <f aca="false">IF(AG12="",0,IF(AG13=Milestones!$AB$41,Milestones!$AC$41,0))</f>
        <v>0</v>
      </c>
      <c r="AH14" s="0" t="n">
        <f aca="false">IF(AH12="",0,IF(AH13=Milestones!$AB$42,Milestones!$AC$42,0))</f>
        <v>0</v>
      </c>
      <c r="AI14" s="0" t="n">
        <f aca="false">IF(AI12="",0,IF(AI13=Milestones!$AB$43,Milestones!$AC$43,0))</f>
        <v>0</v>
      </c>
      <c r="AJ14" s="0" t="n">
        <f aca="false">IF(AJ12="",0,IF(AJ13=Milestones!$AB$44,Milestones!$AC$44,0))</f>
        <v>0</v>
      </c>
      <c r="AK14" s="0" t="n">
        <f aca="false">IF(AK12="",0,IF(AK13=Milestones!$AB$45,Milestones!$AC$45,0))</f>
        <v>0</v>
      </c>
      <c r="AL14" s="0" t="n">
        <f aca="false">IF(AL12="",0,IF(AL13=Milestones!$AB$46,Milestones!$AC$46,0))</f>
        <v>0</v>
      </c>
      <c r="AM14" s="0" t="n">
        <f aca="false">IF(AM12="",0,IF(AM13=Milestones!$AB$47,Milestones!$AC$47,0))</f>
        <v>0</v>
      </c>
      <c r="AN14" s="0" t="n">
        <f aca="false">IF(AN12="",0,IF(AN13=Milestones!$AB$48,Milestones!$AC$48,0))</f>
        <v>0</v>
      </c>
      <c r="AO14" s="0" t="n">
        <f aca="false">IF(AO12="",0,IF(AO13=Milestones!$AB$49,Milestones!$AC$49,0))</f>
        <v>0</v>
      </c>
      <c r="AP14" s="0" t="n">
        <f aca="false">IF(AP12="",0,IF(AP13=Milestones!$AB$50,Milestones!$AC$50,0))</f>
        <v>0</v>
      </c>
      <c r="AQ14" s="0" t="n">
        <f aca="false">IF(AQ12="",0,IF(AQ13=Milestones!$AB$51,Milestones!$AC$51,0))</f>
        <v>0</v>
      </c>
      <c r="AR14" s="0" t="n">
        <f aca="false">IF(AR12="",0,IF(AR13=Milestones!$AB$52,Milestones!$AC$52,0))</f>
        <v>0</v>
      </c>
      <c r="AS14" s="0" t="n">
        <f aca="false">IF(AS12="",0,IF(AS13=Milestones!$AB$53,Milestones!$AC$53,0))</f>
        <v>0</v>
      </c>
      <c r="AT14" s="0" t="n">
        <f aca="false">IF(AT12="",0,IF(AT13=Milestones!$AB$54,Milestones!$AC$54,0))</f>
        <v>0</v>
      </c>
      <c r="AU14" s="0" t="n">
        <f aca="false">IF(AU12="",0,IF(AU13=Milestones!$AB$55,Milestones!$AC$55,0))</f>
        <v>0</v>
      </c>
      <c r="AV14" s="0" t="n">
        <f aca="false">IF(AV12="",0,IF(AV13=Milestones!$AB$56,Milestones!$AC$56,0))</f>
        <v>0</v>
      </c>
      <c r="AW14" s="0" t="n">
        <f aca="false">IF(AW12="",0,IF(AW13=Milestones!$AB$57,Milestones!$AC$57,0))</f>
        <v>0</v>
      </c>
      <c r="AX14" s="0" t="n">
        <f aca="false">IF(AX12="",0,IF(AX13=Milestones!$AB$58,Milestones!$AC$58,0))</f>
        <v>0</v>
      </c>
      <c r="AY14" s="0" t="n">
        <f aca="false">IF(AY12="",0,IF(AY13=Milestones!$AB$59,Milestones!$AC$59,0))</f>
        <v>0</v>
      </c>
      <c r="AZ14" s="0" t="n">
        <f aca="false">IF(AZ12="",0,IF(AZ13=Milestones!$AB$60,Milestones!$AC$60,0))</f>
        <v>0</v>
      </c>
      <c r="BA14" s="0" t="n">
        <f aca="false">IF(BA12="",0,IF(BA13=Milestones!$AB$61,Milestones!$AC$61,0))</f>
        <v>0</v>
      </c>
      <c r="BB14" s="0" t="n">
        <f aca="false">IF(BB12="",0,IF(BB13=Milestones!$AB$62,Milestones!$AC$62,0))</f>
        <v>0</v>
      </c>
      <c r="BC14" s="0" t="n">
        <f aca="false">IF(BC12="",0,IF(BC13=Milestones!$AB$63,Milestones!$AC$63,0))</f>
        <v>0</v>
      </c>
      <c r="BD14" s="0" t="n">
        <f aca="false">IF(BD12="",0,IF(BD13=Milestones!$AB$64,Milestones!$AC$64,0))</f>
        <v>0</v>
      </c>
      <c r="BE14" s="0" t="n">
        <f aca="false">IF(BE12="",0,IF(BE13=Milestones!$AB$65,Milestones!$AC$65,0))</f>
        <v>0</v>
      </c>
      <c r="BF14" s="0" t="n">
        <f aca="false">IF(BF12="",0,IF(BF13=Milestones!$AB$66,Milestones!$AC$66,0))</f>
        <v>0</v>
      </c>
      <c r="BG14" s="0" t="n">
        <f aca="false">IF(BG12="",0,IF(BG13=Milestones!$AB$67,Milestones!$AC$67,0))</f>
        <v>0</v>
      </c>
      <c r="BH14" s="0" t="n">
        <f aca="false">IF(BH12="",0,IF(BH13=Milestones!$AB$68,Milestones!$AC$68,0))</f>
        <v>0</v>
      </c>
      <c r="BI14" s="0" t="n">
        <f aca="false">IF(BI12="",0,IF(BI13=Milestones!$AB$69,Milestones!$AC$69,0))</f>
        <v>0</v>
      </c>
      <c r="BJ14" s="0" t="n">
        <f aca="false">IF(BJ12="",0,IF(BJ13=Milestones!$AB$70,Milestones!$AC$70,0))</f>
        <v>0</v>
      </c>
      <c r="BK14" s="0" t="n">
        <f aca="false">IF(BK12="",0,IF(BK13=Milestones!$AB$71,Milestones!$AC$71,0))</f>
        <v>0</v>
      </c>
      <c r="BL14" s="0" t="n">
        <f aca="false">IF(BL12="",0,IF(BL13=Milestones!$AB$72,Milestones!$AC$72,0))</f>
        <v>0</v>
      </c>
      <c r="BM14" s="0" t="n">
        <f aca="false">IF(BM12="",0,IF(BM13=Milestones!$AB$73,Milestones!$AC$73,0))</f>
        <v>0</v>
      </c>
      <c r="BN14" s="0" t="n">
        <f aca="false">IF(BN12="",0,IF(BN13=Milestones!$AB$74,Milestones!$AC$74,0))</f>
        <v>0</v>
      </c>
      <c r="BO14" s="0" t="n">
        <f aca="false">IF(BO12="",0,IF(BO13=Milestones!$AB$75,Milestones!$AC$75,0))</f>
        <v>0</v>
      </c>
      <c r="BP14" s="0" t="n">
        <f aca="false">IF(BP12="",0,IF(BP13=Milestones!$AB$76,Milestones!$AC$76,0))</f>
        <v>0</v>
      </c>
      <c r="BQ14" s="0" t="n">
        <f aca="false">IF(BQ12="",0,IF(BQ13=Milestones!$AB$77,Milestones!$AC$77,0))</f>
        <v>0</v>
      </c>
      <c r="BR14" s="0" t="n">
        <f aca="false">IF(BR12="",0,IF(BR13=Milestones!$AB$78,Milestones!$AC$78,0))</f>
        <v>0</v>
      </c>
      <c r="BS14" s="0" t="n">
        <f aca="false">IF(BS12="",0,IF(BS13=Milestones!$AB$79,Milestones!$AC$79,0))</f>
        <v>0</v>
      </c>
      <c r="BT14" s="0" t="n">
        <f aca="false">IF(BT12="",0,IF(BT13=Milestones!$AB$80,Milestones!$AC$80,0))</f>
        <v>0</v>
      </c>
      <c r="BU14" s="0" t="n">
        <f aca="false">IF(BU12="",0,IF(BU13=Milestones!$AB$81,Milestones!$AC$81,0))</f>
        <v>0</v>
      </c>
      <c r="BV14" s="0" t="n">
        <f aca="false">IF(BV12="",0,IF(BV13=Milestones!$AB$82,Milestones!$AC$82,0))</f>
        <v>0</v>
      </c>
      <c r="BW14" s="0" t="n">
        <f aca="false">IF(BW12="",0,IF(BW13=Milestones!$AB$83,Milestones!$AC$83,0))</f>
        <v>0</v>
      </c>
      <c r="BX14" s="0" t="n">
        <f aca="false">IF(BX12="",0,IF(BX13=Milestones!$AB$84,Milestones!$AC$84,0))</f>
        <v>0</v>
      </c>
      <c r="BY14" s="0" t="n">
        <f aca="false">IF(BY12="",0,IF(BY13=Milestones!$AB$85,Milestones!$AC$85,0))</f>
        <v>0</v>
      </c>
      <c r="BZ14" s="0" t="n">
        <f aca="false">IF(BZ12="",0,IF(BZ13=Milestones!$AB$86,Milestones!$AC$86,0))</f>
        <v>0</v>
      </c>
      <c r="CA14" s="0" t="n">
        <f aca="false">IF(CA12="",0,IF(CA13=Milestones!$AB$87,Milestones!$AC$87,0))</f>
        <v>0</v>
      </c>
      <c r="CB14" s="0" t="n">
        <f aca="false">IF(CB12="",0,IF(CB13=Milestones!$AB$88,Milestones!$AC$88,0))</f>
        <v>0</v>
      </c>
      <c r="CC14" s="0" t="n">
        <f aca="false">IF(CC12="",0,IF(CC13=Milestones!$AB$89,Milestones!$AC$89,0))</f>
        <v>0</v>
      </c>
      <c r="CD14" s="0" t="n">
        <f aca="false">IF(CD12="",0,IF(CD13=Milestones!$AB$90,Milestones!$AC$90,0))</f>
        <v>0</v>
      </c>
      <c r="CE14" s="0" t="n">
        <f aca="false">IF(CE12="",0,IF(CE13=Milestones!$AB$91,Milestones!$AC$91,0))</f>
        <v>0</v>
      </c>
      <c r="CF14" s="0" t="n">
        <f aca="false">IF(CF12="",0,IF(CF13=Milestones!$AB$92,Milestones!$AC$92,0))</f>
        <v>0</v>
      </c>
      <c r="CG14" s="0" t="n">
        <f aca="false">IF(CG12="",0,IF(CG13=Milestones!$AB$93,Milestones!$AC$93,0))</f>
        <v>0</v>
      </c>
      <c r="CH14" s="0" t="n">
        <f aca="false">IF(CH12="",0,IF(CH13=Milestones!$AB$94,Milestones!$AC$94,0))</f>
        <v>0</v>
      </c>
      <c r="CI14" s="0" t="n">
        <f aca="false">IF(CI12="",0,IF(CI13=Milestones!$AB$95,Milestones!$AC$95,0))</f>
        <v>0</v>
      </c>
      <c r="CJ14" s="0" t="n">
        <f aca="false">IF(CJ12="",0,IF(CJ13=Milestones!$AB$96,Milestones!$AC$96,0))</f>
        <v>0</v>
      </c>
      <c r="CK14" s="0" t="n">
        <f aca="false">IF(CK12="",0,IF(CK13=Milestones!$AB$97,Milestones!$AC$97,0))</f>
        <v>0</v>
      </c>
      <c r="CL14" s="0" t="n">
        <f aca="false">IF(CL12="",0,IF(CL13=Milestones!$AB$98,Milestones!$AC$98,0))</f>
        <v>0</v>
      </c>
      <c r="CM14" s="0" t="n">
        <f aca="false">IF(CM12="",0,IF(CM13=Milestones!$AB$99,Milestones!$AC$99,0))</f>
        <v>0</v>
      </c>
      <c r="CN14" s="0" t="n">
        <f aca="false">IF(CN12="",0,IF(CN13=Milestones!$AB$100,Milestones!$AC$100,0))</f>
        <v>0</v>
      </c>
      <c r="CO14" s="0" t="n">
        <f aca="false">IF(CO12="",0,IF(CO13=Milestones!$AB$101,Milestones!$AC$101,0))</f>
        <v>0</v>
      </c>
      <c r="CP14" s="0" t="n">
        <f aca="false">IF(CP12="",0,IF(CP13=Milestones!$AB$102,Milestones!$AC$102,0))</f>
        <v>0</v>
      </c>
      <c r="CQ14" s="0" t="n">
        <f aca="false">IF(CQ12="",0,IF(CQ13=Milestones!$AB$103,Milestones!$AC$103,0))</f>
        <v>0</v>
      </c>
      <c r="CR14" s="0" t="n">
        <f aca="false">IF(CR12="",0,IF(CR13=Milestones!$AB$104,Milestones!$AC$104,0))</f>
        <v>0</v>
      </c>
      <c r="CS14" s="0" t="n">
        <f aca="false">IF(CS12="",0,IF(CS13=Milestones!$AB$105,Milestones!$AC$105,0))</f>
        <v>0</v>
      </c>
      <c r="CT14" s="0" t="n">
        <f aca="false">IF(CT12="",0,IF(CT13=Milestones!$AB$106,Milestones!$AC$106,0))</f>
        <v>0</v>
      </c>
      <c r="CU14" s="0" t="n">
        <f aca="false">IF(CU12="",0,IF(CU13=Milestones!$AB$107,Milestones!$AC$107,0))</f>
        <v>0</v>
      </c>
      <c r="CV14" s="0" t="n">
        <f aca="false">IF(CV12="",0,IF(CV13=Milestones!$AB$108,Milestones!$AC$108,0))</f>
        <v>0</v>
      </c>
      <c r="CW14" s="0" t="n">
        <f aca="false">IF(CW12="",0,IF(CW13=Milestones!$AB$109,Milestones!$AC$109,0))</f>
        <v>0</v>
      </c>
      <c r="CX14" s="0" t="n">
        <f aca="false">IF(CX12="",0,IF(CX13=Milestones!$AB$110,Milestones!$AC$110,0))</f>
        <v>0</v>
      </c>
      <c r="CY14" s="0" t="n">
        <f aca="false">IF(CY12="",0,IF(CY13=Milestones!$AB$111,Milestones!$AC$111,0))</f>
        <v>0</v>
      </c>
      <c r="CZ14" s="0" t="n">
        <f aca="false">IF(CZ12="",0,IF(CZ13=Milestones!$AB$112,Milestones!$AC$112,0))</f>
        <v>0</v>
      </c>
      <c r="DA14" s="0" t="n">
        <f aca="false">IF(DA12="",0,IF(DA13=Milestones!$AB$113,Milestones!$AC$113,0))</f>
        <v>0</v>
      </c>
      <c r="DB14" s="0" t="n">
        <f aca="false">IF(DB12="",0,IF(DB13=Milestones!$AB$114,Milestones!$AC$114,0))</f>
        <v>0</v>
      </c>
      <c r="DC14" s="0" t="n">
        <f aca="false">IF(DC12="",0,IF(DC13=Milestones!$AB$115,Milestones!$AC$115,0))</f>
        <v>0</v>
      </c>
      <c r="DD14" s="0" t="n">
        <f aca="false">IF(DD12="",0,IF(DD13=Milestones!$AB$116,Milestones!$AC$116,0))</f>
        <v>0</v>
      </c>
      <c r="DE14" s="0" t="n">
        <f aca="false">IF(DE12="",0,IF(DE13=Milestones!$AB$117,Milestones!$AC$117,0))</f>
        <v>0</v>
      </c>
      <c r="DF14" s="0" t="n">
        <f aca="false">IF(DF12="",0,IF(DF13=Milestones!$AB$118,Milestones!$AC$118,0))</f>
        <v>0</v>
      </c>
      <c r="DG14" s="0" t="n">
        <f aca="false">IF(DG12="",0,IF(DG13=Milestones!$AB$119,Milestones!$AC$119,0))</f>
        <v>0</v>
      </c>
      <c r="DH14" s="0" t="n">
        <f aca="false">IF(DH12="",0,IF(DH13=Milestones!$AB$120,Milestones!$AC$120,0))</f>
        <v>0</v>
      </c>
      <c r="DI14" s="0" t="n">
        <f aca="false">IF(DI12="",0,IF(DI13=Milestones!$AB$121,Milestones!$AC$121,0))</f>
        <v>0</v>
      </c>
      <c r="DJ14" s="0" t="n">
        <f aca="false">IF(DJ12="",0,IF(DJ13=Milestones!$AB$122,Milestones!$AC$122,0))</f>
        <v>0</v>
      </c>
      <c r="DK14" s="0" t="n">
        <f aca="false">IF(DK12="",0,IF(DK13=Milestones!$AB$123,Milestones!$AC$123,0))</f>
        <v>0</v>
      </c>
      <c r="DL14" s="0" t="n">
        <f aca="false">IF(DL12="",0,IF(DL13=Milestones!$AB$124,Milestones!$AC$124,0))</f>
        <v>0</v>
      </c>
      <c r="DM14" s="0" t="n">
        <f aca="false">IF(DM12="",0,IF(DM13=Milestones!$AB$125,Milestones!$AC$125,0))</f>
        <v>0</v>
      </c>
      <c r="DN14" s="0" t="n">
        <f aca="false">IF(DN12="",0,IF(DN13=Milestones!$AB$126,Milestones!$AC$126,0))</f>
        <v>0</v>
      </c>
      <c r="DO14" s="0" t="n">
        <f aca="false">IF(DO12="",0,IF(DO13=Milestones!$AB$127,Milestones!$AC$127,0))</f>
        <v>0</v>
      </c>
      <c r="DP14" s="0" t="n">
        <f aca="false">IF(DP12="",0,IF(DP13=Milestones!$AB$128,Milestones!$AC$128,0))</f>
        <v>0</v>
      </c>
      <c r="DQ14" s="0" t="n">
        <f aca="false">IF(DQ12="",0,IF(DQ13=Milestones!$AB$129,Milestones!$AC$129,0))</f>
        <v>0</v>
      </c>
      <c r="DR14" s="0" t="n">
        <f aca="false">IF(DR12="",0,IF(DR13=Milestones!$AB$130,Milestones!$AC$130,0))</f>
        <v>0</v>
      </c>
      <c r="DS14" s="0" t="n">
        <f aca="false">IF(DS12="",0,IF(DS13=Milestones!$AB$131,Milestones!$AC$131,0))</f>
        <v>0</v>
      </c>
      <c r="DT14" s="0" t="n">
        <f aca="false">IF(DT12="",0,IF(DT13=Milestones!$AB$132,Milestones!$AC$132,0))</f>
        <v>0</v>
      </c>
      <c r="DU14" s="0" t="n">
        <f aca="false">IF(DU12="",0,IF(DU13=Milestones!$AB$133,Milestones!$AC$133,0))</f>
        <v>0</v>
      </c>
      <c r="DV14" s="0" t="n">
        <f aca="false">IF(DV12="",0,IF(DV13=Milestones!$AB$134,Milestones!$AC$134,0))</f>
        <v>0</v>
      </c>
      <c r="DW14" s="0" t="n">
        <f aca="false">IF(DW12="",0,IF(DW13=Milestones!$AB$135,Milestones!$AC$135,0))</f>
        <v>0</v>
      </c>
      <c r="DX14" s="0" t="n">
        <f aca="false">IF(DX12="",0,IF(DX13=Milestones!$AB$136,Milestones!$AC$136,0))</f>
        <v>0</v>
      </c>
      <c r="DY14" s="0" t="n">
        <f aca="false">IF(DY12="",0,IF(DY13=Milestones!$AB$137,Milestones!$AC$137,0))</f>
        <v>0</v>
      </c>
      <c r="DZ14" s="0" t="n">
        <f aca="false">IF(DZ12="",0,IF(DZ13=Milestones!$AB$138,Milestones!$AC$138,0))</f>
        <v>0</v>
      </c>
      <c r="EA14" s="0" t="n">
        <f aca="false">IF(EA12="",0,IF(EA13=Milestones!$AB$139,Milestones!$AC$139,0))</f>
        <v>0</v>
      </c>
      <c r="EB14" s="0" t="n">
        <f aca="false">IF(EB12="",0,IF(EB13=Milestones!$AB$140,Milestones!$AC$140,0))</f>
        <v>0</v>
      </c>
      <c r="EC14" s="0" t="n">
        <f aca="false">IF(EC12="",0,IF(EC13=Milestones!$AB$141,Milestones!$AC$141,0))</f>
        <v>0</v>
      </c>
      <c r="ED14" s="0" t="n">
        <f aca="false">IF(ED12="",0,IF(ED13=Milestones!$AB$142,Milestones!$AC$142,0))</f>
        <v>0</v>
      </c>
      <c r="EE14" s="0" t="n">
        <f aca="false">IF(EE12="",0,IF(EE13=Milestones!$AB$143,Milestones!$AC$143,0))</f>
        <v>0</v>
      </c>
      <c r="EF14" s="0" t="n">
        <f aca="false">IF(EF12="",0,IF(EF13=Milestones!$AB$144,Milestones!$AC$144,0))</f>
        <v>0</v>
      </c>
      <c r="EG14" s="0" t="n">
        <f aca="false">IF(EG12="",0,IF(EG13=Milestones!$AB$145,Milestones!$AC$145,0))</f>
        <v>0</v>
      </c>
      <c r="EH14" s="0" t="n">
        <f aca="false">IF(EH12="",0,IF(EH13=Milestones!$AB$146,Milestones!$AC$146,0))</f>
        <v>0</v>
      </c>
      <c r="EI14" s="0" t="n">
        <f aca="false">IF(EI12="",0,IF(EI13=Milestones!$AB$147,Milestones!$AC$147,0))</f>
        <v>0</v>
      </c>
      <c r="EJ14" s="0" t="n">
        <f aca="false">IF(EJ12="",0,IF(EJ13=Milestones!$AB$148,Milestones!$AC$148,0))</f>
        <v>0</v>
      </c>
      <c r="EK14" s="0" t="n">
        <f aca="false">IF(EK12="",0,IF(EK13=Milestones!$AB$149,Milestones!$AC$149,0))</f>
        <v>0</v>
      </c>
      <c r="EL14" s="0" t="n">
        <f aca="false">IF(EL12="",0,IF(EL13=Milestones!$AB$150,Milestones!$AC$150,0))</f>
        <v>0</v>
      </c>
      <c r="EM14" s="0" t="n">
        <f aca="false">IF(EM12="",0,IF(EM13=Milestones!$AB$151,Milestones!$AC$151,0))</f>
        <v>0</v>
      </c>
      <c r="EN14" s="0" t="n">
        <f aca="false">IF(EN12="",0,IF(EN13=Milestones!$AB$152,Milestones!$AC$152,0))</f>
        <v>0</v>
      </c>
      <c r="EO14" s="0" t="n">
        <f aca="false">IF(EO12="",0,IF(EO13=Milestones!$AB$153,Milestones!$AC$153,0))</f>
        <v>0</v>
      </c>
      <c r="EP14" s="0" t="n">
        <f aca="false">IF(EP12="",0,IF(EP13=Milestones!$AB$154,Milestones!$AC$154,0))</f>
        <v>0</v>
      </c>
      <c r="EQ14" s="0" t="n">
        <f aca="false">IF(EQ12="",0,IF(EQ13=Milestones!$AB$155,Milestones!$AC$155,0))</f>
        <v>0</v>
      </c>
      <c r="ER14" s="0" t="n">
        <f aca="false">IF(ER12="",0,IF(ER13=Milestones!$AB$156,Milestones!$AC$156,0))</f>
        <v>0</v>
      </c>
      <c r="ES14" s="0" t="n">
        <f aca="false">IF(ES12="",0,IF(ES13=Milestones!$AB$157,Milestones!$AC$157,0))</f>
        <v>0</v>
      </c>
      <c r="ET14" s="0" t="n">
        <f aca="false">IF(ET12="",0,IF(ET13=Milestones!$AB$158,Milestones!$AC$158,0))</f>
        <v>0</v>
      </c>
      <c r="EU14" s="0" t="n">
        <f aca="false">IF(EU12="",0,IF(EU13=Milestones!$AB$159,Milestones!$AC$159,0))</f>
        <v>0</v>
      </c>
      <c r="EV14" s="0" t="n">
        <f aca="false">IF(EV12="",0,IF(EV13=Milestones!$AB$160,Milestones!$AC$160,0))</f>
        <v>0</v>
      </c>
      <c r="EW14" s="0" t="n">
        <f aca="false">IF(EW12="",0,IF(EW13=Milestones!$AB$161,Milestones!$AC$161,0))</f>
        <v>0</v>
      </c>
      <c r="EX14" s="0" t="n">
        <f aca="false">IF(EX12="",0,IF(EX13=Milestones!$AB$162,Milestones!$AC$162,0))</f>
        <v>0</v>
      </c>
      <c r="EY14" s="0" t="n">
        <f aca="false">IF(EY12="",0,IF(EY13=Milestones!$AB$163,Milestones!$AC$163,0))</f>
        <v>0</v>
      </c>
      <c r="EZ14" s="0" t="n">
        <f aca="false">IF(EZ12="",0,IF(EZ13=Milestones!$AB$164,Milestones!$AC$164,0))</f>
        <v>0</v>
      </c>
      <c r="FA14" s="0" t="n">
        <f aca="false">IF(FA12="",0,IF(FA13=Milestones!$AB$165,Milestones!$AC$165,0))</f>
        <v>0</v>
      </c>
      <c r="FB14" s="0" t="n">
        <f aca="false">IF(FB12="",0,IF(FB13=Milestones!$AB$166,Milestones!$AC$166,0))</f>
        <v>0</v>
      </c>
      <c r="FC14" s="0" t="n">
        <f aca="false">IF(FC12="",0,IF(FC13=Milestones!$AB$167,Milestones!$AC$167,0))</f>
        <v>0</v>
      </c>
      <c r="FD14" s="0" t="n">
        <f aca="false">IF(FD12="",0,IF(FD13=Milestones!$AB$168,Milestones!$AC$168,0))</f>
        <v>0</v>
      </c>
      <c r="FE14" s="0" t="n">
        <f aca="false">IF(FE12="",0,IF(FE13=Milestones!$AB$169,Milestones!$AC$169,0))</f>
        <v>0</v>
      </c>
      <c r="FF14" s="0" t="n">
        <f aca="false">IF(FF12="",0,IF(FF13=Milestones!$AB$170,Milestones!$AC$170,0))</f>
        <v>0</v>
      </c>
      <c r="FG14" s="0" t="n">
        <f aca="false">IF(FG12="",0,IF(FG13=Milestones!$AB$171,Milestones!$AC$171,0))</f>
        <v>0</v>
      </c>
      <c r="FH14" s="0" t="n">
        <f aca="false">IF(FH12="",0,IF(FH13=Milestones!$AB$172,Milestones!$AC$172,0))</f>
        <v>0</v>
      </c>
      <c r="FI14" s="0" t="n">
        <f aca="false">IF(FI12="",0,IF(FI13=Milestones!$AB$173,Milestones!$AC$173,0))</f>
        <v>0</v>
      </c>
      <c r="FJ14" s="0" t="n">
        <f aca="false">IF(FJ12="",0,IF(FJ13=Milestones!$AB$174,Milestones!$AC$174,0))</f>
        <v>0</v>
      </c>
      <c r="FK14" s="0" t="n">
        <f aca="false">IF(FK12="",0,IF(FK13=Milestones!$AB$175,Milestones!$AC$175,0))</f>
        <v>0</v>
      </c>
      <c r="FL14" s="0" t="n">
        <f aca="false">IF(FL12="",0,IF(FL13=Milestones!$AB$176,Milestones!$AC$176,0))</f>
        <v>0</v>
      </c>
      <c r="FM14" s="0" t="n">
        <f aca="false">IF(FM12="",0,IF(FM13=Milestones!$AB$177,Milestones!$AC$177,0))</f>
        <v>0</v>
      </c>
      <c r="FN14" s="0" t="n">
        <f aca="false">IF(FN12="",0,IF(FN13=Milestones!$AB$178,Milestones!$AC$178,0))</f>
        <v>0</v>
      </c>
      <c r="FO14" s="0" t="n">
        <f aca="false">IF(FO12="",0,IF(FO13=Milestones!$AB$179,Milestones!$AC$179,0))</f>
        <v>0</v>
      </c>
      <c r="FP14" s="0" t="n">
        <f aca="false">IF(FP12="",0,IF(FP13=Milestones!$AB$180,Milestones!$AC$180,0))</f>
        <v>0</v>
      </c>
      <c r="FQ14" s="0" t="n">
        <f aca="false">IF(FQ12="",0,IF(FQ13=Milestones!$AB$181,Milestones!$AC$181,0))</f>
        <v>0</v>
      </c>
      <c r="FR14" s="0" t="n">
        <f aca="false">IF(FR12="",0,IF(FR13=Milestones!$AB$182,Milestones!$AC$182,0))</f>
        <v>0</v>
      </c>
      <c r="FS14" s="0" t="n">
        <f aca="false">IF(FS12="",0,IF(FS13=Milestones!$AB$183,Milestones!$AC$183,0))</f>
        <v>0</v>
      </c>
      <c r="FT14" s="0" t="n">
        <f aca="false">IF(FT12="",0,IF(FT13=Milestones!$AB$184,Milestones!$AC$184,0))</f>
        <v>0</v>
      </c>
      <c r="FU14" s="0" t="n">
        <f aca="false">IF(FU12="",0,IF(FU13=Milestones!$AB$185,Milestones!$AC$185,0))</f>
        <v>0</v>
      </c>
      <c r="FV14" s="0" t="n">
        <f aca="false">IF(FV12="",0,IF(FV13=Milestones!$AB$186,Milestones!$AC$186,0))</f>
        <v>0</v>
      </c>
      <c r="FW14" s="0" t="n">
        <f aca="false">IF(FW12="",0,IF(FW13=Milestones!$AB$187,Milestones!$AC$187,0))</f>
        <v>0</v>
      </c>
      <c r="FX14" s="0" t="n">
        <f aca="false">IF(FX12="",0,IF(FX13=Milestones!$AB$188,Milestones!$AC$188,0))</f>
        <v>0</v>
      </c>
      <c r="FY14" s="0" t="n">
        <f aca="false">IF(FY12="",0,IF(FY13=Milestones!$AB$189,Milestones!$AC$189,0))</f>
        <v>0</v>
      </c>
      <c r="FZ14" s="0" t="n">
        <f aca="false">IF(FZ12="",0,IF(FZ13=Milestones!$AB$190,Milestones!$AC$190,0))</f>
        <v>0</v>
      </c>
      <c r="GA14" s="0" t="n">
        <f aca="false">IF(GA12="",0,IF(GA13=Milestones!$AB$191,Milestones!$AC$191,0))</f>
        <v>0</v>
      </c>
      <c r="GB14" s="0" t="n">
        <f aca="false">IF(GB12="",0,IF(GB13=Milestones!$AB$192,Milestones!$AC$192,0))</f>
        <v>0</v>
      </c>
      <c r="GC14" s="0" t="n">
        <f aca="false">IF(GC12="",0,IF(GC13=Milestones!$AB$193,Milestones!$AC$193,0))</f>
        <v>0</v>
      </c>
      <c r="GD14" s="0" t="n">
        <f aca="false">IF(GD12="",0,IF(GD13=Milestones!$AB$194,Milestones!$AC$194,0))</f>
        <v>0</v>
      </c>
      <c r="GE14" s="0" t="n">
        <f aca="false">IF(GE12="",0,IF(GE13=Milestones!$AB$195,Milestones!$AC$195,0))</f>
        <v>0</v>
      </c>
      <c r="GF14" s="0" t="n">
        <f aca="false">IF(GF12="",0,IF(GF13=Milestones!$AB$196,Milestones!$AC$196,0))</f>
        <v>0</v>
      </c>
      <c r="GG14" s="0" t="n">
        <f aca="false">IF(GG12="",0,IF(GG13=Milestones!$AB$197,Milestones!$AC$197,0))</f>
        <v>0</v>
      </c>
      <c r="GH14" s="0" t="n">
        <f aca="false">IF(GH12="",0,IF(GH13=Milestones!$AB$198,Milestones!$AC$198,0))</f>
        <v>0</v>
      </c>
      <c r="GI14" s="0" t="n">
        <f aca="false">IF(GI12="",0,IF(GI13=Milestones!$AB$199,Milestones!$AC$199,0))</f>
        <v>0</v>
      </c>
    </row>
    <row r="15" customFormat="false" ht="15" hidden="false" customHeight="false" outlineLevel="0" collapsed="false">
      <c r="A15" s="0" t="str">
        <f aca="false">IF('HR Tally Check'!F$7="","",'HR Tally Check'!F$7)</f>
        <v/>
      </c>
      <c r="B15" s="0" t="str">
        <f aca="false">IF(A15="","",ISNUMBER(MATCH(A15,Staff!$BJ$5:$BJ$154,0)))</f>
        <v/>
      </c>
      <c r="C15" s="18" t="str">
        <f aca="false">IF(B15&lt;&gt;TRUE(),"",INDEX(Staff!$AH$5:$AH$154,MATCH($A15,Staff!$BJ$5:$BJ$154,0)))</f>
        <v/>
      </c>
      <c r="D15" s="0" t="str">
        <f aca="false">IF(B15&lt;&gt;TRUE(),"",INDEX(Staff!$AI$5:$AI$154,MATCH($A15,Staff!$BJ$5:$BJ$154,0)))</f>
        <v/>
      </c>
      <c r="E15" s="18" t="str">
        <f aca="false">IF(B15&lt;&gt;TRUE(),"",INDEX(Staff!$AK$5:$AK$154,MATCH($A15,Staff!$BJ$5:$BJ$154,0)))</f>
        <v/>
      </c>
      <c r="F15" s="18" t="str">
        <f aca="false">IF(B15&lt;&gt;TRUE(),"",INDEX(Staff!$AL$5:$AL$154,MATCH($A15,Staff!$BJ$5:$BJ$154,0)))</f>
        <v/>
      </c>
      <c r="G15" s="0" t="str">
        <f aca="false">IF(B15&lt;&gt;TRUE(),"",INDEX(Staff!$AP$5:$AP$154,MATCH($A15,Staff!$BJ$5:$BJ$154,0)))</f>
        <v/>
      </c>
      <c r="H15" s="0" t="str">
        <f aca="false">IF(B15&lt;&gt;TRUE(),"",INDEX(Staff!$AQ$5:$AQ$154,MATCH($A15,Staff!$BJ$5:$BJ$154,0)))</f>
        <v/>
      </c>
      <c r="I15" s="0" t="str">
        <f aca="false">IF(B15&lt;&gt;TRUE(),"",INDEX(Staff!$AR$5:$AR$154,MATCH($A15,Staff!$BJ$5:$BJ$154,0)))</f>
        <v/>
      </c>
      <c r="J15" s="0" t="str">
        <f aca="false">IF(B15&lt;&gt;TRUE(),"",INDEX(Staff!$AS$5:$AS$154,MATCH($A15,Staff!$BJ$5:$BJ$154,0)))</f>
        <v/>
      </c>
      <c r="K15" s="31" t="s">
        <v>228</v>
      </c>
      <c r="L15" s="18" t="str">
        <f aca="false">IF($C15="","",EDATE($C15,Milestones!$AA$20))</f>
        <v/>
      </c>
      <c r="M15" s="18" t="str">
        <f aca="false">IF($C15="","",EDATE($C15,Milestones!$AA$21))</f>
        <v/>
      </c>
      <c r="N15" s="18" t="str">
        <f aca="false">IF($C15="","",EDATE($C15,Milestones!$AA$22))</f>
        <v/>
      </c>
      <c r="O15" s="18" t="str">
        <f aca="false">IF($C15="","",EDATE($C15,Milestones!$AA$23))</f>
        <v/>
      </c>
      <c r="P15" s="18" t="str">
        <f aca="false">IF($C15="","",EDATE($C15,Milestones!$AA$24))</f>
        <v/>
      </c>
      <c r="Q15" s="18" t="str">
        <f aca="false">IF($C15="","",EDATE($C15,Milestones!$AA$25))</f>
        <v/>
      </c>
      <c r="R15" s="18" t="str">
        <f aca="false">IF($C15="","",EDATE($C15,Milestones!$AA$26))</f>
        <v/>
      </c>
      <c r="S15" s="18" t="str">
        <f aca="false">IF($C15="","",EDATE($C15,Milestones!$AA$27))</f>
        <v/>
      </c>
      <c r="T15" s="18" t="str">
        <f aca="false">IF($C15="","",EDATE($C15,Milestones!$AA$28))</f>
        <v/>
      </c>
      <c r="U15" s="18" t="str">
        <f aca="false">IF($C15="","",EDATE($C15,Milestones!$AA$29))</f>
        <v/>
      </c>
      <c r="V15" s="18" t="str">
        <f aca="false">IF($C15="","",EDATE($C15,Milestones!$AA$30))</f>
        <v/>
      </c>
      <c r="W15" s="18" t="str">
        <f aca="false">IF($C15="","",EDATE($C15,Milestones!$AA$31))</f>
        <v/>
      </c>
      <c r="X15" s="18" t="str">
        <f aca="false">IF($C15="","",EDATE($C15,Milestones!$AA$32))</f>
        <v/>
      </c>
      <c r="Y15" s="18" t="str">
        <f aca="false">IF($C15="","",EDATE($C15,Milestones!$AA$33))</f>
        <v/>
      </c>
      <c r="Z15" s="18" t="str">
        <f aca="false">IF($C15="","",EDATE($C15,Milestones!$AA$34))</f>
        <v/>
      </c>
      <c r="AA15" s="18" t="str">
        <f aca="false">IF($C15="","",EDATE($C15,Milestones!$AA$35))</f>
        <v/>
      </c>
      <c r="AB15" s="18" t="str">
        <f aca="false">IF($C15="","",EDATE($C15,Milestones!$AA$36))</f>
        <v/>
      </c>
      <c r="AC15" s="18" t="str">
        <f aca="false">IF($C15="","",EDATE($C15,Milestones!$AA$37))</f>
        <v/>
      </c>
      <c r="AD15" s="18" t="str">
        <f aca="false">IF($C15="","",EDATE($C15,Milestones!$AA$38))</f>
        <v/>
      </c>
      <c r="AE15" s="18" t="str">
        <f aca="false">IF($C15="","",EDATE($C15,Milestones!$AA$39))</f>
        <v/>
      </c>
      <c r="AF15" s="18" t="str">
        <f aca="false">IF($C15="","",EDATE($C15,Milestones!$AA$40))</f>
        <v/>
      </c>
      <c r="AG15" s="18" t="str">
        <f aca="false">IF($C15="","",EDATE($C15,Milestones!$AA$41))</f>
        <v/>
      </c>
      <c r="AH15" s="18" t="str">
        <f aca="false">IF($C15="","",EDATE($C15,Milestones!$AA$42))</f>
        <v/>
      </c>
      <c r="AI15" s="18" t="str">
        <f aca="false">IF($C15="","",EDATE($C15,Milestones!$AA$43))</f>
        <v/>
      </c>
      <c r="AJ15" s="18" t="str">
        <f aca="false">IF($C15="","",EDATE($C15,Milestones!$AA$44))</f>
        <v/>
      </c>
      <c r="AK15" s="18" t="str">
        <f aca="false">IF($C15="","",EDATE($C15,Milestones!$AA$45))</f>
        <v/>
      </c>
      <c r="AL15" s="18" t="str">
        <f aca="false">IF($C15="","",EDATE($C15,Milestones!$AA$46))</f>
        <v/>
      </c>
      <c r="AM15" s="18" t="str">
        <f aca="false">IF($C15="","",EDATE($C15,Milestones!$AA$47))</f>
        <v/>
      </c>
      <c r="AN15" s="18" t="str">
        <f aca="false">IF($C15="","",EDATE($C15,Milestones!$AA$48))</f>
        <v/>
      </c>
      <c r="AO15" s="18" t="str">
        <f aca="false">IF($C15="","",EDATE($C15,Milestones!$AA$49))</f>
        <v/>
      </c>
      <c r="AP15" s="18" t="str">
        <f aca="false">IF($C15="","",EDATE($C15,Milestones!$AA$50))</f>
        <v/>
      </c>
      <c r="AQ15" s="18" t="str">
        <f aca="false">IF($C15="","",EDATE($C15,Milestones!$AA$51))</f>
        <v/>
      </c>
      <c r="AR15" s="18" t="str">
        <f aca="false">IF($C15="","",EDATE($C15,Milestones!$AA$52))</f>
        <v/>
      </c>
      <c r="AS15" s="18" t="str">
        <f aca="false">IF($C15="","",EDATE($C15,Milestones!$AA$53))</f>
        <v/>
      </c>
      <c r="AT15" s="18" t="str">
        <f aca="false">IF($C15="","",EDATE($C15,Milestones!$AA$54))</f>
        <v/>
      </c>
      <c r="AU15" s="18" t="str">
        <f aca="false">IF($C15="","",EDATE($C15,Milestones!$AA$55))</f>
        <v/>
      </c>
      <c r="AV15" s="18" t="str">
        <f aca="false">IF($C15="","",EDATE($C15,Milestones!$AA$56))</f>
        <v/>
      </c>
      <c r="AW15" s="18" t="str">
        <f aca="false">IF($C15="","",EDATE($C15,Milestones!$AA$57))</f>
        <v/>
      </c>
      <c r="AX15" s="18" t="str">
        <f aca="false">IF($C15="","",EDATE($C15,Milestones!$AA$58))</f>
        <v/>
      </c>
      <c r="AY15" s="18" t="str">
        <f aca="false">IF($C15="","",EDATE($C15,Milestones!$AA$59))</f>
        <v/>
      </c>
      <c r="AZ15" s="18" t="str">
        <f aca="false">IF($C15="","",EDATE($C15,Milestones!$AA$60))</f>
        <v/>
      </c>
      <c r="BA15" s="18" t="str">
        <f aca="false">IF($C15="","",EDATE($C15,Milestones!$AA$61))</f>
        <v/>
      </c>
      <c r="BB15" s="18" t="str">
        <f aca="false">IF($C15="","",EDATE($C15,Milestones!$AA$62))</f>
        <v/>
      </c>
      <c r="BC15" s="18" t="str">
        <f aca="false">IF($C15="","",EDATE($C15,Milestones!$AA$63))</f>
        <v/>
      </c>
      <c r="BD15" s="18" t="str">
        <f aca="false">IF($C15="","",EDATE($C15,Milestones!$AA$64))</f>
        <v/>
      </c>
      <c r="BE15" s="18" t="str">
        <f aca="false">IF($C15="","",EDATE($C15,Milestones!$AA$65))</f>
        <v/>
      </c>
      <c r="BF15" s="18" t="str">
        <f aca="false">IF($C15="","",EDATE($C15,Milestones!$AA$66))</f>
        <v/>
      </c>
      <c r="BG15" s="18" t="str">
        <f aca="false">IF($C15="","",EDATE($C15,Milestones!$AA$67))</f>
        <v/>
      </c>
      <c r="BH15" s="18" t="str">
        <f aca="false">IF($C15="","",EDATE($C15,Milestones!$AA$68))</f>
        <v/>
      </c>
      <c r="BI15" s="18" t="str">
        <f aca="false">IF($C15="","",EDATE($C15,Milestones!$AA$69))</f>
        <v/>
      </c>
      <c r="BJ15" s="18" t="str">
        <f aca="false">IF($C15="","",EDATE($C15,Milestones!$AA$70))</f>
        <v/>
      </c>
      <c r="BK15" s="18" t="str">
        <f aca="false">IF($C15="","",EDATE($C15,Milestones!$AA$71))</f>
        <v/>
      </c>
      <c r="BL15" s="18" t="str">
        <f aca="false">IF($C15="","",EDATE($C15,Milestones!$AA$72))</f>
        <v/>
      </c>
      <c r="BM15" s="18" t="str">
        <f aca="false">IF($C15="","",EDATE($C15,Milestones!$AA$73))</f>
        <v/>
      </c>
      <c r="BN15" s="18" t="str">
        <f aca="false">IF($C15="","",EDATE($C15,Milestones!$AA$74))</f>
        <v/>
      </c>
      <c r="BO15" s="18" t="str">
        <f aca="false">IF($C15="","",EDATE($C15,Milestones!$AA$75))</f>
        <v/>
      </c>
      <c r="BP15" s="18" t="str">
        <f aca="false">IF($C15="","",EDATE($C15,Milestones!$AA$76))</f>
        <v/>
      </c>
      <c r="BQ15" s="18" t="str">
        <f aca="false">IF($C15="","",EDATE($C15,Milestones!$AA$77))</f>
        <v/>
      </c>
      <c r="BR15" s="18" t="str">
        <f aca="false">IF($C15="","",EDATE($C15,Milestones!$AA$78))</f>
        <v/>
      </c>
      <c r="BS15" s="18" t="str">
        <f aca="false">IF($C15="","",EDATE($C15,Milestones!$AA$79))</f>
        <v/>
      </c>
      <c r="BT15" s="18" t="str">
        <f aca="false">IF($C15="","",EDATE($C15,Milestones!$AA$80))</f>
        <v/>
      </c>
      <c r="BU15" s="18" t="str">
        <f aca="false">IF($C15="","",EDATE($C15,Milestones!$AA$81))</f>
        <v/>
      </c>
      <c r="BV15" s="18" t="str">
        <f aca="false">IF($C15="","",EDATE($C15,Milestones!$AA$82))</f>
        <v/>
      </c>
      <c r="BW15" s="18" t="str">
        <f aca="false">IF($C15="","",EDATE($C15,Milestones!$AA$83))</f>
        <v/>
      </c>
      <c r="BX15" s="18" t="str">
        <f aca="false">IF($C15="","",EDATE($C15,Milestones!$AA$84))</f>
        <v/>
      </c>
      <c r="BY15" s="18" t="str">
        <f aca="false">IF($C15="","",EDATE($C15,Milestones!$AA$85))</f>
        <v/>
      </c>
      <c r="BZ15" s="18" t="str">
        <f aca="false">IF($C15="","",EDATE($C15,Milestones!$AA$86))</f>
        <v/>
      </c>
      <c r="CA15" s="18" t="str">
        <f aca="false">IF($C15="","",EDATE($C15,Milestones!$AA$87))</f>
        <v/>
      </c>
      <c r="CB15" s="18" t="str">
        <f aca="false">IF($C15="","",EDATE($C15,Milestones!$AA$88))</f>
        <v/>
      </c>
      <c r="CC15" s="18" t="str">
        <f aca="false">IF($C15="","",EDATE($C15,Milestones!$AA$89))</f>
        <v/>
      </c>
      <c r="CD15" s="18" t="str">
        <f aca="false">IF($C15="","",EDATE($C15,Milestones!$AA$90))</f>
        <v/>
      </c>
      <c r="CE15" s="18" t="str">
        <f aca="false">IF($C15="","",EDATE($C15,Milestones!$AA$91))</f>
        <v/>
      </c>
      <c r="CF15" s="18" t="str">
        <f aca="false">IF($C15="","",EDATE($C15,Milestones!$AA$92))</f>
        <v/>
      </c>
      <c r="CG15" s="18" t="str">
        <f aca="false">IF($C15="","",EDATE($C15,Milestones!$AA$93))</f>
        <v/>
      </c>
      <c r="CH15" s="18" t="str">
        <f aca="false">IF($C15="","",EDATE($C15,Milestones!$AA$94))</f>
        <v/>
      </c>
      <c r="CI15" s="18" t="str">
        <f aca="false">IF($C15="","",EDATE($C15,Milestones!$AA$95))</f>
        <v/>
      </c>
      <c r="CJ15" s="18" t="str">
        <f aca="false">IF($C15="","",EDATE($C15,Milestones!$AA$96))</f>
        <v/>
      </c>
      <c r="CK15" s="18" t="str">
        <f aca="false">IF($C15="","",EDATE($C15,Milestones!$AA$97))</f>
        <v/>
      </c>
      <c r="CL15" s="18" t="str">
        <f aca="false">IF($C15="","",EDATE($C15,Milestones!$AA$98))</f>
        <v/>
      </c>
      <c r="CM15" s="18" t="str">
        <f aca="false">IF($C15="","",EDATE($C15,Milestones!$AA$99))</f>
        <v/>
      </c>
      <c r="CN15" s="18" t="str">
        <f aca="false">IF($C15="","",EDATE($C15,Milestones!$AA$100))</f>
        <v/>
      </c>
      <c r="CO15" s="18" t="str">
        <f aca="false">IF($C15="","",EDATE($C15,Milestones!$AA$101))</f>
        <v/>
      </c>
      <c r="CP15" s="18" t="str">
        <f aca="false">IF($C15="","",EDATE($C15,Milestones!$AA$102))</f>
        <v/>
      </c>
      <c r="CQ15" s="18" t="str">
        <f aca="false">IF($C15="","",EDATE($C15,Milestones!$AA$103))</f>
        <v/>
      </c>
      <c r="CR15" s="18" t="str">
        <f aca="false">IF($C15="","",EDATE($C15,Milestones!$AA$104))</f>
        <v/>
      </c>
      <c r="CS15" s="18" t="str">
        <f aca="false">IF($C15="","",EDATE($C15,Milestones!$AA$105))</f>
        <v/>
      </c>
      <c r="CT15" s="18" t="str">
        <f aca="false">IF($C15="","",EDATE($C15,Milestones!$AA$106))</f>
        <v/>
      </c>
      <c r="CU15" s="18" t="str">
        <f aca="false">IF($C15="","",EDATE($C15,Milestones!$AA$107))</f>
        <v/>
      </c>
      <c r="CV15" s="18" t="str">
        <f aca="false">IF($C15="","",EDATE($C15,Milestones!$AA$108))</f>
        <v/>
      </c>
      <c r="CW15" s="18" t="str">
        <f aca="false">IF($C15="","",EDATE($C15,Milestones!$AA$109))</f>
        <v/>
      </c>
      <c r="CX15" s="18" t="str">
        <f aca="false">IF($C15="","",EDATE($C15,Milestones!$AA$110))</f>
        <v/>
      </c>
      <c r="CY15" s="18" t="str">
        <f aca="false">IF($C15="","",EDATE($C15,Milestones!$AA$111))</f>
        <v/>
      </c>
      <c r="CZ15" s="18" t="str">
        <f aca="false">IF($C15="","",EDATE($C15,Milestones!$AA$112))</f>
        <v/>
      </c>
      <c r="DA15" s="18" t="str">
        <f aca="false">IF($C15="","",EDATE($C15,Milestones!$AA$113))</f>
        <v/>
      </c>
      <c r="DB15" s="18" t="str">
        <f aca="false">IF($C15="","",EDATE($C15,Milestones!$AA$114))</f>
        <v/>
      </c>
      <c r="DC15" s="18" t="str">
        <f aca="false">IF($C15="","",EDATE($C15,Milestones!$AA$115))</f>
        <v/>
      </c>
      <c r="DD15" s="18" t="str">
        <f aca="false">IF($C15="","",EDATE($C15,Milestones!$AA$116))</f>
        <v/>
      </c>
      <c r="DE15" s="18" t="str">
        <f aca="false">IF($C15="","",EDATE($C15,Milestones!$AA$117))</f>
        <v/>
      </c>
      <c r="DF15" s="18" t="str">
        <f aca="false">IF($C15="","",EDATE($C15,Milestones!$AA$118))</f>
        <v/>
      </c>
      <c r="DG15" s="18" t="str">
        <f aca="false">IF($C15="","",EDATE($C15,Milestones!$AA$119))</f>
        <v/>
      </c>
      <c r="DH15" s="18" t="str">
        <f aca="false">IF($C15="","",EDATE($C15,Milestones!$AA$120))</f>
        <v/>
      </c>
      <c r="DI15" s="18" t="str">
        <f aca="false">IF($C15="","",EDATE($C15,Milestones!$AA$121))</f>
        <v/>
      </c>
      <c r="DJ15" s="18" t="str">
        <f aca="false">IF($C15="","",EDATE($C15,Milestones!$AA$122))</f>
        <v/>
      </c>
      <c r="DK15" s="18" t="str">
        <f aca="false">IF($C15="","",EDATE($C15,Milestones!$AA$123))</f>
        <v/>
      </c>
      <c r="DL15" s="18" t="str">
        <f aca="false">IF($C15="","",EDATE($C15,Milestones!$AA$124))</f>
        <v/>
      </c>
      <c r="DM15" s="18" t="str">
        <f aca="false">IF($C15="","",EDATE($C15,Milestones!$AA$125))</f>
        <v/>
      </c>
      <c r="DN15" s="18" t="str">
        <f aca="false">IF($C15="","",EDATE($C15,Milestones!$AA$126))</f>
        <v/>
      </c>
      <c r="DO15" s="18" t="str">
        <f aca="false">IF($C15="","",EDATE($C15,Milestones!$AA$127))</f>
        <v/>
      </c>
      <c r="DP15" s="18" t="str">
        <f aca="false">IF($C15="","",EDATE($C15,Milestones!$AA$128))</f>
        <v/>
      </c>
      <c r="DQ15" s="18" t="str">
        <f aca="false">IF($C15="","",EDATE($C15,Milestones!$AA$129))</f>
        <v/>
      </c>
      <c r="DR15" s="18" t="str">
        <f aca="false">IF($C15="","",EDATE($C15,Milestones!$AA$130))</f>
        <v/>
      </c>
      <c r="DS15" s="18" t="str">
        <f aca="false">IF($C15="","",EDATE($C15,Milestones!$AA$131))</f>
        <v/>
      </c>
      <c r="DT15" s="18" t="str">
        <f aca="false">IF($C15="","",EDATE($C15,Milestones!$AA$132))</f>
        <v/>
      </c>
      <c r="DU15" s="18" t="str">
        <f aca="false">IF($C15="","",EDATE($C15,Milestones!$AA$133))</f>
        <v/>
      </c>
      <c r="DV15" s="18" t="str">
        <f aca="false">IF($C15="","",EDATE($C15,Milestones!$AA$134))</f>
        <v/>
      </c>
      <c r="DW15" s="18" t="str">
        <f aca="false">IF($C15="","",EDATE($C15,Milestones!$AA$135))</f>
        <v/>
      </c>
      <c r="DX15" s="18" t="str">
        <f aca="false">IF($C15="","",EDATE($C15,Milestones!$AA$136))</f>
        <v/>
      </c>
      <c r="DY15" s="18" t="str">
        <f aca="false">IF($C15="","",EDATE($C15,Milestones!$AA$137))</f>
        <v/>
      </c>
      <c r="DZ15" s="18" t="str">
        <f aca="false">IF($C15="","",EDATE($C15,Milestones!$AA$138))</f>
        <v/>
      </c>
      <c r="EA15" s="18" t="str">
        <f aca="false">IF($C15="","",EDATE($C15,Milestones!$AA$139))</f>
        <v/>
      </c>
      <c r="EB15" s="18" t="str">
        <f aca="false">IF($C15="","",EDATE($C15,Milestones!$AA$140))</f>
        <v/>
      </c>
      <c r="EC15" s="18" t="str">
        <f aca="false">IF($C15="","",EDATE($C15,Milestones!$AA$141))</f>
        <v/>
      </c>
      <c r="ED15" s="18" t="str">
        <f aca="false">IF($C15="","",EDATE($C15,Milestones!$AA$142))</f>
        <v/>
      </c>
      <c r="EE15" s="18" t="str">
        <f aca="false">IF($C15="","",EDATE($C15,Milestones!$AA$143))</f>
        <v/>
      </c>
      <c r="EF15" s="18" t="str">
        <f aca="false">IF($C15="","",EDATE($C15,Milestones!$AA$144))</f>
        <v/>
      </c>
      <c r="EG15" s="18" t="str">
        <f aca="false">IF($C15="","",EDATE($C15,Milestones!$AA$145))</f>
        <v/>
      </c>
      <c r="EH15" s="18" t="str">
        <f aca="false">IF($C15="","",EDATE($C15,Milestones!$AA$146))</f>
        <v/>
      </c>
      <c r="EI15" s="18" t="str">
        <f aca="false">IF($C15="","",EDATE($C15,Milestones!$AA$147))</f>
        <v/>
      </c>
      <c r="EJ15" s="18" t="str">
        <f aca="false">IF($C15="","",EDATE($C15,Milestones!$AA$148))</f>
        <v/>
      </c>
      <c r="EK15" s="18" t="str">
        <f aca="false">IF($C15="","",EDATE($C15,Milestones!$AA$149))</f>
        <v/>
      </c>
      <c r="EL15" s="18" t="str">
        <f aca="false">IF($C15="","",EDATE($C15,Milestones!$AA$150))</f>
        <v/>
      </c>
      <c r="EM15" s="18" t="str">
        <f aca="false">IF($C15="","",EDATE($C15,Milestones!$AA$151))</f>
        <v/>
      </c>
      <c r="EN15" s="18" t="str">
        <f aca="false">IF($C15="","",EDATE($C15,Milestones!$AA$152))</f>
        <v/>
      </c>
      <c r="EO15" s="18" t="str">
        <f aca="false">IF($C15="","",EDATE($C15,Milestones!$AA$153))</f>
        <v/>
      </c>
      <c r="EP15" s="18" t="str">
        <f aca="false">IF($C15="","",EDATE($C15,Milestones!$AA$154))</f>
        <v/>
      </c>
      <c r="EQ15" s="18" t="str">
        <f aca="false">IF($C15="","",EDATE($C15,Milestones!$AA$155))</f>
        <v/>
      </c>
      <c r="ER15" s="18" t="str">
        <f aca="false">IF($C15="","",EDATE($C15,Milestones!$AA$156))</f>
        <v/>
      </c>
      <c r="ES15" s="18" t="str">
        <f aca="false">IF($C15="","",EDATE($C15,Milestones!$AA$157))</f>
        <v/>
      </c>
      <c r="ET15" s="18" t="str">
        <f aca="false">IF($C15="","",EDATE($C15,Milestones!$AA$158))</f>
        <v/>
      </c>
      <c r="EU15" s="18" t="str">
        <f aca="false">IF($C15="","",EDATE($C15,Milestones!$AA$159))</f>
        <v/>
      </c>
      <c r="EV15" s="18" t="str">
        <f aca="false">IF($C15="","",EDATE($C15,Milestones!$AA$160))</f>
        <v/>
      </c>
      <c r="EW15" s="18" t="str">
        <f aca="false">IF($C15="","",EDATE($C15,Milestones!$AA$161))</f>
        <v/>
      </c>
      <c r="EX15" s="18" t="str">
        <f aca="false">IF($C15="","",EDATE($C15,Milestones!$AA$162))</f>
        <v/>
      </c>
      <c r="EY15" s="18" t="str">
        <f aca="false">IF($C15="","",EDATE($C15,Milestones!$AA$163))</f>
        <v/>
      </c>
      <c r="EZ15" s="18" t="str">
        <f aca="false">IF($C15="","",EDATE($C15,Milestones!$AA$164))</f>
        <v/>
      </c>
      <c r="FA15" s="18" t="str">
        <f aca="false">IF($C15="","",EDATE($C15,Milestones!$AA$165))</f>
        <v/>
      </c>
      <c r="FB15" s="18" t="str">
        <f aca="false">IF($C15="","",EDATE($C15,Milestones!$AA$166))</f>
        <v/>
      </c>
      <c r="FC15" s="18" t="str">
        <f aca="false">IF($C15="","",EDATE($C15,Milestones!$AA$167))</f>
        <v/>
      </c>
      <c r="FD15" s="18" t="str">
        <f aca="false">IF($C15="","",EDATE($C15,Milestones!$AA$168))</f>
        <v/>
      </c>
      <c r="FE15" s="18" t="str">
        <f aca="false">IF($C15="","",EDATE($C15,Milestones!$AA$169))</f>
        <v/>
      </c>
      <c r="FF15" s="18" t="str">
        <f aca="false">IF($C15="","",EDATE($C15,Milestones!$AA$170))</f>
        <v/>
      </c>
      <c r="FG15" s="18" t="str">
        <f aca="false">IF($C15="","",EDATE($C15,Milestones!$AA$171))</f>
        <v/>
      </c>
      <c r="FH15" s="18" t="str">
        <f aca="false">IF($C15="","",EDATE($C15,Milestones!$AA$172))</f>
        <v/>
      </c>
      <c r="FI15" s="18" t="str">
        <f aca="false">IF($C15="","",EDATE($C15,Milestones!$AA$173))</f>
        <v/>
      </c>
      <c r="FJ15" s="18" t="str">
        <f aca="false">IF($C15="","",EDATE($C15,Milestones!$AA$174))</f>
        <v/>
      </c>
      <c r="FK15" s="18" t="str">
        <f aca="false">IF($C15="","",EDATE($C15,Milestones!$AA$175))</f>
        <v/>
      </c>
      <c r="FL15" s="18" t="str">
        <f aca="false">IF($C15="","",EDATE($C15,Milestones!$AA$176))</f>
        <v/>
      </c>
      <c r="FM15" s="18" t="str">
        <f aca="false">IF($C15="","",EDATE($C15,Milestones!$AA$177))</f>
        <v/>
      </c>
      <c r="FN15" s="18" t="str">
        <f aca="false">IF($C15="","",EDATE($C15,Milestones!$AA$178))</f>
        <v/>
      </c>
      <c r="FO15" s="18" t="str">
        <f aca="false">IF($C15="","",EDATE($C15,Milestones!$AA$179))</f>
        <v/>
      </c>
      <c r="FP15" s="18" t="str">
        <f aca="false">IF($C15="","",EDATE($C15,Milestones!$AA$180))</f>
        <v/>
      </c>
      <c r="FQ15" s="18" t="str">
        <f aca="false">IF($C15="","",EDATE($C15,Milestones!$AA$181))</f>
        <v/>
      </c>
      <c r="FR15" s="18" t="str">
        <f aca="false">IF($C15="","",EDATE($C15,Milestones!$AA$182))</f>
        <v/>
      </c>
      <c r="FS15" s="18" t="str">
        <f aca="false">IF($C15="","",EDATE($C15,Milestones!$AA$183))</f>
        <v/>
      </c>
      <c r="FT15" s="18" t="str">
        <f aca="false">IF($C15="","",EDATE($C15,Milestones!$AA$184))</f>
        <v/>
      </c>
      <c r="FU15" s="18" t="str">
        <f aca="false">IF($C15="","",EDATE($C15,Milestones!$AA$185))</f>
        <v/>
      </c>
      <c r="FV15" s="18" t="str">
        <f aca="false">IF($C15="","",EDATE($C15,Milestones!$AA$186))</f>
        <v/>
      </c>
      <c r="FW15" s="18" t="str">
        <f aca="false">IF($C15="","",EDATE($C15,Milestones!$AA$187))</f>
        <v/>
      </c>
      <c r="FX15" s="18" t="str">
        <f aca="false">IF($C15="","",EDATE($C15,Milestones!$AA$188))</f>
        <v/>
      </c>
      <c r="FY15" s="18" t="str">
        <f aca="false">IF($C15="","",EDATE($C15,Milestones!$AA$189))</f>
        <v/>
      </c>
      <c r="FZ15" s="18" t="str">
        <f aca="false">IF($C15="","",EDATE($C15,Milestones!$AA$190))</f>
        <v/>
      </c>
      <c r="GA15" s="18" t="str">
        <f aca="false">IF($C15="","",EDATE($C15,Milestones!$AA$191))</f>
        <v/>
      </c>
      <c r="GB15" s="18" t="str">
        <f aca="false">IF($C15="","",EDATE($C15,Milestones!$AA$192))</f>
        <v/>
      </c>
      <c r="GC15" s="18" t="str">
        <f aca="false">IF($C15="","",EDATE($C15,Milestones!$AA$193))</f>
        <v/>
      </c>
      <c r="GD15" s="18" t="str">
        <f aca="false">IF($C15="","",EDATE($C15,Milestones!$AA$194))</f>
        <v/>
      </c>
      <c r="GE15" s="18" t="str">
        <f aca="false">IF($C15="","",EDATE($C15,Milestones!$AA$195))</f>
        <v/>
      </c>
      <c r="GF15" s="18" t="str">
        <f aca="false">IF($C15="","",EDATE($C15,Milestones!$AA$196))</f>
        <v/>
      </c>
      <c r="GG15" s="18" t="str">
        <f aca="false">IF($C15="","",EDATE($C15,Milestones!$AA$197))</f>
        <v/>
      </c>
      <c r="GH15" s="18" t="str">
        <f aca="false">IF($C15="","",EDATE($C15,Milestones!$AA$198))</f>
        <v/>
      </c>
      <c r="GI15" s="18" t="str">
        <f aca="false">IF($C15="","",EDATE($C15,Milestones!$AA$199))</f>
        <v/>
      </c>
    </row>
    <row r="16" customFormat="false" ht="15" hidden="false" customHeight="false" outlineLevel="0" collapsed="false">
      <c r="K16" s="0" t="s">
        <v>229</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230</v>
      </c>
      <c r="L17" s="0" t="n">
        <f aca="false">IF(L15="",0,IF(L16=Milestones!$AB$20,Milestones!$AC$20,0))</f>
        <v>0</v>
      </c>
      <c r="M17" s="0" t="n">
        <f aca="false">IF(M15="",0,IF(M16=Milestones!$AB$21,Milestones!$AC$21,0))</f>
        <v>0</v>
      </c>
      <c r="N17" s="0" t="n">
        <f aca="false">IF(N15="",0,IF(N16=Milestones!$AB$22,Milestones!$AC$22,0))</f>
        <v>0</v>
      </c>
      <c r="O17" s="0" t="n">
        <f aca="false">IF(O15="",0,IF(O16=Milestones!$AB$23,Milestones!$AC$23,0))</f>
        <v>0</v>
      </c>
      <c r="P17" s="0" t="n">
        <f aca="false">IF(P15="",0,IF(P16=Milestones!$AB$24,Milestones!$AC$24,0))</f>
        <v>0</v>
      </c>
      <c r="Q17" s="0" t="n">
        <f aca="false">IF(Q15="",0,IF(Q16=Milestones!$AB$25,Milestones!$AC$25,0))</f>
        <v>0</v>
      </c>
      <c r="R17" s="0" t="n">
        <f aca="false">IF(R15="",0,IF(R16=Milestones!$AB$26,Milestones!$AC$26,0))</f>
        <v>0</v>
      </c>
      <c r="S17" s="0" t="n">
        <f aca="false">IF(S15="",0,IF(S16=Milestones!$AB$27,Milestones!$AC$27,0))</f>
        <v>0</v>
      </c>
      <c r="T17" s="0" t="n">
        <f aca="false">IF(T15="",0,IF(T16=Milestones!$AB$28,Milestones!$AC$28,0))</f>
        <v>0</v>
      </c>
      <c r="U17" s="0" t="n">
        <f aca="false">IF(U15="",0,IF(U16=Milestones!$AB$29,Milestones!$AC$29,0))</f>
        <v>0</v>
      </c>
      <c r="V17" s="0" t="n">
        <f aca="false">IF(V15="",0,IF(V16=Milestones!$AB$30,Milestones!$AC$30,0))</f>
        <v>0</v>
      </c>
      <c r="W17" s="0" t="n">
        <f aca="false">IF(W15="",0,IF(W16=Milestones!$AB$31,Milestones!$AC$31,0))</f>
        <v>0</v>
      </c>
      <c r="X17" s="0" t="n">
        <f aca="false">IF(X15="",0,IF(X16=Milestones!$AB$32,Milestones!$AC$32,0))</f>
        <v>0</v>
      </c>
      <c r="Y17" s="0" t="n">
        <f aca="false">IF(Y15="",0,IF(Y16=Milestones!$AB$33,Milestones!$AC$33,0))</f>
        <v>0</v>
      </c>
      <c r="Z17" s="0" t="n">
        <f aca="false">IF(Z15="",0,IF(Z16=Milestones!$AB$34,Milestones!$AC$34,0))</f>
        <v>0</v>
      </c>
      <c r="AA17" s="0" t="n">
        <f aca="false">IF(AA15="",0,IF(AA16=Milestones!$AB$35,Milestones!$AC$35,0))</f>
        <v>0</v>
      </c>
      <c r="AB17" s="0" t="n">
        <f aca="false">IF(AB15="",0,IF(AB16=Milestones!$AB$36,Milestones!$AC$36,0))</f>
        <v>0</v>
      </c>
      <c r="AC17" s="0" t="n">
        <f aca="false">IF(AC15="",0,IF(AC16=Milestones!$AB$37,Milestones!$AC$37,0))</f>
        <v>0</v>
      </c>
      <c r="AD17" s="0" t="n">
        <f aca="false">IF(AD15="",0,IF(AD16=Milestones!$AB$38,Milestones!$AC$38,0))</f>
        <v>0</v>
      </c>
      <c r="AE17" s="0" t="n">
        <f aca="false">IF(AE15="",0,IF(AE16=Milestones!$AB$39,Milestones!$AC$39,0))</f>
        <v>0</v>
      </c>
      <c r="AF17" s="0" t="n">
        <f aca="false">IF(AF15="",0,IF(AF16=Milestones!$AB$40,Milestones!$AC$40,0))</f>
        <v>0</v>
      </c>
      <c r="AG17" s="0" t="n">
        <f aca="false">IF(AG15="",0,IF(AG16=Milestones!$AB$41,Milestones!$AC$41,0))</f>
        <v>0</v>
      </c>
      <c r="AH17" s="0" t="n">
        <f aca="false">IF(AH15="",0,IF(AH16=Milestones!$AB$42,Milestones!$AC$42,0))</f>
        <v>0</v>
      </c>
      <c r="AI17" s="0" t="n">
        <f aca="false">IF(AI15="",0,IF(AI16=Milestones!$AB$43,Milestones!$AC$43,0))</f>
        <v>0</v>
      </c>
      <c r="AJ17" s="0" t="n">
        <f aca="false">IF(AJ15="",0,IF(AJ16=Milestones!$AB$44,Milestones!$AC$44,0))</f>
        <v>0</v>
      </c>
      <c r="AK17" s="0" t="n">
        <f aca="false">IF(AK15="",0,IF(AK16=Milestones!$AB$45,Milestones!$AC$45,0))</f>
        <v>0</v>
      </c>
      <c r="AL17" s="0" t="n">
        <f aca="false">IF(AL15="",0,IF(AL16=Milestones!$AB$46,Milestones!$AC$46,0))</f>
        <v>0</v>
      </c>
      <c r="AM17" s="0" t="n">
        <f aca="false">IF(AM15="",0,IF(AM16=Milestones!$AB$47,Milestones!$AC$47,0))</f>
        <v>0</v>
      </c>
      <c r="AN17" s="0" t="n">
        <f aca="false">IF(AN15="",0,IF(AN16=Milestones!$AB$48,Milestones!$AC$48,0))</f>
        <v>0</v>
      </c>
      <c r="AO17" s="0" t="n">
        <f aca="false">IF(AO15="",0,IF(AO16=Milestones!$AB$49,Milestones!$AC$49,0))</f>
        <v>0</v>
      </c>
      <c r="AP17" s="0" t="n">
        <f aca="false">IF(AP15="",0,IF(AP16=Milestones!$AB$50,Milestones!$AC$50,0))</f>
        <v>0</v>
      </c>
      <c r="AQ17" s="0" t="n">
        <f aca="false">IF(AQ15="",0,IF(AQ16=Milestones!$AB$51,Milestones!$AC$51,0))</f>
        <v>0</v>
      </c>
      <c r="AR17" s="0" t="n">
        <f aca="false">IF(AR15="",0,IF(AR16=Milestones!$AB$52,Milestones!$AC$52,0))</f>
        <v>0</v>
      </c>
      <c r="AS17" s="0" t="n">
        <f aca="false">IF(AS15="",0,IF(AS16=Milestones!$AB$53,Milestones!$AC$53,0))</f>
        <v>0</v>
      </c>
      <c r="AT17" s="0" t="n">
        <f aca="false">IF(AT15="",0,IF(AT16=Milestones!$AB$54,Milestones!$AC$54,0))</f>
        <v>0</v>
      </c>
      <c r="AU17" s="0" t="n">
        <f aca="false">IF(AU15="",0,IF(AU16=Milestones!$AB$55,Milestones!$AC$55,0))</f>
        <v>0</v>
      </c>
      <c r="AV17" s="0" t="n">
        <f aca="false">IF(AV15="",0,IF(AV16=Milestones!$AB$56,Milestones!$AC$56,0))</f>
        <v>0</v>
      </c>
      <c r="AW17" s="0" t="n">
        <f aca="false">IF(AW15="",0,IF(AW16=Milestones!$AB$57,Milestones!$AC$57,0))</f>
        <v>0</v>
      </c>
      <c r="AX17" s="0" t="n">
        <f aca="false">IF(AX15="",0,IF(AX16=Milestones!$AB$58,Milestones!$AC$58,0))</f>
        <v>0</v>
      </c>
      <c r="AY17" s="0" t="n">
        <f aca="false">IF(AY15="",0,IF(AY16=Milestones!$AB$59,Milestones!$AC$59,0))</f>
        <v>0</v>
      </c>
      <c r="AZ17" s="0" t="n">
        <f aca="false">IF(AZ15="",0,IF(AZ16=Milestones!$AB$60,Milestones!$AC$60,0))</f>
        <v>0</v>
      </c>
      <c r="BA17" s="0" t="n">
        <f aca="false">IF(BA15="",0,IF(BA16=Milestones!$AB$61,Milestones!$AC$61,0))</f>
        <v>0</v>
      </c>
      <c r="BB17" s="0" t="n">
        <f aca="false">IF(BB15="",0,IF(BB16=Milestones!$AB$62,Milestones!$AC$62,0))</f>
        <v>0</v>
      </c>
      <c r="BC17" s="0" t="n">
        <f aca="false">IF(BC15="",0,IF(BC16=Milestones!$AB$63,Milestones!$AC$63,0))</f>
        <v>0</v>
      </c>
      <c r="BD17" s="0" t="n">
        <f aca="false">IF(BD15="",0,IF(BD16=Milestones!$AB$64,Milestones!$AC$64,0))</f>
        <v>0</v>
      </c>
      <c r="BE17" s="0" t="n">
        <f aca="false">IF(BE15="",0,IF(BE16=Milestones!$AB$65,Milestones!$AC$65,0))</f>
        <v>0</v>
      </c>
      <c r="BF17" s="0" t="n">
        <f aca="false">IF(BF15="",0,IF(BF16=Milestones!$AB$66,Milestones!$AC$66,0))</f>
        <v>0</v>
      </c>
      <c r="BG17" s="0" t="n">
        <f aca="false">IF(BG15="",0,IF(BG16=Milestones!$AB$67,Milestones!$AC$67,0))</f>
        <v>0</v>
      </c>
      <c r="BH17" s="0" t="n">
        <f aca="false">IF(BH15="",0,IF(BH16=Milestones!$AB$68,Milestones!$AC$68,0))</f>
        <v>0</v>
      </c>
      <c r="BI17" s="0" t="n">
        <f aca="false">IF(BI15="",0,IF(BI16=Milestones!$AB$69,Milestones!$AC$69,0))</f>
        <v>0</v>
      </c>
      <c r="BJ17" s="0" t="n">
        <f aca="false">IF(BJ15="",0,IF(BJ16=Milestones!$AB$70,Milestones!$AC$70,0))</f>
        <v>0</v>
      </c>
      <c r="BK17" s="0" t="n">
        <f aca="false">IF(BK15="",0,IF(BK16=Milestones!$AB$71,Milestones!$AC$71,0))</f>
        <v>0</v>
      </c>
      <c r="BL17" s="0" t="n">
        <f aca="false">IF(BL15="",0,IF(BL16=Milestones!$AB$72,Milestones!$AC$72,0))</f>
        <v>0</v>
      </c>
      <c r="BM17" s="0" t="n">
        <f aca="false">IF(BM15="",0,IF(BM16=Milestones!$AB$73,Milestones!$AC$73,0))</f>
        <v>0</v>
      </c>
      <c r="BN17" s="0" t="n">
        <f aca="false">IF(BN15="",0,IF(BN16=Milestones!$AB$74,Milestones!$AC$74,0))</f>
        <v>0</v>
      </c>
      <c r="BO17" s="0" t="n">
        <f aca="false">IF(BO15="",0,IF(BO16=Milestones!$AB$75,Milestones!$AC$75,0))</f>
        <v>0</v>
      </c>
      <c r="BP17" s="0" t="n">
        <f aca="false">IF(BP15="",0,IF(BP16=Milestones!$AB$76,Milestones!$AC$76,0))</f>
        <v>0</v>
      </c>
      <c r="BQ17" s="0" t="n">
        <f aca="false">IF(BQ15="",0,IF(BQ16=Milestones!$AB$77,Milestones!$AC$77,0))</f>
        <v>0</v>
      </c>
      <c r="BR17" s="0" t="n">
        <f aca="false">IF(BR15="",0,IF(BR16=Milestones!$AB$78,Milestones!$AC$78,0))</f>
        <v>0</v>
      </c>
      <c r="BS17" s="0" t="n">
        <f aca="false">IF(BS15="",0,IF(BS16=Milestones!$AB$79,Milestones!$AC$79,0))</f>
        <v>0</v>
      </c>
      <c r="BT17" s="0" t="n">
        <f aca="false">IF(BT15="",0,IF(BT16=Milestones!$AB$80,Milestones!$AC$80,0))</f>
        <v>0</v>
      </c>
      <c r="BU17" s="0" t="n">
        <f aca="false">IF(BU15="",0,IF(BU16=Milestones!$AB$81,Milestones!$AC$81,0))</f>
        <v>0</v>
      </c>
      <c r="BV17" s="0" t="n">
        <f aca="false">IF(BV15="",0,IF(BV16=Milestones!$AB$82,Milestones!$AC$82,0))</f>
        <v>0</v>
      </c>
      <c r="BW17" s="0" t="n">
        <f aca="false">IF(BW15="",0,IF(BW16=Milestones!$AB$83,Milestones!$AC$83,0))</f>
        <v>0</v>
      </c>
      <c r="BX17" s="0" t="n">
        <f aca="false">IF(BX15="",0,IF(BX16=Milestones!$AB$84,Milestones!$AC$84,0))</f>
        <v>0</v>
      </c>
      <c r="BY17" s="0" t="n">
        <f aca="false">IF(BY15="",0,IF(BY16=Milestones!$AB$85,Milestones!$AC$85,0))</f>
        <v>0</v>
      </c>
      <c r="BZ17" s="0" t="n">
        <f aca="false">IF(BZ15="",0,IF(BZ16=Milestones!$AB$86,Milestones!$AC$86,0))</f>
        <v>0</v>
      </c>
      <c r="CA17" s="0" t="n">
        <f aca="false">IF(CA15="",0,IF(CA16=Milestones!$AB$87,Milestones!$AC$87,0))</f>
        <v>0</v>
      </c>
      <c r="CB17" s="0" t="n">
        <f aca="false">IF(CB15="",0,IF(CB16=Milestones!$AB$88,Milestones!$AC$88,0))</f>
        <v>0</v>
      </c>
      <c r="CC17" s="0" t="n">
        <f aca="false">IF(CC15="",0,IF(CC16=Milestones!$AB$89,Milestones!$AC$89,0))</f>
        <v>0</v>
      </c>
      <c r="CD17" s="0" t="n">
        <f aca="false">IF(CD15="",0,IF(CD16=Milestones!$AB$90,Milestones!$AC$90,0))</f>
        <v>0</v>
      </c>
      <c r="CE17" s="0" t="n">
        <f aca="false">IF(CE15="",0,IF(CE16=Milestones!$AB$91,Milestones!$AC$91,0))</f>
        <v>0</v>
      </c>
      <c r="CF17" s="0" t="n">
        <f aca="false">IF(CF15="",0,IF(CF16=Milestones!$AB$92,Milestones!$AC$92,0))</f>
        <v>0</v>
      </c>
      <c r="CG17" s="0" t="n">
        <f aca="false">IF(CG15="",0,IF(CG16=Milestones!$AB$93,Milestones!$AC$93,0))</f>
        <v>0</v>
      </c>
      <c r="CH17" s="0" t="n">
        <f aca="false">IF(CH15="",0,IF(CH16=Milestones!$AB$94,Milestones!$AC$94,0))</f>
        <v>0</v>
      </c>
      <c r="CI17" s="0" t="n">
        <f aca="false">IF(CI15="",0,IF(CI16=Milestones!$AB$95,Milestones!$AC$95,0))</f>
        <v>0</v>
      </c>
      <c r="CJ17" s="0" t="n">
        <f aca="false">IF(CJ15="",0,IF(CJ16=Milestones!$AB$96,Milestones!$AC$96,0))</f>
        <v>0</v>
      </c>
      <c r="CK17" s="0" t="n">
        <f aca="false">IF(CK15="",0,IF(CK16=Milestones!$AB$97,Milestones!$AC$97,0))</f>
        <v>0</v>
      </c>
      <c r="CL17" s="0" t="n">
        <f aca="false">IF(CL15="",0,IF(CL16=Milestones!$AB$98,Milestones!$AC$98,0))</f>
        <v>0</v>
      </c>
      <c r="CM17" s="0" t="n">
        <f aca="false">IF(CM15="",0,IF(CM16=Milestones!$AB$99,Milestones!$AC$99,0))</f>
        <v>0</v>
      </c>
      <c r="CN17" s="0" t="n">
        <f aca="false">IF(CN15="",0,IF(CN16=Milestones!$AB$100,Milestones!$AC$100,0))</f>
        <v>0</v>
      </c>
      <c r="CO17" s="0" t="n">
        <f aca="false">IF(CO15="",0,IF(CO16=Milestones!$AB$101,Milestones!$AC$101,0))</f>
        <v>0</v>
      </c>
      <c r="CP17" s="0" t="n">
        <f aca="false">IF(CP15="",0,IF(CP16=Milestones!$AB$102,Milestones!$AC$102,0))</f>
        <v>0</v>
      </c>
      <c r="CQ17" s="0" t="n">
        <f aca="false">IF(CQ15="",0,IF(CQ16=Milestones!$AB$103,Milestones!$AC$103,0))</f>
        <v>0</v>
      </c>
      <c r="CR17" s="0" t="n">
        <f aca="false">IF(CR15="",0,IF(CR16=Milestones!$AB$104,Milestones!$AC$104,0))</f>
        <v>0</v>
      </c>
      <c r="CS17" s="0" t="n">
        <f aca="false">IF(CS15="",0,IF(CS16=Milestones!$AB$105,Milestones!$AC$105,0))</f>
        <v>0</v>
      </c>
      <c r="CT17" s="0" t="n">
        <f aca="false">IF(CT15="",0,IF(CT16=Milestones!$AB$106,Milestones!$AC$106,0))</f>
        <v>0</v>
      </c>
      <c r="CU17" s="0" t="n">
        <f aca="false">IF(CU15="",0,IF(CU16=Milestones!$AB$107,Milestones!$AC$107,0))</f>
        <v>0</v>
      </c>
      <c r="CV17" s="0" t="n">
        <f aca="false">IF(CV15="",0,IF(CV16=Milestones!$AB$108,Milestones!$AC$108,0))</f>
        <v>0</v>
      </c>
      <c r="CW17" s="0" t="n">
        <f aca="false">IF(CW15="",0,IF(CW16=Milestones!$AB$109,Milestones!$AC$109,0))</f>
        <v>0</v>
      </c>
      <c r="CX17" s="0" t="n">
        <f aca="false">IF(CX15="",0,IF(CX16=Milestones!$AB$110,Milestones!$AC$110,0))</f>
        <v>0</v>
      </c>
      <c r="CY17" s="0" t="n">
        <f aca="false">IF(CY15="",0,IF(CY16=Milestones!$AB$111,Milestones!$AC$111,0))</f>
        <v>0</v>
      </c>
      <c r="CZ17" s="0" t="n">
        <f aca="false">IF(CZ15="",0,IF(CZ16=Milestones!$AB$112,Milestones!$AC$112,0))</f>
        <v>0</v>
      </c>
      <c r="DA17" s="0" t="n">
        <f aca="false">IF(DA15="",0,IF(DA16=Milestones!$AB$113,Milestones!$AC$113,0))</f>
        <v>0</v>
      </c>
      <c r="DB17" s="0" t="n">
        <f aca="false">IF(DB15="",0,IF(DB16=Milestones!$AB$114,Milestones!$AC$114,0))</f>
        <v>0</v>
      </c>
      <c r="DC17" s="0" t="n">
        <f aca="false">IF(DC15="",0,IF(DC16=Milestones!$AB$115,Milestones!$AC$115,0))</f>
        <v>0</v>
      </c>
      <c r="DD17" s="0" t="n">
        <f aca="false">IF(DD15="",0,IF(DD16=Milestones!$AB$116,Milestones!$AC$116,0))</f>
        <v>0</v>
      </c>
      <c r="DE17" s="0" t="n">
        <f aca="false">IF(DE15="",0,IF(DE16=Milestones!$AB$117,Milestones!$AC$117,0))</f>
        <v>0</v>
      </c>
      <c r="DF17" s="0" t="n">
        <f aca="false">IF(DF15="",0,IF(DF16=Milestones!$AB$118,Milestones!$AC$118,0))</f>
        <v>0</v>
      </c>
      <c r="DG17" s="0" t="n">
        <f aca="false">IF(DG15="",0,IF(DG16=Milestones!$AB$119,Milestones!$AC$119,0))</f>
        <v>0</v>
      </c>
      <c r="DH17" s="0" t="n">
        <f aca="false">IF(DH15="",0,IF(DH16=Milestones!$AB$120,Milestones!$AC$120,0))</f>
        <v>0</v>
      </c>
      <c r="DI17" s="0" t="n">
        <f aca="false">IF(DI15="",0,IF(DI16=Milestones!$AB$121,Milestones!$AC$121,0))</f>
        <v>0</v>
      </c>
      <c r="DJ17" s="0" t="n">
        <f aca="false">IF(DJ15="",0,IF(DJ16=Milestones!$AB$122,Milestones!$AC$122,0))</f>
        <v>0</v>
      </c>
      <c r="DK17" s="0" t="n">
        <f aca="false">IF(DK15="",0,IF(DK16=Milestones!$AB$123,Milestones!$AC$123,0))</f>
        <v>0</v>
      </c>
      <c r="DL17" s="0" t="n">
        <f aca="false">IF(DL15="",0,IF(DL16=Milestones!$AB$124,Milestones!$AC$124,0))</f>
        <v>0</v>
      </c>
      <c r="DM17" s="0" t="n">
        <f aca="false">IF(DM15="",0,IF(DM16=Milestones!$AB$125,Milestones!$AC$125,0))</f>
        <v>0</v>
      </c>
      <c r="DN17" s="0" t="n">
        <f aca="false">IF(DN15="",0,IF(DN16=Milestones!$AB$126,Milestones!$AC$126,0))</f>
        <v>0</v>
      </c>
      <c r="DO17" s="0" t="n">
        <f aca="false">IF(DO15="",0,IF(DO16=Milestones!$AB$127,Milestones!$AC$127,0))</f>
        <v>0</v>
      </c>
      <c r="DP17" s="0" t="n">
        <f aca="false">IF(DP15="",0,IF(DP16=Milestones!$AB$128,Milestones!$AC$128,0))</f>
        <v>0</v>
      </c>
      <c r="DQ17" s="0" t="n">
        <f aca="false">IF(DQ15="",0,IF(DQ16=Milestones!$AB$129,Milestones!$AC$129,0))</f>
        <v>0</v>
      </c>
      <c r="DR17" s="0" t="n">
        <f aca="false">IF(DR15="",0,IF(DR16=Milestones!$AB$130,Milestones!$AC$130,0))</f>
        <v>0</v>
      </c>
      <c r="DS17" s="0" t="n">
        <f aca="false">IF(DS15="",0,IF(DS16=Milestones!$AB$131,Milestones!$AC$131,0))</f>
        <v>0</v>
      </c>
      <c r="DT17" s="0" t="n">
        <f aca="false">IF(DT15="",0,IF(DT16=Milestones!$AB$132,Milestones!$AC$132,0))</f>
        <v>0</v>
      </c>
      <c r="DU17" s="0" t="n">
        <f aca="false">IF(DU15="",0,IF(DU16=Milestones!$AB$133,Milestones!$AC$133,0))</f>
        <v>0</v>
      </c>
      <c r="DV17" s="0" t="n">
        <f aca="false">IF(DV15="",0,IF(DV16=Milestones!$AB$134,Milestones!$AC$134,0))</f>
        <v>0</v>
      </c>
      <c r="DW17" s="0" t="n">
        <f aca="false">IF(DW15="",0,IF(DW16=Milestones!$AB$135,Milestones!$AC$135,0))</f>
        <v>0</v>
      </c>
      <c r="DX17" s="0" t="n">
        <f aca="false">IF(DX15="",0,IF(DX16=Milestones!$AB$136,Milestones!$AC$136,0))</f>
        <v>0</v>
      </c>
      <c r="DY17" s="0" t="n">
        <f aca="false">IF(DY15="",0,IF(DY16=Milestones!$AB$137,Milestones!$AC$137,0))</f>
        <v>0</v>
      </c>
      <c r="DZ17" s="0" t="n">
        <f aca="false">IF(DZ15="",0,IF(DZ16=Milestones!$AB$138,Milestones!$AC$138,0))</f>
        <v>0</v>
      </c>
      <c r="EA17" s="0" t="n">
        <f aca="false">IF(EA15="",0,IF(EA16=Milestones!$AB$139,Milestones!$AC$139,0))</f>
        <v>0</v>
      </c>
      <c r="EB17" s="0" t="n">
        <f aca="false">IF(EB15="",0,IF(EB16=Milestones!$AB$140,Milestones!$AC$140,0))</f>
        <v>0</v>
      </c>
      <c r="EC17" s="0" t="n">
        <f aca="false">IF(EC15="",0,IF(EC16=Milestones!$AB$141,Milestones!$AC$141,0))</f>
        <v>0</v>
      </c>
      <c r="ED17" s="0" t="n">
        <f aca="false">IF(ED15="",0,IF(ED16=Milestones!$AB$142,Milestones!$AC$142,0))</f>
        <v>0</v>
      </c>
      <c r="EE17" s="0" t="n">
        <f aca="false">IF(EE15="",0,IF(EE16=Milestones!$AB$143,Milestones!$AC$143,0))</f>
        <v>0</v>
      </c>
      <c r="EF17" s="0" t="n">
        <f aca="false">IF(EF15="",0,IF(EF16=Milestones!$AB$144,Milestones!$AC$144,0))</f>
        <v>0</v>
      </c>
      <c r="EG17" s="0" t="n">
        <f aca="false">IF(EG15="",0,IF(EG16=Milestones!$AB$145,Milestones!$AC$145,0))</f>
        <v>0</v>
      </c>
      <c r="EH17" s="0" t="n">
        <f aca="false">IF(EH15="",0,IF(EH16=Milestones!$AB$146,Milestones!$AC$146,0))</f>
        <v>0</v>
      </c>
      <c r="EI17" s="0" t="n">
        <f aca="false">IF(EI15="",0,IF(EI16=Milestones!$AB$147,Milestones!$AC$147,0))</f>
        <v>0</v>
      </c>
      <c r="EJ17" s="0" t="n">
        <f aca="false">IF(EJ15="",0,IF(EJ16=Milestones!$AB$148,Milestones!$AC$148,0))</f>
        <v>0</v>
      </c>
      <c r="EK17" s="0" t="n">
        <f aca="false">IF(EK15="",0,IF(EK16=Milestones!$AB$149,Milestones!$AC$149,0))</f>
        <v>0</v>
      </c>
      <c r="EL17" s="0" t="n">
        <f aca="false">IF(EL15="",0,IF(EL16=Milestones!$AB$150,Milestones!$AC$150,0))</f>
        <v>0</v>
      </c>
      <c r="EM17" s="0" t="n">
        <f aca="false">IF(EM15="",0,IF(EM16=Milestones!$AB$151,Milestones!$AC$151,0))</f>
        <v>0</v>
      </c>
      <c r="EN17" s="0" t="n">
        <f aca="false">IF(EN15="",0,IF(EN16=Milestones!$AB$152,Milestones!$AC$152,0))</f>
        <v>0</v>
      </c>
      <c r="EO17" s="0" t="n">
        <f aca="false">IF(EO15="",0,IF(EO16=Milestones!$AB$153,Milestones!$AC$153,0))</f>
        <v>0</v>
      </c>
      <c r="EP17" s="0" t="n">
        <f aca="false">IF(EP15="",0,IF(EP16=Milestones!$AB$154,Milestones!$AC$154,0))</f>
        <v>0</v>
      </c>
      <c r="EQ17" s="0" t="n">
        <f aca="false">IF(EQ15="",0,IF(EQ16=Milestones!$AB$155,Milestones!$AC$155,0))</f>
        <v>0</v>
      </c>
      <c r="ER17" s="0" t="n">
        <f aca="false">IF(ER15="",0,IF(ER16=Milestones!$AB$156,Milestones!$AC$156,0))</f>
        <v>0</v>
      </c>
      <c r="ES17" s="0" t="n">
        <f aca="false">IF(ES15="",0,IF(ES16=Milestones!$AB$157,Milestones!$AC$157,0))</f>
        <v>0</v>
      </c>
      <c r="ET17" s="0" t="n">
        <f aca="false">IF(ET15="",0,IF(ET16=Milestones!$AB$158,Milestones!$AC$158,0))</f>
        <v>0</v>
      </c>
      <c r="EU17" s="0" t="n">
        <f aca="false">IF(EU15="",0,IF(EU16=Milestones!$AB$159,Milestones!$AC$159,0))</f>
        <v>0</v>
      </c>
      <c r="EV17" s="0" t="n">
        <f aca="false">IF(EV15="",0,IF(EV16=Milestones!$AB$160,Milestones!$AC$160,0))</f>
        <v>0</v>
      </c>
      <c r="EW17" s="0" t="n">
        <f aca="false">IF(EW15="",0,IF(EW16=Milestones!$AB$161,Milestones!$AC$161,0))</f>
        <v>0</v>
      </c>
      <c r="EX17" s="0" t="n">
        <f aca="false">IF(EX15="",0,IF(EX16=Milestones!$AB$162,Milestones!$AC$162,0))</f>
        <v>0</v>
      </c>
      <c r="EY17" s="0" t="n">
        <f aca="false">IF(EY15="",0,IF(EY16=Milestones!$AB$163,Milestones!$AC$163,0))</f>
        <v>0</v>
      </c>
      <c r="EZ17" s="0" t="n">
        <f aca="false">IF(EZ15="",0,IF(EZ16=Milestones!$AB$164,Milestones!$AC$164,0))</f>
        <v>0</v>
      </c>
      <c r="FA17" s="0" t="n">
        <f aca="false">IF(FA15="",0,IF(FA16=Milestones!$AB$165,Milestones!$AC$165,0))</f>
        <v>0</v>
      </c>
      <c r="FB17" s="0" t="n">
        <f aca="false">IF(FB15="",0,IF(FB16=Milestones!$AB$166,Milestones!$AC$166,0))</f>
        <v>0</v>
      </c>
      <c r="FC17" s="0" t="n">
        <f aca="false">IF(FC15="",0,IF(FC16=Milestones!$AB$167,Milestones!$AC$167,0))</f>
        <v>0</v>
      </c>
      <c r="FD17" s="0" t="n">
        <f aca="false">IF(FD15="",0,IF(FD16=Milestones!$AB$168,Milestones!$AC$168,0))</f>
        <v>0</v>
      </c>
      <c r="FE17" s="0" t="n">
        <f aca="false">IF(FE15="",0,IF(FE16=Milestones!$AB$169,Milestones!$AC$169,0))</f>
        <v>0</v>
      </c>
      <c r="FF17" s="0" t="n">
        <f aca="false">IF(FF15="",0,IF(FF16=Milestones!$AB$170,Milestones!$AC$170,0))</f>
        <v>0</v>
      </c>
      <c r="FG17" s="0" t="n">
        <f aca="false">IF(FG15="",0,IF(FG16=Milestones!$AB$171,Milestones!$AC$171,0))</f>
        <v>0</v>
      </c>
      <c r="FH17" s="0" t="n">
        <f aca="false">IF(FH15="",0,IF(FH16=Milestones!$AB$172,Milestones!$AC$172,0))</f>
        <v>0</v>
      </c>
      <c r="FI17" s="0" t="n">
        <f aca="false">IF(FI15="",0,IF(FI16=Milestones!$AB$173,Milestones!$AC$173,0))</f>
        <v>0</v>
      </c>
      <c r="FJ17" s="0" t="n">
        <f aca="false">IF(FJ15="",0,IF(FJ16=Milestones!$AB$174,Milestones!$AC$174,0))</f>
        <v>0</v>
      </c>
      <c r="FK17" s="0" t="n">
        <f aca="false">IF(FK15="",0,IF(FK16=Milestones!$AB$175,Milestones!$AC$175,0))</f>
        <v>0</v>
      </c>
      <c r="FL17" s="0" t="n">
        <f aca="false">IF(FL15="",0,IF(FL16=Milestones!$AB$176,Milestones!$AC$176,0))</f>
        <v>0</v>
      </c>
      <c r="FM17" s="0" t="n">
        <f aca="false">IF(FM15="",0,IF(FM16=Milestones!$AB$177,Milestones!$AC$177,0))</f>
        <v>0</v>
      </c>
      <c r="FN17" s="0" t="n">
        <f aca="false">IF(FN15="",0,IF(FN16=Milestones!$AB$178,Milestones!$AC$178,0))</f>
        <v>0</v>
      </c>
      <c r="FO17" s="0" t="n">
        <f aca="false">IF(FO15="",0,IF(FO16=Milestones!$AB$179,Milestones!$AC$179,0))</f>
        <v>0</v>
      </c>
      <c r="FP17" s="0" t="n">
        <f aca="false">IF(FP15="",0,IF(FP16=Milestones!$AB$180,Milestones!$AC$180,0))</f>
        <v>0</v>
      </c>
      <c r="FQ17" s="0" t="n">
        <f aca="false">IF(FQ15="",0,IF(FQ16=Milestones!$AB$181,Milestones!$AC$181,0))</f>
        <v>0</v>
      </c>
      <c r="FR17" s="0" t="n">
        <f aca="false">IF(FR15="",0,IF(FR16=Milestones!$AB$182,Milestones!$AC$182,0))</f>
        <v>0</v>
      </c>
      <c r="FS17" s="0" t="n">
        <f aca="false">IF(FS15="",0,IF(FS16=Milestones!$AB$183,Milestones!$AC$183,0))</f>
        <v>0</v>
      </c>
      <c r="FT17" s="0" t="n">
        <f aca="false">IF(FT15="",0,IF(FT16=Milestones!$AB$184,Milestones!$AC$184,0))</f>
        <v>0</v>
      </c>
      <c r="FU17" s="0" t="n">
        <f aca="false">IF(FU15="",0,IF(FU16=Milestones!$AB$185,Milestones!$AC$185,0))</f>
        <v>0</v>
      </c>
      <c r="FV17" s="0" t="n">
        <f aca="false">IF(FV15="",0,IF(FV16=Milestones!$AB$186,Milestones!$AC$186,0))</f>
        <v>0</v>
      </c>
      <c r="FW17" s="0" t="n">
        <f aca="false">IF(FW15="",0,IF(FW16=Milestones!$AB$187,Milestones!$AC$187,0))</f>
        <v>0</v>
      </c>
      <c r="FX17" s="0" t="n">
        <f aca="false">IF(FX15="",0,IF(FX16=Milestones!$AB$188,Milestones!$AC$188,0))</f>
        <v>0</v>
      </c>
      <c r="FY17" s="0" t="n">
        <f aca="false">IF(FY15="",0,IF(FY16=Milestones!$AB$189,Milestones!$AC$189,0))</f>
        <v>0</v>
      </c>
      <c r="FZ17" s="0" t="n">
        <f aca="false">IF(FZ15="",0,IF(FZ16=Milestones!$AB$190,Milestones!$AC$190,0))</f>
        <v>0</v>
      </c>
      <c r="GA17" s="0" t="n">
        <f aca="false">IF(GA15="",0,IF(GA16=Milestones!$AB$191,Milestones!$AC$191,0))</f>
        <v>0</v>
      </c>
      <c r="GB17" s="0" t="n">
        <f aca="false">IF(GB15="",0,IF(GB16=Milestones!$AB$192,Milestones!$AC$192,0))</f>
        <v>0</v>
      </c>
      <c r="GC17" s="0" t="n">
        <f aca="false">IF(GC15="",0,IF(GC16=Milestones!$AB$193,Milestones!$AC$193,0))</f>
        <v>0</v>
      </c>
      <c r="GD17" s="0" t="n">
        <f aca="false">IF(GD15="",0,IF(GD16=Milestones!$AB$194,Milestones!$AC$194,0))</f>
        <v>0</v>
      </c>
      <c r="GE17" s="0" t="n">
        <f aca="false">IF(GE15="",0,IF(GE16=Milestones!$AB$195,Milestones!$AC$195,0))</f>
        <v>0</v>
      </c>
      <c r="GF17" s="0" t="n">
        <f aca="false">IF(GF15="",0,IF(GF16=Milestones!$AB$196,Milestones!$AC$196,0))</f>
        <v>0</v>
      </c>
      <c r="GG17" s="0" t="n">
        <f aca="false">IF(GG15="",0,IF(GG16=Milestones!$AB$197,Milestones!$AC$197,0))</f>
        <v>0</v>
      </c>
      <c r="GH17" s="0" t="n">
        <f aca="false">IF(GH15="",0,IF(GH16=Milestones!$AB$198,Milestones!$AC$198,0))</f>
        <v>0</v>
      </c>
      <c r="GI17" s="0" t="n">
        <f aca="false">IF(GI15="",0,IF(GI16=Milestones!$AB$199,Milestones!$AC$199,0))</f>
        <v>0</v>
      </c>
    </row>
    <row r="18" customFormat="false" ht="15" hidden="false" customHeight="false" outlineLevel="0" collapsed="false">
      <c r="A18" s="0" t="str">
        <f aca="false">IF('HR Tally Check'!G$7="","",'HR Tally Check'!G$7)</f>
        <v/>
      </c>
      <c r="B18" s="0" t="str">
        <f aca="false">IF(A18="","",ISNUMBER(MATCH(A18,Staff!$BJ$5:$BJ$154,0)))</f>
        <v/>
      </c>
      <c r="C18" s="18" t="str">
        <f aca="false">IF(B18&lt;&gt;TRUE(),"",INDEX(Staff!$AH$5:$AH$154,MATCH($A18,Staff!$BJ$5:$BJ$154,0)))</f>
        <v/>
      </c>
      <c r="D18" s="0" t="str">
        <f aca="false">IF(B18&lt;&gt;TRUE(),"",INDEX(Staff!$AI$5:$AI$154,MATCH($A18,Staff!$BJ$5:$BJ$154,0)))</f>
        <v/>
      </c>
      <c r="E18" s="18" t="str">
        <f aca="false">IF(B18&lt;&gt;TRUE(),"",INDEX(Staff!$AK$5:$AK$154,MATCH($A18,Staff!$BJ$5:$BJ$154,0)))</f>
        <v/>
      </c>
      <c r="F18" s="18" t="str">
        <f aca="false">IF(B18&lt;&gt;TRUE(),"",INDEX(Staff!$AL$5:$AL$154,MATCH($A18,Staff!$BJ$5:$BJ$154,0)))</f>
        <v/>
      </c>
      <c r="G18" s="0" t="str">
        <f aca="false">IF(B18&lt;&gt;TRUE(),"",INDEX(Staff!$AP$5:$AP$154,MATCH($A18,Staff!$BJ$5:$BJ$154,0)))</f>
        <v/>
      </c>
      <c r="H18" s="0" t="str">
        <f aca="false">IF(B18&lt;&gt;TRUE(),"",INDEX(Staff!$AQ$5:$AQ$154,MATCH($A18,Staff!$BJ$5:$BJ$154,0)))</f>
        <v/>
      </c>
      <c r="I18" s="0" t="str">
        <f aca="false">IF(B18&lt;&gt;TRUE(),"",INDEX(Staff!$AR$5:$AR$154,MATCH($A18,Staff!$BJ$5:$BJ$154,0)))</f>
        <v/>
      </c>
      <c r="J18" s="0" t="str">
        <f aca="false">IF(B18&lt;&gt;TRUE(),"",INDEX(Staff!$AS$5:$AS$154,MATCH($A18,Staff!$BJ$5:$BJ$154,0)))</f>
        <v/>
      </c>
      <c r="K18" s="31" t="s">
        <v>228</v>
      </c>
      <c r="L18" s="18" t="str">
        <f aca="false">IF($C18="","",EDATE($C18,Milestones!$AA$20))</f>
        <v/>
      </c>
      <c r="M18" s="18" t="str">
        <f aca="false">IF($C18="","",EDATE($C18,Milestones!$AA$21))</f>
        <v/>
      </c>
      <c r="N18" s="18" t="str">
        <f aca="false">IF($C18="","",EDATE($C18,Milestones!$AA$22))</f>
        <v/>
      </c>
      <c r="O18" s="18" t="str">
        <f aca="false">IF($C18="","",EDATE($C18,Milestones!$AA$23))</f>
        <v/>
      </c>
      <c r="P18" s="18" t="str">
        <f aca="false">IF($C18="","",EDATE($C18,Milestones!$AA$24))</f>
        <v/>
      </c>
      <c r="Q18" s="18" t="str">
        <f aca="false">IF($C18="","",EDATE($C18,Milestones!$AA$25))</f>
        <v/>
      </c>
      <c r="R18" s="18" t="str">
        <f aca="false">IF($C18="","",EDATE($C18,Milestones!$AA$26))</f>
        <v/>
      </c>
      <c r="S18" s="18" t="str">
        <f aca="false">IF($C18="","",EDATE($C18,Milestones!$AA$27))</f>
        <v/>
      </c>
      <c r="T18" s="18" t="str">
        <f aca="false">IF($C18="","",EDATE($C18,Milestones!$AA$28))</f>
        <v/>
      </c>
      <c r="U18" s="18" t="str">
        <f aca="false">IF($C18="","",EDATE($C18,Milestones!$AA$29))</f>
        <v/>
      </c>
      <c r="V18" s="18" t="str">
        <f aca="false">IF($C18="","",EDATE($C18,Milestones!$AA$30))</f>
        <v/>
      </c>
      <c r="W18" s="18" t="str">
        <f aca="false">IF($C18="","",EDATE($C18,Milestones!$AA$31))</f>
        <v/>
      </c>
      <c r="X18" s="18" t="str">
        <f aca="false">IF($C18="","",EDATE($C18,Milestones!$AA$32))</f>
        <v/>
      </c>
      <c r="Y18" s="18" t="str">
        <f aca="false">IF($C18="","",EDATE($C18,Milestones!$AA$33))</f>
        <v/>
      </c>
      <c r="Z18" s="18" t="str">
        <f aca="false">IF($C18="","",EDATE($C18,Milestones!$AA$34))</f>
        <v/>
      </c>
      <c r="AA18" s="18" t="str">
        <f aca="false">IF($C18="","",EDATE($C18,Milestones!$AA$35))</f>
        <v/>
      </c>
      <c r="AB18" s="18" t="str">
        <f aca="false">IF($C18="","",EDATE($C18,Milestones!$AA$36))</f>
        <v/>
      </c>
      <c r="AC18" s="18" t="str">
        <f aca="false">IF($C18="","",EDATE($C18,Milestones!$AA$37))</f>
        <v/>
      </c>
      <c r="AD18" s="18" t="str">
        <f aca="false">IF($C18="","",EDATE($C18,Milestones!$AA$38))</f>
        <v/>
      </c>
      <c r="AE18" s="18" t="str">
        <f aca="false">IF($C18="","",EDATE($C18,Milestones!$AA$39))</f>
        <v/>
      </c>
      <c r="AF18" s="18" t="str">
        <f aca="false">IF($C18="","",EDATE($C18,Milestones!$AA$40))</f>
        <v/>
      </c>
      <c r="AG18" s="18" t="str">
        <f aca="false">IF($C18="","",EDATE($C18,Milestones!$AA$41))</f>
        <v/>
      </c>
      <c r="AH18" s="18" t="str">
        <f aca="false">IF($C18="","",EDATE($C18,Milestones!$AA$42))</f>
        <v/>
      </c>
      <c r="AI18" s="18" t="str">
        <f aca="false">IF($C18="","",EDATE($C18,Milestones!$AA$43))</f>
        <v/>
      </c>
      <c r="AJ18" s="18" t="str">
        <f aca="false">IF($C18="","",EDATE($C18,Milestones!$AA$44))</f>
        <v/>
      </c>
      <c r="AK18" s="18" t="str">
        <f aca="false">IF($C18="","",EDATE($C18,Milestones!$AA$45))</f>
        <v/>
      </c>
      <c r="AL18" s="18" t="str">
        <f aca="false">IF($C18="","",EDATE($C18,Milestones!$AA$46))</f>
        <v/>
      </c>
      <c r="AM18" s="18" t="str">
        <f aca="false">IF($C18="","",EDATE($C18,Milestones!$AA$47))</f>
        <v/>
      </c>
      <c r="AN18" s="18" t="str">
        <f aca="false">IF($C18="","",EDATE($C18,Milestones!$AA$48))</f>
        <v/>
      </c>
      <c r="AO18" s="18" t="str">
        <f aca="false">IF($C18="","",EDATE($C18,Milestones!$AA$49))</f>
        <v/>
      </c>
      <c r="AP18" s="18" t="str">
        <f aca="false">IF($C18="","",EDATE($C18,Milestones!$AA$50))</f>
        <v/>
      </c>
      <c r="AQ18" s="18" t="str">
        <f aca="false">IF($C18="","",EDATE($C18,Milestones!$AA$51))</f>
        <v/>
      </c>
      <c r="AR18" s="18" t="str">
        <f aca="false">IF($C18="","",EDATE($C18,Milestones!$AA$52))</f>
        <v/>
      </c>
      <c r="AS18" s="18" t="str">
        <f aca="false">IF($C18="","",EDATE($C18,Milestones!$AA$53))</f>
        <v/>
      </c>
      <c r="AT18" s="18" t="str">
        <f aca="false">IF($C18="","",EDATE($C18,Milestones!$AA$54))</f>
        <v/>
      </c>
      <c r="AU18" s="18" t="str">
        <f aca="false">IF($C18="","",EDATE($C18,Milestones!$AA$55))</f>
        <v/>
      </c>
      <c r="AV18" s="18" t="str">
        <f aca="false">IF($C18="","",EDATE($C18,Milestones!$AA$56))</f>
        <v/>
      </c>
      <c r="AW18" s="18" t="str">
        <f aca="false">IF($C18="","",EDATE($C18,Milestones!$AA$57))</f>
        <v/>
      </c>
      <c r="AX18" s="18" t="str">
        <f aca="false">IF($C18="","",EDATE($C18,Milestones!$AA$58))</f>
        <v/>
      </c>
      <c r="AY18" s="18" t="str">
        <f aca="false">IF($C18="","",EDATE($C18,Milestones!$AA$59))</f>
        <v/>
      </c>
      <c r="AZ18" s="18" t="str">
        <f aca="false">IF($C18="","",EDATE($C18,Milestones!$AA$60))</f>
        <v/>
      </c>
      <c r="BA18" s="18" t="str">
        <f aca="false">IF($C18="","",EDATE($C18,Milestones!$AA$61))</f>
        <v/>
      </c>
      <c r="BB18" s="18" t="str">
        <f aca="false">IF($C18="","",EDATE($C18,Milestones!$AA$62))</f>
        <v/>
      </c>
      <c r="BC18" s="18" t="str">
        <f aca="false">IF($C18="","",EDATE($C18,Milestones!$AA$63))</f>
        <v/>
      </c>
      <c r="BD18" s="18" t="str">
        <f aca="false">IF($C18="","",EDATE($C18,Milestones!$AA$64))</f>
        <v/>
      </c>
      <c r="BE18" s="18" t="str">
        <f aca="false">IF($C18="","",EDATE($C18,Milestones!$AA$65))</f>
        <v/>
      </c>
      <c r="BF18" s="18" t="str">
        <f aca="false">IF($C18="","",EDATE($C18,Milestones!$AA$66))</f>
        <v/>
      </c>
      <c r="BG18" s="18" t="str">
        <f aca="false">IF($C18="","",EDATE($C18,Milestones!$AA$67))</f>
        <v/>
      </c>
      <c r="BH18" s="18" t="str">
        <f aca="false">IF($C18="","",EDATE($C18,Milestones!$AA$68))</f>
        <v/>
      </c>
      <c r="BI18" s="18" t="str">
        <f aca="false">IF($C18="","",EDATE($C18,Milestones!$AA$69))</f>
        <v/>
      </c>
      <c r="BJ18" s="18" t="str">
        <f aca="false">IF($C18="","",EDATE($C18,Milestones!$AA$70))</f>
        <v/>
      </c>
      <c r="BK18" s="18" t="str">
        <f aca="false">IF($C18="","",EDATE($C18,Milestones!$AA$71))</f>
        <v/>
      </c>
      <c r="BL18" s="18" t="str">
        <f aca="false">IF($C18="","",EDATE($C18,Milestones!$AA$72))</f>
        <v/>
      </c>
      <c r="BM18" s="18" t="str">
        <f aca="false">IF($C18="","",EDATE($C18,Milestones!$AA$73))</f>
        <v/>
      </c>
      <c r="BN18" s="18" t="str">
        <f aca="false">IF($C18="","",EDATE($C18,Milestones!$AA$74))</f>
        <v/>
      </c>
      <c r="BO18" s="18" t="str">
        <f aca="false">IF($C18="","",EDATE($C18,Milestones!$AA$75))</f>
        <v/>
      </c>
      <c r="BP18" s="18" t="str">
        <f aca="false">IF($C18="","",EDATE($C18,Milestones!$AA$76))</f>
        <v/>
      </c>
      <c r="BQ18" s="18" t="str">
        <f aca="false">IF($C18="","",EDATE($C18,Milestones!$AA$77))</f>
        <v/>
      </c>
      <c r="BR18" s="18" t="str">
        <f aca="false">IF($C18="","",EDATE($C18,Milestones!$AA$78))</f>
        <v/>
      </c>
      <c r="BS18" s="18" t="str">
        <f aca="false">IF($C18="","",EDATE($C18,Milestones!$AA$79))</f>
        <v/>
      </c>
      <c r="BT18" s="18" t="str">
        <f aca="false">IF($C18="","",EDATE($C18,Milestones!$AA$80))</f>
        <v/>
      </c>
      <c r="BU18" s="18" t="str">
        <f aca="false">IF($C18="","",EDATE($C18,Milestones!$AA$81))</f>
        <v/>
      </c>
      <c r="BV18" s="18" t="str">
        <f aca="false">IF($C18="","",EDATE($C18,Milestones!$AA$82))</f>
        <v/>
      </c>
      <c r="BW18" s="18" t="str">
        <f aca="false">IF($C18="","",EDATE($C18,Milestones!$AA$83))</f>
        <v/>
      </c>
      <c r="BX18" s="18" t="str">
        <f aca="false">IF($C18="","",EDATE($C18,Milestones!$AA$84))</f>
        <v/>
      </c>
      <c r="BY18" s="18" t="str">
        <f aca="false">IF($C18="","",EDATE($C18,Milestones!$AA$85))</f>
        <v/>
      </c>
      <c r="BZ18" s="18" t="str">
        <f aca="false">IF($C18="","",EDATE($C18,Milestones!$AA$86))</f>
        <v/>
      </c>
      <c r="CA18" s="18" t="str">
        <f aca="false">IF($C18="","",EDATE($C18,Milestones!$AA$87))</f>
        <v/>
      </c>
      <c r="CB18" s="18" t="str">
        <f aca="false">IF($C18="","",EDATE($C18,Milestones!$AA$88))</f>
        <v/>
      </c>
      <c r="CC18" s="18" t="str">
        <f aca="false">IF($C18="","",EDATE($C18,Milestones!$AA$89))</f>
        <v/>
      </c>
      <c r="CD18" s="18" t="str">
        <f aca="false">IF($C18="","",EDATE($C18,Milestones!$AA$90))</f>
        <v/>
      </c>
      <c r="CE18" s="18" t="str">
        <f aca="false">IF($C18="","",EDATE($C18,Milestones!$AA$91))</f>
        <v/>
      </c>
      <c r="CF18" s="18" t="str">
        <f aca="false">IF($C18="","",EDATE($C18,Milestones!$AA$92))</f>
        <v/>
      </c>
      <c r="CG18" s="18" t="str">
        <f aca="false">IF($C18="","",EDATE($C18,Milestones!$AA$93))</f>
        <v/>
      </c>
      <c r="CH18" s="18" t="str">
        <f aca="false">IF($C18="","",EDATE($C18,Milestones!$AA$94))</f>
        <v/>
      </c>
      <c r="CI18" s="18" t="str">
        <f aca="false">IF($C18="","",EDATE($C18,Milestones!$AA$95))</f>
        <v/>
      </c>
      <c r="CJ18" s="18" t="str">
        <f aca="false">IF($C18="","",EDATE($C18,Milestones!$AA$96))</f>
        <v/>
      </c>
      <c r="CK18" s="18" t="str">
        <f aca="false">IF($C18="","",EDATE($C18,Milestones!$AA$97))</f>
        <v/>
      </c>
      <c r="CL18" s="18" t="str">
        <f aca="false">IF($C18="","",EDATE($C18,Milestones!$AA$98))</f>
        <v/>
      </c>
      <c r="CM18" s="18" t="str">
        <f aca="false">IF($C18="","",EDATE($C18,Milestones!$AA$99))</f>
        <v/>
      </c>
      <c r="CN18" s="18" t="str">
        <f aca="false">IF($C18="","",EDATE($C18,Milestones!$AA$100))</f>
        <v/>
      </c>
      <c r="CO18" s="18" t="str">
        <f aca="false">IF($C18="","",EDATE($C18,Milestones!$AA$101))</f>
        <v/>
      </c>
      <c r="CP18" s="18" t="str">
        <f aca="false">IF($C18="","",EDATE($C18,Milestones!$AA$102))</f>
        <v/>
      </c>
      <c r="CQ18" s="18" t="str">
        <f aca="false">IF($C18="","",EDATE($C18,Milestones!$AA$103))</f>
        <v/>
      </c>
      <c r="CR18" s="18" t="str">
        <f aca="false">IF($C18="","",EDATE($C18,Milestones!$AA$104))</f>
        <v/>
      </c>
      <c r="CS18" s="18" t="str">
        <f aca="false">IF($C18="","",EDATE($C18,Milestones!$AA$105))</f>
        <v/>
      </c>
      <c r="CT18" s="18" t="str">
        <f aca="false">IF($C18="","",EDATE($C18,Milestones!$AA$106))</f>
        <v/>
      </c>
      <c r="CU18" s="18" t="str">
        <f aca="false">IF($C18="","",EDATE($C18,Milestones!$AA$107))</f>
        <v/>
      </c>
      <c r="CV18" s="18" t="str">
        <f aca="false">IF($C18="","",EDATE($C18,Milestones!$AA$108))</f>
        <v/>
      </c>
      <c r="CW18" s="18" t="str">
        <f aca="false">IF($C18="","",EDATE($C18,Milestones!$AA$109))</f>
        <v/>
      </c>
      <c r="CX18" s="18" t="str">
        <f aca="false">IF($C18="","",EDATE($C18,Milestones!$AA$110))</f>
        <v/>
      </c>
      <c r="CY18" s="18" t="str">
        <f aca="false">IF($C18="","",EDATE($C18,Milestones!$AA$111))</f>
        <v/>
      </c>
      <c r="CZ18" s="18" t="str">
        <f aca="false">IF($C18="","",EDATE($C18,Milestones!$AA$112))</f>
        <v/>
      </c>
      <c r="DA18" s="18" t="str">
        <f aca="false">IF($C18="","",EDATE($C18,Milestones!$AA$113))</f>
        <v/>
      </c>
      <c r="DB18" s="18" t="str">
        <f aca="false">IF($C18="","",EDATE($C18,Milestones!$AA$114))</f>
        <v/>
      </c>
      <c r="DC18" s="18" t="str">
        <f aca="false">IF($C18="","",EDATE($C18,Milestones!$AA$115))</f>
        <v/>
      </c>
      <c r="DD18" s="18" t="str">
        <f aca="false">IF($C18="","",EDATE($C18,Milestones!$AA$116))</f>
        <v/>
      </c>
      <c r="DE18" s="18" t="str">
        <f aca="false">IF($C18="","",EDATE($C18,Milestones!$AA$117))</f>
        <v/>
      </c>
      <c r="DF18" s="18" t="str">
        <f aca="false">IF($C18="","",EDATE($C18,Milestones!$AA$118))</f>
        <v/>
      </c>
      <c r="DG18" s="18" t="str">
        <f aca="false">IF($C18="","",EDATE($C18,Milestones!$AA$119))</f>
        <v/>
      </c>
      <c r="DH18" s="18" t="str">
        <f aca="false">IF($C18="","",EDATE($C18,Milestones!$AA$120))</f>
        <v/>
      </c>
      <c r="DI18" s="18" t="str">
        <f aca="false">IF($C18="","",EDATE($C18,Milestones!$AA$121))</f>
        <v/>
      </c>
      <c r="DJ18" s="18" t="str">
        <f aca="false">IF($C18="","",EDATE($C18,Milestones!$AA$122))</f>
        <v/>
      </c>
      <c r="DK18" s="18" t="str">
        <f aca="false">IF($C18="","",EDATE($C18,Milestones!$AA$123))</f>
        <v/>
      </c>
      <c r="DL18" s="18" t="str">
        <f aca="false">IF($C18="","",EDATE($C18,Milestones!$AA$124))</f>
        <v/>
      </c>
      <c r="DM18" s="18" t="str">
        <f aca="false">IF($C18="","",EDATE($C18,Milestones!$AA$125))</f>
        <v/>
      </c>
      <c r="DN18" s="18" t="str">
        <f aca="false">IF($C18="","",EDATE($C18,Milestones!$AA$126))</f>
        <v/>
      </c>
      <c r="DO18" s="18" t="str">
        <f aca="false">IF($C18="","",EDATE($C18,Milestones!$AA$127))</f>
        <v/>
      </c>
      <c r="DP18" s="18" t="str">
        <f aca="false">IF($C18="","",EDATE($C18,Milestones!$AA$128))</f>
        <v/>
      </c>
      <c r="DQ18" s="18" t="str">
        <f aca="false">IF($C18="","",EDATE($C18,Milestones!$AA$129))</f>
        <v/>
      </c>
      <c r="DR18" s="18" t="str">
        <f aca="false">IF($C18="","",EDATE($C18,Milestones!$AA$130))</f>
        <v/>
      </c>
      <c r="DS18" s="18" t="str">
        <f aca="false">IF($C18="","",EDATE($C18,Milestones!$AA$131))</f>
        <v/>
      </c>
      <c r="DT18" s="18" t="str">
        <f aca="false">IF($C18="","",EDATE($C18,Milestones!$AA$132))</f>
        <v/>
      </c>
      <c r="DU18" s="18" t="str">
        <f aca="false">IF($C18="","",EDATE($C18,Milestones!$AA$133))</f>
        <v/>
      </c>
      <c r="DV18" s="18" t="str">
        <f aca="false">IF($C18="","",EDATE($C18,Milestones!$AA$134))</f>
        <v/>
      </c>
      <c r="DW18" s="18" t="str">
        <f aca="false">IF($C18="","",EDATE($C18,Milestones!$AA$135))</f>
        <v/>
      </c>
      <c r="DX18" s="18" t="str">
        <f aca="false">IF($C18="","",EDATE($C18,Milestones!$AA$136))</f>
        <v/>
      </c>
      <c r="DY18" s="18" t="str">
        <f aca="false">IF($C18="","",EDATE($C18,Milestones!$AA$137))</f>
        <v/>
      </c>
      <c r="DZ18" s="18" t="str">
        <f aca="false">IF($C18="","",EDATE($C18,Milestones!$AA$138))</f>
        <v/>
      </c>
      <c r="EA18" s="18" t="str">
        <f aca="false">IF($C18="","",EDATE($C18,Milestones!$AA$139))</f>
        <v/>
      </c>
      <c r="EB18" s="18" t="str">
        <f aca="false">IF($C18="","",EDATE($C18,Milestones!$AA$140))</f>
        <v/>
      </c>
      <c r="EC18" s="18" t="str">
        <f aca="false">IF($C18="","",EDATE($C18,Milestones!$AA$141))</f>
        <v/>
      </c>
      <c r="ED18" s="18" t="str">
        <f aca="false">IF($C18="","",EDATE($C18,Milestones!$AA$142))</f>
        <v/>
      </c>
      <c r="EE18" s="18" t="str">
        <f aca="false">IF($C18="","",EDATE($C18,Milestones!$AA$143))</f>
        <v/>
      </c>
      <c r="EF18" s="18" t="str">
        <f aca="false">IF($C18="","",EDATE($C18,Milestones!$AA$144))</f>
        <v/>
      </c>
      <c r="EG18" s="18" t="str">
        <f aca="false">IF($C18="","",EDATE($C18,Milestones!$AA$145))</f>
        <v/>
      </c>
      <c r="EH18" s="18" t="str">
        <f aca="false">IF($C18="","",EDATE($C18,Milestones!$AA$146))</f>
        <v/>
      </c>
      <c r="EI18" s="18" t="str">
        <f aca="false">IF($C18="","",EDATE($C18,Milestones!$AA$147))</f>
        <v/>
      </c>
      <c r="EJ18" s="18" t="str">
        <f aca="false">IF($C18="","",EDATE($C18,Milestones!$AA$148))</f>
        <v/>
      </c>
      <c r="EK18" s="18" t="str">
        <f aca="false">IF($C18="","",EDATE($C18,Milestones!$AA$149))</f>
        <v/>
      </c>
      <c r="EL18" s="18" t="str">
        <f aca="false">IF($C18="","",EDATE($C18,Milestones!$AA$150))</f>
        <v/>
      </c>
      <c r="EM18" s="18" t="str">
        <f aca="false">IF($C18="","",EDATE($C18,Milestones!$AA$151))</f>
        <v/>
      </c>
      <c r="EN18" s="18" t="str">
        <f aca="false">IF($C18="","",EDATE($C18,Milestones!$AA$152))</f>
        <v/>
      </c>
      <c r="EO18" s="18" t="str">
        <f aca="false">IF($C18="","",EDATE($C18,Milestones!$AA$153))</f>
        <v/>
      </c>
      <c r="EP18" s="18" t="str">
        <f aca="false">IF($C18="","",EDATE($C18,Milestones!$AA$154))</f>
        <v/>
      </c>
      <c r="EQ18" s="18" t="str">
        <f aca="false">IF($C18="","",EDATE($C18,Milestones!$AA$155))</f>
        <v/>
      </c>
      <c r="ER18" s="18" t="str">
        <f aca="false">IF($C18="","",EDATE($C18,Milestones!$AA$156))</f>
        <v/>
      </c>
      <c r="ES18" s="18" t="str">
        <f aca="false">IF($C18="","",EDATE($C18,Milestones!$AA$157))</f>
        <v/>
      </c>
      <c r="ET18" s="18" t="str">
        <f aca="false">IF($C18="","",EDATE($C18,Milestones!$AA$158))</f>
        <v/>
      </c>
      <c r="EU18" s="18" t="str">
        <f aca="false">IF($C18="","",EDATE($C18,Milestones!$AA$159))</f>
        <v/>
      </c>
      <c r="EV18" s="18" t="str">
        <f aca="false">IF($C18="","",EDATE($C18,Milestones!$AA$160))</f>
        <v/>
      </c>
      <c r="EW18" s="18" t="str">
        <f aca="false">IF($C18="","",EDATE($C18,Milestones!$AA$161))</f>
        <v/>
      </c>
      <c r="EX18" s="18" t="str">
        <f aca="false">IF($C18="","",EDATE($C18,Milestones!$AA$162))</f>
        <v/>
      </c>
      <c r="EY18" s="18" t="str">
        <f aca="false">IF($C18="","",EDATE($C18,Milestones!$AA$163))</f>
        <v/>
      </c>
      <c r="EZ18" s="18" t="str">
        <f aca="false">IF($C18="","",EDATE($C18,Milestones!$AA$164))</f>
        <v/>
      </c>
      <c r="FA18" s="18" t="str">
        <f aca="false">IF($C18="","",EDATE($C18,Milestones!$AA$165))</f>
        <v/>
      </c>
      <c r="FB18" s="18" t="str">
        <f aca="false">IF($C18="","",EDATE($C18,Milestones!$AA$166))</f>
        <v/>
      </c>
      <c r="FC18" s="18" t="str">
        <f aca="false">IF($C18="","",EDATE($C18,Milestones!$AA$167))</f>
        <v/>
      </c>
      <c r="FD18" s="18" t="str">
        <f aca="false">IF($C18="","",EDATE($C18,Milestones!$AA$168))</f>
        <v/>
      </c>
      <c r="FE18" s="18" t="str">
        <f aca="false">IF($C18="","",EDATE($C18,Milestones!$AA$169))</f>
        <v/>
      </c>
      <c r="FF18" s="18" t="str">
        <f aca="false">IF($C18="","",EDATE($C18,Milestones!$AA$170))</f>
        <v/>
      </c>
      <c r="FG18" s="18" t="str">
        <f aca="false">IF($C18="","",EDATE($C18,Milestones!$AA$171))</f>
        <v/>
      </c>
      <c r="FH18" s="18" t="str">
        <f aca="false">IF($C18="","",EDATE($C18,Milestones!$AA$172))</f>
        <v/>
      </c>
      <c r="FI18" s="18" t="str">
        <f aca="false">IF($C18="","",EDATE($C18,Milestones!$AA$173))</f>
        <v/>
      </c>
      <c r="FJ18" s="18" t="str">
        <f aca="false">IF($C18="","",EDATE($C18,Milestones!$AA$174))</f>
        <v/>
      </c>
      <c r="FK18" s="18" t="str">
        <f aca="false">IF($C18="","",EDATE($C18,Milestones!$AA$175))</f>
        <v/>
      </c>
      <c r="FL18" s="18" t="str">
        <f aca="false">IF($C18="","",EDATE($C18,Milestones!$AA$176))</f>
        <v/>
      </c>
      <c r="FM18" s="18" t="str">
        <f aca="false">IF($C18="","",EDATE($C18,Milestones!$AA$177))</f>
        <v/>
      </c>
      <c r="FN18" s="18" t="str">
        <f aca="false">IF($C18="","",EDATE($C18,Milestones!$AA$178))</f>
        <v/>
      </c>
      <c r="FO18" s="18" t="str">
        <f aca="false">IF($C18="","",EDATE($C18,Milestones!$AA$179))</f>
        <v/>
      </c>
      <c r="FP18" s="18" t="str">
        <f aca="false">IF($C18="","",EDATE($C18,Milestones!$AA$180))</f>
        <v/>
      </c>
      <c r="FQ18" s="18" t="str">
        <f aca="false">IF($C18="","",EDATE($C18,Milestones!$AA$181))</f>
        <v/>
      </c>
      <c r="FR18" s="18" t="str">
        <f aca="false">IF($C18="","",EDATE($C18,Milestones!$AA$182))</f>
        <v/>
      </c>
      <c r="FS18" s="18" t="str">
        <f aca="false">IF($C18="","",EDATE($C18,Milestones!$AA$183))</f>
        <v/>
      </c>
      <c r="FT18" s="18" t="str">
        <f aca="false">IF($C18="","",EDATE($C18,Milestones!$AA$184))</f>
        <v/>
      </c>
      <c r="FU18" s="18" t="str">
        <f aca="false">IF($C18="","",EDATE($C18,Milestones!$AA$185))</f>
        <v/>
      </c>
      <c r="FV18" s="18" t="str">
        <f aca="false">IF($C18="","",EDATE($C18,Milestones!$AA$186))</f>
        <v/>
      </c>
      <c r="FW18" s="18" t="str">
        <f aca="false">IF($C18="","",EDATE($C18,Milestones!$AA$187))</f>
        <v/>
      </c>
      <c r="FX18" s="18" t="str">
        <f aca="false">IF($C18="","",EDATE($C18,Milestones!$AA$188))</f>
        <v/>
      </c>
      <c r="FY18" s="18" t="str">
        <f aca="false">IF($C18="","",EDATE($C18,Milestones!$AA$189))</f>
        <v/>
      </c>
      <c r="FZ18" s="18" t="str">
        <f aca="false">IF($C18="","",EDATE($C18,Milestones!$AA$190))</f>
        <v/>
      </c>
      <c r="GA18" s="18" t="str">
        <f aca="false">IF($C18="","",EDATE($C18,Milestones!$AA$191))</f>
        <v/>
      </c>
      <c r="GB18" s="18" t="str">
        <f aca="false">IF($C18="","",EDATE($C18,Milestones!$AA$192))</f>
        <v/>
      </c>
      <c r="GC18" s="18" t="str">
        <f aca="false">IF($C18="","",EDATE($C18,Milestones!$AA$193))</f>
        <v/>
      </c>
      <c r="GD18" s="18" t="str">
        <f aca="false">IF($C18="","",EDATE($C18,Milestones!$AA$194))</f>
        <v/>
      </c>
      <c r="GE18" s="18" t="str">
        <f aca="false">IF($C18="","",EDATE($C18,Milestones!$AA$195))</f>
        <v/>
      </c>
      <c r="GF18" s="18" t="str">
        <f aca="false">IF($C18="","",EDATE($C18,Milestones!$AA$196))</f>
        <v/>
      </c>
      <c r="GG18" s="18" t="str">
        <f aca="false">IF($C18="","",EDATE($C18,Milestones!$AA$197))</f>
        <v/>
      </c>
      <c r="GH18" s="18" t="str">
        <f aca="false">IF($C18="","",EDATE($C18,Milestones!$AA$198))</f>
        <v/>
      </c>
      <c r="GI18" s="18" t="str">
        <f aca="false">IF($C18="","",EDATE($C18,Milestones!$AA$199))</f>
        <v/>
      </c>
    </row>
    <row r="19" customFormat="false" ht="15" hidden="false" customHeight="false" outlineLevel="0" collapsed="false">
      <c r="K19" s="0" t="s">
        <v>229</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230</v>
      </c>
      <c r="L20" s="0" t="n">
        <f aca="false">IF(L18="",0,IF(L19=Milestones!$AB$20,Milestones!$AC$20,0))</f>
        <v>0</v>
      </c>
      <c r="M20" s="0" t="n">
        <f aca="false">IF(M18="",0,IF(M19=Milestones!$AB$21,Milestones!$AC$21,0))</f>
        <v>0</v>
      </c>
      <c r="N20" s="0" t="n">
        <f aca="false">IF(N18="",0,IF(N19=Milestones!$AB$22,Milestones!$AC$22,0))</f>
        <v>0</v>
      </c>
      <c r="O20" s="0" t="n">
        <f aca="false">IF(O18="",0,IF(O19=Milestones!$AB$23,Milestones!$AC$23,0))</f>
        <v>0</v>
      </c>
      <c r="P20" s="0" t="n">
        <f aca="false">IF(P18="",0,IF(P19=Milestones!$AB$24,Milestones!$AC$24,0))</f>
        <v>0</v>
      </c>
      <c r="Q20" s="0" t="n">
        <f aca="false">IF(Q18="",0,IF(Q19=Milestones!$AB$25,Milestones!$AC$25,0))</f>
        <v>0</v>
      </c>
      <c r="R20" s="0" t="n">
        <f aca="false">IF(R18="",0,IF(R19=Milestones!$AB$26,Milestones!$AC$26,0))</f>
        <v>0</v>
      </c>
      <c r="S20" s="0" t="n">
        <f aca="false">IF(S18="",0,IF(S19=Milestones!$AB$27,Milestones!$AC$27,0))</f>
        <v>0</v>
      </c>
      <c r="T20" s="0" t="n">
        <f aca="false">IF(T18="",0,IF(T19=Milestones!$AB$28,Milestones!$AC$28,0))</f>
        <v>0</v>
      </c>
      <c r="U20" s="0" t="n">
        <f aca="false">IF(U18="",0,IF(U19=Milestones!$AB$29,Milestones!$AC$29,0))</f>
        <v>0</v>
      </c>
      <c r="V20" s="0" t="n">
        <f aca="false">IF(V18="",0,IF(V19=Milestones!$AB$30,Milestones!$AC$30,0))</f>
        <v>0</v>
      </c>
      <c r="W20" s="0" t="n">
        <f aca="false">IF(W18="",0,IF(W19=Milestones!$AB$31,Milestones!$AC$31,0))</f>
        <v>0</v>
      </c>
      <c r="X20" s="0" t="n">
        <f aca="false">IF(X18="",0,IF(X19=Milestones!$AB$32,Milestones!$AC$32,0))</f>
        <v>0</v>
      </c>
      <c r="Y20" s="0" t="n">
        <f aca="false">IF(Y18="",0,IF(Y19=Milestones!$AB$33,Milestones!$AC$33,0))</f>
        <v>0</v>
      </c>
      <c r="Z20" s="0" t="n">
        <f aca="false">IF(Z18="",0,IF(Z19=Milestones!$AB$34,Milestones!$AC$34,0))</f>
        <v>0</v>
      </c>
      <c r="AA20" s="0" t="n">
        <f aca="false">IF(AA18="",0,IF(AA19=Milestones!$AB$35,Milestones!$AC$35,0))</f>
        <v>0</v>
      </c>
      <c r="AB20" s="0" t="n">
        <f aca="false">IF(AB18="",0,IF(AB19=Milestones!$AB$36,Milestones!$AC$36,0))</f>
        <v>0</v>
      </c>
      <c r="AC20" s="0" t="n">
        <f aca="false">IF(AC18="",0,IF(AC19=Milestones!$AB$37,Milestones!$AC$37,0))</f>
        <v>0</v>
      </c>
      <c r="AD20" s="0" t="n">
        <f aca="false">IF(AD18="",0,IF(AD19=Milestones!$AB$38,Milestones!$AC$38,0))</f>
        <v>0</v>
      </c>
      <c r="AE20" s="0" t="n">
        <f aca="false">IF(AE18="",0,IF(AE19=Milestones!$AB$39,Milestones!$AC$39,0))</f>
        <v>0</v>
      </c>
      <c r="AF20" s="0" t="n">
        <f aca="false">IF(AF18="",0,IF(AF19=Milestones!$AB$40,Milestones!$AC$40,0))</f>
        <v>0</v>
      </c>
      <c r="AG20" s="0" t="n">
        <f aca="false">IF(AG18="",0,IF(AG19=Milestones!$AB$41,Milestones!$AC$41,0))</f>
        <v>0</v>
      </c>
      <c r="AH20" s="0" t="n">
        <f aca="false">IF(AH18="",0,IF(AH19=Milestones!$AB$42,Milestones!$AC$42,0))</f>
        <v>0</v>
      </c>
      <c r="AI20" s="0" t="n">
        <f aca="false">IF(AI18="",0,IF(AI19=Milestones!$AB$43,Milestones!$AC$43,0))</f>
        <v>0</v>
      </c>
      <c r="AJ20" s="0" t="n">
        <f aca="false">IF(AJ18="",0,IF(AJ19=Milestones!$AB$44,Milestones!$AC$44,0))</f>
        <v>0</v>
      </c>
      <c r="AK20" s="0" t="n">
        <f aca="false">IF(AK18="",0,IF(AK19=Milestones!$AB$45,Milestones!$AC$45,0))</f>
        <v>0</v>
      </c>
      <c r="AL20" s="0" t="n">
        <f aca="false">IF(AL18="",0,IF(AL19=Milestones!$AB$46,Milestones!$AC$46,0))</f>
        <v>0</v>
      </c>
      <c r="AM20" s="0" t="n">
        <f aca="false">IF(AM18="",0,IF(AM19=Milestones!$AB$47,Milestones!$AC$47,0))</f>
        <v>0</v>
      </c>
      <c r="AN20" s="0" t="n">
        <f aca="false">IF(AN18="",0,IF(AN19=Milestones!$AB$48,Milestones!$AC$48,0))</f>
        <v>0</v>
      </c>
      <c r="AO20" s="0" t="n">
        <f aca="false">IF(AO18="",0,IF(AO19=Milestones!$AB$49,Milestones!$AC$49,0))</f>
        <v>0</v>
      </c>
      <c r="AP20" s="0" t="n">
        <f aca="false">IF(AP18="",0,IF(AP19=Milestones!$AB$50,Milestones!$AC$50,0))</f>
        <v>0</v>
      </c>
      <c r="AQ20" s="0" t="n">
        <f aca="false">IF(AQ18="",0,IF(AQ19=Milestones!$AB$51,Milestones!$AC$51,0))</f>
        <v>0</v>
      </c>
      <c r="AR20" s="0" t="n">
        <f aca="false">IF(AR18="",0,IF(AR19=Milestones!$AB$52,Milestones!$AC$52,0))</f>
        <v>0</v>
      </c>
      <c r="AS20" s="0" t="n">
        <f aca="false">IF(AS18="",0,IF(AS19=Milestones!$AB$53,Milestones!$AC$53,0))</f>
        <v>0</v>
      </c>
      <c r="AT20" s="0" t="n">
        <f aca="false">IF(AT18="",0,IF(AT19=Milestones!$AB$54,Milestones!$AC$54,0))</f>
        <v>0</v>
      </c>
      <c r="AU20" s="0" t="n">
        <f aca="false">IF(AU18="",0,IF(AU19=Milestones!$AB$55,Milestones!$AC$55,0))</f>
        <v>0</v>
      </c>
      <c r="AV20" s="0" t="n">
        <f aca="false">IF(AV18="",0,IF(AV19=Milestones!$AB$56,Milestones!$AC$56,0))</f>
        <v>0</v>
      </c>
      <c r="AW20" s="0" t="n">
        <f aca="false">IF(AW18="",0,IF(AW19=Milestones!$AB$57,Milestones!$AC$57,0))</f>
        <v>0</v>
      </c>
      <c r="AX20" s="0" t="n">
        <f aca="false">IF(AX18="",0,IF(AX19=Milestones!$AB$58,Milestones!$AC$58,0))</f>
        <v>0</v>
      </c>
      <c r="AY20" s="0" t="n">
        <f aca="false">IF(AY18="",0,IF(AY19=Milestones!$AB$59,Milestones!$AC$59,0))</f>
        <v>0</v>
      </c>
      <c r="AZ20" s="0" t="n">
        <f aca="false">IF(AZ18="",0,IF(AZ19=Milestones!$AB$60,Milestones!$AC$60,0))</f>
        <v>0</v>
      </c>
      <c r="BA20" s="0" t="n">
        <f aca="false">IF(BA18="",0,IF(BA19=Milestones!$AB$61,Milestones!$AC$61,0))</f>
        <v>0</v>
      </c>
      <c r="BB20" s="0" t="n">
        <f aca="false">IF(BB18="",0,IF(BB19=Milestones!$AB$62,Milestones!$AC$62,0))</f>
        <v>0</v>
      </c>
      <c r="BC20" s="0" t="n">
        <f aca="false">IF(BC18="",0,IF(BC19=Milestones!$AB$63,Milestones!$AC$63,0))</f>
        <v>0</v>
      </c>
      <c r="BD20" s="0" t="n">
        <f aca="false">IF(BD18="",0,IF(BD19=Milestones!$AB$64,Milestones!$AC$64,0))</f>
        <v>0</v>
      </c>
      <c r="BE20" s="0" t="n">
        <f aca="false">IF(BE18="",0,IF(BE19=Milestones!$AB$65,Milestones!$AC$65,0))</f>
        <v>0</v>
      </c>
      <c r="BF20" s="0" t="n">
        <f aca="false">IF(BF18="",0,IF(BF19=Milestones!$AB$66,Milestones!$AC$66,0))</f>
        <v>0</v>
      </c>
      <c r="BG20" s="0" t="n">
        <f aca="false">IF(BG18="",0,IF(BG19=Milestones!$AB$67,Milestones!$AC$67,0))</f>
        <v>0</v>
      </c>
      <c r="BH20" s="0" t="n">
        <f aca="false">IF(BH18="",0,IF(BH19=Milestones!$AB$68,Milestones!$AC$68,0))</f>
        <v>0</v>
      </c>
      <c r="BI20" s="0" t="n">
        <f aca="false">IF(BI18="",0,IF(BI19=Milestones!$AB$69,Milestones!$AC$69,0))</f>
        <v>0</v>
      </c>
      <c r="BJ20" s="0" t="n">
        <f aca="false">IF(BJ18="",0,IF(BJ19=Milestones!$AB$70,Milestones!$AC$70,0))</f>
        <v>0</v>
      </c>
      <c r="BK20" s="0" t="n">
        <f aca="false">IF(BK18="",0,IF(BK19=Milestones!$AB$71,Milestones!$AC$71,0))</f>
        <v>0</v>
      </c>
      <c r="BL20" s="0" t="n">
        <f aca="false">IF(BL18="",0,IF(BL19=Milestones!$AB$72,Milestones!$AC$72,0))</f>
        <v>0</v>
      </c>
      <c r="BM20" s="0" t="n">
        <f aca="false">IF(BM18="",0,IF(BM19=Milestones!$AB$73,Milestones!$AC$73,0))</f>
        <v>0</v>
      </c>
      <c r="BN20" s="0" t="n">
        <f aca="false">IF(BN18="",0,IF(BN19=Milestones!$AB$74,Milestones!$AC$74,0))</f>
        <v>0</v>
      </c>
      <c r="BO20" s="0" t="n">
        <f aca="false">IF(BO18="",0,IF(BO19=Milestones!$AB$75,Milestones!$AC$75,0))</f>
        <v>0</v>
      </c>
      <c r="BP20" s="0" t="n">
        <f aca="false">IF(BP18="",0,IF(BP19=Milestones!$AB$76,Milestones!$AC$76,0))</f>
        <v>0</v>
      </c>
      <c r="BQ20" s="0" t="n">
        <f aca="false">IF(BQ18="",0,IF(BQ19=Milestones!$AB$77,Milestones!$AC$77,0))</f>
        <v>0</v>
      </c>
      <c r="BR20" s="0" t="n">
        <f aca="false">IF(BR18="",0,IF(BR19=Milestones!$AB$78,Milestones!$AC$78,0))</f>
        <v>0</v>
      </c>
      <c r="BS20" s="0" t="n">
        <f aca="false">IF(BS18="",0,IF(BS19=Milestones!$AB$79,Milestones!$AC$79,0))</f>
        <v>0</v>
      </c>
      <c r="BT20" s="0" t="n">
        <f aca="false">IF(BT18="",0,IF(BT19=Milestones!$AB$80,Milestones!$AC$80,0))</f>
        <v>0</v>
      </c>
      <c r="BU20" s="0" t="n">
        <f aca="false">IF(BU18="",0,IF(BU19=Milestones!$AB$81,Milestones!$AC$81,0))</f>
        <v>0</v>
      </c>
      <c r="BV20" s="0" t="n">
        <f aca="false">IF(BV18="",0,IF(BV19=Milestones!$AB$82,Milestones!$AC$82,0))</f>
        <v>0</v>
      </c>
      <c r="BW20" s="0" t="n">
        <f aca="false">IF(BW18="",0,IF(BW19=Milestones!$AB$83,Milestones!$AC$83,0))</f>
        <v>0</v>
      </c>
      <c r="BX20" s="0" t="n">
        <f aca="false">IF(BX18="",0,IF(BX19=Milestones!$AB$84,Milestones!$AC$84,0))</f>
        <v>0</v>
      </c>
      <c r="BY20" s="0" t="n">
        <f aca="false">IF(BY18="",0,IF(BY19=Milestones!$AB$85,Milestones!$AC$85,0))</f>
        <v>0</v>
      </c>
      <c r="BZ20" s="0" t="n">
        <f aca="false">IF(BZ18="",0,IF(BZ19=Milestones!$AB$86,Milestones!$AC$86,0))</f>
        <v>0</v>
      </c>
      <c r="CA20" s="0" t="n">
        <f aca="false">IF(CA18="",0,IF(CA19=Milestones!$AB$87,Milestones!$AC$87,0))</f>
        <v>0</v>
      </c>
      <c r="CB20" s="0" t="n">
        <f aca="false">IF(CB18="",0,IF(CB19=Milestones!$AB$88,Milestones!$AC$88,0))</f>
        <v>0</v>
      </c>
      <c r="CC20" s="0" t="n">
        <f aca="false">IF(CC18="",0,IF(CC19=Milestones!$AB$89,Milestones!$AC$89,0))</f>
        <v>0</v>
      </c>
      <c r="CD20" s="0" t="n">
        <f aca="false">IF(CD18="",0,IF(CD19=Milestones!$AB$90,Milestones!$AC$90,0))</f>
        <v>0</v>
      </c>
      <c r="CE20" s="0" t="n">
        <f aca="false">IF(CE18="",0,IF(CE19=Milestones!$AB$91,Milestones!$AC$91,0))</f>
        <v>0</v>
      </c>
      <c r="CF20" s="0" t="n">
        <f aca="false">IF(CF18="",0,IF(CF19=Milestones!$AB$92,Milestones!$AC$92,0))</f>
        <v>0</v>
      </c>
      <c r="CG20" s="0" t="n">
        <f aca="false">IF(CG18="",0,IF(CG19=Milestones!$AB$93,Milestones!$AC$93,0))</f>
        <v>0</v>
      </c>
      <c r="CH20" s="0" t="n">
        <f aca="false">IF(CH18="",0,IF(CH19=Milestones!$AB$94,Milestones!$AC$94,0))</f>
        <v>0</v>
      </c>
      <c r="CI20" s="0" t="n">
        <f aca="false">IF(CI18="",0,IF(CI19=Milestones!$AB$95,Milestones!$AC$95,0))</f>
        <v>0</v>
      </c>
      <c r="CJ20" s="0" t="n">
        <f aca="false">IF(CJ18="",0,IF(CJ19=Milestones!$AB$96,Milestones!$AC$96,0))</f>
        <v>0</v>
      </c>
      <c r="CK20" s="0" t="n">
        <f aca="false">IF(CK18="",0,IF(CK19=Milestones!$AB$97,Milestones!$AC$97,0))</f>
        <v>0</v>
      </c>
      <c r="CL20" s="0" t="n">
        <f aca="false">IF(CL18="",0,IF(CL19=Milestones!$AB$98,Milestones!$AC$98,0))</f>
        <v>0</v>
      </c>
      <c r="CM20" s="0" t="n">
        <f aca="false">IF(CM18="",0,IF(CM19=Milestones!$AB$99,Milestones!$AC$99,0))</f>
        <v>0</v>
      </c>
      <c r="CN20" s="0" t="n">
        <f aca="false">IF(CN18="",0,IF(CN19=Milestones!$AB$100,Milestones!$AC$100,0))</f>
        <v>0</v>
      </c>
      <c r="CO20" s="0" t="n">
        <f aca="false">IF(CO18="",0,IF(CO19=Milestones!$AB$101,Milestones!$AC$101,0))</f>
        <v>0</v>
      </c>
      <c r="CP20" s="0" t="n">
        <f aca="false">IF(CP18="",0,IF(CP19=Milestones!$AB$102,Milestones!$AC$102,0))</f>
        <v>0</v>
      </c>
      <c r="CQ20" s="0" t="n">
        <f aca="false">IF(CQ18="",0,IF(CQ19=Milestones!$AB$103,Milestones!$AC$103,0))</f>
        <v>0</v>
      </c>
      <c r="CR20" s="0" t="n">
        <f aca="false">IF(CR18="",0,IF(CR19=Milestones!$AB$104,Milestones!$AC$104,0))</f>
        <v>0</v>
      </c>
      <c r="CS20" s="0" t="n">
        <f aca="false">IF(CS18="",0,IF(CS19=Milestones!$AB$105,Milestones!$AC$105,0))</f>
        <v>0</v>
      </c>
      <c r="CT20" s="0" t="n">
        <f aca="false">IF(CT18="",0,IF(CT19=Milestones!$AB$106,Milestones!$AC$106,0))</f>
        <v>0</v>
      </c>
      <c r="CU20" s="0" t="n">
        <f aca="false">IF(CU18="",0,IF(CU19=Milestones!$AB$107,Milestones!$AC$107,0))</f>
        <v>0</v>
      </c>
      <c r="CV20" s="0" t="n">
        <f aca="false">IF(CV18="",0,IF(CV19=Milestones!$AB$108,Milestones!$AC$108,0))</f>
        <v>0</v>
      </c>
      <c r="CW20" s="0" t="n">
        <f aca="false">IF(CW18="",0,IF(CW19=Milestones!$AB$109,Milestones!$AC$109,0))</f>
        <v>0</v>
      </c>
      <c r="CX20" s="0" t="n">
        <f aca="false">IF(CX18="",0,IF(CX19=Milestones!$AB$110,Milestones!$AC$110,0))</f>
        <v>0</v>
      </c>
      <c r="CY20" s="0" t="n">
        <f aca="false">IF(CY18="",0,IF(CY19=Milestones!$AB$111,Milestones!$AC$111,0))</f>
        <v>0</v>
      </c>
      <c r="CZ20" s="0" t="n">
        <f aca="false">IF(CZ18="",0,IF(CZ19=Milestones!$AB$112,Milestones!$AC$112,0))</f>
        <v>0</v>
      </c>
      <c r="DA20" s="0" t="n">
        <f aca="false">IF(DA18="",0,IF(DA19=Milestones!$AB$113,Milestones!$AC$113,0))</f>
        <v>0</v>
      </c>
      <c r="DB20" s="0" t="n">
        <f aca="false">IF(DB18="",0,IF(DB19=Milestones!$AB$114,Milestones!$AC$114,0))</f>
        <v>0</v>
      </c>
      <c r="DC20" s="0" t="n">
        <f aca="false">IF(DC18="",0,IF(DC19=Milestones!$AB$115,Milestones!$AC$115,0))</f>
        <v>0</v>
      </c>
      <c r="DD20" s="0" t="n">
        <f aca="false">IF(DD18="",0,IF(DD19=Milestones!$AB$116,Milestones!$AC$116,0))</f>
        <v>0</v>
      </c>
      <c r="DE20" s="0" t="n">
        <f aca="false">IF(DE18="",0,IF(DE19=Milestones!$AB$117,Milestones!$AC$117,0))</f>
        <v>0</v>
      </c>
      <c r="DF20" s="0" t="n">
        <f aca="false">IF(DF18="",0,IF(DF19=Milestones!$AB$118,Milestones!$AC$118,0))</f>
        <v>0</v>
      </c>
      <c r="DG20" s="0" t="n">
        <f aca="false">IF(DG18="",0,IF(DG19=Milestones!$AB$119,Milestones!$AC$119,0))</f>
        <v>0</v>
      </c>
      <c r="DH20" s="0" t="n">
        <f aca="false">IF(DH18="",0,IF(DH19=Milestones!$AB$120,Milestones!$AC$120,0))</f>
        <v>0</v>
      </c>
      <c r="DI20" s="0" t="n">
        <f aca="false">IF(DI18="",0,IF(DI19=Milestones!$AB$121,Milestones!$AC$121,0))</f>
        <v>0</v>
      </c>
      <c r="DJ20" s="0" t="n">
        <f aca="false">IF(DJ18="",0,IF(DJ19=Milestones!$AB$122,Milestones!$AC$122,0))</f>
        <v>0</v>
      </c>
      <c r="DK20" s="0" t="n">
        <f aca="false">IF(DK18="",0,IF(DK19=Milestones!$AB$123,Milestones!$AC$123,0))</f>
        <v>0</v>
      </c>
      <c r="DL20" s="0" t="n">
        <f aca="false">IF(DL18="",0,IF(DL19=Milestones!$AB$124,Milestones!$AC$124,0))</f>
        <v>0</v>
      </c>
      <c r="DM20" s="0" t="n">
        <f aca="false">IF(DM18="",0,IF(DM19=Milestones!$AB$125,Milestones!$AC$125,0))</f>
        <v>0</v>
      </c>
      <c r="DN20" s="0" t="n">
        <f aca="false">IF(DN18="",0,IF(DN19=Milestones!$AB$126,Milestones!$AC$126,0))</f>
        <v>0</v>
      </c>
      <c r="DO20" s="0" t="n">
        <f aca="false">IF(DO18="",0,IF(DO19=Milestones!$AB$127,Milestones!$AC$127,0))</f>
        <v>0</v>
      </c>
      <c r="DP20" s="0" t="n">
        <f aca="false">IF(DP18="",0,IF(DP19=Milestones!$AB$128,Milestones!$AC$128,0))</f>
        <v>0</v>
      </c>
      <c r="DQ20" s="0" t="n">
        <f aca="false">IF(DQ18="",0,IF(DQ19=Milestones!$AB$129,Milestones!$AC$129,0))</f>
        <v>0</v>
      </c>
      <c r="DR20" s="0" t="n">
        <f aca="false">IF(DR18="",0,IF(DR19=Milestones!$AB$130,Milestones!$AC$130,0))</f>
        <v>0</v>
      </c>
      <c r="DS20" s="0" t="n">
        <f aca="false">IF(DS18="",0,IF(DS19=Milestones!$AB$131,Milestones!$AC$131,0))</f>
        <v>0</v>
      </c>
      <c r="DT20" s="0" t="n">
        <f aca="false">IF(DT18="",0,IF(DT19=Milestones!$AB$132,Milestones!$AC$132,0))</f>
        <v>0</v>
      </c>
      <c r="DU20" s="0" t="n">
        <f aca="false">IF(DU18="",0,IF(DU19=Milestones!$AB$133,Milestones!$AC$133,0))</f>
        <v>0</v>
      </c>
      <c r="DV20" s="0" t="n">
        <f aca="false">IF(DV18="",0,IF(DV19=Milestones!$AB$134,Milestones!$AC$134,0))</f>
        <v>0</v>
      </c>
      <c r="DW20" s="0" t="n">
        <f aca="false">IF(DW18="",0,IF(DW19=Milestones!$AB$135,Milestones!$AC$135,0))</f>
        <v>0</v>
      </c>
      <c r="DX20" s="0" t="n">
        <f aca="false">IF(DX18="",0,IF(DX19=Milestones!$AB$136,Milestones!$AC$136,0))</f>
        <v>0</v>
      </c>
      <c r="DY20" s="0" t="n">
        <f aca="false">IF(DY18="",0,IF(DY19=Milestones!$AB$137,Milestones!$AC$137,0))</f>
        <v>0</v>
      </c>
      <c r="DZ20" s="0" t="n">
        <f aca="false">IF(DZ18="",0,IF(DZ19=Milestones!$AB$138,Milestones!$AC$138,0))</f>
        <v>0</v>
      </c>
      <c r="EA20" s="0" t="n">
        <f aca="false">IF(EA18="",0,IF(EA19=Milestones!$AB$139,Milestones!$AC$139,0))</f>
        <v>0</v>
      </c>
      <c r="EB20" s="0" t="n">
        <f aca="false">IF(EB18="",0,IF(EB19=Milestones!$AB$140,Milestones!$AC$140,0))</f>
        <v>0</v>
      </c>
      <c r="EC20" s="0" t="n">
        <f aca="false">IF(EC18="",0,IF(EC19=Milestones!$AB$141,Milestones!$AC$141,0))</f>
        <v>0</v>
      </c>
      <c r="ED20" s="0" t="n">
        <f aca="false">IF(ED18="",0,IF(ED19=Milestones!$AB$142,Milestones!$AC$142,0))</f>
        <v>0</v>
      </c>
      <c r="EE20" s="0" t="n">
        <f aca="false">IF(EE18="",0,IF(EE19=Milestones!$AB$143,Milestones!$AC$143,0))</f>
        <v>0</v>
      </c>
      <c r="EF20" s="0" t="n">
        <f aca="false">IF(EF18="",0,IF(EF19=Milestones!$AB$144,Milestones!$AC$144,0))</f>
        <v>0</v>
      </c>
      <c r="EG20" s="0" t="n">
        <f aca="false">IF(EG18="",0,IF(EG19=Milestones!$AB$145,Milestones!$AC$145,0))</f>
        <v>0</v>
      </c>
      <c r="EH20" s="0" t="n">
        <f aca="false">IF(EH18="",0,IF(EH19=Milestones!$AB$146,Milestones!$AC$146,0))</f>
        <v>0</v>
      </c>
      <c r="EI20" s="0" t="n">
        <f aca="false">IF(EI18="",0,IF(EI19=Milestones!$AB$147,Milestones!$AC$147,0))</f>
        <v>0</v>
      </c>
      <c r="EJ20" s="0" t="n">
        <f aca="false">IF(EJ18="",0,IF(EJ19=Milestones!$AB$148,Milestones!$AC$148,0))</f>
        <v>0</v>
      </c>
      <c r="EK20" s="0" t="n">
        <f aca="false">IF(EK18="",0,IF(EK19=Milestones!$AB$149,Milestones!$AC$149,0))</f>
        <v>0</v>
      </c>
      <c r="EL20" s="0" t="n">
        <f aca="false">IF(EL18="",0,IF(EL19=Milestones!$AB$150,Milestones!$AC$150,0))</f>
        <v>0</v>
      </c>
      <c r="EM20" s="0" t="n">
        <f aca="false">IF(EM18="",0,IF(EM19=Milestones!$AB$151,Milestones!$AC$151,0))</f>
        <v>0</v>
      </c>
      <c r="EN20" s="0" t="n">
        <f aca="false">IF(EN18="",0,IF(EN19=Milestones!$AB$152,Milestones!$AC$152,0))</f>
        <v>0</v>
      </c>
      <c r="EO20" s="0" t="n">
        <f aca="false">IF(EO18="",0,IF(EO19=Milestones!$AB$153,Milestones!$AC$153,0))</f>
        <v>0</v>
      </c>
      <c r="EP20" s="0" t="n">
        <f aca="false">IF(EP18="",0,IF(EP19=Milestones!$AB$154,Milestones!$AC$154,0))</f>
        <v>0</v>
      </c>
      <c r="EQ20" s="0" t="n">
        <f aca="false">IF(EQ18="",0,IF(EQ19=Milestones!$AB$155,Milestones!$AC$155,0))</f>
        <v>0</v>
      </c>
      <c r="ER20" s="0" t="n">
        <f aca="false">IF(ER18="",0,IF(ER19=Milestones!$AB$156,Milestones!$AC$156,0))</f>
        <v>0</v>
      </c>
      <c r="ES20" s="0" t="n">
        <f aca="false">IF(ES18="",0,IF(ES19=Milestones!$AB$157,Milestones!$AC$157,0))</f>
        <v>0</v>
      </c>
      <c r="ET20" s="0" t="n">
        <f aca="false">IF(ET18="",0,IF(ET19=Milestones!$AB$158,Milestones!$AC$158,0))</f>
        <v>0</v>
      </c>
      <c r="EU20" s="0" t="n">
        <f aca="false">IF(EU18="",0,IF(EU19=Milestones!$AB$159,Milestones!$AC$159,0))</f>
        <v>0</v>
      </c>
      <c r="EV20" s="0" t="n">
        <f aca="false">IF(EV18="",0,IF(EV19=Milestones!$AB$160,Milestones!$AC$160,0))</f>
        <v>0</v>
      </c>
      <c r="EW20" s="0" t="n">
        <f aca="false">IF(EW18="",0,IF(EW19=Milestones!$AB$161,Milestones!$AC$161,0))</f>
        <v>0</v>
      </c>
      <c r="EX20" s="0" t="n">
        <f aca="false">IF(EX18="",0,IF(EX19=Milestones!$AB$162,Milestones!$AC$162,0))</f>
        <v>0</v>
      </c>
      <c r="EY20" s="0" t="n">
        <f aca="false">IF(EY18="",0,IF(EY19=Milestones!$AB$163,Milestones!$AC$163,0))</f>
        <v>0</v>
      </c>
      <c r="EZ20" s="0" t="n">
        <f aca="false">IF(EZ18="",0,IF(EZ19=Milestones!$AB$164,Milestones!$AC$164,0))</f>
        <v>0</v>
      </c>
      <c r="FA20" s="0" t="n">
        <f aca="false">IF(FA18="",0,IF(FA19=Milestones!$AB$165,Milestones!$AC$165,0))</f>
        <v>0</v>
      </c>
      <c r="FB20" s="0" t="n">
        <f aca="false">IF(FB18="",0,IF(FB19=Milestones!$AB$166,Milestones!$AC$166,0))</f>
        <v>0</v>
      </c>
      <c r="FC20" s="0" t="n">
        <f aca="false">IF(FC18="",0,IF(FC19=Milestones!$AB$167,Milestones!$AC$167,0))</f>
        <v>0</v>
      </c>
      <c r="FD20" s="0" t="n">
        <f aca="false">IF(FD18="",0,IF(FD19=Milestones!$AB$168,Milestones!$AC$168,0))</f>
        <v>0</v>
      </c>
      <c r="FE20" s="0" t="n">
        <f aca="false">IF(FE18="",0,IF(FE19=Milestones!$AB$169,Milestones!$AC$169,0))</f>
        <v>0</v>
      </c>
      <c r="FF20" s="0" t="n">
        <f aca="false">IF(FF18="",0,IF(FF19=Milestones!$AB$170,Milestones!$AC$170,0))</f>
        <v>0</v>
      </c>
      <c r="FG20" s="0" t="n">
        <f aca="false">IF(FG18="",0,IF(FG19=Milestones!$AB$171,Milestones!$AC$171,0))</f>
        <v>0</v>
      </c>
      <c r="FH20" s="0" t="n">
        <f aca="false">IF(FH18="",0,IF(FH19=Milestones!$AB$172,Milestones!$AC$172,0))</f>
        <v>0</v>
      </c>
      <c r="FI20" s="0" t="n">
        <f aca="false">IF(FI18="",0,IF(FI19=Milestones!$AB$173,Milestones!$AC$173,0))</f>
        <v>0</v>
      </c>
      <c r="FJ20" s="0" t="n">
        <f aca="false">IF(FJ18="",0,IF(FJ19=Milestones!$AB$174,Milestones!$AC$174,0))</f>
        <v>0</v>
      </c>
      <c r="FK20" s="0" t="n">
        <f aca="false">IF(FK18="",0,IF(FK19=Milestones!$AB$175,Milestones!$AC$175,0))</f>
        <v>0</v>
      </c>
      <c r="FL20" s="0" t="n">
        <f aca="false">IF(FL18="",0,IF(FL19=Milestones!$AB$176,Milestones!$AC$176,0))</f>
        <v>0</v>
      </c>
      <c r="FM20" s="0" t="n">
        <f aca="false">IF(FM18="",0,IF(FM19=Milestones!$AB$177,Milestones!$AC$177,0))</f>
        <v>0</v>
      </c>
      <c r="FN20" s="0" t="n">
        <f aca="false">IF(FN18="",0,IF(FN19=Milestones!$AB$178,Milestones!$AC$178,0))</f>
        <v>0</v>
      </c>
      <c r="FO20" s="0" t="n">
        <f aca="false">IF(FO18="",0,IF(FO19=Milestones!$AB$179,Milestones!$AC$179,0))</f>
        <v>0</v>
      </c>
      <c r="FP20" s="0" t="n">
        <f aca="false">IF(FP18="",0,IF(FP19=Milestones!$AB$180,Milestones!$AC$180,0))</f>
        <v>0</v>
      </c>
      <c r="FQ20" s="0" t="n">
        <f aca="false">IF(FQ18="",0,IF(FQ19=Milestones!$AB$181,Milestones!$AC$181,0))</f>
        <v>0</v>
      </c>
      <c r="FR20" s="0" t="n">
        <f aca="false">IF(FR18="",0,IF(FR19=Milestones!$AB$182,Milestones!$AC$182,0))</f>
        <v>0</v>
      </c>
      <c r="FS20" s="0" t="n">
        <f aca="false">IF(FS18="",0,IF(FS19=Milestones!$AB$183,Milestones!$AC$183,0))</f>
        <v>0</v>
      </c>
      <c r="FT20" s="0" t="n">
        <f aca="false">IF(FT18="",0,IF(FT19=Milestones!$AB$184,Milestones!$AC$184,0))</f>
        <v>0</v>
      </c>
      <c r="FU20" s="0" t="n">
        <f aca="false">IF(FU18="",0,IF(FU19=Milestones!$AB$185,Milestones!$AC$185,0))</f>
        <v>0</v>
      </c>
      <c r="FV20" s="0" t="n">
        <f aca="false">IF(FV18="",0,IF(FV19=Milestones!$AB$186,Milestones!$AC$186,0))</f>
        <v>0</v>
      </c>
      <c r="FW20" s="0" t="n">
        <f aca="false">IF(FW18="",0,IF(FW19=Milestones!$AB$187,Milestones!$AC$187,0))</f>
        <v>0</v>
      </c>
      <c r="FX20" s="0" t="n">
        <f aca="false">IF(FX18="",0,IF(FX19=Milestones!$AB$188,Milestones!$AC$188,0))</f>
        <v>0</v>
      </c>
      <c r="FY20" s="0" t="n">
        <f aca="false">IF(FY18="",0,IF(FY19=Milestones!$AB$189,Milestones!$AC$189,0))</f>
        <v>0</v>
      </c>
      <c r="FZ20" s="0" t="n">
        <f aca="false">IF(FZ18="",0,IF(FZ19=Milestones!$AB$190,Milestones!$AC$190,0))</f>
        <v>0</v>
      </c>
      <c r="GA20" s="0" t="n">
        <f aca="false">IF(GA18="",0,IF(GA19=Milestones!$AB$191,Milestones!$AC$191,0))</f>
        <v>0</v>
      </c>
      <c r="GB20" s="0" t="n">
        <f aca="false">IF(GB18="",0,IF(GB19=Milestones!$AB$192,Milestones!$AC$192,0))</f>
        <v>0</v>
      </c>
      <c r="GC20" s="0" t="n">
        <f aca="false">IF(GC18="",0,IF(GC19=Milestones!$AB$193,Milestones!$AC$193,0))</f>
        <v>0</v>
      </c>
      <c r="GD20" s="0" t="n">
        <f aca="false">IF(GD18="",0,IF(GD19=Milestones!$AB$194,Milestones!$AC$194,0))</f>
        <v>0</v>
      </c>
      <c r="GE20" s="0" t="n">
        <f aca="false">IF(GE18="",0,IF(GE19=Milestones!$AB$195,Milestones!$AC$195,0))</f>
        <v>0</v>
      </c>
      <c r="GF20" s="0" t="n">
        <f aca="false">IF(GF18="",0,IF(GF19=Milestones!$AB$196,Milestones!$AC$196,0))</f>
        <v>0</v>
      </c>
      <c r="GG20" s="0" t="n">
        <f aca="false">IF(GG18="",0,IF(GG19=Milestones!$AB$197,Milestones!$AC$197,0))</f>
        <v>0</v>
      </c>
      <c r="GH20" s="0" t="n">
        <f aca="false">IF(GH18="",0,IF(GH19=Milestones!$AB$198,Milestones!$AC$198,0))</f>
        <v>0</v>
      </c>
      <c r="GI20" s="0" t="n">
        <f aca="false">IF(GI18="",0,IF(GI19=Milestones!$AB$199,Milestones!$AC$199,0))</f>
        <v>0</v>
      </c>
    </row>
    <row r="21" customFormat="false" ht="15" hidden="false" customHeight="false" outlineLevel="0" collapsed="false">
      <c r="A21" s="0" t="str">
        <f aca="false">IF('HR Tally Check'!H$7="","",'HR Tally Check'!H$7)</f>
        <v/>
      </c>
      <c r="B21" s="0" t="str">
        <f aca="false">IF(A21="","",ISNUMBER(MATCH(A21,Staff!$BJ$5:$BJ$154,0)))</f>
        <v/>
      </c>
      <c r="C21" s="18" t="str">
        <f aca="false">IF(B21&lt;&gt;TRUE(),"",INDEX(Staff!$AH$5:$AH$154,MATCH($A21,Staff!$BJ$5:$BJ$154,0)))</f>
        <v/>
      </c>
      <c r="D21" s="0" t="str">
        <f aca="false">IF(B21&lt;&gt;TRUE(),"",INDEX(Staff!$AI$5:$AI$154,MATCH($A21,Staff!$BJ$5:$BJ$154,0)))</f>
        <v/>
      </c>
      <c r="E21" s="18" t="str">
        <f aca="false">IF(B21&lt;&gt;TRUE(),"",INDEX(Staff!$AK$5:$AK$154,MATCH($A21,Staff!$BJ$5:$BJ$154,0)))</f>
        <v/>
      </c>
      <c r="F21" s="18" t="str">
        <f aca="false">IF(B21&lt;&gt;TRUE(),"",INDEX(Staff!$AL$5:$AL$154,MATCH($A21,Staff!$BJ$5:$BJ$154,0)))</f>
        <v/>
      </c>
      <c r="G21" s="0" t="str">
        <f aca="false">IF(B21&lt;&gt;TRUE(),"",INDEX(Staff!$AP$5:$AP$154,MATCH($A21,Staff!$BJ$5:$BJ$154,0)))</f>
        <v/>
      </c>
      <c r="H21" s="0" t="str">
        <f aca="false">IF(B21&lt;&gt;TRUE(),"",INDEX(Staff!$AQ$5:$AQ$154,MATCH($A21,Staff!$BJ$5:$BJ$154,0)))</f>
        <v/>
      </c>
      <c r="I21" s="0" t="str">
        <f aca="false">IF(B21&lt;&gt;TRUE(),"",INDEX(Staff!$AR$5:$AR$154,MATCH($A21,Staff!$BJ$5:$BJ$154,0)))</f>
        <v/>
      </c>
      <c r="J21" s="0" t="str">
        <f aca="false">IF(B21&lt;&gt;TRUE(),"",INDEX(Staff!$AS$5:$AS$154,MATCH($A21,Staff!$BJ$5:$BJ$154,0)))</f>
        <v/>
      </c>
      <c r="K21" s="31" t="s">
        <v>228</v>
      </c>
      <c r="L21" s="18" t="str">
        <f aca="false">IF($C21="","",EDATE($C21,Milestones!$AA$20))</f>
        <v/>
      </c>
      <c r="M21" s="18" t="str">
        <f aca="false">IF($C21="","",EDATE($C21,Milestones!$AA$21))</f>
        <v/>
      </c>
      <c r="N21" s="18" t="str">
        <f aca="false">IF($C21="","",EDATE($C21,Milestones!$AA$22))</f>
        <v/>
      </c>
      <c r="O21" s="18" t="str">
        <f aca="false">IF($C21="","",EDATE($C21,Milestones!$AA$23))</f>
        <v/>
      </c>
      <c r="P21" s="18" t="str">
        <f aca="false">IF($C21="","",EDATE($C21,Milestones!$AA$24))</f>
        <v/>
      </c>
      <c r="Q21" s="18" t="str">
        <f aca="false">IF($C21="","",EDATE($C21,Milestones!$AA$25))</f>
        <v/>
      </c>
      <c r="R21" s="18" t="str">
        <f aca="false">IF($C21="","",EDATE($C21,Milestones!$AA$26))</f>
        <v/>
      </c>
      <c r="S21" s="18" t="str">
        <f aca="false">IF($C21="","",EDATE($C21,Milestones!$AA$27))</f>
        <v/>
      </c>
      <c r="T21" s="18" t="str">
        <f aca="false">IF($C21="","",EDATE($C21,Milestones!$AA$28))</f>
        <v/>
      </c>
      <c r="U21" s="18" t="str">
        <f aca="false">IF($C21="","",EDATE($C21,Milestones!$AA$29))</f>
        <v/>
      </c>
      <c r="V21" s="18" t="str">
        <f aca="false">IF($C21="","",EDATE($C21,Milestones!$AA$30))</f>
        <v/>
      </c>
      <c r="W21" s="18" t="str">
        <f aca="false">IF($C21="","",EDATE($C21,Milestones!$AA$31))</f>
        <v/>
      </c>
      <c r="X21" s="18" t="str">
        <f aca="false">IF($C21="","",EDATE($C21,Milestones!$AA$32))</f>
        <v/>
      </c>
      <c r="Y21" s="18" t="str">
        <f aca="false">IF($C21="","",EDATE($C21,Milestones!$AA$33))</f>
        <v/>
      </c>
      <c r="Z21" s="18" t="str">
        <f aca="false">IF($C21="","",EDATE($C21,Milestones!$AA$34))</f>
        <v/>
      </c>
      <c r="AA21" s="18" t="str">
        <f aca="false">IF($C21="","",EDATE($C21,Milestones!$AA$35))</f>
        <v/>
      </c>
      <c r="AB21" s="18" t="str">
        <f aca="false">IF($C21="","",EDATE($C21,Milestones!$AA$36))</f>
        <v/>
      </c>
      <c r="AC21" s="18" t="str">
        <f aca="false">IF($C21="","",EDATE($C21,Milestones!$AA$37))</f>
        <v/>
      </c>
      <c r="AD21" s="18" t="str">
        <f aca="false">IF($C21="","",EDATE($C21,Milestones!$AA$38))</f>
        <v/>
      </c>
      <c r="AE21" s="18" t="str">
        <f aca="false">IF($C21="","",EDATE($C21,Milestones!$AA$39))</f>
        <v/>
      </c>
      <c r="AF21" s="18" t="str">
        <f aca="false">IF($C21="","",EDATE($C21,Milestones!$AA$40))</f>
        <v/>
      </c>
      <c r="AG21" s="18" t="str">
        <f aca="false">IF($C21="","",EDATE($C21,Milestones!$AA$41))</f>
        <v/>
      </c>
      <c r="AH21" s="18" t="str">
        <f aca="false">IF($C21="","",EDATE($C21,Milestones!$AA$42))</f>
        <v/>
      </c>
      <c r="AI21" s="18" t="str">
        <f aca="false">IF($C21="","",EDATE($C21,Milestones!$AA$43))</f>
        <v/>
      </c>
      <c r="AJ21" s="18" t="str">
        <f aca="false">IF($C21="","",EDATE($C21,Milestones!$AA$44))</f>
        <v/>
      </c>
      <c r="AK21" s="18" t="str">
        <f aca="false">IF($C21="","",EDATE($C21,Milestones!$AA$45))</f>
        <v/>
      </c>
      <c r="AL21" s="18" t="str">
        <f aca="false">IF($C21="","",EDATE($C21,Milestones!$AA$46))</f>
        <v/>
      </c>
      <c r="AM21" s="18" t="str">
        <f aca="false">IF($C21="","",EDATE($C21,Milestones!$AA$47))</f>
        <v/>
      </c>
      <c r="AN21" s="18" t="str">
        <f aca="false">IF($C21="","",EDATE($C21,Milestones!$AA$48))</f>
        <v/>
      </c>
      <c r="AO21" s="18" t="str">
        <f aca="false">IF($C21="","",EDATE($C21,Milestones!$AA$49))</f>
        <v/>
      </c>
      <c r="AP21" s="18" t="str">
        <f aca="false">IF($C21="","",EDATE($C21,Milestones!$AA$50))</f>
        <v/>
      </c>
      <c r="AQ21" s="18" t="str">
        <f aca="false">IF($C21="","",EDATE($C21,Milestones!$AA$51))</f>
        <v/>
      </c>
      <c r="AR21" s="18" t="str">
        <f aca="false">IF($C21="","",EDATE($C21,Milestones!$AA$52))</f>
        <v/>
      </c>
      <c r="AS21" s="18" t="str">
        <f aca="false">IF($C21="","",EDATE($C21,Milestones!$AA$53))</f>
        <v/>
      </c>
      <c r="AT21" s="18" t="str">
        <f aca="false">IF($C21="","",EDATE($C21,Milestones!$AA$54))</f>
        <v/>
      </c>
      <c r="AU21" s="18" t="str">
        <f aca="false">IF($C21="","",EDATE($C21,Milestones!$AA$55))</f>
        <v/>
      </c>
      <c r="AV21" s="18" t="str">
        <f aca="false">IF($C21="","",EDATE($C21,Milestones!$AA$56))</f>
        <v/>
      </c>
      <c r="AW21" s="18" t="str">
        <f aca="false">IF($C21="","",EDATE($C21,Milestones!$AA$57))</f>
        <v/>
      </c>
      <c r="AX21" s="18" t="str">
        <f aca="false">IF($C21="","",EDATE($C21,Milestones!$AA$58))</f>
        <v/>
      </c>
      <c r="AY21" s="18" t="str">
        <f aca="false">IF($C21="","",EDATE($C21,Milestones!$AA$59))</f>
        <v/>
      </c>
      <c r="AZ21" s="18" t="str">
        <f aca="false">IF($C21="","",EDATE($C21,Milestones!$AA$60))</f>
        <v/>
      </c>
      <c r="BA21" s="18" t="str">
        <f aca="false">IF($C21="","",EDATE($C21,Milestones!$AA$61))</f>
        <v/>
      </c>
      <c r="BB21" s="18" t="str">
        <f aca="false">IF($C21="","",EDATE($C21,Milestones!$AA$62))</f>
        <v/>
      </c>
      <c r="BC21" s="18" t="str">
        <f aca="false">IF($C21="","",EDATE($C21,Milestones!$AA$63))</f>
        <v/>
      </c>
      <c r="BD21" s="18" t="str">
        <f aca="false">IF($C21="","",EDATE($C21,Milestones!$AA$64))</f>
        <v/>
      </c>
      <c r="BE21" s="18" t="str">
        <f aca="false">IF($C21="","",EDATE($C21,Milestones!$AA$65))</f>
        <v/>
      </c>
      <c r="BF21" s="18" t="str">
        <f aca="false">IF($C21="","",EDATE($C21,Milestones!$AA$66))</f>
        <v/>
      </c>
      <c r="BG21" s="18" t="str">
        <f aca="false">IF($C21="","",EDATE($C21,Milestones!$AA$67))</f>
        <v/>
      </c>
      <c r="BH21" s="18" t="str">
        <f aca="false">IF($C21="","",EDATE($C21,Milestones!$AA$68))</f>
        <v/>
      </c>
      <c r="BI21" s="18" t="str">
        <f aca="false">IF($C21="","",EDATE($C21,Milestones!$AA$69))</f>
        <v/>
      </c>
      <c r="BJ21" s="18" t="str">
        <f aca="false">IF($C21="","",EDATE($C21,Milestones!$AA$70))</f>
        <v/>
      </c>
      <c r="BK21" s="18" t="str">
        <f aca="false">IF($C21="","",EDATE($C21,Milestones!$AA$71))</f>
        <v/>
      </c>
      <c r="BL21" s="18" t="str">
        <f aca="false">IF($C21="","",EDATE($C21,Milestones!$AA$72))</f>
        <v/>
      </c>
      <c r="BM21" s="18" t="str">
        <f aca="false">IF($C21="","",EDATE($C21,Milestones!$AA$73))</f>
        <v/>
      </c>
      <c r="BN21" s="18" t="str">
        <f aca="false">IF($C21="","",EDATE($C21,Milestones!$AA$74))</f>
        <v/>
      </c>
      <c r="BO21" s="18" t="str">
        <f aca="false">IF($C21="","",EDATE($C21,Milestones!$AA$75))</f>
        <v/>
      </c>
      <c r="BP21" s="18" t="str">
        <f aca="false">IF($C21="","",EDATE($C21,Milestones!$AA$76))</f>
        <v/>
      </c>
      <c r="BQ21" s="18" t="str">
        <f aca="false">IF($C21="","",EDATE($C21,Milestones!$AA$77))</f>
        <v/>
      </c>
      <c r="BR21" s="18" t="str">
        <f aca="false">IF($C21="","",EDATE($C21,Milestones!$AA$78))</f>
        <v/>
      </c>
      <c r="BS21" s="18" t="str">
        <f aca="false">IF($C21="","",EDATE($C21,Milestones!$AA$79))</f>
        <v/>
      </c>
      <c r="BT21" s="18" t="str">
        <f aca="false">IF($C21="","",EDATE($C21,Milestones!$AA$80))</f>
        <v/>
      </c>
      <c r="BU21" s="18" t="str">
        <f aca="false">IF($C21="","",EDATE($C21,Milestones!$AA$81))</f>
        <v/>
      </c>
      <c r="BV21" s="18" t="str">
        <f aca="false">IF($C21="","",EDATE($C21,Milestones!$AA$82))</f>
        <v/>
      </c>
      <c r="BW21" s="18" t="str">
        <f aca="false">IF($C21="","",EDATE($C21,Milestones!$AA$83))</f>
        <v/>
      </c>
      <c r="BX21" s="18" t="str">
        <f aca="false">IF($C21="","",EDATE($C21,Milestones!$AA$84))</f>
        <v/>
      </c>
      <c r="BY21" s="18" t="str">
        <f aca="false">IF($C21="","",EDATE($C21,Milestones!$AA$85))</f>
        <v/>
      </c>
      <c r="BZ21" s="18" t="str">
        <f aca="false">IF($C21="","",EDATE($C21,Milestones!$AA$86))</f>
        <v/>
      </c>
      <c r="CA21" s="18" t="str">
        <f aca="false">IF($C21="","",EDATE($C21,Milestones!$AA$87))</f>
        <v/>
      </c>
      <c r="CB21" s="18" t="str">
        <f aca="false">IF($C21="","",EDATE($C21,Milestones!$AA$88))</f>
        <v/>
      </c>
      <c r="CC21" s="18" t="str">
        <f aca="false">IF($C21="","",EDATE($C21,Milestones!$AA$89))</f>
        <v/>
      </c>
      <c r="CD21" s="18" t="str">
        <f aca="false">IF($C21="","",EDATE($C21,Milestones!$AA$90))</f>
        <v/>
      </c>
      <c r="CE21" s="18" t="str">
        <f aca="false">IF($C21="","",EDATE($C21,Milestones!$AA$91))</f>
        <v/>
      </c>
      <c r="CF21" s="18" t="str">
        <f aca="false">IF($C21="","",EDATE($C21,Milestones!$AA$92))</f>
        <v/>
      </c>
      <c r="CG21" s="18" t="str">
        <f aca="false">IF($C21="","",EDATE($C21,Milestones!$AA$93))</f>
        <v/>
      </c>
      <c r="CH21" s="18" t="str">
        <f aca="false">IF($C21="","",EDATE($C21,Milestones!$AA$94))</f>
        <v/>
      </c>
      <c r="CI21" s="18" t="str">
        <f aca="false">IF($C21="","",EDATE($C21,Milestones!$AA$95))</f>
        <v/>
      </c>
      <c r="CJ21" s="18" t="str">
        <f aca="false">IF($C21="","",EDATE($C21,Milestones!$AA$96))</f>
        <v/>
      </c>
      <c r="CK21" s="18" t="str">
        <f aca="false">IF($C21="","",EDATE($C21,Milestones!$AA$97))</f>
        <v/>
      </c>
      <c r="CL21" s="18" t="str">
        <f aca="false">IF($C21="","",EDATE($C21,Milestones!$AA$98))</f>
        <v/>
      </c>
      <c r="CM21" s="18" t="str">
        <f aca="false">IF($C21="","",EDATE($C21,Milestones!$AA$99))</f>
        <v/>
      </c>
      <c r="CN21" s="18" t="str">
        <f aca="false">IF($C21="","",EDATE($C21,Milestones!$AA$100))</f>
        <v/>
      </c>
      <c r="CO21" s="18" t="str">
        <f aca="false">IF($C21="","",EDATE($C21,Milestones!$AA$101))</f>
        <v/>
      </c>
      <c r="CP21" s="18" t="str">
        <f aca="false">IF($C21="","",EDATE($C21,Milestones!$AA$102))</f>
        <v/>
      </c>
      <c r="CQ21" s="18" t="str">
        <f aca="false">IF($C21="","",EDATE($C21,Milestones!$AA$103))</f>
        <v/>
      </c>
      <c r="CR21" s="18" t="str">
        <f aca="false">IF($C21="","",EDATE($C21,Milestones!$AA$104))</f>
        <v/>
      </c>
      <c r="CS21" s="18" t="str">
        <f aca="false">IF($C21="","",EDATE($C21,Milestones!$AA$105))</f>
        <v/>
      </c>
      <c r="CT21" s="18" t="str">
        <f aca="false">IF($C21="","",EDATE($C21,Milestones!$AA$106))</f>
        <v/>
      </c>
      <c r="CU21" s="18" t="str">
        <f aca="false">IF($C21="","",EDATE($C21,Milestones!$AA$107))</f>
        <v/>
      </c>
      <c r="CV21" s="18" t="str">
        <f aca="false">IF($C21="","",EDATE($C21,Milestones!$AA$108))</f>
        <v/>
      </c>
      <c r="CW21" s="18" t="str">
        <f aca="false">IF($C21="","",EDATE($C21,Milestones!$AA$109))</f>
        <v/>
      </c>
      <c r="CX21" s="18" t="str">
        <f aca="false">IF($C21="","",EDATE($C21,Milestones!$AA$110))</f>
        <v/>
      </c>
      <c r="CY21" s="18" t="str">
        <f aca="false">IF($C21="","",EDATE($C21,Milestones!$AA$111))</f>
        <v/>
      </c>
      <c r="CZ21" s="18" t="str">
        <f aca="false">IF($C21="","",EDATE($C21,Milestones!$AA$112))</f>
        <v/>
      </c>
      <c r="DA21" s="18" t="str">
        <f aca="false">IF($C21="","",EDATE($C21,Milestones!$AA$113))</f>
        <v/>
      </c>
      <c r="DB21" s="18" t="str">
        <f aca="false">IF($C21="","",EDATE($C21,Milestones!$AA$114))</f>
        <v/>
      </c>
      <c r="DC21" s="18" t="str">
        <f aca="false">IF($C21="","",EDATE($C21,Milestones!$AA$115))</f>
        <v/>
      </c>
      <c r="DD21" s="18" t="str">
        <f aca="false">IF($C21="","",EDATE($C21,Milestones!$AA$116))</f>
        <v/>
      </c>
      <c r="DE21" s="18" t="str">
        <f aca="false">IF($C21="","",EDATE($C21,Milestones!$AA$117))</f>
        <v/>
      </c>
      <c r="DF21" s="18" t="str">
        <f aca="false">IF($C21="","",EDATE($C21,Milestones!$AA$118))</f>
        <v/>
      </c>
      <c r="DG21" s="18" t="str">
        <f aca="false">IF($C21="","",EDATE($C21,Milestones!$AA$119))</f>
        <v/>
      </c>
      <c r="DH21" s="18" t="str">
        <f aca="false">IF($C21="","",EDATE($C21,Milestones!$AA$120))</f>
        <v/>
      </c>
      <c r="DI21" s="18" t="str">
        <f aca="false">IF($C21="","",EDATE($C21,Milestones!$AA$121))</f>
        <v/>
      </c>
      <c r="DJ21" s="18" t="str">
        <f aca="false">IF($C21="","",EDATE($C21,Milestones!$AA$122))</f>
        <v/>
      </c>
      <c r="DK21" s="18" t="str">
        <f aca="false">IF($C21="","",EDATE($C21,Milestones!$AA$123))</f>
        <v/>
      </c>
      <c r="DL21" s="18" t="str">
        <f aca="false">IF($C21="","",EDATE($C21,Milestones!$AA$124))</f>
        <v/>
      </c>
      <c r="DM21" s="18" t="str">
        <f aca="false">IF($C21="","",EDATE($C21,Milestones!$AA$125))</f>
        <v/>
      </c>
      <c r="DN21" s="18" t="str">
        <f aca="false">IF($C21="","",EDATE($C21,Milestones!$AA$126))</f>
        <v/>
      </c>
      <c r="DO21" s="18" t="str">
        <f aca="false">IF($C21="","",EDATE($C21,Milestones!$AA$127))</f>
        <v/>
      </c>
      <c r="DP21" s="18" t="str">
        <f aca="false">IF($C21="","",EDATE($C21,Milestones!$AA$128))</f>
        <v/>
      </c>
      <c r="DQ21" s="18" t="str">
        <f aca="false">IF($C21="","",EDATE($C21,Milestones!$AA$129))</f>
        <v/>
      </c>
      <c r="DR21" s="18" t="str">
        <f aca="false">IF($C21="","",EDATE($C21,Milestones!$AA$130))</f>
        <v/>
      </c>
      <c r="DS21" s="18" t="str">
        <f aca="false">IF($C21="","",EDATE($C21,Milestones!$AA$131))</f>
        <v/>
      </c>
      <c r="DT21" s="18" t="str">
        <f aca="false">IF($C21="","",EDATE($C21,Milestones!$AA$132))</f>
        <v/>
      </c>
      <c r="DU21" s="18" t="str">
        <f aca="false">IF($C21="","",EDATE($C21,Milestones!$AA$133))</f>
        <v/>
      </c>
      <c r="DV21" s="18" t="str">
        <f aca="false">IF($C21="","",EDATE($C21,Milestones!$AA$134))</f>
        <v/>
      </c>
      <c r="DW21" s="18" t="str">
        <f aca="false">IF($C21="","",EDATE($C21,Milestones!$AA$135))</f>
        <v/>
      </c>
      <c r="DX21" s="18" t="str">
        <f aca="false">IF($C21="","",EDATE($C21,Milestones!$AA$136))</f>
        <v/>
      </c>
      <c r="DY21" s="18" t="str">
        <f aca="false">IF($C21="","",EDATE($C21,Milestones!$AA$137))</f>
        <v/>
      </c>
      <c r="DZ21" s="18" t="str">
        <f aca="false">IF($C21="","",EDATE($C21,Milestones!$AA$138))</f>
        <v/>
      </c>
      <c r="EA21" s="18" t="str">
        <f aca="false">IF($C21="","",EDATE($C21,Milestones!$AA$139))</f>
        <v/>
      </c>
      <c r="EB21" s="18" t="str">
        <f aca="false">IF($C21="","",EDATE($C21,Milestones!$AA$140))</f>
        <v/>
      </c>
      <c r="EC21" s="18" t="str">
        <f aca="false">IF($C21="","",EDATE($C21,Milestones!$AA$141))</f>
        <v/>
      </c>
      <c r="ED21" s="18" t="str">
        <f aca="false">IF($C21="","",EDATE($C21,Milestones!$AA$142))</f>
        <v/>
      </c>
      <c r="EE21" s="18" t="str">
        <f aca="false">IF($C21="","",EDATE($C21,Milestones!$AA$143))</f>
        <v/>
      </c>
      <c r="EF21" s="18" t="str">
        <f aca="false">IF($C21="","",EDATE($C21,Milestones!$AA$144))</f>
        <v/>
      </c>
      <c r="EG21" s="18" t="str">
        <f aca="false">IF($C21="","",EDATE($C21,Milestones!$AA$145))</f>
        <v/>
      </c>
      <c r="EH21" s="18" t="str">
        <f aca="false">IF($C21="","",EDATE($C21,Milestones!$AA$146))</f>
        <v/>
      </c>
      <c r="EI21" s="18" t="str">
        <f aca="false">IF($C21="","",EDATE($C21,Milestones!$AA$147))</f>
        <v/>
      </c>
      <c r="EJ21" s="18" t="str">
        <f aca="false">IF($C21="","",EDATE($C21,Milestones!$AA$148))</f>
        <v/>
      </c>
      <c r="EK21" s="18" t="str">
        <f aca="false">IF($C21="","",EDATE($C21,Milestones!$AA$149))</f>
        <v/>
      </c>
      <c r="EL21" s="18" t="str">
        <f aca="false">IF($C21="","",EDATE($C21,Milestones!$AA$150))</f>
        <v/>
      </c>
      <c r="EM21" s="18" t="str">
        <f aca="false">IF($C21="","",EDATE($C21,Milestones!$AA$151))</f>
        <v/>
      </c>
      <c r="EN21" s="18" t="str">
        <f aca="false">IF($C21="","",EDATE($C21,Milestones!$AA$152))</f>
        <v/>
      </c>
      <c r="EO21" s="18" t="str">
        <f aca="false">IF($C21="","",EDATE($C21,Milestones!$AA$153))</f>
        <v/>
      </c>
      <c r="EP21" s="18" t="str">
        <f aca="false">IF($C21="","",EDATE($C21,Milestones!$AA$154))</f>
        <v/>
      </c>
      <c r="EQ21" s="18" t="str">
        <f aca="false">IF($C21="","",EDATE($C21,Milestones!$AA$155))</f>
        <v/>
      </c>
      <c r="ER21" s="18" t="str">
        <f aca="false">IF($C21="","",EDATE($C21,Milestones!$AA$156))</f>
        <v/>
      </c>
      <c r="ES21" s="18" t="str">
        <f aca="false">IF($C21="","",EDATE($C21,Milestones!$AA$157))</f>
        <v/>
      </c>
      <c r="ET21" s="18" t="str">
        <f aca="false">IF($C21="","",EDATE($C21,Milestones!$AA$158))</f>
        <v/>
      </c>
      <c r="EU21" s="18" t="str">
        <f aca="false">IF($C21="","",EDATE($C21,Milestones!$AA$159))</f>
        <v/>
      </c>
      <c r="EV21" s="18" t="str">
        <f aca="false">IF($C21="","",EDATE($C21,Milestones!$AA$160))</f>
        <v/>
      </c>
      <c r="EW21" s="18" t="str">
        <f aca="false">IF($C21="","",EDATE($C21,Milestones!$AA$161))</f>
        <v/>
      </c>
      <c r="EX21" s="18" t="str">
        <f aca="false">IF($C21="","",EDATE($C21,Milestones!$AA$162))</f>
        <v/>
      </c>
      <c r="EY21" s="18" t="str">
        <f aca="false">IF($C21="","",EDATE($C21,Milestones!$AA$163))</f>
        <v/>
      </c>
      <c r="EZ21" s="18" t="str">
        <f aca="false">IF($C21="","",EDATE($C21,Milestones!$AA$164))</f>
        <v/>
      </c>
      <c r="FA21" s="18" t="str">
        <f aca="false">IF($C21="","",EDATE($C21,Milestones!$AA$165))</f>
        <v/>
      </c>
      <c r="FB21" s="18" t="str">
        <f aca="false">IF($C21="","",EDATE($C21,Milestones!$AA$166))</f>
        <v/>
      </c>
      <c r="FC21" s="18" t="str">
        <f aca="false">IF($C21="","",EDATE($C21,Milestones!$AA$167))</f>
        <v/>
      </c>
      <c r="FD21" s="18" t="str">
        <f aca="false">IF($C21="","",EDATE($C21,Milestones!$AA$168))</f>
        <v/>
      </c>
      <c r="FE21" s="18" t="str">
        <f aca="false">IF($C21="","",EDATE($C21,Milestones!$AA$169))</f>
        <v/>
      </c>
      <c r="FF21" s="18" t="str">
        <f aca="false">IF($C21="","",EDATE($C21,Milestones!$AA$170))</f>
        <v/>
      </c>
      <c r="FG21" s="18" t="str">
        <f aca="false">IF($C21="","",EDATE($C21,Milestones!$AA$171))</f>
        <v/>
      </c>
      <c r="FH21" s="18" t="str">
        <f aca="false">IF($C21="","",EDATE($C21,Milestones!$AA$172))</f>
        <v/>
      </c>
      <c r="FI21" s="18" t="str">
        <f aca="false">IF($C21="","",EDATE($C21,Milestones!$AA$173))</f>
        <v/>
      </c>
      <c r="FJ21" s="18" t="str">
        <f aca="false">IF($C21="","",EDATE($C21,Milestones!$AA$174))</f>
        <v/>
      </c>
      <c r="FK21" s="18" t="str">
        <f aca="false">IF($C21="","",EDATE($C21,Milestones!$AA$175))</f>
        <v/>
      </c>
      <c r="FL21" s="18" t="str">
        <f aca="false">IF($C21="","",EDATE($C21,Milestones!$AA$176))</f>
        <v/>
      </c>
      <c r="FM21" s="18" t="str">
        <f aca="false">IF($C21="","",EDATE($C21,Milestones!$AA$177))</f>
        <v/>
      </c>
      <c r="FN21" s="18" t="str">
        <f aca="false">IF($C21="","",EDATE($C21,Milestones!$AA$178))</f>
        <v/>
      </c>
      <c r="FO21" s="18" t="str">
        <f aca="false">IF($C21="","",EDATE($C21,Milestones!$AA$179))</f>
        <v/>
      </c>
      <c r="FP21" s="18" t="str">
        <f aca="false">IF($C21="","",EDATE($C21,Milestones!$AA$180))</f>
        <v/>
      </c>
      <c r="FQ21" s="18" t="str">
        <f aca="false">IF($C21="","",EDATE($C21,Milestones!$AA$181))</f>
        <v/>
      </c>
      <c r="FR21" s="18" t="str">
        <f aca="false">IF($C21="","",EDATE($C21,Milestones!$AA$182))</f>
        <v/>
      </c>
      <c r="FS21" s="18" t="str">
        <f aca="false">IF($C21="","",EDATE($C21,Milestones!$AA$183))</f>
        <v/>
      </c>
      <c r="FT21" s="18" t="str">
        <f aca="false">IF($C21="","",EDATE($C21,Milestones!$AA$184))</f>
        <v/>
      </c>
      <c r="FU21" s="18" t="str">
        <f aca="false">IF($C21="","",EDATE($C21,Milestones!$AA$185))</f>
        <v/>
      </c>
      <c r="FV21" s="18" t="str">
        <f aca="false">IF($C21="","",EDATE($C21,Milestones!$AA$186))</f>
        <v/>
      </c>
      <c r="FW21" s="18" t="str">
        <f aca="false">IF($C21="","",EDATE($C21,Milestones!$AA$187))</f>
        <v/>
      </c>
      <c r="FX21" s="18" t="str">
        <f aca="false">IF($C21="","",EDATE($C21,Milestones!$AA$188))</f>
        <v/>
      </c>
      <c r="FY21" s="18" t="str">
        <f aca="false">IF($C21="","",EDATE($C21,Milestones!$AA$189))</f>
        <v/>
      </c>
      <c r="FZ21" s="18" t="str">
        <f aca="false">IF($C21="","",EDATE($C21,Milestones!$AA$190))</f>
        <v/>
      </c>
      <c r="GA21" s="18" t="str">
        <f aca="false">IF($C21="","",EDATE($C21,Milestones!$AA$191))</f>
        <v/>
      </c>
      <c r="GB21" s="18" t="str">
        <f aca="false">IF($C21="","",EDATE($C21,Milestones!$AA$192))</f>
        <v/>
      </c>
      <c r="GC21" s="18" t="str">
        <f aca="false">IF($C21="","",EDATE($C21,Milestones!$AA$193))</f>
        <v/>
      </c>
      <c r="GD21" s="18" t="str">
        <f aca="false">IF($C21="","",EDATE($C21,Milestones!$AA$194))</f>
        <v/>
      </c>
      <c r="GE21" s="18" t="str">
        <f aca="false">IF($C21="","",EDATE($C21,Milestones!$AA$195))</f>
        <v/>
      </c>
      <c r="GF21" s="18" t="str">
        <f aca="false">IF($C21="","",EDATE($C21,Milestones!$AA$196))</f>
        <v/>
      </c>
      <c r="GG21" s="18" t="str">
        <f aca="false">IF($C21="","",EDATE($C21,Milestones!$AA$197))</f>
        <v/>
      </c>
      <c r="GH21" s="18" t="str">
        <f aca="false">IF($C21="","",EDATE($C21,Milestones!$AA$198))</f>
        <v/>
      </c>
      <c r="GI21" s="18" t="str">
        <f aca="false">IF($C21="","",EDATE($C21,Milestones!$AA$199))</f>
        <v/>
      </c>
    </row>
    <row r="22" customFormat="false" ht="15" hidden="false" customHeight="false" outlineLevel="0" collapsed="false">
      <c r="K22" s="0" t="s">
        <v>229</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230</v>
      </c>
      <c r="L23" s="0" t="n">
        <f aca="false">IF(L21="",0,IF(L22=Milestones!$AB$20,Milestones!$AC$20,0))</f>
        <v>0</v>
      </c>
      <c r="M23" s="0" t="n">
        <f aca="false">IF(M21="",0,IF(M22=Milestones!$AB$21,Milestones!$AC$21,0))</f>
        <v>0</v>
      </c>
      <c r="N23" s="0" t="n">
        <f aca="false">IF(N21="",0,IF(N22=Milestones!$AB$22,Milestones!$AC$22,0))</f>
        <v>0</v>
      </c>
      <c r="O23" s="0" t="n">
        <f aca="false">IF(O21="",0,IF(O22=Milestones!$AB$23,Milestones!$AC$23,0))</f>
        <v>0</v>
      </c>
      <c r="P23" s="0" t="n">
        <f aca="false">IF(P21="",0,IF(P22=Milestones!$AB$24,Milestones!$AC$24,0))</f>
        <v>0</v>
      </c>
      <c r="Q23" s="0" t="n">
        <f aca="false">IF(Q21="",0,IF(Q22=Milestones!$AB$25,Milestones!$AC$25,0))</f>
        <v>0</v>
      </c>
      <c r="R23" s="0" t="n">
        <f aca="false">IF(R21="",0,IF(R22=Milestones!$AB$26,Milestones!$AC$26,0))</f>
        <v>0</v>
      </c>
      <c r="S23" s="0" t="n">
        <f aca="false">IF(S21="",0,IF(S22=Milestones!$AB$27,Milestones!$AC$27,0))</f>
        <v>0</v>
      </c>
      <c r="T23" s="0" t="n">
        <f aca="false">IF(T21="",0,IF(T22=Milestones!$AB$28,Milestones!$AC$28,0))</f>
        <v>0</v>
      </c>
      <c r="U23" s="0" t="n">
        <f aca="false">IF(U21="",0,IF(U22=Milestones!$AB$29,Milestones!$AC$29,0))</f>
        <v>0</v>
      </c>
      <c r="V23" s="0" t="n">
        <f aca="false">IF(V21="",0,IF(V22=Milestones!$AB$30,Milestones!$AC$30,0))</f>
        <v>0</v>
      </c>
      <c r="W23" s="0" t="n">
        <f aca="false">IF(W21="",0,IF(W22=Milestones!$AB$31,Milestones!$AC$31,0))</f>
        <v>0</v>
      </c>
      <c r="X23" s="0" t="n">
        <f aca="false">IF(X21="",0,IF(X22=Milestones!$AB$32,Milestones!$AC$32,0))</f>
        <v>0</v>
      </c>
      <c r="Y23" s="0" t="n">
        <f aca="false">IF(Y21="",0,IF(Y22=Milestones!$AB$33,Milestones!$AC$33,0))</f>
        <v>0</v>
      </c>
      <c r="Z23" s="0" t="n">
        <f aca="false">IF(Z21="",0,IF(Z22=Milestones!$AB$34,Milestones!$AC$34,0))</f>
        <v>0</v>
      </c>
      <c r="AA23" s="0" t="n">
        <f aca="false">IF(AA21="",0,IF(AA22=Milestones!$AB$35,Milestones!$AC$35,0))</f>
        <v>0</v>
      </c>
      <c r="AB23" s="0" t="n">
        <f aca="false">IF(AB21="",0,IF(AB22=Milestones!$AB$36,Milestones!$AC$36,0))</f>
        <v>0</v>
      </c>
      <c r="AC23" s="0" t="n">
        <f aca="false">IF(AC21="",0,IF(AC22=Milestones!$AB$37,Milestones!$AC$37,0))</f>
        <v>0</v>
      </c>
      <c r="AD23" s="0" t="n">
        <f aca="false">IF(AD21="",0,IF(AD22=Milestones!$AB$38,Milestones!$AC$38,0))</f>
        <v>0</v>
      </c>
      <c r="AE23" s="0" t="n">
        <f aca="false">IF(AE21="",0,IF(AE22=Milestones!$AB$39,Milestones!$AC$39,0))</f>
        <v>0</v>
      </c>
      <c r="AF23" s="0" t="n">
        <f aca="false">IF(AF21="",0,IF(AF22=Milestones!$AB$40,Milestones!$AC$40,0))</f>
        <v>0</v>
      </c>
      <c r="AG23" s="0" t="n">
        <f aca="false">IF(AG21="",0,IF(AG22=Milestones!$AB$41,Milestones!$AC$41,0))</f>
        <v>0</v>
      </c>
      <c r="AH23" s="0" t="n">
        <f aca="false">IF(AH21="",0,IF(AH22=Milestones!$AB$42,Milestones!$AC$42,0))</f>
        <v>0</v>
      </c>
      <c r="AI23" s="0" t="n">
        <f aca="false">IF(AI21="",0,IF(AI22=Milestones!$AB$43,Milestones!$AC$43,0))</f>
        <v>0</v>
      </c>
      <c r="AJ23" s="0" t="n">
        <f aca="false">IF(AJ21="",0,IF(AJ22=Milestones!$AB$44,Milestones!$AC$44,0))</f>
        <v>0</v>
      </c>
      <c r="AK23" s="0" t="n">
        <f aca="false">IF(AK21="",0,IF(AK22=Milestones!$AB$45,Milestones!$AC$45,0))</f>
        <v>0</v>
      </c>
      <c r="AL23" s="0" t="n">
        <f aca="false">IF(AL21="",0,IF(AL22=Milestones!$AB$46,Milestones!$AC$46,0))</f>
        <v>0</v>
      </c>
      <c r="AM23" s="0" t="n">
        <f aca="false">IF(AM21="",0,IF(AM22=Milestones!$AB$47,Milestones!$AC$47,0))</f>
        <v>0</v>
      </c>
      <c r="AN23" s="0" t="n">
        <f aca="false">IF(AN21="",0,IF(AN22=Milestones!$AB$48,Milestones!$AC$48,0))</f>
        <v>0</v>
      </c>
      <c r="AO23" s="0" t="n">
        <f aca="false">IF(AO21="",0,IF(AO22=Milestones!$AB$49,Milestones!$AC$49,0))</f>
        <v>0</v>
      </c>
      <c r="AP23" s="0" t="n">
        <f aca="false">IF(AP21="",0,IF(AP22=Milestones!$AB$50,Milestones!$AC$50,0))</f>
        <v>0</v>
      </c>
      <c r="AQ23" s="0" t="n">
        <f aca="false">IF(AQ21="",0,IF(AQ22=Milestones!$AB$51,Milestones!$AC$51,0))</f>
        <v>0</v>
      </c>
      <c r="AR23" s="0" t="n">
        <f aca="false">IF(AR21="",0,IF(AR22=Milestones!$AB$52,Milestones!$AC$52,0))</f>
        <v>0</v>
      </c>
      <c r="AS23" s="0" t="n">
        <f aca="false">IF(AS21="",0,IF(AS22=Milestones!$AB$53,Milestones!$AC$53,0))</f>
        <v>0</v>
      </c>
      <c r="AT23" s="0" t="n">
        <f aca="false">IF(AT21="",0,IF(AT22=Milestones!$AB$54,Milestones!$AC$54,0))</f>
        <v>0</v>
      </c>
      <c r="AU23" s="0" t="n">
        <f aca="false">IF(AU21="",0,IF(AU22=Milestones!$AB$55,Milestones!$AC$55,0))</f>
        <v>0</v>
      </c>
      <c r="AV23" s="0" t="n">
        <f aca="false">IF(AV21="",0,IF(AV22=Milestones!$AB$56,Milestones!$AC$56,0))</f>
        <v>0</v>
      </c>
      <c r="AW23" s="0" t="n">
        <f aca="false">IF(AW21="",0,IF(AW22=Milestones!$AB$57,Milestones!$AC$57,0))</f>
        <v>0</v>
      </c>
      <c r="AX23" s="0" t="n">
        <f aca="false">IF(AX21="",0,IF(AX22=Milestones!$AB$58,Milestones!$AC$58,0))</f>
        <v>0</v>
      </c>
      <c r="AY23" s="0" t="n">
        <f aca="false">IF(AY21="",0,IF(AY22=Milestones!$AB$59,Milestones!$AC$59,0))</f>
        <v>0</v>
      </c>
      <c r="AZ23" s="0" t="n">
        <f aca="false">IF(AZ21="",0,IF(AZ22=Milestones!$AB$60,Milestones!$AC$60,0))</f>
        <v>0</v>
      </c>
      <c r="BA23" s="0" t="n">
        <f aca="false">IF(BA21="",0,IF(BA22=Milestones!$AB$61,Milestones!$AC$61,0))</f>
        <v>0</v>
      </c>
      <c r="BB23" s="0" t="n">
        <f aca="false">IF(BB21="",0,IF(BB22=Milestones!$AB$62,Milestones!$AC$62,0))</f>
        <v>0</v>
      </c>
      <c r="BC23" s="0" t="n">
        <f aca="false">IF(BC21="",0,IF(BC22=Milestones!$AB$63,Milestones!$AC$63,0))</f>
        <v>0</v>
      </c>
      <c r="BD23" s="0" t="n">
        <f aca="false">IF(BD21="",0,IF(BD22=Milestones!$AB$64,Milestones!$AC$64,0))</f>
        <v>0</v>
      </c>
      <c r="BE23" s="0" t="n">
        <f aca="false">IF(BE21="",0,IF(BE22=Milestones!$AB$65,Milestones!$AC$65,0))</f>
        <v>0</v>
      </c>
      <c r="BF23" s="0" t="n">
        <f aca="false">IF(BF21="",0,IF(BF22=Milestones!$AB$66,Milestones!$AC$66,0))</f>
        <v>0</v>
      </c>
      <c r="BG23" s="0" t="n">
        <f aca="false">IF(BG21="",0,IF(BG22=Milestones!$AB$67,Milestones!$AC$67,0))</f>
        <v>0</v>
      </c>
      <c r="BH23" s="0" t="n">
        <f aca="false">IF(BH21="",0,IF(BH22=Milestones!$AB$68,Milestones!$AC$68,0))</f>
        <v>0</v>
      </c>
      <c r="BI23" s="0" t="n">
        <f aca="false">IF(BI21="",0,IF(BI22=Milestones!$AB$69,Milestones!$AC$69,0))</f>
        <v>0</v>
      </c>
      <c r="BJ23" s="0" t="n">
        <f aca="false">IF(BJ21="",0,IF(BJ22=Milestones!$AB$70,Milestones!$AC$70,0))</f>
        <v>0</v>
      </c>
      <c r="BK23" s="0" t="n">
        <f aca="false">IF(BK21="",0,IF(BK22=Milestones!$AB$71,Milestones!$AC$71,0))</f>
        <v>0</v>
      </c>
      <c r="BL23" s="0" t="n">
        <f aca="false">IF(BL21="",0,IF(BL22=Milestones!$AB$72,Milestones!$AC$72,0))</f>
        <v>0</v>
      </c>
      <c r="BM23" s="0" t="n">
        <f aca="false">IF(BM21="",0,IF(BM22=Milestones!$AB$73,Milestones!$AC$73,0))</f>
        <v>0</v>
      </c>
      <c r="BN23" s="0" t="n">
        <f aca="false">IF(BN21="",0,IF(BN22=Milestones!$AB$74,Milestones!$AC$74,0))</f>
        <v>0</v>
      </c>
      <c r="BO23" s="0" t="n">
        <f aca="false">IF(BO21="",0,IF(BO22=Milestones!$AB$75,Milestones!$AC$75,0))</f>
        <v>0</v>
      </c>
      <c r="BP23" s="0" t="n">
        <f aca="false">IF(BP21="",0,IF(BP22=Milestones!$AB$76,Milestones!$AC$76,0))</f>
        <v>0</v>
      </c>
      <c r="BQ23" s="0" t="n">
        <f aca="false">IF(BQ21="",0,IF(BQ22=Milestones!$AB$77,Milestones!$AC$77,0))</f>
        <v>0</v>
      </c>
      <c r="BR23" s="0" t="n">
        <f aca="false">IF(BR21="",0,IF(BR22=Milestones!$AB$78,Milestones!$AC$78,0))</f>
        <v>0</v>
      </c>
      <c r="BS23" s="0" t="n">
        <f aca="false">IF(BS21="",0,IF(BS22=Milestones!$AB$79,Milestones!$AC$79,0))</f>
        <v>0</v>
      </c>
      <c r="BT23" s="0" t="n">
        <f aca="false">IF(BT21="",0,IF(BT22=Milestones!$AB$80,Milestones!$AC$80,0))</f>
        <v>0</v>
      </c>
      <c r="BU23" s="0" t="n">
        <f aca="false">IF(BU21="",0,IF(BU22=Milestones!$AB$81,Milestones!$AC$81,0))</f>
        <v>0</v>
      </c>
      <c r="BV23" s="0" t="n">
        <f aca="false">IF(BV21="",0,IF(BV22=Milestones!$AB$82,Milestones!$AC$82,0))</f>
        <v>0</v>
      </c>
      <c r="BW23" s="0" t="n">
        <f aca="false">IF(BW21="",0,IF(BW22=Milestones!$AB$83,Milestones!$AC$83,0))</f>
        <v>0</v>
      </c>
      <c r="BX23" s="0" t="n">
        <f aca="false">IF(BX21="",0,IF(BX22=Milestones!$AB$84,Milestones!$AC$84,0))</f>
        <v>0</v>
      </c>
      <c r="BY23" s="0" t="n">
        <f aca="false">IF(BY21="",0,IF(BY22=Milestones!$AB$85,Milestones!$AC$85,0))</f>
        <v>0</v>
      </c>
      <c r="BZ23" s="0" t="n">
        <f aca="false">IF(BZ21="",0,IF(BZ22=Milestones!$AB$86,Milestones!$AC$86,0))</f>
        <v>0</v>
      </c>
      <c r="CA23" s="0" t="n">
        <f aca="false">IF(CA21="",0,IF(CA22=Milestones!$AB$87,Milestones!$AC$87,0))</f>
        <v>0</v>
      </c>
      <c r="CB23" s="0" t="n">
        <f aca="false">IF(CB21="",0,IF(CB22=Milestones!$AB$88,Milestones!$AC$88,0))</f>
        <v>0</v>
      </c>
      <c r="CC23" s="0" t="n">
        <f aca="false">IF(CC21="",0,IF(CC22=Milestones!$AB$89,Milestones!$AC$89,0))</f>
        <v>0</v>
      </c>
      <c r="CD23" s="0" t="n">
        <f aca="false">IF(CD21="",0,IF(CD22=Milestones!$AB$90,Milestones!$AC$90,0))</f>
        <v>0</v>
      </c>
      <c r="CE23" s="0" t="n">
        <f aca="false">IF(CE21="",0,IF(CE22=Milestones!$AB$91,Milestones!$AC$91,0))</f>
        <v>0</v>
      </c>
      <c r="CF23" s="0" t="n">
        <f aca="false">IF(CF21="",0,IF(CF22=Milestones!$AB$92,Milestones!$AC$92,0))</f>
        <v>0</v>
      </c>
      <c r="CG23" s="0" t="n">
        <f aca="false">IF(CG21="",0,IF(CG22=Milestones!$AB$93,Milestones!$AC$93,0))</f>
        <v>0</v>
      </c>
      <c r="CH23" s="0" t="n">
        <f aca="false">IF(CH21="",0,IF(CH22=Milestones!$AB$94,Milestones!$AC$94,0))</f>
        <v>0</v>
      </c>
      <c r="CI23" s="0" t="n">
        <f aca="false">IF(CI21="",0,IF(CI22=Milestones!$AB$95,Milestones!$AC$95,0))</f>
        <v>0</v>
      </c>
      <c r="CJ23" s="0" t="n">
        <f aca="false">IF(CJ21="",0,IF(CJ22=Milestones!$AB$96,Milestones!$AC$96,0))</f>
        <v>0</v>
      </c>
      <c r="CK23" s="0" t="n">
        <f aca="false">IF(CK21="",0,IF(CK22=Milestones!$AB$97,Milestones!$AC$97,0))</f>
        <v>0</v>
      </c>
      <c r="CL23" s="0" t="n">
        <f aca="false">IF(CL21="",0,IF(CL22=Milestones!$AB$98,Milestones!$AC$98,0))</f>
        <v>0</v>
      </c>
      <c r="CM23" s="0" t="n">
        <f aca="false">IF(CM21="",0,IF(CM22=Milestones!$AB$99,Milestones!$AC$99,0))</f>
        <v>0</v>
      </c>
      <c r="CN23" s="0" t="n">
        <f aca="false">IF(CN21="",0,IF(CN22=Milestones!$AB$100,Milestones!$AC$100,0))</f>
        <v>0</v>
      </c>
      <c r="CO23" s="0" t="n">
        <f aca="false">IF(CO21="",0,IF(CO22=Milestones!$AB$101,Milestones!$AC$101,0))</f>
        <v>0</v>
      </c>
      <c r="CP23" s="0" t="n">
        <f aca="false">IF(CP21="",0,IF(CP22=Milestones!$AB$102,Milestones!$AC$102,0))</f>
        <v>0</v>
      </c>
      <c r="CQ23" s="0" t="n">
        <f aca="false">IF(CQ21="",0,IF(CQ22=Milestones!$AB$103,Milestones!$AC$103,0))</f>
        <v>0</v>
      </c>
      <c r="CR23" s="0" t="n">
        <f aca="false">IF(CR21="",0,IF(CR22=Milestones!$AB$104,Milestones!$AC$104,0))</f>
        <v>0</v>
      </c>
      <c r="CS23" s="0" t="n">
        <f aca="false">IF(CS21="",0,IF(CS22=Milestones!$AB$105,Milestones!$AC$105,0))</f>
        <v>0</v>
      </c>
      <c r="CT23" s="0" t="n">
        <f aca="false">IF(CT21="",0,IF(CT22=Milestones!$AB$106,Milestones!$AC$106,0))</f>
        <v>0</v>
      </c>
      <c r="CU23" s="0" t="n">
        <f aca="false">IF(CU21="",0,IF(CU22=Milestones!$AB$107,Milestones!$AC$107,0))</f>
        <v>0</v>
      </c>
      <c r="CV23" s="0" t="n">
        <f aca="false">IF(CV21="",0,IF(CV22=Milestones!$AB$108,Milestones!$AC$108,0))</f>
        <v>0</v>
      </c>
      <c r="CW23" s="0" t="n">
        <f aca="false">IF(CW21="",0,IF(CW22=Milestones!$AB$109,Milestones!$AC$109,0))</f>
        <v>0</v>
      </c>
      <c r="CX23" s="0" t="n">
        <f aca="false">IF(CX21="",0,IF(CX22=Milestones!$AB$110,Milestones!$AC$110,0))</f>
        <v>0</v>
      </c>
      <c r="CY23" s="0" t="n">
        <f aca="false">IF(CY21="",0,IF(CY22=Milestones!$AB$111,Milestones!$AC$111,0))</f>
        <v>0</v>
      </c>
      <c r="CZ23" s="0" t="n">
        <f aca="false">IF(CZ21="",0,IF(CZ22=Milestones!$AB$112,Milestones!$AC$112,0))</f>
        <v>0</v>
      </c>
      <c r="DA23" s="0" t="n">
        <f aca="false">IF(DA21="",0,IF(DA22=Milestones!$AB$113,Milestones!$AC$113,0))</f>
        <v>0</v>
      </c>
      <c r="DB23" s="0" t="n">
        <f aca="false">IF(DB21="",0,IF(DB22=Milestones!$AB$114,Milestones!$AC$114,0))</f>
        <v>0</v>
      </c>
      <c r="DC23" s="0" t="n">
        <f aca="false">IF(DC21="",0,IF(DC22=Milestones!$AB$115,Milestones!$AC$115,0))</f>
        <v>0</v>
      </c>
      <c r="DD23" s="0" t="n">
        <f aca="false">IF(DD21="",0,IF(DD22=Milestones!$AB$116,Milestones!$AC$116,0))</f>
        <v>0</v>
      </c>
      <c r="DE23" s="0" t="n">
        <f aca="false">IF(DE21="",0,IF(DE22=Milestones!$AB$117,Milestones!$AC$117,0))</f>
        <v>0</v>
      </c>
      <c r="DF23" s="0" t="n">
        <f aca="false">IF(DF21="",0,IF(DF22=Milestones!$AB$118,Milestones!$AC$118,0))</f>
        <v>0</v>
      </c>
      <c r="DG23" s="0" t="n">
        <f aca="false">IF(DG21="",0,IF(DG22=Milestones!$AB$119,Milestones!$AC$119,0))</f>
        <v>0</v>
      </c>
      <c r="DH23" s="0" t="n">
        <f aca="false">IF(DH21="",0,IF(DH22=Milestones!$AB$120,Milestones!$AC$120,0))</f>
        <v>0</v>
      </c>
      <c r="DI23" s="0" t="n">
        <f aca="false">IF(DI21="",0,IF(DI22=Milestones!$AB$121,Milestones!$AC$121,0))</f>
        <v>0</v>
      </c>
      <c r="DJ23" s="0" t="n">
        <f aca="false">IF(DJ21="",0,IF(DJ22=Milestones!$AB$122,Milestones!$AC$122,0))</f>
        <v>0</v>
      </c>
      <c r="DK23" s="0" t="n">
        <f aca="false">IF(DK21="",0,IF(DK22=Milestones!$AB$123,Milestones!$AC$123,0))</f>
        <v>0</v>
      </c>
      <c r="DL23" s="0" t="n">
        <f aca="false">IF(DL21="",0,IF(DL22=Milestones!$AB$124,Milestones!$AC$124,0))</f>
        <v>0</v>
      </c>
      <c r="DM23" s="0" t="n">
        <f aca="false">IF(DM21="",0,IF(DM22=Milestones!$AB$125,Milestones!$AC$125,0))</f>
        <v>0</v>
      </c>
      <c r="DN23" s="0" t="n">
        <f aca="false">IF(DN21="",0,IF(DN22=Milestones!$AB$126,Milestones!$AC$126,0))</f>
        <v>0</v>
      </c>
      <c r="DO23" s="0" t="n">
        <f aca="false">IF(DO21="",0,IF(DO22=Milestones!$AB$127,Milestones!$AC$127,0))</f>
        <v>0</v>
      </c>
      <c r="DP23" s="0" t="n">
        <f aca="false">IF(DP21="",0,IF(DP22=Milestones!$AB$128,Milestones!$AC$128,0))</f>
        <v>0</v>
      </c>
      <c r="DQ23" s="0" t="n">
        <f aca="false">IF(DQ21="",0,IF(DQ22=Milestones!$AB$129,Milestones!$AC$129,0))</f>
        <v>0</v>
      </c>
      <c r="DR23" s="0" t="n">
        <f aca="false">IF(DR21="",0,IF(DR22=Milestones!$AB$130,Milestones!$AC$130,0))</f>
        <v>0</v>
      </c>
      <c r="DS23" s="0" t="n">
        <f aca="false">IF(DS21="",0,IF(DS22=Milestones!$AB$131,Milestones!$AC$131,0))</f>
        <v>0</v>
      </c>
      <c r="DT23" s="0" t="n">
        <f aca="false">IF(DT21="",0,IF(DT22=Milestones!$AB$132,Milestones!$AC$132,0))</f>
        <v>0</v>
      </c>
      <c r="DU23" s="0" t="n">
        <f aca="false">IF(DU21="",0,IF(DU22=Milestones!$AB$133,Milestones!$AC$133,0))</f>
        <v>0</v>
      </c>
      <c r="DV23" s="0" t="n">
        <f aca="false">IF(DV21="",0,IF(DV22=Milestones!$AB$134,Milestones!$AC$134,0))</f>
        <v>0</v>
      </c>
      <c r="DW23" s="0" t="n">
        <f aca="false">IF(DW21="",0,IF(DW22=Milestones!$AB$135,Milestones!$AC$135,0))</f>
        <v>0</v>
      </c>
      <c r="DX23" s="0" t="n">
        <f aca="false">IF(DX21="",0,IF(DX22=Milestones!$AB$136,Milestones!$AC$136,0))</f>
        <v>0</v>
      </c>
      <c r="DY23" s="0" t="n">
        <f aca="false">IF(DY21="",0,IF(DY22=Milestones!$AB$137,Milestones!$AC$137,0))</f>
        <v>0</v>
      </c>
      <c r="DZ23" s="0" t="n">
        <f aca="false">IF(DZ21="",0,IF(DZ22=Milestones!$AB$138,Milestones!$AC$138,0))</f>
        <v>0</v>
      </c>
      <c r="EA23" s="0" t="n">
        <f aca="false">IF(EA21="",0,IF(EA22=Milestones!$AB$139,Milestones!$AC$139,0))</f>
        <v>0</v>
      </c>
      <c r="EB23" s="0" t="n">
        <f aca="false">IF(EB21="",0,IF(EB22=Milestones!$AB$140,Milestones!$AC$140,0))</f>
        <v>0</v>
      </c>
      <c r="EC23" s="0" t="n">
        <f aca="false">IF(EC21="",0,IF(EC22=Milestones!$AB$141,Milestones!$AC$141,0))</f>
        <v>0</v>
      </c>
      <c r="ED23" s="0" t="n">
        <f aca="false">IF(ED21="",0,IF(ED22=Milestones!$AB$142,Milestones!$AC$142,0))</f>
        <v>0</v>
      </c>
      <c r="EE23" s="0" t="n">
        <f aca="false">IF(EE21="",0,IF(EE22=Milestones!$AB$143,Milestones!$AC$143,0))</f>
        <v>0</v>
      </c>
      <c r="EF23" s="0" t="n">
        <f aca="false">IF(EF21="",0,IF(EF22=Milestones!$AB$144,Milestones!$AC$144,0))</f>
        <v>0</v>
      </c>
      <c r="EG23" s="0" t="n">
        <f aca="false">IF(EG21="",0,IF(EG22=Milestones!$AB$145,Milestones!$AC$145,0))</f>
        <v>0</v>
      </c>
      <c r="EH23" s="0" t="n">
        <f aca="false">IF(EH21="",0,IF(EH22=Milestones!$AB$146,Milestones!$AC$146,0))</f>
        <v>0</v>
      </c>
      <c r="EI23" s="0" t="n">
        <f aca="false">IF(EI21="",0,IF(EI22=Milestones!$AB$147,Milestones!$AC$147,0))</f>
        <v>0</v>
      </c>
      <c r="EJ23" s="0" t="n">
        <f aca="false">IF(EJ21="",0,IF(EJ22=Milestones!$AB$148,Milestones!$AC$148,0))</f>
        <v>0</v>
      </c>
      <c r="EK23" s="0" t="n">
        <f aca="false">IF(EK21="",0,IF(EK22=Milestones!$AB$149,Milestones!$AC$149,0))</f>
        <v>0</v>
      </c>
      <c r="EL23" s="0" t="n">
        <f aca="false">IF(EL21="",0,IF(EL22=Milestones!$AB$150,Milestones!$AC$150,0))</f>
        <v>0</v>
      </c>
      <c r="EM23" s="0" t="n">
        <f aca="false">IF(EM21="",0,IF(EM22=Milestones!$AB$151,Milestones!$AC$151,0))</f>
        <v>0</v>
      </c>
      <c r="EN23" s="0" t="n">
        <f aca="false">IF(EN21="",0,IF(EN22=Milestones!$AB$152,Milestones!$AC$152,0))</f>
        <v>0</v>
      </c>
      <c r="EO23" s="0" t="n">
        <f aca="false">IF(EO21="",0,IF(EO22=Milestones!$AB$153,Milestones!$AC$153,0))</f>
        <v>0</v>
      </c>
      <c r="EP23" s="0" t="n">
        <f aca="false">IF(EP21="",0,IF(EP22=Milestones!$AB$154,Milestones!$AC$154,0))</f>
        <v>0</v>
      </c>
      <c r="EQ23" s="0" t="n">
        <f aca="false">IF(EQ21="",0,IF(EQ22=Milestones!$AB$155,Milestones!$AC$155,0))</f>
        <v>0</v>
      </c>
      <c r="ER23" s="0" t="n">
        <f aca="false">IF(ER21="",0,IF(ER22=Milestones!$AB$156,Milestones!$AC$156,0))</f>
        <v>0</v>
      </c>
      <c r="ES23" s="0" t="n">
        <f aca="false">IF(ES21="",0,IF(ES22=Milestones!$AB$157,Milestones!$AC$157,0))</f>
        <v>0</v>
      </c>
      <c r="ET23" s="0" t="n">
        <f aca="false">IF(ET21="",0,IF(ET22=Milestones!$AB$158,Milestones!$AC$158,0))</f>
        <v>0</v>
      </c>
      <c r="EU23" s="0" t="n">
        <f aca="false">IF(EU21="",0,IF(EU22=Milestones!$AB$159,Milestones!$AC$159,0))</f>
        <v>0</v>
      </c>
      <c r="EV23" s="0" t="n">
        <f aca="false">IF(EV21="",0,IF(EV22=Milestones!$AB$160,Milestones!$AC$160,0))</f>
        <v>0</v>
      </c>
      <c r="EW23" s="0" t="n">
        <f aca="false">IF(EW21="",0,IF(EW22=Milestones!$AB$161,Milestones!$AC$161,0))</f>
        <v>0</v>
      </c>
      <c r="EX23" s="0" t="n">
        <f aca="false">IF(EX21="",0,IF(EX22=Milestones!$AB$162,Milestones!$AC$162,0))</f>
        <v>0</v>
      </c>
      <c r="EY23" s="0" t="n">
        <f aca="false">IF(EY21="",0,IF(EY22=Milestones!$AB$163,Milestones!$AC$163,0))</f>
        <v>0</v>
      </c>
      <c r="EZ23" s="0" t="n">
        <f aca="false">IF(EZ21="",0,IF(EZ22=Milestones!$AB$164,Milestones!$AC$164,0))</f>
        <v>0</v>
      </c>
      <c r="FA23" s="0" t="n">
        <f aca="false">IF(FA21="",0,IF(FA22=Milestones!$AB$165,Milestones!$AC$165,0))</f>
        <v>0</v>
      </c>
      <c r="FB23" s="0" t="n">
        <f aca="false">IF(FB21="",0,IF(FB22=Milestones!$AB$166,Milestones!$AC$166,0))</f>
        <v>0</v>
      </c>
      <c r="FC23" s="0" t="n">
        <f aca="false">IF(FC21="",0,IF(FC22=Milestones!$AB$167,Milestones!$AC$167,0))</f>
        <v>0</v>
      </c>
      <c r="FD23" s="0" t="n">
        <f aca="false">IF(FD21="",0,IF(FD22=Milestones!$AB$168,Milestones!$AC$168,0))</f>
        <v>0</v>
      </c>
      <c r="FE23" s="0" t="n">
        <f aca="false">IF(FE21="",0,IF(FE22=Milestones!$AB$169,Milestones!$AC$169,0))</f>
        <v>0</v>
      </c>
      <c r="FF23" s="0" t="n">
        <f aca="false">IF(FF21="",0,IF(FF22=Milestones!$AB$170,Milestones!$AC$170,0))</f>
        <v>0</v>
      </c>
      <c r="FG23" s="0" t="n">
        <f aca="false">IF(FG21="",0,IF(FG22=Milestones!$AB$171,Milestones!$AC$171,0))</f>
        <v>0</v>
      </c>
      <c r="FH23" s="0" t="n">
        <f aca="false">IF(FH21="",0,IF(FH22=Milestones!$AB$172,Milestones!$AC$172,0))</f>
        <v>0</v>
      </c>
      <c r="FI23" s="0" t="n">
        <f aca="false">IF(FI21="",0,IF(FI22=Milestones!$AB$173,Milestones!$AC$173,0))</f>
        <v>0</v>
      </c>
      <c r="FJ23" s="0" t="n">
        <f aca="false">IF(FJ21="",0,IF(FJ22=Milestones!$AB$174,Milestones!$AC$174,0))</f>
        <v>0</v>
      </c>
      <c r="FK23" s="0" t="n">
        <f aca="false">IF(FK21="",0,IF(FK22=Milestones!$AB$175,Milestones!$AC$175,0))</f>
        <v>0</v>
      </c>
      <c r="FL23" s="0" t="n">
        <f aca="false">IF(FL21="",0,IF(FL22=Milestones!$AB$176,Milestones!$AC$176,0))</f>
        <v>0</v>
      </c>
      <c r="FM23" s="0" t="n">
        <f aca="false">IF(FM21="",0,IF(FM22=Milestones!$AB$177,Milestones!$AC$177,0))</f>
        <v>0</v>
      </c>
      <c r="FN23" s="0" t="n">
        <f aca="false">IF(FN21="",0,IF(FN22=Milestones!$AB$178,Milestones!$AC$178,0))</f>
        <v>0</v>
      </c>
      <c r="FO23" s="0" t="n">
        <f aca="false">IF(FO21="",0,IF(FO22=Milestones!$AB$179,Milestones!$AC$179,0))</f>
        <v>0</v>
      </c>
      <c r="FP23" s="0" t="n">
        <f aca="false">IF(FP21="",0,IF(FP22=Milestones!$AB$180,Milestones!$AC$180,0))</f>
        <v>0</v>
      </c>
      <c r="FQ23" s="0" t="n">
        <f aca="false">IF(FQ21="",0,IF(FQ22=Milestones!$AB$181,Milestones!$AC$181,0))</f>
        <v>0</v>
      </c>
      <c r="FR23" s="0" t="n">
        <f aca="false">IF(FR21="",0,IF(FR22=Milestones!$AB$182,Milestones!$AC$182,0))</f>
        <v>0</v>
      </c>
      <c r="FS23" s="0" t="n">
        <f aca="false">IF(FS21="",0,IF(FS22=Milestones!$AB$183,Milestones!$AC$183,0))</f>
        <v>0</v>
      </c>
      <c r="FT23" s="0" t="n">
        <f aca="false">IF(FT21="",0,IF(FT22=Milestones!$AB$184,Milestones!$AC$184,0))</f>
        <v>0</v>
      </c>
      <c r="FU23" s="0" t="n">
        <f aca="false">IF(FU21="",0,IF(FU22=Milestones!$AB$185,Milestones!$AC$185,0))</f>
        <v>0</v>
      </c>
      <c r="FV23" s="0" t="n">
        <f aca="false">IF(FV21="",0,IF(FV22=Milestones!$AB$186,Milestones!$AC$186,0))</f>
        <v>0</v>
      </c>
      <c r="FW23" s="0" t="n">
        <f aca="false">IF(FW21="",0,IF(FW22=Milestones!$AB$187,Milestones!$AC$187,0))</f>
        <v>0</v>
      </c>
      <c r="FX23" s="0" t="n">
        <f aca="false">IF(FX21="",0,IF(FX22=Milestones!$AB$188,Milestones!$AC$188,0))</f>
        <v>0</v>
      </c>
      <c r="FY23" s="0" t="n">
        <f aca="false">IF(FY21="",0,IF(FY22=Milestones!$AB$189,Milestones!$AC$189,0))</f>
        <v>0</v>
      </c>
      <c r="FZ23" s="0" t="n">
        <f aca="false">IF(FZ21="",0,IF(FZ22=Milestones!$AB$190,Milestones!$AC$190,0))</f>
        <v>0</v>
      </c>
      <c r="GA23" s="0" t="n">
        <f aca="false">IF(GA21="",0,IF(GA22=Milestones!$AB$191,Milestones!$AC$191,0))</f>
        <v>0</v>
      </c>
      <c r="GB23" s="0" t="n">
        <f aca="false">IF(GB21="",0,IF(GB22=Milestones!$AB$192,Milestones!$AC$192,0))</f>
        <v>0</v>
      </c>
      <c r="GC23" s="0" t="n">
        <f aca="false">IF(GC21="",0,IF(GC22=Milestones!$AB$193,Milestones!$AC$193,0))</f>
        <v>0</v>
      </c>
      <c r="GD23" s="0" t="n">
        <f aca="false">IF(GD21="",0,IF(GD22=Milestones!$AB$194,Milestones!$AC$194,0))</f>
        <v>0</v>
      </c>
      <c r="GE23" s="0" t="n">
        <f aca="false">IF(GE21="",0,IF(GE22=Milestones!$AB$195,Milestones!$AC$195,0))</f>
        <v>0</v>
      </c>
      <c r="GF23" s="0" t="n">
        <f aca="false">IF(GF21="",0,IF(GF22=Milestones!$AB$196,Milestones!$AC$196,0))</f>
        <v>0</v>
      </c>
      <c r="GG23" s="0" t="n">
        <f aca="false">IF(GG21="",0,IF(GG22=Milestones!$AB$197,Milestones!$AC$197,0))</f>
        <v>0</v>
      </c>
      <c r="GH23" s="0" t="n">
        <f aca="false">IF(GH21="",0,IF(GH22=Milestones!$AB$198,Milestones!$AC$198,0))</f>
        <v>0</v>
      </c>
      <c r="GI23" s="0" t="n">
        <f aca="false">IF(GI21="",0,IF(GI22=Milestones!$AB$199,Milestones!$AC$199,0))</f>
        <v>0</v>
      </c>
    </row>
    <row r="24" customFormat="false" ht="15" hidden="false" customHeight="false" outlineLevel="0" collapsed="false">
      <c r="A24" s="0" t="str">
        <f aca="false">IF('HR Tally Check'!I$7="","",'HR Tally Check'!I$7)</f>
        <v/>
      </c>
      <c r="B24" s="0" t="str">
        <f aca="false">IF(A24="","",ISNUMBER(MATCH(A24,Staff!$BJ$5:$BJ$154,0)))</f>
        <v/>
      </c>
      <c r="C24" s="18" t="str">
        <f aca="false">IF(B24&lt;&gt;TRUE(),"",INDEX(Staff!$AH$5:$AH$154,MATCH($A24,Staff!$BJ$5:$BJ$154,0)))</f>
        <v/>
      </c>
      <c r="D24" s="0" t="str">
        <f aca="false">IF(B24&lt;&gt;TRUE(),"",INDEX(Staff!$AI$5:$AI$154,MATCH($A24,Staff!$BJ$5:$BJ$154,0)))</f>
        <v/>
      </c>
      <c r="E24" s="18" t="str">
        <f aca="false">IF(B24&lt;&gt;TRUE(),"",INDEX(Staff!$AK$5:$AK$154,MATCH($A24,Staff!$BJ$5:$BJ$154,0)))</f>
        <v/>
      </c>
      <c r="F24" s="18" t="str">
        <f aca="false">IF(B24&lt;&gt;TRUE(),"",INDEX(Staff!$AL$5:$AL$154,MATCH($A24,Staff!$BJ$5:$BJ$154,0)))</f>
        <v/>
      </c>
      <c r="G24" s="0" t="str">
        <f aca="false">IF(B24&lt;&gt;TRUE(),"",INDEX(Staff!$AP$5:$AP$154,MATCH($A24,Staff!$BJ$5:$BJ$154,0)))</f>
        <v/>
      </c>
      <c r="H24" s="0" t="str">
        <f aca="false">IF(B24&lt;&gt;TRUE(),"",INDEX(Staff!$AQ$5:$AQ$154,MATCH($A24,Staff!$BJ$5:$BJ$154,0)))</f>
        <v/>
      </c>
      <c r="I24" s="0" t="str">
        <f aca="false">IF(B24&lt;&gt;TRUE(),"",INDEX(Staff!$AR$5:$AR$154,MATCH($A24,Staff!$BJ$5:$BJ$154,0)))</f>
        <v/>
      </c>
      <c r="J24" s="0" t="str">
        <f aca="false">IF(B24&lt;&gt;TRUE(),"",INDEX(Staff!$AS$5:$AS$154,MATCH($A24,Staff!$BJ$5:$BJ$154,0)))</f>
        <v/>
      </c>
      <c r="K24" s="31" t="s">
        <v>228</v>
      </c>
      <c r="L24" s="18" t="str">
        <f aca="false">IF($C24="","",EDATE($C24,Milestones!$AA$20))</f>
        <v/>
      </c>
      <c r="M24" s="18" t="str">
        <f aca="false">IF($C24="","",EDATE($C24,Milestones!$AA$21))</f>
        <v/>
      </c>
      <c r="N24" s="18" t="str">
        <f aca="false">IF($C24="","",EDATE($C24,Milestones!$AA$22))</f>
        <v/>
      </c>
      <c r="O24" s="18" t="str">
        <f aca="false">IF($C24="","",EDATE($C24,Milestones!$AA$23))</f>
        <v/>
      </c>
      <c r="P24" s="18" t="str">
        <f aca="false">IF($C24="","",EDATE($C24,Milestones!$AA$24))</f>
        <v/>
      </c>
      <c r="Q24" s="18" t="str">
        <f aca="false">IF($C24="","",EDATE($C24,Milestones!$AA$25))</f>
        <v/>
      </c>
      <c r="R24" s="18" t="str">
        <f aca="false">IF($C24="","",EDATE($C24,Milestones!$AA$26))</f>
        <v/>
      </c>
      <c r="S24" s="18" t="str">
        <f aca="false">IF($C24="","",EDATE($C24,Milestones!$AA$27))</f>
        <v/>
      </c>
      <c r="T24" s="18" t="str">
        <f aca="false">IF($C24="","",EDATE($C24,Milestones!$AA$28))</f>
        <v/>
      </c>
      <c r="U24" s="18" t="str">
        <f aca="false">IF($C24="","",EDATE($C24,Milestones!$AA$29))</f>
        <v/>
      </c>
      <c r="V24" s="18" t="str">
        <f aca="false">IF($C24="","",EDATE($C24,Milestones!$AA$30))</f>
        <v/>
      </c>
      <c r="W24" s="18" t="str">
        <f aca="false">IF($C24="","",EDATE($C24,Milestones!$AA$31))</f>
        <v/>
      </c>
      <c r="X24" s="18" t="str">
        <f aca="false">IF($C24="","",EDATE($C24,Milestones!$AA$32))</f>
        <v/>
      </c>
      <c r="Y24" s="18" t="str">
        <f aca="false">IF($C24="","",EDATE($C24,Milestones!$AA$33))</f>
        <v/>
      </c>
      <c r="Z24" s="18" t="str">
        <f aca="false">IF($C24="","",EDATE($C24,Milestones!$AA$34))</f>
        <v/>
      </c>
      <c r="AA24" s="18" t="str">
        <f aca="false">IF($C24="","",EDATE($C24,Milestones!$AA$35))</f>
        <v/>
      </c>
      <c r="AB24" s="18" t="str">
        <f aca="false">IF($C24="","",EDATE($C24,Milestones!$AA$36))</f>
        <v/>
      </c>
      <c r="AC24" s="18" t="str">
        <f aca="false">IF($C24="","",EDATE($C24,Milestones!$AA$37))</f>
        <v/>
      </c>
      <c r="AD24" s="18" t="str">
        <f aca="false">IF($C24="","",EDATE($C24,Milestones!$AA$38))</f>
        <v/>
      </c>
      <c r="AE24" s="18" t="str">
        <f aca="false">IF($C24="","",EDATE($C24,Milestones!$AA$39))</f>
        <v/>
      </c>
      <c r="AF24" s="18" t="str">
        <f aca="false">IF($C24="","",EDATE($C24,Milestones!$AA$40))</f>
        <v/>
      </c>
      <c r="AG24" s="18" t="str">
        <f aca="false">IF($C24="","",EDATE($C24,Milestones!$AA$41))</f>
        <v/>
      </c>
      <c r="AH24" s="18" t="str">
        <f aca="false">IF($C24="","",EDATE($C24,Milestones!$AA$42))</f>
        <v/>
      </c>
      <c r="AI24" s="18" t="str">
        <f aca="false">IF($C24="","",EDATE($C24,Milestones!$AA$43))</f>
        <v/>
      </c>
      <c r="AJ24" s="18" t="str">
        <f aca="false">IF($C24="","",EDATE($C24,Milestones!$AA$44))</f>
        <v/>
      </c>
      <c r="AK24" s="18" t="str">
        <f aca="false">IF($C24="","",EDATE($C24,Milestones!$AA$45))</f>
        <v/>
      </c>
      <c r="AL24" s="18" t="str">
        <f aca="false">IF($C24="","",EDATE($C24,Milestones!$AA$46))</f>
        <v/>
      </c>
      <c r="AM24" s="18" t="str">
        <f aca="false">IF($C24="","",EDATE($C24,Milestones!$AA$47))</f>
        <v/>
      </c>
      <c r="AN24" s="18" t="str">
        <f aca="false">IF($C24="","",EDATE($C24,Milestones!$AA$48))</f>
        <v/>
      </c>
      <c r="AO24" s="18" t="str">
        <f aca="false">IF($C24="","",EDATE($C24,Milestones!$AA$49))</f>
        <v/>
      </c>
      <c r="AP24" s="18" t="str">
        <f aca="false">IF($C24="","",EDATE($C24,Milestones!$AA$50))</f>
        <v/>
      </c>
      <c r="AQ24" s="18" t="str">
        <f aca="false">IF($C24="","",EDATE($C24,Milestones!$AA$51))</f>
        <v/>
      </c>
      <c r="AR24" s="18" t="str">
        <f aca="false">IF($C24="","",EDATE($C24,Milestones!$AA$52))</f>
        <v/>
      </c>
      <c r="AS24" s="18" t="str">
        <f aca="false">IF($C24="","",EDATE($C24,Milestones!$AA$53))</f>
        <v/>
      </c>
      <c r="AT24" s="18" t="str">
        <f aca="false">IF($C24="","",EDATE($C24,Milestones!$AA$54))</f>
        <v/>
      </c>
      <c r="AU24" s="18" t="str">
        <f aca="false">IF($C24="","",EDATE($C24,Milestones!$AA$55))</f>
        <v/>
      </c>
      <c r="AV24" s="18" t="str">
        <f aca="false">IF($C24="","",EDATE($C24,Milestones!$AA$56))</f>
        <v/>
      </c>
      <c r="AW24" s="18" t="str">
        <f aca="false">IF($C24="","",EDATE($C24,Milestones!$AA$57))</f>
        <v/>
      </c>
      <c r="AX24" s="18" t="str">
        <f aca="false">IF($C24="","",EDATE($C24,Milestones!$AA$58))</f>
        <v/>
      </c>
      <c r="AY24" s="18" t="str">
        <f aca="false">IF($C24="","",EDATE($C24,Milestones!$AA$59))</f>
        <v/>
      </c>
      <c r="AZ24" s="18" t="str">
        <f aca="false">IF($C24="","",EDATE($C24,Milestones!$AA$60))</f>
        <v/>
      </c>
      <c r="BA24" s="18" t="str">
        <f aca="false">IF($C24="","",EDATE($C24,Milestones!$AA$61))</f>
        <v/>
      </c>
      <c r="BB24" s="18" t="str">
        <f aca="false">IF($C24="","",EDATE($C24,Milestones!$AA$62))</f>
        <v/>
      </c>
      <c r="BC24" s="18" t="str">
        <f aca="false">IF($C24="","",EDATE($C24,Milestones!$AA$63))</f>
        <v/>
      </c>
      <c r="BD24" s="18" t="str">
        <f aca="false">IF($C24="","",EDATE($C24,Milestones!$AA$64))</f>
        <v/>
      </c>
      <c r="BE24" s="18" t="str">
        <f aca="false">IF($C24="","",EDATE($C24,Milestones!$AA$65))</f>
        <v/>
      </c>
      <c r="BF24" s="18" t="str">
        <f aca="false">IF($C24="","",EDATE($C24,Milestones!$AA$66))</f>
        <v/>
      </c>
      <c r="BG24" s="18" t="str">
        <f aca="false">IF($C24="","",EDATE($C24,Milestones!$AA$67))</f>
        <v/>
      </c>
      <c r="BH24" s="18" t="str">
        <f aca="false">IF($C24="","",EDATE($C24,Milestones!$AA$68))</f>
        <v/>
      </c>
      <c r="BI24" s="18" t="str">
        <f aca="false">IF($C24="","",EDATE($C24,Milestones!$AA$69))</f>
        <v/>
      </c>
      <c r="BJ24" s="18" t="str">
        <f aca="false">IF($C24="","",EDATE($C24,Milestones!$AA$70))</f>
        <v/>
      </c>
      <c r="BK24" s="18" t="str">
        <f aca="false">IF($C24="","",EDATE($C24,Milestones!$AA$71))</f>
        <v/>
      </c>
      <c r="BL24" s="18" t="str">
        <f aca="false">IF($C24="","",EDATE($C24,Milestones!$AA$72))</f>
        <v/>
      </c>
      <c r="BM24" s="18" t="str">
        <f aca="false">IF($C24="","",EDATE($C24,Milestones!$AA$73))</f>
        <v/>
      </c>
      <c r="BN24" s="18" t="str">
        <f aca="false">IF($C24="","",EDATE($C24,Milestones!$AA$74))</f>
        <v/>
      </c>
      <c r="BO24" s="18" t="str">
        <f aca="false">IF($C24="","",EDATE($C24,Milestones!$AA$75))</f>
        <v/>
      </c>
      <c r="BP24" s="18" t="str">
        <f aca="false">IF($C24="","",EDATE($C24,Milestones!$AA$76))</f>
        <v/>
      </c>
      <c r="BQ24" s="18" t="str">
        <f aca="false">IF($C24="","",EDATE($C24,Milestones!$AA$77))</f>
        <v/>
      </c>
      <c r="BR24" s="18" t="str">
        <f aca="false">IF($C24="","",EDATE($C24,Milestones!$AA$78))</f>
        <v/>
      </c>
      <c r="BS24" s="18" t="str">
        <f aca="false">IF($C24="","",EDATE($C24,Milestones!$AA$79))</f>
        <v/>
      </c>
      <c r="BT24" s="18" t="str">
        <f aca="false">IF($C24="","",EDATE($C24,Milestones!$AA$80))</f>
        <v/>
      </c>
      <c r="BU24" s="18" t="str">
        <f aca="false">IF($C24="","",EDATE($C24,Milestones!$AA$81))</f>
        <v/>
      </c>
      <c r="BV24" s="18" t="str">
        <f aca="false">IF($C24="","",EDATE($C24,Milestones!$AA$82))</f>
        <v/>
      </c>
      <c r="BW24" s="18" t="str">
        <f aca="false">IF($C24="","",EDATE($C24,Milestones!$AA$83))</f>
        <v/>
      </c>
      <c r="BX24" s="18" t="str">
        <f aca="false">IF($C24="","",EDATE($C24,Milestones!$AA$84))</f>
        <v/>
      </c>
      <c r="BY24" s="18" t="str">
        <f aca="false">IF($C24="","",EDATE($C24,Milestones!$AA$85))</f>
        <v/>
      </c>
      <c r="BZ24" s="18" t="str">
        <f aca="false">IF($C24="","",EDATE($C24,Milestones!$AA$86))</f>
        <v/>
      </c>
      <c r="CA24" s="18" t="str">
        <f aca="false">IF($C24="","",EDATE($C24,Milestones!$AA$87))</f>
        <v/>
      </c>
      <c r="CB24" s="18" t="str">
        <f aca="false">IF($C24="","",EDATE($C24,Milestones!$AA$88))</f>
        <v/>
      </c>
      <c r="CC24" s="18" t="str">
        <f aca="false">IF($C24="","",EDATE($C24,Milestones!$AA$89))</f>
        <v/>
      </c>
      <c r="CD24" s="18" t="str">
        <f aca="false">IF($C24="","",EDATE($C24,Milestones!$AA$90))</f>
        <v/>
      </c>
      <c r="CE24" s="18" t="str">
        <f aca="false">IF($C24="","",EDATE($C24,Milestones!$AA$91))</f>
        <v/>
      </c>
      <c r="CF24" s="18" t="str">
        <f aca="false">IF($C24="","",EDATE($C24,Milestones!$AA$92))</f>
        <v/>
      </c>
      <c r="CG24" s="18" t="str">
        <f aca="false">IF($C24="","",EDATE($C24,Milestones!$AA$93))</f>
        <v/>
      </c>
      <c r="CH24" s="18" t="str">
        <f aca="false">IF($C24="","",EDATE($C24,Milestones!$AA$94))</f>
        <v/>
      </c>
      <c r="CI24" s="18" t="str">
        <f aca="false">IF($C24="","",EDATE($C24,Milestones!$AA$95))</f>
        <v/>
      </c>
      <c r="CJ24" s="18" t="str">
        <f aca="false">IF($C24="","",EDATE($C24,Milestones!$AA$96))</f>
        <v/>
      </c>
      <c r="CK24" s="18" t="str">
        <f aca="false">IF($C24="","",EDATE($C24,Milestones!$AA$97))</f>
        <v/>
      </c>
      <c r="CL24" s="18" t="str">
        <f aca="false">IF($C24="","",EDATE($C24,Milestones!$AA$98))</f>
        <v/>
      </c>
      <c r="CM24" s="18" t="str">
        <f aca="false">IF($C24="","",EDATE($C24,Milestones!$AA$99))</f>
        <v/>
      </c>
      <c r="CN24" s="18" t="str">
        <f aca="false">IF($C24="","",EDATE($C24,Milestones!$AA$100))</f>
        <v/>
      </c>
      <c r="CO24" s="18" t="str">
        <f aca="false">IF($C24="","",EDATE($C24,Milestones!$AA$101))</f>
        <v/>
      </c>
      <c r="CP24" s="18" t="str">
        <f aca="false">IF($C24="","",EDATE($C24,Milestones!$AA$102))</f>
        <v/>
      </c>
      <c r="CQ24" s="18" t="str">
        <f aca="false">IF($C24="","",EDATE($C24,Milestones!$AA$103))</f>
        <v/>
      </c>
      <c r="CR24" s="18" t="str">
        <f aca="false">IF($C24="","",EDATE($C24,Milestones!$AA$104))</f>
        <v/>
      </c>
      <c r="CS24" s="18" t="str">
        <f aca="false">IF($C24="","",EDATE($C24,Milestones!$AA$105))</f>
        <v/>
      </c>
      <c r="CT24" s="18" t="str">
        <f aca="false">IF($C24="","",EDATE($C24,Milestones!$AA$106))</f>
        <v/>
      </c>
      <c r="CU24" s="18" t="str">
        <f aca="false">IF($C24="","",EDATE($C24,Milestones!$AA$107))</f>
        <v/>
      </c>
      <c r="CV24" s="18" t="str">
        <f aca="false">IF($C24="","",EDATE($C24,Milestones!$AA$108))</f>
        <v/>
      </c>
      <c r="CW24" s="18" t="str">
        <f aca="false">IF($C24="","",EDATE($C24,Milestones!$AA$109))</f>
        <v/>
      </c>
      <c r="CX24" s="18" t="str">
        <f aca="false">IF($C24="","",EDATE($C24,Milestones!$AA$110))</f>
        <v/>
      </c>
      <c r="CY24" s="18" t="str">
        <f aca="false">IF($C24="","",EDATE($C24,Milestones!$AA$111))</f>
        <v/>
      </c>
      <c r="CZ24" s="18" t="str">
        <f aca="false">IF($C24="","",EDATE($C24,Milestones!$AA$112))</f>
        <v/>
      </c>
      <c r="DA24" s="18" t="str">
        <f aca="false">IF($C24="","",EDATE($C24,Milestones!$AA$113))</f>
        <v/>
      </c>
      <c r="DB24" s="18" t="str">
        <f aca="false">IF($C24="","",EDATE($C24,Milestones!$AA$114))</f>
        <v/>
      </c>
      <c r="DC24" s="18" t="str">
        <f aca="false">IF($C24="","",EDATE($C24,Milestones!$AA$115))</f>
        <v/>
      </c>
      <c r="DD24" s="18" t="str">
        <f aca="false">IF($C24="","",EDATE($C24,Milestones!$AA$116))</f>
        <v/>
      </c>
      <c r="DE24" s="18" t="str">
        <f aca="false">IF($C24="","",EDATE($C24,Milestones!$AA$117))</f>
        <v/>
      </c>
      <c r="DF24" s="18" t="str">
        <f aca="false">IF($C24="","",EDATE($C24,Milestones!$AA$118))</f>
        <v/>
      </c>
      <c r="DG24" s="18" t="str">
        <f aca="false">IF($C24="","",EDATE($C24,Milestones!$AA$119))</f>
        <v/>
      </c>
      <c r="DH24" s="18" t="str">
        <f aca="false">IF($C24="","",EDATE($C24,Milestones!$AA$120))</f>
        <v/>
      </c>
      <c r="DI24" s="18" t="str">
        <f aca="false">IF($C24="","",EDATE($C24,Milestones!$AA$121))</f>
        <v/>
      </c>
      <c r="DJ24" s="18" t="str">
        <f aca="false">IF($C24="","",EDATE($C24,Milestones!$AA$122))</f>
        <v/>
      </c>
      <c r="DK24" s="18" t="str">
        <f aca="false">IF($C24="","",EDATE($C24,Milestones!$AA$123))</f>
        <v/>
      </c>
      <c r="DL24" s="18" t="str">
        <f aca="false">IF($C24="","",EDATE($C24,Milestones!$AA$124))</f>
        <v/>
      </c>
      <c r="DM24" s="18" t="str">
        <f aca="false">IF($C24="","",EDATE($C24,Milestones!$AA$125))</f>
        <v/>
      </c>
      <c r="DN24" s="18" t="str">
        <f aca="false">IF($C24="","",EDATE($C24,Milestones!$AA$126))</f>
        <v/>
      </c>
      <c r="DO24" s="18" t="str">
        <f aca="false">IF($C24="","",EDATE($C24,Milestones!$AA$127))</f>
        <v/>
      </c>
      <c r="DP24" s="18" t="str">
        <f aca="false">IF($C24="","",EDATE($C24,Milestones!$AA$128))</f>
        <v/>
      </c>
      <c r="DQ24" s="18" t="str">
        <f aca="false">IF($C24="","",EDATE($C24,Milestones!$AA$129))</f>
        <v/>
      </c>
      <c r="DR24" s="18" t="str">
        <f aca="false">IF($C24="","",EDATE($C24,Milestones!$AA$130))</f>
        <v/>
      </c>
      <c r="DS24" s="18" t="str">
        <f aca="false">IF($C24="","",EDATE($C24,Milestones!$AA$131))</f>
        <v/>
      </c>
      <c r="DT24" s="18" t="str">
        <f aca="false">IF($C24="","",EDATE($C24,Milestones!$AA$132))</f>
        <v/>
      </c>
      <c r="DU24" s="18" t="str">
        <f aca="false">IF($C24="","",EDATE($C24,Milestones!$AA$133))</f>
        <v/>
      </c>
      <c r="DV24" s="18" t="str">
        <f aca="false">IF($C24="","",EDATE($C24,Milestones!$AA$134))</f>
        <v/>
      </c>
      <c r="DW24" s="18" t="str">
        <f aca="false">IF($C24="","",EDATE($C24,Milestones!$AA$135))</f>
        <v/>
      </c>
      <c r="DX24" s="18" t="str">
        <f aca="false">IF($C24="","",EDATE($C24,Milestones!$AA$136))</f>
        <v/>
      </c>
      <c r="DY24" s="18" t="str">
        <f aca="false">IF($C24="","",EDATE($C24,Milestones!$AA$137))</f>
        <v/>
      </c>
      <c r="DZ24" s="18" t="str">
        <f aca="false">IF($C24="","",EDATE($C24,Milestones!$AA$138))</f>
        <v/>
      </c>
      <c r="EA24" s="18" t="str">
        <f aca="false">IF($C24="","",EDATE($C24,Milestones!$AA$139))</f>
        <v/>
      </c>
      <c r="EB24" s="18" t="str">
        <f aca="false">IF($C24="","",EDATE($C24,Milestones!$AA$140))</f>
        <v/>
      </c>
      <c r="EC24" s="18" t="str">
        <f aca="false">IF($C24="","",EDATE($C24,Milestones!$AA$141))</f>
        <v/>
      </c>
      <c r="ED24" s="18" t="str">
        <f aca="false">IF($C24="","",EDATE($C24,Milestones!$AA$142))</f>
        <v/>
      </c>
      <c r="EE24" s="18" t="str">
        <f aca="false">IF($C24="","",EDATE($C24,Milestones!$AA$143))</f>
        <v/>
      </c>
      <c r="EF24" s="18" t="str">
        <f aca="false">IF($C24="","",EDATE($C24,Milestones!$AA$144))</f>
        <v/>
      </c>
      <c r="EG24" s="18" t="str">
        <f aca="false">IF($C24="","",EDATE($C24,Milestones!$AA$145))</f>
        <v/>
      </c>
      <c r="EH24" s="18" t="str">
        <f aca="false">IF($C24="","",EDATE($C24,Milestones!$AA$146))</f>
        <v/>
      </c>
      <c r="EI24" s="18" t="str">
        <f aca="false">IF($C24="","",EDATE($C24,Milestones!$AA$147))</f>
        <v/>
      </c>
      <c r="EJ24" s="18" t="str">
        <f aca="false">IF($C24="","",EDATE($C24,Milestones!$AA$148))</f>
        <v/>
      </c>
      <c r="EK24" s="18" t="str">
        <f aca="false">IF($C24="","",EDATE($C24,Milestones!$AA$149))</f>
        <v/>
      </c>
      <c r="EL24" s="18" t="str">
        <f aca="false">IF($C24="","",EDATE($C24,Milestones!$AA$150))</f>
        <v/>
      </c>
      <c r="EM24" s="18" t="str">
        <f aca="false">IF($C24="","",EDATE($C24,Milestones!$AA$151))</f>
        <v/>
      </c>
      <c r="EN24" s="18" t="str">
        <f aca="false">IF($C24="","",EDATE($C24,Milestones!$AA$152))</f>
        <v/>
      </c>
      <c r="EO24" s="18" t="str">
        <f aca="false">IF($C24="","",EDATE($C24,Milestones!$AA$153))</f>
        <v/>
      </c>
      <c r="EP24" s="18" t="str">
        <f aca="false">IF($C24="","",EDATE($C24,Milestones!$AA$154))</f>
        <v/>
      </c>
      <c r="EQ24" s="18" t="str">
        <f aca="false">IF($C24="","",EDATE($C24,Milestones!$AA$155))</f>
        <v/>
      </c>
      <c r="ER24" s="18" t="str">
        <f aca="false">IF($C24="","",EDATE($C24,Milestones!$AA$156))</f>
        <v/>
      </c>
      <c r="ES24" s="18" t="str">
        <f aca="false">IF($C24="","",EDATE($C24,Milestones!$AA$157))</f>
        <v/>
      </c>
      <c r="ET24" s="18" t="str">
        <f aca="false">IF($C24="","",EDATE($C24,Milestones!$AA$158))</f>
        <v/>
      </c>
      <c r="EU24" s="18" t="str">
        <f aca="false">IF($C24="","",EDATE($C24,Milestones!$AA$159))</f>
        <v/>
      </c>
      <c r="EV24" s="18" t="str">
        <f aca="false">IF($C24="","",EDATE($C24,Milestones!$AA$160))</f>
        <v/>
      </c>
      <c r="EW24" s="18" t="str">
        <f aca="false">IF($C24="","",EDATE($C24,Milestones!$AA$161))</f>
        <v/>
      </c>
      <c r="EX24" s="18" t="str">
        <f aca="false">IF($C24="","",EDATE($C24,Milestones!$AA$162))</f>
        <v/>
      </c>
      <c r="EY24" s="18" t="str">
        <f aca="false">IF($C24="","",EDATE($C24,Milestones!$AA$163))</f>
        <v/>
      </c>
      <c r="EZ24" s="18" t="str">
        <f aca="false">IF($C24="","",EDATE($C24,Milestones!$AA$164))</f>
        <v/>
      </c>
      <c r="FA24" s="18" t="str">
        <f aca="false">IF($C24="","",EDATE($C24,Milestones!$AA$165))</f>
        <v/>
      </c>
      <c r="FB24" s="18" t="str">
        <f aca="false">IF($C24="","",EDATE($C24,Milestones!$AA$166))</f>
        <v/>
      </c>
      <c r="FC24" s="18" t="str">
        <f aca="false">IF($C24="","",EDATE($C24,Milestones!$AA$167))</f>
        <v/>
      </c>
      <c r="FD24" s="18" t="str">
        <f aca="false">IF($C24="","",EDATE($C24,Milestones!$AA$168))</f>
        <v/>
      </c>
      <c r="FE24" s="18" t="str">
        <f aca="false">IF($C24="","",EDATE($C24,Milestones!$AA$169))</f>
        <v/>
      </c>
      <c r="FF24" s="18" t="str">
        <f aca="false">IF($C24="","",EDATE($C24,Milestones!$AA$170))</f>
        <v/>
      </c>
      <c r="FG24" s="18" t="str">
        <f aca="false">IF($C24="","",EDATE($C24,Milestones!$AA$171))</f>
        <v/>
      </c>
      <c r="FH24" s="18" t="str">
        <f aca="false">IF($C24="","",EDATE($C24,Milestones!$AA$172))</f>
        <v/>
      </c>
      <c r="FI24" s="18" t="str">
        <f aca="false">IF($C24="","",EDATE($C24,Milestones!$AA$173))</f>
        <v/>
      </c>
      <c r="FJ24" s="18" t="str">
        <f aca="false">IF($C24="","",EDATE($C24,Milestones!$AA$174))</f>
        <v/>
      </c>
      <c r="FK24" s="18" t="str">
        <f aca="false">IF($C24="","",EDATE($C24,Milestones!$AA$175))</f>
        <v/>
      </c>
      <c r="FL24" s="18" t="str">
        <f aca="false">IF($C24="","",EDATE($C24,Milestones!$AA$176))</f>
        <v/>
      </c>
      <c r="FM24" s="18" t="str">
        <f aca="false">IF($C24="","",EDATE($C24,Milestones!$AA$177))</f>
        <v/>
      </c>
      <c r="FN24" s="18" t="str">
        <f aca="false">IF($C24="","",EDATE($C24,Milestones!$AA$178))</f>
        <v/>
      </c>
      <c r="FO24" s="18" t="str">
        <f aca="false">IF($C24="","",EDATE($C24,Milestones!$AA$179))</f>
        <v/>
      </c>
      <c r="FP24" s="18" t="str">
        <f aca="false">IF($C24="","",EDATE($C24,Milestones!$AA$180))</f>
        <v/>
      </c>
      <c r="FQ24" s="18" t="str">
        <f aca="false">IF($C24="","",EDATE($C24,Milestones!$AA$181))</f>
        <v/>
      </c>
      <c r="FR24" s="18" t="str">
        <f aca="false">IF($C24="","",EDATE($C24,Milestones!$AA$182))</f>
        <v/>
      </c>
      <c r="FS24" s="18" t="str">
        <f aca="false">IF($C24="","",EDATE($C24,Milestones!$AA$183))</f>
        <v/>
      </c>
      <c r="FT24" s="18" t="str">
        <f aca="false">IF($C24="","",EDATE($C24,Milestones!$AA$184))</f>
        <v/>
      </c>
      <c r="FU24" s="18" t="str">
        <f aca="false">IF($C24="","",EDATE($C24,Milestones!$AA$185))</f>
        <v/>
      </c>
      <c r="FV24" s="18" t="str">
        <f aca="false">IF($C24="","",EDATE($C24,Milestones!$AA$186))</f>
        <v/>
      </c>
      <c r="FW24" s="18" t="str">
        <f aca="false">IF($C24="","",EDATE($C24,Milestones!$AA$187))</f>
        <v/>
      </c>
      <c r="FX24" s="18" t="str">
        <f aca="false">IF($C24="","",EDATE($C24,Milestones!$AA$188))</f>
        <v/>
      </c>
      <c r="FY24" s="18" t="str">
        <f aca="false">IF($C24="","",EDATE($C24,Milestones!$AA$189))</f>
        <v/>
      </c>
      <c r="FZ24" s="18" t="str">
        <f aca="false">IF($C24="","",EDATE($C24,Milestones!$AA$190))</f>
        <v/>
      </c>
      <c r="GA24" s="18" t="str">
        <f aca="false">IF($C24="","",EDATE($C24,Milestones!$AA$191))</f>
        <v/>
      </c>
      <c r="GB24" s="18" t="str">
        <f aca="false">IF($C24="","",EDATE($C24,Milestones!$AA$192))</f>
        <v/>
      </c>
      <c r="GC24" s="18" t="str">
        <f aca="false">IF($C24="","",EDATE($C24,Milestones!$AA$193))</f>
        <v/>
      </c>
      <c r="GD24" s="18" t="str">
        <f aca="false">IF($C24="","",EDATE($C24,Milestones!$AA$194))</f>
        <v/>
      </c>
      <c r="GE24" s="18" t="str">
        <f aca="false">IF($C24="","",EDATE($C24,Milestones!$AA$195))</f>
        <v/>
      </c>
      <c r="GF24" s="18" t="str">
        <f aca="false">IF($C24="","",EDATE($C24,Milestones!$AA$196))</f>
        <v/>
      </c>
      <c r="GG24" s="18" t="str">
        <f aca="false">IF($C24="","",EDATE($C24,Milestones!$AA$197))</f>
        <v/>
      </c>
      <c r="GH24" s="18" t="str">
        <f aca="false">IF($C24="","",EDATE($C24,Milestones!$AA$198))</f>
        <v/>
      </c>
      <c r="GI24" s="18" t="str">
        <f aca="false">IF($C24="","",EDATE($C24,Milestones!$AA$199))</f>
        <v/>
      </c>
    </row>
    <row r="25" customFormat="false" ht="15" hidden="false" customHeight="false" outlineLevel="0" collapsed="false">
      <c r="K25" s="0" t="s">
        <v>229</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230</v>
      </c>
      <c r="L26" s="0" t="n">
        <f aca="false">IF(L24="",0,IF(L25=Milestones!$AB$20,Milestones!$AC$20,0))</f>
        <v>0</v>
      </c>
      <c r="M26" s="0" t="n">
        <f aca="false">IF(M24="",0,IF(M25=Milestones!$AB$21,Milestones!$AC$21,0))</f>
        <v>0</v>
      </c>
      <c r="N26" s="0" t="n">
        <f aca="false">IF(N24="",0,IF(N25=Milestones!$AB$22,Milestones!$AC$22,0))</f>
        <v>0</v>
      </c>
      <c r="O26" s="0" t="n">
        <f aca="false">IF(O24="",0,IF(O25=Milestones!$AB$23,Milestones!$AC$23,0))</f>
        <v>0</v>
      </c>
      <c r="P26" s="0" t="n">
        <f aca="false">IF(P24="",0,IF(P25=Milestones!$AB$24,Milestones!$AC$24,0))</f>
        <v>0</v>
      </c>
      <c r="Q26" s="0" t="n">
        <f aca="false">IF(Q24="",0,IF(Q25=Milestones!$AB$25,Milestones!$AC$25,0))</f>
        <v>0</v>
      </c>
      <c r="R26" s="0" t="n">
        <f aca="false">IF(R24="",0,IF(R25=Milestones!$AB$26,Milestones!$AC$26,0))</f>
        <v>0</v>
      </c>
      <c r="S26" s="0" t="n">
        <f aca="false">IF(S24="",0,IF(S25=Milestones!$AB$27,Milestones!$AC$27,0))</f>
        <v>0</v>
      </c>
      <c r="T26" s="0" t="n">
        <f aca="false">IF(T24="",0,IF(T25=Milestones!$AB$28,Milestones!$AC$28,0))</f>
        <v>0</v>
      </c>
      <c r="U26" s="0" t="n">
        <f aca="false">IF(U24="",0,IF(U25=Milestones!$AB$29,Milestones!$AC$29,0))</f>
        <v>0</v>
      </c>
      <c r="V26" s="0" t="n">
        <f aca="false">IF(V24="",0,IF(V25=Milestones!$AB$30,Milestones!$AC$30,0))</f>
        <v>0</v>
      </c>
      <c r="W26" s="0" t="n">
        <f aca="false">IF(W24="",0,IF(W25=Milestones!$AB$31,Milestones!$AC$31,0))</f>
        <v>0</v>
      </c>
      <c r="X26" s="0" t="n">
        <f aca="false">IF(X24="",0,IF(X25=Milestones!$AB$32,Milestones!$AC$32,0))</f>
        <v>0</v>
      </c>
      <c r="Y26" s="0" t="n">
        <f aca="false">IF(Y24="",0,IF(Y25=Milestones!$AB$33,Milestones!$AC$33,0))</f>
        <v>0</v>
      </c>
      <c r="Z26" s="0" t="n">
        <f aca="false">IF(Z24="",0,IF(Z25=Milestones!$AB$34,Milestones!$AC$34,0))</f>
        <v>0</v>
      </c>
      <c r="AA26" s="0" t="n">
        <f aca="false">IF(AA24="",0,IF(AA25=Milestones!$AB$35,Milestones!$AC$35,0))</f>
        <v>0</v>
      </c>
      <c r="AB26" s="0" t="n">
        <f aca="false">IF(AB24="",0,IF(AB25=Milestones!$AB$36,Milestones!$AC$36,0))</f>
        <v>0</v>
      </c>
      <c r="AC26" s="0" t="n">
        <f aca="false">IF(AC24="",0,IF(AC25=Milestones!$AB$37,Milestones!$AC$37,0))</f>
        <v>0</v>
      </c>
      <c r="AD26" s="0" t="n">
        <f aca="false">IF(AD24="",0,IF(AD25=Milestones!$AB$38,Milestones!$AC$38,0))</f>
        <v>0</v>
      </c>
      <c r="AE26" s="0" t="n">
        <f aca="false">IF(AE24="",0,IF(AE25=Milestones!$AB$39,Milestones!$AC$39,0))</f>
        <v>0</v>
      </c>
      <c r="AF26" s="0" t="n">
        <f aca="false">IF(AF24="",0,IF(AF25=Milestones!$AB$40,Milestones!$AC$40,0))</f>
        <v>0</v>
      </c>
      <c r="AG26" s="0" t="n">
        <f aca="false">IF(AG24="",0,IF(AG25=Milestones!$AB$41,Milestones!$AC$41,0))</f>
        <v>0</v>
      </c>
      <c r="AH26" s="0" t="n">
        <f aca="false">IF(AH24="",0,IF(AH25=Milestones!$AB$42,Milestones!$AC$42,0))</f>
        <v>0</v>
      </c>
      <c r="AI26" s="0" t="n">
        <f aca="false">IF(AI24="",0,IF(AI25=Milestones!$AB$43,Milestones!$AC$43,0))</f>
        <v>0</v>
      </c>
      <c r="AJ26" s="0" t="n">
        <f aca="false">IF(AJ24="",0,IF(AJ25=Milestones!$AB$44,Milestones!$AC$44,0))</f>
        <v>0</v>
      </c>
      <c r="AK26" s="0" t="n">
        <f aca="false">IF(AK24="",0,IF(AK25=Milestones!$AB$45,Milestones!$AC$45,0))</f>
        <v>0</v>
      </c>
      <c r="AL26" s="0" t="n">
        <f aca="false">IF(AL24="",0,IF(AL25=Milestones!$AB$46,Milestones!$AC$46,0))</f>
        <v>0</v>
      </c>
      <c r="AM26" s="0" t="n">
        <f aca="false">IF(AM24="",0,IF(AM25=Milestones!$AB$47,Milestones!$AC$47,0))</f>
        <v>0</v>
      </c>
      <c r="AN26" s="0" t="n">
        <f aca="false">IF(AN24="",0,IF(AN25=Milestones!$AB$48,Milestones!$AC$48,0))</f>
        <v>0</v>
      </c>
      <c r="AO26" s="0" t="n">
        <f aca="false">IF(AO24="",0,IF(AO25=Milestones!$AB$49,Milestones!$AC$49,0))</f>
        <v>0</v>
      </c>
      <c r="AP26" s="0" t="n">
        <f aca="false">IF(AP24="",0,IF(AP25=Milestones!$AB$50,Milestones!$AC$50,0))</f>
        <v>0</v>
      </c>
      <c r="AQ26" s="0" t="n">
        <f aca="false">IF(AQ24="",0,IF(AQ25=Milestones!$AB$51,Milestones!$AC$51,0))</f>
        <v>0</v>
      </c>
      <c r="AR26" s="0" t="n">
        <f aca="false">IF(AR24="",0,IF(AR25=Milestones!$AB$52,Milestones!$AC$52,0))</f>
        <v>0</v>
      </c>
      <c r="AS26" s="0" t="n">
        <f aca="false">IF(AS24="",0,IF(AS25=Milestones!$AB$53,Milestones!$AC$53,0))</f>
        <v>0</v>
      </c>
      <c r="AT26" s="0" t="n">
        <f aca="false">IF(AT24="",0,IF(AT25=Milestones!$AB$54,Milestones!$AC$54,0))</f>
        <v>0</v>
      </c>
      <c r="AU26" s="0" t="n">
        <f aca="false">IF(AU24="",0,IF(AU25=Milestones!$AB$55,Milestones!$AC$55,0))</f>
        <v>0</v>
      </c>
      <c r="AV26" s="0" t="n">
        <f aca="false">IF(AV24="",0,IF(AV25=Milestones!$AB$56,Milestones!$AC$56,0))</f>
        <v>0</v>
      </c>
      <c r="AW26" s="0" t="n">
        <f aca="false">IF(AW24="",0,IF(AW25=Milestones!$AB$57,Milestones!$AC$57,0))</f>
        <v>0</v>
      </c>
      <c r="AX26" s="0" t="n">
        <f aca="false">IF(AX24="",0,IF(AX25=Milestones!$AB$58,Milestones!$AC$58,0))</f>
        <v>0</v>
      </c>
      <c r="AY26" s="0" t="n">
        <f aca="false">IF(AY24="",0,IF(AY25=Milestones!$AB$59,Milestones!$AC$59,0))</f>
        <v>0</v>
      </c>
      <c r="AZ26" s="0" t="n">
        <f aca="false">IF(AZ24="",0,IF(AZ25=Milestones!$AB$60,Milestones!$AC$60,0))</f>
        <v>0</v>
      </c>
      <c r="BA26" s="0" t="n">
        <f aca="false">IF(BA24="",0,IF(BA25=Milestones!$AB$61,Milestones!$AC$61,0))</f>
        <v>0</v>
      </c>
      <c r="BB26" s="0" t="n">
        <f aca="false">IF(BB24="",0,IF(BB25=Milestones!$AB$62,Milestones!$AC$62,0))</f>
        <v>0</v>
      </c>
      <c r="BC26" s="0" t="n">
        <f aca="false">IF(BC24="",0,IF(BC25=Milestones!$AB$63,Milestones!$AC$63,0))</f>
        <v>0</v>
      </c>
      <c r="BD26" s="0" t="n">
        <f aca="false">IF(BD24="",0,IF(BD25=Milestones!$AB$64,Milestones!$AC$64,0))</f>
        <v>0</v>
      </c>
      <c r="BE26" s="0" t="n">
        <f aca="false">IF(BE24="",0,IF(BE25=Milestones!$AB$65,Milestones!$AC$65,0))</f>
        <v>0</v>
      </c>
      <c r="BF26" s="0" t="n">
        <f aca="false">IF(BF24="",0,IF(BF25=Milestones!$AB$66,Milestones!$AC$66,0))</f>
        <v>0</v>
      </c>
      <c r="BG26" s="0" t="n">
        <f aca="false">IF(BG24="",0,IF(BG25=Milestones!$AB$67,Milestones!$AC$67,0))</f>
        <v>0</v>
      </c>
      <c r="BH26" s="0" t="n">
        <f aca="false">IF(BH24="",0,IF(BH25=Milestones!$AB$68,Milestones!$AC$68,0))</f>
        <v>0</v>
      </c>
      <c r="BI26" s="0" t="n">
        <f aca="false">IF(BI24="",0,IF(BI25=Milestones!$AB$69,Milestones!$AC$69,0))</f>
        <v>0</v>
      </c>
      <c r="BJ26" s="0" t="n">
        <f aca="false">IF(BJ24="",0,IF(BJ25=Milestones!$AB$70,Milestones!$AC$70,0))</f>
        <v>0</v>
      </c>
      <c r="BK26" s="0" t="n">
        <f aca="false">IF(BK24="",0,IF(BK25=Milestones!$AB$71,Milestones!$AC$71,0))</f>
        <v>0</v>
      </c>
      <c r="BL26" s="0" t="n">
        <f aca="false">IF(BL24="",0,IF(BL25=Milestones!$AB$72,Milestones!$AC$72,0))</f>
        <v>0</v>
      </c>
      <c r="BM26" s="0" t="n">
        <f aca="false">IF(BM24="",0,IF(BM25=Milestones!$AB$73,Milestones!$AC$73,0))</f>
        <v>0</v>
      </c>
      <c r="BN26" s="0" t="n">
        <f aca="false">IF(BN24="",0,IF(BN25=Milestones!$AB$74,Milestones!$AC$74,0))</f>
        <v>0</v>
      </c>
      <c r="BO26" s="0" t="n">
        <f aca="false">IF(BO24="",0,IF(BO25=Milestones!$AB$75,Milestones!$AC$75,0))</f>
        <v>0</v>
      </c>
      <c r="BP26" s="0" t="n">
        <f aca="false">IF(BP24="",0,IF(BP25=Milestones!$AB$76,Milestones!$AC$76,0))</f>
        <v>0</v>
      </c>
      <c r="BQ26" s="0" t="n">
        <f aca="false">IF(BQ24="",0,IF(BQ25=Milestones!$AB$77,Milestones!$AC$77,0))</f>
        <v>0</v>
      </c>
      <c r="BR26" s="0" t="n">
        <f aca="false">IF(BR24="",0,IF(BR25=Milestones!$AB$78,Milestones!$AC$78,0))</f>
        <v>0</v>
      </c>
      <c r="BS26" s="0" t="n">
        <f aca="false">IF(BS24="",0,IF(BS25=Milestones!$AB$79,Milestones!$AC$79,0))</f>
        <v>0</v>
      </c>
      <c r="BT26" s="0" t="n">
        <f aca="false">IF(BT24="",0,IF(BT25=Milestones!$AB$80,Milestones!$AC$80,0))</f>
        <v>0</v>
      </c>
      <c r="BU26" s="0" t="n">
        <f aca="false">IF(BU24="",0,IF(BU25=Milestones!$AB$81,Milestones!$AC$81,0))</f>
        <v>0</v>
      </c>
      <c r="BV26" s="0" t="n">
        <f aca="false">IF(BV24="",0,IF(BV25=Milestones!$AB$82,Milestones!$AC$82,0))</f>
        <v>0</v>
      </c>
      <c r="BW26" s="0" t="n">
        <f aca="false">IF(BW24="",0,IF(BW25=Milestones!$AB$83,Milestones!$AC$83,0))</f>
        <v>0</v>
      </c>
      <c r="BX26" s="0" t="n">
        <f aca="false">IF(BX24="",0,IF(BX25=Milestones!$AB$84,Milestones!$AC$84,0))</f>
        <v>0</v>
      </c>
      <c r="BY26" s="0" t="n">
        <f aca="false">IF(BY24="",0,IF(BY25=Milestones!$AB$85,Milestones!$AC$85,0))</f>
        <v>0</v>
      </c>
      <c r="BZ26" s="0" t="n">
        <f aca="false">IF(BZ24="",0,IF(BZ25=Milestones!$AB$86,Milestones!$AC$86,0))</f>
        <v>0</v>
      </c>
      <c r="CA26" s="0" t="n">
        <f aca="false">IF(CA24="",0,IF(CA25=Milestones!$AB$87,Milestones!$AC$87,0))</f>
        <v>0</v>
      </c>
      <c r="CB26" s="0" t="n">
        <f aca="false">IF(CB24="",0,IF(CB25=Milestones!$AB$88,Milestones!$AC$88,0))</f>
        <v>0</v>
      </c>
      <c r="CC26" s="0" t="n">
        <f aca="false">IF(CC24="",0,IF(CC25=Milestones!$AB$89,Milestones!$AC$89,0))</f>
        <v>0</v>
      </c>
      <c r="CD26" s="0" t="n">
        <f aca="false">IF(CD24="",0,IF(CD25=Milestones!$AB$90,Milestones!$AC$90,0))</f>
        <v>0</v>
      </c>
      <c r="CE26" s="0" t="n">
        <f aca="false">IF(CE24="",0,IF(CE25=Milestones!$AB$91,Milestones!$AC$91,0))</f>
        <v>0</v>
      </c>
      <c r="CF26" s="0" t="n">
        <f aca="false">IF(CF24="",0,IF(CF25=Milestones!$AB$92,Milestones!$AC$92,0))</f>
        <v>0</v>
      </c>
      <c r="CG26" s="0" t="n">
        <f aca="false">IF(CG24="",0,IF(CG25=Milestones!$AB$93,Milestones!$AC$93,0))</f>
        <v>0</v>
      </c>
      <c r="CH26" s="0" t="n">
        <f aca="false">IF(CH24="",0,IF(CH25=Milestones!$AB$94,Milestones!$AC$94,0))</f>
        <v>0</v>
      </c>
      <c r="CI26" s="0" t="n">
        <f aca="false">IF(CI24="",0,IF(CI25=Milestones!$AB$95,Milestones!$AC$95,0))</f>
        <v>0</v>
      </c>
      <c r="CJ26" s="0" t="n">
        <f aca="false">IF(CJ24="",0,IF(CJ25=Milestones!$AB$96,Milestones!$AC$96,0))</f>
        <v>0</v>
      </c>
      <c r="CK26" s="0" t="n">
        <f aca="false">IF(CK24="",0,IF(CK25=Milestones!$AB$97,Milestones!$AC$97,0))</f>
        <v>0</v>
      </c>
      <c r="CL26" s="0" t="n">
        <f aca="false">IF(CL24="",0,IF(CL25=Milestones!$AB$98,Milestones!$AC$98,0))</f>
        <v>0</v>
      </c>
      <c r="CM26" s="0" t="n">
        <f aca="false">IF(CM24="",0,IF(CM25=Milestones!$AB$99,Milestones!$AC$99,0))</f>
        <v>0</v>
      </c>
      <c r="CN26" s="0" t="n">
        <f aca="false">IF(CN24="",0,IF(CN25=Milestones!$AB$100,Milestones!$AC$100,0))</f>
        <v>0</v>
      </c>
      <c r="CO26" s="0" t="n">
        <f aca="false">IF(CO24="",0,IF(CO25=Milestones!$AB$101,Milestones!$AC$101,0))</f>
        <v>0</v>
      </c>
      <c r="CP26" s="0" t="n">
        <f aca="false">IF(CP24="",0,IF(CP25=Milestones!$AB$102,Milestones!$AC$102,0))</f>
        <v>0</v>
      </c>
      <c r="CQ26" s="0" t="n">
        <f aca="false">IF(CQ24="",0,IF(CQ25=Milestones!$AB$103,Milestones!$AC$103,0))</f>
        <v>0</v>
      </c>
      <c r="CR26" s="0" t="n">
        <f aca="false">IF(CR24="",0,IF(CR25=Milestones!$AB$104,Milestones!$AC$104,0))</f>
        <v>0</v>
      </c>
      <c r="CS26" s="0" t="n">
        <f aca="false">IF(CS24="",0,IF(CS25=Milestones!$AB$105,Milestones!$AC$105,0))</f>
        <v>0</v>
      </c>
      <c r="CT26" s="0" t="n">
        <f aca="false">IF(CT24="",0,IF(CT25=Milestones!$AB$106,Milestones!$AC$106,0))</f>
        <v>0</v>
      </c>
      <c r="CU26" s="0" t="n">
        <f aca="false">IF(CU24="",0,IF(CU25=Milestones!$AB$107,Milestones!$AC$107,0))</f>
        <v>0</v>
      </c>
      <c r="CV26" s="0" t="n">
        <f aca="false">IF(CV24="",0,IF(CV25=Milestones!$AB$108,Milestones!$AC$108,0))</f>
        <v>0</v>
      </c>
      <c r="CW26" s="0" t="n">
        <f aca="false">IF(CW24="",0,IF(CW25=Milestones!$AB$109,Milestones!$AC$109,0))</f>
        <v>0</v>
      </c>
      <c r="CX26" s="0" t="n">
        <f aca="false">IF(CX24="",0,IF(CX25=Milestones!$AB$110,Milestones!$AC$110,0))</f>
        <v>0</v>
      </c>
      <c r="CY26" s="0" t="n">
        <f aca="false">IF(CY24="",0,IF(CY25=Milestones!$AB$111,Milestones!$AC$111,0))</f>
        <v>0</v>
      </c>
      <c r="CZ26" s="0" t="n">
        <f aca="false">IF(CZ24="",0,IF(CZ25=Milestones!$AB$112,Milestones!$AC$112,0))</f>
        <v>0</v>
      </c>
      <c r="DA26" s="0" t="n">
        <f aca="false">IF(DA24="",0,IF(DA25=Milestones!$AB$113,Milestones!$AC$113,0))</f>
        <v>0</v>
      </c>
      <c r="DB26" s="0" t="n">
        <f aca="false">IF(DB24="",0,IF(DB25=Milestones!$AB$114,Milestones!$AC$114,0))</f>
        <v>0</v>
      </c>
      <c r="DC26" s="0" t="n">
        <f aca="false">IF(DC24="",0,IF(DC25=Milestones!$AB$115,Milestones!$AC$115,0))</f>
        <v>0</v>
      </c>
      <c r="DD26" s="0" t="n">
        <f aca="false">IF(DD24="",0,IF(DD25=Milestones!$AB$116,Milestones!$AC$116,0))</f>
        <v>0</v>
      </c>
      <c r="DE26" s="0" t="n">
        <f aca="false">IF(DE24="",0,IF(DE25=Milestones!$AB$117,Milestones!$AC$117,0))</f>
        <v>0</v>
      </c>
      <c r="DF26" s="0" t="n">
        <f aca="false">IF(DF24="",0,IF(DF25=Milestones!$AB$118,Milestones!$AC$118,0))</f>
        <v>0</v>
      </c>
      <c r="DG26" s="0" t="n">
        <f aca="false">IF(DG24="",0,IF(DG25=Milestones!$AB$119,Milestones!$AC$119,0))</f>
        <v>0</v>
      </c>
      <c r="DH26" s="0" t="n">
        <f aca="false">IF(DH24="",0,IF(DH25=Milestones!$AB$120,Milestones!$AC$120,0))</f>
        <v>0</v>
      </c>
      <c r="DI26" s="0" t="n">
        <f aca="false">IF(DI24="",0,IF(DI25=Milestones!$AB$121,Milestones!$AC$121,0))</f>
        <v>0</v>
      </c>
      <c r="DJ26" s="0" t="n">
        <f aca="false">IF(DJ24="",0,IF(DJ25=Milestones!$AB$122,Milestones!$AC$122,0))</f>
        <v>0</v>
      </c>
      <c r="DK26" s="0" t="n">
        <f aca="false">IF(DK24="",0,IF(DK25=Milestones!$AB$123,Milestones!$AC$123,0))</f>
        <v>0</v>
      </c>
      <c r="DL26" s="0" t="n">
        <f aca="false">IF(DL24="",0,IF(DL25=Milestones!$AB$124,Milestones!$AC$124,0))</f>
        <v>0</v>
      </c>
      <c r="DM26" s="0" t="n">
        <f aca="false">IF(DM24="",0,IF(DM25=Milestones!$AB$125,Milestones!$AC$125,0))</f>
        <v>0</v>
      </c>
      <c r="DN26" s="0" t="n">
        <f aca="false">IF(DN24="",0,IF(DN25=Milestones!$AB$126,Milestones!$AC$126,0))</f>
        <v>0</v>
      </c>
      <c r="DO26" s="0" t="n">
        <f aca="false">IF(DO24="",0,IF(DO25=Milestones!$AB$127,Milestones!$AC$127,0))</f>
        <v>0</v>
      </c>
      <c r="DP26" s="0" t="n">
        <f aca="false">IF(DP24="",0,IF(DP25=Milestones!$AB$128,Milestones!$AC$128,0))</f>
        <v>0</v>
      </c>
      <c r="DQ26" s="0" t="n">
        <f aca="false">IF(DQ24="",0,IF(DQ25=Milestones!$AB$129,Milestones!$AC$129,0))</f>
        <v>0</v>
      </c>
      <c r="DR26" s="0" t="n">
        <f aca="false">IF(DR24="",0,IF(DR25=Milestones!$AB$130,Milestones!$AC$130,0))</f>
        <v>0</v>
      </c>
      <c r="DS26" s="0" t="n">
        <f aca="false">IF(DS24="",0,IF(DS25=Milestones!$AB$131,Milestones!$AC$131,0))</f>
        <v>0</v>
      </c>
      <c r="DT26" s="0" t="n">
        <f aca="false">IF(DT24="",0,IF(DT25=Milestones!$AB$132,Milestones!$AC$132,0))</f>
        <v>0</v>
      </c>
      <c r="DU26" s="0" t="n">
        <f aca="false">IF(DU24="",0,IF(DU25=Milestones!$AB$133,Milestones!$AC$133,0))</f>
        <v>0</v>
      </c>
      <c r="DV26" s="0" t="n">
        <f aca="false">IF(DV24="",0,IF(DV25=Milestones!$AB$134,Milestones!$AC$134,0))</f>
        <v>0</v>
      </c>
      <c r="DW26" s="0" t="n">
        <f aca="false">IF(DW24="",0,IF(DW25=Milestones!$AB$135,Milestones!$AC$135,0))</f>
        <v>0</v>
      </c>
      <c r="DX26" s="0" t="n">
        <f aca="false">IF(DX24="",0,IF(DX25=Milestones!$AB$136,Milestones!$AC$136,0))</f>
        <v>0</v>
      </c>
      <c r="DY26" s="0" t="n">
        <f aca="false">IF(DY24="",0,IF(DY25=Milestones!$AB$137,Milestones!$AC$137,0))</f>
        <v>0</v>
      </c>
      <c r="DZ26" s="0" t="n">
        <f aca="false">IF(DZ24="",0,IF(DZ25=Milestones!$AB$138,Milestones!$AC$138,0))</f>
        <v>0</v>
      </c>
      <c r="EA26" s="0" t="n">
        <f aca="false">IF(EA24="",0,IF(EA25=Milestones!$AB$139,Milestones!$AC$139,0))</f>
        <v>0</v>
      </c>
      <c r="EB26" s="0" t="n">
        <f aca="false">IF(EB24="",0,IF(EB25=Milestones!$AB$140,Milestones!$AC$140,0))</f>
        <v>0</v>
      </c>
      <c r="EC26" s="0" t="n">
        <f aca="false">IF(EC24="",0,IF(EC25=Milestones!$AB$141,Milestones!$AC$141,0))</f>
        <v>0</v>
      </c>
      <c r="ED26" s="0" t="n">
        <f aca="false">IF(ED24="",0,IF(ED25=Milestones!$AB$142,Milestones!$AC$142,0))</f>
        <v>0</v>
      </c>
      <c r="EE26" s="0" t="n">
        <f aca="false">IF(EE24="",0,IF(EE25=Milestones!$AB$143,Milestones!$AC$143,0))</f>
        <v>0</v>
      </c>
      <c r="EF26" s="0" t="n">
        <f aca="false">IF(EF24="",0,IF(EF25=Milestones!$AB$144,Milestones!$AC$144,0))</f>
        <v>0</v>
      </c>
      <c r="EG26" s="0" t="n">
        <f aca="false">IF(EG24="",0,IF(EG25=Milestones!$AB$145,Milestones!$AC$145,0))</f>
        <v>0</v>
      </c>
      <c r="EH26" s="0" t="n">
        <f aca="false">IF(EH24="",0,IF(EH25=Milestones!$AB$146,Milestones!$AC$146,0))</f>
        <v>0</v>
      </c>
      <c r="EI26" s="0" t="n">
        <f aca="false">IF(EI24="",0,IF(EI25=Milestones!$AB$147,Milestones!$AC$147,0))</f>
        <v>0</v>
      </c>
      <c r="EJ26" s="0" t="n">
        <f aca="false">IF(EJ24="",0,IF(EJ25=Milestones!$AB$148,Milestones!$AC$148,0))</f>
        <v>0</v>
      </c>
      <c r="EK26" s="0" t="n">
        <f aca="false">IF(EK24="",0,IF(EK25=Milestones!$AB$149,Milestones!$AC$149,0))</f>
        <v>0</v>
      </c>
      <c r="EL26" s="0" t="n">
        <f aca="false">IF(EL24="",0,IF(EL25=Milestones!$AB$150,Milestones!$AC$150,0))</f>
        <v>0</v>
      </c>
      <c r="EM26" s="0" t="n">
        <f aca="false">IF(EM24="",0,IF(EM25=Milestones!$AB$151,Milestones!$AC$151,0))</f>
        <v>0</v>
      </c>
      <c r="EN26" s="0" t="n">
        <f aca="false">IF(EN24="",0,IF(EN25=Milestones!$AB$152,Milestones!$AC$152,0))</f>
        <v>0</v>
      </c>
      <c r="EO26" s="0" t="n">
        <f aca="false">IF(EO24="",0,IF(EO25=Milestones!$AB$153,Milestones!$AC$153,0))</f>
        <v>0</v>
      </c>
      <c r="EP26" s="0" t="n">
        <f aca="false">IF(EP24="",0,IF(EP25=Milestones!$AB$154,Milestones!$AC$154,0))</f>
        <v>0</v>
      </c>
      <c r="EQ26" s="0" t="n">
        <f aca="false">IF(EQ24="",0,IF(EQ25=Milestones!$AB$155,Milestones!$AC$155,0))</f>
        <v>0</v>
      </c>
      <c r="ER26" s="0" t="n">
        <f aca="false">IF(ER24="",0,IF(ER25=Milestones!$AB$156,Milestones!$AC$156,0))</f>
        <v>0</v>
      </c>
      <c r="ES26" s="0" t="n">
        <f aca="false">IF(ES24="",0,IF(ES25=Milestones!$AB$157,Milestones!$AC$157,0))</f>
        <v>0</v>
      </c>
      <c r="ET26" s="0" t="n">
        <f aca="false">IF(ET24="",0,IF(ET25=Milestones!$AB$158,Milestones!$AC$158,0))</f>
        <v>0</v>
      </c>
      <c r="EU26" s="0" t="n">
        <f aca="false">IF(EU24="",0,IF(EU25=Milestones!$AB$159,Milestones!$AC$159,0))</f>
        <v>0</v>
      </c>
      <c r="EV26" s="0" t="n">
        <f aca="false">IF(EV24="",0,IF(EV25=Milestones!$AB$160,Milestones!$AC$160,0))</f>
        <v>0</v>
      </c>
      <c r="EW26" s="0" t="n">
        <f aca="false">IF(EW24="",0,IF(EW25=Milestones!$AB$161,Milestones!$AC$161,0))</f>
        <v>0</v>
      </c>
      <c r="EX26" s="0" t="n">
        <f aca="false">IF(EX24="",0,IF(EX25=Milestones!$AB$162,Milestones!$AC$162,0))</f>
        <v>0</v>
      </c>
      <c r="EY26" s="0" t="n">
        <f aca="false">IF(EY24="",0,IF(EY25=Milestones!$AB$163,Milestones!$AC$163,0))</f>
        <v>0</v>
      </c>
      <c r="EZ26" s="0" t="n">
        <f aca="false">IF(EZ24="",0,IF(EZ25=Milestones!$AB$164,Milestones!$AC$164,0))</f>
        <v>0</v>
      </c>
      <c r="FA26" s="0" t="n">
        <f aca="false">IF(FA24="",0,IF(FA25=Milestones!$AB$165,Milestones!$AC$165,0))</f>
        <v>0</v>
      </c>
      <c r="FB26" s="0" t="n">
        <f aca="false">IF(FB24="",0,IF(FB25=Milestones!$AB$166,Milestones!$AC$166,0))</f>
        <v>0</v>
      </c>
      <c r="FC26" s="0" t="n">
        <f aca="false">IF(FC24="",0,IF(FC25=Milestones!$AB$167,Milestones!$AC$167,0))</f>
        <v>0</v>
      </c>
      <c r="FD26" s="0" t="n">
        <f aca="false">IF(FD24="",0,IF(FD25=Milestones!$AB$168,Milestones!$AC$168,0))</f>
        <v>0</v>
      </c>
      <c r="FE26" s="0" t="n">
        <f aca="false">IF(FE24="",0,IF(FE25=Milestones!$AB$169,Milestones!$AC$169,0))</f>
        <v>0</v>
      </c>
      <c r="FF26" s="0" t="n">
        <f aca="false">IF(FF24="",0,IF(FF25=Milestones!$AB$170,Milestones!$AC$170,0))</f>
        <v>0</v>
      </c>
      <c r="FG26" s="0" t="n">
        <f aca="false">IF(FG24="",0,IF(FG25=Milestones!$AB$171,Milestones!$AC$171,0))</f>
        <v>0</v>
      </c>
      <c r="FH26" s="0" t="n">
        <f aca="false">IF(FH24="",0,IF(FH25=Milestones!$AB$172,Milestones!$AC$172,0))</f>
        <v>0</v>
      </c>
      <c r="FI26" s="0" t="n">
        <f aca="false">IF(FI24="",0,IF(FI25=Milestones!$AB$173,Milestones!$AC$173,0))</f>
        <v>0</v>
      </c>
      <c r="FJ26" s="0" t="n">
        <f aca="false">IF(FJ24="",0,IF(FJ25=Milestones!$AB$174,Milestones!$AC$174,0))</f>
        <v>0</v>
      </c>
      <c r="FK26" s="0" t="n">
        <f aca="false">IF(FK24="",0,IF(FK25=Milestones!$AB$175,Milestones!$AC$175,0))</f>
        <v>0</v>
      </c>
      <c r="FL26" s="0" t="n">
        <f aca="false">IF(FL24="",0,IF(FL25=Milestones!$AB$176,Milestones!$AC$176,0))</f>
        <v>0</v>
      </c>
      <c r="FM26" s="0" t="n">
        <f aca="false">IF(FM24="",0,IF(FM25=Milestones!$AB$177,Milestones!$AC$177,0))</f>
        <v>0</v>
      </c>
      <c r="FN26" s="0" t="n">
        <f aca="false">IF(FN24="",0,IF(FN25=Milestones!$AB$178,Milestones!$AC$178,0))</f>
        <v>0</v>
      </c>
      <c r="FO26" s="0" t="n">
        <f aca="false">IF(FO24="",0,IF(FO25=Milestones!$AB$179,Milestones!$AC$179,0))</f>
        <v>0</v>
      </c>
      <c r="FP26" s="0" t="n">
        <f aca="false">IF(FP24="",0,IF(FP25=Milestones!$AB$180,Milestones!$AC$180,0))</f>
        <v>0</v>
      </c>
      <c r="FQ26" s="0" t="n">
        <f aca="false">IF(FQ24="",0,IF(FQ25=Milestones!$AB$181,Milestones!$AC$181,0))</f>
        <v>0</v>
      </c>
      <c r="FR26" s="0" t="n">
        <f aca="false">IF(FR24="",0,IF(FR25=Milestones!$AB$182,Milestones!$AC$182,0))</f>
        <v>0</v>
      </c>
      <c r="FS26" s="0" t="n">
        <f aca="false">IF(FS24="",0,IF(FS25=Milestones!$AB$183,Milestones!$AC$183,0))</f>
        <v>0</v>
      </c>
      <c r="FT26" s="0" t="n">
        <f aca="false">IF(FT24="",0,IF(FT25=Milestones!$AB$184,Milestones!$AC$184,0))</f>
        <v>0</v>
      </c>
      <c r="FU26" s="0" t="n">
        <f aca="false">IF(FU24="",0,IF(FU25=Milestones!$AB$185,Milestones!$AC$185,0))</f>
        <v>0</v>
      </c>
      <c r="FV26" s="0" t="n">
        <f aca="false">IF(FV24="",0,IF(FV25=Milestones!$AB$186,Milestones!$AC$186,0))</f>
        <v>0</v>
      </c>
      <c r="FW26" s="0" t="n">
        <f aca="false">IF(FW24="",0,IF(FW25=Milestones!$AB$187,Milestones!$AC$187,0))</f>
        <v>0</v>
      </c>
      <c r="FX26" s="0" t="n">
        <f aca="false">IF(FX24="",0,IF(FX25=Milestones!$AB$188,Milestones!$AC$188,0))</f>
        <v>0</v>
      </c>
      <c r="FY26" s="0" t="n">
        <f aca="false">IF(FY24="",0,IF(FY25=Milestones!$AB$189,Milestones!$AC$189,0))</f>
        <v>0</v>
      </c>
      <c r="FZ26" s="0" t="n">
        <f aca="false">IF(FZ24="",0,IF(FZ25=Milestones!$AB$190,Milestones!$AC$190,0))</f>
        <v>0</v>
      </c>
      <c r="GA26" s="0" t="n">
        <f aca="false">IF(GA24="",0,IF(GA25=Milestones!$AB$191,Milestones!$AC$191,0))</f>
        <v>0</v>
      </c>
      <c r="GB26" s="0" t="n">
        <f aca="false">IF(GB24="",0,IF(GB25=Milestones!$AB$192,Milestones!$AC$192,0))</f>
        <v>0</v>
      </c>
      <c r="GC26" s="0" t="n">
        <f aca="false">IF(GC24="",0,IF(GC25=Milestones!$AB$193,Milestones!$AC$193,0))</f>
        <v>0</v>
      </c>
      <c r="GD26" s="0" t="n">
        <f aca="false">IF(GD24="",0,IF(GD25=Milestones!$AB$194,Milestones!$AC$194,0))</f>
        <v>0</v>
      </c>
      <c r="GE26" s="0" t="n">
        <f aca="false">IF(GE24="",0,IF(GE25=Milestones!$AB$195,Milestones!$AC$195,0))</f>
        <v>0</v>
      </c>
      <c r="GF26" s="0" t="n">
        <f aca="false">IF(GF24="",0,IF(GF25=Milestones!$AB$196,Milestones!$AC$196,0))</f>
        <v>0</v>
      </c>
      <c r="GG26" s="0" t="n">
        <f aca="false">IF(GG24="",0,IF(GG25=Milestones!$AB$197,Milestones!$AC$197,0))</f>
        <v>0</v>
      </c>
      <c r="GH26" s="0" t="n">
        <f aca="false">IF(GH24="",0,IF(GH25=Milestones!$AB$198,Milestones!$AC$198,0))</f>
        <v>0</v>
      </c>
      <c r="GI26" s="0" t="n">
        <f aca="false">IF(GI24="",0,IF(GI25=Milestones!$AB$199,Milestones!$AC$199,0))</f>
        <v>0</v>
      </c>
    </row>
    <row r="27" customFormat="false" ht="15" hidden="false" customHeight="false" outlineLevel="0" collapsed="false">
      <c r="A27" s="0" t="str">
        <f aca="false">IF('HR Tally Check'!J$7="","",'HR Tally Check'!J$7)</f>
        <v/>
      </c>
      <c r="B27" s="0" t="str">
        <f aca="false">IF(A27="","",ISNUMBER(MATCH(A27,Staff!$BJ$5:$BJ$154,0)))</f>
        <v/>
      </c>
      <c r="C27" s="18" t="str">
        <f aca="false">IF(B27&lt;&gt;TRUE(),"",INDEX(Staff!$AH$5:$AH$154,MATCH($A27,Staff!$BJ$5:$BJ$154,0)))</f>
        <v/>
      </c>
      <c r="D27" s="0" t="str">
        <f aca="false">IF(B27&lt;&gt;TRUE(),"",INDEX(Staff!$AI$5:$AI$154,MATCH($A27,Staff!$BJ$5:$BJ$154,0)))</f>
        <v/>
      </c>
      <c r="E27" s="18" t="str">
        <f aca="false">IF(B27&lt;&gt;TRUE(),"",INDEX(Staff!$AK$5:$AK$154,MATCH($A27,Staff!$BJ$5:$BJ$154,0)))</f>
        <v/>
      </c>
      <c r="F27" s="18" t="str">
        <f aca="false">IF(B27&lt;&gt;TRUE(),"",INDEX(Staff!$AL$5:$AL$154,MATCH($A27,Staff!$BJ$5:$BJ$154,0)))</f>
        <v/>
      </c>
      <c r="G27" s="0" t="str">
        <f aca="false">IF(B27&lt;&gt;TRUE(),"",INDEX(Staff!$AP$5:$AP$154,MATCH($A27,Staff!$BJ$5:$BJ$154,0)))</f>
        <v/>
      </c>
      <c r="H27" s="0" t="str">
        <f aca="false">IF(B27&lt;&gt;TRUE(),"",INDEX(Staff!$AQ$5:$AQ$154,MATCH($A27,Staff!$BJ$5:$BJ$154,0)))</f>
        <v/>
      </c>
      <c r="I27" s="0" t="str">
        <f aca="false">IF(B27&lt;&gt;TRUE(),"",INDEX(Staff!$AR$5:$AR$154,MATCH($A27,Staff!$BJ$5:$BJ$154,0)))</f>
        <v/>
      </c>
      <c r="J27" s="0" t="str">
        <f aca="false">IF(B27&lt;&gt;TRUE(),"",INDEX(Staff!$AS$5:$AS$154,MATCH($A27,Staff!$BJ$5:$BJ$154,0)))</f>
        <v/>
      </c>
      <c r="K27" s="31" t="s">
        <v>228</v>
      </c>
      <c r="L27" s="18" t="str">
        <f aca="false">IF($C27="","",EDATE($C27,Milestones!$AA$20))</f>
        <v/>
      </c>
      <c r="M27" s="18" t="str">
        <f aca="false">IF($C27="","",EDATE($C27,Milestones!$AA$21))</f>
        <v/>
      </c>
      <c r="N27" s="18" t="str">
        <f aca="false">IF($C27="","",EDATE($C27,Milestones!$AA$22))</f>
        <v/>
      </c>
      <c r="O27" s="18" t="str">
        <f aca="false">IF($C27="","",EDATE($C27,Milestones!$AA$23))</f>
        <v/>
      </c>
      <c r="P27" s="18" t="str">
        <f aca="false">IF($C27="","",EDATE($C27,Milestones!$AA$24))</f>
        <v/>
      </c>
      <c r="Q27" s="18" t="str">
        <f aca="false">IF($C27="","",EDATE($C27,Milestones!$AA$25))</f>
        <v/>
      </c>
      <c r="R27" s="18" t="str">
        <f aca="false">IF($C27="","",EDATE($C27,Milestones!$AA$26))</f>
        <v/>
      </c>
      <c r="S27" s="18" t="str">
        <f aca="false">IF($C27="","",EDATE($C27,Milestones!$AA$27))</f>
        <v/>
      </c>
      <c r="T27" s="18" t="str">
        <f aca="false">IF($C27="","",EDATE($C27,Milestones!$AA$28))</f>
        <v/>
      </c>
      <c r="U27" s="18" t="str">
        <f aca="false">IF($C27="","",EDATE($C27,Milestones!$AA$29))</f>
        <v/>
      </c>
      <c r="V27" s="18" t="str">
        <f aca="false">IF($C27="","",EDATE($C27,Milestones!$AA$30))</f>
        <v/>
      </c>
      <c r="W27" s="18" t="str">
        <f aca="false">IF($C27="","",EDATE($C27,Milestones!$AA$31))</f>
        <v/>
      </c>
      <c r="X27" s="18" t="str">
        <f aca="false">IF($C27="","",EDATE($C27,Milestones!$AA$32))</f>
        <v/>
      </c>
      <c r="Y27" s="18" t="str">
        <f aca="false">IF($C27="","",EDATE($C27,Milestones!$AA$33))</f>
        <v/>
      </c>
      <c r="Z27" s="18" t="str">
        <f aca="false">IF($C27="","",EDATE($C27,Milestones!$AA$34))</f>
        <v/>
      </c>
      <c r="AA27" s="18" t="str">
        <f aca="false">IF($C27="","",EDATE($C27,Milestones!$AA$35))</f>
        <v/>
      </c>
      <c r="AB27" s="18" t="str">
        <f aca="false">IF($C27="","",EDATE($C27,Milestones!$AA$36))</f>
        <v/>
      </c>
      <c r="AC27" s="18" t="str">
        <f aca="false">IF($C27="","",EDATE($C27,Milestones!$AA$37))</f>
        <v/>
      </c>
      <c r="AD27" s="18" t="str">
        <f aca="false">IF($C27="","",EDATE($C27,Milestones!$AA$38))</f>
        <v/>
      </c>
      <c r="AE27" s="18" t="str">
        <f aca="false">IF($C27="","",EDATE($C27,Milestones!$AA$39))</f>
        <v/>
      </c>
      <c r="AF27" s="18" t="str">
        <f aca="false">IF($C27="","",EDATE($C27,Milestones!$AA$40))</f>
        <v/>
      </c>
      <c r="AG27" s="18" t="str">
        <f aca="false">IF($C27="","",EDATE($C27,Milestones!$AA$41))</f>
        <v/>
      </c>
      <c r="AH27" s="18" t="str">
        <f aca="false">IF($C27="","",EDATE($C27,Milestones!$AA$42))</f>
        <v/>
      </c>
      <c r="AI27" s="18" t="str">
        <f aca="false">IF($C27="","",EDATE($C27,Milestones!$AA$43))</f>
        <v/>
      </c>
      <c r="AJ27" s="18" t="str">
        <f aca="false">IF($C27="","",EDATE($C27,Milestones!$AA$44))</f>
        <v/>
      </c>
      <c r="AK27" s="18" t="str">
        <f aca="false">IF($C27="","",EDATE($C27,Milestones!$AA$45))</f>
        <v/>
      </c>
      <c r="AL27" s="18" t="str">
        <f aca="false">IF($C27="","",EDATE($C27,Milestones!$AA$46))</f>
        <v/>
      </c>
      <c r="AM27" s="18" t="str">
        <f aca="false">IF($C27="","",EDATE($C27,Milestones!$AA$47))</f>
        <v/>
      </c>
      <c r="AN27" s="18" t="str">
        <f aca="false">IF($C27="","",EDATE($C27,Milestones!$AA$48))</f>
        <v/>
      </c>
      <c r="AO27" s="18" t="str">
        <f aca="false">IF($C27="","",EDATE($C27,Milestones!$AA$49))</f>
        <v/>
      </c>
      <c r="AP27" s="18" t="str">
        <f aca="false">IF($C27="","",EDATE($C27,Milestones!$AA$50))</f>
        <v/>
      </c>
      <c r="AQ27" s="18" t="str">
        <f aca="false">IF($C27="","",EDATE($C27,Milestones!$AA$51))</f>
        <v/>
      </c>
      <c r="AR27" s="18" t="str">
        <f aca="false">IF($C27="","",EDATE($C27,Milestones!$AA$52))</f>
        <v/>
      </c>
      <c r="AS27" s="18" t="str">
        <f aca="false">IF($C27="","",EDATE($C27,Milestones!$AA$53))</f>
        <v/>
      </c>
      <c r="AT27" s="18" t="str">
        <f aca="false">IF($C27="","",EDATE($C27,Milestones!$AA$54))</f>
        <v/>
      </c>
      <c r="AU27" s="18" t="str">
        <f aca="false">IF($C27="","",EDATE($C27,Milestones!$AA$55))</f>
        <v/>
      </c>
      <c r="AV27" s="18" t="str">
        <f aca="false">IF($C27="","",EDATE($C27,Milestones!$AA$56))</f>
        <v/>
      </c>
      <c r="AW27" s="18" t="str">
        <f aca="false">IF($C27="","",EDATE($C27,Milestones!$AA$57))</f>
        <v/>
      </c>
      <c r="AX27" s="18" t="str">
        <f aca="false">IF($C27="","",EDATE($C27,Milestones!$AA$58))</f>
        <v/>
      </c>
      <c r="AY27" s="18" t="str">
        <f aca="false">IF($C27="","",EDATE($C27,Milestones!$AA$59))</f>
        <v/>
      </c>
      <c r="AZ27" s="18" t="str">
        <f aca="false">IF($C27="","",EDATE($C27,Milestones!$AA$60))</f>
        <v/>
      </c>
      <c r="BA27" s="18" t="str">
        <f aca="false">IF($C27="","",EDATE($C27,Milestones!$AA$61))</f>
        <v/>
      </c>
      <c r="BB27" s="18" t="str">
        <f aca="false">IF($C27="","",EDATE($C27,Milestones!$AA$62))</f>
        <v/>
      </c>
      <c r="BC27" s="18" t="str">
        <f aca="false">IF($C27="","",EDATE($C27,Milestones!$AA$63))</f>
        <v/>
      </c>
      <c r="BD27" s="18" t="str">
        <f aca="false">IF($C27="","",EDATE($C27,Milestones!$AA$64))</f>
        <v/>
      </c>
      <c r="BE27" s="18" t="str">
        <f aca="false">IF($C27="","",EDATE($C27,Milestones!$AA$65))</f>
        <v/>
      </c>
      <c r="BF27" s="18" t="str">
        <f aca="false">IF($C27="","",EDATE($C27,Milestones!$AA$66))</f>
        <v/>
      </c>
      <c r="BG27" s="18" t="str">
        <f aca="false">IF($C27="","",EDATE($C27,Milestones!$AA$67))</f>
        <v/>
      </c>
      <c r="BH27" s="18" t="str">
        <f aca="false">IF($C27="","",EDATE($C27,Milestones!$AA$68))</f>
        <v/>
      </c>
      <c r="BI27" s="18" t="str">
        <f aca="false">IF($C27="","",EDATE($C27,Milestones!$AA$69))</f>
        <v/>
      </c>
      <c r="BJ27" s="18" t="str">
        <f aca="false">IF($C27="","",EDATE($C27,Milestones!$AA$70))</f>
        <v/>
      </c>
      <c r="BK27" s="18" t="str">
        <f aca="false">IF($C27="","",EDATE($C27,Milestones!$AA$71))</f>
        <v/>
      </c>
      <c r="BL27" s="18" t="str">
        <f aca="false">IF($C27="","",EDATE($C27,Milestones!$AA$72))</f>
        <v/>
      </c>
      <c r="BM27" s="18" t="str">
        <f aca="false">IF($C27="","",EDATE($C27,Milestones!$AA$73))</f>
        <v/>
      </c>
      <c r="BN27" s="18" t="str">
        <f aca="false">IF($C27="","",EDATE($C27,Milestones!$AA$74))</f>
        <v/>
      </c>
      <c r="BO27" s="18" t="str">
        <f aca="false">IF($C27="","",EDATE($C27,Milestones!$AA$75))</f>
        <v/>
      </c>
      <c r="BP27" s="18" t="str">
        <f aca="false">IF($C27="","",EDATE($C27,Milestones!$AA$76))</f>
        <v/>
      </c>
      <c r="BQ27" s="18" t="str">
        <f aca="false">IF($C27="","",EDATE($C27,Milestones!$AA$77))</f>
        <v/>
      </c>
      <c r="BR27" s="18" t="str">
        <f aca="false">IF($C27="","",EDATE($C27,Milestones!$AA$78))</f>
        <v/>
      </c>
      <c r="BS27" s="18" t="str">
        <f aca="false">IF($C27="","",EDATE($C27,Milestones!$AA$79))</f>
        <v/>
      </c>
      <c r="BT27" s="18" t="str">
        <f aca="false">IF($C27="","",EDATE($C27,Milestones!$AA$80))</f>
        <v/>
      </c>
      <c r="BU27" s="18" t="str">
        <f aca="false">IF($C27="","",EDATE($C27,Milestones!$AA$81))</f>
        <v/>
      </c>
      <c r="BV27" s="18" t="str">
        <f aca="false">IF($C27="","",EDATE($C27,Milestones!$AA$82))</f>
        <v/>
      </c>
      <c r="BW27" s="18" t="str">
        <f aca="false">IF($C27="","",EDATE($C27,Milestones!$AA$83))</f>
        <v/>
      </c>
      <c r="BX27" s="18" t="str">
        <f aca="false">IF($C27="","",EDATE($C27,Milestones!$AA$84))</f>
        <v/>
      </c>
      <c r="BY27" s="18" t="str">
        <f aca="false">IF($C27="","",EDATE($C27,Milestones!$AA$85))</f>
        <v/>
      </c>
      <c r="BZ27" s="18" t="str">
        <f aca="false">IF($C27="","",EDATE($C27,Milestones!$AA$86))</f>
        <v/>
      </c>
      <c r="CA27" s="18" t="str">
        <f aca="false">IF($C27="","",EDATE($C27,Milestones!$AA$87))</f>
        <v/>
      </c>
      <c r="CB27" s="18" t="str">
        <f aca="false">IF($C27="","",EDATE($C27,Milestones!$AA$88))</f>
        <v/>
      </c>
      <c r="CC27" s="18" t="str">
        <f aca="false">IF($C27="","",EDATE($C27,Milestones!$AA$89))</f>
        <v/>
      </c>
      <c r="CD27" s="18" t="str">
        <f aca="false">IF($C27="","",EDATE($C27,Milestones!$AA$90))</f>
        <v/>
      </c>
      <c r="CE27" s="18" t="str">
        <f aca="false">IF($C27="","",EDATE($C27,Milestones!$AA$91))</f>
        <v/>
      </c>
      <c r="CF27" s="18" t="str">
        <f aca="false">IF($C27="","",EDATE($C27,Milestones!$AA$92))</f>
        <v/>
      </c>
      <c r="CG27" s="18" t="str">
        <f aca="false">IF($C27="","",EDATE($C27,Milestones!$AA$93))</f>
        <v/>
      </c>
      <c r="CH27" s="18" t="str">
        <f aca="false">IF($C27="","",EDATE($C27,Milestones!$AA$94))</f>
        <v/>
      </c>
      <c r="CI27" s="18" t="str">
        <f aca="false">IF($C27="","",EDATE($C27,Milestones!$AA$95))</f>
        <v/>
      </c>
      <c r="CJ27" s="18" t="str">
        <f aca="false">IF($C27="","",EDATE($C27,Milestones!$AA$96))</f>
        <v/>
      </c>
      <c r="CK27" s="18" t="str">
        <f aca="false">IF($C27="","",EDATE($C27,Milestones!$AA$97))</f>
        <v/>
      </c>
      <c r="CL27" s="18" t="str">
        <f aca="false">IF($C27="","",EDATE($C27,Milestones!$AA$98))</f>
        <v/>
      </c>
      <c r="CM27" s="18" t="str">
        <f aca="false">IF($C27="","",EDATE($C27,Milestones!$AA$99))</f>
        <v/>
      </c>
      <c r="CN27" s="18" t="str">
        <f aca="false">IF($C27="","",EDATE($C27,Milestones!$AA$100))</f>
        <v/>
      </c>
      <c r="CO27" s="18" t="str">
        <f aca="false">IF($C27="","",EDATE($C27,Milestones!$AA$101))</f>
        <v/>
      </c>
      <c r="CP27" s="18" t="str">
        <f aca="false">IF($C27="","",EDATE($C27,Milestones!$AA$102))</f>
        <v/>
      </c>
      <c r="CQ27" s="18" t="str">
        <f aca="false">IF($C27="","",EDATE($C27,Milestones!$AA$103))</f>
        <v/>
      </c>
      <c r="CR27" s="18" t="str">
        <f aca="false">IF($C27="","",EDATE($C27,Milestones!$AA$104))</f>
        <v/>
      </c>
      <c r="CS27" s="18" t="str">
        <f aca="false">IF($C27="","",EDATE($C27,Milestones!$AA$105))</f>
        <v/>
      </c>
      <c r="CT27" s="18" t="str">
        <f aca="false">IF($C27="","",EDATE($C27,Milestones!$AA$106))</f>
        <v/>
      </c>
      <c r="CU27" s="18" t="str">
        <f aca="false">IF($C27="","",EDATE($C27,Milestones!$AA$107))</f>
        <v/>
      </c>
      <c r="CV27" s="18" t="str">
        <f aca="false">IF($C27="","",EDATE($C27,Milestones!$AA$108))</f>
        <v/>
      </c>
      <c r="CW27" s="18" t="str">
        <f aca="false">IF($C27="","",EDATE($C27,Milestones!$AA$109))</f>
        <v/>
      </c>
      <c r="CX27" s="18" t="str">
        <f aca="false">IF($C27="","",EDATE($C27,Milestones!$AA$110))</f>
        <v/>
      </c>
      <c r="CY27" s="18" t="str">
        <f aca="false">IF($C27="","",EDATE($C27,Milestones!$AA$111))</f>
        <v/>
      </c>
      <c r="CZ27" s="18" t="str">
        <f aca="false">IF($C27="","",EDATE($C27,Milestones!$AA$112))</f>
        <v/>
      </c>
      <c r="DA27" s="18" t="str">
        <f aca="false">IF($C27="","",EDATE($C27,Milestones!$AA$113))</f>
        <v/>
      </c>
      <c r="DB27" s="18" t="str">
        <f aca="false">IF($C27="","",EDATE($C27,Milestones!$AA$114))</f>
        <v/>
      </c>
      <c r="DC27" s="18" t="str">
        <f aca="false">IF($C27="","",EDATE($C27,Milestones!$AA$115))</f>
        <v/>
      </c>
      <c r="DD27" s="18" t="str">
        <f aca="false">IF($C27="","",EDATE($C27,Milestones!$AA$116))</f>
        <v/>
      </c>
      <c r="DE27" s="18" t="str">
        <f aca="false">IF($C27="","",EDATE($C27,Milestones!$AA$117))</f>
        <v/>
      </c>
      <c r="DF27" s="18" t="str">
        <f aca="false">IF($C27="","",EDATE($C27,Milestones!$AA$118))</f>
        <v/>
      </c>
      <c r="DG27" s="18" t="str">
        <f aca="false">IF($C27="","",EDATE($C27,Milestones!$AA$119))</f>
        <v/>
      </c>
      <c r="DH27" s="18" t="str">
        <f aca="false">IF($C27="","",EDATE($C27,Milestones!$AA$120))</f>
        <v/>
      </c>
      <c r="DI27" s="18" t="str">
        <f aca="false">IF($C27="","",EDATE($C27,Milestones!$AA$121))</f>
        <v/>
      </c>
      <c r="DJ27" s="18" t="str">
        <f aca="false">IF($C27="","",EDATE($C27,Milestones!$AA$122))</f>
        <v/>
      </c>
      <c r="DK27" s="18" t="str">
        <f aca="false">IF($C27="","",EDATE($C27,Milestones!$AA$123))</f>
        <v/>
      </c>
      <c r="DL27" s="18" t="str">
        <f aca="false">IF($C27="","",EDATE($C27,Milestones!$AA$124))</f>
        <v/>
      </c>
      <c r="DM27" s="18" t="str">
        <f aca="false">IF($C27="","",EDATE($C27,Milestones!$AA$125))</f>
        <v/>
      </c>
      <c r="DN27" s="18" t="str">
        <f aca="false">IF($C27="","",EDATE($C27,Milestones!$AA$126))</f>
        <v/>
      </c>
      <c r="DO27" s="18" t="str">
        <f aca="false">IF($C27="","",EDATE($C27,Milestones!$AA$127))</f>
        <v/>
      </c>
      <c r="DP27" s="18" t="str">
        <f aca="false">IF($C27="","",EDATE($C27,Milestones!$AA$128))</f>
        <v/>
      </c>
      <c r="DQ27" s="18" t="str">
        <f aca="false">IF($C27="","",EDATE($C27,Milestones!$AA$129))</f>
        <v/>
      </c>
      <c r="DR27" s="18" t="str">
        <f aca="false">IF($C27="","",EDATE($C27,Milestones!$AA$130))</f>
        <v/>
      </c>
      <c r="DS27" s="18" t="str">
        <f aca="false">IF($C27="","",EDATE($C27,Milestones!$AA$131))</f>
        <v/>
      </c>
      <c r="DT27" s="18" t="str">
        <f aca="false">IF($C27="","",EDATE($C27,Milestones!$AA$132))</f>
        <v/>
      </c>
      <c r="DU27" s="18" t="str">
        <f aca="false">IF($C27="","",EDATE($C27,Milestones!$AA$133))</f>
        <v/>
      </c>
      <c r="DV27" s="18" t="str">
        <f aca="false">IF($C27="","",EDATE($C27,Milestones!$AA$134))</f>
        <v/>
      </c>
      <c r="DW27" s="18" t="str">
        <f aca="false">IF($C27="","",EDATE($C27,Milestones!$AA$135))</f>
        <v/>
      </c>
      <c r="DX27" s="18" t="str">
        <f aca="false">IF($C27="","",EDATE($C27,Milestones!$AA$136))</f>
        <v/>
      </c>
      <c r="DY27" s="18" t="str">
        <f aca="false">IF($C27="","",EDATE($C27,Milestones!$AA$137))</f>
        <v/>
      </c>
      <c r="DZ27" s="18" t="str">
        <f aca="false">IF($C27="","",EDATE($C27,Milestones!$AA$138))</f>
        <v/>
      </c>
      <c r="EA27" s="18" t="str">
        <f aca="false">IF($C27="","",EDATE($C27,Milestones!$AA$139))</f>
        <v/>
      </c>
      <c r="EB27" s="18" t="str">
        <f aca="false">IF($C27="","",EDATE($C27,Milestones!$AA$140))</f>
        <v/>
      </c>
      <c r="EC27" s="18" t="str">
        <f aca="false">IF($C27="","",EDATE($C27,Milestones!$AA$141))</f>
        <v/>
      </c>
      <c r="ED27" s="18" t="str">
        <f aca="false">IF($C27="","",EDATE($C27,Milestones!$AA$142))</f>
        <v/>
      </c>
      <c r="EE27" s="18" t="str">
        <f aca="false">IF($C27="","",EDATE($C27,Milestones!$AA$143))</f>
        <v/>
      </c>
      <c r="EF27" s="18" t="str">
        <f aca="false">IF($C27="","",EDATE($C27,Milestones!$AA$144))</f>
        <v/>
      </c>
      <c r="EG27" s="18" t="str">
        <f aca="false">IF($C27="","",EDATE($C27,Milestones!$AA$145))</f>
        <v/>
      </c>
      <c r="EH27" s="18" t="str">
        <f aca="false">IF($C27="","",EDATE($C27,Milestones!$AA$146))</f>
        <v/>
      </c>
      <c r="EI27" s="18" t="str">
        <f aca="false">IF($C27="","",EDATE($C27,Milestones!$AA$147))</f>
        <v/>
      </c>
      <c r="EJ27" s="18" t="str">
        <f aca="false">IF($C27="","",EDATE($C27,Milestones!$AA$148))</f>
        <v/>
      </c>
      <c r="EK27" s="18" t="str">
        <f aca="false">IF($C27="","",EDATE($C27,Milestones!$AA$149))</f>
        <v/>
      </c>
      <c r="EL27" s="18" t="str">
        <f aca="false">IF($C27="","",EDATE($C27,Milestones!$AA$150))</f>
        <v/>
      </c>
      <c r="EM27" s="18" t="str">
        <f aca="false">IF($C27="","",EDATE($C27,Milestones!$AA$151))</f>
        <v/>
      </c>
      <c r="EN27" s="18" t="str">
        <f aca="false">IF($C27="","",EDATE($C27,Milestones!$AA$152))</f>
        <v/>
      </c>
      <c r="EO27" s="18" t="str">
        <f aca="false">IF($C27="","",EDATE($C27,Milestones!$AA$153))</f>
        <v/>
      </c>
      <c r="EP27" s="18" t="str">
        <f aca="false">IF($C27="","",EDATE($C27,Milestones!$AA$154))</f>
        <v/>
      </c>
      <c r="EQ27" s="18" t="str">
        <f aca="false">IF($C27="","",EDATE($C27,Milestones!$AA$155))</f>
        <v/>
      </c>
      <c r="ER27" s="18" t="str">
        <f aca="false">IF($C27="","",EDATE($C27,Milestones!$AA$156))</f>
        <v/>
      </c>
      <c r="ES27" s="18" t="str">
        <f aca="false">IF($C27="","",EDATE($C27,Milestones!$AA$157))</f>
        <v/>
      </c>
      <c r="ET27" s="18" t="str">
        <f aca="false">IF($C27="","",EDATE($C27,Milestones!$AA$158))</f>
        <v/>
      </c>
      <c r="EU27" s="18" t="str">
        <f aca="false">IF($C27="","",EDATE($C27,Milestones!$AA$159))</f>
        <v/>
      </c>
      <c r="EV27" s="18" t="str">
        <f aca="false">IF($C27="","",EDATE($C27,Milestones!$AA$160))</f>
        <v/>
      </c>
      <c r="EW27" s="18" t="str">
        <f aca="false">IF($C27="","",EDATE($C27,Milestones!$AA$161))</f>
        <v/>
      </c>
      <c r="EX27" s="18" t="str">
        <f aca="false">IF($C27="","",EDATE($C27,Milestones!$AA$162))</f>
        <v/>
      </c>
      <c r="EY27" s="18" t="str">
        <f aca="false">IF($C27="","",EDATE($C27,Milestones!$AA$163))</f>
        <v/>
      </c>
      <c r="EZ27" s="18" t="str">
        <f aca="false">IF($C27="","",EDATE($C27,Milestones!$AA$164))</f>
        <v/>
      </c>
      <c r="FA27" s="18" t="str">
        <f aca="false">IF($C27="","",EDATE($C27,Milestones!$AA$165))</f>
        <v/>
      </c>
      <c r="FB27" s="18" t="str">
        <f aca="false">IF($C27="","",EDATE($C27,Milestones!$AA$166))</f>
        <v/>
      </c>
      <c r="FC27" s="18" t="str">
        <f aca="false">IF($C27="","",EDATE($C27,Milestones!$AA$167))</f>
        <v/>
      </c>
      <c r="FD27" s="18" t="str">
        <f aca="false">IF($C27="","",EDATE($C27,Milestones!$AA$168))</f>
        <v/>
      </c>
      <c r="FE27" s="18" t="str">
        <f aca="false">IF($C27="","",EDATE($C27,Milestones!$AA$169))</f>
        <v/>
      </c>
      <c r="FF27" s="18" t="str">
        <f aca="false">IF($C27="","",EDATE($C27,Milestones!$AA$170))</f>
        <v/>
      </c>
      <c r="FG27" s="18" t="str">
        <f aca="false">IF($C27="","",EDATE($C27,Milestones!$AA$171))</f>
        <v/>
      </c>
      <c r="FH27" s="18" t="str">
        <f aca="false">IF($C27="","",EDATE($C27,Milestones!$AA$172))</f>
        <v/>
      </c>
      <c r="FI27" s="18" t="str">
        <f aca="false">IF($C27="","",EDATE($C27,Milestones!$AA$173))</f>
        <v/>
      </c>
      <c r="FJ27" s="18" t="str">
        <f aca="false">IF($C27="","",EDATE($C27,Milestones!$AA$174))</f>
        <v/>
      </c>
      <c r="FK27" s="18" t="str">
        <f aca="false">IF($C27="","",EDATE($C27,Milestones!$AA$175))</f>
        <v/>
      </c>
      <c r="FL27" s="18" t="str">
        <f aca="false">IF($C27="","",EDATE($C27,Milestones!$AA$176))</f>
        <v/>
      </c>
      <c r="FM27" s="18" t="str">
        <f aca="false">IF($C27="","",EDATE($C27,Milestones!$AA$177))</f>
        <v/>
      </c>
      <c r="FN27" s="18" t="str">
        <f aca="false">IF($C27="","",EDATE($C27,Milestones!$AA$178))</f>
        <v/>
      </c>
      <c r="FO27" s="18" t="str">
        <f aca="false">IF($C27="","",EDATE($C27,Milestones!$AA$179))</f>
        <v/>
      </c>
      <c r="FP27" s="18" t="str">
        <f aca="false">IF($C27="","",EDATE($C27,Milestones!$AA$180))</f>
        <v/>
      </c>
      <c r="FQ27" s="18" t="str">
        <f aca="false">IF($C27="","",EDATE($C27,Milestones!$AA$181))</f>
        <v/>
      </c>
      <c r="FR27" s="18" t="str">
        <f aca="false">IF($C27="","",EDATE($C27,Milestones!$AA$182))</f>
        <v/>
      </c>
      <c r="FS27" s="18" t="str">
        <f aca="false">IF($C27="","",EDATE($C27,Milestones!$AA$183))</f>
        <v/>
      </c>
      <c r="FT27" s="18" t="str">
        <f aca="false">IF($C27="","",EDATE($C27,Milestones!$AA$184))</f>
        <v/>
      </c>
      <c r="FU27" s="18" t="str">
        <f aca="false">IF($C27="","",EDATE($C27,Milestones!$AA$185))</f>
        <v/>
      </c>
      <c r="FV27" s="18" t="str">
        <f aca="false">IF($C27="","",EDATE($C27,Milestones!$AA$186))</f>
        <v/>
      </c>
      <c r="FW27" s="18" t="str">
        <f aca="false">IF($C27="","",EDATE($C27,Milestones!$AA$187))</f>
        <v/>
      </c>
      <c r="FX27" s="18" t="str">
        <f aca="false">IF($C27="","",EDATE($C27,Milestones!$AA$188))</f>
        <v/>
      </c>
      <c r="FY27" s="18" t="str">
        <f aca="false">IF($C27="","",EDATE($C27,Milestones!$AA$189))</f>
        <v/>
      </c>
      <c r="FZ27" s="18" t="str">
        <f aca="false">IF($C27="","",EDATE($C27,Milestones!$AA$190))</f>
        <v/>
      </c>
      <c r="GA27" s="18" t="str">
        <f aca="false">IF($C27="","",EDATE($C27,Milestones!$AA$191))</f>
        <v/>
      </c>
      <c r="GB27" s="18" t="str">
        <f aca="false">IF($C27="","",EDATE($C27,Milestones!$AA$192))</f>
        <v/>
      </c>
      <c r="GC27" s="18" t="str">
        <f aca="false">IF($C27="","",EDATE($C27,Milestones!$AA$193))</f>
        <v/>
      </c>
      <c r="GD27" s="18" t="str">
        <f aca="false">IF($C27="","",EDATE($C27,Milestones!$AA$194))</f>
        <v/>
      </c>
      <c r="GE27" s="18" t="str">
        <f aca="false">IF($C27="","",EDATE($C27,Milestones!$AA$195))</f>
        <v/>
      </c>
      <c r="GF27" s="18" t="str">
        <f aca="false">IF($C27="","",EDATE($C27,Milestones!$AA$196))</f>
        <v/>
      </c>
      <c r="GG27" s="18" t="str">
        <f aca="false">IF($C27="","",EDATE($C27,Milestones!$AA$197))</f>
        <v/>
      </c>
      <c r="GH27" s="18" t="str">
        <f aca="false">IF($C27="","",EDATE($C27,Milestones!$AA$198))</f>
        <v/>
      </c>
      <c r="GI27" s="18" t="str">
        <f aca="false">IF($C27="","",EDATE($C27,Milestones!$AA$199))</f>
        <v/>
      </c>
    </row>
    <row r="28" customFormat="false" ht="15" hidden="false" customHeight="false" outlineLevel="0" collapsed="false">
      <c r="K28" s="0" t="s">
        <v>229</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230</v>
      </c>
      <c r="L29" s="0" t="n">
        <f aca="false">IF(L27="",0,IF(L28=Milestones!$AB$20,Milestones!$AC$20,0))</f>
        <v>0</v>
      </c>
      <c r="M29" s="0" t="n">
        <f aca="false">IF(M27="",0,IF(M28=Milestones!$AB$21,Milestones!$AC$21,0))</f>
        <v>0</v>
      </c>
      <c r="N29" s="0" t="n">
        <f aca="false">IF(N27="",0,IF(N28=Milestones!$AB$22,Milestones!$AC$22,0))</f>
        <v>0</v>
      </c>
      <c r="O29" s="0" t="n">
        <f aca="false">IF(O27="",0,IF(O28=Milestones!$AB$23,Milestones!$AC$23,0))</f>
        <v>0</v>
      </c>
      <c r="P29" s="0" t="n">
        <f aca="false">IF(P27="",0,IF(P28=Milestones!$AB$24,Milestones!$AC$24,0))</f>
        <v>0</v>
      </c>
      <c r="Q29" s="0" t="n">
        <f aca="false">IF(Q27="",0,IF(Q28=Milestones!$AB$25,Milestones!$AC$25,0))</f>
        <v>0</v>
      </c>
      <c r="R29" s="0" t="n">
        <f aca="false">IF(R27="",0,IF(R28=Milestones!$AB$26,Milestones!$AC$26,0))</f>
        <v>0</v>
      </c>
      <c r="S29" s="0" t="n">
        <f aca="false">IF(S27="",0,IF(S28=Milestones!$AB$27,Milestones!$AC$27,0))</f>
        <v>0</v>
      </c>
      <c r="T29" s="0" t="n">
        <f aca="false">IF(T27="",0,IF(T28=Milestones!$AB$28,Milestones!$AC$28,0))</f>
        <v>0</v>
      </c>
      <c r="U29" s="0" t="n">
        <f aca="false">IF(U27="",0,IF(U28=Milestones!$AB$29,Milestones!$AC$29,0))</f>
        <v>0</v>
      </c>
      <c r="V29" s="0" t="n">
        <f aca="false">IF(V27="",0,IF(V28=Milestones!$AB$30,Milestones!$AC$30,0))</f>
        <v>0</v>
      </c>
      <c r="W29" s="0" t="n">
        <f aca="false">IF(W27="",0,IF(W28=Milestones!$AB$31,Milestones!$AC$31,0))</f>
        <v>0</v>
      </c>
      <c r="X29" s="0" t="n">
        <f aca="false">IF(X27="",0,IF(X28=Milestones!$AB$32,Milestones!$AC$32,0))</f>
        <v>0</v>
      </c>
      <c r="Y29" s="0" t="n">
        <f aca="false">IF(Y27="",0,IF(Y28=Milestones!$AB$33,Milestones!$AC$33,0))</f>
        <v>0</v>
      </c>
      <c r="Z29" s="0" t="n">
        <f aca="false">IF(Z27="",0,IF(Z28=Milestones!$AB$34,Milestones!$AC$34,0))</f>
        <v>0</v>
      </c>
      <c r="AA29" s="0" t="n">
        <f aca="false">IF(AA27="",0,IF(AA28=Milestones!$AB$35,Milestones!$AC$35,0))</f>
        <v>0</v>
      </c>
      <c r="AB29" s="0" t="n">
        <f aca="false">IF(AB27="",0,IF(AB28=Milestones!$AB$36,Milestones!$AC$36,0))</f>
        <v>0</v>
      </c>
      <c r="AC29" s="0" t="n">
        <f aca="false">IF(AC27="",0,IF(AC28=Milestones!$AB$37,Milestones!$AC$37,0))</f>
        <v>0</v>
      </c>
      <c r="AD29" s="0" t="n">
        <f aca="false">IF(AD27="",0,IF(AD28=Milestones!$AB$38,Milestones!$AC$38,0))</f>
        <v>0</v>
      </c>
      <c r="AE29" s="0" t="n">
        <f aca="false">IF(AE27="",0,IF(AE28=Milestones!$AB$39,Milestones!$AC$39,0))</f>
        <v>0</v>
      </c>
      <c r="AF29" s="0" t="n">
        <f aca="false">IF(AF27="",0,IF(AF28=Milestones!$AB$40,Milestones!$AC$40,0))</f>
        <v>0</v>
      </c>
      <c r="AG29" s="0" t="n">
        <f aca="false">IF(AG27="",0,IF(AG28=Milestones!$AB$41,Milestones!$AC$41,0))</f>
        <v>0</v>
      </c>
      <c r="AH29" s="0" t="n">
        <f aca="false">IF(AH27="",0,IF(AH28=Milestones!$AB$42,Milestones!$AC$42,0))</f>
        <v>0</v>
      </c>
      <c r="AI29" s="0" t="n">
        <f aca="false">IF(AI27="",0,IF(AI28=Milestones!$AB$43,Milestones!$AC$43,0))</f>
        <v>0</v>
      </c>
      <c r="AJ29" s="0" t="n">
        <f aca="false">IF(AJ27="",0,IF(AJ28=Milestones!$AB$44,Milestones!$AC$44,0))</f>
        <v>0</v>
      </c>
      <c r="AK29" s="0" t="n">
        <f aca="false">IF(AK27="",0,IF(AK28=Milestones!$AB$45,Milestones!$AC$45,0))</f>
        <v>0</v>
      </c>
      <c r="AL29" s="0" t="n">
        <f aca="false">IF(AL27="",0,IF(AL28=Milestones!$AB$46,Milestones!$AC$46,0))</f>
        <v>0</v>
      </c>
      <c r="AM29" s="0" t="n">
        <f aca="false">IF(AM27="",0,IF(AM28=Milestones!$AB$47,Milestones!$AC$47,0))</f>
        <v>0</v>
      </c>
      <c r="AN29" s="0" t="n">
        <f aca="false">IF(AN27="",0,IF(AN28=Milestones!$AB$48,Milestones!$AC$48,0))</f>
        <v>0</v>
      </c>
      <c r="AO29" s="0" t="n">
        <f aca="false">IF(AO27="",0,IF(AO28=Milestones!$AB$49,Milestones!$AC$49,0))</f>
        <v>0</v>
      </c>
      <c r="AP29" s="0" t="n">
        <f aca="false">IF(AP27="",0,IF(AP28=Milestones!$AB$50,Milestones!$AC$50,0))</f>
        <v>0</v>
      </c>
      <c r="AQ29" s="0" t="n">
        <f aca="false">IF(AQ27="",0,IF(AQ28=Milestones!$AB$51,Milestones!$AC$51,0))</f>
        <v>0</v>
      </c>
      <c r="AR29" s="0" t="n">
        <f aca="false">IF(AR27="",0,IF(AR28=Milestones!$AB$52,Milestones!$AC$52,0))</f>
        <v>0</v>
      </c>
      <c r="AS29" s="0" t="n">
        <f aca="false">IF(AS27="",0,IF(AS28=Milestones!$AB$53,Milestones!$AC$53,0))</f>
        <v>0</v>
      </c>
      <c r="AT29" s="0" t="n">
        <f aca="false">IF(AT27="",0,IF(AT28=Milestones!$AB$54,Milestones!$AC$54,0))</f>
        <v>0</v>
      </c>
      <c r="AU29" s="0" t="n">
        <f aca="false">IF(AU27="",0,IF(AU28=Milestones!$AB$55,Milestones!$AC$55,0))</f>
        <v>0</v>
      </c>
      <c r="AV29" s="0" t="n">
        <f aca="false">IF(AV27="",0,IF(AV28=Milestones!$AB$56,Milestones!$AC$56,0))</f>
        <v>0</v>
      </c>
      <c r="AW29" s="0" t="n">
        <f aca="false">IF(AW27="",0,IF(AW28=Milestones!$AB$57,Milestones!$AC$57,0))</f>
        <v>0</v>
      </c>
      <c r="AX29" s="0" t="n">
        <f aca="false">IF(AX27="",0,IF(AX28=Milestones!$AB$58,Milestones!$AC$58,0))</f>
        <v>0</v>
      </c>
      <c r="AY29" s="0" t="n">
        <f aca="false">IF(AY27="",0,IF(AY28=Milestones!$AB$59,Milestones!$AC$59,0))</f>
        <v>0</v>
      </c>
      <c r="AZ29" s="0" t="n">
        <f aca="false">IF(AZ27="",0,IF(AZ28=Milestones!$AB$60,Milestones!$AC$60,0))</f>
        <v>0</v>
      </c>
      <c r="BA29" s="0" t="n">
        <f aca="false">IF(BA27="",0,IF(BA28=Milestones!$AB$61,Milestones!$AC$61,0))</f>
        <v>0</v>
      </c>
      <c r="BB29" s="0" t="n">
        <f aca="false">IF(BB27="",0,IF(BB28=Milestones!$AB$62,Milestones!$AC$62,0))</f>
        <v>0</v>
      </c>
      <c r="BC29" s="0" t="n">
        <f aca="false">IF(BC27="",0,IF(BC28=Milestones!$AB$63,Milestones!$AC$63,0))</f>
        <v>0</v>
      </c>
      <c r="BD29" s="0" t="n">
        <f aca="false">IF(BD27="",0,IF(BD28=Milestones!$AB$64,Milestones!$AC$64,0))</f>
        <v>0</v>
      </c>
      <c r="BE29" s="0" t="n">
        <f aca="false">IF(BE27="",0,IF(BE28=Milestones!$AB$65,Milestones!$AC$65,0))</f>
        <v>0</v>
      </c>
      <c r="BF29" s="0" t="n">
        <f aca="false">IF(BF27="",0,IF(BF28=Milestones!$AB$66,Milestones!$AC$66,0))</f>
        <v>0</v>
      </c>
      <c r="BG29" s="0" t="n">
        <f aca="false">IF(BG27="",0,IF(BG28=Milestones!$AB$67,Milestones!$AC$67,0))</f>
        <v>0</v>
      </c>
      <c r="BH29" s="0" t="n">
        <f aca="false">IF(BH27="",0,IF(BH28=Milestones!$AB$68,Milestones!$AC$68,0))</f>
        <v>0</v>
      </c>
      <c r="BI29" s="0" t="n">
        <f aca="false">IF(BI27="",0,IF(BI28=Milestones!$AB$69,Milestones!$AC$69,0))</f>
        <v>0</v>
      </c>
      <c r="BJ29" s="0" t="n">
        <f aca="false">IF(BJ27="",0,IF(BJ28=Milestones!$AB$70,Milestones!$AC$70,0))</f>
        <v>0</v>
      </c>
      <c r="BK29" s="0" t="n">
        <f aca="false">IF(BK27="",0,IF(BK28=Milestones!$AB$71,Milestones!$AC$71,0))</f>
        <v>0</v>
      </c>
      <c r="BL29" s="0" t="n">
        <f aca="false">IF(BL27="",0,IF(BL28=Milestones!$AB$72,Milestones!$AC$72,0))</f>
        <v>0</v>
      </c>
      <c r="BM29" s="0" t="n">
        <f aca="false">IF(BM27="",0,IF(BM28=Milestones!$AB$73,Milestones!$AC$73,0))</f>
        <v>0</v>
      </c>
      <c r="BN29" s="0" t="n">
        <f aca="false">IF(BN27="",0,IF(BN28=Milestones!$AB$74,Milestones!$AC$74,0))</f>
        <v>0</v>
      </c>
      <c r="BO29" s="0" t="n">
        <f aca="false">IF(BO27="",0,IF(BO28=Milestones!$AB$75,Milestones!$AC$75,0))</f>
        <v>0</v>
      </c>
      <c r="BP29" s="0" t="n">
        <f aca="false">IF(BP27="",0,IF(BP28=Milestones!$AB$76,Milestones!$AC$76,0))</f>
        <v>0</v>
      </c>
      <c r="BQ29" s="0" t="n">
        <f aca="false">IF(BQ27="",0,IF(BQ28=Milestones!$AB$77,Milestones!$AC$77,0))</f>
        <v>0</v>
      </c>
      <c r="BR29" s="0" t="n">
        <f aca="false">IF(BR27="",0,IF(BR28=Milestones!$AB$78,Milestones!$AC$78,0))</f>
        <v>0</v>
      </c>
      <c r="BS29" s="0" t="n">
        <f aca="false">IF(BS27="",0,IF(BS28=Milestones!$AB$79,Milestones!$AC$79,0))</f>
        <v>0</v>
      </c>
      <c r="BT29" s="0" t="n">
        <f aca="false">IF(BT27="",0,IF(BT28=Milestones!$AB$80,Milestones!$AC$80,0))</f>
        <v>0</v>
      </c>
      <c r="BU29" s="0" t="n">
        <f aca="false">IF(BU27="",0,IF(BU28=Milestones!$AB$81,Milestones!$AC$81,0))</f>
        <v>0</v>
      </c>
      <c r="BV29" s="0" t="n">
        <f aca="false">IF(BV27="",0,IF(BV28=Milestones!$AB$82,Milestones!$AC$82,0))</f>
        <v>0</v>
      </c>
      <c r="BW29" s="0" t="n">
        <f aca="false">IF(BW27="",0,IF(BW28=Milestones!$AB$83,Milestones!$AC$83,0))</f>
        <v>0</v>
      </c>
      <c r="BX29" s="0" t="n">
        <f aca="false">IF(BX27="",0,IF(BX28=Milestones!$AB$84,Milestones!$AC$84,0))</f>
        <v>0</v>
      </c>
      <c r="BY29" s="0" t="n">
        <f aca="false">IF(BY27="",0,IF(BY28=Milestones!$AB$85,Milestones!$AC$85,0))</f>
        <v>0</v>
      </c>
      <c r="BZ29" s="0" t="n">
        <f aca="false">IF(BZ27="",0,IF(BZ28=Milestones!$AB$86,Milestones!$AC$86,0))</f>
        <v>0</v>
      </c>
      <c r="CA29" s="0" t="n">
        <f aca="false">IF(CA27="",0,IF(CA28=Milestones!$AB$87,Milestones!$AC$87,0))</f>
        <v>0</v>
      </c>
      <c r="CB29" s="0" t="n">
        <f aca="false">IF(CB27="",0,IF(CB28=Milestones!$AB$88,Milestones!$AC$88,0))</f>
        <v>0</v>
      </c>
      <c r="CC29" s="0" t="n">
        <f aca="false">IF(CC27="",0,IF(CC28=Milestones!$AB$89,Milestones!$AC$89,0))</f>
        <v>0</v>
      </c>
      <c r="CD29" s="0" t="n">
        <f aca="false">IF(CD27="",0,IF(CD28=Milestones!$AB$90,Milestones!$AC$90,0))</f>
        <v>0</v>
      </c>
      <c r="CE29" s="0" t="n">
        <f aca="false">IF(CE27="",0,IF(CE28=Milestones!$AB$91,Milestones!$AC$91,0))</f>
        <v>0</v>
      </c>
      <c r="CF29" s="0" t="n">
        <f aca="false">IF(CF27="",0,IF(CF28=Milestones!$AB$92,Milestones!$AC$92,0))</f>
        <v>0</v>
      </c>
      <c r="CG29" s="0" t="n">
        <f aca="false">IF(CG27="",0,IF(CG28=Milestones!$AB$93,Milestones!$AC$93,0))</f>
        <v>0</v>
      </c>
      <c r="CH29" s="0" t="n">
        <f aca="false">IF(CH27="",0,IF(CH28=Milestones!$AB$94,Milestones!$AC$94,0))</f>
        <v>0</v>
      </c>
      <c r="CI29" s="0" t="n">
        <f aca="false">IF(CI27="",0,IF(CI28=Milestones!$AB$95,Milestones!$AC$95,0))</f>
        <v>0</v>
      </c>
      <c r="CJ29" s="0" t="n">
        <f aca="false">IF(CJ27="",0,IF(CJ28=Milestones!$AB$96,Milestones!$AC$96,0))</f>
        <v>0</v>
      </c>
      <c r="CK29" s="0" t="n">
        <f aca="false">IF(CK27="",0,IF(CK28=Milestones!$AB$97,Milestones!$AC$97,0))</f>
        <v>0</v>
      </c>
      <c r="CL29" s="0" t="n">
        <f aca="false">IF(CL27="",0,IF(CL28=Milestones!$AB$98,Milestones!$AC$98,0))</f>
        <v>0</v>
      </c>
      <c r="CM29" s="0" t="n">
        <f aca="false">IF(CM27="",0,IF(CM28=Milestones!$AB$99,Milestones!$AC$99,0))</f>
        <v>0</v>
      </c>
      <c r="CN29" s="0" t="n">
        <f aca="false">IF(CN27="",0,IF(CN28=Milestones!$AB$100,Milestones!$AC$100,0))</f>
        <v>0</v>
      </c>
      <c r="CO29" s="0" t="n">
        <f aca="false">IF(CO27="",0,IF(CO28=Milestones!$AB$101,Milestones!$AC$101,0))</f>
        <v>0</v>
      </c>
      <c r="CP29" s="0" t="n">
        <f aca="false">IF(CP27="",0,IF(CP28=Milestones!$AB$102,Milestones!$AC$102,0))</f>
        <v>0</v>
      </c>
      <c r="CQ29" s="0" t="n">
        <f aca="false">IF(CQ27="",0,IF(CQ28=Milestones!$AB$103,Milestones!$AC$103,0))</f>
        <v>0</v>
      </c>
      <c r="CR29" s="0" t="n">
        <f aca="false">IF(CR27="",0,IF(CR28=Milestones!$AB$104,Milestones!$AC$104,0))</f>
        <v>0</v>
      </c>
      <c r="CS29" s="0" t="n">
        <f aca="false">IF(CS27="",0,IF(CS28=Milestones!$AB$105,Milestones!$AC$105,0))</f>
        <v>0</v>
      </c>
      <c r="CT29" s="0" t="n">
        <f aca="false">IF(CT27="",0,IF(CT28=Milestones!$AB$106,Milestones!$AC$106,0))</f>
        <v>0</v>
      </c>
      <c r="CU29" s="0" t="n">
        <f aca="false">IF(CU27="",0,IF(CU28=Milestones!$AB$107,Milestones!$AC$107,0))</f>
        <v>0</v>
      </c>
      <c r="CV29" s="0" t="n">
        <f aca="false">IF(CV27="",0,IF(CV28=Milestones!$AB$108,Milestones!$AC$108,0))</f>
        <v>0</v>
      </c>
      <c r="CW29" s="0" t="n">
        <f aca="false">IF(CW27="",0,IF(CW28=Milestones!$AB$109,Milestones!$AC$109,0))</f>
        <v>0</v>
      </c>
      <c r="CX29" s="0" t="n">
        <f aca="false">IF(CX27="",0,IF(CX28=Milestones!$AB$110,Milestones!$AC$110,0))</f>
        <v>0</v>
      </c>
      <c r="CY29" s="0" t="n">
        <f aca="false">IF(CY27="",0,IF(CY28=Milestones!$AB$111,Milestones!$AC$111,0))</f>
        <v>0</v>
      </c>
      <c r="CZ29" s="0" t="n">
        <f aca="false">IF(CZ27="",0,IF(CZ28=Milestones!$AB$112,Milestones!$AC$112,0))</f>
        <v>0</v>
      </c>
      <c r="DA29" s="0" t="n">
        <f aca="false">IF(DA27="",0,IF(DA28=Milestones!$AB$113,Milestones!$AC$113,0))</f>
        <v>0</v>
      </c>
      <c r="DB29" s="0" t="n">
        <f aca="false">IF(DB27="",0,IF(DB28=Milestones!$AB$114,Milestones!$AC$114,0))</f>
        <v>0</v>
      </c>
      <c r="DC29" s="0" t="n">
        <f aca="false">IF(DC27="",0,IF(DC28=Milestones!$AB$115,Milestones!$AC$115,0))</f>
        <v>0</v>
      </c>
      <c r="DD29" s="0" t="n">
        <f aca="false">IF(DD27="",0,IF(DD28=Milestones!$AB$116,Milestones!$AC$116,0))</f>
        <v>0</v>
      </c>
      <c r="DE29" s="0" t="n">
        <f aca="false">IF(DE27="",0,IF(DE28=Milestones!$AB$117,Milestones!$AC$117,0))</f>
        <v>0</v>
      </c>
      <c r="DF29" s="0" t="n">
        <f aca="false">IF(DF27="",0,IF(DF28=Milestones!$AB$118,Milestones!$AC$118,0))</f>
        <v>0</v>
      </c>
      <c r="DG29" s="0" t="n">
        <f aca="false">IF(DG27="",0,IF(DG28=Milestones!$AB$119,Milestones!$AC$119,0))</f>
        <v>0</v>
      </c>
      <c r="DH29" s="0" t="n">
        <f aca="false">IF(DH27="",0,IF(DH28=Milestones!$AB$120,Milestones!$AC$120,0))</f>
        <v>0</v>
      </c>
      <c r="DI29" s="0" t="n">
        <f aca="false">IF(DI27="",0,IF(DI28=Milestones!$AB$121,Milestones!$AC$121,0))</f>
        <v>0</v>
      </c>
      <c r="DJ29" s="0" t="n">
        <f aca="false">IF(DJ27="",0,IF(DJ28=Milestones!$AB$122,Milestones!$AC$122,0))</f>
        <v>0</v>
      </c>
      <c r="DK29" s="0" t="n">
        <f aca="false">IF(DK27="",0,IF(DK28=Milestones!$AB$123,Milestones!$AC$123,0))</f>
        <v>0</v>
      </c>
      <c r="DL29" s="0" t="n">
        <f aca="false">IF(DL27="",0,IF(DL28=Milestones!$AB$124,Milestones!$AC$124,0))</f>
        <v>0</v>
      </c>
      <c r="DM29" s="0" t="n">
        <f aca="false">IF(DM27="",0,IF(DM28=Milestones!$AB$125,Milestones!$AC$125,0))</f>
        <v>0</v>
      </c>
      <c r="DN29" s="0" t="n">
        <f aca="false">IF(DN27="",0,IF(DN28=Milestones!$AB$126,Milestones!$AC$126,0))</f>
        <v>0</v>
      </c>
      <c r="DO29" s="0" t="n">
        <f aca="false">IF(DO27="",0,IF(DO28=Milestones!$AB$127,Milestones!$AC$127,0))</f>
        <v>0</v>
      </c>
      <c r="DP29" s="0" t="n">
        <f aca="false">IF(DP27="",0,IF(DP28=Milestones!$AB$128,Milestones!$AC$128,0))</f>
        <v>0</v>
      </c>
      <c r="DQ29" s="0" t="n">
        <f aca="false">IF(DQ27="",0,IF(DQ28=Milestones!$AB$129,Milestones!$AC$129,0))</f>
        <v>0</v>
      </c>
      <c r="DR29" s="0" t="n">
        <f aca="false">IF(DR27="",0,IF(DR28=Milestones!$AB$130,Milestones!$AC$130,0))</f>
        <v>0</v>
      </c>
      <c r="DS29" s="0" t="n">
        <f aca="false">IF(DS27="",0,IF(DS28=Milestones!$AB$131,Milestones!$AC$131,0))</f>
        <v>0</v>
      </c>
      <c r="DT29" s="0" t="n">
        <f aca="false">IF(DT27="",0,IF(DT28=Milestones!$AB$132,Milestones!$AC$132,0))</f>
        <v>0</v>
      </c>
      <c r="DU29" s="0" t="n">
        <f aca="false">IF(DU27="",0,IF(DU28=Milestones!$AB$133,Milestones!$AC$133,0))</f>
        <v>0</v>
      </c>
      <c r="DV29" s="0" t="n">
        <f aca="false">IF(DV27="",0,IF(DV28=Milestones!$AB$134,Milestones!$AC$134,0))</f>
        <v>0</v>
      </c>
      <c r="DW29" s="0" t="n">
        <f aca="false">IF(DW27="",0,IF(DW28=Milestones!$AB$135,Milestones!$AC$135,0))</f>
        <v>0</v>
      </c>
      <c r="DX29" s="0" t="n">
        <f aca="false">IF(DX27="",0,IF(DX28=Milestones!$AB$136,Milestones!$AC$136,0))</f>
        <v>0</v>
      </c>
      <c r="DY29" s="0" t="n">
        <f aca="false">IF(DY27="",0,IF(DY28=Milestones!$AB$137,Milestones!$AC$137,0))</f>
        <v>0</v>
      </c>
      <c r="DZ29" s="0" t="n">
        <f aca="false">IF(DZ27="",0,IF(DZ28=Milestones!$AB$138,Milestones!$AC$138,0))</f>
        <v>0</v>
      </c>
      <c r="EA29" s="0" t="n">
        <f aca="false">IF(EA27="",0,IF(EA28=Milestones!$AB$139,Milestones!$AC$139,0))</f>
        <v>0</v>
      </c>
      <c r="EB29" s="0" t="n">
        <f aca="false">IF(EB27="",0,IF(EB28=Milestones!$AB$140,Milestones!$AC$140,0))</f>
        <v>0</v>
      </c>
      <c r="EC29" s="0" t="n">
        <f aca="false">IF(EC27="",0,IF(EC28=Milestones!$AB$141,Milestones!$AC$141,0))</f>
        <v>0</v>
      </c>
      <c r="ED29" s="0" t="n">
        <f aca="false">IF(ED27="",0,IF(ED28=Milestones!$AB$142,Milestones!$AC$142,0))</f>
        <v>0</v>
      </c>
      <c r="EE29" s="0" t="n">
        <f aca="false">IF(EE27="",0,IF(EE28=Milestones!$AB$143,Milestones!$AC$143,0))</f>
        <v>0</v>
      </c>
      <c r="EF29" s="0" t="n">
        <f aca="false">IF(EF27="",0,IF(EF28=Milestones!$AB$144,Milestones!$AC$144,0))</f>
        <v>0</v>
      </c>
      <c r="EG29" s="0" t="n">
        <f aca="false">IF(EG27="",0,IF(EG28=Milestones!$AB$145,Milestones!$AC$145,0))</f>
        <v>0</v>
      </c>
      <c r="EH29" s="0" t="n">
        <f aca="false">IF(EH27="",0,IF(EH28=Milestones!$AB$146,Milestones!$AC$146,0))</f>
        <v>0</v>
      </c>
      <c r="EI29" s="0" t="n">
        <f aca="false">IF(EI27="",0,IF(EI28=Milestones!$AB$147,Milestones!$AC$147,0))</f>
        <v>0</v>
      </c>
      <c r="EJ29" s="0" t="n">
        <f aca="false">IF(EJ27="",0,IF(EJ28=Milestones!$AB$148,Milestones!$AC$148,0))</f>
        <v>0</v>
      </c>
      <c r="EK29" s="0" t="n">
        <f aca="false">IF(EK27="",0,IF(EK28=Milestones!$AB$149,Milestones!$AC$149,0))</f>
        <v>0</v>
      </c>
      <c r="EL29" s="0" t="n">
        <f aca="false">IF(EL27="",0,IF(EL28=Milestones!$AB$150,Milestones!$AC$150,0))</f>
        <v>0</v>
      </c>
      <c r="EM29" s="0" t="n">
        <f aca="false">IF(EM27="",0,IF(EM28=Milestones!$AB$151,Milestones!$AC$151,0))</f>
        <v>0</v>
      </c>
      <c r="EN29" s="0" t="n">
        <f aca="false">IF(EN27="",0,IF(EN28=Milestones!$AB$152,Milestones!$AC$152,0))</f>
        <v>0</v>
      </c>
      <c r="EO29" s="0" t="n">
        <f aca="false">IF(EO27="",0,IF(EO28=Milestones!$AB$153,Milestones!$AC$153,0))</f>
        <v>0</v>
      </c>
      <c r="EP29" s="0" t="n">
        <f aca="false">IF(EP27="",0,IF(EP28=Milestones!$AB$154,Milestones!$AC$154,0))</f>
        <v>0</v>
      </c>
      <c r="EQ29" s="0" t="n">
        <f aca="false">IF(EQ27="",0,IF(EQ28=Milestones!$AB$155,Milestones!$AC$155,0))</f>
        <v>0</v>
      </c>
      <c r="ER29" s="0" t="n">
        <f aca="false">IF(ER27="",0,IF(ER28=Milestones!$AB$156,Milestones!$AC$156,0))</f>
        <v>0</v>
      </c>
      <c r="ES29" s="0" t="n">
        <f aca="false">IF(ES27="",0,IF(ES28=Milestones!$AB$157,Milestones!$AC$157,0))</f>
        <v>0</v>
      </c>
      <c r="ET29" s="0" t="n">
        <f aca="false">IF(ET27="",0,IF(ET28=Milestones!$AB$158,Milestones!$AC$158,0))</f>
        <v>0</v>
      </c>
      <c r="EU29" s="0" t="n">
        <f aca="false">IF(EU27="",0,IF(EU28=Milestones!$AB$159,Milestones!$AC$159,0))</f>
        <v>0</v>
      </c>
      <c r="EV29" s="0" t="n">
        <f aca="false">IF(EV27="",0,IF(EV28=Milestones!$AB$160,Milestones!$AC$160,0))</f>
        <v>0</v>
      </c>
      <c r="EW29" s="0" t="n">
        <f aca="false">IF(EW27="",0,IF(EW28=Milestones!$AB$161,Milestones!$AC$161,0))</f>
        <v>0</v>
      </c>
      <c r="EX29" s="0" t="n">
        <f aca="false">IF(EX27="",0,IF(EX28=Milestones!$AB$162,Milestones!$AC$162,0))</f>
        <v>0</v>
      </c>
      <c r="EY29" s="0" t="n">
        <f aca="false">IF(EY27="",0,IF(EY28=Milestones!$AB$163,Milestones!$AC$163,0))</f>
        <v>0</v>
      </c>
      <c r="EZ29" s="0" t="n">
        <f aca="false">IF(EZ27="",0,IF(EZ28=Milestones!$AB$164,Milestones!$AC$164,0))</f>
        <v>0</v>
      </c>
      <c r="FA29" s="0" t="n">
        <f aca="false">IF(FA27="",0,IF(FA28=Milestones!$AB$165,Milestones!$AC$165,0))</f>
        <v>0</v>
      </c>
      <c r="FB29" s="0" t="n">
        <f aca="false">IF(FB27="",0,IF(FB28=Milestones!$AB$166,Milestones!$AC$166,0))</f>
        <v>0</v>
      </c>
      <c r="FC29" s="0" t="n">
        <f aca="false">IF(FC27="",0,IF(FC28=Milestones!$AB$167,Milestones!$AC$167,0))</f>
        <v>0</v>
      </c>
      <c r="FD29" s="0" t="n">
        <f aca="false">IF(FD27="",0,IF(FD28=Milestones!$AB$168,Milestones!$AC$168,0))</f>
        <v>0</v>
      </c>
      <c r="FE29" s="0" t="n">
        <f aca="false">IF(FE27="",0,IF(FE28=Milestones!$AB$169,Milestones!$AC$169,0))</f>
        <v>0</v>
      </c>
      <c r="FF29" s="0" t="n">
        <f aca="false">IF(FF27="",0,IF(FF28=Milestones!$AB$170,Milestones!$AC$170,0))</f>
        <v>0</v>
      </c>
      <c r="FG29" s="0" t="n">
        <f aca="false">IF(FG27="",0,IF(FG28=Milestones!$AB$171,Milestones!$AC$171,0))</f>
        <v>0</v>
      </c>
      <c r="FH29" s="0" t="n">
        <f aca="false">IF(FH27="",0,IF(FH28=Milestones!$AB$172,Milestones!$AC$172,0))</f>
        <v>0</v>
      </c>
      <c r="FI29" s="0" t="n">
        <f aca="false">IF(FI27="",0,IF(FI28=Milestones!$AB$173,Milestones!$AC$173,0))</f>
        <v>0</v>
      </c>
      <c r="FJ29" s="0" t="n">
        <f aca="false">IF(FJ27="",0,IF(FJ28=Milestones!$AB$174,Milestones!$AC$174,0))</f>
        <v>0</v>
      </c>
      <c r="FK29" s="0" t="n">
        <f aca="false">IF(FK27="",0,IF(FK28=Milestones!$AB$175,Milestones!$AC$175,0))</f>
        <v>0</v>
      </c>
      <c r="FL29" s="0" t="n">
        <f aca="false">IF(FL27="",0,IF(FL28=Milestones!$AB$176,Milestones!$AC$176,0))</f>
        <v>0</v>
      </c>
      <c r="FM29" s="0" t="n">
        <f aca="false">IF(FM27="",0,IF(FM28=Milestones!$AB$177,Milestones!$AC$177,0))</f>
        <v>0</v>
      </c>
      <c r="FN29" s="0" t="n">
        <f aca="false">IF(FN27="",0,IF(FN28=Milestones!$AB$178,Milestones!$AC$178,0))</f>
        <v>0</v>
      </c>
      <c r="FO29" s="0" t="n">
        <f aca="false">IF(FO27="",0,IF(FO28=Milestones!$AB$179,Milestones!$AC$179,0))</f>
        <v>0</v>
      </c>
      <c r="FP29" s="0" t="n">
        <f aca="false">IF(FP27="",0,IF(FP28=Milestones!$AB$180,Milestones!$AC$180,0))</f>
        <v>0</v>
      </c>
      <c r="FQ29" s="0" t="n">
        <f aca="false">IF(FQ27="",0,IF(FQ28=Milestones!$AB$181,Milestones!$AC$181,0))</f>
        <v>0</v>
      </c>
      <c r="FR29" s="0" t="n">
        <f aca="false">IF(FR27="",0,IF(FR28=Milestones!$AB$182,Milestones!$AC$182,0))</f>
        <v>0</v>
      </c>
      <c r="FS29" s="0" t="n">
        <f aca="false">IF(FS27="",0,IF(FS28=Milestones!$AB$183,Milestones!$AC$183,0))</f>
        <v>0</v>
      </c>
      <c r="FT29" s="0" t="n">
        <f aca="false">IF(FT27="",0,IF(FT28=Milestones!$AB$184,Milestones!$AC$184,0))</f>
        <v>0</v>
      </c>
      <c r="FU29" s="0" t="n">
        <f aca="false">IF(FU27="",0,IF(FU28=Milestones!$AB$185,Milestones!$AC$185,0))</f>
        <v>0</v>
      </c>
      <c r="FV29" s="0" t="n">
        <f aca="false">IF(FV27="",0,IF(FV28=Milestones!$AB$186,Milestones!$AC$186,0))</f>
        <v>0</v>
      </c>
      <c r="FW29" s="0" t="n">
        <f aca="false">IF(FW27="",0,IF(FW28=Milestones!$AB$187,Milestones!$AC$187,0))</f>
        <v>0</v>
      </c>
      <c r="FX29" s="0" t="n">
        <f aca="false">IF(FX27="",0,IF(FX28=Milestones!$AB$188,Milestones!$AC$188,0))</f>
        <v>0</v>
      </c>
      <c r="FY29" s="0" t="n">
        <f aca="false">IF(FY27="",0,IF(FY28=Milestones!$AB$189,Milestones!$AC$189,0))</f>
        <v>0</v>
      </c>
      <c r="FZ29" s="0" t="n">
        <f aca="false">IF(FZ27="",0,IF(FZ28=Milestones!$AB$190,Milestones!$AC$190,0))</f>
        <v>0</v>
      </c>
      <c r="GA29" s="0" t="n">
        <f aca="false">IF(GA27="",0,IF(GA28=Milestones!$AB$191,Milestones!$AC$191,0))</f>
        <v>0</v>
      </c>
      <c r="GB29" s="0" t="n">
        <f aca="false">IF(GB27="",0,IF(GB28=Milestones!$AB$192,Milestones!$AC$192,0))</f>
        <v>0</v>
      </c>
      <c r="GC29" s="0" t="n">
        <f aca="false">IF(GC27="",0,IF(GC28=Milestones!$AB$193,Milestones!$AC$193,0))</f>
        <v>0</v>
      </c>
      <c r="GD29" s="0" t="n">
        <f aca="false">IF(GD27="",0,IF(GD28=Milestones!$AB$194,Milestones!$AC$194,0))</f>
        <v>0</v>
      </c>
      <c r="GE29" s="0" t="n">
        <f aca="false">IF(GE27="",0,IF(GE28=Milestones!$AB$195,Milestones!$AC$195,0))</f>
        <v>0</v>
      </c>
      <c r="GF29" s="0" t="n">
        <f aca="false">IF(GF27="",0,IF(GF28=Milestones!$AB$196,Milestones!$AC$196,0))</f>
        <v>0</v>
      </c>
      <c r="GG29" s="0" t="n">
        <f aca="false">IF(GG27="",0,IF(GG28=Milestones!$AB$197,Milestones!$AC$197,0))</f>
        <v>0</v>
      </c>
      <c r="GH29" s="0" t="n">
        <f aca="false">IF(GH27="",0,IF(GH28=Milestones!$AB$198,Milestones!$AC$198,0))</f>
        <v>0</v>
      </c>
      <c r="GI29" s="0" t="n">
        <f aca="false">IF(GI27="",0,IF(GI28=Milestones!$AB$199,Milestones!$AC$199,0))</f>
        <v>0</v>
      </c>
    </row>
    <row r="30" customFormat="false" ht="15" hidden="false" customHeight="false" outlineLevel="0" collapsed="false">
      <c r="A30" s="0" t="str">
        <f aca="false">IF('HR Tally Check'!K$7="","",'HR Tally Check'!K$7)</f>
        <v/>
      </c>
      <c r="B30" s="0" t="str">
        <f aca="false">IF(A30="","",ISNUMBER(MATCH(A30,Staff!$BJ$5:$BJ$154,0)))</f>
        <v/>
      </c>
      <c r="C30" s="18" t="str">
        <f aca="false">IF(B30&lt;&gt;TRUE(),"",INDEX(Staff!$AH$5:$AH$154,MATCH($A30,Staff!$BJ$5:$BJ$154,0)))</f>
        <v/>
      </c>
      <c r="D30" s="0" t="str">
        <f aca="false">IF(B30&lt;&gt;TRUE(),"",INDEX(Staff!$AI$5:$AI$154,MATCH($A30,Staff!$BJ$5:$BJ$154,0)))</f>
        <v/>
      </c>
      <c r="E30" s="18" t="str">
        <f aca="false">IF(B30&lt;&gt;TRUE(),"",INDEX(Staff!$AK$5:$AK$154,MATCH($A30,Staff!$BJ$5:$BJ$154,0)))</f>
        <v/>
      </c>
      <c r="F30" s="18" t="str">
        <f aca="false">IF(B30&lt;&gt;TRUE(),"",INDEX(Staff!$AL$5:$AL$154,MATCH($A30,Staff!$BJ$5:$BJ$154,0)))</f>
        <v/>
      </c>
      <c r="G30" s="0" t="str">
        <f aca="false">IF(B30&lt;&gt;TRUE(),"",INDEX(Staff!$AP$5:$AP$154,MATCH($A30,Staff!$BJ$5:$BJ$154,0)))</f>
        <v/>
      </c>
      <c r="H30" s="0" t="str">
        <f aca="false">IF(B30&lt;&gt;TRUE(),"",INDEX(Staff!$AQ$5:$AQ$154,MATCH($A30,Staff!$BJ$5:$BJ$154,0)))</f>
        <v/>
      </c>
      <c r="I30" s="0" t="str">
        <f aca="false">IF(B30&lt;&gt;TRUE(),"",INDEX(Staff!$AR$5:$AR$154,MATCH($A30,Staff!$BJ$5:$BJ$154,0)))</f>
        <v/>
      </c>
      <c r="J30" s="0" t="str">
        <f aca="false">IF(B30&lt;&gt;TRUE(),"",INDEX(Staff!$AS$5:$AS$154,MATCH($A30,Staff!$BJ$5:$BJ$154,0)))</f>
        <v/>
      </c>
      <c r="K30" s="31" t="s">
        <v>228</v>
      </c>
      <c r="L30" s="18" t="str">
        <f aca="false">IF($C30="","",EDATE($C30,Milestones!$AA$20))</f>
        <v/>
      </c>
      <c r="M30" s="18" t="str">
        <f aca="false">IF($C30="","",EDATE($C30,Milestones!$AA$21))</f>
        <v/>
      </c>
      <c r="N30" s="18" t="str">
        <f aca="false">IF($C30="","",EDATE($C30,Milestones!$AA$22))</f>
        <v/>
      </c>
      <c r="O30" s="18" t="str">
        <f aca="false">IF($C30="","",EDATE($C30,Milestones!$AA$23))</f>
        <v/>
      </c>
      <c r="P30" s="18" t="str">
        <f aca="false">IF($C30="","",EDATE($C30,Milestones!$AA$24))</f>
        <v/>
      </c>
      <c r="Q30" s="18" t="str">
        <f aca="false">IF($C30="","",EDATE($C30,Milestones!$AA$25))</f>
        <v/>
      </c>
      <c r="R30" s="18" t="str">
        <f aca="false">IF($C30="","",EDATE($C30,Milestones!$AA$26))</f>
        <v/>
      </c>
      <c r="S30" s="18" t="str">
        <f aca="false">IF($C30="","",EDATE($C30,Milestones!$AA$27))</f>
        <v/>
      </c>
      <c r="T30" s="18" t="str">
        <f aca="false">IF($C30="","",EDATE($C30,Milestones!$AA$28))</f>
        <v/>
      </c>
      <c r="U30" s="18" t="str">
        <f aca="false">IF($C30="","",EDATE($C30,Milestones!$AA$29))</f>
        <v/>
      </c>
      <c r="V30" s="18" t="str">
        <f aca="false">IF($C30="","",EDATE($C30,Milestones!$AA$30))</f>
        <v/>
      </c>
      <c r="W30" s="18" t="str">
        <f aca="false">IF($C30="","",EDATE($C30,Milestones!$AA$31))</f>
        <v/>
      </c>
      <c r="X30" s="18" t="str">
        <f aca="false">IF($C30="","",EDATE($C30,Milestones!$AA$32))</f>
        <v/>
      </c>
      <c r="Y30" s="18" t="str">
        <f aca="false">IF($C30="","",EDATE($C30,Milestones!$AA$33))</f>
        <v/>
      </c>
      <c r="Z30" s="18" t="str">
        <f aca="false">IF($C30="","",EDATE($C30,Milestones!$AA$34))</f>
        <v/>
      </c>
      <c r="AA30" s="18" t="str">
        <f aca="false">IF($C30="","",EDATE($C30,Milestones!$AA$35))</f>
        <v/>
      </c>
      <c r="AB30" s="18" t="str">
        <f aca="false">IF($C30="","",EDATE($C30,Milestones!$AA$36))</f>
        <v/>
      </c>
      <c r="AC30" s="18" t="str">
        <f aca="false">IF($C30="","",EDATE($C30,Milestones!$AA$37))</f>
        <v/>
      </c>
      <c r="AD30" s="18" t="str">
        <f aca="false">IF($C30="","",EDATE($C30,Milestones!$AA$38))</f>
        <v/>
      </c>
      <c r="AE30" s="18" t="str">
        <f aca="false">IF($C30="","",EDATE($C30,Milestones!$AA$39))</f>
        <v/>
      </c>
      <c r="AF30" s="18" t="str">
        <f aca="false">IF($C30="","",EDATE($C30,Milestones!$AA$40))</f>
        <v/>
      </c>
      <c r="AG30" s="18" t="str">
        <f aca="false">IF($C30="","",EDATE($C30,Milestones!$AA$41))</f>
        <v/>
      </c>
      <c r="AH30" s="18" t="str">
        <f aca="false">IF($C30="","",EDATE($C30,Milestones!$AA$42))</f>
        <v/>
      </c>
      <c r="AI30" s="18" t="str">
        <f aca="false">IF($C30="","",EDATE($C30,Milestones!$AA$43))</f>
        <v/>
      </c>
      <c r="AJ30" s="18" t="str">
        <f aca="false">IF($C30="","",EDATE($C30,Milestones!$AA$44))</f>
        <v/>
      </c>
      <c r="AK30" s="18" t="str">
        <f aca="false">IF($C30="","",EDATE($C30,Milestones!$AA$45))</f>
        <v/>
      </c>
      <c r="AL30" s="18" t="str">
        <f aca="false">IF($C30="","",EDATE($C30,Milestones!$AA$46))</f>
        <v/>
      </c>
      <c r="AM30" s="18" t="str">
        <f aca="false">IF($C30="","",EDATE($C30,Milestones!$AA$47))</f>
        <v/>
      </c>
      <c r="AN30" s="18" t="str">
        <f aca="false">IF($C30="","",EDATE($C30,Milestones!$AA$48))</f>
        <v/>
      </c>
      <c r="AO30" s="18" t="str">
        <f aca="false">IF($C30="","",EDATE($C30,Milestones!$AA$49))</f>
        <v/>
      </c>
      <c r="AP30" s="18" t="str">
        <f aca="false">IF($C30="","",EDATE($C30,Milestones!$AA$50))</f>
        <v/>
      </c>
      <c r="AQ30" s="18" t="str">
        <f aca="false">IF($C30="","",EDATE($C30,Milestones!$AA$51))</f>
        <v/>
      </c>
      <c r="AR30" s="18" t="str">
        <f aca="false">IF($C30="","",EDATE($C30,Milestones!$AA$52))</f>
        <v/>
      </c>
      <c r="AS30" s="18" t="str">
        <f aca="false">IF($C30="","",EDATE($C30,Milestones!$AA$53))</f>
        <v/>
      </c>
      <c r="AT30" s="18" t="str">
        <f aca="false">IF($C30="","",EDATE($C30,Milestones!$AA$54))</f>
        <v/>
      </c>
      <c r="AU30" s="18" t="str">
        <f aca="false">IF($C30="","",EDATE($C30,Milestones!$AA$55))</f>
        <v/>
      </c>
      <c r="AV30" s="18" t="str">
        <f aca="false">IF($C30="","",EDATE($C30,Milestones!$AA$56))</f>
        <v/>
      </c>
      <c r="AW30" s="18" t="str">
        <f aca="false">IF($C30="","",EDATE($C30,Milestones!$AA$57))</f>
        <v/>
      </c>
      <c r="AX30" s="18" t="str">
        <f aca="false">IF($C30="","",EDATE($C30,Milestones!$AA$58))</f>
        <v/>
      </c>
      <c r="AY30" s="18" t="str">
        <f aca="false">IF($C30="","",EDATE($C30,Milestones!$AA$59))</f>
        <v/>
      </c>
      <c r="AZ30" s="18" t="str">
        <f aca="false">IF($C30="","",EDATE($C30,Milestones!$AA$60))</f>
        <v/>
      </c>
      <c r="BA30" s="18" t="str">
        <f aca="false">IF($C30="","",EDATE($C30,Milestones!$AA$61))</f>
        <v/>
      </c>
      <c r="BB30" s="18" t="str">
        <f aca="false">IF($C30="","",EDATE($C30,Milestones!$AA$62))</f>
        <v/>
      </c>
      <c r="BC30" s="18" t="str">
        <f aca="false">IF($C30="","",EDATE($C30,Milestones!$AA$63))</f>
        <v/>
      </c>
      <c r="BD30" s="18" t="str">
        <f aca="false">IF($C30="","",EDATE($C30,Milestones!$AA$64))</f>
        <v/>
      </c>
      <c r="BE30" s="18" t="str">
        <f aca="false">IF($C30="","",EDATE($C30,Milestones!$AA$65))</f>
        <v/>
      </c>
      <c r="BF30" s="18" t="str">
        <f aca="false">IF($C30="","",EDATE($C30,Milestones!$AA$66))</f>
        <v/>
      </c>
      <c r="BG30" s="18" t="str">
        <f aca="false">IF($C30="","",EDATE($C30,Milestones!$AA$67))</f>
        <v/>
      </c>
      <c r="BH30" s="18" t="str">
        <f aca="false">IF($C30="","",EDATE($C30,Milestones!$AA$68))</f>
        <v/>
      </c>
      <c r="BI30" s="18" t="str">
        <f aca="false">IF($C30="","",EDATE($C30,Milestones!$AA$69))</f>
        <v/>
      </c>
      <c r="BJ30" s="18" t="str">
        <f aca="false">IF($C30="","",EDATE($C30,Milestones!$AA$70))</f>
        <v/>
      </c>
      <c r="BK30" s="18" t="str">
        <f aca="false">IF($C30="","",EDATE($C30,Milestones!$AA$71))</f>
        <v/>
      </c>
      <c r="BL30" s="18" t="str">
        <f aca="false">IF($C30="","",EDATE($C30,Milestones!$AA$72))</f>
        <v/>
      </c>
      <c r="BM30" s="18" t="str">
        <f aca="false">IF($C30="","",EDATE($C30,Milestones!$AA$73))</f>
        <v/>
      </c>
      <c r="BN30" s="18" t="str">
        <f aca="false">IF($C30="","",EDATE($C30,Milestones!$AA$74))</f>
        <v/>
      </c>
      <c r="BO30" s="18" t="str">
        <f aca="false">IF($C30="","",EDATE($C30,Milestones!$AA$75))</f>
        <v/>
      </c>
      <c r="BP30" s="18" t="str">
        <f aca="false">IF($C30="","",EDATE($C30,Milestones!$AA$76))</f>
        <v/>
      </c>
      <c r="BQ30" s="18" t="str">
        <f aca="false">IF($C30="","",EDATE($C30,Milestones!$AA$77))</f>
        <v/>
      </c>
      <c r="BR30" s="18" t="str">
        <f aca="false">IF($C30="","",EDATE($C30,Milestones!$AA$78))</f>
        <v/>
      </c>
      <c r="BS30" s="18" t="str">
        <f aca="false">IF($C30="","",EDATE($C30,Milestones!$AA$79))</f>
        <v/>
      </c>
      <c r="BT30" s="18" t="str">
        <f aca="false">IF($C30="","",EDATE($C30,Milestones!$AA$80))</f>
        <v/>
      </c>
      <c r="BU30" s="18" t="str">
        <f aca="false">IF($C30="","",EDATE($C30,Milestones!$AA$81))</f>
        <v/>
      </c>
      <c r="BV30" s="18" t="str">
        <f aca="false">IF($C30="","",EDATE($C30,Milestones!$AA$82))</f>
        <v/>
      </c>
      <c r="BW30" s="18" t="str">
        <f aca="false">IF($C30="","",EDATE($C30,Milestones!$AA$83))</f>
        <v/>
      </c>
      <c r="BX30" s="18" t="str">
        <f aca="false">IF($C30="","",EDATE($C30,Milestones!$AA$84))</f>
        <v/>
      </c>
      <c r="BY30" s="18" t="str">
        <f aca="false">IF($C30="","",EDATE($C30,Milestones!$AA$85))</f>
        <v/>
      </c>
      <c r="BZ30" s="18" t="str">
        <f aca="false">IF($C30="","",EDATE($C30,Milestones!$AA$86))</f>
        <v/>
      </c>
      <c r="CA30" s="18" t="str">
        <f aca="false">IF($C30="","",EDATE($C30,Milestones!$AA$87))</f>
        <v/>
      </c>
      <c r="CB30" s="18" t="str">
        <f aca="false">IF($C30="","",EDATE($C30,Milestones!$AA$88))</f>
        <v/>
      </c>
      <c r="CC30" s="18" t="str">
        <f aca="false">IF($C30="","",EDATE($C30,Milestones!$AA$89))</f>
        <v/>
      </c>
      <c r="CD30" s="18" t="str">
        <f aca="false">IF($C30="","",EDATE($C30,Milestones!$AA$90))</f>
        <v/>
      </c>
      <c r="CE30" s="18" t="str">
        <f aca="false">IF($C30="","",EDATE($C30,Milestones!$AA$91))</f>
        <v/>
      </c>
      <c r="CF30" s="18" t="str">
        <f aca="false">IF($C30="","",EDATE($C30,Milestones!$AA$92))</f>
        <v/>
      </c>
      <c r="CG30" s="18" t="str">
        <f aca="false">IF($C30="","",EDATE($C30,Milestones!$AA$93))</f>
        <v/>
      </c>
      <c r="CH30" s="18" t="str">
        <f aca="false">IF($C30="","",EDATE($C30,Milestones!$AA$94))</f>
        <v/>
      </c>
      <c r="CI30" s="18" t="str">
        <f aca="false">IF($C30="","",EDATE($C30,Milestones!$AA$95))</f>
        <v/>
      </c>
      <c r="CJ30" s="18" t="str">
        <f aca="false">IF($C30="","",EDATE($C30,Milestones!$AA$96))</f>
        <v/>
      </c>
      <c r="CK30" s="18" t="str">
        <f aca="false">IF($C30="","",EDATE($C30,Milestones!$AA$97))</f>
        <v/>
      </c>
      <c r="CL30" s="18" t="str">
        <f aca="false">IF($C30="","",EDATE($C30,Milestones!$AA$98))</f>
        <v/>
      </c>
      <c r="CM30" s="18" t="str">
        <f aca="false">IF($C30="","",EDATE($C30,Milestones!$AA$99))</f>
        <v/>
      </c>
      <c r="CN30" s="18" t="str">
        <f aca="false">IF($C30="","",EDATE($C30,Milestones!$AA$100))</f>
        <v/>
      </c>
      <c r="CO30" s="18" t="str">
        <f aca="false">IF($C30="","",EDATE($C30,Milestones!$AA$101))</f>
        <v/>
      </c>
      <c r="CP30" s="18" t="str">
        <f aca="false">IF($C30="","",EDATE($C30,Milestones!$AA$102))</f>
        <v/>
      </c>
      <c r="CQ30" s="18" t="str">
        <f aca="false">IF($C30="","",EDATE($C30,Milestones!$AA$103))</f>
        <v/>
      </c>
      <c r="CR30" s="18" t="str">
        <f aca="false">IF($C30="","",EDATE($C30,Milestones!$AA$104))</f>
        <v/>
      </c>
      <c r="CS30" s="18" t="str">
        <f aca="false">IF($C30="","",EDATE($C30,Milestones!$AA$105))</f>
        <v/>
      </c>
      <c r="CT30" s="18" t="str">
        <f aca="false">IF($C30="","",EDATE($C30,Milestones!$AA$106))</f>
        <v/>
      </c>
      <c r="CU30" s="18" t="str">
        <f aca="false">IF($C30="","",EDATE($C30,Milestones!$AA$107))</f>
        <v/>
      </c>
      <c r="CV30" s="18" t="str">
        <f aca="false">IF($C30="","",EDATE($C30,Milestones!$AA$108))</f>
        <v/>
      </c>
      <c r="CW30" s="18" t="str">
        <f aca="false">IF($C30="","",EDATE($C30,Milestones!$AA$109))</f>
        <v/>
      </c>
      <c r="CX30" s="18" t="str">
        <f aca="false">IF($C30="","",EDATE($C30,Milestones!$AA$110))</f>
        <v/>
      </c>
      <c r="CY30" s="18" t="str">
        <f aca="false">IF($C30="","",EDATE($C30,Milestones!$AA$111))</f>
        <v/>
      </c>
      <c r="CZ30" s="18" t="str">
        <f aca="false">IF($C30="","",EDATE($C30,Milestones!$AA$112))</f>
        <v/>
      </c>
      <c r="DA30" s="18" t="str">
        <f aca="false">IF($C30="","",EDATE($C30,Milestones!$AA$113))</f>
        <v/>
      </c>
      <c r="DB30" s="18" t="str">
        <f aca="false">IF($C30="","",EDATE($C30,Milestones!$AA$114))</f>
        <v/>
      </c>
      <c r="DC30" s="18" t="str">
        <f aca="false">IF($C30="","",EDATE($C30,Milestones!$AA$115))</f>
        <v/>
      </c>
      <c r="DD30" s="18" t="str">
        <f aca="false">IF($C30="","",EDATE($C30,Milestones!$AA$116))</f>
        <v/>
      </c>
      <c r="DE30" s="18" t="str">
        <f aca="false">IF($C30="","",EDATE($C30,Milestones!$AA$117))</f>
        <v/>
      </c>
      <c r="DF30" s="18" t="str">
        <f aca="false">IF($C30="","",EDATE($C30,Milestones!$AA$118))</f>
        <v/>
      </c>
      <c r="DG30" s="18" t="str">
        <f aca="false">IF($C30="","",EDATE($C30,Milestones!$AA$119))</f>
        <v/>
      </c>
      <c r="DH30" s="18" t="str">
        <f aca="false">IF($C30="","",EDATE($C30,Milestones!$AA$120))</f>
        <v/>
      </c>
      <c r="DI30" s="18" t="str">
        <f aca="false">IF($C30="","",EDATE($C30,Milestones!$AA$121))</f>
        <v/>
      </c>
      <c r="DJ30" s="18" t="str">
        <f aca="false">IF($C30="","",EDATE($C30,Milestones!$AA$122))</f>
        <v/>
      </c>
      <c r="DK30" s="18" t="str">
        <f aca="false">IF($C30="","",EDATE($C30,Milestones!$AA$123))</f>
        <v/>
      </c>
      <c r="DL30" s="18" t="str">
        <f aca="false">IF($C30="","",EDATE($C30,Milestones!$AA$124))</f>
        <v/>
      </c>
      <c r="DM30" s="18" t="str">
        <f aca="false">IF($C30="","",EDATE($C30,Milestones!$AA$125))</f>
        <v/>
      </c>
      <c r="DN30" s="18" t="str">
        <f aca="false">IF($C30="","",EDATE($C30,Milestones!$AA$126))</f>
        <v/>
      </c>
      <c r="DO30" s="18" t="str">
        <f aca="false">IF($C30="","",EDATE($C30,Milestones!$AA$127))</f>
        <v/>
      </c>
      <c r="DP30" s="18" t="str">
        <f aca="false">IF($C30="","",EDATE($C30,Milestones!$AA$128))</f>
        <v/>
      </c>
      <c r="DQ30" s="18" t="str">
        <f aca="false">IF($C30="","",EDATE($C30,Milestones!$AA$129))</f>
        <v/>
      </c>
      <c r="DR30" s="18" t="str">
        <f aca="false">IF($C30="","",EDATE($C30,Milestones!$AA$130))</f>
        <v/>
      </c>
      <c r="DS30" s="18" t="str">
        <f aca="false">IF($C30="","",EDATE($C30,Milestones!$AA$131))</f>
        <v/>
      </c>
      <c r="DT30" s="18" t="str">
        <f aca="false">IF($C30="","",EDATE($C30,Milestones!$AA$132))</f>
        <v/>
      </c>
      <c r="DU30" s="18" t="str">
        <f aca="false">IF($C30="","",EDATE($C30,Milestones!$AA$133))</f>
        <v/>
      </c>
      <c r="DV30" s="18" t="str">
        <f aca="false">IF($C30="","",EDATE($C30,Milestones!$AA$134))</f>
        <v/>
      </c>
      <c r="DW30" s="18" t="str">
        <f aca="false">IF($C30="","",EDATE($C30,Milestones!$AA$135))</f>
        <v/>
      </c>
      <c r="DX30" s="18" t="str">
        <f aca="false">IF($C30="","",EDATE($C30,Milestones!$AA$136))</f>
        <v/>
      </c>
      <c r="DY30" s="18" t="str">
        <f aca="false">IF($C30="","",EDATE($C30,Milestones!$AA$137))</f>
        <v/>
      </c>
      <c r="DZ30" s="18" t="str">
        <f aca="false">IF($C30="","",EDATE($C30,Milestones!$AA$138))</f>
        <v/>
      </c>
      <c r="EA30" s="18" t="str">
        <f aca="false">IF($C30="","",EDATE($C30,Milestones!$AA$139))</f>
        <v/>
      </c>
      <c r="EB30" s="18" t="str">
        <f aca="false">IF($C30="","",EDATE($C30,Milestones!$AA$140))</f>
        <v/>
      </c>
      <c r="EC30" s="18" t="str">
        <f aca="false">IF($C30="","",EDATE($C30,Milestones!$AA$141))</f>
        <v/>
      </c>
      <c r="ED30" s="18" t="str">
        <f aca="false">IF($C30="","",EDATE($C30,Milestones!$AA$142))</f>
        <v/>
      </c>
      <c r="EE30" s="18" t="str">
        <f aca="false">IF($C30="","",EDATE($C30,Milestones!$AA$143))</f>
        <v/>
      </c>
      <c r="EF30" s="18" t="str">
        <f aca="false">IF($C30="","",EDATE($C30,Milestones!$AA$144))</f>
        <v/>
      </c>
      <c r="EG30" s="18" t="str">
        <f aca="false">IF($C30="","",EDATE($C30,Milestones!$AA$145))</f>
        <v/>
      </c>
      <c r="EH30" s="18" t="str">
        <f aca="false">IF($C30="","",EDATE($C30,Milestones!$AA$146))</f>
        <v/>
      </c>
      <c r="EI30" s="18" t="str">
        <f aca="false">IF($C30="","",EDATE($C30,Milestones!$AA$147))</f>
        <v/>
      </c>
      <c r="EJ30" s="18" t="str">
        <f aca="false">IF($C30="","",EDATE($C30,Milestones!$AA$148))</f>
        <v/>
      </c>
      <c r="EK30" s="18" t="str">
        <f aca="false">IF($C30="","",EDATE($C30,Milestones!$AA$149))</f>
        <v/>
      </c>
      <c r="EL30" s="18" t="str">
        <f aca="false">IF($C30="","",EDATE($C30,Milestones!$AA$150))</f>
        <v/>
      </c>
      <c r="EM30" s="18" t="str">
        <f aca="false">IF($C30="","",EDATE($C30,Milestones!$AA$151))</f>
        <v/>
      </c>
      <c r="EN30" s="18" t="str">
        <f aca="false">IF($C30="","",EDATE($C30,Milestones!$AA$152))</f>
        <v/>
      </c>
      <c r="EO30" s="18" t="str">
        <f aca="false">IF($C30="","",EDATE($C30,Milestones!$AA$153))</f>
        <v/>
      </c>
      <c r="EP30" s="18" t="str">
        <f aca="false">IF($C30="","",EDATE($C30,Milestones!$AA$154))</f>
        <v/>
      </c>
      <c r="EQ30" s="18" t="str">
        <f aca="false">IF($C30="","",EDATE($C30,Milestones!$AA$155))</f>
        <v/>
      </c>
      <c r="ER30" s="18" t="str">
        <f aca="false">IF($C30="","",EDATE($C30,Milestones!$AA$156))</f>
        <v/>
      </c>
      <c r="ES30" s="18" t="str">
        <f aca="false">IF($C30="","",EDATE($C30,Milestones!$AA$157))</f>
        <v/>
      </c>
      <c r="ET30" s="18" t="str">
        <f aca="false">IF($C30="","",EDATE($C30,Milestones!$AA$158))</f>
        <v/>
      </c>
      <c r="EU30" s="18" t="str">
        <f aca="false">IF($C30="","",EDATE($C30,Milestones!$AA$159))</f>
        <v/>
      </c>
      <c r="EV30" s="18" t="str">
        <f aca="false">IF($C30="","",EDATE($C30,Milestones!$AA$160))</f>
        <v/>
      </c>
      <c r="EW30" s="18" t="str">
        <f aca="false">IF($C30="","",EDATE($C30,Milestones!$AA$161))</f>
        <v/>
      </c>
      <c r="EX30" s="18" t="str">
        <f aca="false">IF($C30="","",EDATE($C30,Milestones!$AA$162))</f>
        <v/>
      </c>
      <c r="EY30" s="18" t="str">
        <f aca="false">IF($C30="","",EDATE($C30,Milestones!$AA$163))</f>
        <v/>
      </c>
      <c r="EZ30" s="18" t="str">
        <f aca="false">IF($C30="","",EDATE($C30,Milestones!$AA$164))</f>
        <v/>
      </c>
      <c r="FA30" s="18" t="str">
        <f aca="false">IF($C30="","",EDATE($C30,Milestones!$AA$165))</f>
        <v/>
      </c>
      <c r="FB30" s="18" t="str">
        <f aca="false">IF($C30="","",EDATE($C30,Milestones!$AA$166))</f>
        <v/>
      </c>
      <c r="FC30" s="18" t="str">
        <f aca="false">IF($C30="","",EDATE($C30,Milestones!$AA$167))</f>
        <v/>
      </c>
      <c r="FD30" s="18" t="str">
        <f aca="false">IF($C30="","",EDATE($C30,Milestones!$AA$168))</f>
        <v/>
      </c>
      <c r="FE30" s="18" t="str">
        <f aca="false">IF($C30="","",EDATE($C30,Milestones!$AA$169))</f>
        <v/>
      </c>
      <c r="FF30" s="18" t="str">
        <f aca="false">IF($C30="","",EDATE($C30,Milestones!$AA$170))</f>
        <v/>
      </c>
      <c r="FG30" s="18" t="str">
        <f aca="false">IF($C30="","",EDATE($C30,Milestones!$AA$171))</f>
        <v/>
      </c>
      <c r="FH30" s="18" t="str">
        <f aca="false">IF($C30="","",EDATE($C30,Milestones!$AA$172))</f>
        <v/>
      </c>
      <c r="FI30" s="18" t="str">
        <f aca="false">IF($C30="","",EDATE($C30,Milestones!$AA$173))</f>
        <v/>
      </c>
      <c r="FJ30" s="18" t="str">
        <f aca="false">IF($C30="","",EDATE($C30,Milestones!$AA$174))</f>
        <v/>
      </c>
      <c r="FK30" s="18" t="str">
        <f aca="false">IF($C30="","",EDATE($C30,Milestones!$AA$175))</f>
        <v/>
      </c>
      <c r="FL30" s="18" t="str">
        <f aca="false">IF($C30="","",EDATE($C30,Milestones!$AA$176))</f>
        <v/>
      </c>
      <c r="FM30" s="18" t="str">
        <f aca="false">IF($C30="","",EDATE($C30,Milestones!$AA$177))</f>
        <v/>
      </c>
      <c r="FN30" s="18" t="str">
        <f aca="false">IF($C30="","",EDATE($C30,Milestones!$AA$178))</f>
        <v/>
      </c>
      <c r="FO30" s="18" t="str">
        <f aca="false">IF($C30="","",EDATE($C30,Milestones!$AA$179))</f>
        <v/>
      </c>
      <c r="FP30" s="18" t="str">
        <f aca="false">IF($C30="","",EDATE($C30,Milestones!$AA$180))</f>
        <v/>
      </c>
      <c r="FQ30" s="18" t="str">
        <f aca="false">IF($C30="","",EDATE($C30,Milestones!$AA$181))</f>
        <v/>
      </c>
      <c r="FR30" s="18" t="str">
        <f aca="false">IF($C30="","",EDATE($C30,Milestones!$AA$182))</f>
        <v/>
      </c>
      <c r="FS30" s="18" t="str">
        <f aca="false">IF($C30="","",EDATE($C30,Milestones!$AA$183))</f>
        <v/>
      </c>
      <c r="FT30" s="18" t="str">
        <f aca="false">IF($C30="","",EDATE($C30,Milestones!$AA$184))</f>
        <v/>
      </c>
      <c r="FU30" s="18" t="str">
        <f aca="false">IF($C30="","",EDATE($C30,Milestones!$AA$185))</f>
        <v/>
      </c>
      <c r="FV30" s="18" t="str">
        <f aca="false">IF($C30="","",EDATE($C30,Milestones!$AA$186))</f>
        <v/>
      </c>
      <c r="FW30" s="18" t="str">
        <f aca="false">IF($C30="","",EDATE($C30,Milestones!$AA$187))</f>
        <v/>
      </c>
      <c r="FX30" s="18" t="str">
        <f aca="false">IF($C30="","",EDATE($C30,Milestones!$AA$188))</f>
        <v/>
      </c>
      <c r="FY30" s="18" t="str">
        <f aca="false">IF($C30="","",EDATE($C30,Milestones!$AA$189))</f>
        <v/>
      </c>
      <c r="FZ30" s="18" t="str">
        <f aca="false">IF($C30="","",EDATE($C30,Milestones!$AA$190))</f>
        <v/>
      </c>
      <c r="GA30" s="18" t="str">
        <f aca="false">IF($C30="","",EDATE($C30,Milestones!$AA$191))</f>
        <v/>
      </c>
      <c r="GB30" s="18" t="str">
        <f aca="false">IF($C30="","",EDATE($C30,Milestones!$AA$192))</f>
        <v/>
      </c>
      <c r="GC30" s="18" t="str">
        <f aca="false">IF($C30="","",EDATE($C30,Milestones!$AA$193))</f>
        <v/>
      </c>
      <c r="GD30" s="18" t="str">
        <f aca="false">IF($C30="","",EDATE($C30,Milestones!$AA$194))</f>
        <v/>
      </c>
      <c r="GE30" s="18" t="str">
        <f aca="false">IF($C30="","",EDATE($C30,Milestones!$AA$195))</f>
        <v/>
      </c>
      <c r="GF30" s="18" t="str">
        <f aca="false">IF($C30="","",EDATE($C30,Milestones!$AA$196))</f>
        <v/>
      </c>
      <c r="GG30" s="18" t="str">
        <f aca="false">IF($C30="","",EDATE($C30,Milestones!$AA$197))</f>
        <v/>
      </c>
      <c r="GH30" s="18" t="str">
        <f aca="false">IF($C30="","",EDATE($C30,Milestones!$AA$198))</f>
        <v/>
      </c>
      <c r="GI30" s="18" t="str">
        <f aca="false">IF($C30="","",EDATE($C30,Milestones!$AA$199))</f>
        <v/>
      </c>
    </row>
    <row r="31" customFormat="false" ht="15" hidden="false" customHeight="false" outlineLevel="0" collapsed="false">
      <c r="K31" s="0" t="s">
        <v>229</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230</v>
      </c>
      <c r="L32" s="0" t="n">
        <f aca="false">IF(L30="",0,IF(L31=Milestones!$AB$20,Milestones!$AC$20,0))</f>
        <v>0</v>
      </c>
      <c r="M32" s="0" t="n">
        <f aca="false">IF(M30="",0,IF(M31=Milestones!$AB$21,Milestones!$AC$21,0))</f>
        <v>0</v>
      </c>
      <c r="N32" s="0" t="n">
        <f aca="false">IF(N30="",0,IF(N31=Milestones!$AB$22,Milestones!$AC$22,0))</f>
        <v>0</v>
      </c>
      <c r="O32" s="0" t="n">
        <f aca="false">IF(O30="",0,IF(O31=Milestones!$AB$23,Milestones!$AC$23,0))</f>
        <v>0</v>
      </c>
      <c r="P32" s="0" t="n">
        <f aca="false">IF(P30="",0,IF(P31=Milestones!$AB$24,Milestones!$AC$24,0))</f>
        <v>0</v>
      </c>
      <c r="Q32" s="0" t="n">
        <f aca="false">IF(Q30="",0,IF(Q31=Milestones!$AB$25,Milestones!$AC$25,0))</f>
        <v>0</v>
      </c>
      <c r="R32" s="0" t="n">
        <f aca="false">IF(R30="",0,IF(R31=Milestones!$AB$26,Milestones!$AC$26,0))</f>
        <v>0</v>
      </c>
      <c r="S32" s="0" t="n">
        <f aca="false">IF(S30="",0,IF(S31=Milestones!$AB$27,Milestones!$AC$27,0))</f>
        <v>0</v>
      </c>
      <c r="T32" s="0" t="n">
        <f aca="false">IF(T30="",0,IF(T31=Milestones!$AB$28,Milestones!$AC$28,0))</f>
        <v>0</v>
      </c>
      <c r="U32" s="0" t="n">
        <f aca="false">IF(U30="",0,IF(U31=Milestones!$AB$29,Milestones!$AC$29,0))</f>
        <v>0</v>
      </c>
      <c r="V32" s="0" t="n">
        <f aca="false">IF(V30="",0,IF(V31=Milestones!$AB$30,Milestones!$AC$30,0))</f>
        <v>0</v>
      </c>
      <c r="W32" s="0" t="n">
        <f aca="false">IF(W30="",0,IF(W31=Milestones!$AB$31,Milestones!$AC$31,0))</f>
        <v>0</v>
      </c>
      <c r="X32" s="0" t="n">
        <f aca="false">IF(X30="",0,IF(X31=Milestones!$AB$32,Milestones!$AC$32,0))</f>
        <v>0</v>
      </c>
      <c r="Y32" s="0" t="n">
        <f aca="false">IF(Y30="",0,IF(Y31=Milestones!$AB$33,Milestones!$AC$33,0))</f>
        <v>0</v>
      </c>
      <c r="Z32" s="0" t="n">
        <f aca="false">IF(Z30="",0,IF(Z31=Milestones!$AB$34,Milestones!$AC$34,0))</f>
        <v>0</v>
      </c>
      <c r="AA32" s="0" t="n">
        <f aca="false">IF(AA30="",0,IF(AA31=Milestones!$AB$35,Milestones!$AC$35,0))</f>
        <v>0</v>
      </c>
      <c r="AB32" s="0" t="n">
        <f aca="false">IF(AB30="",0,IF(AB31=Milestones!$AB$36,Milestones!$AC$36,0))</f>
        <v>0</v>
      </c>
      <c r="AC32" s="0" t="n">
        <f aca="false">IF(AC30="",0,IF(AC31=Milestones!$AB$37,Milestones!$AC$37,0))</f>
        <v>0</v>
      </c>
      <c r="AD32" s="0" t="n">
        <f aca="false">IF(AD30="",0,IF(AD31=Milestones!$AB$38,Milestones!$AC$38,0))</f>
        <v>0</v>
      </c>
      <c r="AE32" s="0" t="n">
        <f aca="false">IF(AE30="",0,IF(AE31=Milestones!$AB$39,Milestones!$AC$39,0))</f>
        <v>0</v>
      </c>
      <c r="AF32" s="0" t="n">
        <f aca="false">IF(AF30="",0,IF(AF31=Milestones!$AB$40,Milestones!$AC$40,0))</f>
        <v>0</v>
      </c>
      <c r="AG32" s="0" t="n">
        <f aca="false">IF(AG30="",0,IF(AG31=Milestones!$AB$41,Milestones!$AC$41,0))</f>
        <v>0</v>
      </c>
      <c r="AH32" s="0" t="n">
        <f aca="false">IF(AH30="",0,IF(AH31=Milestones!$AB$42,Milestones!$AC$42,0))</f>
        <v>0</v>
      </c>
      <c r="AI32" s="0" t="n">
        <f aca="false">IF(AI30="",0,IF(AI31=Milestones!$AB$43,Milestones!$AC$43,0))</f>
        <v>0</v>
      </c>
      <c r="AJ32" s="0" t="n">
        <f aca="false">IF(AJ30="",0,IF(AJ31=Milestones!$AB$44,Milestones!$AC$44,0))</f>
        <v>0</v>
      </c>
      <c r="AK32" s="0" t="n">
        <f aca="false">IF(AK30="",0,IF(AK31=Milestones!$AB$45,Milestones!$AC$45,0))</f>
        <v>0</v>
      </c>
      <c r="AL32" s="0" t="n">
        <f aca="false">IF(AL30="",0,IF(AL31=Milestones!$AB$46,Milestones!$AC$46,0))</f>
        <v>0</v>
      </c>
      <c r="AM32" s="0" t="n">
        <f aca="false">IF(AM30="",0,IF(AM31=Milestones!$AB$47,Milestones!$AC$47,0))</f>
        <v>0</v>
      </c>
      <c r="AN32" s="0" t="n">
        <f aca="false">IF(AN30="",0,IF(AN31=Milestones!$AB$48,Milestones!$AC$48,0))</f>
        <v>0</v>
      </c>
      <c r="AO32" s="0" t="n">
        <f aca="false">IF(AO30="",0,IF(AO31=Milestones!$AB$49,Milestones!$AC$49,0))</f>
        <v>0</v>
      </c>
      <c r="AP32" s="0" t="n">
        <f aca="false">IF(AP30="",0,IF(AP31=Milestones!$AB$50,Milestones!$AC$50,0))</f>
        <v>0</v>
      </c>
      <c r="AQ32" s="0" t="n">
        <f aca="false">IF(AQ30="",0,IF(AQ31=Milestones!$AB$51,Milestones!$AC$51,0))</f>
        <v>0</v>
      </c>
      <c r="AR32" s="0" t="n">
        <f aca="false">IF(AR30="",0,IF(AR31=Milestones!$AB$52,Milestones!$AC$52,0))</f>
        <v>0</v>
      </c>
      <c r="AS32" s="0" t="n">
        <f aca="false">IF(AS30="",0,IF(AS31=Milestones!$AB$53,Milestones!$AC$53,0))</f>
        <v>0</v>
      </c>
      <c r="AT32" s="0" t="n">
        <f aca="false">IF(AT30="",0,IF(AT31=Milestones!$AB$54,Milestones!$AC$54,0))</f>
        <v>0</v>
      </c>
      <c r="AU32" s="0" t="n">
        <f aca="false">IF(AU30="",0,IF(AU31=Milestones!$AB$55,Milestones!$AC$55,0))</f>
        <v>0</v>
      </c>
      <c r="AV32" s="0" t="n">
        <f aca="false">IF(AV30="",0,IF(AV31=Milestones!$AB$56,Milestones!$AC$56,0))</f>
        <v>0</v>
      </c>
      <c r="AW32" s="0" t="n">
        <f aca="false">IF(AW30="",0,IF(AW31=Milestones!$AB$57,Milestones!$AC$57,0))</f>
        <v>0</v>
      </c>
      <c r="AX32" s="0" t="n">
        <f aca="false">IF(AX30="",0,IF(AX31=Milestones!$AB$58,Milestones!$AC$58,0))</f>
        <v>0</v>
      </c>
      <c r="AY32" s="0" t="n">
        <f aca="false">IF(AY30="",0,IF(AY31=Milestones!$AB$59,Milestones!$AC$59,0))</f>
        <v>0</v>
      </c>
      <c r="AZ32" s="0" t="n">
        <f aca="false">IF(AZ30="",0,IF(AZ31=Milestones!$AB$60,Milestones!$AC$60,0))</f>
        <v>0</v>
      </c>
      <c r="BA32" s="0" t="n">
        <f aca="false">IF(BA30="",0,IF(BA31=Milestones!$AB$61,Milestones!$AC$61,0))</f>
        <v>0</v>
      </c>
      <c r="BB32" s="0" t="n">
        <f aca="false">IF(BB30="",0,IF(BB31=Milestones!$AB$62,Milestones!$AC$62,0))</f>
        <v>0</v>
      </c>
      <c r="BC32" s="0" t="n">
        <f aca="false">IF(BC30="",0,IF(BC31=Milestones!$AB$63,Milestones!$AC$63,0))</f>
        <v>0</v>
      </c>
      <c r="BD32" s="0" t="n">
        <f aca="false">IF(BD30="",0,IF(BD31=Milestones!$AB$64,Milestones!$AC$64,0))</f>
        <v>0</v>
      </c>
      <c r="BE32" s="0" t="n">
        <f aca="false">IF(BE30="",0,IF(BE31=Milestones!$AB$65,Milestones!$AC$65,0))</f>
        <v>0</v>
      </c>
      <c r="BF32" s="0" t="n">
        <f aca="false">IF(BF30="",0,IF(BF31=Milestones!$AB$66,Milestones!$AC$66,0))</f>
        <v>0</v>
      </c>
      <c r="BG32" s="0" t="n">
        <f aca="false">IF(BG30="",0,IF(BG31=Milestones!$AB$67,Milestones!$AC$67,0))</f>
        <v>0</v>
      </c>
      <c r="BH32" s="0" t="n">
        <f aca="false">IF(BH30="",0,IF(BH31=Milestones!$AB$68,Milestones!$AC$68,0))</f>
        <v>0</v>
      </c>
      <c r="BI32" s="0" t="n">
        <f aca="false">IF(BI30="",0,IF(BI31=Milestones!$AB$69,Milestones!$AC$69,0))</f>
        <v>0</v>
      </c>
      <c r="BJ32" s="0" t="n">
        <f aca="false">IF(BJ30="",0,IF(BJ31=Milestones!$AB$70,Milestones!$AC$70,0))</f>
        <v>0</v>
      </c>
      <c r="BK32" s="0" t="n">
        <f aca="false">IF(BK30="",0,IF(BK31=Milestones!$AB$71,Milestones!$AC$71,0))</f>
        <v>0</v>
      </c>
      <c r="BL32" s="0" t="n">
        <f aca="false">IF(BL30="",0,IF(BL31=Milestones!$AB$72,Milestones!$AC$72,0))</f>
        <v>0</v>
      </c>
      <c r="BM32" s="0" t="n">
        <f aca="false">IF(BM30="",0,IF(BM31=Milestones!$AB$73,Milestones!$AC$73,0))</f>
        <v>0</v>
      </c>
      <c r="BN32" s="0" t="n">
        <f aca="false">IF(BN30="",0,IF(BN31=Milestones!$AB$74,Milestones!$AC$74,0))</f>
        <v>0</v>
      </c>
      <c r="BO32" s="0" t="n">
        <f aca="false">IF(BO30="",0,IF(BO31=Milestones!$AB$75,Milestones!$AC$75,0))</f>
        <v>0</v>
      </c>
      <c r="BP32" s="0" t="n">
        <f aca="false">IF(BP30="",0,IF(BP31=Milestones!$AB$76,Milestones!$AC$76,0))</f>
        <v>0</v>
      </c>
      <c r="BQ32" s="0" t="n">
        <f aca="false">IF(BQ30="",0,IF(BQ31=Milestones!$AB$77,Milestones!$AC$77,0))</f>
        <v>0</v>
      </c>
      <c r="BR32" s="0" t="n">
        <f aca="false">IF(BR30="",0,IF(BR31=Milestones!$AB$78,Milestones!$AC$78,0))</f>
        <v>0</v>
      </c>
      <c r="BS32" s="0" t="n">
        <f aca="false">IF(BS30="",0,IF(BS31=Milestones!$AB$79,Milestones!$AC$79,0))</f>
        <v>0</v>
      </c>
      <c r="BT32" s="0" t="n">
        <f aca="false">IF(BT30="",0,IF(BT31=Milestones!$AB$80,Milestones!$AC$80,0))</f>
        <v>0</v>
      </c>
      <c r="BU32" s="0" t="n">
        <f aca="false">IF(BU30="",0,IF(BU31=Milestones!$AB$81,Milestones!$AC$81,0))</f>
        <v>0</v>
      </c>
      <c r="BV32" s="0" t="n">
        <f aca="false">IF(BV30="",0,IF(BV31=Milestones!$AB$82,Milestones!$AC$82,0))</f>
        <v>0</v>
      </c>
      <c r="BW32" s="0" t="n">
        <f aca="false">IF(BW30="",0,IF(BW31=Milestones!$AB$83,Milestones!$AC$83,0))</f>
        <v>0</v>
      </c>
      <c r="BX32" s="0" t="n">
        <f aca="false">IF(BX30="",0,IF(BX31=Milestones!$AB$84,Milestones!$AC$84,0))</f>
        <v>0</v>
      </c>
      <c r="BY32" s="0" t="n">
        <f aca="false">IF(BY30="",0,IF(BY31=Milestones!$AB$85,Milestones!$AC$85,0))</f>
        <v>0</v>
      </c>
      <c r="BZ32" s="0" t="n">
        <f aca="false">IF(BZ30="",0,IF(BZ31=Milestones!$AB$86,Milestones!$AC$86,0))</f>
        <v>0</v>
      </c>
      <c r="CA32" s="0" t="n">
        <f aca="false">IF(CA30="",0,IF(CA31=Milestones!$AB$87,Milestones!$AC$87,0))</f>
        <v>0</v>
      </c>
      <c r="CB32" s="0" t="n">
        <f aca="false">IF(CB30="",0,IF(CB31=Milestones!$AB$88,Milestones!$AC$88,0))</f>
        <v>0</v>
      </c>
      <c r="CC32" s="0" t="n">
        <f aca="false">IF(CC30="",0,IF(CC31=Milestones!$AB$89,Milestones!$AC$89,0))</f>
        <v>0</v>
      </c>
      <c r="CD32" s="0" t="n">
        <f aca="false">IF(CD30="",0,IF(CD31=Milestones!$AB$90,Milestones!$AC$90,0))</f>
        <v>0</v>
      </c>
      <c r="CE32" s="0" t="n">
        <f aca="false">IF(CE30="",0,IF(CE31=Milestones!$AB$91,Milestones!$AC$91,0))</f>
        <v>0</v>
      </c>
      <c r="CF32" s="0" t="n">
        <f aca="false">IF(CF30="",0,IF(CF31=Milestones!$AB$92,Milestones!$AC$92,0))</f>
        <v>0</v>
      </c>
      <c r="CG32" s="0" t="n">
        <f aca="false">IF(CG30="",0,IF(CG31=Milestones!$AB$93,Milestones!$AC$93,0))</f>
        <v>0</v>
      </c>
      <c r="CH32" s="0" t="n">
        <f aca="false">IF(CH30="",0,IF(CH31=Milestones!$AB$94,Milestones!$AC$94,0))</f>
        <v>0</v>
      </c>
      <c r="CI32" s="0" t="n">
        <f aca="false">IF(CI30="",0,IF(CI31=Milestones!$AB$95,Milestones!$AC$95,0))</f>
        <v>0</v>
      </c>
      <c r="CJ32" s="0" t="n">
        <f aca="false">IF(CJ30="",0,IF(CJ31=Milestones!$AB$96,Milestones!$AC$96,0))</f>
        <v>0</v>
      </c>
      <c r="CK32" s="0" t="n">
        <f aca="false">IF(CK30="",0,IF(CK31=Milestones!$AB$97,Milestones!$AC$97,0))</f>
        <v>0</v>
      </c>
      <c r="CL32" s="0" t="n">
        <f aca="false">IF(CL30="",0,IF(CL31=Milestones!$AB$98,Milestones!$AC$98,0))</f>
        <v>0</v>
      </c>
      <c r="CM32" s="0" t="n">
        <f aca="false">IF(CM30="",0,IF(CM31=Milestones!$AB$99,Milestones!$AC$99,0))</f>
        <v>0</v>
      </c>
      <c r="CN32" s="0" t="n">
        <f aca="false">IF(CN30="",0,IF(CN31=Milestones!$AB$100,Milestones!$AC$100,0))</f>
        <v>0</v>
      </c>
      <c r="CO32" s="0" t="n">
        <f aca="false">IF(CO30="",0,IF(CO31=Milestones!$AB$101,Milestones!$AC$101,0))</f>
        <v>0</v>
      </c>
      <c r="CP32" s="0" t="n">
        <f aca="false">IF(CP30="",0,IF(CP31=Milestones!$AB$102,Milestones!$AC$102,0))</f>
        <v>0</v>
      </c>
      <c r="CQ32" s="0" t="n">
        <f aca="false">IF(CQ30="",0,IF(CQ31=Milestones!$AB$103,Milestones!$AC$103,0))</f>
        <v>0</v>
      </c>
      <c r="CR32" s="0" t="n">
        <f aca="false">IF(CR30="",0,IF(CR31=Milestones!$AB$104,Milestones!$AC$104,0))</f>
        <v>0</v>
      </c>
      <c r="CS32" s="0" t="n">
        <f aca="false">IF(CS30="",0,IF(CS31=Milestones!$AB$105,Milestones!$AC$105,0))</f>
        <v>0</v>
      </c>
      <c r="CT32" s="0" t="n">
        <f aca="false">IF(CT30="",0,IF(CT31=Milestones!$AB$106,Milestones!$AC$106,0))</f>
        <v>0</v>
      </c>
      <c r="CU32" s="0" t="n">
        <f aca="false">IF(CU30="",0,IF(CU31=Milestones!$AB$107,Milestones!$AC$107,0))</f>
        <v>0</v>
      </c>
      <c r="CV32" s="0" t="n">
        <f aca="false">IF(CV30="",0,IF(CV31=Milestones!$AB$108,Milestones!$AC$108,0))</f>
        <v>0</v>
      </c>
      <c r="CW32" s="0" t="n">
        <f aca="false">IF(CW30="",0,IF(CW31=Milestones!$AB$109,Milestones!$AC$109,0))</f>
        <v>0</v>
      </c>
      <c r="CX32" s="0" t="n">
        <f aca="false">IF(CX30="",0,IF(CX31=Milestones!$AB$110,Milestones!$AC$110,0))</f>
        <v>0</v>
      </c>
      <c r="CY32" s="0" t="n">
        <f aca="false">IF(CY30="",0,IF(CY31=Milestones!$AB$111,Milestones!$AC$111,0))</f>
        <v>0</v>
      </c>
      <c r="CZ32" s="0" t="n">
        <f aca="false">IF(CZ30="",0,IF(CZ31=Milestones!$AB$112,Milestones!$AC$112,0))</f>
        <v>0</v>
      </c>
      <c r="DA32" s="0" t="n">
        <f aca="false">IF(DA30="",0,IF(DA31=Milestones!$AB$113,Milestones!$AC$113,0))</f>
        <v>0</v>
      </c>
      <c r="DB32" s="0" t="n">
        <f aca="false">IF(DB30="",0,IF(DB31=Milestones!$AB$114,Milestones!$AC$114,0))</f>
        <v>0</v>
      </c>
      <c r="DC32" s="0" t="n">
        <f aca="false">IF(DC30="",0,IF(DC31=Milestones!$AB$115,Milestones!$AC$115,0))</f>
        <v>0</v>
      </c>
      <c r="DD32" s="0" t="n">
        <f aca="false">IF(DD30="",0,IF(DD31=Milestones!$AB$116,Milestones!$AC$116,0))</f>
        <v>0</v>
      </c>
      <c r="DE32" s="0" t="n">
        <f aca="false">IF(DE30="",0,IF(DE31=Milestones!$AB$117,Milestones!$AC$117,0))</f>
        <v>0</v>
      </c>
      <c r="DF32" s="0" t="n">
        <f aca="false">IF(DF30="",0,IF(DF31=Milestones!$AB$118,Milestones!$AC$118,0))</f>
        <v>0</v>
      </c>
      <c r="DG32" s="0" t="n">
        <f aca="false">IF(DG30="",0,IF(DG31=Milestones!$AB$119,Milestones!$AC$119,0))</f>
        <v>0</v>
      </c>
      <c r="DH32" s="0" t="n">
        <f aca="false">IF(DH30="",0,IF(DH31=Milestones!$AB$120,Milestones!$AC$120,0))</f>
        <v>0</v>
      </c>
      <c r="DI32" s="0" t="n">
        <f aca="false">IF(DI30="",0,IF(DI31=Milestones!$AB$121,Milestones!$AC$121,0))</f>
        <v>0</v>
      </c>
      <c r="DJ32" s="0" t="n">
        <f aca="false">IF(DJ30="",0,IF(DJ31=Milestones!$AB$122,Milestones!$AC$122,0))</f>
        <v>0</v>
      </c>
      <c r="DK32" s="0" t="n">
        <f aca="false">IF(DK30="",0,IF(DK31=Milestones!$AB$123,Milestones!$AC$123,0))</f>
        <v>0</v>
      </c>
      <c r="DL32" s="0" t="n">
        <f aca="false">IF(DL30="",0,IF(DL31=Milestones!$AB$124,Milestones!$AC$124,0))</f>
        <v>0</v>
      </c>
      <c r="DM32" s="0" t="n">
        <f aca="false">IF(DM30="",0,IF(DM31=Milestones!$AB$125,Milestones!$AC$125,0))</f>
        <v>0</v>
      </c>
      <c r="DN32" s="0" t="n">
        <f aca="false">IF(DN30="",0,IF(DN31=Milestones!$AB$126,Milestones!$AC$126,0))</f>
        <v>0</v>
      </c>
      <c r="DO32" s="0" t="n">
        <f aca="false">IF(DO30="",0,IF(DO31=Milestones!$AB$127,Milestones!$AC$127,0))</f>
        <v>0</v>
      </c>
      <c r="DP32" s="0" t="n">
        <f aca="false">IF(DP30="",0,IF(DP31=Milestones!$AB$128,Milestones!$AC$128,0))</f>
        <v>0</v>
      </c>
      <c r="DQ32" s="0" t="n">
        <f aca="false">IF(DQ30="",0,IF(DQ31=Milestones!$AB$129,Milestones!$AC$129,0))</f>
        <v>0</v>
      </c>
      <c r="DR32" s="0" t="n">
        <f aca="false">IF(DR30="",0,IF(DR31=Milestones!$AB$130,Milestones!$AC$130,0))</f>
        <v>0</v>
      </c>
      <c r="DS32" s="0" t="n">
        <f aca="false">IF(DS30="",0,IF(DS31=Milestones!$AB$131,Milestones!$AC$131,0))</f>
        <v>0</v>
      </c>
      <c r="DT32" s="0" t="n">
        <f aca="false">IF(DT30="",0,IF(DT31=Milestones!$AB$132,Milestones!$AC$132,0))</f>
        <v>0</v>
      </c>
      <c r="DU32" s="0" t="n">
        <f aca="false">IF(DU30="",0,IF(DU31=Milestones!$AB$133,Milestones!$AC$133,0))</f>
        <v>0</v>
      </c>
      <c r="DV32" s="0" t="n">
        <f aca="false">IF(DV30="",0,IF(DV31=Milestones!$AB$134,Milestones!$AC$134,0))</f>
        <v>0</v>
      </c>
      <c r="DW32" s="0" t="n">
        <f aca="false">IF(DW30="",0,IF(DW31=Milestones!$AB$135,Milestones!$AC$135,0))</f>
        <v>0</v>
      </c>
      <c r="DX32" s="0" t="n">
        <f aca="false">IF(DX30="",0,IF(DX31=Milestones!$AB$136,Milestones!$AC$136,0))</f>
        <v>0</v>
      </c>
      <c r="DY32" s="0" t="n">
        <f aca="false">IF(DY30="",0,IF(DY31=Milestones!$AB$137,Milestones!$AC$137,0))</f>
        <v>0</v>
      </c>
      <c r="DZ32" s="0" t="n">
        <f aca="false">IF(DZ30="",0,IF(DZ31=Milestones!$AB$138,Milestones!$AC$138,0))</f>
        <v>0</v>
      </c>
      <c r="EA32" s="0" t="n">
        <f aca="false">IF(EA30="",0,IF(EA31=Milestones!$AB$139,Milestones!$AC$139,0))</f>
        <v>0</v>
      </c>
      <c r="EB32" s="0" t="n">
        <f aca="false">IF(EB30="",0,IF(EB31=Milestones!$AB$140,Milestones!$AC$140,0))</f>
        <v>0</v>
      </c>
      <c r="EC32" s="0" t="n">
        <f aca="false">IF(EC30="",0,IF(EC31=Milestones!$AB$141,Milestones!$AC$141,0))</f>
        <v>0</v>
      </c>
      <c r="ED32" s="0" t="n">
        <f aca="false">IF(ED30="",0,IF(ED31=Milestones!$AB$142,Milestones!$AC$142,0))</f>
        <v>0</v>
      </c>
      <c r="EE32" s="0" t="n">
        <f aca="false">IF(EE30="",0,IF(EE31=Milestones!$AB$143,Milestones!$AC$143,0))</f>
        <v>0</v>
      </c>
      <c r="EF32" s="0" t="n">
        <f aca="false">IF(EF30="",0,IF(EF31=Milestones!$AB$144,Milestones!$AC$144,0))</f>
        <v>0</v>
      </c>
      <c r="EG32" s="0" t="n">
        <f aca="false">IF(EG30="",0,IF(EG31=Milestones!$AB$145,Milestones!$AC$145,0))</f>
        <v>0</v>
      </c>
      <c r="EH32" s="0" t="n">
        <f aca="false">IF(EH30="",0,IF(EH31=Milestones!$AB$146,Milestones!$AC$146,0))</f>
        <v>0</v>
      </c>
      <c r="EI32" s="0" t="n">
        <f aca="false">IF(EI30="",0,IF(EI31=Milestones!$AB$147,Milestones!$AC$147,0))</f>
        <v>0</v>
      </c>
      <c r="EJ32" s="0" t="n">
        <f aca="false">IF(EJ30="",0,IF(EJ31=Milestones!$AB$148,Milestones!$AC$148,0))</f>
        <v>0</v>
      </c>
      <c r="EK32" s="0" t="n">
        <f aca="false">IF(EK30="",0,IF(EK31=Milestones!$AB$149,Milestones!$AC$149,0))</f>
        <v>0</v>
      </c>
      <c r="EL32" s="0" t="n">
        <f aca="false">IF(EL30="",0,IF(EL31=Milestones!$AB$150,Milestones!$AC$150,0))</f>
        <v>0</v>
      </c>
      <c r="EM32" s="0" t="n">
        <f aca="false">IF(EM30="",0,IF(EM31=Milestones!$AB$151,Milestones!$AC$151,0))</f>
        <v>0</v>
      </c>
      <c r="EN32" s="0" t="n">
        <f aca="false">IF(EN30="",0,IF(EN31=Milestones!$AB$152,Milestones!$AC$152,0))</f>
        <v>0</v>
      </c>
      <c r="EO32" s="0" t="n">
        <f aca="false">IF(EO30="",0,IF(EO31=Milestones!$AB$153,Milestones!$AC$153,0))</f>
        <v>0</v>
      </c>
      <c r="EP32" s="0" t="n">
        <f aca="false">IF(EP30="",0,IF(EP31=Milestones!$AB$154,Milestones!$AC$154,0))</f>
        <v>0</v>
      </c>
      <c r="EQ32" s="0" t="n">
        <f aca="false">IF(EQ30="",0,IF(EQ31=Milestones!$AB$155,Milestones!$AC$155,0))</f>
        <v>0</v>
      </c>
      <c r="ER32" s="0" t="n">
        <f aca="false">IF(ER30="",0,IF(ER31=Milestones!$AB$156,Milestones!$AC$156,0))</f>
        <v>0</v>
      </c>
      <c r="ES32" s="0" t="n">
        <f aca="false">IF(ES30="",0,IF(ES31=Milestones!$AB$157,Milestones!$AC$157,0))</f>
        <v>0</v>
      </c>
      <c r="ET32" s="0" t="n">
        <f aca="false">IF(ET30="",0,IF(ET31=Milestones!$AB$158,Milestones!$AC$158,0))</f>
        <v>0</v>
      </c>
      <c r="EU32" s="0" t="n">
        <f aca="false">IF(EU30="",0,IF(EU31=Milestones!$AB$159,Milestones!$AC$159,0))</f>
        <v>0</v>
      </c>
      <c r="EV32" s="0" t="n">
        <f aca="false">IF(EV30="",0,IF(EV31=Milestones!$AB$160,Milestones!$AC$160,0))</f>
        <v>0</v>
      </c>
      <c r="EW32" s="0" t="n">
        <f aca="false">IF(EW30="",0,IF(EW31=Milestones!$AB$161,Milestones!$AC$161,0))</f>
        <v>0</v>
      </c>
      <c r="EX32" s="0" t="n">
        <f aca="false">IF(EX30="",0,IF(EX31=Milestones!$AB$162,Milestones!$AC$162,0))</f>
        <v>0</v>
      </c>
      <c r="EY32" s="0" t="n">
        <f aca="false">IF(EY30="",0,IF(EY31=Milestones!$AB$163,Milestones!$AC$163,0))</f>
        <v>0</v>
      </c>
      <c r="EZ32" s="0" t="n">
        <f aca="false">IF(EZ30="",0,IF(EZ31=Milestones!$AB$164,Milestones!$AC$164,0))</f>
        <v>0</v>
      </c>
      <c r="FA32" s="0" t="n">
        <f aca="false">IF(FA30="",0,IF(FA31=Milestones!$AB$165,Milestones!$AC$165,0))</f>
        <v>0</v>
      </c>
      <c r="FB32" s="0" t="n">
        <f aca="false">IF(FB30="",0,IF(FB31=Milestones!$AB$166,Milestones!$AC$166,0))</f>
        <v>0</v>
      </c>
      <c r="FC32" s="0" t="n">
        <f aca="false">IF(FC30="",0,IF(FC31=Milestones!$AB$167,Milestones!$AC$167,0))</f>
        <v>0</v>
      </c>
      <c r="FD32" s="0" t="n">
        <f aca="false">IF(FD30="",0,IF(FD31=Milestones!$AB$168,Milestones!$AC$168,0))</f>
        <v>0</v>
      </c>
      <c r="FE32" s="0" t="n">
        <f aca="false">IF(FE30="",0,IF(FE31=Milestones!$AB$169,Milestones!$AC$169,0))</f>
        <v>0</v>
      </c>
      <c r="FF32" s="0" t="n">
        <f aca="false">IF(FF30="",0,IF(FF31=Milestones!$AB$170,Milestones!$AC$170,0))</f>
        <v>0</v>
      </c>
      <c r="FG32" s="0" t="n">
        <f aca="false">IF(FG30="",0,IF(FG31=Milestones!$AB$171,Milestones!$AC$171,0))</f>
        <v>0</v>
      </c>
      <c r="FH32" s="0" t="n">
        <f aca="false">IF(FH30="",0,IF(FH31=Milestones!$AB$172,Milestones!$AC$172,0))</f>
        <v>0</v>
      </c>
      <c r="FI32" s="0" t="n">
        <f aca="false">IF(FI30="",0,IF(FI31=Milestones!$AB$173,Milestones!$AC$173,0))</f>
        <v>0</v>
      </c>
      <c r="FJ32" s="0" t="n">
        <f aca="false">IF(FJ30="",0,IF(FJ31=Milestones!$AB$174,Milestones!$AC$174,0))</f>
        <v>0</v>
      </c>
      <c r="FK32" s="0" t="n">
        <f aca="false">IF(FK30="",0,IF(FK31=Milestones!$AB$175,Milestones!$AC$175,0))</f>
        <v>0</v>
      </c>
      <c r="FL32" s="0" t="n">
        <f aca="false">IF(FL30="",0,IF(FL31=Milestones!$AB$176,Milestones!$AC$176,0))</f>
        <v>0</v>
      </c>
      <c r="FM32" s="0" t="n">
        <f aca="false">IF(FM30="",0,IF(FM31=Milestones!$AB$177,Milestones!$AC$177,0))</f>
        <v>0</v>
      </c>
      <c r="FN32" s="0" t="n">
        <f aca="false">IF(FN30="",0,IF(FN31=Milestones!$AB$178,Milestones!$AC$178,0))</f>
        <v>0</v>
      </c>
      <c r="FO32" s="0" t="n">
        <f aca="false">IF(FO30="",0,IF(FO31=Milestones!$AB$179,Milestones!$AC$179,0))</f>
        <v>0</v>
      </c>
      <c r="FP32" s="0" t="n">
        <f aca="false">IF(FP30="",0,IF(FP31=Milestones!$AB$180,Milestones!$AC$180,0))</f>
        <v>0</v>
      </c>
      <c r="FQ32" s="0" t="n">
        <f aca="false">IF(FQ30="",0,IF(FQ31=Milestones!$AB$181,Milestones!$AC$181,0))</f>
        <v>0</v>
      </c>
      <c r="FR32" s="0" t="n">
        <f aca="false">IF(FR30="",0,IF(FR31=Milestones!$AB$182,Milestones!$AC$182,0))</f>
        <v>0</v>
      </c>
      <c r="FS32" s="0" t="n">
        <f aca="false">IF(FS30="",0,IF(FS31=Milestones!$AB$183,Milestones!$AC$183,0))</f>
        <v>0</v>
      </c>
      <c r="FT32" s="0" t="n">
        <f aca="false">IF(FT30="",0,IF(FT31=Milestones!$AB$184,Milestones!$AC$184,0))</f>
        <v>0</v>
      </c>
      <c r="FU32" s="0" t="n">
        <f aca="false">IF(FU30="",0,IF(FU31=Milestones!$AB$185,Milestones!$AC$185,0))</f>
        <v>0</v>
      </c>
      <c r="FV32" s="0" t="n">
        <f aca="false">IF(FV30="",0,IF(FV31=Milestones!$AB$186,Milestones!$AC$186,0))</f>
        <v>0</v>
      </c>
      <c r="FW32" s="0" t="n">
        <f aca="false">IF(FW30="",0,IF(FW31=Milestones!$AB$187,Milestones!$AC$187,0))</f>
        <v>0</v>
      </c>
      <c r="FX32" s="0" t="n">
        <f aca="false">IF(FX30="",0,IF(FX31=Milestones!$AB$188,Milestones!$AC$188,0))</f>
        <v>0</v>
      </c>
      <c r="FY32" s="0" t="n">
        <f aca="false">IF(FY30="",0,IF(FY31=Milestones!$AB$189,Milestones!$AC$189,0))</f>
        <v>0</v>
      </c>
      <c r="FZ32" s="0" t="n">
        <f aca="false">IF(FZ30="",0,IF(FZ31=Milestones!$AB$190,Milestones!$AC$190,0))</f>
        <v>0</v>
      </c>
      <c r="GA32" s="0" t="n">
        <f aca="false">IF(GA30="",0,IF(GA31=Milestones!$AB$191,Milestones!$AC$191,0))</f>
        <v>0</v>
      </c>
      <c r="GB32" s="0" t="n">
        <f aca="false">IF(GB30="",0,IF(GB31=Milestones!$AB$192,Milestones!$AC$192,0))</f>
        <v>0</v>
      </c>
      <c r="GC32" s="0" t="n">
        <f aca="false">IF(GC30="",0,IF(GC31=Milestones!$AB$193,Milestones!$AC$193,0))</f>
        <v>0</v>
      </c>
      <c r="GD32" s="0" t="n">
        <f aca="false">IF(GD30="",0,IF(GD31=Milestones!$AB$194,Milestones!$AC$194,0))</f>
        <v>0</v>
      </c>
      <c r="GE32" s="0" t="n">
        <f aca="false">IF(GE30="",0,IF(GE31=Milestones!$AB$195,Milestones!$AC$195,0))</f>
        <v>0</v>
      </c>
      <c r="GF32" s="0" t="n">
        <f aca="false">IF(GF30="",0,IF(GF31=Milestones!$AB$196,Milestones!$AC$196,0))</f>
        <v>0</v>
      </c>
      <c r="GG32" s="0" t="n">
        <f aca="false">IF(GG30="",0,IF(GG31=Milestones!$AB$197,Milestones!$AC$197,0))</f>
        <v>0</v>
      </c>
      <c r="GH32" s="0" t="n">
        <f aca="false">IF(GH30="",0,IF(GH31=Milestones!$AB$198,Milestones!$AC$198,0))</f>
        <v>0</v>
      </c>
      <c r="GI32" s="0" t="n">
        <f aca="false">IF(GI30="",0,IF(GI31=Milestones!$AB$199,Milestones!$AC$199,0))</f>
        <v>0</v>
      </c>
    </row>
    <row r="33" customFormat="false" ht="15" hidden="false" customHeight="false" outlineLevel="0" collapsed="false">
      <c r="A33" s="0" t="str">
        <f aca="false">IF('HR Tally Check'!L$7="","",'HR Tally Check'!L$7)</f>
        <v/>
      </c>
      <c r="B33" s="0" t="str">
        <f aca="false">IF(A33="","",ISNUMBER(MATCH(A33,Staff!$BJ$5:$BJ$154,0)))</f>
        <v/>
      </c>
      <c r="C33" s="18" t="str">
        <f aca="false">IF(B33&lt;&gt;TRUE(),"",INDEX(Staff!$AH$5:$AH$154,MATCH($A33,Staff!$BJ$5:$BJ$154,0)))</f>
        <v/>
      </c>
      <c r="D33" s="0" t="str">
        <f aca="false">IF(B33&lt;&gt;TRUE(),"",INDEX(Staff!$AI$5:$AI$154,MATCH($A33,Staff!$BJ$5:$BJ$154,0)))</f>
        <v/>
      </c>
      <c r="E33" s="18" t="str">
        <f aca="false">IF(B33&lt;&gt;TRUE(),"",INDEX(Staff!$AK$5:$AK$154,MATCH($A33,Staff!$BJ$5:$BJ$154,0)))</f>
        <v/>
      </c>
      <c r="F33" s="18" t="str">
        <f aca="false">IF(B33&lt;&gt;TRUE(),"",INDEX(Staff!$AL$5:$AL$154,MATCH($A33,Staff!$BJ$5:$BJ$154,0)))</f>
        <v/>
      </c>
      <c r="G33" s="0" t="str">
        <f aca="false">IF(B33&lt;&gt;TRUE(),"",INDEX(Staff!$AP$5:$AP$154,MATCH($A33,Staff!$BJ$5:$BJ$154,0)))</f>
        <v/>
      </c>
      <c r="H33" s="0" t="str">
        <f aca="false">IF(B33&lt;&gt;TRUE(),"",INDEX(Staff!$AQ$5:$AQ$154,MATCH($A33,Staff!$BJ$5:$BJ$154,0)))</f>
        <v/>
      </c>
      <c r="I33" s="0" t="str">
        <f aca="false">IF(B33&lt;&gt;TRUE(),"",INDEX(Staff!$AR$5:$AR$154,MATCH($A33,Staff!$BJ$5:$BJ$154,0)))</f>
        <v/>
      </c>
      <c r="J33" s="0" t="str">
        <f aca="false">IF(B33&lt;&gt;TRUE(),"",INDEX(Staff!$AS$5:$AS$154,MATCH($A33,Staff!$BJ$5:$BJ$154,0)))</f>
        <v/>
      </c>
      <c r="K33" s="31" t="s">
        <v>228</v>
      </c>
      <c r="L33" s="18" t="str">
        <f aca="false">IF($C33="","",EDATE($C33,Milestones!$AA$20))</f>
        <v/>
      </c>
      <c r="M33" s="18" t="str">
        <f aca="false">IF($C33="","",EDATE($C33,Milestones!$AA$21))</f>
        <v/>
      </c>
      <c r="N33" s="18" t="str">
        <f aca="false">IF($C33="","",EDATE($C33,Milestones!$AA$22))</f>
        <v/>
      </c>
      <c r="O33" s="18" t="str">
        <f aca="false">IF($C33="","",EDATE($C33,Milestones!$AA$23))</f>
        <v/>
      </c>
      <c r="P33" s="18" t="str">
        <f aca="false">IF($C33="","",EDATE($C33,Milestones!$AA$24))</f>
        <v/>
      </c>
      <c r="Q33" s="18" t="str">
        <f aca="false">IF($C33="","",EDATE($C33,Milestones!$AA$25))</f>
        <v/>
      </c>
      <c r="R33" s="18" t="str">
        <f aca="false">IF($C33="","",EDATE($C33,Milestones!$AA$26))</f>
        <v/>
      </c>
      <c r="S33" s="18" t="str">
        <f aca="false">IF($C33="","",EDATE($C33,Milestones!$AA$27))</f>
        <v/>
      </c>
      <c r="T33" s="18" t="str">
        <f aca="false">IF($C33="","",EDATE($C33,Milestones!$AA$28))</f>
        <v/>
      </c>
      <c r="U33" s="18" t="str">
        <f aca="false">IF($C33="","",EDATE($C33,Milestones!$AA$29))</f>
        <v/>
      </c>
      <c r="V33" s="18" t="str">
        <f aca="false">IF($C33="","",EDATE($C33,Milestones!$AA$30))</f>
        <v/>
      </c>
      <c r="W33" s="18" t="str">
        <f aca="false">IF($C33="","",EDATE($C33,Milestones!$AA$31))</f>
        <v/>
      </c>
      <c r="X33" s="18" t="str">
        <f aca="false">IF($C33="","",EDATE($C33,Milestones!$AA$32))</f>
        <v/>
      </c>
      <c r="Y33" s="18" t="str">
        <f aca="false">IF($C33="","",EDATE($C33,Milestones!$AA$33))</f>
        <v/>
      </c>
      <c r="Z33" s="18" t="str">
        <f aca="false">IF($C33="","",EDATE($C33,Milestones!$AA$34))</f>
        <v/>
      </c>
      <c r="AA33" s="18" t="str">
        <f aca="false">IF($C33="","",EDATE($C33,Milestones!$AA$35))</f>
        <v/>
      </c>
      <c r="AB33" s="18" t="str">
        <f aca="false">IF($C33="","",EDATE($C33,Milestones!$AA$36))</f>
        <v/>
      </c>
      <c r="AC33" s="18" t="str">
        <f aca="false">IF($C33="","",EDATE($C33,Milestones!$AA$37))</f>
        <v/>
      </c>
      <c r="AD33" s="18" t="str">
        <f aca="false">IF($C33="","",EDATE($C33,Milestones!$AA$38))</f>
        <v/>
      </c>
      <c r="AE33" s="18" t="str">
        <f aca="false">IF($C33="","",EDATE($C33,Milestones!$AA$39))</f>
        <v/>
      </c>
      <c r="AF33" s="18" t="str">
        <f aca="false">IF($C33="","",EDATE($C33,Milestones!$AA$40))</f>
        <v/>
      </c>
      <c r="AG33" s="18" t="str">
        <f aca="false">IF($C33="","",EDATE($C33,Milestones!$AA$41))</f>
        <v/>
      </c>
      <c r="AH33" s="18" t="str">
        <f aca="false">IF($C33="","",EDATE($C33,Milestones!$AA$42))</f>
        <v/>
      </c>
      <c r="AI33" s="18" t="str">
        <f aca="false">IF($C33="","",EDATE($C33,Milestones!$AA$43))</f>
        <v/>
      </c>
      <c r="AJ33" s="18" t="str">
        <f aca="false">IF($C33="","",EDATE($C33,Milestones!$AA$44))</f>
        <v/>
      </c>
      <c r="AK33" s="18" t="str">
        <f aca="false">IF($C33="","",EDATE($C33,Milestones!$AA$45))</f>
        <v/>
      </c>
      <c r="AL33" s="18" t="str">
        <f aca="false">IF($C33="","",EDATE($C33,Milestones!$AA$46))</f>
        <v/>
      </c>
      <c r="AM33" s="18" t="str">
        <f aca="false">IF($C33="","",EDATE($C33,Milestones!$AA$47))</f>
        <v/>
      </c>
      <c r="AN33" s="18" t="str">
        <f aca="false">IF($C33="","",EDATE($C33,Milestones!$AA$48))</f>
        <v/>
      </c>
      <c r="AO33" s="18" t="str">
        <f aca="false">IF($C33="","",EDATE($C33,Milestones!$AA$49))</f>
        <v/>
      </c>
      <c r="AP33" s="18" t="str">
        <f aca="false">IF($C33="","",EDATE($C33,Milestones!$AA$50))</f>
        <v/>
      </c>
      <c r="AQ33" s="18" t="str">
        <f aca="false">IF($C33="","",EDATE($C33,Milestones!$AA$51))</f>
        <v/>
      </c>
      <c r="AR33" s="18" t="str">
        <f aca="false">IF($C33="","",EDATE($C33,Milestones!$AA$52))</f>
        <v/>
      </c>
      <c r="AS33" s="18" t="str">
        <f aca="false">IF($C33="","",EDATE($C33,Milestones!$AA$53))</f>
        <v/>
      </c>
      <c r="AT33" s="18" t="str">
        <f aca="false">IF($C33="","",EDATE($C33,Milestones!$AA$54))</f>
        <v/>
      </c>
      <c r="AU33" s="18" t="str">
        <f aca="false">IF($C33="","",EDATE($C33,Milestones!$AA$55))</f>
        <v/>
      </c>
      <c r="AV33" s="18" t="str">
        <f aca="false">IF($C33="","",EDATE($C33,Milestones!$AA$56))</f>
        <v/>
      </c>
      <c r="AW33" s="18" t="str">
        <f aca="false">IF($C33="","",EDATE($C33,Milestones!$AA$57))</f>
        <v/>
      </c>
      <c r="AX33" s="18" t="str">
        <f aca="false">IF($C33="","",EDATE($C33,Milestones!$AA$58))</f>
        <v/>
      </c>
      <c r="AY33" s="18" t="str">
        <f aca="false">IF($C33="","",EDATE($C33,Milestones!$AA$59))</f>
        <v/>
      </c>
      <c r="AZ33" s="18" t="str">
        <f aca="false">IF($C33="","",EDATE($C33,Milestones!$AA$60))</f>
        <v/>
      </c>
      <c r="BA33" s="18" t="str">
        <f aca="false">IF($C33="","",EDATE($C33,Milestones!$AA$61))</f>
        <v/>
      </c>
      <c r="BB33" s="18" t="str">
        <f aca="false">IF($C33="","",EDATE($C33,Milestones!$AA$62))</f>
        <v/>
      </c>
      <c r="BC33" s="18" t="str">
        <f aca="false">IF($C33="","",EDATE($C33,Milestones!$AA$63))</f>
        <v/>
      </c>
      <c r="BD33" s="18" t="str">
        <f aca="false">IF($C33="","",EDATE($C33,Milestones!$AA$64))</f>
        <v/>
      </c>
      <c r="BE33" s="18" t="str">
        <f aca="false">IF($C33="","",EDATE($C33,Milestones!$AA$65))</f>
        <v/>
      </c>
      <c r="BF33" s="18" t="str">
        <f aca="false">IF($C33="","",EDATE($C33,Milestones!$AA$66))</f>
        <v/>
      </c>
      <c r="BG33" s="18" t="str">
        <f aca="false">IF($C33="","",EDATE($C33,Milestones!$AA$67))</f>
        <v/>
      </c>
      <c r="BH33" s="18" t="str">
        <f aca="false">IF($C33="","",EDATE($C33,Milestones!$AA$68))</f>
        <v/>
      </c>
      <c r="BI33" s="18" t="str">
        <f aca="false">IF($C33="","",EDATE($C33,Milestones!$AA$69))</f>
        <v/>
      </c>
      <c r="BJ33" s="18" t="str">
        <f aca="false">IF($C33="","",EDATE($C33,Milestones!$AA$70))</f>
        <v/>
      </c>
      <c r="BK33" s="18" t="str">
        <f aca="false">IF($C33="","",EDATE($C33,Milestones!$AA$71))</f>
        <v/>
      </c>
      <c r="BL33" s="18" t="str">
        <f aca="false">IF($C33="","",EDATE($C33,Milestones!$AA$72))</f>
        <v/>
      </c>
      <c r="BM33" s="18" t="str">
        <f aca="false">IF($C33="","",EDATE($C33,Milestones!$AA$73))</f>
        <v/>
      </c>
      <c r="BN33" s="18" t="str">
        <f aca="false">IF($C33="","",EDATE($C33,Milestones!$AA$74))</f>
        <v/>
      </c>
      <c r="BO33" s="18" t="str">
        <f aca="false">IF($C33="","",EDATE($C33,Milestones!$AA$75))</f>
        <v/>
      </c>
      <c r="BP33" s="18" t="str">
        <f aca="false">IF($C33="","",EDATE($C33,Milestones!$AA$76))</f>
        <v/>
      </c>
      <c r="BQ33" s="18" t="str">
        <f aca="false">IF($C33="","",EDATE($C33,Milestones!$AA$77))</f>
        <v/>
      </c>
      <c r="BR33" s="18" t="str">
        <f aca="false">IF($C33="","",EDATE($C33,Milestones!$AA$78))</f>
        <v/>
      </c>
      <c r="BS33" s="18" t="str">
        <f aca="false">IF($C33="","",EDATE($C33,Milestones!$AA$79))</f>
        <v/>
      </c>
      <c r="BT33" s="18" t="str">
        <f aca="false">IF($C33="","",EDATE($C33,Milestones!$AA$80))</f>
        <v/>
      </c>
      <c r="BU33" s="18" t="str">
        <f aca="false">IF($C33="","",EDATE($C33,Milestones!$AA$81))</f>
        <v/>
      </c>
      <c r="BV33" s="18" t="str">
        <f aca="false">IF($C33="","",EDATE($C33,Milestones!$AA$82))</f>
        <v/>
      </c>
      <c r="BW33" s="18" t="str">
        <f aca="false">IF($C33="","",EDATE($C33,Milestones!$AA$83))</f>
        <v/>
      </c>
      <c r="BX33" s="18" t="str">
        <f aca="false">IF($C33="","",EDATE($C33,Milestones!$AA$84))</f>
        <v/>
      </c>
      <c r="BY33" s="18" t="str">
        <f aca="false">IF($C33="","",EDATE($C33,Milestones!$AA$85))</f>
        <v/>
      </c>
      <c r="BZ33" s="18" t="str">
        <f aca="false">IF($C33="","",EDATE($C33,Milestones!$AA$86))</f>
        <v/>
      </c>
      <c r="CA33" s="18" t="str">
        <f aca="false">IF($C33="","",EDATE($C33,Milestones!$AA$87))</f>
        <v/>
      </c>
      <c r="CB33" s="18" t="str">
        <f aca="false">IF($C33="","",EDATE($C33,Milestones!$AA$88))</f>
        <v/>
      </c>
      <c r="CC33" s="18" t="str">
        <f aca="false">IF($C33="","",EDATE($C33,Milestones!$AA$89))</f>
        <v/>
      </c>
      <c r="CD33" s="18" t="str">
        <f aca="false">IF($C33="","",EDATE($C33,Milestones!$AA$90))</f>
        <v/>
      </c>
      <c r="CE33" s="18" t="str">
        <f aca="false">IF($C33="","",EDATE($C33,Milestones!$AA$91))</f>
        <v/>
      </c>
      <c r="CF33" s="18" t="str">
        <f aca="false">IF($C33="","",EDATE($C33,Milestones!$AA$92))</f>
        <v/>
      </c>
      <c r="CG33" s="18" t="str">
        <f aca="false">IF($C33="","",EDATE($C33,Milestones!$AA$93))</f>
        <v/>
      </c>
      <c r="CH33" s="18" t="str">
        <f aca="false">IF($C33="","",EDATE($C33,Milestones!$AA$94))</f>
        <v/>
      </c>
      <c r="CI33" s="18" t="str">
        <f aca="false">IF($C33="","",EDATE($C33,Milestones!$AA$95))</f>
        <v/>
      </c>
      <c r="CJ33" s="18" t="str">
        <f aca="false">IF($C33="","",EDATE($C33,Milestones!$AA$96))</f>
        <v/>
      </c>
      <c r="CK33" s="18" t="str">
        <f aca="false">IF($C33="","",EDATE($C33,Milestones!$AA$97))</f>
        <v/>
      </c>
      <c r="CL33" s="18" t="str">
        <f aca="false">IF($C33="","",EDATE($C33,Milestones!$AA$98))</f>
        <v/>
      </c>
      <c r="CM33" s="18" t="str">
        <f aca="false">IF($C33="","",EDATE($C33,Milestones!$AA$99))</f>
        <v/>
      </c>
      <c r="CN33" s="18" t="str">
        <f aca="false">IF($C33="","",EDATE($C33,Milestones!$AA$100))</f>
        <v/>
      </c>
      <c r="CO33" s="18" t="str">
        <f aca="false">IF($C33="","",EDATE($C33,Milestones!$AA$101))</f>
        <v/>
      </c>
      <c r="CP33" s="18" t="str">
        <f aca="false">IF($C33="","",EDATE($C33,Milestones!$AA$102))</f>
        <v/>
      </c>
      <c r="CQ33" s="18" t="str">
        <f aca="false">IF($C33="","",EDATE($C33,Milestones!$AA$103))</f>
        <v/>
      </c>
      <c r="CR33" s="18" t="str">
        <f aca="false">IF($C33="","",EDATE($C33,Milestones!$AA$104))</f>
        <v/>
      </c>
      <c r="CS33" s="18" t="str">
        <f aca="false">IF($C33="","",EDATE($C33,Milestones!$AA$105))</f>
        <v/>
      </c>
      <c r="CT33" s="18" t="str">
        <f aca="false">IF($C33="","",EDATE($C33,Milestones!$AA$106))</f>
        <v/>
      </c>
      <c r="CU33" s="18" t="str">
        <f aca="false">IF($C33="","",EDATE($C33,Milestones!$AA$107))</f>
        <v/>
      </c>
      <c r="CV33" s="18" t="str">
        <f aca="false">IF($C33="","",EDATE($C33,Milestones!$AA$108))</f>
        <v/>
      </c>
      <c r="CW33" s="18" t="str">
        <f aca="false">IF($C33="","",EDATE($C33,Milestones!$AA$109))</f>
        <v/>
      </c>
      <c r="CX33" s="18" t="str">
        <f aca="false">IF($C33="","",EDATE($C33,Milestones!$AA$110))</f>
        <v/>
      </c>
      <c r="CY33" s="18" t="str">
        <f aca="false">IF($C33="","",EDATE($C33,Milestones!$AA$111))</f>
        <v/>
      </c>
      <c r="CZ33" s="18" t="str">
        <f aca="false">IF($C33="","",EDATE($C33,Milestones!$AA$112))</f>
        <v/>
      </c>
      <c r="DA33" s="18" t="str">
        <f aca="false">IF($C33="","",EDATE($C33,Milestones!$AA$113))</f>
        <v/>
      </c>
      <c r="DB33" s="18" t="str">
        <f aca="false">IF($C33="","",EDATE($C33,Milestones!$AA$114))</f>
        <v/>
      </c>
      <c r="DC33" s="18" t="str">
        <f aca="false">IF($C33="","",EDATE($C33,Milestones!$AA$115))</f>
        <v/>
      </c>
      <c r="DD33" s="18" t="str">
        <f aca="false">IF($C33="","",EDATE($C33,Milestones!$AA$116))</f>
        <v/>
      </c>
      <c r="DE33" s="18" t="str">
        <f aca="false">IF($C33="","",EDATE($C33,Milestones!$AA$117))</f>
        <v/>
      </c>
      <c r="DF33" s="18" t="str">
        <f aca="false">IF($C33="","",EDATE($C33,Milestones!$AA$118))</f>
        <v/>
      </c>
      <c r="DG33" s="18" t="str">
        <f aca="false">IF($C33="","",EDATE($C33,Milestones!$AA$119))</f>
        <v/>
      </c>
      <c r="DH33" s="18" t="str">
        <f aca="false">IF($C33="","",EDATE($C33,Milestones!$AA$120))</f>
        <v/>
      </c>
      <c r="DI33" s="18" t="str">
        <f aca="false">IF($C33="","",EDATE($C33,Milestones!$AA$121))</f>
        <v/>
      </c>
      <c r="DJ33" s="18" t="str">
        <f aca="false">IF($C33="","",EDATE($C33,Milestones!$AA$122))</f>
        <v/>
      </c>
      <c r="DK33" s="18" t="str">
        <f aca="false">IF($C33="","",EDATE($C33,Milestones!$AA$123))</f>
        <v/>
      </c>
      <c r="DL33" s="18" t="str">
        <f aca="false">IF($C33="","",EDATE($C33,Milestones!$AA$124))</f>
        <v/>
      </c>
      <c r="DM33" s="18" t="str">
        <f aca="false">IF($C33="","",EDATE($C33,Milestones!$AA$125))</f>
        <v/>
      </c>
      <c r="DN33" s="18" t="str">
        <f aca="false">IF($C33="","",EDATE($C33,Milestones!$AA$126))</f>
        <v/>
      </c>
      <c r="DO33" s="18" t="str">
        <f aca="false">IF($C33="","",EDATE($C33,Milestones!$AA$127))</f>
        <v/>
      </c>
      <c r="DP33" s="18" t="str">
        <f aca="false">IF($C33="","",EDATE($C33,Milestones!$AA$128))</f>
        <v/>
      </c>
      <c r="DQ33" s="18" t="str">
        <f aca="false">IF($C33="","",EDATE($C33,Milestones!$AA$129))</f>
        <v/>
      </c>
      <c r="DR33" s="18" t="str">
        <f aca="false">IF($C33="","",EDATE($C33,Milestones!$AA$130))</f>
        <v/>
      </c>
      <c r="DS33" s="18" t="str">
        <f aca="false">IF($C33="","",EDATE($C33,Milestones!$AA$131))</f>
        <v/>
      </c>
      <c r="DT33" s="18" t="str">
        <f aca="false">IF($C33="","",EDATE($C33,Milestones!$AA$132))</f>
        <v/>
      </c>
      <c r="DU33" s="18" t="str">
        <f aca="false">IF($C33="","",EDATE($C33,Milestones!$AA$133))</f>
        <v/>
      </c>
      <c r="DV33" s="18" t="str">
        <f aca="false">IF($C33="","",EDATE($C33,Milestones!$AA$134))</f>
        <v/>
      </c>
      <c r="DW33" s="18" t="str">
        <f aca="false">IF($C33="","",EDATE($C33,Milestones!$AA$135))</f>
        <v/>
      </c>
      <c r="DX33" s="18" t="str">
        <f aca="false">IF($C33="","",EDATE($C33,Milestones!$AA$136))</f>
        <v/>
      </c>
      <c r="DY33" s="18" t="str">
        <f aca="false">IF($C33="","",EDATE($C33,Milestones!$AA$137))</f>
        <v/>
      </c>
      <c r="DZ33" s="18" t="str">
        <f aca="false">IF($C33="","",EDATE($C33,Milestones!$AA$138))</f>
        <v/>
      </c>
      <c r="EA33" s="18" t="str">
        <f aca="false">IF($C33="","",EDATE($C33,Milestones!$AA$139))</f>
        <v/>
      </c>
      <c r="EB33" s="18" t="str">
        <f aca="false">IF($C33="","",EDATE($C33,Milestones!$AA$140))</f>
        <v/>
      </c>
      <c r="EC33" s="18" t="str">
        <f aca="false">IF($C33="","",EDATE($C33,Milestones!$AA$141))</f>
        <v/>
      </c>
      <c r="ED33" s="18" t="str">
        <f aca="false">IF($C33="","",EDATE($C33,Milestones!$AA$142))</f>
        <v/>
      </c>
      <c r="EE33" s="18" t="str">
        <f aca="false">IF($C33="","",EDATE($C33,Milestones!$AA$143))</f>
        <v/>
      </c>
      <c r="EF33" s="18" t="str">
        <f aca="false">IF($C33="","",EDATE($C33,Milestones!$AA$144))</f>
        <v/>
      </c>
      <c r="EG33" s="18" t="str">
        <f aca="false">IF($C33="","",EDATE($C33,Milestones!$AA$145))</f>
        <v/>
      </c>
      <c r="EH33" s="18" t="str">
        <f aca="false">IF($C33="","",EDATE($C33,Milestones!$AA$146))</f>
        <v/>
      </c>
      <c r="EI33" s="18" t="str">
        <f aca="false">IF($C33="","",EDATE($C33,Milestones!$AA$147))</f>
        <v/>
      </c>
      <c r="EJ33" s="18" t="str">
        <f aca="false">IF($C33="","",EDATE($C33,Milestones!$AA$148))</f>
        <v/>
      </c>
      <c r="EK33" s="18" t="str">
        <f aca="false">IF($C33="","",EDATE($C33,Milestones!$AA$149))</f>
        <v/>
      </c>
      <c r="EL33" s="18" t="str">
        <f aca="false">IF($C33="","",EDATE($C33,Milestones!$AA$150))</f>
        <v/>
      </c>
      <c r="EM33" s="18" t="str">
        <f aca="false">IF($C33="","",EDATE($C33,Milestones!$AA$151))</f>
        <v/>
      </c>
      <c r="EN33" s="18" t="str">
        <f aca="false">IF($C33="","",EDATE($C33,Milestones!$AA$152))</f>
        <v/>
      </c>
      <c r="EO33" s="18" t="str">
        <f aca="false">IF($C33="","",EDATE($C33,Milestones!$AA$153))</f>
        <v/>
      </c>
      <c r="EP33" s="18" t="str">
        <f aca="false">IF($C33="","",EDATE($C33,Milestones!$AA$154))</f>
        <v/>
      </c>
      <c r="EQ33" s="18" t="str">
        <f aca="false">IF($C33="","",EDATE($C33,Milestones!$AA$155))</f>
        <v/>
      </c>
      <c r="ER33" s="18" t="str">
        <f aca="false">IF($C33="","",EDATE($C33,Milestones!$AA$156))</f>
        <v/>
      </c>
      <c r="ES33" s="18" t="str">
        <f aca="false">IF($C33="","",EDATE($C33,Milestones!$AA$157))</f>
        <v/>
      </c>
      <c r="ET33" s="18" t="str">
        <f aca="false">IF($C33="","",EDATE($C33,Milestones!$AA$158))</f>
        <v/>
      </c>
      <c r="EU33" s="18" t="str">
        <f aca="false">IF($C33="","",EDATE($C33,Milestones!$AA$159))</f>
        <v/>
      </c>
      <c r="EV33" s="18" t="str">
        <f aca="false">IF($C33="","",EDATE($C33,Milestones!$AA$160))</f>
        <v/>
      </c>
      <c r="EW33" s="18" t="str">
        <f aca="false">IF($C33="","",EDATE($C33,Milestones!$AA$161))</f>
        <v/>
      </c>
      <c r="EX33" s="18" t="str">
        <f aca="false">IF($C33="","",EDATE($C33,Milestones!$AA$162))</f>
        <v/>
      </c>
      <c r="EY33" s="18" t="str">
        <f aca="false">IF($C33="","",EDATE($C33,Milestones!$AA$163))</f>
        <v/>
      </c>
      <c r="EZ33" s="18" t="str">
        <f aca="false">IF($C33="","",EDATE($C33,Milestones!$AA$164))</f>
        <v/>
      </c>
      <c r="FA33" s="18" t="str">
        <f aca="false">IF($C33="","",EDATE($C33,Milestones!$AA$165))</f>
        <v/>
      </c>
      <c r="FB33" s="18" t="str">
        <f aca="false">IF($C33="","",EDATE($C33,Milestones!$AA$166))</f>
        <v/>
      </c>
      <c r="FC33" s="18" t="str">
        <f aca="false">IF($C33="","",EDATE($C33,Milestones!$AA$167))</f>
        <v/>
      </c>
      <c r="FD33" s="18" t="str">
        <f aca="false">IF($C33="","",EDATE($C33,Milestones!$AA$168))</f>
        <v/>
      </c>
      <c r="FE33" s="18" t="str">
        <f aca="false">IF($C33="","",EDATE($C33,Milestones!$AA$169))</f>
        <v/>
      </c>
      <c r="FF33" s="18" t="str">
        <f aca="false">IF($C33="","",EDATE($C33,Milestones!$AA$170))</f>
        <v/>
      </c>
      <c r="FG33" s="18" t="str">
        <f aca="false">IF($C33="","",EDATE($C33,Milestones!$AA$171))</f>
        <v/>
      </c>
      <c r="FH33" s="18" t="str">
        <f aca="false">IF($C33="","",EDATE($C33,Milestones!$AA$172))</f>
        <v/>
      </c>
      <c r="FI33" s="18" t="str">
        <f aca="false">IF($C33="","",EDATE($C33,Milestones!$AA$173))</f>
        <v/>
      </c>
      <c r="FJ33" s="18" t="str">
        <f aca="false">IF($C33="","",EDATE($C33,Milestones!$AA$174))</f>
        <v/>
      </c>
      <c r="FK33" s="18" t="str">
        <f aca="false">IF($C33="","",EDATE($C33,Milestones!$AA$175))</f>
        <v/>
      </c>
      <c r="FL33" s="18" t="str">
        <f aca="false">IF($C33="","",EDATE($C33,Milestones!$AA$176))</f>
        <v/>
      </c>
      <c r="FM33" s="18" t="str">
        <f aca="false">IF($C33="","",EDATE($C33,Milestones!$AA$177))</f>
        <v/>
      </c>
      <c r="FN33" s="18" t="str">
        <f aca="false">IF($C33="","",EDATE($C33,Milestones!$AA$178))</f>
        <v/>
      </c>
      <c r="FO33" s="18" t="str">
        <f aca="false">IF($C33="","",EDATE($C33,Milestones!$AA$179))</f>
        <v/>
      </c>
      <c r="FP33" s="18" t="str">
        <f aca="false">IF($C33="","",EDATE($C33,Milestones!$AA$180))</f>
        <v/>
      </c>
      <c r="FQ33" s="18" t="str">
        <f aca="false">IF($C33="","",EDATE($C33,Milestones!$AA$181))</f>
        <v/>
      </c>
      <c r="FR33" s="18" t="str">
        <f aca="false">IF($C33="","",EDATE($C33,Milestones!$AA$182))</f>
        <v/>
      </c>
      <c r="FS33" s="18" t="str">
        <f aca="false">IF($C33="","",EDATE($C33,Milestones!$AA$183))</f>
        <v/>
      </c>
      <c r="FT33" s="18" t="str">
        <f aca="false">IF($C33="","",EDATE($C33,Milestones!$AA$184))</f>
        <v/>
      </c>
      <c r="FU33" s="18" t="str">
        <f aca="false">IF($C33="","",EDATE($C33,Milestones!$AA$185))</f>
        <v/>
      </c>
      <c r="FV33" s="18" t="str">
        <f aca="false">IF($C33="","",EDATE($C33,Milestones!$AA$186))</f>
        <v/>
      </c>
      <c r="FW33" s="18" t="str">
        <f aca="false">IF($C33="","",EDATE($C33,Milestones!$AA$187))</f>
        <v/>
      </c>
      <c r="FX33" s="18" t="str">
        <f aca="false">IF($C33="","",EDATE($C33,Milestones!$AA$188))</f>
        <v/>
      </c>
      <c r="FY33" s="18" t="str">
        <f aca="false">IF($C33="","",EDATE($C33,Milestones!$AA$189))</f>
        <v/>
      </c>
      <c r="FZ33" s="18" t="str">
        <f aca="false">IF($C33="","",EDATE($C33,Milestones!$AA$190))</f>
        <v/>
      </c>
      <c r="GA33" s="18" t="str">
        <f aca="false">IF($C33="","",EDATE($C33,Milestones!$AA$191))</f>
        <v/>
      </c>
      <c r="GB33" s="18" t="str">
        <f aca="false">IF($C33="","",EDATE($C33,Milestones!$AA$192))</f>
        <v/>
      </c>
      <c r="GC33" s="18" t="str">
        <f aca="false">IF($C33="","",EDATE($C33,Milestones!$AA$193))</f>
        <v/>
      </c>
      <c r="GD33" s="18" t="str">
        <f aca="false">IF($C33="","",EDATE($C33,Milestones!$AA$194))</f>
        <v/>
      </c>
      <c r="GE33" s="18" t="str">
        <f aca="false">IF($C33="","",EDATE($C33,Milestones!$AA$195))</f>
        <v/>
      </c>
      <c r="GF33" s="18" t="str">
        <f aca="false">IF($C33="","",EDATE($C33,Milestones!$AA$196))</f>
        <v/>
      </c>
      <c r="GG33" s="18" t="str">
        <f aca="false">IF($C33="","",EDATE($C33,Milestones!$AA$197))</f>
        <v/>
      </c>
      <c r="GH33" s="18" t="str">
        <f aca="false">IF($C33="","",EDATE($C33,Milestones!$AA$198))</f>
        <v/>
      </c>
      <c r="GI33" s="18" t="str">
        <f aca="false">IF($C33="","",EDATE($C33,Milestones!$AA$199))</f>
        <v/>
      </c>
    </row>
    <row r="34" customFormat="false" ht="15" hidden="false" customHeight="false" outlineLevel="0" collapsed="false">
      <c r="K34" s="0" t="s">
        <v>229</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230</v>
      </c>
      <c r="L35" s="0" t="n">
        <f aca="false">IF(L33="",0,IF(L34=Milestones!$AB$20,Milestones!$AC$20,0))</f>
        <v>0</v>
      </c>
      <c r="M35" s="0" t="n">
        <f aca="false">IF(M33="",0,IF(M34=Milestones!$AB$21,Milestones!$AC$21,0))</f>
        <v>0</v>
      </c>
      <c r="N35" s="0" t="n">
        <f aca="false">IF(N33="",0,IF(N34=Milestones!$AB$22,Milestones!$AC$22,0))</f>
        <v>0</v>
      </c>
      <c r="O35" s="0" t="n">
        <f aca="false">IF(O33="",0,IF(O34=Milestones!$AB$23,Milestones!$AC$23,0))</f>
        <v>0</v>
      </c>
      <c r="P35" s="0" t="n">
        <f aca="false">IF(P33="",0,IF(P34=Milestones!$AB$24,Milestones!$AC$24,0))</f>
        <v>0</v>
      </c>
      <c r="Q35" s="0" t="n">
        <f aca="false">IF(Q33="",0,IF(Q34=Milestones!$AB$25,Milestones!$AC$25,0))</f>
        <v>0</v>
      </c>
      <c r="R35" s="0" t="n">
        <f aca="false">IF(R33="",0,IF(R34=Milestones!$AB$26,Milestones!$AC$26,0))</f>
        <v>0</v>
      </c>
      <c r="S35" s="0" t="n">
        <f aca="false">IF(S33="",0,IF(S34=Milestones!$AB$27,Milestones!$AC$27,0))</f>
        <v>0</v>
      </c>
      <c r="T35" s="0" t="n">
        <f aca="false">IF(T33="",0,IF(T34=Milestones!$AB$28,Milestones!$AC$28,0))</f>
        <v>0</v>
      </c>
      <c r="U35" s="0" t="n">
        <f aca="false">IF(U33="",0,IF(U34=Milestones!$AB$29,Milestones!$AC$29,0))</f>
        <v>0</v>
      </c>
      <c r="V35" s="0" t="n">
        <f aca="false">IF(V33="",0,IF(V34=Milestones!$AB$30,Milestones!$AC$30,0))</f>
        <v>0</v>
      </c>
      <c r="W35" s="0" t="n">
        <f aca="false">IF(W33="",0,IF(W34=Milestones!$AB$31,Milestones!$AC$31,0))</f>
        <v>0</v>
      </c>
      <c r="X35" s="0" t="n">
        <f aca="false">IF(X33="",0,IF(X34=Milestones!$AB$32,Milestones!$AC$32,0))</f>
        <v>0</v>
      </c>
      <c r="Y35" s="0" t="n">
        <f aca="false">IF(Y33="",0,IF(Y34=Milestones!$AB$33,Milestones!$AC$33,0))</f>
        <v>0</v>
      </c>
      <c r="Z35" s="0" t="n">
        <f aca="false">IF(Z33="",0,IF(Z34=Milestones!$AB$34,Milestones!$AC$34,0))</f>
        <v>0</v>
      </c>
      <c r="AA35" s="0" t="n">
        <f aca="false">IF(AA33="",0,IF(AA34=Milestones!$AB$35,Milestones!$AC$35,0))</f>
        <v>0</v>
      </c>
      <c r="AB35" s="0" t="n">
        <f aca="false">IF(AB33="",0,IF(AB34=Milestones!$AB$36,Milestones!$AC$36,0))</f>
        <v>0</v>
      </c>
      <c r="AC35" s="0" t="n">
        <f aca="false">IF(AC33="",0,IF(AC34=Milestones!$AB$37,Milestones!$AC$37,0))</f>
        <v>0</v>
      </c>
      <c r="AD35" s="0" t="n">
        <f aca="false">IF(AD33="",0,IF(AD34=Milestones!$AB$38,Milestones!$AC$38,0))</f>
        <v>0</v>
      </c>
      <c r="AE35" s="0" t="n">
        <f aca="false">IF(AE33="",0,IF(AE34=Milestones!$AB$39,Milestones!$AC$39,0))</f>
        <v>0</v>
      </c>
      <c r="AF35" s="0" t="n">
        <f aca="false">IF(AF33="",0,IF(AF34=Milestones!$AB$40,Milestones!$AC$40,0))</f>
        <v>0</v>
      </c>
      <c r="AG35" s="0" t="n">
        <f aca="false">IF(AG33="",0,IF(AG34=Milestones!$AB$41,Milestones!$AC$41,0))</f>
        <v>0</v>
      </c>
      <c r="AH35" s="0" t="n">
        <f aca="false">IF(AH33="",0,IF(AH34=Milestones!$AB$42,Milestones!$AC$42,0))</f>
        <v>0</v>
      </c>
      <c r="AI35" s="0" t="n">
        <f aca="false">IF(AI33="",0,IF(AI34=Milestones!$AB$43,Milestones!$AC$43,0))</f>
        <v>0</v>
      </c>
      <c r="AJ35" s="0" t="n">
        <f aca="false">IF(AJ33="",0,IF(AJ34=Milestones!$AB$44,Milestones!$AC$44,0))</f>
        <v>0</v>
      </c>
      <c r="AK35" s="0" t="n">
        <f aca="false">IF(AK33="",0,IF(AK34=Milestones!$AB$45,Milestones!$AC$45,0))</f>
        <v>0</v>
      </c>
      <c r="AL35" s="0" t="n">
        <f aca="false">IF(AL33="",0,IF(AL34=Milestones!$AB$46,Milestones!$AC$46,0))</f>
        <v>0</v>
      </c>
      <c r="AM35" s="0" t="n">
        <f aca="false">IF(AM33="",0,IF(AM34=Milestones!$AB$47,Milestones!$AC$47,0))</f>
        <v>0</v>
      </c>
      <c r="AN35" s="0" t="n">
        <f aca="false">IF(AN33="",0,IF(AN34=Milestones!$AB$48,Milestones!$AC$48,0))</f>
        <v>0</v>
      </c>
      <c r="AO35" s="0" t="n">
        <f aca="false">IF(AO33="",0,IF(AO34=Milestones!$AB$49,Milestones!$AC$49,0))</f>
        <v>0</v>
      </c>
      <c r="AP35" s="0" t="n">
        <f aca="false">IF(AP33="",0,IF(AP34=Milestones!$AB$50,Milestones!$AC$50,0))</f>
        <v>0</v>
      </c>
      <c r="AQ35" s="0" t="n">
        <f aca="false">IF(AQ33="",0,IF(AQ34=Milestones!$AB$51,Milestones!$AC$51,0))</f>
        <v>0</v>
      </c>
      <c r="AR35" s="0" t="n">
        <f aca="false">IF(AR33="",0,IF(AR34=Milestones!$AB$52,Milestones!$AC$52,0))</f>
        <v>0</v>
      </c>
      <c r="AS35" s="0" t="n">
        <f aca="false">IF(AS33="",0,IF(AS34=Milestones!$AB$53,Milestones!$AC$53,0))</f>
        <v>0</v>
      </c>
      <c r="AT35" s="0" t="n">
        <f aca="false">IF(AT33="",0,IF(AT34=Milestones!$AB$54,Milestones!$AC$54,0))</f>
        <v>0</v>
      </c>
      <c r="AU35" s="0" t="n">
        <f aca="false">IF(AU33="",0,IF(AU34=Milestones!$AB$55,Milestones!$AC$55,0))</f>
        <v>0</v>
      </c>
      <c r="AV35" s="0" t="n">
        <f aca="false">IF(AV33="",0,IF(AV34=Milestones!$AB$56,Milestones!$AC$56,0))</f>
        <v>0</v>
      </c>
      <c r="AW35" s="0" t="n">
        <f aca="false">IF(AW33="",0,IF(AW34=Milestones!$AB$57,Milestones!$AC$57,0))</f>
        <v>0</v>
      </c>
      <c r="AX35" s="0" t="n">
        <f aca="false">IF(AX33="",0,IF(AX34=Milestones!$AB$58,Milestones!$AC$58,0))</f>
        <v>0</v>
      </c>
      <c r="AY35" s="0" t="n">
        <f aca="false">IF(AY33="",0,IF(AY34=Milestones!$AB$59,Milestones!$AC$59,0))</f>
        <v>0</v>
      </c>
      <c r="AZ35" s="0" t="n">
        <f aca="false">IF(AZ33="",0,IF(AZ34=Milestones!$AB$60,Milestones!$AC$60,0))</f>
        <v>0</v>
      </c>
      <c r="BA35" s="0" t="n">
        <f aca="false">IF(BA33="",0,IF(BA34=Milestones!$AB$61,Milestones!$AC$61,0))</f>
        <v>0</v>
      </c>
      <c r="BB35" s="0" t="n">
        <f aca="false">IF(BB33="",0,IF(BB34=Milestones!$AB$62,Milestones!$AC$62,0))</f>
        <v>0</v>
      </c>
      <c r="BC35" s="0" t="n">
        <f aca="false">IF(BC33="",0,IF(BC34=Milestones!$AB$63,Milestones!$AC$63,0))</f>
        <v>0</v>
      </c>
      <c r="BD35" s="0" t="n">
        <f aca="false">IF(BD33="",0,IF(BD34=Milestones!$AB$64,Milestones!$AC$64,0))</f>
        <v>0</v>
      </c>
      <c r="BE35" s="0" t="n">
        <f aca="false">IF(BE33="",0,IF(BE34=Milestones!$AB$65,Milestones!$AC$65,0))</f>
        <v>0</v>
      </c>
      <c r="BF35" s="0" t="n">
        <f aca="false">IF(BF33="",0,IF(BF34=Milestones!$AB$66,Milestones!$AC$66,0))</f>
        <v>0</v>
      </c>
      <c r="BG35" s="0" t="n">
        <f aca="false">IF(BG33="",0,IF(BG34=Milestones!$AB$67,Milestones!$AC$67,0))</f>
        <v>0</v>
      </c>
      <c r="BH35" s="0" t="n">
        <f aca="false">IF(BH33="",0,IF(BH34=Milestones!$AB$68,Milestones!$AC$68,0))</f>
        <v>0</v>
      </c>
      <c r="BI35" s="0" t="n">
        <f aca="false">IF(BI33="",0,IF(BI34=Milestones!$AB$69,Milestones!$AC$69,0))</f>
        <v>0</v>
      </c>
      <c r="BJ35" s="0" t="n">
        <f aca="false">IF(BJ33="",0,IF(BJ34=Milestones!$AB$70,Milestones!$AC$70,0))</f>
        <v>0</v>
      </c>
      <c r="BK35" s="0" t="n">
        <f aca="false">IF(BK33="",0,IF(BK34=Milestones!$AB$71,Milestones!$AC$71,0))</f>
        <v>0</v>
      </c>
      <c r="BL35" s="0" t="n">
        <f aca="false">IF(BL33="",0,IF(BL34=Milestones!$AB$72,Milestones!$AC$72,0))</f>
        <v>0</v>
      </c>
      <c r="BM35" s="0" t="n">
        <f aca="false">IF(BM33="",0,IF(BM34=Milestones!$AB$73,Milestones!$AC$73,0))</f>
        <v>0</v>
      </c>
      <c r="BN35" s="0" t="n">
        <f aca="false">IF(BN33="",0,IF(BN34=Milestones!$AB$74,Milestones!$AC$74,0))</f>
        <v>0</v>
      </c>
      <c r="BO35" s="0" t="n">
        <f aca="false">IF(BO33="",0,IF(BO34=Milestones!$AB$75,Milestones!$AC$75,0))</f>
        <v>0</v>
      </c>
      <c r="BP35" s="0" t="n">
        <f aca="false">IF(BP33="",0,IF(BP34=Milestones!$AB$76,Milestones!$AC$76,0))</f>
        <v>0</v>
      </c>
      <c r="BQ35" s="0" t="n">
        <f aca="false">IF(BQ33="",0,IF(BQ34=Milestones!$AB$77,Milestones!$AC$77,0))</f>
        <v>0</v>
      </c>
      <c r="BR35" s="0" t="n">
        <f aca="false">IF(BR33="",0,IF(BR34=Milestones!$AB$78,Milestones!$AC$78,0))</f>
        <v>0</v>
      </c>
      <c r="BS35" s="0" t="n">
        <f aca="false">IF(BS33="",0,IF(BS34=Milestones!$AB$79,Milestones!$AC$79,0))</f>
        <v>0</v>
      </c>
      <c r="BT35" s="0" t="n">
        <f aca="false">IF(BT33="",0,IF(BT34=Milestones!$AB$80,Milestones!$AC$80,0))</f>
        <v>0</v>
      </c>
      <c r="BU35" s="0" t="n">
        <f aca="false">IF(BU33="",0,IF(BU34=Milestones!$AB$81,Milestones!$AC$81,0))</f>
        <v>0</v>
      </c>
      <c r="BV35" s="0" t="n">
        <f aca="false">IF(BV33="",0,IF(BV34=Milestones!$AB$82,Milestones!$AC$82,0))</f>
        <v>0</v>
      </c>
      <c r="BW35" s="0" t="n">
        <f aca="false">IF(BW33="",0,IF(BW34=Milestones!$AB$83,Milestones!$AC$83,0))</f>
        <v>0</v>
      </c>
      <c r="BX35" s="0" t="n">
        <f aca="false">IF(BX33="",0,IF(BX34=Milestones!$AB$84,Milestones!$AC$84,0))</f>
        <v>0</v>
      </c>
      <c r="BY35" s="0" t="n">
        <f aca="false">IF(BY33="",0,IF(BY34=Milestones!$AB$85,Milestones!$AC$85,0))</f>
        <v>0</v>
      </c>
      <c r="BZ35" s="0" t="n">
        <f aca="false">IF(BZ33="",0,IF(BZ34=Milestones!$AB$86,Milestones!$AC$86,0))</f>
        <v>0</v>
      </c>
      <c r="CA35" s="0" t="n">
        <f aca="false">IF(CA33="",0,IF(CA34=Milestones!$AB$87,Milestones!$AC$87,0))</f>
        <v>0</v>
      </c>
      <c r="CB35" s="0" t="n">
        <f aca="false">IF(CB33="",0,IF(CB34=Milestones!$AB$88,Milestones!$AC$88,0))</f>
        <v>0</v>
      </c>
      <c r="CC35" s="0" t="n">
        <f aca="false">IF(CC33="",0,IF(CC34=Milestones!$AB$89,Milestones!$AC$89,0))</f>
        <v>0</v>
      </c>
      <c r="CD35" s="0" t="n">
        <f aca="false">IF(CD33="",0,IF(CD34=Milestones!$AB$90,Milestones!$AC$90,0))</f>
        <v>0</v>
      </c>
      <c r="CE35" s="0" t="n">
        <f aca="false">IF(CE33="",0,IF(CE34=Milestones!$AB$91,Milestones!$AC$91,0))</f>
        <v>0</v>
      </c>
      <c r="CF35" s="0" t="n">
        <f aca="false">IF(CF33="",0,IF(CF34=Milestones!$AB$92,Milestones!$AC$92,0))</f>
        <v>0</v>
      </c>
      <c r="CG35" s="0" t="n">
        <f aca="false">IF(CG33="",0,IF(CG34=Milestones!$AB$93,Milestones!$AC$93,0))</f>
        <v>0</v>
      </c>
      <c r="CH35" s="0" t="n">
        <f aca="false">IF(CH33="",0,IF(CH34=Milestones!$AB$94,Milestones!$AC$94,0))</f>
        <v>0</v>
      </c>
      <c r="CI35" s="0" t="n">
        <f aca="false">IF(CI33="",0,IF(CI34=Milestones!$AB$95,Milestones!$AC$95,0))</f>
        <v>0</v>
      </c>
      <c r="CJ35" s="0" t="n">
        <f aca="false">IF(CJ33="",0,IF(CJ34=Milestones!$AB$96,Milestones!$AC$96,0))</f>
        <v>0</v>
      </c>
      <c r="CK35" s="0" t="n">
        <f aca="false">IF(CK33="",0,IF(CK34=Milestones!$AB$97,Milestones!$AC$97,0))</f>
        <v>0</v>
      </c>
      <c r="CL35" s="0" t="n">
        <f aca="false">IF(CL33="",0,IF(CL34=Milestones!$AB$98,Milestones!$AC$98,0))</f>
        <v>0</v>
      </c>
      <c r="CM35" s="0" t="n">
        <f aca="false">IF(CM33="",0,IF(CM34=Milestones!$AB$99,Milestones!$AC$99,0))</f>
        <v>0</v>
      </c>
      <c r="CN35" s="0" t="n">
        <f aca="false">IF(CN33="",0,IF(CN34=Milestones!$AB$100,Milestones!$AC$100,0))</f>
        <v>0</v>
      </c>
      <c r="CO35" s="0" t="n">
        <f aca="false">IF(CO33="",0,IF(CO34=Milestones!$AB$101,Milestones!$AC$101,0))</f>
        <v>0</v>
      </c>
      <c r="CP35" s="0" t="n">
        <f aca="false">IF(CP33="",0,IF(CP34=Milestones!$AB$102,Milestones!$AC$102,0))</f>
        <v>0</v>
      </c>
      <c r="CQ35" s="0" t="n">
        <f aca="false">IF(CQ33="",0,IF(CQ34=Milestones!$AB$103,Milestones!$AC$103,0))</f>
        <v>0</v>
      </c>
      <c r="CR35" s="0" t="n">
        <f aca="false">IF(CR33="",0,IF(CR34=Milestones!$AB$104,Milestones!$AC$104,0))</f>
        <v>0</v>
      </c>
      <c r="CS35" s="0" t="n">
        <f aca="false">IF(CS33="",0,IF(CS34=Milestones!$AB$105,Milestones!$AC$105,0))</f>
        <v>0</v>
      </c>
      <c r="CT35" s="0" t="n">
        <f aca="false">IF(CT33="",0,IF(CT34=Milestones!$AB$106,Milestones!$AC$106,0))</f>
        <v>0</v>
      </c>
      <c r="CU35" s="0" t="n">
        <f aca="false">IF(CU33="",0,IF(CU34=Milestones!$AB$107,Milestones!$AC$107,0))</f>
        <v>0</v>
      </c>
      <c r="CV35" s="0" t="n">
        <f aca="false">IF(CV33="",0,IF(CV34=Milestones!$AB$108,Milestones!$AC$108,0))</f>
        <v>0</v>
      </c>
      <c r="CW35" s="0" t="n">
        <f aca="false">IF(CW33="",0,IF(CW34=Milestones!$AB$109,Milestones!$AC$109,0))</f>
        <v>0</v>
      </c>
      <c r="CX35" s="0" t="n">
        <f aca="false">IF(CX33="",0,IF(CX34=Milestones!$AB$110,Milestones!$AC$110,0))</f>
        <v>0</v>
      </c>
      <c r="CY35" s="0" t="n">
        <f aca="false">IF(CY33="",0,IF(CY34=Milestones!$AB$111,Milestones!$AC$111,0))</f>
        <v>0</v>
      </c>
      <c r="CZ35" s="0" t="n">
        <f aca="false">IF(CZ33="",0,IF(CZ34=Milestones!$AB$112,Milestones!$AC$112,0))</f>
        <v>0</v>
      </c>
      <c r="DA35" s="0" t="n">
        <f aca="false">IF(DA33="",0,IF(DA34=Milestones!$AB$113,Milestones!$AC$113,0))</f>
        <v>0</v>
      </c>
      <c r="DB35" s="0" t="n">
        <f aca="false">IF(DB33="",0,IF(DB34=Milestones!$AB$114,Milestones!$AC$114,0))</f>
        <v>0</v>
      </c>
      <c r="DC35" s="0" t="n">
        <f aca="false">IF(DC33="",0,IF(DC34=Milestones!$AB$115,Milestones!$AC$115,0))</f>
        <v>0</v>
      </c>
      <c r="DD35" s="0" t="n">
        <f aca="false">IF(DD33="",0,IF(DD34=Milestones!$AB$116,Milestones!$AC$116,0))</f>
        <v>0</v>
      </c>
      <c r="DE35" s="0" t="n">
        <f aca="false">IF(DE33="",0,IF(DE34=Milestones!$AB$117,Milestones!$AC$117,0))</f>
        <v>0</v>
      </c>
      <c r="DF35" s="0" t="n">
        <f aca="false">IF(DF33="",0,IF(DF34=Milestones!$AB$118,Milestones!$AC$118,0))</f>
        <v>0</v>
      </c>
      <c r="DG35" s="0" t="n">
        <f aca="false">IF(DG33="",0,IF(DG34=Milestones!$AB$119,Milestones!$AC$119,0))</f>
        <v>0</v>
      </c>
      <c r="DH35" s="0" t="n">
        <f aca="false">IF(DH33="",0,IF(DH34=Milestones!$AB$120,Milestones!$AC$120,0))</f>
        <v>0</v>
      </c>
      <c r="DI35" s="0" t="n">
        <f aca="false">IF(DI33="",0,IF(DI34=Milestones!$AB$121,Milestones!$AC$121,0))</f>
        <v>0</v>
      </c>
      <c r="DJ35" s="0" t="n">
        <f aca="false">IF(DJ33="",0,IF(DJ34=Milestones!$AB$122,Milestones!$AC$122,0))</f>
        <v>0</v>
      </c>
      <c r="DK35" s="0" t="n">
        <f aca="false">IF(DK33="",0,IF(DK34=Milestones!$AB$123,Milestones!$AC$123,0))</f>
        <v>0</v>
      </c>
      <c r="DL35" s="0" t="n">
        <f aca="false">IF(DL33="",0,IF(DL34=Milestones!$AB$124,Milestones!$AC$124,0))</f>
        <v>0</v>
      </c>
      <c r="DM35" s="0" t="n">
        <f aca="false">IF(DM33="",0,IF(DM34=Milestones!$AB$125,Milestones!$AC$125,0))</f>
        <v>0</v>
      </c>
      <c r="DN35" s="0" t="n">
        <f aca="false">IF(DN33="",0,IF(DN34=Milestones!$AB$126,Milestones!$AC$126,0))</f>
        <v>0</v>
      </c>
      <c r="DO35" s="0" t="n">
        <f aca="false">IF(DO33="",0,IF(DO34=Milestones!$AB$127,Milestones!$AC$127,0))</f>
        <v>0</v>
      </c>
      <c r="DP35" s="0" t="n">
        <f aca="false">IF(DP33="",0,IF(DP34=Milestones!$AB$128,Milestones!$AC$128,0))</f>
        <v>0</v>
      </c>
      <c r="DQ35" s="0" t="n">
        <f aca="false">IF(DQ33="",0,IF(DQ34=Milestones!$AB$129,Milestones!$AC$129,0))</f>
        <v>0</v>
      </c>
      <c r="DR35" s="0" t="n">
        <f aca="false">IF(DR33="",0,IF(DR34=Milestones!$AB$130,Milestones!$AC$130,0))</f>
        <v>0</v>
      </c>
      <c r="DS35" s="0" t="n">
        <f aca="false">IF(DS33="",0,IF(DS34=Milestones!$AB$131,Milestones!$AC$131,0))</f>
        <v>0</v>
      </c>
      <c r="DT35" s="0" t="n">
        <f aca="false">IF(DT33="",0,IF(DT34=Milestones!$AB$132,Milestones!$AC$132,0))</f>
        <v>0</v>
      </c>
      <c r="DU35" s="0" t="n">
        <f aca="false">IF(DU33="",0,IF(DU34=Milestones!$AB$133,Milestones!$AC$133,0))</f>
        <v>0</v>
      </c>
      <c r="DV35" s="0" t="n">
        <f aca="false">IF(DV33="",0,IF(DV34=Milestones!$AB$134,Milestones!$AC$134,0))</f>
        <v>0</v>
      </c>
      <c r="DW35" s="0" t="n">
        <f aca="false">IF(DW33="",0,IF(DW34=Milestones!$AB$135,Milestones!$AC$135,0))</f>
        <v>0</v>
      </c>
      <c r="DX35" s="0" t="n">
        <f aca="false">IF(DX33="",0,IF(DX34=Milestones!$AB$136,Milestones!$AC$136,0))</f>
        <v>0</v>
      </c>
      <c r="DY35" s="0" t="n">
        <f aca="false">IF(DY33="",0,IF(DY34=Milestones!$AB$137,Milestones!$AC$137,0))</f>
        <v>0</v>
      </c>
      <c r="DZ35" s="0" t="n">
        <f aca="false">IF(DZ33="",0,IF(DZ34=Milestones!$AB$138,Milestones!$AC$138,0))</f>
        <v>0</v>
      </c>
      <c r="EA35" s="0" t="n">
        <f aca="false">IF(EA33="",0,IF(EA34=Milestones!$AB$139,Milestones!$AC$139,0))</f>
        <v>0</v>
      </c>
      <c r="EB35" s="0" t="n">
        <f aca="false">IF(EB33="",0,IF(EB34=Milestones!$AB$140,Milestones!$AC$140,0))</f>
        <v>0</v>
      </c>
      <c r="EC35" s="0" t="n">
        <f aca="false">IF(EC33="",0,IF(EC34=Milestones!$AB$141,Milestones!$AC$141,0))</f>
        <v>0</v>
      </c>
      <c r="ED35" s="0" t="n">
        <f aca="false">IF(ED33="",0,IF(ED34=Milestones!$AB$142,Milestones!$AC$142,0))</f>
        <v>0</v>
      </c>
      <c r="EE35" s="0" t="n">
        <f aca="false">IF(EE33="",0,IF(EE34=Milestones!$AB$143,Milestones!$AC$143,0))</f>
        <v>0</v>
      </c>
      <c r="EF35" s="0" t="n">
        <f aca="false">IF(EF33="",0,IF(EF34=Milestones!$AB$144,Milestones!$AC$144,0))</f>
        <v>0</v>
      </c>
      <c r="EG35" s="0" t="n">
        <f aca="false">IF(EG33="",0,IF(EG34=Milestones!$AB$145,Milestones!$AC$145,0))</f>
        <v>0</v>
      </c>
      <c r="EH35" s="0" t="n">
        <f aca="false">IF(EH33="",0,IF(EH34=Milestones!$AB$146,Milestones!$AC$146,0))</f>
        <v>0</v>
      </c>
      <c r="EI35" s="0" t="n">
        <f aca="false">IF(EI33="",0,IF(EI34=Milestones!$AB$147,Milestones!$AC$147,0))</f>
        <v>0</v>
      </c>
      <c r="EJ35" s="0" t="n">
        <f aca="false">IF(EJ33="",0,IF(EJ34=Milestones!$AB$148,Milestones!$AC$148,0))</f>
        <v>0</v>
      </c>
      <c r="EK35" s="0" t="n">
        <f aca="false">IF(EK33="",0,IF(EK34=Milestones!$AB$149,Milestones!$AC$149,0))</f>
        <v>0</v>
      </c>
      <c r="EL35" s="0" t="n">
        <f aca="false">IF(EL33="",0,IF(EL34=Milestones!$AB$150,Milestones!$AC$150,0))</f>
        <v>0</v>
      </c>
      <c r="EM35" s="0" t="n">
        <f aca="false">IF(EM33="",0,IF(EM34=Milestones!$AB$151,Milestones!$AC$151,0))</f>
        <v>0</v>
      </c>
      <c r="EN35" s="0" t="n">
        <f aca="false">IF(EN33="",0,IF(EN34=Milestones!$AB$152,Milestones!$AC$152,0))</f>
        <v>0</v>
      </c>
      <c r="EO35" s="0" t="n">
        <f aca="false">IF(EO33="",0,IF(EO34=Milestones!$AB$153,Milestones!$AC$153,0))</f>
        <v>0</v>
      </c>
      <c r="EP35" s="0" t="n">
        <f aca="false">IF(EP33="",0,IF(EP34=Milestones!$AB$154,Milestones!$AC$154,0))</f>
        <v>0</v>
      </c>
      <c r="EQ35" s="0" t="n">
        <f aca="false">IF(EQ33="",0,IF(EQ34=Milestones!$AB$155,Milestones!$AC$155,0))</f>
        <v>0</v>
      </c>
      <c r="ER35" s="0" t="n">
        <f aca="false">IF(ER33="",0,IF(ER34=Milestones!$AB$156,Milestones!$AC$156,0))</f>
        <v>0</v>
      </c>
      <c r="ES35" s="0" t="n">
        <f aca="false">IF(ES33="",0,IF(ES34=Milestones!$AB$157,Milestones!$AC$157,0))</f>
        <v>0</v>
      </c>
      <c r="ET35" s="0" t="n">
        <f aca="false">IF(ET33="",0,IF(ET34=Milestones!$AB$158,Milestones!$AC$158,0))</f>
        <v>0</v>
      </c>
      <c r="EU35" s="0" t="n">
        <f aca="false">IF(EU33="",0,IF(EU34=Milestones!$AB$159,Milestones!$AC$159,0))</f>
        <v>0</v>
      </c>
      <c r="EV35" s="0" t="n">
        <f aca="false">IF(EV33="",0,IF(EV34=Milestones!$AB$160,Milestones!$AC$160,0))</f>
        <v>0</v>
      </c>
      <c r="EW35" s="0" t="n">
        <f aca="false">IF(EW33="",0,IF(EW34=Milestones!$AB$161,Milestones!$AC$161,0))</f>
        <v>0</v>
      </c>
      <c r="EX35" s="0" t="n">
        <f aca="false">IF(EX33="",0,IF(EX34=Milestones!$AB$162,Milestones!$AC$162,0))</f>
        <v>0</v>
      </c>
      <c r="EY35" s="0" t="n">
        <f aca="false">IF(EY33="",0,IF(EY34=Milestones!$AB$163,Milestones!$AC$163,0))</f>
        <v>0</v>
      </c>
      <c r="EZ35" s="0" t="n">
        <f aca="false">IF(EZ33="",0,IF(EZ34=Milestones!$AB$164,Milestones!$AC$164,0))</f>
        <v>0</v>
      </c>
      <c r="FA35" s="0" t="n">
        <f aca="false">IF(FA33="",0,IF(FA34=Milestones!$AB$165,Milestones!$AC$165,0))</f>
        <v>0</v>
      </c>
      <c r="FB35" s="0" t="n">
        <f aca="false">IF(FB33="",0,IF(FB34=Milestones!$AB$166,Milestones!$AC$166,0))</f>
        <v>0</v>
      </c>
      <c r="FC35" s="0" t="n">
        <f aca="false">IF(FC33="",0,IF(FC34=Milestones!$AB$167,Milestones!$AC$167,0))</f>
        <v>0</v>
      </c>
      <c r="FD35" s="0" t="n">
        <f aca="false">IF(FD33="",0,IF(FD34=Milestones!$AB$168,Milestones!$AC$168,0))</f>
        <v>0</v>
      </c>
      <c r="FE35" s="0" t="n">
        <f aca="false">IF(FE33="",0,IF(FE34=Milestones!$AB$169,Milestones!$AC$169,0))</f>
        <v>0</v>
      </c>
      <c r="FF35" s="0" t="n">
        <f aca="false">IF(FF33="",0,IF(FF34=Milestones!$AB$170,Milestones!$AC$170,0))</f>
        <v>0</v>
      </c>
      <c r="FG35" s="0" t="n">
        <f aca="false">IF(FG33="",0,IF(FG34=Milestones!$AB$171,Milestones!$AC$171,0))</f>
        <v>0</v>
      </c>
      <c r="FH35" s="0" t="n">
        <f aca="false">IF(FH33="",0,IF(FH34=Milestones!$AB$172,Milestones!$AC$172,0))</f>
        <v>0</v>
      </c>
      <c r="FI35" s="0" t="n">
        <f aca="false">IF(FI33="",0,IF(FI34=Milestones!$AB$173,Milestones!$AC$173,0))</f>
        <v>0</v>
      </c>
      <c r="FJ35" s="0" t="n">
        <f aca="false">IF(FJ33="",0,IF(FJ34=Milestones!$AB$174,Milestones!$AC$174,0))</f>
        <v>0</v>
      </c>
      <c r="FK35" s="0" t="n">
        <f aca="false">IF(FK33="",0,IF(FK34=Milestones!$AB$175,Milestones!$AC$175,0))</f>
        <v>0</v>
      </c>
      <c r="FL35" s="0" t="n">
        <f aca="false">IF(FL33="",0,IF(FL34=Milestones!$AB$176,Milestones!$AC$176,0))</f>
        <v>0</v>
      </c>
      <c r="FM35" s="0" t="n">
        <f aca="false">IF(FM33="",0,IF(FM34=Milestones!$AB$177,Milestones!$AC$177,0))</f>
        <v>0</v>
      </c>
      <c r="FN35" s="0" t="n">
        <f aca="false">IF(FN33="",0,IF(FN34=Milestones!$AB$178,Milestones!$AC$178,0))</f>
        <v>0</v>
      </c>
      <c r="FO35" s="0" t="n">
        <f aca="false">IF(FO33="",0,IF(FO34=Milestones!$AB$179,Milestones!$AC$179,0))</f>
        <v>0</v>
      </c>
      <c r="FP35" s="0" t="n">
        <f aca="false">IF(FP33="",0,IF(FP34=Milestones!$AB$180,Milestones!$AC$180,0))</f>
        <v>0</v>
      </c>
      <c r="FQ35" s="0" t="n">
        <f aca="false">IF(FQ33="",0,IF(FQ34=Milestones!$AB$181,Milestones!$AC$181,0))</f>
        <v>0</v>
      </c>
      <c r="FR35" s="0" t="n">
        <f aca="false">IF(FR33="",0,IF(FR34=Milestones!$AB$182,Milestones!$AC$182,0))</f>
        <v>0</v>
      </c>
      <c r="FS35" s="0" t="n">
        <f aca="false">IF(FS33="",0,IF(FS34=Milestones!$AB$183,Milestones!$AC$183,0))</f>
        <v>0</v>
      </c>
      <c r="FT35" s="0" t="n">
        <f aca="false">IF(FT33="",0,IF(FT34=Milestones!$AB$184,Milestones!$AC$184,0))</f>
        <v>0</v>
      </c>
      <c r="FU35" s="0" t="n">
        <f aca="false">IF(FU33="",0,IF(FU34=Milestones!$AB$185,Milestones!$AC$185,0))</f>
        <v>0</v>
      </c>
      <c r="FV35" s="0" t="n">
        <f aca="false">IF(FV33="",0,IF(FV34=Milestones!$AB$186,Milestones!$AC$186,0))</f>
        <v>0</v>
      </c>
      <c r="FW35" s="0" t="n">
        <f aca="false">IF(FW33="",0,IF(FW34=Milestones!$AB$187,Milestones!$AC$187,0))</f>
        <v>0</v>
      </c>
      <c r="FX35" s="0" t="n">
        <f aca="false">IF(FX33="",0,IF(FX34=Milestones!$AB$188,Milestones!$AC$188,0))</f>
        <v>0</v>
      </c>
      <c r="FY35" s="0" t="n">
        <f aca="false">IF(FY33="",0,IF(FY34=Milestones!$AB$189,Milestones!$AC$189,0))</f>
        <v>0</v>
      </c>
      <c r="FZ35" s="0" t="n">
        <f aca="false">IF(FZ33="",0,IF(FZ34=Milestones!$AB$190,Milestones!$AC$190,0))</f>
        <v>0</v>
      </c>
      <c r="GA35" s="0" t="n">
        <f aca="false">IF(GA33="",0,IF(GA34=Milestones!$AB$191,Milestones!$AC$191,0))</f>
        <v>0</v>
      </c>
      <c r="GB35" s="0" t="n">
        <f aca="false">IF(GB33="",0,IF(GB34=Milestones!$AB$192,Milestones!$AC$192,0))</f>
        <v>0</v>
      </c>
      <c r="GC35" s="0" t="n">
        <f aca="false">IF(GC33="",0,IF(GC34=Milestones!$AB$193,Milestones!$AC$193,0))</f>
        <v>0</v>
      </c>
      <c r="GD35" s="0" t="n">
        <f aca="false">IF(GD33="",0,IF(GD34=Milestones!$AB$194,Milestones!$AC$194,0))</f>
        <v>0</v>
      </c>
      <c r="GE35" s="0" t="n">
        <f aca="false">IF(GE33="",0,IF(GE34=Milestones!$AB$195,Milestones!$AC$195,0))</f>
        <v>0</v>
      </c>
      <c r="GF35" s="0" t="n">
        <f aca="false">IF(GF33="",0,IF(GF34=Milestones!$AB$196,Milestones!$AC$196,0))</f>
        <v>0</v>
      </c>
      <c r="GG35" s="0" t="n">
        <f aca="false">IF(GG33="",0,IF(GG34=Milestones!$AB$197,Milestones!$AC$197,0))</f>
        <v>0</v>
      </c>
      <c r="GH35" s="0" t="n">
        <f aca="false">IF(GH33="",0,IF(GH34=Milestones!$AB$198,Milestones!$AC$198,0))</f>
        <v>0</v>
      </c>
      <c r="GI35" s="0" t="n">
        <f aca="false">IF(GI33="",0,IF(GI34=Milestones!$AB$199,Milestones!$AC$199,0))</f>
        <v>0</v>
      </c>
    </row>
    <row r="36" customFormat="false" ht="15" hidden="false" customHeight="false" outlineLevel="0" collapsed="false">
      <c r="A36" s="0" t="str">
        <f aca="false">IF('HR Tally Check'!M$7="","",'HR Tally Check'!M$7)</f>
        <v/>
      </c>
      <c r="B36" s="0" t="str">
        <f aca="false">IF(A36="","",ISNUMBER(MATCH(A36,Staff!$BJ$5:$BJ$154,0)))</f>
        <v/>
      </c>
      <c r="C36" s="18" t="str">
        <f aca="false">IF(B36&lt;&gt;TRUE(),"",INDEX(Staff!$AH$5:$AH$154,MATCH($A36,Staff!$BJ$5:$BJ$154,0)))</f>
        <v/>
      </c>
      <c r="D36" s="0" t="str">
        <f aca="false">IF(B36&lt;&gt;TRUE(),"",INDEX(Staff!$AI$5:$AI$154,MATCH($A36,Staff!$BJ$5:$BJ$154,0)))</f>
        <v/>
      </c>
      <c r="E36" s="18" t="str">
        <f aca="false">IF(B36&lt;&gt;TRUE(),"",INDEX(Staff!$AK$5:$AK$154,MATCH($A36,Staff!$BJ$5:$BJ$154,0)))</f>
        <v/>
      </c>
      <c r="F36" s="18" t="str">
        <f aca="false">IF(B36&lt;&gt;TRUE(),"",INDEX(Staff!$AL$5:$AL$154,MATCH($A36,Staff!$BJ$5:$BJ$154,0)))</f>
        <v/>
      </c>
      <c r="G36" s="0" t="str">
        <f aca="false">IF(B36&lt;&gt;TRUE(),"",INDEX(Staff!$AP$5:$AP$154,MATCH($A36,Staff!$BJ$5:$BJ$154,0)))</f>
        <v/>
      </c>
      <c r="H36" s="0" t="str">
        <f aca="false">IF(B36&lt;&gt;TRUE(),"",INDEX(Staff!$AQ$5:$AQ$154,MATCH($A36,Staff!$BJ$5:$BJ$154,0)))</f>
        <v/>
      </c>
      <c r="I36" s="0" t="str">
        <f aca="false">IF(B36&lt;&gt;TRUE(),"",INDEX(Staff!$AR$5:$AR$154,MATCH($A36,Staff!$BJ$5:$BJ$154,0)))</f>
        <v/>
      </c>
      <c r="J36" s="0" t="str">
        <f aca="false">IF(B36&lt;&gt;TRUE(),"",INDEX(Staff!$AS$5:$AS$154,MATCH($A36,Staff!$BJ$5:$BJ$154,0)))</f>
        <v/>
      </c>
      <c r="K36" s="31" t="s">
        <v>228</v>
      </c>
      <c r="L36" s="18" t="str">
        <f aca="false">IF($C36="","",EDATE($C36,Milestones!$AA$20))</f>
        <v/>
      </c>
      <c r="M36" s="18" t="str">
        <f aca="false">IF($C36="","",EDATE($C36,Milestones!$AA$21))</f>
        <v/>
      </c>
      <c r="N36" s="18" t="str">
        <f aca="false">IF($C36="","",EDATE($C36,Milestones!$AA$22))</f>
        <v/>
      </c>
      <c r="O36" s="18" t="str">
        <f aca="false">IF($C36="","",EDATE($C36,Milestones!$AA$23))</f>
        <v/>
      </c>
      <c r="P36" s="18" t="str">
        <f aca="false">IF($C36="","",EDATE($C36,Milestones!$AA$24))</f>
        <v/>
      </c>
      <c r="Q36" s="18" t="str">
        <f aca="false">IF($C36="","",EDATE($C36,Milestones!$AA$25))</f>
        <v/>
      </c>
      <c r="R36" s="18" t="str">
        <f aca="false">IF($C36="","",EDATE($C36,Milestones!$AA$26))</f>
        <v/>
      </c>
      <c r="S36" s="18" t="str">
        <f aca="false">IF($C36="","",EDATE($C36,Milestones!$AA$27))</f>
        <v/>
      </c>
      <c r="T36" s="18" t="str">
        <f aca="false">IF($C36="","",EDATE($C36,Milestones!$AA$28))</f>
        <v/>
      </c>
      <c r="U36" s="18" t="str">
        <f aca="false">IF($C36="","",EDATE($C36,Milestones!$AA$29))</f>
        <v/>
      </c>
      <c r="V36" s="18" t="str">
        <f aca="false">IF($C36="","",EDATE($C36,Milestones!$AA$30))</f>
        <v/>
      </c>
      <c r="W36" s="18" t="str">
        <f aca="false">IF($C36="","",EDATE($C36,Milestones!$AA$31))</f>
        <v/>
      </c>
      <c r="X36" s="18" t="str">
        <f aca="false">IF($C36="","",EDATE($C36,Milestones!$AA$32))</f>
        <v/>
      </c>
      <c r="Y36" s="18" t="str">
        <f aca="false">IF($C36="","",EDATE($C36,Milestones!$AA$33))</f>
        <v/>
      </c>
      <c r="Z36" s="18" t="str">
        <f aca="false">IF($C36="","",EDATE($C36,Milestones!$AA$34))</f>
        <v/>
      </c>
      <c r="AA36" s="18" t="str">
        <f aca="false">IF($C36="","",EDATE($C36,Milestones!$AA$35))</f>
        <v/>
      </c>
      <c r="AB36" s="18" t="str">
        <f aca="false">IF($C36="","",EDATE($C36,Milestones!$AA$36))</f>
        <v/>
      </c>
      <c r="AC36" s="18" t="str">
        <f aca="false">IF($C36="","",EDATE($C36,Milestones!$AA$37))</f>
        <v/>
      </c>
      <c r="AD36" s="18" t="str">
        <f aca="false">IF($C36="","",EDATE($C36,Milestones!$AA$38))</f>
        <v/>
      </c>
      <c r="AE36" s="18" t="str">
        <f aca="false">IF($C36="","",EDATE($C36,Milestones!$AA$39))</f>
        <v/>
      </c>
      <c r="AF36" s="18" t="str">
        <f aca="false">IF($C36="","",EDATE($C36,Milestones!$AA$40))</f>
        <v/>
      </c>
      <c r="AG36" s="18" t="str">
        <f aca="false">IF($C36="","",EDATE($C36,Milestones!$AA$41))</f>
        <v/>
      </c>
      <c r="AH36" s="18" t="str">
        <f aca="false">IF($C36="","",EDATE($C36,Milestones!$AA$42))</f>
        <v/>
      </c>
      <c r="AI36" s="18" t="str">
        <f aca="false">IF($C36="","",EDATE($C36,Milestones!$AA$43))</f>
        <v/>
      </c>
      <c r="AJ36" s="18" t="str">
        <f aca="false">IF($C36="","",EDATE($C36,Milestones!$AA$44))</f>
        <v/>
      </c>
      <c r="AK36" s="18" t="str">
        <f aca="false">IF($C36="","",EDATE($C36,Milestones!$AA$45))</f>
        <v/>
      </c>
      <c r="AL36" s="18" t="str">
        <f aca="false">IF($C36="","",EDATE($C36,Milestones!$AA$46))</f>
        <v/>
      </c>
      <c r="AM36" s="18" t="str">
        <f aca="false">IF($C36="","",EDATE($C36,Milestones!$AA$47))</f>
        <v/>
      </c>
      <c r="AN36" s="18" t="str">
        <f aca="false">IF($C36="","",EDATE($C36,Milestones!$AA$48))</f>
        <v/>
      </c>
      <c r="AO36" s="18" t="str">
        <f aca="false">IF($C36="","",EDATE($C36,Milestones!$AA$49))</f>
        <v/>
      </c>
      <c r="AP36" s="18" t="str">
        <f aca="false">IF($C36="","",EDATE($C36,Milestones!$AA$50))</f>
        <v/>
      </c>
      <c r="AQ36" s="18" t="str">
        <f aca="false">IF($C36="","",EDATE($C36,Milestones!$AA$51))</f>
        <v/>
      </c>
      <c r="AR36" s="18" t="str">
        <f aca="false">IF($C36="","",EDATE($C36,Milestones!$AA$52))</f>
        <v/>
      </c>
      <c r="AS36" s="18" t="str">
        <f aca="false">IF($C36="","",EDATE($C36,Milestones!$AA$53))</f>
        <v/>
      </c>
      <c r="AT36" s="18" t="str">
        <f aca="false">IF($C36="","",EDATE($C36,Milestones!$AA$54))</f>
        <v/>
      </c>
      <c r="AU36" s="18" t="str">
        <f aca="false">IF($C36="","",EDATE($C36,Milestones!$AA$55))</f>
        <v/>
      </c>
      <c r="AV36" s="18" t="str">
        <f aca="false">IF($C36="","",EDATE($C36,Milestones!$AA$56))</f>
        <v/>
      </c>
      <c r="AW36" s="18" t="str">
        <f aca="false">IF($C36="","",EDATE($C36,Milestones!$AA$57))</f>
        <v/>
      </c>
      <c r="AX36" s="18" t="str">
        <f aca="false">IF($C36="","",EDATE($C36,Milestones!$AA$58))</f>
        <v/>
      </c>
      <c r="AY36" s="18" t="str">
        <f aca="false">IF($C36="","",EDATE($C36,Milestones!$AA$59))</f>
        <v/>
      </c>
      <c r="AZ36" s="18" t="str">
        <f aca="false">IF($C36="","",EDATE($C36,Milestones!$AA$60))</f>
        <v/>
      </c>
      <c r="BA36" s="18" t="str">
        <f aca="false">IF($C36="","",EDATE($C36,Milestones!$AA$61))</f>
        <v/>
      </c>
      <c r="BB36" s="18" t="str">
        <f aca="false">IF($C36="","",EDATE($C36,Milestones!$AA$62))</f>
        <v/>
      </c>
      <c r="BC36" s="18" t="str">
        <f aca="false">IF($C36="","",EDATE($C36,Milestones!$AA$63))</f>
        <v/>
      </c>
      <c r="BD36" s="18" t="str">
        <f aca="false">IF($C36="","",EDATE($C36,Milestones!$AA$64))</f>
        <v/>
      </c>
      <c r="BE36" s="18" t="str">
        <f aca="false">IF($C36="","",EDATE($C36,Milestones!$AA$65))</f>
        <v/>
      </c>
      <c r="BF36" s="18" t="str">
        <f aca="false">IF($C36="","",EDATE($C36,Milestones!$AA$66))</f>
        <v/>
      </c>
      <c r="BG36" s="18" t="str">
        <f aca="false">IF($C36="","",EDATE($C36,Milestones!$AA$67))</f>
        <v/>
      </c>
      <c r="BH36" s="18" t="str">
        <f aca="false">IF($C36="","",EDATE($C36,Milestones!$AA$68))</f>
        <v/>
      </c>
      <c r="BI36" s="18" t="str">
        <f aca="false">IF($C36="","",EDATE($C36,Milestones!$AA$69))</f>
        <v/>
      </c>
      <c r="BJ36" s="18" t="str">
        <f aca="false">IF($C36="","",EDATE($C36,Milestones!$AA$70))</f>
        <v/>
      </c>
      <c r="BK36" s="18" t="str">
        <f aca="false">IF($C36="","",EDATE($C36,Milestones!$AA$71))</f>
        <v/>
      </c>
      <c r="BL36" s="18" t="str">
        <f aca="false">IF($C36="","",EDATE($C36,Milestones!$AA$72))</f>
        <v/>
      </c>
      <c r="BM36" s="18" t="str">
        <f aca="false">IF($C36="","",EDATE($C36,Milestones!$AA$73))</f>
        <v/>
      </c>
      <c r="BN36" s="18" t="str">
        <f aca="false">IF($C36="","",EDATE($C36,Milestones!$AA$74))</f>
        <v/>
      </c>
      <c r="BO36" s="18" t="str">
        <f aca="false">IF($C36="","",EDATE($C36,Milestones!$AA$75))</f>
        <v/>
      </c>
      <c r="BP36" s="18" t="str">
        <f aca="false">IF($C36="","",EDATE($C36,Milestones!$AA$76))</f>
        <v/>
      </c>
      <c r="BQ36" s="18" t="str">
        <f aca="false">IF($C36="","",EDATE($C36,Milestones!$AA$77))</f>
        <v/>
      </c>
      <c r="BR36" s="18" t="str">
        <f aca="false">IF($C36="","",EDATE($C36,Milestones!$AA$78))</f>
        <v/>
      </c>
      <c r="BS36" s="18" t="str">
        <f aca="false">IF($C36="","",EDATE($C36,Milestones!$AA$79))</f>
        <v/>
      </c>
      <c r="BT36" s="18" t="str">
        <f aca="false">IF($C36="","",EDATE($C36,Milestones!$AA$80))</f>
        <v/>
      </c>
      <c r="BU36" s="18" t="str">
        <f aca="false">IF($C36="","",EDATE($C36,Milestones!$AA$81))</f>
        <v/>
      </c>
      <c r="BV36" s="18" t="str">
        <f aca="false">IF($C36="","",EDATE($C36,Milestones!$AA$82))</f>
        <v/>
      </c>
      <c r="BW36" s="18" t="str">
        <f aca="false">IF($C36="","",EDATE($C36,Milestones!$AA$83))</f>
        <v/>
      </c>
      <c r="BX36" s="18" t="str">
        <f aca="false">IF($C36="","",EDATE($C36,Milestones!$AA$84))</f>
        <v/>
      </c>
      <c r="BY36" s="18" t="str">
        <f aca="false">IF($C36="","",EDATE($C36,Milestones!$AA$85))</f>
        <v/>
      </c>
      <c r="BZ36" s="18" t="str">
        <f aca="false">IF($C36="","",EDATE($C36,Milestones!$AA$86))</f>
        <v/>
      </c>
      <c r="CA36" s="18" t="str">
        <f aca="false">IF($C36="","",EDATE($C36,Milestones!$AA$87))</f>
        <v/>
      </c>
      <c r="CB36" s="18" t="str">
        <f aca="false">IF($C36="","",EDATE($C36,Milestones!$AA$88))</f>
        <v/>
      </c>
      <c r="CC36" s="18" t="str">
        <f aca="false">IF($C36="","",EDATE($C36,Milestones!$AA$89))</f>
        <v/>
      </c>
      <c r="CD36" s="18" t="str">
        <f aca="false">IF($C36="","",EDATE($C36,Milestones!$AA$90))</f>
        <v/>
      </c>
      <c r="CE36" s="18" t="str">
        <f aca="false">IF($C36="","",EDATE($C36,Milestones!$AA$91))</f>
        <v/>
      </c>
      <c r="CF36" s="18" t="str">
        <f aca="false">IF($C36="","",EDATE($C36,Milestones!$AA$92))</f>
        <v/>
      </c>
      <c r="CG36" s="18" t="str">
        <f aca="false">IF($C36="","",EDATE($C36,Milestones!$AA$93))</f>
        <v/>
      </c>
      <c r="CH36" s="18" t="str">
        <f aca="false">IF($C36="","",EDATE($C36,Milestones!$AA$94))</f>
        <v/>
      </c>
      <c r="CI36" s="18" t="str">
        <f aca="false">IF($C36="","",EDATE($C36,Milestones!$AA$95))</f>
        <v/>
      </c>
      <c r="CJ36" s="18" t="str">
        <f aca="false">IF($C36="","",EDATE($C36,Milestones!$AA$96))</f>
        <v/>
      </c>
      <c r="CK36" s="18" t="str">
        <f aca="false">IF($C36="","",EDATE($C36,Milestones!$AA$97))</f>
        <v/>
      </c>
      <c r="CL36" s="18" t="str">
        <f aca="false">IF($C36="","",EDATE($C36,Milestones!$AA$98))</f>
        <v/>
      </c>
      <c r="CM36" s="18" t="str">
        <f aca="false">IF($C36="","",EDATE($C36,Milestones!$AA$99))</f>
        <v/>
      </c>
      <c r="CN36" s="18" t="str">
        <f aca="false">IF($C36="","",EDATE($C36,Milestones!$AA$100))</f>
        <v/>
      </c>
      <c r="CO36" s="18" t="str">
        <f aca="false">IF($C36="","",EDATE($C36,Milestones!$AA$101))</f>
        <v/>
      </c>
      <c r="CP36" s="18" t="str">
        <f aca="false">IF($C36="","",EDATE($C36,Milestones!$AA$102))</f>
        <v/>
      </c>
      <c r="CQ36" s="18" t="str">
        <f aca="false">IF($C36="","",EDATE($C36,Milestones!$AA$103))</f>
        <v/>
      </c>
      <c r="CR36" s="18" t="str">
        <f aca="false">IF($C36="","",EDATE($C36,Milestones!$AA$104))</f>
        <v/>
      </c>
      <c r="CS36" s="18" t="str">
        <f aca="false">IF($C36="","",EDATE($C36,Milestones!$AA$105))</f>
        <v/>
      </c>
      <c r="CT36" s="18" t="str">
        <f aca="false">IF($C36="","",EDATE($C36,Milestones!$AA$106))</f>
        <v/>
      </c>
      <c r="CU36" s="18" t="str">
        <f aca="false">IF($C36="","",EDATE($C36,Milestones!$AA$107))</f>
        <v/>
      </c>
      <c r="CV36" s="18" t="str">
        <f aca="false">IF($C36="","",EDATE($C36,Milestones!$AA$108))</f>
        <v/>
      </c>
      <c r="CW36" s="18" t="str">
        <f aca="false">IF($C36="","",EDATE($C36,Milestones!$AA$109))</f>
        <v/>
      </c>
      <c r="CX36" s="18" t="str">
        <f aca="false">IF($C36="","",EDATE($C36,Milestones!$AA$110))</f>
        <v/>
      </c>
      <c r="CY36" s="18" t="str">
        <f aca="false">IF($C36="","",EDATE($C36,Milestones!$AA$111))</f>
        <v/>
      </c>
      <c r="CZ36" s="18" t="str">
        <f aca="false">IF($C36="","",EDATE($C36,Milestones!$AA$112))</f>
        <v/>
      </c>
      <c r="DA36" s="18" t="str">
        <f aca="false">IF($C36="","",EDATE($C36,Milestones!$AA$113))</f>
        <v/>
      </c>
      <c r="DB36" s="18" t="str">
        <f aca="false">IF($C36="","",EDATE($C36,Milestones!$AA$114))</f>
        <v/>
      </c>
      <c r="DC36" s="18" t="str">
        <f aca="false">IF($C36="","",EDATE($C36,Milestones!$AA$115))</f>
        <v/>
      </c>
      <c r="DD36" s="18" t="str">
        <f aca="false">IF($C36="","",EDATE($C36,Milestones!$AA$116))</f>
        <v/>
      </c>
      <c r="DE36" s="18" t="str">
        <f aca="false">IF($C36="","",EDATE($C36,Milestones!$AA$117))</f>
        <v/>
      </c>
      <c r="DF36" s="18" t="str">
        <f aca="false">IF($C36="","",EDATE($C36,Milestones!$AA$118))</f>
        <v/>
      </c>
      <c r="DG36" s="18" t="str">
        <f aca="false">IF($C36="","",EDATE($C36,Milestones!$AA$119))</f>
        <v/>
      </c>
      <c r="DH36" s="18" t="str">
        <f aca="false">IF($C36="","",EDATE($C36,Milestones!$AA$120))</f>
        <v/>
      </c>
      <c r="DI36" s="18" t="str">
        <f aca="false">IF($C36="","",EDATE($C36,Milestones!$AA$121))</f>
        <v/>
      </c>
      <c r="DJ36" s="18" t="str">
        <f aca="false">IF($C36="","",EDATE($C36,Milestones!$AA$122))</f>
        <v/>
      </c>
      <c r="DK36" s="18" t="str">
        <f aca="false">IF($C36="","",EDATE($C36,Milestones!$AA$123))</f>
        <v/>
      </c>
      <c r="DL36" s="18" t="str">
        <f aca="false">IF($C36="","",EDATE($C36,Milestones!$AA$124))</f>
        <v/>
      </c>
      <c r="DM36" s="18" t="str">
        <f aca="false">IF($C36="","",EDATE($C36,Milestones!$AA$125))</f>
        <v/>
      </c>
      <c r="DN36" s="18" t="str">
        <f aca="false">IF($C36="","",EDATE($C36,Milestones!$AA$126))</f>
        <v/>
      </c>
      <c r="DO36" s="18" t="str">
        <f aca="false">IF($C36="","",EDATE($C36,Milestones!$AA$127))</f>
        <v/>
      </c>
      <c r="DP36" s="18" t="str">
        <f aca="false">IF($C36="","",EDATE($C36,Milestones!$AA$128))</f>
        <v/>
      </c>
      <c r="DQ36" s="18" t="str">
        <f aca="false">IF($C36="","",EDATE($C36,Milestones!$AA$129))</f>
        <v/>
      </c>
      <c r="DR36" s="18" t="str">
        <f aca="false">IF($C36="","",EDATE($C36,Milestones!$AA$130))</f>
        <v/>
      </c>
      <c r="DS36" s="18" t="str">
        <f aca="false">IF($C36="","",EDATE($C36,Milestones!$AA$131))</f>
        <v/>
      </c>
      <c r="DT36" s="18" t="str">
        <f aca="false">IF($C36="","",EDATE($C36,Milestones!$AA$132))</f>
        <v/>
      </c>
      <c r="DU36" s="18" t="str">
        <f aca="false">IF($C36="","",EDATE($C36,Milestones!$AA$133))</f>
        <v/>
      </c>
      <c r="DV36" s="18" t="str">
        <f aca="false">IF($C36="","",EDATE($C36,Milestones!$AA$134))</f>
        <v/>
      </c>
      <c r="DW36" s="18" t="str">
        <f aca="false">IF($C36="","",EDATE($C36,Milestones!$AA$135))</f>
        <v/>
      </c>
      <c r="DX36" s="18" t="str">
        <f aca="false">IF($C36="","",EDATE($C36,Milestones!$AA$136))</f>
        <v/>
      </c>
      <c r="DY36" s="18" t="str">
        <f aca="false">IF($C36="","",EDATE($C36,Milestones!$AA$137))</f>
        <v/>
      </c>
      <c r="DZ36" s="18" t="str">
        <f aca="false">IF($C36="","",EDATE($C36,Milestones!$AA$138))</f>
        <v/>
      </c>
      <c r="EA36" s="18" t="str">
        <f aca="false">IF($C36="","",EDATE($C36,Milestones!$AA$139))</f>
        <v/>
      </c>
      <c r="EB36" s="18" t="str">
        <f aca="false">IF($C36="","",EDATE($C36,Milestones!$AA$140))</f>
        <v/>
      </c>
      <c r="EC36" s="18" t="str">
        <f aca="false">IF($C36="","",EDATE($C36,Milestones!$AA$141))</f>
        <v/>
      </c>
      <c r="ED36" s="18" t="str">
        <f aca="false">IF($C36="","",EDATE($C36,Milestones!$AA$142))</f>
        <v/>
      </c>
      <c r="EE36" s="18" t="str">
        <f aca="false">IF($C36="","",EDATE($C36,Milestones!$AA$143))</f>
        <v/>
      </c>
      <c r="EF36" s="18" t="str">
        <f aca="false">IF($C36="","",EDATE($C36,Milestones!$AA$144))</f>
        <v/>
      </c>
      <c r="EG36" s="18" t="str">
        <f aca="false">IF($C36="","",EDATE($C36,Milestones!$AA$145))</f>
        <v/>
      </c>
      <c r="EH36" s="18" t="str">
        <f aca="false">IF($C36="","",EDATE($C36,Milestones!$AA$146))</f>
        <v/>
      </c>
      <c r="EI36" s="18" t="str">
        <f aca="false">IF($C36="","",EDATE($C36,Milestones!$AA$147))</f>
        <v/>
      </c>
      <c r="EJ36" s="18" t="str">
        <f aca="false">IF($C36="","",EDATE($C36,Milestones!$AA$148))</f>
        <v/>
      </c>
      <c r="EK36" s="18" t="str">
        <f aca="false">IF($C36="","",EDATE($C36,Milestones!$AA$149))</f>
        <v/>
      </c>
      <c r="EL36" s="18" t="str">
        <f aca="false">IF($C36="","",EDATE($C36,Milestones!$AA$150))</f>
        <v/>
      </c>
      <c r="EM36" s="18" t="str">
        <f aca="false">IF($C36="","",EDATE($C36,Milestones!$AA$151))</f>
        <v/>
      </c>
      <c r="EN36" s="18" t="str">
        <f aca="false">IF($C36="","",EDATE($C36,Milestones!$AA$152))</f>
        <v/>
      </c>
      <c r="EO36" s="18" t="str">
        <f aca="false">IF($C36="","",EDATE($C36,Milestones!$AA$153))</f>
        <v/>
      </c>
      <c r="EP36" s="18" t="str">
        <f aca="false">IF($C36="","",EDATE($C36,Milestones!$AA$154))</f>
        <v/>
      </c>
      <c r="EQ36" s="18" t="str">
        <f aca="false">IF($C36="","",EDATE($C36,Milestones!$AA$155))</f>
        <v/>
      </c>
      <c r="ER36" s="18" t="str">
        <f aca="false">IF($C36="","",EDATE($C36,Milestones!$AA$156))</f>
        <v/>
      </c>
      <c r="ES36" s="18" t="str">
        <f aca="false">IF($C36="","",EDATE($C36,Milestones!$AA$157))</f>
        <v/>
      </c>
      <c r="ET36" s="18" t="str">
        <f aca="false">IF($C36="","",EDATE($C36,Milestones!$AA$158))</f>
        <v/>
      </c>
      <c r="EU36" s="18" t="str">
        <f aca="false">IF($C36="","",EDATE($C36,Milestones!$AA$159))</f>
        <v/>
      </c>
      <c r="EV36" s="18" t="str">
        <f aca="false">IF($C36="","",EDATE($C36,Milestones!$AA$160))</f>
        <v/>
      </c>
      <c r="EW36" s="18" t="str">
        <f aca="false">IF($C36="","",EDATE($C36,Milestones!$AA$161))</f>
        <v/>
      </c>
      <c r="EX36" s="18" t="str">
        <f aca="false">IF($C36="","",EDATE($C36,Milestones!$AA$162))</f>
        <v/>
      </c>
      <c r="EY36" s="18" t="str">
        <f aca="false">IF($C36="","",EDATE($C36,Milestones!$AA$163))</f>
        <v/>
      </c>
      <c r="EZ36" s="18" t="str">
        <f aca="false">IF($C36="","",EDATE($C36,Milestones!$AA$164))</f>
        <v/>
      </c>
      <c r="FA36" s="18" t="str">
        <f aca="false">IF($C36="","",EDATE($C36,Milestones!$AA$165))</f>
        <v/>
      </c>
      <c r="FB36" s="18" t="str">
        <f aca="false">IF($C36="","",EDATE($C36,Milestones!$AA$166))</f>
        <v/>
      </c>
      <c r="FC36" s="18" t="str">
        <f aca="false">IF($C36="","",EDATE($C36,Milestones!$AA$167))</f>
        <v/>
      </c>
      <c r="FD36" s="18" t="str">
        <f aca="false">IF($C36="","",EDATE($C36,Milestones!$AA$168))</f>
        <v/>
      </c>
      <c r="FE36" s="18" t="str">
        <f aca="false">IF($C36="","",EDATE($C36,Milestones!$AA$169))</f>
        <v/>
      </c>
      <c r="FF36" s="18" t="str">
        <f aca="false">IF($C36="","",EDATE($C36,Milestones!$AA$170))</f>
        <v/>
      </c>
      <c r="FG36" s="18" t="str">
        <f aca="false">IF($C36="","",EDATE($C36,Milestones!$AA$171))</f>
        <v/>
      </c>
      <c r="FH36" s="18" t="str">
        <f aca="false">IF($C36="","",EDATE($C36,Milestones!$AA$172))</f>
        <v/>
      </c>
      <c r="FI36" s="18" t="str">
        <f aca="false">IF($C36="","",EDATE($C36,Milestones!$AA$173))</f>
        <v/>
      </c>
      <c r="FJ36" s="18" t="str">
        <f aca="false">IF($C36="","",EDATE($C36,Milestones!$AA$174))</f>
        <v/>
      </c>
      <c r="FK36" s="18" t="str">
        <f aca="false">IF($C36="","",EDATE($C36,Milestones!$AA$175))</f>
        <v/>
      </c>
      <c r="FL36" s="18" t="str">
        <f aca="false">IF($C36="","",EDATE($C36,Milestones!$AA$176))</f>
        <v/>
      </c>
      <c r="FM36" s="18" t="str">
        <f aca="false">IF($C36="","",EDATE($C36,Milestones!$AA$177))</f>
        <v/>
      </c>
      <c r="FN36" s="18" t="str">
        <f aca="false">IF($C36="","",EDATE($C36,Milestones!$AA$178))</f>
        <v/>
      </c>
      <c r="FO36" s="18" t="str">
        <f aca="false">IF($C36="","",EDATE($C36,Milestones!$AA$179))</f>
        <v/>
      </c>
      <c r="FP36" s="18" t="str">
        <f aca="false">IF($C36="","",EDATE($C36,Milestones!$AA$180))</f>
        <v/>
      </c>
      <c r="FQ36" s="18" t="str">
        <f aca="false">IF($C36="","",EDATE($C36,Milestones!$AA$181))</f>
        <v/>
      </c>
      <c r="FR36" s="18" t="str">
        <f aca="false">IF($C36="","",EDATE($C36,Milestones!$AA$182))</f>
        <v/>
      </c>
      <c r="FS36" s="18" t="str">
        <f aca="false">IF($C36="","",EDATE($C36,Milestones!$AA$183))</f>
        <v/>
      </c>
      <c r="FT36" s="18" t="str">
        <f aca="false">IF($C36="","",EDATE($C36,Milestones!$AA$184))</f>
        <v/>
      </c>
      <c r="FU36" s="18" t="str">
        <f aca="false">IF($C36="","",EDATE($C36,Milestones!$AA$185))</f>
        <v/>
      </c>
      <c r="FV36" s="18" t="str">
        <f aca="false">IF($C36="","",EDATE($C36,Milestones!$AA$186))</f>
        <v/>
      </c>
      <c r="FW36" s="18" t="str">
        <f aca="false">IF($C36="","",EDATE($C36,Milestones!$AA$187))</f>
        <v/>
      </c>
      <c r="FX36" s="18" t="str">
        <f aca="false">IF($C36="","",EDATE($C36,Milestones!$AA$188))</f>
        <v/>
      </c>
      <c r="FY36" s="18" t="str">
        <f aca="false">IF($C36="","",EDATE($C36,Milestones!$AA$189))</f>
        <v/>
      </c>
      <c r="FZ36" s="18" t="str">
        <f aca="false">IF($C36="","",EDATE($C36,Milestones!$AA$190))</f>
        <v/>
      </c>
      <c r="GA36" s="18" t="str">
        <f aca="false">IF($C36="","",EDATE($C36,Milestones!$AA$191))</f>
        <v/>
      </c>
      <c r="GB36" s="18" t="str">
        <f aca="false">IF($C36="","",EDATE($C36,Milestones!$AA$192))</f>
        <v/>
      </c>
      <c r="GC36" s="18" t="str">
        <f aca="false">IF($C36="","",EDATE($C36,Milestones!$AA$193))</f>
        <v/>
      </c>
      <c r="GD36" s="18" t="str">
        <f aca="false">IF($C36="","",EDATE($C36,Milestones!$AA$194))</f>
        <v/>
      </c>
      <c r="GE36" s="18" t="str">
        <f aca="false">IF($C36="","",EDATE($C36,Milestones!$AA$195))</f>
        <v/>
      </c>
      <c r="GF36" s="18" t="str">
        <f aca="false">IF($C36="","",EDATE($C36,Milestones!$AA$196))</f>
        <v/>
      </c>
      <c r="GG36" s="18" t="str">
        <f aca="false">IF($C36="","",EDATE($C36,Milestones!$AA$197))</f>
        <v/>
      </c>
      <c r="GH36" s="18" t="str">
        <f aca="false">IF($C36="","",EDATE($C36,Milestones!$AA$198))</f>
        <v/>
      </c>
      <c r="GI36" s="18" t="str">
        <f aca="false">IF($C36="","",EDATE($C36,Milestones!$AA$199))</f>
        <v/>
      </c>
    </row>
    <row r="37" customFormat="false" ht="15" hidden="false" customHeight="false" outlineLevel="0" collapsed="false">
      <c r="K37" s="0" t="s">
        <v>229</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230</v>
      </c>
      <c r="L38" s="0" t="n">
        <f aca="false">IF(L36="",0,IF(L37=Milestones!$AB$20,Milestones!$AC$20,0))</f>
        <v>0</v>
      </c>
      <c r="M38" s="0" t="n">
        <f aca="false">IF(M36="",0,IF(M37=Milestones!$AB$21,Milestones!$AC$21,0))</f>
        <v>0</v>
      </c>
      <c r="N38" s="0" t="n">
        <f aca="false">IF(N36="",0,IF(N37=Milestones!$AB$22,Milestones!$AC$22,0))</f>
        <v>0</v>
      </c>
      <c r="O38" s="0" t="n">
        <f aca="false">IF(O36="",0,IF(O37=Milestones!$AB$23,Milestones!$AC$23,0))</f>
        <v>0</v>
      </c>
      <c r="P38" s="0" t="n">
        <f aca="false">IF(P36="",0,IF(P37=Milestones!$AB$24,Milestones!$AC$24,0))</f>
        <v>0</v>
      </c>
      <c r="Q38" s="0" t="n">
        <f aca="false">IF(Q36="",0,IF(Q37=Milestones!$AB$25,Milestones!$AC$25,0))</f>
        <v>0</v>
      </c>
      <c r="R38" s="0" t="n">
        <f aca="false">IF(R36="",0,IF(R37=Milestones!$AB$26,Milestones!$AC$26,0))</f>
        <v>0</v>
      </c>
      <c r="S38" s="0" t="n">
        <f aca="false">IF(S36="",0,IF(S37=Milestones!$AB$27,Milestones!$AC$27,0))</f>
        <v>0</v>
      </c>
      <c r="T38" s="0" t="n">
        <f aca="false">IF(T36="",0,IF(T37=Milestones!$AB$28,Milestones!$AC$28,0))</f>
        <v>0</v>
      </c>
      <c r="U38" s="0" t="n">
        <f aca="false">IF(U36="",0,IF(U37=Milestones!$AB$29,Milestones!$AC$29,0))</f>
        <v>0</v>
      </c>
      <c r="V38" s="0" t="n">
        <f aca="false">IF(V36="",0,IF(V37=Milestones!$AB$30,Milestones!$AC$30,0))</f>
        <v>0</v>
      </c>
      <c r="W38" s="0" t="n">
        <f aca="false">IF(W36="",0,IF(W37=Milestones!$AB$31,Milestones!$AC$31,0))</f>
        <v>0</v>
      </c>
      <c r="X38" s="0" t="n">
        <f aca="false">IF(X36="",0,IF(X37=Milestones!$AB$32,Milestones!$AC$32,0))</f>
        <v>0</v>
      </c>
      <c r="Y38" s="0" t="n">
        <f aca="false">IF(Y36="",0,IF(Y37=Milestones!$AB$33,Milestones!$AC$33,0))</f>
        <v>0</v>
      </c>
      <c r="Z38" s="0" t="n">
        <f aca="false">IF(Z36="",0,IF(Z37=Milestones!$AB$34,Milestones!$AC$34,0))</f>
        <v>0</v>
      </c>
      <c r="AA38" s="0" t="n">
        <f aca="false">IF(AA36="",0,IF(AA37=Milestones!$AB$35,Milestones!$AC$35,0))</f>
        <v>0</v>
      </c>
      <c r="AB38" s="0" t="n">
        <f aca="false">IF(AB36="",0,IF(AB37=Milestones!$AB$36,Milestones!$AC$36,0))</f>
        <v>0</v>
      </c>
      <c r="AC38" s="0" t="n">
        <f aca="false">IF(AC36="",0,IF(AC37=Milestones!$AB$37,Milestones!$AC$37,0))</f>
        <v>0</v>
      </c>
      <c r="AD38" s="0" t="n">
        <f aca="false">IF(AD36="",0,IF(AD37=Milestones!$AB$38,Milestones!$AC$38,0))</f>
        <v>0</v>
      </c>
      <c r="AE38" s="0" t="n">
        <f aca="false">IF(AE36="",0,IF(AE37=Milestones!$AB$39,Milestones!$AC$39,0))</f>
        <v>0</v>
      </c>
      <c r="AF38" s="0" t="n">
        <f aca="false">IF(AF36="",0,IF(AF37=Milestones!$AB$40,Milestones!$AC$40,0))</f>
        <v>0</v>
      </c>
      <c r="AG38" s="0" t="n">
        <f aca="false">IF(AG36="",0,IF(AG37=Milestones!$AB$41,Milestones!$AC$41,0))</f>
        <v>0</v>
      </c>
      <c r="AH38" s="0" t="n">
        <f aca="false">IF(AH36="",0,IF(AH37=Milestones!$AB$42,Milestones!$AC$42,0))</f>
        <v>0</v>
      </c>
      <c r="AI38" s="0" t="n">
        <f aca="false">IF(AI36="",0,IF(AI37=Milestones!$AB$43,Milestones!$AC$43,0))</f>
        <v>0</v>
      </c>
      <c r="AJ38" s="0" t="n">
        <f aca="false">IF(AJ36="",0,IF(AJ37=Milestones!$AB$44,Milestones!$AC$44,0))</f>
        <v>0</v>
      </c>
      <c r="AK38" s="0" t="n">
        <f aca="false">IF(AK36="",0,IF(AK37=Milestones!$AB$45,Milestones!$AC$45,0))</f>
        <v>0</v>
      </c>
      <c r="AL38" s="0" t="n">
        <f aca="false">IF(AL36="",0,IF(AL37=Milestones!$AB$46,Milestones!$AC$46,0))</f>
        <v>0</v>
      </c>
      <c r="AM38" s="0" t="n">
        <f aca="false">IF(AM36="",0,IF(AM37=Milestones!$AB$47,Milestones!$AC$47,0))</f>
        <v>0</v>
      </c>
      <c r="AN38" s="0" t="n">
        <f aca="false">IF(AN36="",0,IF(AN37=Milestones!$AB$48,Milestones!$AC$48,0))</f>
        <v>0</v>
      </c>
      <c r="AO38" s="0" t="n">
        <f aca="false">IF(AO36="",0,IF(AO37=Milestones!$AB$49,Milestones!$AC$49,0))</f>
        <v>0</v>
      </c>
      <c r="AP38" s="0" t="n">
        <f aca="false">IF(AP36="",0,IF(AP37=Milestones!$AB$50,Milestones!$AC$50,0))</f>
        <v>0</v>
      </c>
      <c r="AQ38" s="0" t="n">
        <f aca="false">IF(AQ36="",0,IF(AQ37=Milestones!$AB$51,Milestones!$AC$51,0))</f>
        <v>0</v>
      </c>
      <c r="AR38" s="0" t="n">
        <f aca="false">IF(AR36="",0,IF(AR37=Milestones!$AB$52,Milestones!$AC$52,0))</f>
        <v>0</v>
      </c>
      <c r="AS38" s="0" t="n">
        <f aca="false">IF(AS36="",0,IF(AS37=Milestones!$AB$53,Milestones!$AC$53,0))</f>
        <v>0</v>
      </c>
      <c r="AT38" s="0" t="n">
        <f aca="false">IF(AT36="",0,IF(AT37=Milestones!$AB$54,Milestones!$AC$54,0))</f>
        <v>0</v>
      </c>
      <c r="AU38" s="0" t="n">
        <f aca="false">IF(AU36="",0,IF(AU37=Milestones!$AB$55,Milestones!$AC$55,0))</f>
        <v>0</v>
      </c>
      <c r="AV38" s="0" t="n">
        <f aca="false">IF(AV36="",0,IF(AV37=Milestones!$AB$56,Milestones!$AC$56,0))</f>
        <v>0</v>
      </c>
      <c r="AW38" s="0" t="n">
        <f aca="false">IF(AW36="",0,IF(AW37=Milestones!$AB$57,Milestones!$AC$57,0))</f>
        <v>0</v>
      </c>
      <c r="AX38" s="0" t="n">
        <f aca="false">IF(AX36="",0,IF(AX37=Milestones!$AB$58,Milestones!$AC$58,0))</f>
        <v>0</v>
      </c>
      <c r="AY38" s="0" t="n">
        <f aca="false">IF(AY36="",0,IF(AY37=Milestones!$AB$59,Milestones!$AC$59,0))</f>
        <v>0</v>
      </c>
      <c r="AZ38" s="0" t="n">
        <f aca="false">IF(AZ36="",0,IF(AZ37=Milestones!$AB$60,Milestones!$AC$60,0))</f>
        <v>0</v>
      </c>
      <c r="BA38" s="0" t="n">
        <f aca="false">IF(BA36="",0,IF(BA37=Milestones!$AB$61,Milestones!$AC$61,0))</f>
        <v>0</v>
      </c>
      <c r="BB38" s="0" t="n">
        <f aca="false">IF(BB36="",0,IF(BB37=Milestones!$AB$62,Milestones!$AC$62,0))</f>
        <v>0</v>
      </c>
      <c r="BC38" s="0" t="n">
        <f aca="false">IF(BC36="",0,IF(BC37=Milestones!$AB$63,Milestones!$AC$63,0))</f>
        <v>0</v>
      </c>
      <c r="BD38" s="0" t="n">
        <f aca="false">IF(BD36="",0,IF(BD37=Milestones!$AB$64,Milestones!$AC$64,0))</f>
        <v>0</v>
      </c>
      <c r="BE38" s="0" t="n">
        <f aca="false">IF(BE36="",0,IF(BE37=Milestones!$AB$65,Milestones!$AC$65,0))</f>
        <v>0</v>
      </c>
      <c r="BF38" s="0" t="n">
        <f aca="false">IF(BF36="",0,IF(BF37=Milestones!$AB$66,Milestones!$AC$66,0))</f>
        <v>0</v>
      </c>
      <c r="BG38" s="0" t="n">
        <f aca="false">IF(BG36="",0,IF(BG37=Milestones!$AB$67,Milestones!$AC$67,0))</f>
        <v>0</v>
      </c>
      <c r="BH38" s="0" t="n">
        <f aca="false">IF(BH36="",0,IF(BH37=Milestones!$AB$68,Milestones!$AC$68,0))</f>
        <v>0</v>
      </c>
      <c r="BI38" s="0" t="n">
        <f aca="false">IF(BI36="",0,IF(BI37=Milestones!$AB$69,Milestones!$AC$69,0))</f>
        <v>0</v>
      </c>
      <c r="BJ38" s="0" t="n">
        <f aca="false">IF(BJ36="",0,IF(BJ37=Milestones!$AB$70,Milestones!$AC$70,0))</f>
        <v>0</v>
      </c>
      <c r="BK38" s="0" t="n">
        <f aca="false">IF(BK36="",0,IF(BK37=Milestones!$AB$71,Milestones!$AC$71,0))</f>
        <v>0</v>
      </c>
      <c r="BL38" s="0" t="n">
        <f aca="false">IF(BL36="",0,IF(BL37=Milestones!$AB$72,Milestones!$AC$72,0))</f>
        <v>0</v>
      </c>
      <c r="BM38" s="0" t="n">
        <f aca="false">IF(BM36="",0,IF(BM37=Milestones!$AB$73,Milestones!$AC$73,0))</f>
        <v>0</v>
      </c>
      <c r="BN38" s="0" t="n">
        <f aca="false">IF(BN36="",0,IF(BN37=Milestones!$AB$74,Milestones!$AC$74,0))</f>
        <v>0</v>
      </c>
      <c r="BO38" s="0" t="n">
        <f aca="false">IF(BO36="",0,IF(BO37=Milestones!$AB$75,Milestones!$AC$75,0))</f>
        <v>0</v>
      </c>
      <c r="BP38" s="0" t="n">
        <f aca="false">IF(BP36="",0,IF(BP37=Milestones!$AB$76,Milestones!$AC$76,0))</f>
        <v>0</v>
      </c>
      <c r="BQ38" s="0" t="n">
        <f aca="false">IF(BQ36="",0,IF(BQ37=Milestones!$AB$77,Milestones!$AC$77,0))</f>
        <v>0</v>
      </c>
      <c r="BR38" s="0" t="n">
        <f aca="false">IF(BR36="",0,IF(BR37=Milestones!$AB$78,Milestones!$AC$78,0))</f>
        <v>0</v>
      </c>
      <c r="BS38" s="0" t="n">
        <f aca="false">IF(BS36="",0,IF(BS37=Milestones!$AB$79,Milestones!$AC$79,0))</f>
        <v>0</v>
      </c>
      <c r="BT38" s="0" t="n">
        <f aca="false">IF(BT36="",0,IF(BT37=Milestones!$AB$80,Milestones!$AC$80,0))</f>
        <v>0</v>
      </c>
      <c r="BU38" s="0" t="n">
        <f aca="false">IF(BU36="",0,IF(BU37=Milestones!$AB$81,Milestones!$AC$81,0))</f>
        <v>0</v>
      </c>
      <c r="BV38" s="0" t="n">
        <f aca="false">IF(BV36="",0,IF(BV37=Milestones!$AB$82,Milestones!$AC$82,0))</f>
        <v>0</v>
      </c>
      <c r="BW38" s="0" t="n">
        <f aca="false">IF(BW36="",0,IF(BW37=Milestones!$AB$83,Milestones!$AC$83,0))</f>
        <v>0</v>
      </c>
      <c r="BX38" s="0" t="n">
        <f aca="false">IF(BX36="",0,IF(BX37=Milestones!$AB$84,Milestones!$AC$84,0))</f>
        <v>0</v>
      </c>
      <c r="BY38" s="0" t="n">
        <f aca="false">IF(BY36="",0,IF(BY37=Milestones!$AB$85,Milestones!$AC$85,0))</f>
        <v>0</v>
      </c>
      <c r="BZ38" s="0" t="n">
        <f aca="false">IF(BZ36="",0,IF(BZ37=Milestones!$AB$86,Milestones!$AC$86,0))</f>
        <v>0</v>
      </c>
      <c r="CA38" s="0" t="n">
        <f aca="false">IF(CA36="",0,IF(CA37=Milestones!$AB$87,Milestones!$AC$87,0))</f>
        <v>0</v>
      </c>
      <c r="CB38" s="0" t="n">
        <f aca="false">IF(CB36="",0,IF(CB37=Milestones!$AB$88,Milestones!$AC$88,0))</f>
        <v>0</v>
      </c>
      <c r="CC38" s="0" t="n">
        <f aca="false">IF(CC36="",0,IF(CC37=Milestones!$AB$89,Milestones!$AC$89,0))</f>
        <v>0</v>
      </c>
      <c r="CD38" s="0" t="n">
        <f aca="false">IF(CD36="",0,IF(CD37=Milestones!$AB$90,Milestones!$AC$90,0))</f>
        <v>0</v>
      </c>
      <c r="CE38" s="0" t="n">
        <f aca="false">IF(CE36="",0,IF(CE37=Milestones!$AB$91,Milestones!$AC$91,0))</f>
        <v>0</v>
      </c>
      <c r="CF38" s="0" t="n">
        <f aca="false">IF(CF36="",0,IF(CF37=Milestones!$AB$92,Milestones!$AC$92,0))</f>
        <v>0</v>
      </c>
      <c r="CG38" s="0" t="n">
        <f aca="false">IF(CG36="",0,IF(CG37=Milestones!$AB$93,Milestones!$AC$93,0))</f>
        <v>0</v>
      </c>
      <c r="CH38" s="0" t="n">
        <f aca="false">IF(CH36="",0,IF(CH37=Milestones!$AB$94,Milestones!$AC$94,0))</f>
        <v>0</v>
      </c>
      <c r="CI38" s="0" t="n">
        <f aca="false">IF(CI36="",0,IF(CI37=Milestones!$AB$95,Milestones!$AC$95,0))</f>
        <v>0</v>
      </c>
      <c r="CJ38" s="0" t="n">
        <f aca="false">IF(CJ36="",0,IF(CJ37=Milestones!$AB$96,Milestones!$AC$96,0))</f>
        <v>0</v>
      </c>
      <c r="CK38" s="0" t="n">
        <f aca="false">IF(CK36="",0,IF(CK37=Milestones!$AB$97,Milestones!$AC$97,0))</f>
        <v>0</v>
      </c>
      <c r="CL38" s="0" t="n">
        <f aca="false">IF(CL36="",0,IF(CL37=Milestones!$AB$98,Milestones!$AC$98,0))</f>
        <v>0</v>
      </c>
      <c r="CM38" s="0" t="n">
        <f aca="false">IF(CM36="",0,IF(CM37=Milestones!$AB$99,Milestones!$AC$99,0))</f>
        <v>0</v>
      </c>
      <c r="CN38" s="0" t="n">
        <f aca="false">IF(CN36="",0,IF(CN37=Milestones!$AB$100,Milestones!$AC$100,0))</f>
        <v>0</v>
      </c>
      <c r="CO38" s="0" t="n">
        <f aca="false">IF(CO36="",0,IF(CO37=Milestones!$AB$101,Milestones!$AC$101,0))</f>
        <v>0</v>
      </c>
      <c r="CP38" s="0" t="n">
        <f aca="false">IF(CP36="",0,IF(CP37=Milestones!$AB$102,Milestones!$AC$102,0))</f>
        <v>0</v>
      </c>
      <c r="CQ38" s="0" t="n">
        <f aca="false">IF(CQ36="",0,IF(CQ37=Milestones!$AB$103,Milestones!$AC$103,0))</f>
        <v>0</v>
      </c>
      <c r="CR38" s="0" t="n">
        <f aca="false">IF(CR36="",0,IF(CR37=Milestones!$AB$104,Milestones!$AC$104,0))</f>
        <v>0</v>
      </c>
      <c r="CS38" s="0" t="n">
        <f aca="false">IF(CS36="",0,IF(CS37=Milestones!$AB$105,Milestones!$AC$105,0))</f>
        <v>0</v>
      </c>
      <c r="CT38" s="0" t="n">
        <f aca="false">IF(CT36="",0,IF(CT37=Milestones!$AB$106,Milestones!$AC$106,0))</f>
        <v>0</v>
      </c>
      <c r="CU38" s="0" t="n">
        <f aca="false">IF(CU36="",0,IF(CU37=Milestones!$AB$107,Milestones!$AC$107,0))</f>
        <v>0</v>
      </c>
      <c r="CV38" s="0" t="n">
        <f aca="false">IF(CV36="",0,IF(CV37=Milestones!$AB$108,Milestones!$AC$108,0))</f>
        <v>0</v>
      </c>
      <c r="CW38" s="0" t="n">
        <f aca="false">IF(CW36="",0,IF(CW37=Milestones!$AB$109,Milestones!$AC$109,0))</f>
        <v>0</v>
      </c>
      <c r="CX38" s="0" t="n">
        <f aca="false">IF(CX36="",0,IF(CX37=Milestones!$AB$110,Milestones!$AC$110,0))</f>
        <v>0</v>
      </c>
      <c r="CY38" s="0" t="n">
        <f aca="false">IF(CY36="",0,IF(CY37=Milestones!$AB$111,Milestones!$AC$111,0))</f>
        <v>0</v>
      </c>
      <c r="CZ38" s="0" t="n">
        <f aca="false">IF(CZ36="",0,IF(CZ37=Milestones!$AB$112,Milestones!$AC$112,0))</f>
        <v>0</v>
      </c>
      <c r="DA38" s="0" t="n">
        <f aca="false">IF(DA36="",0,IF(DA37=Milestones!$AB$113,Milestones!$AC$113,0))</f>
        <v>0</v>
      </c>
      <c r="DB38" s="0" t="n">
        <f aca="false">IF(DB36="",0,IF(DB37=Milestones!$AB$114,Milestones!$AC$114,0))</f>
        <v>0</v>
      </c>
      <c r="DC38" s="0" t="n">
        <f aca="false">IF(DC36="",0,IF(DC37=Milestones!$AB$115,Milestones!$AC$115,0))</f>
        <v>0</v>
      </c>
      <c r="DD38" s="0" t="n">
        <f aca="false">IF(DD36="",0,IF(DD37=Milestones!$AB$116,Milestones!$AC$116,0))</f>
        <v>0</v>
      </c>
      <c r="DE38" s="0" t="n">
        <f aca="false">IF(DE36="",0,IF(DE37=Milestones!$AB$117,Milestones!$AC$117,0))</f>
        <v>0</v>
      </c>
      <c r="DF38" s="0" t="n">
        <f aca="false">IF(DF36="",0,IF(DF37=Milestones!$AB$118,Milestones!$AC$118,0))</f>
        <v>0</v>
      </c>
      <c r="DG38" s="0" t="n">
        <f aca="false">IF(DG36="",0,IF(DG37=Milestones!$AB$119,Milestones!$AC$119,0))</f>
        <v>0</v>
      </c>
      <c r="DH38" s="0" t="n">
        <f aca="false">IF(DH36="",0,IF(DH37=Milestones!$AB$120,Milestones!$AC$120,0))</f>
        <v>0</v>
      </c>
      <c r="DI38" s="0" t="n">
        <f aca="false">IF(DI36="",0,IF(DI37=Milestones!$AB$121,Milestones!$AC$121,0))</f>
        <v>0</v>
      </c>
      <c r="DJ38" s="0" t="n">
        <f aca="false">IF(DJ36="",0,IF(DJ37=Milestones!$AB$122,Milestones!$AC$122,0))</f>
        <v>0</v>
      </c>
      <c r="DK38" s="0" t="n">
        <f aca="false">IF(DK36="",0,IF(DK37=Milestones!$AB$123,Milestones!$AC$123,0))</f>
        <v>0</v>
      </c>
      <c r="DL38" s="0" t="n">
        <f aca="false">IF(DL36="",0,IF(DL37=Milestones!$AB$124,Milestones!$AC$124,0))</f>
        <v>0</v>
      </c>
      <c r="DM38" s="0" t="n">
        <f aca="false">IF(DM36="",0,IF(DM37=Milestones!$AB$125,Milestones!$AC$125,0))</f>
        <v>0</v>
      </c>
      <c r="DN38" s="0" t="n">
        <f aca="false">IF(DN36="",0,IF(DN37=Milestones!$AB$126,Milestones!$AC$126,0))</f>
        <v>0</v>
      </c>
      <c r="DO38" s="0" t="n">
        <f aca="false">IF(DO36="",0,IF(DO37=Milestones!$AB$127,Milestones!$AC$127,0))</f>
        <v>0</v>
      </c>
      <c r="DP38" s="0" t="n">
        <f aca="false">IF(DP36="",0,IF(DP37=Milestones!$AB$128,Milestones!$AC$128,0))</f>
        <v>0</v>
      </c>
      <c r="DQ38" s="0" t="n">
        <f aca="false">IF(DQ36="",0,IF(DQ37=Milestones!$AB$129,Milestones!$AC$129,0))</f>
        <v>0</v>
      </c>
      <c r="DR38" s="0" t="n">
        <f aca="false">IF(DR36="",0,IF(DR37=Milestones!$AB$130,Milestones!$AC$130,0))</f>
        <v>0</v>
      </c>
      <c r="DS38" s="0" t="n">
        <f aca="false">IF(DS36="",0,IF(DS37=Milestones!$AB$131,Milestones!$AC$131,0))</f>
        <v>0</v>
      </c>
      <c r="DT38" s="0" t="n">
        <f aca="false">IF(DT36="",0,IF(DT37=Milestones!$AB$132,Milestones!$AC$132,0))</f>
        <v>0</v>
      </c>
      <c r="DU38" s="0" t="n">
        <f aca="false">IF(DU36="",0,IF(DU37=Milestones!$AB$133,Milestones!$AC$133,0))</f>
        <v>0</v>
      </c>
      <c r="DV38" s="0" t="n">
        <f aca="false">IF(DV36="",0,IF(DV37=Milestones!$AB$134,Milestones!$AC$134,0))</f>
        <v>0</v>
      </c>
      <c r="DW38" s="0" t="n">
        <f aca="false">IF(DW36="",0,IF(DW37=Milestones!$AB$135,Milestones!$AC$135,0))</f>
        <v>0</v>
      </c>
      <c r="DX38" s="0" t="n">
        <f aca="false">IF(DX36="",0,IF(DX37=Milestones!$AB$136,Milestones!$AC$136,0))</f>
        <v>0</v>
      </c>
      <c r="DY38" s="0" t="n">
        <f aca="false">IF(DY36="",0,IF(DY37=Milestones!$AB$137,Milestones!$AC$137,0))</f>
        <v>0</v>
      </c>
      <c r="DZ38" s="0" t="n">
        <f aca="false">IF(DZ36="",0,IF(DZ37=Milestones!$AB$138,Milestones!$AC$138,0))</f>
        <v>0</v>
      </c>
      <c r="EA38" s="0" t="n">
        <f aca="false">IF(EA36="",0,IF(EA37=Milestones!$AB$139,Milestones!$AC$139,0))</f>
        <v>0</v>
      </c>
      <c r="EB38" s="0" t="n">
        <f aca="false">IF(EB36="",0,IF(EB37=Milestones!$AB$140,Milestones!$AC$140,0))</f>
        <v>0</v>
      </c>
      <c r="EC38" s="0" t="n">
        <f aca="false">IF(EC36="",0,IF(EC37=Milestones!$AB$141,Milestones!$AC$141,0))</f>
        <v>0</v>
      </c>
      <c r="ED38" s="0" t="n">
        <f aca="false">IF(ED36="",0,IF(ED37=Milestones!$AB$142,Milestones!$AC$142,0))</f>
        <v>0</v>
      </c>
      <c r="EE38" s="0" t="n">
        <f aca="false">IF(EE36="",0,IF(EE37=Milestones!$AB$143,Milestones!$AC$143,0))</f>
        <v>0</v>
      </c>
      <c r="EF38" s="0" t="n">
        <f aca="false">IF(EF36="",0,IF(EF37=Milestones!$AB$144,Milestones!$AC$144,0))</f>
        <v>0</v>
      </c>
      <c r="EG38" s="0" t="n">
        <f aca="false">IF(EG36="",0,IF(EG37=Milestones!$AB$145,Milestones!$AC$145,0))</f>
        <v>0</v>
      </c>
      <c r="EH38" s="0" t="n">
        <f aca="false">IF(EH36="",0,IF(EH37=Milestones!$AB$146,Milestones!$AC$146,0))</f>
        <v>0</v>
      </c>
      <c r="EI38" s="0" t="n">
        <f aca="false">IF(EI36="",0,IF(EI37=Milestones!$AB$147,Milestones!$AC$147,0))</f>
        <v>0</v>
      </c>
      <c r="EJ38" s="0" t="n">
        <f aca="false">IF(EJ36="",0,IF(EJ37=Milestones!$AB$148,Milestones!$AC$148,0))</f>
        <v>0</v>
      </c>
      <c r="EK38" s="0" t="n">
        <f aca="false">IF(EK36="",0,IF(EK37=Milestones!$AB$149,Milestones!$AC$149,0))</f>
        <v>0</v>
      </c>
      <c r="EL38" s="0" t="n">
        <f aca="false">IF(EL36="",0,IF(EL37=Milestones!$AB$150,Milestones!$AC$150,0))</f>
        <v>0</v>
      </c>
      <c r="EM38" s="0" t="n">
        <f aca="false">IF(EM36="",0,IF(EM37=Milestones!$AB$151,Milestones!$AC$151,0))</f>
        <v>0</v>
      </c>
      <c r="EN38" s="0" t="n">
        <f aca="false">IF(EN36="",0,IF(EN37=Milestones!$AB$152,Milestones!$AC$152,0))</f>
        <v>0</v>
      </c>
      <c r="EO38" s="0" t="n">
        <f aca="false">IF(EO36="",0,IF(EO37=Milestones!$AB$153,Milestones!$AC$153,0))</f>
        <v>0</v>
      </c>
      <c r="EP38" s="0" t="n">
        <f aca="false">IF(EP36="",0,IF(EP37=Milestones!$AB$154,Milestones!$AC$154,0))</f>
        <v>0</v>
      </c>
      <c r="EQ38" s="0" t="n">
        <f aca="false">IF(EQ36="",0,IF(EQ37=Milestones!$AB$155,Milestones!$AC$155,0))</f>
        <v>0</v>
      </c>
      <c r="ER38" s="0" t="n">
        <f aca="false">IF(ER36="",0,IF(ER37=Milestones!$AB$156,Milestones!$AC$156,0))</f>
        <v>0</v>
      </c>
      <c r="ES38" s="0" t="n">
        <f aca="false">IF(ES36="",0,IF(ES37=Milestones!$AB$157,Milestones!$AC$157,0))</f>
        <v>0</v>
      </c>
      <c r="ET38" s="0" t="n">
        <f aca="false">IF(ET36="",0,IF(ET37=Milestones!$AB$158,Milestones!$AC$158,0))</f>
        <v>0</v>
      </c>
      <c r="EU38" s="0" t="n">
        <f aca="false">IF(EU36="",0,IF(EU37=Milestones!$AB$159,Milestones!$AC$159,0))</f>
        <v>0</v>
      </c>
      <c r="EV38" s="0" t="n">
        <f aca="false">IF(EV36="",0,IF(EV37=Milestones!$AB$160,Milestones!$AC$160,0))</f>
        <v>0</v>
      </c>
      <c r="EW38" s="0" t="n">
        <f aca="false">IF(EW36="",0,IF(EW37=Milestones!$AB$161,Milestones!$AC$161,0))</f>
        <v>0</v>
      </c>
      <c r="EX38" s="0" t="n">
        <f aca="false">IF(EX36="",0,IF(EX37=Milestones!$AB$162,Milestones!$AC$162,0))</f>
        <v>0</v>
      </c>
      <c r="EY38" s="0" t="n">
        <f aca="false">IF(EY36="",0,IF(EY37=Milestones!$AB$163,Milestones!$AC$163,0))</f>
        <v>0</v>
      </c>
      <c r="EZ38" s="0" t="n">
        <f aca="false">IF(EZ36="",0,IF(EZ37=Milestones!$AB$164,Milestones!$AC$164,0))</f>
        <v>0</v>
      </c>
      <c r="FA38" s="0" t="n">
        <f aca="false">IF(FA36="",0,IF(FA37=Milestones!$AB$165,Milestones!$AC$165,0))</f>
        <v>0</v>
      </c>
      <c r="FB38" s="0" t="n">
        <f aca="false">IF(FB36="",0,IF(FB37=Milestones!$AB$166,Milestones!$AC$166,0))</f>
        <v>0</v>
      </c>
      <c r="FC38" s="0" t="n">
        <f aca="false">IF(FC36="",0,IF(FC37=Milestones!$AB$167,Milestones!$AC$167,0))</f>
        <v>0</v>
      </c>
      <c r="FD38" s="0" t="n">
        <f aca="false">IF(FD36="",0,IF(FD37=Milestones!$AB$168,Milestones!$AC$168,0))</f>
        <v>0</v>
      </c>
      <c r="FE38" s="0" t="n">
        <f aca="false">IF(FE36="",0,IF(FE37=Milestones!$AB$169,Milestones!$AC$169,0))</f>
        <v>0</v>
      </c>
      <c r="FF38" s="0" t="n">
        <f aca="false">IF(FF36="",0,IF(FF37=Milestones!$AB$170,Milestones!$AC$170,0))</f>
        <v>0</v>
      </c>
      <c r="FG38" s="0" t="n">
        <f aca="false">IF(FG36="",0,IF(FG37=Milestones!$AB$171,Milestones!$AC$171,0))</f>
        <v>0</v>
      </c>
      <c r="FH38" s="0" t="n">
        <f aca="false">IF(FH36="",0,IF(FH37=Milestones!$AB$172,Milestones!$AC$172,0))</f>
        <v>0</v>
      </c>
      <c r="FI38" s="0" t="n">
        <f aca="false">IF(FI36="",0,IF(FI37=Milestones!$AB$173,Milestones!$AC$173,0))</f>
        <v>0</v>
      </c>
      <c r="FJ38" s="0" t="n">
        <f aca="false">IF(FJ36="",0,IF(FJ37=Milestones!$AB$174,Milestones!$AC$174,0))</f>
        <v>0</v>
      </c>
      <c r="FK38" s="0" t="n">
        <f aca="false">IF(FK36="",0,IF(FK37=Milestones!$AB$175,Milestones!$AC$175,0))</f>
        <v>0</v>
      </c>
      <c r="FL38" s="0" t="n">
        <f aca="false">IF(FL36="",0,IF(FL37=Milestones!$AB$176,Milestones!$AC$176,0))</f>
        <v>0</v>
      </c>
      <c r="FM38" s="0" t="n">
        <f aca="false">IF(FM36="",0,IF(FM37=Milestones!$AB$177,Milestones!$AC$177,0))</f>
        <v>0</v>
      </c>
      <c r="FN38" s="0" t="n">
        <f aca="false">IF(FN36="",0,IF(FN37=Milestones!$AB$178,Milestones!$AC$178,0))</f>
        <v>0</v>
      </c>
      <c r="FO38" s="0" t="n">
        <f aca="false">IF(FO36="",0,IF(FO37=Milestones!$AB$179,Milestones!$AC$179,0))</f>
        <v>0</v>
      </c>
      <c r="FP38" s="0" t="n">
        <f aca="false">IF(FP36="",0,IF(FP37=Milestones!$AB$180,Milestones!$AC$180,0))</f>
        <v>0</v>
      </c>
      <c r="FQ38" s="0" t="n">
        <f aca="false">IF(FQ36="",0,IF(FQ37=Milestones!$AB$181,Milestones!$AC$181,0))</f>
        <v>0</v>
      </c>
      <c r="FR38" s="0" t="n">
        <f aca="false">IF(FR36="",0,IF(FR37=Milestones!$AB$182,Milestones!$AC$182,0))</f>
        <v>0</v>
      </c>
      <c r="FS38" s="0" t="n">
        <f aca="false">IF(FS36="",0,IF(FS37=Milestones!$AB$183,Milestones!$AC$183,0))</f>
        <v>0</v>
      </c>
      <c r="FT38" s="0" t="n">
        <f aca="false">IF(FT36="",0,IF(FT37=Milestones!$AB$184,Milestones!$AC$184,0))</f>
        <v>0</v>
      </c>
      <c r="FU38" s="0" t="n">
        <f aca="false">IF(FU36="",0,IF(FU37=Milestones!$AB$185,Milestones!$AC$185,0))</f>
        <v>0</v>
      </c>
      <c r="FV38" s="0" t="n">
        <f aca="false">IF(FV36="",0,IF(FV37=Milestones!$AB$186,Milestones!$AC$186,0))</f>
        <v>0</v>
      </c>
      <c r="FW38" s="0" t="n">
        <f aca="false">IF(FW36="",0,IF(FW37=Milestones!$AB$187,Milestones!$AC$187,0))</f>
        <v>0</v>
      </c>
      <c r="FX38" s="0" t="n">
        <f aca="false">IF(FX36="",0,IF(FX37=Milestones!$AB$188,Milestones!$AC$188,0))</f>
        <v>0</v>
      </c>
      <c r="FY38" s="0" t="n">
        <f aca="false">IF(FY36="",0,IF(FY37=Milestones!$AB$189,Milestones!$AC$189,0))</f>
        <v>0</v>
      </c>
      <c r="FZ38" s="0" t="n">
        <f aca="false">IF(FZ36="",0,IF(FZ37=Milestones!$AB$190,Milestones!$AC$190,0))</f>
        <v>0</v>
      </c>
      <c r="GA38" s="0" t="n">
        <f aca="false">IF(GA36="",0,IF(GA37=Milestones!$AB$191,Milestones!$AC$191,0))</f>
        <v>0</v>
      </c>
      <c r="GB38" s="0" t="n">
        <f aca="false">IF(GB36="",0,IF(GB37=Milestones!$AB$192,Milestones!$AC$192,0))</f>
        <v>0</v>
      </c>
      <c r="GC38" s="0" t="n">
        <f aca="false">IF(GC36="",0,IF(GC37=Milestones!$AB$193,Milestones!$AC$193,0))</f>
        <v>0</v>
      </c>
      <c r="GD38" s="0" t="n">
        <f aca="false">IF(GD36="",0,IF(GD37=Milestones!$AB$194,Milestones!$AC$194,0))</f>
        <v>0</v>
      </c>
      <c r="GE38" s="0" t="n">
        <f aca="false">IF(GE36="",0,IF(GE37=Milestones!$AB$195,Milestones!$AC$195,0))</f>
        <v>0</v>
      </c>
      <c r="GF38" s="0" t="n">
        <f aca="false">IF(GF36="",0,IF(GF37=Milestones!$AB$196,Milestones!$AC$196,0))</f>
        <v>0</v>
      </c>
      <c r="GG38" s="0" t="n">
        <f aca="false">IF(GG36="",0,IF(GG37=Milestones!$AB$197,Milestones!$AC$197,0))</f>
        <v>0</v>
      </c>
      <c r="GH38" s="0" t="n">
        <f aca="false">IF(GH36="",0,IF(GH37=Milestones!$AB$198,Milestones!$AC$198,0))</f>
        <v>0</v>
      </c>
      <c r="GI38" s="0" t="n">
        <f aca="false">IF(GI36="",0,IF(GI37=Milestones!$AB$199,Milestones!$AC$199,0))</f>
        <v>0</v>
      </c>
    </row>
    <row r="39" customFormat="false" ht="15" hidden="false" customHeight="false" outlineLevel="0" collapsed="false">
      <c r="A39" s="0" t="str">
        <f aca="false">IF('HR Tally Check'!N$7="","",'HR Tally Check'!N$7)</f>
        <v/>
      </c>
      <c r="B39" s="0" t="str">
        <f aca="false">IF(A39="","",ISNUMBER(MATCH(A39,Staff!$BJ$5:$BJ$154,0)))</f>
        <v/>
      </c>
      <c r="C39" s="18" t="str">
        <f aca="false">IF(B39&lt;&gt;TRUE(),"",INDEX(Staff!$AH$5:$AH$154,MATCH($A39,Staff!$BJ$5:$BJ$154,0)))</f>
        <v/>
      </c>
      <c r="D39" s="0" t="str">
        <f aca="false">IF(B39&lt;&gt;TRUE(),"",INDEX(Staff!$AI$5:$AI$154,MATCH($A39,Staff!$BJ$5:$BJ$154,0)))</f>
        <v/>
      </c>
      <c r="E39" s="18" t="str">
        <f aca="false">IF(B39&lt;&gt;TRUE(),"",INDEX(Staff!$AK$5:$AK$154,MATCH($A39,Staff!$BJ$5:$BJ$154,0)))</f>
        <v/>
      </c>
      <c r="F39" s="18" t="str">
        <f aca="false">IF(B39&lt;&gt;TRUE(),"",INDEX(Staff!$AL$5:$AL$154,MATCH($A39,Staff!$BJ$5:$BJ$154,0)))</f>
        <v/>
      </c>
      <c r="G39" s="0" t="str">
        <f aca="false">IF(B39&lt;&gt;TRUE(),"",INDEX(Staff!$AP$5:$AP$154,MATCH($A39,Staff!$BJ$5:$BJ$154,0)))</f>
        <v/>
      </c>
      <c r="H39" s="0" t="str">
        <f aca="false">IF(B39&lt;&gt;TRUE(),"",INDEX(Staff!$AQ$5:$AQ$154,MATCH($A39,Staff!$BJ$5:$BJ$154,0)))</f>
        <v/>
      </c>
      <c r="I39" s="0" t="str">
        <f aca="false">IF(B39&lt;&gt;TRUE(),"",INDEX(Staff!$AR$5:$AR$154,MATCH($A39,Staff!$BJ$5:$BJ$154,0)))</f>
        <v/>
      </c>
      <c r="J39" s="0" t="str">
        <f aca="false">IF(B39&lt;&gt;TRUE(),"",INDEX(Staff!$AS$5:$AS$154,MATCH($A39,Staff!$BJ$5:$BJ$154,0)))</f>
        <v/>
      </c>
      <c r="K39" s="31" t="s">
        <v>228</v>
      </c>
      <c r="L39" s="18" t="str">
        <f aca="false">IF($C39="","",EDATE($C39,Milestones!$AA$20))</f>
        <v/>
      </c>
      <c r="M39" s="18" t="str">
        <f aca="false">IF($C39="","",EDATE($C39,Milestones!$AA$21))</f>
        <v/>
      </c>
      <c r="N39" s="18" t="str">
        <f aca="false">IF($C39="","",EDATE($C39,Milestones!$AA$22))</f>
        <v/>
      </c>
      <c r="O39" s="18" t="str">
        <f aca="false">IF($C39="","",EDATE($C39,Milestones!$AA$23))</f>
        <v/>
      </c>
      <c r="P39" s="18" t="str">
        <f aca="false">IF($C39="","",EDATE($C39,Milestones!$AA$24))</f>
        <v/>
      </c>
      <c r="Q39" s="18" t="str">
        <f aca="false">IF($C39="","",EDATE($C39,Milestones!$AA$25))</f>
        <v/>
      </c>
      <c r="R39" s="18" t="str">
        <f aca="false">IF($C39="","",EDATE($C39,Milestones!$AA$26))</f>
        <v/>
      </c>
      <c r="S39" s="18" t="str">
        <f aca="false">IF($C39="","",EDATE($C39,Milestones!$AA$27))</f>
        <v/>
      </c>
      <c r="T39" s="18" t="str">
        <f aca="false">IF($C39="","",EDATE($C39,Milestones!$AA$28))</f>
        <v/>
      </c>
      <c r="U39" s="18" t="str">
        <f aca="false">IF($C39="","",EDATE($C39,Milestones!$AA$29))</f>
        <v/>
      </c>
      <c r="V39" s="18" t="str">
        <f aca="false">IF($C39="","",EDATE($C39,Milestones!$AA$30))</f>
        <v/>
      </c>
      <c r="W39" s="18" t="str">
        <f aca="false">IF($C39="","",EDATE($C39,Milestones!$AA$31))</f>
        <v/>
      </c>
      <c r="X39" s="18" t="str">
        <f aca="false">IF($C39="","",EDATE($C39,Milestones!$AA$32))</f>
        <v/>
      </c>
      <c r="Y39" s="18" t="str">
        <f aca="false">IF($C39="","",EDATE($C39,Milestones!$AA$33))</f>
        <v/>
      </c>
      <c r="Z39" s="18" t="str">
        <f aca="false">IF($C39="","",EDATE($C39,Milestones!$AA$34))</f>
        <v/>
      </c>
      <c r="AA39" s="18" t="str">
        <f aca="false">IF($C39="","",EDATE($C39,Milestones!$AA$35))</f>
        <v/>
      </c>
      <c r="AB39" s="18" t="str">
        <f aca="false">IF($C39="","",EDATE($C39,Milestones!$AA$36))</f>
        <v/>
      </c>
      <c r="AC39" s="18" t="str">
        <f aca="false">IF($C39="","",EDATE($C39,Milestones!$AA$37))</f>
        <v/>
      </c>
      <c r="AD39" s="18" t="str">
        <f aca="false">IF($C39="","",EDATE($C39,Milestones!$AA$38))</f>
        <v/>
      </c>
      <c r="AE39" s="18" t="str">
        <f aca="false">IF($C39="","",EDATE($C39,Milestones!$AA$39))</f>
        <v/>
      </c>
      <c r="AF39" s="18" t="str">
        <f aca="false">IF($C39="","",EDATE($C39,Milestones!$AA$40))</f>
        <v/>
      </c>
      <c r="AG39" s="18" t="str">
        <f aca="false">IF($C39="","",EDATE($C39,Milestones!$AA$41))</f>
        <v/>
      </c>
      <c r="AH39" s="18" t="str">
        <f aca="false">IF($C39="","",EDATE($C39,Milestones!$AA$42))</f>
        <v/>
      </c>
      <c r="AI39" s="18" t="str">
        <f aca="false">IF($C39="","",EDATE($C39,Milestones!$AA$43))</f>
        <v/>
      </c>
      <c r="AJ39" s="18" t="str">
        <f aca="false">IF($C39="","",EDATE($C39,Milestones!$AA$44))</f>
        <v/>
      </c>
      <c r="AK39" s="18" t="str">
        <f aca="false">IF($C39="","",EDATE($C39,Milestones!$AA$45))</f>
        <v/>
      </c>
      <c r="AL39" s="18" t="str">
        <f aca="false">IF($C39="","",EDATE($C39,Milestones!$AA$46))</f>
        <v/>
      </c>
      <c r="AM39" s="18" t="str">
        <f aca="false">IF($C39="","",EDATE($C39,Milestones!$AA$47))</f>
        <v/>
      </c>
      <c r="AN39" s="18" t="str">
        <f aca="false">IF($C39="","",EDATE($C39,Milestones!$AA$48))</f>
        <v/>
      </c>
      <c r="AO39" s="18" t="str">
        <f aca="false">IF($C39="","",EDATE($C39,Milestones!$AA$49))</f>
        <v/>
      </c>
      <c r="AP39" s="18" t="str">
        <f aca="false">IF($C39="","",EDATE($C39,Milestones!$AA$50))</f>
        <v/>
      </c>
      <c r="AQ39" s="18" t="str">
        <f aca="false">IF($C39="","",EDATE($C39,Milestones!$AA$51))</f>
        <v/>
      </c>
      <c r="AR39" s="18" t="str">
        <f aca="false">IF($C39="","",EDATE($C39,Milestones!$AA$52))</f>
        <v/>
      </c>
      <c r="AS39" s="18" t="str">
        <f aca="false">IF($C39="","",EDATE($C39,Milestones!$AA$53))</f>
        <v/>
      </c>
      <c r="AT39" s="18" t="str">
        <f aca="false">IF($C39="","",EDATE($C39,Milestones!$AA$54))</f>
        <v/>
      </c>
      <c r="AU39" s="18" t="str">
        <f aca="false">IF($C39="","",EDATE($C39,Milestones!$AA$55))</f>
        <v/>
      </c>
      <c r="AV39" s="18" t="str">
        <f aca="false">IF($C39="","",EDATE($C39,Milestones!$AA$56))</f>
        <v/>
      </c>
      <c r="AW39" s="18" t="str">
        <f aca="false">IF($C39="","",EDATE($C39,Milestones!$AA$57))</f>
        <v/>
      </c>
      <c r="AX39" s="18" t="str">
        <f aca="false">IF($C39="","",EDATE($C39,Milestones!$AA$58))</f>
        <v/>
      </c>
      <c r="AY39" s="18" t="str">
        <f aca="false">IF($C39="","",EDATE($C39,Milestones!$AA$59))</f>
        <v/>
      </c>
      <c r="AZ39" s="18" t="str">
        <f aca="false">IF($C39="","",EDATE($C39,Milestones!$AA$60))</f>
        <v/>
      </c>
      <c r="BA39" s="18" t="str">
        <f aca="false">IF($C39="","",EDATE($C39,Milestones!$AA$61))</f>
        <v/>
      </c>
      <c r="BB39" s="18" t="str">
        <f aca="false">IF($C39="","",EDATE($C39,Milestones!$AA$62))</f>
        <v/>
      </c>
      <c r="BC39" s="18" t="str">
        <f aca="false">IF($C39="","",EDATE($C39,Milestones!$AA$63))</f>
        <v/>
      </c>
      <c r="BD39" s="18" t="str">
        <f aca="false">IF($C39="","",EDATE($C39,Milestones!$AA$64))</f>
        <v/>
      </c>
      <c r="BE39" s="18" t="str">
        <f aca="false">IF($C39="","",EDATE($C39,Milestones!$AA$65))</f>
        <v/>
      </c>
      <c r="BF39" s="18" t="str">
        <f aca="false">IF($C39="","",EDATE($C39,Milestones!$AA$66))</f>
        <v/>
      </c>
      <c r="BG39" s="18" t="str">
        <f aca="false">IF($C39="","",EDATE($C39,Milestones!$AA$67))</f>
        <v/>
      </c>
      <c r="BH39" s="18" t="str">
        <f aca="false">IF($C39="","",EDATE($C39,Milestones!$AA$68))</f>
        <v/>
      </c>
      <c r="BI39" s="18" t="str">
        <f aca="false">IF($C39="","",EDATE($C39,Milestones!$AA$69))</f>
        <v/>
      </c>
      <c r="BJ39" s="18" t="str">
        <f aca="false">IF($C39="","",EDATE($C39,Milestones!$AA$70))</f>
        <v/>
      </c>
      <c r="BK39" s="18" t="str">
        <f aca="false">IF($C39="","",EDATE($C39,Milestones!$AA$71))</f>
        <v/>
      </c>
      <c r="BL39" s="18" t="str">
        <f aca="false">IF($C39="","",EDATE($C39,Milestones!$AA$72))</f>
        <v/>
      </c>
      <c r="BM39" s="18" t="str">
        <f aca="false">IF($C39="","",EDATE($C39,Milestones!$AA$73))</f>
        <v/>
      </c>
      <c r="BN39" s="18" t="str">
        <f aca="false">IF($C39="","",EDATE($C39,Milestones!$AA$74))</f>
        <v/>
      </c>
      <c r="BO39" s="18" t="str">
        <f aca="false">IF($C39="","",EDATE($C39,Milestones!$AA$75))</f>
        <v/>
      </c>
      <c r="BP39" s="18" t="str">
        <f aca="false">IF($C39="","",EDATE($C39,Milestones!$AA$76))</f>
        <v/>
      </c>
      <c r="BQ39" s="18" t="str">
        <f aca="false">IF($C39="","",EDATE($C39,Milestones!$AA$77))</f>
        <v/>
      </c>
      <c r="BR39" s="18" t="str">
        <f aca="false">IF($C39="","",EDATE($C39,Milestones!$AA$78))</f>
        <v/>
      </c>
      <c r="BS39" s="18" t="str">
        <f aca="false">IF($C39="","",EDATE($C39,Milestones!$AA$79))</f>
        <v/>
      </c>
      <c r="BT39" s="18" t="str">
        <f aca="false">IF($C39="","",EDATE($C39,Milestones!$AA$80))</f>
        <v/>
      </c>
      <c r="BU39" s="18" t="str">
        <f aca="false">IF($C39="","",EDATE($C39,Milestones!$AA$81))</f>
        <v/>
      </c>
      <c r="BV39" s="18" t="str">
        <f aca="false">IF($C39="","",EDATE($C39,Milestones!$AA$82))</f>
        <v/>
      </c>
      <c r="BW39" s="18" t="str">
        <f aca="false">IF($C39="","",EDATE($C39,Milestones!$AA$83))</f>
        <v/>
      </c>
      <c r="BX39" s="18" t="str">
        <f aca="false">IF($C39="","",EDATE($C39,Milestones!$AA$84))</f>
        <v/>
      </c>
      <c r="BY39" s="18" t="str">
        <f aca="false">IF($C39="","",EDATE($C39,Milestones!$AA$85))</f>
        <v/>
      </c>
      <c r="BZ39" s="18" t="str">
        <f aca="false">IF($C39="","",EDATE($C39,Milestones!$AA$86))</f>
        <v/>
      </c>
      <c r="CA39" s="18" t="str">
        <f aca="false">IF($C39="","",EDATE($C39,Milestones!$AA$87))</f>
        <v/>
      </c>
      <c r="CB39" s="18" t="str">
        <f aca="false">IF($C39="","",EDATE($C39,Milestones!$AA$88))</f>
        <v/>
      </c>
      <c r="CC39" s="18" t="str">
        <f aca="false">IF($C39="","",EDATE($C39,Milestones!$AA$89))</f>
        <v/>
      </c>
      <c r="CD39" s="18" t="str">
        <f aca="false">IF($C39="","",EDATE($C39,Milestones!$AA$90))</f>
        <v/>
      </c>
      <c r="CE39" s="18" t="str">
        <f aca="false">IF($C39="","",EDATE($C39,Milestones!$AA$91))</f>
        <v/>
      </c>
      <c r="CF39" s="18" t="str">
        <f aca="false">IF($C39="","",EDATE($C39,Milestones!$AA$92))</f>
        <v/>
      </c>
      <c r="CG39" s="18" t="str">
        <f aca="false">IF($C39="","",EDATE($C39,Milestones!$AA$93))</f>
        <v/>
      </c>
      <c r="CH39" s="18" t="str">
        <f aca="false">IF($C39="","",EDATE($C39,Milestones!$AA$94))</f>
        <v/>
      </c>
      <c r="CI39" s="18" t="str">
        <f aca="false">IF($C39="","",EDATE($C39,Milestones!$AA$95))</f>
        <v/>
      </c>
      <c r="CJ39" s="18" t="str">
        <f aca="false">IF($C39="","",EDATE($C39,Milestones!$AA$96))</f>
        <v/>
      </c>
      <c r="CK39" s="18" t="str">
        <f aca="false">IF($C39="","",EDATE($C39,Milestones!$AA$97))</f>
        <v/>
      </c>
      <c r="CL39" s="18" t="str">
        <f aca="false">IF($C39="","",EDATE($C39,Milestones!$AA$98))</f>
        <v/>
      </c>
      <c r="CM39" s="18" t="str">
        <f aca="false">IF($C39="","",EDATE($C39,Milestones!$AA$99))</f>
        <v/>
      </c>
      <c r="CN39" s="18" t="str">
        <f aca="false">IF($C39="","",EDATE($C39,Milestones!$AA$100))</f>
        <v/>
      </c>
      <c r="CO39" s="18" t="str">
        <f aca="false">IF($C39="","",EDATE($C39,Milestones!$AA$101))</f>
        <v/>
      </c>
      <c r="CP39" s="18" t="str">
        <f aca="false">IF($C39="","",EDATE($C39,Milestones!$AA$102))</f>
        <v/>
      </c>
      <c r="CQ39" s="18" t="str">
        <f aca="false">IF($C39="","",EDATE($C39,Milestones!$AA$103))</f>
        <v/>
      </c>
      <c r="CR39" s="18" t="str">
        <f aca="false">IF($C39="","",EDATE($C39,Milestones!$AA$104))</f>
        <v/>
      </c>
      <c r="CS39" s="18" t="str">
        <f aca="false">IF($C39="","",EDATE($C39,Milestones!$AA$105))</f>
        <v/>
      </c>
      <c r="CT39" s="18" t="str">
        <f aca="false">IF($C39="","",EDATE($C39,Milestones!$AA$106))</f>
        <v/>
      </c>
      <c r="CU39" s="18" t="str">
        <f aca="false">IF($C39="","",EDATE($C39,Milestones!$AA$107))</f>
        <v/>
      </c>
      <c r="CV39" s="18" t="str">
        <f aca="false">IF($C39="","",EDATE($C39,Milestones!$AA$108))</f>
        <v/>
      </c>
      <c r="CW39" s="18" t="str">
        <f aca="false">IF($C39="","",EDATE($C39,Milestones!$AA$109))</f>
        <v/>
      </c>
      <c r="CX39" s="18" t="str">
        <f aca="false">IF($C39="","",EDATE($C39,Milestones!$AA$110))</f>
        <v/>
      </c>
      <c r="CY39" s="18" t="str">
        <f aca="false">IF($C39="","",EDATE($C39,Milestones!$AA$111))</f>
        <v/>
      </c>
      <c r="CZ39" s="18" t="str">
        <f aca="false">IF($C39="","",EDATE($C39,Milestones!$AA$112))</f>
        <v/>
      </c>
      <c r="DA39" s="18" t="str">
        <f aca="false">IF($C39="","",EDATE($C39,Milestones!$AA$113))</f>
        <v/>
      </c>
      <c r="DB39" s="18" t="str">
        <f aca="false">IF($C39="","",EDATE($C39,Milestones!$AA$114))</f>
        <v/>
      </c>
      <c r="DC39" s="18" t="str">
        <f aca="false">IF($C39="","",EDATE($C39,Milestones!$AA$115))</f>
        <v/>
      </c>
      <c r="DD39" s="18" t="str">
        <f aca="false">IF($C39="","",EDATE($C39,Milestones!$AA$116))</f>
        <v/>
      </c>
      <c r="DE39" s="18" t="str">
        <f aca="false">IF($C39="","",EDATE($C39,Milestones!$AA$117))</f>
        <v/>
      </c>
      <c r="DF39" s="18" t="str">
        <f aca="false">IF($C39="","",EDATE($C39,Milestones!$AA$118))</f>
        <v/>
      </c>
      <c r="DG39" s="18" t="str">
        <f aca="false">IF($C39="","",EDATE($C39,Milestones!$AA$119))</f>
        <v/>
      </c>
      <c r="DH39" s="18" t="str">
        <f aca="false">IF($C39="","",EDATE($C39,Milestones!$AA$120))</f>
        <v/>
      </c>
      <c r="DI39" s="18" t="str">
        <f aca="false">IF($C39="","",EDATE($C39,Milestones!$AA$121))</f>
        <v/>
      </c>
      <c r="DJ39" s="18" t="str">
        <f aca="false">IF($C39="","",EDATE($C39,Milestones!$AA$122))</f>
        <v/>
      </c>
      <c r="DK39" s="18" t="str">
        <f aca="false">IF($C39="","",EDATE($C39,Milestones!$AA$123))</f>
        <v/>
      </c>
      <c r="DL39" s="18" t="str">
        <f aca="false">IF($C39="","",EDATE($C39,Milestones!$AA$124))</f>
        <v/>
      </c>
      <c r="DM39" s="18" t="str">
        <f aca="false">IF($C39="","",EDATE($C39,Milestones!$AA$125))</f>
        <v/>
      </c>
      <c r="DN39" s="18" t="str">
        <f aca="false">IF($C39="","",EDATE($C39,Milestones!$AA$126))</f>
        <v/>
      </c>
      <c r="DO39" s="18" t="str">
        <f aca="false">IF($C39="","",EDATE($C39,Milestones!$AA$127))</f>
        <v/>
      </c>
      <c r="DP39" s="18" t="str">
        <f aca="false">IF($C39="","",EDATE($C39,Milestones!$AA$128))</f>
        <v/>
      </c>
      <c r="DQ39" s="18" t="str">
        <f aca="false">IF($C39="","",EDATE($C39,Milestones!$AA$129))</f>
        <v/>
      </c>
      <c r="DR39" s="18" t="str">
        <f aca="false">IF($C39="","",EDATE($C39,Milestones!$AA$130))</f>
        <v/>
      </c>
      <c r="DS39" s="18" t="str">
        <f aca="false">IF($C39="","",EDATE($C39,Milestones!$AA$131))</f>
        <v/>
      </c>
      <c r="DT39" s="18" t="str">
        <f aca="false">IF($C39="","",EDATE($C39,Milestones!$AA$132))</f>
        <v/>
      </c>
      <c r="DU39" s="18" t="str">
        <f aca="false">IF($C39="","",EDATE($C39,Milestones!$AA$133))</f>
        <v/>
      </c>
      <c r="DV39" s="18" t="str">
        <f aca="false">IF($C39="","",EDATE($C39,Milestones!$AA$134))</f>
        <v/>
      </c>
      <c r="DW39" s="18" t="str">
        <f aca="false">IF($C39="","",EDATE($C39,Milestones!$AA$135))</f>
        <v/>
      </c>
      <c r="DX39" s="18" t="str">
        <f aca="false">IF($C39="","",EDATE($C39,Milestones!$AA$136))</f>
        <v/>
      </c>
      <c r="DY39" s="18" t="str">
        <f aca="false">IF($C39="","",EDATE($C39,Milestones!$AA$137))</f>
        <v/>
      </c>
      <c r="DZ39" s="18" t="str">
        <f aca="false">IF($C39="","",EDATE($C39,Milestones!$AA$138))</f>
        <v/>
      </c>
      <c r="EA39" s="18" t="str">
        <f aca="false">IF($C39="","",EDATE($C39,Milestones!$AA$139))</f>
        <v/>
      </c>
      <c r="EB39" s="18" t="str">
        <f aca="false">IF($C39="","",EDATE($C39,Milestones!$AA$140))</f>
        <v/>
      </c>
      <c r="EC39" s="18" t="str">
        <f aca="false">IF($C39="","",EDATE($C39,Milestones!$AA$141))</f>
        <v/>
      </c>
      <c r="ED39" s="18" t="str">
        <f aca="false">IF($C39="","",EDATE($C39,Milestones!$AA$142))</f>
        <v/>
      </c>
      <c r="EE39" s="18" t="str">
        <f aca="false">IF($C39="","",EDATE($C39,Milestones!$AA$143))</f>
        <v/>
      </c>
      <c r="EF39" s="18" t="str">
        <f aca="false">IF($C39="","",EDATE($C39,Milestones!$AA$144))</f>
        <v/>
      </c>
      <c r="EG39" s="18" t="str">
        <f aca="false">IF($C39="","",EDATE($C39,Milestones!$AA$145))</f>
        <v/>
      </c>
      <c r="EH39" s="18" t="str">
        <f aca="false">IF($C39="","",EDATE($C39,Milestones!$AA$146))</f>
        <v/>
      </c>
      <c r="EI39" s="18" t="str">
        <f aca="false">IF($C39="","",EDATE($C39,Milestones!$AA$147))</f>
        <v/>
      </c>
      <c r="EJ39" s="18" t="str">
        <f aca="false">IF($C39="","",EDATE($C39,Milestones!$AA$148))</f>
        <v/>
      </c>
      <c r="EK39" s="18" t="str">
        <f aca="false">IF($C39="","",EDATE($C39,Milestones!$AA$149))</f>
        <v/>
      </c>
      <c r="EL39" s="18" t="str">
        <f aca="false">IF($C39="","",EDATE($C39,Milestones!$AA$150))</f>
        <v/>
      </c>
      <c r="EM39" s="18" t="str">
        <f aca="false">IF($C39="","",EDATE($C39,Milestones!$AA$151))</f>
        <v/>
      </c>
      <c r="EN39" s="18" t="str">
        <f aca="false">IF($C39="","",EDATE($C39,Milestones!$AA$152))</f>
        <v/>
      </c>
      <c r="EO39" s="18" t="str">
        <f aca="false">IF($C39="","",EDATE($C39,Milestones!$AA$153))</f>
        <v/>
      </c>
      <c r="EP39" s="18" t="str">
        <f aca="false">IF($C39="","",EDATE($C39,Milestones!$AA$154))</f>
        <v/>
      </c>
      <c r="EQ39" s="18" t="str">
        <f aca="false">IF($C39="","",EDATE($C39,Milestones!$AA$155))</f>
        <v/>
      </c>
      <c r="ER39" s="18" t="str">
        <f aca="false">IF($C39="","",EDATE($C39,Milestones!$AA$156))</f>
        <v/>
      </c>
      <c r="ES39" s="18" t="str">
        <f aca="false">IF($C39="","",EDATE($C39,Milestones!$AA$157))</f>
        <v/>
      </c>
      <c r="ET39" s="18" t="str">
        <f aca="false">IF($C39="","",EDATE($C39,Milestones!$AA$158))</f>
        <v/>
      </c>
      <c r="EU39" s="18" t="str">
        <f aca="false">IF($C39="","",EDATE($C39,Milestones!$AA$159))</f>
        <v/>
      </c>
      <c r="EV39" s="18" t="str">
        <f aca="false">IF($C39="","",EDATE($C39,Milestones!$AA$160))</f>
        <v/>
      </c>
      <c r="EW39" s="18" t="str">
        <f aca="false">IF($C39="","",EDATE($C39,Milestones!$AA$161))</f>
        <v/>
      </c>
      <c r="EX39" s="18" t="str">
        <f aca="false">IF($C39="","",EDATE($C39,Milestones!$AA$162))</f>
        <v/>
      </c>
      <c r="EY39" s="18" t="str">
        <f aca="false">IF($C39="","",EDATE($C39,Milestones!$AA$163))</f>
        <v/>
      </c>
      <c r="EZ39" s="18" t="str">
        <f aca="false">IF($C39="","",EDATE($C39,Milestones!$AA$164))</f>
        <v/>
      </c>
      <c r="FA39" s="18" t="str">
        <f aca="false">IF($C39="","",EDATE($C39,Milestones!$AA$165))</f>
        <v/>
      </c>
      <c r="FB39" s="18" t="str">
        <f aca="false">IF($C39="","",EDATE($C39,Milestones!$AA$166))</f>
        <v/>
      </c>
      <c r="FC39" s="18" t="str">
        <f aca="false">IF($C39="","",EDATE($C39,Milestones!$AA$167))</f>
        <v/>
      </c>
      <c r="FD39" s="18" t="str">
        <f aca="false">IF($C39="","",EDATE($C39,Milestones!$AA$168))</f>
        <v/>
      </c>
      <c r="FE39" s="18" t="str">
        <f aca="false">IF($C39="","",EDATE($C39,Milestones!$AA$169))</f>
        <v/>
      </c>
      <c r="FF39" s="18" t="str">
        <f aca="false">IF($C39="","",EDATE($C39,Milestones!$AA$170))</f>
        <v/>
      </c>
      <c r="FG39" s="18" t="str">
        <f aca="false">IF($C39="","",EDATE($C39,Milestones!$AA$171))</f>
        <v/>
      </c>
      <c r="FH39" s="18" t="str">
        <f aca="false">IF($C39="","",EDATE($C39,Milestones!$AA$172))</f>
        <v/>
      </c>
      <c r="FI39" s="18" t="str">
        <f aca="false">IF($C39="","",EDATE($C39,Milestones!$AA$173))</f>
        <v/>
      </c>
      <c r="FJ39" s="18" t="str">
        <f aca="false">IF($C39="","",EDATE($C39,Milestones!$AA$174))</f>
        <v/>
      </c>
      <c r="FK39" s="18" t="str">
        <f aca="false">IF($C39="","",EDATE($C39,Milestones!$AA$175))</f>
        <v/>
      </c>
      <c r="FL39" s="18" t="str">
        <f aca="false">IF($C39="","",EDATE($C39,Milestones!$AA$176))</f>
        <v/>
      </c>
      <c r="FM39" s="18" t="str">
        <f aca="false">IF($C39="","",EDATE($C39,Milestones!$AA$177))</f>
        <v/>
      </c>
      <c r="FN39" s="18" t="str">
        <f aca="false">IF($C39="","",EDATE($C39,Milestones!$AA$178))</f>
        <v/>
      </c>
      <c r="FO39" s="18" t="str">
        <f aca="false">IF($C39="","",EDATE($C39,Milestones!$AA$179))</f>
        <v/>
      </c>
      <c r="FP39" s="18" t="str">
        <f aca="false">IF($C39="","",EDATE($C39,Milestones!$AA$180))</f>
        <v/>
      </c>
      <c r="FQ39" s="18" t="str">
        <f aca="false">IF($C39="","",EDATE($C39,Milestones!$AA$181))</f>
        <v/>
      </c>
      <c r="FR39" s="18" t="str">
        <f aca="false">IF($C39="","",EDATE($C39,Milestones!$AA$182))</f>
        <v/>
      </c>
      <c r="FS39" s="18" t="str">
        <f aca="false">IF($C39="","",EDATE($C39,Milestones!$AA$183))</f>
        <v/>
      </c>
      <c r="FT39" s="18" t="str">
        <f aca="false">IF($C39="","",EDATE($C39,Milestones!$AA$184))</f>
        <v/>
      </c>
      <c r="FU39" s="18" t="str">
        <f aca="false">IF($C39="","",EDATE($C39,Milestones!$AA$185))</f>
        <v/>
      </c>
      <c r="FV39" s="18" t="str">
        <f aca="false">IF($C39="","",EDATE($C39,Milestones!$AA$186))</f>
        <v/>
      </c>
      <c r="FW39" s="18" t="str">
        <f aca="false">IF($C39="","",EDATE($C39,Milestones!$AA$187))</f>
        <v/>
      </c>
      <c r="FX39" s="18" t="str">
        <f aca="false">IF($C39="","",EDATE($C39,Milestones!$AA$188))</f>
        <v/>
      </c>
      <c r="FY39" s="18" t="str">
        <f aca="false">IF($C39="","",EDATE($C39,Milestones!$AA$189))</f>
        <v/>
      </c>
      <c r="FZ39" s="18" t="str">
        <f aca="false">IF($C39="","",EDATE($C39,Milestones!$AA$190))</f>
        <v/>
      </c>
      <c r="GA39" s="18" t="str">
        <f aca="false">IF($C39="","",EDATE($C39,Milestones!$AA$191))</f>
        <v/>
      </c>
      <c r="GB39" s="18" t="str">
        <f aca="false">IF($C39="","",EDATE($C39,Milestones!$AA$192))</f>
        <v/>
      </c>
      <c r="GC39" s="18" t="str">
        <f aca="false">IF($C39="","",EDATE($C39,Milestones!$AA$193))</f>
        <v/>
      </c>
      <c r="GD39" s="18" t="str">
        <f aca="false">IF($C39="","",EDATE($C39,Milestones!$AA$194))</f>
        <v/>
      </c>
      <c r="GE39" s="18" t="str">
        <f aca="false">IF($C39="","",EDATE($C39,Milestones!$AA$195))</f>
        <v/>
      </c>
      <c r="GF39" s="18" t="str">
        <f aca="false">IF($C39="","",EDATE($C39,Milestones!$AA$196))</f>
        <v/>
      </c>
      <c r="GG39" s="18" t="str">
        <f aca="false">IF($C39="","",EDATE($C39,Milestones!$AA$197))</f>
        <v/>
      </c>
      <c r="GH39" s="18" t="str">
        <f aca="false">IF($C39="","",EDATE($C39,Milestones!$AA$198))</f>
        <v/>
      </c>
      <c r="GI39" s="18" t="str">
        <f aca="false">IF($C39="","",EDATE($C39,Milestones!$AA$199))</f>
        <v/>
      </c>
    </row>
    <row r="40" customFormat="false" ht="15" hidden="false" customHeight="false" outlineLevel="0" collapsed="false">
      <c r="K40" s="0" t="s">
        <v>229</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230</v>
      </c>
      <c r="L41" s="0" t="n">
        <f aca="false">IF(L39="",0,IF(L40=Milestones!$AB$20,Milestones!$AC$20,0))</f>
        <v>0</v>
      </c>
      <c r="M41" s="0" t="n">
        <f aca="false">IF(M39="",0,IF(M40=Milestones!$AB$21,Milestones!$AC$21,0))</f>
        <v>0</v>
      </c>
      <c r="N41" s="0" t="n">
        <f aca="false">IF(N39="",0,IF(N40=Milestones!$AB$22,Milestones!$AC$22,0))</f>
        <v>0</v>
      </c>
      <c r="O41" s="0" t="n">
        <f aca="false">IF(O39="",0,IF(O40=Milestones!$AB$23,Milestones!$AC$23,0))</f>
        <v>0</v>
      </c>
      <c r="P41" s="0" t="n">
        <f aca="false">IF(P39="",0,IF(P40=Milestones!$AB$24,Milestones!$AC$24,0))</f>
        <v>0</v>
      </c>
      <c r="Q41" s="0" t="n">
        <f aca="false">IF(Q39="",0,IF(Q40=Milestones!$AB$25,Milestones!$AC$25,0))</f>
        <v>0</v>
      </c>
      <c r="R41" s="0" t="n">
        <f aca="false">IF(R39="",0,IF(R40=Milestones!$AB$26,Milestones!$AC$26,0))</f>
        <v>0</v>
      </c>
      <c r="S41" s="0" t="n">
        <f aca="false">IF(S39="",0,IF(S40=Milestones!$AB$27,Milestones!$AC$27,0))</f>
        <v>0</v>
      </c>
      <c r="T41" s="0" t="n">
        <f aca="false">IF(T39="",0,IF(T40=Milestones!$AB$28,Milestones!$AC$28,0))</f>
        <v>0</v>
      </c>
      <c r="U41" s="0" t="n">
        <f aca="false">IF(U39="",0,IF(U40=Milestones!$AB$29,Milestones!$AC$29,0))</f>
        <v>0</v>
      </c>
      <c r="V41" s="0" t="n">
        <f aca="false">IF(V39="",0,IF(V40=Milestones!$AB$30,Milestones!$AC$30,0))</f>
        <v>0</v>
      </c>
      <c r="W41" s="0" t="n">
        <f aca="false">IF(W39="",0,IF(W40=Milestones!$AB$31,Milestones!$AC$31,0))</f>
        <v>0</v>
      </c>
      <c r="X41" s="0" t="n">
        <f aca="false">IF(X39="",0,IF(X40=Milestones!$AB$32,Milestones!$AC$32,0))</f>
        <v>0</v>
      </c>
      <c r="Y41" s="0" t="n">
        <f aca="false">IF(Y39="",0,IF(Y40=Milestones!$AB$33,Milestones!$AC$33,0))</f>
        <v>0</v>
      </c>
      <c r="Z41" s="0" t="n">
        <f aca="false">IF(Z39="",0,IF(Z40=Milestones!$AB$34,Milestones!$AC$34,0))</f>
        <v>0</v>
      </c>
      <c r="AA41" s="0" t="n">
        <f aca="false">IF(AA39="",0,IF(AA40=Milestones!$AB$35,Milestones!$AC$35,0))</f>
        <v>0</v>
      </c>
      <c r="AB41" s="0" t="n">
        <f aca="false">IF(AB39="",0,IF(AB40=Milestones!$AB$36,Milestones!$AC$36,0))</f>
        <v>0</v>
      </c>
      <c r="AC41" s="0" t="n">
        <f aca="false">IF(AC39="",0,IF(AC40=Milestones!$AB$37,Milestones!$AC$37,0))</f>
        <v>0</v>
      </c>
      <c r="AD41" s="0" t="n">
        <f aca="false">IF(AD39="",0,IF(AD40=Milestones!$AB$38,Milestones!$AC$38,0))</f>
        <v>0</v>
      </c>
      <c r="AE41" s="0" t="n">
        <f aca="false">IF(AE39="",0,IF(AE40=Milestones!$AB$39,Milestones!$AC$39,0))</f>
        <v>0</v>
      </c>
      <c r="AF41" s="0" t="n">
        <f aca="false">IF(AF39="",0,IF(AF40=Milestones!$AB$40,Milestones!$AC$40,0))</f>
        <v>0</v>
      </c>
      <c r="AG41" s="0" t="n">
        <f aca="false">IF(AG39="",0,IF(AG40=Milestones!$AB$41,Milestones!$AC$41,0))</f>
        <v>0</v>
      </c>
      <c r="AH41" s="0" t="n">
        <f aca="false">IF(AH39="",0,IF(AH40=Milestones!$AB$42,Milestones!$AC$42,0))</f>
        <v>0</v>
      </c>
      <c r="AI41" s="0" t="n">
        <f aca="false">IF(AI39="",0,IF(AI40=Milestones!$AB$43,Milestones!$AC$43,0))</f>
        <v>0</v>
      </c>
      <c r="AJ41" s="0" t="n">
        <f aca="false">IF(AJ39="",0,IF(AJ40=Milestones!$AB$44,Milestones!$AC$44,0))</f>
        <v>0</v>
      </c>
      <c r="AK41" s="0" t="n">
        <f aca="false">IF(AK39="",0,IF(AK40=Milestones!$AB$45,Milestones!$AC$45,0))</f>
        <v>0</v>
      </c>
      <c r="AL41" s="0" t="n">
        <f aca="false">IF(AL39="",0,IF(AL40=Milestones!$AB$46,Milestones!$AC$46,0))</f>
        <v>0</v>
      </c>
      <c r="AM41" s="0" t="n">
        <f aca="false">IF(AM39="",0,IF(AM40=Milestones!$AB$47,Milestones!$AC$47,0))</f>
        <v>0</v>
      </c>
      <c r="AN41" s="0" t="n">
        <f aca="false">IF(AN39="",0,IF(AN40=Milestones!$AB$48,Milestones!$AC$48,0))</f>
        <v>0</v>
      </c>
      <c r="AO41" s="0" t="n">
        <f aca="false">IF(AO39="",0,IF(AO40=Milestones!$AB$49,Milestones!$AC$49,0))</f>
        <v>0</v>
      </c>
      <c r="AP41" s="0" t="n">
        <f aca="false">IF(AP39="",0,IF(AP40=Milestones!$AB$50,Milestones!$AC$50,0))</f>
        <v>0</v>
      </c>
      <c r="AQ41" s="0" t="n">
        <f aca="false">IF(AQ39="",0,IF(AQ40=Milestones!$AB$51,Milestones!$AC$51,0))</f>
        <v>0</v>
      </c>
      <c r="AR41" s="0" t="n">
        <f aca="false">IF(AR39="",0,IF(AR40=Milestones!$AB$52,Milestones!$AC$52,0))</f>
        <v>0</v>
      </c>
      <c r="AS41" s="0" t="n">
        <f aca="false">IF(AS39="",0,IF(AS40=Milestones!$AB$53,Milestones!$AC$53,0))</f>
        <v>0</v>
      </c>
      <c r="AT41" s="0" t="n">
        <f aca="false">IF(AT39="",0,IF(AT40=Milestones!$AB$54,Milestones!$AC$54,0))</f>
        <v>0</v>
      </c>
      <c r="AU41" s="0" t="n">
        <f aca="false">IF(AU39="",0,IF(AU40=Milestones!$AB$55,Milestones!$AC$55,0))</f>
        <v>0</v>
      </c>
      <c r="AV41" s="0" t="n">
        <f aca="false">IF(AV39="",0,IF(AV40=Milestones!$AB$56,Milestones!$AC$56,0))</f>
        <v>0</v>
      </c>
      <c r="AW41" s="0" t="n">
        <f aca="false">IF(AW39="",0,IF(AW40=Milestones!$AB$57,Milestones!$AC$57,0))</f>
        <v>0</v>
      </c>
      <c r="AX41" s="0" t="n">
        <f aca="false">IF(AX39="",0,IF(AX40=Milestones!$AB$58,Milestones!$AC$58,0))</f>
        <v>0</v>
      </c>
      <c r="AY41" s="0" t="n">
        <f aca="false">IF(AY39="",0,IF(AY40=Milestones!$AB$59,Milestones!$AC$59,0))</f>
        <v>0</v>
      </c>
      <c r="AZ41" s="0" t="n">
        <f aca="false">IF(AZ39="",0,IF(AZ40=Milestones!$AB$60,Milestones!$AC$60,0))</f>
        <v>0</v>
      </c>
      <c r="BA41" s="0" t="n">
        <f aca="false">IF(BA39="",0,IF(BA40=Milestones!$AB$61,Milestones!$AC$61,0))</f>
        <v>0</v>
      </c>
      <c r="BB41" s="0" t="n">
        <f aca="false">IF(BB39="",0,IF(BB40=Milestones!$AB$62,Milestones!$AC$62,0))</f>
        <v>0</v>
      </c>
      <c r="BC41" s="0" t="n">
        <f aca="false">IF(BC39="",0,IF(BC40=Milestones!$AB$63,Milestones!$AC$63,0))</f>
        <v>0</v>
      </c>
      <c r="BD41" s="0" t="n">
        <f aca="false">IF(BD39="",0,IF(BD40=Milestones!$AB$64,Milestones!$AC$64,0))</f>
        <v>0</v>
      </c>
      <c r="BE41" s="0" t="n">
        <f aca="false">IF(BE39="",0,IF(BE40=Milestones!$AB$65,Milestones!$AC$65,0))</f>
        <v>0</v>
      </c>
      <c r="BF41" s="0" t="n">
        <f aca="false">IF(BF39="",0,IF(BF40=Milestones!$AB$66,Milestones!$AC$66,0))</f>
        <v>0</v>
      </c>
      <c r="BG41" s="0" t="n">
        <f aca="false">IF(BG39="",0,IF(BG40=Milestones!$AB$67,Milestones!$AC$67,0))</f>
        <v>0</v>
      </c>
      <c r="BH41" s="0" t="n">
        <f aca="false">IF(BH39="",0,IF(BH40=Milestones!$AB$68,Milestones!$AC$68,0))</f>
        <v>0</v>
      </c>
      <c r="BI41" s="0" t="n">
        <f aca="false">IF(BI39="",0,IF(BI40=Milestones!$AB$69,Milestones!$AC$69,0))</f>
        <v>0</v>
      </c>
      <c r="BJ41" s="0" t="n">
        <f aca="false">IF(BJ39="",0,IF(BJ40=Milestones!$AB$70,Milestones!$AC$70,0))</f>
        <v>0</v>
      </c>
      <c r="BK41" s="0" t="n">
        <f aca="false">IF(BK39="",0,IF(BK40=Milestones!$AB$71,Milestones!$AC$71,0))</f>
        <v>0</v>
      </c>
      <c r="BL41" s="0" t="n">
        <f aca="false">IF(BL39="",0,IF(BL40=Milestones!$AB$72,Milestones!$AC$72,0))</f>
        <v>0</v>
      </c>
      <c r="BM41" s="0" t="n">
        <f aca="false">IF(BM39="",0,IF(BM40=Milestones!$AB$73,Milestones!$AC$73,0))</f>
        <v>0</v>
      </c>
      <c r="BN41" s="0" t="n">
        <f aca="false">IF(BN39="",0,IF(BN40=Milestones!$AB$74,Milestones!$AC$74,0))</f>
        <v>0</v>
      </c>
      <c r="BO41" s="0" t="n">
        <f aca="false">IF(BO39="",0,IF(BO40=Milestones!$AB$75,Milestones!$AC$75,0))</f>
        <v>0</v>
      </c>
      <c r="BP41" s="0" t="n">
        <f aca="false">IF(BP39="",0,IF(BP40=Milestones!$AB$76,Milestones!$AC$76,0))</f>
        <v>0</v>
      </c>
      <c r="BQ41" s="0" t="n">
        <f aca="false">IF(BQ39="",0,IF(BQ40=Milestones!$AB$77,Milestones!$AC$77,0))</f>
        <v>0</v>
      </c>
      <c r="BR41" s="0" t="n">
        <f aca="false">IF(BR39="",0,IF(BR40=Milestones!$AB$78,Milestones!$AC$78,0))</f>
        <v>0</v>
      </c>
      <c r="BS41" s="0" t="n">
        <f aca="false">IF(BS39="",0,IF(BS40=Milestones!$AB$79,Milestones!$AC$79,0))</f>
        <v>0</v>
      </c>
      <c r="BT41" s="0" t="n">
        <f aca="false">IF(BT39="",0,IF(BT40=Milestones!$AB$80,Milestones!$AC$80,0))</f>
        <v>0</v>
      </c>
      <c r="BU41" s="0" t="n">
        <f aca="false">IF(BU39="",0,IF(BU40=Milestones!$AB$81,Milestones!$AC$81,0))</f>
        <v>0</v>
      </c>
      <c r="BV41" s="0" t="n">
        <f aca="false">IF(BV39="",0,IF(BV40=Milestones!$AB$82,Milestones!$AC$82,0))</f>
        <v>0</v>
      </c>
      <c r="BW41" s="0" t="n">
        <f aca="false">IF(BW39="",0,IF(BW40=Milestones!$AB$83,Milestones!$AC$83,0))</f>
        <v>0</v>
      </c>
      <c r="BX41" s="0" t="n">
        <f aca="false">IF(BX39="",0,IF(BX40=Milestones!$AB$84,Milestones!$AC$84,0))</f>
        <v>0</v>
      </c>
      <c r="BY41" s="0" t="n">
        <f aca="false">IF(BY39="",0,IF(BY40=Milestones!$AB$85,Milestones!$AC$85,0))</f>
        <v>0</v>
      </c>
      <c r="BZ41" s="0" t="n">
        <f aca="false">IF(BZ39="",0,IF(BZ40=Milestones!$AB$86,Milestones!$AC$86,0))</f>
        <v>0</v>
      </c>
      <c r="CA41" s="0" t="n">
        <f aca="false">IF(CA39="",0,IF(CA40=Milestones!$AB$87,Milestones!$AC$87,0))</f>
        <v>0</v>
      </c>
      <c r="CB41" s="0" t="n">
        <f aca="false">IF(CB39="",0,IF(CB40=Milestones!$AB$88,Milestones!$AC$88,0))</f>
        <v>0</v>
      </c>
      <c r="CC41" s="0" t="n">
        <f aca="false">IF(CC39="",0,IF(CC40=Milestones!$AB$89,Milestones!$AC$89,0))</f>
        <v>0</v>
      </c>
      <c r="CD41" s="0" t="n">
        <f aca="false">IF(CD39="",0,IF(CD40=Milestones!$AB$90,Milestones!$AC$90,0))</f>
        <v>0</v>
      </c>
      <c r="CE41" s="0" t="n">
        <f aca="false">IF(CE39="",0,IF(CE40=Milestones!$AB$91,Milestones!$AC$91,0))</f>
        <v>0</v>
      </c>
      <c r="CF41" s="0" t="n">
        <f aca="false">IF(CF39="",0,IF(CF40=Milestones!$AB$92,Milestones!$AC$92,0))</f>
        <v>0</v>
      </c>
      <c r="CG41" s="0" t="n">
        <f aca="false">IF(CG39="",0,IF(CG40=Milestones!$AB$93,Milestones!$AC$93,0))</f>
        <v>0</v>
      </c>
      <c r="CH41" s="0" t="n">
        <f aca="false">IF(CH39="",0,IF(CH40=Milestones!$AB$94,Milestones!$AC$94,0))</f>
        <v>0</v>
      </c>
      <c r="CI41" s="0" t="n">
        <f aca="false">IF(CI39="",0,IF(CI40=Milestones!$AB$95,Milestones!$AC$95,0))</f>
        <v>0</v>
      </c>
      <c r="CJ41" s="0" t="n">
        <f aca="false">IF(CJ39="",0,IF(CJ40=Milestones!$AB$96,Milestones!$AC$96,0))</f>
        <v>0</v>
      </c>
      <c r="CK41" s="0" t="n">
        <f aca="false">IF(CK39="",0,IF(CK40=Milestones!$AB$97,Milestones!$AC$97,0))</f>
        <v>0</v>
      </c>
      <c r="CL41" s="0" t="n">
        <f aca="false">IF(CL39="",0,IF(CL40=Milestones!$AB$98,Milestones!$AC$98,0))</f>
        <v>0</v>
      </c>
      <c r="CM41" s="0" t="n">
        <f aca="false">IF(CM39="",0,IF(CM40=Milestones!$AB$99,Milestones!$AC$99,0))</f>
        <v>0</v>
      </c>
      <c r="CN41" s="0" t="n">
        <f aca="false">IF(CN39="",0,IF(CN40=Milestones!$AB$100,Milestones!$AC$100,0))</f>
        <v>0</v>
      </c>
      <c r="CO41" s="0" t="n">
        <f aca="false">IF(CO39="",0,IF(CO40=Milestones!$AB$101,Milestones!$AC$101,0))</f>
        <v>0</v>
      </c>
      <c r="CP41" s="0" t="n">
        <f aca="false">IF(CP39="",0,IF(CP40=Milestones!$AB$102,Milestones!$AC$102,0))</f>
        <v>0</v>
      </c>
      <c r="CQ41" s="0" t="n">
        <f aca="false">IF(CQ39="",0,IF(CQ40=Milestones!$AB$103,Milestones!$AC$103,0))</f>
        <v>0</v>
      </c>
      <c r="CR41" s="0" t="n">
        <f aca="false">IF(CR39="",0,IF(CR40=Milestones!$AB$104,Milestones!$AC$104,0))</f>
        <v>0</v>
      </c>
      <c r="CS41" s="0" t="n">
        <f aca="false">IF(CS39="",0,IF(CS40=Milestones!$AB$105,Milestones!$AC$105,0))</f>
        <v>0</v>
      </c>
      <c r="CT41" s="0" t="n">
        <f aca="false">IF(CT39="",0,IF(CT40=Milestones!$AB$106,Milestones!$AC$106,0))</f>
        <v>0</v>
      </c>
      <c r="CU41" s="0" t="n">
        <f aca="false">IF(CU39="",0,IF(CU40=Milestones!$AB$107,Milestones!$AC$107,0))</f>
        <v>0</v>
      </c>
      <c r="CV41" s="0" t="n">
        <f aca="false">IF(CV39="",0,IF(CV40=Milestones!$AB$108,Milestones!$AC$108,0))</f>
        <v>0</v>
      </c>
      <c r="CW41" s="0" t="n">
        <f aca="false">IF(CW39="",0,IF(CW40=Milestones!$AB$109,Milestones!$AC$109,0))</f>
        <v>0</v>
      </c>
      <c r="CX41" s="0" t="n">
        <f aca="false">IF(CX39="",0,IF(CX40=Milestones!$AB$110,Milestones!$AC$110,0))</f>
        <v>0</v>
      </c>
      <c r="CY41" s="0" t="n">
        <f aca="false">IF(CY39="",0,IF(CY40=Milestones!$AB$111,Milestones!$AC$111,0))</f>
        <v>0</v>
      </c>
      <c r="CZ41" s="0" t="n">
        <f aca="false">IF(CZ39="",0,IF(CZ40=Milestones!$AB$112,Milestones!$AC$112,0))</f>
        <v>0</v>
      </c>
      <c r="DA41" s="0" t="n">
        <f aca="false">IF(DA39="",0,IF(DA40=Milestones!$AB$113,Milestones!$AC$113,0))</f>
        <v>0</v>
      </c>
      <c r="DB41" s="0" t="n">
        <f aca="false">IF(DB39="",0,IF(DB40=Milestones!$AB$114,Milestones!$AC$114,0))</f>
        <v>0</v>
      </c>
      <c r="DC41" s="0" t="n">
        <f aca="false">IF(DC39="",0,IF(DC40=Milestones!$AB$115,Milestones!$AC$115,0))</f>
        <v>0</v>
      </c>
      <c r="DD41" s="0" t="n">
        <f aca="false">IF(DD39="",0,IF(DD40=Milestones!$AB$116,Milestones!$AC$116,0))</f>
        <v>0</v>
      </c>
      <c r="DE41" s="0" t="n">
        <f aca="false">IF(DE39="",0,IF(DE40=Milestones!$AB$117,Milestones!$AC$117,0))</f>
        <v>0</v>
      </c>
      <c r="DF41" s="0" t="n">
        <f aca="false">IF(DF39="",0,IF(DF40=Milestones!$AB$118,Milestones!$AC$118,0))</f>
        <v>0</v>
      </c>
      <c r="DG41" s="0" t="n">
        <f aca="false">IF(DG39="",0,IF(DG40=Milestones!$AB$119,Milestones!$AC$119,0))</f>
        <v>0</v>
      </c>
      <c r="DH41" s="0" t="n">
        <f aca="false">IF(DH39="",0,IF(DH40=Milestones!$AB$120,Milestones!$AC$120,0))</f>
        <v>0</v>
      </c>
      <c r="DI41" s="0" t="n">
        <f aca="false">IF(DI39="",0,IF(DI40=Milestones!$AB$121,Milestones!$AC$121,0))</f>
        <v>0</v>
      </c>
      <c r="DJ41" s="0" t="n">
        <f aca="false">IF(DJ39="",0,IF(DJ40=Milestones!$AB$122,Milestones!$AC$122,0))</f>
        <v>0</v>
      </c>
      <c r="DK41" s="0" t="n">
        <f aca="false">IF(DK39="",0,IF(DK40=Milestones!$AB$123,Milestones!$AC$123,0))</f>
        <v>0</v>
      </c>
      <c r="DL41" s="0" t="n">
        <f aca="false">IF(DL39="",0,IF(DL40=Milestones!$AB$124,Milestones!$AC$124,0))</f>
        <v>0</v>
      </c>
      <c r="DM41" s="0" t="n">
        <f aca="false">IF(DM39="",0,IF(DM40=Milestones!$AB$125,Milestones!$AC$125,0))</f>
        <v>0</v>
      </c>
      <c r="DN41" s="0" t="n">
        <f aca="false">IF(DN39="",0,IF(DN40=Milestones!$AB$126,Milestones!$AC$126,0))</f>
        <v>0</v>
      </c>
      <c r="DO41" s="0" t="n">
        <f aca="false">IF(DO39="",0,IF(DO40=Milestones!$AB$127,Milestones!$AC$127,0))</f>
        <v>0</v>
      </c>
      <c r="DP41" s="0" t="n">
        <f aca="false">IF(DP39="",0,IF(DP40=Milestones!$AB$128,Milestones!$AC$128,0))</f>
        <v>0</v>
      </c>
      <c r="DQ41" s="0" t="n">
        <f aca="false">IF(DQ39="",0,IF(DQ40=Milestones!$AB$129,Milestones!$AC$129,0))</f>
        <v>0</v>
      </c>
      <c r="DR41" s="0" t="n">
        <f aca="false">IF(DR39="",0,IF(DR40=Milestones!$AB$130,Milestones!$AC$130,0))</f>
        <v>0</v>
      </c>
      <c r="DS41" s="0" t="n">
        <f aca="false">IF(DS39="",0,IF(DS40=Milestones!$AB$131,Milestones!$AC$131,0))</f>
        <v>0</v>
      </c>
      <c r="DT41" s="0" t="n">
        <f aca="false">IF(DT39="",0,IF(DT40=Milestones!$AB$132,Milestones!$AC$132,0))</f>
        <v>0</v>
      </c>
      <c r="DU41" s="0" t="n">
        <f aca="false">IF(DU39="",0,IF(DU40=Milestones!$AB$133,Milestones!$AC$133,0))</f>
        <v>0</v>
      </c>
      <c r="DV41" s="0" t="n">
        <f aca="false">IF(DV39="",0,IF(DV40=Milestones!$AB$134,Milestones!$AC$134,0))</f>
        <v>0</v>
      </c>
      <c r="DW41" s="0" t="n">
        <f aca="false">IF(DW39="",0,IF(DW40=Milestones!$AB$135,Milestones!$AC$135,0))</f>
        <v>0</v>
      </c>
      <c r="DX41" s="0" t="n">
        <f aca="false">IF(DX39="",0,IF(DX40=Milestones!$AB$136,Milestones!$AC$136,0))</f>
        <v>0</v>
      </c>
      <c r="DY41" s="0" t="n">
        <f aca="false">IF(DY39="",0,IF(DY40=Milestones!$AB$137,Milestones!$AC$137,0))</f>
        <v>0</v>
      </c>
      <c r="DZ41" s="0" t="n">
        <f aca="false">IF(DZ39="",0,IF(DZ40=Milestones!$AB$138,Milestones!$AC$138,0))</f>
        <v>0</v>
      </c>
      <c r="EA41" s="0" t="n">
        <f aca="false">IF(EA39="",0,IF(EA40=Milestones!$AB$139,Milestones!$AC$139,0))</f>
        <v>0</v>
      </c>
      <c r="EB41" s="0" t="n">
        <f aca="false">IF(EB39="",0,IF(EB40=Milestones!$AB$140,Milestones!$AC$140,0))</f>
        <v>0</v>
      </c>
      <c r="EC41" s="0" t="n">
        <f aca="false">IF(EC39="",0,IF(EC40=Milestones!$AB$141,Milestones!$AC$141,0))</f>
        <v>0</v>
      </c>
      <c r="ED41" s="0" t="n">
        <f aca="false">IF(ED39="",0,IF(ED40=Milestones!$AB$142,Milestones!$AC$142,0))</f>
        <v>0</v>
      </c>
      <c r="EE41" s="0" t="n">
        <f aca="false">IF(EE39="",0,IF(EE40=Milestones!$AB$143,Milestones!$AC$143,0))</f>
        <v>0</v>
      </c>
      <c r="EF41" s="0" t="n">
        <f aca="false">IF(EF39="",0,IF(EF40=Milestones!$AB$144,Milestones!$AC$144,0))</f>
        <v>0</v>
      </c>
      <c r="EG41" s="0" t="n">
        <f aca="false">IF(EG39="",0,IF(EG40=Milestones!$AB$145,Milestones!$AC$145,0))</f>
        <v>0</v>
      </c>
      <c r="EH41" s="0" t="n">
        <f aca="false">IF(EH39="",0,IF(EH40=Milestones!$AB$146,Milestones!$AC$146,0))</f>
        <v>0</v>
      </c>
      <c r="EI41" s="0" t="n">
        <f aca="false">IF(EI39="",0,IF(EI40=Milestones!$AB$147,Milestones!$AC$147,0))</f>
        <v>0</v>
      </c>
      <c r="EJ41" s="0" t="n">
        <f aca="false">IF(EJ39="",0,IF(EJ40=Milestones!$AB$148,Milestones!$AC$148,0))</f>
        <v>0</v>
      </c>
      <c r="EK41" s="0" t="n">
        <f aca="false">IF(EK39="",0,IF(EK40=Milestones!$AB$149,Milestones!$AC$149,0))</f>
        <v>0</v>
      </c>
      <c r="EL41" s="0" t="n">
        <f aca="false">IF(EL39="",0,IF(EL40=Milestones!$AB$150,Milestones!$AC$150,0))</f>
        <v>0</v>
      </c>
      <c r="EM41" s="0" t="n">
        <f aca="false">IF(EM39="",0,IF(EM40=Milestones!$AB$151,Milestones!$AC$151,0))</f>
        <v>0</v>
      </c>
      <c r="EN41" s="0" t="n">
        <f aca="false">IF(EN39="",0,IF(EN40=Milestones!$AB$152,Milestones!$AC$152,0))</f>
        <v>0</v>
      </c>
      <c r="EO41" s="0" t="n">
        <f aca="false">IF(EO39="",0,IF(EO40=Milestones!$AB$153,Milestones!$AC$153,0))</f>
        <v>0</v>
      </c>
      <c r="EP41" s="0" t="n">
        <f aca="false">IF(EP39="",0,IF(EP40=Milestones!$AB$154,Milestones!$AC$154,0))</f>
        <v>0</v>
      </c>
      <c r="EQ41" s="0" t="n">
        <f aca="false">IF(EQ39="",0,IF(EQ40=Milestones!$AB$155,Milestones!$AC$155,0))</f>
        <v>0</v>
      </c>
      <c r="ER41" s="0" t="n">
        <f aca="false">IF(ER39="",0,IF(ER40=Milestones!$AB$156,Milestones!$AC$156,0))</f>
        <v>0</v>
      </c>
      <c r="ES41" s="0" t="n">
        <f aca="false">IF(ES39="",0,IF(ES40=Milestones!$AB$157,Milestones!$AC$157,0))</f>
        <v>0</v>
      </c>
      <c r="ET41" s="0" t="n">
        <f aca="false">IF(ET39="",0,IF(ET40=Milestones!$AB$158,Milestones!$AC$158,0))</f>
        <v>0</v>
      </c>
      <c r="EU41" s="0" t="n">
        <f aca="false">IF(EU39="",0,IF(EU40=Milestones!$AB$159,Milestones!$AC$159,0))</f>
        <v>0</v>
      </c>
      <c r="EV41" s="0" t="n">
        <f aca="false">IF(EV39="",0,IF(EV40=Milestones!$AB$160,Milestones!$AC$160,0))</f>
        <v>0</v>
      </c>
      <c r="EW41" s="0" t="n">
        <f aca="false">IF(EW39="",0,IF(EW40=Milestones!$AB$161,Milestones!$AC$161,0))</f>
        <v>0</v>
      </c>
      <c r="EX41" s="0" t="n">
        <f aca="false">IF(EX39="",0,IF(EX40=Milestones!$AB$162,Milestones!$AC$162,0))</f>
        <v>0</v>
      </c>
      <c r="EY41" s="0" t="n">
        <f aca="false">IF(EY39="",0,IF(EY40=Milestones!$AB$163,Milestones!$AC$163,0))</f>
        <v>0</v>
      </c>
      <c r="EZ41" s="0" t="n">
        <f aca="false">IF(EZ39="",0,IF(EZ40=Milestones!$AB$164,Milestones!$AC$164,0))</f>
        <v>0</v>
      </c>
      <c r="FA41" s="0" t="n">
        <f aca="false">IF(FA39="",0,IF(FA40=Milestones!$AB$165,Milestones!$AC$165,0))</f>
        <v>0</v>
      </c>
      <c r="FB41" s="0" t="n">
        <f aca="false">IF(FB39="",0,IF(FB40=Milestones!$AB$166,Milestones!$AC$166,0))</f>
        <v>0</v>
      </c>
      <c r="FC41" s="0" t="n">
        <f aca="false">IF(FC39="",0,IF(FC40=Milestones!$AB$167,Milestones!$AC$167,0))</f>
        <v>0</v>
      </c>
      <c r="FD41" s="0" t="n">
        <f aca="false">IF(FD39="",0,IF(FD40=Milestones!$AB$168,Milestones!$AC$168,0))</f>
        <v>0</v>
      </c>
      <c r="FE41" s="0" t="n">
        <f aca="false">IF(FE39="",0,IF(FE40=Milestones!$AB$169,Milestones!$AC$169,0))</f>
        <v>0</v>
      </c>
      <c r="FF41" s="0" t="n">
        <f aca="false">IF(FF39="",0,IF(FF40=Milestones!$AB$170,Milestones!$AC$170,0))</f>
        <v>0</v>
      </c>
      <c r="FG41" s="0" t="n">
        <f aca="false">IF(FG39="",0,IF(FG40=Milestones!$AB$171,Milestones!$AC$171,0))</f>
        <v>0</v>
      </c>
      <c r="FH41" s="0" t="n">
        <f aca="false">IF(FH39="",0,IF(FH40=Milestones!$AB$172,Milestones!$AC$172,0))</f>
        <v>0</v>
      </c>
      <c r="FI41" s="0" t="n">
        <f aca="false">IF(FI39="",0,IF(FI40=Milestones!$AB$173,Milestones!$AC$173,0))</f>
        <v>0</v>
      </c>
      <c r="FJ41" s="0" t="n">
        <f aca="false">IF(FJ39="",0,IF(FJ40=Milestones!$AB$174,Milestones!$AC$174,0))</f>
        <v>0</v>
      </c>
      <c r="FK41" s="0" t="n">
        <f aca="false">IF(FK39="",0,IF(FK40=Milestones!$AB$175,Milestones!$AC$175,0))</f>
        <v>0</v>
      </c>
      <c r="FL41" s="0" t="n">
        <f aca="false">IF(FL39="",0,IF(FL40=Milestones!$AB$176,Milestones!$AC$176,0))</f>
        <v>0</v>
      </c>
      <c r="FM41" s="0" t="n">
        <f aca="false">IF(FM39="",0,IF(FM40=Milestones!$AB$177,Milestones!$AC$177,0))</f>
        <v>0</v>
      </c>
      <c r="FN41" s="0" t="n">
        <f aca="false">IF(FN39="",0,IF(FN40=Milestones!$AB$178,Milestones!$AC$178,0))</f>
        <v>0</v>
      </c>
      <c r="FO41" s="0" t="n">
        <f aca="false">IF(FO39="",0,IF(FO40=Milestones!$AB$179,Milestones!$AC$179,0))</f>
        <v>0</v>
      </c>
      <c r="FP41" s="0" t="n">
        <f aca="false">IF(FP39="",0,IF(FP40=Milestones!$AB$180,Milestones!$AC$180,0))</f>
        <v>0</v>
      </c>
      <c r="FQ41" s="0" t="n">
        <f aca="false">IF(FQ39="",0,IF(FQ40=Milestones!$AB$181,Milestones!$AC$181,0))</f>
        <v>0</v>
      </c>
      <c r="FR41" s="0" t="n">
        <f aca="false">IF(FR39="",0,IF(FR40=Milestones!$AB$182,Milestones!$AC$182,0))</f>
        <v>0</v>
      </c>
      <c r="FS41" s="0" t="n">
        <f aca="false">IF(FS39="",0,IF(FS40=Milestones!$AB$183,Milestones!$AC$183,0))</f>
        <v>0</v>
      </c>
      <c r="FT41" s="0" t="n">
        <f aca="false">IF(FT39="",0,IF(FT40=Milestones!$AB$184,Milestones!$AC$184,0))</f>
        <v>0</v>
      </c>
      <c r="FU41" s="0" t="n">
        <f aca="false">IF(FU39="",0,IF(FU40=Milestones!$AB$185,Milestones!$AC$185,0))</f>
        <v>0</v>
      </c>
      <c r="FV41" s="0" t="n">
        <f aca="false">IF(FV39="",0,IF(FV40=Milestones!$AB$186,Milestones!$AC$186,0))</f>
        <v>0</v>
      </c>
      <c r="FW41" s="0" t="n">
        <f aca="false">IF(FW39="",0,IF(FW40=Milestones!$AB$187,Milestones!$AC$187,0))</f>
        <v>0</v>
      </c>
      <c r="FX41" s="0" t="n">
        <f aca="false">IF(FX39="",0,IF(FX40=Milestones!$AB$188,Milestones!$AC$188,0))</f>
        <v>0</v>
      </c>
      <c r="FY41" s="0" t="n">
        <f aca="false">IF(FY39="",0,IF(FY40=Milestones!$AB$189,Milestones!$AC$189,0))</f>
        <v>0</v>
      </c>
      <c r="FZ41" s="0" t="n">
        <f aca="false">IF(FZ39="",0,IF(FZ40=Milestones!$AB$190,Milestones!$AC$190,0))</f>
        <v>0</v>
      </c>
      <c r="GA41" s="0" t="n">
        <f aca="false">IF(GA39="",0,IF(GA40=Milestones!$AB$191,Milestones!$AC$191,0))</f>
        <v>0</v>
      </c>
      <c r="GB41" s="0" t="n">
        <f aca="false">IF(GB39="",0,IF(GB40=Milestones!$AB$192,Milestones!$AC$192,0))</f>
        <v>0</v>
      </c>
      <c r="GC41" s="0" t="n">
        <f aca="false">IF(GC39="",0,IF(GC40=Milestones!$AB$193,Milestones!$AC$193,0))</f>
        <v>0</v>
      </c>
      <c r="GD41" s="0" t="n">
        <f aca="false">IF(GD39="",0,IF(GD40=Milestones!$AB$194,Milestones!$AC$194,0))</f>
        <v>0</v>
      </c>
      <c r="GE41" s="0" t="n">
        <f aca="false">IF(GE39="",0,IF(GE40=Milestones!$AB$195,Milestones!$AC$195,0))</f>
        <v>0</v>
      </c>
      <c r="GF41" s="0" t="n">
        <f aca="false">IF(GF39="",0,IF(GF40=Milestones!$AB$196,Milestones!$AC$196,0))</f>
        <v>0</v>
      </c>
      <c r="GG41" s="0" t="n">
        <f aca="false">IF(GG39="",0,IF(GG40=Milestones!$AB$197,Milestones!$AC$197,0))</f>
        <v>0</v>
      </c>
      <c r="GH41" s="0" t="n">
        <f aca="false">IF(GH39="",0,IF(GH40=Milestones!$AB$198,Milestones!$AC$198,0))</f>
        <v>0</v>
      </c>
      <c r="GI41" s="0" t="n">
        <f aca="false">IF(GI39="",0,IF(GI40=Milestones!$AB$199,Milestones!$AC$199,0))</f>
        <v>0</v>
      </c>
    </row>
    <row r="42" customFormat="false" ht="15" hidden="false" customHeight="false" outlineLevel="0" collapsed="false">
      <c r="A42" s="0" t="str">
        <f aca="false">IF('HR Tally Check'!O$7="","",'HR Tally Check'!O$7)</f>
        <v/>
      </c>
      <c r="B42" s="0" t="str">
        <f aca="false">IF(A42="","",ISNUMBER(MATCH(A42,Staff!$BJ$5:$BJ$154,0)))</f>
        <v/>
      </c>
      <c r="C42" s="18" t="str">
        <f aca="false">IF(B42&lt;&gt;TRUE(),"",INDEX(Staff!$AH$5:$AH$154,MATCH($A42,Staff!$BJ$5:$BJ$154,0)))</f>
        <v/>
      </c>
      <c r="D42" s="0" t="str">
        <f aca="false">IF(B42&lt;&gt;TRUE(),"",INDEX(Staff!$AI$5:$AI$154,MATCH($A42,Staff!$BJ$5:$BJ$154,0)))</f>
        <v/>
      </c>
      <c r="E42" s="18" t="str">
        <f aca="false">IF(B42&lt;&gt;TRUE(),"",INDEX(Staff!$AK$5:$AK$154,MATCH($A42,Staff!$BJ$5:$BJ$154,0)))</f>
        <v/>
      </c>
      <c r="F42" s="18" t="str">
        <f aca="false">IF(B42&lt;&gt;TRUE(),"",INDEX(Staff!$AL$5:$AL$154,MATCH($A42,Staff!$BJ$5:$BJ$154,0)))</f>
        <v/>
      </c>
      <c r="G42" s="0" t="str">
        <f aca="false">IF(B42&lt;&gt;TRUE(),"",INDEX(Staff!$AP$5:$AP$154,MATCH($A42,Staff!$BJ$5:$BJ$154,0)))</f>
        <v/>
      </c>
      <c r="H42" s="0" t="str">
        <f aca="false">IF(B42&lt;&gt;TRUE(),"",INDEX(Staff!$AQ$5:$AQ$154,MATCH($A42,Staff!$BJ$5:$BJ$154,0)))</f>
        <v/>
      </c>
      <c r="I42" s="0" t="str">
        <f aca="false">IF(B42&lt;&gt;TRUE(),"",INDEX(Staff!$AR$5:$AR$154,MATCH($A42,Staff!$BJ$5:$BJ$154,0)))</f>
        <v/>
      </c>
      <c r="J42" s="0" t="str">
        <f aca="false">IF(B42&lt;&gt;TRUE(),"",INDEX(Staff!$AS$5:$AS$154,MATCH($A42,Staff!$BJ$5:$BJ$154,0)))</f>
        <v/>
      </c>
      <c r="K42" s="31" t="s">
        <v>228</v>
      </c>
      <c r="L42" s="18" t="str">
        <f aca="false">IF($C42="","",EDATE($C42,Milestones!$AA$20))</f>
        <v/>
      </c>
      <c r="M42" s="18" t="str">
        <f aca="false">IF($C42="","",EDATE($C42,Milestones!$AA$21))</f>
        <v/>
      </c>
      <c r="N42" s="18" t="str">
        <f aca="false">IF($C42="","",EDATE($C42,Milestones!$AA$22))</f>
        <v/>
      </c>
      <c r="O42" s="18" t="str">
        <f aca="false">IF($C42="","",EDATE($C42,Milestones!$AA$23))</f>
        <v/>
      </c>
      <c r="P42" s="18" t="str">
        <f aca="false">IF($C42="","",EDATE($C42,Milestones!$AA$24))</f>
        <v/>
      </c>
      <c r="Q42" s="18" t="str">
        <f aca="false">IF($C42="","",EDATE($C42,Milestones!$AA$25))</f>
        <v/>
      </c>
      <c r="R42" s="18" t="str">
        <f aca="false">IF($C42="","",EDATE($C42,Milestones!$AA$26))</f>
        <v/>
      </c>
      <c r="S42" s="18" t="str">
        <f aca="false">IF($C42="","",EDATE($C42,Milestones!$AA$27))</f>
        <v/>
      </c>
      <c r="T42" s="18" t="str">
        <f aca="false">IF($C42="","",EDATE($C42,Milestones!$AA$28))</f>
        <v/>
      </c>
      <c r="U42" s="18" t="str">
        <f aca="false">IF($C42="","",EDATE($C42,Milestones!$AA$29))</f>
        <v/>
      </c>
      <c r="V42" s="18" t="str">
        <f aca="false">IF($C42="","",EDATE($C42,Milestones!$AA$30))</f>
        <v/>
      </c>
      <c r="W42" s="18" t="str">
        <f aca="false">IF($C42="","",EDATE($C42,Milestones!$AA$31))</f>
        <v/>
      </c>
      <c r="X42" s="18" t="str">
        <f aca="false">IF($C42="","",EDATE($C42,Milestones!$AA$32))</f>
        <v/>
      </c>
      <c r="Y42" s="18" t="str">
        <f aca="false">IF($C42="","",EDATE($C42,Milestones!$AA$33))</f>
        <v/>
      </c>
      <c r="Z42" s="18" t="str">
        <f aca="false">IF($C42="","",EDATE($C42,Milestones!$AA$34))</f>
        <v/>
      </c>
      <c r="AA42" s="18" t="str">
        <f aca="false">IF($C42="","",EDATE($C42,Milestones!$AA$35))</f>
        <v/>
      </c>
      <c r="AB42" s="18" t="str">
        <f aca="false">IF($C42="","",EDATE($C42,Milestones!$AA$36))</f>
        <v/>
      </c>
      <c r="AC42" s="18" t="str">
        <f aca="false">IF($C42="","",EDATE($C42,Milestones!$AA$37))</f>
        <v/>
      </c>
      <c r="AD42" s="18" t="str">
        <f aca="false">IF($C42="","",EDATE($C42,Milestones!$AA$38))</f>
        <v/>
      </c>
      <c r="AE42" s="18" t="str">
        <f aca="false">IF($C42="","",EDATE($C42,Milestones!$AA$39))</f>
        <v/>
      </c>
      <c r="AF42" s="18" t="str">
        <f aca="false">IF($C42="","",EDATE($C42,Milestones!$AA$40))</f>
        <v/>
      </c>
      <c r="AG42" s="18" t="str">
        <f aca="false">IF($C42="","",EDATE($C42,Milestones!$AA$41))</f>
        <v/>
      </c>
      <c r="AH42" s="18" t="str">
        <f aca="false">IF($C42="","",EDATE($C42,Milestones!$AA$42))</f>
        <v/>
      </c>
      <c r="AI42" s="18" t="str">
        <f aca="false">IF($C42="","",EDATE($C42,Milestones!$AA$43))</f>
        <v/>
      </c>
      <c r="AJ42" s="18" t="str">
        <f aca="false">IF($C42="","",EDATE($C42,Milestones!$AA$44))</f>
        <v/>
      </c>
      <c r="AK42" s="18" t="str">
        <f aca="false">IF($C42="","",EDATE($C42,Milestones!$AA$45))</f>
        <v/>
      </c>
      <c r="AL42" s="18" t="str">
        <f aca="false">IF($C42="","",EDATE($C42,Milestones!$AA$46))</f>
        <v/>
      </c>
      <c r="AM42" s="18" t="str">
        <f aca="false">IF($C42="","",EDATE($C42,Milestones!$AA$47))</f>
        <v/>
      </c>
      <c r="AN42" s="18" t="str">
        <f aca="false">IF($C42="","",EDATE($C42,Milestones!$AA$48))</f>
        <v/>
      </c>
      <c r="AO42" s="18" t="str">
        <f aca="false">IF($C42="","",EDATE($C42,Milestones!$AA$49))</f>
        <v/>
      </c>
      <c r="AP42" s="18" t="str">
        <f aca="false">IF($C42="","",EDATE($C42,Milestones!$AA$50))</f>
        <v/>
      </c>
      <c r="AQ42" s="18" t="str">
        <f aca="false">IF($C42="","",EDATE($C42,Milestones!$AA$51))</f>
        <v/>
      </c>
      <c r="AR42" s="18" t="str">
        <f aca="false">IF($C42="","",EDATE($C42,Milestones!$AA$52))</f>
        <v/>
      </c>
      <c r="AS42" s="18" t="str">
        <f aca="false">IF($C42="","",EDATE($C42,Milestones!$AA$53))</f>
        <v/>
      </c>
      <c r="AT42" s="18" t="str">
        <f aca="false">IF($C42="","",EDATE($C42,Milestones!$AA$54))</f>
        <v/>
      </c>
      <c r="AU42" s="18" t="str">
        <f aca="false">IF($C42="","",EDATE($C42,Milestones!$AA$55))</f>
        <v/>
      </c>
      <c r="AV42" s="18" t="str">
        <f aca="false">IF($C42="","",EDATE($C42,Milestones!$AA$56))</f>
        <v/>
      </c>
      <c r="AW42" s="18" t="str">
        <f aca="false">IF($C42="","",EDATE($C42,Milestones!$AA$57))</f>
        <v/>
      </c>
      <c r="AX42" s="18" t="str">
        <f aca="false">IF($C42="","",EDATE($C42,Milestones!$AA$58))</f>
        <v/>
      </c>
      <c r="AY42" s="18" t="str">
        <f aca="false">IF($C42="","",EDATE($C42,Milestones!$AA$59))</f>
        <v/>
      </c>
      <c r="AZ42" s="18" t="str">
        <f aca="false">IF($C42="","",EDATE($C42,Milestones!$AA$60))</f>
        <v/>
      </c>
      <c r="BA42" s="18" t="str">
        <f aca="false">IF($C42="","",EDATE($C42,Milestones!$AA$61))</f>
        <v/>
      </c>
      <c r="BB42" s="18" t="str">
        <f aca="false">IF($C42="","",EDATE($C42,Milestones!$AA$62))</f>
        <v/>
      </c>
      <c r="BC42" s="18" t="str">
        <f aca="false">IF($C42="","",EDATE($C42,Milestones!$AA$63))</f>
        <v/>
      </c>
      <c r="BD42" s="18" t="str">
        <f aca="false">IF($C42="","",EDATE($C42,Milestones!$AA$64))</f>
        <v/>
      </c>
      <c r="BE42" s="18" t="str">
        <f aca="false">IF($C42="","",EDATE($C42,Milestones!$AA$65))</f>
        <v/>
      </c>
      <c r="BF42" s="18" t="str">
        <f aca="false">IF($C42="","",EDATE($C42,Milestones!$AA$66))</f>
        <v/>
      </c>
      <c r="BG42" s="18" t="str">
        <f aca="false">IF($C42="","",EDATE($C42,Milestones!$AA$67))</f>
        <v/>
      </c>
      <c r="BH42" s="18" t="str">
        <f aca="false">IF($C42="","",EDATE($C42,Milestones!$AA$68))</f>
        <v/>
      </c>
      <c r="BI42" s="18" t="str">
        <f aca="false">IF($C42="","",EDATE($C42,Milestones!$AA$69))</f>
        <v/>
      </c>
      <c r="BJ42" s="18" t="str">
        <f aca="false">IF($C42="","",EDATE($C42,Milestones!$AA$70))</f>
        <v/>
      </c>
      <c r="BK42" s="18" t="str">
        <f aca="false">IF($C42="","",EDATE($C42,Milestones!$AA$71))</f>
        <v/>
      </c>
      <c r="BL42" s="18" t="str">
        <f aca="false">IF($C42="","",EDATE($C42,Milestones!$AA$72))</f>
        <v/>
      </c>
      <c r="BM42" s="18" t="str">
        <f aca="false">IF($C42="","",EDATE($C42,Milestones!$AA$73))</f>
        <v/>
      </c>
      <c r="BN42" s="18" t="str">
        <f aca="false">IF($C42="","",EDATE($C42,Milestones!$AA$74))</f>
        <v/>
      </c>
      <c r="BO42" s="18" t="str">
        <f aca="false">IF($C42="","",EDATE($C42,Milestones!$AA$75))</f>
        <v/>
      </c>
      <c r="BP42" s="18" t="str">
        <f aca="false">IF($C42="","",EDATE($C42,Milestones!$AA$76))</f>
        <v/>
      </c>
      <c r="BQ42" s="18" t="str">
        <f aca="false">IF($C42="","",EDATE($C42,Milestones!$AA$77))</f>
        <v/>
      </c>
      <c r="BR42" s="18" t="str">
        <f aca="false">IF($C42="","",EDATE($C42,Milestones!$AA$78))</f>
        <v/>
      </c>
      <c r="BS42" s="18" t="str">
        <f aca="false">IF($C42="","",EDATE($C42,Milestones!$AA$79))</f>
        <v/>
      </c>
      <c r="BT42" s="18" t="str">
        <f aca="false">IF($C42="","",EDATE($C42,Milestones!$AA$80))</f>
        <v/>
      </c>
      <c r="BU42" s="18" t="str">
        <f aca="false">IF($C42="","",EDATE($C42,Milestones!$AA$81))</f>
        <v/>
      </c>
      <c r="BV42" s="18" t="str">
        <f aca="false">IF($C42="","",EDATE($C42,Milestones!$AA$82))</f>
        <v/>
      </c>
      <c r="BW42" s="18" t="str">
        <f aca="false">IF($C42="","",EDATE($C42,Milestones!$AA$83))</f>
        <v/>
      </c>
      <c r="BX42" s="18" t="str">
        <f aca="false">IF($C42="","",EDATE($C42,Milestones!$AA$84))</f>
        <v/>
      </c>
      <c r="BY42" s="18" t="str">
        <f aca="false">IF($C42="","",EDATE($C42,Milestones!$AA$85))</f>
        <v/>
      </c>
      <c r="BZ42" s="18" t="str">
        <f aca="false">IF($C42="","",EDATE($C42,Milestones!$AA$86))</f>
        <v/>
      </c>
      <c r="CA42" s="18" t="str">
        <f aca="false">IF($C42="","",EDATE($C42,Milestones!$AA$87))</f>
        <v/>
      </c>
      <c r="CB42" s="18" t="str">
        <f aca="false">IF($C42="","",EDATE($C42,Milestones!$AA$88))</f>
        <v/>
      </c>
      <c r="CC42" s="18" t="str">
        <f aca="false">IF($C42="","",EDATE($C42,Milestones!$AA$89))</f>
        <v/>
      </c>
      <c r="CD42" s="18" t="str">
        <f aca="false">IF($C42="","",EDATE($C42,Milestones!$AA$90))</f>
        <v/>
      </c>
      <c r="CE42" s="18" t="str">
        <f aca="false">IF($C42="","",EDATE($C42,Milestones!$AA$91))</f>
        <v/>
      </c>
      <c r="CF42" s="18" t="str">
        <f aca="false">IF($C42="","",EDATE($C42,Milestones!$AA$92))</f>
        <v/>
      </c>
      <c r="CG42" s="18" t="str">
        <f aca="false">IF($C42="","",EDATE($C42,Milestones!$AA$93))</f>
        <v/>
      </c>
      <c r="CH42" s="18" t="str">
        <f aca="false">IF($C42="","",EDATE($C42,Milestones!$AA$94))</f>
        <v/>
      </c>
      <c r="CI42" s="18" t="str">
        <f aca="false">IF($C42="","",EDATE($C42,Milestones!$AA$95))</f>
        <v/>
      </c>
      <c r="CJ42" s="18" t="str">
        <f aca="false">IF($C42="","",EDATE($C42,Milestones!$AA$96))</f>
        <v/>
      </c>
      <c r="CK42" s="18" t="str">
        <f aca="false">IF($C42="","",EDATE($C42,Milestones!$AA$97))</f>
        <v/>
      </c>
      <c r="CL42" s="18" t="str">
        <f aca="false">IF($C42="","",EDATE($C42,Milestones!$AA$98))</f>
        <v/>
      </c>
      <c r="CM42" s="18" t="str">
        <f aca="false">IF($C42="","",EDATE($C42,Milestones!$AA$99))</f>
        <v/>
      </c>
      <c r="CN42" s="18" t="str">
        <f aca="false">IF($C42="","",EDATE($C42,Milestones!$AA$100))</f>
        <v/>
      </c>
      <c r="CO42" s="18" t="str">
        <f aca="false">IF($C42="","",EDATE($C42,Milestones!$AA$101))</f>
        <v/>
      </c>
      <c r="CP42" s="18" t="str">
        <f aca="false">IF($C42="","",EDATE($C42,Milestones!$AA$102))</f>
        <v/>
      </c>
      <c r="CQ42" s="18" t="str">
        <f aca="false">IF($C42="","",EDATE($C42,Milestones!$AA$103))</f>
        <v/>
      </c>
      <c r="CR42" s="18" t="str">
        <f aca="false">IF($C42="","",EDATE($C42,Milestones!$AA$104))</f>
        <v/>
      </c>
      <c r="CS42" s="18" t="str">
        <f aca="false">IF($C42="","",EDATE($C42,Milestones!$AA$105))</f>
        <v/>
      </c>
      <c r="CT42" s="18" t="str">
        <f aca="false">IF($C42="","",EDATE($C42,Milestones!$AA$106))</f>
        <v/>
      </c>
      <c r="CU42" s="18" t="str">
        <f aca="false">IF($C42="","",EDATE($C42,Milestones!$AA$107))</f>
        <v/>
      </c>
      <c r="CV42" s="18" t="str">
        <f aca="false">IF($C42="","",EDATE($C42,Milestones!$AA$108))</f>
        <v/>
      </c>
      <c r="CW42" s="18" t="str">
        <f aca="false">IF($C42="","",EDATE($C42,Milestones!$AA$109))</f>
        <v/>
      </c>
      <c r="CX42" s="18" t="str">
        <f aca="false">IF($C42="","",EDATE($C42,Milestones!$AA$110))</f>
        <v/>
      </c>
      <c r="CY42" s="18" t="str">
        <f aca="false">IF($C42="","",EDATE($C42,Milestones!$AA$111))</f>
        <v/>
      </c>
      <c r="CZ42" s="18" t="str">
        <f aca="false">IF($C42="","",EDATE($C42,Milestones!$AA$112))</f>
        <v/>
      </c>
      <c r="DA42" s="18" t="str">
        <f aca="false">IF($C42="","",EDATE($C42,Milestones!$AA$113))</f>
        <v/>
      </c>
      <c r="DB42" s="18" t="str">
        <f aca="false">IF($C42="","",EDATE($C42,Milestones!$AA$114))</f>
        <v/>
      </c>
      <c r="DC42" s="18" t="str">
        <f aca="false">IF($C42="","",EDATE($C42,Milestones!$AA$115))</f>
        <v/>
      </c>
      <c r="DD42" s="18" t="str">
        <f aca="false">IF($C42="","",EDATE($C42,Milestones!$AA$116))</f>
        <v/>
      </c>
      <c r="DE42" s="18" t="str">
        <f aca="false">IF($C42="","",EDATE($C42,Milestones!$AA$117))</f>
        <v/>
      </c>
      <c r="DF42" s="18" t="str">
        <f aca="false">IF($C42="","",EDATE($C42,Milestones!$AA$118))</f>
        <v/>
      </c>
      <c r="DG42" s="18" t="str">
        <f aca="false">IF($C42="","",EDATE($C42,Milestones!$AA$119))</f>
        <v/>
      </c>
      <c r="DH42" s="18" t="str">
        <f aca="false">IF($C42="","",EDATE($C42,Milestones!$AA$120))</f>
        <v/>
      </c>
      <c r="DI42" s="18" t="str">
        <f aca="false">IF($C42="","",EDATE($C42,Milestones!$AA$121))</f>
        <v/>
      </c>
      <c r="DJ42" s="18" t="str">
        <f aca="false">IF($C42="","",EDATE($C42,Milestones!$AA$122))</f>
        <v/>
      </c>
      <c r="DK42" s="18" t="str">
        <f aca="false">IF($C42="","",EDATE($C42,Milestones!$AA$123))</f>
        <v/>
      </c>
      <c r="DL42" s="18" t="str">
        <f aca="false">IF($C42="","",EDATE($C42,Milestones!$AA$124))</f>
        <v/>
      </c>
      <c r="DM42" s="18" t="str">
        <f aca="false">IF($C42="","",EDATE($C42,Milestones!$AA$125))</f>
        <v/>
      </c>
      <c r="DN42" s="18" t="str">
        <f aca="false">IF($C42="","",EDATE($C42,Milestones!$AA$126))</f>
        <v/>
      </c>
      <c r="DO42" s="18" t="str">
        <f aca="false">IF($C42="","",EDATE($C42,Milestones!$AA$127))</f>
        <v/>
      </c>
      <c r="DP42" s="18" t="str">
        <f aca="false">IF($C42="","",EDATE($C42,Milestones!$AA$128))</f>
        <v/>
      </c>
      <c r="DQ42" s="18" t="str">
        <f aca="false">IF($C42="","",EDATE($C42,Milestones!$AA$129))</f>
        <v/>
      </c>
      <c r="DR42" s="18" t="str">
        <f aca="false">IF($C42="","",EDATE($C42,Milestones!$AA$130))</f>
        <v/>
      </c>
      <c r="DS42" s="18" t="str">
        <f aca="false">IF($C42="","",EDATE($C42,Milestones!$AA$131))</f>
        <v/>
      </c>
      <c r="DT42" s="18" t="str">
        <f aca="false">IF($C42="","",EDATE($C42,Milestones!$AA$132))</f>
        <v/>
      </c>
      <c r="DU42" s="18" t="str">
        <f aca="false">IF($C42="","",EDATE($C42,Milestones!$AA$133))</f>
        <v/>
      </c>
      <c r="DV42" s="18" t="str">
        <f aca="false">IF($C42="","",EDATE($C42,Milestones!$AA$134))</f>
        <v/>
      </c>
      <c r="DW42" s="18" t="str">
        <f aca="false">IF($C42="","",EDATE($C42,Milestones!$AA$135))</f>
        <v/>
      </c>
      <c r="DX42" s="18" t="str">
        <f aca="false">IF($C42="","",EDATE($C42,Milestones!$AA$136))</f>
        <v/>
      </c>
      <c r="DY42" s="18" t="str">
        <f aca="false">IF($C42="","",EDATE($C42,Milestones!$AA$137))</f>
        <v/>
      </c>
      <c r="DZ42" s="18" t="str">
        <f aca="false">IF($C42="","",EDATE($C42,Milestones!$AA$138))</f>
        <v/>
      </c>
      <c r="EA42" s="18" t="str">
        <f aca="false">IF($C42="","",EDATE($C42,Milestones!$AA$139))</f>
        <v/>
      </c>
      <c r="EB42" s="18" t="str">
        <f aca="false">IF($C42="","",EDATE($C42,Milestones!$AA$140))</f>
        <v/>
      </c>
      <c r="EC42" s="18" t="str">
        <f aca="false">IF($C42="","",EDATE($C42,Milestones!$AA$141))</f>
        <v/>
      </c>
      <c r="ED42" s="18" t="str">
        <f aca="false">IF($C42="","",EDATE($C42,Milestones!$AA$142))</f>
        <v/>
      </c>
      <c r="EE42" s="18" t="str">
        <f aca="false">IF($C42="","",EDATE($C42,Milestones!$AA$143))</f>
        <v/>
      </c>
      <c r="EF42" s="18" t="str">
        <f aca="false">IF($C42="","",EDATE($C42,Milestones!$AA$144))</f>
        <v/>
      </c>
      <c r="EG42" s="18" t="str">
        <f aca="false">IF($C42="","",EDATE($C42,Milestones!$AA$145))</f>
        <v/>
      </c>
      <c r="EH42" s="18" t="str">
        <f aca="false">IF($C42="","",EDATE($C42,Milestones!$AA$146))</f>
        <v/>
      </c>
      <c r="EI42" s="18" t="str">
        <f aca="false">IF($C42="","",EDATE($C42,Milestones!$AA$147))</f>
        <v/>
      </c>
      <c r="EJ42" s="18" t="str">
        <f aca="false">IF($C42="","",EDATE($C42,Milestones!$AA$148))</f>
        <v/>
      </c>
      <c r="EK42" s="18" t="str">
        <f aca="false">IF($C42="","",EDATE($C42,Milestones!$AA$149))</f>
        <v/>
      </c>
      <c r="EL42" s="18" t="str">
        <f aca="false">IF($C42="","",EDATE($C42,Milestones!$AA$150))</f>
        <v/>
      </c>
      <c r="EM42" s="18" t="str">
        <f aca="false">IF($C42="","",EDATE($C42,Milestones!$AA$151))</f>
        <v/>
      </c>
      <c r="EN42" s="18" t="str">
        <f aca="false">IF($C42="","",EDATE($C42,Milestones!$AA$152))</f>
        <v/>
      </c>
      <c r="EO42" s="18" t="str">
        <f aca="false">IF($C42="","",EDATE($C42,Milestones!$AA$153))</f>
        <v/>
      </c>
      <c r="EP42" s="18" t="str">
        <f aca="false">IF($C42="","",EDATE($C42,Milestones!$AA$154))</f>
        <v/>
      </c>
      <c r="EQ42" s="18" t="str">
        <f aca="false">IF($C42="","",EDATE($C42,Milestones!$AA$155))</f>
        <v/>
      </c>
      <c r="ER42" s="18" t="str">
        <f aca="false">IF($C42="","",EDATE($C42,Milestones!$AA$156))</f>
        <v/>
      </c>
      <c r="ES42" s="18" t="str">
        <f aca="false">IF($C42="","",EDATE($C42,Milestones!$AA$157))</f>
        <v/>
      </c>
      <c r="ET42" s="18" t="str">
        <f aca="false">IF($C42="","",EDATE($C42,Milestones!$AA$158))</f>
        <v/>
      </c>
      <c r="EU42" s="18" t="str">
        <f aca="false">IF($C42="","",EDATE($C42,Milestones!$AA$159))</f>
        <v/>
      </c>
      <c r="EV42" s="18" t="str">
        <f aca="false">IF($C42="","",EDATE($C42,Milestones!$AA$160))</f>
        <v/>
      </c>
      <c r="EW42" s="18" t="str">
        <f aca="false">IF($C42="","",EDATE($C42,Milestones!$AA$161))</f>
        <v/>
      </c>
      <c r="EX42" s="18" t="str">
        <f aca="false">IF($C42="","",EDATE($C42,Milestones!$AA$162))</f>
        <v/>
      </c>
      <c r="EY42" s="18" t="str">
        <f aca="false">IF($C42="","",EDATE($C42,Milestones!$AA$163))</f>
        <v/>
      </c>
      <c r="EZ42" s="18" t="str">
        <f aca="false">IF($C42="","",EDATE($C42,Milestones!$AA$164))</f>
        <v/>
      </c>
      <c r="FA42" s="18" t="str">
        <f aca="false">IF($C42="","",EDATE($C42,Milestones!$AA$165))</f>
        <v/>
      </c>
      <c r="FB42" s="18" t="str">
        <f aca="false">IF($C42="","",EDATE($C42,Milestones!$AA$166))</f>
        <v/>
      </c>
      <c r="FC42" s="18" t="str">
        <f aca="false">IF($C42="","",EDATE($C42,Milestones!$AA$167))</f>
        <v/>
      </c>
      <c r="FD42" s="18" t="str">
        <f aca="false">IF($C42="","",EDATE($C42,Milestones!$AA$168))</f>
        <v/>
      </c>
      <c r="FE42" s="18" t="str">
        <f aca="false">IF($C42="","",EDATE($C42,Milestones!$AA$169))</f>
        <v/>
      </c>
      <c r="FF42" s="18" t="str">
        <f aca="false">IF($C42="","",EDATE($C42,Milestones!$AA$170))</f>
        <v/>
      </c>
      <c r="FG42" s="18" t="str">
        <f aca="false">IF($C42="","",EDATE($C42,Milestones!$AA$171))</f>
        <v/>
      </c>
      <c r="FH42" s="18" t="str">
        <f aca="false">IF($C42="","",EDATE($C42,Milestones!$AA$172))</f>
        <v/>
      </c>
      <c r="FI42" s="18" t="str">
        <f aca="false">IF($C42="","",EDATE($C42,Milestones!$AA$173))</f>
        <v/>
      </c>
      <c r="FJ42" s="18" t="str">
        <f aca="false">IF($C42="","",EDATE($C42,Milestones!$AA$174))</f>
        <v/>
      </c>
      <c r="FK42" s="18" t="str">
        <f aca="false">IF($C42="","",EDATE($C42,Milestones!$AA$175))</f>
        <v/>
      </c>
      <c r="FL42" s="18" t="str">
        <f aca="false">IF($C42="","",EDATE($C42,Milestones!$AA$176))</f>
        <v/>
      </c>
      <c r="FM42" s="18" t="str">
        <f aca="false">IF($C42="","",EDATE($C42,Milestones!$AA$177))</f>
        <v/>
      </c>
      <c r="FN42" s="18" t="str">
        <f aca="false">IF($C42="","",EDATE($C42,Milestones!$AA$178))</f>
        <v/>
      </c>
      <c r="FO42" s="18" t="str">
        <f aca="false">IF($C42="","",EDATE($C42,Milestones!$AA$179))</f>
        <v/>
      </c>
      <c r="FP42" s="18" t="str">
        <f aca="false">IF($C42="","",EDATE($C42,Milestones!$AA$180))</f>
        <v/>
      </c>
      <c r="FQ42" s="18" t="str">
        <f aca="false">IF($C42="","",EDATE($C42,Milestones!$AA$181))</f>
        <v/>
      </c>
      <c r="FR42" s="18" t="str">
        <f aca="false">IF($C42="","",EDATE($C42,Milestones!$AA$182))</f>
        <v/>
      </c>
      <c r="FS42" s="18" t="str">
        <f aca="false">IF($C42="","",EDATE($C42,Milestones!$AA$183))</f>
        <v/>
      </c>
      <c r="FT42" s="18" t="str">
        <f aca="false">IF($C42="","",EDATE($C42,Milestones!$AA$184))</f>
        <v/>
      </c>
      <c r="FU42" s="18" t="str">
        <f aca="false">IF($C42="","",EDATE($C42,Milestones!$AA$185))</f>
        <v/>
      </c>
      <c r="FV42" s="18" t="str">
        <f aca="false">IF($C42="","",EDATE($C42,Milestones!$AA$186))</f>
        <v/>
      </c>
      <c r="FW42" s="18" t="str">
        <f aca="false">IF($C42="","",EDATE($C42,Milestones!$AA$187))</f>
        <v/>
      </c>
      <c r="FX42" s="18" t="str">
        <f aca="false">IF($C42="","",EDATE($C42,Milestones!$AA$188))</f>
        <v/>
      </c>
      <c r="FY42" s="18" t="str">
        <f aca="false">IF($C42="","",EDATE($C42,Milestones!$AA$189))</f>
        <v/>
      </c>
      <c r="FZ42" s="18" t="str">
        <f aca="false">IF($C42="","",EDATE($C42,Milestones!$AA$190))</f>
        <v/>
      </c>
      <c r="GA42" s="18" t="str">
        <f aca="false">IF($C42="","",EDATE($C42,Milestones!$AA$191))</f>
        <v/>
      </c>
      <c r="GB42" s="18" t="str">
        <f aca="false">IF($C42="","",EDATE($C42,Milestones!$AA$192))</f>
        <v/>
      </c>
      <c r="GC42" s="18" t="str">
        <f aca="false">IF($C42="","",EDATE($C42,Milestones!$AA$193))</f>
        <v/>
      </c>
      <c r="GD42" s="18" t="str">
        <f aca="false">IF($C42="","",EDATE($C42,Milestones!$AA$194))</f>
        <v/>
      </c>
      <c r="GE42" s="18" t="str">
        <f aca="false">IF($C42="","",EDATE($C42,Milestones!$AA$195))</f>
        <v/>
      </c>
      <c r="GF42" s="18" t="str">
        <f aca="false">IF($C42="","",EDATE($C42,Milestones!$AA$196))</f>
        <v/>
      </c>
      <c r="GG42" s="18" t="str">
        <f aca="false">IF($C42="","",EDATE($C42,Milestones!$AA$197))</f>
        <v/>
      </c>
      <c r="GH42" s="18" t="str">
        <f aca="false">IF($C42="","",EDATE($C42,Milestones!$AA$198))</f>
        <v/>
      </c>
      <c r="GI42" s="18" t="str">
        <f aca="false">IF($C42="","",EDATE($C42,Milestones!$AA$199))</f>
        <v/>
      </c>
    </row>
    <row r="43" customFormat="false" ht="15" hidden="false" customHeight="false" outlineLevel="0" collapsed="false">
      <c r="K43" s="0" t="s">
        <v>229</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230</v>
      </c>
      <c r="L44" s="0" t="n">
        <f aca="false">IF(L42="",0,IF(L43=Milestones!$AB$20,Milestones!$AC$20,0))</f>
        <v>0</v>
      </c>
      <c r="M44" s="0" t="n">
        <f aca="false">IF(M42="",0,IF(M43=Milestones!$AB$21,Milestones!$AC$21,0))</f>
        <v>0</v>
      </c>
      <c r="N44" s="0" t="n">
        <f aca="false">IF(N42="",0,IF(N43=Milestones!$AB$22,Milestones!$AC$22,0))</f>
        <v>0</v>
      </c>
      <c r="O44" s="0" t="n">
        <f aca="false">IF(O42="",0,IF(O43=Milestones!$AB$23,Milestones!$AC$23,0))</f>
        <v>0</v>
      </c>
      <c r="P44" s="0" t="n">
        <f aca="false">IF(P42="",0,IF(P43=Milestones!$AB$24,Milestones!$AC$24,0))</f>
        <v>0</v>
      </c>
      <c r="Q44" s="0" t="n">
        <f aca="false">IF(Q42="",0,IF(Q43=Milestones!$AB$25,Milestones!$AC$25,0))</f>
        <v>0</v>
      </c>
      <c r="R44" s="0" t="n">
        <f aca="false">IF(R42="",0,IF(R43=Milestones!$AB$26,Milestones!$AC$26,0))</f>
        <v>0</v>
      </c>
      <c r="S44" s="0" t="n">
        <f aca="false">IF(S42="",0,IF(S43=Milestones!$AB$27,Milestones!$AC$27,0))</f>
        <v>0</v>
      </c>
      <c r="T44" s="0" t="n">
        <f aca="false">IF(T42="",0,IF(T43=Milestones!$AB$28,Milestones!$AC$28,0))</f>
        <v>0</v>
      </c>
      <c r="U44" s="0" t="n">
        <f aca="false">IF(U42="",0,IF(U43=Milestones!$AB$29,Milestones!$AC$29,0))</f>
        <v>0</v>
      </c>
      <c r="V44" s="0" t="n">
        <f aca="false">IF(V42="",0,IF(V43=Milestones!$AB$30,Milestones!$AC$30,0))</f>
        <v>0</v>
      </c>
      <c r="W44" s="0" t="n">
        <f aca="false">IF(W42="",0,IF(W43=Milestones!$AB$31,Milestones!$AC$31,0))</f>
        <v>0</v>
      </c>
      <c r="X44" s="0" t="n">
        <f aca="false">IF(X42="",0,IF(X43=Milestones!$AB$32,Milestones!$AC$32,0))</f>
        <v>0</v>
      </c>
      <c r="Y44" s="0" t="n">
        <f aca="false">IF(Y42="",0,IF(Y43=Milestones!$AB$33,Milestones!$AC$33,0))</f>
        <v>0</v>
      </c>
      <c r="Z44" s="0" t="n">
        <f aca="false">IF(Z42="",0,IF(Z43=Milestones!$AB$34,Milestones!$AC$34,0))</f>
        <v>0</v>
      </c>
      <c r="AA44" s="0" t="n">
        <f aca="false">IF(AA42="",0,IF(AA43=Milestones!$AB$35,Milestones!$AC$35,0))</f>
        <v>0</v>
      </c>
      <c r="AB44" s="0" t="n">
        <f aca="false">IF(AB42="",0,IF(AB43=Milestones!$AB$36,Milestones!$AC$36,0))</f>
        <v>0</v>
      </c>
      <c r="AC44" s="0" t="n">
        <f aca="false">IF(AC42="",0,IF(AC43=Milestones!$AB$37,Milestones!$AC$37,0))</f>
        <v>0</v>
      </c>
      <c r="AD44" s="0" t="n">
        <f aca="false">IF(AD42="",0,IF(AD43=Milestones!$AB$38,Milestones!$AC$38,0))</f>
        <v>0</v>
      </c>
      <c r="AE44" s="0" t="n">
        <f aca="false">IF(AE42="",0,IF(AE43=Milestones!$AB$39,Milestones!$AC$39,0))</f>
        <v>0</v>
      </c>
      <c r="AF44" s="0" t="n">
        <f aca="false">IF(AF42="",0,IF(AF43=Milestones!$AB$40,Milestones!$AC$40,0))</f>
        <v>0</v>
      </c>
      <c r="AG44" s="0" t="n">
        <f aca="false">IF(AG42="",0,IF(AG43=Milestones!$AB$41,Milestones!$AC$41,0))</f>
        <v>0</v>
      </c>
      <c r="AH44" s="0" t="n">
        <f aca="false">IF(AH42="",0,IF(AH43=Milestones!$AB$42,Milestones!$AC$42,0))</f>
        <v>0</v>
      </c>
      <c r="AI44" s="0" t="n">
        <f aca="false">IF(AI42="",0,IF(AI43=Milestones!$AB$43,Milestones!$AC$43,0))</f>
        <v>0</v>
      </c>
      <c r="AJ44" s="0" t="n">
        <f aca="false">IF(AJ42="",0,IF(AJ43=Milestones!$AB$44,Milestones!$AC$44,0))</f>
        <v>0</v>
      </c>
      <c r="AK44" s="0" t="n">
        <f aca="false">IF(AK42="",0,IF(AK43=Milestones!$AB$45,Milestones!$AC$45,0))</f>
        <v>0</v>
      </c>
      <c r="AL44" s="0" t="n">
        <f aca="false">IF(AL42="",0,IF(AL43=Milestones!$AB$46,Milestones!$AC$46,0))</f>
        <v>0</v>
      </c>
      <c r="AM44" s="0" t="n">
        <f aca="false">IF(AM42="",0,IF(AM43=Milestones!$AB$47,Milestones!$AC$47,0))</f>
        <v>0</v>
      </c>
      <c r="AN44" s="0" t="n">
        <f aca="false">IF(AN42="",0,IF(AN43=Milestones!$AB$48,Milestones!$AC$48,0))</f>
        <v>0</v>
      </c>
      <c r="AO44" s="0" t="n">
        <f aca="false">IF(AO42="",0,IF(AO43=Milestones!$AB$49,Milestones!$AC$49,0))</f>
        <v>0</v>
      </c>
      <c r="AP44" s="0" t="n">
        <f aca="false">IF(AP42="",0,IF(AP43=Milestones!$AB$50,Milestones!$AC$50,0))</f>
        <v>0</v>
      </c>
      <c r="AQ44" s="0" t="n">
        <f aca="false">IF(AQ42="",0,IF(AQ43=Milestones!$AB$51,Milestones!$AC$51,0))</f>
        <v>0</v>
      </c>
      <c r="AR44" s="0" t="n">
        <f aca="false">IF(AR42="",0,IF(AR43=Milestones!$AB$52,Milestones!$AC$52,0))</f>
        <v>0</v>
      </c>
      <c r="AS44" s="0" t="n">
        <f aca="false">IF(AS42="",0,IF(AS43=Milestones!$AB$53,Milestones!$AC$53,0))</f>
        <v>0</v>
      </c>
      <c r="AT44" s="0" t="n">
        <f aca="false">IF(AT42="",0,IF(AT43=Milestones!$AB$54,Milestones!$AC$54,0))</f>
        <v>0</v>
      </c>
      <c r="AU44" s="0" t="n">
        <f aca="false">IF(AU42="",0,IF(AU43=Milestones!$AB$55,Milestones!$AC$55,0))</f>
        <v>0</v>
      </c>
      <c r="AV44" s="0" t="n">
        <f aca="false">IF(AV42="",0,IF(AV43=Milestones!$AB$56,Milestones!$AC$56,0))</f>
        <v>0</v>
      </c>
      <c r="AW44" s="0" t="n">
        <f aca="false">IF(AW42="",0,IF(AW43=Milestones!$AB$57,Milestones!$AC$57,0))</f>
        <v>0</v>
      </c>
      <c r="AX44" s="0" t="n">
        <f aca="false">IF(AX42="",0,IF(AX43=Milestones!$AB$58,Milestones!$AC$58,0))</f>
        <v>0</v>
      </c>
      <c r="AY44" s="0" t="n">
        <f aca="false">IF(AY42="",0,IF(AY43=Milestones!$AB$59,Milestones!$AC$59,0))</f>
        <v>0</v>
      </c>
      <c r="AZ44" s="0" t="n">
        <f aca="false">IF(AZ42="",0,IF(AZ43=Milestones!$AB$60,Milestones!$AC$60,0))</f>
        <v>0</v>
      </c>
      <c r="BA44" s="0" t="n">
        <f aca="false">IF(BA42="",0,IF(BA43=Milestones!$AB$61,Milestones!$AC$61,0))</f>
        <v>0</v>
      </c>
      <c r="BB44" s="0" t="n">
        <f aca="false">IF(BB42="",0,IF(BB43=Milestones!$AB$62,Milestones!$AC$62,0))</f>
        <v>0</v>
      </c>
      <c r="BC44" s="0" t="n">
        <f aca="false">IF(BC42="",0,IF(BC43=Milestones!$AB$63,Milestones!$AC$63,0))</f>
        <v>0</v>
      </c>
      <c r="BD44" s="0" t="n">
        <f aca="false">IF(BD42="",0,IF(BD43=Milestones!$AB$64,Milestones!$AC$64,0))</f>
        <v>0</v>
      </c>
      <c r="BE44" s="0" t="n">
        <f aca="false">IF(BE42="",0,IF(BE43=Milestones!$AB$65,Milestones!$AC$65,0))</f>
        <v>0</v>
      </c>
      <c r="BF44" s="0" t="n">
        <f aca="false">IF(BF42="",0,IF(BF43=Milestones!$AB$66,Milestones!$AC$66,0))</f>
        <v>0</v>
      </c>
      <c r="BG44" s="0" t="n">
        <f aca="false">IF(BG42="",0,IF(BG43=Milestones!$AB$67,Milestones!$AC$67,0))</f>
        <v>0</v>
      </c>
      <c r="BH44" s="0" t="n">
        <f aca="false">IF(BH42="",0,IF(BH43=Milestones!$AB$68,Milestones!$AC$68,0))</f>
        <v>0</v>
      </c>
      <c r="BI44" s="0" t="n">
        <f aca="false">IF(BI42="",0,IF(BI43=Milestones!$AB$69,Milestones!$AC$69,0))</f>
        <v>0</v>
      </c>
      <c r="BJ44" s="0" t="n">
        <f aca="false">IF(BJ42="",0,IF(BJ43=Milestones!$AB$70,Milestones!$AC$70,0))</f>
        <v>0</v>
      </c>
      <c r="BK44" s="0" t="n">
        <f aca="false">IF(BK42="",0,IF(BK43=Milestones!$AB$71,Milestones!$AC$71,0))</f>
        <v>0</v>
      </c>
      <c r="BL44" s="0" t="n">
        <f aca="false">IF(BL42="",0,IF(BL43=Milestones!$AB$72,Milestones!$AC$72,0))</f>
        <v>0</v>
      </c>
      <c r="BM44" s="0" t="n">
        <f aca="false">IF(BM42="",0,IF(BM43=Milestones!$AB$73,Milestones!$AC$73,0))</f>
        <v>0</v>
      </c>
      <c r="BN44" s="0" t="n">
        <f aca="false">IF(BN42="",0,IF(BN43=Milestones!$AB$74,Milestones!$AC$74,0))</f>
        <v>0</v>
      </c>
      <c r="BO44" s="0" t="n">
        <f aca="false">IF(BO42="",0,IF(BO43=Milestones!$AB$75,Milestones!$AC$75,0))</f>
        <v>0</v>
      </c>
      <c r="BP44" s="0" t="n">
        <f aca="false">IF(BP42="",0,IF(BP43=Milestones!$AB$76,Milestones!$AC$76,0))</f>
        <v>0</v>
      </c>
      <c r="BQ44" s="0" t="n">
        <f aca="false">IF(BQ42="",0,IF(BQ43=Milestones!$AB$77,Milestones!$AC$77,0))</f>
        <v>0</v>
      </c>
      <c r="BR44" s="0" t="n">
        <f aca="false">IF(BR42="",0,IF(BR43=Milestones!$AB$78,Milestones!$AC$78,0))</f>
        <v>0</v>
      </c>
      <c r="BS44" s="0" t="n">
        <f aca="false">IF(BS42="",0,IF(BS43=Milestones!$AB$79,Milestones!$AC$79,0))</f>
        <v>0</v>
      </c>
      <c r="BT44" s="0" t="n">
        <f aca="false">IF(BT42="",0,IF(BT43=Milestones!$AB$80,Milestones!$AC$80,0))</f>
        <v>0</v>
      </c>
      <c r="BU44" s="0" t="n">
        <f aca="false">IF(BU42="",0,IF(BU43=Milestones!$AB$81,Milestones!$AC$81,0))</f>
        <v>0</v>
      </c>
      <c r="BV44" s="0" t="n">
        <f aca="false">IF(BV42="",0,IF(BV43=Milestones!$AB$82,Milestones!$AC$82,0))</f>
        <v>0</v>
      </c>
      <c r="BW44" s="0" t="n">
        <f aca="false">IF(BW42="",0,IF(BW43=Milestones!$AB$83,Milestones!$AC$83,0))</f>
        <v>0</v>
      </c>
      <c r="BX44" s="0" t="n">
        <f aca="false">IF(BX42="",0,IF(BX43=Milestones!$AB$84,Milestones!$AC$84,0))</f>
        <v>0</v>
      </c>
      <c r="BY44" s="0" t="n">
        <f aca="false">IF(BY42="",0,IF(BY43=Milestones!$AB$85,Milestones!$AC$85,0))</f>
        <v>0</v>
      </c>
      <c r="BZ44" s="0" t="n">
        <f aca="false">IF(BZ42="",0,IF(BZ43=Milestones!$AB$86,Milestones!$AC$86,0))</f>
        <v>0</v>
      </c>
      <c r="CA44" s="0" t="n">
        <f aca="false">IF(CA42="",0,IF(CA43=Milestones!$AB$87,Milestones!$AC$87,0))</f>
        <v>0</v>
      </c>
      <c r="CB44" s="0" t="n">
        <f aca="false">IF(CB42="",0,IF(CB43=Milestones!$AB$88,Milestones!$AC$88,0))</f>
        <v>0</v>
      </c>
      <c r="CC44" s="0" t="n">
        <f aca="false">IF(CC42="",0,IF(CC43=Milestones!$AB$89,Milestones!$AC$89,0))</f>
        <v>0</v>
      </c>
      <c r="CD44" s="0" t="n">
        <f aca="false">IF(CD42="",0,IF(CD43=Milestones!$AB$90,Milestones!$AC$90,0))</f>
        <v>0</v>
      </c>
      <c r="CE44" s="0" t="n">
        <f aca="false">IF(CE42="",0,IF(CE43=Milestones!$AB$91,Milestones!$AC$91,0))</f>
        <v>0</v>
      </c>
      <c r="CF44" s="0" t="n">
        <f aca="false">IF(CF42="",0,IF(CF43=Milestones!$AB$92,Milestones!$AC$92,0))</f>
        <v>0</v>
      </c>
      <c r="CG44" s="0" t="n">
        <f aca="false">IF(CG42="",0,IF(CG43=Milestones!$AB$93,Milestones!$AC$93,0))</f>
        <v>0</v>
      </c>
      <c r="CH44" s="0" t="n">
        <f aca="false">IF(CH42="",0,IF(CH43=Milestones!$AB$94,Milestones!$AC$94,0))</f>
        <v>0</v>
      </c>
      <c r="CI44" s="0" t="n">
        <f aca="false">IF(CI42="",0,IF(CI43=Milestones!$AB$95,Milestones!$AC$95,0))</f>
        <v>0</v>
      </c>
      <c r="CJ44" s="0" t="n">
        <f aca="false">IF(CJ42="",0,IF(CJ43=Milestones!$AB$96,Milestones!$AC$96,0))</f>
        <v>0</v>
      </c>
      <c r="CK44" s="0" t="n">
        <f aca="false">IF(CK42="",0,IF(CK43=Milestones!$AB$97,Milestones!$AC$97,0))</f>
        <v>0</v>
      </c>
      <c r="CL44" s="0" t="n">
        <f aca="false">IF(CL42="",0,IF(CL43=Milestones!$AB$98,Milestones!$AC$98,0))</f>
        <v>0</v>
      </c>
      <c r="CM44" s="0" t="n">
        <f aca="false">IF(CM42="",0,IF(CM43=Milestones!$AB$99,Milestones!$AC$99,0))</f>
        <v>0</v>
      </c>
      <c r="CN44" s="0" t="n">
        <f aca="false">IF(CN42="",0,IF(CN43=Milestones!$AB$100,Milestones!$AC$100,0))</f>
        <v>0</v>
      </c>
      <c r="CO44" s="0" t="n">
        <f aca="false">IF(CO42="",0,IF(CO43=Milestones!$AB$101,Milestones!$AC$101,0))</f>
        <v>0</v>
      </c>
      <c r="CP44" s="0" t="n">
        <f aca="false">IF(CP42="",0,IF(CP43=Milestones!$AB$102,Milestones!$AC$102,0))</f>
        <v>0</v>
      </c>
      <c r="CQ44" s="0" t="n">
        <f aca="false">IF(CQ42="",0,IF(CQ43=Milestones!$AB$103,Milestones!$AC$103,0))</f>
        <v>0</v>
      </c>
      <c r="CR44" s="0" t="n">
        <f aca="false">IF(CR42="",0,IF(CR43=Milestones!$AB$104,Milestones!$AC$104,0))</f>
        <v>0</v>
      </c>
      <c r="CS44" s="0" t="n">
        <f aca="false">IF(CS42="",0,IF(CS43=Milestones!$AB$105,Milestones!$AC$105,0))</f>
        <v>0</v>
      </c>
      <c r="CT44" s="0" t="n">
        <f aca="false">IF(CT42="",0,IF(CT43=Milestones!$AB$106,Milestones!$AC$106,0))</f>
        <v>0</v>
      </c>
      <c r="CU44" s="0" t="n">
        <f aca="false">IF(CU42="",0,IF(CU43=Milestones!$AB$107,Milestones!$AC$107,0))</f>
        <v>0</v>
      </c>
      <c r="CV44" s="0" t="n">
        <f aca="false">IF(CV42="",0,IF(CV43=Milestones!$AB$108,Milestones!$AC$108,0))</f>
        <v>0</v>
      </c>
      <c r="CW44" s="0" t="n">
        <f aca="false">IF(CW42="",0,IF(CW43=Milestones!$AB$109,Milestones!$AC$109,0))</f>
        <v>0</v>
      </c>
      <c r="CX44" s="0" t="n">
        <f aca="false">IF(CX42="",0,IF(CX43=Milestones!$AB$110,Milestones!$AC$110,0))</f>
        <v>0</v>
      </c>
      <c r="CY44" s="0" t="n">
        <f aca="false">IF(CY42="",0,IF(CY43=Milestones!$AB$111,Milestones!$AC$111,0))</f>
        <v>0</v>
      </c>
      <c r="CZ44" s="0" t="n">
        <f aca="false">IF(CZ42="",0,IF(CZ43=Milestones!$AB$112,Milestones!$AC$112,0))</f>
        <v>0</v>
      </c>
      <c r="DA44" s="0" t="n">
        <f aca="false">IF(DA42="",0,IF(DA43=Milestones!$AB$113,Milestones!$AC$113,0))</f>
        <v>0</v>
      </c>
      <c r="DB44" s="0" t="n">
        <f aca="false">IF(DB42="",0,IF(DB43=Milestones!$AB$114,Milestones!$AC$114,0))</f>
        <v>0</v>
      </c>
      <c r="DC44" s="0" t="n">
        <f aca="false">IF(DC42="",0,IF(DC43=Milestones!$AB$115,Milestones!$AC$115,0))</f>
        <v>0</v>
      </c>
      <c r="DD44" s="0" t="n">
        <f aca="false">IF(DD42="",0,IF(DD43=Milestones!$AB$116,Milestones!$AC$116,0))</f>
        <v>0</v>
      </c>
      <c r="DE44" s="0" t="n">
        <f aca="false">IF(DE42="",0,IF(DE43=Milestones!$AB$117,Milestones!$AC$117,0))</f>
        <v>0</v>
      </c>
      <c r="DF44" s="0" t="n">
        <f aca="false">IF(DF42="",0,IF(DF43=Milestones!$AB$118,Milestones!$AC$118,0))</f>
        <v>0</v>
      </c>
      <c r="DG44" s="0" t="n">
        <f aca="false">IF(DG42="",0,IF(DG43=Milestones!$AB$119,Milestones!$AC$119,0))</f>
        <v>0</v>
      </c>
      <c r="DH44" s="0" t="n">
        <f aca="false">IF(DH42="",0,IF(DH43=Milestones!$AB$120,Milestones!$AC$120,0))</f>
        <v>0</v>
      </c>
      <c r="DI44" s="0" t="n">
        <f aca="false">IF(DI42="",0,IF(DI43=Milestones!$AB$121,Milestones!$AC$121,0))</f>
        <v>0</v>
      </c>
      <c r="DJ44" s="0" t="n">
        <f aca="false">IF(DJ42="",0,IF(DJ43=Milestones!$AB$122,Milestones!$AC$122,0))</f>
        <v>0</v>
      </c>
      <c r="DK44" s="0" t="n">
        <f aca="false">IF(DK42="",0,IF(DK43=Milestones!$AB$123,Milestones!$AC$123,0))</f>
        <v>0</v>
      </c>
      <c r="DL44" s="0" t="n">
        <f aca="false">IF(DL42="",0,IF(DL43=Milestones!$AB$124,Milestones!$AC$124,0))</f>
        <v>0</v>
      </c>
      <c r="DM44" s="0" t="n">
        <f aca="false">IF(DM42="",0,IF(DM43=Milestones!$AB$125,Milestones!$AC$125,0))</f>
        <v>0</v>
      </c>
      <c r="DN44" s="0" t="n">
        <f aca="false">IF(DN42="",0,IF(DN43=Milestones!$AB$126,Milestones!$AC$126,0))</f>
        <v>0</v>
      </c>
      <c r="DO44" s="0" t="n">
        <f aca="false">IF(DO42="",0,IF(DO43=Milestones!$AB$127,Milestones!$AC$127,0))</f>
        <v>0</v>
      </c>
      <c r="DP44" s="0" t="n">
        <f aca="false">IF(DP42="",0,IF(DP43=Milestones!$AB$128,Milestones!$AC$128,0))</f>
        <v>0</v>
      </c>
      <c r="DQ44" s="0" t="n">
        <f aca="false">IF(DQ42="",0,IF(DQ43=Milestones!$AB$129,Milestones!$AC$129,0))</f>
        <v>0</v>
      </c>
      <c r="DR44" s="0" t="n">
        <f aca="false">IF(DR42="",0,IF(DR43=Milestones!$AB$130,Milestones!$AC$130,0))</f>
        <v>0</v>
      </c>
      <c r="DS44" s="0" t="n">
        <f aca="false">IF(DS42="",0,IF(DS43=Milestones!$AB$131,Milestones!$AC$131,0))</f>
        <v>0</v>
      </c>
      <c r="DT44" s="0" t="n">
        <f aca="false">IF(DT42="",0,IF(DT43=Milestones!$AB$132,Milestones!$AC$132,0))</f>
        <v>0</v>
      </c>
      <c r="DU44" s="0" t="n">
        <f aca="false">IF(DU42="",0,IF(DU43=Milestones!$AB$133,Milestones!$AC$133,0))</f>
        <v>0</v>
      </c>
      <c r="DV44" s="0" t="n">
        <f aca="false">IF(DV42="",0,IF(DV43=Milestones!$AB$134,Milestones!$AC$134,0))</f>
        <v>0</v>
      </c>
      <c r="DW44" s="0" t="n">
        <f aca="false">IF(DW42="",0,IF(DW43=Milestones!$AB$135,Milestones!$AC$135,0))</f>
        <v>0</v>
      </c>
      <c r="DX44" s="0" t="n">
        <f aca="false">IF(DX42="",0,IF(DX43=Milestones!$AB$136,Milestones!$AC$136,0))</f>
        <v>0</v>
      </c>
      <c r="DY44" s="0" t="n">
        <f aca="false">IF(DY42="",0,IF(DY43=Milestones!$AB$137,Milestones!$AC$137,0))</f>
        <v>0</v>
      </c>
      <c r="DZ44" s="0" t="n">
        <f aca="false">IF(DZ42="",0,IF(DZ43=Milestones!$AB$138,Milestones!$AC$138,0))</f>
        <v>0</v>
      </c>
      <c r="EA44" s="0" t="n">
        <f aca="false">IF(EA42="",0,IF(EA43=Milestones!$AB$139,Milestones!$AC$139,0))</f>
        <v>0</v>
      </c>
      <c r="EB44" s="0" t="n">
        <f aca="false">IF(EB42="",0,IF(EB43=Milestones!$AB$140,Milestones!$AC$140,0))</f>
        <v>0</v>
      </c>
      <c r="EC44" s="0" t="n">
        <f aca="false">IF(EC42="",0,IF(EC43=Milestones!$AB$141,Milestones!$AC$141,0))</f>
        <v>0</v>
      </c>
      <c r="ED44" s="0" t="n">
        <f aca="false">IF(ED42="",0,IF(ED43=Milestones!$AB$142,Milestones!$AC$142,0))</f>
        <v>0</v>
      </c>
      <c r="EE44" s="0" t="n">
        <f aca="false">IF(EE42="",0,IF(EE43=Milestones!$AB$143,Milestones!$AC$143,0))</f>
        <v>0</v>
      </c>
      <c r="EF44" s="0" t="n">
        <f aca="false">IF(EF42="",0,IF(EF43=Milestones!$AB$144,Milestones!$AC$144,0))</f>
        <v>0</v>
      </c>
      <c r="EG44" s="0" t="n">
        <f aca="false">IF(EG42="",0,IF(EG43=Milestones!$AB$145,Milestones!$AC$145,0))</f>
        <v>0</v>
      </c>
      <c r="EH44" s="0" t="n">
        <f aca="false">IF(EH42="",0,IF(EH43=Milestones!$AB$146,Milestones!$AC$146,0))</f>
        <v>0</v>
      </c>
      <c r="EI44" s="0" t="n">
        <f aca="false">IF(EI42="",0,IF(EI43=Milestones!$AB$147,Milestones!$AC$147,0))</f>
        <v>0</v>
      </c>
      <c r="EJ44" s="0" t="n">
        <f aca="false">IF(EJ42="",0,IF(EJ43=Milestones!$AB$148,Milestones!$AC$148,0))</f>
        <v>0</v>
      </c>
      <c r="EK44" s="0" t="n">
        <f aca="false">IF(EK42="",0,IF(EK43=Milestones!$AB$149,Milestones!$AC$149,0))</f>
        <v>0</v>
      </c>
      <c r="EL44" s="0" t="n">
        <f aca="false">IF(EL42="",0,IF(EL43=Milestones!$AB$150,Milestones!$AC$150,0))</f>
        <v>0</v>
      </c>
      <c r="EM44" s="0" t="n">
        <f aca="false">IF(EM42="",0,IF(EM43=Milestones!$AB$151,Milestones!$AC$151,0))</f>
        <v>0</v>
      </c>
      <c r="EN44" s="0" t="n">
        <f aca="false">IF(EN42="",0,IF(EN43=Milestones!$AB$152,Milestones!$AC$152,0))</f>
        <v>0</v>
      </c>
      <c r="EO44" s="0" t="n">
        <f aca="false">IF(EO42="",0,IF(EO43=Milestones!$AB$153,Milestones!$AC$153,0))</f>
        <v>0</v>
      </c>
      <c r="EP44" s="0" t="n">
        <f aca="false">IF(EP42="",0,IF(EP43=Milestones!$AB$154,Milestones!$AC$154,0))</f>
        <v>0</v>
      </c>
      <c r="EQ44" s="0" t="n">
        <f aca="false">IF(EQ42="",0,IF(EQ43=Milestones!$AB$155,Milestones!$AC$155,0))</f>
        <v>0</v>
      </c>
      <c r="ER44" s="0" t="n">
        <f aca="false">IF(ER42="",0,IF(ER43=Milestones!$AB$156,Milestones!$AC$156,0))</f>
        <v>0</v>
      </c>
      <c r="ES44" s="0" t="n">
        <f aca="false">IF(ES42="",0,IF(ES43=Milestones!$AB$157,Milestones!$AC$157,0))</f>
        <v>0</v>
      </c>
      <c r="ET44" s="0" t="n">
        <f aca="false">IF(ET42="",0,IF(ET43=Milestones!$AB$158,Milestones!$AC$158,0))</f>
        <v>0</v>
      </c>
      <c r="EU44" s="0" t="n">
        <f aca="false">IF(EU42="",0,IF(EU43=Milestones!$AB$159,Milestones!$AC$159,0))</f>
        <v>0</v>
      </c>
      <c r="EV44" s="0" t="n">
        <f aca="false">IF(EV42="",0,IF(EV43=Milestones!$AB$160,Milestones!$AC$160,0))</f>
        <v>0</v>
      </c>
      <c r="EW44" s="0" t="n">
        <f aca="false">IF(EW42="",0,IF(EW43=Milestones!$AB$161,Milestones!$AC$161,0))</f>
        <v>0</v>
      </c>
      <c r="EX44" s="0" t="n">
        <f aca="false">IF(EX42="",0,IF(EX43=Milestones!$AB$162,Milestones!$AC$162,0))</f>
        <v>0</v>
      </c>
      <c r="EY44" s="0" t="n">
        <f aca="false">IF(EY42="",0,IF(EY43=Milestones!$AB$163,Milestones!$AC$163,0))</f>
        <v>0</v>
      </c>
      <c r="EZ44" s="0" t="n">
        <f aca="false">IF(EZ42="",0,IF(EZ43=Milestones!$AB$164,Milestones!$AC$164,0))</f>
        <v>0</v>
      </c>
      <c r="FA44" s="0" t="n">
        <f aca="false">IF(FA42="",0,IF(FA43=Milestones!$AB$165,Milestones!$AC$165,0))</f>
        <v>0</v>
      </c>
      <c r="FB44" s="0" t="n">
        <f aca="false">IF(FB42="",0,IF(FB43=Milestones!$AB$166,Milestones!$AC$166,0))</f>
        <v>0</v>
      </c>
      <c r="FC44" s="0" t="n">
        <f aca="false">IF(FC42="",0,IF(FC43=Milestones!$AB$167,Milestones!$AC$167,0))</f>
        <v>0</v>
      </c>
      <c r="FD44" s="0" t="n">
        <f aca="false">IF(FD42="",0,IF(FD43=Milestones!$AB$168,Milestones!$AC$168,0))</f>
        <v>0</v>
      </c>
      <c r="FE44" s="0" t="n">
        <f aca="false">IF(FE42="",0,IF(FE43=Milestones!$AB$169,Milestones!$AC$169,0))</f>
        <v>0</v>
      </c>
      <c r="FF44" s="0" t="n">
        <f aca="false">IF(FF42="",0,IF(FF43=Milestones!$AB$170,Milestones!$AC$170,0))</f>
        <v>0</v>
      </c>
      <c r="FG44" s="0" t="n">
        <f aca="false">IF(FG42="",0,IF(FG43=Milestones!$AB$171,Milestones!$AC$171,0))</f>
        <v>0</v>
      </c>
      <c r="FH44" s="0" t="n">
        <f aca="false">IF(FH42="",0,IF(FH43=Milestones!$AB$172,Milestones!$AC$172,0))</f>
        <v>0</v>
      </c>
      <c r="FI44" s="0" t="n">
        <f aca="false">IF(FI42="",0,IF(FI43=Milestones!$AB$173,Milestones!$AC$173,0))</f>
        <v>0</v>
      </c>
      <c r="FJ44" s="0" t="n">
        <f aca="false">IF(FJ42="",0,IF(FJ43=Milestones!$AB$174,Milestones!$AC$174,0))</f>
        <v>0</v>
      </c>
      <c r="FK44" s="0" t="n">
        <f aca="false">IF(FK42="",0,IF(FK43=Milestones!$AB$175,Milestones!$AC$175,0))</f>
        <v>0</v>
      </c>
      <c r="FL44" s="0" t="n">
        <f aca="false">IF(FL42="",0,IF(FL43=Milestones!$AB$176,Milestones!$AC$176,0))</f>
        <v>0</v>
      </c>
      <c r="FM44" s="0" t="n">
        <f aca="false">IF(FM42="",0,IF(FM43=Milestones!$AB$177,Milestones!$AC$177,0))</f>
        <v>0</v>
      </c>
      <c r="FN44" s="0" t="n">
        <f aca="false">IF(FN42="",0,IF(FN43=Milestones!$AB$178,Milestones!$AC$178,0))</f>
        <v>0</v>
      </c>
      <c r="FO44" s="0" t="n">
        <f aca="false">IF(FO42="",0,IF(FO43=Milestones!$AB$179,Milestones!$AC$179,0))</f>
        <v>0</v>
      </c>
      <c r="FP44" s="0" t="n">
        <f aca="false">IF(FP42="",0,IF(FP43=Milestones!$AB$180,Milestones!$AC$180,0))</f>
        <v>0</v>
      </c>
      <c r="FQ44" s="0" t="n">
        <f aca="false">IF(FQ42="",0,IF(FQ43=Milestones!$AB$181,Milestones!$AC$181,0))</f>
        <v>0</v>
      </c>
      <c r="FR44" s="0" t="n">
        <f aca="false">IF(FR42="",0,IF(FR43=Milestones!$AB$182,Milestones!$AC$182,0))</f>
        <v>0</v>
      </c>
      <c r="FS44" s="0" t="n">
        <f aca="false">IF(FS42="",0,IF(FS43=Milestones!$AB$183,Milestones!$AC$183,0))</f>
        <v>0</v>
      </c>
      <c r="FT44" s="0" t="n">
        <f aca="false">IF(FT42="",0,IF(FT43=Milestones!$AB$184,Milestones!$AC$184,0))</f>
        <v>0</v>
      </c>
      <c r="FU44" s="0" t="n">
        <f aca="false">IF(FU42="",0,IF(FU43=Milestones!$AB$185,Milestones!$AC$185,0))</f>
        <v>0</v>
      </c>
      <c r="FV44" s="0" t="n">
        <f aca="false">IF(FV42="",0,IF(FV43=Milestones!$AB$186,Milestones!$AC$186,0))</f>
        <v>0</v>
      </c>
      <c r="FW44" s="0" t="n">
        <f aca="false">IF(FW42="",0,IF(FW43=Milestones!$AB$187,Milestones!$AC$187,0))</f>
        <v>0</v>
      </c>
      <c r="FX44" s="0" t="n">
        <f aca="false">IF(FX42="",0,IF(FX43=Milestones!$AB$188,Milestones!$AC$188,0))</f>
        <v>0</v>
      </c>
      <c r="FY44" s="0" t="n">
        <f aca="false">IF(FY42="",0,IF(FY43=Milestones!$AB$189,Milestones!$AC$189,0))</f>
        <v>0</v>
      </c>
      <c r="FZ44" s="0" t="n">
        <f aca="false">IF(FZ42="",0,IF(FZ43=Milestones!$AB$190,Milestones!$AC$190,0))</f>
        <v>0</v>
      </c>
      <c r="GA44" s="0" t="n">
        <f aca="false">IF(GA42="",0,IF(GA43=Milestones!$AB$191,Milestones!$AC$191,0))</f>
        <v>0</v>
      </c>
      <c r="GB44" s="0" t="n">
        <f aca="false">IF(GB42="",0,IF(GB43=Milestones!$AB$192,Milestones!$AC$192,0))</f>
        <v>0</v>
      </c>
      <c r="GC44" s="0" t="n">
        <f aca="false">IF(GC42="",0,IF(GC43=Milestones!$AB$193,Milestones!$AC$193,0))</f>
        <v>0</v>
      </c>
      <c r="GD44" s="0" t="n">
        <f aca="false">IF(GD42="",0,IF(GD43=Milestones!$AB$194,Milestones!$AC$194,0))</f>
        <v>0</v>
      </c>
      <c r="GE44" s="0" t="n">
        <f aca="false">IF(GE42="",0,IF(GE43=Milestones!$AB$195,Milestones!$AC$195,0))</f>
        <v>0</v>
      </c>
      <c r="GF44" s="0" t="n">
        <f aca="false">IF(GF42="",0,IF(GF43=Milestones!$AB$196,Milestones!$AC$196,0))</f>
        <v>0</v>
      </c>
      <c r="GG44" s="0" t="n">
        <f aca="false">IF(GG42="",0,IF(GG43=Milestones!$AB$197,Milestones!$AC$197,0))</f>
        <v>0</v>
      </c>
      <c r="GH44" s="0" t="n">
        <f aca="false">IF(GH42="",0,IF(GH43=Milestones!$AB$198,Milestones!$AC$198,0))</f>
        <v>0</v>
      </c>
      <c r="GI44" s="0" t="n">
        <f aca="false">IF(GI42="",0,IF(GI43=Milestones!$AB$199,Milestones!$AC$199,0))</f>
        <v>0</v>
      </c>
    </row>
    <row r="45" customFormat="false" ht="15" hidden="false" customHeight="false" outlineLevel="0" collapsed="false">
      <c r="A45" s="0" t="str">
        <f aca="false">IF('HR Tally Check'!P$7="","",'HR Tally Check'!P$7)</f>
        <v/>
      </c>
      <c r="B45" s="0" t="str">
        <f aca="false">IF(A45="","",ISNUMBER(MATCH(A45,Staff!$BJ$5:$BJ$154,0)))</f>
        <v/>
      </c>
      <c r="C45" s="18" t="str">
        <f aca="false">IF(B45&lt;&gt;TRUE(),"",INDEX(Staff!$AH$5:$AH$154,MATCH($A45,Staff!$BJ$5:$BJ$154,0)))</f>
        <v/>
      </c>
      <c r="D45" s="0" t="str">
        <f aca="false">IF(B45&lt;&gt;TRUE(),"",INDEX(Staff!$AI$5:$AI$154,MATCH($A45,Staff!$BJ$5:$BJ$154,0)))</f>
        <v/>
      </c>
      <c r="E45" s="18" t="str">
        <f aca="false">IF(B45&lt;&gt;TRUE(),"",INDEX(Staff!$AK$5:$AK$154,MATCH($A45,Staff!$BJ$5:$BJ$154,0)))</f>
        <v/>
      </c>
      <c r="F45" s="18" t="str">
        <f aca="false">IF(B45&lt;&gt;TRUE(),"",INDEX(Staff!$AL$5:$AL$154,MATCH($A45,Staff!$BJ$5:$BJ$154,0)))</f>
        <v/>
      </c>
      <c r="G45" s="0" t="str">
        <f aca="false">IF(B45&lt;&gt;TRUE(),"",INDEX(Staff!$AP$5:$AP$154,MATCH($A45,Staff!$BJ$5:$BJ$154,0)))</f>
        <v/>
      </c>
      <c r="H45" s="0" t="str">
        <f aca="false">IF(B45&lt;&gt;TRUE(),"",INDEX(Staff!$AQ$5:$AQ$154,MATCH($A45,Staff!$BJ$5:$BJ$154,0)))</f>
        <v/>
      </c>
      <c r="I45" s="0" t="str">
        <f aca="false">IF(B45&lt;&gt;TRUE(),"",INDEX(Staff!$AR$5:$AR$154,MATCH($A45,Staff!$BJ$5:$BJ$154,0)))</f>
        <v/>
      </c>
      <c r="J45" s="0" t="str">
        <f aca="false">IF(B45&lt;&gt;TRUE(),"",INDEX(Staff!$AS$5:$AS$154,MATCH($A45,Staff!$BJ$5:$BJ$154,0)))</f>
        <v/>
      </c>
      <c r="K45" s="31" t="s">
        <v>228</v>
      </c>
      <c r="L45" s="18" t="str">
        <f aca="false">IF($C45="","",EDATE($C45,Milestones!$AA$20))</f>
        <v/>
      </c>
      <c r="M45" s="18" t="str">
        <f aca="false">IF($C45="","",EDATE($C45,Milestones!$AA$21))</f>
        <v/>
      </c>
      <c r="N45" s="18" t="str">
        <f aca="false">IF($C45="","",EDATE($C45,Milestones!$AA$22))</f>
        <v/>
      </c>
      <c r="O45" s="18" t="str">
        <f aca="false">IF($C45="","",EDATE($C45,Milestones!$AA$23))</f>
        <v/>
      </c>
      <c r="P45" s="18" t="str">
        <f aca="false">IF($C45="","",EDATE($C45,Milestones!$AA$24))</f>
        <v/>
      </c>
      <c r="Q45" s="18" t="str">
        <f aca="false">IF($C45="","",EDATE($C45,Milestones!$AA$25))</f>
        <v/>
      </c>
      <c r="R45" s="18" t="str">
        <f aca="false">IF($C45="","",EDATE($C45,Milestones!$AA$26))</f>
        <v/>
      </c>
      <c r="S45" s="18" t="str">
        <f aca="false">IF($C45="","",EDATE($C45,Milestones!$AA$27))</f>
        <v/>
      </c>
      <c r="T45" s="18" t="str">
        <f aca="false">IF($C45="","",EDATE($C45,Milestones!$AA$28))</f>
        <v/>
      </c>
      <c r="U45" s="18" t="str">
        <f aca="false">IF($C45="","",EDATE($C45,Milestones!$AA$29))</f>
        <v/>
      </c>
      <c r="V45" s="18" t="str">
        <f aca="false">IF($C45="","",EDATE($C45,Milestones!$AA$30))</f>
        <v/>
      </c>
      <c r="W45" s="18" t="str">
        <f aca="false">IF($C45="","",EDATE($C45,Milestones!$AA$31))</f>
        <v/>
      </c>
      <c r="X45" s="18" t="str">
        <f aca="false">IF($C45="","",EDATE($C45,Milestones!$AA$32))</f>
        <v/>
      </c>
      <c r="Y45" s="18" t="str">
        <f aca="false">IF($C45="","",EDATE($C45,Milestones!$AA$33))</f>
        <v/>
      </c>
      <c r="Z45" s="18" t="str">
        <f aca="false">IF($C45="","",EDATE($C45,Milestones!$AA$34))</f>
        <v/>
      </c>
      <c r="AA45" s="18" t="str">
        <f aca="false">IF($C45="","",EDATE($C45,Milestones!$AA$35))</f>
        <v/>
      </c>
      <c r="AB45" s="18" t="str">
        <f aca="false">IF($C45="","",EDATE($C45,Milestones!$AA$36))</f>
        <v/>
      </c>
      <c r="AC45" s="18" t="str">
        <f aca="false">IF($C45="","",EDATE($C45,Milestones!$AA$37))</f>
        <v/>
      </c>
      <c r="AD45" s="18" t="str">
        <f aca="false">IF($C45="","",EDATE($C45,Milestones!$AA$38))</f>
        <v/>
      </c>
      <c r="AE45" s="18" t="str">
        <f aca="false">IF($C45="","",EDATE($C45,Milestones!$AA$39))</f>
        <v/>
      </c>
      <c r="AF45" s="18" t="str">
        <f aca="false">IF($C45="","",EDATE($C45,Milestones!$AA$40))</f>
        <v/>
      </c>
      <c r="AG45" s="18" t="str">
        <f aca="false">IF($C45="","",EDATE($C45,Milestones!$AA$41))</f>
        <v/>
      </c>
      <c r="AH45" s="18" t="str">
        <f aca="false">IF($C45="","",EDATE($C45,Milestones!$AA$42))</f>
        <v/>
      </c>
      <c r="AI45" s="18" t="str">
        <f aca="false">IF($C45="","",EDATE($C45,Milestones!$AA$43))</f>
        <v/>
      </c>
      <c r="AJ45" s="18" t="str">
        <f aca="false">IF($C45="","",EDATE($C45,Milestones!$AA$44))</f>
        <v/>
      </c>
      <c r="AK45" s="18" t="str">
        <f aca="false">IF($C45="","",EDATE($C45,Milestones!$AA$45))</f>
        <v/>
      </c>
      <c r="AL45" s="18" t="str">
        <f aca="false">IF($C45="","",EDATE($C45,Milestones!$AA$46))</f>
        <v/>
      </c>
      <c r="AM45" s="18" t="str">
        <f aca="false">IF($C45="","",EDATE($C45,Milestones!$AA$47))</f>
        <v/>
      </c>
      <c r="AN45" s="18" t="str">
        <f aca="false">IF($C45="","",EDATE($C45,Milestones!$AA$48))</f>
        <v/>
      </c>
      <c r="AO45" s="18" t="str">
        <f aca="false">IF($C45="","",EDATE($C45,Milestones!$AA$49))</f>
        <v/>
      </c>
      <c r="AP45" s="18" t="str">
        <f aca="false">IF($C45="","",EDATE($C45,Milestones!$AA$50))</f>
        <v/>
      </c>
      <c r="AQ45" s="18" t="str">
        <f aca="false">IF($C45="","",EDATE($C45,Milestones!$AA$51))</f>
        <v/>
      </c>
      <c r="AR45" s="18" t="str">
        <f aca="false">IF($C45="","",EDATE($C45,Milestones!$AA$52))</f>
        <v/>
      </c>
      <c r="AS45" s="18" t="str">
        <f aca="false">IF($C45="","",EDATE($C45,Milestones!$AA$53))</f>
        <v/>
      </c>
      <c r="AT45" s="18" t="str">
        <f aca="false">IF($C45="","",EDATE($C45,Milestones!$AA$54))</f>
        <v/>
      </c>
      <c r="AU45" s="18" t="str">
        <f aca="false">IF($C45="","",EDATE($C45,Milestones!$AA$55))</f>
        <v/>
      </c>
      <c r="AV45" s="18" t="str">
        <f aca="false">IF($C45="","",EDATE($C45,Milestones!$AA$56))</f>
        <v/>
      </c>
      <c r="AW45" s="18" t="str">
        <f aca="false">IF($C45="","",EDATE($C45,Milestones!$AA$57))</f>
        <v/>
      </c>
      <c r="AX45" s="18" t="str">
        <f aca="false">IF($C45="","",EDATE($C45,Milestones!$AA$58))</f>
        <v/>
      </c>
      <c r="AY45" s="18" t="str">
        <f aca="false">IF($C45="","",EDATE($C45,Milestones!$AA$59))</f>
        <v/>
      </c>
      <c r="AZ45" s="18" t="str">
        <f aca="false">IF($C45="","",EDATE($C45,Milestones!$AA$60))</f>
        <v/>
      </c>
      <c r="BA45" s="18" t="str">
        <f aca="false">IF($C45="","",EDATE($C45,Milestones!$AA$61))</f>
        <v/>
      </c>
      <c r="BB45" s="18" t="str">
        <f aca="false">IF($C45="","",EDATE($C45,Milestones!$AA$62))</f>
        <v/>
      </c>
      <c r="BC45" s="18" t="str">
        <f aca="false">IF($C45="","",EDATE($C45,Milestones!$AA$63))</f>
        <v/>
      </c>
      <c r="BD45" s="18" t="str">
        <f aca="false">IF($C45="","",EDATE($C45,Milestones!$AA$64))</f>
        <v/>
      </c>
      <c r="BE45" s="18" t="str">
        <f aca="false">IF($C45="","",EDATE($C45,Milestones!$AA$65))</f>
        <v/>
      </c>
      <c r="BF45" s="18" t="str">
        <f aca="false">IF($C45="","",EDATE($C45,Milestones!$AA$66))</f>
        <v/>
      </c>
      <c r="BG45" s="18" t="str">
        <f aca="false">IF($C45="","",EDATE($C45,Milestones!$AA$67))</f>
        <v/>
      </c>
      <c r="BH45" s="18" t="str">
        <f aca="false">IF($C45="","",EDATE($C45,Milestones!$AA$68))</f>
        <v/>
      </c>
      <c r="BI45" s="18" t="str">
        <f aca="false">IF($C45="","",EDATE($C45,Milestones!$AA$69))</f>
        <v/>
      </c>
      <c r="BJ45" s="18" t="str">
        <f aca="false">IF($C45="","",EDATE($C45,Milestones!$AA$70))</f>
        <v/>
      </c>
      <c r="BK45" s="18" t="str">
        <f aca="false">IF($C45="","",EDATE($C45,Milestones!$AA$71))</f>
        <v/>
      </c>
      <c r="BL45" s="18" t="str">
        <f aca="false">IF($C45="","",EDATE($C45,Milestones!$AA$72))</f>
        <v/>
      </c>
      <c r="BM45" s="18" t="str">
        <f aca="false">IF($C45="","",EDATE($C45,Milestones!$AA$73))</f>
        <v/>
      </c>
      <c r="BN45" s="18" t="str">
        <f aca="false">IF($C45="","",EDATE($C45,Milestones!$AA$74))</f>
        <v/>
      </c>
      <c r="BO45" s="18" t="str">
        <f aca="false">IF($C45="","",EDATE($C45,Milestones!$AA$75))</f>
        <v/>
      </c>
      <c r="BP45" s="18" t="str">
        <f aca="false">IF($C45="","",EDATE($C45,Milestones!$AA$76))</f>
        <v/>
      </c>
      <c r="BQ45" s="18" t="str">
        <f aca="false">IF($C45="","",EDATE($C45,Milestones!$AA$77))</f>
        <v/>
      </c>
      <c r="BR45" s="18" t="str">
        <f aca="false">IF($C45="","",EDATE($C45,Milestones!$AA$78))</f>
        <v/>
      </c>
      <c r="BS45" s="18" t="str">
        <f aca="false">IF($C45="","",EDATE($C45,Milestones!$AA$79))</f>
        <v/>
      </c>
      <c r="BT45" s="18" t="str">
        <f aca="false">IF($C45="","",EDATE($C45,Milestones!$AA$80))</f>
        <v/>
      </c>
      <c r="BU45" s="18" t="str">
        <f aca="false">IF($C45="","",EDATE($C45,Milestones!$AA$81))</f>
        <v/>
      </c>
      <c r="BV45" s="18" t="str">
        <f aca="false">IF($C45="","",EDATE($C45,Milestones!$AA$82))</f>
        <v/>
      </c>
      <c r="BW45" s="18" t="str">
        <f aca="false">IF($C45="","",EDATE($C45,Milestones!$AA$83))</f>
        <v/>
      </c>
      <c r="BX45" s="18" t="str">
        <f aca="false">IF($C45="","",EDATE($C45,Milestones!$AA$84))</f>
        <v/>
      </c>
      <c r="BY45" s="18" t="str">
        <f aca="false">IF($C45="","",EDATE($C45,Milestones!$AA$85))</f>
        <v/>
      </c>
      <c r="BZ45" s="18" t="str">
        <f aca="false">IF($C45="","",EDATE($C45,Milestones!$AA$86))</f>
        <v/>
      </c>
      <c r="CA45" s="18" t="str">
        <f aca="false">IF($C45="","",EDATE($C45,Milestones!$AA$87))</f>
        <v/>
      </c>
      <c r="CB45" s="18" t="str">
        <f aca="false">IF($C45="","",EDATE($C45,Milestones!$AA$88))</f>
        <v/>
      </c>
      <c r="CC45" s="18" t="str">
        <f aca="false">IF($C45="","",EDATE($C45,Milestones!$AA$89))</f>
        <v/>
      </c>
      <c r="CD45" s="18" t="str">
        <f aca="false">IF($C45="","",EDATE($C45,Milestones!$AA$90))</f>
        <v/>
      </c>
      <c r="CE45" s="18" t="str">
        <f aca="false">IF($C45="","",EDATE($C45,Milestones!$AA$91))</f>
        <v/>
      </c>
      <c r="CF45" s="18" t="str">
        <f aca="false">IF($C45="","",EDATE($C45,Milestones!$AA$92))</f>
        <v/>
      </c>
      <c r="CG45" s="18" t="str">
        <f aca="false">IF($C45="","",EDATE($C45,Milestones!$AA$93))</f>
        <v/>
      </c>
      <c r="CH45" s="18" t="str">
        <f aca="false">IF($C45="","",EDATE($C45,Milestones!$AA$94))</f>
        <v/>
      </c>
      <c r="CI45" s="18" t="str">
        <f aca="false">IF($C45="","",EDATE($C45,Milestones!$AA$95))</f>
        <v/>
      </c>
      <c r="CJ45" s="18" t="str">
        <f aca="false">IF($C45="","",EDATE($C45,Milestones!$AA$96))</f>
        <v/>
      </c>
      <c r="CK45" s="18" t="str">
        <f aca="false">IF($C45="","",EDATE($C45,Milestones!$AA$97))</f>
        <v/>
      </c>
      <c r="CL45" s="18" t="str">
        <f aca="false">IF($C45="","",EDATE($C45,Milestones!$AA$98))</f>
        <v/>
      </c>
      <c r="CM45" s="18" t="str">
        <f aca="false">IF($C45="","",EDATE($C45,Milestones!$AA$99))</f>
        <v/>
      </c>
      <c r="CN45" s="18" t="str">
        <f aca="false">IF($C45="","",EDATE($C45,Milestones!$AA$100))</f>
        <v/>
      </c>
      <c r="CO45" s="18" t="str">
        <f aca="false">IF($C45="","",EDATE($C45,Milestones!$AA$101))</f>
        <v/>
      </c>
      <c r="CP45" s="18" t="str">
        <f aca="false">IF($C45="","",EDATE($C45,Milestones!$AA$102))</f>
        <v/>
      </c>
      <c r="CQ45" s="18" t="str">
        <f aca="false">IF($C45="","",EDATE($C45,Milestones!$AA$103))</f>
        <v/>
      </c>
      <c r="CR45" s="18" t="str">
        <f aca="false">IF($C45="","",EDATE($C45,Milestones!$AA$104))</f>
        <v/>
      </c>
      <c r="CS45" s="18" t="str">
        <f aca="false">IF($C45="","",EDATE($C45,Milestones!$AA$105))</f>
        <v/>
      </c>
      <c r="CT45" s="18" t="str">
        <f aca="false">IF($C45="","",EDATE($C45,Milestones!$AA$106))</f>
        <v/>
      </c>
      <c r="CU45" s="18" t="str">
        <f aca="false">IF($C45="","",EDATE($C45,Milestones!$AA$107))</f>
        <v/>
      </c>
      <c r="CV45" s="18" t="str">
        <f aca="false">IF($C45="","",EDATE($C45,Milestones!$AA$108))</f>
        <v/>
      </c>
      <c r="CW45" s="18" t="str">
        <f aca="false">IF($C45="","",EDATE($C45,Milestones!$AA$109))</f>
        <v/>
      </c>
      <c r="CX45" s="18" t="str">
        <f aca="false">IF($C45="","",EDATE($C45,Milestones!$AA$110))</f>
        <v/>
      </c>
      <c r="CY45" s="18" t="str">
        <f aca="false">IF($C45="","",EDATE($C45,Milestones!$AA$111))</f>
        <v/>
      </c>
      <c r="CZ45" s="18" t="str">
        <f aca="false">IF($C45="","",EDATE($C45,Milestones!$AA$112))</f>
        <v/>
      </c>
      <c r="DA45" s="18" t="str">
        <f aca="false">IF($C45="","",EDATE($C45,Milestones!$AA$113))</f>
        <v/>
      </c>
      <c r="DB45" s="18" t="str">
        <f aca="false">IF($C45="","",EDATE($C45,Milestones!$AA$114))</f>
        <v/>
      </c>
      <c r="DC45" s="18" t="str">
        <f aca="false">IF($C45="","",EDATE($C45,Milestones!$AA$115))</f>
        <v/>
      </c>
      <c r="DD45" s="18" t="str">
        <f aca="false">IF($C45="","",EDATE($C45,Milestones!$AA$116))</f>
        <v/>
      </c>
      <c r="DE45" s="18" t="str">
        <f aca="false">IF($C45="","",EDATE($C45,Milestones!$AA$117))</f>
        <v/>
      </c>
      <c r="DF45" s="18" t="str">
        <f aca="false">IF($C45="","",EDATE($C45,Milestones!$AA$118))</f>
        <v/>
      </c>
      <c r="DG45" s="18" t="str">
        <f aca="false">IF($C45="","",EDATE($C45,Milestones!$AA$119))</f>
        <v/>
      </c>
      <c r="DH45" s="18" t="str">
        <f aca="false">IF($C45="","",EDATE($C45,Milestones!$AA$120))</f>
        <v/>
      </c>
      <c r="DI45" s="18" t="str">
        <f aca="false">IF($C45="","",EDATE($C45,Milestones!$AA$121))</f>
        <v/>
      </c>
      <c r="DJ45" s="18" t="str">
        <f aca="false">IF($C45="","",EDATE($C45,Milestones!$AA$122))</f>
        <v/>
      </c>
      <c r="DK45" s="18" t="str">
        <f aca="false">IF($C45="","",EDATE($C45,Milestones!$AA$123))</f>
        <v/>
      </c>
      <c r="DL45" s="18" t="str">
        <f aca="false">IF($C45="","",EDATE($C45,Milestones!$AA$124))</f>
        <v/>
      </c>
      <c r="DM45" s="18" t="str">
        <f aca="false">IF($C45="","",EDATE($C45,Milestones!$AA$125))</f>
        <v/>
      </c>
      <c r="DN45" s="18" t="str">
        <f aca="false">IF($C45="","",EDATE($C45,Milestones!$AA$126))</f>
        <v/>
      </c>
      <c r="DO45" s="18" t="str">
        <f aca="false">IF($C45="","",EDATE($C45,Milestones!$AA$127))</f>
        <v/>
      </c>
      <c r="DP45" s="18" t="str">
        <f aca="false">IF($C45="","",EDATE($C45,Milestones!$AA$128))</f>
        <v/>
      </c>
      <c r="DQ45" s="18" t="str">
        <f aca="false">IF($C45="","",EDATE($C45,Milestones!$AA$129))</f>
        <v/>
      </c>
      <c r="DR45" s="18" t="str">
        <f aca="false">IF($C45="","",EDATE($C45,Milestones!$AA$130))</f>
        <v/>
      </c>
      <c r="DS45" s="18" t="str">
        <f aca="false">IF($C45="","",EDATE($C45,Milestones!$AA$131))</f>
        <v/>
      </c>
      <c r="DT45" s="18" t="str">
        <f aca="false">IF($C45="","",EDATE($C45,Milestones!$AA$132))</f>
        <v/>
      </c>
      <c r="DU45" s="18" t="str">
        <f aca="false">IF($C45="","",EDATE($C45,Milestones!$AA$133))</f>
        <v/>
      </c>
      <c r="DV45" s="18" t="str">
        <f aca="false">IF($C45="","",EDATE($C45,Milestones!$AA$134))</f>
        <v/>
      </c>
      <c r="DW45" s="18" t="str">
        <f aca="false">IF($C45="","",EDATE($C45,Milestones!$AA$135))</f>
        <v/>
      </c>
      <c r="DX45" s="18" t="str">
        <f aca="false">IF($C45="","",EDATE($C45,Milestones!$AA$136))</f>
        <v/>
      </c>
      <c r="DY45" s="18" t="str">
        <f aca="false">IF($C45="","",EDATE($C45,Milestones!$AA$137))</f>
        <v/>
      </c>
      <c r="DZ45" s="18" t="str">
        <f aca="false">IF($C45="","",EDATE($C45,Milestones!$AA$138))</f>
        <v/>
      </c>
      <c r="EA45" s="18" t="str">
        <f aca="false">IF($C45="","",EDATE($C45,Milestones!$AA$139))</f>
        <v/>
      </c>
      <c r="EB45" s="18" t="str">
        <f aca="false">IF($C45="","",EDATE($C45,Milestones!$AA$140))</f>
        <v/>
      </c>
      <c r="EC45" s="18" t="str">
        <f aca="false">IF($C45="","",EDATE($C45,Milestones!$AA$141))</f>
        <v/>
      </c>
      <c r="ED45" s="18" t="str">
        <f aca="false">IF($C45="","",EDATE($C45,Milestones!$AA$142))</f>
        <v/>
      </c>
      <c r="EE45" s="18" t="str">
        <f aca="false">IF($C45="","",EDATE($C45,Milestones!$AA$143))</f>
        <v/>
      </c>
      <c r="EF45" s="18" t="str">
        <f aca="false">IF($C45="","",EDATE($C45,Milestones!$AA$144))</f>
        <v/>
      </c>
      <c r="EG45" s="18" t="str">
        <f aca="false">IF($C45="","",EDATE($C45,Milestones!$AA$145))</f>
        <v/>
      </c>
      <c r="EH45" s="18" t="str">
        <f aca="false">IF($C45="","",EDATE($C45,Milestones!$AA$146))</f>
        <v/>
      </c>
      <c r="EI45" s="18" t="str">
        <f aca="false">IF($C45="","",EDATE($C45,Milestones!$AA$147))</f>
        <v/>
      </c>
      <c r="EJ45" s="18" t="str">
        <f aca="false">IF($C45="","",EDATE($C45,Milestones!$AA$148))</f>
        <v/>
      </c>
      <c r="EK45" s="18" t="str">
        <f aca="false">IF($C45="","",EDATE($C45,Milestones!$AA$149))</f>
        <v/>
      </c>
      <c r="EL45" s="18" t="str">
        <f aca="false">IF($C45="","",EDATE($C45,Milestones!$AA$150))</f>
        <v/>
      </c>
      <c r="EM45" s="18" t="str">
        <f aca="false">IF($C45="","",EDATE($C45,Milestones!$AA$151))</f>
        <v/>
      </c>
      <c r="EN45" s="18" t="str">
        <f aca="false">IF($C45="","",EDATE($C45,Milestones!$AA$152))</f>
        <v/>
      </c>
      <c r="EO45" s="18" t="str">
        <f aca="false">IF($C45="","",EDATE($C45,Milestones!$AA$153))</f>
        <v/>
      </c>
      <c r="EP45" s="18" t="str">
        <f aca="false">IF($C45="","",EDATE($C45,Milestones!$AA$154))</f>
        <v/>
      </c>
      <c r="EQ45" s="18" t="str">
        <f aca="false">IF($C45="","",EDATE($C45,Milestones!$AA$155))</f>
        <v/>
      </c>
      <c r="ER45" s="18" t="str">
        <f aca="false">IF($C45="","",EDATE($C45,Milestones!$AA$156))</f>
        <v/>
      </c>
      <c r="ES45" s="18" t="str">
        <f aca="false">IF($C45="","",EDATE($C45,Milestones!$AA$157))</f>
        <v/>
      </c>
      <c r="ET45" s="18" t="str">
        <f aca="false">IF($C45="","",EDATE($C45,Milestones!$AA$158))</f>
        <v/>
      </c>
      <c r="EU45" s="18" t="str">
        <f aca="false">IF($C45="","",EDATE($C45,Milestones!$AA$159))</f>
        <v/>
      </c>
      <c r="EV45" s="18" t="str">
        <f aca="false">IF($C45="","",EDATE($C45,Milestones!$AA$160))</f>
        <v/>
      </c>
      <c r="EW45" s="18" t="str">
        <f aca="false">IF($C45="","",EDATE($C45,Milestones!$AA$161))</f>
        <v/>
      </c>
      <c r="EX45" s="18" t="str">
        <f aca="false">IF($C45="","",EDATE($C45,Milestones!$AA$162))</f>
        <v/>
      </c>
      <c r="EY45" s="18" t="str">
        <f aca="false">IF($C45="","",EDATE($C45,Milestones!$AA$163))</f>
        <v/>
      </c>
      <c r="EZ45" s="18" t="str">
        <f aca="false">IF($C45="","",EDATE($C45,Milestones!$AA$164))</f>
        <v/>
      </c>
      <c r="FA45" s="18" t="str">
        <f aca="false">IF($C45="","",EDATE($C45,Milestones!$AA$165))</f>
        <v/>
      </c>
      <c r="FB45" s="18" t="str">
        <f aca="false">IF($C45="","",EDATE($C45,Milestones!$AA$166))</f>
        <v/>
      </c>
      <c r="FC45" s="18" t="str">
        <f aca="false">IF($C45="","",EDATE($C45,Milestones!$AA$167))</f>
        <v/>
      </c>
      <c r="FD45" s="18" t="str">
        <f aca="false">IF($C45="","",EDATE($C45,Milestones!$AA$168))</f>
        <v/>
      </c>
      <c r="FE45" s="18" t="str">
        <f aca="false">IF($C45="","",EDATE($C45,Milestones!$AA$169))</f>
        <v/>
      </c>
      <c r="FF45" s="18" t="str">
        <f aca="false">IF($C45="","",EDATE($C45,Milestones!$AA$170))</f>
        <v/>
      </c>
      <c r="FG45" s="18" t="str">
        <f aca="false">IF($C45="","",EDATE($C45,Milestones!$AA$171))</f>
        <v/>
      </c>
      <c r="FH45" s="18" t="str">
        <f aca="false">IF($C45="","",EDATE($C45,Milestones!$AA$172))</f>
        <v/>
      </c>
      <c r="FI45" s="18" t="str">
        <f aca="false">IF($C45="","",EDATE($C45,Milestones!$AA$173))</f>
        <v/>
      </c>
      <c r="FJ45" s="18" t="str">
        <f aca="false">IF($C45="","",EDATE($C45,Milestones!$AA$174))</f>
        <v/>
      </c>
      <c r="FK45" s="18" t="str">
        <f aca="false">IF($C45="","",EDATE($C45,Milestones!$AA$175))</f>
        <v/>
      </c>
      <c r="FL45" s="18" t="str">
        <f aca="false">IF($C45="","",EDATE($C45,Milestones!$AA$176))</f>
        <v/>
      </c>
      <c r="FM45" s="18" t="str">
        <f aca="false">IF($C45="","",EDATE($C45,Milestones!$AA$177))</f>
        <v/>
      </c>
      <c r="FN45" s="18" t="str">
        <f aca="false">IF($C45="","",EDATE($C45,Milestones!$AA$178))</f>
        <v/>
      </c>
      <c r="FO45" s="18" t="str">
        <f aca="false">IF($C45="","",EDATE($C45,Milestones!$AA$179))</f>
        <v/>
      </c>
      <c r="FP45" s="18" t="str">
        <f aca="false">IF($C45="","",EDATE($C45,Milestones!$AA$180))</f>
        <v/>
      </c>
      <c r="FQ45" s="18" t="str">
        <f aca="false">IF($C45="","",EDATE($C45,Milestones!$AA$181))</f>
        <v/>
      </c>
      <c r="FR45" s="18" t="str">
        <f aca="false">IF($C45="","",EDATE($C45,Milestones!$AA$182))</f>
        <v/>
      </c>
      <c r="FS45" s="18" t="str">
        <f aca="false">IF($C45="","",EDATE($C45,Milestones!$AA$183))</f>
        <v/>
      </c>
      <c r="FT45" s="18" t="str">
        <f aca="false">IF($C45="","",EDATE($C45,Milestones!$AA$184))</f>
        <v/>
      </c>
      <c r="FU45" s="18" t="str">
        <f aca="false">IF($C45="","",EDATE($C45,Milestones!$AA$185))</f>
        <v/>
      </c>
      <c r="FV45" s="18" t="str">
        <f aca="false">IF($C45="","",EDATE($C45,Milestones!$AA$186))</f>
        <v/>
      </c>
      <c r="FW45" s="18" t="str">
        <f aca="false">IF($C45="","",EDATE($C45,Milestones!$AA$187))</f>
        <v/>
      </c>
      <c r="FX45" s="18" t="str">
        <f aca="false">IF($C45="","",EDATE($C45,Milestones!$AA$188))</f>
        <v/>
      </c>
      <c r="FY45" s="18" t="str">
        <f aca="false">IF($C45="","",EDATE($C45,Milestones!$AA$189))</f>
        <v/>
      </c>
      <c r="FZ45" s="18" t="str">
        <f aca="false">IF($C45="","",EDATE($C45,Milestones!$AA$190))</f>
        <v/>
      </c>
      <c r="GA45" s="18" t="str">
        <f aca="false">IF($C45="","",EDATE($C45,Milestones!$AA$191))</f>
        <v/>
      </c>
      <c r="GB45" s="18" t="str">
        <f aca="false">IF($C45="","",EDATE($C45,Milestones!$AA$192))</f>
        <v/>
      </c>
      <c r="GC45" s="18" t="str">
        <f aca="false">IF($C45="","",EDATE($C45,Milestones!$AA$193))</f>
        <v/>
      </c>
      <c r="GD45" s="18" t="str">
        <f aca="false">IF($C45="","",EDATE($C45,Milestones!$AA$194))</f>
        <v/>
      </c>
      <c r="GE45" s="18" t="str">
        <f aca="false">IF($C45="","",EDATE($C45,Milestones!$AA$195))</f>
        <v/>
      </c>
      <c r="GF45" s="18" t="str">
        <f aca="false">IF($C45="","",EDATE($C45,Milestones!$AA$196))</f>
        <v/>
      </c>
      <c r="GG45" s="18" t="str">
        <f aca="false">IF($C45="","",EDATE($C45,Milestones!$AA$197))</f>
        <v/>
      </c>
      <c r="GH45" s="18" t="str">
        <f aca="false">IF($C45="","",EDATE($C45,Milestones!$AA$198))</f>
        <v/>
      </c>
      <c r="GI45" s="18" t="str">
        <f aca="false">IF($C45="","",EDATE($C45,Milestones!$AA$199))</f>
        <v/>
      </c>
    </row>
    <row r="46" customFormat="false" ht="15" hidden="false" customHeight="false" outlineLevel="0" collapsed="false">
      <c r="K46" s="0" t="s">
        <v>229</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230</v>
      </c>
      <c r="L47" s="0" t="n">
        <f aca="false">IF(L45="",0,IF(L46=Milestones!$AB$20,Milestones!$AC$20,0))</f>
        <v>0</v>
      </c>
      <c r="M47" s="0" t="n">
        <f aca="false">IF(M45="",0,IF(M46=Milestones!$AB$21,Milestones!$AC$21,0))</f>
        <v>0</v>
      </c>
      <c r="N47" s="0" t="n">
        <f aca="false">IF(N45="",0,IF(N46=Milestones!$AB$22,Milestones!$AC$22,0))</f>
        <v>0</v>
      </c>
      <c r="O47" s="0" t="n">
        <f aca="false">IF(O45="",0,IF(O46=Milestones!$AB$23,Milestones!$AC$23,0))</f>
        <v>0</v>
      </c>
      <c r="P47" s="0" t="n">
        <f aca="false">IF(P45="",0,IF(P46=Milestones!$AB$24,Milestones!$AC$24,0))</f>
        <v>0</v>
      </c>
      <c r="Q47" s="0" t="n">
        <f aca="false">IF(Q45="",0,IF(Q46=Milestones!$AB$25,Milestones!$AC$25,0))</f>
        <v>0</v>
      </c>
      <c r="R47" s="0" t="n">
        <f aca="false">IF(R45="",0,IF(R46=Milestones!$AB$26,Milestones!$AC$26,0))</f>
        <v>0</v>
      </c>
      <c r="S47" s="0" t="n">
        <f aca="false">IF(S45="",0,IF(S46=Milestones!$AB$27,Milestones!$AC$27,0))</f>
        <v>0</v>
      </c>
      <c r="T47" s="0" t="n">
        <f aca="false">IF(T45="",0,IF(T46=Milestones!$AB$28,Milestones!$AC$28,0))</f>
        <v>0</v>
      </c>
      <c r="U47" s="0" t="n">
        <f aca="false">IF(U45="",0,IF(U46=Milestones!$AB$29,Milestones!$AC$29,0))</f>
        <v>0</v>
      </c>
      <c r="V47" s="0" t="n">
        <f aca="false">IF(V45="",0,IF(V46=Milestones!$AB$30,Milestones!$AC$30,0))</f>
        <v>0</v>
      </c>
      <c r="W47" s="0" t="n">
        <f aca="false">IF(W45="",0,IF(W46=Milestones!$AB$31,Milestones!$AC$31,0))</f>
        <v>0</v>
      </c>
      <c r="X47" s="0" t="n">
        <f aca="false">IF(X45="",0,IF(X46=Milestones!$AB$32,Milestones!$AC$32,0))</f>
        <v>0</v>
      </c>
      <c r="Y47" s="0" t="n">
        <f aca="false">IF(Y45="",0,IF(Y46=Milestones!$AB$33,Milestones!$AC$33,0))</f>
        <v>0</v>
      </c>
      <c r="Z47" s="0" t="n">
        <f aca="false">IF(Z45="",0,IF(Z46=Milestones!$AB$34,Milestones!$AC$34,0))</f>
        <v>0</v>
      </c>
      <c r="AA47" s="0" t="n">
        <f aca="false">IF(AA45="",0,IF(AA46=Milestones!$AB$35,Milestones!$AC$35,0))</f>
        <v>0</v>
      </c>
      <c r="AB47" s="0" t="n">
        <f aca="false">IF(AB45="",0,IF(AB46=Milestones!$AB$36,Milestones!$AC$36,0))</f>
        <v>0</v>
      </c>
      <c r="AC47" s="0" t="n">
        <f aca="false">IF(AC45="",0,IF(AC46=Milestones!$AB$37,Milestones!$AC$37,0))</f>
        <v>0</v>
      </c>
      <c r="AD47" s="0" t="n">
        <f aca="false">IF(AD45="",0,IF(AD46=Milestones!$AB$38,Milestones!$AC$38,0))</f>
        <v>0</v>
      </c>
      <c r="AE47" s="0" t="n">
        <f aca="false">IF(AE45="",0,IF(AE46=Milestones!$AB$39,Milestones!$AC$39,0))</f>
        <v>0</v>
      </c>
      <c r="AF47" s="0" t="n">
        <f aca="false">IF(AF45="",0,IF(AF46=Milestones!$AB$40,Milestones!$AC$40,0))</f>
        <v>0</v>
      </c>
      <c r="AG47" s="0" t="n">
        <f aca="false">IF(AG45="",0,IF(AG46=Milestones!$AB$41,Milestones!$AC$41,0))</f>
        <v>0</v>
      </c>
      <c r="AH47" s="0" t="n">
        <f aca="false">IF(AH45="",0,IF(AH46=Milestones!$AB$42,Milestones!$AC$42,0))</f>
        <v>0</v>
      </c>
      <c r="AI47" s="0" t="n">
        <f aca="false">IF(AI45="",0,IF(AI46=Milestones!$AB$43,Milestones!$AC$43,0))</f>
        <v>0</v>
      </c>
      <c r="AJ47" s="0" t="n">
        <f aca="false">IF(AJ45="",0,IF(AJ46=Milestones!$AB$44,Milestones!$AC$44,0))</f>
        <v>0</v>
      </c>
      <c r="AK47" s="0" t="n">
        <f aca="false">IF(AK45="",0,IF(AK46=Milestones!$AB$45,Milestones!$AC$45,0))</f>
        <v>0</v>
      </c>
      <c r="AL47" s="0" t="n">
        <f aca="false">IF(AL45="",0,IF(AL46=Milestones!$AB$46,Milestones!$AC$46,0))</f>
        <v>0</v>
      </c>
      <c r="AM47" s="0" t="n">
        <f aca="false">IF(AM45="",0,IF(AM46=Milestones!$AB$47,Milestones!$AC$47,0))</f>
        <v>0</v>
      </c>
      <c r="AN47" s="0" t="n">
        <f aca="false">IF(AN45="",0,IF(AN46=Milestones!$AB$48,Milestones!$AC$48,0))</f>
        <v>0</v>
      </c>
      <c r="AO47" s="0" t="n">
        <f aca="false">IF(AO45="",0,IF(AO46=Milestones!$AB$49,Milestones!$AC$49,0))</f>
        <v>0</v>
      </c>
      <c r="AP47" s="0" t="n">
        <f aca="false">IF(AP45="",0,IF(AP46=Milestones!$AB$50,Milestones!$AC$50,0))</f>
        <v>0</v>
      </c>
      <c r="AQ47" s="0" t="n">
        <f aca="false">IF(AQ45="",0,IF(AQ46=Milestones!$AB$51,Milestones!$AC$51,0))</f>
        <v>0</v>
      </c>
      <c r="AR47" s="0" t="n">
        <f aca="false">IF(AR45="",0,IF(AR46=Milestones!$AB$52,Milestones!$AC$52,0))</f>
        <v>0</v>
      </c>
      <c r="AS47" s="0" t="n">
        <f aca="false">IF(AS45="",0,IF(AS46=Milestones!$AB$53,Milestones!$AC$53,0))</f>
        <v>0</v>
      </c>
      <c r="AT47" s="0" t="n">
        <f aca="false">IF(AT45="",0,IF(AT46=Milestones!$AB$54,Milestones!$AC$54,0))</f>
        <v>0</v>
      </c>
      <c r="AU47" s="0" t="n">
        <f aca="false">IF(AU45="",0,IF(AU46=Milestones!$AB$55,Milestones!$AC$55,0))</f>
        <v>0</v>
      </c>
      <c r="AV47" s="0" t="n">
        <f aca="false">IF(AV45="",0,IF(AV46=Milestones!$AB$56,Milestones!$AC$56,0))</f>
        <v>0</v>
      </c>
      <c r="AW47" s="0" t="n">
        <f aca="false">IF(AW45="",0,IF(AW46=Milestones!$AB$57,Milestones!$AC$57,0))</f>
        <v>0</v>
      </c>
      <c r="AX47" s="0" t="n">
        <f aca="false">IF(AX45="",0,IF(AX46=Milestones!$AB$58,Milestones!$AC$58,0))</f>
        <v>0</v>
      </c>
      <c r="AY47" s="0" t="n">
        <f aca="false">IF(AY45="",0,IF(AY46=Milestones!$AB$59,Milestones!$AC$59,0))</f>
        <v>0</v>
      </c>
      <c r="AZ47" s="0" t="n">
        <f aca="false">IF(AZ45="",0,IF(AZ46=Milestones!$AB$60,Milestones!$AC$60,0))</f>
        <v>0</v>
      </c>
      <c r="BA47" s="0" t="n">
        <f aca="false">IF(BA45="",0,IF(BA46=Milestones!$AB$61,Milestones!$AC$61,0))</f>
        <v>0</v>
      </c>
      <c r="BB47" s="0" t="n">
        <f aca="false">IF(BB45="",0,IF(BB46=Milestones!$AB$62,Milestones!$AC$62,0))</f>
        <v>0</v>
      </c>
      <c r="BC47" s="0" t="n">
        <f aca="false">IF(BC45="",0,IF(BC46=Milestones!$AB$63,Milestones!$AC$63,0))</f>
        <v>0</v>
      </c>
      <c r="BD47" s="0" t="n">
        <f aca="false">IF(BD45="",0,IF(BD46=Milestones!$AB$64,Milestones!$AC$64,0))</f>
        <v>0</v>
      </c>
      <c r="BE47" s="0" t="n">
        <f aca="false">IF(BE45="",0,IF(BE46=Milestones!$AB$65,Milestones!$AC$65,0))</f>
        <v>0</v>
      </c>
      <c r="BF47" s="0" t="n">
        <f aca="false">IF(BF45="",0,IF(BF46=Milestones!$AB$66,Milestones!$AC$66,0))</f>
        <v>0</v>
      </c>
      <c r="BG47" s="0" t="n">
        <f aca="false">IF(BG45="",0,IF(BG46=Milestones!$AB$67,Milestones!$AC$67,0))</f>
        <v>0</v>
      </c>
      <c r="BH47" s="0" t="n">
        <f aca="false">IF(BH45="",0,IF(BH46=Milestones!$AB$68,Milestones!$AC$68,0))</f>
        <v>0</v>
      </c>
      <c r="BI47" s="0" t="n">
        <f aca="false">IF(BI45="",0,IF(BI46=Milestones!$AB$69,Milestones!$AC$69,0))</f>
        <v>0</v>
      </c>
      <c r="BJ47" s="0" t="n">
        <f aca="false">IF(BJ45="",0,IF(BJ46=Milestones!$AB$70,Milestones!$AC$70,0))</f>
        <v>0</v>
      </c>
      <c r="BK47" s="0" t="n">
        <f aca="false">IF(BK45="",0,IF(BK46=Milestones!$AB$71,Milestones!$AC$71,0))</f>
        <v>0</v>
      </c>
      <c r="BL47" s="0" t="n">
        <f aca="false">IF(BL45="",0,IF(BL46=Milestones!$AB$72,Milestones!$AC$72,0))</f>
        <v>0</v>
      </c>
      <c r="BM47" s="0" t="n">
        <f aca="false">IF(BM45="",0,IF(BM46=Milestones!$AB$73,Milestones!$AC$73,0))</f>
        <v>0</v>
      </c>
      <c r="BN47" s="0" t="n">
        <f aca="false">IF(BN45="",0,IF(BN46=Milestones!$AB$74,Milestones!$AC$74,0))</f>
        <v>0</v>
      </c>
      <c r="BO47" s="0" t="n">
        <f aca="false">IF(BO45="",0,IF(BO46=Milestones!$AB$75,Milestones!$AC$75,0))</f>
        <v>0</v>
      </c>
      <c r="BP47" s="0" t="n">
        <f aca="false">IF(BP45="",0,IF(BP46=Milestones!$AB$76,Milestones!$AC$76,0))</f>
        <v>0</v>
      </c>
      <c r="BQ47" s="0" t="n">
        <f aca="false">IF(BQ45="",0,IF(BQ46=Milestones!$AB$77,Milestones!$AC$77,0))</f>
        <v>0</v>
      </c>
      <c r="BR47" s="0" t="n">
        <f aca="false">IF(BR45="",0,IF(BR46=Milestones!$AB$78,Milestones!$AC$78,0))</f>
        <v>0</v>
      </c>
      <c r="BS47" s="0" t="n">
        <f aca="false">IF(BS45="",0,IF(BS46=Milestones!$AB$79,Milestones!$AC$79,0))</f>
        <v>0</v>
      </c>
      <c r="BT47" s="0" t="n">
        <f aca="false">IF(BT45="",0,IF(BT46=Milestones!$AB$80,Milestones!$AC$80,0))</f>
        <v>0</v>
      </c>
      <c r="BU47" s="0" t="n">
        <f aca="false">IF(BU45="",0,IF(BU46=Milestones!$AB$81,Milestones!$AC$81,0))</f>
        <v>0</v>
      </c>
      <c r="BV47" s="0" t="n">
        <f aca="false">IF(BV45="",0,IF(BV46=Milestones!$AB$82,Milestones!$AC$82,0))</f>
        <v>0</v>
      </c>
      <c r="BW47" s="0" t="n">
        <f aca="false">IF(BW45="",0,IF(BW46=Milestones!$AB$83,Milestones!$AC$83,0))</f>
        <v>0</v>
      </c>
      <c r="BX47" s="0" t="n">
        <f aca="false">IF(BX45="",0,IF(BX46=Milestones!$AB$84,Milestones!$AC$84,0))</f>
        <v>0</v>
      </c>
      <c r="BY47" s="0" t="n">
        <f aca="false">IF(BY45="",0,IF(BY46=Milestones!$AB$85,Milestones!$AC$85,0))</f>
        <v>0</v>
      </c>
      <c r="BZ47" s="0" t="n">
        <f aca="false">IF(BZ45="",0,IF(BZ46=Milestones!$AB$86,Milestones!$AC$86,0))</f>
        <v>0</v>
      </c>
      <c r="CA47" s="0" t="n">
        <f aca="false">IF(CA45="",0,IF(CA46=Milestones!$AB$87,Milestones!$AC$87,0))</f>
        <v>0</v>
      </c>
      <c r="CB47" s="0" t="n">
        <f aca="false">IF(CB45="",0,IF(CB46=Milestones!$AB$88,Milestones!$AC$88,0))</f>
        <v>0</v>
      </c>
      <c r="CC47" s="0" t="n">
        <f aca="false">IF(CC45="",0,IF(CC46=Milestones!$AB$89,Milestones!$AC$89,0))</f>
        <v>0</v>
      </c>
      <c r="CD47" s="0" t="n">
        <f aca="false">IF(CD45="",0,IF(CD46=Milestones!$AB$90,Milestones!$AC$90,0))</f>
        <v>0</v>
      </c>
      <c r="CE47" s="0" t="n">
        <f aca="false">IF(CE45="",0,IF(CE46=Milestones!$AB$91,Milestones!$AC$91,0))</f>
        <v>0</v>
      </c>
      <c r="CF47" s="0" t="n">
        <f aca="false">IF(CF45="",0,IF(CF46=Milestones!$AB$92,Milestones!$AC$92,0))</f>
        <v>0</v>
      </c>
      <c r="CG47" s="0" t="n">
        <f aca="false">IF(CG45="",0,IF(CG46=Milestones!$AB$93,Milestones!$AC$93,0))</f>
        <v>0</v>
      </c>
      <c r="CH47" s="0" t="n">
        <f aca="false">IF(CH45="",0,IF(CH46=Milestones!$AB$94,Milestones!$AC$94,0))</f>
        <v>0</v>
      </c>
      <c r="CI47" s="0" t="n">
        <f aca="false">IF(CI45="",0,IF(CI46=Milestones!$AB$95,Milestones!$AC$95,0))</f>
        <v>0</v>
      </c>
      <c r="CJ47" s="0" t="n">
        <f aca="false">IF(CJ45="",0,IF(CJ46=Milestones!$AB$96,Milestones!$AC$96,0))</f>
        <v>0</v>
      </c>
      <c r="CK47" s="0" t="n">
        <f aca="false">IF(CK45="",0,IF(CK46=Milestones!$AB$97,Milestones!$AC$97,0))</f>
        <v>0</v>
      </c>
      <c r="CL47" s="0" t="n">
        <f aca="false">IF(CL45="",0,IF(CL46=Milestones!$AB$98,Milestones!$AC$98,0))</f>
        <v>0</v>
      </c>
      <c r="CM47" s="0" t="n">
        <f aca="false">IF(CM45="",0,IF(CM46=Milestones!$AB$99,Milestones!$AC$99,0))</f>
        <v>0</v>
      </c>
      <c r="CN47" s="0" t="n">
        <f aca="false">IF(CN45="",0,IF(CN46=Milestones!$AB$100,Milestones!$AC$100,0))</f>
        <v>0</v>
      </c>
      <c r="CO47" s="0" t="n">
        <f aca="false">IF(CO45="",0,IF(CO46=Milestones!$AB$101,Milestones!$AC$101,0))</f>
        <v>0</v>
      </c>
      <c r="CP47" s="0" t="n">
        <f aca="false">IF(CP45="",0,IF(CP46=Milestones!$AB$102,Milestones!$AC$102,0))</f>
        <v>0</v>
      </c>
      <c r="CQ47" s="0" t="n">
        <f aca="false">IF(CQ45="",0,IF(CQ46=Milestones!$AB$103,Milestones!$AC$103,0))</f>
        <v>0</v>
      </c>
      <c r="CR47" s="0" t="n">
        <f aca="false">IF(CR45="",0,IF(CR46=Milestones!$AB$104,Milestones!$AC$104,0))</f>
        <v>0</v>
      </c>
      <c r="CS47" s="0" t="n">
        <f aca="false">IF(CS45="",0,IF(CS46=Milestones!$AB$105,Milestones!$AC$105,0))</f>
        <v>0</v>
      </c>
      <c r="CT47" s="0" t="n">
        <f aca="false">IF(CT45="",0,IF(CT46=Milestones!$AB$106,Milestones!$AC$106,0))</f>
        <v>0</v>
      </c>
      <c r="CU47" s="0" t="n">
        <f aca="false">IF(CU45="",0,IF(CU46=Milestones!$AB$107,Milestones!$AC$107,0))</f>
        <v>0</v>
      </c>
      <c r="CV47" s="0" t="n">
        <f aca="false">IF(CV45="",0,IF(CV46=Milestones!$AB$108,Milestones!$AC$108,0))</f>
        <v>0</v>
      </c>
      <c r="CW47" s="0" t="n">
        <f aca="false">IF(CW45="",0,IF(CW46=Milestones!$AB$109,Milestones!$AC$109,0))</f>
        <v>0</v>
      </c>
      <c r="CX47" s="0" t="n">
        <f aca="false">IF(CX45="",0,IF(CX46=Milestones!$AB$110,Milestones!$AC$110,0))</f>
        <v>0</v>
      </c>
      <c r="CY47" s="0" t="n">
        <f aca="false">IF(CY45="",0,IF(CY46=Milestones!$AB$111,Milestones!$AC$111,0))</f>
        <v>0</v>
      </c>
      <c r="CZ47" s="0" t="n">
        <f aca="false">IF(CZ45="",0,IF(CZ46=Milestones!$AB$112,Milestones!$AC$112,0))</f>
        <v>0</v>
      </c>
      <c r="DA47" s="0" t="n">
        <f aca="false">IF(DA45="",0,IF(DA46=Milestones!$AB$113,Milestones!$AC$113,0))</f>
        <v>0</v>
      </c>
      <c r="DB47" s="0" t="n">
        <f aca="false">IF(DB45="",0,IF(DB46=Milestones!$AB$114,Milestones!$AC$114,0))</f>
        <v>0</v>
      </c>
      <c r="DC47" s="0" t="n">
        <f aca="false">IF(DC45="",0,IF(DC46=Milestones!$AB$115,Milestones!$AC$115,0))</f>
        <v>0</v>
      </c>
      <c r="DD47" s="0" t="n">
        <f aca="false">IF(DD45="",0,IF(DD46=Milestones!$AB$116,Milestones!$AC$116,0))</f>
        <v>0</v>
      </c>
      <c r="DE47" s="0" t="n">
        <f aca="false">IF(DE45="",0,IF(DE46=Milestones!$AB$117,Milestones!$AC$117,0))</f>
        <v>0</v>
      </c>
      <c r="DF47" s="0" t="n">
        <f aca="false">IF(DF45="",0,IF(DF46=Milestones!$AB$118,Milestones!$AC$118,0))</f>
        <v>0</v>
      </c>
      <c r="DG47" s="0" t="n">
        <f aca="false">IF(DG45="",0,IF(DG46=Milestones!$AB$119,Milestones!$AC$119,0))</f>
        <v>0</v>
      </c>
      <c r="DH47" s="0" t="n">
        <f aca="false">IF(DH45="",0,IF(DH46=Milestones!$AB$120,Milestones!$AC$120,0))</f>
        <v>0</v>
      </c>
      <c r="DI47" s="0" t="n">
        <f aca="false">IF(DI45="",0,IF(DI46=Milestones!$AB$121,Milestones!$AC$121,0))</f>
        <v>0</v>
      </c>
      <c r="DJ47" s="0" t="n">
        <f aca="false">IF(DJ45="",0,IF(DJ46=Milestones!$AB$122,Milestones!$AC$122,0))</f>
        <v>0</v>
      </c>
      <c r="DK47" s="0" t="n">
        <f aca="false">IF(DK45="",0,IF(DK46=Milestones!$AB$123,Milestones!$AC$123,0))</f>
        <v>0</v>
      </c>
      <c r="DL47" s="0" t="n">
        <f aca="false">IF(DL45="",0,IF(DL46=Milestones!$AB$124,Milestones!$AC$124,0))</f>
        <v>0</v>
      </c>
      <c r="DM47" s="0" t="n">
        <f aca="false">IF(DM45="",0,IF(DM46=Milestones!$AB$125,Milestones!$AC$125,0))</f>
        <v>0</v>
      </c>
      <c r="DN47" s="0" t="n">
        <f aca="false">IF(DN45="",0,IF(DN46=Milestones!$AB$126,Milestones!$AC$126,0))</f>
        <v>0</v>
      </c>
      <c r="DO47" s="0" t="n">
        <f aca="false">IF(DO45="",0,IF(DO46=Milestones!$AB$127,Milestones!$AC$127,0))</f>
        <v>0</v>
      </c>
      <c r="DP47" s="0" t="n">
        <f aca="false">IF(DP45="",0,IF(DP46=Milestones!$AB$128,Milestones!$AC$128,0))</f>
        <v>0</v>
      </c>
      <c r="DQ47" s="0" t="n">
        <f aca="false">IF(DQ45="",0,IF(DQ46=Milestones!$AB$129,Milestones!$AC$129,0))</f>
        <v>0</v>
      </c>
      <c r="DR47" s="0" t="n">
        <f aca="false">IF(DR45="",0,IF(DR46=Milestones!$AB$130,Milestones!$AC$130,0))</f>
        <v>0</v>
      </c>
      <c r="DS47" s="0" t="n">
        <f aca="false">IF(DS45="",0,IF(DS46=Milestones!$AB$131,Milestones!$AC$131,0))</f>
        <v>0</v>
      </c>
      <c r="DT47" s="0" t="n">
        <f aca="false">IF(DT45="",0,IF(DT46=Milestones!$AB$132,Milestones!$AC$132,0))</f>
        <v>0</v>
      </c>
      <c r="DU47" s="0" t="n">
        <f aca="false">IF(DU45="",0,IF(DU46=Milestones!$AB$133,Milestones!$AC$133,0))</f>
        <v>0</v>
      </c>
      <c r="DV47" s="0" t="n">
        <f aca="false">IF(DV45="",0,IF(DV46=Milestones!$AB$134,Milestones!$AC$134,0))</f>
        <v>0</v>
      </c>
      <c r="DW47" s="0" t="n">
        <f aca="false">IF(DW45="",0,IF(DW46=Milestones!$AB$135,Milestones!$AC$135,0))</f>
        <v>0</v>
      </c>
      <c r="DX47" s="0" t="n">
        <f aca="false">IF(DX45="",0,IF(DX46=Milestones!$AB$136,Milestones!$AC$136,0))</f>
        <v>0</v>
      </c>
      <c r="DY47" s="0" t="n">
        <f aca="false">IF(DY45="",0,IF(DY46=Milestones!$AB$137,Milestones!$AC$137,0))</f>
        <v>0</v>
      </c>
      <c r="DZ47" s="0" t="n">
        <f aca="false">IF(DZ45="",0,IF(DZ46=Milestones!$AB$138,Milestones!$AC$138,0))</f>
        <v>0</v>
      </c>
      <c r="EA47" s="0" t="n">
        <f aca="false">IF(EA45="",0,IF(EA46=Milestones!$AB$139,Milestones!$AC$139,0))</f>
        <v>0</v>
      </c>
      <c r="EB47" s="0" t="n">
        <f aca="false">IF(EB45="",0,IF(EB46=Milestones!$AB$140,Milestones!$AC$140,0))</f>
        <v>0</v>
      </c>
      <c r="EC47" s="0" t="n">
        <f aca="false">IF(EC45="",0,IF(EC46=Milestones!$AB$141,Milestones!$AC$141,0))</f>
        <v>0</v>
      </c>
      <c r="ED47" s="0" t="n">
        <f aca="false">IF(ED45="",0,IF(ED46=Milestones!$AB$142,Milestones!$AC$142,0))</f>
        <v>0</v>
      </c>
      <c r="EE47" s="0" t="n">
        <f aca="false">IF(EE45="",0,IF(EE46=Milestones!$AB$143,Milestones!$AC$143,0))</f>
        <v>0</v>
      </c>
      <c r="EF47" s="0" t="n">
        <f aca="false">IF(EF45="",0,IF(EF46=Milestones!$AB$144,Milestones!$AC$144,0))</f>
        <v>0</v>
      </c>
      <c r="EG47" s="0" t="n">
        <f aca="false">IF(EG45="",0,IF(EG46=Milestones!$AB$145,Milestones!$AC$145,0))</f>
        <v>0</v>
      </c>
      <c r="EH47" s="0" t="n">
        <f aca="false">IF(EH45="",0,IF(EH46=Milestones!$AB$146,Milestones!$AC$146,0))</f>
        <v>0</v>
      </c>
      <c r="EI47" s="0" t="n">
        <f aca="false">IF(EI45="",0,IF(EI46=Milestones!$AB$147,Milestones!$AC$147,0))</f>
        <v>0</v>
      </c>
      <c r="EJ47" s="0" t="n">
        <f aca="false">IF(EJ45="",0,IF(EJ46=Milestones!$AB$148,Milestones!$AC$148,0))</f>
        <v>0</v>
      </c>
      <c r="EK47" s="0" t="n">
        <f aca="false">IF(EK45="",0,IF(EK46=Milestones!$AB$149,Milestones!$AC$149,0))</f>
        <v>0</v>
      </c>
      <c r="EL47" s="0" t="n">
        <f aca="false">IF(EL45="",0,IF(EL46=Milestones!$AB$150,Milestones!$AC$150,0))</f>
        <v>0</v>
      </c>
      <c r="EM47" s="0" t="n">
        <f aca="false">IF(EM45="",0,IF(EM46=Milestones!$AB$151,Milestones!$AC$151,0))</f>
        <v>0</v>
      </c>
      <c r="EN47" s="0" t="n">
        <f aca="false">IF(EN45="",0,IF(EN46=Milestones!$AB$152,Milestones!$AC$152,0))</f>
        <v>0</v>
      </c>
      <c r="EO47" s="0" t="n">
        <f aca="false">IF(EO45="",0,IF(EO46=Milestones!$AB$153,Milestones!$AC$153,0))</f>
        <v>0</v>
      </c>
      <c r="EP47" s="0" t="n">
        <f aca="false">IF(EP45="",0,IF(EP46=Milestones!$AB$154,Milestones!$AC$154,0))</f>
        <v>0</v>
      </c>
      <c r="EQ47" s="0" t="n">
        <f aca="false">IF(EQ45="",0,IF(EQ46=Milestones!$AB$155,Milestones!$AC$155,0))</f>
        <v>0</v>
      </c>
      <c r="ER47" s="0" t="n">
        <f aca="false">IF(ER45="",0,IF(ER46=Milestones!$AB$156,Milestones!$AC$156,0))</f>
        <v>0</v>
      </c>
      <c r="ES47" s="0" t="n">
        <f aca="false">IF(ES45="",0,IF(ES46=Milestones!$AB$157,Milestones!$AC$157,0))</f>
        <v>0</v>
      </c>
      <c r="ET47" s="0" t="n">
        <f aca="false">IF(ET45="",0,IF(ET46=Milestones!$AB$158,Milestones!$AC$158,0))</f>
        <v>0</v>
      </c>
      <c r="EU47" s="0" t="n">
        <f aca="false">IF(EU45="",0,IF(EU46=Milestones!$AB$159,Milestones!$AC$159,0))</f>
        <v>0</v>
      </c>
      <c r="EV47" s="0" t="n">
        <f aca="false">IF(EV45="",0,IF(EV46=Milestones!$AB$160,Milestones!$AC$160,0))</f>
        <v>0</v>
      </c>
      <c r="EW47" s="0" t="n">
        <f aca="false">IF(EW45="",0,IF(EW46=Milestones!$AB$161,Milestones!$AC$161,0))</f>
        <v>0</v>
      </c>
      <c r="EX47" s="0" t="n">
        <f aca="false">IF(EX45="",0,IF(EX46=Milestones!$AB$162,Milestones!$AC$162,0))</f>
        <v>0</v>
      </c>
      <c r="EY47" s="0" t="n">
        <f aca="false">IF(EY45="",0,IF(EY46=Milestones!$AB$163,Milestones!$AC$163,0))</f>
        <v>0</v>
      </c>
      <c r="EZ47" s="0" t="n">
        <f aca="false">IF(EZ45="",0,IF(EZ46=Milestones!$AB$164,Milestones!$AC$164,0))</f>
        <v>0</v>
      </c>
      <c r="FA47" s="0" t="n">
        <f aca="false">IF(FA45="",0,IF(FA46=Milestones!$AB$165,Milestones!$AC$165,0))</f>
        <v>0</v>
      </c>
      <c r="FB47" s="0" t="n">
        <f aca="false">IF(FB45="",0,IF(FB46=Milestones!$AB$166,Milestones!$AC$166,0))</f>
        <v>0</v>
      </c>
      <c r="FC47" s="0" t="n">
        <f aca="false">IF(FC45="",0,IF(FC46=Milestones!$AB$167,Milestones!$AC$167,0))</f>
        <v>0</v>
      </c>
      <c r="FD47" s="0" t="n">
        <f aca="false">IF(FD45="",0,IF(FD46=Milestones!$AB$168,Milestones!$AC$168,0))</f>
        <v>0</v>
      </c>
      <c r="FE47" s="0" t="n">
        <f aca="false">IF(FE45="",0,IF(FE46=Milestones!$AB$169,Milestones!$AC$169,0))</f>
        <v>0</v>
      </c>
      <c r="FF47" s="0" t="n">
        <f aca="false">IF(FF45="",0,IF(FF46=Milestones!$AB$170,Milestones!$AC$170,0))</f>
        <v>0</v>
      </c>
      <c r="FG47" s="0" t="n">
        <f aca="false">IF(FG45="",0,IF(FG46=Milestones!$AB$171,Milestones!$AC$171,0))</f>
        <v>0</v>
      </c>
      <c r="FH47" s="0" t="n">
        <f aca="false">IF(FH45="",0,IF(FH46=Milestones!$AB$172,Milestones!$AC$172,0))</f>
        <v>0</v>
      </c>
      <c r="FI47" s="0" t="n">
        <f aca="false">IF(FI45="",0,IF(FI46=Milestones!$AB$173,Milestones!$AC$173,0))</f>
        <v>0</v>
      </c>
      <c r="FJ47" s="0" t="n">
        <f aca="false">IF(FJ45="",0,IF(FJ46=Milestones!$AB$174,Milestones!$AC$174,0))</f>
        <v>0</v>
      </c>
      <c r="FK47" s="0" t="n">
        <f aca="false">IF(FK45="",0,IF(FK46=Milestones!$AB$175,Milestones!$AC$175,0))</f>
        <v>0</v>
      </c>
      <c r="FL47" s="0" t="n">
        <f aca="false">IF(FL45="",0,IF(FL46=Milestones!$AB$176,Milestones!$AC$176,0))</f>
        <v>0</v>
      </c>
      <c r="FM47" s="0" t="n">
        <f aca="false">IF(FM45="",0,IF(FM46=Milestones!$AB$177,Milestones!$AC$177,0))</f>
        <v>0</v>
      </c>
      <c r="FN47" s="0" t="n">
        <f aca="false">IF(FN45="",0,IF(FN46=Milestones!$AB$178,Milestones!$AC$178,0))</f>
        <v>0</v>
      </c>
      <c r="FO47" s="0" t="n">
        <f aca="false">IF(FO45="",0,IF(FO46=Milestones!$AB$179,Milestones!$AC$179,0))</f>
        <v>0</v>
      </c>
      <c r="FP47" s="0" t="n">
        <f aca="false">IF(FP45="",0,IF(FP46=Milestones!$AB$180,Milestones!$AC$180,0))</f>
        <v>0</v>
      </c>
      <c r="FQ47" s="0" t="n">
        <f aca="false">IF(FQ45="",0,IF(FQ46=Milestones!$AB$181,Milestones!$AC$181,0))</f>
        <v>0</v>
      </c>
      <c r="FR47" s="0" t="n">
        <f aca="false">IF(FR45="",0,IF(FR46=Milestones!$AB$182,Milestones!$AC$182,0))</f>
        <v>0</v>
      </c>
      <c r="FS47" s="0" t="n">
        <f aca="false">IF(FS45="",0,IF(FS46=Milestones!$AB$183,Milestones!$AC$183,0))</f>
        <v>0</v>
      </c>
      <c r="FT47" s="0" t="n">
        <f aca="false">IF(FT45="",0,IF(FT46=Milestones!$AB$184,Milestones!$AC$184,0))</f>
        <v>0</v>
      </c>
      <c r="FU47" s="0" t="n">
        <f aca="false">IF(FU45="",0,IF(FU46=Milestones!$AB$185,Milestones!$AC$185,0))</f>
        <v>0</v>
      </c>
      <c r="FV47" s="0" t="n">
        <f aca="false">IF(FV45="",0,IF(FV46=Milestones!$AB$186,Milestones!$AC$186,0))</f>
        <v>0</v>
      </c>
      <c r="FW47" s="0" t="n">
        <f aca="false">IF(FW45="",0,IF(FW46=Milestones!$AB$187,Milestones!$AC$187,0))</f>
        <v>0</v>
      </c>
      <c r="FX47" s="0" t="n">
        <f aca="false">IF(FX45="",0,IF(FX46=Milestones!$AB$188,Milestones!$AC$188,0))</f>
        <v>0</v>
      </c>
      <c r="FY47" s="0" t="n">
        <f aca="false">IF(FY45="",0,IF(FY46=Milestones!$AB$189,Milestones!$AC$189,0))</f>
        <v>0</v>
      </c>
      <c r="FZ47" s="0" t="n">
        <f aca="false">IF(FZ45="",0,IF(FZ46=Milestones!$AB$190,Milestones!$AC$190,0))</f>
        <v>0</v>
      </c>
      <c r="GA47" s="0" t="n">
        <f aca="false">IF(GA45="",0,IF(GA46=Milestones!$AB$191,Milestones!$AC$191,0))</f>
        <v>0</v>
      </c>
      <c r="GB47" s="0" t="n">
        <f aca="false">IF(GB45="",0,IF(GB46=Milestones!$AB$192,Milestones!$AC$192,0))</f>
        <v>0</v>
      </c>
      <c r="GC47" s="0" t="n">
        <f aca="false">IF(GC45="",0,IF(GC46=Milestones!$AB$193,Milestones!$AC$193,0))</f>
        <v>0</v>
      </c>
      <c r="GD47" s="0" t="n">
        <f aca="false">IF(GD45="",0,IF(GD46=Milestones!$AB$194,Milestones!$AC$194,0))</f>
        <v>0</v>
      </c>
      <c r="GE47" s="0" t="n">
        <f aca="false">IF(GE45="",0,IF(GE46=Milestones!$AB$195,Milestones!$AC$195,0))</f>
        <v>0</v>
      </c>
      <c r="GF47" s="0" t="n">
        <f aca="false">IF(GF45="",0,IF(GF46=Milestones!$AB$196,Milestones!$AC$196,0))</f>
        <v>0</v>
      </c>
      <c r="GG47" s="0" t="n">
        <f aca="false">IF(GG45="",0,IF(GG46=Milestones!$AB$197,Milestones!$AC$197,0))</f>
        <v>0</v>
      </c>
      <c r="GH47" s="0" t="n">
        <f aca="false">IF(GH45="",0,IF(GH46=Milestones!$AB$198,Milestones!$AC$198,0))</f>
        <v>0</v>
      </c>
      <c r="GI47" s="0" t="n">
        <f aca="false">IF(GI45="",0,IF(GI46=Milestones!$AB$199,Milestones!$AC$199,0))</f>
        <v>0</v>
      </c>
    </row>
    <row r="48" customFormat="false" ht="15" hidden="false" customHeight="false" outlineLevel="0" collapsed="false">
      <c r="A48" s="0" t="str">
        <f aca="false">IF('HR Tally Check'!Q$7="","",'HR Tally Check'!Q$7)</f>
        <v/>
      </c>
      <c r="B48" s="0" t="str">
        <f aca="false">IF(A48="","",ISNUMBER(MATCH(A48,Staff!$BJ$5:$BJ$154,0)))</f>
        <v/>
      </c>
      <c r="C48" s="18" t="str">
        <f aca="false">IF(B48&lt;&gt;TRUE(),"",INDEX(Staff!$AH$5:$AH$154,MATCH($A48,Staff!$BJ$5:$BJ$154,0)))</f>
        <v/>
      </c>
      <c r="D48" s="0" t="str">
        <f aca="false">IF(B48&lt;&gt;TRUE(),"",INDEX(Staff!$AI$5:$AI$154,MATCH($A48,Staff!$BJ$5:$BJ$154,0)))</f>
        <v/>
      </c>
      <c r="E48" s="18" t="str">
        <f aca="false">IF(B48&lt;&gt;TRUE(),"",INDEX(Staff!$AK$5:$AK$154,MATCH($A48,Staff!$BJ$5:$BJ$154,0)))</f>
        <v/>
      </c>
      <c r="F48" s="18" t="str">
        <f aca="false">IF(B48&lt;&gt;TRUE(),"",INDEX(Staff!$AL$5:$AL$154,MATCH($A48,Staff!$BJ$5:$BJ$154,0)))</f>
        <v/>
      </c>
      <c r="G48" s="0" t="str">
        <f aca="false">IF(B48&lt;&gt;TRUE(),"",INDEX(Staff!$AP$5:$AP$154,MATCH($A48,Staff!$BJ$5:$BJ$154,0)))</f>
        <v/>
      </c>
      <c r="H48" s="0" t="str">
        <f aca="false">IF(B48&lt;&gt;TRUE(),"",INDEX(Staff!$AQ$5:$AQ$154,MATCH($A48,Staff!$BJ$5:$BJ$154,0)))</f>
        <v/>
      </c>
      <c r="I48" s="0" t="str">
        <f aca="false">IF(B48&lt;&gt;TRUE(),"",INDEX(Staff!$AR$5:$AR$154,MATCH($A48,Staff!$BJ$5:$BJ$154,0)))</f>
        <v/>
      </c>
      <c r="J48" s="0" t="str">
        <f aca="false">IF(B48&lt;&gt;TRUE(),"",INDEX(Staff!$AS$5:$AS$154,MATCH($A48,Staff!$BJ$5:$BJ$154,0)))</f>
        <v/>
      </c>
      <c r="K48" s="31" t="s">
        <v>228</v>
      </c>
      <c r="L48" s="18" t="str">
        <f aca="false">IF($C48="","",EDATE($C48,Milestones!$AA$20))</f>
        <v/>
      </c>
      <c r="M48" s="18" t="str">
        <f aca="false">IF($C48="","",EDATE($C48,Milestones!$AA$21))</f>
        <v/>
      </c>
      <c r="N48" s="18" t="str">
        <f aca="false">IF($C48="","",EDATE($C48,Milestones!$AA$22))</f>
        <v/>
      </c>
      <c r="O48" s="18" t="str">
        <f aca="false">IF($C48="","",EDATE($C48,Milestones!$AA$23))</f>
        <v/>
      </c>
      <c r="P48" s="18" t="str">
        <f aca="false">IF($C48="","",EDATE($C48,Milestones!$AA$24))</f>
        <v/>
      </c>
      <c r="Q48" s="18" t="str">
        <f aca="false">IF($C48="","",EDATE($C48,Milestones!$AA$25))</f>
        <v/>
      </c>
      <c r="R48" s="18" t="str">
        <f aca="false">IF($C48="","",EDATE($C48,Milestones!$AA$26))</f>
        <v/>
      </c>
      <c r="S48" s="18" t="str">
        <f aca="false">IF($C48="","",EDATE($C48,Milestones!$AA$27))</f>
        <v/>
      </c>
      <c r="T48" s="18" t="str">
        <f aca="false">IF($C48="","",EDATE($C48,Milestones!$AA$28))</f>
        <v/>
      </c>
      <c r="U48" s="18" t="str">
        <f aca="false">IF($C48="","",EDATE($C48,Milestones!$AA$29))</f>
        <v/>
      </c>
      <c r="V48" s="18" t="str">
        <f aca="false">IF($C48="","",EDATE($C48,Milestones!$AA$30))</f>
        <v/>
      </c>
      <c r="W48" s="18" t="str">
        <f aca="false">IF($C48="","",EDATE($C48,Milestones!$AA$31))</f>
        <v/>
      </c>
      <c r="X48" s="18" t="str">
        <f aca="false">IF($C48="","",EDATE($C48,Milestones!$AA$32))</f>
        <v/>
      </c>
      <c r="Y48" s="18" t="str">
        <f aca="false">IF($C48="","",EDATE($C48,Milestones!$AA$33))</f>
        <v/>
      </c>
      <c r="Z48" s="18" t="str">
        <f aca="false">IF($C48="","",EDATE($C48,Milestones!$AA$34))</f>
        <v/>
      </c>
      <c r="AA48" s="18" t="str">
        <f aca="false">IF($C48="","",EDATE($C48,Milestones!$AA$35))</f>
        <v/>
      </c>
      <c r="AB48" s="18" t="str">
        <f aca="false">IF($C48="","",EDATE($C48,Milestones!$AA$36))</f>
        <v/>
      </c>
      <c r="AC48" s="18" t="str">
        <f aca="false">IF($C48="","",EDATE($C48,Milestones!$AA$37))</f>
        <v/>
      </c>
      <c r="AD48" s="18" t="str">
        <f aca="false">IF($C48="","",EDATE($C48,Milestones!$AA$38))</f>
        <v/>
      </c>
      <c r="AE48" s="18" t="str">
        <f aca="false">IF($C48="","",EDATE($C48,Milestones!$AA$39))</f>
        <v/>
      </c>
      <c r="AF48" s="18" t="str">
        <f aca="false">IF($C48="","",EDATE($C48,Milestones!$AA$40))</f>
        <v/>
      </c>
      <c r="AG48" s="18" t="str">
        <f aca="false">IF($C48="","",EDATE($C48,Milestones!$AA$41))</f>
        <v/>
      </c>
      <c r="AH48" s="18" t="str">
        <f aca="false">IF($C48="","",EDATE($C48,Milestones!$AA$42))</f>
        <v/>
      </c>
      <c r="AI48" s="18" t="str">
        <f aca="false">IF($C48="","",EDATE($C48,Milestones!$AA$43))</f>
        <v/>
      </c>
      <c r="AJ48" s="18" t="str">
        <f aca="false">IF($C48="","",EDATE($C48,Milestones!$AA$44))</f>
        <v/>
      </c>
      <c r="AK48" s="18" t="str">
        <f aca="false">IF($C48="","",EDATE($C48,Milestones!$AA$45))</f>
        <v/>
      </c>
      <c r="AL48" s="18" t="str">
        <f aca="false">IF($C48="","",EDATE($C48,Milestones!$AA$46))</f>
        <v/>
      </c>
      <c r="AM48" s="18" t="str">
        <f aca="false">IF($C48="","",EDATE($C48,Milestones!$AA$47))</f>
        <v/>
      </c>
      <c r="AN48" s="18" t="str">
        <f aca="false">IF($C48="","",EDATE($C48,Milestones!$AA$48))</f>
        <v/>
      </c>
      <c r="AO48" s="18" t="str">
        <f aca="false">IF($C48="","",EDATE($C48,Milestones!$AA$49))</f>
        <v/>
      </c>
      <c r="AP48" s="18" t="str">
        <f aca="false">IF($C48="","",EDATE($C48,Milestones!$AA$50))</f>
        <v/>
      </c>
      <c r="AQ48" s="18" t="str">
        <f aca="false">IF($C48="","",EDATE($C48,Milestones!$AA$51))</f>
        <v/>
      </c>
      <c r="AR48" s="18" t="str">
        <f aca="false">IF($C48="","",EDATE($C48,Milestones!$AA$52))</f>
        <v/>
      </c>
      <c r="AS48" s="18" t="str">
        <f aca="false">IF($C48="","",EDATE($C48,Milestones!$AA$53))</f>
        <v/>
      </c>
      <c r="AT48" s="18" t="str">
        <f aca="false">IF($C48="","",EDATE($C48,Milestones!$AA$54))</f>
        <v/>
      </c>
      <c r="AU48" s="18" t="str">
        <f aca="false">IF($C48="","",EDATE($C48,Milestones!$AA$55))</f>
        <v/>
      </c>
      <c r="AV48" s="18" t="str">
        <f aca="false">IF($C48="","",EDATE($C48,Milestones!$AA$56))</f>
        <v/>
      </c>
      <c r="AW48" s="18" t="str">
        <f aca="false">IF($C48="","",EDATE($C48,Milestones!$AA$57))</f>
        <v/>
      </c>
      <c r="AX48" s="18" t="str">
        <f aca="false">IF($C48="","",EDATE($C48,Milestones!$AA$58))</f>
        <v/>
      </c>
      <c r="AY48" s="18" t="str">
        <f aca="false">IF($C48="","",EDATE($C48,Milestones!$AA$59))</f>
        <v/>
      </c>
      <c r="AZ48" s="18" t="str">
        <f aca="false">IF($C48="","",EDATE($C48,Milestones!$AA$60))</f>
        <v/>
      </c>
      <c r="BA48" s="18" t="str">
        <f aca="false">IF($C48="","",EDATE($C48,Milestones!$AA$61))</f>
        <v/>
      </c>
      <c r="BB48" s="18" t="str">
        <f aca="false">IF($C48="","",EDATE($C48,Milestones!$AA$62))</f>
        <v/>
      </c>
      <c r="BC48" s="18" t="str">
        <f aca="false">IF($C48="","",EDATE($C48,Milestones!$AA$63))</f>
        <v/>
      </c>
      <c r="BD48" s="18" t="str">
        <f aca="false">IF($C48="","",EDATE($C48,Milestones!$AA$64))</f>
        <v/>
      </c>
      <c r="BE48" s="18" t="str">
        <f aca="false">IF($C48="","",EDATE($C48,Milestones!$AA$65))</f>
        <v/>
      </c>
      <c r="BF48" s="18" t="str">
        <f aca="false">IF($C48="","",EDATE($C48,Milestones!$AA$66))</f>
        <v/>
      </c>
      <c r="BG48" s="18" t="str">
        <f aca="false">IF($C48="","",EDATE($C48,Milestones!$AA$67))</f>
        <v/>
      </c>
      <c r="BH48" s="18" t="str">
        <f aca="false">IF($C48="","",EDATE($C48,Milestones!$AA$68))</f>
        <v/>
      </c>
      <c r="BI48" s="18" t="str">
        <f aca="false">IF($C48="","",EDATE($C48,Milestones!$AA$69))</f>
        <v/>
      </c>
      <c r="BJ48" s="18" t="str">
        <f aca="false">IF($C48="","",EDATE($C48,Milestones!$AA$70))</f>
        <v/>
      </c>
      <c r="BK48" s="18" t="str">
        <f aca="false">IF($C48="","",EDATE($C48,Milestones!$AA$71))</f>
        <v/>
      </c>
      <c r="BL48" s="18" t="str">
        <f aca="false">IF($C48="","",EDATE($C48,Milestones!$AA$72))</f>
        <v/>
      </c>
      <c r="BM48" s="18" t="str">
        <f aca="false">IF($C48="","",EDATE($C48,Milestones!$AA$73))</f>
        <v/>
      </c>
      <c r="BN48" s="18" t="str">
        <f aca="false">IF($C48="","",EDATE($C48,Milestones!$AA$74))</f>
        <v/>
      </c>
      <c r="BO48" s="18" t="str">
        <f aca="false">IF($C48="","",EDATE($C48,Milestones!$AA$75))</f>
        <v/>
      </c>
      <c r="BP48" s="18" t="str">
        <f aca="false">IF($C48="","",EDATE($C48,Milestones!$AA$76))</f>
        <v/>
      </c>
      <c r="BQ48" s="18" t="str">
        <f aca="false">IF($C48="","",EDATE($C48,Milestones!$AA$77))</f>
        <v/>
      </c>
      <c r="BR48" s="18" t="str">
        <f aca="false">IF($C48="","",EDATE($C48,Milestones!$AA$78))</f>
        <v/>
      </c>
      <c r="BS48" s="18" t="str">
        <f aca="false">IF($C48="","",EDATE($C48,Milestones!$AA$79))</f>
        <v/>
      </c>
      <c r="BT48" s="18" t="str">
        <f aca="false">IF($C48="","",EDATE($C48,Milestones!$AA$80))</f>
        <v/>
      </c>
      <c r="BU48" s="18" t="str">
        <f aca="false">IF($C48="","",EDATE($C48,Milestones!$AA$81))</f>
        <v/>
      </c>
      <c r="BV48" s="18" t="str">
        <f aca="false">IF($C48="","",EDATE($C48,Milestones!$AA$82))</f>
        <v/>
      </c>
      <c r="BW48" s="18" t="str">
        <f aca="false">IF($C48="","",EDATE($C48,Milestones!$AA$83))</f>
        <v/>
      </c>
      <c r="BX48" s="18" t="str">
        <f aca="false">IF($C48="","",EDATE($C48,Milestones!$AA$84))</f>
        <v/>
      </c>
      <c r="BY48" s="18" t="str">
        <f aca="false">IF($C48="","",EDATE($C48,Milestones!$AA$85))</f>
        <v/>
      </c>
      <c r="BZ48" s="18" t="str">
        <f aca="false">IF($C48="","",EDATE($C48,Milestones!$AA$86))</f>
        <v/>
      </c>
      <c r="CA48" s="18" t="str">
        <f aca="false">IF($C48="","",EDATE($C48,Milestones!$AA$87))</f>
        <v/>
      </c>
      <c r="CB48" s="18" t="str">
        <f aca="false">IF($C48="","",EDATE($C48,Milestones!$AA$88))</f>
        <v/>
      </c>
      <c r="CC48" s="18" t="str">
        <f aca="false">IF($C48="","",EDATE($C48,Milestones!$AA$89))</f>
        <v/>
      </c>
      <c r="CD48" s="18" t="str">
        <f aca="false">IF($C48="","",EDATE($C48,Milestones!$AA$90))</f>
        <v/>
      </c>
      <c r="CE48" s="18" t="str">
        <f aca="false">IF($C48="","",EDATE($C48,Milestones!$AA$91))</f>
        <v/>
      </c>
      <c r="CF48" s="18" t="str">
        <f aca="false">IF($C48="","",EDATE($C48,Milestones!$AA$92))</f>
        <v/>
      </c>
      <c r="CG48" s="18" t="str">
        <f aca="false">IF($C48="","",EDATE($C48,Milestones!$AA$93))</f>
        <v/>
      </c>
      <c r="CH48" s="18" t="str">
        <f aca="false">IF($C48="","",EDATE($C48,Milestones!$AA$94))</f>
        <v/>
      </c>
      <c r="CI48" s="18" t="str">
        <f aca="false">IF($C48="","",EDATE($C48,Milestones!$AA$95))</f>
        <v/>
      </c>
      <c r="CJ48" s="18" t="str">
        <f aca="false">IF($C48="","",EDATE($C48,Milestones!$AA$96))</f>
        <v/>
      </c>
      <c r="CK48" s="18" t="str">
        <f aca="false">IF($C48="","",EDATE($C48,Milestones!$AA$97))</f>
        <v/>
      </c>
      <c r="CL48" s="18" t="str">
        <f aca="false">IF($C48="","",EDATE($C48,Milestones!$AA$98))</f>
        <v/>
      </c>
      <c r="CM48" s="18" t="str">
        <f aca="false">IF($C48="","",EDATE($C48,Milestones!$AA$99))</f>
        <v/>
      </c>
      <c r="CN48" s="18" t="str">
        <f aca="false">IF($C48="","",EDATE($C48,Milestones!$AA$100))</f>
        <v/>
      </c>
      <c r="CO48" s="18" t="str">
        <f aca="false">IF($C48="","",EDATE($C48,Milestones!$AA$101))</f>
        <v/>
      </c>
      <c r="CP48" s="18" t="str">
        <f aca="false">IF($C48="","",EDATE($C48,Milestones!$AA$102))</f>
        <v/>
      </c>
      <c r="CQ48" s="18" t="str">
        <f aca="false">IF($C48="","",EDATE($C48,Milestones!$AA$103))</f>
        <v/>
      </c>
      <c r="CR48" s="18" t="str">
        <f aca="false">IF($C48="","",EDATE($C48,Milestones!$AA$104))</f>
        <v/>
      </c>
      <c r="CS48" s="18" t="str">
        <f aca="false">IF($C48="","",EDATE($C48,Milestones!$AA$105))</f>
        <v/>
      </c>
      <c r="CT48" s="18" t="str">
        <f aca="false">IF($C48="","",EDATE($C48,Milestones!$AA$106))</f>
        <v/>
      </c>
      <c r="CU48" s="18" t="str">
        <f aca="false">IF($C48="","",EDATE($C48,Milestones!$AA$107))</f>
        <v/>
      </c>
      <c r="CV48" s="18" t="str">
        <f aca="false">IF($C48="","",EDATE($C48,Milestones!$AA$108))</f>
        <v/>
      </c>
      <c r="CW48" s="18" t="str">
        <f aca="false">IF($C48="","",EDATE($C48,Milestones!$AA$109))</f>
        <v/>
      </c>
      <c r="CX48" s="18" t="str">
        <f aca="false">IF($C48="","",EDATE($C48,Milestones!$AA$110))</f>
        <v/>
      </c>
      <c r="CY48" s="18" t="str">
        <f aca="false">IF($C48="","",EDATE($C48,Milestones!$AA$111))</f>
        <v/>
      </c>
      <c r="CZ48" s="18" t="str">
        <f aca="false">IF($C48="","",EDATE($C48,Milestones!$AA$112))</f>
        <v/>
      </c>
      <c r="DA48" s="18" t="str">
        <f aca="false">IF($C48="","",EDATE($C48,Milestones!$AA$113))</f>
        <v/>
      </c>
      <c r="DB48" s="18" t="str">
        <f aca="false">IF($C48="","",EDATE($C48,Milestones!$AA$114))</f>
        <v/>
      </c>
      <c r="DC48" s="18" t="str">
        <f aca="false">IF($C48="","",EDATE($C48,Milestones!$AA$115))</f>
        <v/>
      </c>
      <c r="DD48" s="18" t="str">
        <f aca="false">IF($C48="","",EDATE($C48,Milestones!$AA$116))</f>
        <v/>
      </c>
      <c r="DE48" s="18" t="str">
        <f aca="false">IF($C48="","",EDATE($C48,Milestones!$AA$117))</f>
        <v/>
      </c>
      <c r="DF48" s="18" t="str">
        <f aca="false">IF($C48="","",EDATE($C48,Milestones!$AA$118))</f>
        <v/>
      </c>
      <c r="DG48" s="18" t="str">
        <f aca="false">IF($C48="","",EDATE($C48,Milestones!$AA$119))</f>
        <v/>
      </c>
      <c r="DH48" s="18" t="str">
        <f aca="false">IF($C48="","",EDATE($C48,Milestones!$AA$120))</f>
        <v/>
      </c>
      <c r="DI48" s="18" t="str">
        <f aca="false">IF($C48="","",EDATE($C48,Milestones!$AA$121))</f>
        <v/>
      </c>
      <c r="DJ48" s="18" t="str">
        <f aca="false">IF($C48="","",EDATE($C48,Milestones!$AA$122))</f>
        <v/>
      </c>
      <c r="DK48" s="18" t="str">
        <f aca="false">IF($C48="","",EDATE($C48,Milestones!$AA$123))</f>
        <v/>
      </c>
      <c r="DL48" s="18" t="str">
        <f aca="false">IF($C48="","",EDATE($C48,Milestones!$AA$124))</f>
        <v/>
      </c>
      <c r="DM48" s="18" t="str">
        <f aca="false">IF($C48="","",EDATE($C48,Milestones!$AA$125))</f>
        <v/>
      </c>
      <c r="DN48" s="18" t="str">
        <f aca="false">IF($C48="","",EDATE($C48,Milestones!$AA$126))</f>
        <v/>
      </c>
      <c r="DO48" s="18" t="str">
        <f aca="false">IF($C48="","",EDATE($C48,Milestones!$AA$127))</f>
        <v/>
      </c>
      <c r="DP48" s="18" t="str">
        <f aca="false">IF($C48="","",EDATE($C48,Milestones!$AA$128))</f>
        <v/>
      </c>
      <c r="DQ48" s="18" t="str">
        <f aca="false">IF($C48="","",EDATE($C48,Milestones!$AA$129))</f>
        <v/>
      </c>
      <c r="DR48" s="18" t="str">
        <f aca="false">IF($C48="","",EDATE($C48,Milestones!$AA$130))</f>
        <v/>
      </c>
      <c r="DS48" s="18" t="str">
        <f aca="false">IF($C48="","",EDATE($C48,Milestones!$AA$131))</f>
        <v/>
      </c>
      <c r="DT48" s="18" t="str">
        <f aca="false">IF($C48="","",EDATE($C48,Milestones!$AA$132))</f>
        <v/>
      </c>
      <c r="DU48" s="18" t="str">
        <f aca="false">IF($C48="","",EDATE($C48,Milestones!$AA$133))</f>
        <v/>
      </c>
      <c r="DV48" s="18" t="str">
        <f aca="false">IF($C48="","",EDATE($C48,Milestones!$AA$134))</f>
        <v/>
      </c>
      <c r="DW48" s="18" t="str">
        <f aca="false">IF($C48="","",EDATE($C48,Milestones!$AA$135))</f>
        <v/>
      </c>
      <c r="DX48" s="18" t="str">
        <f aca="false">IF($C48="","",EDATE($C48,Milestones!$AA$136))</f>
        <v/>
      </c>
      <c r="DY48" s="18" t="str">
        <f aca="false">IF($C48="","",EDATE($C48,Milestones!$AA$137))</f>
        <v/>
      </c>
      <c r="DZ48" s="18" t="str">
        <f aca="false">IF($C48="","",EDATE($C48,Milestones!$AA$138))</f>
        <v/>
      </c>
      <c r="EA48" s="18" t="str">
        <f aca="false">IF($C48="","",EDATE($C48,Milestones!$AA$139))</f>
        <v/>
      </c>
      <c r="EB48" s="18" t="str">
        <f aca="false">IF($C48="","",EDATE($C48,Milestones!$AA$140))</f>
        <v/>
      </c>
      <c r="EC48" s="18" t="str">
        <f aca="false">IF($C48="","",EDATE($C48,Milestones!$AA$141))</f>
        <v/>
      </c>
      <c r="ED48" s="18" t="str">
        <f aca="false">IF($C48="","",EDATE($C48,Milestones!$AA$142))</f>
        <v/>
      </c>
      <c r="EE48" s="18" t="str">
        <f aca="false">IF($C48="","",EDATE($C48,Milestones!$AA$143))</f>
        <v/>
      </c>
      <c r="EF48" s="18" t="str">
        <f aca="false">IF($C48="","",EDATE($C48,Milestones!$AA$144))</f>
        <v/>
      </c>
      <c r="EG48" s="18" t="str">
        <f aca="false">IF($C48="","",EDATE($C48,Milestones!$AA$145))</f>
        <v/>
      </c>
      <c r="EH48" s="18" t="str">
        <f aca="false">IF($C48="","",EDATE($C48,Milestones!$AA$146))</f>
        <v/>
      </c>
      <c r="EI48" s="18" t="str">
        <f aca="false">IF($C48="","",EDATE($C48,Milestones!$AA$147))</f>
        <v/>
      </c>
      <c r="EJ48" s="18" t="str">
        <f aca="false">IF($C48="","",EDATE($C48,Milestones!$AA$148))</f>
        <v/>
      </c>
      <c r="EK48" s="18" t="str">
        <f aca="false">IF($C48="","",EDATE($C48,Milestones!$AA$149))</f>
        <v/>
      </c>
      <c r="EL48" s="18" t="str">
        <f aca="false">IF($C48="","",EDATE($C48,Milestones!$AA$150))</f>
        <v/>
      </c>
      <c r="EM48" s="18" t="str">
        <f aca="false">IF($C48="","",EDATE($C48,Milestones!$AA$151))</f>
        <v/>
      </c>
      <c r="EN48" s="18" t="str">
        <f aca="false">IF($C48="","",EDATE($C48,Milestones!$AA$152))</f>
        <v/>
      </c>
      <c r="EO48" s="18" t="str">
        <f aca="false">IF($C48="","",EDATE($C48,Milestones!$AA$153))</f>
        <v/>
      </c>
      <c r="EP48" s="18" t="str">
        <f aca="false">IF($C48="","",EDATE($C48,Milestones!$AA$154))</f>
        <v/>
      </c>
      <c r="EQ48" s="18" t="str">
        <f aca="false">IF($C48="","",EDATE($C48,Milestones!$AA$155))</f>
        <v/>
      </c>
      <c r="ER48" s="18" t="str">
        <f aca="false">IF($C48="","",EDATE($C48,Milestones!$AA$156))</f>
        <v/>
      </c>
      <c r="ES48" s="18" t="str">
        <f aca="false">IF($C48="","",EDATE($C48,Milestones!$AA$157))</f>
        <v/>
      </c>
      <c r="ET48" s="18" t="str">
        <f aca="false">IF($C48="","",EDATE($C48,Milestones!$AA$158))</f>
        <v/>
      </c>
      <c r="EU48" s="18" t="str">
        <f aca="false">IF($C48="","",EDATE($C48,Milestones!$AA$159))</f>
        <v/>
      </c>
      <c r="EV48" s="18" t="str">
        <f aca="false">IF($C48="","",EDATE($C48,Milestones!$AA$160))</f>
        <v/>
      </c>
      <c r="EW48" s="18" t="str">
        <f aca="false">IF($C48="","",EDATE($C48,Milestones!$AA$161))</f>
        <v/>
      </c>
      <c r="EX48" s="18" t="str">
        <f aca="false">IF($C48="","",EDATE($C48,Milestones!$AA$162))</f>
        <v/>
      </c>
      <c r="EY48" s="18" t="str">
        <f aca="false">IF($C48="","",EDATE($C48,Milestones!$AA$163))</f>
        <v/>
      </c>
      <c r="EZ48" s="18" t="str">
        <f aca="false">IF($C48="","",EDATE($C48,Milestones!$AA$164))</f>
        <v/>
      </c>
      <c r="FA48" s="18" t="str">
        <f aca="false">IF($C48="","",EDATE($C48,Milestones!$AA$165))</f>
        <v/>
      </c>
      <c r="FB48" s="18" t="str">
        <f aca="false">IF($C48="","",EDATE($C48,Milestones!$AA$166))</f>
        <v/>
      </c>
      <c r="FC48" s="18" t="str">
        <f aca="false">IF($C48="","",EDATE($C48,Milestones!$AA$167))</f>
        <v/>
      </c>
      <c r="FD48" s="18" t="str">
        <f aca="false">IF($C48="","",EDATE($C48,Milestones!$AA$168))</f>
        <v/>
      </c>
      <c r="FE48" s="18" t="str">
        <f aca="false">IF($C48="","",EDATE($C48,Milestones!$AA$169))</f>
        <v/>
      </c>
      <c r="FF48" s="18" t="str">
        <f aca="false">IF($C48="","",EDATE($C48,Milestones!$AA$170))</f>
        <v/>
      </c>
      <c r="FG48" s="18" t="str">
        <f aca="false">IF($C48="","",EDATE($C48,Milestones!$AA$171))</f>
        <v/>
      </c>
      <c r="FH48" s="18" t="str">
        <f aca="false">IF($C48="","",EDATE($C48,Milestones!$AA$172))</f>
        <v/>
      </c>
      <c r="FI48" s="18" t="str">
        <f aca="false">IF($C48="","",EDATE($C48,Milestones!$AA$173))</f>
        <v/>
      </c>
      <c r="FJ48" s="18" t="str">
        <f aca="false">IF($C48="","",EDATE($C48,Milestones!$AA$174))</f>
        <v/>
      </c>
      <c r="FK48" s="18" t="str">
        <f aca="false">IF($C48="","",EDATE($C48,Milestones!$AA$175))</f>
        <v/>
      </c>
      <c r="FL48" s="18" t="str">
        <f aca="false">IF($C48="","",EDATE($C48,Milestones!$AA$176))</f>
        <v/>
      </c>
      <c r="FM48" s="18" t="str">
        <f aca="false">IF($C48="","",EDATE($C48,Milestones!$AA$177))</f>
        <v/>
      </c>
      <c r="FN48" s="18" t="str">
        <f aca="false">IF($C48="","",EDATE($C48,Milestones!$AA$178))</f>
        <v/>
      </c>
      <c r="FO48" s="18" t="str">
        <f aca="false">IF($C48="","",EDATE($C48,Milestones!$AA$179))</f>
        <v/>
      </c>
      <c r="FP48" s="18" t="str">
        <f aca="false">IF($C48="","",EDATE($C48,Milestones!$AA$180))</f>
        <v/>
      </c>
      <c r="FQ48" s="18" t="str">
        <f aca="false">IF($C48="","",EDATE($C48,Milestones!$AA$181))</f>
        <v/>
      </c>
      <c r="FR48" s="18" t="str">
        <f aca="false">IF($C48="","",EDATE($C48,Milestones!$AA$182))</f>
        <v/>
      </c>
      <c r="FS48" s="18" t="str">
        <f aca="false">IF($C48="","",EDATE($C48,Milestones!$AA$183))</f>
        <v/>
      </c>
      <c r="FT48" s="18" t="str">
        <f aca="false">IF($C48="","",EDATE($C48,Milestones!$AA$184))</f>
        <v/>
      </c>
      <c r="FU48" s="18" t="str">
        <f aca="false">IF($C48="","",EDATE($C48,Milestones!$AA$185))</f>
        <v/>
      </c>
      <c r="FV48" s="18" t="str">
        <f aca="false">IF($C48="","",EDATE($C48,Milestones!$AA$186))</f>
        <v/>
      </c>
      <c r="FW48" s="18" t="str">
        <f aca="false">IF($C48="","",EDATE($C48,Milestones!$AA$187))</f>
        <v/>
      </c>
      <c r="FX48" s="18" t="str">
        <f aca="false">IF($C48="","",EDATE($C48,Milestones!$AA$188))</f>
        <v/>
      </c>
      <c r="FY48" s="18" t="str">
        <f aca="false">IF($C48="","",EDATE($C48,Milestones!$AA$189))</f>
        <v/>
      </c>
      <c r="FZ48" s="18" t="str">
        <f aca="false">IF($C48="","",EDATE($C48,Milestones!$AA$190))</f>
        <v/>
      </c>
      <c r="GA48" s="18" t="str">
        <f aca="false">IF($C48="","",EDATE($C48,Milestones!$AA$191))</f>
        <v/>
      </c>
      <c r="GB48" s="18" t="str">
        <f aca="false">IF($C48="","",EDATE($C48,Milestones!$AA$192))</f>
        <v/>
      </c>
      <c r="GC48" s="18" t="str">
        <f aca="false">IF($C48="","",EDATE($C48,Milestones!$AA$193))</f>
        <v/>
      </c>
      <c r="GD48" s="18" t="str">
        <f aca="false">IF($C48="","",EDATE($C48,Milestones!$AA$194))</f>
        <v/>
      </c>
      <c r="GE48" s="18" t="str">
        <f aca="false">IF($C48="","",EDATE($C48,Milestones!$AA$195))</f>
        <v/>
      </c>
      <c r="GF48" s="18" t="str">
        <f aca="false">IF($C48="","",EDATE($C48,Milestones!$AA$196))</f>
        <v/>
      </c>
      <c r="GG48" s="18" t="str">
        <f aca="false">IF($C48="","",EDATE($C48,Milestones!$AA$197))</f>
        <v/>
      </c>
      <c r="GH48" s="18" t="str">
        <f aca="false">IF($C48="","",EDATE($C48,Milestones!$AA$198))</f>
        <v/>
      </c>
      <c r="GI48" s="18" t="str">
        <f aca="false">IF($C48="","",EDATE($C48,Milestones!$AA$199))</f>
        <v/>
      </c>
    </row>
    <row r="49" customFormat="false" ht="15" hidden="false" customHeight="false" outlineLevel="0" collapsed="false">
      <c r="K49" s="0" t="s">
        <v>229</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230</v>
      </c>
      <c r="L50" s="0" t="n">
        <f aca="false">IF(L48="",0,IF(L49=Milestones!$AB$20,Milestones!$AC$20,0))</f>
        <v>0</v>
      </c>
      <c r="M50" s="0" t="n">
        <f aca="false">IF(M48="",0,IF(M49=Milestones!$AB$21,Milestones!$AC$21,0))</f>
        <v>0</v>
      </c>
      <c r="N50" s="0" t="n">
        <f aca="false">IF(N48="",0,IF(N49=Milestones!$AB$22,Milestones!$AC$22,0))</f>
        <v>0</v>
      </c>
      <c r="O50" s="0" t="n">
        <f aca="false">IF(O48="",0,IF(O49=Milestones!$AB$23,Milestones!$AC$23,0))</f>
        <v>0</v>
      </c>
      <c r="P50" s="0" t="n">
        <f aca="false">IF(P48="",0,IF(P49=Milestones!$AB$24,Milestones!$AC$24,0))</f>
        <v>0</v>
      </c>
      <c r="Q50" s="0" t="n">
        <f aca="false">IF(Q48="",0,IF(Q49=Milestones!$AB$25,Milestones!$AC$25,0))</f>
        <v>0</v>
      </c>
      <c r="R50" s="0" t="n">
        <f aca="false">IF(R48="",0,IF(R49=Milestones!$AB$26,Milestones!$AC$26,0))</f>
        <v>0</v>
      </c>
      <c r="S50" s="0" t="n">
        <f aca="false">IF(S48="",0,IF(S49=Milestones!$AB$27,Milestones!$AC$27,0))</f>
        <v>0</v>
      </c>
      <c r="T50" s="0" t="n">
        <f aca="false">IF(T48="",0,IF(T49=Milestones!$AB$28,Milestones!$AC$28,0))</f>
        <v>0</v>
      </c>
      <c r="U50" s="0" t="n">
        <f aca="false">IF(U48="",0,IF(U49=Milestones!$AB$29,Milestones!$AC$29,0))</f>
        <v>0</v>
      </c>
      <c r="V50" s="0" t="n">
        <f aca="false">IF(V48="",0,IF(V49=Milestones!$AB$30,Milestones!$AC$30,0))</f>
        <v>0</v>
      </c>
      <c r="W50" s="0" t="n">
        <f aca="false">IF(W48="",0,IF(W49=Milestones!$AB$31,Milestones!$AC$31,0))</f>
        <v>0</v>
      </c>
      <c r="X50" s="0" t="n">
        <f aca="false">IF(X48="",0,IF(X49=Milestones!$AB$32,Milestones!$AC$32,0))</f>
        <v>0</v>
      </c>
      <c r="Y50" s="0" t="n">
        <f aca="false">IF(Y48="",0,IF(Y49=Milestones!$AB$33,Milestones!$AC$33,0))</f>
        <v>0</v>
      </c>
      <c r="Z50" s="0" t="n">
        <f aca="false">IF(Z48="",0,IF(Z49=Milestones!$AB$34,Milestones!$AC$34,0))</f>
        <v>0</v>
      </c>
      <c r="AA50" s="0" t="n">
        <f aca="false">IF(AA48="",0,IF(AA49=Milestones!$AB$35,Milestones!$AC$35,0))</f>
        <v>0</v>
      </c>
      <c r="AB50" s="0" t="n">
        <f aca="false">IF(AB48="",0,IF(AB49=Milestones!$AB$36,Milestones!$AC$36,0))</f>
        <v>0</v>
      </c>
      <c r="AC50" s="0" t="n">
        <f aca="false">IF(AC48="",0,IF(AC49=Milestones!$AB$37,Milestones!$AC$37,0))</f>
        <v>0</v>
      </c>
      <c r="AD50" s="0" t="n">
        <f aca="false">IF(AD48="",0,IF(AD49=Milestones!$AB$38,Milestones!$AC$38,0))</f>
        <v>0</v>
      </c>
      <c r="AE50" s="0" t="n">
        <f aca="false">IF(AE48="",0,IF(AE49=Milestones!$AB$39,Milestones!$AC$39,0))</f>
        <v>0</v>
      </c>
      <c r="AF50" s="0" t="n">
        <f aca="false">IF(AF48="",0,IF(AF49=Milestones!$AB$40,Milestones!$AC$40,0))</f>
        <v>0</v>
      </c>
      <c r="AG50" s="0" t="n">
        <f aca="false">IF(AG48="",0,IF(AG49=Milestones!$AB$41,Milestones!$AC$41,0))</f>
        <v>0</v>
      </c>
      <c r="AH50" s="0" t="n">
        <f aca="false">IF(AH48="",0,IF(AH49=Milestones!$AB$42,Milestones!$AC$42,0))</f>
        <v>0</v>
      </c>
      <c r="AI50" s="0" t="n">
        <f aca="false">IF(AI48="",0,IF(AI49=Milestones!$AB$43,Milestones!$AC$43,0))</f>
        <v>0</v>
      </c>
      <c r="AJ50" s="0" t="n">
        <f aca="false">IF(AJ48="",0,IF(AJ49=Milestones!$AB$44,Milestones!$AC$44,0))</f>
        <v>0</v>
      </c>
      <c r="AK50" s="0" t="n">
        <f aca="false">IF(AK48="",0,IF(AK49=Milestones!$AB$45,Milestones!$AC$45,0))</f>
        <v>0</v>
      </c>
      <c r="AL50" s="0" t="n">
        <f aca="false">IF(AL48="",0,IF(AL49=Milestones!$AB$46,Milestones!$AC$46,0))</f>
        <v>0</v>
      </c>
      <c r="AM50" s="0" t="n">
        <f aca="false">IF(AM48="",0,IF(AM49=Milestones!$AB$47,Milestones!$AC$47,0))</f>
        <v>0</v>
      </c>
      <c r="AN50" s="0" t="n">
        <f aca="false">IF(AN48="",0,IF(AN49=Milestones!$AB$48,Milestones!$AC$48,0))</f>
        <v>0</v>
      </c>
      <c r="AO50" s="0" t="n">
        <f aca="false">IF(AO48="",0,IF(AO49=Milestones!$AB$49,Milestones!$AC$49,0))</f>
        <v>0</v>
      </c>
      <c r="AP50" s="0" t="n">
        <f aca="false">IF(AP48="",0,IF(AP49=Milestones!$AB$50,Milestones!$AC$50,0))</f>
        <v>0</v>
      </c>
      <c r="AQ50" s="0" t="n">
        <f aca="false">IF(AQ48="",0,IF(AQ49=Milestones!$AB$51,Milestones!$AC$51,0))</f>
        <v>0</v>
      </c>
      <c r="AR50" s="0" t="n">
        <f aca="false">IF(AR48="",0,IF(AR49=Milestones!$AB$52,Milestones!$AC$52,0))</f>
        <v>0</v>
      </c>
      <c r="AS50" s="0" t="n">
        <f aca="false">IF(AS48="",0,IF(AS49=Milestones!$AB$53,Milestones!$AC$53,0))</f>
        <v>0</v>
      </c>
      <c r="AT50" s="0" t="n">
        <f aca="false">IF(AT48="",0,IF(AT49=Milestones!$AB$54,Milestones!$AC$54,0))</f>
        <v>0</v>
      </c>
      <c r="AU50" s="0" t="n">
        <f aca="false">IF(AU48="",0,IF(AU49=Milestones!$AB$55,Milestones!$AC$55,0))</f>
        <v>0</v>
      </c>
      <c r="AV50" s="0" t="n">
        <f aca="false">IF(AV48="",0,IF(AV49=Milestones!$AB$56,Milestones!$AC$56,0))</f>
        <v>0</v>
      </c>
      <c r="AW50" s="0" t="n">
        <f aca="false">IF(AW48="",0,IF(AW49=Milestones!$AB$57,Milestones!$AC$57,0))</f>
        <v>0</v>
      </c>
      <c r="AX50" s="0" t="n">
        <f aca="false">IF(AX48="",0,IF(AX49=Milestones!$AB$58,Milestones!$AC$58,0))</f>
        <v>0</v>
      </c>
      <c r="AY50" s="0" t="n">
        <f aca="false">IF(AY48="",0,IF(AY49=Milestones!$AB$59,Milestones!$AC$59,0))</f>
        <v>0</v>
      </c>
      <c r="AZ50" s="0" t="n">
        <f aca="false">IF(AZ48="",0,IF(AZ49=Milestones!$AB$60,Milestones!$AC$60,0))</f>
        <v>0</v>
      </c>
      <c r="BA50" s="0" t="n">
        <f aca="false">IF(BA48="",0,IF(BA49=Milestones!$AB$61,Milestones!$AC$61,0))</f>
        <v>0</v>
      </c>
      <c r="BB50" s="0" t="n">
        <f aca="false">IF(BB48="",0,IF(BB49=Milestones!$AB$62,Milestones!$AC$62,0))</f>
        <v>0</v>
      </c>
      <c r="BC50" s="0" t="n">
        <f aca="false">IF(BC48="",0,IF(BC49=Milestones!$AB$63,Milestones!$AC$63,0))</f>
        <v>0</v>
      </c>
      <c r="BD50" s="0" t="n">
        <f aca="false">IF(BD48="",0,IF(BD49=Milestones!$AB$64,Milestones!$AC$64,0))</f>
        <v>0</v>
      </c>
      <c r="BE50" s="0" t="n">
        <f aca="false">IF(BE48="",0,IF(BE49=Milestones!$AB$65,Milestones!$AC$65,0))</f>
        <v>0</v>
      </c>
      <c r="BF50" s="0" t="n">
        <f aca="false">IF(BF48="",0,IF(BF49=Milestones!$AB$66,Milestones!$AC$66,0))</f>
        <v>0</v>
      </c>
      <c r="BG50" s="0" t="n">
        <f aca="false">IF(BG48="",0,IF(BG49=Milestones!$AB$67,Milestones!$AC$67,0))</f>
        <v>0</v>
      </c>
      <c r="BH50" s="0" t="n">
        <f aca="false">IF(BH48="",0,IF(BH49=Milestones!$AB$68,Milestones!$AC$68,0))</f>
        <v>0</v>
      </c>
      <c r="BI50" s="0" t="n">
        <f aca="false">IF(BI48="",0,IF(BI49=Milestones!$AB$69,Milestones!$AC$69,0))</f>
        <v>0</v>
      </c>
      <c r="BJ50" s="0" t="n">
        <f aca="false">IF(BJ48="",0,IF(BJ49=Milestones!$AB$70,Milestones!$AC$70,0))</f>
        <v>0</v>
      </c>
      <c r="BK50" s="0" t="n">
        <f aca="false">IF(BK48="",0,IF(BK49=Milestones!$AB$71,Milestones!$AC$71,0))</f>
        <v>0</v>
      </c>
      <c r="BL50" s="0" t="n">
        <f aca="false">IF(BL48="",0,IF(BL49=Milestones!$AB$72,Milestones!$AC$72,0))</f>
        <v>0</v>
      </c>
      <c r="BM50" s="0" t="n">
        <f aca="false">IF(BM48="",0,IF(BM49=Milestones!$AB$73,Milestones!$AC$73,0))</f>
        <v>0</v>
      </c>
      <c r="BN50" s="0" t="n">
        <f aca="false">IF(BN48="",0,IF(BN49=Milestones!$AB$74,Milestones!$AC$74,0))</f>
        <v>0</v>
      </c>
      <c r="BO50" s="0" t="n">
        <f aca="false">IF(BO48="",0,IF(BO49=Milestones!$AB$75,Milestones!$AC$75,0))</f>
        <v>0</v>
      </c>
      <c r="BP50" s="0" t="n">
        <f aca="false">IF(BP48="",0,IF(BP49=Milestones!$AB$76,Milestones!$AC$76,0))</f>
        <v>0</v>
      </c>
      <c r="BQ50" s="0" t="n">
        <f aca="false">IF(BQ48="",0,IF(BQ49=Milestones!$AB$77,Milestones!$AC$77,0))</f>
        <v>0</v>
      </c>
      <c r="BR50" s="0" t="n">
        <f aca="false">IF(BR48="",0,IF(BR49=Milestones!$AB$78,Milestones!$AC$78,0))</f>
        <v>0</v>
      </c>
      <c r="BS50" s="0" t="n">
        <f aca="false">IF(BS48="",0,IF(BS49=Milestones!$AB$79,Milestones!$AC$79,0))</f>
        <v>0</v>
      </c>
      <c r="BT50" s="0" t="n">
        <f aca="false">IF(BT48="",0,IF(BT49=Milestones!$AB$80,Milestones!$AC$80,0))</f>
        <v>0</v>
      </c>
      <c r="BU50" s="0" t="n">
        <f aca="false">IF(BU48="",0,IF(BU49=Milestones!$AB$81,Milestones!$AC$81,0))</f>
        <v>0</v>
      </c>
      <c r="BV50" s="0" t="n">
        <f aca="false">IF(BV48="",0,IF(BV49=Milestones!$AB$82,Milestones!$AC$82,0))</f>
        <v>0</v>
      </c>
      <c r="BW50" s="0" t="n">
        <f aca="false">IF(BW48="",0,IF(BW49=Milestones!$AB$83,Milestones!$AC$83,0))</f>
        <v>0</v>
      </c>
      <c r="BX50" s="0" t="n">
        <f aca="false">IF(BX48="",0,IF(BX49=Milestones!$AB$84,Milestones!$AC$84,0))</f>
        <v>0</v>
      </c>
      <c r="BY50" s="0" t="n">
        <f aca="false">IF(BY48="",0,IF(BY49=Milestones!$AB$85,Milestones!$AC$85,0))</f>
        <v>0</v>
      </c>
      <c r="BZ50" s="0" t="n">
        <f aca="false">IF(BZ48="",0,IF(BZ49=Milestones!$AB$86,Milestones!$AC$86,0))</f>
        <v>0</v>
      </c>
      <c r="CA50" s="0" t="n">
        <f aca="false">IF(CA48="",0,IF(CA49=Milestones!$AB$87,Milestones!$AC$87,0))</f>
        <v>0</v>
      </c>
      <c r="CB50" s="0" t="n">
        <f aca="false">IF(CB48="",0,IF(CB49=Milestones!$AB$88,Milestones!$AC$88,0))</f>
        <v>0</v>
      </c>
      <c r="CC50" s="0" t="n">
        <f aca="false">IF(CC48="",0,IF(CC49=Milestones!$AB$89,Milestones!$AC$89,0))</f>
        <v>0</v>
      </c>
      <c r="CD50" s="0" t="n">
        <f aca="false">IF(CD48="",0,IF(CD49=Milestones!$AB$90,Milestones!$AC$90,0))</f>
        <v>0</v>
      </c>
      <c r="CE50" s="0" t="n">
        <f aca="false">IF(CE48="",0,IF(CE49=Milestones!$AB$91,Milestones!$AC$91,0))</f>
        <v>0</v>
      </c>
      <c r="CF50" s="0" t="n">
        <f aca="false">IF(CF48="",0,IF(CF49=Milestones!$AB$92,Milestones!$AC$92,0))</f>
        <v>0</v>
      </c>
      <c r="CG50" s="0" t="n">
        <f aca="false">IF(CG48="",0,IF(CG49=Milestones!$AB$93,Milestones!$AC$93,0))</f>
        <v>0</v>
      </c>
      <c r="CH50" s="0" t="n">
        <f aca="false">IF(CH48="",0,IF(CH49=Milestones!$AB$94,Milestones!$AC$94,0))</f>
        <v>0</v>
      </c>
      <c r="CI50" s="0" t="n">
        <f aca="false">IF(CI48="",0,IF(CI49=Milestones!$AB$95,Milestones!$AC$95,0))</f>
        <v>0</v>
      </c>
      <c r="CJ50" s="0" t="n">
        <f aca="false">IF(CJ48="",0,IF(CJ49=Milestones!$AB$96,Milestones!$AC$96,0))</f>
        <v>0</v>
      </c>
      <c r="CK50" s="0" t="n">
        <f aca="false">IF(CK48="",0,IF(CK49=Milestones!$AB$97,Milestones!$AC$97,0))</f>
        <v>0</v>
      </c>
      <c r="CL50" s="0" t="n">
        <f aca="false">IF(CL48="",0,IF(CL49=Milestones!$AB$98,Milestones!$AC$98,0))</f>
        <v>0</v>
      </c>
      <c r="CM50" s="0" t="n">
        <f aca="false">IF(CM48="",0,IF(CM49=Milestones!$AB$99,Milestones!$AC$99,0))</f>
        <v>0</v>
      </c>
      <c r="CN50" s="0" t="n">
        <f aca="false">IF(CN48="",0,IF(CN49=Milestones!$AB$100,Milestones!$AC$100,0))</f>
        <v>0</v>
      </c>
      <c r="CO50" s="0" t="n">
        <f aca="false">IF(CO48="",0,IF(CO49=Milestones!$AB$101,Milestones!$AC$101,0))</f>
        <v>0</v>
      </c>
      <c r="CP50" s="0" t="n">
        <f aca="false">IF(CP48="",0,IF(CP49=Milestones!$AB$102,Milestones!$AC$102,0))</f>
        <v>0</v>
      </c>
      <c r="CQ50" s="0" t="n">
        <f aca="false">IF(CQ48="",0,IF(CQ49=Milestones!$AB$103,Milestones!$AC$103,0))</f>
        <v>0</v>
      </c>
      <c r="CR50" s="0" t="n">
        <f aca="false">IF(CR48="",0,IF(CR49=Milestones!$AB$104,Milestones!$AC$104,0))</f>
        <v>0</v>
      </c>
      <c r="CS50" s="0" t="n">
        <f aca="false">IF(CS48="",0,IF(CS49=Milestones!$AB$105,Milestones!$AC$105,0))</f>
        <v>0</v>
      </c>
      <c r="CT50" s="0" t="n">
        <f aca="false">IF(CT48="",0,IF(CT49=Milestones!$AB$106,Milestones!$AC$106,0))</f>
        <v>0</v>
      </c>
      <c r="CU50" s="0" t="n">
        <f aca="false">IF(CU48="",0,IF(CU49=Milestones!$AB$107,Milestones!$AC$107,0))</f>
        <v>0</v>
      </c>
      <c r="CV50" s="0" t="n">
        <f aca="false">IF(CV48="",0,IF(CV49=Milestones!$AB$108,Milestones!$AC$108,0))</f>
        <v>0</v>
      </c>
      <c r="CW50" s="0" t="n">
        <f aca="false">IF(CW48="",0,IF(CW49=Milestones!$AB$109,Milestones!$AC$109,0))</f>
        <v>0</v>
      </c>
      <c r="CX50" s="0" t="n">
        <f aca="false">IF(CX48="",0,IF(CX49=Milestones!$AB$110,Milestones!$AC$110,0))</f>
        <v>0</v>
      </c>
      <c r="CY50" s="0" t="n">
        <f aca="false">IF(CY48="",0,IF(CY49=Milestones!$AB$111,Milestones!$AC$111,0))</f>
        <v>0</v>
      </c>
      <c r="CZ50" s="0" t="n">
        <f aca="false">IF(CZ48="",0,IF(CZ49=Milestones!$AB$112,Milestones!$AC$112,0))</f>
        <v>0</v>
      </c>
      <c r="DA50" s="0" t="n">
        <f aca="false">IF(DA48="",0,IF(DA49=Milestones!$AB$113,Milestones!$AC$113,0))</f>
        <v>0</v>
      </c>
      <c r="DB50" s="0" t="n">
        <f aca="false">IF(DB48="",0,IF(DB49=Milestones!$AB$114,Milestones!$AC$114,0))</f>
        <v>0</v>
      </c>
      <c r="DC50" s="0" t="n">
        <f aca="false">IF(DC48="",0,IF(DC49=Milestones!$AB$115,Milestones!$AC$115,0))</f>
        <v>0</v>
      </c>
      <c r="DD50" s="0" t="n">
        <f aca="false">IF(DD48="",0,IF(DD49=Milestones!$AB$116,Milestones!$AC$116,0))</f>
        <v>0</v>
      </c>
      <c r="DE50" s="0" t="n">
        <f aca="false">IF(DE48="",0,IF(DE49=Milestones!$AB$117,Milestones!$AC$117,0))</f>
        <v>0</v>
      </c>
      <c r="DF50" s="0" t="n">
        <f aca="false">IF(DF48="",0,IF(DF49=Milestones!$AB$118,Milestones!$AC$118,0))</f>
        <v>0</v>
      </c>
      <c r="DG50" s="0" t="n">
        <f aca="false">IF(DG48="",0,IF(DG49=Milestones!$AB$119,Milestones!$AC$119,0))</f>
        <v>0</v>
      </c>
      <c r="DH50" s="0" t="n">
        <f aca="false">IF(DH48="",0,IF(DH49=Milestones!$AB$120,Milestones!$AC$120,0))</f>
        <v>0</v>
      </c>
      <c r="DI50" s="0" t="n">
        <f aca="false">IF(DI48="",0,IF(DI49=Milestones!$AB$121,Milestones!$AC$121,0))</f>
        <v>0</v>
      </c>
      <c r="DJ50" s="0" t="n">
        <f aca="false">IF(DJ48="",0,IF(DJ49=Milestones!$AB$122,Milestones!$AC$122,0))</f>
        <v>0</v>
      </c>
      <c r="DK50" s="0" t="n">
        <f aca="false">IF(DK48="",0,IF(DK49=Milestones!$AB$123,Milestones!$AC$123,0))</f>
        <v>0</v>
      </c>
      <c r="DL50" s="0" t="n">
        <f aca="false">IF(DL48="",0,IF(DL49=Milestones!$AB$124,Milestones!$AC$124,0))</f>
        <v>0</v>
      </c>
      <c r="DM50" s="0" t="n">
        <f aca="false">IF(DM48="",0,IF(DM49=Milestones!$AB$125,Milestones!$AC$125,0))</f>
        <v>0</v>
      </c>
      <c r="DN50" s="0" t="n">
        <f aca="false">IF(DN48="",0,IF(DN49=Milestones!$AB$126,Milestones!$AC$126,0))</f>
        <v>0</v>
      </c>
      <c r="DO50" s="0" t="n">
        <f aca="false">IF(DO48="",0,IF(DO49=Milestones!$AB$127,Milestones!$AC$127,0))</f>
        <v>0</v>
      </c>
      <c r="DP50" s="0" t="n">
        <f aca="false">IF(DP48="",0,IF(DP49=Milestones!$AB$128,Milestones!$AC$128,0))</f>
        <v>0</v>
      </c>
      <c r="DQ50" s="0" t="n">
        <f aca="false">IF(DQ48="",0,IF(DQ49=Milestones!$AB$129,Milestones!$AC$129,0))</f>
        <v>0</v>
      </c>
      <c r="DR50" s="0" t="n">
        <f aca="false">IF(DR48="",0,IF(DR49=Milestones!$AB$130,Milestones!$AC$130,0))</f>
        <v>0</v>
      </c>
      <c r="DS50" s="0" t="n">
        <f aca="false">IF(DS48="",0,IF(DS49=Milestones!$AB$131,Milestones!$AC$131,0))</f>
        <v>0</v>
      </c>
      <c r="DT50" s="0" t="n">
        <f aca="false">IF(DT48="",0,IF(DT49=Milestones!$AB$132,Milestones!$AC$132,0))</f>
        <v>0</v>
      </c>
      <c r="DU50" s="0" t="n">
        <f aca="false">IF(DU48="",0,IF(DU49=Milestones!$AB$133,Milestones!$AC$133,0))</f>
        <v>0</v>
      </c>
      <c r="DV50" s="0" t="n">
        <f aca="false">IF(DV48="",0,IF(DV49=Milestones!$AB$134,Milestones!$AC$134,0))</f>
        <v>0</v>
      </c>
      <c r="DW50" s="0" t="n">
        <f aca="false">IF(DW48="",0,IF(DW49=Milestones!$AB$135,Milestones!$AC$135,0))</f>
        <v>0</v>
      </c>
      <c r="DX50" s="0" t="n">
        <f aca="false">IF(DX48="",0,IF(DX49=Milestones!$AB$136,Milestones!$AC$136,0))</f>
        <v>0</v>
      </c>
      <c r="DY50" s="0" t="n">
        <f aca="false">IF(DY48="",0,IF(DY49=Milestones!$AB$137,Milestones!$AC$137,0))</f>
        <v>0</v>
      </c>
      <c r="DZ50" s="0" t="n">
        <f aca="false">IF(DZ48="",0,IF(DZ49=Milestones!$AB$138,Milestones!$AC$138,0))</f>
        <v>0</v>
      </c>
      <c r="EA50" s="0" t="n">
        <f aca="false">IF(EA48="",0,IF(EA49=Milestones!$AB$139,Milestones!$AC$139,0))</f>
        <v>0</v>
      </c>
      <c r="EB50" s="0" t="n">
        <f aca="false">IF(EB48="",0,IF(EB49=Milestones!$AB$140,Milestones!$AC$140,0))</f>
        <v>0</v>
      </c>
      <c r="EC50" s="0" t="n">
        <f aca="false">IF(EC48="",0,IF(EC49=Milestones!$AB$141,Milestones!$AC$141,0))</f>
        <v>0</v>
      </c>
      <c r="ED50" s="0" t="n">
        <f aca="false">IF(ED48="",0,IF(ED49=Milestones!$AB$142,Milestones!$AC$142,0))</f>
        <v>0</v>
      </c>
      <c r="EE50" s="0" t="n">
        <f aca="false">IF(EE48="",0,IF(EE49=Milestones!$AB$143,Milestones!$AC$143,0))</f>
        <v>0</v>
      </c>
      <c r="EF50" s="0" t="n">
        <f aca="false">IF(EF48="",0,IF(EF49=Milestones!$AB$144,Milestones!$AC$144,0))</f>
        <v>0</v>
      </c>
      <c r="EG50" s="0" t="n">
        <f aca="false">IF(EG48="",0,IF(EG49=Milestones!$AB$145,Milestones!$AC$145,0))</f>
        <v>0</v>
      </c>
      <c r="EH50" s="0" t="n">
        <f aca="false">IF(EH48="",0,IF(EH49=Milestones!$AB$146,Milestones!$AC$146,0))</f>
        <v>0</v>
      </c>
      <c r="EI50" s="0" t="n">
        <f aca="false">IF(EI48="",0,IF(EI49=Milestones!$AB$147,Milestones!$AC$147,0))</f>
        <v>0</v>
      </c>
      <c r="EJ50" s="0" t="n">
        <f aca="false">IF(EJ48="",0,IF(EJ49=Milestones!$AB$148,Milestones!$AC$148,0))</f>
        <v>0</v>
      </c>
      <c r="EK50" s="0" t="n">
        <f aca="false">IF(EK48="",0,IF(EK49=Milestones!$AB$149,Milestones!$AC$149,0))</f>
        <v>0</v>
      </c>
      <c r="EL50" s="0" t="n">
        <f aca="false">IF(EL48="",0,IF(EL49=Milestones!$AB$150,Milestones!$AC$150,0))</f>
        <v>0</v>
      </c>
      <c r="EM50" s="0" t="n">
        <f aca="false">IF(EM48="",0,IF(EM49=Milestones!$AB$151,Milestones!$AC$151,0))</f>
        <v>0</v>
      </c>
      <c r="EN50" s="0" t="n">
        <f aca="false">IF(EN48="",0,IF(EN49=Milestones!$AB$152,Milestones!$AC$152,0))</f>
        <v>0</v>
      </c>
      <c r="EO50" s="0" t="n">
        <f aca="false">IF(EO48="",0,IF(EO49=Milestones!$AB$153,Milestones!$AC$153,0))</f>
        <v>0</v>
      </c>
      <c r="EP50" s="0" t="n">
        <f aca="false">IF(EP48="",0,IF(EP49=Milestones!$AB$154,Milestones!$AC$154,0))</f>
        <v>0</v>
      </c>
      <c r="EQ50" s="0" t="n">
        <f aca="false">IF(EQ48="",0,IF(EQ49=Milestones!$AB$155,Milestones!$AC$155,0))</f>
        <v>0</v>
      </c>
      <c r="ER50" s="0" t="n">
        <f aca="false">IF(ER48="",0,IF(ER49=Milestones!$AB$156,Milestones!$AC$156,0))</f>
        <v>0</v>
      </c>
      <c r="ES50" s="0" t="n">
        <f aca="false">IF(ES48="",0,IF(ES49=Milestones!$AB$157,Milestones!$AC$157,0))</f>
        <v>0</v>
      </c>
      <c r="ET50" s="0" t="n">
        <f aca="false">IF(ET48="",0,IF(ET49=Milestones!$AB$158,Milestones!$AC$158,0))</f>
        <v>0</v>
      </c>
      <c r="EU50" s="0" t="n">
        <f aca="false">IF(EU48="",0,IF(EU49=Milestones!$AB$159,Milestones!$AC$159,0))</f>
        <v>0</v>
      </c>
      <c r="EV50" s="0" t="n">
        <f aca="false">IF(EV48="",0,IF(EV49=Milestones!$AB$160,Milestones!$AC$160,0))</f>
        <v>0</v>
      </c>
      <c r="EW50" s="0" t="n">
        <f aca="false">IF(EW48="",0,IF(EW49=Milestones!$AB$161,Milestones!$AC$161,0))</f>
        <v>0</v>
      </c>
      <c r="EX50" s="0" t="n">
        <f aca="false">IF(EX48="",0,IF(EX49=Milestones!$AB$162,Milestones!$AC$162,0))</f>
        <v>0</v>
      </c>
      <c r="EY50" s="0" t="n">
        <f aca="false">IF(EY48="",0,IF(EY49=Milestones!$AB$163,Milestones!$AC$163,0))</f>
        <v>0</v>
      </c>
      <c r="EZ50" s="0" t="n">
        <f aca="false">IF(EZ48="",0,IF(EZ49=Milestones!$AB$164,Milestones!$AC$164,0))</f>
        <v>0</v>
      </c>
      <c r="FA50" s="0" t="n">
        <f aca="false">IF(FA48="",0,IF(FA49=Milestones!$AB$165,Milestones!$AC$165,0))</f>
        <v>0</v>
      </c>
      <c r="FB50" s="0" t="n">
        <f aca="false">IF(FB48="",0,IF(FB49=Milestones!$AB$166,Milestones!$AC$166,0))</f>
        <v>0</v>
      </c>
      <c r="FC50" s="0" t="n">
        <f aca="false">IF(FC48="",0,IF(FC49=Milestones!$AB$167,Milestones!$AC$167,0))</f>
        <v>0</v>
      </c>
      <c r="FD50" s="0" t="n">
        <f aca="false">IF(FD48="",0,IF(FD49=Milestones!$AB$168,Milestones!$AC$168,0))</f>
        <v>0</v>
      </c>
      <c r="FE50" s="0" t="n">
        <f aca="false">IF(FE48="",0,IF(FE49=Milestones!$AB$169,Milestones!$AC$169,0))</f>
        <v>0</v>
      </c>
      <c r="FF50" s="0" t="n">
        <f aca="false">IF(FF48="",0,IF(FF49=Milestones!$AB$170,Milestones!$AC$170,0))</f>
        <v>0</v>
      </c>
      <c r="FG50" s="0" t="n">
        <f aca="false">IF(FG48="",0,IF(FG49=Milestones!$AB$171,Milestones!$AC$171,0))</f>
        <v>0</v>
      </c>
      <c r="FH50" s="0" t="n">
        <f aca="false">IF(FH48="",0,IF(FH49=Milestones!$AB$172,Milestones!$AC$172,0))</f>
        <v>0</v>
      </c>
      <c r="FI50" s="0" t="n">
        <f aca="false">IF(FI48="",0,IF(FI49=Milestones!$AB$173,Milestones!$AC$173,0))</f>
        <v>0</v>
      </c>
      <c r="FJ50" s="0" t="n">
        <f aca="false">IF(FJ48="",0,IF(FJ49=Milestones!$AB$174,Milestones!$AC$174,0))</f>
        <v>0</v>
      </c>
      <c r="FK50" s="0" t="n">
        <f aca="false">IF(FK48="",0,IF(FK49=Milestones!$AB$175,Milestones!$AC$175,0))</f>
        <v>0</v>
      </c>
      <c r="FL50" s="0" t="n">
        <f aca="false">IF(FL48="",0,IF(FL49=Milestones!$AB$176,Milestones!$AC$176,0))</f>
        <v>0</v>
      </c>
      <c r="FM50" s="0" t="n">
        <f aca="false">IF(FM48="",0,IF(FM49=Milestones!$AB$177,Milestones!$AC$177,0))</f>
        <v>0</v>
      </c>
      <c r="FN50" s="0" t="n">
        <f aca="false">IF(FN48="",0,IF(FN49=Milestones!$AB$178,Milestones!$AC$178,0))</f>
        <v>0</v>
      </c>
      <c r="FO50" s="0" t="n">
        <f aca="false">IF(FO48="",0,IF(FO49=Milestones!$AB$179,Milestones!$AC$179,0))</f>
        <v>0</v>
      </c>
      <c r="FP50" s="0" t="n">
        <f aca="false">IF(FP48="",0,IF(FP49=Milestones!$AB$180,Milestones!$AC$180,0))</f>
        <v>0</v>
      </c>
      <c r="FQ50" s="0" t="n">
        <f aca="false">IF(FQ48="",0,IF(FQ49=Milestones!$AB$181,Milestones!$AC$181,0))</f>
        <v>0</v>
      </c>
      <c r="FR50" s="0" t="n">
        <f aca="false">IF(FR48="",0,IF(FR49=Milestones!$AB$182,Milestones!$AC$182,0))</f>
        <v>0</v>
      </c>
      <c r="FS50" s="0" t="n">
        <f aca="false">IF(FS48="",0,IF(FS49=Milestones!$AB$183,Milestones!$AC$183,0))</f>
        <v>0</v>
      </c>
      <c r="FT50" s="0" t="n">
        <f aca="false">IF(FT48="",0,IF(FT49=Milestones!$AB$184,Milestones!$AC$184,0))</f>
        <v>0</v>
      </c>
      <c r="FU50" s="0" t="n">
        <f aca="false">IF(FU48="",0,IF(FU49=Milestones!$AB$185,Milestones!$AC$185,0))</f>
        <v>0</v>
      </c>
      <c r="FV50" s="0" t="n">
        <f aca="false">IF(FV48="",0,IF(FV49=Milestones!$AB$186,Milestones!$AC$186,0))</f>
        <v>0</v>
      </c>
      <c r="FW50" s="0" t="n">
        <f aca="false">IF(FW48="",0,IF(FW49=Milestones!$AB$187,Milestones!$AC$187,0))</f>
        <v>0</v>
      </c>
      <c r="FX50" s="0" t="n">
        <f aca="false">IF(FX48="",0,IF(FX49=Milestones!$AB$188,Milestones!$AC$188,0))</f>
        <v>0</v>
      </c>
      <c r="FY50" s="0" t="n">
        <f aca="false">IF(FY48="",0,IF(FY49=Milestones!$AB$189,Milestones!$AC$189,0))</f>
        <v>0</v>
      </c>
      <c r="FZ50" s="0" t="n">
        <f aca="false">IF(FZ48="",0,IF(FZ49=Milestones!$AB$190,Milestones!$AC$190,0))</f>
        <v>0</v>
      </c>
      <c r="GA50" s="0" t="n">
        <f aca="false">IF(GA48="",0,IF(GA49=Milestones!$AB$191,Milestones!$AC$191,0))</f>
        <v>0</v>
      </c>
      <c r="GB50" s="0" t="n">
        <f aca="false">IF(GB48="",0,IF(GB49=Milestones!$AB$192,Milestones!$AC$192,0))</f>
        <v>0</v>
      </c>
      <c r="GC50" s="0" t="n">
        <f aca="false">IF(GC48="",0,IF(GC49=Milestones!$AB$193,Milestones!$AC$193,0))</f>
        <v>0</v>
      </c>
      <c r="GD50" s="0" t="n">
        <f aca="false">IF(GD48="",0,IF(GD49=Milestones!$AB$194,Milestones!$AC$194,0))</f>
        <v>0</v>
      </c>
      <c r="GE50" s="0" t="n">
        <f aca="false">IF(GE48="",0,IF(GE49=Milestones!$AB$195,Milestones!$AC$195,0))</f>
        <v>0</v>
      </c>
      <c r="GF50" s="0" t="n">
        <f aca="false">IF(GF48="",0,IF(GF49=Milestones!$AB$196,Milestones!$AC$196,0))</f>
        <v>0</v>
      </c>
      <c r="GG50" s="0" t="n">
        <f aca="false">IF(GG48="",0,IF(GG49=Milestones!$AB$197,Milestones!$AC$197,0))</f>
        <v>0</v>
      </c>
      <c r="GH50" s="0" t="n">
        <f aca="false">IF(GH48="",0,IF(GH49=Milestones!$AB$198,Milestones!$AC$198,0))</f>
        <v>0</v>
      </c>
      <c r="GI50" s="0" t="n">
        <f aca="false">IF(GI48="",0,IF(GI49=Milestones!$AB$199,Milestones!$AC$199,0))</f>
        <v>0</v>
      </c>
    </row>
    <row r="51" customFormat="false" ht="15" hidden="false" customHeight="false" outlineLevel="0" collapsed="false">
      <c r="A51" s="0" t="str">
        <f aca="false">IF('HR Tally Check'!R$7="","",'HR Tally Check'!R$7)</f>
        <v/>
      </c>
      <c r="B51" s="0" t="str">
        <f aca="false">IF(A51="","",ISNUMBER(MATCH(A51,Staff!$BJ$5:$BJ$154,0)))</f>
        <v/>
      </c>
      <c r="C51" s="18" t="str">
        <f aca="false">IF(B51&lt;&gt;TRUE(),"",INDEX(Staff!$AH$5:$AH$154,MATCH($A51,Staff!$BJ$5:$BJ$154,0)))</f>
        <v/>
      </c>
      <c r="D51" s="0" t="str">
        <f aca="false">IF(B51&lt;&gt;TRUE(),"",INDEX(Staff!$AI$5:$AI$154,MATCH($A51,Staff!$BJ$5:$BJ$154,0)))</f>
        <v/>
      </c>
      <c r="E51" s="18" t="str">
        <f aca="false">IF(B51&lt;&gt;TRUE(),"",INDEX(Staff!$AK$5:$AK$154,MATCH($A51,Staff!$BJ$5:$BJ$154,0)))</f>
        <v/>
      </c>
      <c r="F51" s="18" t="str">
        <f aca="false">IF(B51&lt;&gt;TRUE(),"",INDEX(Staff!$AL$5:$AL$154,MATCH($A51,Staff!$BJ$5:$BJ$154,0)))</f>
        <v/>
      </c>
      <c r="G51" s="0" t="str">
        <f aca="false">IF(B51&lt;&gt;TRUE(),"",INDEX(Staff!$AP$5:$AP$154,MATCH($A51,Staff!$BJ$5:$BJ$154,0)))</f>
        <v/>
      </c>
      <c r="H51" s="0" t="str">
        <f aca="false">IF(B51&lt;&gt;TRUE(),"",INDEX(Staff!$AQ$5:$AQ$154,MATCH($A51,Staff!$BJ$5:$BJ$154,0)))</f>
        <v/>
      </c>
      <c r="I51" s="0" t="str">
        <f aca="false">IF(B51&lt;&gt;TRUE(),"",INDEX(Staff!$AR$5:$AR$154,MATCH($A51,Staff!$BJ$5:$BJ$154,0)))</f>
        <v/>
      </c>
      <c r="J51" s="0" t="str">
        <f aca="false">IF(B51&lt;&gt;TRUE(),"",INDEX(Staff!$AS$5:$AS$154,MATCH($A51,Staff!$BJ$5:$BJ$154,0)))</f>
        <v/>
      </c>
      <c r="K51" s="31" t="s">
        <v>228</v>
      </c>
      <c r="L51" s="18" t="str">
        <f aca="false">IF($C51="","",EDATE($C51,Milestones!$AA$20))</f>
        <v/>
      </c>
      <c r="M51" s="18" t="str">
        <f aca="false">IF($C51="","",EDATE($C51,Milestones!$AA$21))</f>
        <v/>
      </c>
      <c r="N51" s="18" t="str">
        <f aca="false">IF($C51="","",EDATE($C51,Milestones!$AA$22))</f>
        <v/>
      </c>
      <c r="O51" s="18" t="str">
        <f aca="false">IF($C51="","",EDATE($C51,Milestones!$AA$23))</f>
        <v/>
      </c>
      <c r="P51" s="18" t="str">
        <f aca="false">IF($C51="","",EDATE($C51,Milestones!$AA$24))</f>
        <v/>
      </c>
      <c r="Q51" s="18" t="str">
        <f aca="false">IF($C51="","",EDATE($C51,Milestones!$AA$25))</f>
        <v/>
      </c>
      <c r="R51" s="18" t="str">
        <f aca="false">IF($C51="","",EDATE($C51,Milestones!$AA$26))</f>
        <v/>
      </c>
      <c r="S51" s="18" t="str">
        <f aca="false">IF($C51="","",EDATE($C51,Milestones!$AA$27))</f>
        <v/>
      </c>
      <c r="T51" s="18" t="str">
        <f aca="false">IF($C51="","",EDATE($C51,Milestones!$AA$28))</f>
        <v/>
      </c>
      <c r="U51" s="18" t="str">
        <f aca="false">IF($C51="","",EDATE($C51,Milestones!$AA$29))</f>
        <v/>
      </c>
      <c r="V51" s="18" t="str">
        <f aca="false">IF($C51="","",EDATE($C51,Milestones!$AA$30))</f>
        <v/>
      </c>
      <c r="W51" s="18" t="str">
        <f aca="false">IF($C51="","",EDATE($C51,Milestones!$AA$31))</f>
        <v/>
      </c>
      <c r="X51" s="18" t="str">
        <f aca="false">IF($C51="","",EDATE($C51,Milestones!$AA$32))</f>
        <v/>
      </c>
      <c r="Y51" s="18" t="str">
        <f aca="false">IF($C51="","",EDATE($C51,Milestones!$AA$33))</f>
        <v/>
      </c>
      <c r="Z51" s="18" t="str">
        <f aca="false">IF($C51="","",EDATE($C51,Milestones!$AA$34))</f>
        <v/>
      </c>
      <c r="AA51" s="18" t="str">
        <f aca="false">IF($C51="","",EDATE($C51,Milestones!$AA$35))</f>
        <v/>
      </c>
      <c r="AB51" s="18" t="str">
        <f aca="false">IF($C51="","",EDATE($C51,Milestones!$AA$36))</f>
        <v/>
      </c>
      <c r="AC51" s="18" t="str">
        <f aca="false">IF($C51="","",EDATE($C51,Milestones!$AA$37))</f>
        <v/>
      </c>
      <c r="AD51" s="18" t="str">
        <f aca="false">IF($C51="","",EDATE($C51,Milestones!$AA$38))</f>
        <v/>
      </c>
      <c r="AE51" s="18" t="str">
        <f aca="false">IF($C51="","",EDATE($C51,Milestones!$AA$39))</f>
        <v/>
      </c>
      <c r="AF51" s="18" t="str">
        <f aca="false">IF($C51="","",EDATE($C51,Milestones!$AA$40))</f>
        <v/>
      </c>
      <c r="AG51" s="18" t="str">
        <f aca="false">IF($C51="","",EDATE($C51,Milestones!$AA$41))</f>
        <v/>
      </c>
      <c r="AH51" s="18" t="str">
        <f aca="false">IF($C51="","",EDATE($C51,Milestones!$AA$42))</f>
        <v/>
      </c>
      <c r="AI51" s="18" t="str">
        <f aca="false">IF($C51="","",EDATE($C51,Milestones!$AA$43))</f>
        <v/>
      </c>
      <c r="AJ51" s="18" t="str">
        <f aca="false">IF($C51="","",EDATE($C51,Milestones!$AA$44))</f>
        <v/>
      </c>
      <c r="AK51" s="18" t="str">
        <f aca="false">IF($C51="","",EDATE($C51,Milestones!$AA$45))</f>
        <v/>
      </c>
      <c r="AL51" s="18" t="str">
        <f aca="false">IF($C51="","",EDATE($C51,Milestones!$AA$46))</f>
        <v/>
      </c>
      <c r="AM51" s="18" t="str">
        <f aca="false">IF($C51="","",EDATE($C51,Milestones!$AA$47))</f>
        <v/>
      </c>
      <c r="AN51" s="18" t="str">
        <f aca="false">IF($C51="","",EDATE($C51,Milestones!$AA$48))</f>
        <v/>
      </c>
      <c r="AO51" s="18" t="str">
        <f aca="false">IF($C51="","",EDATE($C51,Milestones!$AA$49))</f>
        <v/>
      </c>
      <c r="AP51" s="18" t="str">
        <f aca="false">IF($C51="","",EDATE($C51,Milestones!$AA$50))</f>
        <v/>
      </c>
      <c r="AQ51" s="18" t="str">
        <f aca="false">IF($C51="","",EDATE($C51,Milestones!$AA$51))</f>
        <v/>
      </c>
      <c r="AR51" s="18" t="str">
        <f aca="false">IF($C51="","",EDATE($C51,Milestones!$AA$52))</f>
        <v/>
      </c>
      <c r="AS51" s="18" t="str">
        <f aca="false">IF($C51="","",EDATE($C51,Milestones!$AA$53))</f>
        <v/>
      </c>
      <c r="AT51" s="18" t="str">
        <f aca="false">IF($C51="","",EDATE($C51,Milestones!$AA$54))</f>
        <v/>
      </c>
      <c r="AU51" s="18" t="str">
        <f aca="false">IF($C51="","",EDATE($C51,Milestones!$AA$55))</f>
        <v/>
      </c>
      <c r="AV51" s="18" t="str">
        <f aca="false">IF($C51="","",EDATE($C51,Milestones!$AA$56))</f>
        <v/>
      </c>
      <c r="AW51" s="18" t="str">
        <f aca="false">IF($C51="","",EDATE($C51,Milestones!$AA$57))</f>
        <v/>
      </c>
      <c r="AX51" s="18" t="str">
        <f aca="false">IF($C51="","",EDATE($C51,Milestones!$AA$58))</f>
        <v/>
      </c>
      <c r="AY51" s="18" t="str">
        <f aca="false">IF($C51="","",EDATE($C51,Milestones!$AA$59))</f>
        <v/>
      </c>
      <c r="AZ51" s="18" t="str">
        <f aca="false">IF($C51="","",EDATE($C51,Milestones!$AA$60))</f>
        <v/>
      </c>
      <c r="BA51" s="18" t="str">
        <f aca="false">IF($C51="","",EDATE($C51,Milestones!$AA$61))</f>
        <v/>
      </c>
      <c r="BB51" s="18" t="str">
        <f aca="false">IF($C51="","",EDATE($C51,Milestones!$AA$62))</f>
        <v/>
      </c>
      <c r="BC51" s="18" t="str">
        <f aca="false">IF($C51="","",EDATE($C51,Milestones!$AA$63))</f>
        <v/>
      </c>
      <c r="BD51" s="18" t="str">
        <f aca="false">IF($C51="","",EDATE($C51,Milestones!$AA$64))</f>
        <v/>
      </c>
      <c r="BE51" s="18" t="str">
        <f aca="false">IF($C51="","",EDATE($C51,Milestones!$AA$65))</f>
        <v/>
      </c>
      <c r="BF51" s="18" t="str">
        <f aca="false">IF($C51="","",EDATE($C51,Milestones!$AA$66))</f>
        <v/>
      </c>
      <c r="BG51" s="18" t="str">
        <f aca="false">IF($C51="","",EDATE($C51,Milestones!$AA$67))</f>
        <v/>
      </c>
      <c r="BH51" s="18" t="str">
        <f aca="false">IF($C51="","",EDATE($C51,Milestones!$AA$68))</f>
        <v/>
      </c>
      <c r="BI51" s="18" t="str">
        <f aca="false">IF($C51="","",EDATE($C51,Milestones!$AA$69))</f>
        <v/>
      </c>
      <c r="BJ51" s="18" t="str">
        <f aca="false">IF($C51="","",EDATE($C51,Milestones!$AA$70))</f>
        <v/>
      </c>
      <c r="BK51" s="18" t="str">
        <f aca="false">IF($C51="","",EDATE($C51,Milestones!$AA$71))</f>
        <v/>
      </c>
      <c r="BL51" s="18" t="str">
        <f aca="false">IF($C51="","",EDATE($C51,Milestones!$AA$72))</f>
        <v/>
      </c>
      <c r="BM51" s="18" t="str">
        <f aca="false">IF($C51="","",EDATE($C51,Milestones!$AA$73))</f>
        <v/>
      </c>
      <c r="BN51" s="18" t="str">
        <f aca="false">IF($C51="","",EDATE($C51,Milestones!$AA$74))</f>
        <v/>
      </c>
      <c r="BO51" s="18" t="str">
        <f aca="false">IF($C51="","",EDATE($C51,Milestones!$AA$75))</f>
        <v/>
      </c>
      <c r="BP51" s="18" t="str">
        <f aca="false">IF($C51="","",EDATE($C51,Milestones!$AA$76))</f>
        <v/>
      </c>
      <c r="BQ51" s="18" t="str">
        <f aca="false">IF($C51="","",EDATE($C51,Milestones!$AA$77))</f>
        <v/>
      </c>
      <c r="BR51" s="18" t="str">
        <f aca="false">IF($C51="","",EDATE($C51,Milestones!$AA$78))</f>
        <v/>
      </c>
      <c r="BS51" s="18" t="str">
        <f aca="false">IF($C51="","",EDATE($C51,Milestones!$AA$79))</f>
        <v/>
      </c>
      <c r="BT51" s="18" t="str">
        <f aca="false">IF($C51="","",EDATE($C51,Milestones!$AA$80))</f>
        <v/>
      </c>
      <c r="BU51" s="18" t="str">
        <f aca="false">IF($C51="","",EDATE($C51,Milestones!$AA$81))</f>
        <v/>
      </c>
      <c r="BV51" s="18" t="str">
        <f aca="false">IF($C51="","",EDATE($C51,Milestones!$AA$82))</f>
        <v/>
      </c>
      <c r="BW51" s="18" t="str">
        <f aca="false">IF($C51="","",EDATE($C51,Milestones!$AA$83))</f>
        <v/>
      </c>
      <c r="BX51" s="18" t="str">
        <f aca="false">IF($C51="","",EDATE($C51,Milestones!$AA$84))</f>
        <v/>
      </c>
      <c r="BY51" s="18" t="str">
        <f aca="false">IF($C51="","",EDATE($C51,Milestones!$AA$85))</f>
        <v/>
      </c>
      <c r="BZ51" s="18" t="str">
        <f aca="false">IF($C51="","",EDATE($C51,Milestones!$AA$86))</f>
        <v/>
      </c>
      <c r="CA51" s="18" t="str">
        <f aca="false">IF($C51="","",EDATE($C51,Milestones!$AA$87))</f>
        <v/>
      </c>
      <c r="CB51" s="18" t="str">
        <f aca="false">IF($C51="","",EDATE($C51,Milestones!$AA$88))</f>
        <v/>
      </c>
      <c r="CC51" s="18" t="str">
        <f aca="false">IF($C51="","",EDATE($C51,Milestones!$AA$89))</f>
        <v/>
      </c>
      <c r="CD51" s="18" t="str">
        <f aca="false">IF($C51="","",EDATE($C51,Milestones!$AA$90))</f>
        <v/>
      </c>
      <c r="CE51" s="18" t="str">
        <f aca="false">IF($C51="","",EDATE($C51,Milestones!$AA$91))</f>
        <v/>
      </c>
      <c r="CF51" s="18" t="str">
        <f aca="false">IF($C51="","",EDATE($C51,Milestones!$AA$92))</f>
        <v/>
      </c>
      <c r="CG51" s="18" t="str">
        <f aca="false">IF($C51="","",EDATE($C51,Milestones!$AA$93))</f>
        <v/>
      </c>
      <c r="CH51" s="18" t="str">
        <f aca="false">IF($C51="","",EDATE($C51,Milestones!$AA$94))</f>
        <v/>
      </c>
      <c r="CI51" s="18" t="str">
        <f aca="false">IF($C51="","",EDATE($C51,Milestones!$AA$95))</f>
        <v/>
      </c>
      <c r="CJ51" s="18" t="str">
        <f aca="false">IF($C51="","",EDATE($C51,Milestones!$AA$96))</f>
        <v/>
      </c>
      <c r="CK51" s="18" t="str">
        <f aca="false">IF($C51="","",EDATE($C51,Milestones!$AA$97))</f>
        <v/>
      </c>
      <c r="CL51" s="18" t="str">
        <f aca="false">IF($C51="","",EDATE($C51,Milestones!$AA$98))</f>
        <v/>
      </c>
      <c r="CM51" s="18" t="str">
        <f aca="false">IF($C51="","",EDATE($C51,Milestones!$AA$99))</f>
        <v/>
      </c>
      <c r="CN51" s="18" t="str">
        <f aca="false">IF($C51="","",EDATE($C51,Milestones!$AA$100))</f>
        <v/>
      </c>
      <c r="CO51" s="18" t="str">
        <f aca="false">IF($C51="","",EDATE($C51,Milestones!$AA$101))</f>
        <v/>
      </c>
      <c r="CP51" s="18" t="str">
        <f aca="false">IF($C51="","",EDATE($C51,Milestones!$AA$102))</f>
        <v/>
      </c>
      <c r="CQ51" s="18" t="str">
        <f aca="false">IF($C51="","",EDATE($C51,Milestones!$AA$103))</f>
        <v/>
      </c>
      <c r="CR51" s="18" t="str">
        <f aca="false">IF($C51="","",EDATE($C51,Milestones!$AA$104))</f>
        <v/>
      </c>
      <c r="CS51" s="18" t="str">
        <f aca="false">IF($C51="","",EDATE($C51,Milestones!$AA$105))</f>
        <v/>
      </c>
      <c r="CT51" s="18" t="str">
        <f aca="false">IF($C51="","",EDATE($C51,Milestones!$AA$106))</f>
        <v/>
      </c>
      <c r="CU51" s="18" t="str">
        <f aca="false">IF($C51="","",EDATE($C51,Milestones!$AA$107))</f>
        <v/>
      </c>
      <c r="CV51" s="18" t="str">
        <f aca="false">IF($C51="","",EDATE($C51,Milestones!$AA$108))</f>
        <v/>
      </c>
      <c r="CW51" s="18" t="str">
        <f aca="false">IF($C51="","",EDATE($C51,Milestones!$AA$109))</f>
        <v/>
      </c>
      <c r="CX51" s="18" t="str">
        <f aca="false">IF($C51="","",EDATE($C51,Milestones!$AA$110))</f>
        <v/>
      </c>
      <c r="CY51" s="18" t="str">
        <f aca="false">IF($C51="","",EDATE($C51,Milestones!$AA$111))</f>
        <v/>
      </c>
      <c r="CZ51" s="18" t="str">
        <f aca="false">IF($C51="","",EDATE($C51,Milestones!$AA$112))</f>
        <v/>
      </c>
      <c r="DA51" s="18" t="str">
        <f aca="false">IF($C51="","",EDATE($C51,Milestones!$AA$113))</f>
        <v/>
      </c>
      <c r="DB51" s="18" t="str">
        <f aca="false">IF($C51="","",EDATE($C51,Milestones!$AA$114))</f>
        <v/>
      </c>
      <c r="DC51" s="18" t="str">
        <f aca="false">IF($C51="","",EDATE($C51,Milestones!$AA$115))</f>
        <v/>
      </c>
      <c r="DD51" s="18" t="str">
        <f aca="false">IF($C51="","",EDATE($C51,Milestones!$AA$116))</f>
        <v/>
      </c>
      <c r="DE51" s="18" t="str">
        <f aca="false">IF($C51="","",EDATE($C51,Milestones!$AA$117))</f>
        <v/>
      </c>
      <c r="DF51" s="18" t="str">
        <f aca="false">IF($C51="","",EDATE($C51,Milestones!$AA$118))</f>
        <v/>
      </c>
      <c r="DG51" s="18" t="str">
        <f aca="false">IF($C51="","",EDATE($C51,Milestones!$AA$119))</f>
        <v/>
      </c>
      <c r="DH51" s="18" t="str">
        <f aca="false">IF($C51="","",EDATE($C51,Milestones!$AA$120))</f>
        <v/>
      </c>
      <c r="DI51" s="18" t="str">
        <f aca="false">IF($C51="","",EDATE($C51,Milestones!$AA$121))</f>
        <v/>
      </c>
      <c r="DJ51" s="18" t="str">
        <f aca="false">IF($C51="","",EDATE($C51,Milestones!$AA$122))</f>
        <v/>
      </c>
      <c r="DK51" s="18" t="str">
        <f aca="false">IF($C51="","",EDATE($C51,Milestones!$AA$123))</f>
        <v/>
      </c>
      <c r="DL51" s="18" t="str">
        <f aca="false">IF($C51="","",EDATE($C51,Milestones!$AA$124))</f>
        <v/>
      </c>
      <c r="DM51" s="18" t="str">
        <f aca="false">IF($C51="","",EDATE($C51,Milestones!$AA$125))</f>
        <v/>
      </c>
      <c r="DN51" s="18" t="str">
        <f aca="false">IF($C51="","",EDATE($C51,Milestones!$AA$126))</f>
        <v/>
      </c>
      <c r="DO51" s="18" t="str">
        <f aca="false">IF($C51="","",EDATE($C51,Milestones!$AA$127))</f>
        <v/>
      </c>
      <c r="DP51" s="18" t="str">
        <f aca="false">IF($C51="","",EDATE($C51,Milestones!$AA$128))</f>
        <v/>
      </c>
      <c r="DQ51" s="18" t="str">
        <f aca="false">IF($C51="","",EDATE($C51,Milestones!$AA$129))</f>
        <v/>
      </c>
      <c r="DR51" s="18" t="str">
        <f aca="false">IF($C51="","",EDATE($C51,Milestones!$AA$130))</f>
        <v/>
      </c>
      <c r="DS51" s="18" t="str">
        <f aca="false">IF($C51="","",EDATE($C51,Milestones!$AA$131))</f>
        <v/>
      </c>
      <c r="DT51" s="18" t="str">
        <f aca="false">IF($C51="","",EDATE($C51,Milestones!$AA$132))</f>
        <v/>
      </c>
      <c r="DU51" s="18" t="str">
        <f aca="false">IF($C51="","",EDATE($C51,Milestones!$AA$133))</f>
        <v/>
      </c>
      <c r="DV51" s="18" t="str">
        <f aca="false">IF($C51="","",EDATE($C51,Milestones!$AA$134))</f>
        <v/>
      </c>
      <c r="DW51" s="18" t="str">
        <f aca="false">IF($C51="","",EDATE($C51,Milestones!$AA$135))</f>
        <v/>
      </c>
      <c r="DX51" s="18" t="str">
        <f aca="false">IF($C51="","",EDATE($C51,Milestones!$AA$136))</f>
        <v/>
      </c>
      <c r="DY51" s="18" t="str">
        <f aca="false">IF($C51="","",EDATE($C51,Milestones!$AA$137))</f>
        <v/>
      </c>
      <c r="DZ51" s="18" t="str">
        <f aca="false">IF($C51="","",EDATE($C51,Milestones!$AA$138))</f>
        <v/>
      </c>
      <c r="EA51" s="18" t="str">
        <f aca="false">IF($C51="","",EDATE($C51,Milestones!$AA$139))</f>
        <v/>
      </c>
      <c r="EB51" s="18" t="str">
        <f aca="false">IF($C51="","",EDATE($C51,Milestones!$AA$140))</f>
        <v/>
      </c>
      <c r="EC51" s="18" t="str">
        <f aca="false">IF($C51="","",EDATE($C51,Milestones!$AA$141))</f>
        <v/>
      </c>
      <c r="ED51" s="18" t="str">
        <f aca="false">IF($C51="","",EDATE($C51,Milestones!$AA$142))</f>
        <v/>
      </c>
      <c r="EE51" s="18" t="str">
        <f aca="false">IF($C51="","",EDATE($C51,Milestones!$AA$143))</f>
        <v/>
      </c>
      <c r="EF51" s="18" t="str">
        <f aca="false">IF($C51="","",EDATE($C51,Milestones!$AA$144))</f>
        <v/>
      </c>
      <c r="EG51" s="18" t="str">
        <f aca="false">IF($C51="","",EDATE($C51,Milestones!$AA$145))</f>
        <v/>
      </c>
      <c r="EH51" s="18" t="str">
        <f aca="false">IF($C51="","",EDATE($C51,Milestones!$AA$146))</f>
        <v/>
      </c>
      <c r="EI51" s="18" t="str">
        <f aca="false">IF($C51="","",EDATE($C51,Milestones!$AA$147))</f>
        <v/>
      </c>
      <c r="EJ51" s="18" t="str">
        <f aca="false">IF($C51="","",EDATE($C51,Milestones!$AA$148))</f>
        <v/>
      </c>
      <c r="EK51" s="18" t="str">
        <f aca="false">IF($C51="","",EDATE($C51,Milestones!$AA$149))</f>
        <v/>
      </c>
      <c r="EL51" s="18" t="str">
        <f aca="false">IF($C51="","",EDATE($C51,Milestones!$AA$150))</f>
        <v/>
      </c>
      <c r="EM51" s="18" t="str">
        <f aca="false">IF($C51="","",EDATE($C51,Milestones!$AA$151))</f>
        <v/>
      </c>
      <c r="EN51" s="18" t="str">
        <f aca="false">IF($C51="","",EDATE($C51,Milestones!$AA$152))</f>
        <v/>
      </c>
      <c r="EO51" s="18" t="str">
        <f aca="false">IF($C51="","",EDATE($C51,Milestones!$AA$153))</f>
        <v/>
      </c>
      <c r="EP51" s="18" t="str">
        <f aca="false">IF($C51="","",EDATE($C51,Milestones!$AA$154))</f>
        <v/>
      </c>
      <c r="EQ51" s="18" t="str">
        <f aca="false">IF($C51="","",EDATE($C51,Milestones!$AA$155))</f>
        <v/>
      </c>
      <c r="ER51" s="18" t="str">
        <f aca="false">IF($C51="","",EDATE($C51,Milestones!$AA$156))</f>
        <v/>
      </c>
      <c r="ES51" s="18" t="str">
        <f aca="false">IF($C51="","",EDATE($C51,Milestones!$AA$157))</f>
        <v/>
      </c>
      <c r="ET51" s="18" t="str">
        <f aca="false">IF($C51="","",EDATE($C51,Milestones!$AA$158))</f>
        <v/>
      </c>
      <c r="EU51" s="18" t="str">
        <f aca="false">IF($C51="","",EDATE($C51,Milestones!$AA$159))</f>
        <v/>
      </c>
      <c r="EV51" s="18" t="str">
        <f aca="false">IF($C51="","",EDATE($C51,Milestones!$AA$160))</f>
        <v/>
      </c>
      <c r="EW51" s="18" t="str">
        <f aca="false">IF($C51="","",EDATE($C51,Milestones!$AA$161))</f>
        <v/>
      </c>
      <c r="EX51" s="18" t="str">
        <f aca="false">IF($C51="","",EDATE($C51,Milestones!$AA$162))</f>
        <v/>
      </c>
      <c r="EY51" s="18" t="str">
        <f aca="false">IF($C51="","",EDATE($C51,Milestones!$AA$163))</f>
        <v/>
      </c>
      <c r="EZ51" s="18" t="str">
        <f aca="false">IF($C51="","",EDATE($C51,Milestones!$AA$164))</f>
        <v/>
      </c>
      <c r="FA51" s="18" t="str">
        <f aca="false">IF($C51="","",EDATE($C51,Milestones!$AA$165))</f>
        <v/>
      </c>
      <c r="FB51" s="18" t="str">
        <f aca="false">IF($C51="","",EDATE($C51,Milestones!$AA$166))</f>
        <v/>
      </c>
      <c r="FC51" s="18" t="str">
        <f aca="false">IF($C51="","",EDATE($C51,Milestones!$AA$167))</f>
        <v/>
      </c>
      <c r="FD51" s="18" t="str">
        <f aca="false">IF($C51="","",EDATE($C51,Milestones!$AA$168))</f>
        <v/>
      </c>
      <c r="FE51" s="18" t="str">
        <f aca="false">IF($C51="","",EDATE($C51,Milestones!$AA$169))</f>
        <v/>
      </c>
      <c r="FF51" s="18" t="str">
        <f aca="false">IF($C51="","",EDATE($C51,Milestones!$AA$170))</f>
        <v/>
      </c>
      <c r="FG51" s="18" t="str">
        <f aca="false">IF($C51="","",EDATE($C51,Milestones!$AA$171))</f>
        <v/>
      </c>
      <c r="FH51" s="18" t="str">
        <f aca="false">IF($C51="","",EDATE($C51,Milestones!$AA$172))</f>
        <v/>
      </c>
      <c r="FI51" s="18" t="str">
        <f aca="false">IF($C51="","",EDATE($C51,Milestones!$AA$173))</f>
        <v/>
      </c>
      <c r="FJ51" s="18" t="str">
        <f aca="false">IF($C51="","",EDATE($C51,Milestones!$AA$174))</f>
        <v/>
      </c>
      <c r="FK51" s="18" t="str">
        <f aca="false">IF($C51="","",EDATE($C51,Milestones!$AA$175))</f>
        <v/>
      </c>
      <c r="FL51" s="18" t="str">
        <f aca="false">IF($C51="","",EDATE($C51,Milestones!$AA$176))</f>
        <v/>
      </c>
      <c r="FM51" s="18" t="str">
        <f aca="false">IF($C51="","",EDATE($C51,Milestones!$AA$177))</f>
        <v/>
      </c>
      <c r="FN51" s="18" t="str">
        <f aca="false">IF($C51="","",EDATE($C51,Milestones!$AA$178))</f>
        <v/>
      </c>
      <c r="FO51" s="18" t="str">
        <f aca="false">IF($C51="","",EDATE($C51,Milestones!$AA$179))</f>
        <v/>
      </c>
      <c r="FP51" s="18" t="str">
        <f aca="false">IF($C51="","",EDATE($C51,Milestones!$AA$180))</f>
        <v/>
      </c>
      <c r="FQ51" s="18" t="str">
        <f aca="false">IF($C51="","",EDATE($C51,Milestones!$AA$181))</f>
        <v/>
      </c>
      <c r="FR51" s="18" t="str">
        <f aca="false">IF($C51="","",EDATE($C51,Milestones!$AA$182))</f>
        <v/>
      </c>
      <c r="FS51" s="18" t="str">
        <f aca="false">IF($C51="","",EDATE($C51,Milestones!$AA$183))</f>
        <v/>
      </c>
      <c r="FT51" s="18" t="str">
        <f aca="false">IF($C51="","",EDATE($C51,Milestones!$AA$184))</f>
        <v/>
      </c>
      <c r="FU51" s="18" t="str">
        <f aca="false">IF($C51="","",EDATE($C51,Milestones!$AA$185))</f>
        <v/>
      </c>
      <c r="FV51" s="18" t="str">
        <f aca="false">IF($C51="","",EDATE($C51,Milestones!$AA$186))</f>
        <v/>
      </c>
      <c r="FW51" s="18" t="str">
        <f aca="false">IF($C51="","",EDATE($C51,Milestones!$AA$187))</f>
        <v/>
      </c>
      <c r="FX51" s="18" t="str">
        <f aca="false">IF($C51="","",EDATE($C51,Milestones!$AA$188))</f>
        <v/>
      </c>
      <c r="FY51" s="18" t="str">
        <f aca="false">IF($C51="","",EDATE($C51,Milestones!$AA$189))</f>
        <v/>
      </c>
      <c r="FZ51" s="18" t="str">
        <f aca="false">IF($C51="","",EDATE($C51,Milestones!$AA$190))</f>
        <v/>
      </c>
      <c r="GA51" s="18" t="str">
        <f aca="false">IF($C51="","",EDATE($C51,Milestones!$AA$191))</f>
        <v/>
      </c>
      <c r="GB51" s="18" t="str">
        <f aca="false">IF($C51="","",EDATE($C51,Milestones!$AA$192))</f>
        <v/>
      </c>
      <c r="GC51" s="18" t="str">
        <f aca="false">IF($C51="","",EDATE($C51,Milestones!$AA$193))</f>
        <v/>
      </c>
      <c r="GD51" s="18" t="str">
        <f aca="false">IF($C51="","",EDATE($C51,Milestones!$AA$194))</f>
        <v/>
      </c>
      <c r="GE51" s="18" t="str">
        <f aca="false">IF($C51="","",EDATE($C51,Milestones!$AA$195))</f>
        <v/>
      </c>
      <c r="GF51" s="18" t="str">
        <f aca="false">IF($C51="","",EDATE($C51,Milestones!$AA$196))</f>
        <v/>
      </c>
      <c r="GG51" s="18" t="str">
        <f aca="false">IF($C51="","",EDATE($C51,Milestones!$AA$197))</f>
        <v/>
      </c>
      <c r="GH51" s="18" t="str">
        <f aca="false">IF($C51="","",EDATE($C51,Milestones!$AA$198))</f>
        <v/>
      </c>
      <c r="GI51" s="18" t="str">
        <f aca="false">IF($C51="","",EDATE($C51,Milestones!$AA$199))</f>
        <v/>
      </c>
    </row>
    <row r="52" customFormat="false" ht="15" hidden="false" customHeight="false" outlineLevel="0" collapsed="false">
      <c r="K52" s="0" t="s">
        <v>229</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230</v>
      </c>
      <c r="L53" s="0" t="n">
        <f aca="false">IF(L51="",0,IF(L52=Milestones!$AB$20,Milestones!$AC$20,0))</f>
        <v>0</v>
      </c>
      <c r="M53" s="0" t="n">
        <f aca="false">IF(M51="",0,IF(M52=Milestones!$AB$21,Milestones!$AC$21,0))</f>
        <v>0</v>
      </c>
      <c r="N53" s="0" t="n">
        <f aca="false">IF(N51="",0,IF(N52=Milestones!$AB$22,Milestones!$AC$22,0))</f>
        <v>0</v>
      </c>
      <c r="O53" s="0" t="n">
        <f aca="false">IF(O51="",0,IF(O52=Milestones!$AB$23,Milestones!$AC$23,0))</f>
        <v>0</v>
      </c>
      <c r="P53" s="0" t="n">
        <f aca="false">IF(P51="",0,IF(P52=Milestones!$AB$24,Milestones!$AC$24,0))</f>
        <v>0</v>
      </c>
      <c r="Q53" s="0" t="n">
        <f aca="false">IF(Q51="",0,IF(Q52=Milestones!$AB$25,Milestones!$AC$25,0))</f>
        <v>0</v>
      </c>
      <c r="R53" s="0" t="n">
        <f aca="false">IF(R51="",0,IF(R52=Milestones!$AB$26,Milestones!$AC$26,0))</f>
        <v>0</v>
      </c>
      <c r="S53" s="0" t="n">
        <f aca="false">IF(S51="",0,IF(S52=Milestones!$AB$27,Milestones!$AC$27,0))</f>
        <v>0</v>
      </c>
      <c r="T53" s="0" t="n">
        <f aca="false">IF(T51="",0,IF(T52=Milestones!$AB$28,Milestones!$AC$28,0))</f>
        <v>0</v>
      </c>
      <c r="U53" s="0" t="n">
        <f aca="false">IF(U51="",0,IF(U52=Milestones!$AB$29,Milestones!$AC$29,0))</f>
        <v>0</v>
      </c>
      <c r="V53" s="0" t="n">
        <f aca="false">IF(V51="",0,IF(V52=Milestones!$AB$30,Milestones!$AC$30,0))</f>
        <v>0</v>
      </c>
      <c r="W53" s="0" t="n">
        <f aca="false">IF(W51="",0,IF(W52=Milestones!$AB$31,Milestones!$AC$31,0))</f>
        <v>0</v>
      </c>
      <c r="X53" s="0" t="n">
        <f aca="false">IF(X51="",0,IF(X52=Milestones!$AB$32,Milestones!$AC$32,0))</f>
        <v>0</v>
      </c>
      <c r="Y53" s="0" t="n">
        <f aca="false">IF(Y51="",0,IF(Y52=Milestones!$AB$33,Milestones!$AC$33,0))</f>
        <v>0</v>
      </c>
      <c r="Z53" s="0" t="n">
        <f aca="false">IF(Z51="",0,IF(Z52=Milestones!$AB$34,Milestones!$AC$34,0))</f>
        <v>0</v>
      </c>
      <c r="AA53" s="0" t="n">
        <f aca="false">IF(AA51="",0,IF(AA52=Milestones!$AB$35,Milestones!$AC$35,0))</f>
        <v>0</v>
      </c>
      <c r="AB53" s="0" t="n">
        <f aca="false">IF(AB51="",0,IF(AB52=Milestones!$AB$36,Milestones!$AC$36,0))</f>
        <v>0</v>
      </c>
      <c r="AC53" s="0" t="n">
        <f aca="false">IF(AC51="",0,IF(AC52=Milestones!$AB$37,Milestones!$AC$37,0))</f>
        <v>0</v>
      </c>
      <c r="AD53" s="0" t="n">
        <f aca="false">IF(AD51="",0,IF(AD52=Milestones!$AB$38,Milestones!$AC$38,0))</f>
        <v>0</v>
      </c>
      <c r="AE53" s="0" t="n">
        <f aca="false">IF(AE51="",0,IF(AE52=Milestones!$AB$39,Milestones!$AC$39,0))</f>
        <v>0</v>
      </c>
      <c r="AF53" s="0" t="n">
        <f aca="false">IF(AF51="",0,IF(AF52=Milestones!$AB$40,Milestones!$AC$40,0))</f>
        <v>0</v>
      </c>
      <c r="AG53" s="0" t="n">
        <f aca="false">IF(AG51="",0,IF(AG52=Milestones!$AB$41,Milestones!$AC$41,0))</f>
        <v>0</v>
      </c>
      <c r="AH53" s="0" t="n">
        <f aca="false">IF(AH51="",0,IF(AH52=Milestones!$AB$42,Milestones!$AC$42,0))</f>
        <v>0</v>
      </c>
      <c r="AI53" s="0" t="n">
        <f aca="false">IF(AI51="",0,IF(AI52=Milestones!$AB$43,Milestones!$AC$43,0))</f>
        <v>0</v>
      </c>
      <c r="AJ53" s="0" t="n">
        <f aca="false">IF(AJ51="",0,IF(AJ52=Milestones!$AB$44,Milestones!$AC$44,0))</f>
        <v>0</v>
      </c>
      <c r="AK53" s="0" t="n">
        <f aca="false">IF(AK51="",0,IF(AK52=Milestones!$AB$45,Milestones!$AC$45,0))</f>
        <v>0</v>
      </c>
      <c r="AL53" s="0" t="n">
        <f aca="false">IF(AL51="",0,IF(AL52=Milestones!$AB$46,Milestones!$AC$46,0))</f>
        <v>0</v>
      </c>
      <c r="AM53" s="0" t="n">
        <f aca="false">IF(AM51="",0,IF(AM52=Milestones!$AB$47,Milestones!$AC$47,0))</f>
        <v>0</v>
      </c>
      <c r="AN53" s="0" t="n">
        <f aca="false">IF(AN51="",0,IF(AN52=Milestones!$AB$48,Milestones!$AC$48,0))</f>
        <v>0</v>
      </c>
      <c r="AO53" s="0" t="n">
        <f aca="false">IF(AO51="",0,IF(AO52=Milestones!$AB$49,Milestones!$AC$49,0))</f>
        <v>0</v>
      </c>
      <c r="AP53" s="0" t="n">
        <f aca="false">IF(AP51="",0,IF(AP52=Milestones!$AB$50,Milestones!$AC$50,0))</f>
        <v>0</v>
      </c>
      <c r="AQ53" s="0" t="n">
        <f aca="false">IF(AQ51="",0,IF(AQ52=Milestones!$AB$51,Milestones!$AC$51,0))</f>
        <v>0</v>
      </c>
      <c r="AR53" s="0" t="n">
        <f aca="false">IF(AR51="",0,IF(AR52=Milestones!$AB$52,Milestones!$AC$52,0))</f>
        <v>0</v>
      </c>
      <c r="AS53" s="0" t="n">
        <f aca="false">IF(AS51="",0,IF(AS52=Milestones!$AB$53,Milestones!$AC$53,0))</f>
        <v>0</v>
      </c>
      <c r="AT53" s="0" t="n">
        <f aca="false">IF(AT51="",0,IF(AT52=Milestones!$AB$54,Milestones!$AC$54,0))</f>
        <v>0</v>
      </c>
      <c r="AU53" s="0" t="n">
        <f aca="false">IF(AU51="",0,IF(AU52=Milestones!$AB$55,Milestones!$AC$55,0))</f>
        <v>0</v>
      </c>
      <c r="AV53" s="0" t="n">
        <f aca="false">IF(AV51="",0,IF(AV52=Milestones!$AB$56,Milestones!$AC$56,0))</f>
        <v>0</v>
      </c>
      <c r="AW53" s="0" t="n">
        <f aca="false">IF(AW51="",0,IF(AW52=Milestones!$AB$57,Milestones!$AC$57,0))</f>
        <v>0</v>
      </c>
      <c r="AX53" s="0" t="n">
        <f aca="false">IF(AX51="",0,IF(AX52=Milestones!$AB$58,Milestones!$AC$58,0))</f>
        <v>0</v>
      </c>
      <c r="AY53" s="0" t="n">
        <f aca="false">IF(AY51="",0,IF(AY52=Milestones!$AB$59,Milestones!$AC$59,0))</f>
        <v>0</v>
      </c>
      <c r="AZ53" s="0" t="n">
        <f aca="false">IF(AZ51="",0,IF(AZ52=Milestones!$AB$60,Milestones!$AC$60,0))</f>
        <v>0</v>
      </c>
      <c r="BA53" s="0" t="n">
        <f aca="false">IF(BA51="",0,IF(BA52=Milestones!$AB$61,Milestones!$AC$61,0))</f>
        <v>0</v>
      </c>
      <c r="BB53" s="0" t="n">
        <f aca="false">IF(BB51="",0,IF(BB52=Milestones!$AB$62,Milestones!$AC$62,0))</f>
        <v>0</v>
      </c>
      <c r="BC53" s="0" t="n">
        <f aca="false">IF(BC51="",0,IF(BC52=Milestones!$AB$63,Milestones!$AC$63,0))</f>
        <v>0</v>
      </c>
      <c r="BD53" s="0" t="n">
        <f aca="false">IF(BD51="",0,IF(BD52=Milestones!$AB$64,Milestones!$AC$64,0))</f>
        <v>0</v>
      </c>
      <c r="BE53" s="0" t="n">
        <f aca="false">IF(BE51="",0,IF(BE52=Milestones!$AB$65,Milestones!$AC$65,0))</f>
        <v>0</v>
      </c>
      <c r="BF53" s="0" t="n">
        <f aca="false">IF(BF51="",0,IF(BF52=Milestones!$AB$66,Milestones!$AC$66,0))</f>
        <v>0</v>
      </c>
      <c r="BG53" s="0" t="n">
        <f aca="false">IF(BG51="",0,IF(BG52=Milestones!$AB$67,Milestones!$AC$67,0))</f>
        <v>0</v>
      </c>
      <c r="BH53" s="0" t="n">
        <f aca="false">IF(BH51="",0,IF(BH52=Milestones!$AB$68,Milestones!$AC$68,0))</f>
        <v>0</v>
      </c>
      <c r="BI53" s="0" t="n">
        <f aca="false">IF(BI51="",0,IF(BI52=Milestones!$AB$69,Milestones!$AC$69,0))</f>
        <v>0</v>
      </c>
      <c r="BJ53" s="0" t="n">
        <f aca="false">IF(BJ51="",0,IF(BJ52=Milestones!$AB$70,Milestones!$AC$70,0))</f>
        <v>0</v>
      </c>
      <c r="BK53" s="0" t="n">
        <f aca="false">IF(BK51="",0,IF(BK52=Milestones!$AB$71,Milestones!$AC$71,0))</f>
        <v>0</v>
      </c>
      <c r="BL53" s="0" t="n">
        <f aca="false">IF(BL51="",0,IF(BL52=Milestones!$AB$72,Milestones!$AC$72,0))</f>
        <v>0</v>
      </c>
      <c r="BM53" s="0" t="n">
        <f aca="false">IF(BM51="",0,IF(BM52=Milestones!$AB$73,Milestones!$AC$73,0))</f>
        <v>0</v>
      </c>
      <c r="BN53" s="0" t="n">
        <f aca="false">IF(BN51="",0,IF(BN52=Milestones!$AB$74,Milestones!$AC$74,0))</f>
        <v>0</v>
      </c>
      <c r="BO53" s="0" t="n">
        <f aca="false">IF(BO51="",0,IF(BO52=Milestones!$AB$75,Milestones!$AC$75,0))</f>
        <v>0</v>
      </c>
      <c r="BP53" s="0" t="n">
        <f aca="false">IF(BP51="",0,IF(BP52=Milestones!$AB$76,Milestones!$AC$76,0))</f>
        <v>0</v>
      </c>
      <c r="BQ53" s="0" t="n">
        <f aca="false">IF(BQ51="",0,IF(BQ52=Milestones!$AB$77,Milestones!$AC$77,0))</f>
        <v>0</v>
      </c>
      <c r="BR53" s="0" t="n">
        <f aca="false">IF(BR51="",0,IF(BR52=Milestones!$AB$78,Milestones!$AC$78,0))</f>
        <v>0</v>
      </c>
      <c r="BS53" s="0" t="n">
        <f aca="false">IF(BS51="",0,IF(BS52=Milestones!$AB$79,Milestones!$AC$79,0))</f>
        <v>0</v>
      </c>
      <c r="BT53" s="0" t="n">
        <f aca="false">IF(BT51="",0,IF(BT52=Milestones!$AB$80,Milestones!$AC$80,0))</f>
        <v>0</v>
      </c>
      <c r="BU53" s="0" t="n">
        <f aca="false">IF(BU51="",0,IF(BU52=Milestones!$AB$81,Milestones!$AC$81,0))</f>
        <v>0</v>
      </c>
      <c r="BV53" s="0" t="n">
        <f aca="false">IF(BV51="",0,IF(BV52=Milestones!$AB$82,Milestones!$AC$82,0))</f>
        <v>0</v>
      </c>
      <c r="BW53" s="0" t="n">
        <f aca="false">IF(BW51="",0,IF(BW52=Milestones!$AB$83,Milestones!$AC$83,0))</f>
        <v>0</v>
      </c>
      <c r="BX53" s="0" t="n">
        <f aca="false">IF(BX51="",0,IF(BX52=Milestones!$AB$84,Milestones!$AC$84,0))</f>
        <v>0</v>
      </c>
      <c r="BY53" s="0" t="n">
        <f aca="false">IF(BY51="",0,IF(BY52=Milestones!$AB$85,Milestones!$AC$85,0))</f>
        <v>0</v>
      </c>
      <c r="BZ53" s="0" t="n">
        <f aca="false">IF(BZ51="",0,IF(BZ52=Milestones!$AB$86,Milestones!$AC$86,0))</f>
        <v>0</v>
      </c>
      <c r="CA53" s="0" t="n">
        <f aca="false">IF(CA51="",0,IF(CA52=Milestones!$AB$87,Milestones!$AC$87,0))</f>
        <v>0</v>
      </c>
      <c r="CB53" s="0" t="n">
        <f aca="false">IF(CB51="",0,IF(CB52=Milestones!$AB$88,Milestones!$AC$88,0))</f>
        <v>0</v>
      </c>
      <c r="CC53" s="0" t="n">
        <f aca="false">IF(CC51="",0,IF(CC52=Milestones!$AB$89,Milestones!$AC$89,0))</f>
        <v>0</v>
      </c>
      <c r="CD53" s="0" t="n">
        <f aca="false">IF(CD51="",0,IF(CD52=Milestones!$AB$90,Milestones!$AC$90,0))</f>
        <v>0</v>
      </c>
      <c r="CE53" s="0" t="n">
        <f aca="false">IF(CE51="",0,IF(CE52=Milestones!$AB$91,Milestones!$AC$91,0))</f>
        <v>0</v>
      </c>
      <c r="CF53" s="0" t="n">
        <f aca="false">IF(CF51="",0,IF(CF52=Milestones!$AB$92,Milestones!$AC$92,0))</f>
        <v>0</v>
      </c>
      <c r="CG53" s="0" t="n">
        <f aca="false">IF(CG51="",0,IF(CG52=Milestones!$AB$93,Milestones!$AC$93,0))</f>
        <v>0</v>
      </c>
      <c r="CH53" s="0" t="n">
        <f aca="false">IF(CH51="",0,IF(CH52=Milestones!$AB$94,Milestones!$AC$94,0))</f>
        <v>0</v>
      </c>
      <c r="CI53" s="0" t="n">
        <f aca="false">IF(CI51="",0,IF(CI52=Milestones!$AB$95,Milestones!$AC$95,0))</f>
        <v>0</v>
      </c>
      <c r="CJ53" s="0" t="n">
        <f aca="false">IF(CJ51="",0,IF(CJ52=Milestones!$AB$96,Milestones!$AC$96,0))</f>
        <v>0</v>
      </c>
      <c r="CK53" s="0" t="n">
        <f aca="false">IF(CK51="",0,IF(CK52=Milestones!$AB$97,Milestones!$AC$97,0))</f>
        <v>0</v>
      </c>
      <c r="CL53" s="0" t="n">
        <f aca="false">IF(CL51="",0,IF(CL52=Milestones!$AB$98,Milestones!$AC$98,0))</f>
        <v>0</v>
      </c>
      <c r="CM53" s="0" t="n">
        <f aca="false">IF(CM51="",0,IF(CM52=Milestones!$AB$99,Milestones!$AC$99,0))</f>
        <v>0</v>
      </c>
      <c r="CN53" s="0" t="n">
        <f aca="false">IF(CN51="",0,IF(CN52=Milestones!$AB$100,Milestones!$AC$100,0))</f>
        <v>0</v>
      </c>
      <c r="CO53" s="0" t="n">
        <f aca="false">IF(CO51="",0,IF(CO52=Milestones!$AB$101,Milestones!$AC$101,0))</f>
        <v>0</v>
      </c>
      <c r="CP53" s="0" t="n">
        <f aca="false">IF(CP51="",0,IF(CP52=Milestones!$AB$102,Milestones!$AC$102,0))</f>
        <v>0</v>
      </c>
      <c r="CQ53" s="0" t="n">
        <f aca="false">IF(CQ51="",0,IF(CQ52=Milestones!$AB$103,Milestones!$AC$103,0))</f>
        <v>0</v>
      </c>
      <c r="CR53" s="0" t="n">
        <f aca="false">IF(CR51="",0,IF(CR52=Milestones!$AB$104,Milestones!$AC$104,0))</f>
        <v>0</v>
      </c>
      <c r="CS53" s="0" t="n">
        <f aca="false">IF(CS51="",0,IF(CS52=Milestones!$AB$105,Milestones!$AC$105,0))</f>
        <v>0</v>
      </c>
      <c r="CT53" s="0" t="n">
        <f aca="false">IF(CT51="",0,IF(CT52=Milestones!$AB$106,Milestones!$AC$106,0))</f>
        <v>0</v>
      </c>
      <c r="CU53" s="0" t="n">
        <f aca="false">IF(CU51="",0,IF(CU52=Milestones!$AB$107,Milestones!$AC$107,0))</f>
        <v>0</v>
      </c>
      <c r="CV53" s="0" t="n">
        <f aca="false">IF(CV51="",0,IF(CV52=Milestones!$AB$108,Milestones!$AC$108,0))</f>
        <v>0</v>
      </c>
      <c r="CW53" s="0" t="n">
        <f aca="false">IF(CW51="",0,IF(CW52=Milestones!$AB$109,Milestones!$AC$109,0))</f>
        <v>0</v>
      </c>
      <c r="CX53" s="0" t="n">
        <f aca="false">IF(CX51="",0,IF(CX52=Milestones!$AB$110,Milestones!$AC$110,0))</f>
        <v>0</v>
      </c>
      <c r="CY53" s="0" t="n">
        <f aca="false">IF(CY51="",0,IF(CY52=Milestones!$AB$111,Milestones!$AC$111,0))</f>
        <v>0</v>
      </c>
      <c r="CZ53" s="0" t="n">
        <f aca="false">IF(CZ51="",0,IF(CZ52=Milestones!$AB$112,Milestones!$AC$112,0))</f>
        <v>0</v>
      </c>
      <c r="DA53" s="0" t="n">
        <f aca="false">IF(DA51="",0,IF(DA52=Milestones!$AB$113,Milestones!$AC$113,0))</f>
        <v>0</v>
      </c>
      <c r="DB53" s="0" t="n">
        <f aca="false">IF(DB51="",0,IF(DB52=Milestones!$AB$114,Milestones!$AC$114,0))</f>
        <v>0</v>
      </c>
      <c r="DC53" s="0" t="n">
        <f aca="false">IF(DC51="",0,IF(DC52=Milestones!$AB$115,Milestones!$AC$115,0))</f>
        <v>0</v>
      </c>
      <c r="DD53" s="0" t="n">
        <f aca="false">IF(DD51="",0,IF(DD52=Milestones!$AB$116,Milestones!$AC$116,0))</f>
        <v>0</v>
      </c>
      <c r="DE53" s="0" t="n">
        <f aca="false">IF(DE51="",0,IF(DE52=Milestones!$AB$117,Milestones!$AC$117,0))</f>
        <v>0</v>
      </c>
      <c r="DF53" s="0" t="n">
        <f aca="false">IF(DF51="",0,IF(DF52=Milestones!$AB$118,Milestones!$AC$118,0))</f>
        <v>0</v>
      </c>
      <c r="DG53" s="0" t="n">
        <f aca="false">IF(DG51="",0,IF(DG52=Milestones!$AB$119,Milestones!$AC$119,0))</f>
        <v>0</v>
      </c>
      <c r="DH53" s="0" t="n">
        <f aca="false">IF(DH51="",0,IF(DH52=Milestones!$AB$120,Milestones!$AC$120,0))</f>
        <v>0</v>
      </c>
      <c r="DI53" s="0" t="n">
        <f aca="false">IF(DI51="",0,IF(DI52=Milestones!$AB$121,Milestones!$AC$121,0))</f>
        <v>0</v>
      </c>
      <c r="DJ53" s="0" t="n">
        <f aca="false">IF(DJ51="",0,IF(DJ52=Milestones!$AB$122,Milestones!$AC$122,0))</f>
        <v>0</v>
      </c>
      <c r="DK53" s="0" t="n">
        <f aca="false">IF(DK51="",0,IF(DK52=Milestones!$AB$123,Milestones!$AC$123,0))</f>
        <v>0</v>
      </c>
      <c r="DL53" s="0" t="n">
        <f aca="false">IF(DL51="",0,IF(DL52=Milestones!$AB$124,Milestones!$AC$124,0))</f>
        <v>0</v>
      </c>
      <c r="DM53" s="0" t="n">
        <f aca="false">IF(DM51="",0,IF(DM52=Milestones!$AB$125,Milestones!$AC$125,0))</f>
        <v>0</v>
      </c>
      <c r="DN53" s="0" t="n">
        <f aca="false">IF(DN51="",0,IF(DN52=Milestones!$AB$126,Milestones!$AC$126,0))</f>
        <v>0</v>
      </c>
      <c r="DO53" s="0" t="n">
        <f aca="false">IF(DO51="",0,IF(DO52=Milestones!$AB$127,Milestones!$AC$127,0))</f>
        <v>0</v>
      </c>
      <c r="DP53" s="0" t="n">
        <f aca="false">IF(DP51="",0,IF(DP52=Milestones!$AB$128,Milestones!$AC$128,0))</f>
        <v>0</v>
      </c>
      <c r="DQ53" s="0" t="n">
        <f aca="false">IF(DQ51="",0,IF(DQ52=Milestones!$AB$129,Milestones!$AC$129,0))</f>
        <v>0</v>
      </c>
      <c r="DR53" s="0" t="n">
        <f aca="false">IF(DR51="",0,IF(DR52=Milestones!$AB$130,Milestones!$AC$130,0))</f>
        <v>0</v>
      </c>
      <c r="DS53" s="0" t="n">
        <f aca="false">IF(DS51="",0,IF(DS52=Milestones!$AB$131,Milestones!$AC$131,0))</f>
        <v>0</v>
      </c>
      <c r="DT53" s="0" t="n">
        <f aca="false">IF(DT51="",0,IF(DT52=Milestones!$AB$132,Milestones!$AC$132,0))</f>
        <v>0</v>
      </c>
      <c r="DU53" s="0" t="n">
        <f aca="false">IF(DU51="",0,IF(DU52=Milestones!$AB$133,Milestones!$AC$133,0))</f>
        <v>0</v>
      </c>
      <c r="DV53" s="0" t="n">
        <f aca="false">IF(DV51="",0,IF(DV52=Milestones!$AB$134,Milestones!$AC$134,0))</f>
        <v>0</v>
      </c>
      <c r="DW53" s="0" t="n">
        <f aca="false">IF(DW51="",0,IF(DW52=Milestones!$AB$135,Milestones!$AC$135,0))</f>
        <v>0</v>
      </c>
      <c r="DX53" s="0" t="n">
        <f aca="false">IF(DX51="",0,IF(DX52=Milestones!$AB$136,Milestones!$AC$136,0))</f>
        <v>0</v>
      </c>
      <c r="DY53" s="0" t="n">
        <f aca="false">IF(DY51="",0,IF(DY52=Milestones!$AB$137,Milestones!$AC$137,0))</f>
        <v>0</v>
      </c>
      <c r="DZ53" s="0" t="n">
        <f aca="false">IF(DZ51="",0,IF(DZ52=Milestones!$AB$138,Milestones!$AC$138,0))</f>
        <v>0</v>
      </c>
      <c r="EA53" s="0" t="n">
        <f aca="false">IF(EA51="",0,IF(EA52=Milestones!$AB$139,Milestones!$AC$139,0))</f>
        <v>0</v>
      </c>
      <c r="EB53" s="0" t="n">
        <f aca="false">IF(EB51="",0,IF(EB52=Milestones!$AB$140,Milestones!$AC$140,0))</f>
        <v>0</v>
      </c>
      <c r="EC53" s="0" t="n">
        <f aca="false">IF(EC51="",0,IF(EC52=Milestones!$AB$141,Milestones!$AC$141,0))</f>
        <v>0</v>
      </c>
      <c r="ED53" s="0" t="n">
        <f aca="false">IF(ED51="",0,IF(ED52=Milestones!$AB$142,Milestones!$AC$142,0))</f>
        <v>0</v>
      </c>
      <c r="EE53" s="0" t="n">
        <f aca="false">IF(EE51="",0,IF(EE52=Milestones!$AB$143,Milestones!$AC$143,0))</f>
        <v>0</v>
      </c>
      <c r="EF53" s="0" t="n">
        <f aca="false">IF(EF51="",0,IF(EF52=Milestones!$AB$144,Milestones!$AC$144,0))</f>
        <v>0</v>
      </c>
      <c r="EG53" s="0" t="n">
        <f aca="false">IF(EG51="",0,IF(EG52=Milestones!$AB$145,Milestones!$AC$145,0))</f>
        <v>0</v>
      </c>
      <c r="EH53" s="0" t="n">
        <f aca="false">IF(EH51="",0,IF(EH52=Milestones!$AB$146,Milestones!$AC$146,0))</f>
        <v>0</v>
      </c>
      <c r="EI53" s="0" t="n">
        <f aca="false">IF(EI51="",0,IF(EI52=Milestones!$AB$147,Milestones!$AC$147,0))</f>
        <v>0</v>
      </c>
      <c r="EJ53" s="0" t="n">
        <f aca="false">IF(EJ51="",0,IF(EJ52=Milestones!$AB$148,Milestones!$AC$148,0))</f>
        <v>0</v>
      </c>
      <c r="EK53" s="0" t="n">
        <f aca="false">IF(EK51="",0,IF(EK52=Milestones!$AB$149,Milestones!$AC$149,0))</f>
        <v>0</v>
      </c>
      <c r="EL53" s="0" t="n">
        <f aca="false">IF(EL51="",0,IF(EL52=Milestones!$AB$150,Milestones!$AC$150,0))</f>
        <v>0</v>
      </c>
      <c r="EM53" s="0" t="n">
        <f aca="false">IF(EM51="",0,IF(EM52=Milestones!$AB$151,Milestones!$AC$151,0))</f>
        <v>0</v>
      </c>
      <c r="EN53" s="0" t="n">
        <f aca="false">IF(EN51="",0,IF(EN52=Milestones!$AB$152,Milestones!$AC$152,0))</f>
        <v>0</v>
      </c>
      <c r="EO53" s="0" t="n">
        <f aca="false">IF(EO51="",0,IF(EO52=Milestones!$AB$153,Milestones!$AC$153,0))</f>
        <v>0</v>
      </c>
      <c r="EP53" s="0" t="n">
        <f aca="false">IF(EP51="",0,IF(EP52=Milestones!$AB$154,Milestones!$AC$154,0))</f>
        <v>0</v>
      </c>
      <c r="EQ53" s="0" t="n">
        <f aca="false">IF(EQ51="",0,IF(EQ52=Milestones!$AB$155,Milestones!$AC$155,0))</f>
        <v>0</v>
      </c>
      <c r="ER53" s="0" t="n">
        <f aca="false">IF(ER51="",0,IF(ER52=Milestones!$AB$156,Milestones!$AC$156,0))</f>
        <v>0</v>
      </c>
      <c r="ES53" s="0" t="n">
        <f aca="false">IF(ES51="",0,IF(ES52=Milestones!$AB$157,Milestones!$AC$157,0))</f>
        <v>0</v>
      </c>
      <c r="ET53" s="0" t="n">
        <f aca="false">IF(ET51="",0,IF(ET52=Milestones!$AB$158,Milestones!$AC$158,0))</f>
        <v>0</v>
      </c>
      <c r="EU53" s="0" t="n">
        <f aca="false">IF(EU51="",0,IF(EU52=Milestones!$AB$159,Milestones!$AC$159,0))</f>
        <v>0</v>
      </c>
      <c r="EV53" s="0" t="n">
        <f aca="false">IF(EV51="",0,IF(EV52=Milestones!$AB$160,Milestones!$AC$160,0))</f>
        <v>0</v>
      </c>
      <c r="EW53" s="0" t="n">
        <f aca="false">IF(EW51="",0,IF(EW52=Milestones!$AB$161,Milestones!$AC$161,0))</f>
        <v>0</v>
      </c>
      <c r="EX53" s="0" t="n">
        <f aca="false">IF(EX51="",0,IF(EX52=Milestones!$AB$162,Milestones!$AC$162,0))</f>
        <v>0</v>
      </c>
      <c r="EY53" s="0" t="n">
        <f aca="false">IF(EY51="",0,IF(EY52=Milestones!$AB$163,Milestones!$AC$163,0))</f>
        <v>0</v>
      </c>
      <c r="EZ53" s="0" t="n">
        <f aca="false">IF(EZ51="",0,IF(EZ52=Milestones!$AB$164,Milestones!$AC$164,0))</f>
        <v>0</v>
      </c>
      <c r="FA53" s="0" t="n">
        <f aca="false">IF(FA51="",0,IF(FA52=Milestones!$AB$165,Milestones!$AC$165,0))</f>
        <v>0</v>
      </c>
      <c r="FB53" s="0" t="n">
        <f aca="false">IF(FB51="",0,IF(FB52=Milestones!$AB$166,Milestones!$AC$166,0))</f>
        <v>0</v>
      </c>
      <c r="FC53" s="0" t="n">
        <f aca="false">IF(FC51="",0,IF(FC52=Milestones!$AB$167,Milestones!$AC$167,0))</f>
        <v>0</v>
      </c>
      <c r="FD53" s="0" t="n">
        <f aca="false">IF(FD51="",0,IF(FD52=Milestones!$AB$168,Milestones!$AC$168,0))</f>
        <v>0</v>
      </c>
      <c r="FE53" s="0" t="n">
        <f aca="false">IF(FE51="",0,IF(FE52=Milestones!$AB$169,Milestones!$AC$169,0))</f>
        <v>0</v>
      </c>
      <c r="FF53" s="0" t="n">
        <f aca="false">IF(FF51="",0,IF(FF52=Milestones!$AB$170,Milestones!$AC$170,0))</f>
        <v>0</v>
      </c>
      <c r="FG53" s="0" t="n">
        <f aca="false">IF(FG51="",0,IF(FG52=Milestones!$AB$171,Milestones!$AC$171,0))</f>
        <v>0</v>
      </c>
      <c r="FH53" s="0" t="n">
        <f aca="false">IF(FH51="",0,IF(FH52=Milestones!$AB$172,Milestones!$AC$172,0))</f>
        <v>0</v>
      </c>
      <c r="FI53" s="0" t="n">
        <f aca="false">IF(FI51="",0,IF(FI52=Milestones!$AB$173,Milestones!$AC$173,0))</f>
        <v>0</v>
      </c>
      <c r="FJ53" s="0" t="n">
        <f aca="false">IF(FJ51="",0,IF(FJ52=Milestones!$AB$174,Milestones!$AC$174,0))</f>
        <v>0</v>
      </c>
      <c r="FK53" s="0" t="n">
        <f aca="false">IF(FK51="",0,IF(FK52=Milestones!$AB$175,Milestones!$AC$175,0))</f>
        <v>0</v>
      </c>
      <c r="FL53" s="0" t="n">
        <f aca="false">IF(FL51="",0,IF(FL52=Milestones!$AB$176,Milestones!$AC$176,0))</f>
        <v>0</v>
      </c>
      <c r="FM53" s="0" t="n">
        <f aca="false">IF(FM51="",0,IF(FM52=Milestones!$AB$177,Milestones!$AC$177,0))</f>
        <v>0</v>
      </c>
      <c r="FN53" s="0" t="n">
        <f aca="false">IF(FN51="",0,IF(FN52=Milestones!$AB$178,Milestones!$AC$178,0))</f>
        <v>0</v>
      </c>
      <c r="FO53" s="0" t="n">
        <f aca="false">IF(FO51="",0,IF(FO52=Milestones!$AB$179,Milestones!$AC$179,0))</f>
        <v>0</v>
      </c>
      <c r="FP53" s="0" t="n">
        <f aca="false">IF(FP51="",0,IF(FP52=Milestones!$AB$180,Milestones!$AC$180,0))</f>
        <v>0</v>
      </c>
      <c r="FQ53" s="0" t="n">
        <f aca="false">IF(FQ51="",0,IF(FQ52=Milestones!$AB$181,Milestones!$AC$181,0))</f>
        <v>0</v>
      </c>
      <c r="FR53" s="0" t="n">
        <f aca="false">IF(FR51="",0,IF(FR52=Milestones!$AB$182,Milestones!$AC$182,0))</f>
        <v>0</v>
      </c>
      <c r="FS53" s="0" t="n">
        <f aca="false">IF(FS51="",0,IF(FS52=Milestones!$AB$183,Milestones!$AC$183,0))</f>
        <v>0</v>
      </c>
      <c r="FT53" s="0" t="n">
        <f aca="false">IF(FT51="",0,IF(FT52=Milestones!$AB$184,Milestones!$AC$184,0))</f>
        <v>0</v>
      </c>
      <c r="FU53" s="0" t="n">
        <f aca="false">IF(FU51="",0,IF(FU52=Milestones!$AB$185,Milestones!$AC$185,0))</f>
        <v>0</v>
      </c>
      <c r="FV53" s="0" t="n">
        <f aca="false">IF(FV51="",0,IF(FV52=Milestones!$AB$186,Milestones!$AC$186,0))</f>
        <v>0</v>
      </c>
      <c r="FW53" s="0" t="n">
        <f aca="false">IF(FW51="",0,IF(FW52=Milestones!$AB$187,Milestones!$AC$187,0))</f>
        <v>0</v>
      </c>
      <c r="FX53" s="0" t="n">
        <f aca="false">IF(FX51="",0,IF(FX52=Milestones!$AB$188,Milestones!$AC$188,0))</f>
        <v>0</v>
      </c>
      <c r="FY53" s="0" t="n">
        <f aca="false">IF(FY51="",0,IF(FY52=Milestones!$AB$189,Milestones!$AC$189,0))</f>
        <v>0</v>
      </c>
      <c r="FZ53" s="0" t="n">
        <f aca="false">IF(FZ51="",0,IF(FZ52=Milestones!$AB$190,Milestones!$AC$190,0))</f>
        <v>0</v>
      </c>
      <c r="GA53" s="0" t="n">
        <f aca="false">IF(GA51="",0,IF(GA52=Milestones!$AB$191,Milestones!$AC$191,0))</f>
        <v>0</v>
      </c>
      <c r="GB53" s="0" t="n">
        <f aca="false">IF(GB51="",0,IF(GB52=Milestones!$AB$192,Milestones!$AC$192,0))</f>
        <v>0</v>
      </c>
      <c r="GC53" s="0" t="n">
        <f aca="false">IF(GC51="",0,IF(GC52=Milestones!$AB$193,Milestones!$AC$193,0))</f>
        <v>0</v>
      </c>
      <c r="GD53" s="0" t="n">
        <f aca="false">IF(GD51="",0,IF(GD52=Milestones!$AB$194,Milestones!$AC$194,0))</f>
        <v>0</v>
      </c>
      <c r="GE53" s="0" t="n">
        <f aca="false">IF(GE51="",0,IF(GE52=Milestones!$AB$195,Milestones!$AC$195,0))</f>
        <v>0</v>
      </c>
      <c r="GF53" s="0" t="n">
        <f aca="false">IF(GF51="",0,IF(GF52=Milestones!$AB$196,Milestones!$AC$196,0))</f>
        <v>0</v>
      </c>
      <c r="GG53" s="0" t="n">
        <f aca="false">IF(GG51="",0,IF(GG52=Milestones!$AB$197,Milestones!$AC$197,0))</f>
        <v>0</v>
      </c>
      <c r="GH53" s="0" t="n">
        <f aca="false">IF(GH51="",0,IF(GH52=Milestones!$AB$198,Milestones!$AC$198,0))</f>
        <v>0</v>
      </c>
      <c r="GI53" s="0" t="n">
        <f aca="false">IF(GI51="",0,IF(GI52=Milestones!$AB$199,Milestones!$AC$199,0))</f>
        <v>0</v>
      </c>
    </row>
    <row r="54" customFormat="false" ht="15" hidden="false" customHeight="false" outlineLevel="0" collapsed="false">
      <c r="A54" s="0" t="str">
        <f aca="false">IF('HR Tally Check'!S$7="","",'HR Tally Check'!S$7)</f>
        <v/>
      </c>
      <c r="B54" s="0" t="str">
        <f aca="false">IF(A54="","",ISNUMBER(MATCH(A54,Staff!$BJ$5:$BJ$154,0)))</f>
        <v/>
      </c>
      <c r="C54" s="18" t="str">
        <f aca="false">IF(B54&lt;&gt;TRUE(),"",INDEX(Staff!$AH$5:$AH$154,MATCH($A54,Staff!$BJ$5:$BJ$154,0)))</f>
        <v/>
      </c>
      <c r="D54" s="0" t="str">
        <f aca="false">IF(B54&lt;&gt;TRUE(),"",INDEX(Staff!$AI$5:$AI$154,MATCH($A54,Staff!$BJ$5:$BJ$154,0)))</f>
        <v/>
      </c>
      <c r="E54" s="18" t="str">
        <f aca="false">IF(B54&lt;&gt;TRUE(),"",INDEX(Staff!$AK$5:$AK$154,MATCH($A54,Staff!$BJ$5:$BJ$154,0)))</f>
        <v/>
      </c>
      <c r="F54" s="18" t="str">
        <f aca="false">IF(B54&lt;&gt;TRUE(),"",INDEX(Staff!$AL$5:$AL$154,MATCH($A54,Staff!$BJ$5:$BJ$154,0)))</f>
        <v/>
      </c>
      <c r="G54" s="0" t="str">
        <f aca="false">IF(B54&lt;&gt;TRUE(),"",INDEX(Staff!$AP$5:$AP$154,MATCH($A54,Staff!$BJ$5:$BJ$154,0)))</f>
        <v/>
      </c>
      <c r="H54" s="0" t="str">
        <f aca="false">IF(B54&lt;&gt;TRUE(),"",INDEX(Staff!$AQ$5:$AQ$154,MATCH($A54,Staff!$BJ$5:$BJ$154,0)))</f>
        <v/>
      </c>
      <c r="I54" s="0" t="str">
        <f aca="false">IF(B54&lt;&gt;TRUE(),"",INDEX(Staff!$AR$5:$AR$154,MATCH($A54,Staff!$BJ$5:$BJ$154,0)))</f>
        <v/>
      </c>
      <c r="J54" s="0" t="str">
        <f aca="false">IF(B54&lt;&gt;TRUE(),"",INDEX(Staff!$AS$5:$AS$154,MATCH($A54,Staff!$BJ$5:$BJ$154,0)))</f>
        <v/>
      </c>
      <c r="K54" s="31" t="s">
        <v>228</v>
      </c>
      <c r="L54" s="18" t="str">
        <f aca="false">IF($C54="","",EDATE($C54,Milestones!$AA$20))</f>
        <v/>
      </c>
      <c r="M54" s="18" t="str">
        <f aca="false">IF($C54="","",EDATE($C54,Milestones!$AA$21))</f>
        <v/>
      </c>
      <c r="N54" s="18" t="str">
        <f aca="false">IF($C54="","",EDATE($C54,Milestones!$AA$22))</f>
        <v/>
      </c>
      <c r="O54" s="18" t="str">
        <f aca="false">IF($C54="","",EDATE($C54,Milestones!$AA$23))</f>
        <v/>
      </c>
      <c r="P54" s="18" t="str">
        <f aca="false">IF($C54="","",EDATE($C54,Milestones!$AA$24))</f>
        <v/>
      </c>
      <c r="Q54" s="18" t="str">
        <f aca="false">IF($C54="","",EDATE($C54,Milestones!$AA$25))</f>
        <v/>
      </c>
      <c r="R54" s="18" t="str">
        <f aca="false">IF($C54="","",EDATE($C54,Milestones!$AA$26))</f>
        <v/>
      </c>
      <c r="S54" s="18" t="str">
        <f aca="false">IF($C54="","",EDATE($C54,Milestones!$AA$27))</f>
        <v/>
      </c>
      <c r="T54" s="18" t="str">
        <f aca="false">IF($C54="","",EDATE($C54,Milestones!$AA$28))</f>
        <v/>
      </c>
      <c r="U54" s="18" t="str">
        <f aca="false">IF($C54="","",EDATE($C54,Milestones!$AA$29))</f>
        <v/>
      </c>
      <c r="V54" s="18" t="str">
        <f aca="false">IF($C54="","",EDATE($C54,Milestones!$AA$30))</f>
        <v/>
      </c>
      <c r="W54" s="18" t="str">
        <f aca="false">IF($C54="","",EDATE($C54,Milestones!$AA$31))</f>
        <v/>
      </c>
      <c r="X54" s="18" t="str">
        <f aca="false">IF($C54="","",EDATE($C54,Milestones!$AA$32))</f>
        <v/>
      </c>
      <c r="Y54" s="18" t="str">
        <f aca="false">IF($C54="","",EDATE($C54,Milestones!$AA$33))</f>
        <v/>
      </c>
      <c r="Z54" s="18" t="str">
        <f aca="false">IF($C54="","",EDATE($C54,Milestones!$AA$34))</f>
        <v/>
      </c>
      <c r="AA54" s="18" t="str">
        <f aca="false">IF($C54="","",EDATE($C54,Milestones!$AA$35))</f>
        <v/>
      </c>
      <c r="AB54" s="18" t="str">
        <f aca="false">IF($C54="","",EDATE($C54,Milestones!$AA$36))</f>
        <v/>
      </c>
      <c r="AC54" s="18" t="str">
        <f aca="false">IF($C54="","",EDATE($C54,Milestones!$AA$37))</f>
        <v/>
      </c>
      <c r="AD54" s="18" t="str">
        <f aca="false">IF($C54="","",EDATE($C54,Milestones!$AA$38))</f>
        <v/>
      </c>
      <c r="AE54" s="18" t="str">
        <f aca="false">IF($C54="","",EDATE($C54,Milestones!$AA$39))</f>
        <v/>
      </c>
      <c r="AF54" s="18" t="str">
        <f aca="false">IF($C54="","",EDATE($C54,Milestones!$AA$40))</f>
        <v/>
      </c>
      <c r="AG54" s="18" t="str">
        <f aca="false">IF($C54="","",EDATE($C54,Milestones!$AA$41))</f>
        <v/>
      </c>
      <c r="AH54" s="18" t="str">
        <f aca="false">IF($C54="","",EDATE($C54,Milestones!$AA$42))</f>
        <v/>
      </c>
      <c r="AI54" s="18" t="str">
        <f aca="false">IF($C54="","",EDATE($C54,Milestones!$AA$43))</f>
        <v/>
      </c>
      <c r="AJ54" s="18" t="str">
        <f aca="false">IF($C54="","",EDATE($C54,Milestones!$AA$44))</f>
        <v/>
      </c>
      <c r="AK54" s="18" t="str">
        <f aca="false">IF($C54="","",EDATE($C54,Milestones!$AA$45))</f>
        <v/>
      </c>
      <c r="AL54" s="18" t="str">
        <f aca="false">IF($C54="","",EDATE($C54,Milestones!$AA$46))</f>
        <v/>
      </c>
      <c r="AM54" s="18" t="str">
        <f aca="false">IF($C54="","",EDATE($C54,Milestones!$AA$47))</f>
        <v/>
      </c>
      <c r="AN54" s="18" t="str">
        <f aca="false">IF($C54="","",EDATE($C54,Milestones!$AA$48))</f>
        <v/>
      </c>
      <c r="AO54" s="18" t="str">
        <f aca="false">IF($C54="","",EDATE($C54,Milestones!$AA$49))</f>
        <v/>
      </c>
      <c r="AP54" s="18" t="str">
        <f aca="false">IF($C54="","",EDATE($C54,Milestones!$AA$50))</f>
        <v/>
      </c>
      <c r="AQ54" s="18" t="str">
        <f aca="false">IF($C54="","",EDATE($C54,Milestones!$AA$51))</f>
        <v/>
      </c>
      <c r="AR54" s="18" t="str">
        <f aca="false">IF($C54="","",EDATE($C54,Milestones!$AA$52))</f>
        <v/>
      </c>
      <c r="AS54" s="18" t="str">
        <f aca="false">IF($C54="","",EDATE($C54,Milestones!$AA$53))</f>
        <v/>
      </c>
      <c r="AT54" s="18" t="str">
        <f aca="false">IF($C54="","",EDATE($C54,Milestones!$AA$54))</f>
        <v/>
      </c>
      <c r="AU54" s="18" t="str">
        <f aca="false">IF($C54="","",EDATE($C54,Milestones!$AA$55))</f>
        <v/>
      </c>
      <c r="AV54" s="18" t="str">
        <f aca="false">IF($C54="","",EDATE($C54,Milestones!$AA$56))</f>
        <v/>
      </c>
      <c r="AW54" s="18" t="str">
        <f aca="false">IF($C54="","",EDATE($C54,Milestones!$AA$57))</f>
        <v/>
      </c>
      <c r="AX54" s="18" t="str">
        <f aca="false">IF($C54="","",EDATE($C54,Milestones!$AA$58))</f>
        <v/>
      </c>
      <c r="AY54" s="18" t="str">
        <f aca="false">IF($C54="","",EDATE($C54,Milestones!$AA$59))</f>
        <v/>
      </c>
      <c r="AZ54" s="18" t="str">
        <f aca="false">IF($C54="","",EDATE($C54,Milestones!$AA$60))</f>
        <v/>
      </c>
      <c r="BA54" s="18" t="str">
        <f aca="false">IF($C54="","",EDATE($C54,Milestones!$AA$61))</f>
        <v/>
      </c>
      <c r="BB54" s="18" t="str">
        <f aca="false">IF($C54="","",EDATE($C54,Milestones!$AA$62))</f>
        <v/>
      </c>
      <c r="BC54" s="18" t="str">
        <f aca="false">IF($C54="","",EDATE($C54,Milestones!$AA$63))</f>
        <v/>
      </c>
      <c r="BD54" s="18" t="str">
        <f aca="false">IF($C54="","",EDATE($C54,Milestones!$AA$64))</f>
        <v/>
      </c>
      <c r="BE54" s="18" t="str">
        <f aca="false">IF($C54="","",EDATE($C54,Milestones!$AA$65))</f>
        <v/>
      </c>
      <c r="BF54" s="18" t="str">
        <f aca="false">IF($C54="","",EDATE($C54,Milestones!$AA$66))</f>
        <v/>
      </c>
      <c r="BG54" s="18" t="str">
        <f aca="false">IF($C54="","",EDATE($C54,Milestones!$AA$67))</f>
        <v/>
      </c>
      <c r="BH54" s="18" t="str">
        <f aca="false">IF($C54="","",EDATE($C54,Milestones!$AA$68))</f>
        <v/>
      </c>
      <c r="BI54" s="18" t="str">
        <f aca="false">IF($C54="","",EDATE($C54,Milestones!$AA$69))</f>
        <v/>
      </c>
      <c r="BJ54" s="18" t="str">
        <f aca="false">IF($C54="","",EDATE($C54,Milestones!$AA$70))</f>
        <v/>
      </c>
      <c r="BK54" s="18" t="str">
        <f aca="false">IF($C54="","",EDATE($C54,Milestones!$AA$71))</f>
        <v/>
      </c>
      <c r="BL54" s="18" t="str">
        <f aca="false">IF($C54="","",EDATE($C54,Milestones!$AA$72))</f>
        <v/>
      </c>
      <c r="BM54" s="18" t="str">
        <f aca="false">IF($C54="","",EDATE($C54,Milestones!$AA$73))</f>
        <v/>
      </c>
      <c r="BN54" s="18" t="str">
        <f aca="false">IF($C54="","",EDATE($C54,Milestones!$AA$74))</f>
        <v/>
      </c>
      <c r="BO54" s="18" t="str">
        <f aca="false">IF($C54="","",EDATE($C54,Milestones!$AA$75))</f>
        <v/>
      </c>
      <c r="BP54" s="18" t="str">
        <f aca="false">IF($C54="","",EDATE($C54,Milestones!$AA$76))</f>
        <v/>
      </c>
      <c r="BQ54" s="18" t="str">
        <f aca="false">IF($C54="","",EDATE($C54,Milestones!$AA$77))</f>
        <v/>
      </c>
      <c r="BR54" s="18" t="str">
        <f aca="false">IF($C54="","",EDATE($C54,Milestones!$AA$78))</f>
        <v/>
      </c>
      <c r="BS54" s="18" t="str">
        <f aca="false">IF($C54="","",EDATE($C54,Milestones!$AA$79))</f>
        <v/>
      </c>
      <c r="BT54" s="18" t="str">
        <f aca="false">IF($C54="","",EDATE($C54,Milestones!$AA$80))</f>
        <v/>
      </c>
      <c r="BU54" s="18" t="str">
        <f aca="false">IF($C54="","",EDATE($C54,Milestones!$AA$81))</f>
        <v/>
      </c>
      <c r="BV54" s="18" t="str">
        <f aca="false">IF($C54="","",EDATE($C54,Milestones!$AA$82))</f>
        <v/>
      </c>
      <c r="BW54" s="18" t="str">
        <f aca="false">IF($C54="","",EDATE($C54,Milestones!$AA$83))</f>
        <v/>
      </c>
      <c r="BX54" s="18" t="str">
        <f aca="false">IF($C54="","",EDATE($C54,Milestones!$AA$84))</f>
        <v/>
      </c>
      <c r="BY54" s="18" t="str">
        <f aca="false">IF($C54="","",EDATE($C54,Milestones!$AA$85))</f>
        <v/>
      </c>
      <c r="BZ54" s="18" t="str">
        <f aca="false">IF($C54="","",EDATE($C54,Milestones!$AA$86))</f>
        <v/>
      </c>
      <c r="CA54" s="18" t="str">
        <f aca="false">IF($C54="","",EDATE($C54,Milestones!$AA$87))</f>
        <v/>
      </c>
      <c r="CB54" s="18" t="str">
        <f aca="false">IF($C54="","",EDATE($C54,Milestones!$AA$88))</f>
        <v/>
      </c>
      <c r="CC54" s="18" t="str">
        <f aca="false">IF($C54="","",EDATE($C54,Milestones!$AA$89))</f>
        <v/>
      </c>
      <c r="CD54" s="18" t="str">
        <f aca="false">IF($C54="","",EDATE($C54,Milestones!$AA$90))</f>
        <v/>
      </c>
      <c r="CE54" s="18" t="str">
        <f aca="false">IF($C54="","",EDATE($C54,Milestones!$AA$91))</f>
        <v/>
      </c>
      <c r="CF54" s="18" t="str">
        <f aca="false">IF($C54="","",EDATE($C54,Milestones!$AA$92))</f>
        <v/>
      </c>
      <c r="CG54" s="18" t="str">
        <f aca="false">IF($C54="","",EDATE($C54,Milestones!$AA$93))</f>
        <v/>
      </c>
      <c r="CH54" s="18" t="str">
        <f aca="false">IF($C54="","",EDATE($C54,Milestones!$AA$94))</f>
        <v/>
      </c>
      <c r="CI54" s="18" t="str">
        <f aca="false">IF($C54="","",EDATE($C54,Milestones!$AA$95))</f>
        <v/>
      </c>
      <c r="CJ54" s="18" t="str">
        <f aca="false">IF($C54="","",EDATE($C54,Milestones!$AA$96))</f>
        <v/>
      </c>
      <c r="CK54" s="18" t="str">
        <f aca="false">IF($C54="","",EDATE($C54,Milestones!$AA$97))</f>
        <v/>
      </c>
      <c r="CL54" s="18" t="str">
        <f aca="false">IF($C54="","",EDATE($C54,Milestones!$AA$98))</f>
        <v/>
      </c>
      <c r="CM54" s="18" t="str">
        <f aca="false">IF($C54="","",EDATE($C54,Milestones!$AA$99))</f>
        <v/>
      </c>
      <c r="CN54" s="18" t="str">
        <f aca="false">IF($C54="","",EDATE($C54,Milestones!$AA$100))</f>
        <v/>
      </c>
      <c r="CO54" s="18" t="str">
        <f aca="false">IF($C54="","",EDATE($C54,Milestones!$AA$101))</f>
        <v/>
      </c>
      <c r="CP54" s="18" t="str">
        <f aca="false">IF($C54="","",EDATE($C54,Milestones!$AA$102))</f>
        <v/>
      </c>
      <c r="CQ54" s="18" t="str">
        <f aca="false">IF($C54="","",EDATE($C54,Milestones!$AA$103))</f>
        <v/>
      </c>
      <c r="CR54" s="18" t="str">
        <f aca="false">IF($C54="","",EDATE($C54,Milestones!$AA$104))</f>
        <v/>
      </c>
      <c r="CS54" s="18" t="str">
        <f aca="false">IF($C54="","",EDATE($C54,Milestones!$AA$105))</f>
        <v/>
      </c>
      <c r="CT54" s="18" t="str">
        <f aca="false">IF($C54="","",EDATE($C54,Milestones!$AA$106))</f>
        <v/>
      </c>
      <c r="CU54" s="18" t="str">
        <f aca="false">IF($C54="","",EDATE($C54,Milestones!$AA$107))</f>
        <v/>
      </c>
      <c r="CV54" s="18" t="str">
        <f aca="false">IF($C54="","",EDATE($C54,Milestones!$AA$108))</f>
        <v/>
      </c>
      <c r="CW54" s="18" t="str">
        <f aca="false">IF($C54="","",EDATE($C54,Milestones!$AA$109))</f>
        <v/>
      </c>
      <c r="CX54" s="18" t="str">
        <f aca="false">IF($C54="","",EDATE($C54,Milestones!$AA$110))</f>
        <v/>
      </c>
      <c r="CY54" s="18" t="str">
        <f aca="false">IF($C54="","",EDATE($C54,Milestones!$AA$111))</f>
        <v/>
      </c>
      <c r="CZ54" s="18" t="str">
        <f aca="false">IF($C54="","",EDATE($C54,Milestones!$AA$112))</f>
        <v/>
      </c>
      <c r="DA54" s="18" t="str">
        <f aca="false">IF($C54="","",EDATE($C54,Milestones!$AA$113))</f>
        <v/>
      </c>
      <c r="DB54" s="18" t="str">
        <f aca="false">IF($C54="","",EDATE($C54,Milestones!$AA$114))</f>
        <v/>
      </c>
      <c r="DC54" s="18" t="str">
        <f aca="false">IF($C54="","",EDATE($C54,Milestones!$AA$115))</f>
        <v/>
      </c>
      <c r="DD54" s="18" t="str">
        <f aca="false">IF($C54="","",EDATE($C54,Milestones!$AA$116))</f>
        <v/>
      </c>
      <c r="DE54" s="18" t="str">
        <f aca="false">IF($C54="","",EDATE($C54,Milestones!$AA$117))</f>
        <v/>
      </c>
      <c r="DF54" s="18" t="str">
        <f aca="false">IF($C54="","",EDATE($C54,Milestones!$AA$118))</f>
        <v/>
      </c>
      <c r="DG54" s="18" t="str">
        <f aca="false">IF($C54="","",EDATE($C54,Milestones!$AA$119))</f>
        <v/>
      </c>
      <c r="DH54" s="18" t="str">
        <f aca="false">IF($C54="","",EDATE($C54,Milestones!$AA$120))</f>
        <v/>
      </c>
      <c r="DI54" s="18" t="str">
        <f aca="false">IF($C54="","",EDATE($C54,Milestones!$AA$121))</f>
        <v/>
      </c>
      <c r="DJ54" s="18" t="str">
        <f aca="false">IF($C54="","",EDATE($C54,Milestones!$AA$122))</f>
        <v/>
      </c>
      <c r="DK54" s="18" t="str">
        <f aca="false">IF($C54="","",EDATE($C54,Milestones!$AA$123))</f>
        <v/>
      </c>
      <c r="DL54" s="18" t="str">
        <f aca="false">IF($C54="","",EDATE($C54,Milestones!$AA$124))</f>
        <v/>
      </c>
      <c r="DM54" s="18" t="str">
        <f aca="false">IF($C54="","",EDATE($C54,Milestones!$AA$125))</f>
        <v/>
      </c>
      <c r="DN54" s="18" t="str">
        <f aca="false">IF($C54="","",EDATE($C54,Milestones!$AA$126))</f>
        <v/>
      </c>
      <c r="DO54" s="18" t="str">
        <f aca="false">IF($C54="","",EDATE($C54,Milestones!$AA$127))</f>
        <v/>
      </c>
      <c r="DP54" s="18" t="str">
        <f aca="false">IF($C54="","",EDATE($C54,Milestones!$AA$128))</f>
        <v/>
      </c>
      <c r="DQ54" s="18" t="str">
        <f aca="false">IF($C54="","",EDATE($C54,Milestones!$AA$129))</f>
        <v/>
      </c>
      <c r="DR54" s="18" t="str">
        <f aca="false">IF($C54="","",EDATE($C54,Milestones!$AA$130))</f>
        <v/>
      </c>
      <c r="DS54" s="18" t="str">
        <f aca="false">IF($C54="","",EDATE($C54,Milestones!$AA$131))</f>
        <v/>
      </c>
      <c r="DT54" s="18" t="str">
        <f aca="false">IF($C54="","",EDATE($C54,Milestones!$AA$132))</f>
        <v/>
      </c>
      <c r="DU54" s="18" t="str">
        <f aca="false">IF($C54="","",EDATE($C54,Milestones!$AA$133))</f>
        <v/>
      </c>
      <c r="DV54" s="18" t="str">
        <f aca="false">IF($C54="","",EDATE($C54,Milestones!$AA$134))</f>
        <v/>
      </c>
      <c r="DW54" s="18" t="str">
        <f aca="false">IF($C54="","",EDATE($C54,Milestones!$AA$135))</f>
        <v/>
      </c>
      <c r="DX54" s="18" t="str">
        <f aca="false">IF($C54="","",EDATE($C54,Milestones!$AA$136))</f>
        <v/>
      </c>
      <c r="DY54" s="18" t="str">
        <f aca="false">IF($C54="","",EDATE($C54,Milestones!$AA$137))</f>
        <v/>
      </c>
      <c r="DZ54" s="18" t="str">
        <f aca="false">IF($C54="","",EDATE($C54,Milestones!$AA$138))</f>
        <v/>
      </c>
      <c r="EA54" s="18" t="str">
        <f aca="false">IF($C54="","",EDATE($C54,Milestones!$AA$139))</f>
        <v/>
      </c>
      <c r="EB54" s="18" t="str">
        <f aca="false">IF($C54="","",EDATE($C54,Milestones!$AA$140))</f>
        <v/>
      </c>
      <c r="EC54" s="18" t="str">
        <f aca="false">IF($C54="","",EDATE($C54,Milestones!$AA$141))</f>
        <v/>
      </c>
      <c r="ED54" s="18" t="str">
        <f aca="false">IF($C54="","",EDATE($C54,Milestones!$AA$142))</f>
        <v/>
      </c>
      <c r="EE54" s="18" t="str">
        <f aca="false">IF($C54="","",EDATE($C54,Milestones!$AA$143))</f>
        <v/>
      </c>
      <c r="EF54" s="18" t="str">
        <f aca="false">IF($C54="","",EDATE($C54,Milestones!$AA$144))</f>
        <v/>
      </c>
      <c r="EG54" s="18" t="str">
        <f aca="false">IF($C54="","",EDATE($C54,Milestones!$AA$145))</f>
        <v/>
      </c>
      <c r="EH54" s="18" t="str">
        <f aca="false">IF($C54="","",EDATE($C54,Milestones!$AA$146))</f>
        <v/>
      </c>
      <c r="EI54" s="18" t="str">
        <f aca="false">IF($C54="","",EDATE($C54,Milestones!$AA$147))</f>
        <v/>
      </c>
      <c r="EJ54" s="18" t="str">
        <f aca="false">IF($C54="","",EDATE($C54,Milestones!$AA$148))</f>
        <v/>
      </c>
      <c r="EK54" s="18" t="str">
        <f aca="false">IF($C54="","",EDATE($C54,Milestones!$AA$149))</f>
        <v/>
      </c>
      <c r="EL54" s="18" t="str">
        <f aca="false">IF($C54="","",EDATE($C54,Milestones!$AA$150))</f>
        <v/>
      </c>
      <c r="EM54" s="18" t="str">
        <f aca="false">IF($C54="","",EDATE($C54,Milestones!$AA$151))</f>
        <v/>
      </c>
      <c r="EN54" s="18" t="str">
        <f aca="false">IF($C54="","",EDATE($C54,Milestones!$AA$152))</f>
        <v/>
      </c>
      <c r="EO54" s="18" t="str">
        <f aca="false">IF($C54="","",EDATE($C54,Milestones!$AA$153))</f>
        <v/>
      </c>
      <c r="EP54" s="18" t="str">
        <f aca="false">IF($C54="","",EDATE($C54,Milestones!$AA$154))</f>
        <v/>
      </c>
      <c r="EQ54" s="18" t="str">
        <f aca="false">IF($C54="","",EDATE($C54,Milestones!$AA$155))</f>
        <v/>
      </c>
      <c r="ER54" s="18" t="str">
        <f aca="false">IF($C54="","",EDATE($C54,Milestones!$AA$156))</f>
        <v/>
      </c>
      <c r="ES54" s="18" t="str">
        <f aca="false">IF($C54="","",EDATE($C54,Milestones!$AA$157))</f>
        <v/>
      </c>
      <c r="ET54" s="18" t="str">
        <f aca="false">IF($C54="","",EDATE($C54,Milestones!$AA$158))</f>
        <v/>
      </c>
      <c r="EU54" s="18" t="str">
        <f aca="false">IF($C54="","",EDATE($C54,Milestones!$AA$159))</f>
        <v/>
      </c>
      <c r="EV54" s="18" t="str">
        <f aca="false">IF($C54="","",EDATE($C54,Milestones!$AA$160))</f>
        <v/>
      </c>
      <c r="EW54" s="18" t="str">
        <f aca="false">IF($C54="","",EDATE($C54,Milestones!$AA$161))</f>
        <v/>
      </c>
      <c r="EX54" s="18" t="str">
        <f aca="false">IF($C54="","",EDATE($C54,Milestones!$AA$162))</f>
        <v/>
      </c>
      <c r="EY54" s="18" t="str">
        <f aca="false">IF($C54="","",EDATE($C54,Milestones!$AA$163))</f>
        <v/>
      </c>
      <c r="EZ54" s="18" t="str">
        <f aca="false">IF($C54="","",EDATE($C54,Milestones!$AA$164))</f>
        <v/>
      </c>
      <c r="FA54" s="18" t="str">
        <f aca="false">IF($C54="","",EDATE($C54,Milestones!$AA$165))</f>
        <v/>
      </c>
      <c r="FB54" s="18" t="str">
        <f aca="false">IF($C54="","",EDATE($C54,Milestones!$AA$166))</f>
        <v/>
      </c>
      <c r="FC54" s="18" t="str">
        <f aca="false">IF($C54="","",EDATE($C54,Milestones!$AA$167))</f>
        <v/>
      </c>
      <c r="FD54" s="18" t="str">
        <f aca="false">IF($C54="","",EDATE($C54,Milestones!$AA$168))</f>
        <v/>
      </c>
      <c r="FE54" s="18" t="str">
        <f aca="false">IF($C54="","",EDATE($C54,Milestones!$AA$169))</f>
        <v/>
      </c>
      <c r="FF54" s="18" t="str">
        <f aca="false">IF($C54="","",EDATE($C54,Milestones!$AA$170))</f>
        <v/>
      </c>
      <c r="FG54" s="18" t="str">
        <f aca="false">IF($C54="","",EDATE($C54,Milestones!$AA$171))</f>
        <v/>
      </c>
      <c r="FH54" s="18" t="str">
        <f aca="false">IF($C54="","",EDATE($C54,Milestones!$AA$172))</f>
        <v/>
      </c>
      <c r="FI54" s="18" t="str">
        <f aca="false">IF($C54="","",EDATE($C54,Milestones!$AA$173))</f>
        <v/>
      </c>
      <c r="FJ54" s="18" t="str">
        <f aca="false">IF($C54="","",EDATE($C54,Milestones!$AA$174))</f>
        <v/>
      </c>
      <c r="FK54" s="18" t="str">
        <f aca="false">IF($C54="","",EDATE($C54,Milestones!$AA$175))</f>
        <v/>
      </c>
      <c r="FL54" s="18" t="str">
        <f aca="false">IF($C54="","",EDATE($C54,Milestones!$AA$176))</f>
        <v/>
      </c>
      <c r="FM54" s="18" t="str">
        <f aca="false">IF($C54="","",EDATE($C54,Milestones!$AA$177))</f>
        <v/>
      </c>
      <c r="FN54" s="18" t="str">
        <f aca="false">IF($C54="","",EDATE($C54,Milestones!$AA$178))</f>
        <v/>
      </c>
      <c r="FO54" s="18" t="str">
        <f aca="false">IF($C54="","",EDATE($C54,Milestones!$AA$179))</f>
        <v/>
      </c>
      <c r="FP54" s="18" t="str">
        <f aca="false">IF($C54="","",EDATE($C54,Milestones!$AA$180))</f>
        <v/>
      </c>
      <c r="FQ54" s="18" t="str">
        <f aca="false">IF($C54="","",EDATE($C54,Milestones!$AA$181))</f>
        <v/>
      </c>
      <c r="FR54" s="18" t="str">
        <f aca="false">IF($C54="","",EDATE($C54,Milestones!$AA$182))</f>
        <v/>
      </c>
      <c r="FS54" s="18" t="str">
        <f aca="false">IF($C54="","",EDATE($C54,Milestones!$AA$183))</f>
        <v/>
      </c>
      <c r="FT54" s="18" t="str">
        <f aca="false">IF($C54="","",EDATE($C54,Milestones!$AA$184))</f>
        <v/>
      </c>
      <c r="FU54" s="18" t="str">
        <f aca="false">IF($C54="","",EDATE($C54,Milestones!$AA$185))</f>
        <v/>
      </c>
      <c r="FV54" s="18" t="str">
        <f aca="false">IF($C54="","",EDATE($C54,Milestones!$AA$186))</f>
        <v/>
      </c>
      <c r="FW54" s="18" t="str">
        <f aca="false">IF($C54="","",EDATE($C54,Milestones!$AA$187))</f>
        <v/>
      </c>
      <c r="FX54" s="18" t="str">
        <f aca="false">IF($C54="","",EDATE($C54,Milestones!$AA$188))</f>
        <v/>
      </c>
      <c r="FY54" s="18" t="str">
        <f aca="false">IF($C54="","",EDATE($C54,Milestones!$AA$189))</f>
        <v/>
      </c>
      <c r="FZ54" s="18" t="str">
        <f aca="false">IF($C54="","",EDATE($C54,Milestones!$AA$190))</f>
        <v/>
      </c>
      <c r="GA54" s="18" t="str">
        <f aca="false">IF($C54="","",EDATE($C54,Milestones!$AA$191))</f>
        <v/>
      </c>
      <c r="GB54" s="18" t="str">
        <f aca="false">IF($C54="","",EDATE($C54,Milestones!$AA$192))</f>
        <v/>
      </c>
      <c r="GC54" s="18" t="str">
        <f aca="false">IF($C54="","",EDATE($C54,Milestones!$AA$193))</f>
        <v/>
      </c>
      <c r="GD54" s="18" t="str">
        <f aca="false">IF($C54="","",EDATE($C54,Milestones!$AA$194))</f>
        <v/>
      </c>
      <c r="GE54" s="18" t="str">
        <f aca="false">IF($C54="","",EDATE($C54,Milestones!$AA$195))</f>
        <v/>
      </c>
      <c r="GF54" s="18" t="str">
        <f aca="false">IF($C54="","",EDATE($C54,Milestones!$AA$196))</f>
        <v/>
      </c>
      <c r="GG54" s="18" t="str">
        <f aca="false">IF($C54="","",EDATE($C54,Milestones!$AA$197))</f>
        <v/>
      </c>
      <c r="GH54" s="18" t="str">
        <f aca="false">IF($C54="","",EDATE($C54,Milestones!$AA$198))</f>
        <v/>
      </c>
      <c r="GI54" s="18" t="str">
        <f aca="false">IF($C54="","",EDATE($C54,Milestones!$AA$199))</f>
        <v/>
      </c>
    </row>
    <row r="55" customFormat="false" ht="15" hidden="false" customHeight="false" outlineLevel="0" collapsed="false">
      <c r="K55" s="0" t="s">
        <v>229</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230</v>
      </c>
      <c r="L56" s="0" t="n">
        <f aca="false">IF(L54="",0,IF(L55=Milestones!$AB$20,Milestones!$AC$20,0))</f>
        <v>0</v>
      </c>
      <c r="M56" s="0" t="n">
        <f aca="false">IF(M54="",0,IF(M55=Milestones!$AB$21,Milestones!$AC$21,0))</f>
        <v>0</v>
      </c>
      <c r="N56" s="0" t="n">
        <f aca="false">IF(N54="",0,IF(N55=Milestones!$AB$22,Milestones!$AC$22,0))</f>
        <v>0</v>
      </c>
      <c r="O56" s="0" t="n">
        <f aca="false">IF(O54="",0,IF(O55=Milestones!$AB$23,Milestones!$AC$23,0))</f>
        <v>0</v>
      </c>
      <c r="P56" s="0" t="n">
        <f aca="false">IF(P54="",0,IF(P55=Milestones!$AB$24,Milestones!$AC$24,0))</f>
        <v>0</v>
      </c>
      <c r="Q56" s="0" t="n">
        <f aca="false">IF(Q54="",0,IF(Q55=Milestones!$AB$25,Milestones!$AC$25,0))</f>
        <v>0</v>
      </c>
      <c r="R56" s="0" t="n">
        <f aca="false">IF(R54="",0,IF(R55=Milestones!$AB$26,Milestones!$AC$26,0))</f>
        <v>0</v>
      </c>
      <c r="S56" s="0" t="n">
        <f aca="false">IF(S54="",0,IF(S55=Milestones!$AB$27,Milestones!$AC$27,0))</f>
        <v>0</v>
      </c>
      <c r="T56" s="0" t="n">
        <f aca="false">IF(T54="",0,IF(T55=Milestones!$AB$28,Milestones!$AC$28,0))</f>
        <v>0</v>
      </c>
      <c r="U56" s="0" t="n">
        <f aca="false">IF(U54="",0,IF(U55=Milestones!$AB$29,Milestones!$AC$29,0))</f>
        <v>0</v>
      </c>
      <c r="V56" s="0" t="n">
        <f aca="false">IF(V54="",0,IF(V55=Milestones!$AB$30,Milestones!$AC$30,0))</f>
        <v>0</v>
      </c>
      <c r="W56" s="0" t="n">
        <f aca="false">IF(W54="",0,IF(W55=Milestones!$AB$31,Milestones!$AC$31,0))</f>
        <v>0</v>
      </c>
      <c r="X56" s="0" t="n">
        <f aca="false">IF(X54="",0,IF(X55=Milestones!$AB$32,Milestones!$AC$32,0))</f>
        <v>0</v>
      </c>
      <c r="Y56" s="0" t="n">
        <f aca="false">IF(Y54="",0,IF(Y55=Milestones!$AB$33,Milestones!$AC$33,0))</f>
        <v>0</v>
      </c>
      <c r="Z56" s="0" t="n">
        <f aca="false">IF(Z54="",0,IF(Z55=Milestones!$AB$34,Milestones!$AC$34,0))</f>
        <v>0</v>
      </c>
      <c r="AA56" s="0" t="n">
        <f aca="false">IF(AA54="",0,IF(AA55=Milestones!$AB$35,Milestones!$AC$35,0))</f>
        <v>0</v>
      </c>
      <c r="AB56" s="0" t="n">
        <f aca="false">IF(AB54="",0,IF(AB55=Milestones!$AB$36,Milestones!$AC$36,0))</f>
        <v>0</v>
      </c>
      <c r="AC56" s="0" t="n">
        <f aca="false">IF(AC54="",0,IF(AC55=Milestones!$AB$37,Milestones!$AC$37,0))</f>
        <v>0</v>
      </c>
      <c r="AD56" s="0" t="n">
        <f aca="false">IF(AD54="",0,IF(AD55=Milestones!$AB$38,Milestones!$AC$38,0))</f>
        <v>0</v>
      </c>
      <c r="AE56" s="0" t="n">
        <f aca="false">IF(AE54="",0,IF(AE55=Milestones!$AB$39,Milestones!$AC$39,0))</f>
        <v>0</v>
      </c>
      <c r="AF56" s="0" t="n">
        <f aca="false">IF(AF54="",0,IF(AF55=Milestones!$AB$40,Milestones!$AC$40,0))</f>
        <v>0</v>
      </c>
      <c r="AG56" s="0" t="n">
        <f aca="false">IF(AG54="",0,IF(AG55=Milestones!$AB$41,Milestones!$AC$41,0))</f>
        <v>0</v>
      </c>
      <c r="AH56" s="0" t="n">
        <f aca="false">IF(AH54="",0,IF(AH55=Milestones!$AB$42,Milestones!$AC$42,0))</f>
        <v>0</v>
      </c>
      <c r="AI56" s="0" t="n">
        <f aca="false">IF(AI54="",0,IF(AI55=Milestones!$AB$43,Milestones!$AC$43,0))</f>
        <v>0</v>
      </c>
      <c r="AJ56" s="0" t="n">
        <f aca="false">IF(AJ54="",0,IF(AJ55=Milestones!$AB$44,Milestones!$AC$44,0))</f>
        <v>0</v>
      </c>
      <c r="AK56" s="0" t="n">
        <f aca="false">IF(AK54="",0,IF(AK55=Milestones!$AB$45,Milestones!$AC$45,0))</f>
        <v>0</v>
      </c>
      <c r="AL56" s="0" t="n">
        <f aca="false">IF(AL54="",0,IF(AL55=Milestones!$AB$46,Milestones!$AC$46,0))</f>
        <v>0</v>
      </c>
      <c r="AM56" s="0" t="n">
        <f aca="false">IF(AM54="",0,IF(AM55=Milestones!$AB$47,Milestones!$AC$47,0))</f>
        <v>0</v>
      </c>
      <c r="AN56" s="0" t="n">
        <f aca="false">IF(AN54="",0,IF(AN55=Milestones!$AB$48,Milestones!$AC$48,0))</f>
        <v>0</v>
      </c>
      <c r="AO56" s="0" t="n">
        <f aca="false">IF(AO54="",0,IF(AO55=Milestones!$AB$49,Milestones!$AC$49,0))</f>
        <v>0</v>
      </c>
      <c r="AP56" s="0" t="n">
        <f aca="false">IF(AP54="",0,IF(AP55=Milestones!$AB$50,Milestones!$AC$50,0))</f>
        <v>0</v>
      </c>
      <c r="AQ56" s="0" t="n">
        <f aca="false">IF(AQ54="",0,IF(AQ55=Milestones!$AB$51,Milestones!$AC$51,0))</f>
        <v>0</v>
      </c>
      <c r="AR56" s="0" t="n">
        <f aca="false">IF(AR54="",0,IF(AR55=Milestones!$AB$52,Milestones!$AC$52,0))</f>
        <v>0</v>
      </c>
      <c r="AS56" s="0" t="n">
        <f aca="false">IF(AS54="",0,IF(AS55=Milestones!$AB$53,Milestones!$AC$53,0))</f>
        <v>0</v>
      </c>
      <c r="AT56" s="0" t="n">
        <f aca="false">IF(AT54="",0,IF(AT55=Milestones!$AB$54,Milestones!$AC$54,0))</f>
        <v>0</v>
      </c>
      <c r="AU56" s="0" t="n">
        <f aca="false">IF(AU54="",0,IF(AU55=Milestones!$AB$55,Milestones!$AC$55,0))</f>
        <v>0</v>
      </c>
      <c r="AV56" s="0" t="n">
        <f aca="false">IF(AV54="",0,IF(AV55=Milestones!$AB$56,Milestones!$AC$56,0))</f>
        <v>0</v>
      </c>
      <c r="AW56" s="0" t="n">
        <f aca="false">IF(AW54="",0,IF(AW55=Milestones!$AB$57,Milestones!$AC$57,0))</f>
        <v>0</v>
      </c>
      <c r="AX56" s="0" t="n">
        <f aca="false">IF(AX54="",0,IF(AX55=Milestones!$AB$58,Milestones!$AC$58,0))</f>
        <v>0</v>
      </c>
      <c r="AY56" s="0" t="n">
        <f aca="false">IF(AY54="",0,IF(AY55=Milestones!$AB$59,Milestones!$AC$59,0))</f>
        <v>0</v>
      </c>
      <c r="AZ56" s="0" t="n">
        <f aca="false">IF(AZ54="",0,IF(AZ55=Milestones!$AB$60,Milestones!$AC$60,0))</f>
        <v>0</v>
      </c>
      <c r="BA56" s="0" t="n">
        <f aca="false">IF(BA54="",0,IF(BA55=Milestones!$AB$61,Milestones!$AC$61,0))</f>
        <v>0</v>
      </c>
      <c r="BB56" s="0" t="n">
        <f aca="false">IF(BB54="",0,IF(BB55=Milestones!$AB$62,Milestones!$AC$62,0))</f>
        <v>0</v>
      </c>
      <c r="BC56" s="0" t="n">
        <f aca="false">IF(BC54="",0,IF(BC55=Milestones!$AB$63,Milestones!$AC$63,0))</f>
        <v>0</v>
      </c>
      <c r="BD56" s="0" t="n">
        <f aca="false">IF(BD54="",0,IF(BD55=Milestones!$AB$64,Milestones!$AC$64,0))</f>
        <v>0</v>
      </c>
      <c r="BE56" s="0" t="n">
        <f aca="false">IF(BE54="",0,IF(BE55=Milestones!$AB$65,Milestones!$AC$65,0))</f>
        <v>0</v>
      </c>
      <c r="BF56" s="0" t="n">
        <f aca="false">IF(BF54="",0,IF(BF55=Milestones!$AB$66,Milestones!$AC$66,0))</f>
        <v>0</v>
      </c>
      <c r="BG56" s="0" t="n">
        <f aca="false">IF(BG54="",0,IF(BG55=Milestones!$AB$67,Milestones!$AC$67,0))</f>
        <v>0</v>
      </c>
      <c r="BH56" s="0" t="n">
        <f aca="false">IF(BH54="",0,IF(BH55=Milestones!$AB$68,Milestones!$AC$68,0))</f>
        <v>0</v>
      </c>
      <c r="BI56" s="0" t="n">
        <f aca="false">IF(BI54="",0,IF(BI55=Milestones!$AB$69,Milestones!$AC$69,0))</f>
        <v>0</v>
      </c>
      <c r="BJ56" s="0" t="n">
        <f aca="false">IF(BJ54="",0,IF(BJ55=Milestones!$AB$70,Milestones!$AC$70,0))</f>
        <v>0</v>
      </c>
      <c r="BK56" s="0" t="n">
        <f aca="false">IF(BK54="",0,IF(BK55=Milestones!$AB$71,Milestones!$AC$71,0))</f>
        <v>0</v>
      </c>
      <c r="BL56" s="0" t="n">
        <f aca="false">IF(BL54="",0,IF(BL55=Milestones!$AB$72,Milestones!$AC$72,0))</f>
        <v>0</v>
      </c>
      <c r="BM56" s="0" t="n">
        <f aca="false">IF(BM54="",0,IF(BM55=Milestones!$AB$73,Milestones!$AC$73,0))</f>
        <v>0</v>
      </c>
      <c r="BN56" s="0" t="n">
        <f aca="false">IF(BN54="",0,IF(BN55=Milestones!$AB$74,Milestones!$AC$74,0))</f>
        <v>0</v>
      </c>
      <c r="BO56" s="0" t="n">
        <f aca="false">IF(BO54="",0,IF(BO55=Milestones!$AB$75,Milestones!$AC$75,0))</f>
        <v>0</v>
      </c>
      <c r="BP56" s="0" t="n">
        <f aca="false">IF(BP54="",0,IF(BP55=Milestones!$AB$76,Milestones!$AC$76,0))</f>
        <v>0</v>
      </c>
      <c r="BQ56" s="0" t="n">
        <f aca="false">IF(BQ54="",0,IF(BQ55=Milestones!$AB$77,Milestones!$AC$77,0))</f>
        <v>0</v>
      </c>
      <c r="BR56" s="0" t="n">
        <f aca="false">IF(BR54="",0,IF(BR55=Milestones!$AB$78,Milestones!$AC$78,0))</f>
        <v>0</v>
      </c>
      <c r="BS56" s="0" t="n">
        <f aca="false">IF(BS54="",0,IF(BS55=Milestones!$AB$79,Milestones!$AC$79,0))</f>
        <v>0</v>
      </c>
      <c r="BT56" s="0" t="n">
        <f aca="false">IF(BT54="",0,IF(BT55=Milestones!$AB$80,Milestones!$AC$80,0))</f>
        <v>0</v>
      </c>
      <c r="BU56" s="0" t="n">
        <f aca="false">IF(BU54="",0,IF(BU55=Milestones!$AB$81,Milestones!$AC$81,0))</f>
        <v>0</v>
      </c>
      <c r="BV56" s="0" t="n">
        <f aca="false">IF(BV54="",0,IF(BV55=Milestones!$AB$82,Milestones!$AC$82,0))</f>
        <v>0</v>
      </c>
      <c r="BW56" s="0" t="n">
        <f aca="false">IF(BW54="",0,IF(BW55=Milestones!$AB$83,Milestones!$AC$83,0))</f>
        <v>0</v>
      </c>
      <c r="BX56" s="0" t="n">
        <f aca="false">IF(BX54="",0,IF(BX55=Milestones!$AB$84,Milestones!$AC$84,0))</f>
        <v>0</v>
      </c>
      <c r="BY56" s="0" t="n">
        <f aca="false">IF(BY54="",0,IF(BY55=Milestones!$AB$85,Milestones!$AC$85,0))</f>
        <v>0</v>
      </c>
      <c r="BZ56" s="0" t="n">
        <f aca="false">IF(BZ54="",0,IF(BZ55=Milestones!$AB$86,Milestones!$AC$86,0))</f>
        <v>0</v>
      </c>
      <c r="CA56" s="0" t="n">
        <f aca="false">IF(CA54="",0,IF(CA55=Milestones!$AB$87,Milestones!$AC$87,0))</f>
        <v>0</v>
      </c>
      <c r="CB56" s="0" t="n">
        <f aca="false">IF(CB54="",0,IF(CB55=Milestones!$AB$88,Milestones!$AC$88,0))</f>
        <v>0</v>
      </c>
      <c r="CC56" s="0" t="n">
        <f aca="false">IF(CC54="",0,IF(CC55=Milestones!$AB$89,Milestones!$AC$89,0))</f>
        <v>0</v>
      </c>
      <c r="CD56" s="0" t="n">
        <f aca="false">IF(CD54="",0,IF(CD55=Milestones!$AB$90,Milestones!$AC$90,0))</f>
        <v>0</v>
      </c>
      <c r="CE56" s="0" t="n">
        <f aca="false">IF(CE54="",0,IF(CE55=Milestones!$AB$91,Milestones!$AC$91,0))</f>
        <v>0</v>
      </c>
      <c r="CF56" s="0" t="n">
        <f aca="false">IF(CF54="",0,IF(CF55=Milestones!$AB$92,Milestones!$AC$92,0))</f>
        <v>0</v>
      </c>
      <c r="CG56" s="0" t="n">
        <f aca="false">IF(CG54="",0,IF(CG55=Milestones!$AB$93,Milestones!$AC$93,0))</f>
        <v>0</v>
      </c>
      <c r="CH56" s="0" t="n">
        <f aca="false">IF(CH54="",0,IF(CH55=Milestones!$AB$94,Milestones!$AC$94,0))</f>
        <v>0</v>
      </c>
      <c r="CI56" s="0" t="n">
        <f aca="false">IF(CI54="",0,IF(CI55=Milestones!$AB$95,Milestones!$AC$95,0))</f>
        <v>0</v>
      </c>
      <c r="CJ56" s="0" t="n">
        <f aca="false">IF(CJ54="",0,IF(CJ55=Milestones!$AB$96,Milestones!$AC$96,0))</f>
        <v>0</v>
      </c>
      <c r="CK56" s="0" t="n">
        <f aca="false">IF(CK54="",0,IF(CK55=Milestones!$AB$97,Milestones!$AC$97,0))</f>
        <v>0</v>
      </c>
      <c r="CL56" s="0" t="n">
        <f aca="false">IF(CL54="",0,IF(CL55=Milestones!$AB$98,Milestones!$AC$98,0))</f>
        <v>0</v>
      </c>
      <c r="CM56" s="0" t="n">
        <f aca="false">IF(CM54="",0,IF(CM55=Milestones!$AB$99,Milestones!$AC$99,0))</f>
        <v>0</v>
      </c>
      <c r="CN56" s="0" t="n">
        <f aca="false">IF(CN54="",0,IF(CN55=Milestones!$AB$100,Milestones!$AC$100,0))</f>
        <v>0</v>
      </c>
      <c r="CO56" s="0" t="n">
        <f aca="false">IF(CO54="",0,IF(CO55=Milestones!$AB$101,Milestones!$AC$101,0))</f>
        <v>0</v>
      </c>
      <c r="CP56" s="0" t="n">
        <f aca="false">IF(CP54="",0,IF(CP55=Milestones!$AB$102,Milestones!$AC$102,0))</f>
        <v>0</v>
      </c>
      <c r="CQ56" s="0" t="n">
        <f aca="false">IF(CQ54="",0,IF(CQ55=Milestones!$AB$103,Milestones!$AC$103,0))</f>
        <v>0</v>
      </c>
      <c r="CR56" s="0" t="n">
        <f aca="false">IF(CR54="",0,IF(CR55=Milestones!$AB$104,Milestones!$AC$104,0))</f>
        <v>0</v>
      </c>
      <c r="CS56" s="0" t="n">
        <f aca="false">IF(CS54="",0,IF(CS55=Milestones!$AB$105,Milestones!$AC$105,0))</f>
        <v>0</v>
      </c>
      <c r="CT56" s="0" t="n">
        <f aca="false">IF(CT54="",0,IF(CT55=Milestones!$AB$106,Milestones!$AC$106,0))</f>
        <v>0</v>
      </c>
      <c r="CU56" s="0" t="n">
        <f aca="false">IF(CU54="",0,IF(CU55=Milestones!$AB$107,Milestones!$AC$107,0))</f>
        <v>0</v>
      </c>
      <c r="CV56" s="0" t="n">
        <f aca="false">IF(CV54="",0,IF(CV55=Milestones!$AB$108,Milestones!$AC$108,0))</f>
        <v>0</v>
      </c>
      <c r="CW56" s="0" t="n">
        <f aca="false">IF(CW54="",0,IF(CW55=Milestones!$AB$109,Milestones!$AC$109,0))</f>
        <v>0</v>
      </c>
      <c r="CX56" s="0" t="n">
        <f aca="false">IF(CX54="",0,IF(CX55=Milestones!$AB$110,Milestones!$AC$110,0))</f>
        <v>0</v>
      </c>
      <c r="CY56" s="0" t="n">
        <f aca="false">IF(CY54="",0,IF(CY55=Milestones!$AB$111,Milestones!$AC$111,0))</f>
        <v>0</v>
      </c>
      <c r="CZ56" s="0" t="n">
        <f aca="false">IF(CZ54="",0,IF(CZ55=Milestones!$AB$112,Milestones!$AC$112,0))</f>
        <v>0</v>
      </c>
      <c r="DA56" s="0" t="n">
        <f aca="false">IF(DA54="",0,IF(DA55=Milestones!$AB$113,Milestones!$AC$113,0))</f>
        <v>0</v>
      </c>
      <c r="DB56" s="0" t="n">
        <f aca="false">IF(DB54="",0,IF(DB55=Milestones!$AB$114,Milestones!$AC$114,0))</f>
        <v>0</v>
      </c>
      <c r="DC56" s="0" t="n">
        <f aca="false">IF(DC54="",0,IF(DC55=Milestones!$AB$115,Milestones!$AC$115,0))</f>
        <v>0</v>
      </c>
      <c r="DD56" s="0" t="n">
        <f aca="false">IF(DD54="",0,IF(DD55=Milestones!$AB$116,Milestones!$AC$116,0))</f>
        <v>0</v>
      </c>
      <c r="DE56" s="0" t="n">
        <f aca="false">IF(DE54="",0,IF(DE55=Milestones!$AB$117,Milestones!$AC$117,0))</f>
        <v>0</v>
      </c>
      <c r="DF56" s="0" t="n">
        <f aca="false">IF(DF54="",0,IF(DF55=Milestones!$AB$118,Milestones!$AC$118,0))</f>
        <v>0</v>
      </c>
      <c r="DG56" s="0" t="n">
        <f aca="false">IF(DG54="",0,IF(DG55=Milestones!$AB$119,Milestones!$AC$119,0))</f>
        <v>0</v>
      </c>
      <c r="DH56" s="0" t="n">
        <f aca="false">IF(DH54="",0,IF(DH55=Milestones!$AB$120,Milestones!$AC$120,0))</f>
        <v>0</v>
      </c>
      <c r="DI56" s="0" t="n">
        <f aca="false">IF(DI54="",0,IF(DI55=Milestones!$AB$121,Milestones!$AC$121,0))</f>
        <v>0</v>
      </c>
      <c r="DJ56" s="0" t="n">
        <f aca="false">IF(DJ54="",0,IF(DJ55=Milestones!$AB$122,Milestones!$AC$122,0))</f>
        <v>0</v>
      </c>
      <c r="DK56" s="0" t="n">
        <f aca="false">IF(DK54="",0,IF(DK55=Milestones!$AB$123,Milestones!$AC$123,0))</f>
        <v>0</v>
      </c>
      <c r="DL56" s="0" t="n">
        <f aca="false">IF(DL54="",0,IF(DL55=Milestones!$AB$124,Milestones!$AC$124,0))</f>
        <v>0</v>
      </c>
      <c r="DM56" s="0" t="n">
        <f aca="false">IF(DM54="",0,IF(DM55=Milestones!$AB$125,Milestones!$AC$125,0))</f>
        <v>0</v>
      </c>
      <c r="DN56" s="0" t="n">
        <f aca="false">IF(DN54="",0,IF(DN55=Milestones!$AB$126,Milestones!$AC$126,0))</f>
        <v>0</v>
      </c>
      <c r="DO56" s="0" t="n">
        <f aca="false">IF(DO54="",0,IF(DO55=Milestones!$AB$127,Milestones!$AC$127,0))</f>
        <v>0</v>
      </c>
      <c r="DP56" s="0" t="n">
        <f aca="false">IF(DP54="",0,IF(DP55=Milestones!$AB$128,Milestones!$AC$128,0))</f>
        <v>0</v>
      </c>
      <c r="DQ56" s="0" t="n">
        <f aca="false">IF(DQ54="",0,IF(DQ55=Milestones!$AB$129,Milestones!$AC$129,0))</f>
        <v>0</v>
      </c>
      <c r="DR56" s="0" t="n">
        <f aca="false">IF(DR54="",0,IF(DR55=Milestones!$AB$130,Milestones!$AC$130,0))</f>
        <v>0</v>
      </c>
      <c r="DS56" s="0" t="n">
        <f aca="false">IF(DS54="",0,IF(DS55=Milestones!$AB$131,Milestones!$AC$131,0))</f>
        <v>0</v>
      </c>
      <c r="DT56" s="0" t="n">
        <f aca="false">IF(DT54="",0,IF(DT55=Milestones!$AB$132,Milestones!$AC$132,0))</f>
        <v>0</v>
      </c>
      <c r="DU56" s="0" t="n">
        <f aca="false">IF(DU54="",0,IF(DU55=Milestones!$AB$133,Milestones!$AC$133,0))</f>
        <v>0</v>
      </c>
      <c r="DV56" s="0" t="n">
        <f aca="false">IF(DV54="",0,IF(DV55=Milestones!$AB$134,Milestones!$AC$134,0))</f>
        <v>0</v>
      </c>
      <c r="DW56" s="0" t="n">
        <f aca="false">IF(DW54="",0,IF(DW55=Milestones!$AB$135,Milestones!$AC$135,0))</f>
        <v>0</v>
      </c>
      <c r="DX56" s="0" t="n">
        <f aca="false">IF(DX54="",0,IF(DX55=Milestones!$AB$136,Milestones!$AC$136,0))</f>
        <v>0</v>
      </c>
      <c r="DY56" s="0" t="n">
        <f aca="false">IF(DY54="",0,IF(DY55=Milestones!$AB$137,Milestones!$AC$137,0))</f>
        <v>0</v>
      </c>
      <c r="DZ56" s="0" t="n">
        <f aca="false">IF(DZ54="",0,IF(DZ55=Milestones!$AB$138,Milestones!$AC$138,0))</f>
        <v>0</v>
      </c>
      <c r="EA56" s="0" t="n">
        <f aca="false">IF(EA54="",0,IF(EA55=Milestones!$AB$139,Milestones!$AC$139,0))</f>
        <v>0</v>
      </c>
      <c r="EB56" s="0" t="n">
        <f aca="false">IF(EB54="",0,IF(EB55=Milestones!$AB$140,Milestones!$AC$140,0))</f>
        <v>0</v>
      </c>
      <c r="EC56" s="0" t="n">
        <f aca="false">IF(EC54="",0,IF(EC55=Milestones!$AB$141,Milestones!$AC$141,0))</f>
        <v>0</v>
      </c>
      <c r="ED56" s="0" t="n">
        <f aca="false">IF(ED54="",0,IF(ED55=Milestones!$AB$142,Milestones!$AC$142,0))</f>
        <v>0</v>
      </c>
      <c r="EE56" s="0" t="n">
        <f aca="false">IF(EE54="",0,IF(EE55=Milestones!$AB$143,Milestones!$AC$143,0))</f>
        <v>0</v>
      </c>
      <c r="EF56" s="0" t="n">
        <f aca="false">IF(EF54="",0,IF(EF55=Milestones!$AB$144,Milestones!$AC$144,0))</f>
        <v>0</v>
      </c>
      <c r="EG56" s="0" t="n">
        <f aca="false">IF(EG54="",0,IF(EG55=Milestones!$AB$145,Milestones!$AC$145,0))</f>
        <v>0</v>
      </c>
      <c r="EH56" s="0" t="n">
        <f aca="false">IF(EH54="",0,IF(EH55=Milestones!$AB$146,Milestones!$AC$146,0))</f>
        <v>0</v>
      </c>
      <c r="EI56" s="0" t="n">
        <f aca="false">IF(EI54="",0,IF(EI55=Milestones!$AB$147,Milestones!$AC$147,0))</f>
        <v>0</v>
      </c>
      <c r="EJ56" s="0" t="n">
        <f aca="false">IF(EJ54="",0,IF(EJ55=Milestones!$AB$148,Milestones!$AC$148,0))</f>
        <v>0</v>
      </c>
      <c r="EK56" s="0" t="n">
        <f aca="false">IF(EK54="",0,IF(EK55=Milestones!$AB$149,Milestones!$AC$149,0))</f>
        <v>0</v>
      </c>
      <c r="EL56" s="0" t="n">
        <f aca="false">IF(EL54="",0,IF(EL55=Milestones!$AB$150,Milestones!$AC$150,0))</f>
        <v>0</v>
      </c>
      <c r="EM56" s="0" t="n">
        <f aca="false">IF(EM54="",0,IF(EM55=Milestones!$AB$151,Milestones!$AC$151,0))</f>
        <v>0</v>
      </c>
      <c r="EN56" s="0" t="n">
        <f aca="false">IF(EN54="",0,IF(EN55=Milestones!$AB$152,Milestones!$AC$152,0))</f>
        <v>0</v>
      </c>
      <c r="EO56" s="0" t="n">
        <f aca="false">IF(EO54="",0,IF(EO55=Milestones!$AB$153,Milestones!$AC$153,0))</f>
        <v>0</v>
      </c>
      <c r="EP56" s="0" t="n">
        <f aca="false">IF(EP54="",0,IF(EP55=Milestones!$AB$154,Milestones!$AC$154,0))</f>
        <v>0</v>
      </c>
      <c r="EQ56" s="0" t="n">
        <f aca="false">IF(EQ54="",0,IF(EQ55=Milestones!$AB$155,Milestones!$AC$155,0))</f>
        <v>0</v>
      </c>
      <c r="ER56" s="0" t="n">
        <f aca="false">IF(ER54="",0,IF(ER55=Milestones!$AB$156,Milestones!$AC$156,0))</f>
        <v>0</v>
      </c>
      <c r="ES56" s="0" t="n">
        <f aca="false">IF(ES54="",0,IF(ES55=Milestones!$AB$157,Milestones!$AC$157,0))</f>
        <v>0</v>
      </c>
      <c r="ET56" s="0" t="n">
        <f aca="false">IF(ET54="",0,IF(ET55=Milestones!$AB$158,Milestones!$AC$158,0))</f>
        <v>0</v>
      </c>
      <c r="EU56" s="0" t="n">
        <f aca="false">IF(EU54="",0,IF(EU55=Milestones!$AB$159,Milestones!$AC$159,0))</f>
        <v>0</v>
      </c>
      <c r="EV56" s="0" t="n">
        <f aca="false">IF(EV54="",0,IF(EV55=Milestones!$AB$160,Milestones!$AC$160,0))</f>
        <v>0</v>
      </c>
      <c r="EW56" s="0" t="n">
        <f aca="false">IF(EW54="",0,IF(EW55=Milestones!$AB$161,Milestones!$AC$161,0))</f>
        <v>0</v>
      </c>
      <c r="EX56" s="0" t="n">
        <f aca="false">IF(EX54="",0,IF(EX55=Milestones!$AB$162,Milestones!$AC$162,0))</f>
        <v>0</v>
      </c>
      <c r="EY56" s="0" t="n">
        <f aca="false">IF(EY54="",0,IF(EY55=Milestones!$AB$163,Milestones!$AC$163,0))</f>
        <v>0</v>
      </c>
      <c r="EZ56" s="0" t="n">
        <f aca="false">IF(EZ54="",0,IF(EZ55=Milestones!$AB$164,Milestones!$AC$164,0))</f>
        <v>0</v>
      </c>
      <c r="FA56" s="0" t="n">
        <f aca="false">IF(FA54="",0,IF(FA55=Milestones!$AB$165,Milestones!$AC$165,0))</f>
        <v>0</v>
      </c>
      <c r="FB56" s="0" t="n">
        <f aca="false">IF(FB54="",0,IF(FB55=Milestones!$AB$166,Milestones!$AC$166,0))</f>
        <v>0</v>
      </c>
      <c r="FC56" s="0" t="n">
        <f aca="false">IF(FC54="",0,IF(FC55=Milestones!$AB$167,Milestones!$AC$167,0))</f>
        <v>0</v>
      </c>
      <c r="FD56" s="0" t="n">
        <f aca="false">IF(FD54="",0,IF(FD55=Milestones!$AB$168,Milestones!$AC$168,0))</f>
        <v>0</v>
      </c>
      <c r="FE56" s="0" t="n">
        <f aca="false">IF(FE54="",0,IF(FE55=Milestones!$AB$169,Milestones!$AC$169,0))</f>
        <v>0</v>
      </c>
      <c r="FF56" s="0" t="n">
        <f aca="false">IF(FF54="",0,IF(FF55=Milestones!$AB$170,Milestones!$AC$170,0))</f>
        <v>0</v>
      </c>
      <c r="FG56" s="0" t="n">
        <f aca="false">IF(FG54="",0,IF(FG55=Milestones!$AB$171,Milestones!$AC$171,0))</f>
        <v>0</v>
      </c>
      <c r="FH56" s="0" t="n">
        <f aca="false">IF(FH54="",0,IF(FH55=Milestones!$AB$172,Milestones!$AC$172,0))</f>
        <v>0</v>
      </c>
      <c r="FI56" s="0" t="n">
        <f aca="false">IF(FI54="",0,IF(FI55=Milestones!$AB$173,Milestones!$AC$173,0))</f>
        <v>0</v>
      </c>
      <c r="FJ56" s="0" t="n">
        <f aca="false">IF(FJ54="",0,IF(FJ55=Milestones!$AB$174,Milestones!$AC$174,0))</f>
        <v>0</v>
      </c>
      <c r="FK56" s="0" t="n">
        <f aca="false">IF(FK54="",0,IF(FK55=Milestones!$AB$175,Milestones!$AC$175,0))</f>
        <v>0</v>
      </c>
      <c r="FL56" s="0" t="n">
        <f aca="false">IF(FL54="",0,IF(FL55=Milestones!$AB$176,Milestones!$AC$176,0))</f>
        <v>0</v>
      </c>
      <c r="FM56" s="0" t="n">
        <f aca="false">IF(FM54="",0,IF(FM55=Milestones!$AB$177,Milestones!$AC$177,0))</f>
        <v>0</v>
      </c>
      <c r="FN56" s="0" t="n">
        <f aca="false">IF(FN54="",0,IF(FN55=Milestones!$AB$178,Milestones!$AC$178,0))</f>
        <v>0</v>
      </c>
      <c r="FO56" s="0" t="n">
        <f aca="false">IF(FO54="",0,IF(FO55=Milestones!$AB$179,Milestones!$AC$179,0))</f>
        <v>0</v>
      </c>
      <c r="FP56" s="0" t="n">
        <f aca="false">IF(FP54="",0,IF(FP55=Milestones!$AB$180,Milestones!$AC$180,0))</f>
        <v>0</v>
      </c>
      <c r="FQ56" s="0" t="n">
        <f aca="false">IF(FQ54="",0,IF(FQ55=Milestones!$AB$181,Milestones!$AC$181,0))</f>
        <v>0</v>
      </c>
      <c r="FR56" s="0" t="n">
        <f aca="false">IF(FR54="",0,IF(FR55=Milestones!$AB$182,Milestones!$AC$182,0))</f>
        <v>0</v>
      </c>
      <c r="FS56" s="0" t="n">
        <f aca="false">IF(FS54="",0,IF(FS55=Milestones!$AB$183,Milestones!$AC$183,0))</f>
        <v>0</v>
      </c>
      <c r="FT56" s="0" t="n">
        <f aca="false">IF(FT54="",0,IF(FT55=Milestones!$AB$184,Milestones!$AC$184,0))</f>
        <v>0</v>
      </c>
      <c r="FU56" s="0" t="n">
        <f aca="false">IF(FU54="",0,IF(FU55=Milestones!$AB$185,Milestones!$AC$185,0))</f>
        <v>0</v>
      </c>
      <c r="FV56" s="0" t="n">
        <f aca="false">IF(FV54="",0,IF(FV55=Milestones!$AB$186,Milestones!$AC$186,0))</f>
        <v>0</v>
      </c>
      <c r="FW56" s="0" t="n">
        <f aca="false">IF(FW54="",0,IF(FW55=Milestones!$AB$187,Milestones!$AC$187,0))</f>
        <v>0</v>
      </c>
      <c r="FX56" s="0" t="n">
        <f aca="false">IF(FX54="",0,IF(FX55=Milestones!$AB$188,Milestones!$AC$188,0))</f>
        <v>0</v>
      </c>
      <c r="FY56" s="0" t="n">
        <f aca="false">IF(FY54="",0,IF(FY55=Milestones!$AB$189,Milestones!$AC$189,0))</f>
        <v>0</v>
      </c>
      <c r="FZ56" s="0" t="n">
        <f aca="false">IF(FZ54="",0,IF(FZ55=Milestones!$AB$190,Milestones!$AC$190,0))</f>
        <v>0</v>
      </c>
      <c r="GA56" s="0" t="n">
        <f aca="false">IF(GA54="",0,IF(GA55=Milestones!$AB$191,Milestones!$AC$191,0))</f>
        <v>0</v>
      </c>
      <c r="GB56" s="0" t="n">
        <f aca="false">IF(GB54="",0,IF(GB55=Milestones!$AB$192,Milestones!$AC$192,0))</f>
        <v>0</v>
      </c>
      <c r="GC56" s="0" t="n">
        <f aca="false">IF(GC54="",0,IF(GC55=Milestones!$AB$193,Milestones!$AC$193,0))</f>
        <v>0</v>
      </c>
      <c r="GD56" s="0" t="n">
        <f aca="false">IF(GD54="",0,IF(GD55=Milestones!$AB$194,Milestones!$AC$194,0))</f>
        <v>0</v>
      </c>
      <c r="GE56" s="0" t="n">
        <f aca="false">IF(GE54="",0,IF(GE55=Milestones!$AB$195,Milestones!$AC$195,0))</f>
        <v>0</v>
      </c>
      <c r="GF56" s="0" t="n">
        <f aca="false">IF(GF54="",0,IF(GF55=Milestones!$AB$196,Milestones!$AC$196,0))</f>
        <v>0</v>
      </c>
      <c r="GG56" s="0" t="n">
        <f aca="false">IF(GG54="",0,IF(GG55=Milestones!$AB$197,Milestones!$AC$197,0))</f>
        <v>0</v>
      </c>
      <c r="GH56" s="0" t="n">
        <f aca="false">IF(GH54="",0,IF(GH55=Milestones!$AB$198,Milestones!$AC$198,0))</f>
        <v>0</v>
      </c>
      <c r="GI56" s="0" t="n">
        <f aca="false">IF(GI54="",0,IF(GI55=Milestones!$AB$199,Milestones!$AC$199,0))</f>
        <v>0</v>
      </c>
    </row>
    <row r="57" customFormat="false" ht="15" hidden="false" customHeight="false" outlineLevel="0" collapsed="false">
      <c r="A57" s="0" t="str">
        <f aca="false">IF('HR Tally Check'!T$7="","",'HR Tally Check'!T$7)</f>
        <v/>
      </c>
      <c r="B57" s="0" t="str">
        <f aca="false">IF(A57="","",ISNUMBER(MATCH(A57,Staff!$BJ$5:$BJ$154,0)))</f>
        <v/>
      </c>
      <c r="C57" s="18" t="str">
        <f aca="false">IF(B57&lt;&gt;TRUE(),"",INDEX(Staff!$AH$5:$AH$154,MATCH($A57,Staff!$BJ$5:$BJ$154,0)))</f>
        <v/>
      </c>
      <c r="D57" s="0" t="str">
        <f aca="false">IF(B57&lt;&gt;TRUE(),"",INDEX(Staff!$AI$5:$AI$154,MATCH($A57,Staff!$BJ$5:$BJ$154,0)))</f>
        <v/>
      </c>
      <c r="E57" s="18" t="str">
        <f aca="false">IF(B57&lt;&gt;TRUE(),"",INDEX(Staff!$AK$5:$AK$154,MATCH($A57,Staff!$BJ$5:$BJ$154,0)))</f>
        <v/>
      </c>
      <c r="F57" s="18" t="str">
        <f aca="false">IF(B57&lt;&gt;TRUE(),"",INDEX(Staff!$AL$5:$AL$154,MATCH($A57,Staff!$BJ$5:$BJ$154,0)))</f>
        <v/>
      </c>
      <c r="G57" s="0" t="str">
        <f aca="false">IF(B57&lt;&gt;TRUE(),"",INDEX(Staff!$AP$5:$AP$154,MATCH($A57,Staff!$BJ$5:$BJ$154,0)))</f>
        <v/>
      </c>
      <c r="H57" s="0" t="str">
        <f aca="false">IF(B57&lt;&gt;TRUE(),"",INDEX(Staff!$AQ$5:$AQ$154,MATCH($A57,Staff!$BJ$5:$BJ$154,0)))</f>
        <v/>
      </c>
      <c r="I57" s="0" t="str">
        <f aca="false">IF(B57&lt;&gt;TRUE(),"",INDEX(Staff!$AR$5:$AR$154,MATCH($A57,Staff!$BJ$5:$BJ$154,0)))</f>
        <v/>
      </c>
      <c r="J57" s="0" t="str">
        <f aca="false">IF(B57&lt;&gt;TRUE(),"",INDEX(Staff!$AS$5:$AS$154,MATCH($A57,Staff!$BJ$5:$BJ$154,0)))</f>
        <v/>
      </c>
      <c r="K57" s="31" t="s">
        <v>228</v>
      </c>
      <c r="L57" s="18" t="str">
        <f aca="false">IF($C57="","",EDATE($C57,Milestones!$AA$20))</f>
        <v/>
      </c>
      <c r="M57" s="18" t="str">
        <f aca="false">IF($C57="","",EDATE($C57,Milestones!$AA$21))</f>
        <v/>
      </c>
      <c r="N57" s="18" t="str">
        <f aca="false">IF($C57="","",EDATE($C57,Milestones!$AA$22))</f>
        <v/>
      </c>
      <c r="O57" s="18" t="str">
        <f aca="false">IF($C57="","",EDATE($C57,Milestones!$AA$23))</f>
        <v/>
      </c>
      <c r="P57" s="18" t="str">
        <f aca="false">IF($C57="","",EDATE($C57,Milestones!$AA$24))</f>
        <v/>
      </c>
      <c r="Q57" s="18" t="str">
        <f aca="false">IF($C57="","",EDATE($C57,Milestones!$AA$25))</f>
        <v/>
      </c>
      <c r="R57" s="18" t="str">
        <f aca="false">IF($C57="","",EDATE($C57,Milestones!$AA$26))</f>
        <v/>
      </c>
      <c r="S57" s="18" t="str">
        <f aca="false">IF($C57="","",EDATE($C57,Milestones!$AA$27))</f>
        <v/>
      </c>
      <c r="T57" s="18" t="str">
        <f aca="false">IF($C57="","",EDATE($C57,Milestones!$AA$28))</f>
        <v/>
      </c>
      <c r="U57" s="18" t="str">
        <f aca="false">IF($C57="","",EDATE($C57,Milestones!$AA$29))</f>
        <v/>
      </c>
      <c r="V57" s="18" t="str">
        <f aca="false">IF($C57="","",EDATE($C57,Milestones!$AA$30))</f>
        <v/>
      </c>
      <c r="W57" s="18" t="str">
        <f aca="false">IF($C57="","",EDATE($C57,Milestones!$AA$31))</f>
        <v/>
      </c>
      <c r="X57" s="18" t="str">
        <f aca="false">IF($C57="","",EDATE($C57,Milestones!$AA$32))</f>
        <v/>
      </c>
      <c r="Y57" s="18" t="str">
        <f aca="false">IF($C57="","",EDATE($C57,Milestones!$AA$33))</f>
        <v/>
      </c>
      <c r="Z57" s="18" t="str">
        <f aca="false">IF($C57="","",EDATE($C57,Milestones!$AA$34))</f>
        <v/>
      </c>
      <c r="AA57" s="18" t="str">
        <f aca="false">IF($C57="","",EDATE($C57,Milestones!$AA$35))</f>
        <v/>
      </c>
      <c r="AB57" s="18" t="str">
        <f aca="false">IF($C57="","",EDATE($C57,Milestones!$AA$36))</f>
        <v/>
      </c>
      <c r="AC57" s="18" t="str">
        <f aca="false">IF($C57="","",EDATE($C57,Milestones!$AA$37))</f>
        <v/>
      </c>
      <c r="AD57" s="18" t="str">
        <f aca="false">IF($C57="","",EDATE($C57,Milestones!$AA$38))</f>
        <v/>
      </c>
      <c r="AE57" s="18" t="str">
        <f aca="false">IF($C57="","",EDATE($C57,Milestones!$AA$39))</f>
        <v/>
      </c>
      <c r="AF57" s="18" t="str">
        <f aca="false">IF($C57="","",EDATE($C57,Milestones!$AA$40))</f>
        <v/>
      </c>
      <c r="AG57" s="18" t="str">
        <f aca="false">IF($C57="","",EDATE($C57,Milestones!$AA$41))</f>
        <v/>
      </c>
      <c r="AH57" s="18" t="str">
        <f aca="false">IF($C57="","",EDATE($C57,Milestones!$AA$42))</f>
        <v/>
      </c>
      <c r="AI57" s="18" t="str">
        <f aca="false">IF($C57="","",EDATE($C57,Milestones!$AA$43))</f>
        <v/>
      </c>
      <c r="AJ57" s="18" t="str">
        <f aca="false">IF($C57="","",EDATE($C57,Milestones!$AA$44))</f>
        <v/>
      </c>
      <c r="AK57" s="18" t="str">
        <f aca="false">IF($C57="","",EDATE($C57,Milestones!$AA$45))</f>
        <v/>
      </c>
      <c r="AL57" s="18" t="str">
        <f aca="false">IF($C57="","",EDATE($C57,Milestones!$AA$46))</f>
        <v/>
      </c>
      <c r="AM57" s="18" t="str">
        <f aca="false">IF($C57="","",EDATE($C57,Milestones!$AA$47))</f>
        <v/>
      </c>
      <c r="AN57" s="18" t="str">
        <f aca="false">IF($C57="","",EDATE($C57,Milestones!$AA$48))</f>
        <v/>
      </c>
      <c r="AO57" s="18" t="str">
        <f aca="false">IF($C57="","",EDATE($C57,Milestones!$AA$49))</f>
        <v/>
      </c>
      <c r="AP57" s="18" t="str">
        <f aca="false">IF($C57="","",EDATE($C57,Milestones!$AA$50))</f>
        <v/>
      </c>
      <c r="AQ57" s="18" t="str">
        <f aca="false">IF($C57="","",EDATE($C57,Milestones!$AA$51))</f>
        <v/>
      </c>
      <c r="AR57" s="18" t="str">
        <f aca="false">IF($C57="","",EDATE($C57,Milestones!$AA$52))</f>
        <v/>
      </c>
      <c r="AS57" s="18" t="str">
        <f aca="false">IF($C57="","",EDATE($C57,Milestones!$AA$53))</f>
        <v/>
      </c>
      <c r="AT57" s="18" t="str">
        <f aca="false">IF($C57="","",EDATE($C57,Milestones!$AA$54))</f>
        <v/>
      </c>
      <c r="AU57" s="18" t="str">
        <f aca="false">IF($C57="","",EDATE($C57,Milestones!$AA$55))</f>
        <v/>
      </c>
      <c r="AV57" s="18" t="str">
        <f aca="false">IF($C57="","",EDATE($C57,Milestones!$AA$56))</f>
        <v/>
      </c>
      <c r="AW57" s="18" t="str">
        <f aca="false">IF($C57="","",EDATE($C57,Milestones!$AA$57))</f>
        <v/>
      </c>
      <c r="AX57" s="18" t="str">
        <f aca="false">IF($C57="","",EDATE($C57,Milestones!$AA$58))</f>
        <v/>
      </c>
      <c r="AY57" s="18" t="str">
        <f aca="false">IF($C57="","",EDATE($C57,Milestones!$AA$59))</f>
        <v/>
      </c>
      <c r="AZ57" s="18" t="str">
        <f aca="false">IF($C57="","",EDATE($C57,Milestones!$AA$60))</f>
        <v/>
      </c>
      <c r="BA57" s="18" t="str">
        <f aca="false">IF($C57="","",EDATE($C57,Milestones!$AA$61))</f>
        <v/>
      </c>
      <c r="BB57" s="18" t="str">
        <f aca="false">IF($C57="","",EDATE($C57,Milestones!$AA$62))</f>
        <v/>
      </c>
      <c r="BC57" s="18" t="str">
        <f aca="false">IF($C57="","",EDATE($C57,Milestones!$AA$63))</f>
        <v/>
      </c>
      <c r="BD57" s="18" t="str">
        <f aca="false">IF($C57="","",EDATE($C57,Milestones!$AA$64))</f>
        <v/>
      </c>
      <c r="BE57" s="18" t="str">
        <f aca="false">IF($C57="","",EDATE($C57,Milestones!$AA$65))</f>
        <v/>
      </c>
      <c r="BF57" s="18" t="str">
        <f aca="false">IF($C57="","",EDATE($C57,Milestones!$AA$66))</f>
        <v/>
      </c>
      <c r="BG57" s="18" t="str">
        <f aca="false">IF($C57="","",EDATE($C57,Milestones!$AA$67))</f>
        <v/>
      </c>
      <c r="BH57" s="18" t="str">
        <f aca="false">IF($C57="","",EDATE($C57,Milestones!$AA$68))</f>
        <v/>
      </c>
      <c r="BI57" s="18" t="str">
        <f aca="false">IF($C57="","",EDATE($C57,Milestones!$AA$69))</f>
        <v/>
      </c>
      <c r="BJ57" s="18" t="str">
        <f aca="false">IF($C57="","",EDATE($C57,Milestones!$AA$70))</f>
        <v/>
      </c>
      <c r="BK57" s="18" t="str">
        <f aca="false">IF($C57="","",EDATE($C57,Milestones!$AA$71))</f>
        <v/>
      </c>
      <c r="BL57" s="18" t="str">
        <f aca="false">IF($C57="","",EDATE($C57,Milestones!$AA$72))</f>
        <v/>
      </c>
      <c r="BM57" s="18" t="str">
        <f aca="false">IF($C57="","",EDATE($C57,Milestones!$AA$73))</f>
        <v/>
      </c>
      <c r="BN57" s="18" t="str">
        <f aca="false">IF($C57="","",EDATE($C57,Milestones!$AA$74))</f>
        <v/>
      </c>
      <c r="BO57" s="18" t="str">
        <f aca="false">IF($C57="","",EDATE($C57,Milestones!$AA$75))</f>
        <v/>
      </c>
      <c r="BP57" s="18" t="str">
        <f aca="false">IF($C57="","",EDATE($C57,Milestones!$AA$76))</f>
        <v/>
      </c>
      <c r="BQ57" s="18" t="str">
        <f aca="false">IF($C57="","",EDATE($C57,Milestones!$AA$77))</f>
        <v/>
      </c>
      <c r="BR57" s="18" t="str">
        <f aca="false">IF($C57="","",EDATE($C57,Milestones!$AA$78))</f>
        <v/>
      </c>
      <c r="BS57" s="18" t="str">
        <f aca="false">IF($C57="","",EDATE($C57,Milestones!$AA$79))</f>
        <v/>
      </c>
      <c r="BT57" s="18" t="str">
        <f aca="false">IF($C57="","",EDATE($C57,Milestones!$AA$80))</f>
        <v/>
      </c>
      <c r="BU57" s="18" t="str">
        <f aca="false">IF($C57="","",EDATE($C57,Milestones!$AA$81))</f>
        <v/>
      </c>
      <c r="BV57" s="18" t="str">
        <f aca="false">IF($C57="","",EDATE($C57,Milestones!$AA$82))</f>
        <v/>
      </c>
      <c r="BW57" s="18" t="str">
        <f aca="false">IF($C57="","",EDATE($C57,Milestones!$AA$83))</f>
        <v/>
      </c>
      <c r="BX57" s="18" t="str">
        <f aca="false">IF($C57="","",EDATE($C57,Milestones!$AA$84))</f>
        <v/>
      </c>
      <c r="BY57" s="18" t="str">
        <f aca="false">IF($C57="","",EDATE($C57,Milestones!$AA$85))</f>
        <v/>
      </c>
      <c r="BZ57" s="18" t="str">
        <f aca="false">IF($C57="","",EDATE($C57,Milestones!$AA$86))</f>
        <v/>
      </c>
      <c r="CA57" s="18" t="str">
        <f aca="false">IF($C57="","",EDATE($C57,Milestones!$AA$87))</f>
        <v/>
      </c>
      <c r="CB57" s="18" t="str">
        <f aca="false">IF($C57="","",EDATE($C57,Milestones!$AA$88))</f>
        <v/>
      </c>
      <c r="CC57" s="18" t="str">
        <f aca="false">IF($C57="","",EDATE($C57,Milestones!$AA$89))</f>
        <v/>
      </c>
      <c r="CD57" s="18" t="str">
        <f aca="false">IF($C57="","",EDATE($C57,Milestones!$AA$90))</f>
        <v/>
      </c>
      <c r="CE57" s="18" t="str">
        <f aca="false">IF($C57="","",EDATE($C57,Milestones!$AA$91))</f>
        <v/>
      </c>
      <c r="CF57" s="18" t="str">
        <f aca="false">IF($C57="","",EDATE($C57,Milestones!$AA$92))</f>
        <v/>
      </c>
      <c r="CG57" s="18" t="str">
        <f aca="false">IF($C57="","",EDATE($C57,Milestones!$AA$93))</f>
        <v/>
      </c>
      <c r="CH57" s="18" t="str">
        <f aca="false">IF($C57="","",EDATE($C57,Milestones!$AA$94))</f>
        <v/>
      </c>
      <c r="CI57" s="18" t="str">
        <f aca="false">IF($C57="","",EDATE($C57,Milestones!$AA$95))</f>
        <v/>
      </c>
      <c r="CJ57" s="18" t="str">
        <f aca="false">IF($C57="","",EDATE($C57,Milestones!$AA$96))</f>
        <v/>
      </c>
      <c r="CK57" s="18" t="str">
        <f aca="false">IF($C57="","",EDATE($C57,Milestones!$AA$97))</f>
        <v/>
      </c>
      <c r="CL57" s="18" t="str">
        <f aca="false">IF($C57="","",EDATE($C57,Milestones!$AA$98))</f>
        <v/>
      </c>
      <c r="CM57" s="18" t="str">
        <f aca="false">IF($C57="","",EDATE($C57,Milestones!$AA$99))</f>
        <v/>
      </c>
      <c r="CN57" s="18" t="str">
        <f aca="false">IF($C57="","",EDATE($C57,Milestones!$AA$100))</f>
        <v/>
      </c>
      <c r="CO57" s="18" t="str">
        <f aca="false">IF($C57="","",EDATE($C57,Milestones!$AA$101))</f>
        <v/>
      </c>
      <c r="CP57" s="18" t="str">
        <f aca="false">IF($C57="","",EDATE($C57,Milestones!$AA$102))</f>
        <v/>
      </c>
      <c r="CQ57" s="18" t="str">
        <f aca="false">IF($C57="","",EDATE($C57,Milestones!$AA$103))</f>
        <v/>
      </c>
      <c r="CR57" s="18" t="str">
        <f aca="false">IF($C57="","",EDATE($C57,Milestones!$AA$104))</f>
        <v/>
      </c>
      <c r="CS57" s="18" t="str">
        <f aca="false">IF($C57="","",EDATE($C57,Milestones!$AA$105))</f>
        <v/>
      </c>
      <c r="CT57" s="18" t="str">
        <f aca="false">IF($C57="","",EDATE($C57,Milestones!$AA$106))</f>
        <v/>
      </c>
      <c r="CU57" s="18" t="str">
        <f aca="false">IF($C57="","",EDATE($C57,Milestones!$AA$107))</f>
        <v/>
      </c>
      <c r="CV57" s="18" t="str">
        <f aca="false">IF($C57="","",EDATE($C57,Milestones!$AA$108))</f>
        <v/>
      </c>
      <c r="CW57" s="18" t="str">
        <f aca="false">IF($C57="","",EDATE($C57,Milestones!$AA$109))</f>
        <v/>
      </c>
      <c r="CX57" s="18" t="str">
        <f aca="false">IF($C57="","",EDATE($C57,Milestones!$AA$110))</f>
        <v/>
      </c>
      <c r="CY57" s="18" t="str">
        <f aca="false">IF($C57="","",EDATE($C57,Milestones!$AA$111))</f>
        <v/>
      </c>
      <c r="CZ57" s="18" t="str">
        <f aca="false">IF($C57="","",EDATE($C57,Milestones!$AA$112))</f>
        <v/>
      </c>
      <c r="DA57" s="18" t="str">
        <f aca="false">IF($C57="","",EDATE($C57,Milestones!$AA$113))</f>
        <v/>
      </c>
      <c r="DB57" s="18" t="str">
        <f aca="false">IF($C57="","",EDATE($C57,Milestones!$AA$114))</f>
        <v/>
      </c>
      <c r="DC57" s="18" t="str">
        <f aca="false">IF($C57="","",EDATE($C57,Milestones!$AA$115))</f>
        <v/>
      </c>
      <c r="DD57" s="18" t="str">
        <f aca="false">IF($C57="","",EDATE($C57,Milestones!$AA$116))</f>
        <v/>
      </c>
      <c r="DE57" s="18" t="str">
        <f aca="false">IF($C57="","",EDATE($C57,Milestones!$AA$117))</f>
        <v/>
      </c>
      <c r="DF57" s="18" t="str">
        <f aca="false">IF($C57="","",EDATE($C57,Milestones!$AA$118))</f>
        <v/>
      </c>
      <c r="DG57" s="18" t="str">
        <f aca="false">IF($C57="","",EDATE($C57,Milestones!$AA$119))</f>
        <v/>
      </c>
      <c r="DH57" s="18" t="str">
        <f aca="false">IF($C57="","",EDATE($C57,Milestones!$AA$120))</f>
        <v/>
      </c>
      <c r="DI57" s="18" t="str">
        <f aca="false">IF($C57="","",EDATE($C57,Milestones!$AA$121))</f>
        <v/>
      </c>
      <c r="DJ57" s="18" t="str">
        <f aca="false">IF($C57="","",EDATE($C57,Milestones!$AA$122))</f>
        <v/>
      </c>
      <c r="DK57" s="18" t="str">
        <f aca="false">IF($C57="","",EDATE($C57,Milestones!$AA$123))</f>
        <v/>
      </c>
      <c r="DL57" s="18" t="str">
        <f aca="false">IF($C57="","",EDATE($C57,Milestones!$AA$124))</f>
        <v/>
      </c>
      <c r="DM57" s="18" t="str">
        <f aca="false">IF($C57="","",EDATE($C57,Milestones!$AA$125))</f>
        <v/>
      </c>
      <c r="DN57" s="18" t="str">
        <f aca="false">IF($C57="","",EDATE($C57,Milestones!$AA$126))</f>
        <v/>
      </c>
      <c r="DO57" s="18" t="str">
        <f aca="false">IF($C57="","",EDATE($C57,Milestones!$AA$127))</f>
        <v/>
      </c>
      <c r="DP57" s="18" t="str">
        <f aca="false">IF($C57="","",EDATE($C57,Milestones!$AA$128))</f>
        <v/>
      </c>
      <c r="DQ57" s="18" t="str">
        <f aca="false">IF($C57="","",EDATE($C57,Milestones!$AA$129))</f>
        <v/>
      </c>
      <c r="DR57" s="18" t="str">
        <f aca="false">IF($C57="","",EDATE($C57,Milestones!$AA$130))</f>
        <v/>
      </c>
      <c r="DS57" s="18" t="str">
        <f aca="false">IF($C57="","",EDATE($C57,Milestones!$AA$131))</f>
        <v/>
      </c>
      <c r="DT57" s="18" t="str">
        <f aca="false">IF($C57="","",EDATE($C57,Milestones!$AA$132))</f>
        <v/>
      </c>
      <c r="DU57" s="18" t="str">
        <f aca="false">IF($C57="","",EDATE($C57,Milestones!$AA$133))</f>
        <v/>
      </c>
      <c r="DV57" s="18" t="str">
        <f aca="false">IF($C57="","",EDATE($C57,Milestones!$AA$134))</f>
        <v/>
      </c>
      <c r="DW57" s="18" t="str">
        <f aca="false">IF($C57="","",EDATE($C57,Milestones!$AA$135))</f>
        <v/>
      </c>
      <c r="DX57" s="18" t="str">
        <f aca="false">IF($C57="","",EDATE($C57,Milestones!$AA$136))</f>
        <v/>
      </c>
      <c r="DY57" s="18" t="str">
        <f aca="false">IF($C57="","",EDATE($C57,Milestones!$AA$137))</f>
        <v/>
      </c>
      <c r="DZ57" s="18" t="str">
        <f aca="false">IF($C57="","",EDATE($C57,Milestones!$AA$138))</f>
        <v/>
      </c>
      <c r="EA57" s="18" t="str">
        <f aca="false">IF($C57="","",EDATE($C57,Milestones!$AA$139))</f>
        <v/>
      </c>
      <c r="EB57" s="18" t="str">
        <f aca="false">IF($C57="","",EDATE($C57,Milestones!$AA$140))</f>
        <v/>
      </c>
      <c r="EC57" s="18" t="str">
        <f aca="false">IF($C57="","",EDATE($C57,Milestones!$AA$141))</f>
        <v/>
      </c>
      <c r="ED57" s="18" t="str">
        <f aca="false">IF($C57="","",EDATE($C57,Milestones!$AA$142))</f>
        <v/>
      </c>
      <c r="EE57" s="18" t="str">
        <f aca="false">IF($C57="","",EDATE($C57,Milestones!$AA$143))</f>
        <v/>
      </c>
      <c r="EF57" s="18" t="str">
        <f aca="false">IF($C57="","",EDATE($C57,Milestones!$AA$144))</f>
        <v/>
      </c>
      <c r="EG57" s="18" t="str">
        <f aca="false">IF($C57="","",EDATE($C57,Milestones!$AA$145))</f>
        <v/>
      </c>
      <c r="EH57" s="18" t="str">
        <f aca="false">IF($C57="","",EDATE($C57,Milestones!$AA$146))</f>
        <v/>
      </c>
      <c r="EI57" s="18" t="str">
        <f aca="false">IF($C57="","",EDATE($C57,Milestones!$AA$147))</f>
        <v/>
      </c>
      <c r="EJ57" s="18" t="str">
        <f aca="false">IF($C57="","",EDATE($C57,Milestones!$AA$148))</f>
        <v/>
      </c>
      <c r="EK57" s="18" t="str">
        <f aca="false">IF($C57="","",EDATE($C57,Milestones!$AA$149))</f>
        <v/>
      </c>
      <c r="EL57" s="18" t="str">
        <f aca="false">IF($C57="","",EDATE($C57,Milestones!$AA$150))</f>
        <v/>
      </c>
      <c r="EM57" s="18" t="str">
        <f aca="false">IF($C57="","",EDATE($C57,Milestones!$AA$151))</f>
        <v/>
      </c>
      <c r="EN57" s="18" t="str">
        <f aca="false">IF($C57="","",EDATE($C57,Milestones!$AA$152))</f>
        <v/>
      </c>
      <c r="EO57" s="18" t="str">
        <f aca="false">IF($C57="","",EDATE($C57,Milestones!$AA$153))</f>
        <v/>
      </c>
      <c r="EP57" s="18" t="str">
        <f aca="false">IF($C57="","",EDATE($C57,Milestones!$AA$154))</f>
        <v/>
      </c>
      <c r="EQ57" s="18" t="str">
        <f aca="false">IF($C57="","",EDATE($C57,Milestones!$AA$155))</f>
        <v/>
      </c>
      <c r="ER57" s="18" t="str">
        <f aca="false">IF($C57="","",EDATE($C57,Milestones!$AA$156))</f>
        <v/>
      </c>
      <c r="ES57" s="18" t="str">
        <f aca="false">IF($C57="","",EDATE($C57,Milestones!$AA$157))</f>
        <v/>
      </c>
      <c r="ET57" s="18" t="str">
        <f aca="false">IF($C57="","",EDATE($C57,Milestones!$AA$158))</f>
        <v/>
      </c>
      <c r="EU57" s="18" t="str">
        <f aca="false">IF($C57="","",EDATE($C57,Milestones!$AA$159))</f>
        <v/>
      </c>
      <c r="EV57" s="18" t="str">
        <f aca="false">IF($C57="","",EDATE($C57,Milestones!$AA$160))</f>
        <v/>
      </c>
      <c r="EW57" s="18" t="str">
        <f aca="false">IF($C57="","",EDATE($C57,Milestones!$AA$161))</f>
        <v/>
      </c>
      <c r="EX57" s="18" t="str">
        <f aca="false">IF($C57="","",EDATE($C57,Milestones!$AA$162))</f>
        <v/>
      </c>
      <c r="EY57" s="18" t="str">
        <f aca="false">IF($C57="","",EDATE($C57,Milestones!$AA$163))</f>
        <v/>
      </c>
      <c r="EZ57" s="18" t="str">
        <f aca="false">IF($C57="","",EDATE($C57,Milestones!$AA$164))</f>
        <v/>
      </c>
      <c r="FA57" s="18" t="str">
        <f aca="false">IF($C57="","",EDATE($C57,Milestones!$AA$165))</f>
        <v/>
      </c>
      <c r="FB57" s="18" t="str">
        <f aca="false">IF($C57="","",EDATE($C57,Milestones!$AA$166))</f>
        <v/>
      </c>
      <c r="FC57" s="18" t="str">
        <f aca="false">IF($C57="","",EDATE($C57,Milestones!$AA$167))</f>
        <v/>
      </c>
      <c r="FD57" s="18" t="str">
        <f aca="false">IF($C57="","",EDATE($C57,Milestones!$AA$168))</f>
        <v/>
      </c>
      <c r="FE57" s="18" t="str">
        <f aca="false">IF($C57="","",EDATE($C57,Milestones!$AA$169))</f>
        <v/>
      </c>
      <c r="FF57" s="18" t="str">
        <f aca="false">IF($C57="","",EDATE($C57,Milestones!$AA$170))</f>
        <v/>
      </c>
      <c r="FG57" s="18" t="str">
        <f aca="false">IF($C57="","",EDATE($C57,Milestones!$AA$171))</f>
        <v/>
      </c>
      <c r="FH57" s="18" t="str">
        <f aca="false">IF($C57="","",EDATE($C57,Milestones!$AA$172))</f>
        <v/>
      </c>
      <c r="FI57" s="18" t="str">
        <f aca="false">IF($C57="","",EDATE($C57,Milestones!$AA$173))</f>
        <v/>
      </c>
      <c r="FJ57" s="18" t="str">
        <f aca="false">IF($C57="","",EDATE($C57,Milestones!$AA$174))</f>
        <v/>
      </c>
      <c r="FK57" s="18" t="str">
        <f aca="false">IF($C57="","",EDATE($C57,Milestones!$AA$175))</f>
        <v/>
      </c>
      <c r="FL57" s="18" t="str">
        <f aca="false">IF($C57="","",EDATE($C57,Milestones!$AA$176))</f>
        <v/>
      </c>
      <c r="FM57" s="18" t="str">
        <f aca="false">IF($C57="","",EDATE($C57,Milestones!$AA$177))</f>
        <v/>
      </c>
      <c r="FN57" s="18" t="str">
        <f aca="false">IF($C57="","",EDATE($C57,Milestones!$AA$178))</f>
        <v/>
      </c>
      <c r="FO57" s="18" t="str">
        <f aca="false">IF($C57="","",EDATE($C57,Milestones!$AA$179))</f>
        <v/>
      </c>
      <c r="FP57" s="18" t="str">
        <f aca="false">IF($C57="","",EDATE($C57,Milestones!$AA$180))</f>
        <v/>
      </c>
      <c r="FQ57" s="18" t="str">
        <f aca="false">IF($C57="","",EDATE($C57,Milestones!$AA$181))</f>
        <v/>
      </c>
      <c r="FR57" s="18" t="str">
        <f aca="false">IF($C57="","",EDATE($C57,Milestones!$AA$182))</f>
        <v/>
      </c>
      <c r="FS57" s="18" t="str">
        <f aca="false">IF($C57="","",EDATE($C57,Milestones!$AA$183))</f>
        <v/>
      </c>
      <c r="FT57" s="18" t="str">
        <f aca="false">IF($C57="","",EDATE($C57,Milestones!$AA$184))</f>
        <v/>
      </c>
      <c r="FU57" s="18" t="str">
        <f aca="false">IF($C57="","",EDATE($C57,Milestones!$AA$185))</f>
        <v/>
      </c>
      <c r="FV57" s="18" t="str">
        <f aca="false">IF($C57="","",EDATE($C57,Milestones!$AA$186))</f>
        <v/>
      </c>
      <c r="FW57" s="18" t="str">
        <f aca="false">IF($C57="","",EDATE($C57,Milestones!$AA$187))</f>
        <v/>
      </c>
      <c r="FX57" s="18" t="str">
        <f aca="false">IF($C57="","",EDATE($C57,Milestones!$AA$188))</f>
        <v/>
      </c>
      <c r="FY57" s="18" t="str">
        <f aca="false">IF($C57="","",EDATE($C57,Milestones!$AA$189))</f>
        <v/>
      </c>
      <c r="FZ57" s="18" t="str">
        <f aca="false">IF($C57="","",EDATE($C57,Milestones!$AA$190))</f>
        <v/>
      </c>
      <c r="GA57" s="18" t="str">
        <f aca="false">IF($C57="","",EDATE($C57,Milestones!$AA$191))</f>
        <v/>
      </c>
      <c r="GB57" s="18" t="str">
        <f aca="false">IF($C57="","",EDATE($C57,Milestones!$AA$192))</f>
        <v/>
      </c>
      <c r="GC57" s="18" t="str">
        <f aca="false">IF($C57="","",EDATE($C57,Milestones!$AA$193))</f>
        <v/>
      </c>
      <c r="GD57" s="18" t="str">
        <f aca="false">IF($C57="","",EDATE($C57,Milestones!$AA$194))</f>
        <v/>
      </c>
      <c r="GE57" s="18" t="str">
        <f aca="false">IF($C57="","",EDATE($C57,Milestones!$AA$195))</f>
        <v/>
      </c>
      <c r="GF57" s="18" t="str">
        <f aca="false">IF($C57="","",EDATE($C57,Milestones!$AA$196))</f>
        <v/>
      </c>
      <c r="GG57" s="18" t="str">
        <f aca="false">IF($C57="","",EDATE($C57,Milestones!$AA$197))</f>
        <v/>
      </c>
      <c r="GH57" s="18" t="str">
        <f aca="false">IF($C57="","",EDATE($C57,Milestones!$AA$198))</f>
        <v/>
      </c>
      <c r="GI57" s="18" t="str">
        <f aca="false">IF($C57="","",EDATE($C57,Milestones!$AA$199))</f>
        <v/>
      </c>
    </row>
    <row r="58" customFormat="false" ht="15" hidden="false" customHeight="false" outlineLevel="0" collapsed="false">
      <c r="K58" s="0" t="s">
        <v>229</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230</v>
      </c>
      <c r="L59" s="0" t="n">
        <f aca="false">IF(L57="",0,IF(L58=Milestones!$AB$20,Milestones!$AC$20,0))</f>
        <v>0</v>
      </c>
      <c r="M59" s="0" t="n">
        <f aca="false">IF(M57="",0,IF(M58=Milestones!$AB$21,Milestones!$AC$21,0))</f>
        <v>0</v>
      </c>
      <c r="N59" s="0" t="n">
        <f aca="false">IF(N57="",0,IF(N58=Milestones!$AB$22,Milestones!$AC$22,0))</f>
        <v>0</v>
      </c>
      <c r="O59" s="0" t="n">
        <f aca="false">IF(O57="",0,IF(O58=Milestones!$AB$23,Milestones!$AC$23,0))</f>
        <v>0</v>
      </c>
      <c r="P59" s="0" t="n">
        <f aca="false">IF(P57="",0,IF(P58=Milestones!$AB$24,Milestones!$AC$24,0))</f>
        <v>0</v>
      </c>
      <c r="Q59" s="0" t="n">
        <f aca="false">IF(Q57="",0,IF(Q58=Milestones!$AB$25,Milestones!$AC$25,0))</f>
        <v>0</v>
      </c>
      <c r="R59" s="0" t="n">
        <f aca="false">IF(R57="",0,IF(R58=Milestones!$AB$26,Milestones!$AC$26,0))</f>
        <v>0</v>
      </c>
      <c r="S59" s="0" t="n">
        <f aca="false">IF(S57="",0,IF(S58=Milestones!$AB$27,Milestones!$AC$27,0))</f>
        <v>0</v>
      </c>
      <c r="T59" s="0" t="n">
        <f aca="false">IF(T57="",0,IF(T58=Milestones!$AB$28,Milestones!$AC$28,0))</f>
        <v>0</v>
      </c>
      <c r="U59" s="0" t="n">
        <f aca="false">IF(U57="",0,IF(U58=Milestones!$AB$29,Milestones!$AC$29,0))</f>
        <v>0</v>
      </c>
      <c r="V59" s="0" t="n">
        <f aca="false">IF(V57="",0,IF(V58=Milestones!$AB$30,Milestones!$AC$30,0))</f>
        <v>0</v>
      </c>
      <c r="W59" s="0" t="n">
        <f aca="false">IF(W57="",0,IF(W58=Milestones!$AB$31,Milestones!$AC$31,0))</f>
        <v>0</v>
      </c>
      <c r="X59" s="0" t="n">
        <f aca="false">IF(X57="",0,IF(X58=Milestones!$AB$32,Milestones!$AC$32,0))</f>
        <v>0</v>
      </c>
      <c r="Y59" s="0" t="n">
        <f aca="false">IF(Y57="",0,IF(Y58=Milestones!$AB$33,Milestones!$AC$33,0))</f>
        <v>0</v>
      </c>
      <c r="Z59" s="0" t="n">
        <f aca="false">IF(Z57="",0,IF(Z58=Milestones!$AB$34,Milestones!$AC$34,0))</f>
        <v>0</v>
      </c>
      <c r="AA59" s="0" t="n">
        <f aca="false">IF(AA57="",0,IF(AA58=Milestones!$AB$35,Milestones!$AC$35,0))</f>
        <v>0</v>
      </c>
      <c r="AB59" s="0" t="n">
        <f aca="false">IF(AB57="",0,IF(AB58=Milestones!$AB$36,Milestones!$AC$36,0))</f>
        <v>0</v>
      </c>
      <c r="AC59" s="0" t="n">
        <f aca="false">IF(AC57="",0,IF(AC58=Milestones!$AB$37,Milestones!$AC$37,0))</f>
        <v>0</v>
      </c>
      <c r="AD59" s="0" t="n">
        <f aca="false">IF(AD57="",0,IF(AD58=Milestones!$AB$38,Milestones!$AC$38,0))</f>
        <v>0</v>
      </c>
      <c r="AE59" s="0" t="n">
        <f aca="false">IF(AE57="",0,IF(AE58=Milestones!$AB$39,Milestones!$AC$39,0))</f>
        <v>0</v>
      </c>
      <c r="AF59" s="0" t="n">
        <f aca="false">IF(AF57="",0,IF(AF58=Milestones!$AB$40,Milestones!$AC$40,0))</f>
        <v>0</v>
      </c>
      <c r="AG59" s="0" t="n">
        <f aca="false">IF(AG57="",0,IF(AG58=Milestones!$AB$41,Milestones!$AC$41,0))</f>
        <v>0</v>
      </c>
      <c r="AH59" s="0" t="n">
        <f aca="false">IF(AH57="",0,IF(AH58=Milestones!$AB$42,Milestones!$AC$42,0))</f>
        <v>0</v>
      </c>
      <c r="AI59" s="0" t="n">
        <f aca="false">IF(AI57="",0,IF(AI58=Milestones!$AB$43,Milestones!$AC$43,0))</f>
        <v>0</v>
      </c>
      <c r="AJ59" s="0" t="n">
        <f aca="false">IF(AJ57="",0,IF(AJ58=Milestones!$AB$44,Milestones!$AC$44,0))</f>
        <v>0</v>
      </c>
      <c r="AK59" s="0" t="n">
        <f aca="false">IF(AK57="",0,IF(AK58=Milestones!$AB$45,Milestones!$AC$45,0))</f>
        <v>0</v>
      </c>
      <c r="AL59" s="0" t="n">
        <f aca="false">IF(AL57="",0,IF(AL58=Milestones!$AB$46,Milestones!$AC$46,0))</f>
        <v>0</v>
      </c>
      <c r="AM59" s="0" t="n">
        <f aca="false">IF(AM57="",0,IF(AM58=Milestones!$AB$47,Milestones!$AC$47,0))</f>
        <v>0</v>
      </c>
      <c r="AN59" s="0" t="n">
        <f aca="false">IF(AN57="",0,IF(AN58=Milestones!$AB$48,Milestones!$AC$48,0))</f>
        <v>0</v>
      </c>
      <c r="AO59" s="0" t="n">
        <f aca="false">IF(AO57="",0,IF(AO58=Milestones!$AB$49,Milestones!$AC$49,0))</f>
        <v>0</v>
      </c>
      <c r="AP59" s="0" t="n">
        <f aca="false">IF(AP57="",0,IF(AP58=Milestones!$AB$50,Milestones!$AC$50,0))</f>
        <v>0</v>
      </c>
      <c r="AQ59" s="0" t="n">
        <f aca="false">IF(AQ57="",0,IF(AQ58=Milestones!$AB$51,Milestones!$AC$51,0))</f>
        <v>0</v>
      </c>
      <c r="AR59" s="0" t="n">
        <f aca="false">IF(AR57="",0,IF(AR58=Milestones!$AB$52,Milestones!$AC$52,0))</f>
        <v>0</v>
      </c>
      <c r="AS59" s="0" t="n">
        <f aca="false">IF(AS57="",0,IF(AS58=Milestones!$AB$53,Milestones!$AC$53,0))</f>
        <v>0</v>
      </c>
      <c r="AT59" s="0" t="n">
        <f aca="false">IF(AT57="",0,IF(AT58=Milestones!$AB$54,Milestones!$AC$54,0))</f>
        <v>0</v>
      </c>
      <c r="AU59" s="0" t="n">
        <f aca="false">IF(AU57="",0,IF(AU58=Milestones!$AB$55,Milestones!$AC$55,0))</f>
        <v>0</v>
      </c>
      <c r="AV59" s="0" t="n">
        <f aca="false">IF(AV57="",0,IF(AV58=Milestones!$AB$56,Milestones!$AC$56,0))</f>
        <v>0</v>
      </c>
      <c r="AW59" s="0" t="n">
        <f aca="false">IF(AW57="",0,IF(AW58=Milestones!$AB$57,Milestones!$AC$57,0))</f>
        <v>0</v>
      </c>
      <c r="AX59" s="0" t="n">
        <f aca="false">IF(AX57="",0,IF(AX58=Milestones!$AB$58,Milestones!$AC$58,0))</f>
        <v>0</v>
      </c>
      <c r="AY59" s="0" t="n">
        <f aca="false">IF(AY57="",0,IF(AY58=Milestones!$AB$59,Milestones!$AC$59,0))</f>
        <v>0</v>
      </c>
      <c r="AZ59" s="0" t="n">
        <f aca="false">IF(AZ57="",0,IF(AZ58=Milestones!$AB$60,Milestones!$AC$60,0))</f>
        <v>0</v>
      </c>
      <c r="BA59" s="0" t="n">
        <f aca="false">IF(BA57="",0,IF(BA58=Milestones!$AB$61,Milestones!$AC$61,0))</f>
        <v>0</v>
      </c>
      <c r="BB59" s="0" t="n">
        <f aca="false">IF(BB57="",0,IF(BB58=Milestones!$AB$62,Milestones!$AC$62,0))</f>
        <v>0</v>
      </c>
      <c r="BC59" s="0" t="n">
        <f aca="false">IF(BC57="",0,IF(BC58=Milestones!$AB$63,Milestones!$AC$63,0))</f>
        <v>0</v>
      </c>
      <c r="BD59" s="0" t="n">
        <f aca="false">IF(BD57="",0,IF(BD58=Milestones!$AB$64,Milestones!$AC$64,0))</f>
        <v>0</v>
      </c>
      <c r="BE59" s="0" t="n">
        <f aca="false">IF(BE57="",0,IF(BE58=Milestones!$AB$65,Milestones!$AC$65,0))</f>
        <v>0</v>
      </c>
      <c r="BF59" s="0" t="n">
        <f aca="false">IF(BF57="",0,IF(BF58=Milestones!$AB$66,Milestones!$AC$66,0))</f>
        <v>0</v>
      </c>
      <c r="BG59" s="0" t="n">
        <f aca="false">IF(BG57="",0,IF(BG58=Milestones!$AB$67,Milestones!$AC$67,0))</f>
        <v>0</v>
      </c>
      <c r="BH59" s="0" t="n">
        <f aca="false">IF(BH57="",0,IF(BH58=Milestones!$AB$68,Milestones!$AC$68,0))</f>
        <v>0</v>
      </c>
      <c r="BI59" s="0" t="n">
        <f aca="false">IF(BI57="",0,IF(BI58=Milestones!$AB$69,Milestones!$AC$69,0))</f>
        <v>0</v>
      </c>
      <c r="BJ59" s="0" t="n">
        <f aca="false">IF(BJ57="",0,IF(BJ58=Milestones!$AB$70,Milestones!$AC$70,0))</f>
        <v>0</v>
      </c>
      <c r="BK59" s="0" t="n">
        <f aca="false">IF(BK57="",0,IF(BK58=Milestones!$AB$71,Milestones!$AC$71,0))</f>
        <v>0</v>
      </c>
      <c r="BL59" s="0" t="n">
        <f aca="false">IF(BL57="",0,IF(BL58=Milestones!$AB$72,Milestones!$AC$72,0))</f>
        <v>0</v>
      </c>
      <c r="BM59" s="0" t="n">
        <f aca="false">IF(BM57="",0,IF(BM58=Milestones!$AB$73,Milestones!$AC$73,0))</f>
        <v>0</v>
      </c>
      <c r="BN59" s="0" t="n">
        <f aca="false">IF(BN57="",0,IF(BN58=Milestones!$AB$74,Milestones!$AC$74,0))</f>
        <v>0</v>
      </c>
      <c r="BO59" s="0" t="n">
        <f aca="false">IF(BO57="",0,IF(BO58=Milestones!$AB$75,Milestones!$AC$75,0))</f>
        <v>0</v>
      </c>
      <c r="BP59" s="0" t="n">
        <f aca="false">IF(BP57="",0,IF(BP58=Milestones!$AB$76,Milestones!$AC$76,0))</f>
        <v>0</v>
      </c>
      <c r="BQ59" s="0" t="n">
        <f aca="false">IF(BQ57="",0,IF(BQ58=Milestones!$AB$77,Milestones!$AC$77,0))</f>
        <v>0</v>
      </c>
      <c r="BR59" s="0" t="n">
        <f aca="false">IF(BR57="",0,IF(BR58=Milestones!$AB$78,Milestones!$AC$78,0))</f>
        <v>0</v>
      </c>
      <c r="BS59" s="0" t="n">
        <f aca="false">IF(BS57="",0,IF(BS58=Milestones!$AB$79,Milestones!$AC$79,0))</f>
        <v>0</v>
      </c>
      <c r="BT59" s="0" t="n">
        <f aca="false">IF(BT57="",0,IF(BT58=Milestones!$AB$80,Milestones!$AC$80,0))</f>
        <v>0</v>
      </c>
      <c r="BU59" s="0" t="n">
        <f aca="false">IF(BU57="",0,IF(BU58=Milestones!$AB$81,Milestones!$AC$81,0))</f>
        <v>0</v>
      </c>
      <c r="BV59" s="0" t="n">
        <f aca="false">IF(BV57="",0,IF(BV58=Milestones!$AB$82,Milestones!$AC$82,0))</f>
        <v>0</v>
      </c>
      <c r="BW59" s="0" t="n">
        <f aca="false">IF(BW57="",0,IF(BW58=Milestones!$AB$83,Milestones!$AC$83,0))</f>
        <v>0</v>
      </c>
      <c r="BX59" s="0" t="n">
        <f aca="false">IF(BX57="",0,IF(BX58=Milestones!$AB$84,Milestones!$AC$84,0))</f>
        <v>0</v>
      </c>
      <c r="BY59" s="0" t="n">
        <f aca="false">IF(BY57="",0,IF(BY58=Milestones!$AB$85,Milestones!$AC$85,0))</f>
        <v>0</v>
      </c>
      <c r="BZ59" s="0" t="n">
        <f aca="false">IF(BZ57="",0,IF(BZ58=Milestones!$AB$86,Milestones!$AC$86,0))</f>
        <v>0</v>
      </c>
      <c r="CA59" s="0" t="n">
        <f aca="false">IF(CA57="",0,IF(CA58=Milestones!$AB$87,Milestones!$AC$87,0))</f>
        <v>0</v>
      </c>
      <c r="CB59" s="0" t="n">
        <f aca="false">IF(CB57="",0,IF(CB58=Milestones!$AB$88,Milestones!$AC$88,0))</f>
        <v>0</v>
      </c>
      <c r="CC59" s="0" t="n">
        <f aca="false">IF(CC57="",0,IF(CC58=Milestones!$AB$89,Milestones!$AC$89,0))</f>
        <v>0</v>
      </c>
      <c r="CD59" s="0" t="n">
        <f aca="false">IF(CD57="",0,IF(CD58=Milestones!$AB$90,Milestones!$AC$90,0))</f>
        <v>0</v>
      </c>
      <c r="CE59" s="0" t="n">
        <f aca="false">IF(CE57="",0,IF(CE58=Milestones!$AB$91,Milestones!$AC$91,0))</f>
        <v>0</v>
      </c>
      <c r="CF59" s="0" t="n">
        <f aca="false">IF(CF57="",0,IF(CF58=Milestones!$AB$92,Milestones!$AC$92,0))</f>
        <v>0</v>
      </c>
      <c r="CG59" s="0" t="n">
        <f aca="false">IF(CG57="",0,IF(CG58=Milestones!$AB$93,Milestones!$AC$93,0))</f>
        <v>0</v>
      </c>
      <c r="CH59" s="0" t="n">
        <f aca="false">IF(CH57="",0,IF(CH58=Milestones!$AB$94,Milestones!$AC$94,0))</f>
        <v>0</v>
      </c>
      <c r="CI59" s="0" t="n">
        <f aca="false">IF(CI57="",0,IF(CI58=Milestones!$AB$95,Milestones!$AC$95,0))</f>
        <v>0</v>
      </c>
      <c r="CJ59" s="0" t="n">
        <f aca="false">IF(CJ57="",0,IF(CJ58=Milestones!$AB$96,Milestones!$AC$96,0))</f>
        <v>0</v>
      </c>
      <c r="CK59" s="0" t="n">
        <f aca="false">IF(CK57="",0,IF(CK58=Milestones!$AB$97,Milestones!$AC$97,0))</f>
        <v>0</v>
      </c>
      <c r="CL59" s="0" t="n">
        <f aca="false">IF(CL57="",0,IF(CL58=Milestones!$AB$98,Milestones!$AC$98,0))</f>
        <v>0</v>
      </c>
      <c r="CM59" s="0" t="n">
        <f aca="false">IF(CM57="",0,IF(CM58=Milestones!$AB$99,Milestones!$AC$99,0))</f>
        <v>0</v>
      </c>
      <c r="CN59" s="0" t="n">
        <f aca="false">IF(CN57="",0,IF(CN58=Milestones!$AB$100,Milestones!$AC$100,0))</f>
        <v>0</v>
      </c>
      <c r="CO59" s="0" t="n">
        <f aca="false">IF(CO57="",0,IF(CO58=Milestones!$AB$101,Milestones!$AC$101,0))</f>
        <v>0</v>
      </c>
      <c r="CP59" s="0" t="n">
        <f aca="false">IF(CP57="",0,IF(CP58=Milestones!$AB$102,Milestones!$AC$102,0))</f>
        <v>0</v>
      </c>
      <c r="CQ59" s="0" t="n">
        <f aca="false">IF(CQ57="",0,IF(CQ58=Milestones!$AB$103,Milestones!$AC$103,0))</f>
        <v>0</v>
      </c>
      <c r="CR59" s="0" t="n">
        <f aca="false">IF(CR57="",0,IF(CR58=Milestones!$AB$104,Milestones!$AC$104,0))</f>
        <v>0</v>
      </c>
      <c r="CS59" s="0" t="n">
        <f aca="false">IF(CS57="",0,IF(CS58=Milestones!$AB$105,Milestones!$AC$105,0))</f>
        <v>0</v>
      </c>
      <c r="CT59" s="0" t="n">
        <f aca="false">IF(CT57="",0,IF(CT58=Milestones!$AB$106,Milestones!$AC$106,0))</f>
        <v>0</v>
      </c>
      <c r="CU59" s="0" t="n">
        <f aca="false">IF(CU57="",0,IF(CU58=Milestones!$AB$107,Milestones!$AC$107,0))</f>
        <v>0</v>
      </c>
      <c r="CV59" s="0" t="n">
        <f aca="false">IF(CV57="",0,IF(CV58=Milestones!$AB$108,Milestones!$AC$108,0))</f>
        <v>0</v>
      </c>
      <c r="CW59" s="0" t="n">
        <f aca="false">IF(CW57="",0,IF(CW58=Milestones!$AB$109,Milestones!$AC$109,0))</f>
        <v>0</v>
      </c>
      <c r="CX59" s="0" t="n">
        <f aca="false">IF(CX57="",0,IF(CX58=Milestones!$AB$110,Milestones!$AC$110,0))</f>
        <v>0</v>
      </c>
      <c r="CY59" s="0" t="n">
        <f aca="false">IF(CY57="",0,IF(CY58=Milestones!$AB$111,Milestones!$AC$111,0))</f>
        <v>0</v>
      </c>
      <c r="CZ59" s="0" t="n">
        <f aca="false">IF(CZ57="",0,IF(CZ58=Milestones!$AB$112,Milestones!$AC$112,0))</f>
        <v>0</v>
      </c>
      <c r="DA59" s="0" t="n">
        <f aca="false">IF(DA57="",0,IF(DA58=Milestones!$AB$113,Milestones!$AC$113,0))</f>
        <v>0</v>
      </c>
      <c r="DB59" s="0" t="n">
        <f aca="false">IF(DB57="",0,IF(DB58=Milestones!$AB$114,Milestones!$AC$114,0))</f>
        <v>0</v>
      </c>
      <c r="DC59" s="0" t="n">
        <f aca="false">IF(DC57="",0,IF(DC58=Milestones!$AB$115,Milestones!$AC$115,0))</f>
        <v>0</v>
      </c>
      <c r="DD59" s="0" t="n">
        <f aca="false">IF(DD57="",0,IF(DD58=Milestones!$AB$116,Milestones!$AC$116,0))</f>
        <v>0</v>
      </c>
      <c r="DE59" s="0" t="n">
        <f aca="false">IF(DE57="",0,IF(DE58=Milestones!$AB$117,Milestones!$AC$117,0))</f>
        <v>0</v>
      </c>
      <c r="DF59" s="0" t="n">
        <f aca="false">IF(DF57="",0,IF(DF58=Milestones!$AB$118,Milestones!$AC$118,0))</f>
        <v>0</v>
      </c>
      <c r="DG59" s="0" t="n">
        <f aca="false">IF(DG57="",0,IF(DG58=Milestones!$AB$119,Milestones!$AC$119,0))</f>
        <v>0</v>
      </c>
      <c r="DH59" s="0" t="n">
        <f aca="false">IF(DH57="",0,IF(DH58=Milestones!$AB$120,Milestones!$AC$120,0))</f>
        <v>0</v>
      </c>
      <c r="DI59" s="0" t="n">
        <f aca="false">IF(DI57="",0,IF(DI58=Milestones!$AB$121,Milestones!$AC$121,0))</f>
        <v>0</v>
      </c>
      <c r="DJ59" s="0" t="n">
        <f aca="false">IF(DJ57="",0,IF(DJ58=Milestones!$AB$122,Milestones!$AC$122,0))</f>
        <v>0</v>
      </c>
      <c r="DK59" s="0" t="n">
        <f aca="false">IF(DK57="",0,IF(DK58=Milestones!$AB$123,Milestones!$AC$123,0))</f>
        <v>0</v>
      </c>
      <c r="DL59" s="0" t="n">
        <f aca="false">IF(DL57="",0,IF(DL58=Milestones!$AB$124,Milestones!$AC$124,0))</f>
        <v>0</v>
      </c>
      <c r="DM59" s="0" t="n">
        <f aca="false">IF(DM57="",0,IF(DM58=Milestones!$AB$125,Milestones!$AC$125,0))</f>
        <v>0</v>
      </c>
      <c r="DN59" s="0" t="n">
        <f aca="false">IF(DN57="",0,IF(DN58=Milestones!$AB$126,Milestones!$AC$126,0))</f>
        <v>0</v>
      </c>
      <c r="DO59" s="0" t="n">
        <f aca="false">IF(DO57="",0,IF(DO58=Milestones!$AB$127,Milestones!$AC$127,0))</f>
        <v>0</v>
      </c>
      <c r="DP59" s="0" t="n">
        <f aca="false">IF(DP57="",0,IF(DP58=Milestones!$AB$128,Milestones!$AC$128,0))</f>
        <v>0</v>
      </c>
      <c r="DQ59" s="0" t="n">
        <f aca="false">IF(DQ57="",0,IF(DQ58=Milestones!$AB$129,Milestones!$AC$129,0))</f>
        <v>0</v>
      </c>
      <c r="DR59" s="0" t="n">
        <f aca="false">IF(DR57="",0,IF(DR58=Milestones!$AB$130,Milestones!$AC$130,0))</f>
        <v>0</v>
      </c>
      <c r="DS59" s="0" t="n">
        <f aca="false">IF(DS57="",0,IF(DS58=Milestones!$AB$131,Milestones!$AC$131,0))</f>
        <v>0</v>
      </c>
      <c r="DT59" s="0" t="n">
        <f aca="false">IF(DT57="",0,IF(DT58=Milestones!$AB$132,Milestones!$AC$132,0))</f>
        <v>0</v>
      </c>
      <c r="DU59" s="0" t="n">
        <f aca="false">IF(DU57="",0,IF(DU58=Milestones!$AB$133,Milestones!$AC$133,0))</f>
        <v>0</v>
      </c>
      <c r="DV59" s="0" t="n">
        <f aca="false">IF(DV57="",0,IF(DV58=Milestones!$AB$134,Milestones!$AC$134,0))</f>
        <v>0</v>
      </c>
      <c r="DW59" s="0" t="n">
        <f aca="false">IF(DW57="",0,IF(DW58=Milestones!$AB$135,Milestones!$AC$135,0))</f>
        <v>0</v>
      </c>
      <c r="DX59" s="0" t="n">
        <f aca="false">IF(DX57="",0,IF(DX58=Milestones!$AB$136,Milestones!$AC$136,0))</f>
        <v>0</v>
      </c>
      <c r="DY59" s="0" t="n">
        <f aca="false">IF(DY57="",0,IF(DY58=Milestones!$AB$137,Milestones!$AC$137,0))</f>
        <v>0</v>
      </c>
      <c r="DZ59" s="0" t="n">
        <f aca="false">IF(DZ57="",0,IF(DZ58=Milestones!$AB$138,Milestones!$AC$138,0))</f>
        <v>0</v>
      </c>
      <c r="EA59" s="0" t="n">
        <f aca="false">IF(EA57="",0,IF(EA58=Milestones!$AB$139,Milestones!$AC$139,0))</f>
        <v>0</v>
      </c>
      <c r="EB59" s="0" t="n">
        <f aca="false">IF(EB57="",0,IF(EB58=Milestones!$AB$140,Milestones!$AC$140,0))</f>
        <v>0</v>
      </c>
      <c r="EC59" s="0" t="n">
        <f aca="false">IF(EC57="",0,IF(EC58=Milestones!$AB$141,Milestones!$AC$141,0))</f>
        <v>0</v>
      </c>
      <c r="ED59" s="0" t="n">
        <f aca="false">IF(ED57="",0,IF(ED58=Milestones!$AB$142,Milestones!$AC$142,0))</f>
        <v>0</v>
      </c>
      <c r="EE59" s="0" t="n">
        <f aca="false">IF(EE57="",0,IF(EE58=Milestones!$AB$143,Milestones!$AC$143,0))</f>
        <v>0</v>
      </c>
      <c r="EF59" s="0" t="n">
        <f aca="false">IF(EF57="",0,IF(EF58=Milestones!$AB$144,Milestones!$AC$144,0))</f>
        <v>0</v>
      </c>
      <c r="EG59" s="0" t="n">
        <f aca="false">IF(EG57="",0,IF(EG58=Milestones!$AB$145,Milestones!$AC$145,0))</f>
        <v>0</v>
      </c>
      <c r="EH59" s="0" t="n">
        <f aca="false">IF(EH57="",0,IF(EH58=Milestones!$AB$146,Milestones!$AC$146,0))</f>
        <v>0</v>
      </c>
      <c r="EI59" s="0" t="n">
        <f aca="false">IF(EI57="",0,IF(EI58=Milestones!$AB$147,Milestones!$AC$147,0))</f>
        <v>0</v>
      </c>
      <c r="EJ59" s="0" t="n">
        <f aca="false">IF(EJ57="",0,IF(EJ58=Milestones!$AB$148,Milestones!$AC$148,0))</f>
        <v>0</v>
      </c>
      <c r="EK59" s="0" t="n">
        <f aca="false">IF(EK57="",0,IF(EK58=Milestones!$AB$149,Milestones!$AC$149,0))</f>
        <v>0</v>
      </c>
      <c r="EL59" s="0" t="n">
        <f aca="false">IF(EL57="",0,IF(EL58=Milestones!$AB$150,Milestones!$AC$150,0))</f>
        <v>0</v>
      </c>
      <c r="EM59" s="0" t="n">
        <f aca="false">IF(EM57="",0,IF(EM58=Milestones!$AB$151,Milestones!$AC$151,0))</f>
        <v>0</v>
      </c>
      <c r="EN59" s="0" t="n">
        <f aca="false">IF(EN57="",0,IF(EN58=Milestones!$AB$152,Milestones!$AC$152,0))</f>
        <v>0</v>
      </c>
      <c r="EO59" s="0" t="n">
        <f aca="false">IF(EO57="",0,IF(EO58=Milestones!$AB$153,Milestones!$AC$153,0))</f>
        <v>0</v>
      </c>
      <c r="EP59" s="0" t="n">
        <f aca="false">IF(EP57="",0,IF(EP58=Milestones!$AB$154,Milestones!$AC$154,0))</f>
        <v>0</v>
      </c>
      <c r="EQ59" s="0" t="n">
        <f aca="false">IF(EQ57="",0,IF(EQ58=Milestones!$AB$155,Milestones!$AC$155,0))</f>
        <v>0</v>
      </c>
      <c r="ER59" s="0" t="n">
        <f aca="false">IF(ER57="",0,IF(ER58=Milestones!$AB$156,Milestones!$AC$156,0))</f>
        <v>0</v>
      </c>
      <c r="ES59" s="0" t="n">
        <f aca="false">IF(ES57="",0,IF(ES58=Milestones!$AB$157,Milestones!$AC$157,0))</f>
        <v>0</v>
      </c>
      <c r="ET59" s="0" t="n">
        <f aca="false">IF(ET57="",0,IF(ET58=Milestones!$AB$158,Milestones!$AC$158,0))</f>
        <v>0</v>
      </c>
      <c r="EU59" s="0" t="n">
        <f aca="false">IF(EU57="",0,IF(EU58=Milestones!$AB$159,Milestones!$AC$159,0))</f>
        <v>0</v>
      </c>
      <c r="EV59" s="0" t="n">
        <f aca="false">IF(EV57="",0,IF(EV58=Milestones!$AB$160,Milestones!$AC$160,0))</f>
        <v>0</v>
      </c>
      <c r="EW59" s="0" t="n">
        <f aca="false">IF(EW57="",0,IF(EW58=Milestones!$AB$161,Milestones!$AC$161,0))</f>
        <v>0</v>
      </c>
      <c r="EX59" s="0" t="n">
        <f aca="false">IF(EX57="",0,IF(EX58=Milestones!$AB$162,Milestones!$AC$162,0))</f>
        <v>0</v>
      </c>
      <c r="EY59" s="0" t="n">
        <f aca="false">IF(EY57="",0,IF(EY58=Milestones!$AB$163,Milestones!$AC$163,0))</f>
        <v>0</v>
      </c>
      <c r="EZ59" s="0" t="n">
        <f aca="false">IF(EZ57="",0,IF(EZ58=Milestones!$AB$164,Milestones!$AC$164,0))</f>
        <v>0</v>
      </c>
      <c r="FA59" s="0" t="n">
        <f aca="false">IF(FA57="",0,IF(FA58=Milestones!$AB$165,Milestones!$AC$165,0))</f>
        <v>0</v>
      </c>
      <c r="FB59" s="0" t="n">
        <f aca="false">IF(FB57="",0,IF(FB58=Milestones!$AB$166,Milestones!$AC$166,0))</f>
        <v>0</v>
      </c>
      <c r="FC59" s="0" t="n">
        <f aca="false">IF(FC57="",0,IF(FC58=Milestones!$AB$167,Milestones!$AC$167,0))</f>
        <v>0</v>
      </c>
      <c r="FD59" s="0" t="n">
        <f aca="false">IF(FD57="",0,IF(FD58=Milestones!$AB$168,Milestones!$AC$168,0))</f>
        <v>0</v>
      </c>
      <c r="FE59" s="0" t="n">
        <f aca="false">IF(FE57="",0,IF(FE58=Milestones!$AB$169,Milestones!$AC$169,0))</f>
        <v>0</v>
      </c>
      <c r="FF59" s="0" t="n">
        <f aca="false">IF(FF57="",0,IF(FF58=Milestones!$AB$170,Milestones!$AC$170,0))</f>
        <v>0</v>
      </c>
      <c r="FG59" s="0" t="n">
        <f aca="false">IF(FG57="",0,IF(FG58=Milestones!$AB$171,Milestones!$AC$171,0))</f>
        <v>0</v>
      </c>
      <c r="FH59" s="0" t="n">
        <f aca="false">IF(FH57="",0,IF(FH58=Milestones!$AB$172,Milestones!$AC$172,0))</f>
        <v>0</v>
      </c>
      <c r="FI59" s="0" t="n">
        <f aca="false">IF(FI57="",0,IF(FI58=Milestones!$AB$173,Milestones!$AC$173,0))</f>
        <v>0</v>
      </c>
      <c r="FJ59" s="0" t="n">
        <f aca="false">IF(FJ57="",0,IF(FJ58=Milestones!$AB$174,Milestones!$AC$174,0))</f>
        <v>0</v>
      </c>
      <c r="FK59" s="0" t="n">
        <f aca="false">IF(FK57="",0,IF(FK58=Milestones!$AB$175,Milestones!$AC$175,0))</f>
        <v>0</v>
      </c>
      <c r="FL59" s="0" t="n">
        <f aca="false">IF(FL57="",0,IF(FL58=Milestones!$AB$176,Milestones!$AC$176,0))</f>
        <v>0</v>
      </c>
      <c r="FM59" s="0" t="n">
        <f aca="false">IF(FM57="",0,IF(FM58=Milestones!$AB$177,Milestones!$AC$177,0))</f>
        <v>0</v>
      </c>
      <c r="FN59" s="0" t="n">
        <f aca="false">IF(FN57="",0,IF(FN58=Milestones!$AB$178,Milestones!$AC$178,0))</f>
        <v>0</v>
      </c>
      <c r="FO59" s="0" t="n">
        <f aca="false">IF(FO57="",0,IF(FO58=Milestones!$AB$179,Milestones!$AC$179,0))</f>
        <v>0</v>
      </c>
      <c r="FP59" s="0" t="n">
        <f aca="false">IF(FP57="",0,IF(FP58=Milestones!$AB$180,Milestones!$AC$180,0))</f>
        <v>0</v>
      </c>
      <c r="FQ59" s="0" t="n">
        <f aca="false">IF(FQ57="",0,IF(FQ58=Milestones!$AB$181,Milestones!$AC$181,0))</f>
        <v>0</v>
      </c>
      <c r="FR59" s="0" t="n">
        <f aca="false">IF(FR57="",0,IF(FR58=Milestones!$AB$182,Milestones!$AC$182,0))</f>
        <v>0</v>
      </c>
      <c r="FS59" s="0" t="n">
        <f aca="false">IF(FS57="",0,IF(FS58=Milestones!$AB$183,Milestones!$AC$183,0))</f>
        <v>0</v>
      </c>
      <c r="FT59" s="0" t="n">
        <f aca="false">IF(FT57="",0,IF(FT58=Milestones!$AB$184,Milestones!$AC$184,0))</f>
        <v>0</v>
      </c>
      <c r="FU59" s="0" t="n">
        <f aca="false">IF(FU57="",0,IF(FU58=Milestones!$AB$185,Milestones!$AC$185,0))</f>
        <v>0</v>
      </c>
      <c r="FV59" s="0" t="n">
        <f aca="false">IF(FV57="",0,IF(FV58=Milestones!$AB$186,Milestones!$AC$186,0))</f>
        <v>0</v>
      </c>
      <c r="FW59" s="0" t="n">
        <f aca="false">IF(FW57="",0,IF(FW58=Milestones!$AB$187,Milestones!$AC$187,0))</f>
        <v>0</v>
      </c>
      <c r="FX59" s="0" t="n">
        <f aca="false">IF(FX57="",0,IF(FX58=Milestones!$AB$188,Milestones!$AC$188,0))</f>
        <v>0</v>
      </c>
      <c r="FY59" s="0" t="n">
        <f aca="false">IF(FY57="",0,IF(FY58=Milestones!$AB$189,Milestones!$AC$189,0))</f>
        <v>0</v>
      </c>
      <c r="FZ59" s="0" t="n">
        <f aca="false">IF(FZ57="",0,IF(FZ58=Milestones!$AB$190,Milestones!$AC$190,0))</f>
        <v>0</v>
      </c>
      <c r="GA59" s="0" t="n">
        <f aca="false">IF(GA57="",0,IF(GA58=Milestones!$AB$191,Milestones!$AC$191,0))</f>
        <v>0</v>
      </c>
      <c r="GB59" s="0" t="n">
        <f aca="false">IF(GB57="",0,IF(GB58=Milestones!$AB$192,Milestones!$AC$192,0))</f>
        <v>0</v>
      </c>
      <c r="GC59" s="0" t="n">
        <f aca="false">IF(GC57="",0,IF(GC58=Milestones!$AB$193,Milestones!$AC$193,0))</f>
        <v>0</v>
      </c>
      <c r="GD59" s="0" t="n">
        <f aca="false">IF(GD57="",0,IF(GD58=Milestones!$AB$194,Milestones!$AC$194,0))</f>
        <v>0</v>
      </c>
      <c r="GE59" s="0" t="n">
        <f aca="false">IF(GE57="",0,IF(GE58=Milestones!$AB$195,Milestones!$AC$195,0))</f>
        <v>0</v>
      </c>
      <c r="GF59" s="0" t="n">
        <f aca="false">IF(GF57="",0,IF(GF58=Milestones!$AB$196,Milestones!$AC$196,0))</f>
        <v>0</v>
      </c>
      <c r="GG59" s="0" t="n">
        <f aca="false">IF(GG57="",0,IF(GG58=Milestones!$AB$197,Milestones!$AC$197,0))</f>
        <v>0</v>
      </c>
      <c r="GH59" s="0" t="n">
        <f aca="false">IF(GH57="",0,IF(GH58=Milestones!$AB$198,Milestones!$AC$198,0))</f>
        <v>0</v>
      </c>
      <c r="GI59" s="0" t="n">
        <f aca="false">IF(GI57="",0,IF(GI58=Milestones!$AB$199,Milestones!$AC$199,0))</f>
        <v>0</v>
      </c>
    </row>
    <row r="60" customFormat="false" ht="15" hidden="false" customHeight="false" outlineLevel="0" collapsed="false">
      <c r="A60" s="0" t="str">
        <f aca="false">IF('HR Tally Check'!U$7="","",'HR Tally Check'!U$7)</f>
        <v/>
      </c>
      <c r="B60" s="0" t="str">
        <f aca="false">IF(A60="","",ISNUMBER(MATCH(A60,Staff!$BJ$5:$BJ$154,0)))</f>
        <v/>
      </c>
      <c r="C60" s="18" t="str">
        <f aca="false">IF(B60&lt;&gt;TRUE(),"",INDEX(Staff!$AH$5:$AH$154,MATCH($A60,Staff!$BJ$5:$BJ$154,0)))</f>
        <v/>
      </c>
      <c r="D60" s="0" t="str">
        <f aca="false">IF(B60&lt;&gt;TRUE(),"",INDEX(Staff!$AI$5:$AI$154,MATCH($A60,Staff!$BJ$5:$BJ$154,0)))</f>
        <v/>
      </c>
      <c r="E60" s="18" t="str">
        <f aca="false">IF(B60&lt;&gt;TRUE(),"",INDEX(Staff!$AK$5:$AK$154,MATCH($A60,Staff!$BJ$5:$BJ$154,0)))</f>
        <v/>
      </c>
      <c r="F60" s="18" t="str">
        <f aca="false">IF(B60&lt;&gt;TRUE(),"",INDEX(Staff!$AL$5:$AL$154,MATCH($A60,Staff!$BJ$5:$BJ$154,0)))</f>
        <v/>
      </c>
      <c r="G60" s="0" t="str">
        <f aca="false">IF(B60&lt;&gt;TRUE(),"",INDEX(Staff!$AP$5:$AP$154,MATCH($A60,Staff!$BJ$5:$BJ$154,0)))</f>
        <v/>
      </c>
      <c r="H60" s="0" t="str">
        <f aca="false">IF(B60&lt;&gt;TRUE(),"",INDEX(Staff!$AQ$5:$AQ$154,MATCH($A60,Staff!$BJ$5:$BJ$154,0)))</f>
        <v/>
      </c>
      <c r="I60" s="0" t="str">
        <f aca="false">IF(B60&lt;&gt;TRUE(),"",INDEX(Staff!$AR$5:$AR$154,MATCH($A60,Staff!$BJ$5:$BJ$154,0)))</f>
        <v/>
      </c>
      <c r="J60" s="0" t="str">
        <f aca="false">IF(B60&lt;&gt;TRUE(),"",INDEX(Staff!$AS$5:$AS$154,MATCH($A60,Staff!$BJ$5:$BJ$154,0)))</f>
        <v/>
      </c>
      <c r="K60" s="31" t="s">
        <v>228</v>
      </c>
      <c r="L60" s="18" t="str">
        <f aca="false">IF($C60="","",EDATE($C60,Milestones!$AA$20))</f>
        <v/>
      </c>
      <c r="M60" s="18" t="str">
        <f aca="false">IF($C60="","",EDATE($C60,Milestones!$AA$21))</f>
        <v/>
      </c>
      <c r="N60" s="18" t="str">
        <f aca="false">IF($C60="","",EDATE($C60,Milestones!$AA$22))</f>
        <v/>
      </c>
      <c r="O60" s="18" t="str">
        <f aca="false">IF($C60="","",EDATE($C60,Milestones!$AA$23))</f>
        <v/>
      </c>
      <c r="P60" s="18" t="str">
        <f aca="false">IF($C60="","",EDATE($C60,Milestones!$AA$24))</f>
        <v/>
      </c>
      <c r="Q60" s="18" t="str">
        <f aca="false">IF($C60="","",EDATE($C60,Milestones!$AA$25))</f>
        <v/>
      </c>
      <c r="R60" s="18" t="str">
        <f aca="false">IF($C60="","",EDATE($C60,Milestones!$AA$26))</f>
        <v/>
      </c>
      <c r="S60" s="18" t="str">
        <f aca="false">IF($C60="","",EDATE($C60,Milestones!$AA$27))</f>
        <v/>
      </c>
      <c r="T60" s="18" t="str">
        <f aca="false">IF($C60="","",EDATE($C60,Milestones!$AA$28))</f>
        <v/>
      </c>
      <c r="U60" s="18" t="str">
        <f aca="false">IF($C60="","",EDATE($C60,Milestones!$AA$29))</f>
        <v/>
      </c>
      <c r="V60" s="18" t="str">
        <f aca="false">IF($C60="","",EDATE($C60,Milestones!$AA$30))</f>
        <v/>
      </c>
      <c r="W60" s="18" t="str">
        <f aca="false">IF($C60="","",EDATE($C60,Milestones!$AA$31))</f>
        <v/>
      </c>
      <c r="X60" s="18" t="str">
        <f aca="false">IF($C60="","",EDATE($C60,Milestones!$AA$32))</f>
        <v/>
      </c>
      <c r="Y60" s="18" t="str">
        <f aca="false">IF($C60="","",EDATE($C60,Milestones!$AA$33))</f>
        <v/>
      </c>
      <c r="Z60" s="18" t="str">
        <f aca="false">IF($C60="","",EDATE($C60,Milestones!$AA$34))</f>
        <v/>
      </c>
      <c r="AA60" s="18" t="str">
        <f aca="false">IF($C60="","",EDATE($C60,Milestones!$AA$35))</f>
        <v/>
      </c>
      <c r="AB60" s="18" t="str">
        <f aca="false">IF($C60="","",EDATE($C60,Milestones!$AA$36))</f>
        <v/>
      </c>
      <c r="AC60" s="18" t="str">
        <f aca="false">IF($C60="","",EDATE($C60,Milestones!$AA$37))</f>
        <v/>
      </c>
      <c r="AD60" s="18" t="str">
        <f aca="false">IF($C60="","",EDATE($C60,Milestones!$AA$38))</f>
        <v/>
      </c>
      <c r="AE60" s="18" t="str">
        <f aca="false">IF($C60="","",EDATE($C60,Milestones!$AA$39))</f>
        <v/>
      </c>
      <c r="AF60" s="18" t="str">
        <f aca="false">IF($C60="","",EDATE($C60,Milestones!$AA$40))</f>
        <v/>
      </c>
      <c r="AG60" s="18" t="str">
        <f aca="false">IF($C60="","",EDATE($C60,Milestones!$AA$41))</f>
        <v/>
      </c>
      <c r="AH60" s="18" t="str">
        <f aca="false">IF($C60="","",EDATE($C60,Milestones!$AA$42))</f>
        <v/>
      </c>
      <c r="AI60" s="18" t="str">
        <f aca="false">IF($C60="","",EDATE($C60,Milestones!$AA$43))</f>
        <v/>
      </c>
      <c r="AJ60" s="18" t="str">
        <f aca="false">IF($C60="","",EDATE($C60,Milestones!$AA$44))</f>
        <v/>
      </c>
      <c r="AK60" s="18" t="str">
        <f aca="false">IF($C60="","",EDATE($C60,Milestones!$AA$45))</f>
        <v/>
      </c>
      <c r="AL60" s="18" t="str">
        <f aca="false">IF($C60="","",EDATE($C60,Milestones!$AA$46))</f>
        <v/>
      </c>
      <c r="AM60" s="18" t="str">
        <f aca="false">IF($C60="","",EDATE($C60,Milestones!$AA$47))</f>
        <v/>
      </c>
      <c r="AN60" s="18" t="str">
        <f aca="false">IF($C60="","",EDATE($C60,Milestones!$AA$48))</f>
        <v/>
      </c>
      <c r="AO60" s="18" t="str">
        <f aca="false">IF($C60="","",EDATE($C60,Milestones!$AA$49))</f>
        <v/>
      </c>
      <c r="AP60" s="18" t="str">
        <f aca="false">IF($C60="","",EDATE($C60,Milestones!$AA$50))</f>
        <v/>
      </c>
      <c r="AQ60" s="18" t="str">
        <f aca="false">IF($C60="","",EDATE($C60,Milestones!$AA$51))</f>
        <v/>
      </c>
      <c r="AR60" s="18" t="str">
        <f aca="false">IF($C60="","",EDATE($C60,Milestones!$AA$52))</f>
        <v/>
      </c>
      <c r="AS60" s="18" t="str">
        <f aca="false">IF($C60="","",EDATE($C60,Milestones!$AA$53))</f>
        <v/>
      </c>
      <c r="AT60" s="18" t="str">
        <f aca="false">IF($C60="","",EDATE($C60,Milestones!$AA$54))</f>
        <v/>
      </c>
      <c r="AU60" s="18" t="str">
        <f aca="false">IF($C60="","",EDATE($C60,Milestones!$AA$55))</f>
        <v/>
      </c>
      <c r="AV60" s="18" t="str">
        <f aca="false">IF($C60="","",EDATE($C60,Milestones!$AA$56))</f>
        <v/>
      </c>
      <c r="AW60" s="18" t="str">
        <f aca="false">IF($C60="","",EDATE($C60,Milestones!$AA$57))</f>
        <v/>
      </c>
      <c r="AX60" s="18" t="str">
        <f aca="false">IF($C60="","",EDATE($C60,Milestones!$AA$58))</f>
        <v/>
      </c>
      <c r="AY60" s="18" t="str">
        <f aca="false">IF($C60="","",EDATE($C60,Milestones!$AA$59))</f>
        <v/>
      </c>
      <c r="AZ60" s="18" t="str">
        <f aca="false">IF($C60="","",EDATE($C60,Milestones!$AA$60))</f>
        <v/>
      </c>
      <c r="BA60" s="18" t="str">
        <f aca="false">IF($C60="","",EDATE($C60,Milestones!$AA$61))</f>
        <v/>
      </c>
      <c r="BB60" s="18" t="str">
        <f aca="false">IF($C60="","",EDATE($C60,Milestones!$AA$62))</f>
        <v/>
      </c>
      <c r="BC60" s="18" t="str">
        <f aca="false">IF($C60="","",EDATE($C60,Milestones!$AA$63))</f>
        <v/>
      </c>
      <c r="BD60" s="18" t="str">
        <f aca="false">IF($C60="","",EDATE($C60,Milestones!$AA$64))</f>
        <v/>
      </c>
      <c r="BE60" s="18" t="str">
        <f aca="false">IF($C60="","",EDATE($C60,Milestones!$AA$65))</f>
        <v/>
      </c>
      <c r="BF60" s="18" t="str">
        <f aca="false">IF($C60="","",EDATE($C60,Milestones!$AA$66))</f>
        <v/>
      </c>
      <c r="BG60" s="18" t="str">
        <f aca="false">IF($C60="","",EDATE($C60,Milestones!$AA$67))</f>
        <v/>
      </c>
      <c r="BH60" s="18" t="str">
        <f aca="false">IF($C60="","",EDATE($C60,Milestones!$AA$68))</f>
        <v/>
      </c>
      <c r="BI60" s="18" t="str">
        <f aca="false">IF($C60="","",EDATE($C60,Milestones!$AA$69))</f>
        <v/>
      </c>
      <c r="BJ60" s="18" t="str">
        <f aca="false">IF($C60="","",EDATE($C60,Milestones!$AA$70))</f>
        <v/>
      </c>
      <c r="BK60" s="18" t="str">
        <f aca="false">IF($C60="","",EDATE($C60,Milestones!$AA$71))</f>
        <v/>
      </c>
      <c r="BL60" s="18" t="str">
        <f aca="false">IF($C60="","",EDATE($C60,Milestones!$AA$72))</f>
        <v/>
      </c>
      <c r="BM60" s="18" t="str">
        <f aca="false">IF($C60="","",EDATE($C60,Milestones!$AA$73))</f>
        <v/>
      </c>
      <c r="BN60" s="18" t="str">
        <f aca="false">IF($C60="","",EDATE($C60,Milestones!$AA$74))</f>
        <v/>
      </c>
      <c r="BO60" s="18" t="str">
        <f aca="false">IF($C60="","",EDATE($C60,Milestones!$AA$75))</f>
        <v/>
      </c>
      <c r="BP60" s="18" t="str">
        <f aca="false">IF($C60="","",EDATE($C60,Milestones!$AA$76))</f>
        <v/>
      </c>
      <c r="BQ60" s="18" t="str">
        <f aca="false">IF($C60="","",EDATE($C60,Milestones!$AA$77))</f>
        <v/>
      </c>
      <c r="BR60" s="18" t="str">
        <f aca="false">IF($C60="","",EDATE($C60,Milestones!$AA$78))</f>
        <v/>
      </c>
      <c r="BS60" s="18" t="str">
        <f aca="false">IF($C60="","",EDATE($C60,Milestones!$AA$79))</f>
        <v/>
      </c>
      <c r="BT60" s="18" t="str">
        <f aca="false">IF($C60="","",EDATE($C60,Milestones!$AA$80))</f>
        <v/>
      </c>
      <c r="BU60" s="18" t="str">
        <f aca="false">IF($C60="","",EDATE($C60,Milestones!$AA$81))</f>
        <v/>
      </c>
      <c r="BV60" s="18" t="str">
        <f aca="false">IF($C60="","",EDATE($C60,Milestones!$AA$82))</f>
        <v/>
      </c>
      <c r="BW60" s="18" t="str">
        <f aca="false">IF($C60="","",EDATE($C60,Milestones!$AA$83))</f>
        <v/>
      </c>
      <c r="BX60" s="18" t="str">
        <f aca="false">IF($C60="","",EDATE($C60,Milestones!$AA$84))</f>
        <v/>
      </c>
      <c r="BY60" s="18" t="str">
        <f aca="false">IF($C60="","",EDATE($C60,Milestones!$AA$85))</f>
        <v/>
      </c>
      <c r="BZ60" s="18" t="str">
        <f aca="false">IF($C60="","",EDATE($C60,Milestones!$AA$86))</f>
        <v/>
      </c>
      <c r="CA60" s="18" t="str">
        <f aca="false">IF($C60="","",EDATE($C60,Milestones!$AA$87))</f>
        <v/>
      </c>
      <c r="CB60" s="18" t="str">
        <f aca="false">IF($C60="","",EDATE($C60,Milestones!$AA$88))</f>
        <v/>
      </c>
      <c r="CC60" s="18" t="str">
        <f aca="false">IF($C60="","",EDATE($C60,Milestones!$AA$89))</f>
        <v/>
      </c>
      <c r="CD60" s="18" t="str">
        <f aca="false">IF($C60="","",EDATE($C60,Milestones!$AA$90))</f>
        <v/>
      </c>
      <c r="CE60" s="18" t="str">
        <f aca="false">IF($C60="","",EDATE($C60,Milestones!$AA$91))</f>
        <v/>
      </c>
      <c r="CF60" s="18" t="str">
        <f aca="false">IF($C60="","",EDATE($C60,Milestones!$AA$92))</f>
        <v/>
      </c>
      <c r="CG60" s="18" t="str">
        <f aca="false">IF($C60="","",EDATE($C60,Milestones!$AA$93))</f>
        <v/>
      </c>
      <c r="CH60" s="18" t="str">
        <f aca="false">IF($C60="","",EDATE($C60,Milestones!$AA$94))</f>
        <v/>
      </c>
      <c r="CI60" s="18" t="str">
        <f aca="false">IF($C60="","",EDATE($C60,Milestones!$AA$95))</f>
        <v/>
      </c>
      <c r="CJ60" s="18" t="str">
        <f aca="false">IF($C60="","",EDATE($C60,Milestones!$AA$96))</f>
        <v/>
      </c>
      <c r="CK60" s="18" t="str">
        <f aca="false">IF($C60="","",EDATE($C60,Milestones!$AA$97))</f>
        <v/>
      </c>
      <c r="CL60" s="18" t="str">
        <f aca="false">IF($C60="","",EDATE($C60,Milestones!$AA$98))</f>
        <v/>
      </c>
      <c r="CM60" s="18" t="str">
        <f aca="false">IF($C60="","",EDATE($C60,Milestones!$AA$99))</f>
        <v/>
      </c>
      <c r="CN60" s="18" t="str">
        <f aca="false">IF($C60="","",EDATE($C60,Milestones!$AA$100))</f>
        <v/>
      </c>
      <c r="CO60" s="18" t="str">
        <f aca="false">IF($C60="","",EDATE($C60,Milestones!$AA$101))</f>
        <v/>
      </c>
      <c r="CP60" s="18" t="str">
        <f aca="false">IF($C60="","",EDATE($C60,Milestones!$AA$102))</f>
        <v/>
      </c>
      <c r="CQ60" s="18" t="str">
        <f aca="false">IF($C60="","",EDATE($C60,Milestones!$AA$103))</f>
        <v/>
      </c>
      <c r="CR60" s="18" t="str">
        <f aca="false">IF($C60="","",EDATE($C60,Milestones!$AA$104))</f>
        <v/>
      </c>
      <c r="CS60" s="18" t="str">
        <f aca="false">IF($C60="","",EDATE($C60,Milestones!$AA$105))</f>
        <v/>
      </c>
      <c r="CT60" s="18" t="str">
        <f aca="false">IF($C60="","",EDATE($C60,Milestones!$AA$106))</f>
        <v/>
      </c>
      <c r="CU60" s="18" t="str">
        <f aca="false">IF($C60="","",EDATE($C60,Milestones!$AA$107))</f>
        <v/>
      </c>
      <c r="CV60" s="18" t="str">
        <f aca="false">IF($C60="","",EDATE($C60,Milestones!$AA$108))</f>
        <v/>
      </c>
      <c r="CW60" s="18" t="str">
        <f aca="false">IF($C60="","",EDATE($C60,Milestones!$AA$109))</f>
        <v/>
      </c>
      <c r="CX60" s="18" t="str">
        <f aca="false">IF($C60="","",EDATE($C60,Milestones!$AA$110))</f>
        <v/>
      </c>
      <c r="CY60" s="18" t="str">
        <f aca="false">IF($C60="","",EDATE($C60,Milestones!$AA$111))</f>
        <v/>
      </c>
      <c r="CZ60" s="18" t="str">
        <f aca="false">IF($C60="","",EDATE($C60,Milestones!$AA$112))</f>
        <v/>
      </c>
      <c r="DA60" s="18" t="str">
        <f aca="false">IF($C60="","",EDATE($C60,Milestones!$AA$113))</f>
        <v/>
      </c>
      <c r="DB60" s="18" t="str">
        <f aca="false">IF($C60="","",EDATE($C60,Milestones!$AA$114))</f>
        <v/>
      </c>
      <c r="DC60" s="18" t="str">
        <f aca="false">IF($C60="","",EDATE($C60,Milestones!$AA$115))</f>
        <v/>
      </c>
      <c r="DD60" s="18" t="str">
        <f aca="false">IF($C60="","",EDATE($C60,Milestones!$AA$116))</f>
        <v/>
      </c>
      <c r="DE60" s="18" t="str">
        <f aca="false">IF($C60="","",EDATE($C60,Milestones!$AA$117))</f>
        <v/>
      </c>
      <c r="DF60" s="18" t="str">
        <f aca="false">IF($C60="","",EDATE($C60,Milestones!$AA$118))</f>
        <v/>
      </c>
      <c r="DG60" s="18" t="str">
        <f aca="false">IF($C60="","",EDATE($C60,Milestones!$AA$119))</f>
        <v/>
      </c>
      <c r="DH60" s="18" t="str">
        <f aca="false">IF($C60="","",EDATE($C60,Milestones!$AA$120))</f>
        <v/>
      </c>
      <c r="DI60" s="18" t="str">
        <f aca="false">IF($C60="","",EDATE($C60,Milestones!$AA$121))</f>
        <v/>
      </c>
      <c r="DJ60" s="18" t="str">
        <f aca="false">IF($C60="","",EDATE($C60,Milestones!$AA$122))</f>
        <v/>
      </c>
      <c r="DK60" s="18" t="str">
        <f aca="false">IF($C60="","",EDATE($C60,Milestones!$AA$123))</f>
        <v/>
      </c>
      <c r="DL60" s="18" t="str">
        <f aca="false">IF($C60="","",EDATE($C60,Milestones!$AA$124))</f>
        <v/>
      </c>
      <c r="DM60" s="18" t="str">
        <f aca="false">IF($C60="","",EDATE($C60,Milestones!$AA$125))</f>
        <v/>
      </c>
      <c r="DN60" s="18" t="str">
        <f aca="false">IF($C60="","",EDATE($C60,Milestones!$AA$126))</f>
        <v/>
      </c>
      <c r="DO60" s="18" t="str">
        <f aca="false">IF($C60="","",EDATE($C60,Milestones!$AA$127))</f>
        <v/>
      </c>
      <c r="DP60" s="18" t="str">
        <f aca="false">IF($C60="","",EDATE($C60,Milestones!$AA$128))</f>
        <v/>
      </c>
      <c r="DQ60" s="18" t="str">
        <f aca="false">IF($C60="","",EDATE($C60,Milestones!$AA$129))</f>
        <v/>
      </c>
      <c r="DR60" s="18" t="str">
        <f aca="false">IF($C60="","",EDATE($C60,Milestones!$AA$130))</f>
        <v/>
      </c>
      <c r="DS60" s="18" t="str">
        <f aca="false">IF($C60="","",EDATE($C60,Milestones!$AA$131))</f>
        <v/>
      </c>
      <c r="DT60" s="18" t="str">
        <f aca="false">IF($C60="","",EDATE($C60,Milestones!$AA$132))</f>
        <v/>
      </c>
      <c r="DU60" s="18" t="str">
        <f aca="false">IF($C60="","",EDATE($C60,Milestones!$AA$133))</f>
        <v/>
      </c>
      <c r="DV60" s="18" t="str">
        <f aca="false">IF($C60="","",EDATE($C60,Milestones!$AA$134))</f>
        <v/>
      </c>
      <c r="DW60" s="18" t="str">
        <f aca="false">IF($C60="","",EDATE($C60,Milestones!$AA$135))</f>
        <v/>
      </c>
      <c r="DX60" s="18" t="str">
        <f aca="false">IF($C60="","",EDATE($C60,Milestones!$AA$136))</f>
        <v/>
      </c>
      <c r="DY60" s="18" t="str">
        <f aca="false">IF($C60="","",EDATE($C60,Milestones!$AA$137))</f>
        <v/>
      </c>
      <c r="DZ60" s="18" t="str">
        <f aca="false">IF($C60="","",EDATE($C60,Milestones!$AA$138))</f>
        <v/>
      </c>
      <c r="EA60" s="18" t="str">
        <f aca="false">IF($C60="","",EDATE($C60,Milestones!$AA$139))</f>
        <v/>
      </c>
      <c r="EB60" s="18" t="str">
        <f aca="false">IF($C60="","",EDATE($C60,Milestones!$AA$140))</f>
        <v/>
      </c>
      <c r="EC60" s="18" t="str">
        <f aca="false">IF($C60="","",EDATE($C60,Milestones!$AA$141))</f>
        <v/>
      </c>
      <c r="ED60" s="18" t="str">
        <f aca="false">IF($C60="","",EDATE($C60,Milestones!$AA$142))</f>
        <v/>
      </c>
      <c r="EE60" s="18" t="str">
        <f aca="false">IF($C60="","",EDATE($C60,Milestones!$AA$143))</f>
        <v/>
      </c>
      <c r="EF60" s="18" t="str">
        <f aca="false">IF($C60="","",EDATE($C60,Milestones!$AA$144))</f>
        <v/>
      </c>
      <c r="EG60" s="18" t="str">
        <f aca="false">IF($C60="","",EDATE($C60,Milestones!$AA$145))</f>
        <v/>
      </c>
      <c r="EH60" s="18" t="str">
        <f aca="false">IF($C60="","",EDATE($C60,Milestones!$AA$146))</f>
        <v/>
      </c>
      <c r="EI60" s="18" t="str">
        <f aca="false">IF($C60="","",EDATE($C60,Milestones!$AA$147))</f>
        <v/>
      </c>
      <c r="EJ60" s="18" t="str">
        <f aca="false">IF($C60="","",EDATE($C60,Milestones!$AA$148))</f>
        <v/>
      </c>
      <c r="EK60" s="18" t="str">
        <f aca="false">IF($C60="","",EDATE($C60,Milestones!$AA$149))</f>
        <v/>
      </c>
      <c r="EL60" s="18" t="str">
        <f aca="false">IF($C60="","",EDATE($C60,Milestones!$AA$150))</f>
        <v/>
      </c>
      <c r="EM60" s="18" t="str">
        <f aca="false">IF($C60="","",EDATE($C60,Milestones!$AA$151))</f>
        <v/>
      </c>
      <c r="EN60" s="18" t="str">
        <f aca="false">IF($C60="","",EDATE($C60,Milestones!$AA$152))</f>
        <v/>
      </c>
      <c r="EO60" s="18" t="str">
        <f aca="false">IF($C60="","",EDATE($C60,Milestones!$AA$153))</f>
        <v/>
      </c>
      <c r="EP60" s="18" t="str">
        <f aca="false">IF($C60="","",EDATE($C60,Milestones!$AA$154))</f>
        <v/>
      </c>
      <c r="EQ60" s="18" t="str">
        <f aca="false">IF($C60="","",EDATE($C60,Milestones!$AA$155))</f>
        <v/>
      </c>
      <c r="ER60" s="18" t="str">
        <f aca="false">IF($C60="","",EDATE($C60,Milestones!$AA$156))</f>
        <v/>
      </c>
      <c r="ES60" s="18" t="str">
        <f aca="false">IF($C60="","",EDATE($C60,Milestones!$AA$157))</f>
        <v/>
      </c>
      <c r="ET60" s="18" t="str">
        <f aca="false">IF($C60="","",EDATE($C60,Milestones!$AA$158))</f>
        <v/>
      </c>
      <c r="EU60" s="18" t="str">
        <f aca="false">IF($C60="","",EDATE($C60,Milestones!$AA$159))</f>
        <v/>
      </c>
      <c r="EV60" s="18" t="str">
        <f aca="false">IF($C60="","",EDATE($C60,Milestones!$AA$160))</f>
        <v/>
      </c>
      <c r="EW60" s="18" t="str">
        <f aca="false">IF($C60="","",EDATE($C60,Milestones!$AA$161))</f>
        <v/>
      </c>
      <c r="EX60" s="18" t="str">
        <f aca="false">IF($C60="","",EDATE($C60,Milestones!$AA$162))</f>
        <v/>
      </c>
      <c r="EY60" s="18" t="str">
        <f aca="false">IF($C60="","",EDATE($C60,Milestones!$AA$163))</f>
        <v/>
      </c>
      <c r="EZ60" s="18" t="str">
        <f aca="false">IF($C60="","",EDATE($C60,Milestones!$AA$164))</f>
        <v/>
      </c>
      <c r="FA60" s="18" t="str">
        <f aca="false">IF($C60="","",EDATE($C60,Milestones!$AA$165))</f>
        <v/>
      </c>
      <c r="FB60" s="18" t="str">
        <f aca="false">IF($C60="","",EDATE($C60,Milestones!$AA$166))</f>
        <v/>
      </c>
      <c r="FC60" s="18" t="str">
        <f aca="false">IF($C60="","",EDATE($C60,Milestones!$AA$167))</f>
        <v/>
      </c>
      <c r="FD60" s="18" t="str">
        <f aca="false">IF($C60="","",EDATE($C60,Milestones!$AA$168))</f>
        <v/>
      </c>
      <c r="FE60" s="18" t="str">
        <f aca="false">IF($C60="","",EDATE($C60,Milestones!$AA$169))</f>
        <v/>
      </c>
      <c r="FF60" s="18" t="str">
        <f aca="false">IF($C60="","",EDATE($C60,Milestones!$AA$170))</f>
        <v/>
      </c>
      <c r="FG60" s="18" t="str">
        <f aca="false">IF($C60="","",EDATE($C60,Milestones!$AA$171))</f>
        <v/>
      </c>
      <c r="FH60" s="18" t="str">
        <f aca="false">IF($C60="","",EDATE($C60,Milestones!$AA$172))</f>
        <v/>
      </c>
      <c r="FI60" s="18" t="str">
        <f aca="false">IF($C60="","",EDATE($C60,Milestones!$AA$173))</f>
        <v/>
      </c>
      <c r="FJ60" s="18" t="str">
        <f aca="false">IF($C60="","",EDATE($C60,Milestones!$AA$174))</f>
        <v/>
      </c>
      <c r="FK60" s="18" t="str">
        <f aca="false">IF($C60="","",EDATE($C60,Milestones!$AA$175))</f>
        <v/>
      </c>
      <c r="FL60" s="18" t="str">
        <f aca="false">IF($C60="","",EDATE($C60,Milestones!$AA$176))</f>
        <v/>
      </c>
      <c r="FM60" s="18" t="str">
        <f aca="false">IF($C60="","",EDATE($C60,Milestones!$AA$177))</f>
        <v/>
      </c>
      <c r="FN60" s="18" t="str">
        <f aca="false">IF($C60="","",EDATE($C60,Milestones!$AA$178))</f>
        <v/>
      </c>
      <c r="FO60" s="18" t="str">
        <f aca="false">IF($C60="","",EDATE($C60,Milestones!$AA$179))</f>
        <v/>
      </c>
      <c r="FP60" s="18" t="str">
        <f aca="false">IF($C60="","",EDATE($C60,Milestones!$AA$180))</f>
        <v/>
      </c>
      <c r="FQ60" s="18" t="str">
        <f aca="false">IF($C60="","",EDATE($C60,Milestones!$AA$181))</f>
        <v/>
      </c>
      <c r="FR60" s="18" t="str">
        <f aca="false">IF($C60="","",EDATE($C60,Milestones!$AA$182))</f>
        <v/>
      </c>
      <c r="FS60" s="18" t="str">
        <f aca="false">IF($C60="","",EDATE($C60,Milestones!$AA$183))</f>
        <v/>
      </c>
      <c r="FT60" s="18" t="str">
        <f aca="false">IF($C60="","",EDATE($C60,Milestones!$AA$184))</f>
        <v/>
      </c>
      <c r="FU60" s="18" t="str">
        <f aca="false">IF($C60="","",EDATE($C60,Milestones!$AA$185))</f>
        <v/>
      </c>
      <c r="FV60" s="18" t="str">
        <f aca="false">IF($C60="","",EDATE($C60,Milestones!$AA$186))</f>
        <v/>
      </c>
      <c r="FW60" s="18" t="str">
        <f aca="false">IF($C60="","",EDATE($C60,Milestones!$AA$187))</f>
        <v/>
      </c>
      <c r="FX60" s="18" t="str">
        <f aca="false">IF($C60="","",EDATE($C60,Milestones!$AA$188))</f>
        <v/>
      </c>
      <c r="FY60" s="18" t="str">
        <f aca="false">IF($C60="","",EDATE($C60,Milestones!$AA$189))</f>
        <v/>
      </c>
      <c r="FZ60" s="18" t="str">
        <f aca="false">IF($C60="","",EDATE($C60,Milestones!$AA$190))</f>
        <v/>
      </c>
      <c r="GA60" s="18" t="str">
        <f aca="false">IF($C60="","",EDATE($C60,Milestones!$AA$191))</f>
        <v/>
      </c>
      <c r="GB60" s="18" t="str">
        <f aca="false">IF($C60="","",EDATE($C60,Milestones!$AA$192))</f>
        <v/>
      </c>
      <c r="GC60" s="18" t="str">
        <f aca="false">IF($C60="","",EDATE($C60,Milestones!$AA$193))</f>
        <v/>
      </c>
      <c r="GD60" s="18" t="str">
        <f aca="false">IF($C60="","",EDATE($C60,Milestones!$AA$194))</f>
        <v/>
      </c>
      <c r="GE60" s="18" t="str">
        <f aca="false">IF($C60="","",EDATE($C60,Milestones!$AA$195))</f>
        <v/>
      </c>
      <c r="GF60" s="18" t="str">
        <f aca="false">IF($C60="","",EDATE($C60,Milestones!$AA$196))</f>
        <v/>
      </c>
      <c r="GG60" s="18" t="str">
        <f aca="false">IF($C60="","",EDATE($C60,Milestones!$AA$197))</f>
        <v/>
      </c>
      <c r="GH60" s="18" t="str">
        <f aca="false">IF($C60="","",EDATE($C60,Milestones!$AA$198))</f>
        <v/>
      </c>
      <c r="GI60" s="18" t="str">
        <f aca="false">IF($C60="","",EDATE($C60,Milestones!$AA$199))</f>
        <v/>
      </c>
    </row>
    <row r="61" customFormat="false" ht="15" hidden="false" customHeight="false" outlineLevel="0" collapsed="false">
      <c r="K61" s="0" t="s">
        <v>229</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230</v>
      </c>
      <c r="L62" s="0" t="n">
        <f aca="false">IF(L60="",0,IF(L61=Milestones!$AB$20,Milestones!$AC$20,0))</f>
        <v>0</v>
      </c>
      <c r="M62" s="0" t="n">
        <f aca="false">IF(M60="",0,IF(M61=Milestones!$AB$21,Milestones!$AC$21,0))</f>
        <v>0</v>
      </c>
      <c r="N62" s="0" t="n">
        <f aca="false">IF(N60="",0,IF(N61=Milestones!$AB$22,Milestones!$AC$22,0))</f>
        <v>0</v>
      </c>
      <c r="O62" s="0" t="n">
        <f aca="false">IF(O60="",0,IF(O61=Milestones!$AB$23,Milestones!$AC$23,0))</f>
        <v>0</v>
      </c>
      <c r="P62" s="0" t="n">
        <f aca="false">IF(P60="",0,IF(P61=Milestones!$AB$24,Milestones!$AC$24,0))</f>
        <v>0</v>
      </c>
      <c r="Q62" s="0" t="n">
        <f aca="false">IF(Q60="",0,IF(Q61=Milestones!$AB$25,Milestones!$AC$25,0))</f>
        <v>0</v>
      </c>
      <c r="R62" s="0" t="n">
        <f aca="false">IF(R60="",0,IF(R61=Milestones!$AB$26,Milestones!$AC$26,0))</f>
        <v>0</v>
      </c>
      <c r="S62" s="0" t="n">
        <f aca="false">IF(S60="",0,IF(S61=Milestones!$AB$27,Milestones!$AC$27,0))</f>
        <v>0</v>
      </c>
      <c r="T62" s="0" t="n">
        <f aca="false">IF(T60="",0,IF(T61=Milestones!$AB$28,Milestones!$AC$28,0))</f>
        <v>0</v>
      </c>
      <c r="U62" s="0" t="n">
        <f aca="false">IF(U60="",0,IF(U61=Milestones!$AB$29,Milestones!$AC$29,0))</f>
        <v>0</v>
      </c>
      <c r="V62" s="0" t="n">
        <f aca="false">IF(V60="",0,IF(V61=Milestones!$AB$30,Milestones!$AC$30,0))</f>
        <v>0</v>
      </c>
      <c r="W62" s="0" t="n">
        <f aca="false">IF(W60="",0,IF(W61=Milestones!$AB$31,Milestones!$AC$31,0))</f>
        <v>0</v>
      </c>
      <c r="X62" s="0" t="n">
        <f aca="false">IF(X60="",0,IF(X61=Milestones!$AB$32,Milestones!$AC$32,0))</f>
        <v>0</v>
      </c>
      <c r="Y62" s="0" t="n">
        <f aca="false">IF(Y60="",0,IF(Y61=Milestones!$AB$33,Milestones!$AC$33,0))</f>
        <v>0</v>
      </c>
      <c r="Z62" s="0" t="n">
        <f aca="false">IF(Z60="",0,IF(Z61=Milestones!$AB$34,Milestones!$AC$34,0))</f>
        <v>0</v>
      </c>
      <c r="AA62" s="0" t="n">
        <f aca="false">IF(AA60="",0,IF(AA61=Milestones!$AB$35,Milestones!$AC$35,0))</f>
        <v>0</v>
      </c>
      <c r="AB62" s="0" t="n">
        <f aca="false">IF(AB60="",0,IF(AB61=Milestones!$AB$36,Milestones!$AC$36,0))</f>
        <v>0</v>
      </c>
      <c r="AC62" s="0" t="n">
        <f aca="false">IF(AC60="",0,IF(AC61=Milestones!$AB$37,Milestones!$AC$37,0))</f>
        <v>0</v>
      </c>
      <c r="AD62" s="0" t="n">
        <f aca="false">IF(AD60="",0,IF(AD61=Milestones!$AB$38,Milestones!$AC$38,0))</f>
        <v>0</v>
      </c>
      <c r="AE62" s="0" t="n">
        <f aca="false">IF(AE60="",0,IF(AE61=Milestones!$AB$39,Milestones!$AC$39,0))</f>
        <v>0</v>
      </c>
      <c r="AF62" s="0" t="n">
        <f aca="false">IF(AF60="",0,IF(AF61=Milestones!$AB$40,Milestones!$AC$40,0))</f>
        <v>0</v>
      </c>
      <c r="AG62" s="0" t="n">
        <f aca="false">IF(AG60="",0,IF(AG61=Milestones!$AB$41,Milestones!$AC$41,0))</f>
        <v>0</v>
      </c>
      <c r="AH62" s="0" t="n">
        <f aca="false">IF(AH60="",0,IF(AH61=Milestones!$AB$42,Milestones!$AC$42,0))</f>
        <v>0</v>
      </c>
      <c r="AI62" s="0" t="n">
        <f aca="false">IF(AI60="",0,IF(AI61=Milestones!$AB$43,Milestones!$AC$43,0))</f>
        <v>0</v>
      </c>
      <c r="AJ62" s="0" t="n">
        <f aca="false">IF(AJ60="",0,IF(AJ61=Milestones!$AB$44,Milestones!$AC$44,0))</f>
        <v>0</v>
      </c>
      <c r="AK62" s="0" t="n">
        <f aca="false">IF(AK60="",0,IF(AK61=Milestones!$AB$45,Milestones!$AC$45,0))</f>
        <v>0</v>
      </c>
      <c r="AL62" s="0" t="n">
        <f aca="false">IF(AL60="",0,IF(AL61=Milestones!$AB$46,Milestones!$AC$46,0))</f>
        <v>0</v>
      </c>
      <c r="AM62" s="0" t="n">
        <f aca="false">IF(AM60="",0,IF(AM61=Milestones!$AB$47,Milestones!$AC$47,0))</f>
        <v>0</v>
      </c>
      <c r="AN62" s="0" t="n">
        <f aca="false">IF(AN60="",0,IF(AN61=Milestones!$AB$48,Milestones!$AC$48,0))</f>
        <v>0</v>
      </c>
      <c r="AO62" s="0" t="n">
        <f aca="false">IF(AO60="",0,IF(AO61=Milestones!$AB$49,Milestones!$AC$49,0))</f>
        <v>0</v>
      </c>
      <c r="AP62" s="0" t="n">
        <f aca="false">IF(AP60="",0,IF(AP61=Milestones!$AB$50,Milestones!$AC$50,0))</f>
        <v>0</v>
      </c>
      <c r="AQ62" s="0" t="n">
        <f aca="false">IF(AQ60="",0,IF(AQ61=Milestones!$AB$51,Milestones!$AC$51,0))</f>
        <v>0</v>
      </c>
      <c r="AR62" s="0" t="n">
        <f aca="false">IF(AR60="",0,IF(AR61=Milestones!$AB$52,Milestones!$AC$52,0))</f>
        <v>0</v>
      </c>
      <c r="AS62" s="0" t="n">
        <f aca="false">IF(AS60="",0,IF(AS61=Milestones!$AB$53,Milestones!$AC$53,0))</f>
        <v>0</v>
      </c>
      <c r="AT62" s="0" t="n">
        <f aca="false">IF(AT60="",0,IF(AT61=Milestones!$AB$54,Milestones!$AC$54,0))</f>
        <v>0</v>
      </c>
      <c r="AU62" s="0" t="n">
        <f aca="false">IF(AU60="",0,IF(AU61=Milestones!$AB$55,Milestones!$AC$55,0))</f>
        <v>0</v>
      </c>
      <c r="AV62" s="0" t="n">
        <f aca="false">IF(AV60="",0,IF(AV61=Milestones!$AB$56,Milestones!$AC$56,0))</f>
        <v>0</v>
      </c>
      <c r="AW62" s="0" t="n">
        <f aca="false">IF(AW60="",0,IF(AW61=Milestones!$AB$57,Milestones!$AC$57,0))</f>
        <v>0</v>
      </c>
      <c r="AX62" s="0" t="n">
        <f aca="false">IF(AX60="",0,IF(AX61=Milestones!$AB$58,Milestones!$AC$58,0))</f>
        <v>0</v>
      </c>
      <c r="AY62" s="0" t="n">
        <f aca="false">IF(AY60="",0,IF(AY61=Milestones!$AB$59,Milestones!$AC$59,0))</f>
        <v>0</v>
      </c>
      <c r="AZ62" s="0" t="n">
        <f aca="false">IF(AZ60="",0,IF(AZ61=Milestones!$AB$60,Milestones!$AC$60,0))</f>
        <v>0</v>
      </c>
      <c r="BA62" s="0" t="n">
        <f aca="false">IF(BA60="",0,IF(BA61=Milestones!$AB$61,Milestones!$AC$61,0))</f>
        <v>0</v>
      </c>
      <c r="BB62" s="0" t="n">
        <f aca="false">IF(BB60="",0,IF(BB61=Milestones!$AB$62,Milestones!$AC$62,0))</f>
        <v>0</v>
      </c>
      <c r="BC62" s="0" t="n">
        <f aca="false">IF(BC60="",0,IF(BC61=Milestones!$AB$63,Milestones!$AC$63,0))</f>
        <v>0</v>
      </c>
      <c r="BD62" s="0" t="n">
        <f aca="false">IF(BD60="",0,IF(BD61=Milestones!$AB$64,Milestones!$AC$64,0))</f>
        <v>0</v>
      </c>
      <c r="BE62" s="0" t="n">
        <f aca="false">IF(BE60="",0,IF(BE61=Milestones!$AB$65,Milestones!$AC$65,0))</f>
        <v>0</v>
      </c>
      <c r="BF62" s="0" t="n">
        <f aca="false">IF(BF60="",0,IF(BF61=Milestones!$AB$66,Milestones!$AC$66,0))</f>
        <v>0</v>
      </c>
      <c r="BG62" s="0" t="n">
        <f aca="false">IF(BG60="",0,IF(BG61=Milestones!$AB$67,Milestones!$AC$67,0))</f>
        <v>0</v>
      </c>
      <c r="BH62" s="0" t="n">
        <f aca="false">IF(BH60="",0,IF(BH61=Milestones!$AB$68,Milestones!$AC$68,0))</f>
        <v>0</v>
      </c>
      <c r="BI62" s="0" t="n">
        <f aca="false">IF(BI60="",0,IF(BI61=Milestones!$AB$69,Milestones!$AC$69,0))</f>
        <v>0</v>
      </c>
      <c r="BJ62" s="0" t="n">
        <f aca="false">IF(BJ60="",0,IF(BJ61=Milestones!$AB$70,Milestones!$AC$70,0))</f>
        <v>0</v>
      </c>
      <c r="BK62" s="0" t="n">
        <f aca="false">IF(BK60="",0,IF(BK61=Milestones!$AB$71,Milestones!$AC$71,0))</f>
        <v>0</v>
      </c>
      <c r="BL62" s="0" t="n">
        <f aca="false">IF(BL60="",0,IF(BL61=Milestones!$AB$72,Milestones!$AC$72,0))</f>
        <v>0</v>
      </c>
      <c r="BM62" s="0" t="n">
        <f aca="false">IF(BM60="",0,IF(BM61=Milestones!$AB$73,Milestones!$AC$73,0))</f>
        <v>0</v>
      </c>
      <c r="BN62" s="0" t="n">
        <f aca="false">IF(BN60="",0,IF(BN61=Milestones!$AB$74,Milestones!$AC$74,0))</f>
        <v>0</v>
      </c>
      <c r="BO62" s="0" t="n">
        <f aca="false">IF(BO60="",0,IF(BO61=Milestones!$AB$75,Milestones!$AC$75,0))</f>
        <v>0</v>
      </c>
      <c r="BP62" s="0" t="n">
        <f aca="false">IF(BP60="",0,IF(BP61=Milestones!$AB$76,Milestones!$AC$76,0))</f>
        <v>0</v>
      </c>
      <c r="BQ62" s="0" t="n">
        <f aca="false">IF(BQ60="",0,IF(BQ61=Milestones!$AB$77,Milestones!$AC$77,0))</f>
        <v>0</v>
      </c>
      <c r="BR62" s="0" t="n">
        <f aca="false">IF(BR60="",0,IF(BR61=Milestones!$AB$78,Milestones!$AC$78,0))</f>
        <v>0</v>
      </c>
      <c r="BS62" s="0" t="n">
        <f aca="false">IF(BS60="",0,IF(BS61=Milestones!$AB$79,Milestones!$AC$79,0))</f>
        <v>0</v>
      </c>
      <c r="BT62" s="0" t="n">
        <f aca="false">IF(BT60="",0,IF(BT61=Milestones!$AB$80,Milestones!$AC$80,0))</f>
        <v>0</v>
      </c>
      <c r="BU62" s="0" t="n">
        <f aca="false">IF(BU60="",0,IF(BU61=Milestones!$AB$81,Milestones!$AC$81,0))</f>
        <v>0</v>
      </c>
      <c r="BV62" s="0" t="n">
        <f aca="false">IF(BV60="",0,IF(BV61=Milestones!$AB$82,Milestones!$AC$82,0))</f>
        <v>0</v>
      </c>
      <c r="BW62" s="0" t="n">
        <f aca="false">IF(BW60="",0,IF(BW61=Milestones!$AB$83,Milestones!$AC$83,0))</f>
        <v>0</v>
      </c>
      <c r="BX62" s="0" t="n">
        <f aca="false">IF(BX60="",0,IF(BX61=Milestones!$AB$84,Milestones!$AC$84,0))</f>
        <v>0</v>
      </c>
      <c r="BY62" s="0" t="n">
        <f aca="false">IF(BY60="",0,IF(BY61=Milestones!$AB$85,Milestones!$AC$85,0))</f>
        <v>0</v>
      </c>
      <c r="BZ62" s="0" t="n">
        <f aca="false">IF(BZ60="",0,IF(BZ61=Milestones!$AB$86,Milestones!$AC$86,0))</f>
        <v>0</v>
      </c>
      <c r="CA62" s="0" t="n">
        <f aca="false">IF(CA60="",0,IF(CA61=Milestones!$AB$87,Milestones!$AC$87,0))</f>
        <v>0</v>
      </c>
      <c r="CB62" s="0" t="n">
        <f aca="false">IF(CB60="",0,IF(CB61=Milestones!$AB$88,Milestones!$AC$88,0))</f>
        <v>0</v>
      </c>
      <c r="CC62" s="0" t="n">
        <f aca="false">IF(CC60="",0,IF(CC61=Milestones!$AB$89,Milestones!$AC$89,0))</f>
        <v>0</v>
      </c>
      <c r="CD62" s="0" t="n">
        <f aca="false">IF(CD60="",0,IF(CD61=Milestones!$AB$90,Milestones!$AC$90,0))</f>
        <v>0</v>
      </c>
      <c r="CE62" s="0" t="n">
        <f aca="false">IF(CE60="",0,IF(CE61=Milestones!$AB$91,Milestones!$AC$91,0))</f>
        <v>0</v>
      </c>
      <c r="CF62" s="0" t="n">
        <f aca="false">IF(CF60="",0,IF(CF61=Milestones!$AB$92,Milestones!$AC$92,0))</f>
        <v>0</v>
      </c>
      <c r="CG62" s="0" t="n">
        <f aca="false">IF(CG60="",0,IF(CG61=Milestones!$AB$93,Milestones!$AC$93,0))</f>
        <v>0</v>
      </c>
      <c r="CH62" s="0" t="n">
        <f aca="false">IF(CH60="",0,IF(CH61=Milestones!$AB$94,Milestones!$AC$94,0))</f>
        <v>0</v>
      </c>
      <c r="CI62" s="0" t="n">
        <f aca="false">IF(CI60="",0,IF(CI61=Milestones!$AB$95,Milestones!$AC$95,0))</f>
        <v>0</v>
      </c>
      <c r="CJ62" s="0" t="n">
        <f aca="false">IF(CJ60="",0,IF(CJ61=Milestones!$AB$96,Milestones!$AC$96,0))</f>
        <v>0</v>
      </c>
      <c r="CK62" s="0" t="n">
        <f aca="false">IF(CK60="",0,IF(CK61=Milestones!$AB$97,Milestones!$AC$97,0))</f>
        <v>0</v>
      </c>
      <c r="CL62" s="0" t="n">
        <f aca="false">IF(CL60="",0,IF(CL61=Milestones!$AB$98,Milestones!$AC$98,0))</f>
        <v>0</v>
      </c>
      <c r="CM62" s="0" t="n">
        <f aca="false">IF(CM60="",0,IF(CM61=Milestones!$AB$99,Milestones!$AC$99,0))</f>
        <v>0</v>
      </c>
      <c r="CN62" s="0" t="n">
        <f aca="false">IF(CN60="",0,IF(CN61=Milestones!$AB$100,Milestones!$AC$100,0))</f>
        <v>0</v>
      </c>
      <c r="CO62" s="0" t="n">
        <f aca="false">IF(CO60="",0,IF(CO61=Milestones!$AB$101,Milestones!$AC$101,0))</f>
        <v>0</v>
      </c>
      <c r="CP62" s="0" t="n">
        <f aca="false">IF(CP60="",0,IF(CP61=Milestones!$AB$102,Milestones!$AC$102,0))</f>
        <v>0</v>
      </c>
      <c r="CQ62" s="0" t="n">
        <f aca="false">IF(CQ60="",0,IF(CQ61=Milestones!$AB$103,Milestones!$AC$103,0))</f>
        <v>0</v>
      </c>
      <c r="CR62" s="0" t="n">
        <f aca="false">IF(CR60="",0,IF(CR61=Milestones!$AB$104,Milestones!$AC$104,0))</f>
        <v>0</v>
      </c>
      <c r="CS62" s="0" t="n">
        <f aca="false">IF(CS60="",0,IF(CS61=Milestones!$AB$105,Milestones!$AC$105,0))</f>
        <v>0</v>
      </c>
      <c r="CT62" s="0" t="n">
        <f aca="false">IF(CT60="",0,IF(CT61=Milestones!$AB$106,Milestones!$AC$106,0))</f>
        <v>0</v>
      </c>
      <c r="CU62" s="0" t="n">
        <f aca="false">IF(CU60="",0,IF(CU61=Milestones!$AB$107,Milestones!$AC$107,0))</f>
        <v>0</v>
      </c>
      <c r="CV62" s="0" t="n">
        <f aca="false">IF(CV60="",0,IF(CV61=Milestones!$AB$108,Milestones!$AC$108,0))</f>
        <v>0</v>
      </c>
      <c r="CW62" s="0" t="n">
        <f aca="false">IF(CW60="",0,IF(CW61=Milestones!$AB$109,Milestones!$AC$109,0))</f>
        <v>0</v>
      </c>
      <c r="CX62" s="0" t="n">
        <f aca="false">IF(CX60="",0,IF(CX61=Milestones!$AB$110,Milestones!$AC$110,0))</f>
        <v>0</v>
      </c>
      <c r="CY62" s="0" t="n">
        <f aca="false">IF(CY60="",0,IF(CY61=Milestones!$AB$111,Milestones!$AC$111,0))</f>
        <v>0</v>
      </c>
      <c r="CZ62" s="0" t="n">
        <f aca="false">IF(CZ60="",0,IF(CZ61=Milestones!$AB$112,Milestones!$AC$112,0))</f>
        <v>0</v>
      </c>
      <c r="DA62" s="0" t="n">
        <f aca="false">IF(DA60="",0,IF(DA61=Milestones!$AB$113,Milestones!$AC$113,0))</f>
        <v>0</v>
      </c>
      <c r="DB62" s="0" t="n">
        <f aca="false">IF(DB60="",0,IF(DB61=Milestones!$AB$114,Milestones!$AC$114,0))</f>
        <v>0</v>
      </c>
      <c r="DC62" s="0" t="n">
        <f aca="false">IF(DC60="",0,IF(DC61=Milestones!$AB$115,Milestones!$AC$115,0))</f>
        <v>0</v>
      </c>
      <c r="DD62" s="0" t="n">
        <f aca="false">IF(DD60="",0,IF(DD61=Milestones!$AB$116,Milestones!$AC$116,0))</f>
        <v>0</v>
      </c>
      <c r="DE62" s="0" t="n">
        <f aca="false">IF(DE60="",0,IF(DE61=Milestones!$AB$117,Milestones!$AC$117,0))</f>
        <v>0</v>
      </c>
      <c r="DF62" s="0" t="n">
        <f aca="false">IF(DF60="",0,IF(DF61=Milestones!$AB$118,Milestones!$AC$118,0))</f>
        <v>0</v>
      </c>
      <c r="DG62" s="0" t="n">
        <f aca="false">IF(DG60="",0,IF(DG61=Milestones!$AB$119,Milestones!$AC$119,0))</f>
        <v>0</v>
      </c>
      <c r="DH62" s="0" t="n">
        <f aca="false">IF(DH60="",0,IF(DH61=Milestones!$AB$120,Milestones!$AC$120,0))</f>
        <v>0</v>
      </c>
      <c r="DI62" s="0" t="n">
        <f aca="false">IF(DI60="",0,IF(DI61=Milestones!$AB$121,Milestones!$AC$121,0))</f>
        <v>0</v>
      </c>
      <c r="DJ62" s="0" t="n">
        <f aca="false">IF(DJ60="",0,IF(DJ61=Milestones!$AB$122,Milestones!$AC$122,0))</f>
        <v>0</v>
      </c>
      <c r="DK62" s="0" t="n">
        <f aca="false">IF(DK60="",0,IF(DK61=Milestones!$AB$123,Milestones!$AC$123,0))</f>
        <v>0</v>
      </c>
      <c r="DL62" s="0" t="n">
        <f aca="false">IF(DL60="",0,IF(DL61=Milestones!$AB$124,Milestones!$AC$124,0))</f>
        <v>0</v>
      </c>
      <c r="DM62" s="0" t="n">
        <f aca="false">IF(DM60="",0,IF(DM61=Milestones!$AB$125,Milestones!$AC$125,0))</f>
        <v>0</v>
      </c>
      <c r="DN62" s="0" t="n">
        <f aca="false">IF(DN60="",0,IF(DN61=Milestones!$AB$126,Milestones!$AC$126,0))</f>
        <v>0</v>
      </c>
      <c r="DO62" s="0" t="n">
        <f aca="false">IF(DO60="",0,IF(DO61=Milestones!$AB$127,Milestones!$AC$127,0))</f>
        <v>0</v>
      </c>
      <c r="DP62" s="0" t="n">
        <f aca="false">IF(DP60="",0,IF(DP61=Milestones!$AB$128,Milestones!$AC$128,0))</f>
        <v>0</v>
      </c>
      <c r="DQ62" s="0" t="n">
        <f aca="false">IF(DQ60="",0,IF(DQ61=Milestones!$AB$129,Milestones!$AC$129,0))</f>
        <v>0</v>
      </c>
      <c r="DR62" s="0" t="n">
        <f aca="false">IF(DR60="",0,IF(DR61=Milestones!$AB$130,Milestones!$AC$130,0))</f>
        <v>0</v>
      </c>
      <c r="DS62" s="0" t="n">
        <f aca="false">IF(DS60="",0,IF(DS61=Milestones!$AB$131,Milestones!$AC$131,0))</f>
        <v>0</v>
      </c>
      <c r="DT62" s="0" t="n">
        <f aca="false">IF(DT60="",0,IF(DT61=Milestones!$AB$132,Milestones!$AC$132,0))</f>
        <v>0</v>
      </c>
      <c r="DU62" s="0" t="n">
        <f aca="false">IF(DU60="",0,IF(DU61=Milestones!$AB$133,Milestones!$AC$133,0))</f>
        <v>0</v>
      </c>
      <c r="DV62" s="0" t="n">
        <f aca="false">IF(DV60="",0,IF(DV61=Milestones!$AB$134,Milestones!$AC$134,0))</f>
        <v>0</v>
      </c>
      <c r="DW62" s="0" t="n">
        <f aca="false">IF(DW60="",0,IF(DW61=Milestones!$AB$135,Milestones!$AC$135,0))</f>
        <v>0</v>
      </c>
      <c r="DX62" s="0" t="n">
        <f aca="false">IF(DX60="",0,IF(DX61=Milestones!$AB$136,Milestones!$AC$136,0))</f>
        <v>0</v>
      </c>
      <c r="DY62" s="0" t="n">
        <f aca="false">IF(DY60="",0,IF(DY61=Milestones!$AB$137,Milestones!$AC$137,0))</f>
        <v>0</v>
      </c>
      <c r="DZ62" s="0" t="n">
        <f aca="false">IF(DZ60="",0,IF(DZ61=Milestones!$AB$138,Milestones!$AC$138,0))</f>
        <v>0</v>
      </c>
      <c r="EA62" s="0" t="n">
        <f aca="false">IF(EA60="",0,IF(EA61=Milestones!$AB$139,Milestones!$AC$139,0))</f>
        <v>0</v>
      </c>
      <c r="EB62" s="0" t="n">
        <f aca="false">IF(EB60="",0,IF(EB61=Milestones!$AB$140,Milestones!$AC$140,0))</f>
        <v>0</v>
      </c>
      <c r="EC62" s="0" t="n">
        <f aca="false">IF(EC60="",0,IF(EC61=Milestones!$AB$141,Milestones!$AC$141,0))</f>
        <v>0</v>
      </c>
      <c r="ED62" s="0" t="n">
        <f aca="false">IF(ED60="",0,IF(ED61=Milestones!$AB$142,Milestones!$AC$142,0))</f>
        <v>0</v>
      </c>
      <c r="EE62" s="0" t="n">
        <f aca="false">IF(EE60="",0,IF(EE61=Milestones!$AB$143,Milestones!$AC$143,0))</f>
        <v>0</v>
      </c>
      <c r="EF62" s="0" t="n">
        <f aca="false">IF(EF60="",0,IF(EF61=Milestones!$AB$144,Milestones!$AC$144,0))</f>
        <v>0</v>
      </c>
      <c r="EG62" s="0" t="n">
        <f aca="false">IF(EG60="",0,IF(EG61=Milestones!$AB$145,Milestones!$AC$145,0))</f>
        <v>0</v>
      </c>
      <c r="EH62" s="0" t="n">
        <f aca="false">IF(EH60="",0,IF(EH61=Milestones!$AB$146,Milestones!$AC$146,0))</f>
        <v>0</v>
      </c>
      <c r="EI62" s="0" t="n">
        <f aca="false">IF(EI60="",0,IF(EI61=Milestones!$AB$147,Milestones!$AC$147,0))</f>
        <v>0</v>
      </c>
      <c r="EJ62" s="0" t="n">
        <f aca="false">IF(EJ60="",0,IF(EJ61=Milestones!$AB$148,Milestones!$AC$148,0))</f>
        <v>0</v>
      </c>
      <c r="EK62" s="0" t="n">
        <f aca="false">IF(EK60="",0,IF(EK61=Milestones!$AB$149,Milestones!$AC$149,0))</f>
        <v>0</v>
      </c>
      <c r="EL62" s="0" t="n">
        <f aca="false">IF(EL60="",0,IF(EL61=Milestones!$AB$150,Milestones!$AC$150,0))</f>
        <v>0</v>
      </c>
      <c r="EM62" s="0" t="n">
        <f aca="false">IF(EM60="",0,IF(EM61=Milestones!$AB$151,Milestones!$AC$151,0))</f>
        <v>0</v>
      </c>
      <c r="EN62" s="0" t="n">
        <f aca="false">IF(EN60="",0,IF(EN61=Milestones!$AB$152,Milestones!$AC$152,0))</f>
        <v>0</v>
      </c>
      <c r="EO62" s="0" t="n">
        <f aca="false">IF(EO60="",0,IF(EO61=Milestones!$AB$153,Milestones!$AC$153,0))</f>
        <v>0</v>
      </c>
      <c r="EP62" s="0" t="n">
        <f aca="false">IF(EP60="",0,IF(EP61=Milestones!$AB$154,Milestones!$AC$154,0))</f>
        <v>0</v>
      </c>
      <c r="EQ62" s="0" t="n">
        <f aca="false">IF(EQ60="",0,IF(EQ61=Milestones!$AB$155,Milestones!$AC$155,0))</f>
        <v>0</v>
      </c>
      <c r="ER62" s="0" t="n">
        <f aca="false">IF(ER60="",0,IF(ER61=Milestones!$AB$156,Milestones!$AC$156,0))</f>
        <v>0</v>
      </c>
      <c r="ES62" s="0" t="n">
        <f aca="false">IF(ES60="",0,IF(ES61=Milestones!$AB$157,Milestones!$AC$157,0))</f>
        <v>0</v>
      </c>
      <c r="ET62" s="0" t="n">
        <f aca="false">IF(ET60="",0,IF(ET61=Milestones!$AB$158,Milestones!$AC$158,0))</f>
        <v>0</v>
      </c>
      <c r="EU62" s="0" t="n">
        <f aca="false">IF(EU60="",0,IF(EU61=Milestones!$AB$159,Milestones!$AC$159,0))</f>
        <v>0</v>
      </c>
      <c r="EV62" s="0" t="n">
        <f aca="false">IF(EV60="",0,IF(EV61=Milestones!$AB$160,Milestones!$AC$160,0))</f>
        <v>0</v>
      </c>
      <c r="EW62" s="0" t="n">
        <f aca="false">IF(EW60="",0,IF(EW61=Milestones!$AB$161,Milestones!$AC$161,0))</f>
        <v>0</v>
      </c>
      <c r="EX62" s="0" t="n">
        <f aca="false">IF(EX60="",0,IF(EX61=Milestones!$AB$162,Milestones!$AC$162,0))</f>
        <v>0</v>
      </c>
      <c r="EY62" s="0" t="n">
        <f aca="false">IF(EY60="",0,IF(EY61=Milestones!$AB$163,Milestones!$AC$163,0))</f>
        <v>0</v>
      </c>
      <c r="EZ62" s="0" t="n">
        <f aca="false">IF(EZ60="",0,IF(EZ61=Milestones!$AB$164,Milestones!$AC$164,0))</f>
        <v>0</v>
      </c>
      <c r="FA62" s="0" t="n">
        <f aca="false">IF(FA60="",0,IF(FA61=Milestones!$AB$165,Milestones!$AC$165,0))</f>
        <v>0</v>
      </c>
      <c r="FB62" s="0" t="n">
        <f aca="false">IF(FB60="",0,IF(FB61=Milestones!$AB$166,Milestones!$AC$166,0))</f>
        <v>0</v>
      </c>
      <c r="FC62" s="0" t="n">
        <f aca="false">IF(FC60="",0,IF(FC61=Milestones!$AB$167,Milestones!$AC$167,0))</f>
        <v>0</v>
      </c>
      <c r="FD62" s="0" t="n">
        <f aca="false">IF(FD60="",0,IF(FD61=Milestones!$AB$168,Milestones!$AC$168,0))</f>
        <v>0</v>
      </c>
      <c r="FE62" s="0" t="n">
        <f aca="false">IF(FE60="",0,IF(FE61=Milestones!$AB$169,Milestones!$AC$169,0))</f>
        <v>0</v>
      </c>
      <c r="FF62" s="0" t="n">
        <f aca="false">IF(FF60="",0,IF(FF61=Milestones!$AB$170,Milestones!$AC$170,0))</f>
        <v>0</v>
      </c>
      <c r="FG62" s="0" t="n">
        <f aca="false">IF(FG60="",0,IF(FG61=Milestones!$AB$171,Milestones!$AC$171,0))</f>
        <v>0</v>
      </c>
      <c r="FH62" s="0" t="n">
        <f aca="false">IF(FH60="",0,IF(FH61=Milestones!$AB$172,Milestones!$AC$172,0))</f>
        <v>0</v>
      </c>
      <c r="FI62" s="0" t="n">
        <f aca="false">IF(FI60="",0,IF(FI61=Milestones!$AB$173,Milestones!$AC$173,0))</f>
        <v>0</v>
      </c>
      <c r="FJ62" s="0" t="n">
        <f aca="false">IF(FJ60="",0,IF(FJ61=Milestones!$AB$174,Milestones!$AC$174,0))</f>
        <v>0</v>
      </c>
      <c r="FK62" s="0" t="n">
        <f aca="false">IF(FK60="",0,IF(FK61=Milestones!$AB$175,Milestones!$AC$175,0))</f>
        <v>0</v>
      </c>
      <c r="FL62" s="0" t="n">
        <f aca="false">IF(FL60="",0,IF(FL61=Milestones!$AB$176,Milestones!$AC$176,0))</f>
        <v>0</v>
      </c>
      <c r="FM62" s="0" t="n">
        <f aca="false">IF(FM60="",0,IF(FM61=Milestones!$AB$177,Milestones!$AC$177,0))</f>
        <v>0</v>
      </c>
      <c r="FN62" s="0" t="n">
        <f aca="false">IF(FN60="",0,IF(FN61=Milestones!$AB$178,Milestones!$AC$178,0))</f>
        <v>0</v>
      </c>
      <c r="FO62" s="0" t="n">
        <f aca="false">IF(FO60="",0,IF(FO61=Milestones!$AB$179,Milestones!$AC$179,0))</f>
        <v>0</v>
      </c>
      <c r="FP62" s="0" t="n">
        <f aca="false">IF(FP60="",0,IF(FP61=Milestones!$AB$180,Milestones!$AC$180,0))</f>
        <v>0</v>
      </c>
      <c r="FQ62" s="0" t="n">
        <f aca="false">IF(FQ60="",0,IF(FQ61=Milestones!$AB$181,Milestones!$AC$181,0))</f>
        <v>0</v>
      </c>
      <c r="FR62" s="0" t="n">
        <f aca="false">IF(FR60="",0,IF(FR61=Milestones!$AB$182,Milestones!$AC$182,0))</f>
        <v>0</v>
      </c>
      <c r="FS62" s="0" t="n">
        <f aca="false">IF(FS60="",0,IF(FS61=Milestones!$AB$183,Milestones!$AC$183,0))</f>
        <v>0</v>
      </c>
      <c r="FT62" s="0" t="n">
        <f aca="false">IF(FT60="",0,IF(FT61=Milestones!$AB$184,Milestones!$AC$184,0))</f>
        <v>0</v>
      </c>
      <c r="FU62" s="0" t="n">
        <f aca="false">IF(FU60="",0,IF(FU61=Milestones!$AB$185,Milestones!$AC$185,0))</f>
        <v>0</v>
      </c>
      <c r="FV62" s="0" t="n">
        <f aca="false">IF(FV60="",0,IF(FV61=Milestones!$AB$186,Milestones!$AC$186,0))</f>
        <v>0</v>
      </c>
      <c r="FW62" s="0" t="n">
        <f aca="false">IF(FW60="",0,IF(FW61=Milestones!$AB$187,Milestones!$AC$187,0))</f>
        <v>0</v>
      </c>
      <c r="FX62" s="0" t="n">
        <f aca="false">IF(FX60="",0,IF(FX61=Milestones!$AB$188,Milestones!$AC$188,0))</f>
        <v>0</v>
      </c>
      <c r="FY62" s="0" t="n">
        <f aca="false">IF(FY60="",0,IF(FY61=Milestones!$AB$189,Milestones!$AC$189,0))</f>
        <v>0</v>
      </c>
      <c r="FZ62" s="0" t="n">
        <f aca="false">IF(FZ60="",0,IF(FZ61=Milestones!$AB$190,Milestones!$AC$190,0))</f>
        <v>0</v>
      </c>
      <c r="GA62" s="0" t="n">
        <f aca="false">IF(GA60="",0,IF(GA61=Milestones!$AB$191,Milestones!$AC$191,0))</f>
        <v>0</v>
      </c>
      <c r="GB62" s="0" t="n">
        <f aca="false">IF(GB60="",0,IF(GB61=Milestones!$AB$192,Milestones!$AC$192,0))</f>
        <v>0</v>
      </c>
      <c r="GC62" s="0" t="n">
        <f aca="false">IF(GC60="",0,IF(GC61=Milestones!$AB$193,Milestones!$AC$193,0))</f>
        <v>0</v>
      </c>
      <c r="GD62" s="0" t="n">
        <f aca="false">IF(GD60="",0,IF(GD61=Milestones!$AB$194,Milestones!$AC$194,0))</f>
        <v>0</v>
      </c>
      <c r="GE62" s="0" t="n">
        <f aca="false">IF(GE60="",0,IF(GE61=Milestones!$AB$195,Milestones!$AC$195,0))</f>
        <v>0</v>
      </c>
      <c r="GF62" s="0" t="n">
        <f aca="false">IF(GF60="",0,IF(GF61=Milestones!$AB$196,Milestones!$AC$196,0))</f>
        <v>0</v>
      </c>
      <c r="GG62" s="0" t="n">
        <f aca="false">IF(GG60="",0,IF(GG61=Milestones!$AB$197,Milestones!$AC$197,0))</f>
        <v>0</v>
      </c>
      <c r="GH62" s="0" t="n">
        <f aca="false">IF(GH60="",0,IF(GH61=Milestones!$AB$198,Milestones!$AC$198,0))</f>
        <v>0</v>
      </c>
      <c r="GI62" s="0" t="n">
        <f aca="false">IF(GI60="",0,IF(GI61=Milestones!$AB$199,Milestones!$AC$199,0))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2026-10-08T00:09:01Z</dcterms:created>
  <dc:creator>openpyxl</dc:creator>
  <dc:description/>
  <dc:language>en-US</dc:language>
  <cp:lastModifiedBy/>
  <dcterms:modified xsi:type="dcterms:W3CDTF">2026-10-08T00:09:04Z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